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10" yWindow="555" windowWidth="15870" windowHeight="5745" tabRatio="869"/>
  </bookViews>
  <sheets>
    <sheet name="ImportantDisclosures" sheetId="34" r:id="rId1"/>
    <sheet name="SheetVisibilityStatus" sheetId="38" state="veryHidden" r:id="rId2"/>
    <sheet name="CircularReferenceAlert" sheetId="37" r:id="rId3"/>
    <sheet name="Cover" sheetId="2" state="veryHidden" r:id="rId4"/>
    <sheet name="Scenarios" sheetId="9" state="veryHidden" r:id="rId5"/>
    <sheet name="IS" sheetId="4" state="veryHidden" r:id="rId6"/>
    <sheet name="BS &amp; CF" sheetId="5" state="veryHidden" r:id="rId7"/>
    <sheet name="Revenue Model" sheetId="7" state="veryHidden" r:id="rId8"/>
    <sheet name="Expense Assumptions" sheetId="8" state="veryHidden" r:id="rId9"/>
    <sheet name="Debt" sheetId="10" state="veryHidden" r:id="rId10"/>
    <sheet name="Guidance" sheetId="19" state="veryHidden" r:id="rId11"/>
    <sheet name="IndexInformation" sheetId="35" state="veryHidden" r:id="rId12"/>
    <sheet name="ModPubIndex" sheetId="36" state="veryHidden"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_FDS_HYPERLINK_TOGGLE_STATE__" hidden="1">"ON"</definedName>
    <definedName name="__FDS_UNIQUE_RANGE_ID_GENERATOR_COUNTER" hidden="1">1</definedName>
    <definedName name="__FDS_USED_FOR_REUSING_RANGE_IDS_RECYCLE" hidden="1">{17,10}</definedName>
    <definedName name="_1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0__FDSAUDITLINK__" hidden="1">{"fdsup://Directions/FactSet Auditing Viewer?action=AUDIT_VALUE&amp;DB=129&amp;ID1=42224510&amp;VALUEID=02001&amp;SDATE=2010&amp;PERIODTYPE=ANN_STD&amp;SCFT=3&amp;window=popup_no_bar&amp;width=385&amp;height=120&amp;START_MAXIMIZED=FALSE&amp;creator=factset&amp;display_string=Audit"}</definedName>
    <definedName name="_11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2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3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4__FDSAUDITLINK__" hidden="1">{"fdsup://Directions/FactSet Auditing Viewer?action=AUDIT_VALUE&amp;DB=129&amp;ID1=91338E10&amp;VALUEID=03451&amp;SDATE=2010&amp;PERIODTYPE=ANN_STD&amp;SCFT=3&amp;window=popup_no_bar&amp;width=385&amp;height=120&amp;START_MAXIMIZED=FALSE&amp;creator=factset&amp;display_string=Audit"}</definedName>
    <definedName name="_15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6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7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18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19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2__123Graph_ALIQUIDS" hidden="1">[1]P!$S$78:$AL$78</definedName>
    <definedName name="_2__FDSAUDITLINK__" hidden="1">{"fdsup://Directions/FactSet Auditing Viewer?action=AUDIT_VALUE&amp;DB=129&amp;ID1=91338E10&amp;VALUEID=03451&amp;SDATE=2010&amp;PERIODTYPE=ANN_STD&amp;SCFT=3&amp;window=popup_no_bar&amp;width=385&amp;height=120&amp;START_MAXIMIZED=FALSE&amp;creator=factset&amp;display_string=Audit"}</definedName>
    <definedName name="_20__FDSAUDITLINK__" hidden="1">{"fdsup://Directions/FactSet Auditing Viewer?action=AUDIT_VALUE&amp;DB=129&amp;ID1=55907920&amp;VALUEID=02008&amp;SDATE=2010&amp;PERIODTYPE=ANN_STD&amp;SCFT=3&amp;window=popup_no_bar&amp;width=385&amp;height=120&amp;START_MAXIMIZED=FALSE&amp;creator=factset&amp;display_string=Audit"}</definedName>
    <definedName name="_21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22__FDSAUDITLINK__" hidden="1">{"fdsup://Directions/FactSet Auditing Viewer?action=AUDIT_VALUE&amp;DB=129&amp;ID1=42224510&amp;VALUEID=02001&amp;SDATE=2010&amp;PERIODTYPE=ANN_STD&amp;SCFT=3&amp;window=popup_no_bar&amp;width=385&amp;height=120&amp;START_MAXIMIZED=FALSE&amp;creator=factset&amp;display_string=Audit"}</definedName>
    <definedName name="_23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24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25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26__FDSAUDITLINK__" hidden="1">{"fdsup://Directions/FactSet Auditing Viewer?action=AUDIT_VALUE&amp;DB=129&amp;ID1=91338E10&amp;VALUEID=03451&amp;SDATE=2010&amp;PERIODTYPE=ANN_STD&amp;SCFT=3&amp;window=popup_no_bar&amp;width=385&amp;height=120&amp;START_MAXIMIZED=FALSE&amp;creator=factset&amp;display_string=Audit"}</definedName>
    <definedName name="_27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2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2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3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30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31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32__FDSAUDITLINK__" hidden="1">{"fdsup://Directions/FactSet Auditing Viewer?action=AUDIT_VALUE&amp;DB=129&amp;ID1=55907920&amp;VALUEID=02008&amp;SDATE=2010&amp;PERIODTYPE=ANN_STD&amp;SCFT=3&amp;window=popup_no_bar&amp;width=385&amp;height=120&amp;START_MAXIMIZED=FALSE&amp;creator=factset&amp;display_string=Audit"}</definedName>
    <definedName name="_33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34__FDSAUDITLINK__" hidden="1">{"fdsup://Directions/FactSet Auditing Viewer?action=AUDIT_VALUE&amp;DB=129&amp;ID1=42224510&amp;VALUEID=02001&amp;SDATE=2010&amp;PERIODTYPE=ANN_STD&amp;SCFT=3&amp;window=popup_no_bar&amp;width=385&amp;height=120&amp;START_MAXIMIZED=FALSE&amp;creator=factset&amp;display_string=Audit"}</definedName>
    <definedName name="_3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36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37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38__FDSAUDITLINK__" hidden="1">{"fdsup://Directions/FactSet Auditing Viewer?action=AUDIT_VALUE&amp;DB=129&amp;ID1=91338E10&amp;VALUEID=03451&amp;SDATE=2010&amp;PERIODTYPE=ANN_STD&amp;SCFT=3&amp;window=popup_no_bar&amp;width=385&amp;height=120&amp;START_MAXIMIZED=FALSE&amp;creator=factset&amp;display_string=Audit"}</definedName>
    <definedName name="_39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__123Graph_XLIQUIDS" hidden="1">[1]P!$R$29:$AK$29</definedName>
    <definedName name="_4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0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41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42__FDSAUDITLINK__" hidden="1">{"fdsup://Directions/FactSet Auditing Viewer?action=AUDIT_VALUE&amp;DB=129&amp;ID1=42224510&amp;VALUEID=02001&amp;SDATE=2010&amp;PERIODTYPE=ANN_STD&amp;SCFT=3&amp;window=popup_no_bar&amp;width=385&amp;height=120&amp;START_MAXIMIZED=FALSE&amp;creator=factset&amp;display_string=Audit"}</definedName>
    <definedName name="_43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44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5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46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47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4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__123Graph_XR_M_MARG" hidden="1">[1]P!$R$29:$AK$29</definedName>
    <definedName name="_5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0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51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52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53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4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5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56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57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8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59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6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60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18"}</definedName>
    <definedName name="_61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17"}</definedName>
    <definedName name="_62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16"}</definedName>
    <definedName name="_63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15"}</definedName>
    <definedName name="_64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14"}</definedName>
    <definedName name="_65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13"}</definedName>
    <definedName name="_66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12"}</definedName>
    <definedName name="_67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11"}</definedName>
    <definedName name="_68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10"}</definedName>
    <definedName name="_69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9"}</definedName>
    <definedName name="_7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70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8"}</definedName>
    <definedName name="_71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7"}</definedName>
    <definedName name="_72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6"}</definedName>
    <definedName name="_73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5"}</definedName>
    <definedName name="_74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4"}</definedName>
    <definedName name="_75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3"}</definedName>
    <definedName name="_76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2"}</definedName>
    <definedName name="_77__FDSAUDITLINK__" hidden="1">{"fdsup://directions/FAT Viewer?action=UPDATE&amp;creator=factset&amp;DYN_ARGS=TRUE&amp;DOC_NAME=FAT:FQL_AUDITING_CLIENT_TEMPLATE.FAT&amp;display_string=Audit&amp;VAR:KEY=ZEVOFUDKTC&amp;VAR:QUERY=RkZfUk9JQyhRVFIsMS8zLzIwMDAsMy84LzIwMTEp&amp;WINDOW=FIRST_POPUP&amp;HEIGHT=450&amp;WIDTH=450&amp;STAR","T_MAXIMIZED=FALSE&amp;VAR:CALENDAR=US&amp;VAR:SYMBOL=AET&amp;VAR:INDEX=1"}</definedName>
    <definedName name="_8__FDSAUDITLINK__" hidden="1">{"fdsup://Directions/FactSet Auditing Viewer?action=AUDIT_VALUE&amp;DB=129&amp;ID1=55907920&amp;VALUEID=02008&amp;SDATE=2010&amp;PERIODTYPE=ANN_STD&amp;SCFT=3&amp;window=popup_no_bar&amp;width=385&amp;height=120&amp;START_MAXIMIZED=FALSE&amp;creator=factset&amp;display_string=Audit"}</definedName>
    <definedName name="_9__FDSAUDITLINK__" hidden="1">{"fdsup://Directions/FactSet Auditing Viewer?action=AUDIT_VALUE&amp;DB=129&amp;ID1=55907920&amp;VALUEID=02003&amp;SDATE=2010&amp;PERIODTYPE=ANN_STD&amp;SCFT=3&amp;window=popup_no_bar&amp;width=385&amp;height=120&amp;START_MAXIMIZED=FALSE&amp;creator=factset&amp;display_string=Audit"}</definedName>
    <definedName name="_acquis">'[2]Balance Sheet &amp; Cash Flow'!$C$133:$IV$133</definedName>
    <definedName name="_acquisitions">'[3]Balance Sheet &amp; Cash Flow'!$124:$124</definedName>
    <definedName name="_adjadmits">'[3]Revenue Assumptions'!$113:$113</definedName>
    <definedName name="_adjebitda">IS!$85:$85</definedName>
    <definedName name="_adjpatdays">'[3]Revenue Assumptions'!$127:$127</definedName>
    <definedName name="_adjpdays">'[2]Revenue Build'!$91:$91</definedName>
    <definedName name="_admits">'[3]Revenue Assumptions'!$104:$104</definedName>
    <definedName name="_aggmlr">[4]IS!$A$45:$IV$45</definedName>
    <definedName name="_allowance">'[2]Balance Sheet &amp; Cash Flow'!$91:$91</definedName>
    <definedName name="_allowperc">'[3]Balance Sheet &amp; Cash Flow'!$86:$86</definedName>
    <definedName name="_baddebt">IS!$13:$13</definedName>
    <definedName name="_baddebtamarg">IS!$95:$95</definedName>
    <definedName name="_baddebtmarg">IS!$95:$95</definedName>
    <definedName name="_bdm.01A0D56A8B9D46E7A4D634203EB34B77.edm" localSheetId="5" hidden="1">'BS &amp; CF'!$B$3:$CN$52</definedName>
    <definedName name="_bdm.06982F4EA1444A4FADE3E8B5D2D623BF.edm" hidden="1">'[5]G&amp;A PMPM'!$A:$IV</definedName>
    <definedName name="_bdm.06D59155E6F94104B0E5F6BE904808D6.edm" localSheetId="6" hidden="1">'BS &amp; CF'!$B$3:$CS$63</definedName>
    <definedName name="_bdm.0E48D97F96FC46C6801F86F16CB99ED3.edm" hidden="1">[6]PBM!$1:$1048576</definedName>
    <definedName name="_bdm.15F58F051A7440EA88E480D836B84E88.edm" hidden="1">'[3]Q Comps'!$1:$1048576</definedName>
    <definedName name="_bdm.196CF43A905C4DA48F95CD9C9FD1FC7F.edm" hidden="1">[3]mwareDates!$1:$1048576</definedName>
    <definedName name="_bdm.1C570C0392D34ECEB2CD842ADB3C32FF.edm" hidden="1">'[3]Balance Sheet &amp; Cash Flow'!$1:$1048576</definedName>
    <definedName name="_bdm.21B24ED66C984439B1CF5D35E58F9336.edm" localSheetId="5" hidden="1">'BS &amp; CF'!$B$3:$CI$52</definedName>
    <definedName name="_bdm.21F52A3A51064E57BB2DD5B00559D6CD.edm" localSheetId="5" hidden="1">IS!$B$94:$CS$109</definedName>
    <definedName name="_bdm.28CFD9FF532442C09CA046B216FF2010.edm" localSheetId="5" hidden="1">IS!$B$94:$CS$109</definedName>
    <definedName name="_bdm.2D4D2CF2F65548C38E816349C9FEF2EB.edm" localSheetId="5" hidden="1">IS!$B$3:$CS$87</definedName>
    <definedName name="_bdm.3072AB3BA46847DCA32F1CDA4D7336CE.edm" localSheetId="5" hidden="1">IS!$B$3:$CI$123</definedName>
    <definedName name="_bdm.33D5A6BB648747D5B05AB4F4F8A03A9B.edm" localSheetId="5" hidden="1">IS!$B$94:$DC$109</definedName>
    <definedName name="_bdm.367B7C91C9F04CFFB1850A35E40B5AFF.edm" hidden="1">'[7]Revenue Model'!$A:$IV</definedName>
    <definedName name="_bdm.42424C5D9E904A6E835EA176D39F6A66.edm" hidden="1">[8]Notes!$1:$1048576</definedName>
    <definedName name="_bdm.46DC234232CD4F089AD52695353F294E.edm" hidden="1">'[3]What Changed'!$1:$1048576</definedName>
    <definedName name="_bdm.508E68569E4D463D8F7DE6A70DF865C0.edm" hidden="1">[2]mwareSettings!$1:$1048576</definedName>
    <definedName name="_bdm.536BBB27BE5040C08C1DA275D9A07698.edm" hidden="1">'[2]Comps Table'!$1:$1048576</definedName>
    <definedName name="_bdm.596BDD311F6F4D21AD84CF2363A6A0DB.edm" hidden="1">'[2]Balance Sheet &amp; Cash Flow'!$1:$1048576</definedName>
    <definedName name="_bdm.5E2D1553F52D4D26B2B0A23FF0BE0416.edm" hidden="1">'[7]Mgmt Guidance'!$A:$IV</definedName>
    <definedName name="_bdm.60C910A434084A6193436761458EC150.edm" localSheetId="6" hidden="1">'BS &amp; CF'!$B$3:$CX$63</definedName>
    <definedName name="_bdm.6694A034F149482090D1C7073DD8E728.edm" hidden="1">[9]Sheet1!$A:$IV</definedName>
    <definedName name="_bdm.677411EC43A0433388A6D485CF49EB4F.edm" hidden="1">[6]Guidance!$1:$1048576</definedName>
    <definedName name="_bdm.680CCD29C14A4D5BB713FF82DACE7420.edm" hidden="1">'[7]ROIC-Summary'!$A:$IV</definedName>
    <definedName name="_bdm.76F11EAD32B04ABBAB29C30A2D788F32.edm" localSheetId="5" hidden="1">IS!$B$3:$DC$87</definedName>
    <definedName name="_bdm.7C26F5B132CF4D3F8533133B1AE9224D.edm" localSheetId="5" hidden="1">IS!$B$80:$CN$87</definedName>
    <definedName name="_bdm.7C2F74CB27494395AADB40162510C63F.edm" hidden="1">[8]mwareSettings!$1:$1048576</definedName>
    <definedName name="_bdm.7E21723C9EE84122A77C450B175DF45D.edm" localSheetId="6" hidden="1">'BS &amp; CF'!$B$3:$DC$63</definedName>
    <definedName name="_bdm.807195CD07FB4E81834883D988A0CFE0.edm" hidden="1">'[2]Income Statement'!$1:$1048576</definedName>
    <definedName name="_bdm.82A51B56FFF84F70AF2EB46E5160655D.edm" hidden="1">[7]CYH!$A:$IV</definedName>
    <definedName name="_bdm.82B7EEF3EE6D448084D0B73AA54C30B1.edm" hidden="1">'[7]Preview, A vs. E'!$A:$IV</definedName>
    <definedName name="_bdm.82BEF0B427CB451D813A4E7B1AE91DE2.edm" hidden="1">[3]Notes!$1:$1048576</definedName>
    <definedName name="_bdm.8812BB5FF18B4A0F8D7F5D078355CBF2.edm" hidden="1">[8]mwareDates!$1:$1048576</definedName>
    <definedName name="_bdm.89D7F21CDFB2487ABF6B9DC0664DDA0E.edm" localSheetId="5" hidden="1">IS!$B$3:$CX$87</definedName>
    <definedName name="_bdm.90688D5A96B140399BF6AAFC7EAC9D89.edm" hidden="1">'[3]MW-Cache'!$1:$1048576</definedName>
    <definedName name="_bdm.9151E7C53F4D4048B8C9F1AD9A14B789.edm" hidden="1">IS!$1:$1048576</definedName>
    <definedName name="_bdm.9D532F1382A44A57ACA86A1F13BE1731.edm" hidden="1">'[2]Debt '!$1:$1048576</definedName>
    <definedName name="_bdm.A149474D6654401B9651948B8AB7EB64.edm" hidden="1">'[2]Revenue Build'!$1:$1048576</definedName>
    <definedName name="_bdm.A774471E35FA40F09FBC5840BC104338.edm" hidden="1">'BS &amp; CF'!$1:$1048576</definedName>
    <definedName name="_bdm.AC64289B11B24ABCBCCC541E4E9B0342.edm" hidden="1">'[7]ROIC-NOPAT'!$A:$IV</definedName>
    <definedName name="_bdm.ADA9B1258C4C4E8EAEECADBA3C3F8B57.edm" hidden="1">'[8]Same Site'!$1:$1048576</definedName>
    <definedName name="_bdm.B1657214E7584E9787173C66ACEC8819.edm" hidden="1">'[3]Income Statement'!$1:$1048576</definedName>
    <definedName name="_bdm.B5AAECDDA01B4D549F17DD1D36BCE9DA.edm" hidden="1">[3]Facilities!$1:$1048576</definedName>
    <definedName name="_bdm.B77B698801734AAAA9532046DB77AF3E.edm" hidden="1">'[7]ROIC-NOA'!$A:$IV</definedName>
    <definedName name="_bdm.B8A25791D30846E892F6E9E701DE3930.edm" localSheetId="5" hidden="1">IS!$B$94:$CX$109</definedName>
    <definedName name="_bdm.B92DBA98731B418490FD098087C8E370.edm" hidden="1">'[3]MWA RR'!$1:$1048576</definedName>
    <definedName name="_bdm.BF535245655C49B6A1BE4E206A2B2B99.edm" hidden="1">[6]Valuation!$1:$1048576</definedName>
    <definedName name="_bdm.C376E902DF3C48379392B873B7EE73A2.edm" localSheetId="5" hidden="1">IS!$B$3:$DC$109</definedName>
    <definedName name="_bdm.C6FCEE8D36A14BFD945493EDFC70DD8C.edm" hidden="1">[6]Model!$1:$1048576</definedName>
    <definedName name="_bdm.C7A7C9D21BC141CF97C0E0A1EE54378B.edm" hidden="1">[7]Preview!$A:$IV</definedName>
    <definedName name="_bdm.D2DB327102C7432A92084FDA36A981B8.edm" hidden="1">'[10]ESRX Charts'!$1:$1048576</definedName>
    <definedName name="_bdm.DADC5D5B03AF47DD97A6D108F125624B.edm" hidden="1">[6]HCIT!$1:$1048576</definedName>
    <definedName name="_bdm.E1BC83C9B00946E18192863CCC9AFC8D.edm" hidden="1">'[7]Cost Model'!$A:$IV</definedName>
    <definedName name="_bdm.E78BFB5C1D6B4665AAFD64E2C880A907.edm" localSheetId="5" hidden="1">IS!$B$80:$CI$87</definedName>
    <definedName name="_bdm.F479EAD2205C4BF9A155CF5EB1D97C08.edm" localSheetId="5" hidden="1">IS!$B$3:$CN$123</definedName>
    <definedName name="_bdm.F56B25C0E93C4C98943916372EC322DD.edm" hidden="1">'[8]Balance Sheet &amp; Cash Flow'!$1:$1048576</definedName>
    <definedName name="_bdm.F910BCB2B283421AA7EECC0FA4A2F099.edm" hidden="1">[2]Notes!$1:$1048576</definedName>
    <definedName name="_bdm.FF7450B4F49C404F8AFF7EC7218A9FA7.edm" hidden="1">'[2]Preview Page'!$1:$1048576</definedName>
    <definedName name="_bdpct">'[2]Income Statement'!$68:$68</definedName>
    <definedName name="_benlossexp">[4]IS!$A$16:$IV$16</definedName>
    <definedName name="_bs_1c01">'[3]Balance Sheet &amp; Cash Flow'!$G:$G</definedName>
    <definedName name="_bs_1c02">'[3]Balance Sheet &amp; Cash Flow'!$L:$L</definedName>
    <definedName name="_bs_1c03">'[3]Balance Sheet &amp; Cash Flow'!$Q:$Q</definedName>
    <definedName name="_bs_1c04">'[3]Balance Sheet &amp; Cash Flow'!$V:$V</definedName>
    <definedName name="_bs_1c05">'[2]Balance Sheet &amp; Cash Flow'!$BB:$BB</definedName>
    <definedName name="_bs_1c06">'[2]Balance Sheet &amp; Cash Flow'!$BG:$BG</definedName>
    <definedName name="_bs_1c07">'[2]Balance Sheet &amp; Cash Flow'!$BL:$BL</definedName>
    <definedName name="_bs_1c13">'BS &amp; CF'!$CY:$CY</definedName>
    <definedName name="_bs_2c01">'[3]Balance Sheet &amp; Cash Flow'!$H:$H</definedName>
    <definedName name="_bs_2c02">'[3]Balance Sheet &amp; Cash Flow'!$M:$M</definedName>
    <definedName name="_bs_2c03">'[3]Balance Sheet &amp; Cash Flow'!$R:$R</definedName>
    <definedName name="_bs_2c04">'[3]Balance Sheet &amp; Cash Flow'!$W:$W</definedName>
    <definedName name="_bs_2c05">'[2]Balance Sheet &amp; Cash Flow'!$BC:$BC</definedName>
    <definedName name="_bs_2c06">'[2]Balance Sheet &amp; Cash Flow'!$BH:$BH</definedName>
    <definedName name="_bs_2c07">'[2]Balance Sheet &amp; Cash Flow'!$BM:$BM</definedName>
    <definedName name="_bs_2c08">'BS &amp; CF'!$CA:$CA</definedName>
    <definedName name="_bs_2c09">'BS &amp; CF'!$CF:$CF</definedName>
    <definedName name="_bs_2c10">'BS &amp; CF'!$CK:$CK</definedName>
    <definedName name="_bs_2c11">'BS &amp; CF'!$CP:$CP</definedName>
    <definedName name="_bs_2c12">'BS &amp; CF'!$CU:$CU</definedName>
    <definedName name="_bs_2c13">'BS &amp; CF'!$CZ:$CZ</definedName>
    <definedName name="_bs_3c01">'[3]Balance Sheet &amp; Cash Flow'!$I:$I</definedName>
    <definedName name="_bs_3c02">'[3]Balance Sheet &amp; Cash Flow'!$N:$N</definedName>
    <definedName name="_bs_3c03">'[3]Balance Sheet &amp; Cash Flow'!$S:$S</definedName>
    <definedName name="_bs_3c04">'[3]Balance Sheet &amp; Cash Flow'!$X:$X</definedName>
    <definedName name="_bs_3c05">'[2]Balance Sheet &amp; Cash Flow'!$BD:$BD</definedName>
    <definedName name="_bs_3c06">'[2]Balance Sheet &amp; Cash Flow'!$BI:$BI</definedName>
    <definedName name="_bs_3c07">'[2]Balance Sheet &amp; Cash Flow'!$BN:$BN</definedName>
    <definedName name="_bs_3c08">'BS &amp; CF'!$CB:$CB</definedName>
    <definedName name="_bs_3c09">'BS &amp; CF'!$CG:$CG</definedName>
    <definedName name="_bs_3c10">'BS &amp; CF'!$CL:$CL</definedName>
    <definedName name="_bs_3c11">'BS &amp; CF'!$CQ:$CQ</definedName>
    <definedName name="_bs_3c12">'BS &amp; CF'!$CV:$CV</definedName>
    <definedName name="_bs_3c13">'BS &amp; CF'!$DA:$DA</definedName>
    <definedName name="_bs_4c01">'[3]Balance Sheet &amp; Cash Flow'!$J:$J</definedName>
    <definedName name="_bs_4c02">'[3]Balance Sheet &amp; Cash Flow'!$O:$O</definedName>
    <definedName name="_bs_4c03">'[3]Balance Sheet &amp; Cash Flow'!$T:$T</definedName>
    <definedName name="_bs_4c04">'[3]Balance Sheet &amp; Cash Flow'!$Y:$Y</definedName>
    <definedName name="_bs_4c05">'[2]Balance Sheet &amp; Cash Flow'!$BE:$BE</definedName>
    <definedName name="_bs_4c06">'[2]Balance Sheet &amp; Cash Flow'!$BJ:$BJ</definedName>
    <definedName name="_bs_4c07">'[2]Balance Sheet &amp; Cash Flow'!$BO:$BO</definedName>
    <definedName name="_bs_4c08">'BS &amp; CF'!$CC:$CC</definedName>
    <definedName name="_bs_4c09">'BS &amp; CF'!$CH:$CH</definedName>
    <definedName name="_bs_4c10">'BS &amp; CF'!$CM:$CM</definedName>
    <definedName name="_bs_4c11">'BS &amp; CF'!$CR:$CR</definedName>
    <definedName name="_bs_4c12">'BS &amp; CF'!$CW:$CW</definedName>
    <definedName name="_bs_4c13">'BS &amp; CF'!$DB:$DB</definedName>
    <definedName name="_bs_fy01">'[3]Balance Sheet &amp; Cash Flow'!$K:$K</definedName>
    <definedName name="_bs_fy02">'[3]Balance Sheet &amp; Cash Flow'!$P:$P</definedName>
    <definedName name="_bs_fy03">'[3]Balance Sheet &amp; Cash Flow'!$U:$U</definedName>
    <definedName name="_bs_fy04">'[3]Balance Sheet &amp; Cash Flow'!$Z:$Z</definedName>
    <definedName name="_bs_fy05">'[2]Balance Sheet &amp; Cash Flow'!$BF:$BF</definedName>
    <definedName name="_bs_fy06">'[2]Balance Sheet &amp; Cash Flow'!$BK:$BK</definedName>
    <definedName name="_bs_fy07">'[2]Balance Sheet &amp; Cash Flow'!$BP:$BP</definedName>
    <definedName name="_bs_fy08">'[2]Balance Sheet &amp; Cash Flow'!$BU:$BU</definedName>
    <definedName name="_bs_fy09">'BS &amp; CF'!$CI:$CI</definedName>
    <definedName name="_bs_fy10">'BS &amp; CF'!$CN:$CN</definedName>
    <definedName name="_bs_fy11">'BS &amp; CF'!$CS:$CS</definedName>
    <definedName name="_bs_fy12">'BS &amp; CF'!$CX:$CX</definedName>
    <definedName name="_bs_fy13">'BS &amp; CF'!$DC:$DC</definedName>
    <definedName name="_bs_fy14">[4]BS!$BO$1:$BO$65536</definedName>
    <definedName name="_capex">'BS &amp; CF'!$161:$161</definedName>
    <definedName name="_capex_disc">'BS &amp; CF'!$163:$163</definedName>
    <definedName name="_capex_hc">'BS &amp; CF'!$162:$162</definedName>
    <definedName name="_cash">'BS &amp; CF'!$6:$6</definedName>
    <definedName name="_census">'[3]Revenue Assumptions'!$134:$134</definedName>
    <definedName name="_cf_1c14">[4]CF!$BK$1:$BK$65536</definedName>
    <definedName name="_cf_3c12">[4]CF!$BC$1:$BC$65536</definedName>
    <definedName name="_cff">'BS &amp; CF'!$181:$181</definedName>
    <definedName name="_cfi">'BS &amp; CF'!$169:$169</definedName>
    <definedName name="_cfo">'BS &amp; CF'!$158:$158</definedName>
    <definedName name="_cfotni">[4]CF!$A$60:$IV$60</definedName>
    <definedName name="_ci_is2c11">[11]IS!$AW$1:$AW$65536</definedName>
    <definedName name="_ciopeps">[11]IS!$A$27:$IV$27</definedName>
    <definedName name="_cl">'[3]Balance Sheet &amp; Cash Flow'!$32:$32</definedName>
    <definedName name="_consbeneratio">[4]IS!$A$44:$IV$44</definedName>
    <definedName name="_currdeftaxass">'[3]Balance Sheet &amp; Cash Flow'!$17:$17</definedName>
    <definedName name="_currdeftaxliab">'[3]Balance Sheet &amp; Cash Flow'!$35:$35</definedName>
    <definedName name="_d2EBITDA">'[3]Balance Sheet &amp; Cash Flow'!$59:$59</definedName>
    <definedName name="_d2equity">'[3]Balance Sheet &amp; Cash Flow'!$56:$56</definedName>
    <definedName name="_depramort">'[2]Income Statement'!$19:$19</definedName>
    <definedName name="_deprec">IS!$26:$26</definedName>
    <definedName name="_dtc">[4]BS!$A$67:$IV$67</definedName>
    <definedName name="_EBITDA">IS!$25:$25</definedName>
    <definedName name="_ebitdamarg">'[2]Income Statement'!$70:$70</definedName>
    <definedName name="_ebitdarmarg">'[3]Income Statement'!$73:$73</definedName>
    <definedName name="_enrollg">'[4]Health Care'!$A$61:$IV$61</definedName>
    <definedName name="_equity">'BS &amp; CF'!$50:$50</definedName>
    <definedName name="_experienceratedenroll">'[4]Global Health'!$A$52:$IV$52</definedName>
    <definedName name="_fcf">'BS &amp; CF'!$190:$190</definedName>
    <definedName name="_fcfps">'BS &amp; CF'!$205:$205</definedName>
    <definedName name="_GAAPeps">IS!$61:$61</definedName>
    <definedName name="_gc_1c13">'[4]Global Health'!$BF$1:$BF$65536</definedName>
    <definedName name="_gc_4c13">'[4]Global Health'!$BI$1:$BI$65536</definedName>
    <definedName name="_guarcostenroll">'[4]Global Health'!$A$51:$IV$51</definedName>
    <definedName name="_hc_fy10">'[4]Health Care'!$AU$1:$AU$65536</definedName>
    <definedName name="_hc_fy11">'[4]Health Care'!$AZ$1:$AZ$65536</definedName>
    <definedName name="_hc_fy12">'[4]Health Care'!$BE$1:$BE$65536</definedName>
    <definedName name="_hc_fy13">'[4]Health Care'!$BJ$1:$BJ$65536</definedName>
    <definedName name="_hc_fy14">'[4]Health Care'!$BO$1:$BO$65536</definedName>
    <definedName name="_intexp">IS!$28:$28</definedName>
    <definedName name="_intinc">IS!$29:$29</definedName>
    <definedName name="_is_1c01">'[3]Income Statement'!$G:$G</definedName>
    <definedName name="_is_1c02">'[3]Income Statement'!$L:$L</definedName>
    <definedName name="_is_1c03">'[3]Income Statement'!$Q:$Q</definedName>
    <definedName name="_is_1c04">'[3]Income Statement'!$V:$V</definedName>
    <definedName name="_is_1c05">'[2]Income Statement'!$BB:$BB</definedName>
    <definedName name="_is_1c06">'[2]Income Statement'!$BG:$BG</definedName>
    <definedName name="_is_1c07">'[2]Income Statement'!$BL:$BL</definedName>
    <definedName name="_is_1c08">IS!$BZ:$BZ</definedName>
    <definedName name="_is_1c09">IS!$CE:$CE</definedName>
    <definedName name="_is_1c10">IS!$CJ:$CJ</definedName>
    <definedName name="_is_1c11">IS!$CO:$CO</definedName>
    <definedName name="_is_1c12">IS!$CT:$CT</definedName>
    <definedName name="_is_1c13">IS!$CY:$CY</definedName>
    <definedName name="_is_1c14">[4]IS!$BK$1:$BK$65536</definedName>
    <definedName name="_is_2c01">'[3]Income Statement'!$H:$H</definedName>
    <definedName name="_is_2c02">'[3]Income Statement'!$M:$M</definedName>
    <definedName name="_is_2c03">'[3]Income Statement'!$R:$R</definedName>
    <definedName name="_is_2c04">'[3]Income Statement'!$W:$W</definedName>
    <definedName name="_is_2c05">'[2]Income Statement'!$BC:$BC</definedName>
    <definedName name="_is_2c06">'[2]Income Statement'!$BH:$BH</definedName>
    <definedName name="_is_2c07">'[2]Income Statement'!$BM:$BM</definedName>
    <definedName name="_is_2c08">IS!$CA:$CA</definedName>
    <definedName name="_is_2c09">IS!$CF:$CF</definedName>
    <definedName name="_is_2c10">IS!$CK:$CK</definedName>
    <definedName name="_is_2c11">IS!$CP:$CP</definedName>
    <definedName name="_is_2c12">IS!$CU:$CU</definedName>
    <definedName name="_is_2c13">IS!$CZ:$CZ</definedName>
    <definedName name="_is_3c01">'[3]Income Statement'!$I:$I</definedName>
    <definedName name="_is_3c02">'[3]Income Statement'!$N:$N</definedName>
    <definedName name="_is_3c03">'[3]Income Statement'!$S:$S</definedName>
    <definedName name="_is_3c04">'[3]Income Statement'!$X:$X</definedName>
    <definedName name="_is_3c05">'[2]Income Statement'!$BD:$BD</definedName>
    <definedName name="_is_3c06">'[2]Income Statement'!$BI:$BI</definedName>
    <definedName name="_is_3c07">'[2]Income Statement'!$BN:$BN</definedName>
    <definedName name="_is_3c08">IS!$CB:$CB</definedName>
    <definedName name="_is_3c09">IS!$CG:$CG</definedName>
    <definedName name="_is_3c10">IS!$CL:$CL</definedName>
    <definedName name="_is_3c11">IS!$CQ:$CQ</definedName>
    <definedName name="_is_3c12">IS!$CV:$CV</definedName>
    <definedName name="_is_3c13">IS!$DA:$DA</definedName>
    <definedName name="_is_4c01">'[3]Income Statement'!$J:$J</definedName>
    <definedName name="_is_4c02">'[3]Income Statement'!$O:$O</definedName>
    <definedName name="_is_4c03">'[3]Income Statement'!$T:$T</definedName>
    <definedName name="_is_4c04">'[3]Income Statement'!$Y:$Y</definedName>
    <definedName name="_is_4c05">'[2]Income Statement'!$BE:$BE</definedName>
    <definedName name="_is_4c06">'[2]Income Statement'!$BJ:$BJ</definedName>
    <definedName name="_is_4c07">'[2]Income Statement'!$BO:$BO</definedName>
    <definedName name="_is_4c08">IS!$CC:$CC</definedName>
    <definedName name="_is_4c09">IS!$CH:$CH</definedName>
    <definedName name="_is_4c10">IS!$CM:$CM</definedName>
    <definedName name="_is_4c11">IS!$CR:$CR</definedName>
    <definedName name="_is_4c12">IS!$CW:$CW</definedName>
    <definedName name="_is_4c13">IS!$DB:$DB</definedName>
    <definedName name="_is_fy05">'[2]Income Statement'!$BF:$BF</definedName>
    <definedName name="_is_fy06">'[2]Income Statement'!$BK:$BK</definedName>
    <definedName name="_is_fy07">'[2]Income Statement'!$BP:$BP</definedName>
    <definedName name="_is_fy08">'[2]Income Statement'!$BU:$BU</definedName>
    <definedName name="_is_fy09">IS!$CI:$CI</definedName>
    <definedName name="_is_fy10">IS!$CN:$CN</definedName>
    <definedName name="_is_fy11">IS!$CS:$CS</definedName>
    <definedName name="_is_fy12">IS!$CX:$CX</definedName>
    <definedName name="_is_fy13">IS!$DC:$DC</definedName>
    <definedName name="_is_fy14">IS!$DH:$DH</definedName>
    <definedName name="_is_fy15">IS!$DM:$DM</definedName>
    <definedName name="_is_fy16">IS!$DR:$DR</definedName>
    <definedName name="_los">'[3]Revenue Assumptions'!$130:$130</definedName>
    <definedName name="_ltdebt">'BS &amp; CF'!$36:$36</definedName>
    <definedName name="_Mcareenroll">'[4]Global Health'!$A$58:$IV$58</definedName>
    <definedName name="_medexp">[4]IS!$A$14:$IV$14</definedName>
    <definedName name="_Medicaidenroll">'[4]Global Health'!$A$59:$IV$59</definedName>
    <definedName name="_mi">'BS &amp; CF'!$40:$40</definedName>
    <definedName name="_minintd">'[3]Balance Sheet &amp; Cash Flow'!$39:$39</definedName>
    <definedName name="_mininte">'[3]Balance Sheet &amp; Cash Flow'!$47:$47</definedName>
    <definedName name="_nd2cap">'[3]Balance Sheet &amp; Cash Flow'!$54:$54</definedName>
    <definedName name="_nd2EBITDA">'[3]Balance Sheet &amp; Cash Flow'!$61:$61</definedName>
    <definedName name="_nd2equity">'[3]Balance Sheet &amp; Cash Flow'!$57:$57</definedName>
    <definedName name="_netintexp">'[3]Income Statement'!$21:$21</definedName>
    <definedName name="_netmargin">[4]BS!$A$76:$IV$76</definedName>
    <definedName name="_ni">IS!$47:$47</definedName>
    <definedName name="_nii">[4]IS!$A$11:$IV$11</definedName>
    <definedName name="_occupancy">'[3]Revenue Assumptions'!$137:$137</definedName>
    <definedName name="_onetimes">[4]IS!$A$24:$IV$24</definedName>
    <definedName name="_opeps">IS!$65:$65</definedName>
    <definedName name="_opepsg">[4]IS!$A$29:$IV$29</definedName>
    <definedName name="_opni">IS!$59:$59</definedName>
    <definedName name="_opratio">[4]IS!$A$46:$IV$46</definedName>
    <definedName name="_Order1" hidden="1">255</definedName>
    <definedName name="_Order2" hidden="1">0</definedName>
    <definedName name="_otherbenexp">[4]IS!$A$15:$IV$15</definedName>
    <definedName name="_otherop">IS!$18:$18</definedName>
    <definedName name="_otheropexp">[4]IS!$A$18:$IV$18</definedName>
    <definedName name="_otherrev">[4]IS!$A$12:$IV$12</definedName>
    <definedName name="_patdays">'[3]Revenue Assumptions'!$124:$124</definedName>
    <definedName name="_pharmacogs">[4]IS!$A$17:$IV$17</definedName>
    <definedName name="_premandfees">[4]IS!$A$10:$IV$10</definedName>
    <definedName name="_pretax">IS!$33:$33</definedName>
    <definedName name="_pretaxinc">'[3]Income Statement'!$25:$25</definedName>
    <definedName name="_pretaxmargin">[4]IS!$A$47:$IV$47</definedName>
    <definedName name="_realizedgains">[4]IS!$A$25:$IV$25</definedName>
    <definedName name="_rent">'[3]Income Statement'!$17:$17</definedName>
    <definedName name="_rev">IS!$12:$12</definedName>
    <definedName name="_salandben">'[3]Income Statement'!$13:$13</definedName>
    <definedName name="_servicebeds">'[3]Revenue Assumptions'!$98:$98</definedName>
    <definedName name="_sgaexp">[12]IS!$A$17:$IV$17</definedName>
    <definedName name="_shrepo">'BS &amp; CF'!$177:$177</definedName>
    <definedName name="_shsfd">IS!$69:$69</definedName>
    <definedName name="_stdebt">'BS &amp; CF'!$26:$26</definedName>
    <definedName name="_supply">IS!$16:$16</definedName>
    <definedName name="_supplyexp">'[3]Income Statement'!$14:$14</definedName>
    <definedName name="_swb">IS!$13:$13</definedName>
    <definedName name="_swbpct">'[2]Income Statement'!$64:$64</definedName>
    <definedName name="_taxes">IS!$34:$34</definedName>
    <definedName name="_taxrate">IS!$100:$100</definedName>
    <definedName name="_totalriskenroll">'[4]Global Health'!$A$62:$IV$62</definedName>
    <definedName name="_totalserviceenroll">'[4]Global Health'!$A$63:$IV$63</definedName>
    <definedName name="_totoprevg">[4]IS!$A$106:$IV$106</definedName>
    <definedName name="_totriskenroll">'[4]Health Care'!$A$57:$IV$57</definedName>
    <definedName name="_totservenroll">'[4]Health Care'!$A$58:$IV$58</definedName>
    <definedName name="_writeoff">'[3]Balance Sheet &amp; Cash Flow'!$84:$84</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dditionalInstructions">IndexInformation!$B$42</definedName>
    <definedName name="Address" localSheetId="0">ImportantDisclosures!$A$2:$A$2</definedName>
    <definedName name="ANA" localSheetId="12">ModPubIndex!$A$7</definedName>
    <definedName name="anscount" hidden="1">1</definedName>
    <definedName name="Authors" localSheetId="0">ImportantDisclosures!$A$7</definedName>
    <definedName name="Authors" localSheetId="11">IndexInformation!$B$18</definedName>
    <definedName name="BALANCE_SHEET">[6]Model!$B$101</definedName>
    <definedName name="BRO" localSheetId="12">ModPubIndex!$A$1</definedName>
    <definedName name="bs_cfs_table">[13]Model!$B$76:$AG$180</definedName>
    <definedName name="Buttons" localSheetId="2">CircularReferenceAlert!$B$13:$B$15</definedName>
    <definedName name="CASH_FLOW_STATEMENT">[6]Model!$B$158</definedName>
    <definedName name="circularity">[14]Debt!$B$112</definedName>
    <definedName name="COGS_PBM">[6]PBM!$7:$7</definedName>
    <definedName name="CopyrightStamp" localSheetId="0">ImportantDisclosures!$A$27</definedName>
    <definedName name="CopyrightStamp">[6]ImportantDisclosures!$A$27</definedName>
    <definedName name="COU" localSheetId="12">ModPubIndex!$A$5</definedName>
    <definedName name="CQEnd" localSheetId="11">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1">IndexInformation!$B$24</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Date" localSheetId="0">ImportantDisclosures!$A$8</definedName>
    <definedName name="DB">"WIRENYPROD"</definedName>
    <definedName name="Deleted" localSheetId="11">IndexInformation!$B$27</definedName>
    <definedName name="Description" localSheetId="11">IndexInformation!$B$7</definedName>
    <definedName name="Discipline" localSheetId="11">IndexInformation!$B$3</definedName>
    <definedName name="DISCIPLINE" localSheetId="12">ModPubIndex!$A$12</definedName>
    <definedName name="DisclosuresText" localSheetId="0">ImportantDisclosures!$A$22</definedName>
    <definedName name="DisclosuresText">[6]ImportantDisclosures!$A$22</definedName>
    <definedName name="Distribution" localSheetId="11">IndexInformation!$B$26</definedName>
    <definedName name="DistTable" localSheetId="0">ImportantDisclosures!#REF!</definedName>
    <definedName name="DistTablePreamble" localSheetId="0">ImportantDisclosures!#REF!</definedName>
    <definedName name="DOCDAT" localSheetId="12">ModPubIndex!$A$2</definedName>
    <definedName name="DOCTIME" localSheetId="12">ModPubIndex!$A$3</definedName>
    <definedName name="DocType" localSheetId="11">IndexInformation!$B$5</definedName>
    <definedName name="EMAIL_ALERT" localSheetId="12">ModPubIndex!$A$10</definedName>
    <definedName name="EmailAlert" localSheetId="11">IndexInformation!$B$28</definedName>
    <definedName name="FiveYearGrowthRate" localSheetId="11">IndexInformation!$B$16</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CIT">[6]HCIT!$A$1</definedName>
    <definedName name="HL" localSheetId="12">ModPubIndex!$A$8</definedName>
    <definedName name="Img_ML_3c7g1a7g" hidden="1">"IMG_3"</definedName>
    <definedName name="Img_ML_7g5e5e2b" hidden="1">"IMG_3"</definedName>
    <definedName name="Img_ML_7n6h3t1t" hidden="1">"IMG_11"</definedName>
    <definedName name="Img_ML_8b9j5t1p" hidden="1">"IMG_11"</definedName>
    <definedName name="Img_ML_8h7g4d4d" hidden="1">"IMG_3"</definedName>
    <definedName name="Img_Production_Breakdown" hidden="1">"IMG_3"</definedName>
    <definedName name="inc_sta_table">[13]Model!$D$4:$AG$72</definedName>
    <definedName name="INCOME_STATEMENT">[6]Model!$B$8</definedName>
    <definedName name="IND" localSheetId="12">ModPubIndex!$A$9</definedName>
    <definedName name="Industry" localSheetId="0">ImportantDisclosures!$A$12</definedName>
    <definedName name="IndustryId" localSheetId="11">IndexInformation!$B$40</definedName>
    <definedName name="IndustryId">[6]IndexInformation!$B$40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38848.715787037</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"iQShowQuarterlyAnnual"</definedName>
    <definedName name="KeepVersions" localSheetId="11">IndexInformation!$B$8</definedName>
    <definedName name="LanguageCode" localSheetId="11">IndexInformation!$B$38</definedName>
    <definedName name="LanguageCode">[6]IndexInformation!$B$38</definedName>
    <definedName name="LastCell" localSheetId="0">ImportantDisclosures!$A$22</definedName>
    <definedName name="Linking_10">#N/A</definedName>
    <definedName name="Linking_12">IS!$A$1:$EL$113</definedName>
    <definedName name="Linking_2">IS!$A$3:$DW$100</definedName>
    <definedName name="Linking_3">'BS &amp; CF'!$A$3:$DW$70</definedName>
    <definedName name="Linking_4">'BS &amp; CF'!$A$134:$DW$203</definedName>
    <definedName name="Linking_5">IS!$A$3:$EB$113</definedName>
    <definedName name="Linking_Range_10">'Expense Assumptions'!$B$3:$DR$79</definedName>
    <definedName name="Linking_Range_11">IS!$A$3:$DR$113</definedName>
    <definedName name="Linking_Range_12">'BS &amp; CF'!$A$3:$DR$63</definedName>
    <definedName name="Linking_Range_13">'BS &amp; CF'!$A$134:$DR$207</definedName>
    <definedName name="Linking_Range_14">'Revenue Model'!$A$3:$DR$215</definedName>
    <definedName name="Linking_Range_15">'Expense Assumptions'!$A$3:$DR$79</definedName>
    <definedName name="Linking_Range_17">'BS &amp; CF'!$A$134:$DR$205</definedName>
    <definedName name="Linking_Range_18">IS!$A$3:$DR$93</definedName>
    <definedName name="Linking_Range_19">IS!$A$3:$DR$78</definedName>
    <definedName name="Linking_Range_20">IS!$E$79:$DR$113</definedName>
    <definedName name="Linking_Range_21">IS!$A$1:$DR$113</definedName>
    <definedName name="Linking_Range_22">IS!$B$3:$DR$100</definedName>
    <definedName name="Linking_Range_26">IS!$A$3:$DR$114</definedName>
    <definedName name="Linking_Range_27">IS!$A$3:$DW$113</definedName>
    <definedName name="Linking_Range_6">IS!$B$3:$DR$113</definedName>
    <definedName name="Linking_Range_7">'BS &amp; CF'!$B$3:$DR$64</definedName>
    <definedName name="Linking_Range_8">'BS &amp; CF'!$B$134:$DR$207</definedName>
    <definedName name="Linking_Range_9">'Revenue Model'!$B$3:$DR$214</definedName>
    <definedName name="Linking_Text_1">IS!$DJ$22</definedName>
    <definedName name="MacroVersion" localSheetId="11">IndexInformation!$B$1</definedName>
    <definedName name="Mail">258.7/(258.7+1097.6)</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11">IndexInformation!$B$35</definedName>
    <definedName name="NextYearEPS" localSheetId="11">IndexInformation!$B$13</definedName>
    <definedName name="NextYearTotalRevenue" localSheetId="11">IndexInformation!$B$12</definedName>
    <definedName name="NextYearTotalRevenueActual" localSheetId="11">IndexInformation!$B$33</definedName>
    <definedName name="nmnmm"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ObjectType" localSheetId="11">IndexInformation!$B$37</definedName>
    <definedName name="ObjectType">[6]IndexInformation!$B$37</definedName>
    <definedName name="PANA" localSheetId="12">ModPubIndex!$A$11</definedName>
    <definedName name="PathName" localSheetId="11">IndexInformation!$B$25</definedName>
    <definedName name="PBM">[6]PBM!$A$1</definedName>
    <definedName name="_xlnm.Print_Area" localSheetId="6">'BS &amp; CF'!$B$3:$DC$63</definedName>
    <definedName name="_xlnm.Print_Area" localSheetId="5">IS!$B$2:$DM$113</definedName>
    <definedName name="_xlnm.Print_Area">"Formula removed, name can be deleted."</definedName>
    <definedName name="_xlnm.Print_Titles" localSheetId="8">'Expense Assumptions'!$2:$4</definedName>
    <definedName name="_xlnm.Print_Titles" localSheetId="5">IS!$2:$5</definedName>
    <definedName name="print1" hidden="1">{#N/A,#N/A,FALSE,"Index";"Stmts_Qtrs",#N/A,FALSE,"Summary";"Stmts_24 mo",#N/A,FALSE,"Summary";"Summary_24",#N/A,FALSE,"Revenue";"Month_24",#N/A,FALSE,"Engineering";"Month_24",#N/A,FALSE,"Marketing";"Month_24",#N/A,FALSE,"G &amp; A";"Month_24",#N/A,FALSE,"Manufacturing"}</definedName>
    <definedName name="PRODUCT" localSheetId="12">ModPubIndex!$A$6</definedName>
    <definedName name="PSYM" localSheetId="12">ModPubIndex!$A$4</definedName>
    <definedName name="PUB_FileID" hidden="1">"L10003787.xls"</definedName>
    <definedName name="PUB_UserID" hidden="1">"MAYERX"</definedName>
    <definedName name="PublishDate" localSheetId="11">IndexInformation!$B$2</definedName>
    <definedName name="Rating" localSheetId="11">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 hidden="1">{#N/A,#N/A,FALSE,"COVER";#N/A,#N/A,FALSE,"VALUATION";#N/A,#N/A,FALSE,"FORECAST";#N/A,#N/A,FALSE,"FY ANALYSIS ";#N/A,#N/A,FALSE," HY ANALYSIS"}</definedName>
    <definedName name="RepairedName0514" hidden="1">"iQShowAnnual"</definedName>
    <definedName name="RepairedName0677" hidden="1">"iQShowAnnual"</definedName>
    <definedName name="RepairedName0679" hidden="1">"iQShowAnnual"</definedName>
    <definedName name="ResearchTopic" localSheetId="11">IndexInformation!$B$4</definedName>
    <definedName name="Retail">1097.6/(258.7+1097.6)</definedName>
    <definedName name="RIC" localSheetId="11">IndexInformation!$B$21</definedName>
    <definedName name="SECSettlement" localSheetId="0">ImportantDisclosures!#REF!</definedName>
    <definedName name="SEDOL" localSheetId="11">IndexInformation!$B$22</definedName>
    <definedName name="SourceDefined" localSheetId="0">ImportantDisclosures!$A$19</definedName>
    <definedName name="StockRating" localSheetId="0">ImportantDisclosures!$A$11</definedName>
    <definedName name="SubjectCode" localSheetId="11">IndexInformation!$B$6</definedName>
    <definedName name="SubmitterUserId" localSheetId="11">IndexInformation!$B$39</definedName>
    <definedName name="SubmitterUserId">[6]IndexInformation!$B$39</definedName>
    <definedName name="SUPPRESSED" localSheetId="12">ModPubIndex!$A$13</definedName>
    <definedName name="switch">Scenarios!$B$71</definedName>
    <definedName name="TargetPrice" localSheetId="0">ImportantDisclosures!$A$15</definedName>
    <definedName name="Template.WIRE">"DBACCESS"</definedName>
    <definedName name="TemplateRegion" localSheetId="11">IndexInformation!$B$36</definedName>
    <definedName name="TemplateRegion">[6]IndexInformation!$B$36</definedName>
    <definedName name="THCbs">'BS &amp; CF'!$A$3:$EG$52</definedName>
    <definedName name="THCcf">'BS &amp; CF'!$A$134:$EG$185</definedName>
    <definedName name="THCis">IS!$A$2:$EG$114</definedName>
    <definedName name="THCis2">IS!$A$2:$EG$113</definedName>
    <definedName name="Ticker" localSheetId="0">ImportantDisclosures!$A$10</definedName>
    <definedName name="Ticker">[15]Model!$B$5</definedName>
    <definedName name="TickerRegion" localSheetId="11">IndexInformation!$B$41</definedName>
    <definedName name="TickerRegion">[6]IndexInformation!$B$41</definedName>
    <definedName name="Tickers" localSheetId="11">IndexInformation!$B$19</definedName>
    <definedName name="TransactionCosts">[6]Scenarios!$A$1</definedName>
    <definedName name="trc_XLS_DATASHEET_ProtectDate">36886.46375</definedName>
    <definedName name="UninsuredAdoption">[14]Drivers!$B$23</definedName>
    <definedName name="UpdateReason" localSheetId="11">IndexInformation!$B$17</definedName>
    <definedName name="USRegDisclosures" localSheetId="0">ImportantDisclosures!#REF!</definedName>
    <definedName name="Version.WIRE">1</definedName>
    <definedName name="wrn.2._.pagers." hidden="1">{"Cover",#N/A,FALSE,"Cover";"Summary",#N/A,FALSE,"Summarpage"}</definedName>
    <definedName name="wrn.AGN._.MODELS." hidden="1">{"QTRINC1",#N/A,FALSE,"QTRINC";"QTRINC2",#N/A,FALSE,"QTRINC";"QTRSALES",#N/A,FALSE,"QTRSALES";"ANNSALES",#N/A,FALSE,"ANNSALES";"CASHFLOW",#N/A,FALSE,"CASHFLOW"}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hidden="1">{"assumptions",#N/A,FALSE,"QTRTEMP";"wwsales",#N/A,FALSE,"QTRTEMP";"wwgrowth",#N/A,FALSE,"QTRTEMP";"ussales",#N/A,FALSE,"QTRTEMP";"usgrowth",#N/A,FALSE,"QTRTEMP";"nonsales",#N/A,FALSE,"QTRTEMP";"nongrowth",#N/A,FALSE,"QTRTEMP";"pl growth",#N/A,FALSE,"QTRTEMP";"cashflow",#N/A,FALSE,"QTRTEMP"}</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hidden="1">{"INCOMEannual2",#N/A,FALSE,"income";"INCOMEannual1",#N/A,FALSE,"income";"INCOMEquarterly1",#N/A,FALSE,"income";"INCOMEquarterly2",#N/A,FALSE,"income";"INCOMEcalendarized1",#N/A,FALSE,"income"}</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Graphs." hidden="1">{#N/A,#N/A,FALSE,"1-1 Vol Graph";#N/A,#N/A,FALSE,"1-2 Approve App Graph";#N/A,#N/A,FALSE,"6-1 Email Graph";#N/A,#N/A,FALSE,"6-2 Chat Graph";#N/A,#N/A,FALSE,"6-3 Abandoned Graph";#N/A,#N/A,FALSE,"6-4 30sec Graph";#N/A,#N/A,FALSE,"6_5TotalCalls"}</definedName>
    <definedName name="wrn.INCOME." hidden="1">{"INCOMEquarterly1",#N/A,TRUE,"income";"INCOMEquarterly2",#N/A,TRUE,"income"}</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hidden="1">{#N/A,#N/A,FALSE,"Initial Year";#N/A,#N/A,FALSE,"Historical";#N/A,#N/A,FALSE,"balsheet";#N/A,#N/A,FALSE,"incstate";#N/A,#N/A,FALSE,"Fleet"}</definedName>
    <definedName name="wrn.MODELS." hidden="1">{"QTRINC",#N/A,FALSE,"QTRINC";"MARGIN",#N/A,FALSE,"MARGIN";"SALES1",#N/A,FALSE,"SALES";"SALES2",#N/A,FALSE,"SALES";"CASHFLOW",#N/A,FALSE,"CASHFLOW"}</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rn.Report." hidden="1">{#N/A,#N/A,FALSE,"COVER";#N/A,#N/A,FALSE,"FORECAST";#N/A,#N/A,FALSE,"VALUATION";#N/A,#N/A,FALSE,"FY ANALYSIS ";#N/A,#N/A,FALSE," HY ANALYSIS"}</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yyopepsg">'[3]Income Statement'!$C$46:$IV$46</definedName>
  </definedNames>
  <calcPr calcId="145621" iterate="1"/>
</workbook>
</file>

<file path=xl/calcChain.xml><?xml version="1.0" encoding="utf-8"?>
<calcChain xmlns="http://schemas.openxmlformats.org/spreadsheetml/2006/main">
  <c r="EF24" i="10" l="1"/>
  <c r="EE24" i="10"/>
  <c r="ED24" i="10"/>
  <c r="EC24" i="10"/>
  <c r="B2" i="19" l="1"/>
  <c r="CX222" i="10"/>
  <c r="CO222" i="10"/>
  <c r="CK222" i="10"/>
  <c r="CL222" i="10" s="1"/>
  <c r="CF222" i="10"/>
  <c r="CG222" i="10" s="1"/>
  <c r="EL221" i="10"/>
  <c r="EG221" i="10"/>
  <c r="EB221" i="10"/>
  <c r="DW221" i="10"/>
  <c r="DQ221" i="10"/>
  <c r="DR221" i="10" s="1"/>
  <c r="DM221" i="10"/>
  <c r="DH221" i="10"/>
  <c r="DC221" i="10"/>
  <c r="CV221" i="10"/>
  <c r="CU221" i="10"/>
  <c r="CT221" i="10"/>
  <c r="CR221" i="10"/>
  <c r="CQ221" i="10"/>
  <c r="CP221" i="10"/>
  <c r="CO221" i="10"/>
  <c r="CM221" i="10"/>
  <c r="CL221" i="10"/>
  <c r="CK221" i="10"/>
  <c r="CJ221" i="10"/>
  <c r="CH221" i="10"/>
  <c r="CG221" i="10"/>
  <c r="CF221" i="10"/>
  <c r="CE221" i="10"/>
  <c r="DT220" i="10"/>
  <c r="DU220" i="10" s="1"/>
  <c r="DV220" i="10" s="1"/>
  <c r="EL218" i="10"/>
  <c r="EG218" i="10"/>
  <c r="EB218" i="10"/>
  <c r="DW218" i="10"/>
  <c r="DS218" i="10"/>
  <c r="DQ218" i="10"/>
  <c r="DP218" i="10"/>
  <c r="DO218" i="10"/>
  <c r="DN218" i="10"/>
  <c r="DR218" i="10" s="1"/>
  <c r="DM218" i="10"/>
  <c r="DG218" i="10"/>
  <c r="DF218" i="10"/>
  <c r="DE218" i="10"/>
  <c r="DB218" i="10"/>
  <c r="DA218" i="10"/>
  <c r="CZ218" i="10"/>
  <c r="CW218" i="10"/>
  <c r="CV218" i="10"/>
  <c r="CU218" i="10"/>
  <c r="CR218" i="10"/>
  <c r="CQ218" i="10"/>
  <c r="CP218" i="10"/>
  <c r="CM218" i="10"/>
  <c r="CL218" i="10"/>
  <c r="CK218" i="10"/>
  <c r="CH218" i="10"/>
  <c r="CG218" i="10"/>
  <c r="CF218" i="10"/>
  <c r="CE218" i="10"/>
  <c r="DV217" i="10"/>
  <c r="DW217" i="10" s="1"/>
  <c r="DX217" i="10" s="1"/>
  <c r="DY217" i="10" s="1"/>
  <c r="DZ217" i="10" s="1"/>
  <c r="EA217" i="10" s="1"/>
  <c r="EB217" i="10" s="1"/>
  <c r="EC217" i="10" s="1"/>
  <c r="ED217" i="10" s="1"/>
  <c r="EE217" i="10" s="1"/>
  <c r="EF217" i="10" s="1"/>
  <c r="EG217" i="10" s="1"/>
  <c r="EH217" i="10" s="1"/>
  <c r="EI217" i="10" s="1"/>
  <c r="EJ217" i="10" s="1"/>
  <c r="EK217" i="10" s="1"/>
  <c r="EL217" i="10" s="1"/>
  <c r="DR217" i="10"/>
  <c r="DM217" i="10"/>
  <c r="DH217" i="10"/>
  <c r="DC217" i="10"/>
  <c r="DD218" i="10" s="1"/>
  <c r="DH218" i="10" s="1"/>
  <c r="CX217" i="10"/>
  <c r="CY218" i="10" s="1"/>
  <c r="CS217" i="10"/>
  <c r="CT218" i="10" s="1"/>
  <c r="CN217" i="10"/>
  <c r="CO218" i="10" s="1"/>
  <c r="CI217" i="10"/>
  <c r="CJ218" i="10" s="1"/>
  <c r="CN218" i="10" s="1"/>
  <c r="DH213" i="10"/>
  <c r="DM210" i="10" s="1"/>
  <c r="DC213" i="10"/>
  <c r="CX213" i="10"/>
  <c r="CS213" i="10"/>
  <c r="CN213" i="10"/>
  <c r="CI213" i="10"/>
  <c r="CN210" i="10" s="1"/>
  <c r="EL212" i="10"/>
  <c r="EL211" i="10"/>
  <c r="EG212" i="10"/>
  <c r="EG211" i="10"/>
  <c r="EB212" i="10"/>
  <c r="EB211" i="10"/>
  <c r="DW212" i="10"/>
  <c r="DW211" i="10"/>
  <c r="DR212" i="10"/>
  <c r="DR211" i="10"/>
  <c r="DM212" i="10"/>
  <c r="DM211" i="10"/>
  <c r="DH210" i="10"/>
  <c r="DG210" i="10"/>
  <c r="DG212" i="10" s="1"/>
  <c r="DF210" i="10"/>
  <c r="DF212" i="10" s="1"/>
  <c r="DE210" i="10"/>
  <c r="DE212" i="10" s="1"/>
  <c r="DD210" i="10"/>
  <c r="DD212" i="10" s="1"/>
  <c r="DC210" i="10"/>
  <c r="DB210" i="10"/>
  <c r="DB212" i="10" s="1"/>
  <c r="DA210" i="10"/>
  <c r="DA212" i="10" s="1"/>
  <c r="CZ210" i="10"/>
  <c r="CZ212" i="10" s="1"/>
  <c r="CY210" i="10"/>
  <c r="CY212" i="10" s="1"/>
  <c r="CW210" i="10"/>
  <c r="CW212" i="10" s="1"/>
  <c r="CV210" i="10"/>
  <c r="CU210" i="10"/>
  <c r="CU214" i="10" s="1"/>
  <c r="CS210" i="10"/>
  <c r="CR210" i="10"/>
  <c r="CR214" i="10" s="1"/>
  <c r="CQ210" i="10"/>
  <c r="CQ212" i="10" s="1"/>
  <c r="CP210" i="10"/>
  <c r="CP212" i="10" s="1"/>
  <c r="CO210" i="10"/>
  <c r="CO214" i="10" s="1"/>
  <c r="CM210" i="10"/>
  <c r="CM214" i="10" s="1"/>
  <c r="CL210" i="10"/>
  <c r="CL212" i="10" s="1"/>
  <c r="CK210" i="10"/>
  <c r="CI210" i="10"/>
  <c r="CH210" i="10"/>
  <c r="CH212" i="10" s="1"/>
  <c r="CG210" i="10"/>
  <c r="CF210" i="10"/>
  <c r="CE210" i="10"/>
  <c r="CE212" i="10" s="1"/>
  <c r="DY209" i="10"/>
  <c r="DZ209" i="10" s="1"/>
  <c r="DJ209" i="10"/>
  <c r="CW209" i="10"/>
  <c r="CW214" i="10" s="1"/>
  <c r="DH203" i="10"/>
  <c r="DM200" i="10" s="1"/>
  <c r="DC203" i="10"/>
  <c r="DH200" i="10" s="1"/>
  <c r="CX203" i="10"/>
  <c r="CS203" i="10"/>
  <c r="CN203" i="10"/>
  <c r="CI203" i="10"/>
  <c r="CN200" i="10" s="1"/>
  <c r="EL202" i="10"/>
  <c r="EL201" i="10"/>
  <c r="EG202" i="10"/>
  <c r="EG201" i="10"/>
  <c r="EB202" i="10"/>
  <c r="EB201" i="10"/>
  <c r="DW202" i="10"/>
  <c r="DW201" i="10"/>
  <c r="DR202" i="10"/>
  <c r="DR201" i="10"/>
  <c r="DM202" i="10"/>
  <c r="DM201" i="10"/>
  <c r="DI200" i="10"/>
  <c r="DI203" i="10" s="1"/>
  <c r="DJ200" i="10" s="1"/>
  <c r="DJ203" i="10" s="1"/>
  <c r="DK200" i="10" s="1"/>
  <c r="DK203" i="10" s="1"/>
  <c r="DL200" i="10" s="1"/>
  <c r="DL203" i="10" s="1"/>
  <c r="DM203" i="10" s="1"/>
  <c r="DG200" i="10"/>
  <c r="DG202" i="10" s="1"/>
  <c r="DF200" i="10"/>
  <c r="DF202" i="10" s="1"/>
  <c r="DE200" i="10"/>
  <c r="DE202" i="10" s="1"/>
  <c r="DC200" i="10"/>
  <c r="DB200" i="10"/>
  <c r="DB202" i="10" s="1"/>
  <c r="DA200" i="10"/>
  <c r="DA202" i="10" s="1"/>
  <c r="CZ200" i="10"/>
  <c r="CZ202" i="10" s="1"/>
  <c r="CY200" i="10"/>
  <c r="CY202" i="10" s="1"/>
  <c r="DC202" i="10" s="1"/>
  <c r="CW200" i="10"/>
  <c r="CW202" i="10" s="1"/>
  <c r="CV200" i="10"/>
  <c r="CU200" i="10"/>
  <c r="CU202" i="10" s="1"/>
  <c r="CS200" i="10"/>
  <c r="CR200" i="10"/>
  <c r="CR204" i="10" s="1"/>
  <c r="CQ200" i="10"/>
  <c r="CQ202" i="10" s="1"/>
  <c r="CP200" i="10"/>
  <c r="CP202" i="10" s="1"/>
  <c r="CO200" i="10"/>
  <c r="CO202" i="10" s="1"/>
  <c r="CM200" i="10"/>
  <c r="CM204" i="10" s="1"/>
  <c r="CL200" i="10"/>
  <c r="CL202" i="10" s="1"/>
  <c r="CK200" i="10"/>
  <c r="CK202" i="10" s="1"/>
  <c r="CI200" i="10"/>
  <c r="CH200" i="10"/>
  <c r="CH202" i="10" s="1"/>
  <c r="CG200" i="10"/>
  <c r="CG202" i="10" s="1"/>
  <c r="CF200" i="10"/>
  <c r="CF202" i="10" s="1"/>
  <c r="CE200" i="10"/>
  <c r="CE202" i="10" s="1"/>
  <c r="CE23" i="10" s="1"/>
  <c r="CI23" i="10" s="1"/>
  <c r="DY199" i="10"/>
  <c r="DZ199" i="10" s="1"/>
  <c r="CV199" i="10"/>
  <c r="CW199" i="10" s="1"/>
  <c r="CY199" i="10" s="1"/>
  <c r="CU199" i="10"/>
  <c r="CU204" i="10" s="1"/>
  <c r="CT199" i="10"/>
  <c r="CR199" i="10"/>
  <c r="CQ199" i="10"/>
  <c r="CP199" i="10"/>
  <c r="CP204" i="10" s="1"/>
  <c r="CO199" i="10"/>
  <c r="CO204" i="10" s="1"/>
  <c r="CM199" i="10"/>
  <c r="CL199" i="10"/>
  <c r="CK199" i="10"/>
  <c r="CJ199" i="10"/>
  <c r="CH199" i="10"/>
  <c r="CG199" i="10"/>
  <c r="CF199" i="10"/>
  <c r="CE199" i="10"/>
  <c r="CE204" i="10" s="1"/>
  <c r="DC193" i="10"/>
  <c r="EL192" i="10"/>
  <c r="EL191" i="10"/>
  <c r="EG192" i="10"/>
  <c r="EG191" i="10"/>
  <c r="EB192" i="10"/>
  <c r="EB191" i="10"/>
  <c r="DW192" i="10"/>
  <c r="DW191" i="10"/>
  <c r="DU190" i="10"/>
  <c r="DU193" i="10" s="1"/>
  <c r="DV189" i="10"/>
  <c r="DW189" i="10" s="1"/>
  <c r="DX189" i="10" s="1"/>
  <c r="DY189" i="10" s="1"/>
  <c r="DC183" i="10"/>
  <c r="EL182" i="10"/>
  <c r="EL181" i="10"/>
  <c r="EG182" i="10"/>
  <c r="EG181" i="10"/>
  <c r="EB182" i="10"/>
  <c r="EB181" i="10"/>
  <c r="DW182" i="10"/>
  <c r="DW181" i="10"/>
  <c r="DR182" i="10"/>
  <c r="DR181" i="10"/>
  <c r="DM182" i="10"/>
  <c r="DM181" i="10"/>
  <c r="DJ180" i="10"/>
  <c r="DJ183" i="10" s="1"/>
  <c r="DJ184" i="10" s="1"/>
  <c r="DK179" i="10"/>
  <c r="DL179" i="10" s="1"/>
  <c r="DM179" i="10" s="1"/>
  <c r="DN179" i="10" s="1"/>
  <c r="DB174" i="10"/>
  <c r="DS173" i="10"/>
  <c r="DT170" i="10" s="1"/>
  <c r="DT173" i="10" s="1"/>
  <c r="DN173" i="10"/>
  <c r="DO170" i="10" s="1"/>
  <c r="DO173" i="10" s="1"/>
  <c r="DI173" i="10"/>
  <c r="DI174" i="10" s="1"/>
  <c r="DC173" i="10"/>
  <c r="EL172" i="10"/>
  <c r="EL171" i="10"/>
  <c r="EG172" i="10"/>
  <c r="EG171" i="10"/>
  <c r="EB172" i="10"/>
  <c r="EB171" i="10"/>
  <c r="DW172" i="10"/>
  <c r="DW171" i="10"/>
  <c r="DR172" i="10"/>
  <c r="DR171" i="10"/>
  <c r="DM172" i="10"/>
  <c r="DM171" i="10"/>
  <c r="DJ170" i="10"/>
  <c r="DJ173" i="10" s="1"/>
  <c r="DJ174" i="10" s="1"/>
  <c r="DG170" i="10"/>
  <c r="DG172" i="10" s="1"/>
  <c r="DF170" i="10"/>
  <c r="DF172" i="10" s="1"/>
  <c r="DE170" i="10"/>
  <c r="DD170" i="10"/>
  <c r="DD174" i="10" s="1"/>
  <c r="DB170" i="10"/>
  <c r="DB164" i="10"/>
  <c r="EL162" i="10"/>
  <c r="EL161" i="10"/>
  <c r="EG162" i="10"/>
  <c r="EG161" i="10"/>
  <c r="EB162" i="10"/>
  <c r="EB161" i="10"/>
  <c r="DW162" i="10"/>
  <c r="DW161" i="10"/>
  <c r="DR162" i="10"/>
  <c r="DR161" i="10"/>
  <c r="DQ160" i="10"/>
  <c r="DQ163" i="10" s="1"/>
  <c r="DS160" i="10" s="1"/>
  <c r="DS163" i="10" s="1"/>
  <c r="DB160" i="10"/>
  <c r="DT159" i="10"/>
  <c r="DU159" i="10" s="1"/>
  <c r="DV159" i="10" s="1"/>
  <c r="DH153" i="10"/>
  <c r="DI150" i="10" s="1"/>
  <c r="DI153" i="10" s="1"/>
  <c r="DC153" i="10"/>
  <c r="CX153" i="10"/>
  <c r="DC150" i="10" s="1"/>
  <c r="CW153" i="10"/>
  <c r="CW154" i="10" s="1"/>
  <c r="CX154" i="10" s="1"/>
  <c r="EL152" i="10"/>
  <c r="EL151" i="10"/>
  <c r="EG152" i="10"/>
  <c r="EG151" i="10"/>
  <c r="EB152" i="10"/>
  <c r="EB151" i="10"/>
  <c r="DW152" i="10"/>
  <c r="DW151" i="10"/>
  <c r="DR152" i="10"/>
  <c r="DR151" i="10"/>
  <c r="DM152" i="10"/>
  <c r="DM151" i="10"/>
  <c r="DM150" i="10"/>
  <c r="CX152" i="10"/>
  <c r="DH150" i="10"/>
  <c r="DG150" i="10"/>
  <c r="DG152" i="10" s="1"/>
  <c r="DF150" i="10"/>
  <c r="DF152" i="10" s="1"/>
  <c r="DE150" i="10"/>
  <c r="DE152" i="10" s="1"/>
  <c r="DD150" i="10"/>
  <c r="DD152" i="10" s="1"/>
  <c r="DB150" i="10"/>
  <c r="DB152" i="10" s="1"/>
  <c r="DA150" i="10"/>
  <c r="DA152" i="10" s="1"/>
  <c r="CZ150" i="10"/>
  <c r="CZ152" i="10" s="1"/>
  <c r="CX150" i="10"/>
  <c r="CY149" i="10"/>
  <c r="EL142" i="10"/>
  <c r="EL141" i="10"/>
  <c r="EG142" i="10"/>
  <c r="EG141" i="10"/>
  <c r="EB142" i="10"/>
  <c r="EB141" i="10"/>
  <c r="DW142" i="10"/>
  <c r="DW141" i="10"/>
  <c r="DR142" i="10"/>
  <c r="DR141" i="10"/>
  <c r="DM142" i="10"/>
  <c r="DM141" i="10"/>
  <c r="DI140" i="10"/>
  <c r="DI143" i="10" s="1"/>
  <c r="DF140" i="10"/>
  <c r="DF143" i="10" s="1"/>
  <c r="EI139" i="10"/>
  <c r="EJ139" i="10" s="1"/>
  <c r="ED139" i="10"/>
  <c r="EE139" i="10" s="1"/>
  <c r="DY139" i="10"/>
  <c r="DZ139" i="10" s="1"/>
  <c r="DT139" i="10"/>
  <c r="DU139" i="10" s="1"/>
  <c r="DV139" i="10" s="1"/>
  <c r="DW139" i="10" s="1"/>
  <c r="DO139" i="10"/>
  <c r="DP139" i="10" s="1"/>
  <c r="DQ139" i="10" s="1"/>
  <c r="DR139" i="10" s="1"/>
  <c r="DJ139" i="10"/>
  <c r="DK139" i="10" s="1"/>
  <c r="DL139" i="10" s="1"/>
  <c r="DG139" i="10"/>
  <c r="DH139" i="10" s="1"/>
  <c r="DC133" i="10"/>
  <c r="EL132" i="10"/>
  <c r="EL131" i="10"/>
  <c r="EG132" i="10"/>
  <c r="EG131" i="10"/>
  <c r="EB132" i="10"/>
  <c r="EB131" i="10"/>
  <c r="DW132" i="10"/>
  <c r="DW131" i="10"/>
  <c r="DR132" i="10"/>
  <c r="DR131" i="10"/>
  <c r="DM132" i="10"/>
  <c r="DM131" i="10"/>
  <c r="DF132" i="10"/>
  <c r="DI130" i="10"/>
  <c r="DI133" i="10" s="1"/>
  <c r="DJ130" i="10" s="1"/>
  <c r="DJ133" i="10" s="1"/>
  <c r="DK130" i="10" s="1"/>
  <c r="DK133" i="10" s="1"/>
  <c r="DL130" i="10" s="1"/>
  <c r="DL133" i="10" s="1"/>
  <c r="DG130" i="10"/>
  <c r="DG132" i="10" s="1"/>
  <c r="DF130" i="10"/>
  <c r="DE130" i="10"/>
  <c r="DE132" i="10" s="1"/>
  <c r="DD130" i="10"/>
  <c r="DD134" i="10" s="1"/>
  <c r="EI129" i="10"/>
  <c r="EJ129" i="10" s="1"/>
  <c r="EK129" i="10" s="1"/>
  <c r="ED129" i="10"/>
  <c r="EE129" i="10" s="1"/>
  <c r="DY129" i="10"/>
  <c r="DT129" i="10"/>
  <c r="DU129" i="10" s="1"/>
  <c r="DP129" i="10"/>
  <c r="DQ129" i="10" s="1"/>
  <c r="DO129" i="10"/>
  <c r="DJ129" i="10"/>
  <c r="DK129" i="10" s="1"/>
  <c r="DE129" i="10"/>
  <c r="DF129" i="10" s="1"/>
  <c r="EL120" i="10"/>
  <c r="EL119" i="10"/>
  <c r="EG120" i="10"/>
  <c r="EG119" i="10"/>
  <c r="EB120" i="10"/>
  <c r="EB119" i="10"/>
  <c r="DW120" i="10"/>
  <c r="DW119" i="10"/>
  <c r="DW118" i="10"/>
  <c r="DU118" i="10"/>
  <c r="DU121" i="10" s="1"/>
  <c r="DU122" i="10" s="1"/>
  <c r="DV117" i="10"/>
  <c r="DX117" i="10" s="1"/>
  <c r="DY117" i="10" s="1"/>
  <c r="DZ117" i="10" s="1"/>
  <c r="EA117" i="10" s="1"/>
  <c r="DT111" i="10"/>
  <c r="DU108" i="10" s="1"/>
  <c r="DU111" i="10" s="1"/>
  <c r="EL110" i="10"/>
  <c r="EL109" i="10"/>
  <c r="EG110" i="10"/>
  <c r="EG109" i="10"/>
  <c r="EB110" i="10"/>
  <c r="EB109" i="10"/>
  <c r="DW110" i="10"/>
  <c r="DW109" i="10"/>
  <c r="DW108" i="10"/>
  <c r="DU107" i="10"/>
  <c r="DV107" i="10" s="1"/>
  <c r="DX107" i="10" s="1"/>
  <c r="CL102" i="10"/>
  <c r="DH101" i="10"/>
  <c r="DI98" i="10" s="1"/>
  <c r="DI101" i="10" s="1"/>
  <c r="DJ98" i="10" s="1"/>
  <c r="DJ101" i="10" s="1"/>
  <c r="DK98" i="10" s="1"/>
  <c r="DK101" i="10" s="1"/>
  <c r="DL98" i="10" s="1"/>
  <c r="DL101" i="10" s="1"/>
  <c r="DM101" i="10" s="1"/>
  <c r="DC101" i="10"/>
  <c r="DH98" i="10" s="1"/>
  <c r="CX101" i="10"/>
  <c r="CS101" i="10"/>
  <c r="CN101" i="10"/>
  <c r="CS98" i="10" s="1"/>
  <c r="EL100" i="10"/>
  <c r="EL99" i="10"/>
  <c r="EG100" i="10"/>
  <c r="EG99" i="10"/>
  <c r="EB100" i="10"/>
  <c r="EB99" i="10"/>
  <c r="DW100" i="10"/>
  <c r="DW99" i="10"/>
  <c r="DR100" i="10"/>
  <c r="DR99" i="10"/>
  <c r="DM100" i="10"/>
  <c r="DM99" i="10"/>
  <c r="DG98" i="10"/>
  <c r="DG100" i="10" s="1"/>
  <c r="DF98" i="10"/>
  <c r="DF100" i="10" s="1"/>
  <c r="DE98" i="10"/>
  <c r="DE100" i="10" s="1"/>
  <c r="DC98" i="10"/>
  <c r="DB98" i="10"/>
  <c r="DA98" i="10"/>
  <c r="DA100" i="10" s="1"/>
  <c r="CZ98" i="10"/>
  <c r="CZ100" i="10" s="1"/>
  <c r="CY98" i="10"/>
  <c r="CY100" i="10" s="1"/>
  <c r="CX98" i="10"/>
  <c r="CW98" i="10"/>
  <c r="CW100" i="10" s="1"/>
  <c r="CV98" i="10"/>
  <c r="CV102" i="10" s="1"/>
  <c r="CU98" i="10"/>
  <c r="CT98" i="10"/>
  <c r="CT102" i="10" s="1"/>
  <c r="CR98" i="10"/>
  <c r="CQ98" i="10"/>
  <c r="CP98" i="10"/>
  <c r="CP100" i="10" s="1"/>
  <c r="CN98" i="10"/>
  <c r="CM98" i="10"/>
  <c r="DT97" i="10"/>
  <c r="CW97" i="10"/>
  <c r="CX92" i="10"/>
  <c r="DH91" i="10"/>
  <c r="DI88" i="10" s="1"/>
  <c r="DI91" i="10" s="1"/>
  <c r="DJ88" i="10" s="1"/>
  <c r="DJ91" i="10" s="1"/>
  <c r="DK88" i="10" s="1"/>
  <c r="DK91" i="10" s="1"/>
  <c r="DL88" i="10" s="1"/>
  <c r="DL91" i="10" s="1"/>
  <c r="DM91" i="10" s="1"/>
  <c r="DC91" i="10"/>
  <c r="DH88" i="10" s="1"/>
  <c r="DC90" i="10"/>
  <c r="CX91" i="10"/>
  <c r="CY88" i="10" s="1"/>
  <c r="CY91" i="10" s="1"/>
  <c r="CY92" i="10" s="1"/>
  <c r="EL90" i="10"/>
  <c r="EL89" i="10"/>
  <c r="EG90" i="10"/>
  <c r="EG89" i="10"/>
  <c r="EB90" i="10"/>
  <c r="EB89" i="10"/>
  <c r="DW90" i="10"/>
  <c r="DW89" i="10"/>
  <c r="DR90" i="10"/>
  <c r="DR89" i="10"/>
  <c r="DM90" i="10"/>
  <c r="DM89" i="10"/>
  <c r="DM88" i="10"/>
  <c r="CX90" i="10"/>
  <c r="DG88" i="10"/>
  <c r="DG90" i="10" s="1"/>
  <c r="DF88" i="10"/>
  <c r="DF90" i="10" s="1"/>
  <c r="DE88" i="10"/>
  <c r="DE90" i="10" s="1"/>
  <c r="DC88" i="10"/>
  <c r="DB88" i="10"/>
  <c r="DA88" i="10"/>
  <c r="CX88" i="10"/>
  <c r="DA87" i="10"/>
  <c r="DB87" i="10" s="1"/>
  <c r="CY82" i="10"/>
  <c r="CX82" i="10"/>
  <c r="DH81" i="10"/>
  <c r="DI78" i="10" s="1"/>
  <c r="DI81" i="10" s="1"/>
  <c r="DJ78" i="10" s="1"/>
  <c r="DJ81" i="10" s="1"/>
  <c r="DK78" i="10" s="1"/>
  <c r="DK81" i="10" s="1"/>
  <c r="DL78" i="10" s="1"/>
  <c r="DL81" i="10" s="1"/>
  <c r="DM81" i="10" s="1"/>
  <c r="DC81" i="10"/>
  <c r="CX81" i="10"/>
  <c r="CX80" i="10"/>
  <c r="EL80" i="10"/>
  <c r="EL79" i="10"/>
  <c r="EG80" i="10"/>
  <c r="EG79" i="10"/>
  <c r="EB80" i="10"/>
  <c r="EB79" i="10"/>
  <c r="DW80" i="10"/>
  <c r="DW79" i="10"/>
  <c r="DR80" i="10"/>
  <c r="DR79" i="10"/>
  <c r="DM80" i="10"/>
  <c r="DM79" i="10"/>
  <c r="DM78" i="10"/>
  <c r="DG78" i="10"/>
  <c r="DG80" i="10" s="1"/>
  <c r="DF78" i="10"/>
  <c r="DF80" i="10" s="1"/>
  <c r="DE78" i="10"/>
  <c r="DE80" i="10" s="1"/>
  <c r="DC78" i="10"/>
  <c r="DB78" i="10"/>
  <c r="DB80" i="10" s="1"/>
  <c r="DA78" i="10"/>
  <c r="DA80" i="10" s="1"/>
  <c r="CZ78" i="10"/>
  <c r="CZ80" i="10" s="1"/>
  <c r="CX78" i="10"/>
  <c r="CZ77" i="10"/>
  <c r="DI72" i="10"/>
  <c r="DB72" i="10"/>
  <c r="DX71" i="10"/>
  <c r="DX72" i="10" s="1"/>
  <c r="DS71" i="10"/>
  <c r="DT68" i="10" s="1"/>
  <c r="DT71" i="10" s="1"/>
  <c r="DT72" i="10" s="1"/>
  <c r="DN71" i="10"/>
  <c r="DN72" i="10" s="1"/>
  <c r="DC71" i="10"/>
  <c r="DD68" i="10" s="1"/>
  <c r="EL70" i="10"/>
  <c r="EL69" i="10"/>
  <c r="EG70" i="10"/>
  <c r="EG69" i="10"/>
  <c r="EB70" i="10"/>
  <c r="EB69" i="10"/>
  <c r="DW70" i="10"/>
  <c r="DW69" i="10"/>
  <c r="DR70" i="10"/>
  <c r="DR69" i="10"/>
  <c r="DM70" i="10"/>
  <c r="DM69" i="10"/>
  <c r="DO68" i="10"/>
  <c r="DO71" i="10" s="1"/>
  <c r="DO72" i="10" s="1"/>
  <c r="DJ68" i="10"/>
  <c r="DJ71" i="10" s="1"/>
  <c r="DK68" i="10" s="1"/>
  <c r="DK71" i="10" s="1"/>
  <c r="DG68" i="10"/>
  <c r="DG70" i="10" s="1"/>
  <c r="DF68" i="10"/>
  <c r="DF72" i="10" s="1"/>
  <c r="DE68" i="10"/>
  <c r="DE70" i="10" s="1"/>
  <c r="DB68" i="10"/>
  <c r="CW62" i="10"/>
  <c r="CX62" i="10" s="1"/>
  <c r="DH61" i="10"/>
  <c r="DI58" i="10" s="1"/>
  <c r="DI61" i="10" s="1"/>
  <c r="DJ58" i="10" s="1"/>
  <c r="DJ61" i="10" s="1"/>
  <c r="DK58" i="10" s="1"/>
  <c r="DK61" i="10" s="1"/>
  <c r="DL58" i="10" s="1"/>
  <c r="DL61" i="10" s="1"/>
  <c r="DM61" i="10" s="1"/>
  <c r="DC61" i="10"/>
  <c r="DH58" i="10" s="1"/>
  <c r="CX61" i="10"/>
  <c r="CX60" i="10"/>
  <c r="EL60" i="10"/>
  <c r="EL59" i="10"/>
  <c r="EG60" i="10"/>
  <c r="EG59" i="10"/>
  <c r="EB60" i="10"/>
  <c r="EB59" i="10"/>
  <c r="DW60" i="10"/>
  <c r="DW59" i="10"/>
  <c r="DR60" i="10"/>
  <c r="DR59" i="10"/>
  <c r="DM60" i="10"/>
  <c r="DM59" i="10"/>
  <c r="DG58" i="10"/>
  <c r="DG60" i="10" s="1"/>
  <c r="DF58" i="10"/>
  <c r="DF60" i="10" s="1"/>
  <c r="DE58" i="10"/>
  <c r="DE60" i="10" s="1"/>
  <c r="DB58" i="10"/>
  <c r="DB60" i="10" s="1"/>
  <c r="DA58" i="10"/>
  <c r="DA60" i="10" s="1"/>
  <c r="CZ58" i="10"/>
  <c r="CZ60" i="10" s="1"/>
  <c r="CX58" i="10"/>
  <c r="CY57" i="10"/>
  <c r="CZ57" i="10" s="1"/>
  <c r="DA57" i="10" s="1"/>
  <c r="CR52" i="10"/>
  <c r="DH51" i="10"/>
  <c r="DI48" i="10" s="1"/>
  <c r="DC51" i="10"/>
  <c r="DH48" i="10" s="1"/>
  <c r="CX51" i="10"/>
  <c r="DC48" i="10" s="1"/>
  <c r="CS51" i="10"/>
  <c r="CX48" i="10" s="1"/>
  <c r="EL50" i="10"/>
  <c r="EL49" i="10"/>
  <c r="EG50" i="10"/>
  <c r="EG49" i="10"/>
  <c r="EB50" i="10"/>
  <c r="EB49" i="10"/>
  <c r="DW50" i="10"/>
  <c r="DW49" i="10"/>
  <c r="DR50" i="10"/>
  <c r="DR49" i="10"/>
  <c r="DM50" i="10"/>
  <c r="DM49" i="10"/>
  <c r="DM48" i="10"/>
  <c r="DJ48" i="10"/>
  <c r="DJ51" i="10" s="1"/>
  <c r="DK48" i="10" s="1"/>
  <c r="DK51" i="10" s="1"/>
  <c r="DL48" i="10" s="1"/>
  <c r="DL51" i="10" s="1"/>
  <c r="DM51" i="10" s="1"/>
  <c r="DG48" i="10"/>
  <c r="DG50" i="10" s="1"/>
  <c r="DF48" i="10"/>
  <c r="DF50" i="10" s="1"/>
  <c r="DE48" i="10"/>
  <c r="DE50" i="10" s="1"/>
  <c r="DB48" i="10"/>
  <c r="DA48" i="10"/>
  <c r="CZ48" i="10"/>
  <c r="CZ50" i="10" s="1"/>
  <c r="CW48" i="10"/>
  <c r="CW50" i="10" s="1"/>
  <c r="CV48" i="10"/>
  <c r="CV50" i="10" s="1"/>
  <c r="CU48" i="10"/>
  <c r="CW47" i="10"/>
  <c r="CR38" i="10"/>
  <c r="CS38" i="10" s="1"/>
  <c r="DD38" i="10"/>
  <c r="CY38" i="10"/>
  <c r="CT38" i="10"/>
  <c r="DH37" i="10"/>
  <c r="DM34" i="10" s="1"/>
  <c r="DC37" i="10"/>
  <c r="DH34" i="10" s="1"/>
  <c r="CX37" i="10"/>
  <c r="DC34" i="10" s="1"/>
  <c r="EL36" i="10"/>
  <c r="EL35" i="10"/>
  <c r="EG36" i="10"/>
  <c r="EG35" i="10"/>
  <c r="EB36" i="10"/>
  <c r="EB35" i="10"/>
  <c r="DW36" i="10"/>
  <c r="DW35" i="10"/>
  <c r="DR36" i="10"/>
  <c r="DR35" i="10"/>
  <c r="DM36" i="10"/>
  <c r="DM35" i="10"/>
  <c r="DI34" i="10"/>
  <c r="DI37" i="10" s="1"/>
  <c r="DJ34" i="10" s="1"/>
  <c r="DJ37" i="10" s="1"/>
  <c r="DK34" i="10" s="1"/>
  <c r="DK37" i="10" s="1"/>
  <c r="DL34" i="10" s="1"/>
  <c r="DL37" i="10" s="1"/>
  <c r="DN34" i="10" s="1"/>
  <c r="DN37" i="10" s="1"/>
  <c r="DG34" i="10"/>
  <c r="DG36" i="10" s="1"/>
  <c r="DF34" i="10"/>
  <c r="DF36" i="10" s="1"/>
  <c r="DE34" i="10"/>
  <c r="DE36" i="10" s="1"/>
  <c r="DD34" i="10"/>
  <c r="DD36" i="10" s="1"/>
  <c r="DB34" i="10"/>
  <c r="DB36" i="10" s="1"/>
  <c r="DA34" i="10"/>
  <c r="DA36" i="10" s="1"/>
  <c r="DA23" i="10" s="1"/>
  <c r="CZ34" i="10"/>
  <c r="CZ36" i="10" s="1"/>
  <c r="CY34" i="10"/>
  <c r="CY36" i="10" s="1"/>
  <c r="CW34" i="10"/>
  <c r="CW39" i="10" s="1"/>
  <c r="CV34" i="10"/>
  <c r="CV36" i="10" s="1"/>
  <c r="CU34" i="10"/>
  <c r="CU36" i="10" s="1"/>
  <c r="CT34" i="10"/>
  <c r="CT36" i="10" s="1"/>
  <c r="CS34" i="10"/>
  <c r="CR34" i="10"/>
  <c r="CR39" i="10" s="1"/>
  <c r="CS39" i="10" s="1"/>
  <c r="DE33" i="10"/>
  <c r="DE38" i="10" s="1"/>
  <c r="DA33" i="10"/>
  <c r="DB33" i="10" s="1"/>
  <c r="CZ33" i="10"/>
  <c r="CZ38" i="10" s="1"/>
  <c r="CU33" i="10"/>
  <c r="CU38" i="10" s="1"/>
  <c r="CS33" i="10"/>
  <c r="EH32" i="10"/>
  <c r="EC32" i="10"/>
  <c r="DX32" i="10"/>
  <c r="DS32" i="10"/>
  <c r="DN32" i="10"/>
  <c r="DN31" i="10"/>
  <c r="DI32" i="10"/>
  <c r="DI31" i="10"/>
  <c r="CR32" i="10"/>
  <c r="CR31" i="10"/>
  <c r="CR40" i="10" s="1"/>
  <c r="EI33" i="10"/>
  <c r="EJ33" i="10" s="1"/>
  <c r="EK33" i="10" s="1"/>
  <c r="EK32" i="10"/>
  <c r="EJ32" i="10"/>
  <c r="EI32" i="10"/>
  <c r="ED33" i="10"/>
  <c r="EE33" i="10" s="1"/>
  <c r="EF33" i="10" s="1"/>
  <c r="EF32" i="10"/>
  <c r="EE32" i="10"/>
  <c r="ED32" i="10"/>
  <c r="DY33" i="10"/>
  <c r="EA32" i="10"/>
  <c r="DZ32" i="10"/>
  <c r="DY32" i="10"/>
  <c r="DT33" i="10"/>
  <c r="DU33" i="10" s="1"/>
  <c r="DV32" i="10"/>
  <c r="DU32" i="10"/>
  <c r="DT32" i="10"/>
  <c r="DT31" i="10"/>
  <c r="DU31" i="10" s="1"/>
  <c r="DV31" i="10" s="1"/>
  <c r="DO33" i="10"/>
  <c r="DP33" i="10" s="1"/>
  <c r="DQ33" i="10" s="1"/>
  <c r="DR33" i="10" s="1"/>
  <c r="DQ32" i="10"/>
  <c r="DP32" i="10"/>
  <c r="DO32" i="10"/>
  <c r="DQ31" i="10"/>
  <c r="DP31" i="10"/>
  <c r="DO31" i="10"/>
  <c r="DJ33" i="10"/>
  <c r="DK33" i="10" s="1"/>
  <c r="DL33" i="10" s="1"/>
  <c r="DL32" i="10"/>
  <c r="DK32" i="10"/>
  <c r="DJ32" i="10"/>
  <c r="DL31" i="10"/>
  <c r="DK31" i="10"/>
  <c r="DJ31" i="10"/>
  <c r="DG32" i="10"/>
  <c r="DF32" i="10"/>
  <c r="DF39" i="10" s="1"/>
  <c r="DE32" i="10"/>
  <c r="DD32" i="10"/>
  <c r="DG31" i="10"/>
  <c r="DF31" i="10"/>
  <c r="DE31" i="10"/>
  <c r="DD31" i="10"/>
  <c r="DB32" i="10"/>
  <c r="DA32" i="10"/>
  <c r="DA39" i="10" s="1"/>
  <c r="CZ32" i="10"/>
  <c r="CY32" i="10"/>
  <c r="DB31" i="10"/>
  <c r="DA31" i="10"/>
  <c r="CZ31" i="10"/>
  <c r="CY31" i="10"/>
  <c r="CW32" i="10"/>
  <c r="CV32" i="10"/>
  <c r="CV39" i="10" s="1"/>
  <c r="CU32" i="10"/>
  <c r="CT32" i="10"/>
  <c r="CT39" i="10" s="1"/>
  <c r="CW31" i="10"/>
  <c r="CV31" i="10"/>
  <c r="CU31" i="10"/>
  <c r="CU40" i="10" s="1"/>
  <c r="CT31" i="10"/>
  <c r="CD21" i="10"/>
  <c r="EL24" i="10"/>
  <c r="EK24" i="10"/>
  <c r="EJ24" i="10"/>
  <c r="EI24" i="10"/>
  <c r="EH24" i="10"/>
  <c r="EG24" i="10"/>
  <c r="EB24" i="10"/>
  <c r="EA24" i="10"/>
  <c r="DZ24" i="10"/>
  <c r="DY24" i="10"/>
  <c r="DX24" i="10"/>
  <c r="DV24" i="10"/>
  <c r="DU24" i="10"/>
  <c r="DT24" i="10"/>
  <c r="DS24" i="10"/>
  <c r="DR24" i="10"/>
  <c r="DQ24" i="10"/>
  <c r="DP24" i="10"/>
  <c r="DO24" i="10"/>
  <c r="DN24" i="10"/>
  <c r="DM24" i="10"/>
  <c r="DL24" i="10"/>
  <c r="DK24" i="10"/>
  <c r="DJ24" i="10"/>
  <c r="DI24" i="10"/>
  <c r="DG24" i="10"/>
  <c r="DF24" i="10"/>
  <c r="DE24" i="10"/>
  <c r="DD24" i="10"/>
  <c r="DH24" i="10" s="1"/>
  <c r="DB24" i="10"/>
  <c r="DA24" i="10"/>
  <c r="CZ24" i="10"/>
  <c r="CY24" i="10"/>
  <c r="DC24" i="10" s="1"/>
  <c r="CW24" i="10"/>
  <c r="CV24" i="10"/>
  <c r="CU24" i="10"/>
  <c r="CT24" i="10"/>
  <c r="CX24" i="10" s="1"/>
  <c r="CR24" i="10"/>
  <c r="CQ24" i="10"/>
  <c r="CP24" i="10"/>
  <c r="CO24" i="10"/>
  <c r="CS24" i="10" s="1"/>
  <c r="CM24" i="10"/>
  <c r="CL24" i="10"/>
  <c r="CK24" i="10"/>
  <c r="CJ24" i="10"/>
  <c r="CN24" i="10" s="1"/>
  <c r="CH24" i="10"/>
  <c r="CG24" i="10"/>
  <c r="CF24" i="10"/>
  <c r="CE24" i="10"/>
  <c r="CI24" i="10" s="1"/>
  <c r="EL23" i="10"/>
  <c r="EK23" i="10"/>
  <c r="EJ23" i="10"/>
  <c r="EI23" i="10"/>
  <c r="EH23" i="10"/>
  <c r="EG23" i="10"/>
  <c r="EF23" i="10"/>
  <c r="EE23" i="10"/>
  <c r="ED23" i="10"/>
  <c r="EC23" i="10"/>
  <c r="EB23" i="10"/>
  <c r="EA23" i="10"/>
  <c r="DZ23" i="10"/>
  <c r="DZ22" i="10" s="1"/>
  <c r="DZ26" i="5" s="1"/>
  <c r="DY23" i="10"/>
  <c r="DX23" i="10"/>
  <c r="DW23" i="10"/>
  <c r="DV23" i="10"/>
  <c r="DT22" i="10" s="1"/>
  <c r="DU23" i="10"/>
  <c r="DT23" i="10"/>
  <c r="DS23" i="10"/>
  <c r="DR23" i="10"/>
  <c r="DQ23" i="10"/>
  <c r="DP23" i="10"/>
  <c r="DO23" i="10"/>
  <c r="DN23" i="10"/>
  <c r="DM23" i="10"/>
  <c r="DL23" i="10"/>
  <c r="DK23" i="10"/>
  <c r="DJ23" i="10"/>
  <c r="DI23" i="10"/>
  <c r="CP23" i="10"/>
  <c r="CL23" i="10"/>
  <c r="EK22" i="10"/>
  <c r="EL22" i="10" s="1"/>
  <c r="EI22" i="10"/>
  <c r="EF22" i="10"/>
  <c r="EG22" i="10" s="1"/>
  <c r="EE22" i="10"/>
  <c r="ED22" i="10"/>
  <c r="DO22" i="10"/>
  <c r="DK22" i="10"/>
  <c r="DB22" i="10"/>
  <c r="DC22" i="10" s="1"/>
  <c r="DA22" i="10"/>
  <c r="CZ22" i="10"/>
  <c r="CY22" i="10"/>
  <c r="CW22" i="10"/>
  <c r="CX22" i="10" s="1"/>
  <c r="CV22" i="10"/>
  <c r="CU22" i="10"/>
  <c r="CT22" i="10"/>
  <c r="CR22" i="10"/>
  <c r="CS22" i="10" s="1"/>
  <c r="CQ22" i="10"/>
  <c r="CP22" i="10"/>
  <c r="CO22" i="10"/>
  <c r="CM22" i="10"/>
  <c r="CN22" i="10" s="1"/>
  <c r="CL22" i="10"/>
  <c r="CK22" i="10"/>
  <c r="CJ22" i="10"/>
  <c r="CH22" i="10"/>
  <c r="CI22" i="10" s="1"/>
  <c r="CG22" i="10"/>
  <c r="CF22" i="10"/>
  <c r="CE22" i="10"/>
  <c r="DG21" i="10"/>
  <c r="DH21" i="10" s="1"/>
  <c r="DE21" i="10"/>
  <c r="DB21" i="10"/>
  <c r="DC21" i="10" s="1"/>
  <c r="DA21" i="10"/>
  <c r="CZ21" i="10"/>
  <c r="CY21" i="10"/>
  <c r="CW21" i="10"/>
  <c r="CX21" i="10" s="1"/>
  <c r="CV21" i="10"/>
  <c r="CU21" i="10"/>
  <c r="CT21" i="10"/>
  <c r="CR21" i="10"/>
  <c r="CQ21" i="10"/>
  <c r="CP21" i="10"/>
  <c r="CO21" i="10"/>
  <c r="CN21" i="10"/>
  <c r="CM21" i="10"/>
  <c r="CL21" i="10"/>
  <c r="CK21" i="10"/>
  <c r="CJ21" i="10"/>
  <c r="CI21" i="10"/>
  <c r="CH21" i="10"/>
  <c r="CG21" i="10"/>
  <c r="CF21" i="10"/>
  <c r="CE21" i="10"/>
  <c r="DV20" i="10"/>
  <c r="DW20" i="10" s="1"/>
  <c r="DU20" i="10"/>
  <c r="DT20" i="10"/>
  <c r="DS20" i="10"/>
  <c r="DQ20" i="10"/>
  <c r="DR20" i="10" s="1"/>
  <c r="DP20" i="10"/>
  <c r="DO20" i="10"/>
  <c r="DN20" i="10"/>
  <c r="DL20" i="10"/>
  <c r="DM20" i="10" s="1"/>
  <c r="DK20" i="10"/>
  <c r="DJ20" i="10"/>
  <c r="DI20" i="10"/>
  <c r="DG20" i="10"/>
  <c r="DH20" i="10" s="1"/>
  <c r="DF20" i="10"/>
  <c r="DE20" i="10"/>
  <c r="DD20" i="10"/>
  <c r="DB20" i="10"/>
  <c r="DC20" i="10" s="1"/>
  <c r="DA20" i="10"/>
  <c r="CZ20" i="10"/>
  <c r="CY20" i="10"/>
  <c r="CW20" i="10"/>
  <c r="CX20" i="10" s="1"/>
  <c r="CV20" i="10"/>
  <c r="CU20" i="10"/>
  <c r="CT20" i="10"/>
  <c r="CR20" i="10"/>
  <c r="CQ20" i="10"/>
  <c r="CP20" i="10"/>
  <c r="CO20" i="10"/>
  <c r="CM20" i="10"/>
  <c r="CL20" i="10"/>
  <c r="CK20" i="10"/>
  <c r="CJ20" i="10"/>
  <c r="CH20" i="10"/>
  <c r="CG20" i="10"/>
  <c r="CF20" i="10"/>
  <c r="CE20" i="10"/>
  <c r="DG17" i="10"/>
  <c r="DF17" i="10"/>
  <c r="DE17" i="10"/>
  <c r="DD17" i="10"/>
  <c r="DB17" i="10"/>
  <c r="DA17" i="10"/>
  <c r="CZ17" i="10"/>
  <c r="CY17" i="10"/>
  <c r="DV17" i="10"/>
  <c r="DU17" i="10"/>
  <c r="DT17" i="10"/>
  <c r="DT16" i="10" s="1"/>
  <c r="DS17" i="10"/>
  <c r="DQ17" i="10"/>
  <c r="DP17" i="10"/>
  <c r="DO17" i="10"/>
  <c r="DN17" i="10"/>
  <c r="DL17" i="10"/>
  <c r="DK17" i="10"/>
  <c r="DJ17" i="10"/>
  <c r="DI17" i="10"/>
  <c r="CW17" i="10"/>
  <c r="CV17" i="10"/>
  <c r="CU17" i="10"/>
  <c r="CT17" i="10"/>
  <c r="CR17" i="10"/>
  <c r="CQ17" i="10"/>
  <c r="CP17" i="10"/>
  <c r="CO17" i="10"/>
  <c r="CM17" i="10"/>
  <c r="CL17" i="10"/>
  <c r="CK17" i="10"/>
  <c r="CJ17" i="10"/>
  <c r="CH17" i="10"/>
  <c r="CG17" i="10"/>
  <c r="CF17" i="10"/>
  <c r="CE17" i="10"/>
  <c r="CX13" i="10"/>
  <c r="DO11" i="10"/>
  <c r="DP10" i="10" s="1"/>
  <c r="DP13" i="10" s="1"/>
  <c r="DN11" i="10"/>
  <c r="DO10" i="10" s="1"/>
  <c r="DL11" i="10"/>
  <c r="DJ11" i="10"/>
  <c r="DK10" i="10" s="1"/>
  <c r="DK13" i="10" s="1"/>
  <c r="DI11" i="10"/>
  <c r="DJ10" i="10" s="1"/>
  <c r="DG11" i="10"/>
  <c r="DF11" i="10"/>
  <c r="DG10" i="10" s="1"/>
  <c r="DE11" i="10"/>
  <c r="DF10" i="10" s="1"/>
  <c r="DD11" i="10"/>
  <c r="DE10" i="10" s="1"/>
  <c r="DB11" i="10"/>
  <c r="DA11" i="10"/>
  <c r="DB10" i="10" s="1"/>
  <c r="CZ11" i="10"/>
  <c r="DA10" i="10" s="1"/>
  <c r="CY11" i="10"/>
  <c r="CW11" i="10"/>
  <c r="CV11" i="10"/>
  <c r="CW10" i="10" s="1"/>
  <c r="CU11" i="10"/>
  <c r="CV10" i="10" s="1"/>
  <c r="CT11" i="10"/>
  <c r="CU10" i="10" s="1"/>
  <c r="CR11" i="10"/>
  <c r="CQ11" i="10"/>
  <c r="CP11" i="10"/>
  <c r="CQ10" i="10" s="1"/>
  <c r="CO11" i="10"/>
  <c r="CP10" i="10" s="1"/>
  <c r="CM11" i="10"/>
  <c r="CL11" i="10"/>
  <c r="CM10" i="10" s="1"/>
  <c r="CK11" i="10"/>
  <c r="CL10" i="10" s="1"/>
  <c r="CJ11" i="10"/>
  <c r="CK10" i="10" s="1"/>
  <c r="CH11" i="10"/>
  <c r="CG11" i="10"/>
  <c r="CH10" i="10" s="1"/>
  <c r="CF11" i="10"/>
  <c r="CG10" i="10" s="1"/>
  <c r="CE11" i="10"/>
  <c r="CC11" i="10"/>
  <c r="CB11" i="10"/>
  <c r="CC10" i="10" s="1"/>
  <c r="CA11" i="10"/>
  <c r="CB10" i="10" s="1"/>
  <c r="BZ11" i="10"/>
  <c r="CA10" i="10" s="1"/>
  <c r="BX11" i="10"/>
  <c r="BW11" i="10"/>
  <c r="BV11" i="10"/>
  <c r="BW10" i="10" s="1"/>
  <c r="BU11" i="10"/>
  <c r="BV10" i="10" s="1"/>
  <c r="BS11" i="10"/>
  <c r="BR11" i="10"/>
  <c r="BS10" i="10" s="1"/>
  <c r="BQ11" i="10"/>
  <c r="BR10" i="10" s="1"/>
  <c r="BP11" i="10"/>
  <c r="BQ10" i="10" s="1"/>
  <c r="BN11" i="10"/>
  <c r="BM11" i="10"/>
  <c r="BN10" i="10" s="1"/>
  <c r="BL11" i="10"/>
  <c r="BM10" i="10" s="1"/>
  <c r="BK11" i="10"/>
  <c r="BI11" i="10"/>
  <c r="BH11" i="10"/>
  <c r="BI10" i="10" s="1"/>
  <c r="BG11" i="10"/>
  <c r="BH10" i="10" s="1"/>
  <c r="BF11" i="10"/>
  <c r="BG10" i="10" s="1"/>
  <c r="BD11" i="10"/>
  <c r="BC11" i="10"/>
  <c r="BB11" i="10"/>
  <c r="BC10" i="10" s="1"/>
  <c r="BA11" i="10"/>
  <c r="BB10" i="10" s="1"/>
  <c r="AY11" i="10"/>
  <c r="AX11" i="10"/>
  <c r="AY10" i="10" s="1"/>
  <c r="AW11" i="10"/>
  <c r="AX10" i="10" s="1"/>
  <c r="AV11" i="10"/>
  <c r="AW10" i="10" s="1"/>
  <c r="AT11" i="10"/>
  <c r="AS11" i="10"/>
  <c r="AR11" i="10"/>
  <c r="AP11" i="10"/>
  <c r="AO11" i="10"/>
  <c r="AN11" i="10"/>
  <c r="AM11" i="10"/>
  <c r="AK11" i="10"/>
  <c r="AJ11" i="10"/>
  <c r="AI11" i="10"/>
  <c r="AH11" i="10"/>
  <c r="AF11" i="10"/>
  <c r="AE11" i="10"/>
  <c r="AD11" i="10"/>
  <c r="AC11" i="10"/>
  <c r="DV11" i="10"/>
  <c r="DU11" i="10"/>
  <c r="DV10" i="10" s="1"/>
  <c r="DT11" i="10"/>
  <c r="DU10" i="10" s="1"/>
  <c r="DS11" i="10"/>
  <c r="DT10" i="10" s="1"/>
  <c r="DQ11" i="10"/>
  <c r="DQ10" i="10"/>
  <c r="DL10" i="10"/>
  <c r="CZ10" i="10"/>
  <c r="CR10" i="10"/>
  <c r="CF10" i="10"/>
  <c r="BX10" i="10"/>
  <c r="BL10" i="10"/>
  <c r="BD10" i="10"/>
  <c r="AZ10" i="10"/>
  <c r="AV10" i="10"/>
  <c r="EL4" i="10"/>
  <c r="EK4" i="10"/>
  <c r="EJ4" i="10"/>
  <c r="EI4" i="10"/>
  <c r="EH4" i="10"/>
  <c r="EG4" i="10"/>
  <c r="EF4" i="10"/>
  <c r="EE4" i="10"/>
  <c r="ED4" i="10"/>
  <c r="EC4" i="10"/>
  <c r="EB4" i="10"/>
  <c r="EA4" i="10"/>
  <c r="DZ4" i="10"/>
  <c r="DY4" i="10"/>
  <c r="DX4" i="10"/>
  <c r="DW4" i="10"/>
  <c r="DV4" i="10"/>
  <c r="DU4" i="10"/>
  <c r="DT4" i="10"/>
  <c r="DS4" i="10"/>
  <c r="DR4" i="10"/>
  <c r="DQ4" i="10"/>
  <c r="DP4" i="10"/>
  <c r="DO4" i="10"/>
  <c r="DN4" i="10"/>
  <c r="DM4" i="10"/>
  <c r="DI3" i="10" s="1"/>
  <c r="DL4" i="10"/>
  <c r="DJ4" i="10"/>
  <c r="DI4" i="10"/>
  <c r="DH4" i="10"/>
  <c r="DD3" i="10" s="1"/>
  <c r="DG4" i="10"/>
  <c r="DF4" i="10"/>
  <c r="DE4" i="10"/>
  <c r="DD4" i="10"/>
  <c r="DC4" i="10"/>
  <c r="CY3" i="10" s="1"/>
  <c r="DB4" i="10"/>
  <c r="DA4" i="10"/>
  <c r="CZ4" i="10"/>
  <c r="CY4" i="10"/>
  <c r="CX4" i="10"/>
  <c r="CT3" i="10" s="1"/>
  <c r="CW4" i="10"/>
  <c r="CV4" i="10"/>
  <c r="CU4" i="10"/>
  <c r="CT4" i="10"/>
  <c r="CO3" i="10"/>
  <c r="CJ3" i="10"/>
  <c r="CE3" i="10"/>
  <c r="BZ3" i="10"/>
  <c r="BU3" i="10"/>
  <c r="BP3" i="10"/>
  <c r="BK3" i="10"/>
  <c r="BF3" i="10"/>
  <c r="BA3" i="10"/>
  <c r="AV3" i="10"/>
  <c r="EL81" i="8"/>
  <c r="EK81" i="8"/>
  <c r="EJ81" i="8"/>
  <c r="EI81" i="8"/>
  <c r="EH81" i="8"/>
  <c r="EG81" i="8"/>
  <c r="EF81" i="8"/>
  <c r="EE81" i="8"/>
  <c r="ED81" i="8"/>
  <c r="EC81" i="8"/>
  <c r="EB81" i="8"/>
  <c r="EA81" i="8"/>
  <c r="DZ81" i="8"/>
  <c r="DY81" i="8"/>
  <c r="DX81" i="8"/>
  <c r="DW81" i="8"/>
  <c r="DV81" i="8"/>
  <c r="DU81" i="8"/>
  <c r="DT81" i="8"/>
  <c r="DS81" i="8"/>
  <c r="DR81" i="8"/>
  <c r="DQ81" i="8"/>
  <c r="DV72" i="8"/>
  <c r="DU72" i="8"/>
  <c r="DT72" i="8"/>
  <c r="DS72" i="8"/>
  <c r="DQ72" i="8"/>
  <c r="DP72" i="8"/>
  <c r="DO72" i="8"/>
  <c r="DN72" i="8"/>
  <c r="DL72" i="8"/>
  <c r="DK72" i="8"/>
  <c r="DK73" i="8" s="1"/>
  <c r="DJ72" i="8"/>
  <c r="DJ73" i="8" s="1"/>
  <c r="DI72" i="8"/>
  <c r="DB72" i="8"/>
  <c r="DA72" i="8"/>
  <c r="CZ72" i="8"/>
  <c r="CY72" i="8"/>
  <c r="CW72" i="8"/>
  <c r="CV72" i="8"/>
  <c r="CU72" i="8"/>
  <c r="CT72" i="8"/>
  <c r="CR72" i="8"/>
  <c r="CQ72" i="8"/>
  <c r="CP72" i="8"/>
  <c r="CO72" i="8"/>
  <c r="CM72" i="8"/>
  <c r="CL72" i="8"/>
  <c r="CK72" i="8"/>
  <c r="CJ72" i="8"/>
  <c r="CH72" i="8"/>
  <c r="CG72" i="8"/>
  <c r="CF72" i="8"/>
  <c r="CE72" i="8"/>
  <c r="CC72" i="8"/>
  <c r="CB72" i="8"/>
  <c r="CA72" i="8"/>
  <c r="BZ72" i="8"/>
  <c r="BX72" i="8"/>
  <c r="BW72" i="8"/>
  <c r="BV72" i="8"/>
  <c r="BU72" i="8"/>
  <c r="BS72" i="8"/>
  <c r="BR72" i="8"/>
  <c r="BQ72" i="8"/>
  <c r="BP72" i="8"/>
  <c r="BN72" i="8"/>
  <c r="BM72" i="8"/>
  <c r="BL72" i="8"/>
  <c r="BK72" i="8"/>
  <c r="BI72" i="8"/>
  <c r="BH72" i="8"/>
  <c r="BG72" i="8"/>
  <c r="BF72" i="8"/>
  <c r="BD72" i="8"/>
  <c r="BC72" i="8"/>
  <c r="BB72" i="8"/>
  <c r="BA72" i="8"/>
  <c r="AY72" i="8"/>
  <c r="AX72" i="8"/>
  <c r="AW72" i="8"/>
  <c r="AV72" i="8"/>
  <c r="AT72" i="8"/>
  <c r="AS72" i="8"/>
  <c r="AS73" i="8" s="1"/>
  <c r="AR72" i="8"/>
  <c r="AO72" i="8"/>
  <c r="AN72" i="8"/>
  <c r="AM72" i="8"/>
  <c r="AJ72" i="8"/>
  <c r="AI72" i="8"/>
  <c r="AH72" i="8"/>
  <c r="AE72" i="8"/>
  <c r="AD72" i="8"/>
  <c r="AC72" i="8"/>
  <c r="Z72" i="8"/>
  <c r="Y72" i="8"/>
  <c r="Y73" i="8" s="1"/>
  <c r="X72" i="8"/>
  <c r="U72" i="8"/>
  <c r="T72" i="8"/>
  <c r="S72" i="8"/>
  <c r="P72" i="8"/>
  <c r="O72" i="8"/>
  <c r="N72" i="8"/>
  <c r="K72" i="8"/>
  <c r="J72" i="8"/>
  <c r="I72" i="8"/>
  <c r="F72" i="8"/>
  <c r="E72" i="8"/>
  <c r="D72" i="8"/>
  <c r="BS63" i="8"/>
  <c r="BR63" i="8"/>
  <c r="BQ63" i="8"/>
  <c r="BP63" i="8"/>
  <c r="BO63" i="8"/>
  <c r="BN63" i="8"/>
  <c r="BM63" i="8"/>
  <c r="BL63" i="8"/>
  <c r="BK63" i="8"/>
  <c r="DI54" i="8"/>
  <c r="DI55" i="8" s="1"/>
  <c r="DB54" i="8"/>
  <c r="DA54" i="8"/>
  <c r="CZ54" i="8"/>
  <c r="CY54" i="8"/>
  <c r="CW54" i="8"/>
  <c r="CV54" i="8"/>
  <c r="CU54" i="8"/>
  <c r="CT54" i="8"/>
  <c r="CR54" i="8"/>
  <c r="CQ54" i="8"/>
  <c r="CP54" i="8"/>
  <c r="CO54" i="8"/>
  <c r="CM54" i="8"/>
  <c r="CL54" i="8"/>
  <c r="CK54" i="8"/>
  <c r="CP55" i="8" s="1"/>
  <c r="CJ54" i="8"/>
  <c r="CH54" i="8"/>
  <c r="CG54" i="8"/>
  <c r="CF54" i="8"/>
  <c r="CE54" i="8"/>
  <c r="CC54" i="8"/>
  <c r="CB54" i="8"/>
  <c r="CA54" i="8"/>
  <c r="BZ54" i="8"/>
  <c r="BX54" i="8"/>
  <c r="BW54" i="8"/>
  <c r="BV54" i="8"/>
  <c r="BU54" i="8"/>
  <c r="BS54" i="8"/>
  <c r="BR54" i="8"/>
  <c r="BQ54" i="8"/>
  <c r="BP54" i="8"/>
  <c r="BN54" i="8"/>
  <c r="BM54" i="8"/>
  <c r="BL54" i="8"/>
  <c r="BK54" i="8"/>
  <c r="BI54" i="8"/>
  <c r="BH54" i="8"/>
  <c r="BG54" i="8"/>
  <c r="BF54" i="8"/>
  <c r="BD54" i="8"/>
  <c r="BC54" i="8"/>
  <c r="BB54" i="8"/>
  <c r="BA54" i="8"/>
  <c r="AY54" i="8"/>
  <c r="AX54" i="8"/>
  <c r="AW54" i="8"/>
  <c r="AV54" i="8"/>
  <c r="AT54" i="8"/>
  <c r="AS54" i="8"/>
  <c r="AR54" i="8"/>
  <c r="AO54" i="8"/>
  <c r="AN54" i="8"/>
  <c r="AM54" i="8"/>
  <c r="AM55" i="8" s="1"/>
  <c r="AJ54" i="8"/>
  <c r="AI54" i="8"/>
  <c r="AH54" i="8"/>
  <c r="AE54" i="8"/>
  <c r="AE55" i="8" s="1"/>
  <c r="AD54" i="8"/>
  <c r="AC54" i="8"/>
  <c r="Z54" i="8"/>
  <c r="Y54" i="8"/>
  <c r="X54" i="8"/>
  <c r="U54" i="8"/>
  <c r="T54" i="8"/>
  <c r="S54" i="8"/>
  <c r="S55" i="8" s="1"/>
  <c r="P54" i="8"/>
  <c r="O54" i="8"/>
  <c r="N54" i="8"/>
  <c r="K54" i="8"/>
  <c r="K55" i="8" s="1"/>
  <c r="J54" i="8"/>
  <c r="I54" i="8"/>
  <c r="F54" i="8"/>
  <c r="E54" i="8"/>
  <c r="D54" i="8"/>
  <c r="EL52" i="8"/>
  <c r="EK52" i="8"/>
  <c r="EJ52" i="8"/>
  <c r="EI52" i="8"/>
  <c r="EH52" i="8"/>
  <c r="EG52" i="8"/>
  <c r="EF52" i="8"/>
  <c r="EE52" i="8"/>
  <c r="ED52" i="8"/>
  <c r="EC52" i="8"/>
  <c r="EB52" i="8"/>
  <c r="EA52" i="8"/>
  <c r="DZ52" i="8"/>
  <c r="DY52" i="8"/>
  <c r="DX52" i="8"/>
  <c r="DW52" i="8"/>
  <c r="DV52" i="8"/>
  <c r="DU52" i="8"/>
  <c r="DT52" i="8"/>
  <c r="DS52" i="8"/>
  <c r="DR52" i="8"/>
  <c r="DQ52" i="8"/>
  <c r="DP52" i="8"/>
  <c r="DO52" i="8"/>
  <c r="DN52" i="8"/>
  <c r="DM52" i="8"/>
  <c r="DL52" i="8"/>
  <c r="DK52" i="8"/>
  <c r="DJ52" i="8"/>
  <c r="DI52" i="8"/>
  <c r="DC52" i="8"/>
  <c r="EL50" i="8"/>
  <c r="EG50" i="8"/>
  <c r="EB50" i="8"/>
  <c r="DW50" i="8"/>
  <c r="DR50" i="8"/>
  <c r="DQ50" i="8"/>
  <c r="DP50" i="8"/>
  <c r="DO50" i="8"/>
  <c r="DN50" i="8"/>
  <c r="DM50" i="8"/>
  <c r="DL50" i="8"/>
  <c r="DK50" i="8"/>
  <c r="DJ50" i="8"/>
  <c r="DI50" i="8"/>
  <c r="DV49" i="8"/>
  <c r="EA49" i="8" s="1"/>
  <c r="EF49" i="8" s="1"/>
  <c r="DU49" i="8"/>
  <c r="DU50" i="8" s="1"/>
  <c r="DT49" i="8"/>
  <c r="DT50" i="8" s="1"/>
  <c r="DS49" i="8"/>
  <c r="DX49" i="8" s="1"/>
  <c r="DJ37" i="8"/>
  <c r="DI36" i="8"/>
  <c r="DI37" i="8" s="1"/>
  <c r="DB36" i="8"/>
  <c r="DA36" i="8"/>
  <c r="CZ36" i="8"/>
  <c r="CY36" i="8"/>
  <c r="CW36" i="8"/>
  <c r="CV36" i="8"/>
  <c r="CU36" i="8"/>
  <c r="CT36" i="8"/>
  <c r="CR36" i="8"/>
  <c r="CQ36" i="8"/>
  <c r="CP36" i="8"/>
  <c r="CO36" i="8"/>
  <c r="CT37" i="8" s="1"/>
  <c r="CM36" i="8"/>
  <c r="CL36" i="8"/>
  <c r="CK36" i="8"/>
  <c r="CP37" i="8" s="1"/>
  <c r="CJ36" i="8"/>
  <c r="CH36" i="8"/>
  <c r="CG36" i="8"/>
  <c r="CF36" i="8"/>
  <c r="CE36" i="8"/>
  <c r="CC36" i="8"/>
  <c r="CB36" i="8"/>
  <c r="CA36" i="8"/>
  <c r="BZ36" i="8"/>
  <c r="BX36" i="8"/>
  <c r="BW36" i="8"/>
  <c r="BV36" i="8"/>
  <c r="BU36" i="8"/>
  <c r="BS36" i="8"/>
  <c r="BR36" i="8"/>
  <c r="BQ36" i="8"/>
  <c r="BP36" i="8"/>
  <c r="BN36" i="8"/>
  <c r="BM36" i="8"/>
  <c r="BL36" i="8"/>
  <c r="BK36" i="8"/>
  <c r="BI36" i="8"/>
  <c r="BN37" i="8" s="1"/>
  <c r="BH36" i="8"/>
  <c r="BG36" i="8"/>
  <c r="BF36" i="8"/>
  <c r="BD36" i="8"/>
  <c r="BC36" i="8"/>
  <c r="BB36" i="8"/>
  <c r="BA36" i="8"/>
  <c r="AY36" i="8"/>
  <c r="AX36" i="8"/>
  <c r="AW36" i="8"/>
  <c r="AV36" i="8"/>
  <c r="AT36" i="8"/>
  <c r="AS36" i="8"/>
  <c r="AR36" i="8"/>
  <c r="AO36" i="8"/>
  <c r="AN36" i="8"/>
  <c r="AM36" i="8"/>
  <c r="AJ36" i="8"/>
  <c r="AI36" i="8"/>
  <c r="AH36" i="8"/>
  <c r="AE36" i="8"/>
  <c r="AD36" i="8"/>
  <c r="AC36" i="8"/>
  <c r="Z36" i="8"/>
  <c r="Y36" i="8"/>
  <c r="X36" i="8"/>
  <c r="U36" i="8"/>
  <c r="T36" i="8"/>
  <c r="S36" i="8"/>
  <c r="P36" i="8"/>
  <c r="O36" i="8"/>
  <c r="N36" i="8"/>
  <c r="K36" i="8"/>
  <c r="J36" i="8"/>
  <c r="I36" i="8"/>
  <c r="F36" i="8"/>
  <c r="E36" i="8"/>
  <c r="D36" i="8"/>
  <c r="DS63" i="8"/>
  <c r="DR27" i="8"/>
  <c r="DQ63" i="8"/>
  <c r="DO63" i="8"/>
  <c r="DL63" i="8"/>
  <c r="DI27" i="8"/>
  <c r="DI63" i="8" s="1"/>
  <c r="DB27" i="8"/>
  <c r="DA27" i="8"/>
  <c r="CZ27" i="8"/>
  <c r="CY27" i="8"/>
  <c r="CY63" i="8" s="1"/>
  <c r="CW27" i="8"/>
  <c r="CV27" i="8"/>
  <c r="CU27" i="8"/>
  <c r="CU63" i="8" s="1"/>
  <c r="CT27" i="8"/>
  <c r="CR27" i="8"/>
  <c r="CQ27" i="8"/>
  <c r="CQ63" i="8" s="1"/>
  <c r="CP27" i="8"/>
  <c r="CO27" i="8"/>
  <c r="CM27" i="8"/>
  <c r="CM63" i="8" s="1"/>
  <c r="CL27" i="8"/>
  <c r="CK27" i="8"/>
  <c r="CJ27" i="8"/>
  <c r="CH27" i="8"/>
  <c r="CG27" i="8"/>
  <c r="CF27" i="8"/>
  <c r="CE27" i="8"/>
  <c r="CE63" i="8" s="1"/>
  <c r="CC27" i="8"/>
  <c r="CB27" i="8"/>
  <c r="CA27" i="8"/>
  <c r="CA63" i="8" s="1"/>
  <c r="BZ27" i="8"/>
  <c r="BX27" i="8"/>
  <c r="BW27" i="8"/>
  <c r="BW63" i="8" s="1"/>
  <c r="BV27" i="8"/>
  <c r="BU27" i="8"/>
  <c r="BS27" i="8"/>
  <c r="BR27" i="8"/>
  <c r="BQ27" i="8"/>
  <c r="BP27" i="8"/>
  <c r="BN27" i="8"/>
  <c r="BM27" i="8"/>
  <c r="BL27" i="8"/>
  <c r="BK27" i="8"/>
  <c r="BI27" i="8"/>
  <c r="BH27" i="8"/>
  <c r="BG27" i="8"/>
  <c r="BG63" i="8" s="1"/>
  <c r="BF27" i="8"/>
  <c r="BD27" i="8"/>
  <c r="BC27" i="8"/>
  <c r="BC63" i="8" s="1"/>
  <c r="BB27" i="8"/>
  <c r="BA27" i="8"/>
  <c r="AY27" i="8"/>
  <c r="AX27" i="8"/>
  <c r="AW27" i="8"/>
  <c r="AV27" i="8"/>
  <c r="AT27" i="8"/>
  <c r="AS27" i="8"/>
  <c r="AR27" i="8"/>
  <c r="AR63" i="8" s="1"/>
  <c r="AO27" i="8"/>
  <c r="AN27" i="8"/>
  <c r="AN63" i="8" s="1"/>
  <c r="AM27" i="8"/>
  <c r="AM63" i="8" s="1"/>
  <c r="AJ27" i="8"/>
  <c r="AJ63" i="8" s="1"/>
  <c r="AI27" i="8"/>
  <c r="AI63" i="8" s="1"/>
  <c r="AH27" i="8"/>
  <c r="AE27" i="8"/>
  <c r="AD27" i="8"/>
  <c r="AC27" i="8"/>
  <c r="Z27" i="8"/>
  <c r="Y27" i="8"/>
  <c r="X27" i="8"/>
  <c r="U27" i="8"/>
  <c r="T27" i="8"/>
  <c r="S27" i="8"/>
  <c r="P27" i="8"/>
  <c r="O27" i="8"/>
  <c r="N27" i="8"/>
  <c r="K27" i="8"/>
  <c r="J27" i="8"/>
  <c r="I27" i="8"/>
  <c r="F27" i="8"/>
  <c r="E27" i="8"/>
  <c r="DB24" i="8"/>
  <c r="DA24" i="8"/>
  <c r="CZ24" i="8"/>
  <c r="CY24" i="8"/>
  <c r="CW24" i="8"/>
  <c r="CV24" i="8"/>
  <c r="CU24" i="8"/>
  <c r="CT24" i="8"/>
  <c r="CR24" i="8"/>
  <c r="CQ24" i="8"/>
  <c r="CP24" i="8"/>
  <c r="CO24" i="8"/>
  <c r="CM24" i="8"/>
  <c r="CL24" i="8"/>
  <c r="CK24" i="8"/>
  <c r="CJ24" i="8"/>
  <c r="CH24" i="8"/>
  <c r="CG24" i="8"/>
  <c r="CF24" i="8"/>
  <c r="CE24" i="8"/>
  <c r="CC24" i="8"/>
  <c r="CB24" i="8"/>
  <c r="CA24" i="8"/>
  <c r="BZ24" i="8"/>
  <c r="BX24" i="8"/>
  <c r="BW24" i="8"/>
  <c r="BV24" i="8"/>
  <c r="BU24" i="8"/>
  <c r="BS24" i="8"/>
  <c r="BR24" i="8"/>
  <c r="BQ24" i="8"/>
  <c r="BP24" i="8"/>
  <c r="BN24" i="8"/>
  <c r="BM24" i="8"/>
  <c r="BL24" i="8"/>
  <c r="BK24" i="8"/>
  <c r="BI24" i="8"/>
  <c r="BH24" i="8"/>
  <c r="BG24" i="8"/>
  <c r="BF24" i="8"/>
  <c r="BD24" i="8"/>
  <c r="BC24" i="8"/>
  <c r="BB24" i="8"/>
  <c r="BA24" i="8"/>
  <c r="AY24" i="8"/>
  <c r="AX24" i="8"/>
  <c r="AW24" i="8"/>
  <c r="AV24" i="8"/>
  <c r="DB23" i="8"/>
  <c r="DB29" i="8" s="1"/>
  <c r="DA23" i="8"/>
  <c r="CZ23" i="8"/>
  <c r="CY23" i="8"/>
  <c r="CW23" i="8"/>
  <c r="CV23" i="8"/>
  <c r="CU23" i="8"/>
  <c r="CT23" i="8"/>
  <c r="CR23" i="8"/>
  <c r="CQ23" i="8"/>
  <c r="CP23" i="8"/>
  <c r="CO23" i="8"/>
  <c r="CM23" i="8"/>
  <c r="CM29" i="8" s="1"/>
  <c r="CL23" i="8"/>
  <c r="CK23" i="8"/>
  <c r="CJ23" i="8"/>
  <c r="CH23" i="8"/>
  <c r="CH29" i="8" s="1"/>
  <c r="CG23" i="8"/>
  <c r="CF23" i="8"/>
  <c r="CE23" i="8"/>
  <c r="CC23" i="8"/>
  <c r="CC56" i="8" s="1"/>
  <c r="CB23" i="8"/>
  <c r="CA23" i="8"/>
  <c r="BZ23" i="8"/>
  <c r="BX23" i="8"/>
  <c r="BW23" i="8"/>
  <c r="BV23" i="8"/>
  <c r="BU23" i="8"/>
  <c r="BS23" i="8"/>
  <c r="BR23" i="8"/>
  <c r="BQ23" i="8"/>
  <c r="BP23" i="8"/>
  <c r="BN23" i="8"/>
  <c r="BN29" i="8" s="1"/>
  <c r="BM23" i="8"/>
  <c r="BL23" i="8"/>
  <c r="BK23" i="8"/>
  <c r="BI23" i="8"/>
  <c r="BH23" i="8"/>
  <c r="BG23" i="8"/>
  <c r="BF23" i="8"/>
  <c r="BD23" i="8"/>
  <c r="BC23" i="8"/>
  <c r="BB23" i="8"/>
  <c r="BA23" i="8"/>
  <c r="BA56" i="8" s="1"/>
  <c r="AY23" i="8"/>
  <c r="AX23" i="8"/>
  <c r="AW23" i="8"/>
  <c r="AV23" i="8"/>
  <c r="AT24" i="8"/>
  <c r="AS24" i="8"/>
  <c r="AR24" i="8"/>
  <c r="AO24" i="8"/>
  <c r="AN24" i="8"/>
  <c r="AM24" i="8"/>
  <c r="AJ24" i="8"/>
  <c r="AI24" i="8"/>
  <c r="AH24" i="8"/>
  <c r="AE24" i="8"/>
  <c r="AD24" i="8"/>
  <c r="AC24" i="8"/>
  <c r="Z24" i="8"/>
  <c r="Y24" i="8"/>
  <c r="X24" i="8"/>
  <c r="U24" i="8"/>
  <c r="T24" i="8"/>
  <c r="S24" i="8"/>
  <c r="P24" i="8"/>
  <c r="O24" i="8"/>
  <c r="N24" i="8"/>
  <c r="K24" i="8"/>
  <c r="J24" i="8"/>
  <c r="I24" i="8"/>
  <c r="F24" i="8"/>
  <c r="E24" i="8"/>
  <c r="D24" i="8"/>
  <c r="AT23" i="8"/>
  <c r="AT29" i="8" s="1"/>
  <c r="AS23" i="8"/>
  <c r="AR23" i="8"/>
  <c r="AO23" i="8"/>
  <c r="AN23" i="8"/>
  <c r="AN38" i="8" s="1"/>
  <c r="AM23" i="8"/>
  <c r="AJ23" i="8"/>
  <c r="AI23" i="8"/>
  <c r="AH23" i="8"/>
  <c r="AE23" i="8"/>
  <c r="AD23" i="8"/>
  <c r="AC23" i="8"/>
  <c r="Z23" i="8"/>
  <c r="Y23" i="8"/>
  <c r="X23" i="8"/>
  <c r="U23" i="8"/>
  <c r="T23" i="8"/>
  <c r="T38" i="8" s="1"/>
  <c r="S23" i="8"/>
  <c r="P23" i="8"/>
  <c r="O23" i="8"/>
  <c r="N23" i="8"/>
  <c r="N29" i="8" s="1"/>
  <c r="K23" i="8"/>
  <c r="J23" i="8"/>
  <c r="I23" i="8"/>
  <c r="F23" i="8"/>
  <c r="E23" i="8"/>
  <c r="D23" i="8"/>
  <c r="C22" i="8"/>
  <c r="DV24" i="8"/>
  <c r="DU24" i="8"/>
  <c r="DT24" i="8"/>
  <c r="DS24" i="8"/>
  <c r="DQ24" i="8"/>
  <c r="DP24" i="8"/>
  <c r="DO24" i="8"/>
  <c r="DN24" i="8"/>
  <c r="DL24" i="8"/>
  <c r="DK24" i="8"/>
  <c r="DJ24" i="8"/>
  <c r="DI24" i="8"/>
  <c r="DV23" i="8"/>
  <c r="DU23" i="8"/>
  <c r="DT23" i="8"/>
  <c r="DS23" i="8"/>
  <c r="DS38" i="8" s="1"/>
  <c r="DQ23" i="8"/>
  <c r="DP23" i="8"/>
  <c r="DO23" i="8"/>
  <c r="DN23" i="8"/>
  <c r="DL23" i="8"/>
  <c r="DK23" i="8"/>
  <c r="DJ23" i="8"/>
  <c r="DI23" i="8"/>
  <c r="C19" i="8"/>
  <c r="B19" i="8"/>
  <c r="C18" i="8"/>
  <c r="B18" i="8"/>
  <c r="DB5" i="8"/>
  <c r="DA5" i="8"/>
  <c r="CW5" i="8"/>
  <c r="CV5" i="8"/>
  <c r="CR5" i="8"/>
  <c r="CQ5" i="8"/>
  <c r="CM5" i="8"/>
  <c r="CL5" i="8"/>
  <c r="CH5" i="8"/>
  <c r="CG5" i="8"/>
  <c r="CE5" i="8"/>
  <c r="CI5" i="8" s="1"/>
  <c r="CC5" i="8"/>
  <c r="CB5" i="8"/>
  <c r="BX5" i="8"/>
  <c r="BW5" i="8"/>
  <c r="BS5" i="8"/>
  <c r="BR5" i="8"/>
  <c r="BN5" i="8"/>
  <c r="BM5" i="8"/>
  <c r="BI5" i="8"/>
  <c r="BH5" i="8"/>
  <c r="BF5" i="8"/>
  <c r="BJ5" i="8" s="1"/>
  <c r="BD5" i="8"/>
  <c r="BC5" i="8"/>
  <c r="AY5" i="8"/>
  <c r="AX5" i="8"/>
  <c r="AT5" i="8"/>
  <c r="AS5" i="8"/>
  <c r="AR5" i="8"/>
  <c r="AP5" i="8"/>
  <c r="AO5" i="8"/>
  <c r="AN5" i="8"/>
  <c r="AM5" i="8"/>
  <c r="AK5" i="8"/>
  <c r="AJ5" i="8"/>
  <c r="AI5" i="8"/>
  <c r="AH5" i="8"/>
  <c r="AF5" i="8"/>
  <c r="AE5" i="8"/>
  <c r="AD5" i="8"/>
  <c r="AC5" i="8"/>
  <c r="AA5" i="8"/>
  <c r="Z5" i="8"/>
  <c r="Y5" i="8"/>
  <c r="X5" i="8"/>
  <c r="V5" i="8"/>
  <c r="U5" i="8"/>
  <c r="T5" i="8"/>
  <c r="S5" i="8"/>
  <c r="Q5" i="8"/>
  <c r="P5" i="8"/>
  <c r="O5" i="8"/>
  <c r="N5" i="8"/>
  <c r="L5" i="8"/>
  <c r="K5" i="8"/>
  <c r="J5" i="8"/>
  <c r="I5" i="8"/>
  <c r="G5" i="8"/>
  <c r="F5" i="8"/>
  <c r="E5" i="8"/>
  <c r="EL4" i="8"/>
  <c r="EK4" i="8"/>
  <c r="EJ4" i="8"/>
  <c r="EI4" i="8"/>
  <c r="EH4" i="8"/>
  <c r="EG4" i="8"/>
  <c r="EF4" i="8"/>
  <c r="EE4" i="8"/>
  <c r="ED4" i="8"/>
  <c r="EC4" i="8"/>
  <c r="EB4" i="8"/>
  <c r="EA4" i="8"/>
  <c r="DZ4" i="8"/>
  <c r="DY4" i="8"/>
  <c r="DX4" i="8"/>
  <c r="DW4" i="8"/>
  <c r="DV4" i="8"/>
  <c r="DU4" i="8"/>
  <c r="DT4" i="8"/>
  <c r="DS4" i="8"/>
  <c r="DR4" i="8"/>
  <c r="DQ4" i="8"/>
  <c r="DP4" i="8"/>
  <c r="DO4" i="8"/>
  <c r="DN4" i="8"/>
  <c r="DM4" i="8"/>
  <c r="DI3" i="8" s="1"/>
  <c r="DL4" i="8"/>
  <c r="DK4" i="8"/>
  <c r="DJ4" i="8"/>
  <c r="DI4" i="8"/>
  <c r="DC4" i="8"/>
  <c r="CY3" i="8" s="1"/>
  <c r="CZ5" i="8" s="1"/>
  <c r="DB4" i="8"/>
  <c r="DA4" i="8"/>
  <c r="CZ4" i="8"/>
  <c r="CY4" i="8"/>
  <c r="CX4" i="8"/>
  <c r="CT3" i="8" s="1"/>
  <c r="CW4" i="8"/>
  <c r="CV4" i="8"/>
  <c r="CU4" i="8"/>
  <c r="CT4" i="8"/>
  <c r="CO3" i="8"/>
  <c r="CP5" i="8" s="1"/>
  <c r="CJ3" i="8"/>
  <c r="CJ5" i="8" s="1"/>
  <c r="CN5" i="8" s="1"/>
  <c r="CE3" i="8"/>
  <c r="CF5" i="8" s="1"/>
  <c r="BZ3" i="8"/>
  <c r="CA5" i="8" s="1"/>
  <c r="BU3" i="8"/>
  <c r="BV5" i="8" s="1"/>
  <c r="BP3" i="8"/>
  <c r="BP5" i="8" s="1"/>
  <c r="BT5" i="8" s="1"/>
  <c r="BK3" i="8"/>
  <c r="BL5" i="8" s="1"/>
  <c r="BF3" i="8"/>
  <c r="BG5" i="8" s="1"/>
  <c r="BA3" i="8"/>
  <c r="BB5" i="8" s="1"/>
  <c r="AV3" i="8"/>
  <c r="AW5" i="8" s="1"/>
  <c r="AZ5" i="8" s="1"/>
  <c r="DU412" i="7"/>
  <c r="DT412" i="7"/>
  <c r="DY412" i="7" s="1"/>
  <c r="ED412" i="7" s="1"/>
  <c r="EI412" i="7" s="1"/>
  <c r="DS412" i="7"/>
  <c r="CZ412" i="7"/>
  <c r="CY412" i="7"/>
  <c r="CW412" i="7"/>
  <c r="CV412" i="7"/>
  <c r="CU412" i="7"/>
  <c r="CT412" i="7"/>
  <c r="EF412" i="7"/>
  <c r="EK412" i="7" s="1"/>
  <c r="EA412" i="7"/>
  <c r="DZ412" i="7"/>
  <c r="EE412" i="7" s="1"/>
  <c r="EJ412" i="7" s="1"/>
  <c r="DX412" i="7"/>
  <c r="EC412" i="7" s="1"/>
  <c r="EH412" i="7" s="1"/>
  <c r="DA411" i="7"/>
  <c r="DB411" i="7" s="1"/>
  <c r="DC411" i="7" s="1"/>
  <c r="CX411" i="7"/>
  <c r="CS411" i="7"/>
  <c r="DU409" i="7"/>
  <c r="DT409" i="7"/>
  <c r="DY409" i="7" s="1"/>
  <c r="ED409" i="7" s="1"/>
  <c r="EI409" i="7" s="1"/>
  <c r="DS409" i="7"/>
  <c r="EA409" i="7"/>
  <c r="EF409" i="7" s="1"/>
  <c r="EK409" i="7" s="1"/>
  <c r="DZ409" i="7"/>
  <c r="EE409" i="7" s="1"/>
  <c r="EJ409" i="7" s="1"/>
  <c r="DX409" i="7"/>
  <c r="EC409" i="7" s="1"/>
  <c r="EH409" i="7" s="1"/>
  <c r="CZ408" i="7"/>
  <c r="CY408" i="7"/>
  <c r="DD408" i="7" s="1"/>
  <c r="CX408" i="7"/>
  <c r="CW408" i="7"/>
  <c r="DB408" i="7" s="1"/>
  <c r="CV408" i="7"/>
  <c r="DA408" i="7" s="1"/>
  <c r="DF408" i="7" s="1"/>
  <c r="CU408" i="7"/>
  <c r="CT408" i="7"/>
  <c r="CS408" i="7"/>
  <c r="CR408" i="7"/>
  <c r="CQ408" i="7"/>
  <c r="CP408" i="7"/>
  <c r="CO408" i="7"/>
  <c r="R402" i="7"/>
  <c r="CL401" i="7"/>
  <c r="CK401" i="7"/>
  <c r="CJ401" i="7"/>
  <c r="CI401" i="7"/>
  <c r="CH401" i="7"/>
  <c r="CG401" i="7"/>
  <c r="CF401" i="7"/>
  <c r="CE401" i="7"/>
  <c r="CD401" i="7"/>
  <c r="CC401" i="7"/>
  <c r="CB401" i="7"/>
  <c r="CA401" i="7"/>
  <c r="BZ401" i="7"/>
  <c r="BY401" i="7"/>
  <c r="BX401" i="7"/>
  <c r="BW401" i="7"/>
  <c r="BV401" i="7"/>
  <c r="BU401" i="7"/>
  <c r="BD391" i="7"/>
  <c r="BD390" i="7"/>
  <c r="AP391" i="7"/>
  <c r="AP390" i="7"/>
  <c r="AK391" i="7"/>
  <c r="AK390" i="7"/>
  <c r="AF391" i="7"/>
  <c r="AF390" i="7"/>
  <c r="AA391" i="7"/>
  <c r="AA390" i="7"/>
  <c r="V391" i="7"/>
  <c r="V390" i="7"/>
  <c r="Q391" i="7"/>
  <c r="Q390" i="7"/>
  <c r="L391" i="7"/>
  <c r="L390" i="7"/>
  <c r="G391" i="7"/>
  <c r="G390" i="7"/>
  <c r="CE388" i="7"/>
  <c r="CE387" i="7"/>
  <c r="CD387" i="7"/>
  <c r="CC387" i="7"/>
  <c r="CB387" i="7"/>
  <c r="CA387" i="7"/>
  <c r="BZ387" i="7"/>
  <c r="BX387" i="7"/>
  <c r="BX386" i="7" s="1"/>
  <c r="BW387" i="7"/>
  <c r="BV387" i="7"/>
  <c r="BU387" i="7"/>
  <c r="BY387" i="7" s="1"/>
  <c r="BS387" i="7"/>
  <c r="BR387" i="7"/>
  <c r="BQ387" i="7"/>
  <c r="BP387" i="7"/>
  <c r="BT387" i="7" s="1"/>
  <c r="BN387" i="7"/>
  <c r="BM387" i="7"/>
  <c r="DG386" i="7"/>
  <c r="BW386" i="7"/>
  <c r="BV386" i="7"/>
  <c r="BU386" i="7"/>
  <c r="BS386" i="7"/>
  <c r="BR386" i="7"/>
  <c r="BQ386" i="7"/>
  <c r="BD385" i="7"/>
  <c r="AP385" i="7"/>
  <c r="AK385" i="7"/>
  <c r="AF385" i="7"/>
  <c r="AA385" i="7"/>
  <c r="V385" i="7"/>
  <c r="Q385" i="7"/>
  <c r="L385" i="7"/>
  <c r="G385" i="7"/>
  <c r="BD381" i="7"/>
  <c r="AP381" i="7"/>
  <c r="AK381" i="7"/>
  <c r="AF381" i="7"/>
  <c r="AA381" i="7"/>
  <c r="V381" i="7"/>
  <c r="Q381" i="7"/>
  <c r="L381" i="7"/>
  <c r="G381" i="7"/>
  <c r="BD379" i="7"/>
  <c r="BD378" i="7"/>
  <c r="AP379" i="7"/>
  <c r="AP378" i="7"/>
  <c r="AK379" i="7"/>
  <c r="AK378" i="7"/>
  <c r="AF379" i="7"/>
  <c r="AF378" i="7"/>
  <c r="AA379" i="7"/>
  <c r="AA378" i="7"/>
  <c r="V379" i="7"/>
  <c r="V378" i="7"/>
  <c r="Q379" i="7"/>
  <c r="Q378" i="7"/>
  <c r="L379" i="7"/>
  <c r="L378" i="7"/>
  <c r="G379" i="7"/>
  <c r="G378" i="7"/>
  <c r="DR377" i="7"/>
  <c r="DQ377" i="7"/>
  <c r="DP377" i="7"/>
  <c r="DO377" i="7"/>
  <c r="DN377" i="7"/>
  <c r="DH376" i="7"/>
  <c r="DH375" i="7"/>
  <c r="BY376" i="7"/>
  <c r="BY375" i="7"/>
  <c r="BY374" i="7"/>
  <c r="BY373" i="7"/>
  <c r="BT374" i="7"/>
  <c r="BT373" i="7"/>
  <c r="BI374" i="7"/>
  <c r="BH374" i="7"/>
  <c r="BG374" i="7"/>
  <c r="BF374" i="7"/>
  <c r="BJ374" i="7" s="1"/>
  <c r="DH373" i="7"/>
  <c r="BX373" i="7"/>
  <c r="BW373" i="7"/>
  <c r="BV373" i="7"/>
  <c r="BU373" i="7"/>
  <c r="BS373" i="7"/>
  <c r="BR373" i="7"/>
  <c r="BQ373" i="7"/>
  <c r="BP373" i="7"/>
  <c r="BO373" i="7"/>
  <c r="BN373" i="7"/>
  <c r="BM373" i="7"/>
  <c r="BL373" i="7"/>
  <c r="BK373" i="7"/>
  <c r="DJ372" i="7"/>
  <c r="BD372" i="7"/>
  <c r="BD371" i="7"/>
  <c r="BD370" i="7"/>
  <c r="AP372" i="7"/>
  <c r="AP371" i="7"/>
  <c r="AP370" i="7"/>
  <c r="AK372" i="7"/>
  <c r="AK371" i="7"/>
  <c r="AK370" i="7"/>
  <c r="AF372" i="7"/>
  <c r="AF371" i="7"/>
  <c r="AF370" i="7"/>
  <c r="AA372" i="7"/>
  <c r="AA371" i="7"/>
  <c r="AA370" i="7"/>
  <c r="V372" i="7"/>
  <c r="V371" i="7"/>
  <c r="V370" i="7"/>
  <c r="Q372" i="7"/>
  <c r="Q371" i="7"/>
  <c r="Q370" i="7"/>
  <c r="L372" i="7"/>
  <c r="L371" i="7"/>
  <c r="L370" i="7"/>
  <c r="G372" i="7"/>
  <c r="G371" i="7"/>
  <c r="G370" i="7"/>
  <c r="R364" i="7"/>
  <c r="CL363" i="7"/>
  <c r="CK363" i="7"/>
  <c r="CJ363" i="7"/>
  <c r="CI363" i="7"/>
  <c r="CH363" i="7"/>
  <c r="CG363" i="7"/>
  <c r="CF363" i="7"/>
  <c r="CE363" i="7"/>
  <c r="CD363" i="7"/>
  <c r="CC363" i="7"/>
  <c r="CB363" i="7"/>
  <c r="CA363" i="7"/>
  <c r="BZ363" i="7"/>
  <c r="BY363" i="7"/>
  <c r="BX363" i="7"/>
  <c r="BW363" i="7"/>
  <c r="BV363" i="7"/>
  <c r="BU363" i="7"/>
  <c r="DR353" i="7"/>
  <c r="DR352" i="7"/>
  <c r="BD353" i="7"/>
  <c r="BD352" i="7"/>
  <c r="AP353" i="7"/>
  <c r="AP352" i="7"/>
  <c r="AK353" i="7"/>
  <c r="AK352" i="7"/>
  <c r="AF353" i="7"/>
  <c r="AF352" i="7"/>
  <c r="AA353" i="7"/>
  <c r="AA352" i="7"/>
  <c r="V353" i="7"/>
  <c r="V352" i="7"/>
  <c r="Q353" i="7"/>
  <c r="Q352" i="7"/>
  <c r="L353" i="7"/>
  <c r="L352" i="7"/>
  <c r="G353" i="7"/>
  <c r="G352" i="7"/>
  <c r="DR350" i="7"/>
  <c r="DR349" i="7"/>
  <c r="DR348" i="7"/>
  <c r="DR347" i="7"/>
  <c r="CE350" i="7"/>
  <c r="CE349" i="7"/>
  <c r="CD349" i="7"/>
  <c r="CC349" i="7"/>
  <c r="CB349" i="7"/>
  <c r="CA349" i="7"/>
  <c r="BZ349" i="7"/>
  <c r="BX349" i="7"/>
  <c r="BW349" i="7"/>
  <c r="BW348" i="7" s="1"/>
  <c r="BV349" i="7"/>
  <c r="BU349" i="7"/>
  <c r="BY349" i="7" s="1"/>
  <c r="BS349" i="7"/>
  <c r="BS348" i="7" s="1"/>
  <c r="BR349" i="7"/>
  <c r="BQ349" i="7"/>
  <c r="BP349" i="7"/>
  <c r="BT349" i="7" s="1"/>
  <c r="BN349" i="7"/>
  <c r="BM349" i="7"/>
  <c r="DG348" i="7"/>
  <c r="BX348" i="7"/>
  <c r="BV348" i="7"/>
  <c r="BU348" i="7"/>
  <c r="BR348" i="7"/>
  <c r="BQ348" i="7"/>
  <c r="BP348" i="7"/>
  <c r="BT348" i="7" s="1"/>
  <c r="BD347" i="7"/>
  <c r="AP347" i="7"/>
  <c r="AK347" i="7"/>
  <c r="AF347" i="7"/>
  <c r="AA347" i="7"/>
  <c r="V347" i="7"/>
  <c r="Q347" i="7"/>
  <c r="L347" i="7"/>
  <c r="G347" i="7"/>
  <c r="DR345" i="7"/>
  <c r="DR343" i="7"/>
  <c r="DR342" i="7"/>
  <c r="DR341" i="7"/>
  <c r="DR340" i="7"/>
  <c r="DR338" i="7"/>
  <c r="DR337" i="7"/>
  <c r="DR336" i="7"/>
  <c r="DR335" i="7"/>
  <c r="DR334" i="7"/>
  <c r="DR333" i="7"/>
  <c r="DR332" i="7"/>
  <c r="BD343" i="7"/>
  <c r="AP343" i="7"/>
  <c r="AK343" i="7"/>
  <c r="AF343" i="7"/>
  <c r="AA343" i="7"/>
  <c r="V343" i="7"/>
  <c r="Q343" i="7"/>
  <c r="L343" i="7"/>
  <c r="G343" i="7"/>
  <c r="BD341" i="7"/>
  <c r="BD340" i="7"/>
  <c r="AP341" i="7"/>
  <c r="AP340" i="7"/>
  <c r="AK341" i="7"/>
  <c r="AK340" i="7"/>
  <c r="AF341" i="7"/>
  <c r="AF340" i="7"/>
  <c r="AA341" i="7"/>
  <c r="AA340" i="7"/>
  <c r="V341" i="7"/>
  <c r="V340" i="7"/>
  <c r="Q341" i="7"/>
  <c r="Q340" i="7"/>
  <c r="L341" i="7"/>
  <c r="L340" i="7"/>
  <c r="G341" i="7"/>
  <c r="G340" i="7"/>
  <c r="DQ339" i="7"/>
  <c r="DP339" i="7"/>
  <c r="DO339" i="7"/>
  <c r="DN339" i="7"/>
  <c r="DR339" i="7" s="1"/>
  <c r="DH338" i="7"/>
  <c r="DH337" i="7"/>
  <c r="BY338" i="7"/>
  <c r="BY337" i="7"/>
  <c r="BY336" i="7"/>
  <c r="BY335" i="7"/>
  <c r="BT336" i="7"/>
  <c r="BT335" i="7"/>
  <c r="BI336" i="7"/>
  <c r="BH336" i="7"/>
  <c r="BG336" i="7"/>
  <c r="BF336" i="7"/>
  <c r="BJ336" i="7" s="1"/>
  <c r="DH335" i="7"/>
  <c r="BX335" i="7"/>
  <c r="BW335" i="7"/>
  <c r="BV335" i="7"/>
  <c r="BU335" i="7"/>
  <c r="BS335" i="7"/>
  <c r="BR335" i="7"/>
  <c r="BQ335" i="7"/>
  <c r="BP335" i="7"/>
  <c r="BO335" i="7"/>
  <c r="BN335" i="7"/>
  <c r="BM335" i="7"/>
  <c r="BL335" i="7"/>
  <c r="BK335" i="7"/>
  <c r="BD334" i="7"/>
  <c r="BD333" i="7"/>
  <c r="BD332" i="7"/>
  <c r="AP334" i="7"/>
  <c r="AP333" i="7"/>
  <c r="AP332" i="7"/>
  <c r="AK334" i="7"/>
  <c r="AK333" i="7"/>
  <c r="AK332" i="7"/>
  <c r="AF334" i="7"/>
  <c r="AF333" i="7"/>
  <c r="AF332" i="7"/>
  <c r="AA334" i="7"/>
  <c r="AA333" i="7"/>
  <c r="AA332" i="7"/>
  <c r="V334" i="7"/>
  <c r="V333" i="7"/>
  <c r="V332" i="7"/>
  <c r="Q334" i="7"/>
  <c r="Q333" i="7"/>
  <c r="Q332" i="7"/>
  <c r="L334" i="7"/>
  <c r="L333" i="7"/>
  <c r="L332" i="7"/>
  <c r="G334" i="7"/>
  <c r="G333" i="7"/>
  <c r="G332" i="7"/>
  <c r="R326" i="7"/>
  <c r="CL325" i="7"/>
  <c r="CK325" i="7"/>
  <c r="CJ325" i="7"/>
  <c r="CI325" i="7"/>
  <c r="CH325" i="7"/>
  <c r="CG325" i="7"/>
  <c r="CF325" i="7"/>
  <c r="CE325" i="7"/>
  <c r="CD325" i="7"/>
  <c r="CC325" i="7"/>
  <c r="CB325" i="7"/>
  <c r="CA325" i="7"/>
  <c r="BZ325" i="7"/>
  <c r="BY325" i="7"/>
  <c r="BX325" i="7"/>
  <c r="BW325" i="7"/>
  <c r="BV325" i="7"/>
  <c r="BU325" i="7"/>
  <c r="BD315" i="7"/>
  <c r="BD314" i="7"/>
  <c r="AP315" i="7"/>
  <c r="AP314" i="7"/>
  <c r="AK315" i="7"/>
  <c r="AK314" i="7"/>
  <c r="AF315" i="7"/>
  <c r="AF314" i="7"/>
  <c r="AA315" i="7"/>
  <c r="AA314" i="7"/>
  <c r="V315" i="7"/>
  <c r="V314" i="7"/>
  <c r="Q315" i="7"/>
  <c r="Q314" i="7"/>
  <c r="L315" i="7"/>
  <c r="L314" i="7"/>
  <c r="G315" i="7"/>
  <c r="G314" i="7"/>
  <c r="CE312" i="7"/>
  <c r="CE311" i="7"/>
  <c r="CD311" i="7"/>
  <c r="CC311" i="7"/>
  <c r="CB311" i="7"/>
  <c r="CA311" i="7"/>
  <c r="BZ311" i="7"/>
  <c r="BX311" i="7"/>
  <c r="BW311" i="7"/>
  <c r="BV311" i="7"/>
  <c r="BV310" i="7" s="1"/>
  <c r="BU311" i="7"/>
  <c r="BU310" i="7" s="1"/>
  <c r="BS311" i="7"/>
  <c r="BR311" i="7"/>
  <c r="BR310" i="7" s="1"/>
  <c r="BQ311" i="7"/>
  <c r="BQ310" i="7" s="1"/>
  <c r="BP311" i="7"/>
  <c r="BT311" i="7" s="1"/>
  <c r="BN311" i="7"/>
  <c r="BM311" i="7"/>
  <c r="DL310" i="7"/>
  <c r="DG310" i="7"/>
  <c r="BX310" i="7"/>
  <c r="BW310" i="7"/>
  <c r="BS310" i="7"/>
  <c r="BP310" i="7"/>
  <c r="BD309" i="7"/>
  <c r="AP309" i="7"/>
  <c r="AK309" i="7"/>
  <c r="AF309" i="7"/>
  <c r="AA309" i="7"/>
  <c r="V309" i="7"/>
  <c r="Q309" i="7"/>
  <c r="L309" i="7"/>
  <c r="G309" i="7"/>
  <c r="DI305" i="7"/>
  <c r="BD305" i="7"/>
  <c r="AP305" i="7"/>
  <c r="AK305" i="7"/>
  <c r="AF305" i="7"/>
  <c r="AA305" i="7"/>
  <c r="V305" i="7"/>
  <c r="Q305" i="7"/>
  <c r="L305" i="7"/>
  <c r="G305" i="7"/>
  <c r="BD303" i="7"/>
  <c r="BD302" i="7"/>
  <c r="AP303" i="7"/>
  <c r="AP302" i="7"/>
  <c r="AK303" i="7"/>
  <c r="AK302" i="7"/>
  <c r="AF303" i="7"/>
  <c r="AF302" i="7"/>
  <c r="AA303" i="7"/>
  <c r="AA302" i="7"/>
  <c r="V303" i="7"/>
  <c r="V302" i="7"/>
  <c r="Q303" i="7"/>
  <c r="Q302" i="7"/>
  <c r="L303" i="7"/>
  <c r="L302" i="7"/>
  <c r="G303" i="7"/>
  <c r="G302" i="7"/>
  <c r="DW301" i="7"/>
  <c r="DV301" i="7"/>
  <c r="DU301" i="7"/>
  <c r="DT301" i="7"/>
  <c r="DS301" i="7"/>
  <c r="DL300" i="7"/>
  <c r="DL299" i="7"/>
  <c r="DH300" i="7"/>
  <c r="DH299" i="7"/>
  <c r="BY300" i="7"/>
  <c r="BY299" i="7"/>
  <c r="BY298" i="7"/>
  <c r="BY297" i="7"/>
  <c r="BT298" i="7"/>
  <c r="BT297" i="7"/>
  <c r="BI298" i="7"/>
  <c r="BH298" i="7"/>
  <c r="BG298" i="7"/>
  <c r="BF298" i="7"/>
  <c r="DH297" i="7"/>
  <c r="BX297" i="7"/>
  <c r="BW297" i="7"/>
  <c r="BV297" i="7"/>
  <c r="BU297" i="7"/>
  <c r="BS297" i="7"/>
  <c r="BR297" i="7"/>
  <c r="BQ297" i="7"/>
  <c r="BP297" i="7"/>
  <c r="BO297" i="7"/>
  <c r="BN297" i="7"/>
  <c r="BM297" i="7"/>
  <c r="BL297" i="7"/>
  <c r="BK297" i="7"/>
  <c r="BD296" i="7"/>
  <c r="BD295" i="7"/>
  <c r="BD294" i="7"/>
  <c r="AP296" i="7"/>
  <c r="AP295" i="7"/>
  <c r="AP294" i="7"/>
  <c r="AK296" i="7"/>
  <c r="AK295" i="7"/>
  <c r="AK294" i="7"/>
  <c r="AF296" i="7"/>
  <c r="AF295" i="7"/>
  <c r="AF294" i="7"/>
  <c r="AA296" i="7"/>
  <c r="AA295" i="7"/>
  <c r="AA294" i="7"/>
  <c r="V296" i="7"/>
  <c r="V295" i="7"/>
  <c r="V294" i="7"/>
  <c r="Q296" i="7"/>
  <c r="Q295" i="7"/>
  <c r="Q294" i="7"/>
  <c r="L296" i="7"/>
  <c r="L295" i="7"/>
  <c r="L294" i="7"/>
  <c r="G296" i="7"/>
  <c r="G295" i="7"/>
  <c r="G294" i="7"/>
  <c r="DW294" i="7"/>
  <c r="R289" i="7"/>
  <c r="DW288" i="7"/>
  <c r="CL288" i="7"/>
  <c r="CK288" i="7"/>
  <c r="CJ288" i="7"/>
  <c r="CI288" i="7"/>
  <c r="CH288" i="7"/>
  <c r="CG288" i="7"/>
  <c r="CF288" i="7"/>
  <c r="CE288" i="7"/>
  <c r="CD288" i="7"/>
  <c r="CC288" i="7"/>
  <c r="CB288" i="7"/>
  <c r="CA288" i="7"/>
  <c r="BZ288" i="7"/>
  <c r="BY288" i="7"/>
  <c r="BX288" i="7"/>
  <c r="BW288" i="7"/>
  <c r="BV288" i="7"/>
  <c r="BU288" i="7"/>
  <c r="DW286" i="7"/>
  <c r="DW278" i="7"/>
  <c r="DW277" i="7"/>
  <c r="BD278" i="7"/>
  <c r="BD277" i="7"/>
  <c r="AP278" i="7"/>
  <c r="AP277" i="7"/>
  <c r="AK278" i="7"/>
  <c r="AK277" i="7"/>
  <c r="AF278" i="7"/>
  <c r="AF277" i="7"/>
  <c r="AA278" i="7"/>
  <c r="AA277" i="7"/>
  <c r="V278" i="7"/>
  <c r="V277" i="7"/>
  <c r="Q278" i="7"/>
  <c r="Q277" i="7"/>
  <c r="L278" i="7"/>
  <c r="L277" i="7"/>
  <c r="G278" i="7"/>
  <c r="G277" i="7"/>
  <c r="DW275" i="7"/>
  <c r="DW274" i="7"/>
  <c r="DW273" i="7"/>
  <c r="DW272" i="7"/>
  <c r="CE275" i="7"/>
  <c r="CE274" i="7"/>
  <c r="CD274" i="7"/>
  <c r="CC274" i="7"/>
  <c r="CB274" i="7"/>
  <c r="CA274" i="7"/>
  <c r="BZ274" i="7"/>
  <c r="BX274" i="7"/>
  <c r="BX273" i="7" s="1"/>
  <c r="BW274" i="7"/>
  <c r="BV274" i="7"/>
  <c r="BU274" i="7"/>
  <c r="BY274" i="7" s="1"/>
  <c r="BS274" i="7"/>
  <c r="BR274" i="7"/>
  <c r="BQ274" i="7"/>
  <c r="BQ273" i="7" s="1"/>
  <c r="BP274" i="7"/>
  <c r="BP273" i="7" s="1"/>
  <c r="BN274" i="7"/>
  <c r="BM274" i="7"/>
  <c r="DG273" i="7"/>
  <c r="BW273" i="7"/>
  <c r="BV273" i="7"/>
  <c r="BS273" i="7"/>
  <c r="BR273" i="7"/>
  <c r="BD272" i="7"/>
  <c r="AP272" i="7"/>
  <c r="AK272" i="7"/>
  <c r="AF272" i="7"/>
  <c r="AA272" i="7"/>
  <c r="V272" i="7"/>
  <c r="Q272" i="7"/>
  <c r="L272" i="7"/>
  <c r="G272" i="7"/>
  <c r="DW270" i="7"/>
  <c r="DW269" i="7"/>
  <c r="DW268" i="7"/>
  <c r="DI268" i="7"/>
  <c r="BD268" i="7"/>
  <c r="AP268" i="7"/>
  <c r="AK268" i="7"/>
  <c r="AF268" i="7"/>
  <c r="AA268" i="7"/>
  <c r="V268" i="7"/>
  <c r="Q268" i="7"/>
  <c r="L268" i="7"/>
  <c r="G268" i="7"/>
  <c r="DW266" i="7"/>
  <c r="DW265" i="7"/>
  <c r="DW263" i="7"/>
  <c r="DW262" i="7"/>
  <c r="DW261" i="7"/>
  <c r="DW260" i="7"/>
  <c r="DW259" i="7"/>
  <c r="DW258" i="7"/>
  <c r="DW257" i="7"/>
  <c r="BD266" i="7"/>
  <c r="BD265" i="7"/>
  <c r="AP266" i="7"/>
  <c r="AP265" i="7"/>
  <c r="AK266" i="7"/>
  <c r="AK265" i="7"/>
  <c r="AF266" i="7"/>
  <c r="AF265" i="7"/>
  <c r="AA266" i="7"/>
  <c r="AA265" i="7"/>
  <c r="V266" i="7"/>
  <c r="V265" i="7"/>
  <c r="Q266" i="7"/>
  <c r="Q265" i="7"/>
  <c r="L266" i="7"/>
  <c r="L265" i="7"/>
  <c r="G266" i="7"/>
  <c r="G265" i="7"/>
  <c r="DV264" i="7"/>
  <c r="DU264" i="7"/>
  <c r="DT264" i="7"/>
  <c r="DS264" i="7"/>
  <c r="DL263" i="7"/>
  <c r="DL262" i="7"/>
  <c r="DH263" i="7"/>
  <c r="DH262" i="7"/>
  <c r="BY263" i="7"/>
  <c r="BY262" i="7"/>
  <c r="BY261" i="7"/>
  <c r="BY260" i="7"/>
  <c r="BT261" i="7"/>
  <c r="BT260" i="7"/>
  <c r="BI261" i="7"/>
  <c r="BH261" i="7"/>
  <c r="BG261" i="7"/>
  <c r="BF261" i="7"/>
  <c r="DH260" i="7"/>
  <c r="BX260" i="7"/>
  <c r="BW260" i="7"/>
  <c r="BV260" i="7"/>
  <c r="BU260" i="7"/>
  <c r="BS260" i="7"/>
  <c r="BR260" i="7"/>
  <c r="BQ260" i="7"/>
  <c r="BP260" i="7"/>
  <c r="BO260" i="7"/>
  <c r="BN260" i="7"/>
  <c r="BM260" i="7"/>
  <c r="BL260" i="7"/>
  <c r="BK260" i="7"/>
  <c r="BD259" i="7"/>
  <c r="BD258" i="7"/>
  <c r="BD257" i="7"/>
  <c r="AP259" i="7"/>
  <c r="AP258" i="7"/>
  <c r="AP257" i="7"/>
  <c r="AK259" i="7"/>
  <c r="AK258" i="7"/>
  <c r="AK257" i="7"/>
  <c r="AF259" i="7"/>
  <c r="AF258" i="7"/>
  <c r="AF257" i="7"/>
  <c r="AA259" i="7"/>
  <c r="AA258" i="7"/>
  <c r="AA257" i="7"/>
  <c r="V259" i="7"/>
  <c r="V258" i="7"/>
  <c r="V257" i="7"/>
  <c r="Q259" i="7"/>
  <c r="Q258" i="7"/>
  <c r="Q257" i="7"/>
  <c r="L259" i="7"/>
  <c r="L258" i="7"/>
  <c r="L257" i="7"/>
  <c r="G259" i="7"/>
  <c r="G258" i="7"/>
  <c r="G257" i="7"/>
  <c r="DW250" i="7"/>
  <c r="DV250" i="7" s="1"/>
  <c r="DR250" i="7"/>
  <c r="DQ250" i="7" s="1"/>
  <c r="DN250" i="7"/>
  <c r="DM250" i="7"/>
  <c r="DK250" i="7"/>
  <c r="DJ250" i="7"/>
  <c r="DI250" i="7"/>
  <c r="DH250" i="7"/>
  <c r="DF250" i="7"/>
  <c r="DE250" i="7"/>
  <c r="DD250" i="7"/>
  <c r="DA250" i="7"/>
  <c r="CZ250" i="7"/>
  <c r="CY250" i="7"/>
  <c r="CV250" i="7"/>
  <c r="CU250" i="7"/>
  <c r="CT250" i="7"/>
  <c r="CQ250" i="7"/>
  <c r="CP250" i="7"/>
  <c r="CO250" i="7"/>
  <c r="CL250" i="7"/>
  <c r="CK250" i="7"/>
  <c r="CJ250" i="7"/>
  <c r="CG250" i="7"/>
  <c r="CF250" i="7"/>
  <c r="CE250" i="7"/>
  <c r="CB250" i="7"/>
  <c r="CA250" i="7"/>
  <c r="BZ250" i="7"/>
  <c r="BW250" i="7"/>
  <c r="BV250" i="7"/>
  <c r="BU250" i="7"/>
  <c r="BR250" i="7"/>
  <c r="BQ250" i="7"/>
  <c r="BP250" i="7"/>
  <c r="BM250" i="7"/>
  <c r="BL250" i="7"/>
  <c r="BK250" i="7"/>
  <c r="BH250" i="7"/>
  <c r="BG250" i="7"/>
  <c r="BF250" i="7"/>
  <c r="BC250" i="7"/>
  <c r="BB250" i="7"/>
  <c r="BA250" i="7"/>
  <c r="AY250" i="7"/>
  <c r="AX250" i="7"/>
  <c r="AW250" i="7"/>
  <c r="AV250" i="7"/>
  <c r="AT250" i="7"/>
  <c r="AS250" i="7"/>
  <c r="AR250" i="7"/>
  <c r="AP250" i="7"/>
  <c r="AO250" i="7"/>
  <c r="AN250" i="7"/>
  <c r="AM250" i="7"/>
  <c r="AK250" i="7"/>
  <c r="AJ250" i="7"/>
  <c r="AI250" i="7"/>
  <c r="AH250" i="7"/>
  <c r="AF250" i="7"/>
  <c r="AE250" i="7"/>
  <c r="AD250" i="7"/>
  <c r="AC250" i="7"/>
  <c r="AA250" i="7"/>
  <c r="Z250" i="7"/>
  <c r="Y250" i="7"/>
  <c r="X250" i="7"/>
  <c r="V250" i="7"/>
  <c r="U250" i="7"/>
  <c r="T250" i="7"/>
  <c r="S250" i="7"/>
  <c r="Q250" i="7"/>
  <c r="P250" i="7"/>
  <c r="O250" i="7"/>
  <c r="N250" i="7"/>
  <c r="L250" i="7"/>
  <c r="K250" i="7"/>
  <c r="J250" i="7"/>
  <c r="I250" i="7"/>
  <c r="G250" i="7"/>
  <c r="F250" i="7"/>
  <c r="E250" i="7"/>
  <c r="D250" i="7"/>
  <c r="DV249" i="7"/>
  <c r="DV248" i="7"/>
  <c r="DV247" i="7"/>
  <c r="DV246" i="7"/>
  <c r="DV245" i="7"/>
  <c r="DV244" i="7"/>
  <c r="DV243" i="7"/>
  <c r="DV242" i="7"/>
  <c r="DQ249" i="7"/>
  <c r="DQ248" i="7"/>
  <c r="DQ247" i="7"/>
  <c r="DQ246" i="7"/>
  <c r="DQ245" i="7"/>
  <c r="DQ244" i="7"/>
  <c r="DQ243" i="7"/>
  <c r="DQ242" i="7"/>
  <c r="DL249" i="7"/>
  <c r="DL248" i="7"/>
  <c r="DL247" i="7"/>
  <c r="DL246" i="7"/>
  <c r="DL245" i="7"/>
  <c r="DL244" i="7"/>
  <c r="DL243" i="7"/>
  <c r="DL242" i="7"/>
  <c r="DG249" i="7"/>
  <c r="DG248" i="7"/>
  <c r="DG247" i="7"/>
  <c r="DG246" i="7"/>
  <c r="DG245" i="7"/>
  <c r="DG244" i="7"/>
  <c r="DG243" i="7"/>
  <c r="DG242" i="7"/>
  <c r="DB249" i="7"/>
  <c r="DB248" i="7"/>
  <c r="DB247" i="7"/>
  <c r="DB246" i="7"/>
  <c r="DB245" i="7"/>
  <c r="DB244" i="7"/>
  <c r="DB243" i="7"/>
  <c r="DB242" i="7"/>
  <c r="CW249" i="7"/>
  <c r="CW248" i="7"/>
  <c r="CW247" i="7"/>
  <c r="CW246" i="7"/>
  <c r="CW245" i="7"/>
  <c r="CW244" i="7"/>
  <c r="CW243" i="7"/>
  <c r="CW242" i="7"/>
  <c r="CR249" i="7"/>
  <c r="CS249" i="7" s="1"/>
  <c r="CR248" i="7"/>
  <c r="CS248" i="7" s="1"/>
  <c r="CR247" i="7"/>
  <c r="CS247" i="7" s="1"/>
  <c r="CR246" i="7"/>
  <c r="CS246" i="7" s="1"/>
  <c r="CR245" i="7"/>
  <c r="CS245" i="7" s="1"/>
  <c r="CR244" i="7"/>
  <c r="CS244" i="7" s="1"/>
  <c r="CR243" i="7"/>
  <c r="CS243" i="7" s="1"/>
  <c r="CR242" i="7"/>
  <c r="CS242" i="7" s="1"/>
  <c r="CM249" i="7"/>
  <c r="CN249" i="7" s="1"/>
  <c r="CM248" i="7"/>
  <c r="CN248" i="7" s="1"/>
  <c r="CM247" i="7"/>
  <c r="CN247" i="7" s="1"/>
  <c r="CM246" i="7"/>
  <c r="CN246" i="7" s="1"/>
  <c r="CM245" i="7"/>
  <c r="CN245" i="7" s="1"/>
  <c r="CM244" i="7"/>
  <c r="CN244" i="7" s="1"/>
  <c r="CM243" i="7"/>
  <c r="CN243" i="7" s="1"/>
  <c r="CM242" i="7"/>
  <c r="CM250" i="7" s="1"/>
  <c r="CI249" i="7"/>
  <c r="CH249" i="7"/>
  <c r="CH248" i="7"/>
  <c r="CI248" i="7" s="1"/>
  <c r="CH247" i="7"/>
  <c r="CI247" i="7" s="1"/>
  <c r="CH246" i="7"/>
  <c r="CI246" i="7" s="1"/>
  <c r="CH245" i="7"/>
  <c r="CI245" i="7" s="1"/>
  <c r="CH244" i="7"/>
  <c r="CI244" i="7" s="1"/>
  <c r="CI243" i="7"/>
  <c r="CH243" i="7"/>
  <c r="CH242" i="7"/>
  <c r="CC249" i="7"/>
  <c r="CD249" i="7" s="1"/>
  <c r="CC248" i="7"/>
  <c r="CD248" i="7" s="1"/>
  <c r="CC247" i="7"/>
  <c r="CD247" i="7" s="1"/>
  <c r="CC246" i="7"/>
  <c r="CD246" i="7" s="1"/>
  <c r="CC245" i="7"/>
  <c r="CD245" i="7" s="1"/>
  <c r="CC244" i="7"/>
  <c r="CD244" i="7" s="1"/>
  <c r="CC243" i="7"/>
  <c r="CD243" i="7" s="1"/>
  <c r="CC242" i="7"/>
  <c r="CD242" i="7" s="1"/>
  <c r="BX249" i="7"/>
  <c r="BY249" i="7" s="1"/>
  <c r="BX248" i="7"/>
  <c r="BY248" i="7" s="1"/>
  <c r="BX247" i="7"/>
  <c r="BY247" i="7" s="1"/>
  <c r="BX246" i="7"/>
  <c r="BY246" i="7" s="1"/>
  <c r="BX245" i="7"/>
  <c r="BY245" i="7" s="1"/>
  <c r="BX244" i="7"/>
  <c r="BY244" i="7" s="1"/>
  <c r="BX243" i="7"/>
  <c r="BY243" i="7" s="1"/>
  <c r="BX242" i="7"/>
  <c r="BY242" i="7" s="1"/>
  <c r="BS249" i="7"/>
  <c r="BT249" i="7" s="1"/>
  <c r="BS248" i="7"/>
  <c r="BT248" i="7" s="1"/>
  <c r="BS247" i="7"/>
  <c r="BT247" i="7" s="1"/>
  <c r="BS246" i="7"/>
  <c r="BT246" i="7" s="1"/>
  <c r="BS245" i="7"/>
  <c r="BT245" i="7" s="1"/>
  <c r="BS244" i="7"/>
  <c r="BT244" i="7" s="1"/>
  <c r="BS243" i="7"/>
  <c r="BT243" i="7" s="1"/>
  <c r="BS242" i="7"/>
  <c r="BO249" i="7"/>
  <c r="BN249" i="7"/>
  <c r="BN248" i="7"/>
  <c r="BO248" i="7" s="1"/>
  <c r="BO247" i="7"/>
  <c r="BN247" i="7"/>
  <c r="BN246" i="7"/>
  <c r="BO246" i="7" s="1"/>
  <c r="BN245" i="7"/>
  <c r="BO245" i="7" s="1"/>
  <c r="BN244" i="7"/>
  <c r="BO244" i="7" s="1"/>
  <c r="BO243" i="7"/>
  <c r="BN243" i="7"/>
  <c r="BN242" i="7"/>
  <c r="BJ249" i="7"/>
  <c r="BI249" i="7"/>
  <c r="BI248" i="7"/>
  <c r="BJ248" i="7" s="1"/>
  <c r="BI247" i="7"/>
  <c r="BJ247" i="7" s="1"/>
  <c r="BI246" i="7"/>
  <c r="BJ246" i="7" s="1"/>
  <c r="BI245" i="7"/>
  <c r="BJ245" i="7" s="1"/>
  <c r="BI244" i="7"/>
  <c r="BJ244" i="7" s="1"/>
  <c r="BI243" i="7"/>
  <c r="BJ243" i="7" s="1"/>
  <c r="BI242" i="7"/>
  <c r="BD249" i="7"/>
  <c r="BE249" i="7" s="1"/>
  <c r="BD248" i="7"/>
  <c r="BE248" i="7" s="1"/>
  <c r="BD247" i="7"/>
  <c r="BE247" i="7" s="1"/>
  <c r="BD246" i="7"/>
  <c r="BE246" i="7" s="1"/>
  <c r="BD245" i="7"/>
  <c r="BE245" i="7" s="1"/>
  <c r="BD244" i="7"/>
  <c r="BE244" i="7" s="1"/>
  <c r="BD243" i="7"/>
  <c r="BE243" i="7" s="1"/>
  <c r="BD242" i="7"/>
  <c r="BE242" i="7" s="1"/>
  <c r="DV239" i="7"/>
  <c r="DW239" i="7" s="1"/>
  <c r="DU239" i="7"/>
  <c r="DT239" i="7"/>
  <c r="DS239" i="7"/>
  <c r="DQ239" i="7"/>
  <c r="DR239" i="7" s="1"/>
  <c r="DP239" i="7"/>
  <c r="DO239" i="7"/>
  <c r="DN239" i="7"/>
  <c r="DM239" i="7"/>
  <c r="DK239" i="7"/>
  <c r="DJ239" i="7"/>
  <c r="DI239" i="7"/>
  <c r="DH239" i="7"/>
  <c r="DF239" i="7"/>
  <c r="DE239" i="7"/>
  <c r="DD239" i="7"/>
  <c r="DC239" i="7"/>
  <c r="DA239" i="7"/>
  <c r="CZ239" i="7"/>
  <c r="CY239" i="7"/>
  <c r="CX239" i="7"/>
  <c r="CV239" i="7"/>
  <c r="CU239" i="7"/>
  <c r="CT239" i="7"/>
  <c r="CR239" i="7"/>
  <c r="CQ239" i="7"/>
  <c r="CP239" i="7"/>
  <c r="CO239" i="7"/>
  <c r="CM239" i="7"/>
  <c r="CL239" i="7"/>
  <c r="CK239" i="7"/>
  <c r="CJ239" i="7"/>
  <c r="CH239" i="7"/>
  <c r="CG239" i="7"/>
  <c r="CF239" i="7"/>
  <c r="CE239" i="7"/>
  <c r="CC239" i="7"/>
  <c r="CB239" i="7"/>
  <c r="CA239" i="7"/>
  <c r="BZ239" i="7"/>
  <c r="BX239" i="7"/>
  <c r="BW239" i="7"/>
  <c r="BV239" i="7"/>
  <c r="BU239" i="7"/>
  <c r="BS239" i="7"/>
  <c r="BR239" i="7"/>
  <c r="BQ239" i="7"/>
  <c r="BP239" i="7"/>
  <c r="BN239" i="7"/>
  <c r="BM239" i="7"/>
  <c r="DW238" i="7"/>
  <c r="DW237" i="7"/>
  <c r="DW236" i="7"/>
  <c r="DW235" i="7"/>
  <c r="DR238" i="7"/>
  <c r="DR237" i="7"/>
  <c r="DR236" i="7"/>
  <c r="DR235" i="7"/>
  <c r="CS238" i="7"/>
  <c r="CS237" i="7"/>
  <c r="CS236" i="7"/>
  <c r="CS235" i="7"/>
  <c r="CN238" i="7"/>
  <c r="CN237" i="7"/>
  <c r="CN236" i="7"/>
  <c r="CN235" i="7"/>
  <c r="CI238" i="7"/>
  <c r="CI237" i="7"/>
  <c r="CI236" i="7"/>
  <c r="CI235" i="7"/>
  <c r="CD238" i="7"/>
  <c r="CD237" i="7"/>
  <c r="CD236" i="7"/>
  <c r="CD235" i="7"/>
  <c r="BY238" i="7"/>
  <c r="BY237" i="7"/>
  <c r="BY236" i="7"/>
  <c r="BY235" i="7"/>
  <c r="BT238" i="7"/>
  <c r="BT237" i="7"/>
  <c r="BT236" i="7"/>
  <c r="BT235" i="7"/>
  <c r="BO238" i="7"/>
  <c r="BO237" i="7"/>
  <c r="BO236" i="7"/>
  <c r="BO235" i="7"/>
  <c r="DV232" i="7"/>
  <c r="DW232" i="7" s="1"/>
  <c r="DU232" i="7"/>
  <c r="DT232" i="7"/>
  <c r="DS232" i="7"/>
  <c r="DQ232" i="7"/>
  <c r="DR232" i="7" s="1"/>
  <c r="DP232" i="7"/>
  <c r="DO232" i="7"/>
  <c r="DN232" i="7"/>
  <c r="DM232" i="7"/>
  <c r="DK232" i="7"/>
  <c r="DJ232" i="7"/>
  <c r="DI232" i="7"/>
  <c r="DH232" i="7"/>
  <c r="DF232" i="7"/>
  <c r="DE232" i="7"/>
  <c r="DD232" i="7"/>
  <c r="DC232" i="7"/>
  <c r="DB232" i="7"/>
  <c r="DA232" i="7"/>
  <c r="CZ232" i="7"/>
  <c r="CY232" i="7"/>
  <c r="CX232" i="7"/>
  <c r="CW232" i="7"/>
  <c r="CV232" i="7"/>
  <c r="CU232" i="7"/>
  <c r="CT232" i="7"/>
  <c r="CS232" i="7"/>
  <c r="CR232" i="7"/>
  <c r="CQ232" i="7"/>
  <c r="CP232" i="7"/>
  <c r="CO232" i="7"/>
  <c r="CN232" i="7"/>
  <c r="CM232" i="7"/>
  <c r="CL232" i="7"/>
  <c r="CK232" i="7"/>
  <c r="CJ232" i="7"/>
  <c r="CH232" i="7"/>
  <c r="CG232" i="7"/>
  <c r="CF232" i="7"/>
  <c r="CE232" i="7"/>
  <c r="CC232" i="7"/>
  <c r="CB232" i="7"/>
  <c r="CA232" i="7"/>
  <c r="BZ232" i="7"/>
  <c r="BX232" i="7"/>
  <c r="BW232" i="7"/>
  <c r="BV232" i="7"/>
  <c r="BU232" i="7"/>
  <c r="BT232" i="7"/>
  <c r="BS232" i="7"/>
  <c r="BR232" i="7"/>
  <c r="BQ232" i="7"/>
  <c r="BP232" i="7"/>
  <c r="BO232" i="7"/>
  <c r="BN232" i="7"/>
  <c r="BM232" i="7"/>
  <c r="BL232" i="7"/>
  <c r="BK232" i="7"/>
  <c r="BJ232" i="7"/>
  <c r="BI232" i="7"/>
  <c r="BH232" i="7"/>
  <c r="BG232" i="7"/>
  <c r="BF232" i="7"/>
  <c r="BE232" i="7"/>
  <c r="BC232" i="7"/>
  <c r="BB232" i="7"/>
  <c r="BA232" i="7"/>
  <c r="AY232" i="7"/>
  <c r="AX232" i="7"/>
  <c r="AW232" i="7"/>
  <c r="AV232" i="7"/>
  <c r="AT232" i="7"/>
  <c r="AS232" i="7"/>
  <c r="AR232" i="7"/>
  <c r="AQ232" i="7"/>
  <c r="AO232" i="7"/>
  <c r="AN232" i="7"/>
  <c r="AM232" i="7"/>
  <c r="AL232" i="7"/>
  <c r="AJ232" i="7"/>
  <c r="AI232" i="7"/>
  <c r="AH232" i="7"/>
  <c r="AG232" i="7"/>
  <c r="AE232" i="7"/>
  <c r="AD232" i="7"/>
  <c r="AC232" i="7"/>
  <c r="AB232" i="7"/>
  <c r="R231" i="7"/>
  <c r="R232" i="7" s="1"/>
  <c r="M232" i="7"/>
  <c r="DW231" i="7"/>
  <c r="DW230" i="7"/>
  <c r="DW229" i="7"/>
  <c r="DW228" i="7"/>
  <c r="DR231" i="7"/>
  <c r="DR230" i="7"/>
  <c r="DR229" i="7"/>
  <c r="DR228" i="7"/>
  <c r="CI230" i="7"/>
  <c r="CI232" i="7" s="1"/>
  <c r="CD230" i="7"/>
  <c r="CD232" i="7" s="1"/>
  <c r="BY230" i="7"/>
  <c r="BY232" i="7" s="1"/>
  <c r="DW226" i="7"/>
  <c r="DU226" i="7"/>
  <c r="DT226" i="7"/>
  <c r="DS226" i="7"/>
  <c r="DR226" i="7"/>
  <c r="DP226" i="7"/>
  <c r="DO226" i="7"/>
  <c r="DM226" i="7"/>
  <c r="DW225" i="7"/>
  <c r="DU225" i="7"/>
  <c r="DT225" i="7"/>
  <c r="DS225" i="7"/>
  <c r="DR225" i="7"/>
  <c r="DP225" i="7"/>
  <c r="DO225" i="7"/>
  <c r="DM225" i="7"/>
  <c r="DW224" i="7"/>
  <c r="DU224" i="7"/>
  <c r="DT224" i="7"/>
  <c r="DS224" i="7"/>
  <c r="DR224" i="7"/>
  <c r="DP224" i="7"/>
  <c r="DO224" i="7"/>
  <c r="DM224" i="7"/>
  <c r="DW223" i="7"/>
  <c r="DU223" i="7"/>
  <c r="DT223" i="7"/>
  <c r="DS223" i="7"/>
  <c r="DR223" i="7"/>
  <c r="DP223" i="7"/>
  <c r="DO223" i="7"/>
  <c r="DM223" i="7"/>
  <c r="AQ226" i="7"/>
  <c r="AL226" i="7"/>
  <c r="AG226" i="7"/>
  <c r="AB226" i="7"/>
  <c r="W226" i="7"/>
  <c r="R226" i="7"/>
  <c r="M226" i="7"/>
  <c r="AQ224" i="7"/>
  <c r="AL224" i="7"/>
  <c r="AG224" i="7"/>
  <c r="AB224" i="7"/>
  <c r="W224" i="7"/>
  <c r="R224" i="7"/>
  <c r="M224" i="7"/>
  <c r="AQ223" i="7"/>
  <c r="AL223" i="7"/>
  <c r="AG223" i="7"/>
  <c r="AB223" i="7"/>
  <c r="W223" i="7"/>
  <c r="R223" i="7"/>
  <c r="M223" i="7"/>
  <c r="DV221" i="7"/>
  <c r="DV220" i="7"/>
  <c r="DV219" i="7"/>
  <c r="DV218" i="7"/>
  <c r="DV217" i="7"/>
  <c r="DQ221" i="7"/>
  <c r="DQ220" i="7"/>
  <c r="DQ219" i="7"/>
  <c r="DQ218" i="7"/>
  <c r="DQ217" i="7"/>
  <c r="DK221" i="7"/>
  <c r="DJ221" i="7"/>
  <c r="AT221" i="7"/>
  <c r="AS221" i="7"/>
  <c r="AR221" i="7"/>
  <c r="AP221" i="7"/>
  <c r="AO221" i="7"/>
  <c r="AN221" i="7"/>
  <c r="AM221" i="7"/>
  <c r="AQ221" i="7" s="1"/>
  <c r="AK221" i="7"/>
  <c r="AJ221" i="7"/>
  <c r="AI221" i="7"/>
  <c r="AH221" i="7"/>
  <c r="AL221" i="7" s="1"/>
  <c r="AF221" i="7"/>
  <c r="AE221" i="7"/>
  <c r="AD221" i="7"/>
  <c r="AC221" i="7"/>
  <c r="AG221" i="7" s="1"/>
  <c r="AA221" i="7"/>
  <c r="Z221" i="7"/>
  <c r="Y221" i="7"/>
  <c r="X221" i="7"/>
  <c r="AB221" i="7" s="1"/>
  <c r="V221" i="7"/>
  <c r="U221" i="7"/>
  <c r="T221" i="7"/>
  <c r="S221" i="7"/>
  <c r="W221" i="7" s="1"/>
  <c r="Q221" i="7"/>
  <c r="P221" i="7"/>
  <c r="O221" i="7"/>
  <c r="N221" i="7"/>
  <c r="R221" i="7" s="1"/>
  <c r="L221" i="7"/>
  <c r="K221" i="7"/>
  <c r="J221" i="7"/>
  <c r="I221" i="7"/>
  <c r="M221" i="7" s="1"/>
  <c r="G221" i="7"/>
  <c r="F221" i="7"/>
  <c r="E221" i="7"/>
  <c r="D221" i="7"/>
  <c r="H221" i="7" s="1"/>
  <c r="DB207" i="7"/>
  <c r="DA207" i="7"/>
  <c r="CZ207" i="7"/>
  <c r="CY207" i="7"/>
  <c r="CX207" i="7"/>
  <c r="CW207" i="7"/>
  <c r="CV207" i="7"/>
  <c r="CU207" i="7"/>
  <c r="CT207" i="7"/>
  <c r="CS207" i="7"/>
  <c r="CR207" i="7"/>
  <c r="CQ207" i="7"/>
  <c r="CP207" i="7"/>
  <c r="CO207" i="7"/>
  <c r="CN207" i="7"/>
  <c r="CM207" i="7"/>
  <c r="CL207" i="7"/>
  <c r="CK207" i="7"/>
  <c r="CJ207" i="7"/>
  <c r="CI207" i="7"/>
  <c r="CH207" i="7"/>
  <c r="CG207" i="7"/>
  <c r="CF207" i="7"/>
  <c r="CE207" i="7"/>
  <c r="CD207" i="7"/>
  <c r="CC207" i="7"/>
  <c r="CB207" i="7"/>
  <c r="CA207" i="7"/>
  <c r="BZ207" i="7"/>
  <c r="BY207" i="7"/>
  <c r="BX207" i="7"/>
  <c r="BW207" i="7"/>
  <c r="BV207" i="7"/>
  <c r="BU207" i="7"/>
  <c r="BT207" i="7"/>
  <c r="BS207" i="7"/>
  <c r="BR207" i="7"/>
  <c r="BQ207" i="7"/>
  <c r="BP207" i="7"/>
  <c r="BO207" i="7"/>
  <c r="BN207" i="7"/>
  <c r="BM207" i="7"/>
  <c r="BL207" i="7"/>
  <c r="BK207" i="7"/>
  <c r="BJ207" i="7"/>
  <c r="BI207" i="7"/>
  <c r="BH207" i="7"/>
  <c r="BG207" i="7"/>
  <c r="BF207" i="7"/>
  <c r="BE207" i="7"/>
  <c r="BD207" i="7"/>
  <c r="BC207" i="7"/>
  <c r="BB207" i="7"/>
  <c r="BA207" i="7"/>
  <c r="AZ207" i="7"/>
  <c r="AY207" i="7"/>
  <c r="AX207" i="7"/>
  <c r="AW207" i="7"/>
  <c r="AV207" i="7"/>
  <c r="EK206" i="7"/>
  <c r="EJ206" i="7"/>
  <c r="EI206" i="7"/>
  <c r="EH206" i="7"/>
  <c r="EF206" i="7"/>
  <c r="EE206" i="7"/>
  <c r="ED206" i="7"/>
  <c r="EC206" i="7"/>
  <c r="EA206" i="7"/>
  <c r="DZ206" i="7"/>
  <c r="DY206" i="7"/>
  <c r="DX206" i="7"/>
  <c r="AT207" i="7"/>
  <c r="AS207" i="7"/>
  <c r="AR207" i="7"/>
  <c r="AQ207" i="7"/>
  <c r="AP207" i="7"/>
  <c r="AO207" i="7"/>
  <c r="AN207" i="7"/>
  <c r="AM207" i="7"/>
  <c r="AL207" i="7"/>
  <c r="AK207" i="7"/>
  <c r="AJ207" i="7"/>
  <c r="AI207" i="7"/>
  <c r="AH207" i="7"/>
  <c r="AG207" i="7"/>
  <c r="AF207" i="7"/>
  <c r="AE207" i="7"/>
  <c r="AD207" i="7"/>
  <c r="AC207"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DV202" i="7"/>
  <c r="DU202" i="7"/>
  <c r="DT202" i="7"/>
  <c r="DS202" i="7"/>
  <c r="DW202" i="7" s="1"/>
  <c r="DQ202" i="7"/>
  <c r="DP202" i="7"/>
  <c r="DU203" i="7" s="1"/>
  <c r="DO202" i="7"/>
  <c r="DT203" i="7" s="1"/>
  <c r="DN202" i="7"/>
  <c r="DS203" i="7" s="1"/>
  <c r="DL202" i="7"/>
  <c r="DQ203" i="7" s="1"/>
  <c r="DK202" i="7"/>
  <c r="DP203" i="7" s="1"/>
  <c r="DJ202" i="7"/>
  <c r="DO203" i="7" s="1"/>
  <c r="DI202" i="7"/>
  <c r="DM202" i="7" s="1"/>
  <c r="DG202" i="7"/>
  <c r="DL203" i="7" s="1"/>
  <c r="DF202" i="7"/>
  <c r="DK203" i="7" s="1"/>
  <c r="DE202" i="7"/>
  <c r="DD202" i="7"/>
  <c r="DI203" i="7" s="1"/>
  <c r="DB202" i="7"/>
  <c r="DG203" i="7" s="1"/>
  <c r="DA202" i="7"/>
  <c r="CZ202" i="7"/>
  <c r="DE203" i="7" s="1"/>
  <c r="CY202" i="7"/>
  <c r="DD203" i="7" s="1"/>
  <c r="CW202" i="7"/>
  <c r="CV202" i="7"/>
  <c r="DA203" i="7" s="1"/>
  <c r="CU202" i="7"/>
  <c r="CZ203" i="7" s="1"/>
  <c r="CT202" i="7"/>
  <c r="CY203" i="7" s="1"/>
  <c r="CR202" i="7"/>
  <c r="CW203" i="7" s="1"/>
  <c r="CQ202" i="7"/>
  <c r="CV203" i="7" s="1"/>
  <c r="CP202" i="7"/>
  <c r="CU203" i="7" s="1"/>
  <c r="CO202" i="7"/>
  <c r="CM202" i="7"/>
  <c r="CR203" i="7" s="1"/>
  <c r="CL202" i="7"/>
  <c r="CQ203" i="7" s="1"/>
  <c r="CK202" i="7"/>
  <c r="CJ202" i="7"/>
  <c r="CO203" i="7" s="1"/>
  <c r="CH202" i="7"/>
  <c r="CM203" i="7" s="1"/>
  <c r="CG202" i="7"/>
  <c r="CF202" i="7"/>
  <c r="CK203" i="7" s="1"/>
  <c r="CE202" i="7"/>
  <c r="CJ203" i="7" s="1"/>
  <c r="CC202" i="7"/>
  <c r="CB202" i="7"/>
  <c r="CG203" i="7" s="1"/>
  <c r="CA202" i="7"/>
  <c r="CF203" i="7" s="1"/>
  <c r="BZ202" i="7"/>
  <c r="CE203" i="7" s="1"/>
  <c r="BX202" i="7"/>
  <c r="CC203" i="7" s="1"/>
  <c r="BW202" i="7"/>
  <c r="CB203" i="7" s="1"/>
  <c r="BV202" i="7"/>
  <c r="CA203" i="7" s="1"/>
  <c r="BU202" i="7"/>
  <c r="BY202" i="7" s="1"/>
  <c r="BS202" i="7"/>
  <c r="BX203" i="7" s="1"/>
  <c r="BR202" i="7"/>
  <c r="BW203" i="7" s="1"/>
  <c r="BQ202" i="7"/>
  <c r="BP202" i="7"/>
  <c r="BU203" i="7" s="1"/>
  <c r="BN202" i="7"/>
  <c r="BS203" i="7" s="1"/>
  <c r="BM202" i="7"/>
  <c r="BL202" i="7"/>
  <c r="BQ203" i="7" s="1"/>
  <c r="BK202" i="7"/>
  <c r="BP203" i="7" s="1"/>
  <c r="BI202" i="7"/>
  <c r="BH202" i="7"/>
  <c r="BM203" i="7" s="1"/>
  <c r="BG202" i="7"/>
  <c r="BL203" i="7" s="1"/>
  <c r="BF202" i="7"/>
  <c r="BK203" i="7" s="1"/>
  <c r="BD202" i="7"/>
  <c r="BI203" i="7" s="1"/>
  <c r="BC202" i="7"/>
  <c r="BH203" i="7" s="1"/>
  <c r="BB202" i="7"/>
  <c r="BG203" i="7" s="1"/>
  <c r="BA202" i="7"/>
  <c r="BE202" i="7" s="1"/>
  <c r="AY202" i="7"/>
  <c r="BD203" i="7" s="1"/>
  <c r="AX202" i="7"/>
  <c r="BC203" i="7" s="1"/>
  <c r="AW202" i="7"/>
  <c r="AV202" i="7"/>
  <c r="BA203" i="7" s="1"/>
  <c r="G202" i="7"/>
  <c r="F202" i="7"/>
  <c r="E202" i="7"/>
  <c r="D202" i="7"/>
  <c r="H202" i="7" s="1"/>
  <c r="DL200" i="7"/>
  <c r="DK200" i="7"/>
  <c r="DJ200" i="7"/>
  <c r="DI200" i="7"/>
  <c r="DG200" i="7"/>
  <c r="DF200" i="7"/>
  <c r="DE200" i="7"/>
  <c r="DD200" i="7"/>
  <c r="DB200" i="7"/>
  <c r="DA200" i="7"/>
  <c r="CZ200" i="7"/>
  <c r="CY200" i="7"/>
  <c r="CW200" i="7"/>
  <c r="CV200" i="7"/>
  <c r="CU200" i="7"/>
  <c r="CT200" i="7"/>
  <c r="CR200" i="7"/>
  <c r="CQ200" i="7"/>
  <c r="CP200" i="7"/>
  <c r="CO200" i="7"/>
  <c r="CM200" i="7"/>
  <c r="CL200" i="7"/>
  <c r="CK200" i="7"/>
  <c r="CJ200" i="7"/>
  <c r="CH200" i="7"/>
  <c r="CG200" i="7"/>
  <c r="CF200" i="7"/>
  <c r="CE200" i="7"/>
  <c r="CC200" i="7"/>
  <c r="CB200" i="7"/>
  <c r="CA200" i="7"/>
  <c r="BZ200" i="7"/>
  <c r="BX200" i="7"/>
  <c r="BW200" i="7"/>
  <c r="BV200" i="7"/>
  <c r="BU200" i="7"/>
  <c r="BS200" i="7"/>
  <c r="BR200" i="7"/>
  <c r="BQ200" i="7"/>
  <c r="BP200" i="7"/>
  <c r="BN200" i="7"/>
  <c r="BM200" i="7"/>
  <c r="BL200" i="7"/>
  <c r="BK200" i="7"/>
  <c r="BI200" i="7"/>
  <c r="BH200" i="7"/>
  <c r="BG200" i="7"/>
  <c r="BF200" i="7"/>
  <c r="BD200" i="7"/>
  <c r="BC200" i="7"/>
  <c r="BB200" i="7"/>
  <c r="BA200" i="7"/>
  <c r="AY200" i="7"/>
  <c r="AX200" i="7"/>
  <c r="AW200" i="7"/>
  <c r="AV200" i="7"/>
  <c r="G200" i="7"/>
  <c r="F200" i="7"/>
  <c r="E200" i="7"/>
  <c r="D200" i="7"/>
  <c r="H200" i="7" s="1"/>
  <c r="AT202" i="7"/>
  <c r="AS202" i="7"/>
  <c r="AR202" i="7"/>
  <c r="AP202" i="7"/>
  <c r="AO202" i="7"/>
  <c r="AT203" i="7" s="1"/>
  <c r="AN202" i="7"/>
  <c r="AM202" i="7"/>
  <c r="AK202" i="7"/>
  <c r="AJ202" i="7"/>
  <c r="AI202" i="7"/>
  <c r="AH202" i="7"/>
  <c r="AF202" i="7"/>
  <c r="AE202" i="7"/>
  <c r="AD202" i="7"/>
  <c r="AC202" i="7"/>
  <c r="AA202" i="7"/>
  <c r="Z202" i="7"/>
  <c r="Y202" i="7"/>
  <c r="AD203" i="7" s="1"/>
  <c r="X202" i="7"/>
  <c r="V202" i="7"/>
  <c r="U202" i="7"/>
  <c r="Z203" i="7" s="1"/>
  <c r="T202" i="7"/>
  <c r="S202" i="7"/>
  <c r="Q202" i="7"/>
  <c r="P202" i="7"/>
  <c r="O202" i="7"/>
  <c r="N202" i="7"/>
  <c r="L202" i="7"/>
  <c r="L203" i="7" s="1"/>
  <c r="K202" i="7"/>
  <c r="K203" i="7" s="1"/>
  <c r="J202" i="7"/>
  <c r="J203" i="7" s="1"/>
  <c r="I202" i="7"/>
  <c r="AT200" i="7"/>
  <c r="AS200" i="7"/>
  <c r="AR200" i="7"/>
  <c r="AP200" i="7"/>
  <c r="AO200" i="7"/>
  <c r="AN200" i="7"/>
  <c r="AM200" i="7"/>
  <c r="AK200" i="7"/>
  <c r="AJ200" i="7"/>
  <c r="AI200" i="7"/>
  <c r="AH200" i="7"/>
  <c r="AF200" i="7"/>
  <c r="AE200" i="7"/>
  <c r="AD200" i="7"/>
  <c r="AC200" i="7"/>
  <c r="AA200" i="7"/>
  <c r="Z200" i="7"/>
  <c r="Y200" i="7"/>
  <c r="X200" i="7"/>
  <c r="V200" i="7"/>
  <c r="U200" i="7"/>
  <c r="T200" i="7"/>
  <c r="S200" i="7"/>
  <c r="Q200" i="7"/>
  <c r="P200" i="7"/>
  <c r="O200" i="7"/>
  <c r="N200" i="7"/>
  <c r="L200" i="7"/>
  <c r="K200" i="7"/>
  <c r="K201" i="7" s="1"/>
  <c r="J200" i="7"/>
  <c r="I200" i="7"/>
  <c r="DV200" i="7"/>
  <c r="DU200" i="7"/>
  <c r="DT200" i="7"/>
  <c r="DS200" i="7"/>
  <c r="DQ200" i="7"/>
  <c r="DQ201" i="7" s="1"/>
  <c r="DP200" i="7"/>
  <c r="DP201" i="7" s="1"/>
  <c r="DO200" i="7"/>
  <c r="DO201" i="7" s="1"/>
  <c r="DN200" i="7"/>
  <c r="DV198" i="7"/>
  <c r="DV199" i="7" s="1"/>
  <c r="DU198" i="7"/>
  <c r="DU199" i="7" s="1"/>
  <c r="DT198" i="7"/>
  <c r="DT199" i="7" s="1"/>
  <c r="DS198" i="7"/>
  <c r="DS199" i="7" s="1"/>
  <c r="DQ198" i="7"/>
  <c r="DQ199" i="7" s="1"/>
  <c r="DP198" i="7"/>
  <c r="DP199" i="7" s="1"/>
  <c r="DO198" i="7"/>
  <c r="DO199" i="7" s="1"/>
  <c r="DN198" i="7"/>
  <c r="DN199" i="7" s="1"/>
  <c r="DL198" i="7"/>
  <c r="DL199" i="7" s="1"/>
  <c r="DK198" i="7"/>
  <c r="DK199" i="7" s="1"/>
  <c r="DJ198" i="7"/>
  <c r="DJ199" i="7" s="1"/>
  <c r="DI198" i="7"/>
  <c r="DI199" i="7" s="1"/>
  <c r="DG198" i="7"/>
  <c r="DG199" i="7" s="1"/>
  <c r="DF198" i="7"/>
  <c r="DF199" i="7" s="1"/>
  <c r="DE198" i="7"/>
  <c r="DE199" i="7" s="1"/>
  <c r="DD198" i="7"/>
  <c r="DB198" i="7"/>
  <c r="DA198" i="7"/>
  <c r="DA199" i="7" s="1"/>
  <c r="CZ198" i="7"/>
  <c r="CZ199" i="7" s="1"/>
  <c r="CY198" i="7"/>
  <c r="CY199" i="7" s="1"/>
  <c r="CW198" i="7"/>
  <c r="CW199" i="7" s="1"/>
  <c r="CV198" i="7"/>
  <c r="CV199" i="7" s="1"/>
  <c r="CU198" i="7"/>
  <c r="CU199" i="7" s="1"/>
  <c r="CT198" i="7"/>
  <c r="CT199" i="7" s="1"/>
  <c r="CS198" i="7"/>
  <c r="CS199" i="7" s="1"/>
  <c r="CR198" i="7"/>
  <c r="CR199" i="7" s="1"/>
  <c r="CQ198" i="7"/>
  <c r="CQ199" i="7" s="1"/>
  <c r="CP198" i="7"/>
  <c r="CP199" i="7" s="1"/>
  <c r="CO198" i="7"/>
  <c r="CO199" i="7" s="1"/>
  <c r="CN198" i="7"/>
  <c r="CN199" i="7" s="1"/>
  <c r="CM198" i="7"/>
  <c r="CM199" i="7" s="1"/>
  <c r="CL198" i="7"/>
  <c r="CL199" i="7" s="1"/>
  <c r="CK198" i="7"/>
  <c r="CK199" i="7" s="1"/>
  <c r="CJ198" i="7"/>
  <c r="CJ199" i="7" s="1"/>
  <c r="CI198" i="7"/>
  <c r="CI199" i="7" s="1"/>
  <c r="CH198" i="7"/>
  <c r="CH199" i="7" s="1"/>
  <c r="CG198" i="7"/>
  <c r="CG199" i="7" s="1"/>
  <c r="CF198" i="7"/>
  <c r="CF199" i="7" s="1"/>
  <c r="CE198" i="7"/>
  <c r="CE199" i="7" s="1"/>
  <c r="CD198" i="7"/>
  <c r="CD199" i="7" s="1"/>
  <c r="CC198" i="7"/>
  <c r="CC199" i="7" s="1"/>
  <c r="CB198" i="7"/>
  <c r="CB199" i="7" s="1"/>
  <c r="CA198" i="7"/>
  <c r="CA199" i="7" s="1"/>
  <c r="BZ198" i="7"/>
  <c r="BZ199" i="7" s="1"/>
  <c r="BY198" i="7"/>
  <c r="BY199" i="7" s="1"/>
  <c r="BX198" i="7"/>
  <c r="BX199" i="7" s="1"/>
  <c r="BW198" i="7"/>
  <c r="BW199" i="7" s="1"/>
  <c r="BV198" i="7"/>
  <c r="BV199" i="7" s="1"/>
  <c r="BU198" i="7"/>
  <c r="BU199" i="7" s="1"/>
  <c r="BT198" i="7"/>
  <c r="BT199" i="7" s="1"/>
  <c r="BS198" i="7"/>
  <c r="BS199" i="7" s="1"/>
  <c r="BR198" i="7"/>
  <c r="BQ198" i="7"/>
  <c r="BP198" i="7"/>
  <c r="BO198" i="7"/>
  <c r="BO199" i="7" s="1"/>
  <c r="BN198" i="7"/>
  <c r="BM198" i="7"/>
  <c r="BL198" i="7"/>
  <c r="BQ199" i="7" s="1"/>
  <c r="BK198" i="7"/>
  <c r="BK199" i="7" s="1"/>
  <c r="BJ198" i="7"/>
  <c r="BI198" i="7"/>
  <c r="BH198" i="7"/>
  <c r="BM199" i="7" s="1"/>
  <c r="BG198" i="7"/>
  <c r="BG199" i="7" s="1"/>
  <c r="BF198" i="7"/>
  <c r="BE198" i="7"/>
  <c r="BD198" i="7"/>
  <c r="BC198" i="7"/>
  <c r="BC199" i="7" s="1"/>
  <c r="BB198" i="7"/>
  <c r="BA198" i="7"/>
  <c r="AZ198" i="7"/>
  <c r="BE199" i="7" s="1"/>
  <c r="AY198" i="7"/>
  <c r="AX198" i="7"/>
  <c r="AW198" i="7"/>
  <c r="AV198" i="7"/>
  <c r="BA199" i="7" s="1"/>
  <c r="AT198" i="7"/>
  <c r="AT199" i="7" s="1"/>
  <c r="AS198" i="7"/>
  <c r="AR198" i="7"/>
  <c r="AQ198" i="7"/>
  <c r="AP198" i="7"/>
  <c r="AP199" i="7" s="1"/>
  <c r="AO198" i="7"/>
  <c r="AN198" i="7"/>
  <c r="AM198" i="7"/>
  <c r="AR199" i="7" s="1"/>
  <c r="AL198" i="7"/>
  <c r="AL199" i="7" s="1"/>
  <c r="AK198" i="7"/>
  <c r="AJ198" i="7"/>
  <c r="AI198" i="7"/>
  <c r="AN199" i="7" s="1"/>
  <c r="AH198" i="7"/>
  <c r="AH199" i="7" s="1"/>
  <c r="AG198" i="7"/>
  <c r="AF198" i="7"/>
  <c r="AE198" i="7"/>
  <c r="AJ199" i="7" s="1"/>
  <c r="AD198" i="7"/>
  <c r="AD199" i="7" s="1"/>
  <c r="AC198" i="7"/>
  <c r="AB198" i="7"/>
  <c r="AA198" i="7"/>
  <c r="AF199" i="7" s="1"/>
  <c r="Z198" i="7"/>
  <c r="Z199" i="7" s="1"/>
  <c r="Y198" i="7"/>
  <c r="X198" i="7"/>
  <c r="W198" i="7"/>
  <c r="AB199" i="7" s="1"/>
  <c r="V198" i="7"/>
  <c r="V199" i="7" s="1"/>
  <c r="U198" i="7"/>
  <c r="T198" i="7"/>
  <c r="S198" i="7"/>
  <c r="X199" i="7" s="1"/>
  <c r="R198" i="7"/>
  <c r="R199" i="7" s="1"/>
  <c r="Q198" i="7"/>
  <c r="P198" i="7"/>
  <c r="O198" i="7"/>
  <c r="T199" i="7" s="1"/>
  <c r="N198" i="7"/>
  <c r="N199" i="7" s="1"/>
  <c r="M198" i="7"/>
  <c r="L198" i="7"/>
  <c r="K198" i="7"/>
  <c r="P199" i="7" s="1"/>
  <c r="J198" i="7"/>
  <c r="J199" i="7" s="1"/>
  <c r="I198" i="7"/>
  <c r="H198" i="7"/>
  <c r="G198" i="7"/>
  <c r="L199" i="7" s="1"/>
  <c r="F198" i="7"/>
  <c r="E198" i="7"/>
  <c r="D198" i="7"/>
  <c r="DW195" i="7"/>
  <c r="DV195" i="7"/>
  <c r="DU195" i="7"/>
  <c r="DT195" i="7"/>
  <c r="DS195" i="7"/>
  <c r="DR195" i="7"/>
  <c r="DQ195" i="7"/>
  <c r="DP195" i="7"/>
  <c r="DO195" i="7"/>
  <c r="DT196" i="7" s="1"/>
  <c r="DN195" i="7"/>
  <c r="DM195" i="7"/>
  <c r="DL195" i="7"/>
  <c r="DK195" i="7"/>
  <c r="DP196" i="7" s="1"/>
  <c r="DJ195" i="7"/>
  <c r="DI195" i="7"/>
  <c r="DG195" i="7"/>
  <c r="DF195" i="7"/>
  <c r="DE195" i="7"/>
  <c r="DD195" i="7"/>
  <c r="DC195" i="7"/>
  <c r="DB195" i="7"/>
  <c r="DA195" i="7"/>
  <c r="CZ195" i="7"/>
  <c r="CY195" i="7"/>
  <c r="CX195" i="7"/>
  <c r="CW195" i="7"/>
  <c r="CV195" i="7"/>
  <c r="CU195" i="7"/>
  <c r="CT195" i="7"/>
  <c r="CS195" i="7"/>
  <c r="CR195" i="7"/>
  <c r="CQ195" i="7"/>
  <c r="CP195" i="7"/>
  <c r="CO195" i="7"/>
  <c r="CN195" i="7"/>
  <c r="CM195" i="7"/>
  <c r="CL195" i="7"/>
  <c r="CK195" i="7"/>
  <c r="CJ195" i="7"/>
  <c r="CI195" i="7"/>
  <c r="CH195" i="7"/>
  <c r="CG195" i="7"/>
  <c r="CF195" i="7"/>
  <c r="CE195" i="7"/>
  <c r="CD195" i="7"/>
  <c r="CC195" i="7"/>
  <c r="CB195" i="7"/>
  <c r="CA195" i="7"/>
  <c r="BZ195" i="7"/>
  <c r="BY195" i="7"/>
  <c r="BX195" i="7"/>
  <c r="BW195" i="7"/>
  <c r="BV195" i="7"/>
  <c r="BU195" i="7"/>
  <c r="BT195" i="7"/>
  <c r="BS195" i="7"/>
  <c r="BR195" i="7"/>
  <c r="BQ195" i="7"/>
  <c r="BP195" i="7"/>
  <c r="BO195" i="7"/>
  <c r="BN195" i="7"/>
  <c r="BM195" i="7"/>
  <c r="BL195" i="7"/>
  <c r="BK195" i="7"/>
  <c r="BJ195" i="7"/>
  <c r="BI195" i="7"/>
  <c r="BH195" i="7"/>
  <c r="BG195" i="7"/>
  <c r="BF195" i="7"/>
  <c r="BE195" i="7"/>
  <c r="BD195" i="7"/>
  <c r="BC195" i="7"/>
  <c r="BB195" i="7"/>
  <c r="BA195" i="7"/>
  <c r="AZ195" i="7"/>
  <c r="AY195" i="7"/>
  <c r="AX195" i="7"/>
  <c r="AW195" i="7"/>
  <c r="AV195" i="7"/>
  <c r="AR196" i="7"/>
  <c r="AN196" i="7"/>
  <c r="AM196" i="7"/>
  <c r="X196" i="7"/>
  <c r="T196" i="7"/>
  <c r="S196" i="7"/>
  <c r="Q196" i="7"/>
  <c r="AT195" i="7"/>
  <c r="AS195" i="7"/>
  <c r="AS196" i="7" s="1"/>
  <c r="AR195" i="7"/>
  <c r="AP195" i="7"/>
  <c r="AO195" i="7"/>
  <c r="AO196" i="7" s="1"/>
  <c r="AN195" i="7"/>
  <c r="AM195" i="7"/>
  <c r="AQ195" i="7" s="1"/>
  <c r="AK195" i="7"/>
  <c r="AK196" i="7" s="1"/>
  <c r="AJ195" i="7"/>
  <c r="AI195" i="7"/>
  <c r="AH195" i="7"/>
  <c r="AF195" i="7"/>
  <c r="AE195" i="7"/>
  <c r="AJ196" i="7" s="1"/>
  <c r="AD195" i="7"/>
  <c r="AC195" i="7"/>
  <c r="AC196" i="7" s="1"/>
  <c r="AA195" i="7"/>
  <c r="AF196" i="7" s="1"/>
  <c r="Z195" i="7"/>
  <c r="Y195" i="7"/>
  <c r="Y196" i="7" s="1"/>
  <c r="X195" i="7"/>
  <c r="AB195" i="7" s="1"/>
  <c r="V195" i="7"/>
  <c r="U195" i="7"/>
  <c r="U196" i="7" s="1"/>
  <c r="T195" i="7"/>
  <c r="S195" i="7"/>
  <c r="W195" i="7" s="1"/>
  <c r="Q195" i="7"/>
  <c r="P195" i="7"/>
  <c r="O195" i="7"/>
  <c r="N195" i="7"/>
  <c r="L195" i="7"/>
  <c r="K195" i="7"/>
  <c r="P196" i="7" s="1"/>
  <c r="J195" i="7"/>
  <c r="I195" i="7"/>
  <c r="I196" i="7" s="1"/>
  <c r="G195" i="7"/>
  <c r="L196" i="7" s="1"/>
  <c r="F195" i="7"/>
  <c r="E195" i="7"/>
  <c r="D195" i="7"/>
  <c r="H195" i="7" s="1"/>
  <c r="AQ193" i="7"/>
  <c r="AL193" i="7"/>
  <c r="AG193" i="7"/>
  <c r="AB193" i="7"/>
  <c r="W193" i="7"/>
  <c r="R193" i="7"/>
  <c r="M193" i="7"/>
  <c r="H193" i="7"/>
  <c r="EL190" i="7"/>
  <c r="EG190" i="7"/>
  <c r="EB190" i="7"/>
  <c r="DV188" i="7"/>
  <c r="DU188" i="7"/>
  <c r="DT188" i="7"/>
  <c r="DS188" i="7"/>
  <c r="DQ188" i="7"/>
  <c r="DP188" i="7"/>
  <c r="DO188" i="7"/>
  <c r="DN188" i="7"/>
  <c r="DL188" i="7"/>
  <c r="DK188" i="7"/>
  <c r="DJ188" i="7"/>
  <c r="DI188" i="7"/>
  <c r="DN189" i="7" s="1"/>
  <c r="DG188" i="7"/>
  <c r="DF188" i="7"/>
  <c r="DE188" i="7"/>
  <c r="DD188" i="7"/>
  <c r="DC188" i="7"/>
  <c r="DB188" i="7"/>
  <c r="DA188" i="7"/>
  <c r="CZ188" i="7"/>
  <c r="CY188" i="7"/>
  <c r="CX188" i="7"/>
  <c r="CW188" i="7"/>
  <c r="CV188" i="7"/>
  <c r="CU188" i="7"/>
  <c r="CT188" i="7"/>
  <c r="CS188" i="7"/>
  <c r="CR188" i="7"/>
  <c r="CQ188" i="7"/>
  <c r="CP188" i="7"/>
  <c r="CO188" i="7"/>
  <c r="CN188" i="7"/>
  <c r="CM188" i="7"/>
  <c r="CL188" i="7"/>
  <c r="CK188" i="7"/>
  <c r="CJ188" i="7"/>
  <c r="CI188" i="7"/>
  <c r="CH188" i="7"/>
  <c r="CG188" i="7"/>
  <c r="CF188" i="7"/>
  <c r="CE188" i="7"/>
  <c r="CD188" i="7"/>
  <c r="CC188" i="7"/>
  <c r="CB188" i="7"/>
  <c r="CA188" i="7"/>
  <c r="BZ188" i="7"/>
  <c r="BX188" i="7"/>
  <c r="BW188" i="7"/>
  <c r="BV188" i="7"/>
  <c r="BU188" i="7"/>
  <c r="BS188" i="7"/>
  <c r="BR188" i="7"/>
  <c r="BQ188" i="7"/>
  <c r="BP188" i="7"/>
  <c r="BO188" i="7"/>
  <c r="BN188" i="7"/>
  <c r="BM188" i="7"/>
  <c r="BL188" i="7"/>
  <c r="BK188" i="7"/>
  <c r="BJ188" i="7"/>
  <c r="BI188" i="7"/>
  <c r="BH188" i="7"/>
  <c r="BG188" i="7"/>
  <c r="BF188" i="7"/>
  <c r="BE188" i="7"/>
  <c r="BD188" i="7"/>
  <c r="BC188" i="7"/>
  <c r="BB188" i="7"/>
  <c r="BA188" i="7"/>
  <c r="AZ188" i="7"/>
  <c r="AY188" i="7"/>
  <c r="AX188" i="7"/>
  <c r="AW188" i="7"/>
  <c r="AV188" i="7"/>
  <c r="AT188" i="7"/>
  <c r="AS188" i="7"/>
  <c r="AR188" i="7"/>
  <c r="AP188" i="7"/>
  <c r="AO188" i="7"/>
  <c r="AN188" i="7"/>
  <c r="AM188" i="7"/>
  <c r="AK188" i="7"/>
  <c r="AJ188" i="7"/>
  <c r="AI188" i="7"/>
  <c r="AN189" i="7" s="1"/>
  <c r="AH188" i="7"/>
  <c r="AM189" i="7" s="1"/>
  <c r="AF188" i="7"/>
  <c r="AE188" i="7"/>
  <c r="AJ189" i="7" s="1"/>
  <c r="AD188" i="7"/>
  <c r="AC188" i="7"/>
  <c r="AA188" i="7"/>
  <c r="Z188" i="7"/>
  <c r="AE189" i="7" s="1"/>
  <c r="Y188" i="7"/>
  <c r="AD189" i="7" s="1"/>
  <c r="X188" i="7"/>
  <c r="V188" i="7"/>
  <c r="U188" i="7"/>
  <c r="T188" i="7"/>
  <c r="S188" i="7"/>
  <c r="X189" i="7" s="1"/>
  <c r="Q188" i="7"/>
  <c r="P188" i="7"/>
  <c r="O188" i="7"/>
  <c r="T189" i="7" s="1"/>
  <c r="N188" i="7"/>
  <c r="S189" i="7" s="1"/>
  <c r="L188" i="7"/>
  <c r="K188" i="7"/>
  <c r="P189" i="7" s="1"/>
  <c r="J188" i="7"/>
  <c r="I188" i="7"/>
  <c r="G188" i="7"/>
  <c r="F188" i="7"/>
  <c r="K189" i="7" s="1"/>
  <c r="E188" i="7"/>
  <c r="D188" i="7"/>
  <c r="DV184" i="7"/>
  <c r="DU184" i="7"/>
  <c r="DU192" i="7" s="1"/>
  <c r="DU193" i="7" s="1"/>
  <c r="DT184" i="7"/>
  <c r="DS184" i="7"/>
  <c r="DQ184" i="7"/>
  <c r="DV185" i="7" s="1"/>
  <c r="DP184" i="7"/>
  <c r="DO184" i="7"/>
  <c r="DN184" i="7"/>
  <c r="DN190" i="7" s="1"/>
  <c r="DL184" i="7"/>
  <c r="DK184" i="7"/>
  <c r="DJ184" i="7"/>
  <c r="DO185" i="7" s="1"/>
  <c r="DI184" i="7"/>
  <c r="DN185" i="7" s="1"/>
  <c r="DG184" i="7"/>
  <c r="DF184" i="7"/>
  <c r="DK185" i="7" s="1"/>
  <c r="DE184" i="7"/>
  <c r="DE190" i="7" s="1"/>
  <c r="DD184" i="7"/>
  <c r="DB184" i="7"/>
  <c r="DA184" i="7"/>
  <c r="DA192" i="7" s="1"/>
  <c r="DA193" i="7" s="1"/>
  <c r="CZ184" i="7"/>
  <c r="DE185" i="7" s="1"/>
  <c r="CY184" i="7"/>
  <c r="CW184" i="7"/>
  <c r="CV184" i="7"/>
  <c r="CU184" i="7"/>
  <c r="CU190" i="7" s="1"/>
  <c r="CT184" i="7"/>
  <c r="CR184" i="7"/>
  <c r="CQ184" i="7"/>
  <c r="CQ190" i="7" s="1"/>
  <c r="CP184" i="7"/>
  <c r="CU185" i="7" s="1"/>
  <c r="CO184" i="7"/>
  <c r="CM184" i="7"/>
  <c r="CL184" i="7"/>
  <c r="CK184" i="7"/>
  <c r="CK192" i="7" s="1"/>
  <c r="CK193" i="7" s="1"/>
  <c r="CJ184" i="7"/>
  <c r="CH184" i="7"/>
  <c r="CM185" i="7" s="1"/>
  <c r="CG184" i="7"/>
  <c r="CG192" i="7" s="1"/>
  <c r="CG193" i="7" s="1"/>
  <c r="CF184" i="7"/>
  <c r="CE184" i="7"/>
  <c r="CC184" i="7"/>
  <c r="CB184" i="7"/>
  <c r="CA184" i="7"/>
  <c r="CA190" i="7" s="1"/>
  <c r="BZ184" i="7"/>
  <c r="CE185" i="7" s="1"/>
  <c r="BX184" i="7"/>
  <c r="BW184" i="7"/>
  <c r="BW190" i="7" s="1"/>
  <c r="BV184" i="7"/>
  <c r="BU184" i="7"/>
  <c r="BS184" i="7"/>
  <c r="BR184" i="7"/>
  <c r="BW185" i="7" s="1"/>
  <c r="BQ184" i="7"/>
  <c r="BP184" i="7"/>
  <c r="BN184" i="7"/>
  <c r="BM184" i="7"/>
  <c r="BM190" i="7" s="1"/>
  <c r="BL184" i="7"/>
  <c r="BK184" i="7"/>
  <c r="BI184" i="7"/>
  <c r="BH184" i="7"/>
  <c r="BG184" i="7"/>
  <c r="BG190" i="7" s="1"/>
  <c r="BF184" i="7"/>
  <c r="BK185" i="7" s="1"/>
  <c r="BD184" i="7"/>
  <c r="BI185" i="7" s="1"/>
  <c r="BC184" i="7"/>
  <c r="BC190" i="7" s="1"/>
  <c r="BB184" i="7"/>
  <c r="BG185" i="7" s="1"/>
  <c r="BA184" i="7"/>
  <c r="AY184" i="7"/>
  <c r="AX184" i="7"/>
  <c r="AX190" i="7" s="1"/>
  <c r="AW184" i="7"/>
  <c r="AW190" i="7" s="1"/>
  <c r="AV184" i="7"/>
  <c r="AV190" i="7" s="1"/>
  <c r="AD185" i="7"/>
  <c r="AT184" i="7"/>
  <c r="AS184" i="7"/>
  <c r="AR184" i="7"/>
  <c r="AP184" i="7"/>
  <c r="AP185" i="7" s="1"/>
  <c r="AO184" i="7"/>
  <c r="AO186" i="7" s="1"/>
  <c r="AN184" i="7"/>
  <c r="AM184" i="7"/>
  <c r="AM186" i="7" s="1"/>
  <c r="AK184" i="7"/>
  <c r="AJ184" i="7"/>
  <c r="AI184" i="7"/>
  <c r="AI186" i="7" s="1"/>
  <c r="AH184" i="7"/>
  <c r="AF184" i="7"/>
  <c r="AF186" i="7" s="1"/>
  <c r="AE184" i="7"/>
  <c r="AD184" i="7"/>
  <c r="AC184" i="7"/>
  <c r="AA184" i="7"/>
  <c r="AA186" i="7" s="1"/>
  <c r="Z184" i="7"/>
  <c r="Y184" i="7"/>
  <c r="Y186" i="7" s="1"/>
  <c r="X184" i="7"/>
  <c r="V184" i="7"/>
  <c r="V186" i="7" s="1"/>
  <c r="U184" i="7"/>
  <c r="U186" i="7" s="1"/>
  <c r="T184" i="7"/>
  <c r="T186" i="7" s="1"/>
  <c r="S184" i="7"/>
  <c r="Q184" i="7"/>
  <c r="P184" i="7"/>
  <c r="O184" i="7"/>
  <c r="O186" i="7" s="1"/>
  <c r="N184" i="7"/>
  <c r="L184" i="7"/>
  <c r="K184" i="7"/>
  <c r="K186" i="7" s="1"/>
  <c r="J184" i="7"/>
  <c r="I184" i="7"/>
  <c r="G184" i="7"/>
  <c r="F184" i="7"/>
  <c r="E184" i="7"/>
  <c r="D184" i="7"/>
  <c r="DW180" i="7"/>
  <c r="DV180" i="7"/>
  <c r="DU180" i="7"/>
  <c r="DT180" i="7"/>
  <c r="DS180" i="7"/>
  <c r="DR180" i="7"/>
  <c r="DQ180" i="7"/>
  <c r="DQ181" i="7" s="1"/>
  <c r="DP180" i="7"/>
  <c r="DO180" i="7"/>
  <c r="DN180" i="7"/>
  <c r="DM180" i="7"/>
  <c r="DL180" i="7"/>
  <c r="DK180" i="7"/>
  <c r="DJ180" i="7"/>
  <c r="DI180" i="7"/>
  <c r="DG180" i="7"/>
  <c r="DF180" i="7"/>
  <c r="DK181" i="7" s="1"/>
  <c r="DE180" i="7"/>
  <c r="DD180" i="7"/>
  <c r="DB180" i="7"/>
  <c r="DG181" i="7" s="1"/>
  <c r="DA180" i="7"/>
  <c r="DF181" i="7" s="1"/>
  <c r="CZ180" i="7"/>
  <c r="CY180" i="7"/>
  <c r="CW180" i="7"/>
  <c r="CV180" i="7"/>
  <c r="CU180" i="7"/>
  <c r="CT180" i="7"/>
  <c r="CY181" i="7" s="1"/>
  <c r="CR180" i="7"/>
  <c r="CQ180" i="7"/>
  <c r="CP180" i="7"/>
  <c r="CU181" i="7" s="1"/>
  <c r="CO180" i="7"/>
  <c r="BL181" i="7"/>
  <c r="CM180" i="7"/>
  <c r="CL180" i="7"/>
  <c r="CK180" i="7"/>
  <c r="CJ180" i="7"/>
  <c r="CH180" i="7"/>
  <c r="CG180" i="7"/>
  <c r="CF180" i="7"/>
  <c r="CF181" i="7" s="1"/>
  <c r="CE180" i="7"/>
  <c r="CC180" i="7"/>
  <c r="CB180" i="7"/>
  <c r="CA180" i="7"/>
  <c r="BZ180" i="7"/>
  <c r="BX180" i="7"/>
  <c r="BW180" i="7"/>
  <c r="BV180" i="7"/>
  <c r="BU180" i="7"/>
  <c r="BS180" i="7"/>
  <c r="BR180" i="7"/>
  <c r="BQ180" i="7"/>
  <c r="BP180" i="7"/>
  <c r="BN180" i="7"/>
  <c r="BM180" i="7"/>
  <c r="BL180" i="7"/>
  <c r="BK180" i="7"/>
  <c r="BI180" i="7"/>
  <c r="BH180" i="7"/>
  <c r="BG180" i="7"/>
  <c r="BF180" i="7"/>
  <c r="BD180" i="7"/>
  <c r="BC180" i="7"/>
  <c r="BB180" i="7"/>
  <c r="BA180" i="7"/>
  <c r="AY180" i="7"/>
  <c r="AX180" i="7"/>
  <c r="AW180" i="7"/>
  <c r="AV180" i="7"/>
  <c r="AJ181" i="7"/>
  <c r="AE181" i="7"/>
  <c r="AT180" i="7"/>
  <c r="AS180" i="7"/>
  <c r="AR180" i="7"/>
  <c r="AP180" i="7"/>
  <c r="AO180" i="7"/>
  <c r="AN180" i="7"/>
  <c r="AM180" i="7"/>
  <c r="AK180" i="7"/>
  <c r="AJ180" i="7"/>
  <c r="AI180" i="7"/>
  <c r="AH180" i="7"/>
  <c r="AF180" i="7"/>
  <c r="AE180" i="7"/>
  <c r="AD180" i="7"/>
  <c r="AC180" i="7"/>
  <c r="AA180" i="7"/>
  <c r="Z180" i="7"/>
  <c r="Y180" i="7"/>
  <c r="X180" i="7"/>
  <c r="V180" i="7"/>
  <c r="U180" i="7"/>
  <c r="T180" i="7"/>
  <c r="S180" i="7"/>
  <c r="Q180" i="7"/>
  <c r="P180" i="7"/>
  <c r="O180" i="7"/>
  <c r="N180" i="7"/>
  <c r="L180" i="7"/>
  <c r="K180" i="7"/>
  <c r="J180" i="7"/>
  <c r="I180" i="7"/>
  <c r="G180" i="7"/>
  <c r="F180" i="7"/>
  <c r="E180" i="7"/>
  <c r="D180" i="7"/>
  <c r="BJ178" i="7"/>
  <c r="BE178" i="7"/>
  <c r="AZ178" i="7"/>
  <c r="AQ178" i="7"/>
  <c r="AL178" i="7"/>
  <c r="AG178" i="7"/>
  <c r="AB178" i="7"/>
  <c r="W178" i="7"/>
  <c r="R178" i="7"/>
  <c r="M178" i="7"/>
  <c r="H178" i="7"/>
  <c r="BJ176" i="7"/>
  <c r="BE176" i="7"/>
  <c r="AQ176" i="7"/>
  <c r="AL176" i="7"/>
  <c r="AG176" i="7"/>
  <c r="AB176" i="7"/>
  <c r="W176" i="7"/>
  <c r="R176" i="7"/>
  <c r="M176" i="7"/>
  <c r="EL172" i="7"/>
  <c r="EG172" i="7"/>
  <c r="EB172" i="7"/>
  <c r="EF171" i="7"/>
  <c r="EK171" i="7" s="1"/>
  <c r="ED171" i="7"/>
  <c r="EI171" i="7" s="1"/>
  <c r="EC171" i="7"/>
  <c r="DV172" i="7"/>
  <c r="DV173" i="7" s="1"/>
  <c r="DU172" i="7"/>
  <c r="DT172" i="7"/>
  <c r="DS172" i="7"/>
  <c r="DQ172" i="7"/>
  <c r="DP172" i="7"/>
  <c r="DO172" i="7"/>
  <c r="DN172" i="7"/>
  <c r="DL172" i="7"/>
  <c r="DK172" i="7"/>
  <c r="DJ172" i="7"/>
  <c r="DI172" i="7"/>
  <c r="DG172" i="7"/>
  <c r="DF172" i="7"/>
  <c r="DE172" i="7"/>
  <c r="DD172" i="7"/>
  <c r="DB172" i="7"/>
  <c r="DA172" i="7"/>
  <c r="CZ172" i="7"/>
  <c r="CY172" i="7"/>
  <c r="CW172" i="7"/>
  <c r="CV172" i="7"/>
  <c r="CU172" i="7"/>
  <c r="CT172" i="7"/>
  <c r="CR172" i="7"/>
  <c r="CQ172" i="7"/>
  <c r="CP172" i="7"/>
  <c r="CO172" i="7"/>
  <c r="CM172" i="7"/>
  <c r="CL172" i="7"/>
  <c r="CK172" i="7"/>
  <c r="CJ172" i="7"/>
  <c r="CH172" i="7"/>
  <c r="CG172" i="7"/>
  <c r="CF172" i="7"/>
  <c r="CE172" i="7"/>
  <c r="CC172" i="7"/>
  <c r="CB172" i="7"/>
  <c r="CA172" i="7"/>
  <c r="BZ172" i="7"/>
  <c r="BX172" i="7"/>
  <c r="BW172" i="7"/>
  <c r="BV172" i="7"/>
  <c r="BU172" i="7"/>
  <c r="BS172" i="7"/>
  <c r="BR172" i="7"/>
  <c r="BQ172" i="7"/>
  <c r="BP172" i="7"/>
  <c r="BN172" i="7"/>
  <c r="BM172" i="7"/>
  <c r="BL172" i="7"/>
  <c r="BK172" i="7"/>
  <c r="BI172" i="7"/>
  <c r="BH172" i="7"/>
  <c r="BG172" i="7"/>
  <c r="BF172" i="7"/>
  <c r="BD172" i="7"/>
  <c r="BC172" i="7"/>
  <c r="BB172" i="7"/>
  <c r="BA172" i="7"/>
  <c r="AY172" i="7"/>
  <c r="AX172" i="7"/>
  <c r="AW172" i="7"/>
  <c r="AV172" i="7"/>
  <c r="G172" i="7"/>
  <c r="F172" i="7"/>
  <c r="E172" i="7"/>
  <c r="D172" i="7"/>
  <c r="DA168" i="7"/>
  <c r="DV167" i="7"/>
  <c r="DV169" i="7" s="1"/>
  <c r="DU167" i="7"/>
  <c r="DU169" i="7" s="1"/>
  <c r="DT167" i="7"/>
  <c r="DS167" i="7"/>
  <c r="DS169" i="7" s="1"/>
  <c r="DQ167" i="7"/>
  <c r="DQ169" i="7" s="1"/>
  <c r="DP167" i="7"/>
  <c r="DO167" i="7"/>
  <c r="DO169" i="7" s="1"/>
  <c r="DN167" i="7"/>
  <c r="DS168" i="7" s="1"/>
  <c r="DL167" i="7"/>
  <c r="DK167" i="7"/>
  <c r="DK169" i="7" s="1"/>
  <c r="DJ167" i="7"/>
  <c r="DO168" i="7" s="1"/>
  <c r="DI167" i="7"/>
  <c r="DI169" i="7" s="1"/>
  <c r="DG167" i="7"/>
  <c r="DF167" i="7"/>
  <c r="DK168" i="7" s="1"/>
  <c r="DE167" i="7"/>
  <c r="DD167" i="7"/>
  <c r="DB167" i="7"/>
  <c r="DB169" i="7" s="1"/>
  <c r="DA167" i="7"/>
  <c r="CZ167" i="7"/>
  <c r="CZ169" i="7" s="1"/>
  <c r="CY167" i="7"/>
  <c r="CW167" i="7"/>
  <c r="CW169" i="7" s="1"/>
  <c r="CV167" i="7"/>
  <c r="CV169" i="7" s="1"/>
  <c r="CU167" i="7"/>
  <c r="CU169" i="7" s="1"/>
  <c r="CT167" i="7"/>
  <c r="CY168" i="7" s="1"/>
  <c r="CR167" i="7"/>
  <c r="CR169" i="7" s="1"/>
  <c r="CQ167" i="7"/>
  <c r="CQ169" i="7" s="1"/>
  <c r="CP167" i="7"/>
  <c r="CU168" i="7" s="1"/>
  <c r="CO167" i="7"/>
  <c r="CO169" i="7" s="1"/>
  <c r="CM167" i="7"/>
  <c r="CM169" i="7" s="1"/>
  <c r="CL167" i="7"/>
  <c r="CQ168" i="7" s="1"/>
  <c r="CK167" i="7"/>
  <c r="CK169" i="7" s="1"/>
  <c r="CJ167" i="7"/>
  <c r="CJ169" i="7" s="1"/>
  <c r="CH167" i="7"/>
  <c r="CM168" i="7" s="1"/>
  <c r="CG167" i="7"/>
  <c r="CG169" i="7" s="1"/>
  <c r="CF167" i="7"/>
  <c r="CE167" i="7"/>
  <c r="CE169" i="7" s="1"/>
  <c r="CC167" i="7"/>
  <c r="CC169" i="7" s="1"/>
  <c r="CB167" i="7"/>
  <c r="CA167" i="7"/>
  <c r="CA169" i="7" s="1"/>
  <c r="BZ167" i="7"/>
  <c r="CE168" i="7" s="1"/>
  <c r="BX167" i="7"/>
  <c r="BX169" i="7" s="1"/>
  <c r="BW167" i="7"/>
  <c r="BW169" i="7" s="1"/>
  <c r="BV167" i="7"/>
  <c r="CA168" i="7" s="1"/>
  <c r="BU167" i="7"/>
  <c r="BU169" i="7" s="1"/>
  <c r="BS167" i="7"/>
  <c r="BS169" i="7" s="1"/>
  <c r="BR167" i="7"/>
  <c r="BW168" i="7" s="1"/>
  <c r="BQ167" i="7"/>
  <c r="BQ169" i="7" s="1"/>
  <c r="BP167" i="7"/>
  <c r="BP169" i="7" s="1"/>
  <c r="BN167" i="7"/>
  <c r="BS168" i="7" s="1"/>
  <c r="BM167" i="7"/>
  <c r="BM169" i="7" s="1"/>
  <c r="BL167" i="7"/>
  <c r="BK167" i="7"/>
  <c r="BK169" i="7" s="1"/>
  <c r="BI167" i="7"/>
  <c r="BI169" i="7" s="1"/>
  <c r="BH167" i="7"/>
  <c r="BH169" i="7" s="1"/>
  <c r="BG167" i="7"/>
  <c r="BG169" i="7" s="1"/>
  <c r="BF167" i="7"/>
  <c r="BK168" i="7" s="1"/>
  <c r="BD167" i="7"/>
  <c r="BD169" i="7" s="1"/>
  <c r="BC167" i="7"/>
  <c r="BC169" i="7" s="1"/>
  <c r="BB167" i="7"/>
  <c r="BG168" i="7" s="1"/>
  <c r="BA167" i="7"/>
  <c r="BA169" i="7" s="1"/>
  <c r="AY167" i="7"/>
  <c r="AX167" i="7"/>
  <c r="BC168" i="7" s="1"/>
  <c r="AW167" i="7"/>
  <c r="BB168" i="7" s="1"/>
  <c r="AV167" i="7"/>
  <c r="AT172" i="7"/>
  <c r="AS172" i="7"/>
  <c r="AR172" i="7"/>
  <c r="AP172" i="7"/>
  <c r="AO172" i="7"/>
  <c r="AN172" i="7"/>
  <c r="AM172" i="7"/>
  <c r="AK172" i="7"/>
  <c r="AJ172" i="7"/>
  <c r="AI172" i="7"/>
  <c r="AH172" i="7"/>
  <c r="AF172" i="7"/>
  <c r="AE172" i="7"/>
  <c r="AD172" i="7"/>
  <c r="AC172" i="7"/>
  <c r="AA172" i="7"/>
  <c r="Z172" i="7"/>
  <c r="Y172" i="7"/>
  <c r="X172" i="7"/>
  <c r="V172" i="7"/>
  <c r="U172" i="7"/>
  <c r="T172" i="7"/>
  <c r="T173" i="7" s="1"/>
  <c r="S172" i="7"/>
  <c r="Q172" i="7"/>
  <c r="P172" i="7"/>
  <c r="O172" i="7"/>
  <c r="N172" i="7"/>
  <c r="L172" i="7"/>
  <c r="L173" i="7" s="1"/>
  <c r="K172" i="7"/>
  <c r="K173" i="7" s="1"/>
  <c r="J172" i="7"/>
  <c r="I172" i="7"/>
  <c r="AN169" i="7"/>
  <c r="S169" i="7"/>
  <c r="AT167" i="7"/>
  <c r="AT169" i="7" s="1"/>
  <c r="AS167" i="7"/>
  <c r="AS169" i="7" s="1"/>
  <c r="AR167" i="7"/>
  <c r="AP167" i="7"/>
  <c r="AP169" i="7" s="1"/>
  <c r="AO167" i="7"/>
  <c r="AO169" i="7" s="1"/>
  <c r="AN167" i="7"/>
  <c r="AS168" i="7" s="1"/>
  <c r="AM167" i="7"/>
  <c r="AM169" i="7" s="1"/>
  <c r="AK167" i="7"/>
  <c r="AK169" i="7" s="1"/>
  <c r="AJ167" i="7"/>
  <c r="AJ169" i="7" s="1"/>
  <c r="AI167" i="7"/>
  <c r="AI169" i="7" s="1"/>
  <c r="AH167" i="7"/>
  <c r="AH169" i="7" s="1"/>
  <c r="AF167" i="7"/>
  <c r="AK168" i="7" s="1"/>
  <c r="AE167" i="7"/>
  <c r="AD167" i="7"/>
  <c r="AD169" i="7" s="1"/>
  <c r="AC167" i="7"/>
  <c r="AC169" i="7" s="1"/>
  <c r="AA167" i="7"/>
  <c r="AA169" i="7" s="1"/>
  <c r="Z167" i="7"/>
  <c r="Z169" i="7" s="1"/>
  <c r="Y167" i="7"/>
  <c r="Y169" i="7" s="1"/>
  <c r="X167" i="7"/>
  <c r="AC168" i="7" s="1"/>
  <c r="V167" i="7"/>
  <c r="V169" i="7" s="1"/>
  <c r="U167" i="7"/>
  <c r="U169" i="7" s="1"/>
  <c r="T167" i="7"/>
  <c r="S167" i="7"/>
  <c r="Q167" i="7"/>
  <c r="Q169" i="7" s="1"/>
  <c r="P167" i="7"/>
  <c r="P169" i="7" s="1"/>
  <c r="O167" i="7"/>
  <c r="O169" i="7" s="1"/>
  <c r="N167" i="7"/>
  <c r="N169" i="7" s="1"/>
  <c r="L167" i="7"/>
  <c r="K167" i="7"/>
  <c r="J167" i="7"/>
  <c r="J169" i="7" s="1"/>
  <c r="I167" i="7"/>
  <c r="I169" i="7" s="1"/>
  <c r="G167" i="7"/>
  <c r="F167" i="7"/>
  <c r="E167" i="7"/>
  <c r="D167" i="7"/>
  <c r="EK163" i="7"/>
  <c r="EJ163" i="7"/>
  <c r="EJ161" i="7" s="1"/>
  <c r="EI163" i="7"/>
  <c r="EI161" i="7" s="1"/>
  <c r="EH163" i="7"/>
  <c r="EH161" i="7" s="1"/>
  <c r="EF163" i="7"/>
  <c r="EF161" i="7" s="1"/>
  <c r="EE163" i="7"/>
  <c r="EE161" i="7" s="1"/>
  <c r="ED163" i="7"/>
  <c r="EC163" i="7"/>
  <c r="EC161" i="7" s="1"/>
  <c r="EA163" i="7"/>
  <c r="DZ163" i="7"/>
  <c r="DZ161" i="7" s="1"/>
  <c r="DY163" i="7"/>
  <c r="DY161" i="7" s="1"/>
  <c r="DX163" i="7"/>
  <c r="DM162" i="7"/>
  <c r="DH162" i="7"/>
  <c r="EA161" i="7"/>
  <c r="DX161" i="7"/>
  <c r="EK161" i="7"/>
  <c r="ED161" i="7"/>
  <c r="DV160" i="7"/>
  <c r="DV162" i="7" s="1"/>
  <c r="DU160" i="7"/>
  <c r="DU162" i="7" s="1"/>
  <c r="DT160" i="7"/>
  <c r="DT175" i="7" s="1"/>
  <c r="DS160" i="7"/>
  <c r="DS162" i="7" s="1"/>
  <c r="DQ160" i="7"/>
  <c r="DQ162" i="7" s="1"/>
  <c r="DP160" i="7"/>
  <c r="DP175" i="7" s="1"/>
  <c r="DO160" i="7"/>
  <c r="DO162" i="7" s="1"/>
  <c r="DN160" i="7"/>
  <c r="DN162" i="7" s="1"/>
  <c r="DL160" i="7"/>
  <c r="DK160" i="7"/>
  <c r="DK162" i="7" s="1"/>
  <c r="DJ160" i="7"/>
  <c r="DJ162" i="7" s="1"/>
  <c r="DI160" i="7"/>
  <c r="DI162" i="7" s="1"/>
  <c r="DG160" i="7"/>
  <c r="DF160" i="7"/>
  <c r="DE160" i="7"/>
  <c r="DD160" i="7"/>
  <c r="DB160" i="7"/>
  <c r="DB162" i="7" s="1"/>
  <c r="DA160" i="7"/>
  <c r="DA162" i="7" s="1"/>
  <c r="CZ160" i="7"/>
  <c r="CZ175" i="7" s="1"/>
  <c r="CY160" i="7"/>
  <c r="CY162" i="7" s="1"/>
  <c r="CW160" i="7"/>
  <c r="CW170" i="7" s="1"/>
  <c r="CV160" i="7"/>
  <c r="CV175" i="7" s="1"/>
  <c r="CU160" i="7"/>
  <c r="CU162" i="7" s="1"/>
  <c r="CT160" i="7"/>
  <c r="CT162" i="7" s="1"/>
  <c r="CR160" i="7"/>
  <c r="CQ160" i="7"/>
  <c r="CP160" i="7"/>
  <c r="CP162" i="7" s="1"/>
  <c r="CO160" i="7"/>
  <c r="CO162" i="7" s="1"/>
  <c r="CM160" i="7"/>
  <c r="CM162" i="7" s="1"/>
  <c r="CL160" i="7"/>
  <c r="CL162" i="7" s="1"/>
  <c r="CK160" i="7"/>
  <c r="CK162" i="7" s="1"/>
  <c r="CJ160" i="7"/>
  <c r="CJ162" i="7" s="1"/>
  <c r="CH160" i="7"/>
  <c r="CH162" i="7" s="1"/>
  <c r="CG160" i="7"/>
  <c r="CG162" i="7" s="1"/>
  <c r="CF160" i="7"/>
  <c r="CF175" i="7" s="1"/>
  <c r="CE160" i="7"/>
  <c r="CE162" i="7" s="1"/>
  <c r="CC160" i="7"/>
  <c r="CC162" i="7" s="1"/>
  <c r="CB160" i="7"/>
  <c r="CB175" i="7" s="1"/>
  <c r="CA160" i="7"/>
  <c r="BZ160" i="7"/>
  <c r="BZ162" i="7" s="1"/>
  <c r="BX160" i="7"/>
  <c r="BX162" i="7" s="1"/>
  <c r="BW160" i="7"/>
  <c r="BW162" i="7" s="1"/>
  <c r="BV160" i="7"/>
  <c r="BV162" i="7" s="1"/>
  <c r="BU160" i="7"/>
  <c r="BU162" i="7" s="1"/>
  <c r="BS160" i="7"/>
  <c r="BS162" i="7" s="1"/>
  <c r="BR160" i="7"/>
  <c r="BR162" i="7" s="1"/>
  <c r="BQ160" i="7"/>
  <c r="BQ162" i="7" s="1"/>
  <c r="BP160" i="7"/>
  <c r="BN160" i="7"/>
  <c r="BN162" i="7" s="1"/>
  <c r="BM160" i="7"/>
  <c r="BM162" i="7" s="1"/>
  <c r="BL160" i="7"/>
  <c r="BK160" i="7"/>
  <c r="BI160" i="7"/>
  <c r="BI162" i="7" s="1"/>
  <c r="BH160" i="7"/>
  <c r="BH175" i="7" s="1"/>
  <c r="BG160" i="7"/>
  <c r="BG162" i="7" s="1"/>
  <c r="BF160" i="7"/>
  <c r="BF162" i="7" s="1"/>
  <c r="BD160" i="7"/>
  <c r="BD175" i="7" s="1"/>
  <c r="BC160" i="7"/>
  <c r="BC162" i="7" s="1"/>
  <c r="BB160" i="7"/>
  <c r="BB162" i="7" s="1"/>
  <c r="BA160" i="7"/>
  <c r="AY160" i="7"/>
  <c r="AX160" i="7"/>
  <c r="AW160" i="7"/>
  <c r="AW170" i="7" s="1"/>
  <c r="AV160" i="7"/>
  <c r="AT160" i="7"/>
  <c r="AS160" i="7"/>
  <c r="AS175" i="7" s="1"/>
  <c r="AR160" i="7"/>
  <c r="AP160" i="7"/>
  <c r="AO160" i="7"/>
  <c r="AN160" i="7"/>
  <c r="AM160" i="7"/>
  <c r="AK160" i="7"/>
  <c r="AJ160" i="7"/>
  <c r="AI160" i="7"/>
  <c r="AH160" i="7"/>
  <c r="AF160" i="7"/>
  <c r="AE160" i="7"/>
  <c r="AD160" i="7"/>
  <c r="AC160" i="7"/>
  <c r="AC175" i="7" s="1"/>
  <c r="AA160" i="7"/>
  <c r="AA162" i="7" s="1"/>
  <c r="Z160" i="7"/>
  <c r="Y160" i="7"/>
  <c r="X160" i="7"/>
  <c r="V160" i="7"/>
  <c r="U160" i="7"/>
  <c r="T160" i="7"/>
  <c r="S160" i="7"/>
  <c r="S162" i="7" s="1"/>
  <c r="Q160" i="7"/>
  <c r="P160" i="7"/>
  <c r="O160" i="7"/>
  <c r="N160" i="7"/>
  <c r="L160" i="7"/>
  <c r="K160" i="7"/>
  <c r="K162" i="7" s="1"/>
  <c r="J160" i="7"/>
  <c r="I160" i="7"/>
  <c r="I175" i="7" s="1"/>
  <c r="G160" i="7"/>
  <c r="F160" i="7"/>
  <c r="E160" i="7"/>
  <c r="E175" i="7" s="1"/>
  <c r="D160" i="7"/>
  <c r="D175" i="7" s="1"/>
  <c r="AZ157" i="7"/>
  <c r="DV153" i="7"/>
  <c r="DU153" i="7"/>
  <c r="DZ153" i="7" s="1"/>
  <c r="EE153" i="7" s="1"/>
  <c r="EJ153" i="7" s="1"/>
  <c r="DT153" i="7"/>
  <c r="DS153" i="7"/>
  <c r="DQ153" i="7"/>
  <c r="DP153" i="7"/>
  <c r="DO153" i="7"/>
  <c r="DN153" i="7"/>
  <c r="DL153" i="7"/>
  <c r="DK153" i="7"/>
  <c r="DJ153" i="7"/>
  <c r="DI153" i="7"/>
  <c r="DG153" i="7"/>
  <c r="DF153" i="7"/>
  <c r="DE153" i="7"/>
  <c r="DD153" i="7"/>
  <c r="DB153" i="7"/>
  <c r="DA153" i="7"/>
  <c r="CZ153" i="7"/>
  <c r="CY153" i="7"/>
  <c r="AU153" i="7"/>
  <c r="AU151" i="7"/>
  <c r="DJ148" i="7"/>
  <c r="DJ151" i="7" s="1"/>
  <c r="DG145" i="7"/>
  <c r="DF145" i="7"/>
  <c r="DE145" i="7"/>
  <c r="DD145" i="7"/>
  <c r="DB145" i="7"/>
  <c r="DA145" i="7"/>
  <c r="CZ145" i="7"/>
  <c r="CY145" i="7"/>
  <c r="CX145" i="7"/>
  <c r="CW145" i="7"/>
  <c r="CV145" i="7"/>
  <c r="CU145" i="7"/>
  <c r="CT145" i="7"/>
  <c r="CS145" i="7"/>
  <c r="CR145" i="7"/>
  <c r="CQ145" i="7"/>
  <c r="CP145" i="7"/>
  <c r="CO145" i="7"/>
  <c r="CN145" i="7"/>
  <c r="CM145" i="7"/>
  <c r="CL145" i="7"/>
  <c r="CK145" i="7"/>
  <c r="CJ145" i="7"/>
  <c r="CH145" i="7"/>
  <c r="CG145" i="7"/>
  <c r="CF145" i="7"/>
  <c r="CE145" i="7"/>
  <c r="CD145" i="7"/>
  <c r="CC145" i="7"/>
  <c r="CB145" i="7"/>
  <c r="CA145" i="7"/>
  <c r="BZ145" i="7"/>
  <c r="BY145" i="7"/>
  <c r="BX145" i="7"/>
  <c r="BW145" i="7"/>
  <c r="BV145" i="7"/>
  <c r="BU145" i="7"/>
  <c r="BT145" i="7"/>
  <c r="BS145" i="7"/>
  <c r="BR145" i="7"/>
  <c r="BQ145" i="7"/>
  <c r="BP145" i="7"/>
  <c r="BO145" i="7"/>
  <c r="BN145" i="7"/>
  <c r="BM145" i="7"/>
  <c r="BL145" i="7"/>
  <c r="BK145" i="7"/>
  <c r="BJ145" i="7"/>
  <c r="BI145" i="7"/>
  <c r="BH145" i="7"/>
  <c r="BG145" i="7"/>
  <c r="BF145" i="7"/>
  <c r="BE145" i="7"/>
  <c r="BD145" i="7"/>
  <c r="BC145" i="7"/>
  <c r="BB145" i="7"/>
  <c r="BA145" i="7"/>
  <c r="EK144" i="7"/>
  <c r="EJ144" i="7"/>
  <c r="EI144" i="7"/>
  <c r="EH144" i="7"/>
  <c r="EF144" i="7"/>
  <c r="EE144" i="7"/>
  <c r="ED144" i="7"/>
  <c r="EC144" i="7"/>
  <c r="EA144" i="7"/>
  <c r="DZ144" i="7"/>
  <c r="DY144" i="7"/>
  <c r="DX144" i="7"/>
  <c r="DV143" i="7"/>
  <c r="DU143" i="7"/>
  <c r="DZ143" i="7" s="1"/>
  <c r="DT143" i="7"/>
  <c r="DT145" i="7" s="1"/>
  <c r="DS143" i="7"/>
  <c r="DS145" i="7" s="1"/>
  <c r="DQ143" i="7"/>
  <c r="DQ145" i="7" s="1"/>
  <c r="DP143" i="7"/>
  <c r="DO143" i="7"/>
  <c r="DO145" i="7" s="1"/>
  <c r="DN143" i="7"/>
  <c r="DL143" i="7"/>
  <c r="DL145" i="7" s="1"/>
  <c r="DK143" i="7"/>
  <c r="DK145" i="7" s="1"/>
  <c r="DJ143" i="7"/>
  <c r="DI143" i="7"/>
  <c r="DI145" i="7" s="1"/>
  <c r="DG143" i="7"/>
  <c r="DF143" i="7"/>
  <c r="DE143" i="7"/>
  <c r="DD143" i="7"/>
  <c r="DB143" i="7"/>
  <c r="DA143" i="7"/>
  <c r="CZ143" i="7"/>
  <c r="CY143" i="7"/>
  <c r="CW143" i="7"/>
  <c r="CV143" i="7"/>
  <c r="CU143" i="7"/>
  <c r="CT143" i="7"/>
  <c r="CR143" i="7"/>
  <c r="CQ143" i="7"/>
  <c r="CP143" i="7"/>
  <c r="CO143" i="7"/>
  <c r="CM143" i="7"/>
  <c r="CL143" i="7"/>
  <c r="CK143" i="7"/>
  <c r="CJ143" i="7"/>
  <c r="CH143" i="7"/>
  <c r="CG143" i="7"/>
  <c r="CF143" i="7"/>
  <c r="CE143" i="7"/>
  <c r="CD143" i="7"/>
  <c r="CC143" i="7"/>
  <c r="CB143" i="7"/>
  <c r="CA143" i="7"/>
  <c r="BZ143" i="7"/>
  <c r="BY143" i="7"/>
  <c r="BX143" i="7"/>
  <c r="BW143" i="7"/>
  <c r="BV143" i="7"/>
  <c r="BU143" i="7"/>
  <c r="BT143" i="7"/>
  <c r="BS143" i="7"/>
  <c r="BR143" i="7"/>
  <c r="BQ143" i="7"/>
  <c r="BP143" i="7"/>
  <c r="BO143" i="7"/>
  <c r="BN143" i="7"/>
  <c r="BM143" i="7"/>
  <c r="BL143" i="7"/>
  <c r="BK143" i="7"/>
  <c r="BJ143" i="7"/>
  <c r="BI143" i="7"/>
  <c r="BH143" i="7"/>
  <c r="BG143" i="7"/>
  <c r="BF143" i="7"/>
  <c r="BE143" i="7"/>
  <c r="BD143" i="7"/>
  <c r="BC143" i="7"/>
  <c r="BB143" i="7"/>
  <c r="BA143" i="7"/>
  <c r="AY143" i="7"/>
  <c r="AX143" i="7"/>
  <c r="AW143" i="7"/>
  <c r="AV143" i="7"/>
  <c r="AR145" i="7"/>
  <c r="AT143" i="7"/>
  <c r="AS143" i="7"/>
  <c r="AR143" i="7"/>
  <c r="AQ143" i="7"/>
  <c r="AP143" i="7"/>
  <c r="AO143" i="7"/>
  <c r="AN143" i="7"/>
  <c r="AM143" i="7"/>
  <c r="AL143" i="7"/>
  <c r="AL145" i="7" s="1"/>
  <c r="AK143" i="7"/>
  <c r="AJ143" i="7"/>
  <c r="AI143" i="7"/>
  <c r="AH143" i="7"/>
  <c r="AG143" i="7"/>
  <c r="AF143" i="7"/>
  <c r="AE143" i="7"/>
  <c r="AD143" i="7"/>
  <c r="AD145" i="7" s="1"/>
  <c r="AC143" i="7"/>
  <c r="AB143" i="7"/>
  <c r="AA143" i="7"/>
  <c r="Z143" i="7"/>
  <c r="Y143" i="7"/>
  <c r="X143" i="7"/>
  <c r="W143" i="7"/>
  <c r="V143" i="7"/>
  <c r="V145" i="7" s="1"/>
  <c r="U143" i="7"/>
  <c r="T143" i="7"/>
  <c r="S143" i="7"/>
  <c r="R143" i="7"/>
  <c r="Q143" i="7"/>
  <c r="P143" i="7"/>
  <c r="O143" i="7"/>
  <c r="N143" i="7"/>
  <c r="M143" i="7"/>
  <c r="L143" i="7"/>
  <c r="K143" i="7"/>
  <c r="J143" i="7"/>
  <c r="I143" i="7"/>
  <c r="H143" i="7"/>
  <c r="G143" i="7"/>
  <c r="F143" i="7"/>
  <c r="E143" i="7"/>
  <c r="D143" i="7"/>
  <c r="DV140" i="7"/>
  <c r="DU140" i="7"/>
  <c r="DT140" i="7"/>
  <c r="DS140" i="7"/>
  <c r="DR140" i="7"/>
  <c r="DQ140" i="7"/>
  <c r="DP140" i="7"/>
  <c r="DO140" i="7"/>
  <c r="DN140" i="7"/>
  <c r="DM140" i="7"/>
  <c r="DL140" i="7"/>
  <c r="DK140" i="7"/>
  <c r="DJ140" i="7"/>
  <c r="DI140" i="7"/>
  <c r="DG140" i="7"/>
  <c r="DF140" i="7"/>
  <c r="DE140" i="7"/>
  <c r="DD140" i="7"/>
  <c r="DB140" i="7"/>
  <c r="DA140" i="7"/>
  <c r="CZ140" i="7"/>
  <c r="CY140" i="7"/>
  <c r="CW140" i="7"/>
  <c r="CV140" i="7"/>
  <c r="CU140" i="7"/>
  <c r="CT140" i="7"/>
  <c r="CS140" i="7"/>
  <c r="CR140" i="7"/>
  <c r="CQ140" i="7"/>
  <c r="CP140" i="7"/>
  <c r="CO140" i="7"/>
  <c r="CN140" i="7"/>
  <c r="CM140" i="7"/>
  <c r="CL140" i="7"/>
  <c r="CK140" i="7"/>
  <c r="CJ140" i="7"/>
  <c r="CH140" i="7"/>
  <c r="CG140" i="7"/>
  <c r="CF140" i="7"/>
  <c r="CE140" i="7"/>
  <c r="CD140" i="7"/>
  <c r="CC140" i="7"/>
  <c r="CB140" i="7"/>
  <c r="CA140" i="7"/>
  <c r="BZ140" i="7"/>
  <c r="BY140" i="7"/>
  <c r="BX140" i="7"/>
  <c r="BW140" i="7"/>
  <c r="BV140" i="7"/>
  <c r="BU140" i="7"/>
  <c r="BT140" i="7"/>
  <c r="BS140" i="7"/>
  <c r="BR140" i="7"/>
  <c r="BQ140" i="7"/>
  <c r="BP140" i="7"/>
  <c r="BO140" i="7"/>
  <c r="BN140" i="7"/>
  <c r="BM140" i="7"/>
  <c r="BL140" i="7"/>
  <c r="BK140" i="7"/>
  <c r="BJ140" i="7"/>
  <c r="BI140" i="7"/>
  <c r="BH140" i="7"/>
  <c r="BG140" i="7"/>
  <c r="BF140" i="7"/>
  <c r="BE140" i="7"/>
  <c r="BD140" i="7"/>
  <c r="BC140" i="7"/>
  <c r="BB140" i="7"/>
  <c r="BA140" i="7"/>
  <c r="DV138" i="7"/>
  <c r="DU138" i="7"/>
  <c r="DT138" i="7"/>
  <c r="DS138" i="7"/>
  <c r="DQ138" i="7"/>
  <c r="DP138" i="7"/>
  <c r="DO138" i="7"/>
  <c r="DN138" i="7"/>
  <c r="DL138" i="7"/>
  <c r="DK138" i="7"/>
  <c r="DJ138" i="7"/>
  <c r="DI138" i="7"/>
  <c r="DG138" i="7"/>
  <c r="DF138" i="7"/>
  <c r="DE138" i="7"/>
  <c r="DD138" i="7"/>
  <c r="DB138" i="7"/>
  <c r="DA138" i="7"/>
  <c r="CZ138" i="7"/>
  <c r="CY138" i="7"/>
  <c r="CW138" i="7"/>
  <c r="CV138" i="7"/>
  <c r="CU138" i="7"/>
  <c r="CT138" i="7"/>
  <c r="CR138" i="7"/>
  <c r="CQ138" i="7"/>
  <c r="CP138" i="7"/>
  <c r="CO138" i="7"/>
  <c r="CM138" i="7"/>
  <c r="CL138" i="7"/>
  <c r="CK138" i="7"/>
  <c r="CJ138" i="7"/>
  <c r="CH138" i="7"/>
  <c r="CG138" i="7"/>
  <c r="CF138" i="7"/>
  <c r="CE138" i="7"/>
  <c r="CD138" i="7"/>
  <c r="CC138" i="7"/>
  <c r="CB138" i="7"/>
  <c r="CA138" i="7"/>
  <c r="BZ138" i="7"/>
  <c r="BY138" i="7"/>
  <c r="BX138" i="7"/>
  <c r="BW138" i="7"/>
  <c r="BV138" i="7"/>
  <c r="BU138" i="7"/>
  <c r="BT138" i="7"/>
  <c r="BS138" i="7"/>
  <c r="BR138" i="7"/>
  <c r="BQ138" i="7"/>
  <c r="BP138" i="7"/>
  <c r="BO138" i="7"/>
  <c r="BN138" i="7"/>
  <c r="BM138" i="7"/>
  <c r="BL138" i="7"/>
  <c r="BK138" i="7"/>
  <c r="BJ138" i="7"/>
  <c r="BI138" i="7"/>
  <c r="BH138" i="7"/>
  <c r="BG138" i="7"/>
  <c r="BF138" i="7"/>
  <c r="BE138" i="7"/>
  <c r="BD138" i="7"/>
  <c r="BC138" i="7"/>
  <c r="BB138" i="7"/>
  <c r="BA138" i="7"/>
  <c r="AZ138" i="7"/>
  <c r="AY138" i="7"/>
  <c r="AX138" i="7"/>
  <c r="AW138" i="7"/>
  <c r="AV138" i="7"/>
  <c r="AT138" i="7"/>
  <c r="AS138" i="7"/>
  <c r="AR138" i="7"/>
  <c r="AQ138" i="7"/>
  <c r="AP138" i="7"/>
  <c r="AO138" i="7"/>
  <c r="AN138" i="7"/>
  <c r="AM138" i="7"/>
  <c r="AL138" i="7"/>
  <c r="AK138" i="7"/>
  <c r="AJ138" i="7"/>
  <c r="AI138" i="7"/>
  <c r="AH138" i="7"/>
  <c r="AG138" i="7"/>
  <c r="AF138" i="7"/>
  <c r="AE138" i="7"/>
  <c r="AD138" i="7"/>
  <c r="AC138"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DL125" i="7"/>
  <c r="DK125" i="7"/>
  <c r="DJ125" i="7"/>
  <c r="DI125" i="7"/>
  <c r="DG125" i="7"/>
  <c r="DF125" i="7"/>
  <c r="DE125" i="7"/>
  <c r="DD125" i="7"/>
  <c r="DB125" i="7"/>
  <c r="DA125" i="7"/>
  <c r="CZ125" i="7"/>
  <c r="CY125" i="7"/>
  <c r="CW125" i="7"/>
  <c r="CV125" i="7"/>
  <c r="CU125" i="7"/>
  <c r="CT125" i="7"/>
  <c r="CR125" i="7"/>
  <c r="CQ125" i="7"/>
  <c r="CP125" i="7"/>
  <c r="CO125" i="7"/>
  <c r="CM125" i="7"/>
  <c r="CL125" i="7"/>
  <c r="CK125" i="7"/>
  <c r="CJ125" i="7"/>
  <c r="CH125" i="7"/>
  <c r="CG125" i="7"/>
  <c r="CF125" i="7"/>
  <c r="CE125" i="7"/>
  <c r="CC125" i="7"/>
  <c r="CB125" i="7"/>
  <c r="CA125" i="7"/>
  <c r="BZ125" i="7"/>
  <c r="BX125" i="7"/>
  <c r="BW125" i="7"/>
  <c r="BV125" i="7"/>
  <c r="BU125" i="7"/>
  <c r="BS125" i="7"/>
  <c r="BR125" i="7"/>
  <c r="BQ125" i="7"/>
  <c r="BP125" i="7"/>
  <c r="BN125" i="7"/>
  <c r="BM125" i="7"/>
  <c r="BL125" i="7"/>
  <c r="BK125" i="7"/>
  <c r="BI125" i="7"/>
  <c r="BH125" i="7"/>
  <c r="BG125" i="7"/>
  <c r="BF125" i="7"/>
  <c r="BD125" i="7"/>
  <c r="BC125" i="7"/>
  <c r="BB125" i="7"/>
  <c r="BA125" i="7"/>
  <c r="AY125" i="7"/>
  <c r="AX125" i="7"/>
  <c r="AW125" i="7"/>
  <c r="AV125" i="7"/>
  <c r="G125" i="7"/>
  <c r="F125" i="7"/>
  <c r="E125" i="7"/>
  <c r="D125" i="7"/>
  <c r="DL123" i="7"/>
  <c r="DK123" i="7"/>
  <c r="DJ123" i="7"/>
  <c r="DI123" i="7"/>
  <c r="DG123" i="7"/>
  <c r="DF123" i="7"/>
  <c r="DE123" i="7"/>
  <c r="DD123" i="7"/>
  <c r="DB123" i="7"/>
  <c r="DA123" i="7"/>
  <c r="CZ123" i="7"/>
  <c r="CY123" i="7"/>
  <c r="CW123" i="7"/>
  <c r="CV123" i="7"/>
  <c r="CU123" i="7"/>
  <c r="CT123" i="7"/>
  <c r="CR123" i="7"/>
  <c r="CQ123" i="7"/>
  <c r="CP123" i="7"/>
  <c r="CO123" i="7"/>
  <c r="CM123" i="7"/>
  <c r="CL123" i="7"/>
  <c r="CK123" i="7"/>
  <c r="CJ123" i="7"/>
  <c r="CH123" i="7"/>
  <c r="CG123" i="7"/>
  <c r="CF123" i="7"/>
  <c r="CE123" i="7"/>
  <c r="CC123" i="7"/>
  <c r="CB123" i="7"/>
  <c r="CA123" i="7"/>
  <c r="BZ123" i="7"/>
  <c r="BX123" i="7"/>
  <c r="BW123" i="7"/>
  <c r="BV123" i="7"/>
  <c r="BU123" i="7"/>
  <c r="BS123" i="7"/>
  <c r="BR123" i="7"/>
  <c r="BQ123" i="7"/>
  <c r="BP123" i="7"/>
  <c r="BN123" i="7"/>
  <c r="BM123" i="7"/>
  <c r="BL123" i="7"/>
  <c r="BK123" i="7"/>
  <c r="BI123" i="7"/>
  <c r="BH123" i="7"/>
  <c r="BG123" i="7"/>
  <c r="BF123" i="7"/>
  <c r="BD123" i="7"/>
  <c r="BC123" i="7"/>
  <c r="BB123" i="7"/>
  <c r="BA123" i="7"/>
  <c r="AY123" i="7"/>
  <c r="AX123" i="7"/>
  <c r="AW123" i="7"/>
  <c r="BB124" i="7" s="1"/>
  <c r="AV123" i="7"/>
  <c r="G123" i="7"/>
  <c r="F123" i="7"/>
  <c r="E123" i="7"/>
  <c r="D123" i="7"/>
  <c r="DV125" i="7"/>
  <c r="DU125" i="7"/>
  <c r="DT125" i="7"/>
  <c r="DS125" i="7"/>
  <c r="DQ125" i="7"/>
  <c r="DQ126" i="7" s="1"/>
  <c r="DP125" i="7"/>
  <c r="DP126" i="7" s="1"/>
  <c r="DO125" i="7"/>
  <c r="DO126" i="7" s="1"/>
  <c r="DN125" i="7"/>
  <c r="DN126" i="7" s="1"/>
  <c r="DV123" i="7"/>
  <c r="DU123" i="7"/>
  <c r="DT123" i="7"/>
  <c r="DS123" i="7"/>
  <c r="DQ123" i="7"/>
  <c r="DP123" i="7"/>
  <c r="DP124" i="7" s="1"/>
  <c r="DO123" i="7"/>
  <c r="DO124" i="7" s="1"/>
  <c r="DN123" i="7"/>
  <c r="DV121" i="7"/>
  <c r="DU121" i="7"/>
  <c r="DT121" i="7"/>
  <c r="DS121" i="7"/>
  <c r="DQ121" i="7"/>
  <c r="DQ122" i="7" s="1"/>
  <c r="DP121" i="7"/>
  <c r="DO121" i="7"/>
  <c r="DN121" i="7"/>
  <c r="DL122" i="7"/>
  <c r="DL121" i="7"/>
  <c r="DK121" i="7"/>
  <c r="DJ121" i="7"/>
  <c r="DI121" i="7"/>
  <c r="DG121" i="7"/>
  <c r="DG122" i="7" s="1"/>
  <c r="DF121" i="7"/>
  <c r="DF122" i="7" s="1"/>
  <c r="DE121" i="7"/>
  <c r="DE122" i="7" s="1"/>
  <c r="DD121" i="7"/>
  <c r="DI122" i="7" s="1"/>
  <c r="DB121" i="7"/>
  <c r="DA121" i="7"/>
  <c r="DA122" i="7" s="1"/>
  <c r="CZ121" i="7"/>
  <c r="CZ122" i="7" s="1"/>
  <c r="CY121" i="7"/>
  <c r="CY122" i="7" s="1"/>
  <c r="CW121" i="7"/>
  <c r="CW122" i="7" s="1"/>
  <c r="CV121" i="7"/>
  <c r="CV122" i="7" s="1"/>
  <c r="CU121" i="7"/>
  <c r="CU122" i="7" s="1"/>
  <c r="CT121" i="7"/>
  <c r="CT122" i="7" s="1"/>
  <c r="CR121" i="7"/>
  <c r="CR122" i="7" s="1"/>
  <c r="CQ121" i="7"/>
  <c r="CQ122" i="7" s="1"/>
  <c r="CP121" i="7"/>
  <c r="CP122" i="7" s="1"/>
  <c r="CO121" i="7"/>
  <c r="CO122" i="7" s="1"/>
  <c r="CM121" i="7"/>
  <c r="CM122" i="7" s="1"/>
  <c r="CL121" i="7"/>
  <c r="CL122" i="7" s="1"/>
  <c r="CK121" i="7"/>
  <c r="CK122" i="7" s="1"/>
  <c r="CJ121" i="7"/>
  <c r="CJ122" i="7" s="1"/>
  <c r="CH121" i="7"/>
  <c r="CH122" i="7" s="1"/>
  <c r="CG121" i="7"/>
  <c r="CG122" i="7" s="1"/>
  <c r="CF121" i="7"/>
  <c r="CF122" i="7" s="1"/>
  <c r="CE121" i="7"/>
  <c r="CE122" i="7" s="1"/>
  <c r="CC121" i="7"/>
  <c r="CC122" i="7" s="1"/>
  <c r="CB121" i="7"/>
  <c r="CB122" i="7" s="1"/>
  <c r="CA121" i="7"/>
  <c r="CA122" i="7" s="1"/>
  <c r="BZ121" i="7"/>
  <c r="BZ122" i="7" s="1"/>
  <c r="BX121" i="7"/>
  <c r="BX122" i="7" s="1"/>
  <c r="BW121" i="7"/>
  <c r="BW122" i="7" s="1"/>
  <c r="BV121" i="7"/>
  <c r="BV122" i="7" s="1"/>
  <c r="BU121" i="7"/>
  <c r="BU122" i="7" s="1"/>
  <c r="BS121" i="7"/>
  <c r="BS122" i="7" s="1"/>
  <c r="BR121" i="7"/>
  <c r="BR122" i="7" s="1"/>
  <c r="BQ121" i="7"/>
  <c r="BQ122" i="7" s="1"/>
  <c r="BP121" i="7"/>
  <c r="BP122" i="7" s="1"/>
  <c r="BN121" i="7"/>
  <c r="BN122" i="7" s="1"/>
  <c r="BM121" i="7"/>
  <c r="BM122" i="7" s="1"/>
  <c r="BL121" i="7"/>
  <c r="BL122" i="7" s="1"/>
  <c r="BK121" i="7"/>
  <c r="BK122" i="7" s="1"/>
  <c r="BI121" i="7"/>
  <c r="BI122" i="7" s="1"/>
  <c r="BH121" i="7"/>
  <c r="BH122" i="7" s="1"/>
  <c r="BG121" i="7"/>
  <c r="BG122" i="7" s="1"/>
  <c r="BF121" i="7"/>
  <c r="BF122" i="7" s="1"/>
  <c r="BD121" i="7"/>
  <c r="BD122" i="7" s="1"/>
  <c r="BC121" i="7"/>
  <c r="BC122" i="7" s="1"/>
  <c r="BB121" i="7"/>
  <c r="BB122" i="7" s="1"/>
  <c r="BA121" i="7"/>
  <c r="BA122" i="7" s="1"/>
  <c r="AY121" i="7"/>
  <c r="AX121" i="7"/>
  <c r="AW121" i="7"/>
  <c r="AV121" i="7"/>
  <c r="AT125" i="7"/>
  <c r="AS125" i="7"/>
  <c r="AR125" i="7"/>
  <c r="AP125" i="7"/>
  <c r="AO125" i="7"/>
  <c r="AN125" i="7"/>
  <c r="AM125" i="7"/>
  <c r="AK125" i="7"/>
  <c r="AJ125" i="7"/>
  <c r="AI125" i="7"/>
  <c r="AH125" i="7"/>
  <c r="AF125" i="7"/>
  <c r="AE125" i="7"/>
  <c r="AD125" i="7"/>
  <c r="AD126" i="7" s="1"/>
  <c r="AC125" i="7"/>
  <c r="AA125" i="7"/>
  <c r="Z125" i="7"/>
  <c r="Y125" i="7"/>
  <c r="X125" i="7"/>
  <c r="V125" i="7"/>
  <c r="U125" i="7"/>
  <c r="T125" i="7"/>
  <c r="S125" i="7"/>
  <c r="Q125" i="7"/>
  <c r="P125" i="7"/>
  <c r="O125" i="7"/>
  <c r="N125" i="7"/>
  <c r="L125" i="7"/>
  <c r="K125" i="7"/>
  <c r="K126" i="7" s="1"/>
  <c r="J125" i="7"/>
  <c r="J126" i="7" s="1"/>
  <c r="I125" i="7"/>
  <c r="I126" i="7" s="1"/>
  <c r="AT123" i="7"/>
  <c r="AS123" i="7"/>
  <c r="AR123" i="7"/>
  <c r="AP123" i="7"/>
  <c r="AO123" i="7"/>
  <c r="AT124" i="7" s="1"/>
  <c r="AN123" i="7"/>
  <c r="AM123" i="7"/>
  <c r="AK123" i="7"/>
  <c r="AJ123" i="7"/>
  <c r="AI123" i="7"/>
  <c r="AH123" i="7"/>
  <c r="AF123" i="7"/>
  <c r="AE123" i="7"/>
  <c r="AD123" i="7"/>
  <c r="AC123" i="7"/>
  <c r="AA123" i="7"/>
  <c r="Z123" i="7"/>
  <c r="Y123" i="7"/>
  <c r="AD124" i="7" s="1"/>
  <c r="X123" i="7"/>
  <c r="V123" i="7"/>
  <c r="U123" i="7"/>
  <c r="T123" i="7"/>
  <c r="S123" i="7"/>
  <c r="Q123" i="7"/>
  <c r="P123" i="7"/>
  <c r="O123" i="7"/>
  <c r="N123" i="7"/>
  <c r="L123" i="7"/>
  <c r="K123" i="7"/>
  <c r="J123" i="7"/>
  <c r="J124" i="7" s="1"/>
  <c r="I123" i="7"/>
  <c r="I124" i="7" s="1"/>
  <c r="AT121" i="7"/>
  <c r="AT122" i="7" s="1"/>
  <c r="AS121" i="7"/>
  <c r="AS122" i="7" s="1"/>
  <c r="AR121" i="7"/>
  <c r="AR122" i="7" s="1"/>
  <c r="AP121" i="7"/>
  <c r="AP122" i="7" s="1"/>
  <c r="AO121" i="7"/>
  <c r="AO122" i="7" s="1"/>
  <c r="AN121" i="7"/>
  <c r="AN122" i="7" s="1"/>
  <c r="AM121" i="7"/>
  <c r="AK121" i="7"/>
  <c r="AK122" i="7" s="1"/>
  <c r="AJ121" i="7"/>
  <c r="AJ122" i="7" s="1"/>
  <c r="AI121" i="7"/>
  <c r="AI122" i="7" s="1"/>
  <c r="AH121" i="7"/>
  <c r="AH122" i="7" s="1"/>
  <c r="AF121" i="7"/>
  <c r="AF122" i="7" s="1"/>
  <c r="AE121" i="7"/>
  <c r="AE122" i="7" s="1"/>
  <c r="AD121" i="7"/>
  <c r="AD122" i="7" s="1"/>
  <c r="AC121" i="7"/>
  <c r="AC122" i="7" s="1"/>
  <c r="AA121" i="7"/>
  <c r="AA122" i="7" s="1"/>
  <c r="Z121" i="7"/>
  <c r="Z122" i="7" s="1"/>
  <c r="Y121" i="7"/>
  <c r="Y122" i="7" s="1"/>
  <c r="X121" i="7"/>
  <c r="X122" i="7" s="1"/>
  <c r="V121" i="7"/>
  <c r="V122" i="7" s="1"/>
  <c r="U121" i="7"/>
  <c r="U122" i="7" s="1"/>
  <c r="T121" i="7"/>
  <c r="T122" i="7" s="1"/>
  <c r="S121" i="7"/>
  <c r="Q121" i="7"/>
  <c r="Q122" i="7" s="1"/>
  <c r="P121" i="7"/>
  <c r="P122" i="7" s="1"/>
  <c r="O121" i="7"/>
  <c r="O122" i="7" s="1"/>
  <c r="N121" i="7"/>
  <c r="N122" i="7" s="1"/>
  <c r="L121" i="7"/>
  <c r="L122" i="7" s="1"/>
  <c r="K121" i="7"/>
  <c r="K122" i="7" s="1"/>
  <c r="J121" i="7"/>
  <c r="J122" i="7" s="1"/>
  <c r="I121" i="7"/>
  <c r="I122" i="7" s="1"/>
  <c r="G121" i="7"/>
  <c r="F121" i="7"/>
  <c r="E121" i="7"/>
  <c r="D121" i="7"/>
  <c r="DV118" i="7"/>
  <c r="DU118" i="7"/>
  <c r="DT118" i="7"/>
  <c r="DS118" i="7"/>
  <c r="DQ118" i="7"/>
  <c r="DV119" i="7" s="1"/>
  <c r="DP118" i="7"/>
  <c r="DO118" i="7"/>
  <c r="DN118" i="7"/>
  <c r="DL118" i="7"/>
  <c r="DK118" i="7"/>
  <c r="DJ118" i="7"/>
  <c r="DI118" i="7"/>
  <c r="DG118" i="7"/>
  <c r="DF118" i="7"/>
  <c r="DE118" i="7"/>
  <c r="DD118" i="7"/>
  <c r="DC118" i="7"/>
  <c r="DB118" i="7"/>
  <c r="DA118" i="7"/>
  <c r="CZ118" i="7"/>
  <c r="CY118" i="7"/>
  <c r="CX118" i="7"/>
  <c r="CW118" i="7"/>
  <c r="CV118" i="7"/>
  <c r="CU118" i="7"/>
  <c r="CT118" i="7"/>
  <c r="CS118" i="7"/>
  <c r="CR118" i="7"/>
  <c r="CQ118" i="7"/>
  <c r="CP118" i="7"/>
  <c r="CO118" i="7"/>
  <c r="CN118" i="7"/>
  <c r="CM118" i="7"/>
  <c r="CL118" i="7"/>
  <c r="CK118" i="7"/>
  <c r="CJ118" i="7"/>
  <c r="CI118" i="7"/>
  <c r="CH118" i="7"/>
  <c r="CG118" i="7"/>
  <c r="CF118" i="7"/>
  <c r="CE118" i="7"/>
  <c r="CD118" i="7"/>
  <c r="CC118" i="7"/>
  <c r="CB118" i="7"/>
  <c r="CA118" i="7"/>
  <c r="BZ118" i="7"/>
  <c r="BY118" i="7"/>
  <c r="BX118" i="7"/>
  <c r="BW118" i="7"/>
  <c r="BV118" i="7"/>
  <c r="BU118" i="7"/>
  <c r="BT118" i="7"/>
  <c r="BS118" i="7"/>
  <c r="BR118" i="7"/>
  <c r="BQ118" i="7"/>
  <c r="BP118" i="7"/>
  <c r="BO118" i="7"/>
  <c r="BN118" i="7"/>
  <c r="BM118" i="7"/>
  <c r="BL118" i="7"/>
  <c r="BK118" i="7"/>
  <c r="BJ118" i="7"/>
  <c r="BI118" i="7"/>
  <c r="BH118" i="7"/>
  <c r="BG118" i="7"/>
  <c r="BF118" i="7"/>
  <c r="BE118" i="7"/>
  <c r="BD118" i="7"/>
  <c r="BC118" i="7"/>
  <c r="BB118" i="7"/>
  <c r="BA118" i="7"/>
  <c r="AZ118" i="7"/>
  <c r="AY118" i="7"/>
  <c r="AX118" i="7"/>
  <c r="AW118" i="7"/>
  <c r="AV118" i="7"/>
  <c r="AT119" i="7"/>
  <c r="AP119" i="7"/>
  <c r="AM119" i="7"/>
  <c r="AI119" i="7"/>
  <c r="AH119" i="7"/>
  <c r="AE119" i="7"/>
  <c r="AD119" i="7"/>
  <c r="AA119" i="7"/>
  <c r="Z119" i="7"/>
  <c r="V119" i="7"/>
  <c r="S119" i="7"/>
  <c r="O119" i="7"/>
  <c r="N119" i="7"/>
  <c r="K119" i="7"/>
  <c r="J119" i="7"/>
  <c r="AT118" i="7"/>
  <c r="AS118" i="7"/>
  <c r="AS119" i="7" s="1"/>
  <c r="AR118" i="7"/>
  <c r="AR119" i="7" s="1"/>
  <c r="AP118" i="7"/>
  <c r="AO118" i="7"/>
  <c r="AO119" i="7" s="1"/>
  <c r="AN118" i="7"/>
  <c r="AN119" i="7" s="1"/>
  <c r="AM118" i="7"/>
  <c r="AQ118" i="7" s="1"/>
  <c r="AK118" i="7"/>
  <c r="AK119" i="7" s="1"/>
  <c r="AJ118" i="7"/>
  <c r="AJ119" i="7" s="1"/>
  <c r="AI118" i="7"/>
  <c r="AH118" i="7"/>
  <c r="AL118" i="7" s="1"/>
  <c r="AF118" i="7"/>
  <c r="AF119" i="7" s="1"/>
  <c r="AE118" i="7"/>
  <c r="AD118" i="7"/>
  <c r="AC118" i="7"/>
  <c r="AG118" i="7" s="1"/>
  <c r="AA118" i="7"/>
  <c r="Z118" i="7"/>
  <c r="Y118" i="7"/>
  <c r="Y119" i="7" s="1"/>
  <c r="X118" i="7"/>
  <c r="X119" i="7" s="1"/>
  <c r="V118" i="7"/>
  <c r="U118" i="7"/>
  <c r="U119" i="7" s="1"/>
  <c r="T118" i="7"/>
  <c r="T119" i="7" s="1"/>
  <c r="S118" i="7"/>
  <c r="W118" i="7" s="1"/>
  <c r="Q118" i="7"/>
  <c r="Q119" i="7" s="1"/>
  <c r="P118" i="7"/>
  <c r="P119" i="7" s="1"/>
  <c r="O118" i="7"/>
  <c r="N118" i="7"/>
  <c r="R118" i="7" s="1"/>
  <c r="L118" i="7"/>
  <c r="L119" i="7" s="1"/>
  <c r="K118" i="7"/>
  <c r="J118" i="7"/>
  <c r="I118" i="7"/>
  <c r="M118" i="7" s="1"/>
  <c r="G118" i="7"/>
  <c r="F118" i="7"/>
  <c r="E118" i="7"/>
  <c r="D118" i="7"/>
  <c r="H118" i="7" s="1"/>
  <c r="BO116" i="7"/>
  <c r="BJ116" i="7"/>
  <c r="BE116" i="7"/>
  <c r="AZ116" i="7"/>
  <c r="AQ116" i="7"/>
  <c r="AL116" i="7"/>
  <c r="AG116" i="7"/>
  <c r="AB116" i="7"/>
  <c r="W116" i="7"/>
  <c r="R116" i="7"/>
  <c r="M116" i="7"/>
  <c r="H116" i="7"/>
  <c r="DV111" i="7"/>
  <c r="DU111" i="7"/>
  <c r="DT111" i="7"/>
  <c r="DS111" i="7"/>
  <c r="DQ111" i="7"/>
  <c r="DP111" i="7"/>
  <c r="DO111" i="7"/>
  <c r="DN111" i="7"/>
  <c r="DL111" i="7"/>
  <c r="DK111" i="7"/>
  <c r="DJ111" i="7"/>
  <c r="DI111" i="7"/>
  <c r="DG111" i="7"/>
  <c r="DF111" i="7"/>
  <c r="DE111" i="7"/>
  <c r="DD111" i="7"/>
  <c r="DC111" i="7"/>
  <c r="DC112" i="7" s="1"/>
  <c r="DB111" i="7"/>
  <c r="DA111" i="7"/>
  <c r="CZ111" i="7"/>
  <c r="CY111" i="7"/>
  <c r="CY112" i="7" s="1"/>
  <c r="CX111" i="7"/>
  <c r="CW111" i="7"/>
  <c r="CV111" i="7"/>
  <c r="CU111" i="7"/>
  <c r="CU112" i="7" s="1"/>
  <c r="CT111" i="7"/>
  <c r="CS111" i="7"/>
  <c r="CR111" i="7"/>
  <c r="CQ111" i="7"/>
  <c r="CP111" i="7"/>
  <c r="CO111" i="7"/>
  <c r="CN111" i="7"/>
  <c r="CM111" i="7"/>
  <c r="CL111" i="7"/>
  <c r="CK111" i="7"/>
  <c r="CJ111" i="7"/>
  <c r="CI111" i="7"/>
  <c r="CI112" i="7" s="1"/>
  <c r="CH111" i="7"/>
  <c r="CG111" i="7"/>
  <c r="CF111" i="7"/>
  <c r="CE111" i="7"/>
  <c r="CE112" i="7" s="1"/>
  <c r="CD111" i="7"/>
  <c r="CC111" i="7"/>
  <c r="CB111" i="7"/>
  <c r="CA111" i="7"/>
  <c r="BZ111" i="7"/>
  <c r="BX111" i="7"/>
  <c r="BW111" i="7"/>
  <c r="BV111" i="7"/>
  <c r="BS111" i="7"/>
  <c r="BR111" i="7"/>
  <c r="BQ111" i="7"/>
  <c r="BP111" i="7"/>
  <c r="BO111" i="7"/>
  <c r="BN111" i="7"/>
  <c r="BM111" i="7"/>
  <c r="BL111" i="7"/>
  <c r="BK111" i="7"/>
  <c r="BJ111" i="7"/>
  <c r="BI111" i="7"/>
  <c r="BH111" i="7"/>
  <c r="BH112" i="7" s="1"/>
  <c r="BG111" i="7"/>
  <c r="BF111" i="7"/>
  <c r="BE111" i="7"/>
  <c r="BD111" i="7"/>
  <c r="BD112" i="7" s="1"/>
  <c r="BC111" i="7"/>
  <c r="BB111" i="7"/>
  <c r="BA111" i="7"/>
  <c r="AZ111" i="7"/>
  <c r="AY111" i="7"/>
  <c r="AX111" i="7"/>
  <c r="AW111" i="7"/>
  <c r="AV111" i="7"/>
  <c r="AT111" i="7"/>
  <c r="AS111" i="7"/>
  <c r="AR111" i="7"/>
  <c r="U112" i="7"/>
  <c r="AP111" i="7"/>
  <c r="AO111" i="7"/>
  <c r="AN111" i="7"/>
  <c r="AM111" i="7"/>
  <c r="AK111" i="7"/>
  <c r="AP112" i="7" s="1"/>
  <c r="AJ111" i="7"/>
  <c r="AI111" i="7"/>
  <c r="AH111" i="7"/>
  <c r="AF111" i="7"/>
  <c r="AE111" i="7"/>
  <c r="AD111" i="7"/>
  <c r="AC111" i="7"/>
  <c r="AA111" i="7"/>
  <c r="Z111" i="7"/>
  <c r="Y111" i="7"/>
  <c r="X111" i="7"/>
  <c r="AC112" i="7" s="1"/>
  <c r="V111" i="7"/>
  <c r="U111" i="7"/>
  <c r="Z112" i="7" s="1"/>
  <c r="T111" i="7"/>
  <c r="S111" i="7"/>
  <c r="Q111" i="7"/>
  <c r="V112" i="7" s="1"/>
  <c r="P111" i="7"/>
  <c r="O111" i="7"/>
  <c r="N111" i="7"/>
  <c r="L111" i="7"/>
  <c r="K111" i="7"/>
  <c r="J111" i="7"/>
  <c r="I111" i="7"/>
  <c r="G111" i="7"/>
  <c r="F111" i="7"/>
  <c r="E111" i="7"/>
  <c r="D111" i="7"/>
  <c r="DV108" i="7"/>
  <c r="DU108" i="7"/>
  <c r="DU113" i="7" s="1"/>
  <c r="DT108" i="7"/>
  <c r="DS108" i="7"/>
  <c r="DQ108" i="7"/>
  <c r="DQ113" i="7" s="1"/>
  <c r="DP108" i="7"/>
  <c r="DO108" i="7"/>
  <c r="DO113" i="7" s="1"/>
  <c r="DN108" i="7"/>
  <c r="DL108" i="7"/>
  <c r="DL113" i="7" s="1"/>
  <c r="DK108" i="7"/>
  <c r="DK113" i="7" s="1"/>
  <c r="DJ108" i="7"/>
  <c r="DI108" i="7"/>
  <c r="DG108" i="7"/>
  <c r="DG113" i="7" s="1"/>
  <c r="DF108" i="7"/>
  <c r="DE108" i="7"/>
  <c r="DE113" i="7" s="1"/>
  <c r="DD108" i="7"/>
  <c r="DB108" i="7"/>
  <c r="DA108" i="7"/>
  <c r="DA113" i="7" s="1"/>
  <c r="CZ108" i="7"/>
  <c r="CY108" i="7"/>
  <c r="CW108" i="7"/>
  <c r="CV108" i="7"/>
  <c r="CU108" i="7"/>
  <c r="CT108" i="7"/>
  <c r="CR108" i="7"/>
  <c r="CR113" i="7" s="1"/>
  <c r="CQ108" i="7"/>
  <c r="CP108" i="7"/>
  <c r="CO108" i="7"/>
  <c r="CO113" i="7" s="1"/>
  <c r="CM108" i="7"/>
  <c r="CM113" i="7" s="1"/>
  <c r="CL108" i="7"/>
  <c r="CK108" i="7"/>
  <c r="CK113" i="7" s="1"/>
  <c r="CJ108" i="7"/>
  <c r="CH108" i="7"/>
  <c r="CG108" i="7"/>
  <c r="CG113" i="7" s="1"/>
  <c r="CF108" i="7"/>
  <c r="CE108" i="7"/>
  <c r="CC108" i="7"/>
  <c r="CB108" i="7"/>
  <c r="CA108" i="7"/>
  <c r="BZ108" i="7"/>
  <c r="BX108" i="7"/>
  <c r="BX113" i="7" s="1"/>
  <c r="BW108" i="7"/>
  <c r="BV108" i="7"/>
  <c r="BU108" i="7"/>
  <c r="BS108" i="7"/>
  <c r="BS113" i="7" s="1"/>
  <c r="BR108" i="7"/>
  <c r="BQ108" i="7"/>
  <c r="BQ109" i="7" s="1"/>
  <c r="BP108" i="7"/>
  <c r="BN108" i="7"/>
  <c r="BM108" i="7"/>
  <c r="BL108" i="7"/>
  <c r="BK108" i="7"/>
  <c r="BI108" i="7"/>
  <c r="BI113" i="7" s="1"/>
  <c r="BH108" i="7"/>
  <c r="BG108" i="7"/>
  <c r="BG113" i="7" s="1"/>
  <c r="BF108" i="7"/>
  <c r="BD108" i="7"/>
  <c r="BD113" i="7" s="1"/>
  <c r="BC108" i="7"/>
  <c r="BC113" i="7" s="1"/>
  <c r="BB108" i="7"/>
  <c r="BA108" i="7"/>
  <c r="AY108" i="7"/>
  <c r="AY113" i="7" s="1"/>
  <c r="AX108" i="7"/>
  <c r="AX113" i="7" s="1"/>
  <c r="AW108" i="7"/>
  <c r="AV108" i="7"/>
  <c r="AT108" i="7"/>
  <c r="AS108" i="7"/>
  <c r="AS113" i="7" s="1"/>
  <c r="AR108" i="7"/>
  <c r="AP108" i="7"/>
  <c r="AO108" i="7"/>
  <c r="AO113" i="7" s="1"/>
  <c r="AN108" i="7"/>
  <c r="AM108" i="7"/>
  <c r="AK108" i="7"/>
  <c r="AK113" i="7" s="1"/>
  <c r="AJ108" i="7"/>
  <c r="AJ113" i="7" s="1"/>
  <c r="AI108" i="7"/>
  <c r="AH108" i="7"/>
  <c r="AH109" i="7" s="1"/>
  <c r="AF108" i="7"/>
  <c r="AE108" i="7"/>
  <c r="AD108" i="7"/>
  <c r="AC108" i="7"/>
  <c r="AC109" i="7" s="1"/>
  <c r="AA108" i="7"/>
  <c r="Z108" i="7"/>
  <c r="Z113" i="7" s="1"/>
  <c r="Y108" i="7"/>
  <c r="Y113" i="7" s="1"/>
  <c r="X108" i="7"/>
  <c r="V108" i="7"/>
  <c r="U108" i="7"/>
  <c r="U113" i="7" s="1"/>
  <c r="T108" i="7"/>
  <c r="T113" i="7" s="1"/>
  <c r="S108" i="7"/>
  <c r="Q108" i="7"/>
  <c r="Q113" i="7" s="1"/>
  <c r="P108" i="7"/>
  <c r="P113" i="7" s="1"/>
  <c r="O108" i="7"/>
  <c r="N108" i="7"/>
  <c r="L108" i="7"/>
  <c r="L113" i="7" s="1"/>
  <c r="K108" i="7"/>
  <c r="J108" i="7"/>
  <c r="I108" i="7"/>
  <c r="I109" i="7" s="1"/>
  <c r="G108" i="7"/>
  <c r="F108" i="7"/>
  <c r="F113" i="7" s="1"/>
  <c r="E108" i="7"/>
  <c r="E113" i="7" s="1"/>
  <c r="D108" i="7"/>
  <c r="DV104" i="7"/>
  <c r="DU104" i="7"/>
  <c r="DT104" i="7"/>
  <c r="DT105" i="7" s="1"/>
  <c r="DS104" i="7"/>
  <c r="DQ104" i="7"/>
  <c r="DP104" i="7"/>
  <c r="DO104" i="7"/>
  <c r="DN104" i="7"/>
  <c r="DL104" i="7"/>
  <c r="DK104" i="7"/>
  <c r="DJ104" i="7"/>
  <c r="DI104" i="7"/>
  <c r="DG104" i="7"/>
  <c r="DF104" i="7"/>
  <c r="DE104" i="7"/>
  <c r="DD104" i="7"/>
  <c r="DB104" i="7"/>
  <c r="DA104" i="7"/>
  <c r="CZ104" i="7"/>
  <c r="CY104" i="7"/>
  <c r="CW104" i="7"/>
  <c r="CV104" i="7"/>
  <c r="CU104" i="7"/>
  <c r="CT104" i="7"/>
  <c r="CR104" i="7"/>
  <c r="CQ104" i="7"/>
  <c r="CV105" i="7" s="1"/>
  <c r="CP104" i="7"/>
  <c r="CU105" i="7" s="1"/>
  <c r="CO104" i="7"/>
  <c r="CM104" i="7"/>
  <c r="CR105" i="7" s="1"/>
  <c r="CL104" i="7"/>
  <c r="CQ105" i="7" s="1"/>
  <c r="CK104" i="7"/>
  <c r="CJ104" i="7"/>
  <c r="CH104" i="7"/>
  <c r="CG104" i="7"/>
  <c r="CF104" i="7"/>
  <c r="CE104" i="7"/>
  <c r="CC104" i="7"/>
  <c r="CB104" i="7"/>
  <c r="CA104" i="7"/>
  <c r="BZ104" i="7"/>
  <c r="BX104" i="7"/>
  <c r="BW104" i="7"/>
  <c r="CB105" i="7" s="1"/>
  <c r="BV104" i="7"/>
  <c r="CA105" i="7" s="1"/>
  <c r="BU104" i="7"/>
  <c r="BS104" i="7"/>
  <c r="BX105" i="7" s="1"/>
  <c r="BR104" i="7"/>
  <c r="BQ104" i="7"/>
  <c r="BP104" i="7"/>
  <c r="BN104" i="7"/>
  <c r="BM104" i="7"/>
  <c r="BL104" i="7"/>
  <c r="BK104" i="7"/>
  <c r="BP105" i="7" s="1"/>
  <c r="BI104" i="7"/>
  <c r="BH104" i="7"/>
  <c r="BG104" i="7"/>
  <c r="BL105" i="7" s="1"/>
  <c r="BF104" i="7"/>
  <c r="BK105" i="7" s="1"/>
  <c r="BD104" i="7"/>
  <c r="BC104" i="7"/>
  <c r="BH105" i="7" s="1"/>
  <c r="BB104" i="7"/>
  <c r="BA104" i="7"/>
  <c r="AY104" i="7"/>
  <c r="BD105" i="7" s="1"/>
  <c r="AX104" i="7"/>
  <c r="AW104" i="7"/>
  <c r="AV104" i="7"/>
  <c r="AT104" i="7"/>
  <c r="AS104" i="7"/>
  <c r="AR104" i="7"/>
  <c r="AP104" i="7"/>
  <c r="AP105" i="7" s="1"/>
  <c r="AO104" i="7"/>
  <c r="AN104" i="7"/>
  <c r="AM104" i="7"/>
  <c r="AK104" i="7"/>
  <c r="AJ104" i="7"/>
  <c r="AI104" i="7"/>
  <c r="AH104" i="7"/>
  <c r="AF104" i="7"/>
  <c r="AE104" i="7"/>
  <c r="AD104" i="7"/>
  <c r="AC104" i="7"/>
  <c r="AA104" i="7"/>
  <c r="Z104" i="7"/>
  <c r="Y104" i="7"/>
  <c r="X104" i="7"/>
  <c r="V104" i="7"/>
  <c r="U104" i="7"/>
  <c r="T104" i="7"/>
  <c r="S104" i="7"/>
  <c r="Q104" i="7"/>
  <c r="P104" i="7"/>
  <c r="O104" i="7"/>
  <c r="N104" i="7"/>
  <c r="L104" i="7"/>
  <c r="K104" i="7"/>
  <c r="J104" i="7"/>
  <c r="I104" i="7"/>
  <c r="G104" i="7"/>
  <c r="F104" i="7"/>
  <c r="E104" i="7"/>
  <c r="D104" i="7"/>
  <c r="BJ102" i="7"/>
  <c r="BE102" i="7"/>
  <c r="AZ102" i="7"/>
  <c r="AQ102" i="7"/>
  <c r="AL102" i="7"/>
  <c r="AG102" i="7"/>
  <c r="AB102" i="7"/>
  <c r="W102" i="7"/>
  <c r="R102" i="7"/>
  <c r="M102" i="7"/>
  <c r="H102" i="7"/>
  <c r="BJ100" i="7"/>
  <c r="BE100" i="7"/>
  <c r="AQ100" i="7"/>
  <c r="AL100" i="7"/>
  <c r="AG100" i="7"/>
  <c r="AB100" i="7"/>
  <c r="W100" i="7"/>
  <c r="R100" i="7"/>
  <c r="M100" i="7"/>
  <c r="CK97" i="7"/>
  <c r="DV96" i="7"/>
  <c r="DU96" i="7"/>
  <c r="DT96" i="7"/>
  <c r="DS96" i="7"/>
  <c r="DQ96" i="7"/>
  <c r="DP96" i="7"/>
  <c r="DO96" i="7"/>
  <c r="DN96" i="7"/>
  <c r="DL96" i="7"/>
  <c r="DK96" i="7"/>
  <c r="DJ96" i="7"/>
  <c r="DI96" i="7"/>
  <c r="DG96" i="7"/>
  <c r="DF96" i="7"/>
  <c r="DE96" i="7"/>
  <c r="DD96" i="7"/>
  <c r="DB96" i="7"/>
  <c r="DA96" i="7"/>
  <c r="CZ96" i="7"/>
  <c r="CZ97" i="7" s="1"/>
  <c r="CY96" i="7"/>
  <c r="CW96" i="7"/>
  <c r="CV96" i="7"/>
  <c r="CU96" i="7"/>
  <c r="CT96" i="7"/>
  <c r="CR96" i="7"/>
  <c r="CQ96" i="7"/>
  <c r="CP96" i="7"/>
  <c r="CO96" i="7"/>
  <c r="CM96" i="7"/>
  <c r="CL96" i="7"/>
  <c r="CK96" i="7"/>
  <c r="CJ96" i="7"/>
  <c r="CH96" i="7"/>
  <c r="CG96" i="7"/>
  <c r="CF96" i="7"/>
  <c r="CE96" i="7"/>
  <c r="CC96" i="7"/>
  <c r="CB96" i="7"/>
  <c r="CA96" i="7"/>
  <c r="BZ96" i="7"/>
  <c r="BX96" i="7"/>
  <c r="BW96" i="7"/>
  <c r="BV96" i="7"/>
  <c r="BU96" i="7"/>
  <c r="BS96" i="7"/>
  <c r="BR96" i="7"/>
  <c r="BQ96" i="7"/>
  <c r="BP96" i="7"/>
  <c r="BN96" i="7"/>
  <c r="BM96" i="7"/>
  <c r="BL96" i="7"/>
  <c r="BK96" i="7"/>
  <c r="BI96" i="7"/>
  <c r="BH96" i="7"/>
  <c r="BG96" i="7"/>
  <c r="BF96" i="7"/>
  <c r="BD96" i="7"/>
  <c r="BC96" i="7"/>
  <c r="BB96" i="7"/>
  <c r="BA96" i="7"/>
  <c r="AY96" i="7"/>
  <c r="AX96" i="7"/>
  <c r="AW96" i="7"/>
  <c r="AV96" i="7"/>
  <c r="AT96" i="7"/>
  <c r="AS96" i="7"/>
  <c r="AR96" i="7"/>
  <c r="AP96" i="7"/>
  <c r="AO96" i="7"/>
  <c r="AN96" i="7"/>
  <c r="AM96" i="7"/>
  <c r="AK96" i="7"/>
  <c r="AJ96" i="7"/>
  <c r="AI96" i="7"/>
  <c r="AH96" i="7"/>
  <c r="AF96" i="7"/>
  <c r="AE96" i="7"/>
  <c r="AD96" i="7"/>
  <c r="AC96" i="7"/>
  <c r="AA96" i="7"/>
  <c r="Z96" i="7"/>
  <c r="Y96" i="7"/>
  <c r="X96" i="7"/>
  <c r="V96" i="7"/>
  <c r="U96" i="7"/>
  <c r="T96" i="7"/>
  <c r="S96" i="7"/>
  <c r="Q96" i="7"/>
  <c r="P96" i="7"/>
  <c r="O96" i="7"/>
  <c r="N96" i="7"/>
  <c r="L96" i="7"/>
  <c r="K96" i="7"/>
  <c r="J96" i="7"/>
  <c r="I96" i="7"/>
  <c r="G96" i="7"/>
  <c r="F96" i="7"/>
  <c r="E96" i="7"/>
  <c r="D96" i="7"/>
  <c r="CV93" i="7"/>
  <c r="BC93" i="7"/>
  <c r="DV91" i="7"/>
  <c r="DU91" i="7"/>
  <c r="DU93" i="7" s="1"/>
  <c r="DT91" i="7"/>
  <c r="DS91" i="7"/>
  <c r="DS93" i="7" s="1"/>
  <c r="DQ91" i="7"/>
  <c r="DP91" i="7"/>
  <c r="DO91" i="7"/>
  <c r="DN91" i="7"/>
  <c r="DN10" i="8" s="1"/>
  <c r="DL91" i="7"/>
  <c r="DK91" i="7"/>
  <c r="DK93" i="7" s="1"/>
  <c r="DJ91" i="7"/>
  <c r="DJ10" i="8" s="1"/>
  <c r="DI91" i="7"/>
  <c r="DG91" i="7"/>
  <c r="DG93" i="7" s="1"/>
  <c r="DF91" i="7"/>
  <c r="DE91" i="7"/>
  <c r="DE93" i="7" s="1"/>
  <c r="DD91" i="7"/>
  <c r="DD93" i="7" s="1"/>
  <c r="DB91" i="7"/>
  <c r="DB10" i="8" s="1"/>
  <c r="DA91" i="7"/>
  <c r="DA93" i="7" s="1"/>
  <c r="CZ91" i="7"/>
  <c r="CY91" i="7"/>
  <c r="CY10" i="8" s="1"/>
  <c r="CW91" i="7"/>
  <c r="CV91" i="7"/>
  <c r="CU91" i="7"/>
  <c r="CU10" i="8" s="1"/>
  <c r="CT91" i="7"/>
  <c r="CR91" i="7"/>
  <c r="CQ91" i="7"/>
  <c r="CQ10" i="8" s="1"/>
  <c r="CP91" i="7"/>
  <c r="CP10" i="8" s="1"/>
  <c r="CO91" i="7"/>
  <c r="CM91" i="7"/>
  <c r="CM10" i="8" s="1"/>
  <c r="CM33" i="8" s="1"/>
  <c r="CL91" i="7"/>
  <c r="CL10" i="8" s="1"/>
  <c r="CK91" i="7"/>
  <c r="CJ91" i="7"/>
  <c r="CJ93" i="7" s="1"/>
  <c r="CH91" i="7"/>
  <c r="CH10" i="8" s="1"/>
  <c r="CG91" i="7"/>
  <c r="CF91" i="7"/>
  <c r="CE91" i="7"/>
  <c r="CE10" i="8" s="1"/>
  <c r="CC91" i="7"/>
  <c r="CB91" i="7"/>
  <c r="CB93" i="7" s="1"/>
  <c r="CA91" i="7"/>
  <c r="CA10" i="8" s="1"/>
  <c r="BZ91" i="7"/>
  <c r="BZ10" i="8" s="1"/>
  <c r="BX91" i="7"/>
  <c r="BW91" i="7"/>
  <c r="BW10" i="8" s="1"/>
  <c r="BV91" i="7"/>
  <c r="BV10" i="8" s="1"/>
  <c r="BU91" i="7"/>
  <c r="BS91" i="7"/>
  <c r="BS10" i="8" s="1"/>
  <c r="BS78" i="8" s="1"/>
  <c r="BR91" i="7"/>
  <c r="BR10" i="8" s="1"/>
  <c r="BQ91" i="7"/>
  <c r="BP91" i="7"/>
  <c r="BP93" i="7" s="1"/>
  <c r="BN91" i="7"/>
  <c r="BM91" i="7"/>
  <c r="BL91" i="7"/>
  <c r="BK91" i="7"/>
  <c r="BK10" i="8" s="1"/>
  <c r="BI91" i="7"/>
  <c r="BH91" i="7"/>
  <c r="BG91" i="7"/>
  <c r="BG10" i="8" s="1"/>
  <c r="BF91" i="7"/>
  <c r="BF10" i="8" s="1"/>
  <c r="BD91" i="7"/>
  <c r="BC91" i="7"/>
  <c r="BC10" i="8" s="1"/>
  <c r="BB91" i="7"/>
  <c r="BA91" i="7"/>
  <c r="AY91" i="7"/>
  <c r="AY10" i="8" s="1"/>
  <c r="AY60" i="8" s="1"/>
  <c r="AX91" i="7"/>
  <c r="AX10" i="8" s="1"/>
  <c r="AW91" i="7"/>
  <c r="AV91" i="7"/>
  <c r="Y93" i="7"/>
  <c r="O92" i="7"/>
  <c r="J92" i="7"/>
  <c r="AT91" i="7"/>
  <c r="AS91" i="7"/>
  <c r="AR91" i="7"/>
  <c r="AP91" i="7"/>
  <c r="AO91" i="7"/>
  <c r="AN91" i="7"/>
  <c r="AM91" i="7"/>
  <c r="AK91" i="7"/>
  <c r="AJ91" i="7"/>
  <c r="AI91" i="7"/>
  <c r="AH91" i="7"/>
  <c r="AF91" i="7"/>
  <c r="AE91" i="7"/>
  <c r="AD91" i="7"/>
  <c r="AC91" i="7"/>
  <c r="AA91" i="7"/>
  <c r="Z91" i="7"/>
  <c r="Y91" i="7"/>
  <c r="X91" i="7"/>
  <c r="V91" i="7"/>
  <c r="U91" i="7"/>
  <c r="T91" i="7"/>
  <c r="T93" i="7" s="1"/>
  <c r="S91" i="7"/>
  <c r="Q91" i="7"/>
  <c r="P91" i="7"/>
  <c r="P10" i="8" s="1"/>
  <c r="O91" i="7"/>
  <c r="N91" i="7"/>
  <c r="L91" i="7"/>
  <c r="L10" i="8" s="1"/>
  <c r="K91" i="7"/>
  <c r="J91" i="7"/>
  <c r="I91" i="7"/>
  <c r="I10" i="8" s="1"/>
  <c r="G91" i="7"/>
  <c r="F91" i="7"/>
  <c r="F10" i="8" s="1"/>
  <c r="E91" i="7"/>
  <c r="E10" i="8" s="1"/>
  <c r="D91" i="7"/>
  <c r="DV86" i="7"/>
  <c r="DU86" i="7"/>
  <c r="DT86" i="7"/>
  <c r="DT88" i="7" s="1"/>
  <c r="DS86" i="7"/>
  <c r="DQ86" i="7"/>
  <c r="DQ8" i="8" s="1"/>
  <c r="DP86" i="7"/>
  <c r="DP88" i="7" s="1"/>
  <c r="DO86" i="7"/>
  <c r="DN86" i="7"/>
  <c r="DL86" i="7"/>
  <c r="DK86" i="7"/>
  <c r="DJ86" i="7"/>
  <c r="DI86" i="7"/>
  <c r="DI8" i="8" s="1"/>
  <c r="DI9" i="8" s="1"/>
  <c r="DG86" i="7"/>
  <c r="DG106" i="7" s="1"/>
  <c r="DF86" i="7"/>
  <c r="DF99" i="7" s="1"/>
  <c r="DE86" i="7"/>
  <c r="DE99" i="7" s="1"/>
  <c r="DD86" i="7"/>
  <c r="DB86" i="7"/>
  <c r="DB88" i="7" s="1"/>
  <c r="DA86" i="7"/>
  <c r="CZ86" i="7"/>
  <c r="CZ8" i="8" s="1"/>
  <c r="CY86" i="7"/>
  <c r="CW86" i="7"/>
  <c r="CW8" i="8" s="1"/>
  <c r="CV86" i="7"/>
  <c r="CV8" i="8" s="1"/>
  <c r="CU86" i="7"/>
  <c r="CT86" i="7"/>
  <c r="CR86" i="7"/>
  <c r="CR8" i="8" s="1"/>
  <c r="CQ86" i="7"/>
  <c r="CP86" i="7"/>
  <c r="CO86" i="7"/>
  <c r="CM86" i="7"/>
  <c r="CL86" i="7"/>
  <c r="CK86" i="7"/>
  <c r="CJ86" i="7"/>
  <c r="CJ8" i="8" s="1"/>
  <c r="CH86" i="7"/>
  <c r="CG86" i="7"/>
  <c r="CG8" i="8" s="1"/>
  <c r="CF86" i="7"/>
  <c r="CF8" i="8" s="1"/>
  <c r="CE86" i="7"/>
  <c r="CC86" i="7"/>
  <c r="CC8" i="8" s="1"/>
  <c r="CB86" i="7"/>
  <c r="CB8" i="8" s="1"/>
  <c r="CA86" i="7"/>
  <c r="CA8" i="8" s="1"/>
  <c r="BZ86" i="7"/>
  <c r="BX86" i="7"/>
  <c r="BX8" i="8" s="1"/>
  <c r="BW86" i="7"/>
  <c r="BV86" i="7"/>
  <c r="BV88" i="7" s="1"/>
  <c r="BU86" i="7"/>
  <c r="BS86" i="7"/>
  <c r="BR86" i="7"/>
  <c r="BQ86" i="7"/>
  <c r="BQ8" i="8" s="1"/>
  <c r="BP86" i="7"/>
  <c r="BP8" i="8" s="1"/>
  <c r="BN86" i="7"/>
  <c r="BM86" i="7"/>
  <c r="BM8" i="8" s="1"/>
  <c r="BL86" i="7"/>
  <c r="BL8" i="8" s="1"/>
  <c r="BK86" i="7"/>
  <c r="BK8" i="8" s="1"/>
  <c r="BI86" i="7"/>
  <c r="BI8" i="8" s="1"/>
  <c r="BH86" i="7"/>
  <c r="BH8" i="8" s="1"/>
  <c r="BG86" i="7"/>
  <c r="BF86" i="7"/>
  <c r="BD86" i="7"/>
  <c r="BD8" i="8" s="1"/>
  <c r="BC86" i="7"/>
  <c r="BB86" i="7"/>
  <c r="BA86" i="7"/>
  <c r="BA8" i="8" s="1"/>
  <c r="AY86" i="7"/>
  <c r="AX86" i="7"/>
  <c r="AW86" i="7"/>
  <c r="AV86" i="7"/>
  <c r="AV8" i="8" s="1"/>
  <c r="AT86" i="7"/>
  <c r="AS86" i="7"/>
  <c r="AR86" i="7"/>
  <c r="AR8" i="8" s="1"/>
  <c r="AP86" i="7"/>
  <c r="AO86" i="7"/>
  <c r="AN86" i="7"/>
  <c r="AN8" i="8" s="1"/>
  <c r="AM86" i="7"/>
  <c r="AM8" i="8" s="1"/>
  <c r="AR9" i="8" s="1"/>
  <c r="AK86" i="7"/>
  <c r="AJ86" i="7"/>
  <c r="AJ8" i="8" s="1"/>
  <c r="AI86" i="7"/>
  <c r="AI8" i="8" s="1"/>
  <c r="AN9" i="8" s="1"/>
  <c r="AH86" i="7"/>
  <c r="AH87" i="7" s="1"/>
  <c r="AF86" i="7"/>
  <c r="AE86" i="7"/>
  <c r="AE8" i="8" s="1"/>
  <c r="AJ9" i="8" s="1"/>
  <c r="AD86" i="7"/>
  <c r="AC86" i="7"/>
  <c r="AA86" i="7"/>
  <c r="AA8" i="8" s="1"/>
  <c r="Z86" i="7"/>
  <c r="Y86" i="7"/>
  <c r="X86" i="7"/>
  <c r="X8" i="8" s="1"/>
  <c r="V86" i="7"/>
  <c r="U86" i="7"/>
  <c r="U8" i="8" s="1"/>
  <c r="T86" i="7"/>
  <c r="T8" i="8" s="1"/>
  <c r="S86" i="7"/>
  <c r="S8" i="8" s="1"/>
  <c r="X9" i="8" s="1"/>
  <c r="Q86" i="7"/>
  <c r="P86" i="7"/>
  <c r="P8" i="8" s="1"/>
  <c r="O86" i="7"/>
  <c r="O8" i="8" s="1"/>
  <c r="T9" i="8" s="1"/>
  <c r="N86" i="7"/>
  <c r="N87" i="7" s="1"/>
  <c r="L86" i="7"/>
  <c r="K86" i="7"/>
  <c r="K8" i="8" s="1"/>
  <c r="P9" i="8" s="1"/>
  <c r="J86" i="7"/>
  <c r="I86" i="7"/>
  <c r="G86" i="7"/>
  <c r="G8" i="8" s="1"/>
  <c r="F86" i="7"/>
  <c r="E86" i="7"/>
  <c r="E8" i="8" s="1"/>
  <c r="D86" i="7"/>
  <c r="D8" i="8" s="1"/>
  <c r="BD82" i="7"/>
  <c r="BD84" i="7" s="1"/>
  <c r="AY82" i="7"/>
  <c r="AX82" i="7"/>
  <c r="AX131" i="7" s="1"/>
  <c r="AW82" i="7"/>
  <c r="AW131" i="7" s="1"/>
  <c r="AV82" i="7"/>
  <c r="AV131" i="7" s="1"/>
  <c r="DJ78" i="7"/>
  <c r="CX76" i="7"/>
  <c r="DZ73" i="7"/>
  <c r="DZ9" i="7" s="1"/>
  <c r="DZ19" i="8" s="1"/>
  <c r="DQ73" i="7"/>
  <c r="DQ76" i="7" s="1"/>
  <c r="DP73" i="7"/>
  <c r="DP76" i="7" s="1"/>
  <c r="DO73" i="7"/>
  <c r="DN73" i="7"/>
  <c r="DL73" i="7"/>
  <c r="DL76" i="7" s="1"/>
  <c r="DK73" i="7"/>
  <c r="DJ73" i="7"/>
  <c r="DI73" i="7"/>
  <c r="DI76" i="7" s="1"/>
  <c r="DG73" i="7"/>
  <c r="DF73" i="7"/>
  <c r="DE73" i="7"/>
  <c r="DE76" i="7" s="1"/>
  <c r="DD73" i="7"/>
  <c r="DD76" i="7" s="1"/>
  <c r="DB73" i="7"/>
  <c r="DA73" i="7"/>
  <c r="CZ73" i="7"/>
  <c r="CY73" i="7"/>
  <c r="CW73" i="7"/>
  <c r="CV73" i="7"/>
  <c r="CU73" i="7"/>
  <c r="CT73" i="7"/>
  <c r="CR73" i="7"/>
  <c r="CQ73" i="7"/>
  <c r="CP73" i="7"/>
  <c r="CO73" i="7"/>
  <c r="CM73" i="7"/>
  <c r="CL73" i="7"/>
  <c r="CK73" i="7"/>
  <c r="CJ73" i="7"/>
  <c r="CH73" i="7"/>
  <c r="CG73" i="7"/>
  <c r="CF73" i="7"/>
  <c r="CE73" i="7"/>
  <c r="CC73" i="7"/>
  <c r="CB73" i="7"/>
  <c r="CA73" i="7"/>
  <c r="BZ73" i="7"/>
  <c r="BX73" i="7"/>
  <c r="BW73" i="7"/>
  <c r="BV73" i="7"/>
  <c r="BU73" i="7"/>
  <c r="BS73" i="7"/>
  <c r="BR73" i="7"/>
  <c r="BQ73" i="7"/>
  <c r="BP73" i="7"/>
  <c r="BN73" i="7"/>
  <c r="BM73" i="7"/>
  <c r="BL73" i="7"/>
  <c r="BK73" i="7"/>
  <c r="BI73" i="7"/>
  <c r="BH73" i="7"/>
  <c r="BG73" i="7"/>
  <c r="BF73" i="7"/>
  <c r="BD73" i="7"/>
  <c r="BC73" i="7"/>
  <c r="BB73" i="7"/>
  <c r="BA73" i="7"/>
  <c r="AY73" i="7"/>
  <c r="AY75" i="7" s="1"/>
  <c r="AX73" i="7"/>
  <c r="AW73" i="7"/>
  <c r="AV73" i="7"/>
  <c r="AV134" i="7" s="1"/>
  <c r="AT73" i="7"/>
  <c r="AS73" i="7"/>
  <c r="AR73" i="7"/>
  <c r="AP73" i="7"/>
  <c r="AO73" i="7"/>
  <c r="AN73" i="7"/>
  <c r="AM73" i="7"/>
  <c r="AK73" i="7"/>
  <c r="AJ73" i="7"/>
  <c r="AI73" i="7"/>
  <c r="AH73" i="7"/>
  <c r="AF73" i="7"/>
  <c r="AE73" i="7"/>
  <c r="AD73" i="7"/>
  <c r="AC73" i="7"/>
  <c r="AA73" i="7"/>
  <c r="Z73" i="7"/>
  <c r="Y73" i="7"/>
  <c r="X73" i="7"/>
  <c r="V73" i="7"/>
  <c r="U73" i="7"/>
  <c r="T73" i="7"/>
  <c r="S73" i="7"/>
  <c r="Q73" i="7"/>
  <c r="P73" i="7"/>
  <c r="O73" i="7"/>
  <c r="N73" i="7"/>
  <c r="L73" i="7"/>
  <c r="K73" i="7"/>
  <c r="J73" i="7"/>
  <c r="I73" i="7"/>
  <c r="G73" i="7"/>
  <c r="F73" i="7"/>
  <c r="E73" i="7"/>
  <c r="D73" i="7"/>
  <c r="D134" i="7" s="1"/>
  <c r="DB69" i="7"/>
  <c r="DV69" i="7"/>
  <c r="DV128" i="7" s="1"/>
  <c r="DU69" i="7"/>
  <c r="DT69" i="7"/>
  <c r="DT128" i="7" s="1"/>
  <c r="DS69" i="7"/>
  <c r="DS128" i="7" s="1"/>
  <c r="DQ69" i="7"/>
  <c r="DQ128" i="7" s="1"/>
  <c r="DP69" i="7"/>
  <c r="DO69" i="7"/>
  <c r="DO128" i="7" s="1"/>
  <c r="DN69" i="7"/>
  <c r="DN128" i="7" s="1"/>
  <c r="DL69" i="7"/>
  <c r="DL128" i="7" s="1"/>
  <c r="DK69" i="7"/>
  <c r="DJ69" i="7"/>
  <c r="DJ128" i="7" s="1"/>
  <c r="DI69" i="7"/>
  <c r="DI128" i="7" s="1"/>
  <c r="DG69" i="7"/>
  <c r="DG128" i="7" s="1"/>
  <c r="DF69" i="7"/>
  <c r="DE69" i="7"/>
  <c r="DE128" i="7" s="1"/>
  <c r="DD69" i="7"/>
  <c r="DD128" i="7" s="1"/>
  <c r="DA69" i="7"/>
  <c r="DA128" i="7" s="1"/>
  <c r="CZ69" i="7"/>
  <c r="CY69" i="7"/>
  <c r="CW69" i="7"/>
  <c r="CV69" i="7"/>
  <c r="CU69" i="7"/>
  <c r="CT69" i="7"/>
  <c r="CR69" i="7"/>
  <c r="CQ69" i="7"/>
  <c r="CP69" i="7"/>
  <c r="CO69" i="7"/>
  <c r="CO128" i="7" s="1"/>
  <c r="CM69" i="7"/>
  <c r="CL69" i="7"/>
  <c r="CK69" i="7"/>
  <c r="CK128" i="7" s="1"/>
  <c r="CJ69" i="7"/>
  <c r="CH69" i="7"/>
  <c r="CG69" i="7"/>
  <c r="CG128" i="7" s="1"/>
  <c r="CF69" i="7"/>
  <c r="CE69" i="7"/>
  <c r="CC69" i="7"/>
  <c r="CB69" i="7"/>
  <c r="CA69" i="7"/>
  <c r="BZ69" i="7"/>
  <c r="BX69" i="7"/>
  <c r="BW69" i="7"/>
  <c r="BV69" i="7"/>
  <c r="BU69" i="7"/>
  <c r="BU128" i="7" s="1"/>
  <c r="BS69" i="7"/>
  <c r="BR69" i="7"/>
  <c r="BQ69" i="7"/>
  <c r="BQ128" i="7" s="1"/>
  <c r="BP69" i="7"/>
  <c r="BN69" i="7"/>
  <c r="BM69" i="7"/>
  <c r="BM128" i="7" s="1"/>
  <c r="BL69" i="7"/>
  <c r="BK69" i="7"/>
  <c r="BI69" i="7"/>
  <c r="BH69" i="7"/>
  <c r="BG69" i="7"/>
  <c r="BF69" i="7"/>
  <c r="BD69" i="7"/>
  <c r="BC69" i="7"/>
  <c r="BB69" i="7"/>
  <c r="BA69" i="7"/>
  <c r="BA128" i="7" s="1"/>
  <c r="AY69" i="7"/>
  <c r="AX69" i="7"/>
  <c r="AW69" i="7"/>
  <c r="AW128" i="7" s="1"/>
  <c r="AV69" i="7"/>
  <c r="AT69" i="7"/>
  <c r="AS69" i="7"/>
  <c r="AS128" i="7" s="1"/>
  <c r="AR69" i="7"/>
  <c r="AP69" i="7"/>
  <c r="AP128" i="7" s="1"/>
  <c r="AO69" i="7"/>
  <c r="AN69" i="7"/>
  <c r="AM69" i="7"/>
  <c r="AK69" i="7"/>
  <c r="AK128" i="7" s="1"/>
  <c r="AJ69" i="7"/>
  <c r="AI69" i="7"/>
  <c r="AH69" i="7"/>
  <c r="AF69" i="7"/>
  <c r="AK70" i="7" s="1"/>
  <c r="AE69" i="7"/>
  <c r="AD69" i="7"/>
  <c r="AC69" i="7"/>
  <c r="AA69" i="7"/>
  <c r="Z69" i="7"/>
  <c r="Y69" i="7"/>
  <c r="Y128" i="7" s="1"/>
  <c r="X69" i="7"/>
  <c r="AC70" i="7" s="1"/>
  <c r="V69" i="7"/>
  <c r="U69" i="7"/>
  <c r="T69" i="7"/>
  <c r="S69" i="7"/>
  <c r="Q69" i="7"/>
  <c r="Q128" i="7" s="1"/>
  <c r="P69" i="7"/>
  <c r="U70" i="7" s="1"/>
  <c r="O69" i="7"/>
  <c r="N69" i="7"/>
  <c r="L69" i="7"/>
  <c r="K69" i="7"/>
  <c r="J69" i="7"/>
  <c r="I69" i="7"/>
  <c r="G69" i="7"/>
  <c r="F69" i="7"/>
  <c r="E69" i="7"/>
  <c r="E128" i="7" s="1"/>
  <c r="D69" i="7"/>
  <c r="AY57" i="7"/>
  <c r="AY15" i="8" s="1"/>
  <c r="AX57" i="7"/>
  <c r="AX15" i="8" s="1"/>
  <c r="AW57" i="7"/>
  <c r="AW15" i="8" s="1"/>
  <c r="AV57" i="7"/>
  <c r="AV15" i="8" s="1"/>
  <c r="G57" i="7"/>
  <c r="G15" i="8" s="1"/>
  <c r="F57" i="7"/>
  <c r="F15" i="8" s="1"/>
  <c r="E57" i="7"/>
  <c r="E15" i="8" s="1"/>
  <c r="D57" i="7"/>
  <c r="DV57" i="7"/>
  <c r="DV15" i="8" s="1"/>
  <c r="DU57" i="7"/>
  <c r="DT57" i="7"/>
  <c r="DT15" i="8" s="1"/>
  <c r="DS57" i="7"/>
  <c r="DQ57" i="7"/>
  <c r="DP57" i="7"/>
  <c r="DP15" i="8" s="1"/>
  <c r="DO57" i="7"/>
  <c r="DN57" i="7"/>
  <c r="DL57" i="7"/>
  <c r="DL15" i="8" s="1"/>
  <c r="DL16" i="8" s="1"/>
  <c r="DK57" i="7"/>
  <c r="DJ57" i="7"/>
  <c r="DJ15" i="8" s="1"/>
  <c r="DI57" i="7"/>
  <c r="DG57" i="7"/>
  <c r="DF57" i="7"/>
  <c r="DE57" i="7"/>
  <c r="DJ58" i="7" s="1"/>
  <c r="DD57" i="7"/>
  <c r="DB57" i="7"/>
  <c r="DB15" i="8" s="1"/>
  <c r="DB76" i="8" s="1"/>
  <c r="DA57" i="7"/>
  <c r="CZ57" i="7"/>
  <c r="CZ15" i="8" s="1"/>
  <c r="CY57" i="7"/>
  <c r="CW57" i="7"/>
  <c r="CV57" i="7"/>
  <c r="CU57" i="7"/>
  <c r="CU15" i="8" s="1"/>
  <c r="CU58" i="8" s="1"/>
  <c r="CT57" i="7"/>
  <c r="CT15" i="8" s="1"/>
  <c r="CR57" i="7"/>
  <c r="CQ57" i="7"/>
  <c r="CQ15" i="8" s="1"/>
  <c r="CP57" i="7"/>
  <c r="CP15" i="8" s="1"/>
  <c r="CP76" i="8" s="1"/>
  <c r="CO57" i="7"/>
  <c r="CM57" i="7"/>
  <c r="CM15" i="8" s="1"/>
  <c r="CM58" i="8" s="1"/>
  <c r="CL57" i="7"/>
  <c r="CL15" i="8" s="1"/>
  <c r="CK57" i="7"/>
  <c r="CJ57" i="7"/>
  <c r="CH57" i="7"/>
  <c r="CH15" i="8" s="1"/>
  <c r="CG57" i="7"/>
  <c r="CF57" i="7"/>
  <c r="CF15" i="8" s="1"/>
  <c r="CF76" i="8" s="1"/>
  <c r="CE57" i="7"/>
  <c r="CC57" i="7"/>
  <c r="CB57" i="7"/>
  <c r="CA57" i="7"/>
  <c r="CA15" i="8" s="1"/>
  <c r="BZ57" i="7"/>
  <c r="BZ15" i="8" s="1"/>
  <c r="BX57" i="7"/>
  <c r="BW57" i="7"/>
  <c r="BV57" i="7"/>
  <c r="BV15" i="8" s="1"/>
  <c r="BV76" i="8" s="1"/>
  <c r="BU57" i="7"/>
  <c r="BS57" i="7"/>
  <c r="BR57" i="7"/>
  <c r="BR15" i="8" s="1"/>
  <c r="BQ57" i="7"/>
  <c r="BQ15" i="8" s="1"/>
  <c r="BQ76" i="8" s="1"/>
  <c r="BP57" i="7"/>
  <c r="BN57" i="7"/>
  <c r="BN15" i="8" s="1"/>
  <c r="BM57" i="7"/>
  <c r="BL57" i="7"/>
  <c r="BL15" i="8" s="1"/>
  <c r="BK57" i="7"/>
  <c r="BI57" i="7"/>
  <c r="BH57" i="7"/>
  <c r="BH15" i="8" s="1"/>
  <c r="BG57" i="7"/>
  <c r="BF57" i="7"/>
  <c r="BF15" i="8" s="1"/>
  <c r="BD57" i="7"/>
  <c r="BD15" i="8" s="1"/>
  <c r="BC57" i="7"/>
  <c r="BB57" i="7"/>
  <c r="BA57" i="7"/>
  <c r="DV55" i="7"/>
  <c r="DU55" i="7"/>
  <c r="DT55" i="7"/>
  <c r="DS55" i="7"/>
  <c r="DQ55" i="7"/>
  <c r="DQ13" i="8" s="1"/>
  <c r="DP55" i="7"/>
  <c r="DO55" i="7"/>
  <c r="DN55" i="7"/>
  <c r="DL55" i="7"/>
  <c r="DK55" i="7"/>
  <c r="DJ55" i="7"/>
  <c r="DI55" i="7"/>
  <c r="DI13" i="8" s="1"/>
  <c r="DI14" i="8" s="1"/>
  <c r="DG55" i="7"/>
  <c r="DF55" i="7"/>
  <c r="DE55" i="7"/>
  <c r="DE63" i="7" s="1"/>
  <c r="DD55" i="7"/>
  <c r="DB55" i="7"/>
  <c r="DA55" i="7"/>
  <c r="DA13" i="8" s="1"/>
  <c r="CZ55" i="7"/>
  <c r="CY55" i="7"/>
  <c r="CW55" i="7"/>
  <c r="CV55" i="7"/>
  <c r="CU55" i="7"/>
  <c r="CT55" i="7"/>
  <c r="CR55" i="7"/>
  <c r="CQ55" i="7"/>
  <c r="CP55" i="7"/>
  <c r="CO55" i="7"/>
  <c r="CM55" i="7"/>
  <c r="CL55" i="7"/>
  <c r="CK55" i="7"/>
  <c r="CK13" i="8" s="1"/>
  <c r="CJ55" i="7"/>
  <c r="CH55" i="7"/>
  <c r="CG55" i="7"/>
  <c r="CF55" i="7"/>
  <c r="CE55" i="7"/>
  <c r="CC55" i="7"/>
  <c r="CC13" i="8" s="1"/>
  <c r="CB55" i="7"/>
  <c r="CA55" i="7"/>
  <c r="BZ55" i="7"/>
  <c r="BX55" i="7"/>
  <c r="BW55" i="7"/>
  <c r="BV55" i="7"/>
  <c r="BU55" i="7"/>
  <c r="BU13" i="8" s="1"/>
  <c r="BS55" i="7"/>
  <c r="BR55" i="7"/>
  <c r="BQ55" i="7"/>
  <c r="BP55" i="7"/>
  <c r="BN55" i="7"/>
  <c r="BM55" i="7"/>
  <c r="BM13" i="8" s="1"/>
  <c r="BL55" i="7"/>
  <c r="BK55" i="7"/>
  <c r="BI55" i="7"/>
  <c r="BH55" i="7"/>
  <c r="BG55" i="7"/>
  <c r="BF55" i="7"/>
  <c r="BD55" i="7"/>
  <c r="BC55" i="7"/>
  <c r="BB55" i="7"/>
  <c r="BA55" i="7"/>
  <c r="AY55" i="7"/>
  <c r="AX55" i="7"/>
  <c r="AW55" i="7"/>
  <c r="AV55" i="7"/>
  <c r="AV13" i="8" s="1"/>
  <c r="AT57" i="7"/>
  <c r="AT15" i="8" s="1"/>
  <c r="AS57" i="7"/>
  <c r="AS15" i="8" s="1"/>
  <c r="AR57" i="7"/>
  <c r="AP57" i="7"/>
  <c r="AP15" i="8" s="1"/>
  <c r="AO57" i="7"/>
  <c r="AO15" i="8" s="1"/>
  <c r="AN57" i="7"/>
  <c r="AM57" i="7"/>
  <c r="AK57" i="7"/>
  <c r="AK15" i="8" s="1"/>
  <c r="AJ57" i="7"/>
  <c r="AI57" i="7"/>
  <c r="AH57" i="7"/>
  <c r="AF57" i="7"/>
  <c r="AE57" i="7"/>
  <c r="AD57" i="7"/>
  <c r="AD15" i="8" s="1"/>
  <c r="AC57" i="7"/>
  <c r="AA57" i="7"/>
  <c r="Z57" i="7"/>
  <c r="Z15" i="8" s="1"/>
  <c r="Y57" i="7"/>
  <c r="Y15" i="8" s="1"/>
  <c r="X57" i="7"/>
  <c r="V57" i="7"/>
  <c r="V15" i="8" s="1"/>
  <c r="U57" i="7"/>
  <c r="U15" i="8" s="1"/>
  <c r="T57" i="7"/>
  <c r="S57" i="7"/>
  <c r="Q57" i="7"/>
  <c r="Q15" i="8" s="1"/>
  <c r="P57" i="7"/>
  <c r="O57" i="7"/>
  <c r="N57" i="7"/>
  <c r="L57" i="7"/>
  <c r="K57" i="7"/>
  <c r="J57" i="7"/>
  <c r="J15" i="8" s="1"/>
  <c r="I57" i="7"/>
  <c r="AT55" i="7"/>
  <c r="AT13" i="8" s="1"/>
  <c r="AS55" i="7"/>
  <c r="AR55" i="7"/>
  <c r="AR13" i="8" s="1"/>
  <c r="AP55" i="7"/>
  <c r="AO55" i="7"/>
  <c r="AN55" i="7"/>
  <c r="AM55" i="7"/>
  <c r="AM13" i="8" s="1"/>
  <c r="AR14" i="8" s="1"/>
  <c r="AK55" i="7"/>
  <c r="AJ55" i="7"/>
  <c r="AI55" i="7"/>
  <c r="AI13" i="8" s="1"/>
  <c r="AH55" i="7"/>
  <c r="AF55" i="7"/>
  <c r="AE55" i="7"/>
  <c r="AE13" i="8" s="1"/>
  <c r="AD55" i="7"/>
  <c r="AD13" i="8" s="1"/>
  <c r="AC55" i="7"/>
  <c r="AC60" i="7" s="1"/>
  <c r="AA55" i="7"/>
  <c r="AA13" i="8" s="1"/>
  <c r="Z55" i="7"/>
  <c r="Y55" i="7"/>
  <c r="X55" i="7"/>
  <c r="V55" i="7"/>
  <c r="V13" i="8" s="1"/>
  <c r="U55" i="7"/>
  <c r="T55" i="7"/>
  <c r="S55" i="7"/>
  <c r="S13" i="8" s="1"/>
  <c r="Q55" i="7"/>
  <c r="P55" i="7"/>
  <c r="O55" i="7"/>
  <c r="O13" i="8" s="1"/>
  <c r="N55" i="7"/>
  <c r="N63" i="7" s="1"/>
  <c r="L55" i="7"/>
  <c r="L13" i="8" s="1"/>
  <c r="K55" i="7"/>
  <c r="K13" i="8" s="1"/>
  <c r="J55" i="7"/>
  <c r="I55" i="7"/>
  <c r="G55" i="7"/>
  <c r="G13" i="8" s="1"/>
  <c r="L14" i="8" s="1"/>
  <c r="F55" i="7"/>
  <c r="F13" i="8" s="1"/>
  <c r="E55" i="7"/>
  <c r="D55" i="7"/>
  <c r="DQ49" i="7"/>
  <c r="DP49" i="7"/>
  <c r="DP89" i="7" s="1"/>
  <c r="DO49" i="7"/>
  <c r="DO89" i="7" s="1"/>
  <c r="DN49" i="7"/>
  <c r="DN165" i="7" s="1"/>
  <c r="DL49" i="7"/>
  <c r="DK49" i="7"/>
  <c r="DK89" i="7" s="1"/>
  <c r="DJ49" i="7"/>
  <c r="DI49" i="7"/>
  <c r="DG49" i="7"/>
  <c r="DF49" i="7"/>
  <c r="DF165" i="7" s="1"/>
  <c r="DE49" i="7"/>
  <c r="DD49" i="7"/>
  <c r="DD89" i="7" s="1"/>
  <c r="DB49" i="7"/>
  <c r="DA49" i="7"/>
  <c r="CZ49" i="7"/>
  <c r="CZ89" i="7" s="1"/>
  <c r="CY49" i="7"/>
  <c r="CY89" i="7" s="1"/>
  <c r="CV49" i="7"/>
  <c r="CU49" i="7"/>
  <c r="CU89" i="7" s="1"/>
  <c r="CT49" i="7"/>
  <c r="CS49" i="7"/>
  <c r="CR49" i="7"/>
  <c r="CQ49" i="7"/>
  <c r="CP49" i="7"/>
  <c r="CP165" i="7" s="1"/>
  <c r="CO49" i="7"/>
  <c r="CN49" i="7"/>
  <c r="CM49" i="7"/>
  <c r="CL49" i="7"/>
  <c r="CK49" i="7"/>
  <c r="CJ49" i="7"/>
  <c r="CJ89" i="7" s="1"/>
  <c r="CI49" i="7"/>
  <c r="CH49" i="7"/>
  <c r="CH165" i="7" s="1"/>
  <c r="CG49" i="7"/>
  <c r="CF49" i="7"/>
  <c r="CE49" i="7"/>
  <c r="CE89" i="7" s="1"/>
  <c r="CD49" i="7"/>
  <c r="CC49" i="7"/>
  <c r="CB49" i="7"/>
  <c r="CA49" i="7"/>
  <c r="BZ49" i="7"/>
  <c r="BZ165" i="7" s="1"/>
  <c r="BY49" i="7"/>
  <c r="BX49" i="7"/>
  <c r="BX89" i="7" s="1"/>
  <c r="BW49" i="7"/>
  <c r="BV49" i="7"/>
  <c r="BU49" i="7"/>
  <c r="BT49" i="7"/>
  <c r="BS49" i="7"/>
  <c r="BS89" i="7" s="1"/>
  <c r="BR49" i="7"/>
  <c r="BR165" i="7" s="1"/>
  <c r="BQ49" i="7"/>
  <c r="BP49" i="7"/>
  <c r="BO49" i="7"/>
  <c r="BN49" i="7"/>
  <c r="BM49" i="7"/>
  <c r="BL49" i="7"/>
  <c r="BK49" i="7"/>
  <c r="BI49" i="7"/>
  <c r="BH49" i="7"/>
  <c r="BH89" i="7" s="1"/>
  <c r="BG49" i="7"/>
  <c r="BF49" i="7"/>
  <c r="BD49" i="7"/>
  <c r="BD89" i="7" s="1"/>
  <c r="BC49" i="7"/>
  <c r="BC89" i="7" s="1"/>
  <c r="BB49" i="7"/>
  <c r="BB165" i="7" s="1"/>
  <c r="BA49" i="7"/>
  <c r="AY49" i="7"/>
  <c r="AX49" i="7"/>
  <c r="AX165" i="7" s="1"/>
  <c r="AW49" i="7"/>
  <c r="AV49" i="7"/>
  <c r="DQ47" i="7"/>
  <c r="DP47" i="7"/>
  <c r="DO47" i="7"/>
  <c r="DN47" i="7"/>
  <c r="DO43" i="7" s="1"/>
  <c r="DL47" i="7"/>
  <c r="DK47" i="7"/>
  <c r="DL43" i="7" s="1"/>
  <c r="DJ47" i="7"/>
  <c r="DI47" i="7"/>
  <c r="DJ43" i="7" s="1"/>
  <c r="DG47" i="7"/>
  <c r="DF47" i="7"/>
  <c r="DG43" i="7" s="1"/>
  <c r="DG44" i="7" s="1"/>
  <c r="DE47" i="7"/>
  <c r="DD47" i="7"/>
  <c r="DE43" i="7" s="1"/>
  <c r="DB47" i="7"/>
  <c r="DA47" i="7"/>
  <c r="DB43" i="7" s="1"/>
  <c r="CZ47" i="7"/>
  <c r="CY47" i="7"/>
  <c r="CW47" i="7"/>
  <c r="CV47" i="7"/>
  <c r="CW43" i="7" s="1"/>
  <c r="CW44" i="7" s="1"/>
  <c r="CU47" i="7"/>
  <c r="CT47" i="7"/>
  <c r="CU43" i="7" s="1"/>
  <c r="CR47" i="7"/>
  <c r="CQ47" i="7"/>
  <c r="CR43" i="7" s="1"/>
  <c r="CR44" i="7" s="1"/>
  <c r="CP47" i="7"/>
  <c r="CO47" i="7"/>
  <c r="CP43" i="7" s="1"/>
  <c r="CM47" i="7"/>
  <c r="CL47" i="7"/>
  <c r="CM43" i="7" s="1"/>
  <c r="CM44" i="7" s="1"/>
  <c r="CK47" i="7"/>
  <c r="CJ47" i="7"/>
  <c r="CK43" i="7" s="1"/>
  <c r="CH47" i="7"/>
  <c r="CG47" i="7"/>
  <c r="CH43" i="7" s="1"/>
  <c r="CH44" i="7" s="1"/>
  <c r="CF47" i="7"/>
  <c r="CE47" i="7"/>
  <c r="CC47" i="7"/>
  <c r="CB47" i="7"/>
  <c r="CC43" i="7" s="1"/>
  <c r="CC44" i="7" s="1"/>
  <c r="CA47" i="7"/>
  <c r="BZ47" i="7"/>
  <c r="CA43" i="7" s="1"/>
  <c r="BX47" i="7"/>
  <c r="BW47" i="7"/>
  <c r="BX43" i="7" s="1"/>
  <c r="BX44" i="7" s="1"/>
  <c r="BV47" i="7"/>
  <c r="BU47" i="7"/>
  <c r="BV43" i="7" s="1"/>
  <c r="BS47" i="7"/>
  <c r="BR47" i="7"/>
  <c r="BS43" i="7" s="1"/>
  <c r="BS44" i="7" s="1"/>
  <c r="BQ47" i="7"/>
  <c r="BP47" i="7"/>
  <c r="BQ43" i="7" s="1"/>
  <c r="BN47" i="7"/>
  <c r="BM47" i="7"/>
  <c r="BN43" i="7" s="1"/>
  <c r="BN44" i="7" s="1"/>
  <c r="BL47" i="7"/>
  <c r="BK47" i="7"/>
  <c r="BI47" i="7"/>
  <c r="BH47" i="7"/>
  <c r="BI43" i="7" s="1"/>
  <c r="BG47" i="7"/>
  <c r="BF47" i="7"/>
  <c r="BD47" i="7"/>
  <c r="BC47" i="7"/>
  <c r="BD43" i="7" s="1"/>
  <c r="BB47" i="7"/>
  <c r="BA47" i="7"/>
  <c r="AY47" i="7"/>
  <c r="AX47" i="7"/>
  <c r="AY43" i="7" s="1"/>
  <c r="AY46" i="7" s="1"/>
  <c r="AW47" i="7"/>
  <c r="AV47" i="7"/>
  <c r="AV46" i="7" s="1"/>
  <c r="EL46" i="7"/>
  <c r="EL45" i="7"/>
  <c r="EL44" i="7"/>
  <c r="EG46" i="7"/>
  <c r="EG45" i="7"/>
  <c r="EG44" i="7"/>
  <c r="EB46" i="7"/>
  <c r="EB45" i="7"/>
  <c r="EB44" i="7"/>
  <c r="DW46" i="7"/>
  <c r="DW45" i="7"/>
  <c r="DW44" i="7"/>
  <c r="DR46" i="7"/>
  <c r="DR45" i="7"/>
  <c r="DM46" i="7"/>
  <c r="DM45" i="7"/>
  <c r="DH46" i="7"/>
  <c r="DH45" i="7"/>
  <c r="DC46" i="7"/>
  <c r="DC45" i="7"/>
  <c r="CX46" i="7"/>
  <c r="CX45" i="7"/>
  <c r="CS46" i="7"/>
  <c r="CS45" i="7"/>
  <c r="CN46" i="7"/>
  <c r="CN45" i="7"/>
  <c r="CI46" i="7"/>
  <c r="CI45" i="7"/>
  <c r="CD46" i="7"/>
  <c r="CD45" i="7"/>
  <c r="BY46" i="7"/>
  <c r="BY45" i="7"/>
  <c r="BT46" i="7"/>
  <c r="BT45" i="7"/>
  <c r="BO46" i="7"/>
  <c r="BO45" i="7"/>
  <c r="AT47" i="7"/>
  <c r="AS47" i="7"/>
  <c r="AT43" i="7" s="1"/>
  <c r="AR47" i="7"/>
  <c r="AP47" i="7"/>
  <c r="AO47" i="7"/>
  <c r="AN47" i="7"/>
  <c r="AO43" i="7" s="1"/>
  <c r="AO46" i="7" s="1"/>
  <c r="AM47" i="7"/>
  <c r="AK47" i="7"/>
  <c r="AJ47" i="7"/>
  <c r="AI47" i="7"/>
  <c r="AH47" i="7"/>
  <c r="AF47" i="7"/>
  <c r="AE47" i="7"/>
  <c r="AF43" i="7" s="1"/>
  <c r="AF46" i="7" s="1"/>
  <c r="AD47" i="7"/>
  <c r="AE43" i="7" s="1"/>
  <c r="AC47" i="7"/>
  <c r="AA47" i="7"/>
  <c r="Z47" i="7"/>
  <c r="Y47" i="7"/>
  <c r="Z43" i="7" s="1"/>
  <c r="X47" i="7"/>
  <c r="Y43" i="7" s="1"/>
  <c r="V47" i="7"/>
  <c r="U47" i="7"/>
  <c r="V43" i="7" s="1"/>
  <c r="T47" i="7"/>
  <c r="U43" i="7" s="1"/>
  <c r="U46" i="7" s="1"/>
  <c r="S47" i="7"/>
  <c r="T43" i="7" s="1"/>
  <c r="Q47" i="7"/>
  <c r="P47" i="7"/>
  <c r="O47" i="7"/>
  <c r="N47" i="7"/>
  <c r="L47" i="7"/>
  <c r="K47" i="7"/>
  <c r="L43" i="7" s="1"/>
  <c r="L46" i="7" s="1"/>
  <c r="J47" i="7"/>
  <c r="K43" i="7" s="1"/>
  <c r="I47" i="7"/>
  <c r="G47" i="7"/>
  <c r="F47" i="7"/>
  <c r="E47" i="7"/>
  <c r="D47" i="7"/>
  <c r="D46" i="7" s="1"/>
  <c r="BJ45" i="7"/>
  <c r="BE45" i="7"/>
  <c r="BE44" i="7"/>
  <c r="BE43" i="7"/>
  <c r="AZ45" i="7"/>
  <c r="AZ44" i="7"/>
  <c r="AP45" i="7"/>
  <c r="AO45" i="7"/>
  <c r="AN45" i="7"/>
  <c r="AM45" i="7"/>
  <c r="AL45" i="7"/>
  <c r="AG45" i="7"/>
  <c r="AG44" i="7"/>
  <c r="AB45" i="7"/>
  <c r="AB44" i="7"/>
  <c r="W45" i="7"/>
  <c r="W44" i="7"/>
  <c r="R45" i="7"/>
  <c r="R44" i="7"/>
  <c r="M45" i="7"/>
  <c r="M44" i="7"/>
  <c r="I45" i="7"/>
  <c r="H45" i="7"/>
  <c r="BG44" i="7"/>
  <c r="BJ44" i="7" s="1"/>
  <c r="BG43" i="7"/>
  <c r="AQ44" i="7"/>
  <c r="AL44" i="7"/>
  <c r="H44" i="7"/>
  <c r="H43" i="7"/>
  <c r="DQ43" i="7"/>
  <c r="DQ44" i="7" s="1"/>
  <c r="DP43" i="7"/>
  <c r="DK43" i="7"/>
  <c r="DA43" i="7"/>
  <c r="CZ43" i="7"/>
  <c r="CV43" i="7"/>
  <c r="CT43" i="7"/>
  <c r="CT44" i="7" s="1"/>
  <c r="CQ43" i="7"/>
  <c r="CQ44" i="7" s="1"/>
  <c r="CG43" i="7"/>
  <c r="CF43" i="7"/>
  <c r="CB43" i="7"/>
  <c r="BW43" i="7"/>
  <c r="BW44" i="7" s="1"/>
  <c r="BM43" i="7"/>
  <c r="BL43" i="7"/>
  <c r="BH43" i="7"/>
  <c r="BC43" i="7"/>
  <c r="BC46" i="7" s="1"/>
  <c r="BA43" i="7"/>
  <c r="AX43" i="7"/>
  <c r="AS43" i="7"/>
  <c r="AS46" i="7" s="1"/>
  <c r="AP43" i="7"/>
  <c r="AN43" i="7"/>
  <c r="AM43" i="7"/>
  <c r="AK43" i="7"/>
  <c r="AH43" i="7"/>
  <c r="AD43" i="7"/>
  <c r="AC43" i="7"/>
  <c r="AC46" i="7" s="1"/>
  <c r="X43" i="7"/>
  <c r="X46" i="7" s="1"/>
  <c r="S43" i="7"/>
  <c r="Q43" i="7"/>
  <c r="N43" i="7"/>
  <c r="J43" i="7"/>
  <c r="I43" i="7"/>
  <c r="I46" i="7" s="1"/>
  <c r="E43" i="7"/>
  <c r="DQ40" i="7"/>
  <c r="DP40" i="7"/>
  <c r="DO40" i="7"/>
  <c r="DN40" i="7"/>
  <c r="DM40" i="7"/>
  <c r="DN36" i="7" s="1"/>
  <c r="DL40" i="7"/>
  <c r="DK40" i="7"/>
  <c r="DJ40" i="7"/>
  <c r="DK36" i="7" s="1"/>
  <c r="DI40" i="7"/>
  <c r="DH40" i="7"/>
  <c r="DG40" i="7"/>
  <c r="DF40" i="7"/>
  <c r="DE40" i="7"/>
  <c r="DD40" i="7"/>
  <c r="DE36" i="7" s="1"/>
  <c r="DE38" i="7" s="1"/>
  <c r="DC40" i="7"/>
  <c r="DD36" i="7" s="1"/>
  <c r="DB40" i="7"/>
  <c r="DA40" i="7"/>
  <c r="CZ40" i="7"/>
  <c r="CY40" i="7"/>
  <c r="CZ36" i="7" s="1"/>
  <c r="CW40" i="7"/>
  <c r="CV40" i="7"/>
  <c r="CU40" i="7"/>
  <c r="CV36" i="7" s="1"/>
  <c r="CT40" i="7"/>
  <c r="CU36" i="7" s="1"/>
  <c r="CR40" i="7"/>
  <c r="CQ40" i="7"/>
  <c r="CP40" i="7"/>
  <c r="CO40" i="7"/>
  <c r="CP36" i="7" s="1"/>
  <c r="CM40" i="7"/>
  <c r="CL40" i="7"/>
  <c r="CM36" i="7" s="1"/>
  <c r="CK40" i="7"/>
  <c r="CJ40" i="7"/>
  <c r="CK36" i="7" s="1"/>
  <c r="CH40" i="7"/>
  <c r="CG40" i="7"/>
  <c r="CF40" i="7"/>
  <c r="CE40" i="7"/>
  <c r="CF36" i="7" s="1"/>
  <c r="CC40" i="7"/>
  <c r="CB40" i="7"/>
  <c r="CA40" i="7"/>
  <c r="CB36" i="7" s="1"/>
  <c r="BZ40" i="7"/>
  <c r="BX40" i="7"/>
  <c r="BW40" i="7"/>
  <c r="BX36" i="7" s="1"/>
  <c r="BV40" i="7"/>
  <c r="BW36" i="7" s="1"/>
  <c r="BU40" i="7"/>
  <c r="BV36" i="7" s="1"/>
  <c r="BS40" i="7"/>
  <c r="BR40" i="7"/>
  <c r="BQ40" i="7"/>
  <c r="BP40" i="7"/>
  <c r="BN40" i="7"/>
  <c r="BM40" i="7"/>
  <c r="BL40" i="7"/>
  <c r="BM36" i="7" s="1"/>
  <c r="BK40" i="7"/>
  <c r="BL36" i="7" s="1"/>
  <c r="BL39" i="7" s="1"/>
  <c r="BI40" i="7"/>
  <c r="BH40" i="7"/>
  <c r="BG40" i="7"/>
  <c r="BF40" i="7"/>
  <c r="BG36" i="7" s="1"/>
  <c r="BD40" i="7"/>
  <c r="BC40" i="7"/>
  <c r="BB40" i="7"/>
  <c r="BC36" i="7" s="1"/>
  <c r="BC39" i="7" s="1"/>
  <c r="BA40" i="7"/>
  <c r="BB36" i="7" s="1"/>
  <c r="AY40" i="7"/>
  <c r="AX40" i="7"/>
  <c r="AZ52" i="7" s="1"/>
  <c r="AW40" i="7"/>
  <c r="AX36" i="7" s="1"/>
  <c r="AX39" i="7" s="1"/>
  <c r="AV40" i="7"/>
  <c r="AV39" i="7" s="1"/>
  <c r="EL39" i="7"/>
  <c r="EL38" i="7"/>
  <c r="EL37" i="7"/>
  <c r="EG39" i="7"/>
  <c r="EG38" i="7"/>
  <c r="EG37" i="7"/>
  <c r="EB39" i="7"/>
  <c r="EB38" i="7"/>
  <c r="EB37" i="7"/>
  <c r="DW39" i="7"/>
  <c r="DW38" i="7"/>
  <c r="DW37" i="7"/>
  <c r="DR39" i="7"/>
  <c r="DR37" i="7"/>
  <c r="DR36" i="7"/>
  <c r="DM39" i="7"/>
  <c r="DM38" i="7"/>
  <c r="DM37" i="7"/>
  <c r="DM36" i="7"/>
  <c r="DH39" i="7"/>
  <c r="DH37" i="7"/>
  <c r="DC39" i="7"/>
  <c r="DC38" i="7"/>
  <c r="DC37" i="7"/>
  <c r="CX39" i="7"/>
  <c r="CX38" i="7"/>
  <c r="CX37" i="7"/>
  <c r="CS39" i="7"/>
  <c r="CS38" i="7"/>
  <c r="CS37" i="7"/>
  <c r="CN39" i="7"/>
  <c r="CN38" i="7"/>
  <c r="CN37" i="7"/>
  <c r="CD39" i="7"/>
  <c r="CD38" i="7"/>
  <c r="BY39" i="7"/>
  <c r="BY38" i="7"/>
  <c r="BJ39" i="7"/>
  <c r="BE38" i="7"/>
  <c r="BE37" i="7"/>
  <c r="BE36" i="7"/>
  <c r="AT40" i="7"/>
  <c r="AS40" i="7"/>
  <c r="AR40" i="7"/>
  <c r="AP40" i="7"/>
  <c r="AO40" i="7"/>
  <c r="AN40" i="7"/>
  <c r="AO36" i="7" s="1"/>
  <c r="AM40" i="7"/>
  <c r="AK40" i="7"/>
  <c r="AJ40" i="7"/>
  <c r="AI40" i="7"/>
  <c r="AJ36" i="7" s="1"/>
  <c r="AH40" i="7"/>
  <c r="AI36" i="7" s="1"/>
  <c r="AI39" i="7" s="1"/>
  <c r="AF40" i="7"/>
  <c r="AH36" i="7" s="1"/>
  <c r="AH39" i="7" s="1"/>
  <c r="AE40" i="7"/>
  <c r="AF36" i="7" s="1"/>
  <c r="AD40" i="7"/>
  <c r="AC40" i="7"/>
  <c r="AA40" i="7"/>
  <c r="AC36" i="7" s="1"/>
  <c r="Z40" i="7"/>
  <c r="AA36" i="7" s="1"/>
  <c r="Y40" i="7"/>
  <c r="X40" i="7"/>
  <c r="V40" i="7"/>
  <c r="X36" i="7" s="1"/>
  <c r="U40" i="7"/>
  <c r="T40" i="7"/>
  <c r="U36" i="7" s="1"/>
  <c r="S40" i="7"/>
  <c r="Q40" i="7"/>
  <c r="S36" i="7" s="1"/>
  <c r="S39" i="7" s="1"/>
  <c r="P40" i="7"/>
  <c r="O40" i="7"/>
  <c r="P36" i="7" s="1"/>
  <c r="N40" i="7"/>
  <c r="O36" i="7" s="1"/>
  <c r="O39" i="7" s="1"/>
  <c r="L40" i="7"/>
  <c r="K40" i="7"/>
  <c r="J40" i="7"/>
  <c r="I40" i="7"/>
  <c r="J36" i="7" s="1"/>
  <c r="J39" i="7" s="1"/>
  <c r="G40" i="7"/>
  <c r="I36" i="7" s="1"/>
  <c r="F40" i="7"/>
  <c r="G36" i="7" s="1"/>
  <c r="E40" i="7"/>
  <c r="D40" i="7"/>
  <c r="D39" i="7" s="1"/>
  <c r="CI38" i="7"/>
  <c r="CI37" i="7"/>
  <c r="BT38" i="7"/>
  <c r="BO38" i="7"/>
  <c r="BO37" i="7"/>
  <c r="BJ38" i="7"/>
  <c r="BJ37" i="7"/>
  <c r="AZ38" i="7"/>
  <c r="AZ37" i="7"/>
  <c r="AQ37" i="7"/>
  <c r="AN38" i="7"/>
  <c r="AO38" i="7" s="1"/>
  <c r="AK38" i="7"/>
  <c r="AL38" i="7" s="1"/>
  <c r="AG38" i="7"/>
  <c r="AG37" i="7"/>
  <c r="Y38" i="7"/>
  <c r="Z38" i="7" s="1"/>
  <c r="W37" i="7"/>
  <c r="T38" i="7"/>
  <c r="U38" i="7" s="1"/>
  <c r="Q38" i="7"/>
  <c r="P38" i="7"/>
  <c r="L38" i="7"/>
  <c r="M38" i="7" s="1"/>
  <c r="H38" i="7"/>
  <c r="H37" i="7"/>
  <c r="H36" i="7"/>
  <c r="AL37" i="7"/>
  <c r="AB37" i="7"/>
  <c r="R37" i="7"/>
  <c r="M37" i="7"/>
  <c r="DQ36" i="7"/>
  <c r="DP36" i="7"/>
  <c r="DJ36" i="7"/>
  <c r="DI36" i="7"/>
  <c r="DF36" i="7"/>
  <c r="DB36" i="7"/>
  <c r="DA36" i="7"/>
  <c r="CW36" i="7"/>
  <c r="CR36" i="7"/>
  <c r="CQ36" i="7"/>
  <c r="CL36" i="7"/>
  <c r="CH36" i="7"/>
  <c r="CG36" i="7"/>
  <c r="CC36" i="7"/>
  <c r="BR36" i="7"/>
  <c r="BQ36" i="7"/>
  <c r="BN36" i="7"/>
  <c r="BI36" i="7"/>
  <c r="BH36" i="7"/>
  <c r="BD36" i="7"/>
  <c r="BA36" i="7"/>
  <c r="AY36" i="7"/>
  <c r="AY39" i="7" s="1"/>
  <c r="AN36" i="7"/>
  <c r="AM36" i="7"/>
  <c r="AM39" i="7" s="1"/>
  <c r="AE36" i="7"/>
  <c r="AD36" i="7"/>
  <c r="AD39" i="7" s="1"/>
  <c r="V36" i="7"/>
  <c r="V39" i="7" s="1"/>
  <c r="T36" i="7"/>
  <c r="N36" i="7"/>
  <c r="N39" i="7" s="1"/>
  <c r="K36" i="7"/>
  <c r="EL31" i="7"/>
  <c r="EL30" i="7"/>
  <c r="EL28" i="7"/>
  <c r="EL27" i="7"/>
  <c r="EL26" i="7"/>
  <c r="EL25" i="7"/>
  <c r="EL24" i="7"/>
  <c r="EL23" i="7"/>
  <c r="EL22" i="7"/>
  <c r="EL21" i="7"/>
  <c r="EL20" i="7"/>
  <c r="EG31" i="7"/>
  <c r="EG30" i="7"/>
  <c r="EG28" i="7"/>
  <c r="EG27" i="7"/>
  <c r="EG26" i="7"/>
  <c r="EG25" i="7"/>
  <c r="EG24" i="7"/>
  <c r="EG23" i="7"/>
  <c r="EG22" i="7"/>
  <c r="EG21" i="7"/>
  <c r="EG20" i="7"/>
  <c r="DW31" i="7"/>
  <c r="DW30" i="7"/>
  <c r="DQ31" i="7"/>
  <c r="DP31" i="7"/>
  <c r="DO31" i="7"/>
  <c r="DN31" i="7"/>
  <c r="DL31" i="7"/>
  <c r="DK31" i="7"/>
  <c r="DJ31" i="7"/>
  <c r="DI31" i="7"/>
  <c r="DH31" i="7"/>
  <c r="DG31" i="7"/>
  <c r="DF31" i="7"/>
  <c r="DE31" i="7"/>
  <c r="DD31" i="7"/>
  <c r="DQ30" i="7"/>
  <c r="DP30" i="7"/>
  <c r="DO30" i="7"/>
  <c r="DN30" i="7"/>
  <c r="DL30" i="7"/>
  <c r="DK30" i="7"/>
  <c r="DJ30" i="7"/>
  <c r="DI30" i="7"/>
  <c r="DH30" i="7"/>
  <c r="DG30" i="7"/>
  <c r="DF30" i="7"/>
  <c r="DE30" i="7"/>
  <c r="DD30" i="7"/>
  <c r="EK29" i="7"/>
  <c r="EJ29" i="7"/>
  <c r="EI29" i="7"/>
  <c r="EH29" i="7"/>
  <c r="EF29" i="7"/>
  <c r="EE29" i="7"/>
  <c r="ED29" i="7"/>
  <c r="EC29" i="7"/>
  <c r="EA29" i="7"/>
  <c r="DZ29" i="7"/>
  <c r="DY29" i="7"/>
  <c r="DX29" i="7"/>
  <c r="DU29" i="7"/>
  <c r="DT29" i="7"/>
  <c r="DS29" i="7"/>
  <c r="DQ29" i="7"/>
  <c r="DB29" i="7"/>
  <c r="DA29" i="7"/>
  <c r="CZ29" i="7"/>
  <c r="CY29" i="7"/>
  <c r="EB28" i="7"/>
  <c r="EB27" i="7"/>
  <c r="EB26" i="7"/>
  <c r="EB25" i="7"/>
  <c r="EB24" i="7"/>
  <c r="EB23" i="7"/>
  <c r="EB22" i="7"/>
  <c r="EB21" i="7"/>
  <c r="EB20" i="7"/>
  <c r="DV28" i="7"/>
  <c r="DW28" i="7" s="1"/>
  <c r="DR28" i="7"/>
  <c r="DR23" i="7"/>
  <c r="DR21" i="7"/>
  <c r="DR20" i="7"/>
  <c r="DC28" i="7"/>
  <c r="DW27" i="7"/>
  <c r="DW26" i="7"/>
  <c r="DW25" i="7"/>
  <c r="DW24" i="7"/>
  <c r="DN27" i="7"/>
  <c r="DM27" i="7"/>
  <c r="DO26" i="7"/>
  <c r="DP26" i="7" s="1"/>
  <c r="DN26" i="7"/>
  <c r="DM26" i="7"/>
  <c r="DL25" i="7"/>
  <c r="DN25" i="7" s="1"/>
  <c r="DK25" i="7"/>
  <c r="DP24" i="7"/>
  <c r="DO24" i="7"/>
  <c r="DN24" i="7"/>
  <c r="DR24" i="7" s="1"/>
  <c r="DL24" i="7"/>
  <c r="DM24" i="7" s="1"/>
  <c r="DV23" i="7"/>
  <c r="DP23" i="7"/>
  <c r="DO23" i="7"/>
  <c r="DN23" i="7"/>
  <c r="DM23" i="7"/>
  <c r="DW22" i="7"/>
  <c r="DW21" i="7"/>
  <c r="DW20" i="7"/>
  <c r="DO22" i="7"/>
  <c r="DN22" i="7"/>
  <c r="DL22" i="7"/>
  <c r="DK22" i="7"/>
  <c r="DM22" i="7" s="1"/>
  <c r="DM21" i="7"/>
  <c r="CS20" i="7"/>
  <c r="CN20" i="7"/>
  <c r="CI20" i="7"/>
  <c r="CD20" i="7"/>
  <c r="BY20" i="7"/>
  <c r="BT20" i="7"/>
  <c r="BO20" i="7"/>
  <c r="BJ20" i="7"/>
  <c r="BE20" i="7"/>
  <c r="AZ20" i="7"/>
  <c r="AQ20" i="7"/>
  <c r="AL20" i="7"/>
  <c r="AG20" i="7"/>
  <c r="AB20" i="7"/>
  <c r="W20" i="7"/>
  <c r="R20" i="7"/>
  <c r="M20" i="7"/>
  <c r="H20" i="7"/>
  <c r="EL17" i="7"/>
  <c r="EG17" i="7"/>
  <c r="DX17" i="7"/>
  <c r="EB17" i="7" s="1"/>
  <c r="DW17" i="7"/>
  <c r="DR17" i="7"/>
  <c r="B15" i="7"/>
  <c r="B14" i="7"/>
  <c r="AY14" i="7"/>
  <c r="AX14" i="7"/>
  <c r="AW14" i="7"/>
  <c r="AV14" i="7"/>
  <c r="F14" i="7"/>
  <c r="E14" i="7"/>
  <c r="D14" i="7"/>
  <c r="B12" i="7"/>
  <c r="DQ14" i="7"/>
  <c r="DP14" i="7"/>
  <c r="DO14" i="7"/>
  <c r="DN14" i="7"/>
  <c r="DL14" i="7"/>
  <c r="DK14" i="7"/>
  <c r="DJ14" i="7"/>
  <c r="DI14" i="7"/>
  <c r="DG14" i="7"/>
  <c r="DF14" i="7"/>
  <c r="DE14" i="7"/>
  <c r="DD14" i="7"/>
  <c r="DB14" i="7"/>
  <c r="DA14" i="7"/>
  <c r="CZ14" i="7"/>
  <c r="CY14" i="7"/>
  <c r="CW14" i="7"/>
  <c r="CV14" i="7"/>
  <c r="CU14" i="7"/>
  <c r="CT14" i="7"/>
  <c r="CR14" i="7"/>
  <c r="CQ14" i="7"/>
  <c r="CP14" i="7"/>
  <c r="CO14" i="7"/>
  <c r="CM14" i="7"/>
  <c r="CL14" i="7"/>
  <c r="CK14" i="7"/>
  <c r="CJ14" i="7"/>
  <c r="CH14" i="7"/>
  <c r="CG14" i="7"/>
  <c r="CF14" i="7"/>
  <c r="CE14" i="7"/>
  <c r="CC14" i="7"/>
  <c r="CB14" i="7"/>
  <c r="CA14" i="7"/>
  <c r="BZ14" i="7"/>
  <c r="BX14" i="7"/>
  <c r="BW14" i="7"/>
  <c r="BV14" i="7"/>
  <c r="BU14" i="7"/>
  <c r="BS14" i="7"/>
  <c r="BR14" i="7"/>
  <c r="BQ14" i="7"/>
  <c r="BP14" i="7"/>
  <c r="BN14" i="7"/>
  <c r="BM14" i="7"/>
  <c r="BL14" i="7"/>
  <c r="BK14" i="7"/>
  <c r="BI14" i="7"/>
  <c r="BH14" i="7"/>
  <c r="BG14" i="7"/>
  <c r="BF14" i="7"/>
  <c r="BD14" i="7"/>
  <c r="BC14" i="7"/>
  <c r="BB14" i="7"/>
  <c r="BA14" i="7"/>
  <c r="DN12" i="7"/>
  <c r="DN82" i="7" s="1"/>
  <c r="DL12" i="7"/>
  <c r="DK12" i="7"/>
  <c r="DK82" i="7" s="1"/>
  <c r="DJ12" i="7"/>
  <c r="DJ82" i="7" s="1"/>
  <c r="DJ71" i="7" s="1"/>
  <c r="DI12" i="7"/>
  <c r="DI82" i="7" s="1"/>
  <c r="DG12" i="7"/>
  <c r="DG82" i="7" s="1"/>
  <c r="DF12" i="7"/>
  <c r="DF82" i="7" s="1"/>
  <c r="DE12" i="7"/>
  <c r="DE82" i="7" s="1"/>
  <c r="DD12" i="7"/>
  <c r="CY12" i="7"/>
  <c r="CW12" i="7"/>
  <c r="CW15" i="7" s="1"/>
  <c r="CV12" i="7"/>
  <c r="CU12" i="7"/>
  <c r="CT12" i="7"/>
  <c r="CR12" i="7"/>
  <c r="CQ12" i="7"/>
  <c r="CP12" i="7"/>
  <c r="CO12" i="7"/>
  <c r="CM12" i="7"/>
  <c r="CL12" i="7"/>
  <c r="CK12" i="7"/>
  <c r="CJ12" i="7"/>
  <c r="CH12" i="7"/>
  <c r="CG12" i="7"/>
  <c r="CF12" i="7"/>
  <c r="CE12" i="7"/>
  <c r="CC12" i="7"/>
  <c r="CB12" i="7"/>
  <c r="CA12" i="7"/>
  <c r="BZ12" i="7"/>
  <c r="BX12" i="7"/>
  <c r="BW12" i="7"/>
  <c r="BV12" i="7"/>
  <c r="BU12" i="7"/>
  <c r="BS12" i="7"/>
  <c r="BR12" i="7"/>
  <c r="BQ12" i="7"/>
  <c r="BP12" i="7"/>
  <c r="BN12" i="7"/>
  <c r="BM12" i="7"/>
  <c r="BL12" i="7"/>
  <c r="BK12" i="7"/>
  <c r="BI12" i="7"/>
  <c r="BH12" i="7"/>
  <c r="BG12" i="7"/>
  <c r="BF12" i="7"/>
  <c r="BD12" i="7"/>
  <c r="BC12" i="7"/>
  <c r="BB12" i="7"/>
  <c r="BA12" i="7"/>
  <c r="DJ11" i="7"/>
  <c r="DJ22" i="8" s="1"/>
  <c r="AY12" i="7"/>
  <c r="AX12" i="7"/>
  <c r="AW12" i="7"/>
  <c r="AV12" i="7"/>
  <c r="AT14" i="7"/>
  <c r="AS14" i="7"/>
  <c r="AR14" i="7"/>
  <c r="AO14" i="7"/>
  <c r="AN14" i="7"/>
  <c r="AM14" i="7"/>
  <c r="AJ14" i="7"/>
  <c r="AI14" i="7"/>
  <c r="AH14" i="7"/>
  <c r="AE14" i="7"/>
  <c r="AD14" i="7"/>
  <c r="AC14" i="7"/>
  <c r="Z14" i="7"/>
  <c r="Y14" i="7"/>
  <c r="X14" i="7"/>
  <c r="U14" i="7"/>
  <c r="T14" i="7"/>
  <c r="S14" i="7"/>
  <c r="P14" i="7"/>
  <c r="O14" i="7"/>
  <c r="N14" i="7"/>
  <c r="K14" i="7"/>
  <c r="J14" i="7"/>
  <c r="I14" i="7"/>
  <c r="AT12" i="7"/>
  <c r="AS12" i="7"/>
  <c r="AR12" i="7"/>
  <c r="AO12" i="7"/>
  <c r="AN12" i="7"/>
  <c r="AM12" i="7"/>
  <c r="AJ12" i="7"/>
  <c r="AI12" i="7"/>
  <c r="AH12" i="7"/>
  <c r="AE12" i="7"/>
  <c r="AD12" i="7"/>
  <c r="AC12" i="7"/>
  <c r="Z12" i="7"/>
  <c r="Y12" i="7"/>
  <c r="X12" i="7"/>
  <c r="U12" i="7"/>
  <c r="T12" i="7"/>
  <c r="S12" i="7"/>
  <c r="P12" i="7"/>
  <c r="O12" i="7"/>
  <c r="N12" i="7"/>
  <c r="K12" i="7"/>
  <c r="J12" i="7"/>
  <c r="I12" i="7"/>
  <c r="F12" i="7"/>
  <c r="E12" i="7"/>
  <c r="D12" i="7"/>
  <c r="B10" i="7"/>
  <c r="DV14" i="7"/>
  <c r="DU14" i="7"/>
  <c r="DT14" i="7"/>
  <c r="DS14" i="7"/>
  <c r="DV8" i="7"/>
  <c r="DV18" i="8" s="1"/>
  <c r="DU8" i="7"/>
  <c r="DU18" i="8" s="1"/>
  <c r="DT8" i="7"/>
  <c r="DT18" i="8" s="1"/>
  <c r="DS8" i="7"/>
  <c r="DR10" i="7"/>
  <c r="DQ9" i="7"/>
  <c r="DQ19" i="8" s="1"/>
  <c r="DP9" i="7"/>
  <c r="DP19" i="8" s="1"/>
  <c r="DO9" i="7"/>
  <c r="DO19" i="8" s="1"/>
  <c r="DN9" i="7"/>
  <c r="DN19" i="8" s="1"/>
  <c r="DL9" i="7"/>
  <c r="DL19" i="8" s="1"/>
  <c r="DK9" i="7"/>
  <c r="DK19" i="8" s="1"/>
  <c r="DJ9" i="7"/>
  <c r="DJ19" i="8" s="1"/>
  <c r="DI9" i="7"/>
  <c r="DQ8" i="7"/>
  <c r="DQ18" i="8" s="1"/>
  <c r="DP8" i="7"/>
  <c r="DP18" i="8" s="1"/>
  <c r="DO8" i="7"/>
  <c r="DN8" i="7"/>
  <c r="DN18" i="8" s="1"/>
  <c r="DL8" i="7"/>
  <c r="DL18" i="8" s="1"/>
  <c r="DK8" i="7"/>
  <c r="DJ8" i="7"/>
  <c r="DI8" i="7"/>
  <c r="DI18" i="8" s="1"/>
  <c r="DG9" i="7"/>
  <c r="DF9" i="7"/>
  <c r="DE9" i="7"/>
  <c r="DD9" i="7"/>
  <c r="DB9" i="7"/>
  <c r="DB19" i="8" s="1"/>
  <c r="DA9" i="7"/>
  <c r="DA19" i="8" s="1"/>
  <c r="CZ9" i="7"/>
  <c r="CZ19" i="8" s="1"/>
  <c r="CY9" i="7"/>
  <c r="CY19" i="8" s="1"/>
  <c r="CW9" i="7"/>
  <c r="CW19" i="8" s="1"/>
  <c r="CV9" i="7"/>
  <c r="CV19" i="8" s="1"/>
  <c r="CU9" i="7"/>
  <c r="CU19" i="8" s="1"/>
  <c r="CT9" i="7"/>
  <c r="CR9" i="7"/>
  <c r="CR19" i="8" s="1"/>
  <c r="CQ9" i="7"/>
  <c r="CQ19" i="8" s="1"/>
  <c r="CP9" i="7"/>
  <c r="CP19" i="8" s="1"/>
  <c r="CO9" i="7"/>
  <c r="CM9" i="7"/>
  <c r="CM19" i="8" s="1"/>
  <c r="CL9" i="7"/>
  <c r="CL19" i="8" s="1"/>
  <c r="CK9" i="7"/>
  <c r="CK19" i="8" s="1"/>
  <c r="CJ9" i="7"/>
  <c r="CH9" i="7"/>
  <c r="CH19" i="8" s="1"/>
  <c r="CG9" i="7"/>
  <c r="CG19" i="8" s="1"/>
  <c r="CF9" i="7"/>
  <c r="CF19" i="8" s="1"/>
  <c r="CE9" i="7"/>
  <c r="CE19" i="8" s="1"/>
  <c r="CC9" i="7"/>
  <c r="CC19" i="8" s="1"/>
  <c r="CB9" i="7"/>
  <c r="CB19" i="8" s="1"/>
  <c r="CA9" i="7"/>
  <c r="CA19" i="8" s="1"/>
  <c r="BZ9" i="7"/>
  <c r="BX9" i="7"/>
  <c r="BX19" i="8" s="1"/>
  <c r="BW9" i="7"/>
  <c r="BW19" i="8" s="1"/>
  <c r="BV9" i="7"/>
  <c r="BV19" i="8" s="1"/>
  <c r="BU9" i="7"/>
  <c r="BS9" i="7"/>
  <c r="BS19" i="8" s="1"/>
  <c r="BR9" i="7"/>
  <c r="BR19" i="8" s="1"/>
  <c r="BQ9" i="7"/>
  <c r="BQ19" i="8" s="1"/>
  <c r="BP9" i="7"/>
  <c r="BP19" i="8" s="1"/>
  <c r="BN9" i="7"/>
  <c r="BN19" i="8" s="1"/>
  <c r="BM9" i="7"/>
  <c r="BM19" i="8" s="1"/>
  <c r="BL9" i="7"/>
  <c r="BL19" i="8" s="1"/>
  <c r="BK9" i="7"/>
  <c r="BK19" i="8" s="1"/>
  <c r="BI9" i="7"/>
  <c r="BI19" i="8" s="1"/>
  <c r="BH9" i="7"/>
  <c r="BH19" i="8" s="1"/>
  <c r="BG9" i="7"/>
  <c r="BG19" i="8" s="1"/>
  <c r="BF9" i="7"/>
  <c r="BD9" i="7"/>
  <c r="BD19" i="8" s="1"/>
  <c r="BC9" i="7"/>
  <c r="BC19" i="8" s="1"/>
  <c r="BB9" i="7"/>
  <c r="BB19" i="8" s="1"/>
  <c r="BA9" i="7"/>
  <c r="AY9" i="7"/>
  <c r="AY19" i="8" s="1"/>
  <c r="AX9" i="7"/>
  <c r="AX19" i="8" s="1"/>
  <c r="AW9" i="7"/>
  <c r="AW19" i="8" s="1"/>
  <c r="AV9" i="7"/>
  <c r="DG8" i="7"/>
  <c r="DF8" i="7"/>
  <c r="DE8" i="7"/>
  <c r="DD8" i="7"/>
  <c r="DB8" i="7"/>
  <c r="DB18" i="8" s="1"/>
  <c r="DA8" i="7"/>
  <c r="DA18" i="8" s="1"/>
  <c r="CZ8" i="7"/>
  <c r="CZ18" i="8" s="1"/>
  <c r="CY8" i="7"/>
  <c r="CY18" i="8" s="1"/>
  <c r="CW8" i="7"/>
  <c r="CW18" i="8" s="1"/>
  <c r="CV8" i="7"/>
  <c r="CV18" i="8" s="1"/>
  <c r="CU8" i="7"/>
  <c r="CU18" i="8" s="1"/>
  <c r="CT8" i="7"/>
  <c r="CT18" i="8" s="1"/>
  <c r="CR8" i="7"/>
  <c r="CR18" i="8" s="1"/>
  <c r="CQ8" i="7"/>
  <c r="CQ18" i="8" s="1"/>
  <c r="CP8" i="7"/>
  <c r="CP18" i="8" s="1"/>
  <c r="CO8" i="7"/>
  <c r="CO18" i="8" s="1"/>
  <c r="CM8" i="7"/>
  <c r="CM18" i="8" s="1"/>
  <c r="CL8" i="7"/>
  <c r="CL18" i="8" s="1"/>
  <c r="CK8" i="7"/>
  <c r="CK18" i="8" s="1"/>
  <c r="CJ8" i="7"/>
  <c r="CJ18" i="8" s="1"/>
  <c r="CH8" i="7"/>
  <c r="CH18" i="8" s="1"/>
  <c r="CG8" i="7"/>
  <c r="CG18" i="8" s="1"/>
  <c r="CF8" i="7"/>
  <c r="CF18" i="8" s="1"/>
  <c r="CE8" i="7"/>
  <c r="CE18" i="8" s="1"/>
  <c r="CC8" i="7"/>
  <c r="CC18" i="8" s="1"/>
  <c r="CB8" i="7"/>
  <c r="CB18" i="8" s="1"/>
  <c r="CA8" i="7"/>
  <c r="CA18" i="8" s="1"/>
  <c r="BZ8" i="7"/>
  <c r="BZ18" i="8" s="1"/>
  <c r="BX8" i="7"/>
  <c r="BX18" i="8" s="1"/>
  <c r="BW8" i="7"/>
  <c r="BW18" i="8" s="1"/>
  <c r="BV8" i="7"/>
  <c r="BV18" i="8" s="1"/>
  <c r="BU8" i="7"/>
  <c r="BU18" i="8" s="1"/>
  <c r="BS8" i="7"/>
  <c r="BS18" i="8" s="1"/>
  <c r="BR8" i="7"/>
  <c r="BR18" i="8" s="1"/>
  <c r="BQ8" i="7"/>
  <c r="BQ18" i="8" s="1"/>
  <c r="BP8" i="7"/>
  <c r="BP18" i="8" s="1"/>
  <c r="BN8" i="7"/>
  <c r="BN18" i="8" s="1"/>
  <c r="BM8" i="7"/>
  <c r="BM18" i="8" s="1"/>
  <c r="BL8" i="7"/>
  <c r="BL18" i="8" s="1"/>
  <c r="BK8" i="7"/>
  <c r="BK18" i="8" s="1"/>
  <c r="BI8" i="7"/>
  <c r="BI18" i="8" s="1"/>
  <c r="BH8" i="7"/>
  <c r="BH18" i="8" s="1"/>
  <c r="BG8" i="7"/>
  <c r="BG18" i="8" s="1"/>
  <c r="BF8" i="7"/>
  <c r="BF18" i="8" s="1"/>
  <c r="BD8" i="7"/>
  <c r="BD18" i="8" s="1"/>
  <c r="BC8" i="7"/>
  <c r="BC18" i="8" s="1"/>
  <c r="BB8" i="7"/>
  <c r="BB18" i="8" s="1"/>
  <c r="BA8" i="7"/>
  <c r="BA18" i="8" s="1"/>
  <c r="AY8" i="7"/>
  <c r="AY18" i="8" s="1"/>
  <c r="AX8" i="7"/>
  <c r="AX18" i="8" s="1"/>
  <c r="AW8" i="7"/>
  <c r="AW18" i="8" s="1"/>
  <c r="AV8" i="7"/>
  <c r="AV18" i="8" s="1"/>
  <c r="AT9" i="7"/>
  <c r="AT19" i="8" s="1"/>
  <c r="AS9" i="7"/>
  <c r="AS19" i="8" s="1"/>
  <c r="AR9" i="7"/>
  <c r="AR19" i="8" s="1"/>
  <c r="AP9" i="7"/>
  <c r="AP19" i="8" s="1"/>
  <c r="AO9" i="7"/>
  <c r="AO19" i="8" s="1"/>
  <c r="AN9" i="7"/>
  <c r="AN19" i="8" s="1"/>
  <c r="AM9" i="7"/>
  <c r="AK9" i="7"/>
  <c r="AK19" i="8" s="1"/>
  <c r="AJ9" i="7"/>
  <c r="AJ19" i="8" s="1"/>
  <c r="AI9" i="7"/>
  <c r="AI19" i="8" s="1"/>
  <c r="AH9" i="7"/>
  <c r="AF9" i="7"/>
  <c r="AF19" i="8" s="1"/>
  <c r="AE9" i="7"/>
  <c r="AE19" i="8" s="1"/>
  <c r="AD9" i="7"/>
  <c r="AD19" i="8" s="1"/>
  <c r="AC9" i="7"/>
  <c r="AA9" i="7"/>
  <c r="AA19" i="8" s="1"/>
  <c r="Z9" i="7"/>
  <c r="Z19" i="8" s="1"/>
  <c r="Y9" i="7"/>
  <c r="Y19" i="8" s="1"/>
  <c r="X9" i="7"/>
  <c r="V9" i="7"/>
  <c r="V19" i="8" s="1"/>
  <c r="U9" i="7"/>
  <c r="U19" i="8" s="1"/>
  <c r="T9" i="7"/>
  <c r="T19" i="8" s="1"/>
  <c r="S9" i="7"/>
  <c r="Q9" i="7"/>
  <c r="Q19" i="8" s="1"/>
  <c r="P9" i="7"/>
  <c r="P19" i="8" s="1"/>
  <c r="O9" i="7"/>
  <c r="O19" i="8" s="1"/>
  <c r="N9" i="7"/>
  <c r="L9" i="7"/>
  <c r="L19" i="8" s="1"/>
  <c r="K9" i="7"/>
  <c r="K19" i="8" s="1"/>
  <c r="J9" i="7"/>
  <c r="J19" i="8" s="1"/>
  <c r="I9" i="7"/>
  <c r="G9" i="7"/>
  <c r="G19" i="8" s="1"/>
  <c r="F9" i="7"/>
  <c r="F19" i="8" s="1"/>
  <c r="E9" i="7"/>
  <c r="E19" i="8" s="1"/>
  <c r="D9" i="7"/>
  <c r="D19" i="8" s="1"/>
  <c r="AT8" i="7"/>
  <c r="AT18" i="8" s="1"/>
  <c r="AS8" i="7"/>
  <c r="AS18" i="8" s="1"/>
  <c r="AR8" i="7"/>
  <c r="AR18" i="8" s="1"/>
  <c r="AP8" i="7"/>
  <c r="AP18" i="8" s="1"/>
  <c r="AO8" i="7"/>
  <c r="AO18" i="8" s="1"/>
  <c r="AN8" i="7"/>
  <c r="AN18" i="8" s="1"/>
  <c r="AM8" i="7"/>
  <c r="AM18" i="8" s="1"/>
  <c r="AK8" i="7"/>
  <c r="AK18" i="8" s="1"/>
  <c r="AJ8" i="7"/>
  <c r="AJ18" i="8" s="1"/>
  <c r="AI8" i="7"/>
  <c r="AI18" i="8" s="1"/>
  <c r="AH8" i="7"/>
  <c r="AH18" i="8" s="1"/>
  <c r="AF8" i="7"/>
  <c r="AF18" i="8" s="1"/>
  <c r="AE8" i="7"/>
  <c r="AE18" i="8" s="1"/>
  <c r="AD8" i="7"/>
  <c r="AD18" i="8" s="1"/>
  <c r="AC8" i="7"/>
  <c r="AC18" i="8" s="1"/>
  <c r="AA8" i="7"/>
  <c r="AA18" i="8" s="1"/>
  <c r="Z8" i="7"/>
  <c r="Z18" i="8" s="1"/>
  <c r="Y8" i="7"/>
  <c r="Y18" i="8" s="1"/>
  <c r="X8" i="7"/>
  <c r="X18" i="8" s="1"/>
  <c r="V8" i="7"/>
  <c r="V18" i="8" s="1"/>
  <c r="U8" i="7"/>
  <c r="U18" i="8" s="1"/>
  <c r="T8" i="7"/>
  <c r="T18" i="8" s="1"/>
  <c r="S8" i="7"/>
  <c r="S18" i="8" s="1"/>
  <c r="Q8" i="7"/>
  <c r="Q18" i="8" s="1"/>
  <c r="P8" i="7"/>
  <c r="P18" i="8" s="1"/>
  <c r="O8" i="7"/>
  <c r="O18" i="8" s="1"/>
  <c r="N8" i="7"/>
  <c r="N18" i="8" s="1"/>
  <c r="L8" i="7"/>
  <c r="L18" i="8" s="1"/>
  <c r="K8" i="7"/>
  <c r="K18" i="8" s="1"/>
  <c r="J8" i="7"/>
  <c r="J18" i="8" s="1"/>
  <c r="I8" i="7"/>
  <c r="I18" i="8" s="1"/>
  <c r="G8" i="7"/>
  <c r="G18" i="8" s="1"/>
  <c r="F8" i="7"/>
  <c r="F18" i="8" s="1"/>
  <c r="E8" i="7"/>
  <c r="E18" i="8" s="1"/>
  <c r="D8" i="7"/>
  <c r="D18" i="8" s="1"/>
  <c r="CR6" i="7"/>
  <c r="CQ6" i="7"/>
  <c r="CP6" i="7"/>
  <c r="CO6" i="7"/>
  <c r="CM6" i="7"/>
  <c r="CL6" i="7"/>
  <c r="CK6" i="7"/>
  <c r="CJ6" i="7"/>
  <c r="CH6" i="7"/>
  <c r="CG6" i="7"/>
  <c r="CF6" i="7"/>
  <c r="CE6" i="7"/>
  <c r="CC6" i="7"/>
  <c r="CB6" i="7"/>
  <c r="CA6" i="7"/>
  <c r="BZ6" i="7"/>
  <c r="BX6" i="7"/>
  <c r="BW6" i="7"/>
  <c r="BV6" i="7"/>
  <c r="BU6" i="7"/>
  <c r="BS6" i="7"/>
  <c r="BR6" i="7"/>
  <c r="BQ6" i="7"/>
  <c r="BP6" i="7"/>
  <c r="BN6" i="7"/>
  <c r="BM6" i="7"/>
  <c r="BL6" i="7"/>
  <c r="BK6" i="7"/>
  <c r="BI6" i="7"/>
  <c r="BH6" i="7"/>
  <c r="BG6" i="7"/>
  <c r="BF6" i="7"/>
  <c r="BD6" i="7"/>
  <c r="BC6" i="7"/>
  <c r="BB6" i="7"/>
  <c r="BA6" i="7"/>
  <c r="AY6" i="7"/>
  <c r="AX6" i="7"/>
  <c r="AW6" i="7"/>
  <c r="AZ6" i="7" s="1"/>
  <c r="AT6" i="7"/>
  <c r="AS6" i="7"/>
  <c r="AR6" i="7"/>
  <c r="AP6" i="7"/>
  <c r="AO6" i="7"/>
  <c r="AN6" i="7"/>
  <c r="AM6" i="7"/>
  <c r="AK6" i="7"/>
  <c r="AJ6" i="7"/>
  <c r="AI6" i="7"/>
  <c r="AH6" i="7"/>
  <c r="AF6" i="7"/>
  <c r="AE6" i="7"/>
  <c r="AD6" i="7"/>
  <c r="AC6" i="7"/>
  <c r="AA6" i="7"/>
  <c r="Z6" i="7"/>
  <c r="Y6" i="7"/>
  <c r="V6" i="7"/>
  <c r="U6" i="7"/>
  <c r="T6" i="7"/>
  <c r="Q6" i="7"/>
  <c r="P6" i="7"/>
  <c r="O6" i="7"/>
  <c r="R6" i="7" s="1"/>
  <c r="L6" i="7"/>
  <c r="K6" i="7"/>
  <c r="J6" i="7"/>
  <c r="G6" i="7"/>
  <c r="F6" i="7"/>
  <c r="E6" i="7"/>
  <c r="EL5" i="7"/>
  <c r="EK5" i="7"/>
  <c r="EJ5" i="7"/>
  <c r="EI5" i="7"/>
  <c r="EH5" i="7"/>
  <c r="EG5" i="7"/>
  <c r="EF5" i="7"/>
  <c r="EE5" i="7"/>
  <c r="ED5" i="7"/>
  <c r="EC5" i="7"/>
  <c r="EB5" i="7"/>
  <c r="EA5" i="7"/>
  <c r="DZ5" i="7"/>
  <c r="DY5" i="7"/>
  <c r="DX5" i="7"/>
  <c r="DW5" i="7"/>
  <c r="DV5" i="7"/>
  <c r="DU5" i="7"/>
  <c r="DT5" i="7"/>
  <c r="DS5" i="7"/>
  <c r="DR5" i="7"/>
  <c r="DQ5" i="7"/>
  <c r="DP5" i="7"/>
  <c r="DO5" i="7"/>
  <c r="DN5" i="7"/>
  <c r="DM5" i="7"/>
  <c r="DL5" i="7"/>
  <c r="DK5" i="7"/>
  <c r="DJ5" i="7"/>
  <c r="DI5" i="7"/>
  <c r="DH5" i="7"/>
  <c r="DG5" i="7"/>
  <c r="DF5" i="7"/>
  <c r="DE5" i="7"/>
  <c r="DD5" i="7"/>
  <c r="DC5" i="7"/>
  <c r="DB5" i="7"/>
  <c r="DA5" i="7"/>
  <c r="CZ5" i="7"/>
  <c r="CY5" i="7"/>
  <c r="CX5" i="7"/>
  <c r="CW5" i="7"/>
  <c r="CV5" i="7"/>
  <c r="CU5" i="7"/>
  <c r="CT5" i="7"/>
  <c r="EK3" i="7"/>
  <c r="EJ3" i="7"/>
  <c r="EI3" i="7"/>
  <c r="EH3" i="7"/>
  <c r="EF3" i="7"/>
  <c r="EE3" i="7"/>
  <c r="ED3" i="7"/>
  <c r="EC3" i="7"/>
  <c r="EA3" i="7"/>
  <c r="DZ3" i="7"/>
  <c r="DZ6" i="7" s="1"/>
  <c r="DY3" i="7"/>
  <c r="DX3" i="7"/>
  <c r="DV3" i="7"/>
  <c r="DU3" i="7"/>
  <c r="DU6" i="7" s="1"/>
  <c r="DT3" i="7"/>
  <c r="DS3" i="7"/>
  <c r="DQ3" i="7"/>
  <c r="DP3" i="7"/>
  <c r="DO3" i="7"/>
  <c r="DN3" i="7"/>
  <c r="DL3" i="7"/>
  <c r="DK3" i="7"/>
  <c r="DL6" i="7" s="1"/>
  <c r="DJ3" i="7"/>
  <c r="DI3" i="7"/>
  <c r="DG3" i="7"/>
  <c r="DF3" i="7"/>
  <c r="DE3" i="7"/>
  <c r="DD3" i="7"/>
  <c r="DB3" i="7"/>
  <c r="DA3" i="7"/>
  <c r="CZ3" i="7"/>
  <c r="CY3" i="7"/>
  <c r="CW3" i="7"/>
  <c r="CV3" i="7"/>
  <c r="CU3" i="7"/>
  <c r="CT3" i="7"/>
  <c r="CT6" i="7" s="1"/>
  <c r="EK208" i="5"/>
  <c r="EJ208" i="5"/>
  <c r="EI208" i="5"/>
  <c r="EH208" i="5"/>
  <c r="EF208" i="5"/>
  <c r="EE208" i="5"/>
  <c r="ED208" i="5"/>
  <c r="EC208" i="5"/>
  <c r="EA208" i="5"/>
  <c r="DZ208" i="5"/>
  <c r="DY208" i="5"/>
  <c r="DX208" i="5"/>
  <c r="EB208" i="5" s="1"/>
  <c r="DS208" i="5"/>
  <c r="DQ208" i="5"/>
  <c r="DP208" i="5"/>
  <c r="DO208" i="5"/>
  <c r="DN208" i="5"/>
  <c r="DR208" i="5" s="1"/>
  <c r="BZ207" i="5"/>
  <c r="EK201" i="5"/>
  <c r="EJ201" i="5"/>
  <c r="EI201" i="5"/>
  <c r="EH201" i="5"/>
  <c r="EF201" i="5"/>
  <c r="EE201" i="5"/>
  <c r="ED201" i="5"/>
  <c r="EC201" i="5"/>
  <c r="EA201" i="5"/>
  <c r="DZ201" i="5"/>
  <c r="DY201" i="5"/>
  <c r="DX201" i="5"/>
  <c r="DV201" i="5"/>
  <c r="DU201" i="5"/>
  <c r="DT201" i="5"/>
  <c r="DS201" i="5"/>
  <c r="DQ201" i="5"/>
  <c r="DP201" i="5"/>
  <c r="DO201" i="5"/>
  <c r="DN201" i="5"/>
  <c r="DK201" i="5"/>
  <c r="DI201" i="5"/>
  <c r="DG201" i="5"/>
  <c r="DF201" i="5"/>
  <c r="DE201" i="5"/>
  <c r="DD201" i="5"/>
  <c r="DB201" i="5"/>
  <c r="DA201" i="5"/>
  <c r="CZ201" i="5"/>
  <c r="CY201" i="5"/>
  <c r="CW201" i="5"/>
  <c r="CT201" i="5"/>
  <c r="CO201" i="5"/>
  <c r="CJ201" i="5"/>
  <c r="CE201" i="5"/>
  <c r="BZ201" i="5"/>
  <c r="BU201" i="5"/>
  <c r="BP201" i="5"/>
  <c r="BK201" i="5"/>
  <c r="BF201" i="5"/>
  <c r="BA201" i="5"/>
  <c r="AZ201" i="5"/>
  <c r="AR201" i="5"/>
  <c r="AM201" i="5"/>
  <c r="AH201" i="5"/>
  <c r="AC201" i="5"/>
  <c r="X201" i="5"/>
  <c r="S201" i="5"/>
  <c r="N201" i="5"/>
  <c r="I201" i="5"/>
  <c r="D201" i="5"/>
  <c r="AR200" i="5"/>
  <c r="AR207" i="5" s="1"/>
  <c r="AM200" i="5"/>
  <c r="AM207" i="5" s="1"/>
  <c r="AH200" i="5"/>
  <c r="AH207" i="5" s="1"/>
  <c r="AC200" i="5"/>
  <c r="AC207" i="5" s="1"/>
  <c r="X200" i="5"/>
  <c r="X207" i="5" s="1"/>
  <c r="S200" i="5"/>
  <c r="S207" i="5" s="1"/>
  <c r="N200" i="5"/>
  <c r="N207" i="5" s="1"/>
  <c r="I200" i="5"/>
  <c r="I207" i="5" s="1"/>
  <c r="D200" i="5"/>
  <c r="D207" i="5" s="1"/>
  <c r="AR198" i="5"/>
  <c r="AM198" i="5"/>
  <c r="AH198" i="5"/>
  <c r="AC198" i="5"/>
  <c r="X198" i="5"/>
  <c r="V198" i="5"/>
  <c r="U198" i="5"/>
  <c r="T198" i="5"/>
  <c r="S198" i="5"/>
  <c r="Q198" i="5"/>
  <c r="P198" i="5"/>
  <c r="O198" i="5"/>
  <c r="N198" i="5"/>
  <c r="L198" i="5"/>
  <c r="K198" i="5"/>
  <c r="J198" i="5"/>
  <c r="I198" i="5"/>
  <c r="G198" i="5"/>
  <c r="F198" i="5"/>
  <c r="E198" i="5"/>
  <c r="D198" i="5"/>
  <c r="AR197" i="5"/>
  <c r="AM197" i="5"/>
  <c r="AH197" i="5"/>
  <c r="AC197" i="5"/>
  <c r="AA197" i="5"/>
  <c r="Z197" i="5"/>
  <c r="Y197" i="5"/>
  <c r="X197" i="5"/>
  <c r="V197" i="5"/>
  <c r="U197" i="5"/>
  <c r="T197" i="5"/>
  <c r="S197" i="5"/>
  <c r="Q197" i="5"/>
  <c r="P197" i="5"/>
  <c r="O197" i="5"/>
  <c r="N197" i="5"/>
  <c r="L197" i="5"/>
  <c r="K197" i="5"/>
  <c r="J197" i="5"/>
  <c r="I197" i="5"/>
  <c r="G197" i="5"/>
  <c r="F197" i="5"/>
  <c r="E197" i="5"/>
  <c r="D197" i="5"/>
  <c r="DS200" i="5"/>
  <c r="DN200" i="5"/>
  <c r="DI200" i="5"/>
  <c r="DI207" i="5" s="1"/>
  <c r="DD200" i="5"/>
  <c r="DD207" i="5" s="1"/>
  <c r="CY200" i="5"/>
  <c r="CY207" i="5" s="1"/>
  <c r="CT200" i="5"/>
  <c r="CT207" i="5" s="1"/>
  <c r="CO200" i="5"/>
  <c r="CO207" i="5" s="1"/>
  <c r="BK200" i="5"/>
  <c r="BK207" i="5" s="1"/>
  <c r="BF200" i="5"/>
  <c r="BF207" i="5" s="1"/>
  <c r="BA200" i="5"/>
  <c r="BA207" i="5" s="1"/>
  <c r="AZ200" i="5"/>
  <c r="DS198" i="5"/>
  <c r="DN198" i="5"/>
  <c r="DI198" i="5"/>
  <c r="DD198" i="5"/>
  <c r="DB198" i="5"/>
  <c r="DA198" i="5"/>
  <c r="CZ198" i="5"/>
  <c r="CY198" i="5"/>
  <c r="CT198" i="5"/>
  <c r="CO198" i="5"/>
  <c r="CJ198" i="5"/>
  <c r="CE198" i="5"/>
  <c r="BZ198" i="5"/>
  <c r="DX197" i="5"/>
  <c r="DS197" i="5"/>
  <c r="DN197" i="5"/>
  <c r="DI197" i="5"/>
  <c r="DD197" i="5"/>
  <c r="CY197" i="5"/>
  <c r="CT197" i="5"/>
  <c r="CO197" i="5"/>
  <c r="CJ197" i="5"/>
  <c r="CE197" i="5"/>
  <c r="BZ197" i="5"/>
  <c r="BU198" i="5"/>
  <c r="BP198" i="5"/>
  <c r="BK198" i="5"/>
  <c r="BF198" i="5"/>
  <c r="BA198" i="5"/>
  <c r="AZ198" i="5"/>
  <c r="BU197" i="5"/>
  <c r="BP197" i="5"/>
  <c r="BK197" i="5"/>
  <c r="BF197" i="5"/>
  <c r="BA197" i="5"/>
  <c r="AZ197" i="5"/>
  <c r="EL196" i="5"/>
  <c r="EL195" i="5"/>
  <c r="EG196" i="5"/>
  <c r="EG195" i="5"/>
  <c r="EB196" i="5"/>
  <c r="EB195" i="5"/>
  <c r="DW196" i="5"/>
  <c r="DW195" i="5"/>
  <c r="DR196" i="5"/>
  <c r="DR195" i="5"/>
  <c r="DM196" i="5"/>
  <c r="DM195" i="5"/>
  <c r="DH196" i="5"/>
  <c r="DH195" i="5"/>
  <c r="DC196" i="5"/>
  <c r="DC195" i="5"/>
  <c r="CX196" i="5"/>
  <c r="CX195" i="5"/>
  <c r="CS196" i="5"/>
  <c r="CN196" i="5"/>
  <c r="CI196" i="5"/>
  <c r="CI195" i="5"/>
  <c r="CD196" i="5"/>
  <c r="CD195" i="5"/>
  <c r="BT196" i="5"/>
  <c r="BO196" i="5"/>
  <c r="BJ196" i="5"/>
  <c r="BE196" i="5"/>
  <c r="AQ196" i="5"/>
  <c r="AL196" i="5"/>
  <c r="AG196" i="5"/>
  <c r="AB196" i="5"/>
  <c r="W196" i="5"/>
  <c r="R196" i="5"/>
  <c r="M196" i="5"/>
  <c r="H196" i="5"/>
  <c r="CP195" i="5"/>
  <c r="CQ195" i="5" s="1"/>
  <c r="CM195" i="5"/>
  <c r="CN195" i="5" s="1"/>
  <c r="BG195" i="5"/>
  <c r="BH195" i="5" s="1"/>
  <c r="BI195" i="5" s="1"/>
  <c r="BJ195" i="5" s="1"/>
  <c r="BB195" i="5"/>
  <c r="BC195" i="5" s="1"/>
  <c r="BD195" i="5" s="1"/>
  <c r="BE195" i="5" s="1"/>
  <c r="AS195" i="5"/>
  <c r="AT195" i="5" s="1"/>
  <c r="AN195" i="5"/>
  <c r="AO195" i="5" s="1"/>
  <c r="AP195" i="5" s="1"/>
  <c r="AQ195" i="5" s="1"/>
  <c r="AI195" i="5"/>
  <c r="AJ195" i="5" s="1"/>
  <c r="AK195" i="5" s="1"/>
  <c r="AL195" i="5" s="1"/>
  <c r="AD195" i="5"/>
  <c r="AE195" i="5" s="1"/>
  <c r="AF195" i="5" s="1"/>
  <c r="AG195" i="5" s="1"/>
  <c r="Y195" i="5"/>
  <c r="Z195" i="5" s="1"/>
  <c r="AA195" i="5" s="1"/>
  <c r="AB195" i="5" s="1"/>
  <c r="T195" i="5"/>
  <c r="U195" i="5" s="1"/>
  <c r="V195" i="5" s="1"/>
  <c r="W195" i="5" s="1"/>
  <c r="S194" i="5"/>
  <c r="O195" i="5"/>
  <c r="P195" i="5" s="1"/>
  <c r="Q195" i="5" s="1"/>
  <c r="R195" i="5" s="1"/>
  <c r="N194" i="5"/>
  <c r="N199" i="5" s="1"/>
  <c r="J195" i="5"/>
  <c r="K195" i="5" s="1"/>
  <c r="L195" i="5" s="1"/>
  <c r="M195" i="5" s="1"/>
  <c r="I194" i="5"/>
  <c r="E195" i="5"/>
  <c r="F195" i="5" s="1"/>
  <c r="G195" i="5" s="1"/>
  <c r="H195" i="5" s="1"/>
  <c r="D194" i="5"/>
  <c r="CN192" i="5"/>
  <c r="S190" i="5"/>
  <c r="N190" i="5"/>
  <c r="I190" i="5"/>
  <c r="D190" i="5"/>
  <c r="DV183" i="5"/>
  <c r="DU183" i="5"/>
  <c r="DT183" i="5"/>
  <c r="DQ183" i="5"/>
  <c r="DP183" i="5"/>
  <c r="DO183" i="5"/>
  <c r="DL183" i="5"/>
  <c r="DK183" i="5"/>
  <c r="DJ183" i="5"/>
  <c r="DG183" i="5"/>
  <c r="DF183" i="5"/>
  <c r="DE183" i="5"/>
  <c r="DB183" i="5"/>
  <c r="DA183" i="5"/>
  <c r="CZ183" i="5"/>
  <c r="CW183" i="5"/>
  <c r="BO183" i="5"/>
  <c r="H183" i="5"/>
  <c r="DN181" i="5"/>
  <c r="DD181" i="5"/>
  <c r="CO181" i="5"/>
  <c r="CE181" i="5"/>
  <c r="BZ181" i="5"/>
  <c r="BU181" i="5"/>
  <c r="BP181" i="5"/>
  <c r="BF181" i="5"/>
  <c r="AH181" i="5"/>
  <c r="AC181" i="5"/>
  <c r="X181" i="5"/>
  <c r="S181" i="5"/>
  <c r="I181" i="5"/>
  <c r="D181" i="5"/>
  <c r="EL180" i="5"/>
  <c r="EL179" i="5"/>
  <c r="EL178" i="5"/>
  <c r="EL177" i="5"/>
  <c r="EL176" i="5"/>
  <c r="EL175" i="5"/>
  <c r="EG180" i="5"/>
  <c r="EG179" i="5"/>
  <c r="EG178" i="5"/>
  <c r="EG177" i="5"/>
  <c r="EG176" i="5"/>
  <c r="EG175" i="5"/>
  <c r="EB180" i="5"/>
  <c r="EB179" i="5"/>
  <c r="EB178" i="5"/>
  <c r="EB177" i="5"/>
  <c r="EB176" i="5"/>
  <c r="EB175" i="5"/>
  <c r="DT180" i="5"/>
  <c r="DU180" i="5" s="1"/>
  <c r="DV180" i="5" s="1"/>
  <c r="DS180" i="5"/>
  <c r="DO180" i="5"/>
  <c r="DP180" i="5" s="1"/>
  <c r="DI180" i="5"/>
  <c r="DE180" i="5"/>
  <c r="CY180" i="5"/>
  <c r="CU180" i="5"/>
  <c r="CV180" i="5" s="1"/>
  <c r="CK180" i="5"/>
  <c r="CL180" i="5" s="1"/>
  <c r="CJ180" i="5"/>
  <c r="CF180" i="5"/>
  <c r="BL180" i="5"/>
  <c r="BM180" i="5" s="1"/>
  <c r="BK180" i="5"/>
  <c r="BG180" i="5"/>
  <c r="BH180" i="5" s="1"/>
  <c r="BA180" i="5"/>
  <c r="BB180" i="5" s="1"/>
  <c r="AZ180" i="5"/>
  <c r="AR180" i="5"/>
  <c r="AS180" i="5" s="1"/>
  <c r="AT180" i="5" s="1"/>
  <c r="AN180" i="5"/>
  <c r="AM180" i="5"/>
  <c r="AI180" i="5"/>
  <c r="N180" i="5"/>
  <c r="N181" i="5" s="1"/>
  <c r="J180" i="5"/>
  <c r="K180" i="5" s="1"/>
  <c r="L180" i="5" s="1"/>
  <c r="E180" i="5"/>
  <c r="F180" i="5" s="1"/>
  <c r="G180" i="5" s="1"/>
  <c r="D180" i="5"/>
  <c r="DT179" i="5"/>
  <c r="DO179" i="5"/>
  <c r="DP179" i="5" s="1"/>
  <c r="DQ179" i="5" s="1"/>
  <c r="DR179" i="5" s="1"/>
  <c r="DJ179" i="5"/>
  <c r="DK179" i="5" s="1"/>
  <c r="DL179" i="5" s="1"/>
  <c r="DM179" i="5" s="1"/>
  <c r="DE179" i="5"/>
  <c r="DF179" i="5" s="1"/>
  <c r="DG179" i="5" s="1"/>
  <c r="DH179" i="5" s="1"/>
  <c r="CZ179" i="5"/>
  <c r="DA179" i="5" s="1"/>
  <c r="DB179" i="5" s="1"/>
  <c r="DW178" i="5"/>
  <c r="DW177" i="5"/>
  <c r="DW176" i="5"/>
  <c r="DR178" i="5"/>
  <c r="DR177" i="5"/>
  <c r="DR176" i="5"/>
  <c r="DM178" i="5"/>
  <c r="DM176" i="5"/>
  <c r="DH178" i="5"/>
  <c r="DH176" i="5"/>
  <c r="CZ178" i="5"/>
  <c r="DC178" i="5" s="1"/>
  <c r="CZ177" i="5"/>
  <c r="CZ176" i="5"/>
  <c r="DC176" i="5" s="1"/>
  <c r="CZ175" i="5"/>
  <c r="CZ174" i="5"/>
  <c r="CZ173" i="5"/>
  <c r="DA173" i="5" s="1"/>
  <c r="DB173" i="5" s="1"/>
  <c r="CZ172" i="5"/>
  <c r="CZ171" i="5"/>
  <c r="DA171" i="5" s="1"/>
  <c r="CP180" i="5"/>
  <c r="CQ180" i="5" s="1"/>
  <c r="CP179" i="5"/>
  <c r="CQ179" i="5" s="1"/>
  <c r="CP178" i="5"/>
  <c r="CQ178" i="5" s="1"/>
  <c r="DL177" i="5"/>
  <c r="DE177" i="5"/>
  <c r="DF177" i="5" s="1"/>
  <c r="CT177" i="5"/>
  <c r="CT181" i="5" s="1"/>
  <c r="CP177" i="5"/>
  <c r="CQ177" i="5" s="1"/>
  <c r="CR177" i="5" s="1"/>
  <c r="CS177" i="5" s="1"/>
  <c r="DO174" i="5"/>
  <c r="DO173" i="5"/>
  <c r="DP173" i="5" s="1"/>
  <c r="DO172" i="5"/>
  <c r="DO171" i="5"/>
  <c r="BG179" i="5"/>
  <c r="BG178" i="5"/>
  <c r="BH178" i="5" s="1"/>
  <c r="BG177" i="5"/>
  <c r="BH177" i="5" s="1"/>
  <c r="BI177" i="5" s="1"/>
  <c r="BJ177" i="5" s="1"/>
  <c r="BG176" i="5"/>
  <c r="BG175" i="5"/>
  <c r="BG174" i="5"/>
  <c r="BH174" i="5" s="1"/>
  <c r="BA174" i="5"/>
  <c r="BA181" i="5" s="1"/>
  <c r="AZ174" i="5"/>
  <c r="AZ181" i="5" s="1"/>
  <c r="AN179" i="5"/>
  <c r="AO179" i="5" s="1"/>
  <c r="AN178" i="5"/>
  <c r="AN177" i="5"/>
  <c r="AO177" i="5" s="1"/>
  <c r="AN176" i="5"/>
  <c r="AN175" i="5"/>
  <c r="AO175" i="5" s="1"/>
  <c r="AN174" i="5"/>
  <c r="AI179" i="5"/>
  <c r="AJ179" i="5" s="1"/>
  <c r="AI178" i="5"/>
  <c r="AI177" i="5"/>
  <c r="AJ177" i="5" s="1"/>
  <c r="AI176" i="5"/>
  <c r="AI175" i="5"/>
  <c r="AJ175" i="5" s="1"/>
  <c r="AI174" i="5"/>
  <c r="BK173" i="5"/>
  <c r="BK181" i="5" s="1"/>
  <c r="BG173" i="5"/>
  <c r="AZ173" i="5"/>
  <c r="AR173" i="5"/>
  <c r="AR181" i="5" s="1"/>
  <c r="AM173" i="5"/>
  <c r="AI173" i="5"/>
  <c r="AJ173" i="5" s="1"/>
  <c r="DS172" i="5"/>
  <c r="EK174" i="5"/>
  <c r="EJ174" i="5"/>
  <c r="EI174" i="5"/>
  <c r="EH174" i="5"/>
  <c r="EL174" i="5" s="1"/>
  <c r="EK173" i="5"/>
  <c r="EJ173" i="5"/>
  <c r="EI173" i="5"/>
  <c r="EH173" i="5"/>
  <c r="EL173" i="5" s="1"/>
  <c r="EK172" i="5"/>
  <c r="EJ172" i="5"/>
  <c r="EI172" i="5"/>
  <c r="EH172" i="5"/>
  <c r="EL172" i="5" s="1"/>
  <c r="EK171" i="5"/>
  <c r="EK181" i="5" s="1"/>
  <c r="EJ171" i="5"/>
  <c r="EJ181" i="5" s="1"/>
  <c r="EI171" i="5"/>
  <c r="EI181" i="5" s="1"/>
  <c r="EH171" i="5"/>
  <c r="EF174" i="5"/>
  <c r="EE174" i="5"/>
  <c r="ED174" i="5"/>
  <c r="EC174" i="5"/>
  <c r="EG174" i="5" s="1"/>
  <c r="EF173" i="5"/>
  <c r="EE173" i="5"/>
  <c r="ED173" i="5"/>
  <c r="EC173" i="5"/>
  <c r="EG173" i="5" s="1"/>
  <c r="EF172" i="5"/>
  <c r="EE172" i="5"/>
  <c r="ED172" i="5"/>
  <c r="EC172" i="5"/>
  <c r="EG172" i="5" s="1"/>
  <c r="EF171" i="5"/>
  <c r="EF181" i="5" s="1"/>
  <c r="EE171" i="5"/>
  <c r="EE181" i="5" s="1"/>
  <c r="ED171" i="5"/>
  <c r="ED181" i="5" s="1"/>
  <c r="EC171" i="5"/>
  <c r="EC181" i="5" s="1"/>
  <c r="EA174" i="5"/>
  <c r="DZ174" i="5"/>
  <c r="DY174" i="5"/>
  <c r="DX174" i="5"/>
  <c r="EB174" i="5" s="1"/>
  <c r="EA173" i="5"/>
  <c r="DZ173" i="5"/>
  <c r="DY173" i="5"/>
  <c r="DX173" i="5"/>
  <c r="EA172" i="5"/>
  <c r="DZ172" i="5"/>
  <c r="DY172" i="5"/>
  <c r="DX172" i="5"/>
  <c r="EB172" i="5" s="1"/>
  <c r="EA171" i="5"/>
  <c r="EA181" i="5" s="1"/>
  <c r="DZ171" i="5"/>
  <c r="DZ181" i="5" s="1"/>
  <c r="DY171" i="5"/>
  <c r="DY181" i="5" s="1"/>
  <c r="DX171" i="5"/>
  <c r="DT175" i="5"/>
  <c r="DT174" i="5"/>
  <c r="DT173" i="5"/>
  <c r="DU173" i="5" s="1"/>
  <c r="DV173" i="5" s="1"/>
  <c r="DT171" i="5"/>
  <c r="DP175" i="5"/>
  <c r="DQ175" i="5" s="1"/>
  <c r="DP174" i="5"/>
  <c r="DQ174" i="5" s="1"/>
  <c r="DQ173" i="5"/>
  <c r="DP172" i="5"/>
  <c r="DQ172" i="5" s="1"/>
  <c r="DP171" i="5"/>
  <c r="DQ171" i="5" s="1"/>
  <c r="DJ175" i="5"/>
  <c r="DJ174" i="5"/>
  <c r="DK174" i="5" s="1"/>
  <c r="DL174" i="5" s="1"/>
  <c r="DJ173" i="5"/>
  <c r="DK173" i="5" s="1"/>
  <c r="DL173" i="5" s="1"/>
  <c r="DJ172" i="5"/>
  <c r="DJ171" i="5"/>
  <c r="DK171" i="5" s="1"/>
  <c r="DE175" i="5"/>
  <c r="DE174" i="5"/>
  <c r="DF174" i="5" s="1"/>
  <c r="DE173" i="5"/>
  <c r="DE172" i="5"/>
  <c r="DF172" i="5" s="1"/>
  <c r="DG172" i="5" s="1"/>
  <c r="DE171" i="5"/>
  <c r="DA175" i="5"/>
  <c r="DB175" i="5" s="1"/>
  <c r="DA174" i="5"/>
  <c r="DB174" i="5" s="1"/>
  <c r="CU179" i="5"/>
  <c r="CU178" i="5"/>
  <c r="CU177" i="5"/>
  <c r="CU176" i="5"/>
  <c r="CU175" i="5"/>
  <c r="CU174" i="5"/>
  <c r="CU173" i="5"/>
  <c r="CU172" i="5"/>
  <c r="CU171" i="5"/>
  <c r="CP176" i="5"/>
  <c r="CP175" i="5"/>
  <c r="CP174" i="5"/>
  <c r="CP173" i="5"/>
  <c r="CP172" i="5"/>
  <c r="CP171" i="5"/>
  <c r="CK179" i="5"/>
  <c r="CK178" i="5"/>
  <c r="CK177" i="5"/>
  <c r="CK176" i="5"/>
  <c r="CK175" i="5"/>
  <c r="CK174" i="5"/>
  <c r="CK173" i="5"/>
  <c r="CK172" i="5"/>
  <c r="CK171" i="5"/>
  <c r="CF179" i="5"/>
  <c r="CF178" i="5"/>
  <c r="CF177" i="5"/>
  <c r="CF176" i="5"/>
  <c r="CF175" i="5"/>
  <c r="CF174" i="5"/>
  <c r="CF173" i="5"/>
  <c r="CF172" i="5"/>
  <c r="CF171" i="5"/>
  <c r="CA180" i="5"/>
  <c r="CA179" i="5"/>
  <c r="CA178" i="5"/>
  <c r="CA177" i="5"/>
  <c r="CA176" i="5"/>
  <c r="CA175" i="5"/>
  <c r="CA174" i="5"/>
  <c r="CA173" i="5"/>
  <c r="CA172" i="5"/>
  <c r="CA171" i="5"/>
  <c r="BV180" i="5"/>
  <c r="BV179" i="5"/>
  <c r="BV178" i="5"/>
  <c r="BV177" i="5"/>
  <c r="BV176" i="5"/>
  <c r="BV175" i="5"/>
  <c r="BV174" i="5"/>
  <c r="BV173" i="5"/>
  <c r="BV172" i="5"/>
  <c r="BV171" i="5"/>
  <c r="BQ180" i="5"/>
  <c r="BQ179" i="5"/>
  <c r="BQ178" i="5"/>
  <c r="BQ177" i="5"/>
  <c r="BQ176" i="5"/>
  <c r="BQ175" i="5"/>
  <c r="BQ174" i="5"/>
  <c r="BQ173" i="5"/>
  <c r="BQ172" i="5"/>
  <c r="BQ171" i="5"/>
  <c r="BL179" i="5"/>
  <c r="BL178" i="5"/>
  <c r="BL177" i="5"/>
  <c r="BL176" i="5"/>
  <c r="BL175" i="5"/>
  <c r="BL174" i="5"/>
  <c r="BL173" i="5"/>
  <c r="BM173" i="5" s="1"/>
  <c r="BL172" i="5"/>
  <c r="BL171" i="5"/>
  <c r="BG172" i="5"/>
  <c r="BH172" i="5" s="1"/>
  <c r="BG171" i="5"/>
  <c r="BB179" i="5"/>
  <c r="BB178" i="5"/>
  <c r="BC178" i="5" s="1"/>
  <c r="BB177" i="5"/>
  <c r="BC177" i="5" s="1"/>
  <c r="BB176" i="5"/>
  <c r="BC176" i="5" s="1"/>
  <c r="BB175" i="5"/>
  <c r="BB174" i="5"/>
  <c r="BC174" i="5" s="1"/>
  <c r="BB173" i="5"/>
  <c r="BC173" i="5" s="1"/>
  <c r="BB172" i="5"/>
  <c r="BC172" i="5" s="1"/>
  <c r="BB171" i="5"/>
  <c r="AS179" i="5"/>
  <c r="AT179" i="5" s="1"/>
  <c r="AS178" i="5"/>
  <c r="AT178" i="5" s="1"/>
  <c r="AS177" i="5"/>
  <c r="AT177" i="5" s="1"/>
  <c r="AS176" i="5"/>
  <c r="AT176" i="5" s="1"/>
  <c r="AS175" i="5"/>
  <c r="AT175" i="5" s="1"/>
  <c r="AS174" i="5"/>
  <c r="AT174" i="5" s="1"/>
  <c r="AS173" i="5"/>
  <c r="AT173" i="5" s="1"/>
  <c r="AS172" i="5"/>
  <c r="AT172" i="5" s="1"/>
  <c r="AS171" i="5"/>
  <c r="AT171" i="5" s="1"/>
  <c r="AN172" i="5"/>
  <c r="AO172" i="5" s="1"/>
  <c r="AP172" i="5" s="1"/>
  <c r="AN171" i="5"/>
  <c r="AI172" i="5"/>
  <c r="AJ172" i="5" s="1"/>
  <c r="AI171" i="5"/>
  <c r="AJ171" i="5" s="1"/>
  <c r="AD180" i="5"/>
  <c r="AE180" i="5" s="1"/>
  <c r="AF180" i="5" s="1"/>
  <c r="AD179" i="5"/>
  <c r="AD178" i="5"/>
  <c r="AD177" i="5"/>
  <c r="AE177" i="5" s="1"/>
  <c r="AF177" i="5" s="1"/>
  <c r="AD176" i="5"/>
  <c r="AE176" i="5" s="1"/>
  <c r="AF176" i="5" s="1"/>
  <c r="AD175" i="5"/>
  <c r="AD174" i="5"/>
  <c r="AD173" i="5"/>
  <c r="AE173" i="5" s="1"/>
  <c r="AD172" i="5"/>
  <c r="AE172" i="5" s="1"/>
  <c r="AF172" i="5" s="1"/>
  <c r="AD171" i="5"/>
  <c r="Y180" i="5"/>
  <c r="Z180" i="5" s="1"/>
  <c r="Y179" i="5"/>
  <c r="Z179" i="5" s="1"/>
  <c r="AA179" i="5" s="1"/>
  <c r="Y178" i="5"/>
  <c r="Z178" i="5" s="1"/>
  <c r="AA178" i="5" s="1"/>
  <c r="Y177" i="5"/>
  <c r="Y176" i="5"/>
  <c r="Z176" i="5" s="1"/>
  <c r="Y175" i="5"/>
  <c r="Z175" i="5" s="1"/>
  <c r="Y174" i="5"/>
  <c r="Z174" i="5" s="1"/>
  <c r="AA174" i="5" s="1"/>
  <c r="Y173" i="5"/>
  <c r="Y172" i="5"/>
  <c r="Y171" i="5"/>
  <c r="Z171" i="5" s="1"/>
  <c r="T180" i="5"/>
  <c r="U180" i="5" s="1"/>
  <c r="V180" i="5" s="1"/>
  <c r="T179" i="5"/>
  <c r="T178" i="5"/>
  <c r="T177" i="5"/>
  <c r="U177" i="5" s="1"/>
  <c r="T176" i="5"/>
  <c r="U176" i="5" s="1"/>
  <c r="V176" i="5" s="1"/>
  <c r="T175" i="5"/>
  <c r="T174" i="5"/>
  <c r="U174" i="5" s="1"/>
  <c r="T173" i="5"/>
  <c r="U173" i="5" s="1"/>
  <c r="V173" i="5" s="1"/>
  <c r="T172" i="5"/>
  <c r="U172" i="5" s="1"/>
  <c r="V172" i="5" s="1"/>
  <c r="T171" i="5"/>
  <c r="O179" i="5"/>
  <c r="P179" i="5" s="1"/>
  <c r="O178" i="5"/>
  <c r="P178" i="5" s="1"/>
  <c r="O177" i="5"/>
  <c r="P177" i="5" s="1"/>
  <c r="Q177" i="5" s="1"/>
  <c r="O176" i="5"/>
  <c r="O175" i="5"/>
  <c r="O174" i="5"/>
  <c r="P174" i="5" s="1"/>
  <c r="Q174" i="5" s="1"/>
  <c r="O173" i="5"/>
  <c r="P173" i="5" s="1"/>
  <c r="Q173" i="5" s="1"/>
  <c r="O172" i="5"/>
  <c r="O171" i="5"/>
  <c r="J179" i="5"/>
  <c r="K179" i="5" s="1"/>
  <c r="J178" i="5"/>
  <c r="K178" i="5" s="1"/>
  <c r="L178" i="5" s="1"/>
  <c r="J177" i="5"/>
  <c r="J176" i="5"/>
  <c r="K176" i="5" s="1"/>
  <c r="J175" i="5"/>
  <c r="K175" i="5" s="1"/>
  <c r="L175" i="5" s="1"/>
  <c r="J174" i="5"/>
  <c r="K174" i="5" s="1"/>
  <c r="L174" i="5" s="1"/>
  <c r="J173" i="5"/>
  <c r="J172" i="5"/>
  <c r="K172" i="5" s="1"/>
  <c r="J171" i="5"/>
  <c r="K171" i="5" s="1"/>
  <c r="E179" i="5"/>
  <c r="F179" i="5" s="1"/>
  <c r="G179" i="5" s="1"/>
  <c r="E178" i="5"/>
  <c r="E177" i="5"/>
  <c r="E176" i="5"/>
  <c r="F176" i="5" s="1"/>
  <c r="G176" i="5" s="1"/>
  <c r="E175" i="5"/>
  <c r="F175" i="5" s="1"/>
  <c r="G175" i="5" s="1"/>
  <c r="E174" i="5"/>
  <c r="E173" i="5"/>
  <c r="E172" i="5"/>
  <c r="F172" i="5" s="1"/>
  <c r="E171" i="5"/>
  <c r="F171" i="5" s="1"/>
  <c r="DS169" i="5"/>
  <c r="CT169" i="5"/>
  <c r="CO169" i="5"/>
  <c r="BK169" i="5"/>
  <c r="BF169" i="5"/>
  <c r="BA169" i="5"/>
  <c r="AZ169" i="5"/>
  <c r="AR169" i="5"/>
  <c r="AM169" i="5"/>
  <c r="AH169" i="5"/>
  <c r="AC169" i="5"/>
  <c r="X169" i="5"/>
  <c r="S169" i="5"/>
  <c r="S184" i="5" s="1"/>
  <c r="N169" i="5"/>
  <c r="I169" i="5"/>
  <c r="I184" i="5" s="1"/>
  <c r="D169" i="5"/>
  <c r="EL168" i="5"/>
  <c r="EL165" i="5"/>
  <c r="EL163" i="5"/>
  <c r="EL162" i="5"/>
  <c r="EG168" i="5"/>
  <c r="EG165" i="5"/>
  <c r="EG163" i="5"/>
  <c r="EG162" i="5"/>
  <c r="EB168" i="5"/>
  <c r="EB165" i="5"/>
  <c r="EB163" i="5"/>
  <c r="EB162" i="5"/>
  <c r="DT168" i="5"/>
  <c r="DU168" i="5" s="1"/>
  <c r="DV168" i="5" s="1"/>
  <c r="DS168" i="5"/>
  <c r="DO168" i="5"/>
  <c r="DP168" i="5" s="1"/>
  <c r="DJ168" i="5"/>
  <c r="DK168" i="5" s="1"/>
  <c r="DE168" i="5"/>
  <c r="DF168" i="5" s="1"/>
  <c r="CY168" i="5"/>
  <c r="CU168" i="5"/>
  <c r="CF168" i="5"/>
  <c r="CE168" i="5"/>
  <c r="CE169" i="5" s="1"/>
  <c r="CA168" i="5"/>
  <c r="CB168" i="5" s="1"/>
  <c r="BP168" i="5"/>
  <c r="BL168" i="5"/>
  <c r="E168" i="5"/>
  <c r="D168" i="5"/>
  <c r="CU167" i="5"/>
  <c r="BV168" i="5"/>
  <c r="BW168" i="5" s="1"/>
  <c r="BV167" i="5"/>
  <c r="BW167" i="5" s="1"/>
  <c r="BQ167" i="5"/>
  <c r="DT167" i="5"/>
  <c r="DU167" i="5" s="1"/>
  <c r="DV167" i="5" s="1"/>
  <c r="DW167" i="5" s="1"/>
  <c r="DT166" i="5"/>
  <c r="DU166" i="5" s="1"/>
  <c r="DV166" i="5" s="1"/>
  <c r="DW166" i="5" s="1"/>
  <c r="DE166" i="5"/>
  <c r="BZ166" i="5"/>
  <c r="BU166" i="5"/>
  <c r="BQ166" i="5"/>
  <c r="DT165" i="5"/>
  <c r="DT125" i="5" s="1"/>
  <c r="DJ165" i="5"/>
  <c r="DK165" i="5" s="1"/>
  <c r="DJ164" i="5"/>
  <c r="CF167" i="5"/>
  <c r="CF166" i="5"/>
  <c r="CF165" i="5"/>
  <c r="EA165" i="5"/>
  <c r="DZ165" i="5"/>
  <c r="DY165" i="5"/>
  <c r="DY164" i="5"/>
  <c r="DZ164" i="5" s="1"/>
  <c r="EA164" i="5" s="1"/>
  <c r="EC164" i="5" s="1"/>
  <c r="DX164" i="5"/>
  <c r="DT164" i="5"/>
  <c r="DU164" i="5" s="1"/>
  <c r="DO166" i="5"/>
  <c r="DP166" i="5" s="1"/>
  <c r="DQ166" i="5" s="1"/>
  <c r="DO165" i="5"/>
  <c r="DP165" i="5" s="1"/>
  <c r="DQ165" i="5" s="1"/>
  <c r="DN164" i="5"/>
  <c r="DF165" i="5"/>
  <c r="DG165" i="5" s="1"/>
  <c r="DE164" i="5"/>
  <c r="DE125" i="5" s="1"/>
  <c r="CZ166" i="5"/>
  <c r="CZ165" i="5"/>
  <c r="CZ164" i="5"/>
  <c r="CK168" i="5"/>
  <c r="CK167" i="5"/>
  <c r="CK166" i="5"/>
  <c r="CK165" i="5"/>
  <c r="CG164" i="5"/>
  <c r="CH164" i="5" s="1"/>
  <c r="CI164" i="5" s="1"/>
  <c r="CJ164" i="5" s="1"/>
  <c r="CJ125" i="5" s="1"/>
  <c r="CF164" i="5"/>
  <c r="DW163" i="5"/>
  <c r="DW162" i="5"/>
  <c r="DR163" i="5"/>
  <c r="DR162" i="5"/>
  <c r="DM163" i="5"/>
  <c r="DH163" i="5"/>
  <c r="DH162" i="5"/>
  <c r="DC163" i="5"/>
  <c r="DC162" i="5"/>
  <c r="CU166" i="5"/>
  <c r="CV165" i="5"/>
  <c r="CW165" i="5" s="1"/>
  <c r="CU165" i="5"/>
  <c r="CU164" i="5"/>
  <c r="CU125" i="5" s="1"/>
  <c r="CU163" i="5"/>
  <c r="CV163" i="5" s="1"/>
  <c r="DJ162" i="5"/>
  <c r="DJ124" i="5" s="1"/>
  <c r="DJ161" i="5"/>
  <c r="CU162" i="5"/>
  <c r="CV162" i="5" s="1"/>
  <c r="CV201" i="5" s="1"/>
  <c r="CK162" i="5"/>
  <c r="CK201" i="5" s="1"/>
  <c r="CF163" i="5"/>
  <c r="CF124" i="5" s="1"/>
  <c r="CF162" i="5"/>
  <c r="CA167" i="5"/>
  <c r="CB167" i="5" s="1"/>
  <c r="CA166" i="5"/>
  <c r="CB166" i="5" s="1"/>
  <c r="CA165" i="5"/>
  <c r="CA125" i="5" s="1"/>
  <c r="CA164" i="5"/>
  <c r="CB164" i="5" s="1"/>
  <c r="CA163" i="5"/>
  <c r="CB163" i="5" s="1"/>
  <c r="CA162" i="5"/>
  <c r="BV165" i="5"/>
  <c r="BV125" i="5" s="1"/>
  <c r="BV164" i="5"/>
  <c r="BW164" i="5" s="1"/>
  <c r="BV163" i="5"/>
  <c r="BW163" i="5" s="1"/>
  <c r="BV162" i="5"/>
  <c r="BQ165" i="5"/>
  <c r="BQ125" i="5" s="1"/>
  <c r="BQ164" i="5"/>
  <c r="BR164" i="5" s="1"/>
  <c r="BQ163" i="5"/>
  <c r="BR163" i="5" s="1"/>
  <c r="BQ162" i="5"/>
  <c r="BL167" i="5"/>
  <c r="BL166" i="5"/>
  <c r="BM166" i="5" s="1"/>
  <c r="BL165" i="5"/>
  <c r="BM165" i="5" s="1"/>
  <c r="BL164" i="5"/>
  <c r="BM164" i="5" s="1"/>
  <c r="BL163" i="5"/>
  <c r="BL162" i="5"/>
  <c r="DT161" i="5"/>
  <c r="DT200" i="5" s="1"/>
  <c r="DO161" i="5"/>
  <c r="DE161" i="5"/>
  <c r="DF161" i="5" s="1"/>
  <c r="DF124" i="5" s="1"/>
  <c r="CZ161" i="5"/>
  <c r="DA161" i="5" s="1"/>
  <c r="CU161" i="5"/>
  <c r="CU124" i="5" s="1"/>
  <c r="CP168" i="5"/>
  <c r="CP167" i="5"/>
  <c r="CQ167" i="5" s="1"/>
  <c r="CP166" i="5"/>
  <c r="CQ166" i="5" s="1"/>
  <c r="CP165" i="5"/>
  <c r="CQ165" i="5" s="1"/>
  <c r="CP164" i="5"/>
  <c r="CR163" i="5"/>
  <c r="CS163" i="5" s="1"/>
  <c r="CP163" i="5"/>
  <c r="CQ163" i="5" s="1"/>
  <c r="CP162" i="5"/>
  <c r="CP124" i="5" s="1"/>
  <c r="CP161" i="5"/>
  <c r="CL163" i="5"/>
  <c r="CM163" i="5" s="1"/>
  <c r="CN163" i="5" s="1"/>
  <c r="CL162" i="5"/>
  <c r="CL201" i="5" s="1"/>
  <c r="CJ161" i="5"/>
  <c r="CF161" i="5"/>
  <c r="CG161" i="5" s="1"/>
  <c r="CG200" i="5" s="1"/>
  <c r="CG207" i="5" s="1"/>
  <c r="CE161" i="5"/>
  <c r="CE200" i="5" s="1"/>
  <c r="BZ161" i="5"/>
  <c r="BU161" i="5"/>
  <c r="BU169" i="5" s="1"/>
  <c r="BP161" i="5"/>
  <c r="BL161" i="5"/>
  <c r="BM161" i="5" s="1"/>
  <c r="BG168" i="5"/>
  <c r="BG167" i="5"/>
  <c r="BH167" i="5" s="1"/>
  <c r="BI167" i="5" s="1"/>
  <c r="BG166" i="5"/>
  <c r="BG165" i="5"/>
  <c r="BH165" i="5" s="1"/>
  <c r="BG164" i="5"/>
  <c r="BG163" i="5"/>
  <c r="BH163" i="5" s="1"/>
  <c r="BI163" i="5" s="1"/>
  <c r="BG162" i="5"/>
  <c r="BG161" i="5"/>
  <c r="BH161" i="5" s="1"/>
  <c r="BB168" i="5"/>
  <c r="BB167" i="5"/>
  <c r="BC167" i="5" s="1"/>
  <c r="BD167" i="5" s="1"/>
  <c r="BB166" i="5"/>
  <c r="BB165" i="5"/>
  <c r="BC165" i="5" s="1"/>
  <c r="BB164" i="5"/>
  <c r="BB163" i="5"/>
  <c r="BC163" i="5" s="1"/>
  <c r="BD163" i="5" s="1"/>
  <c r="BB162" i="5"/>
  <c r="BB161" i="5"/>
  <c r="BC161" i="5" s="1"/>
  <c r="AS168" i="5"/>
  <c r="AT168" i="5" s="1"/>
  <c r="AS167" i="5"/>
  <c r="AT167" i="5" s="1"/>
  <c r="AS166" i="5"/>
  <c r="AT166" i="5" s="1"/>
  <c r="AS165" i="5"/>
  <c r="AT165" i="5" s="1"/>
  <c r="AS164" i="5"/>
  <c r="AT164" i="5" s="1"/>
  <c r="AS163" i="5"/>
  <c r="AT163" i="5" s="1"/>
  <c r="AS162" i="5"/>
  <c r="AS161" i="5"/>
  <c r="AT161" i="5" s="1"/>
  <c r="AN168" i="5"/>
  <c r="AN167" i="5"/>
  <c r="AO167" i="5" s="1"/>
  <c r="AP167" i="5" s="1"/>
  <c r="AN166" i="5"/>
  <c r="AN165" i="5"/>
  <c r="AO165" i="5" s="1"/>
  <c r="AN164" i="5"/>
  <c r="AN163" i="5"/>
  <c r="AO163" i="5" s="1"/>
  <c r="AP163" i="5" s="1"/>
  <c r="AN162" i="5"/>
  <c r="AN161" i="5"/>
  <c r="AO161" i="5" s="1"/>
  <c r="AI168" i="5"/>
  <c r="AI167" i="5"/>
  <c r="AJ167" i="5" s="1"/>
  <c r="AK167" i="5" s="1"/>
  <c r="AI166" i="5"/>
  <c r="AI165" i="5"/>
  <c r="AJ165" i="5" s="1"/>
  <c r="AI164" i="5"/>
  <c r="AI163" i="5"/>
  <c r="AJ163" i="5" s="1"/>
  <c r="AK163" i="5" s="1"/>
  <c r="AI162" i="5"/>
  <c r="AI161" i="5"/>
  <c r="AJ161" i="5" s="1"/>
  <c r="AD168" i="5"/>
  <c r="AD167" i="5"/>
  <c r="AE167" i="5" s="1"/>
  <c r="AF167" i="5" s="1"/>
  <c r="AD166" i="5"/>
  <c r="AD165" i="5"/>
  <c r="AE165" i="5" s="1"/>
  <c r="AD164" i="5"/>
  <c r="AD163" i="5"/>
  <c r="AE163" i="5" s="1"/>
  <c r="AF163" i="5" s="1"/>
  <c r="AD162" i="5"/>
  <c r="AD161" i="5"/>
  <c r="AE161" i="5" s="1"/>
  <c r="Y168" i="5"/>
  <c r="Y167" i="5"/>
  <c r="Z167" i="5" s="1"/>
  <c r="AA167" i="5" s="1"/>
  <c r="Y166" i="5"/>
  <c r="Y165" i="5"/>
  <c r="Y125" i="5" s="1"/>
  <c r="Y164" i="5"/>
  <c r="Y163" i="5"/>
  <c r="Z163" i="5" s="1"/>
  <c r="AA163" i="5" s="1"/>
  <c r="Y162" i="5"/>
  <c r="Y161" i="5"/>
  <c r="Z161" i="5" s="1"/>
  <c r="T168" i="5"/>
  <c r="T167" i="5"/>
  <c r="U167" i="5" s="1"/>
  <c r="V167" i="5" s="1"/>
  <c r="T166" i="5"/>
  <c r="T165" i="5"/>
  <c r="T125" i="5" s="1"/>
  <c r="T164" i="5"/>
  <c r="U163" i="5"/>
  <c r="V163" i="5" s="1"/>
  <c r="T163" i="5"/>
  <c r="T162" i="5"/>
  <c r="T124" i="5" s="1"/>
  <c r="T161" i="5"/>
  <c r="U161" i="5" s="1"/>
  <c r="O168" i="5"/>
  <c r="O167" i="5"/>
  <c r="P167" i="5" s="1"/>
  <c r="Q167" i="5" s="1"/>
  <c r="O166" i="5"/>
  <c r="O165" i="5"/>
  <c r="O164" i="5"/>
  <c r="O125" i="5" s="1"/>
  <c r="O163" i="5"/>
  <c r="P163" i="5" s="1"/>
  <c r="Q163" i="5" s="1"/>
  <c r="O162" i="5"/>
  <c r="O124" i="5" s="1"/>
  <c r="O161" i="5"/>
  <c r="P161" i="5" s="1"/>
  <c r="J168" i="5"/>
  <c r="J167" i="5"/>
  <c r="K167" i="5" s="1"/>
  <c r="L167" i="5" s="1"/>
  <c r="J166" i="5"/>
  <c r="J165" i="5"/>
  <c r="J164" i="5"/>
  <c r="J125" i="5" s="1"/>
  <c r="J163" i="5"/>
  <c r="K163" i="5" s="1"/>
  <c r="L163" i="5" s="1"/>
  <c r="J162" i="5"/>
  <c r="J124" i="5" s="1"/>
  <c r="J161" i="5"/>
  <c r="K161" i="5" s="1"/>
  <c r="E167" i="5"/>
  <c r="E166" i="5"/>
  <c r="F166" i="5" s="1"/>
  <c r="G166" i="5" s="1"/>
  <c r="E165" i="5"/>
  <c r="E125" i="5" s="1"/>
  <c r="E164" i="5"/>
  <c r="E163" i="5"/>
  <c r="E162" i="5"/>
  <c r="F162" i="5" s="1"/>
  <c r="F201" i="5" s="1"/>
  <c r="E161" i="5"/>
  <c r="E124" i="5" s="1"/>
  <c r="T158" i="5"/>
  <c r="U158" i="5" s="1"/>
  <c r="O158" i="5"/>
  <c r="J158" i="5"/>
  <c r="K158" i="5" s="1"/>
  <c r="E158" i="5"/>
  <c r="Y157" i="5"/>
  <c r="Y198" i="5" s="1"/>
  <c r="DO157" i="5"/>
  <c r="DO198" i="5" s="1"/>
  <c r="DO156" i="5"/>
  <c r="DO197" i="5" s="1"/>
  <c r="DJ157" i="5"/>
  <c r="DJ198" i="5" s="1"/>
  <c r="DJ156" i="5"/>
  <c r="DJ197" i="5" s="1"/>
  <c r="DE157" i="5"/>
  <c r="DE198" i="5" s="1"/>
  <c r="DE156" i="5"/>
  <c r="DE197" i="5" s="1"/>
  <c r="CZ157" i="5"/>
  <c r="DA157" i="5" s="1"/>
  <c r="CZ156" i="5"/>
  <c r="CZ197" i="5" s="1"/>
  <c r="CU157" i="5"/>
  <c r="CU198" i="5" s="1"/>
  <c r="CU156" i="5"/>
  <c r="CU197" i="5" s="1"/>
  <c r="CP157" i="5"/>
  <c r="CP198" i="5" s="1"/>
  <c r="CP156" i="5"/>
  <c r="CP197" i="5" s="1"/>
  <c r="CK157" i="5"/>
  <c r="CK198" i="5" s="1"/>
  <c r="CK156" i="5"/>
  <c r="CK197" i="5" s="1"/>
  <c r="CF157" i="5"/>
  <c r="CF198" i="5" s="1"/>
  <c r="CF156" i="5"/>
  <c r="CF197" i="5" s="1"/>
  <c r="CA157" i="5"/>
  <c r="CA198" i="5" s="1"/>
  <c r="CA156" i="5"/>
  <c r="CA197" i="5" s="1"/>
  <c r="BV157" i="5"/>
  <c r="BV198" i="5" s="1"/>
  <c r="BV156" i="5"/>
  <c r="BV197" i="5" s="1"/>
  <c r="BQ157" i="5"/>
  <c r="BQ198" i="5" s="1"/>
  <c r="BQ156" i="5"/>
  <c r="BQ197" i="5" s="1"/>
  <c r="BL157" i="5"/>
  <c r="BL198" i="5" s="1"/>
  <c r="BL156" i="5"/>
  <c r="BL197" i="5" s="1"/>
  <c r="BG157" i="5"/>
  <c r="BG198" i="5" s="1"/>
  <c r="BG156" i="5"/>
  <c r="BG197" i="5" s="1"/>
  <c r="BB157" i="5"/>
  <c r="BB198" i="5" s="1"/>
  <c r="BB156" i="5"/>
  <c r="BB197" i="5" s="1"/>
  <c r="AN157" i="5"/>
  <c r="AN198" i="5" s="1"/>
  <c r="AN156" i="5"/>
  <c r="AN197" i="5" s="1"/>
  <c r="AI157" i="5"/>
  <c r="AI198" i="5" s="1"/>
  <c r="AI156" i="5"/>
  <c r="AI197" i="5" s="1"/>
  <c r="AD157" i="5"/>
  <c r="AD198" i="5" s="1"/>
  <c r="AD156" i="5"/>
  <c r="AD197" i="5" s="1"/>
  <c r="AB156" i="5"/>
  <c r="DS155" i="5"/>
  <c r="DN155" i="5"/>
  <c r="DI155" i="5"/>
  <c r="DI158" i="5" s="1"/>
  <c r="DD155" i="5"/>
  <c r="DD158" i="5" s="1"/>
  <c r="CY155" i="5"/>
  <c r="CT155" i="5"/>
  <c r="CT158" i="5" s="1"/>
  <c r="CO155" i="5"/>
  <c r="CO158" i="5" s="1"/>
  <c r="CJ155" i="5"/>
  <c r="CJ158" i="5" s="1"/>
  <c r="CE155" i="5"/>
  <c r="BZ155" i="5"/>
  <c r="BZ158" i="5" s="1"/>
  <c r="BU155" i="5"/>
  <c r="BU158" i="5" s="1"/>
  <c r="BP155" i="5"/>
  <c r="BK155" i="5"/>
  <c r="BF155" i="5"/>
  <c r="BF158" i="5" s="1"/>
  <c r="BA155" i="5"/>
  <c r="BA158" i="5" s="1"/>
  <c r="AZ155" i="5"/>
  <c r="AR155" i="5"/>
  <c r="AM155" i="5"/>
  <c r="AH155" i="5"/>
  <c r="AH158" i="5" s="1"/>
  <c r="AC155" i="5"/>
  <c r="AC158" i="5" s="1"/>
  <c r="X155" i="5"/>
  <c r="X158" i="5" s="1"/>
  <c r="W155" i="5"/>
  <c r="V155" i="5"/>
  <c r="U155" i="5"/>
  <c r="T155" i="5"/>
  <c r="S155" i="5"/>
  <c r="R155" i="5"/>
  <c r="Q155" i="5"/>
  <c r="P155" i="5"/>
  <c r="O155" i="5"/>
  <c r="N155" i="5"/>
  <c r="M155" i="5"/>
  <c r="L155" i="5"/>
  <c r="K155" i="5"/>
  <c r="J155" i="5"/>
  <c r="I155" i="5"/>
  <c r="H155" i="5"/>
  <c r="G155" i="5"/>
  <c r="F155" i="5"/>
  <c r="E155" i="5"/>
  <c r="D155" i="5"/>
  <c r="DT157" i="5"/>
  <c r="DT156" i="5"/>
  <c r="DT197" i="5" s="1"/>
  <c r="DT154" i="5"/>
  <c r="DU154" i="5" s="1"/>
  <c r="DV154" i="5" s="1"/>
  <c r="DT153" i="5"/>
  <c r="DT152" i="5"/>
  <c r="DU152" i="5" s="1"/>
  <c r="DV152" i="5" s="1"/>
  <c r="DW152" i="5" s="1"/>
  <c r="DT151" i="5"/>
  <c r="DU151" i="5" s="1"/>
  <c r="DV151" i="5" s="1"/>
  <c r="DT150" i="5"/>
  <c r="DO154" i="5"/>
  <c r="DP154" i="5" s="1"/>
  <c r="DQ154" i="5" s="1"/>
  <c r="DO153" i="5"/>
  <c r="DP153" i="5" s="1"/>
  <c r="DQ153" i="5" s="1"/>
  <c r="DO152" i="5"/>
  <c r="DP152" i="5" s="1"/>
  <c r="DO151" i="5"/>
  <c r="DO150" i="5"/>
  <c r="DP150" i="5" s="1"/>
  <c r="DJ154" i="5"/>
  <c r="DK154" i="5" s="1"/>
  <c r="DL154" i="5" s="1"/>
  <c r="DJ153" i="5"/>
  <c r="DK153" i="5" s="1"/>
  <c r="DJ152" i="5"/>
  <c r="DJ151" i="5"/>
  <c r="DK151" i="5" s="1"/>
  <c r="DL151" i="5" s="1"/>
  <c r="DJ150" i="5"/>
  <c r="DK150" i="5" s="1"/>
  <c r="DE154" i="5"/>
  <c r="DF154" i="5" s="1"/>
  <c r="DE153" i="5"/>
  <c r="DE152" i="5"/>
  <c r="DF152" i="5" s="1"/>
  <c r="DE151" i="5"/>
  <c r="DF151" i="5" s="1"/>
  <c r="DE150" i="5"/>
  <c r="DF150" i="5" s="1"/>
  <c r="CZ154" i="5"/>
  <c r="CZ153" i="5"/>
  <c r="DA153" i="5" s="1"/>
  <c r="CZ152" i="5"/>
  <c r="DA152" i="5" s="1"/>
  <c r="CZ151" i="5"/>
  <c r="DA151" i="5" s="1"/>
  <c r="CZ150" i="5"/>
  <c r="CU154" i="5"/>
  <c r="CV154" i="5" s="1"/>
  <c r="CU153" i="5"/>
  <c r="CV153" i="5" s="1"/>
  <c r="CU152" i="5"/>
  <c r="CV152" i="5" s="1"/>
  <c r="CU151" i="5"/>
  <c r="CU150" i="5"/>
  <c r="CV150" i="5" s="1"/>
  <c r="CP154" i="5"/>
  <c r="CQ154" i="5" s="1"/>
  <c r="CP153" i="5"/>
  <c r="CQ153" i="5" s="1"/>
  <c r="CP152" i="5"/>
  <c r="CP151" i="5"/>
  <c r="CQ151" i="5" s="1"/>
  <c r="CP150" i="5"/>
  <c r="CQ150" i="5" s="1"/>
  <c r="CK154" i="5"/>
  <c r="CL154" i="5" s="1"/>
  <c r="CK153" i="5"/>
  <c r="CK152" i="5"/>
  <c r="CL152" i="5" s="1"/>
  <c r="CK151" i="5"/>
  <c r="CL151" i="5" s="1"/>
  <c r="CK150" i="5"/>
  <c r="CL150" i="5" s="1"/>
  <c r="CF154" i="5"/>
  <c r="CF153" i="5"/>
  <c r="CG153" i="5" s="1"/>
  <c r="CF152" i="5"/>
  <c r="CG152" i="5" s="1"/>
  <c r="CF151" i="5"/>
  <c r="CG151" i="5" s="1"/>
  <c r="CF150" i="5"/>
  <c r="CA154" i="5"/>
  <c r="CB154" i="5" s="1"/>
  <c r="CA153" i="5"/>
  <c r="CB153" i="5" s="1"/>
  <c r="CA152" i="5"/>
  <c r="CB152" i="5" s="1"/>
  <c r="CA151" i="5"/>
  <c r="CA150" i="5"/>
  <c r="CB150" i="5" s="1"/>
  <c r="BV154" i="5"/>
  <c r="BW154" i="5" s="1"/>
  <c r="BV153" i="5"/>
  <c r="BW153" i="5" s="1"/>
  <c r="BV152" i="5"/>
  <c r="BV151" i="5"/>
  <c r="BW151" i="5" s="1"/>
  <c r="BV150" i="5"/>
  <c r="BW150" i="5" s="1"/>
  <c r="BQ154" i="5"/>
  <c r="BR154" i="5" s="1"/>
  <c r="BQ153" i="5"/>
  <c r="BQ152" i="5"/>
  <c r="BR152" i="5" s="1"/>
  <c r="BQ151" i="5"/>
  <c r="BR151" i="5" s="1"/>
  <c r="BQ150" i="5"/>
  <c r="BR150" i="5" s="1"/>
  <c r="BL154" i="5"/>
  <c r="BL153" i="5"/>
  <c r="BM153" i="5" s="1"/>
  <c r="BL152" i="5"/>
  <c r="BM152" i="5" s="1"/>
  <c r="BL151" i="5"/>
  <c r="BM151" i="5" s="1"/>
  <c r="BL150" i="5"/>
  <c r="BG154" i="5"/>
  <c r="BH154" i="5" s="1"/>
  <c r="BG153" i="5"/>
  <c r="BH153" i="5" s="1"/>
  <c r="BG152" i="5"/>
  <c r="BH152" i="5" s="1"/>
  <c r="BG151" i="5"/>
  <c r="BH151" i="5" s="1"/>
  <c r="BG150" i="5"/>
  <c r="BB154" i="5"/>
  <c r="BC154" i="5" s="1"/>
  <c r="BB153" i="5"/>
  <c r="BC153" i="5" s="1"/>
  <c r="BB152" i="5"/>
  <c r="BC152" i="5" s="1"/>
  <c r="BB151" i="5"/>
  <c r="BC151" i="5" s="1"/>
  <c r="BB150" i="5"/>
  <c r="AS157" i="5"/>
  <c r="AS198" i="5" s="1"/>
  <c r="AS156" i="5"/>
  <c r="AS197" i="5" s="1"/>
  <c r="AS154" i="5"/>
  <c r="AT154" i="5" s="1"/>
  <c r="AS153" i="5"/>
  <c r="AT153" i="5" s="1"/>
  <c r="AS152" i="5"/>
  <c r="AT152" i="5" s="1"/>
  <c r="AS151" i="5"/>
  <c r="AS150" i="5"/>
  <c r="AT150" i="5" s="1"/>
  <c r="AN154" i="5"/>
  <c r="AO154" i="5" s="1"/>
  <c r="AN153" i="5"/>
  <c r="AO153" i="5" s="1"/>
  <c r="AN152" i="5"/>
  <c r="AO152" i="5" s="1"/>
  <c r="AN151" i="5"/>
  <c r="AO151" i="5" s="1"/>
  <c r="AN150" i="5"/>
  <c r="AO150" i="5" s="1"/>
  <c r="AI154" i="5"/>
  <c r="AJ154" i="5" s="1"/>
  <c r="AI153" i="5"/>
  <c r="AJ153" i="5" s="1"/>
  <c r="AI152" i="5"/>
  <c r="AJ152" i="5" s="1"/>
  <c r="AI151" i="5"/>
  <c r="AJ151" i="5" s="1"/>
  <c r="AI150" i="5"/>
  <c r="AD154" i="5"/>
  <c r="AE154" i="5" s="1"/>
  <c r="AD153" i="5"/>
  <c r="AE153" i="5" s="1"/>
  <c r="AD152" i="5"/>
  <c r="AE152" i="5" s="1"/>
  <c r="AD151" i="5"/>
  <c r="AE151" i="5" s="1"/>
  <c r="AD150" i="5"/>
  <c r="AE150" i="5" s="1"/>
  <c r="Y154" i="5"/>
  <c r="Y153" i="5"/>
  <c r="Z153" i="5" s="1"/>
  <c r="Y152" i="5"/>
  <c r="Z152" i="5" s="1"/>
  <c r="AA152" i="5" s="1"/>
  <c r="Y151" i="5"/>
  <c r="Y150" i="5"/>
  <c r="ET149" i="5"/>
  <c r="EL148" i="5"/>
  <c r="EL147" i="5"/>
  <c r="EL146" i="5"/>
  <c r="EL145" i="5"/>
  <c r="EL144" i="5"/>
  <c r="EL143" i="5"/>
  <c r="EL141" i="5"/>
  <c r="EG148" i="5"/>
  <c r="EG147" i="5"/>
  <c r="EG146" i="5"/>
  <c r="EG145" i="5"/>
  <c r="EG144" i="5"/>
  <c r="EG143" i="5"/>
  <c r="EG141" i="5"/>
  <c r="EB148" i="5"/>
  <c r="EB147" i="5"/>
  <c r="EB146" i="5"/>
  <c r="EB145" i="5"/>
  <c r="EB144" i="5"/>
  <c r="EB143" i="5"/>
  <c r="EB141" i="5"/>
  <c r="DT148" i="5"/>
  <c r="DU148" i="5" s="1"/>
  <c r="DV148" i="5" s="1"/>
  <c r="DS148" i="5"/>
  <c r="DS158" i="5" s="1"/>
  <c r="DN148" i="5"/>
  <c r="DJ148" i="5"/>
  <c r="DE148" i="5"/>
  <c r="CZ148" i="5"/>
  <c r="CU148" i="5"/>
  <c r="CP148" i="5"/>
  <c r="CK148" i="5"/>
  <c r="CF148" i="5"/>
  <c r="CE148" i="5"/>
  <c r="CA148" i="5"/>
  <c r="CB148" i="5" s="1"/>
  <c r="BV148" i="5"/>
  <c r="BW148" i="5" s="1"/>
  <c r="BP148" i="5"/>
  <c r="BL148" i="5"/>
  <c r="BK148" i="5"/>
  <c r="BK158" i="5" s="1"/>
  <c r="BG148" i="5"/>
  <c r="BB148" i="5"/>
  <c r="BC148" i="5" s="1"/>
  <c r="AZ148" i="5"/>
  <c r="AS148" i="5"/>
  <c r="AR148" i="5"/>
  <c r="AR158" i="5" s="1"/>
  <c r="AM148" i="5"/>
  <c r="AI148" i="5"/>
  <c r="AD148" i="5"/>
  <c r="Y148" i="5"/>
  <c r="W148" i="5"/>
  <c r="R148" i="5"/>
  <c r="R158" i="5" s="1"/>
  <c r="M148" i="5"/>
  <c r="H148" i="5"/>
  <c r="H158" i="5" s="1"/>
  <c r="CU146" i="5"/>
  <c r="AA146" i="5"/>
  <c r="AB146" i="5" s="1"/>
  <c r="DO147" i="5"/>
  <c r="DO146" i="5"/>
  <c r="DO145" i="5"/>
  <c r="DL147" i="5"/>
  <c r="DM147" i="5" s="1"/>
  <c r="DJ146" i="5"/>
  <c r="DJ145" i="5"/>
  <c r="DE146" i="5"/>
  <c r="DE145" i="5"/>
  <c r="CZ146" i="5"/>
  <c r="CZ145" i="5"/>
  <c r="CY145" i="5"/>
  <c r="CY158" i="5" s="1"/>
  <c r="CU145" i="5"/>
  <c r="CV145" i="5" s="1"/>
  <c r="AB145" i="5"/>
  <c r="AB144" i="5"/>
  <c r="AB143" i="5"/>
  <c r="AB141" i="5"/>
  <c r="DR144" i="5"/>
  <c r="DJ144" i="5"/>
  <c r="DM144" i="5" s="1"/>
  <c r="DJ143" i="5"/>
  <c r="DK143" i="5" s="1"/>
  <c r="DL143" i="5" s="1"/>
  <c r="DM143" i="5" s="1"/>
  <c r="DJ142" i="5"/>
  <c r="DJ141" i="5"/>
  <c r="DK141" i="5" s="1"/>
  <c r="DL141" i="5" s="1"/>
  <c r="DJ140" i="5"/>
  <c r="DJ139" i="5"/>
  <c r="DK139" i="5" s="1"/>
  <c r="DL139" i="5" s="1"/>
  <c r="DM139" i="5" s="1"/>
  <c r="DJ138" i="5"/>
  <c r="DK138" i="5" s="1"/>
  <c r="DL138" i="5" s="1"/>
  <c r="DH144" i="5"/>
  <c r="DC144" i="5"/>
  <c r="DT147" i="5"/>
  <c r="DT146" i="5"/>
  <c r="DT145" i="5"/>
  <c r="DT144" i="5"/>
  <c r="DT143" i="5"/>
  <c r="EK142" i="5"/>
  <c r="EJ142" i="5"/>
  <c r="EI142" i="5"/>
  <c r="EH142" i="5"/>
  <c r="EF142" i="5"/>
  <c r="EE142" i="5"/>
  <c r="ED142" i="5"/>
  <c r="EC142" i="5"/>
  <c r="EA142" i="5"/>
  <c r="DZ142" i="5"/>
  <c r="DY142" i="5"/>
  <c r="DX142" i="5"/>
  <c r="DT142" i="5"/>
  <c r="AA142" i="5"/>
  <c r="AB142" i="5" s="1"/>
  <c r="DT141" i="5"/>
  <c r="DU141" i="5" s="1"/>
  <c r="DT140" i="5"/>
  <c r="DU140" i="5" s="1"/>
  <c r="DT139" i="5"/>
  <c r="DU139" i="5" s="1"/>
  <c r="DT138" i="5"/>
  <c r="DU138" i="5" s="1"/>
  <c r="DO143" i="5"/>
  <c r="DO142" i="5"/>
  <c r="DO141" i="5"/>
  <c r="DO140" i="5"/>
  <c r="DP140" i="5" s="1"/>
  <c r="DO139" i="5"/>
  <c r="DO138" i="5"/>
  <c r="DP138" i="5" s="1"/>
  <c r="DQ138" i="5" s="1"/>
  <c r="DR138" i="5" s="1"/>
  <c r="DK142" i="5"/>
  <c r="DL142" i="5" s="1"/>
  <c r="DE143" i="5"/>
  <c r="DF143" i="5" s="1"/>
  <c r="DE142" i="5"/>
  <c r="DE141" i="5"/>
  <c r="DE140" i="5"/>
  <c r="DF140" i="5" s="1"/>
  <c r="DE139" i="5"/>
  <c r="DF139" i="5" s="1"/>
  <c r="DG139" i="5" s="1"/>
  <c r="DH139" i="5" s="1"/>
  <c r="DE138" i="5"/>
  <c r="DF138" i="5" s="1"/>
  <c r="DG138" i="5" s="1"/>
  <c r="CZ143" i="5"/>
  <c r="CZ142" i="5"/>
  <c r="DA142" i="5" s="1"/>
  <c r="CZ141" i="5"/>
  <c r="CZ140" i="5"/>
  <c r="DA140" i="5" s="1"/>
  <c r="CZ139" i="5"/>
  <c r="CZ138" i="5"/>
  <c r="DA138" i="5" s="1"/>
  <c r="CU144" i="5"/>
  <c r="CV144" i="5" s="1"/>
  <c r="CU143" i="5"/>
  <c r="CV143" i="5" s="1"/>
  <c r="CU142" i="5"/>
  <c r="CV142" i="5" s="1"/>
  <c r="CU141" i="5"/>
  <c r="CV141" i="5" s="1"/>
  <c r="CU140" i="5"/>
  <c r="CU139" i="5"/>
  <c r="CU138" i="5"/>
  <c r="CV138" i="5" s="1"/>
  <c r="CP146" i="5"/>
  <c r="CP145" i="5"/>
  <c r="CQ145" i="5" s="1"/>
  <c r="CQ144" i="5"/>
  <c r="CP144" i="5"/>
  <c r="CP143" i="5"/>
  <c r="CP142" i="5"/>
  <c r="CQ142" i="5" s="1"/>
  <c r="CP141" i="5"/>
  <c r="CP140" i="5"/>
  <c r="CP139" i="5"/>
  <c r="CQ139" i="5" s="1"/>
  <c r="CP138" i="5"/>
  <c r="CL146" i="5"/>
  <c r="CK146" i="5"/>
  <c r="CK145" i="5"/>
  <c r="CL145" i="5" s="1"/>
  <c r="CK144" i="5"/>
  <c r="CK143" i="5"/>
  <c r="CL143" i="5" s="1"/>
  <c r="CK142" i="5"/>
  <c r="CK141" i="5"/>
  <c r="CK140" i="5"/>
  <c r="CL140" i="5" s="1"/>
  <c r="CK139" i="5"/>
  <c r="CK138" i="5"/>
  <c r="CL138" i="5" s="1"/>
  <c r="CF146" i="5"/>
  <c r="CG146" i="5" s="1"/>
  <c r="CF145" i="5"/>
  <c r="CF144" i="5"/>
  <c r="CG144" i="5" s="1"/>
  <c r="CF143" i="5"/>
  <c r="CF142" i="5"/>
  <c r="CF141" i="5"/>
  <c r="CG141" i="5" s="1"/>
  <c r="CF140" i="5"/>
  <c r="CF139" i="5"/>
  <c r="CG139" i="5" s="1"/>
  <c r="CF138" i="5"/>
  <c r="CG138" i="5" s="1"/>
  <c r="CA146" i="5"/>
  <c r="CA145" i="5"/>
  <c r="CB145" i="5" s="1"/>
  <c r="CA144" i="5"/>
  <c r="CA143" i="5"/>
  <c r="CA142" i="5"/>
  <c r="CB142" i="5" s="1"/>
  <c r="CA141" i="5"/>
  <c r="CA140" i="5"/>
  <c r="CB140" i="5" s="1"/>
  <c r="CA139" i="5"/>
  <c r="CB139" i="5" s="1"/>
  <c r="CA138" i="5"/>
  <c r="BV146" i="5"/>
  <c r="BW146" i="5" s="1"/>
  <c r="BV145" i="5"/>
  <c r="BV144" i="5"/>
  <c r="BV143" i="5"/>
  <c r="BW143" i="5" s="1"/>
  <c r="BV142" i="5"/>
  <c r="BV141" i="5"/>
  <c r="BW141" i="5" s="1"/>
  <c r="BV140" i="5"/>
  <c r="BW140" i="5" s="1"/>
  <c r="BV139" i="5"/>
  <c r="BV138" i="5"/>
  <c r="BW138" i="5" s="1"/>
  <c r="BQ146" i="5"/>
  <c r="BQ145" i="5"/>
  <c r="BQ144" i="5"/>
  <c r="BR144" i="5" s="1"/>
  <c r="BQ143" i="5"/>
  <c r="BQ142" i="5"/>
  <c r="BR142" i="5" s="1"/>
  <c r="BQ141" i="5"/>
  <c r="BR141" i="5" s="1"/>
  <c r="BQ140" i="5"/>
  <c r="BQ139" i="5"/>
  <c r="BR139" i="5" s="1"/>
  <c r="BQ138" i="5"/>
  <c r="BL146" i="5"/>
  <c r="BL145" i="5"/>
  <c r="BM145" i="5" s="1"/>
  <c r="BL144" i="5"/>
  <c r="BL143" i="5"/>
  <c r="BM143" i="5" s="1"/>
  <c r="BL142" i="5"/>
  <c r="BM142" i="5" s="1"/>
  <c r="BL141" i="5"/>
  <c r="BL140" i="5"/>
  <c r="BM140" i="5" s="1"/>
  <c r="BL139" i="5"/>
  <c r="BL138" i="5"/>
  <c r="BG146" i="5"/>
  <c r="BH146" i="5" s="1"/>
  <c r="BG145" i="5"/>
  <c r="BG144" i="5"/>
  <c r="BH144" i="5" s="1"/>
  <c r="BG143" i="5"/>
  <c r="BH143" i="5" s="1"/>
  <c r="BG142" i="5"/>
  <c r="BG141" i="5"/>
  <c r="BH141" i="5" s="1"/>
  <c r="BG140" i="5"/>
  <c r="BG139" i="5"/>
  <c r="BG138" i="5"/>
  <c r="BH138" i="5" s="1"/>
  <c r="BB146" i="5"/>
  <c r="BB145" i="5"/>
  <c r="BC145" i="5" s="1"/>
  <c r="BB144" i="5"/>
  <c r="BC144" i="5" s="1"/>
  <c r="BB143" i="5"/>
  <c r="BB142" i="5"/>
  <c r="BC142" i="5" s="1"/>
  <c r="BB141" i="5"/>
  <c r="BB140" i="5"/>
  <c r="BB139" i="5"/>
  <c r="BC139" i="5" s="1"/>
  <c r="BB138" i="5"/>
  <c r="AS146" i="5"/>
  <c r="AT146" i="5" s="1"/>
  <c r="AS145" i="5"/>
  <c r="AT145" i="5" s="1"/>
  <c r="AS144" i="5"/>
  <c r="AT144" i="5" s="1"/>
  <c r="AS143" i="5"/>
  <c r="AT143" i="5" s="1"/>
  <c r="AS142" i="5"/>
  <c r="AT142" i="5" s="1"/>
  <c r="AS141" i="5"/>
  <c r="AT141" i="5" s="1"/>
  <c r="AS140" i="5"/>
  <c r="AT140" i="5" s="1"/>
  <c r="AS139" i="5"/>
  <c r="AT139" i="5" s="1"/>
  <c r="AS138" i="5"/>
  <c r="AT138" i="5" s="1"/>
  <c r="AN146" i="5"/>
  <c r="AO146" i="5" s="1"/>
  <c r="AN145" i="5"/>
  <c r="AO145" i="5" s="1"/>
  <c r="AN144" i="5"/>
  <c r="AO144" i="5" s="1"/>
  <c r="AN143" i="5"/>
  <c r="AO143" i="5" s="1"/>
  <c r="AN142" i="5"/>
  <c r="AO142" i="5" s="1"/>
  <c r="AN141" i="5"/>
  <c r="AO141" i="5" s="1"/>
  <c r="AN140" i="5"/>
  <c r="AO140" i="5" s="1"/>
  <c r="AN139" i="5"/>
  <c r="AO139" i="5" s="1"/>
  <c r="AO78" i="5" s="1"/>
  <c r="AO79" i="5" s="1"/>
  <c r="AN138" i="5"/>
  <c r="AO138" i="5" s="1"/>
  <c r="AI146" i="5"/>
  <c r="AJ146" i="5" s="1"/>
  <c r="AI145" i="5"/>
  <c r="AJ145" i="5" s="1"/>
  <c r="AI144" i="5"/>
  <c r="AJ144" i="5" s="1"/>
  <c r="AI143" i="5"/>
  <c r="AJ143" i="5" s="1"/>
  <c r="AI142" i="5"/>
  <c r="AJ142" i="5" s="1"/>
  <c r="AI141" i="5"/>
  <c r="AJ141" i="5" s="1"/>
  <c r="AI140" i="5"/>
  <c r="AJ140" i="5" s="1"/>
  <c r="AI139" i="5"/>
  <c r="AJ139" i="5" s="1"/>
  <c r="AI138" i="5"/>
  <c r="AJ138" i="5" s="1"/>
  <c r="AD146" i="5"/>
  <c r="AE146" i="5" s="1"/>
  <c r="AD145" i="5"/>
  <c r="AE145" i="5" s="1"/>
  <c r="AD144" i="5"/>
  <c r="AE144" i="5" s="1"/>
  <c r="AD143" i="5"/>
  <c r="AE143" i="5" s="1"/>
  <c r="AD142" i="5"/>
  <c r="AE142" i="5" s="1"/>
  <c r="AD141" i="5"/>
  <c r="AE141" i="5" s="1"/>
  <c r="AD140" i="5"/>
  <c r="AE140" i="5" s="1"/>
  <c r="AD139" i="5"/>
  <c r="AE139" i="5" s="1"/>
  <c r="AE78" i="5" s="1"/>
  <c r="AD138" i="5"/>
  <c r="AE138" i="5" s="1"/>
  <c r="Y140" i="5"/>
  <c r="Y139" i="5"/>
  <c r="Z139" i="5" s="1"/>
  <c r="Z78" i="5" s="1"/>
  <c r="Z79" i="5" s="1"/>
  <c r="Y138" i="5"/>
  <c r="ET137" i="5"/>
  <c r="DO136" i="5"/>
  <c r="DP136" i="5" s="1"/>
  <c r="DJ136" i="5"/>
  <c r="DK136" i="5" s="1"/>
  <c r="DL136" i="5" s="1"/>
  <c r="DM136" i="5" s="1"/>
  <c r="DE136" i="5"/>
  <c r="CZ136" i="5"/>
  <c r="DA136" i="5" s="1"/>
  <c r="CU136" i="5"/>
  <c r="CP136" i="5"/>
  <c r="CQ136" i="5" s="1"/>
  <c r="CK136" i="5"/>
  <c r="CF136" i="5"/>
  <c r="CA136" i="5"/>
  <c r="CB136" i="5" s="1"/>
  <c r="BV136" i="5"/>
  <c r="BQ136" i="5"/>
  <c r="BR136" i="5" s="1"/>
  <c r="BL136" i="5"/>
  <c r="BM136" i="5" s="1"/>
  <c r="BG136" i="5"/>
  <c r="BH136" i="5" s="1"/>
  <c r="BB136" i="5"/>
  <c r="BC136" i="5" s="1"/>
  <c r="AN136" i="5"/>
  <c r="AI136" i="5"/>
  <c r="AJ136" i="5" s="1"/>
  <c r="AD136" i="5"/>
  <c r="Y136" i="5"/>
  <c r="Z136" i="5" s="1"/>
  <c r="DT136" i="5"/>
  <c r="EL135" i="5"/>
  <c r="EK135" i="5"/>
  <c r="EJ135" i="5"/>
  <c r="EI135" i="5"/>
  <c r="EH135" i="5"/>
  <c r="EG135" i="5"/>
  <c r="EF135" i="5"/>
  <c r="EE135" i="5"/>
  <c r="ED135" i="5"/>
  <c r="EC135" i="5"/>
  <c r="EB135" i="5"/>
  <c r="EA135" i="5"/>
  <c r="DZ135" i="5"/>
  <c r="DY135" i="5"/>
  <c r="DX135" i="5"/>
  <c r="DW135" i="5"/>
  <c r="DV135" i="5"/>
  <c r="DU135" i="5"/>
  <c r="DT135" i="5"/>
  <c r="DS135" i="5"/>
  <c r="DR135" i="5"/>
  <c r="DQ135" i="5"/>
  <c r="DP135" i="5"/>
  <c r="DO135" i="5"/>
  <c r="DN135" i="5"/>
  <c r="DM135" i="5"/>
  <c r="DL135" i="5"/>
  <c r="DK135" i="5"/>
  <c r="DJ135" i="5"/>
  <c r="DI135" i="5"/>
  <c r="DH135" i="5"/>
  <c r="DG135" i="5"/>
  <c r="DF135" i="5"/>
  <c r="DE135" i="5"/>
  <c r="DD135" i="5"/>
  <c r="DC135" i="5"/>
  <c r="DB135" i="5"/>
  <c r="DA135" i="5"/>
  <c r="CZ135" i="5"/>
  <c r="CY135" i="5"/>
  <c r="CX135" i="5"/>
  <c r="CW135" i="5"/>
  <c r="CV135" i="5"/>
  <c r="CU135" i="5"/>
  <c r="CT135" i="5"/>
  <c r="CS135" i="5"/>
  <c r="CR135" i="5"/>
  <c r="CQ135" i="5"/>
  <c r="CP135" i="5"/>
  <c r="CO135" i="5"/>
  <c r="CN135" i="5"/>
  <c r="CM135" i="5"/>
  <c r="CL135" i="5"/>
  <c r="CK135" i="5"/>
  <c r="CJ135" i="5"/>
  <c r="CI135" i="5"/>
  <c r="CH135" i="5"/>
  <c r="CG135" i="5"/>
  <c r="CF135" i="5"/>
  <c r="CE135" i="5"/>
  <c r="CD135" i="5"/>
  <c r="CC135" i="5"/>
  <c r="CB135" i="5"/>
  <c r="CA135" i="5"/>
  <c r="BZ135" i="5"/>
  <c r="BY135" i="5"/>
  <c r="BX135" i="5"/>
  <c r="BW135" i="5"/>
  <c r="BV135" i="5"/>
  <c r="BU135" i="5"/>
  <c r="BT135" i="5"/>
  <c r="BS135" i="5"/>
  <c r="BR135" i="5"/>
  <c r="BQ135" i="5"/>
  <c r="BP135" i="5"/>
  <c r="BO135" i="5"/>
  <c r="BN135" i="5"/>
  <c r="BM135" i="5"/>
  <c r="BL135" i="5"/>
  <c r="BK135" i="5"/>
  <c r="BJ135" i="5"/>
  <c r="BI135" i="5"/>
  <c r="BH135" i="5"/>
  <c r="BG135" i="5"/>
  <c r="BF135" i="5"/>
  <c r="BE135" i="5"/>
  <c r="BD135" i="5"/>
  <c r="BC135" i="5"/>
  <c r="BB135" i="5"/>
  <c r="BA135" i="5"/>
  <c r="AZ135" i="5"/>
  <c r="AY135" i="5"/>
  <c r="AX135" i="5"/>
  <c r="AW135" i="5"/>
  <c r="AV135" i="5"/>
  <c r="AR135" i="5"/>
  <c r="AQ135" i="5"/>
  <c r="AP135" i="5"/>
  <c r="AO135" i="5"/>
  <c r="AN135" i="5"/>
  <c r="AM135" i="5"/>
  <c r="AL135" i="5"/>
  <c r="AK135" i="5"/>
  <c r="AJ135" i="5"/>
  <c r="AI135"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G135" i="5"/>
  <c r="F135" i="5"/>
  <c r="E135" i="5"/>
  <c r="D135" i="5"/>
  <c r="B135" i="5"/>
  <c r="EK134" i="5"/>
  <c r="EJ134" i="5"/>
  <c r="EI134" i="5"/>
  <c r="EH134" i="5"/>
  <c r="EF134" i="5"/>
  <c r="EE134" i="5"/>
  <c r="ED134" i="5"/>
  <c r="EC134" i="5"/>
  <c r="EA134" i="5"/>
  <c r="DZ134" i="5"/>
  <c r="DY134" i="5"/>
  <c r="DX134" i="5"/>
  <c r="DV134" i="5"/>
  <c r="DU134" i="5"/>
  <c r="DT134" i="5"/>
  <c r="DS134" i="5"/>
  <c r="DQ134" i="5"/>
  <c r="DP134" i="5"/>
  <c r="DO134" i="5"/>
  <c r="DN134" i="5"/>
  <c r="DL134" i="5"/>
  <c r="DK134" i="5"/>
  <c r="DJ134" i="5"/>
  <c r="DI134" i="5"/>
  <c r="DG134" i="5"/>
  <c r="DF134" i="5"/>
  <c r="DE134" i="5"/>
  <c r="DD134" i="5"/>
  <c r="DB134" i="5"/>
  <c r="DA134" i="5"/>
  <c r="CZ134" i="5"/>
  <c r="CY134" i="5"/>
  <c r="CW134" i="5"/>
  <c r="CV134" i="5"/>
  <c r="CU134" i="5"/>
  <c r="CT134" i="5"/>
  <c r="CR134" i="5"/>
  <c r="CQ134" i="5"/>
  <c r="CP134" i="5"/>
  <c r="CO134" i="5"/>
  <c r="CM134" i="5"/>
  <c r="CL134" i="5"/>
  <c r="CK134" i="5"/>
  <c r="CJ134" i="5"/>
  <c r="CH134" i="5"/>
  <c r="CG134" i="5"/>
  <c r="CF134" i="5"/>
  <c r="CE134" i="5"/>
  <c r="CC134" i="5"/>
  <c r="CB134" i="5"/>
  <c r="CA134" i="5"/>
  <c r="BZ134" i="5"/>
  <c r="BX134" i="5"/>
  <c r="BW134" i="5"/>
  <c r="BV134" i="5"/>
  <c r="BU134" i="5"/>
  <c r="BS134" i="5"/>
  <c r="BR134" i="5"/>
  <c r="BQ134" i="5"/>
  <c r="BP134" i="5"/>
  <c r="BN134" i="5"/>
  <c r="BM134" i="5"/>
  <c r="BL134" i="5"/>
  <c r="BK134" i="5"/>
  <c r="BI134" i="5"/>
  <c r="BH134" i="5"/>
  <c r="BG134" i="5"/>
  <c r="BF134" i="5"/>
  <c r="BD134" i="5"/>
  <c r="BC134" i="5"/>
  <c r="BB134" i="5"/>
  <c r="BA134" i="5"/>
  <c r="AY134" i="5"/>
  <c r="AX134" i="5"/>
  <c r="AW134" i="5"/>
  <c r="AV134" i="5"/>
  <c r="AS136" i="5"/>
  <c r="AT136" i="5" s="1"/>
  <c r="AT135" i="5"/>
  <c r="AS135" i="5"/>
  <c r="AT134" i="5"/>
  <c r="AS134" i="5"/>
  <c r="AR134" i="5"/>
  <c r="AP134" i="5"/>
  <c r="AO134" i="5"/>
  <c r="AN134" i="5"/>
  <c r="AM134" i="5"/>
  <c r="AK134" i="5"/>
  <c r="AJ134" i="5"/>
  <c r="AI134" i="5"/>
  <c r="AH134" i="5"/>
  <c r="AF134" i="5"/>
  <c r="AE134" i="5"/>
  <c r="AD134" i="5"/>
  <c r="AC134" i="5"/>
  <c r="AA134" i="5"/>
  <c r="Z134" i="5"/>
  <c r="Y134" i="5"/>
  <c r="X134" i="5"/>
  <c r="V134" i="5"/>
  <c r="U134" i="5"/>
  <c r="T134" i="5"/>
  <c r="S134" i="5"/>
  <c r="Q134" i="5"/>
  <c r="P134" i="5"/>
  <c r="O134" i="5"/>
  <c r="N134" i="5"/>
  <c r="L134" i="5"/>
  <c r="K134" i="5"/>
  <c r="J134" i="5"/>
  <c r="I134" i="5"/>
  <c r="G134" i="5"/>
  <c r="F134" i="5"/>
  <c r="E134" i="5"/>
  <c r="D134" i="5"/>
  <c r="DV129" i="5"/>
  <c r="DU129" i="5"/>
  <c r="DT129" i="5"/>
  <c r="DS129" i="5"/>
  <c r="DQ129" i="5"/>
  <c r="DP129" i="5"/>
  <c r="DO129" i="5"/>
  <c r="DN129" i="5"/>
  <c r="DL129" i="5"/>
  <c r="DK129" i="5"/>
  <c r="DJ129" i="5"/>
  <c r="DI129" i="5"/>
  <c r="DG129" i="5"/>
  <c r="DF129" i="5"/>
  <c r="DE129" i="5"/>
  <c r="DD129" i="5"/>
  <c r="DB129" i="5"/>
  <c r="DA129" i="5"/>
  <c r="CZ129" i="5"/>
  <c r="CY129" i="5"/>
  <c r="CW129" i="5"/>
  <c r="CV129" i="5"/>
  <c r="CU129" i="5"/>
  <c r="CT129" i="5"/>
  <c r="CR129" i="5"/>
  <c r="CQ129" i="5"/>
  <c r="CP129" i="5"/>
  <c r="CO129" i="5"/>
  <c r="CM129" i="5"/>
  <c r="CL129" i="5"/>
  <c r="CK129" i="5"/>
  <c r="CJ129" i="5"/>
  <c r="CH129" i="5"/>
  <c r="CG129" i="5"/>
  <c r="CF129" i="5"/>
  <c r="CE129" i="5"/>
  <c r="CD129" i="5"/>
  <c r="CC129" i="5"/>
  <c r="CB129" i="5"/>
  <c r="CA129" i="5"/>
  <c r="BZ129" i="5"/>
  <c r="BY129" i="5"/>
  <c r="BX129" i="5"/>
  <c r="BW129" i="5"/>
  <c r="BV129" i="5"/>
  <c r="BU129" i="5"/>
  <c r="BS129" i="5"/>
  <c r="BR129" i="5"/>
  <c r="BQ129" i="5"/>
  <c r="BP129" i="5"/>
  <c r="BN129" i="5"/>
  <c r="BM129" i="5"/>
  <c r="BL129" i="5"/>
  <c r="BK129" i="5"/>
  <c r="BI129" i="5"/>
  <c r="BH129" i="5"/>
  <c r="BG129" i="5"/>
  <c r="BF129" i="5"/>
  <c r="BD129" i="5"/>
  <c r="BC129" i="5"/>
  <c r="BB129" i="5"/>
  <c r="BA129" i="5"/>
  <c r="AT129" i="5"/>
  <c r="AS129" i="5"/>
  <c r="AR129" i="5"/>
  <c r="AO129" i="5"/>
  <c r="AN129" i="5"/>
  <c r="AM129" i="5"/>
  <c r="AJ129" i="5"/>
  <c r="AI129" i="5"/>
  <c r="AH129" i="5"/>
  <c r="AE129" i="5"/>
  <c r="AD129" i="5"/>
  <c r="AC129" i="5"/>
  <c r="Z129" i="5"/>
  <c r="Y129" i="5"/>
  <c r="X129" i="5"/>
  <c r="U129" i="5"/>
  <c r="T129" i="5"/>
  <c r="S129" i="5"/>
  <c r="P129" i="5"/>
  <c r="O129" i="5"/>
  <c r="N129" i="5"/>
  <c r="K129" i="5"/>
  <c r="J129" i="5"/>
  <c r="I129" i="5"/>
  <c r="F129" i="5"/>
  <c r="E129" i="5"/>
  <c r="D129" i="5"/>
  <c r="EL126" i="5"/>
  <c r="EG126" i="5"/>
  <c r="EB126" i="5"/>
  <c r="AR125" i="5"/>
  <c r="AM125" i="5"/>
  <c r="AH125" i="5"/>
  <c r="AC125" i="5"/>
  <c r="X125" i="5"/>
  <c r="S125" i="5"/>
  <c r="N125" i="5"/>
  <c r="I125" i="5"/>
  <c r="D125" i="5"/>
  <c r="AS124" i="5"/>
  <c r="AR124" i="5"/>
  <c r="AM124" i="5"/>
  <c r="AH124" i="5"/>
  <c r="AC124" i="5"/>
  <c r="X124" i="5"/>
  <c r="S124" i="5"/>
  <c r="N124" i="5"/>
  <c r="I124" i="5"/>
  <c r="D124" i="5"/>
  <c r="EC125" i="5"/>
  <c r="EA125" i="5"/>
  <c r="DZ125" i="5"/>
  <c r="DY125" i="5"/>
  <c r="DX125" i="5"/>
  <c r="DS125" i="5"/>
  <c r="DN125" i="5"/>
  <c r="DJ125" i="5"/>
  <c r="DI125" i="5"/>
  <c r="DD125" i="5"/>
  <c r="CZ125" i="5"/>
  <c r="CY125" i="5"/>
  <c r="CT125" i="5"/>
  <c r="CO125" i="5"/>
  <c r="CF125" i="5"/>
  <c r="CE125" i="5"/>
  <c r="BZ125" i="5"/>
  <c r="BU125" i="5"/>
  <c r="BP125" i="5"/>
  <c r="BM125" i="5"/>
  <c r="BK125" i="5"/>
  <c r="BF125" i="5"/>
  <c r="BA125" i="5"/>
  <c r="DT124" i="5"/>
  <c r="DS124" i="5"/>
  <c r="DO124" i="5"/>
  <c r="DN124" i="5"/>
  <c r="DI124" i="5"/>
  <c r="DD124" i="5"/>
  <c r="DA124" i="5"/>
  <c r="CZ124" i="5"/>
  <c r="CY124" i="5"/>
  <c r="CT124" i="5"/>
  <c r="CO124" i="5"/>
  <c r="CJ124" i="5"/>
  <c r="CE124" i="5"/>
  <c r="BZ124" i="5"/>
  <c r="BU124" i="5"/>
  <c r="BP124" i="5"/>
  <c r="BK124" i="5"/>
  <c r="BF124" i="5"/>
  <c r="BA124" i="5"/>
  <c r="H123" i="5"/>
  <c r="DV121" i="5"/>
  <c r="DU121" i="5"/>
  <c r="DT121" i="5"/>
  <c r="DU118" i="5" s="1"/>
  <c r="DS121" i="5"/>
  <c r="DQ121" i="5"/>
  <c r="DS118" i="5" s="1"/>
  <c r="DP121" i="5"/>
  <c r="DO121" i="5"/>
  <c r="DQ118" i="5" s="1"/>
  <c r="DN121" i="5"/>
  <c r="DL121" i="5"/>
  <c r="DK121" i="5"/>
  <c r="DI121" i="5"/>
  <c r="DK118" i="5" s="1"/>
  <c r="DG121" i="5"/>
  <c r="DF121" i="5"/>
  <c r="DG118" i="5" s="1"/>
  <c r="DE121" i="5"/>
  <c r="DD121" i="5"/>
  <c r="DB121" i="5"/>
  <c r="DA121" i="5"/>
  <c r="DB118" i="5" s="1"/>
  <c r="CZ121" i="5"/>
  <c r="DA118" i="5" s="1"/>
  <c r="CY121" i="5"/>
  <c r="CZ118" i="5" s="1"/>
  <c r="CW121" i="5"/>
  <c r="CV121" i="5"/>
  <c r="CW118" i="5" s="1"/>
  <c r="CU121" i="5"/>
  <c r="CV118" i="5" s="1"/>
  <c r="CT121" i="5"/>
  <c r="CU118" i="5" s="1"/>
  <c r="CR121" i="5"/>
  <c r="CT118" i="5" s="1"/>
  <c r="CQ121" i="5"/>
  <c r="CR118" i="5" s="1"/>
  <c r="CP121" i="5"/>
  <c r="CQ118" i="5" s="1"/>
  <c r="CO121" i="5"/>
  <c r="CM121" i="5"/>
  <c r="CL121" i="5"/>
  <c r="CM118" i="5" s="1"/>
  <c r="CK121" i="5"/>
  <c r="CL118" i="5" s="1"/>
  <c r="CJ121" i="5"/>
  <c r="CH121" i="5"/>
  <c r="CG121" i="5"/>
  <c r="CH118" i="5" s="1"/>
  <c r="CF121" i="5"/>
  <c r="CG118" i="5" s="1"/>
  <c r="CE121" i="5"/>
  <c r="CC121" i="5"/>
  <c r="CB121" i="5"/>
  <c r="CC118" i="5" s="1"/>
  <c r="CA121" i="5"/>
  <c r="CB118" i="5" s="1"/>
  <c r="BZ121" i="5"/>
  <c r="CA118" i="5" s="1"/>
  <c r="BX121" i="5"/>
  <c r="BZ118" i="5" s="1"/>
  <c r="BW121" i="5"/>
  <c r="BX118" i="5" s="1"/>
  <c r="BV121" i="5"/>
  <c r="BW118" i="5" s="1"/>
  <c r="BU121" i="5"/>
  <c r="BV118" i="5" s="1"/>
  <c r="BS121" i="5"/>
  <c r="BR121" i="5"/>
  <c r="BS118" i="5" s="1"/>
  <c r="BQ121" i="5"/>
  <c r="BR118" i="5" s="1"/>
  <c r="BP121" i="5"/>
  <c r="BQ118" i="5" s="1"/>
  <c r="BN121" i="5"/>
  <c r="BM121" i="5"/>
  <c r="BN118" i="5" s="1"/>
  <c r="BL121" i="5"/>
  <c r="BM118" i="5" s="1"/>
  <c r="BK121" i="5"/>
  <c r="BL118" i="5" s="1"/>
  <c r="BI121" i="5"/>
  <c r="BH121" i="5"/>
  <c r="BI118" i="5" s="1"/>
  <c r="BE121" i="5"/>
  <c r="BJ118" i="5" s="1"/>
  <c r="AZ121" i="5"/>
  <c r="BE118" i="5" s="1"/>
  <c r="AQ121" i="5"/>
  <c r="AK121" i="5"/>
  <c r="AM118" i="5" s="1"/>
  <c r="AJ121" i="5"/>
  <c r="AK118" i="5" s="1"/>
  <c r="AI121" i="5"/>
  <c r="AJ118" i="5" s="1"/>
  <c r="AH121" i="5"/>
  <c r="AF121" i="5"/>
  <c r="AH118" i="5" s="1"/>
  <c r="AE121" i="5"/>
  <c r="AF118" i="5" s="1"/>
  <c r="AD121" i="5"/>
  <c r="AE118" i="5" s="1"/>
  <c r="AC121" i="5"/>
  <c r="AA121" i="5"/>
  <c r="AC118" i="5" s="1"/>
  <c r="Z121" i="5"/>
  <c r="AA118" i="5" s="1"/>
  <c r="Y121" i="5"/>
  <c r="Z118" i="5" s="1"/>
  <c r="X121" i="5"/>
  <c r="V121" i="5"/>
  <c r="X118" i="5" s="1"/>
  <c r="U121" i="5"/>
  <c r="V118" i="5" s="1"/>
  <c r="T121" i="5"/>
  <c r="U118" i="5" s="1"/>
  <c r="S121" i="5"/>
  <c r="T118" i="5" s="1"/>
  <c r="Q121" i="5"/>
  <c r="S118" i="5" s="1"/>
  <c r="P121" i="5"/>
  <c r="Q118" i="5" s="1"/>
  <c r="O121" i="5"/>
  <c r="P118" i="5" s="1"/>
  <c r="N121" i="5"/>
  <c r="L121" i="5"/>
  <c r="N118" i="5" s="1"/>
  <c r="K121" i="5"/>
  <c r="L118" i="5" s="1"/>
  <c r="J121" i="5"/>
  <c r="K118" i="5" s="1"/>
  <c r="I121" i="5"/>
  <c r="G121" i="5"/>
  <c r="I118" i="5" s="1"/>
  <c r="F121" i="5"/>
  <c r="E121" i="5"/>
  <c r="F118" i="5" s="1"/>
  <c r="D121" i="5"/>
  <c r="AT119" i="5"/>
  <c r="AS119" i="5"/>
  <c r="AR119" i="5"/>
  <c r="AO119" i="5"/>
  <c r="AN119" i="5"/>
  <c r="AM119" i="5"/>
  <c r="AJ119" i="5"/>
  <c r="AI119" i="5"/>
  <c r="AH119" i="5"/>
  <c r="AE119" i="5"/>
  <c r="AD119" i="5"/>
  <c r="AC119" i="5"/>
  <c r="Z119" i="5"/>
  <c r="Y119" i="5"/>
  <c r="X119" i="5"/>
  <c r="U119" i="5"/>
  <c r="T119" i="5"/>
  <c r="S119" i="5"/>
  <c r="P119" i="5"/>
  <c r="O119" i="5"/>
  <c r="N119" i="5"/>
  <c r="K119" i="5"/>
  <c r="J119" i="5"/>
  <c r="I119" i="5"/>
  <c r="F119" i="5"/>
  <c r="E119" i="5"/>
  <c r="D119" i="5"/>
  <c r="D120" i="5" s="1"/>
  <c r="DV119" i="5"/>
  <c r="DU119" i="5"/>
  <c r="DT119" i="5"/>
  <c r="DS119" i="5"/>
  <c r="DQ119" i="5"/>
  <c r="DP119" i="5"/>
  <c r="DO119" i="5"/>
  <c r="DN119" i="5"/>
  <c r="DL119" i="5"/>
  <c r="DK119" i="5"/>
  <c r="DJ119" i="5"/>
  <c r="DI119" i="5"/>
  <c r="DG119" i="5"/>
  <c r="DF119" i="5"/>
  <c r="DE119" i="5"/>
  <c r="DD119" i="5"/>
  <c r="DB119" i="5"/>
  <c r="DA119" i="5"/>
  <c r="CZ119" i="5"/>
  <c r="CY119" i="5"/>
  <c r="CW119" i="5"/>
  <c r="CV119" i="5"/>
  <c r="CU119" i="5"/>
  <c r="CT119" i="5"/>
  <c r="CR119" i="5"/>
  <c r="CQ119" i="5"/>
  <c r="CP119" i="5"/>
  <c r="CO119" i="5"/>
  <c r="CM119" i="5"/>
  <c r="CL119" i="5"/>
  <c r="CK119" i="5"/>
  <c r="CJ119" i="5"/>
  <c r="CH119" i="5"/>
  <c r="CG119" i="5"/>
  <c r="CF119" i="5"/>
  <c r="CE119" i="5"/>
  <c r="CD119" i="5"/>
  <c r="CC119" i="5"/>
  <c r="CB119" i="5"/>
  <c r="CA119" i="5"/>
  <c r="BZ119" i="5"/>
  <c r="BY119" i="5"/>
  <c r="BX119" i="5"/>
  <c r="BW119" i="5"/>
  <c r="BV119" i="5"/>
  <c r="BU119" i="5"/>
  <c r="BS119" i="5"/>
  <c r="BR119" i="5"/>
  <c r="BQ119" i="5"/>
  <c r="BP119" i="5"/>
  <c r="BN119" i="5"/>
  <c r="BM119" i="5"/>
  <c r="BL119" i="5"/>
  <c r="BK119" i="5"/>
  <c r="BI119" i="5"/>
  <c r="BH119" i="5"/>
  <c r="BG119" i="5"/>
  <c r="BF119" i="5"/>
  <c r="BD119" i="5"/>
  <c r="BC119" i="5"/>
  <c r="BB119" i="5"/>
  <c r="BA119" i="5"/>
  <c r="DT118" i="5"/>
  <c r="DP118" i="5"/>
  <c r="DI118" i="5"/>
  <c r="DD118" i="5"/>
  <c r="CY118" i="5"/>
  <c r="CO118" i="5"/>
  <c r="CJ118" i="5"/>
  <c r="CF118" i="5"/>
  <c r="CE118" i="5"/>
  <c r="BU118" i="5"/>
  <c r="BP118" i="5"/>
  <c r="BK118" i="5"/>
  <c r="AI118" i="5"/>
  <c r="AD118" i="5"/>
  <c r="AD120" i="5" s="1"/>
  <c r="Y118" i="5"/>
  <c r="O118" i="5"/>
  <c r="J118" i="5"/>
  <c r="H118" i="5"/>
  <c r="G118" i="5"/>
  <c r="E118" i="5"/>
  <c r="DR115" i="5"/>
  <c r="DM115" i="5"/>
  <c r="DJ113" i="5"/>
  <c r="DJ114" i="5" s="1"/>
  <c r="DH115" i="5"/>
  <c r="DC115" i="5"/>
  <c r="CX115" i="5"/>
  <c r="CS115" i="5"/>
  <c r="CS121" i="5" s="1"/>
  <c r="CX118" i="5" s="1"/>
  <c r="CN115" i="5"/>
  <c r="CN121" i="5" s="1"/>
  <c r="CI115" i="5"/>
  <c r="CI121" i="5" s="1"/>
  <c r="CD115" i="5"/>
  <c r="CD121" i="5" s="1"/>
  <c r="CI118" i="5" s="1"/>
  <c r="BY115" i="5"/>
  <c r="BY121" i="5" s="1"/>
  <c r="CD118" i="5" s="1"/>
  <c r="BT115" i="5"/>
  <c r="BT121" i="5" s="1"/>
  <c r="BY118" i="5" s="1"/>
  <c r="BO115" i="5"/>
  <c r="BO121" i="5" s="1"/>
  <c r="BT118" i="5" s="1"/>
  <c r="BJ115" i="5"/>
  <c r="BJ121" i="5" s="1"/>
  <c r="BO118" i="5" s="1"/>
  <c r="BD115" i="5"/>
  <c r="BD121" i="5" s="1"/>
  <c r="AP115" i="5"/>
  <c r="AP121" i="5" s="1"/>
  <c r="AL115" i="5"/>
  <c r="AL121" i="5" s="1"/>
  <c r="AQ118" i="5" s="1"/>
  <c r="AG115" i="5"/>
  <c r="AG121" i="5" s="1"/>
  <c r="AL118" i="5" s="1"/>
  <c r="AB115" i="5"/>
  <c r="AB121" i="5" s="1"/>
  <c r="AG118" i="5" s="1"/>
  <c r="W115" i="5"/>
  <c r="W121" i="5" s="1"/>
  <c r="AB118" i="5" s="1"/>
  <c r="R115" i="5"/>
  <c r="R121" i="5" s="1"/>
  <c r="W118" i="5" s="1"/>
  <c r="M115" i="5"/>
  <c r="M121" i="5" s="1"/>
  <c r="R118" i="5" s="1"/>
  <c r="H115" i="5"/>
  <c r="H121" i="5" s="1"/>
  <c r="M118" i="5" s="1"/>
  <c r="DI113" i="5"/>
  <c r="DI116" i="5" s="1"/>
  <c r="DI127" i="5" s="1"/>
  <c r="DW115" i="5"/>
  <c r="DV113" i="5"/>
  <c r="DV114" i="5" s="1"/>
  <c r="DU113" i="5"/>
  <c r="DU114" i="5" s="1"/>
  <c r="DT113" i="5"/>
  <c r="DT114" i="5" s="1"/>
  <c r="DS113" i="5"/>
  <c r="DS114" i="5" s="1"/>
  <c r="DQ113" i="5"/>
  <c r="DQ116" i="5" s="1"/>
  <c r="DP113" i="5"/>
  <c r="DP114" i="5" s="1"/>
  <c r="DO113" i="5"/>
  <c r="DO114" i="5" s="1"/>
  <c r="DN113" i="5"/>
  <c r="DN114" i="5" s="1"/>
  <c r="DL113" i="5"/>
  <c r="DM113" i="5" s="1"/>
  <c r="DK113" i="5"/>
  <c r="DK114" i="5" s="1"/>
  <c r="DG113" i="5"/>
  <c r="DG116" i="5" s="1"/>
  <c r="DF113" i="5"/>
  <c r="DF114" i="5" s="1"/>
  <c r="DE113" i="5"/>
  <c r="DE114" i="5" s="1"/>
  <c r="DD113" i="5"/>
  <c r="DD116" i="5" s="1"/>
  <c r="DD127" i="5" s="1"/>
  <c r="DB113" i="5"/>
  <c r="DB114" i="5" s="1"/>
  <c r="DA113" i="5"/>
  <c r="DA116" i="5" s="1"/>
  <c r="DA127" i="5" s="1"/>
  <c r="CZ113" i="5"/>
  <c r="CZ114" i="5" s="1"/>
  <c r="CY113" i="5"/>
  <c r="CY114" i="5" s="1"/>
  <c r="CW113" i="5"/>
  <c r="CW116" i="5" s="1"/>
  <c r="CV113" i="5"/>
  <c r="CV114" i="5" s="1"/>
  <c r="CU113" i="5"/>
  <c r="CU114" i="5" s="1"/>
  <c r="CT113" i="5"/>
  <c r="CT114" i="5" s="1"/>
  <c r="CR113" i="5"/>
  <c r="CR116" i="5" s="1"/>
  <c r="CQ113" i="5"/>
  <c r="CQ114" i="5" s="1"/>
  <c r="CP113" i="5"/>
  <c r="CP114" i="5" s="1"/>
  <c r="CO113" i="5"/>
  <c r="CO116" i="5" s="1"/>
  <c r="CO127" i="5" s="1"/>
  <c r="CM113" i="5"/>
  <c r="CM116" i="5" s="1"/>
  <c r="CM127" i="5" s="1"/>
  <c r="CL113" i="5"/>
  <c r="CL116" i="5" s="1"/>
  <c r="CL127" i="5" s="1"/>
  <c r="CK113" i="5"/>
  <c r="CK116" i="5" s="1"/>
  <c r="CK127" i="5" s="1"/>
  <c r="CJ113" i="5"/>
  <c r="CJ116" i="5" s="1"/>
  <c r="CJ127" i="5" s="1"/>
  <c r="CH113" i="5"/>
  <c r="CH116" i="5" s="1"/>
  <c r="CH127" i="5" s="1"/>
  <c r="CG113" i="5"/>
  <c r="CG116" i="5" s="1"/>
  <c r="CG127" i="5" s="1"/>
  <c r="CF113" i="5"/>
  <c r="CF114" i="5" s="1"/>
  <c r="CE113" i="5"/>
  <c r="CE114" i="5" s="1"/>
  <c r="CC113" i="5"/>
  <c r="CC116" i="5" s="1"/>
  <c r="CC127" i="5" s="1"/>
  <c r="CB113" i="5"/>
  <c r="CB114" i="5" s="1"/>
  <c r="CA113" i="5"/>
  <c r="CA114" i="5" s="1"/>
  <c r="BZ113" i="5"/>
  <c r="BZ114" i="5" s="1"/>
  <c r="BX113" i="5"/>
  <c r="BX116" i="5" s="1"/>
  <c r="BX127" i="5" s="1"/>
  <c r="BW113" i="5"/>
  <c r="BW114" i="5" s="1"/>
  <c r="BV113" i="5"/>
  <c r="BV114" i="5" s="1"/>
  <c r="BU113" i="5"/>
  <c r="BU116" i="5" s="1"/>
  <c r="BU127" i="5" s="1"/>
  <c r="BS113" i="5"/>
  <c r="BS116" i="5" s="1"/>
  <c r="BS127" i="5" s="1"/>
  <c r="BR113" i="5"/>
  <c r="BR116" i="5" s="1"/>
  <c r="BR127" i="5" s="1"/>
  <c r="BQ113" i="5"/>
  <c r="BQ116" i="5" s="1"/>
  <c r="BQ127" i="5" s="1"/>
  <c r="BP113" i="5"/>
  <c r="BP116" i="5" s="1"/>
  <c r="BP127" i="5" s="1"/>
  <c r="BN113" i="5"/>
  <c r="BN116" i="5" s="1"/>
  <c r="BN127" i="5" s="1"/>
  <c r="BM113" i="5"/>
  <c r="BM116" i="5" s="1"/>
  <c r="BM127" i="5" s="1"/>
  <c r="BL113" i="5"/>
  <c r="BL114" i="5" s="1"/>
  <c r="BK113" i="5"/>
  <c r="BK114" i="5" s="1"/>
  <c r="BI113" i="5"/>
  <c r="BI116" i="5" s="1"/>
  <c r="BI127" i="5" s="1"/>
  <c r="BH113" i="5"/>
  <c r="BH116" i="5" s="1"/>
  <c r="BH127" i="5" s="1"/>
  <c r="BG113" i="5"/>
  <c r="BF113" i="5"/>
  <c r="BF114" i="5" s="1"/>
  <c r="BD113" i="5"/>
  <c r="BC113" i="5"/>
  <c r="BB113" i="5"/>
  <c r="BB114" i="5" s="1"/>
  <c r="BA113" i="5"/>
  <c r="BA114" i="5" s="1"/>
  <c r="AT113" i="5"/>
  <c r="AT114" i="5" s="1"/>
  <c r="AS113" i="5"/>
  <c r="AS114" i="5" s="1"/>
  <c r="AR113" i="5"/>
  <c r="AP113" i="5"/>
  <c r="AO113" i="5"/>
  <c r="AO114" i="5" s="1"/>
  <c r="AN113" i="5"/>
  <c r="AN114" i="5" s="1"/>
  <c r="AM113" i="5"/>
  <c r="AK113" i="5"/>
  <c r="AK116" i="5" s="1"/>
  <c r="AK127" i="5" s="1"/>
  <c r="AJ113" i="5"/>
  <c r="AJ116" i="5" s="1"/>
  <c r="AJ127" i="5" s="1"/>
  <c r="AI113" i="5"/>
  <c r="AI116" i="5" s="1"/>
  <c r="AI127" i="5" s="1"/>
  <c r="AH113" i="5"/>
  <c r="AF113" i="5"/>
  <c r="AF116" i="5" s="1"/>
  <c r="AF127" i="5" s="1"/>
  <c r="AE113" i="5"/>
  <c r="AE114" i="5" s="1"/>
  <c r="AD113" i="5"/>
  <c r="AD114" i="5" s="1"/>
  <c r="AC113" i="5"/>
  <c r="AC116" i="5" s="1"/>
  <c r="AC127" i="5" s="1"/>
  <c r="AA113" i="5"/>
  <c r="AA114" i="5" s="1"/>
  <c r="Z113" i="5"/>
  <c r="Z114" i="5" s="1"/>
  <c r="Y113" i="5"/>
  <c r="Y114" i="5" s="1"/>
  <c r="X113" i="5"/>
  <c r="X116" i="5" s="1"/>
  <c r="X127" i="5" s="1"/>
  <c r="V113" i="5"/>
  <c r="V114" i="5" s="1"/>
  <c r="U113" i="5"/>
  <c r="U114" i="5" s="1"/>
  <c r="T113" i="5"/>
  <c r="T116" i="5" s="1"/>
  <c r="T127" i="5" s="1"/>
  <c r="S113" i="5"/>
  <c r="S116" i="5" s="1"/>
  <c r="S127" i="5" s="1"/>
  <c r="Q113" i="5"/>
  <c r="Q116" i="5" s="1"/>
  <c r="Q127" i="5" s="1"/>
  <c r="P113" i="5"/>
  <c r="P116" i="5" s="1"/>
  <c r="P127" i="5" s="1"/>
  <c r="O113" i="5"/>
  <c r="O116" i="5" s="1"/>
  <c r="O127" i="5" s="1"/>
  <c r="N113" i="5"/>
  <c r="N116" i="5" s="1"/>
  <c r="N127" i="5" s="1"/>
  <c r="L113" i="5"/>
  <c r="L116" i="5" s="1"/>
  <c r="L127" i="5" s="1"/>
  <c r="K113" i="5"/>
  <c r="K114" i="5" s="1"/>
  <c r="J113" i="5"/>
  <c r="J114" i="5" s="1"/>
  <c r="I113" i="5"/>
  <c r="I116" i="5" s="1"/>
  <c r="I127" i="5" s="1"/>
  <c r="G113" i="5"/>
  <c r="G114" i="5" s="1"/>
  <c r="F113" i="5"/>
  <c r="F114" i="5" s="1"/>
  <c r="E113" i="5"/>
  <c r="E114" i="5" s="1"/>
  <c r="D113" i="5"/>
  <c r="D116" i="5" s="1"/>
  <c r="D127" i="5" s="1"/>
  <c r="D105" i="5"/>
  <c r="D104" i="5"/>
  <c r="D103" i="5"/>
  <c r="DD109" i="5"/>
  <c r="DE100" i="5" s="1"/>
  <c r="DV106" i="5"/>
  <c r="DU106" i="5"/>
  <c r="DT106" i="5"/>
  <c r="DQ106" i="5"/>
  <c r="DP106" i="5"/>
  <c r="DO106" i="5"/>
  <c r="DL106" i="5"/>
  <c r="DK106" i="5"/>
  <c r="DJ106" i="5"/>
  <c r="DG106" i="5"/>
  <c r="DF106" i="5"/>
  <c r="DE106" i="5"/>
  <c r="DB106" i="5"/>
  <c r="DA106" i="5"/>
  <c r="CZ106" i="5"/>
  <c r="CW106" i="5"/>
  <c r="CV106" i="5"/>
  <c r="CU106" i="5"/>
  <c r="CR106" i="5"/>
  <c r="CQ106" i="5"/>
  <c r="CP106" i="5"/>
  <c r="CM106" i="5"/>
  <c r="CL106" i="5"/>
  <c r="CK106" i="5"/>
  <c r="CH106" i="5"/>
  <c r="CG106" i="5"/>
  <c r="CF106" i="5"/>
  <c r="CC106" i="5"/>
  <c r="CB106" i="5"/>
  <c r="CA106" i="5"/>
  <c r="BX106" i="5"/>
  <c r="BW106" i="5"/>
  <c r="BV106" i="5"/>
  <c r="BS106" i="5"/>
  <c r="BR106" i="5"/>
  <c r="BQ106" i="5"/>
  <c r="BN106" i="5"/>
  <c r="BM106" i="5"/>
  <c r="BL106" i="5"/>
  <c r="BI106" i="5"/>
  <c r="BH106" i="5"/>
  <c r="BG106" i="5"/>
  <c r="BD106" i="5"/>
  <c r="BC106" i="5"/>
  <c r="BB106" i="5"/>
  <c r="DV105" i="5"/>
  <c r="DU105" i="5"/>
  <c r="DT105" i="5"/>
  <c r="DQ105" i="5"/>
  <c r="DP105" i="5"/>
  <c r="DO105" i="5"/>
  <c r="DL105" i="5"/>
  <c r="DK105" i="5"/>
  <c r="DJ105" i="5"/>
  <c r="DG105" i="5"/>
  <c r="DF105" i="5"/>
  <c r="DE105" i="5"/>
  <c r="DB105" i="5"/>
  <c r="DA105" i="5"/>
  <c r="CZ105" i="5"/>
  <c r="CW105" i="5"/>
  <c r="CV105" i="5"/>
  <c r="CU105" i="5"/>
  <c r="CR105" i="5"/>
  <c r="CQ105" i="5"/>
  <c r="CP105" i="5"/>
  <c r="CM105" i="5"/>
  <c r="CL105" i="5"/>
  <c r="CK105" i="5"/>
  <c r="CH105" i="5"/>
  <c r="CG105" i="5"/>
  <c r="CF105" i="5"/>
  <c r="CC105" i="5"/>
  <c r="CB105" i="5"/>
  <c r="CA105" i="5"/>
  <c r="BX105" i="5"/>
  <c r="BW105" i="5"/>
  <c r="BV105" i="5"/>
  <c r="BS105" i="5"/>
  <c r="BR105" i="5"/>
  <c r="BQ105" i="5"/>
  <c r="BN105" i="5"/>
  <c r="BM105" i="5"/>
  <c r="BL105" i="5"/>
  <c r="BI105" i="5"/>
  <c r="BH105" i="5"/>
  <c r="BG105" i="5"/>
  <c r="BD105" i="5"/>
  <c r="BC105" i="5"/>
  <c r="BB105" i="5"/>
  <c r="DV104" i="5"/>
  <c r="DU104" i="5"/>
  <c r="DT104" i="5"/>
  <c r="DQ104" i="5"/>
  <c r="DP104" i="5"/>
  <c r="DO104" i="5"/>
  <c r="DL104" i="5"/>
  <c r="DK104" i="5"/>
  <c r="DJ104" i="5"/>
  <c r="DG104" i="5"/>
  <c r="DF104" i="5"/>
  <c r="DE104" i="5"/>
  <c r="DB104" i="5"/>
  <c r="DA104" i="5"/>
  <c r="CZ104" i="5"/>
  <c r="CW104" i="5"/>
  <c r="CV104" i="5"/>
  <c r="CU104" i="5"/>
  <c r="CR104" i="5"/>
  <c r="CQ104" i="5"/>
  <c r="CP104" i="5"/>
  <c r="CM104" i="5"/>
  <c r="CL104" i="5"/>
  <c r="CK104" i="5"/>
  <c r="CH104" i="5"/>
  <c r="CG104" i="5"/>
  <c r="CF104" i="5"/>
  <c r="CC104" i="5"/>
  <c r="CB104" i="5"/>
  <c r="CA104" i="5"/>
  <c r="BX104" i="5"/>
  <c r="BW104" i="5"/>
  <c r="BV104" i="5"/>
  <c r="BS104" i="5"/>
  <c r="BR104" i="5"/>
  <c r="BQ104" i="5"/>
  <c r="BN104" i="5"/>
  <c r="BM104" i="5"/>
  <c r="BL104" i="5"/>
  <c r="BI104" i="5"/>
  <c r="BH104" i="5"/>
  <c r="BG104" i="5"/>
  <c r="BD104" i="5"/>
  <c r="BC104" i="5"/>
  <c r="BB104" i="5"/>
  <c r="DV103" i="5"/>
  <c r="DU103" i="5"/>
  <c r="DT103" i="5"/>
  <c r="DQ103" i="5"/>
  <c r="DP103" i="5"/>
  <c r="DO103" i="5"/>
  <c r="DL103" i="5"/>
  <c r="DK103" i="5"/>
  <c r="DJ103" i="5"/>
  <c r="DG103" i="5"/>
  <c r="DF103" i="5"/>
  <c r="DA103" i="5"/>
  <c r="CZ103" i="5"/>
  <c r="CW103" i="5"/>
  <c r="CV103" i="5"/>
  <c r="CU103" i="5"/>
  <c r="CR103" i="5"/>
  <c r="CQ103" i="5"/>
  <c r="CP103" i="5"/>
  <c r="CM103" i="5"/>
  <c r="CL103" i="5"/>
  <c r="CK103" i="5"/>
  <c r="CH103" i="5"/>
  <c r="CG103" i="5"/>
  <c r="CF103" i="5"/>
  <c r="CC103" i="5"/>
  <c r="CB103" i="5"/>
  <c r="CA103" i="5"/>
  <c r="BX103" i="5"/>
  <c r="BW103" i="5"/>
  <c r="BV103" i="5"/>
  <c r="BS103" i="5"/>
  <c r="BR103" i="5"/>
  <c r="BQ103" i="5"/>
  <c r="BN103" i="5"/>
  <c r="BM103" i="5"/>
  <c r="BL103" i="5"/>
  <c r="BI103" i="5"/>
  <c r="BH103" i="5"/>
  <c r="BG103" i="5"/>
  <c r="BD103" i="5"/>
  <c r="BC103" i="5"/>
  <c r="BB103" i="5"/>
  <c r="CZ102" i="5"/>
  <c r="CW102" i="5"/>
  <c r="CV102" i="5"/>
  <c r="CU102" i="5"/>
  <c r="CR102" i="5"/>
  <c r="CQ102" i="5"/>
  <c r="CP102" i="5"/>
  <c r="CM102" i="5"/>
  <c r="CL102" i="5"/>
  <c r="CK102" i="5"/>
  <c r="CH102" i="5"/>
  <c r="CG102" i="5"/>
  <c r="CF102" i="5"/>
  <c r="CC102" i="5"/>
  <c r="CB102" i="5"/>
  <c r="CA102" i="5"/>
  <c r="BX102" i="5"/>
  <c r="BW102" i="5"/>
  <c r="BV102" i="5"/>
  <c r="BS102" i="5"/>
  <c r="BR102" i="5"/>
  <c r="BQ102" i="5"/>
  <c r="BN102" i="5"/>
  <c r="BM102" i="5"/>
  <c r="BL102" i="5"/>
  <c r="BI102" i="5"/>
  <c r="BH102" i="5"/>
  <c r="BG102" i="5"/>
  <c r="BD102" i="5"/>
  <c r="BC102" i="5"/>
  <c r="BB102" i="5"/>
  <c r="AT106" i="5"/>
  <c r="AS106" i="5"/>
  <c r="AP106" i="5"/>
  <c r="AO106" i="5"/>
  <c r="AN106" i="5"/>
  <c r="AK106" i="5"/>
  <c r="AJ106" i="5"/>
  <c r="AI106" i="5"/>
  <c r="AF106" i="5"/>
  <c r="AE106" i="5"/>
  <c r="AD106" i="5"/>
  <c r="AA106" i="5"/>
  <c r="Z106" i="5"/>
  <c r="Y106" i="5"/>
  <c r="V106" i="5"/>
  <c r="U106" i="5"/>
  <c r="T106" i="5"/>
  <c r="Q106" i="5"/>
  <c r="P106" i="5"/>
  <c r="O106" i="5"/>
  <c r="L106" i="5"/>
  <c r="K106" i="5"/>
  <c r="J106" i="5"/>
  <c r="G106" i="5"/>
  <c r="F106" i="5"/>
  <c r="E106" i="5"/>
  <c r="AT105" i="5"/>
  <c r="AS105" i="5"/>
  <c r="AP105" i="5"/>
  <c r="AO105" i="5"/>
  <c r="AN105" i="5"/>
  <c r="AK105" i="5"/>
  <c r="AJ105" i="5"/>
  <c r="AI105" i="5"/>
  <c r="AF105" i="5"/>
  <c r="AE105" i="5"/>
  <c r="AD105" i="5"/>
  <c r="AA105" i="5"/>
  <c r="Z105" i="5"/>
  <c r="Y105" i="5"/>
  <c r="V105" i="5"/>
  <c r="U105" i="5"/>
  <c r="T105" i="5"/>
  <c r="Q105" i="5"/>
  <c r="P105" i="5"/>
  <c r="O105" i="5"/>
  <c r="L105" i="5"/>
  <c r="K105" i="5"/>
  <c r="J105" i="5"/>
  <c r="F105" i="5"/>
  <c r="E105" i="5"/>
  <c r="AT104" i="5"/>
  <c r="AS104" i="5"/>
  <c r="AP104" i="5"/>
  <c r="AO104" i="5"/>
  <c r="AN104" i="5"/>
  <c r="AK104" i="5"/>
  <c r="AJ104" i="5"/>
  <c r="AI104" i="5"/>
  <c r="AF104" i="5"/>
  <c r="AE104" i="5"/>
  <c r="AD104" i="5"/>
  <c r="AA104" i="5"/>
  <c r="Z104" i="5"/>
  <c r="Y104" i="5"/>
  <c r="V104" i="5"/>
  <c r="U104" i="5"/>
  <c r="T104" i="5"/>
  <c r="Q104" i="5"/>
  <c r="P104" i="5"/>
  <c r="O104" i="5"/>
  <c r="L104" i="5"/>
  <c r="K104" i="5"/>
  <c r="J104" i="5"/>
  <c r="G104" i="5"/>
  <c r="F104" i="5"/>
  <c r="E104" i="5"/>
  <c r="AT103" i="5"/>
  <c r="AS103" i="5"/>
  <c r="AP103" i="5"/>
  <c r="AO103" i="5"/>
  <c r="AN103" i="5"/>
  <c r="AK103" i="5"/>
  <c r="AJ103" i="5"/>
  <c r="AI103" i="5"/>
  <c r="AF103" i="5"/>
  <c r="AE103" i="5"/>
  <c r="AD103" i="5"/>
  <c r="AA103" i="5"/>
  <c r="Z103" i="5"/>
  <c r="Y103" i="5"/>
  <c r="V103" i="5"/>
  <c r="U103" i="5"/>
  <c r="T103" i="5"/>
  <c r="Q103" i="5"/>
  <c r="P103" i="5"/>
  <c r="O103" i="5"/>
  <c r="L103" i="5"/>
  <c r="K103" i="5"/>
  <c r="J103" i="5"/>
  <c r="G103" i="5"/>
  <c r="F103" i="5"/>
  <c r="E103" i="5"/>
  <c r="AT102" i="5"/>
  <c r="AS102" i="5"/>
  <c r="AP102" i="5"/>
  <c r="AO102" i="5"/>
  <c r="AN102" i="5"/>
  <c r="AK102" i="5"/>
  <c r="AJ102" i="5"/>
  <c r="AI102" i="5"/>
  <c r="AF102" i="5"/>
  <c r="AE102" i="5"/>
  <c r="AD102" i="5"/>
  <c r="AA102" i="5"/>
  <c r="Z102" i="5"/>
  <c r="Y102" i="5"/>
  <c r="V102" i="5"/>
  <c r="U102" i="5"/>
  <c r="T102" i="5"/>
  <c r="Q102" i="5"/>
  <c r="P102" i="5"/>
  <c r="O102" i="5"/>
  <c r="L102" i="5"/>
  <c r="K102" i="5"/>
  <c r="J102" i="5"/>
  <c r="G102" i="5"/>
  <c r="F102" i="5"/>
  <c r="E102" i="5"/>
  <c r="H100" i="5"/>
  <c r="EH98" i="5"/>
  <c r="EI98" i="5" s="1"/>
  <c r="EJ98" i="5" s="1"/>
  <c r="D98" i="5"/>
  <c r="AC98" i="5"/>
  <c r="DY94" i="5"/>
  <c r="DZ94" i="5" s="1"/>
  <c r="AC94" i="5"/>
  <c r="D94" i="5"/>
  <c r="DV90" i="5"/>
  <c r="DU90" i="5"/>
  <c r="DT90" i="5"/>
  <c r="DS90" i="5"/>
  <c r="DQ90" i="5"/>
  <c r="DP90" i="5"/>
  <c r="DO90" i="5"/>
  <c r="DN90" i="5"/>
  <c r="DL90" i="5"/>
  <c r="DK90" i="5"/>
  <c r="DJ90" i="5"/>
  <c r="DI90" i="5"/>
  <c r="DG90" i="5"/>
  <c r="DF90" i="5"/>
  <c r="DE90" i="5"/>
  <c r="DD90" i="5"/>
  <c r="DB90" i="5"/>
  <c r="DV89" i="5"/>
  <c r="DU89" i="5"/>
  <c r="DT89" i="5"/>
  <c r="DS89" i="5"/>
  <c r="DQ89" i="5"/>
  <c r="DP89" i="5"/>
  <c r="DO89" i="5"/>
  <c r="DN89" i="5"/>
  <c r="DL89" i="5"/>
  <c r="DK89" i="5"/>
  <c r="DJ89" i="5"/>
  <c r="DI89" i="5"/>
  <c r="DG89" i="5"/>
  <c r="DF89" i="5"/>
  <c r="DE89" i="5"/>
  <c r="DD89" i="5"/>
  <c r="DB89" i="5"/>
  <c r="DA90" i="5"/>
  <c r="CZ90" i="5"/>
  <c r="CY90" i="5"/>
  <c r="CW90" i="5"/>
  <c r="CV90" i="5"/>
  <c r="CU90" i="5"/>
  <c r="CT90" i="5"/>
  <c r="CR90" i="5"/>
  <c r="CQ90" i="5"/>
  <c r="CP90" i="5"/>
  <c r="CO90" i="5"/>
  <c r="CM90" i="5"/>
  <c r="CL90" i="5"/>
  <c r="CK90" i="5"/>
  <c r="CJ90" i="5"/>
  <c r="CH90" i="5"/>
  <c r="CG90" i="5"/>
  <c r="CF90" i="5"/>
  <c r="CE90" i="5"/>
  <c r="CC90" i="5"/>
  <c r="CB90" i="5"/>
  <c r="CA90" i="5"/>
  <c r="BZ90" i="5"/>
  <c r="BX90" i="5"/>
  <c r="BW90" i="5"/>
  <c r="BV90" i="5"/>
  <c r="BU90" i="5"/>
  <c r="BS90" i="5"/>
  <c r="BR90" i="5"/>
  <c r="BQ90" i="5"/>
  <c r="BP90" i="5"/>
  <c r="BN90" i="5"/>
  <c r="BM90" i="5"/>
  <c r="BL90" i="5"/>
  <c r="BK90" i="5"/>
  <c r="BI90" i="5"/>
  <c r="BH90" i="5"/>
  <c r="BG90" i="5"/>
  <c r="BF90" i="5"/>
  <c r="BD90" i="5"/>
  <c r="BC90" i="5"/>
  <c r="BB90" i="5"/>
  <c r="BA90" i="5"/>
  <c r="DA89" i="5"/>
  <c r="CZ89" i="5"/>
  <c r="CY89" i="5"/>
  <c r="CW89" i="5"/>
  <c r="CV89" i="5"/>
  <c r="CU89" i="5"/>
  <c r="CT89" i="5"/>
  <c r="CR89" i="5"/>
  <c r="CQ89" i="5"/>
  <c r="CP89" i="5"/>
  <c r="CO89" i="5"/>
  <c r="CM89" i="5"/>
  <c r="CL89" i="5"/>
  <c r="CK89" i="5"/>
  <c r="CJ89" i="5"/>
  <c r="CH89" i="5"/>
  <c r="CG89" i="5"/>
  <c r="CF89" i="5"/>
  <c r="CE89" i="5"/>
  <c r="CC89" i="5"/>
  <c r="CB89" i="5"/>
  <c r="CA89" i="5"/>
  <c r="BZ89" i="5"/>
  <c r="BX89" i="5"/>
  <c r="BW89" i="5"/>
  <c r="BV89" i="5"/>
  <c r="BU89" i="5"/>
  <c r="BS89" i="5"/>
  <c r="BR89" i="5"/>
  <c r="BQ89" i="5"/>
  <c r="BP89" i="5"/>
  <c r="BN89" i="5"/>
  <c r="BM89" i="5"/>
  <c r="BL89" i="5"/>
  <c r="BK89" i="5"/>
  <c r="BI89" i="5"/>
  <c r="BH89" i="5"/>
  <c r="BG89" i="5"/>
  <c r="BF89" i="5"/>
  <c r="BD89" i="5"/>
  <c r="BC89" i="5"/>
  <c r="BB89" i="5"/>
  <c r="BA89" i="5"/>
  <c r="AT90" i="5"/>
  <c r="AS90" i="5"/>
  <c r="AR90" i="5"/>
  <c r="AP90" i="5"/>
  <c r="AO90" i="5"/>
  <c r="AN90" i="5"/>
  <c r="AM90" i="5"/>
  <c r="AK90" i="5"/>
  <c r="AJ90" i="5"/>
  <c r="AI90" i="5"/>
  <c r="AH90" i="5"/>
  <c r="AF90" i="5"/>
  <c r="AE90" i="5"/>
  <c r="AD90" i="5"/>
  <c r="AC90" i="5"/>
  <c r="AA90" i="5"/>
  <c r="Z90" i="5"/>
  <c r="Y90" i="5"/>
  <c r="X90" i="5"/>
  <c r="V90" i="5"/>
  <c r="U90" i="5"/>
  <c r="T90" i="5"/>
  <c r="S90" i="5"/>
  <c r="Q90" i="5"/>
  <c r="P90" i="5"/>
  <c r="O90" i="5"/>
  <c r="N90" i="5"/>
  <c r="L90" i="5"/>
  <c r="K90" i="5"/>
  <c r="J90" i="5"/>
  <c r="I90" i="5"/>
  <c r="AT89" i="5"/>
  <c r="AS89" i="5"/>
  <c r="AR89" i="5"/>
  <c r="AO89" i="5"/>
  <c r="AO91" i="5" s="1"/>
  <c r="AN89" i="5"/>
  <c r="AM89" i="5"/>
  <c r="AJ89" i="5"/>
  <c r="AI89" i="5"/>
  <c r="AH89" i="5"/>
  <c r="AE89" i="5"/>
  <c r="AD89" i="5"/>
  <c r="AD91" i="5" s="1"/>
  <c r="AC89" i="5"/>
  <c r="AC91" i="5" s="1"/>
  <c r="Z89" i="5"/>
  <c r="Y89" i="5"/>
  <c r="X89" i="5"/>
  <c r="U89" i="5"/>
  <c r="U91" i="5" s="1"/>
  <c r="T89" i="5"/>
  <c r="S89" i="5"/>
  <c r="P89" i="5"/>
  <c r="O89" i="5"/>
  <c r="N89" i="5"/>
  <c r="K89" i="5"/>
  <c r="J89" i="5"/>
  <c r="J91" i="5" s="1"/>
  <c r="I89" i="5"/>
  <c r="I91" i="5" s="1"/>
  <c r="AC87" i="5"/>
  <c r="D87" i="5"/>
  <c r="DV83" i="5"/>
  <c r="DU83" i="5"/>
  <c r="DV77" i="5" s="1"/>
  <c r="DT83" i="5"/>
  <c r="DU77" i="5" s="1"/>
  <c r="DS83" i="5"/>
  <c r="DQ83" i="5"/>
  <c r="DP83" i="5"/>
  <c r="DQ77" i="5" s="1"/>
  <c r="DO83" i="5"/>
  <c r="DL83" i="5"/>
  <c r="DK83" i="5"/>
  <c r="DG83" i="5"/>
  <c r="DF83" i="5"/>
  <c r="DE83" i="5"/>
  <c r="DF77" i="5" s="1"/>
  <c r="DD83" i="5"/>
  <c r="DE77" i="5" s="1"/>
  <c r="DA83" i="5"/>
  <c r="DB77" i="5" s="1"/>
  <c r="CY83" i="5"/>
  <c r="CW83" i="5"/>
  <c r="CV83" i="5"/>
  <c r="CW77" i="5" s="1"/>
  <c r="CU83" i="5"/>
  <c r="CT83" i="5"/>
  <c r="CU77" i="5" s="1"/>
  <c r="CR83" i="5"/>
  <c r="CQ83" i="5"/>
  <c r="CP83" i="5"/>
  <c r="CQ77" i="5" s="1"/>
  <c r="CO83" i="5"/>
  <c r="CM83" i="5"/>
  <c r="CL83" i="5"/>
  <c r="CM77" i="5" s="1"/>
  <c r="CK83" i="5"/>
  <c r="CL77" i="5" s="1"/>
  <c r="CJ83" i="5"/>
  <c r="CK77" i="5" s="1"/>
  <c r="CH83" i="5"/>
  <c r="CG83" i="5"/>
  <c r="CH77" i="5" s="1"/>
  <c r="CF83" i="5"/>
  <c r="CG77" i="5" s="1"/>
  <c r="CE83" i="5"/>
  <c r="CC83" i="5"/>
  <c r="CC84" i="5" s="1"/>
  <c r="CB83" i="5"/>
  <c r="CB84" i="5" s="1"/>
  <c r="CA83" i="5"/>
  <c r="BZ83" i="5"/>
  <c r="BZ84" i="5" s="1"/>
  <c r="BX83" i="5"/>
  <c r="BW83" i="5"/>
  <c r="BV83" i="5"/>
  <c r="BW77" i="5" s="1"/>
  <c r="BU83" i="5"/>
  <c r="BV77" i="5" s="1"/>
  <c r="BS83" i="5"/>
  <c r="BR83" i="5"/>
  <c r="BS77" i="5" s="1"/>
  <c r="BQ83" i="5"/>
  <c r="BR77" i="5" s="1"/>
  <c r="BP83" i="5"/>
  <c r="BN83" i="5"/>
  <c r="BM83" i="5"/>
  <c r="BN77" i="5" s="1"/>
  <c r="BL83" i="5"/>
  <c r="BM77" i="5" s="1"/>
  <c r="BK83" i="5"/>
  <c r="BI83" i="5"/>
  <c r="BH83" i="5"/>
  <c r="BI77" i="5" s="1"/>
  <c r="BG83" i="5"/>
  <c r="BF83" i="5"/>
  <c r="BG77" i="5" s="1"/>
  <c r="BD83" i="5"/>
  <c r="BC83" i="5"/>
  <c r="BB83" i="5"/>
  <c r="BC77" i="5" s="1"/>
  <c r="BA83" i="5"/>
  <c r="BB77" i="5" s="1"/>
  <c r="AT83" i="5"/>
  <c r="AS83" i="5"/>
  <c r="AT77" i="5" s="1"/>
  <c r="AR83" i="5"/>
  <c r="AS77" i="5" s="1"/>
  <c r="AP83" i="5"/>
  <c r="AO83" i="5"/>
  <c r="AP77" i="5" s="1"/>
  <c r="AN83" i="5"/>
  <c r="AO77" i="5" s="1"/>
  <c r="AM83" i="5"/>
  <c r="AN77" i="5" s="1"/>
  <c r="AK83" i="5"/>
  <c r="AJ83" i="5"/>
  <c r="AI83" i="5"/>
  <c r="AJ77" i="5" s="1"/>
  <c r="AH83" i="5"/>
  <c r="AI77" i="5" s="1"/>
  <c r="AF83" i="5"/>
  <c r="AE83" i="5"/>
  <c r="AF77" i="5" s="1"/>
  <c r="AD83" i="5"/>
  <c r="AE77" i="5" s="1"/>
  <c r="AC83" i="5"/>
  <c r="AD77" i="5" s="1"/>
  <c r="AA83" i="5"/>
  <c r="Z83" i="5"/>
  <c r="Y83" i="5"/>
  <c r="Z77" i="5" s="1"/>
  <c r="X83" i="5"/>
  <c r="V83" i="5"/>
  <c r="U83" i="5"/>
  <c r="V77" i="5" s="1"/>
  <c r="T83" i="5"/>
  <c r="U77" i="5" s="1"/>
  <c r="S83" i="5"/>
  <c r="T77" i="5" s="1"/>
  <c r="Q83" i="5"/>
  <c r="P83" i="5"/>
  <c r="O83" i="5"/>
  <c r="P77" i="5" s="1"/>
  <c r="N83" i="5"/>
  <c r="O77" i="5" s="1"/>
  <c r="L83" i="5"/>
  <c r="K83" i="5"/>
  <c r="J83" i="5"/>
  <c r="K77" i="5" s="1"/>
  <c r="I83" i="5"/>
  <c r="J77" i="5" s="1"/>
  <c r="G83" i="5"/>
  <c r="F83" i="5"/>
  <c r="E83" i="5"/>
  <c r="F77" i="5" s="1"/>
  <c r="D83" i="5"/>
  <c r="E77" i="5" s="1"/>
  <c r="DY82" i="5"/>
  <c r="DZ82" i="5" s="1"/>
  <c r="U79" i="5"/>
  <c r="T79" i="5"/>
  <c r="S79" i="5"/>
  <c r="P79" i="5"/>
  <c r="O79" i="5"/>
  <c r="N79" i="5"/>
  <c r="K79" i="5"/>
  <c r="J79" i="5"/>
  <c r="I79" i="5"/>
  <c r="F79" i="5"/>
  <c r="E79" i="5"/>
  <c r="D79" i="5"/>
  <c r="Q78" i="5"/>
  <c r="R78" i="5" s="1"/>
  <c r="L78" i="5"/>
  <c r="M78" i="5" s="1"/>
  <c r="G78" i="5"/>
  <c r="DV78" i="5"/>
  <c r="DV79" i="5" s="1"/>
  <c r="DU78" i="5"/>
  <c r="DU79" i="5" s="1"/>
  <c r="DT78" i="5"/>
  <c r="DT79" i="5" s="1"/>
  <c r="DS78" i="5"/>
  <c r="DS79" i="5" s="1"/>
  <c r="DQ78" i="5"/>
  <c r="DQ79" i="5" s="1"/>
  <c r="DP78" i="5"/>
  <c r="DP79" i="5" s="1"/>
  <c r="DO78" i="5"/>
  <c r="DO79" i="5" s="1"/>
  <c r="DN78" i="5"/>
  <c r="DL78" i="5"/>
  <c r="DL79" i="5" s="1"/>
  <c r="DK78" i="5"/>
  <c r="DK79" i="5" s="1"/>
  <c r="DJ78" i="5"/>
  <c r="DJ79" i="5" s="1"/>
  <c r="DI78" i="5"/>
  <c r="DI79" i="5" s="1"/>
  <c r="DG78" i="5"/>
  <c r="DG79" i="5" s="1"/>
  <c r="DF78" i="5"/>
  <c r="DF79" i="5" s="1"/>
  <c r="DE78" i="5"/>
  <c r="DE79" i="5" s="1"/>
  <c r="DD78" i="5"/>
  <c r="DB78" i="5"/>
  <c r="DB79" i="5" s="1"/>
  <c r="DA78" i="5"/>
  <c r="DA79" i="5" s="1"/>
  <c r="CZ78" i="5"/>
  <c r="CZ79" i="5" s="1"/>
  <c r="CY78" i="5"/>
  <c r="CY79" i="5" s="1"/>
  <c r="CW78" i="5"/>
  <c r="CW79" i="5" s="1"/>
  <c r="CV78" i="5"/>
  <c r="CV79" i="5" s="1"/>
  <c r="CU78" i="5"/>
  <c r="CU79" i="5" s="1"/>
  <c r="CT78" i="5"/>
  <c r="CR78" i="5"/>
  <c r="CR79" i="5" s="1"/>
  <c r="CQ78" i="5"/>
  <c r="CQ79" i="5" s="1"/>
  <c r="CP78" i="5"/>
  <c r="CP79" i="5" s="1"/>
  <c r="CO78" i="5"/>
  <c r="CO79" i="5" s="1"/>
  <c r="CM78" i="5"/>
  <c r="CM79" i="5" s="1"/>
  <c r="CL78" i="5"/>
  <c r="CL79" i="5" s="1"/>
  <c r="CK78" i="5"/>
  <c r="CK79" i="5" s="1"/>
  <c r="CJ78" i="5"/>
  <c r="CH78" i="5"/>
  <c r="CH79" i="5" s="1"/>
  <c r="CG78" i="5"/>
  <c r="CG79" i="5" s="1"/>
  <c r="CF78" i="5"/>
  <c r="CF79" i="5" s="1"/>
  <c r="CE78" i="5"/>
  <c r="CE79" i="5" s="1"/>
  <c r="CC78" i="5"/>
  <c r="CC79" i="5" s="1"/>
  <c r="CB78" i="5"/>
  <c r="CB79" i="5" s="1"/>
  <c r="CA78" i="5"/>
  <c r="CA79" i="5" s="1"/>
  <c r="BZ78" i="5"/>
  <c r="BX78" i="5"/>
  <c r="BX79" i="5" s="1"/>
  <c r="BW78" i="5"/>
  <c r="BW79" i="5" s="1"/>
  <c r="BV78" i="5"/>
  <c r="BV79" i="5" s="1"/>
  <c r="BU78" i="5"/>
  <c r="BU79" i="5" s="1"/>
  <c r="BS78" i="5"/>
  <c r="BS79" i="5" s="1"/>
  <c r="BR78" i="5"/>
  <c r="BR79" i="5" s="1"/>
  <c r="BQ78" i="5"/>
  <c r="BQ79" i="5" s="1"/>
  <c r="BP78" i="5"/>
  <c r="BL78" i="5"/>
  <c r="BL79" i="5" s="1"/>
  <c r="BK78" i="5"/>
  <c r="BK79" i="5" s="1"/>
  <c r="BG78" i="5"/>
  <c r="BG79" i="5" s="1"/>
  <c r="BF78" i="5"/>
  <c r="BC78" i="5"/>
  <c r="BC79" i="5" s="1"/>
  <c r="BB78" i="5"/>
  <c r="BB79" i="5" s="1"/>
  <c r="BA78" i="5"/>
  <c r="DG77" i="5"/>
  <c r="CP77" i="5"/>
  <c r="CP81" i="5" s="1"/>
  <c r="CA77" i="5"/>
  <c r="BQ77" i="5"/>
  <c r="AT78" i="5"/>
  <c r="AT79" i="5" s="1"/>
  <c r="AR78" i="5"/>
  <c r="AR79" i="5" s="1"/>
  <c r="AM78" i="5"/>
  <c r="AJ78" i="5"/>
  <c r="AH78" i="5"/>
  <c r="AH79" i="5" s="1"/>
  <c r="AD78" i="5"/>
  <c r="AD79" i="5" s="1"/>
  <c r="AC78" i="5"/>
  <c r="AC79" i="5" s="1"/>
  <c r="X78" i="5"/>
  <c r="X79" i="5" s="1"/>
  <c r="V78" i="5"/>
  <c r="AK77" i="5"/>
  <c r="AA77" i="5"/>
  <c r="Y77" i="5"/>
  <c r="Q77" i="5"/>
  <c r="L77" i="5"/>
  <c r="H77" i="5"/>
  <c r="G77" i="5"/>
  <c r="DV73" i="5"/>
  <c r="DU73" i="5"/>
  <c r="DT73" i="5"/>
  <c r="DS73" i="5"/>
  <c r="DQ73" i="5"/>
  <c r="DP73" i="5"/>
  <c r="DO73" i="5"/>
  <c r="DN73" i="5"/>
  <c r="DL73" i="5"/>
  <c r="DK73" i="5"/>
  <c r="DJ73" i="5"/>
  <c r="DI73" i="5"/>
  <c r="DG73" i="5"/>
  <c r="DF73" i="5"/>
  <c r="DE73" i="5"/>
  <c r="DD73" i="5"/>
  <c r="DB73" i="5"/>
  <c r="DA73" i="5"/>
  <c r="CZ73" i="5"/>
  <c r="CY73" i="5"/>
  <c r="CW73" i="5"/>
  <c r="CV73" i="5"/>
  <c r="CU73" i="5"/>
  <c r="CT73" i="5"/>
  <c r="CR73" i="5"/>
  <c r="CQ73" i="5"/>
  <c r="CP73" i="5"/>
  <c r="CO73" i="5"/>
  <c r="CM73" i="5"/>
  <c r="CL73" i="5"/>
  <c r="CK73" i="5"/>
  <c r="CJ73" i="5"/>
  <c r="CH73" i="5"/>
  <c r="CG73" i="5"/>
  <c r="CF73" i="5"/>
  <c r="CE73" i="5"/>
  <c r="CC73" i="5"/>
  <c r="CB73" i="5"/>
  <c r="CA73" i="5"/>
  <c r="BZ73" i="5"/>
  <c r="BX73" i="5"/>
  <c r="BW73" i="5"/>
  <c r="BV73" i="5"/>
  <c r="BU73" i="5"/>
  <c r="BS73" i="5"/>
  <c r="BR73" i="5"/>
  <c r="BQ73" i="5"/>
  <c r="BP73" i="5"/>
  <c r="BN73" i="5"/>
  <c r="BM73" i="5"/>
  <c r="BL73" i="5"/>
  <c r="BK73" i="5"/>
  <c r="BI73" i="5"/>
  <c r="BH73" i="5"/>
  <c r="BG73" i="5"/>
  <c r="BF73" i="5"/>
  <c r="BD73" i="5"/>
  <c r="BC73" i="5"/>
  <c r="BB73" i="5"/>
  <c r="BA73" i="5"/>
  <c r="AT73" i="5"/>
  <c r="AS73" i="5"/>
  <c r="AR73" i="5"/>
  <c r="AO73" i="5"/>
  <c r="AN73" i="5"/>
  <c r="AM73" i="5"/>
  <c r="AJ73" i="5"/>
  <c r="AI73" i="5"/>
  <c r="AH73" i="5"/>
  <c r="AE73" i="5"/>
  <c r="AD73" i="5"/>
  <c r="AC73" i="5"/>
  <c r="Z73" i="5"/>
  <c r="Y73" i="5"/>
  <c r="X73" i="5"/>
  <c r="U73" i="5"/>
  <c r="T73" i="5"/>
  <c r="S73" i="5"/>
  <c r="P73" i="5"/>
  <c r="O73" i="5"/>
  <c r="N73" i="5"/>
  <c r="K73" i="5"/>
  <c r="J73" i="5"/>
  <c r="I73" i="5"/>
  <c r="AX65" i="5"/>
  <c r="AW65" i="5"/>
  <c r="AV65" i="5"/>
  <c r="DV67" i="5"/>
  <c r="DU67" i="5"/>
  <c r="DT67" i="5"/>
  <c r="DS67" i="5"/>
  <c r="DQ67" i="5"/>
  <c r="DP67" i="5"/>
  <c r="DO67" i="5"/>
  <c r="DN67" i="5"/>
  <c r="DL67" i="5"/>
  <c r="DK67" i="5"/>
  <c r="DJ67" i="5"/>
  <c r="DI67" i="5"/>
  <c r="DG67" i="5"/>
  <c r="DF67" i="5"/>
  <c r="DE67" i="5"/>
  <c r="DD67" i="5"/>
  <c r="DB67" i="5"/>
  <c r="DB66" i="5" s="1"/>
  <c r="DA67" i="5"/>
  <c r="CZ67" i="5"/>
  <c r="CY67" i="5"/>
  <c r="CY66" i="5" s="1"/>
  <c r="CW67" i="5"/>
  <c r="CW66" i="5" s="1"/>
  <c r="CV67" i="5"/>
  <c r="CV66" i="5" s="1"/>
  <c r="CU67" i="5"/>
  <c r="CU66" i="5" s="1"/>
  <c r="CT67" i="5"/>
  <c r="CR67" i="5"/>
  <c r="CQ67" i="5"/>
  <c r="CP67" i="5"/>
  <c r="CP66" i="5" s="1"/>
  <c r="CO67" i="5"/>
  <c r="CO66" i="5" s="1"/>
  <c r="CM67" i="5"/>
  <c r="CL67" i="5"/>
  <c r="CK67" i="5"/>
  <c r="CK66" i="5" s="1"/>
  <c r="CJ67" i="5"/>
  <c r="CJ66" i="5" s="1"/>
  <c r="CH67" i="5"/>
  <c r="CH66" i="5" s="1"/>
  <c r="CG67" i="5"/>
  <c r="CF67" i="5"/>
  <c r="CF66" i="5" s="1"/>
  <c r="CE67" i="5"/>
  <c r="CE66" i="5" s="1"/>
  <c r="CC67" i="5"/>
  <c r="CC66" i="5" s="1"/>
  <c r="CB67" i="5"/>
  <c r="CB66" i="5" s="1"/>
  <c r="CA67" i="5"/>
  <c r="CA66" i="5" s="1"/>
  <c r="BZ67" i="5"/>
  <c r="BZ66" i="5" s="1"/>
  <c r="BX67" i="5"/>
  <c r="BX66" i="5" s="1"/>
  <c r="BW67" i="5"/>
  <c r="BW66" i="5" s="1"/>
  <c r="BV67" i="5"/>
  <c r="BV66" i="5" s="1"/>
  <c r="BU67" i="5"/>
  <c r="BU66" i="5" s="1"/>
  <c r="BS67" i="5"/>
  <c r="BS66" i="5" s="1"/>
  <c r="BR67" i="5"/>
  <c r="BQ67" i="5"/>
  <c r="BQ66" i="5" s="1"/>
  <c r="BP67" i="5"/>
  <c r="BP66" i="5" s="1"/>
  <c r="BN67" i="5"/>
  <c r="BN66" i="5" s="1"/>
  <c r="BM67" i="5"/>
  <c r="BM66" i="5" s="1"/>
  <c r="BL67" i="5"/>
  <c r="BL66" i="5" s="1"/>
  <c r="BK67" i="5"/>
  <c r="BK66" i="5" s="1"/>
  <c r="BI67" i="5"/>
  <c r="BI66" i="5" s="1"/>
  <c r="BH67" i="5"/>
  <c r="BG67" i="5"/>
  <c r="BG66" i="5" s="1"/>
  <c r="BF67" i="5"/>
  <c r="BF66" i="5" s="1"/>
  <c r="BD67" i="5"/>
  <c r="BD66" i="5" s="1"/>
  <c r="BC67" i="5"/>
  <c r="BC66" i="5" s="1"/>
  <c r="BB67" i="5"/>
  <c r="BB66" i="5" s="1"/>
  <c r="BA67" i="5"/>
  <c r="BA66" i="5" s="1"/>
  <c r="AY67" i="5"/>
  <c r="AY66" i="5" s="1"/>
  <c r="DA66" i="5"/>
  <c r="CZ66" i="5"/>
  <c r="CM66" i="5"/>
  <c r="CL66" i="5"/>
  <c r="CG66" i="5"/>
  <c r="BR66" i="5"/>
  <c r="BH66" i="5"/>
  <c r="DV65" i="5"/>
  <c r="DW65" i="5" s="1"/>
  <c r="DU65" i="5"/>
  <c r="DT65" i="5"/>
  <c r="DS65" i="5"/>
  <c r="DQ65" i="5"/>
  <c r="DP65" i="5"/>
  <c r="DO65" i="5"/>
  <c r="DN65" i="5"/>
  <c r="DL65" i="5"/>
  <c r="DK65" i="5"/>
  <c r="DJ65" i="5"/>
  <c r="DI65" i="5"/>
  <c r="DG65" i="5"/>
  <c r="DF65" i="5"/>
  <c r="DE65" i="5"/>
  <c r="DD65" i="5"/>
  <c r="DB65" i="5"/>
  <c r="DA65" i="5"/>
  <c r="CZ65" i="5"/>
  <c r="CY65" i="5"/>
  <c r="CW65" i="5"/>
  <c r="CV65" i="5"/>
  <c r="CU65" i="5"/>
  <c r="CT65" i="5"/>
  <c r="CR65" i="5"/>
  <c r="CQ65" i="5"/>
  <c r="CP65" i="5"/>
  <c r="CO65" i="5"/>
  <c r="CM65" i="5"/>
  <c r="CL65" i="5"/>
  <c r="CK65" i="5"/>
  <c r="CJ65" i="5"/>
  <c r="CH65" i="5"/>
  <c r="CG65" i="5"/>
  <c r="CF65" i="5"/>
  <c r="CE65" i="5"/>
  <c r="CC65" i="5"/>
  <c r="CB65" i="5"/>
  <c r="CA65" i="5"/>
  <c r="BZ65" i="5"/>
  <c r="BX65" i="5"/>
  <c r="BW65" i="5"/>
  <c r="BV65" i="5"/>
  <c r="BU65" i="5"/>
  <c r="BS65" i="5"/>
  <c r="BR65" i="5"/>
  <c r="BQ65" i="5"/>
  <c r="BP65" i="5"/>
  <c r="BN65" i="5"/>
  <c r="BM65" i="5"/>
  <c r="BL65" i="5"/>
  <c r="BK65" i="5"/>
  <c r="BI65" i="5"/>
  <c r="BH65" i="5"/>
  <c r="BG65" i="5"/>
  <c r="BF65" i="5"/>
  <c r="BD65" i="5"/>
  <c r="BC65" i="5"/>
  <c r="BB65" i="5"/>
  <c r="BA65" i="5"/>
  <c r="AY65" i="5"/>
  <c r="AT67" i="5"/>
  <c r="AT66" i="5" s="1"/>
  <c r="AS67" i="5"/>
  <c r="AS66" i="5" s="1"/>
  <c r="AR67" i="5"/>
  <c r="AR66" i="5" s="1"/>
  <c r="AP67" i="5"/>
  <c r="AP66" i="5" s="1"/>
  <c r="AO67" i="5"/>
  <c r="AO66" i="5" s="1"/>
  <c r="AN67" i="5"/>
  <c r="AN66" i="5" s="1"/>
  <c r="AM67" i="5"/>
  <c r="AK67" i="5"/>
  <c r="AK66" i="5" s="1"/>
  <c r="AJ67" i="5"/>
  <c r="AI67" i="5"/>
  <c r="AI66" i="5" s="1"/>
  <c r="AH67" i="5"/>
  <c r="AH66" i="5" s="1"/>
  <c r="AF67" i="5"/>
  <c r="AE67" i="5"/>
  <c r="AD67" i="5"/>
  <c r="AC67" i="5"/>
  <c r="AA67" i="5"/>
  <c r="Z67" i="5"/>
  <c r="Y67" i="5"/>
  <c r="X67" i="5"/>
  <c r="V67" i="5"/>
  <c r="U67" i="5"/>
  <c r="T67" i="5"/>
  <c r="S67" i="5"/>
  <c r="Q67" i="5"/>
  <c r="P67" i="5"/>
  <c r="L67" i="5"/>
  <c r="L66" i="5" s="1"/>
  <c r="AM66" i="5"/>
  <c r="AF66" i="5"/>
  <c r="AE66" i="5"/>
  <c r="AD66" i="5"/>
  <c r="AC66" i="5"/>
  <c r="AA66" i="5"/>
  <c r="Z66" i="5"/>
  <c r="Y66" i="5"/>
  <c r="X66" i="5"/>
  <c r="V66" i="5"/>
  <c r="U66" i="5"/>
  <c r="T66" i="5"/>
  <c r="S66" i="5"/>
  <c r="Q66" i="5"/>
  <c r="P66" i="5"/>
  <c r="AT65" i="5"/>
  <c r="AS65" i="5"/>
  <c r="AR65" i="5"/>
  <c r="AO65" i="5"/>
  <c r="AN65" i="5"/>
  <c r="AM65" i="5"/>
  <c r="AJ65" i="5"/>
  <c r="AI65" i="5"/>
  <c r="AH65" i="5"/>
  <c r="AE65" i="5"/>
  <c r="AD65" i="5"/>
  <c r="AC65" i="5"/>
  <c r="Z65" i="5"/>
  <c r="Y65" i="5"/>
  <c r="X65" i="5"/>
  <c r="U65" i="5"/>
  <c r="T65" i="5"/>
  <c r="S65" i="5"/>
  <c r="P65" i="5"/>
  <c r="O65" i="5"/>
  <c r="N65" i="5"/>
  <c r="K65" i="5"/>
  <c r="J65" i="5"/>
  <c r="I65" i="5"/>
  <c r="DD58" i="5"/>
  <c r="DD56" i="5"/>
  <c r="DD55" i="5"/>
  <c r="DR51" i="5"/>
  <c r="DR49" i="5"/>
  <c r="DR48" i="5"/>
  <c r="DR47" i="5"/>
  <c r="DR46" i="5"/>
  <c r="DR45" i="5"/>
  <c r="DR43" i="5"/>
  <c r="DM51" i="5"/>
  <c r="DM49" i="5"/>
  <c r="DM48" i="5"/>
  <c r="DM47" i="5"/>
  <c r="DM46" i="5"/>
  <c r="DM45" i="5"/>
  <c r="DM43" i="5"/>
  <c r="DH51" i="5"/>
  <c r="DH49" i="5"/>
  <c r="DH48" i="5"/>
  <c r="DH47" i="5"/>
  <c r="DH46" i="5"/>
  <c r="DH45" i="5"/>
  <c r="DH43" i="5"/>
  <c r="DC51" i="5"/>
  <c r="DC49" i="5"/>
  <c r="DC48" i="5"/>
  <c r="DC47" i="5"/>
  <c r="DC46" i="5"/>
  <c r="DC43" i="5"/>
  <c r="CX51" i="5"/>
  <c r="CX49" i="5"/>
  <c r="CX48" i="5"/>
  <c r="CX47" i="5"/>
  <c r="CX46" i="5"/>
  <c r="CX45" i="5"/>
  <c r="CX44" i="5"/>
  <c r="CX43" i="5"/>
  <c r="CS51" i="5"/>
  <c r="CS49" i="5"/>
  <c r="CS48" i="5"/>
  <c r="CS47" i="5"/>
  <c r="CS46" i="5"/>
  <c r="CS45" i="5"/>
  <c r="CS44" i="5"/>
  <c r="CS43" i="5"/>
  <c r="CN51" i="5"/>
  <c r="CN49" i="5"/>
  <c r="CN48" i="5"/>
  <c r="CN47" i="5"/>
  <c r="CN46" i="5"/>
  <c r="CN45" i="5"/>
  <c r="CN44" i="5"/>
  <c r="CN43" i="5"/>
  <c r="CI51" i="5"/>
  <c r="CI49" i="5"/>
  <c r="CJ104" i="5" s="1"/>
  <c r="CI48" i="5"/>
  <c r="CI47" i="5"/>
  <c r="CJ106" i="5" s="1"/>
  <c r="CI46" i="5"/>
  <c r="CJ105" i="5" s="1"/>
  <c r="CI45" i="5"/>
  <c r="CJ103" i="5" s="1"/>
  <c r="CI44" i="5"/>
  <c r="CJ102" i="5" s="1"/>
  <c r="CI43" i="5"/>
  <c r="CD51" i="5"/>
  <c r="CD49" i="5"/>
  <c r="CD48" i="5"/>
  <c r="CD47" i="5"/>
  <c r="CD46" i="5"/>
  <c r="CD45" i="5"/>
  <c r="CD44" i="5"/>
  <c r="CD43" i="5"/>
  <c r="BY51" i="5"/>
  <c r="BY49" i="5"/>
  <c r="BY48" i="5"/>
  <c r="BY47" i="5"/>
  <c r="BY46" i="5"/>
  <c r="BY45" i="5"/>
  <c r="BY44" i="5"/>
  <c r="BY43" i="5"/>
  <c r="BT51" i="5"/>
  <c r="BT49" i="5"/>
  <c r="BT48" i="5"/>
  <c r="BT47" i="5"/>
  <c r="BT46" i="5"/>
  <c r="BT45" i="5"/>
  <c r="BT44" i="5"/>
  <c r="BT43" i="5"/>
  <c r="BO51" i="5"/>
  <c r="BO49" i="5"/>
  <c r="BO48" i="5"/>
  <c r="BO47" i="5"/>
  <c r="BO46" i="5"/>
  <c r="BO45" i="5"/>
  <c r="BO44" i="5"/>
  <c r="BO43" i="5"/>
  <c r="BJ51" i="5"/>
  <c r="BJ49" i="5"/>
  <c r="BJ48" i="5"/>
  <c r="BJ47" i="5"/>
  <c r="BJ46" i="5"/>
  <c r="BJ45" i="5"/>
  <c r="BJ44" i="5"/>
  <c r="BJ43" i="5"/>
  <c r="BE51" i="5"/>
  <c r="BE49" i="5"/>
  <c r="BE48" i="5"/>
  <c r="BE47" i="5"/>
  <c r="BE46" i="5"/>
  <c r="BE45" i="5"/>
  <c r="BE44" i="5"/>
  <c r="BE43" i="5"/>
  <c r="AZ51" i="5"/>
  <c r="AZ49" i="5"/>
  <c r="BA104" i="5" s="1"/>
  <c r="AZ48" i="5"/>
  <c r="AZ47" i="5"/>
  <c r="BA106" i="5" s="1"/>
  <c r="AZ46" i="5"/>
  <c r="BA105" i="5" s="1"/>
  <c r="AZ45" i="5"/>
  <c r="BA103" i="5" s="1"/>
  <c r="AZ44" i="5"/>
  <c r="BA102" i="5" s="1"/>
  <c r="AZ43" i="5"/>
  <c r="CZ50" i="5"/>
  <c r="CZ109" i="5" s="1"/>
  <c r="DA100" i="5" s="1"/>
  <c r="CY50" i="5"/>
  <c r="CY109" i="5" s="1"/>
  <c r="CZ100" i="5" s="1"/>
  <c r="CW50" i="5"/>
  <c r="CV50" i="5"/>
  <c r="CV109" i="5" s="1"/>
  <c r="CW100" i="5" s="1"/>
  <c r="CU50" i="5"/>
  <c r="CU109" i="5" s="1"/>
  <c r="CV100" i="5" s="1"/>
  <c r="CT50" i="5"/>
  <c r="CT109" i="5" s="1"/>
  <c r="CU100" i="5" s="1"/>
  <c r="CR50" i="5"/>
  <c r="CR109" i="5" s="1"/>
  <c r="CT100" i="5" s="1"/>
  <c r="CQ50" i="5"/>
  <c r="CQ109" i="5" s="1"/>
  <c r="CR100" i="5" s="1"/>
  <c r="CP50" i="5"/>
  <c r="CP109" i="5" s="1"/>
  <c r="CQ100" i="5" s="1"/>
  <c r="CO50" i="5"/>
  <c r="CM50" i="5"/>
  <c r="CM109" i="5" s="1"/>
  <c r="CO100" i="5" s="1"/>
  <c r="CL50" i="5"/>
  <c r="CL109" i="5" s="1"/>
  <c r="CM100" i="5" s="1"/>
  <c r="CK50" i="5"/>
  <c r="CJ50" i="5"/>
  <c r="CJ109" i="5" s="1"/>
  <c r="CK100" i="5" s="1"/>
  <c r="CH50" i="5"/>
  <c r="CH109" i="5" s="1"/>
  <c r="CJ100" i="5" s="1"/>
  <c r="CG50" i="5"/>
  <c r="CF50" i="5"/>
  <c r="CF109" i="5" s="1"/>
  <c r="CG100" i="5" s="1"/>
  <c r="CE50" i="5"/>
  <c r="CE109" i="5" s="1"/>
  <c r="CF100" i="5" s="1"/>
  <c r="CC50" i="5"/>
  <c r="CB50" i="5"/>
  <c r="CB109" i="5" s="1"/>
  <c r="CC100" i="5" s="1"/>
  <c r="CA50" i="5"/>
  <c r="CA109" i="5" s="1"/>
  <c r="CB100" i="5" s="1"/>
  <c r="BZ50" i="5"/>
  <c r="BZ109" i="5" s="1"/>
  <c r="CA100" i="5" s="1"/>
  <c r="BX50" i="5"/>
  <c r="BX109" i="5" s="1"/>
  <c r="BW50" i="5"/>
  <c r="BW109" i="5" s="1"/>
  <c r="BX100" i="5" s="1"/>
  <c r="BV50" i="5"/>
  <c r="BV109" i="5" s="1"/>
  <c r="BW100" i="5" s="1"/>
  <c r="BU50" i="5"/>
  <c r="BS50" i="5"/>
  <c r="BS109" i="5" s="1"/>
  <c r="BR50" i="5"/>
  <c r="BR109" i="5" s="1"/>
  <c r="BS100" i="5" s="1"/>
  <c r="BQ50" i="5"/>
  <c r="BP50" i="5"/>
  <c r="BP109" i="5" s="1"/>
  <c r="BQ100" i="5" s="1"/>
  <c r="BN50" i="5"/>
  <c r="BN109" i="5" s="1"/>
  <c r="BM50" i="5"/>
  <c r="BL50" i="5"/>
  <c r="BL109" i="5" s="1"/>
  <c r="BM100" i="5" s="1"/>
  <c r="BK50" i="5"/>
  <c r="BK109" i="5" s="1"/>
  <c r="BL100" i="5" s="1"/>
  <c r="BI50" i="5"/>
  <c r="BH50" i="5"/>
  <c r="BH109" i="5" s="1"/>
  <c r="BI100" i="5" s="1"/>
  <c r="BG50" i="5"/>
  <c r="BG109" i="5" s="1"/>
  <c r="BH100" i="5" s="1"/>
  <c r="BF50" i="5"/>
  <c r="BF109" i="5" s="1"/>
  <c r="BG100" i="5" s="1"/>
  <c r="BD50" i="5"/>
  <c r="BD109" i="5" s="1"/>
  <c r="BC50" i="5"/>
  <c r="BC109" i="5" s="1"/>
  <c r="BD100" i="5" s="1"/>
  <c r="BB50" i="5"/>
  <c r="BB109" i="5" s="1"/>
  <c r="BC100" i="5" s="1"/>
  <c r="BA50" i="5"/>
  <c r="AY50" i="5"/>
  <c r="AX50" i="5"/>
  <c r="AW50" i="5"/>
  <c r="AV50" i="5"/>
  <c r="AT50" i="5"/>
  <c r="AT109" i="5" s="1"/>
  <c r="AS50" i="5"/>
  <c r="AS55" i="5" s="1"/>
  <c r="AR50" i="5"/>
  <c r="AR109" i="5" s="1"/>
  <c r="AS100" i="5" s="1"/>
  <c r="AP50" i="5"/>
  <c r="AP109" i="5" s="1"/>
  <c r="AO50" i="5"/>
  <c r="AO55" i="5" s="1"/>
  <c r="AN50" i="5"/>
  <c r="AN109" i="5" s="1"/>
  <c r="AO100" i="5" s="1"/>
  <c r="AM50" i="5"/>
  <c r="AM109" i="5" s="1"/>
  <c r="AN100" i="5" s="1"/>
  <c r="AK50" i="5"/>
  <c r="AK55" i="5" s="1"/>
  <c r="AJ50" i="5"/>
  <c r="AJ109" i="5" s="1"/>
  <c r="AK100" i="5" s="1"/>
  <c r="AI50" i="5"/>
  <c r="AI109" i="5" s="1"/>
  <c r="AJ100" i="5" s="1"/>
  <c r="AH50" i="5"/>
  <c r="AH109" i="5" s="1"/>
  <c r="AI100" i="5" s="1"/>
  <c r="AF50" i="5"/>
  <c r="AF109" i="5" s="1"/>
  <c r="AE50" i="5"/>
  <c r="AE109" i="5" s="1"/>
  <c r="AF100" i="5" s="1"/>
  <c r="AD50" i="5"/>
  <c r="AD109" i="5" s="1"/>
  <c r="AE100" i="5" s="1"/>
  <c r="AC50" i="5"/>
  <c r="AC55" i="5" s="1"/>
  <c r="AA50" i="5"/>
  <c r="AA109" i="5" s="1"/>
  <c r="Z50" i="5"/>
  <c r="Z109" i="5" s="1"/>
  <c r="AA100" i="5" s="1"/>
  <c r="Y50" i="5"/>
  <c r="Y55" i="5" s="1"/>
  <c r="X50" i="5"/>
  <c r="X109" i="5" s="1"/>
  <c r="Y100" i="5" s="1"/>
  <c r="V50" i="5"/>
  <c r="V109" i="5" s="1"/>
  <c r="U50" i="5"/>
  <c r="U55" i="5" s="1"/>
  <c r="T50" i="5"/>
  <c r="T109" i="5" s="1"/>
  <c r="U100" i="5" s="1"/>
  <c r="S50" i="5"/>
  <c r="S109" i="5" s="1"/>
  <c r="T100" i="5" s="1"/>
  <c r="Q50" i="5"/>
  <c r="Q55" i="5" s="1"/>
  <c r="P50" i="5"/>
  <c r="P109" i="5" s="1"/>
  <c r="Q100" i="5" s="1"/>
  <c r="O50" i="5"/>
  <c r="O109" i="5" s="1"/>
  <c r="P100" i="5" s="1"/>
  <c r="N50" i="5"/>
  <c r="N109" i="5" s="1"/>
  <c r="O100" i="5" s="1"/>
  <c r="L50" i="5"/>
  <c r="L109" i="5" s="1"/>
  <c r="K50" i="5"/>
  <c r="K109" i="5" s="1"/>
  <c r="L100" i="5" s="1"/>
  <c r="J50" i="5"/>
  <c r="J109" i="5" s="1"/>
  <c r="K100" i="5" s="1"/>
  <c r="I50" i="5"/>
  <c r="I109" i="5" s="1"/>
  <c r="J100" i="5" s="1"/>
  <c r="F50" i="5"/>
  <c r="F109" i="5" s="1"/>
  <c r="G100" i="5" s="1"/>
  <c r="E50" i="5"/>
  <c r="E109" i="5" s="1"/>
  <c r="F100" i="5" s="1"/>
  <c r="D50" i="5"/>
  <c r="D109" i="5" s="1"/>
  <c r="E100" i="5" s="1"/>
  <c r="AQ49" i="5"/>
  <c r="AQ48" i="5"/>
  <c r="AQ47" i="5"/>
  <c r="AQ46" i="5"/>
  <c r="AQ45" i="5"/>
  <c r="AQ44" i="5"/>
  <c r="AQ43" i="5"/>
  <c r="AL49" i="5"/>
  <c r="AL48" i="5"/>
  <c r="AL47" i="5"/>
  <c r="AL46" i="5"/>
  <c r="AL45" i="5"/>
  <c r="AL44" i="5"/>
  <c r="AL43" i="5"/>
  <c r="AG49" i="5"/>
  <c r="AG48" i="5"/>
  <c r="AG47" i="5"/>
  <c r="AG46" i="5"/>
  <c r="AG45" i="5"/>
  <c r="AG44" i="5"/>
  <c r="AG43" i="5"/>
  <c r="AB49" i="5"/>
  <c r="AB48" i="5"/>
  <c r="AB47" i="5"/>
  <c r="AB46" i="5"/>
  <c r="AB45" i="5"/>
  <c r="AB44" i="5"/>
  <c r="AB43" i="5"/>
  <c r="W49" i="5"/>
  <c r="W48" i="5"/>
  <c r="W47" i="5"/>
  <c r="W46" i="5"/>
  <c r="W45" i="5"/>
  <c r="W44" i="5"/>
  <c r="W43" i="5"/>
  <c r="R49" i="5"/>
  <c r="R48" i="5"/>
  <c r="R47" i="5"/>
  <c r="R46" i="5"/>
  <c r="R45" i="5"/>
  <c r="R44" i="5"/>
  <c r="R43" i="5"/>
  <c r="M49" i="5"/>
  <c r="M48" i="5"/>
  <c r="M47" i="5"/>
  <c r="M46" i="5"/>
  <c r="M45" i="5"/>
  <c r="M44" i="5"/>
  <c r="M43" i="5"/>
  <c r="H49" i="5"/>
  <c r="I104" i="5" s="1"/>
  <c r="H48" i="5"/>
  <c r="H47" i="5"/>
  <c r="I106" i="5" s="1"/>
  <c r="H45" i="5"/>
  <c r="I103" i="5" s="1"/>
  <c r="H44" i="5"/>
  <c r="I102" i="5" s="1"/>
  <c r="H43" i="5"/>
  <c r="G46" i="5"/>
  <c r="G105" i="5" s="1"/>
  <c r="DB45" i="5"/>
  <c r="DB103" i="5" s="1"/>
  <c r="DA44" i="5"/>
  <c r="DA102" i="5" s="1"/>
  <c r="DW51" i="5"/>
  <c r="DX51" i="5" s="1"/>
  <c r="DY51" i="5" s="1"/>
  <c r="DZ51" i="5" s="1"/>
  <c r="EA51" i="5" s="1"/>
  <c r="EB51" i="5" s="1"/>
  <c r="EC51" i="5" s="1"/>
  <c r="ED51" i="5" s="1"/>
  <c r="EE51" i="5" s="1"/>
  <c r="EF51" i="5" s="1"/>
  <c r="EG51" i="5" s="1"/>
  <c r="DW49" i="5"/>
  <c r="DW48" i="5"/>
  <c r="DW47" i="5"/>
  <c r="DW46" i="5"/>
  <c r="DW45" i="5"/>
  <c r="DW43" i="5"/>
  <c r="DX43" i="5" s="1"/>
  <c r="DY43" i="5" s="1"/>
  <c r="DZ43" i="5" s="1"/>
  <c r="EA43" i="5" s="1"/>
  <c r="EB43" i="5" s="1"/>
  <c r="EC43" i="5" s="1"/>
  <c r="DR40" i="5"/>
  <c r="DR39" i="5"/>
  <c r="DR38" i="5"/>
  <c r="DR37" i="5"/>
  <c r="DR36" i="5"/>
  <c r="DO40" i="5"/>
  <c r="DM40" i="5"/>
  <c r="DM38" i="5"/>
  <c r="DM37" i="5"/>
  <c r="DM36" i="5"/>
  <c r="DH40" i="5"/>
  <c r="DH38" i="5"/>
  <c r="DH37" i="5"/>
  <c r="DH36" i="5"/>
  <c r="DC40" i="5"/>
  <c r="DC39" i="5"/>
  <c r="DD39" i="5" s="1"/>
  <c r="DE39" i="5" s="1"/>
  <c r="DF39" i="5" s="1"/>
  <c r="DG39" i="5" s="1"/>
  <c r="DH39" i="5" s="1"/>
  <c r="DI39" i="5" s="1"/>
  <c r="DC38" i="5"/>
  <c r="DC37" i="5"/>
  <c r="DC36" i="5"/>
  <c r="CX40" i="5"/>
  <c r="CX39" i="5"/>
  <c r="CY39" i="5" s="1"/>
  <c r="CX38" i="5"/>
  <c r="CX37" i="5"/>
  <c r="CX36" i="5"/>
  <c r="CS40" i="5"/>
  <c r="CS39" i="5"/>
  <c r="CS38" i="5"/>
  <c r="CS37" i="5"/>
  <c r="CS36" i="5"/>
  <c r="CN40" i="5"/>
  <c r="CN39" i="5"/>
  <c r="CN38" i="5"/>
  <c r="CN37" i="5"/>
  <c r="CN36" i="5"/>
  <c r="CK40" i="5"/>
  <c r="CJ40" i="5"/>
  <c r="CH40" i="5"/>
  <c r="CI40" i="5" s="1"/>
  <c r="CG40" i="5"/>
  <c r="CF40" i="5"/>
  <c r="CE40" i="5"/>
  <c r="CC40" i="5"/>
  <c r="CD40" i="5" s="1"/>
  <c r="CB40" i="5"/>
  <c r="CA40" i="5"/>
  <c r="BZ40" i="5"/>
  <c r="BY40" i="5"/>
  <c r="BX40" i="5"/>
  <c r="BW40" i="5"/>
  <c r="BV40" i="5"/>
  <c r="BU40" i="5"/>
  <c r="BS40" i="5"/>
  <c r="BT40" i="5" s="1"/>
  <c r="BR40" i="5"/>
  <c r="BQ40" i="5"/>
  <c r="BP40" i="5"/>
  <c r="BN40" i="5"/>
  <c r="BO40" i="5" s="1"/>
  <c r="BM40" i="5"/>
  <c r="BL40" i="5"/>
  <c r="BK40" i="5"/>
  <c r="BJ40" i="5"/>
  <c r="BE40" i="5"/>
  <c r="BE39" i="5"/>
  <c r="BE38" i="5"/>
  <c r="BE37" i="5"/>
  <c r="BE36" i="5"/>
  <c r="AZ40" i="5"/>
  <c r="AZ39" i="5"/>
  <c r="AZ38" i="5"/>
  <c r="AZ37" i="5"/>
  <c r="AZ36" i="5"/>
  <c r="AQ40" i="5"/>
  <c r="AQ39" i="5"/>
  <c r="AQ38" i="5"/>
  <c r="AQ37" i="5"/>
  <c r="AQ36" i="5"/>
  <c r="AL40" i="5"/>
  <c r="AL39" i="5"/>
  <c r="AL38" i="5"/>
  <c r="AL37" i="5"/>
  <c r="AL36" i="5"/>
  <c r="AG40" i="5"/>
  <c r="AG39" i="5"/>
  <c r="AG38" i="5"/>
  <c r="AG37" i="5"/>
  <c r="AG36" i="5"/>
  <c r="AB40" i="5"/>
  <c r="AB39" i="5"/>
  <c r="AB38" i="5"/>
  <c r="AB37" i="5"/>
  <c r="AB36" i="5"/>
  <c r="W40" i="5"/>
  <c r="W39" i="5"/>
  <c r="W38" i="5"/>
  <c r="W37" i="5"/>
  <c r="W36" i="5"/>
  <c r="R40" i="5"/>
  <c r="R39" i="5"/>
  <c r="R38" i="5"/>
  <c r="R37" i="5"/>
  <c r="R36" i="5"/>
  <c r="M40" i="5"/>
  <c r="M39" i="5"/>
  <c r="M38" i="5"/>
  <c r="M37" i="5"/>
  <c r="M36" i="5"/>
  <c r="H40" i="5"/>
  <c r="H39" i="5"/>
  <c r="H38" i="5"/>
  <c r="H37" i="5"/>
  <c r="H36" i="5"/>
  <c r="D40" i="5"/>
  <c r="DK39" i="5"/>
  <c r="DL39" i="5" s="1"/>
  <c r="DM39" i="5" s="1"/>
  <c r="DN39" i="5" s="1"/>
  <c r="DO39" i="5" s="1"/>
  <c r="CI39" i="5"/>
  <c r="CI38" i="5"/>
  <c r="CI37" i="5"/>
  <c r="CI36" i="5"/>
  <c r="CD39" i="5"/>
  <c r="CD38" i="5"/>
  <c r="CD37" i="5"/>
  <c r="CD36" i="5"/>
  <c r="BY39" i="5"/>
  <c r="BY38" i="5"/>
  <c r="BY37" i="5"/>
  <c r="BY36" i="5"/>
  <c r="BT39" i="5"/>
  <c r="BT38" i="5"/>
  <c r="BT37" i="5"/>
  <c r="BT36" i="5"/>
  <c r="BO39" i="5"/>
  <c r="BO38" i="5"/>
  <c r="BO37" i="5"/>
  <c r="BO36" i="5"/>
  <c r="BJ39" i="5"/>
  <c r="BJ38" i="5"/>
  <c r="BJ37" i="5"/>
  <c r="BJ36" i="5"/>
  <c r="CZ38" i="5"/>
  <c r="DA38" i="5" s="1"/>
  <c r="DW40" i="5"/>
  <c r="DW39" i="5"/>
  <c r="DX39" i="5" s="1"/>
  <c r="DY39" i="5" s="1"/>
  <c r="DZ39" i="5" s="1"/>
  <c r="EA39" i="5" s="1"/>
  <c r="EB39" i="5" s="1"/>
  <c r="EC39" i="5" s="1"/>
  <c r="ED39" i="5" s="1"/>
  <c r="EE39" i="5" s="1"/>
  <c r="EF39" i="5" s="1"/>
  <c r="EG39" i="5" s="1"/>
  <c r="EH39" i="5" s="1"/>
  <c r="EI39" i="5" s="1"/>
  <c r="EJ39" i="5" s="1"/>
  <c r="EK39" i="5" s="1"/>
  <c r="EL39" i="5" s="1"/>
  <c r="DW38" i="5"/>
  <c r="DW37" i="5"/>
  <c r="DW36" i="5"/>
  <c r="DV34" i="5"/>
  <c r="DV41" i="5" s="1"/>
  <c r="DU34" i="5"/>
  <c r="DU41" i="5" s="1"/>
  <c r="DT34" i="5"/>
  <c r="DT41" i="5" s="1"/>
  <c r="DS34" i="5"/>
  <c r="DS41" i="5" s="1"/>
  <c r="DQ34" i="5"/>
  <c r="DQ41" i="5" s="1"/>
  <c r="DB34" i="5"/>
  <c r="DB41" i="5" s="1"/>
  <c r="CY34" i="5"/>
  <c r="CV34" i="5"/>
  <c r="CV41" i="5" s="1"/>
  <c r="CU34" i="5"/>
  <c r="CU41" i="5" s="1"/>
  <c r="CT34" i="5"/>
  <c r="CT41" i="5" s="1"/>
  <c r="CP34" i="5"/>
  <c r="CP41" i="5" s="1"/>
  <c r="CM34" i="5"/>
  <c r="CM41" i="5" s="1"/>
  <c r="CL34" i="5"/>
  <c r="CL41" i="5" s="1"/>
  <c r="CL52" i="5" s="1"/>
  <c r="CK34" i="5"/>
  <c r="CK41" i="5" s="1"/>
  <c r="CH34" i="5"/>
  <c r="CH41" i="5" s="1"/>
  <c r="CH52" i="5" s="1"/>
  <c r="CG34" i="5"/>
  <c r="CG41" i="5" s="1"/>
  <c r="CF34" i="5"/>
  <c r="CF41" i="5" s="1"/>
  <c r="CC34" i="5"/>
  <c r="CC41" i="5" s="1"/>
  <c r="BZ34" i="5"/>
  <c r="BZ41" i="5" s="1"/>
  <c r="BZ52" i="5" s="1"/>
  <c r="BX34" i="5"/>
  <c r="BX41" i="5" s="1"/>
  <c r="BW34" i="5"/>
  <c r="BW41" i="5" s="1"/>
  <c r="BW52" i="5" s="1"/>
  <c r="BV34" i="5"/>
  <c r="BV41" i="5" s="1"/>
  <c r="BU34" i="5"/>
  <c r="BU41" i="5" s="1"/>
  <c r="BU52" i="5" s="1"/>
  <c r="BS34" i="5"/>
  <c r="BS41" i="5" s="1"/>
  <c r="BR34" i="5"/>
  <c r="BR41" i="5" s="1"/>
  <c r="BR52" i="5" s="1"/>
  <c r="BQ34" i="5"/>
  <c r="BQ41" i="5" s="1"/>
  <c r="BP34" i="5"/>
  <c r="BP41" i="5" s="1"/>
  <c r="BP52" i="5" s="1"/>
  <c r="BN34" i="5"/>
  <c r="BN41" i="5" s="1"/>
  <c r="BM34" i="5"/>
  <c r="BM41" i="5" s="1"/>
  <c r="BM52" i="5" s="1"/>
  <c r="BL34" i="5"/>
  <c r="BL41" i="5" s="1"/>
  <c r="BK34" i="5"/>
  <c r="BK41" i="5" s="1"/>
  <c r="BK52" i="5" s="1"/>
  <c r="BI34" i="5"/>
  <c r="BI41" i="5" s="1"/>
  <c r="BH34" i="5"/>
  <c r="BH41" i="5" s="1"/>
  <c r="BH52" i="5" s="1"/>
  <c r="BG34" i="5"/>
  <c r="BG41" i="5" s="1"/>
  <c r="BF34" i="5"/>
  <c r="BF41" i="5" s="1"/>
  <c r="BF52" i="5" s="1"/>
  <c r="BD34" i="5"/>
  <c r="BD41" i="5" s="1"/>
  <c r="BC34" i="5"/>
  <c r="BC41" i="5" s="1"/>
  <c r="BC52" i="5" s="1"/>
  <c r="BB34" i="5"/>
  <c r="BB41" i="5" s="1"/>
  <c r="BA34" i="5"/>
  <c r="BA41" i="5" s="1"/>
  <c r="BA52" i="5" s="1"/>
  <c r="AY34" i="5"/>
  <c r="AY41" i="5" s="1"/>
  <c r="AX34" i="5"/>
  <c r="AX41" i="5" s="1"/>
  <c r="AX52" i="5" s="1"/>
  <c r="AW34" i="5"/>
  <c r="AW41" i="5" s="1"/>
  <c r="AV34" i="5"/>
  <c r="AV41" i="5" s="1"/>
  <c r="AV52" i="5" s="1"/>
  <c r="AT34" i="5"/>
  <c r="AT41" i="5" s="1"/>
  <c r="AS34" i="5"/>
  <c r="AS41" i="5" s="1"/>
  <c r="AS52" i="5" s="1"/>
  <c r="AR34" i="5"/>
  <c r="AR41" i="5" s="1"/>
  <c r="AP34" i="5"/>
  <c r="AP41" i="5" s="1"/>
  <c r="AP52" i="5" s="1"/>
  <c r="AO34" i="5"/>
  <c r="AO41" i="5" s="1"/>
  <c r="AN34" i="5"/>
  <c r="AN41" i="5" s="1"/>
  <c r="AN52" i="5" s="1"/>
  <c r="AM34" i="5"/>
  <c r="AM41" i="5" s="1"/>
  <c r="AK34" i="5"/>
  <c r="AK41" i="5" s="1"/>
  <c r="AK52" i="5" s="1"/>
  <c r="AJ34" i="5"/>
  <c r="AJ41" i="5" s="1"/>
  <c r="AI34" i="5"/>
  <c r="AI41" i="5" s="1"/>
  <c r="AI52" i="5" s="1"/>
  <c r="AH34" i="5"/>
  <c r="AH41" i="5" s="1"/>
  <c r="AF34" i="5"/>
  <c r="AF41" i="5" s="1"/>
  <c r="AF52" i="5" s="1"/>
  <c r="AE34" i="5"/>
  <c r="AE41" i="5" s="1"/>
  <c r="AD34" i="5"/>
  <c r="AD41" i="5" s="1"/>
  <c r="AD52" i="5" s="1"/>
  <c r="AC34" i="5"/>
  <c r="AC41" i="5" s="1"/>
  <c r="AA34" i="5"/>
  <c r="AA41" i="5" s="1"/>
  <c r="AA52" i="5" s="1"/>
  <c r="N34" i="5"/>
  <c r="N41" i="5" s="1"/>
  <c r="L34" i="5"/>
  <c r="L41" i="5" s="1"/>
  <c r="L52" i="5" s="1"/>
  <c r="F34" i="5"/>
  <c r="F41" i="5" s="1"/>
  <c r="E34" i="5"/>
  <c r="E41" i="5" s="1"/>
  <c r="E52" i="5" s="1"/>
  <c r="DR33" i="5"/>
  <c r="DR32" i="5"/>
  <c r="DR31" i="5"/>
  <c r="DR30" i="5"/>
  <c r="DR29" i="5"/>
  <c r="DR28" i="5"/>
  <c r="DR27" i="5"/>
  <c r="DR26" i="5"/>
  <c r="DP33" i="5"/>
  <c r="DM33" i="5"/>
  <c r="DL33" i="5"/>
  <c r="DK33" i="5"/>
  <c r="DJ33" i="5"/>
  <c r="DI33" i="5"/>
  <c r="DH33" i="5"/>
  <c r="DC33" i="5"/>
  <c r="DC32" i="5"/>
  <c r="DD32" i="5" s="1"/>
  <c r="DD34" i="5" s="1"/>
  <c r="DC31" i="5"/>
  <c r="DC30" i="5"/>
  <c r="DC29" i="5"/>
  <c r="DC28" i="5"/>
  <c r="DC27" i="5"/>
  <c r="DC26" i="5"/>
  <c r="CX33" i="5"/>
  <c r="CX31" i="5"/>
  <c r="CX30" i="5"/>
  <c r="CX29" i="5"/>
  <c r="CX28" i="5"/>
  <c r="CX27" i="5"/>
  <c r="CX26" i="5"/>
  <c r="CS33" i="5"/>
  <c r="CS31" i="5"/>
  <c r="CS30" i="5"/>
  <c r="CS29" i="5"/>
  <c r="CS28" i="5"/>
  <c r="CS27" i="5"/>
  <c r="CS26" i="5"/>
  <c r="CN33" i="5"/>
  <c r="CN32" i="5"/>
  <c r="CO32" i="5" s="1"/>
  <c r="CO34" i="5" s="1"/>
  <c r="CO41" i="5" s="1"/>
  <c r="CN31" i="5"/>
  <c r="CN30" i="5"/>
  <c r="CN29" i="5"/>
  <c r="CN28" i="5"/>
  <c r="CN27" i="5"/>
  <c r="CN26" i="5"/>
  <c r="CI33" i="5"/>
  <c r="CI32" i="5"/>
  <c r="CJ32" i="5" s="1"/>
  <c r="CJ34" i="5" s="1"/>
  <c r="CJ41" i="5" s="1"/>
  <c r="CI31" i="5"/>
  <c r="CI30" i="5"/>
  <c r="CI29" i="5"/>
  <c r="CI28" i="5"/>
  <c r="CI27" i="5"/>
  <c r="CI26" i="5"/>
  <c r="CD33" i="5"/>
  <c r="CD32" i="5"/>
  <c r="CE32" i="5" s="1"/>
  <c r="CD31" i="5"/>
  <c r="CE31" i="5" s="1"/>
  <c r="CD30" i="5"/>
  <c r="CD29" i="5"/>
  <c r="CD28" i="5"/>
  <c r="CD27" i="5"/>
  <c r="CD26" i="5"/>
  <c r="BY33" i="5"/>
  <c r="BY32" i="5"/>
  <c r="BY31" i="5"/>
  <c r="BY30" i="5"/>
  <c r="BY29" i="5"/>
  <c r="BY28" i="5"/>
  <c r="BY27" i="5"/>
  <c r="BY26" i="5"/>
  <c r="BT33" i="5"/>
  <c r="BT32" i="5"/>
  <c r="BT31" i="5"/>
  <c r="BT30" i="5"/>
  <c r="BT29" i="5"/>
  <c r="BT28" i="5"/>
  <c r="BT27" i="5"/>
  <c r="BT26" i="5"/>
  <c r="BR33" i="5"/>
  <c r="BO33" i="5"/>
  <c r="BO32" i="5"/>
  <c r="BO31" i="5"/>
  <c r="BO30" i="5"/>
  <c r="BO29" i="5"/>
  <c r="BO28" i="5"/>
  <c r="BO27" i="5"/>
  <c r="BO26" i="5"/>
  <c r="BJ33" i="5"/>
  <c r="BJ32" i="5"/>
  <c r="BJ31" i="5"/>
  <c r="BJ30" i="5"/>
  <c r="BJ29" i="5"/>
  <c r="BJ28" i="5"/>
  <c r="BJ27" i="5"/>
  <c r="BJ26" i="5"/>
  <c r="BE33" i="5"/>
  <c r="BE32" i="5"/>
  <c r="BE31" i="5"/>
  <c r="BE30" i="5"/>
  <c r="BE29" i="5"/>
  <c r="BE28" i="5"/>
  <c r="BE27" i="5"/>
  <c r="BE26" i="5"/>
  <c r="AZ33" i="5"/>
  <c r="AZ32" i="5"/>
  <c r="AZ31" i="5"/>
  <c r="AZ30" i="5"/>
  <c r="AZ29" i="5"/>
  <c r="AZ28" i="5"/>
  <c r="AZ27" i="5"/>
  <c r="AZ26" i="5"/>
  <c r="AQ33" i="5"/>
  <c r="AQ32" i="5"/>
  <c r="AQ31" i="5"/>
  <c r="AQ30" i="5"/>
  <c r="AQ29" i="5"/>
  <c r="AQ28" i="5"/>
  <c r="AQ27" i="5"/>
  <c r="AQ26" i="5"/>
  <c r="AL33" i="5"/>
  <c r="AL32" i="5"/>
  <c r="AL31" i="5"/>
  <c r="AL30" i="5"/>
  <c r="AL29" i="5"/>
  <c r="AL28" i="5"/>
  <c r="AL27" i="5"/>
  <c r="AL26" i="5"/>
  <c r="AL67" i="5" s="1"/>
  <c r="AG33" i="5"/>
  <c r="AG32" i="5"/>
  <c r="AG31" i="5"/>
  <c r="AG30" i="5"/>
  <c r="AG29" i="5"/>
  <c r="AG28" i="5"/>
  <c r="AG27" i="5"/>
  <c r="AG26" i="5"/>
  <c r="AB33" i="5"/>
  <c r="AB32" i="5"/>
  <c r="AB31" i="5"/>
  <c r="AB30" i="5"/>
  <c r="AB29" i="5"/>
  <c r="AB28" i="5"/>
  <c r="AB27" i="5"/>
  <c r="AB26" i="5"/>
  <c r="Z33" i="5"/>
  <c r="Z34" i="5" s="1"/>
  <c r="Z41" i="5" s="1"/>
  <c r="Y33" i="5"/>
  <c r="Y34" i="5" s="1"/>
  <c r="Y41" i="5" s="1"/>
  <c r="Y52" i="5" s="1"/>
  <c r="X33" i="5"/>
  <c r="X34" i="5" s="1"/>
  <c r="X41" i="5" s="1"/>
  <c r="V33" i="5"/>
  <c r="W33" i="5" s="1"/>
  <c r="U33" i="5"/>
  <c r="U34" i="5" s="1"/>
  <c r="U41" i="5" s="1"/>
  <c r="T33" i="5"/>
  <c r="T34" i="5" s="1"/>
  <c r="T41" i="5" s="1"/>
  <c r="T52" i="5" s="1"/>
  <c r="S33" i="5"/>
  <c r="S34" i="5" s="1"/>
  <c r="S41" i="5" s="1"/>
  <c r="Q33" i="5"/>
  <c r="R33" i="5" s="1"/>
  <c r="P33" i="5"/>
  <c r="P34" i="5" s="1"/>
  <c r="P41" i="5" s="1"/>
  <c r="M33" i="5"/>
  <c r="M32" i="5"/>
  <c r="M31" i="5"/>
  <c r="M30" i="5"/>
  <c r="M29" i="5"/>
  <c r="M28" i="5"/>
  <c r="M27" i="5"/>
  <c r="M26" i="5"/>
  <c r="J33" i="5"/>
  <c r="I33" i="5"/>
  <c r="H33" i="5"/>
  <c r="G33" i="5"/>
  <c r="F33" i="5"/>
  <c r="E33" i="5"/>
  <c r="D33" i="5"/>
  <c r="CW32" i="5"/>
  <c r="CQ32" i="5"/>
  <c r="CR32" i="5" s="1"/>
  <c r="CA32" i="5"/>
  <c r="W32" i="5"/>
  <c r="W31" i="5"/>
  <c r="W30" i="5"/>
  <c r="W29" i="5"/>
  <c r="W28" i="5"/>
  <c r="W27" i="5"/>
  <c r="W26" i="5"/>
  <c r="R32" i="5"/>
  <c r="R31" i="5"/>
  <c r="R30" i="5"/>
  <c r="R29" i="5"/>
  <c r="R28" i="5"/>
  <c r="R27" i="5"/>
  <c r="R26" i="5"/>
  <c r="R67" i="5" s="1"/>
  <c r="H32" i="5"/>
  <c r="H31" i="5"/>
  <c r="H30" i="5"/>
  <c r="H29" i="5"/>
  <c r="H28" i="5"/>
  <c r="H27" i="5"/>
  <c r="DM31" i="5"/>
  <c r="DM30" i="5"/>
  <c r="DM29" i="5"/>
  <c r="DM28" i="5"/>
  <c r="DM27" i="5"/>
  <c r="DM26" i="5"/>
  <c r="DJ31" i="5"/>
  <c r="DK31" i="5" s="1"/>
  <c r="DE31" i="5"/>
  <c r="DF31" i="5" s="1"/>
  <c r="DG31" i="5" s="1"/>
  <c r="CZ32" i="5"/>
  <c r="DA32" i="5" s="1"/>
  <c r="CZ31" i="5"/>
  <c r="DA31" i="5" s="1"/>
  <c r="DH30" i="5"/>
  <c r="DH29" i="5"/>
  <c r="DH28" i="5"/>
  <c r="DH27" i="5"/>
  <c r="DH26" i="5"/>
  <c r="DW33" i="5"/>
  <c r="DX33" i="5" s="1"/>
  <c r="DY33" i="5" s="1"/>
  <c r="DZ33" i="5" s="1"/>
  <c r="EA33" i="5" s="1"/>
  <c r="EB33" i="5" s="1"/>
  <c r="EC33" i="5" s="1"/>
  <c r="ED33" i="5" s="1"/>
  <c r="EE33" i="5" s="1"/>
  <c r="EF33" i="5" s="1"/>
  <c r="EG33" i="5" s="1"/>
  <c r="EH33" i="5" s="1"/>
  <c r="EI33" i="5" s="1"/>
  <c r="EJ33" i="5" s="1"/>
  <c r="EK33" i="5" s="1"/>
  <c r="EL33" i="5" s="1"/>
  <c r="DW32" i="5"/>
  <c r="DX32" i="5" s="1"/>
  <c r="DY32" i="5" s="1"/>
  <c r="DZ32" i="5" s="1"/>
  <c r="EA32" i="5" s="1"/>
  <c r="EB32" i="5" s="1"/>
  <c r="EC32" i="5" s="1"/>
  <c r="ED32" i="5" s="1"/>
  <c r="EE32" i="5" s="1"/>
  <c r="EF32" i="5" s="1"/>
  <c r="EG32" i="5" s="1"/>
  <c r="EH32" i="5" s="1"/>
  <c r="EI32" i="5" s="1"/>
  <c r="EJ32" i="5" s="1"/>
  <c r="EK32" i="5" s="1"/>
  <c r="EL32" i="5" s="1"/>
  <c r="DW31" i="5"/>
  <c r="DX31" i="5" s="1"/>
  <c r="DW30" i="5"/>
  <c r="DW29" i="5"/>
  <c r="DW28" i="5"/>
  <c r="DW27" i="5"/>
  <c r="EK26" i="5"/>
  <c r="EI26" i="5"/>
  <c r="EF26" i="5"/>
  <c r="EE26" i="5"/>
  <c r="ED26" i="5"/>
  <c r="DW26" i="5"/>
  <c r="O26" i="5"/>
  <c r="O67" i="5" s="1"/>
  <c r="N26" i="5"/>
  <c r="N67" i="5" s="1"/>
  <c r="K26" i="5"/>
  <c r="K34" i="5" s="1"/>
  <c r="K41" i="5" s="1"/>
  <c r="J26" i="5"/>
  <c r="J67" i="5" s="1"/>
  <c r="I26" i="5"/>
  <c r="I67" i="5" s="1"/>
  <c r="G26" i="5"/>
  <c r="G34" i="5" s="1"/>
  <c r="G41" i="5" s="1"/>
  <c r="F26" i="5"/>
  <c r="E26" i="5"/>
  <c r="E56" i="5" s="1"/>
  <c r="D26" i="5"/>
  <c r="DR23" i="5"/>
  <c r="DR22" i="5"/>
  <c r="DR21" i="5"/>
  <c r="DR20" i="5"/>
  <c r="DR19" i="5"/>
  <c r="DM23" i="5"/>
  <c r="DM22" i="5"/>
  <c r="DM21" i="5"/>
  <c r="DM20" i="5"/>
  <c r="DM19" i="5"/>
  <c r="DH23" i="5"/>
  <c r="DH22" i="5"/>
  <c r="DH21" i="5"/>
  <c r="DH20" i="5"/>
  <c r="DH19" i="5"/>
  <c r="DC23" i="5"/>
  <c r="DC22" i="5"/>
  <c r="DC21" i="5"/>
  <c r="DC20" i="5"/>
  <c r="DC19" i="5"/>
  <c r="CX23" i="5"/>
  <c r="CX22" i="5"/>
  <c r="CX21" i="5"/>
  <c r="CX20" i="5"/>
  <c r="CX19" i="5"/>
  <c r="CS23" i="5"/>
  <c r="CS22" i="5"/>
  <c r="CS21" i="5"/>
  <c r="CS20" i="5"/>
  <c r="CS19" i="5"/>
  <c r="CN23" i="5"/>
  <c r="CN22" i="5"/>
  <c r="CN21" i="5"/>
  <c r="CN113" i="5" s="1"/>
  <c r="CN20" i="5"/>
  <c r="CN19" i="5"/>
  <c r="CI23" i="5"/>
  <c r="CI22" i="5"/>
  <c r="CI21" i="5"/>
  <c r="CI113" i="5" s="1"/>
  <c r="CI20" i="5"/>
  <c r="CI19" i="5"/>
  <c r="CD23" i="5"/>
  <c r="CD22" i="5"/>
  <c r="CD21" i="5"/>
  <c r="CD113" i="5" s="1"/>
  <c r="CD20" i="5"/>
  <c r="CD19" i="5"/>
  <c r="BY23" i="5"/>
  <c r="BY22" i="5"/>
  <c r="BY21" i="5"/>
  <c r="BY113" i="5" s="1"/>
  <c r="BY20" i="5"/>
  <c r="BY19" i="5"/>
  <c r="BT23" i="5"/>
  <c r="BT22" i="5"/>
  <c r="BT21" i="5"/>
  <c r="BT113" i="5" s="1"/>
  <c r="BT20" i="5"/>
  <c r="BT19" i="5"/>
  <c r="BO23" i="5"/>
  <c r="BO22" i="5"/>
  <c r="BO21" i="5"/>
  <c r="BO113" i="5" s="1"/>
  <c r="BO20" i="5"/>
  <c r="BJ23" i="5"/>
  <c r="BJ22" i="5"/>
  <c r="BJ21" i="5"/>
  <c r="BJ113" i="5" s="1"/>
  <c r="BJ20" i="5"/>
  <c r="BJ19" i="5"/>
  <c r="BE23" i="5"/>
  <c r="BE22" i="5"/>
  <c r="BE21" i="5"/>
  <c r="BE113" i="5" s="1"/>
  <c r="AZ23" i="5"/>
  <c r="AZ22" i="5"/>
  <c r="AZ21" i="5"/>
  <c r="AZ113" i="5" s="1"/>
  <c r="AZ20" i="5"/>
  <c r="AZ19" i="5"/>
  <c r="AQ23" i="5"/>
  <c r="AQ22" i="5"/>
  <c r="AQ21" i="5"/>
  <c r="AQ113" i="5" s="1"/>
  <c r="AQ20" i="5"/>
  <c r="AQ19" i="5"/>
  <c r="AL23" i="5"/>
  <c r="AL22" i="5"/>
  <c r="AL21" i="5"/>
  <c r="AL113" i="5" s="1"/>
  <c r="AL20" i="5"/>
  <c r="AL19" i="5"/>
  <c r="AG23" i="5"/>
  <c r="AG22" i="5"/>
  <c r="AG21" i="5"/>
  <c r="AG113" i="5" s="1"/>
  <c r="AG20" i="5"/>
  <c r="AG19" i="5"/>
  <c r="AB23" i="5"/>
  <c r="AB22" i="5"/>
  <c r="AB21" i="5"/>
  <c r="AB113" i="5" s="1"/>
  <c r="AB20" i="5"/>
  <c r="AB19" i="5"/>
  <c r="W23" i="5"/>
  <c r="W22" i="5"/>
  <c r="W21" i="5"/>
  <c r="W113" i="5" s="1"/>
  <c r="W20" i="5"/>
  <c r="W19" i="5"/>
  <c r="R23" i="5"/>
  <c r="R22" i="5"/>
  <c r="R21" i="5"/>
  <c r="R113" i="5" s="1"/>
  <c r="R20" i="5"/>
  <c r="R19" i="5"/>
  <c r="M23" i="5"/>
  <c r="M22" i="5"/>
  <c r="M21" i="5"/>
  <c r="M113" i="5" s="1"/>
  <c r="H23" i="5"/>
  <c r="H22" i="5"/>
  <c r="H21" i="5"/>
  <c r="H113" i="5" s="1"/>
  <c r="DW23" i="5"/>
  <c r="DW22" i="5"/>
  <c r="DW21" i="5"/>
  <c r="DW20" i="5"/>
  <c r="DW19" i="5"/>
  <c r="BR19" i="5"/>
  <c r="BQ19" i="5"/>
  <c r="BP19" i="5"/>
  <c r="BN19" i="5"/>
  <c r="BO19" i="5" s="1"/>
  <c r="BE19" i="5"/>
  <c r="M19" i="5"/>
  <c r="H19" i="5"/>
  <c r="F19" i="5"/>
  <c r="E19" i="5"/>
  <c r="D19" i="5"/>
  <c r="DB17" i="5"/>
  <c r="DB24" i="5" s="1"/>
  <c r="DA17" i="5"/>
  <c r="DA24" i="5" s="1"/>
  <c r="CZ17" i="5"/>
  <c r="CZ24" i="5" s="1"/>
  <c r="CY17" i="5"/>
  <c r="CY24" i="5" s="1"/>
  <c r="CV17" i="5"/>
  <c r="CV24" i="5" s="1"/>
  <c r="CU17" i="5"/>
  <c r="CU24" i="5" s="1"/>
  <c r="CP17" i="5"/>
  <c r="CP24" i="5" s="1"/>
  <c r="CO17" i="5"/>
  <c r="CO24" i="5" s="1"/>
  <c r="CM17" i="5"/>
  <c r="CM24" i="5" s="1"/>
  <c r="CL17" i="5"/>
  <c r="CL24" i="5" s="1"/>
  <c r="CL69" i="5" s="1"/>
  <c r="CK17" i="5"/>
  <c r="CK24" i="5" s="1"/>
  <c r="CJ17" i="5"/>
  <c r="CJ24" i="5" s="1"/>
  <c r="CH17" i="5"/>
  <c r="CH24" i="5" s="1"/>
  <c r="CG17" i="5"/>
  <c r="CG24" i="5" s="1"/>
  <c r="CF17" i="5"/>
  <c r="CF24" i="5" s="1"/>
  <c r="CE17" i="5"/>
  <c r="CE24" i="5" s="1"/>
  <c r="CC17" i="5"/>
  <c r="CC24" i="5" s="1"/>
  <c r="CB17" i="5"/>
  <c r="CB24" i="5" s="1"/>
  <c r="CA17" i="5"/>
  <c r="CA24" i="5" s="1"/>
  <c r="BZ17" i="5"/>
  <c r="BZ24" i="5" s="1"/>
  <c r="BX17" i="5"/>
  <c r="BX24" i="5" s="1"/>
  <c r="BW17" i="5"/>
  <c r="BW24" i="5" s="1"/>
  <c r="BV17" i="5"/>
  <c r="BV24" i="5" s="1"/>
  <c r="BU17" i="5"/>
  <c r="BU24" i="5" s="1"/>
  <c r="BS17" i="5"/>
  <c r="BS24" i="5" s="1"/>
  <c r="BR17" i="5"/>
  <c r="BR24" i="5" s="1"/>
  <c r="BP17" i="5"/>
  <c r="BP24" i="5" s="1"/>
  <c r="BN17" i="5"/>
  <c r="BN24" i="5" s="1"/>
  <c r="BM17" i="5"/>
  <c r="BM24" i="5" s="1"/>
  <c r="BL17" i="5"/>
  <c r="BL24" i="5" s="1"/>
  <c r="BK17" i="5"/>
  <c r="BK24" i="5" s="1"/>
  <c r="BI17" i="5"/>
  <c r="BI24" i="5" s="1"/>
  <c r="BH17" i="5"/>
  <c r="BH24" i="5" s="1"/>
  <c r="BG17" i="5"/>
  <c r="BG24" i="5" s="1"/>
  <c r="BF17" i="5"/>
  <c r="BF24" i="5" s="1"/>
  <c r="BD17" i="5"/>
  <c r="BD24" i="5" s="1"/>
  <c r="BC17" i="5"/>
  <c r="BC24" i="5" s="1"/>
  <c r="BB17" i="5"/>
  <c r="BB24" i="5" s="1"/>
  <c r="BA17" i="5"/>
  <c r="BA24" i="5" s="1"/>
  <c r="AY17" i="5"/>
  <c r="AY24" i="5" s="1"/>
  <c r="AX17" i="5"/>
  <c r="AX24" i="5" s="1"/>
  <c r="AW17" i="5"/>
  <c r="AW24" i="5" s="1"/>
  <c r="AV17" i="5"/>
  <c r="AV24" i="5" s="1"/>
  <c r="AT17" i="5"/>
  <c r="AT24" i="5" s="1"/>
  <c r="AS17" i="5"/>
  <c r="AS24" i="5" s="1"/>
  <c r="AR17" i="5"/>
  <c r="AR24" i="5" s="1"/>
  <c r="AP17" i="5"/>
  <c r="AP24" i="5" s="1"/>
  <c r="AO17" i="5"/>
  <c r="AO24" i="5" s="1"/>
  <c r="AN17" i="5"/>
  <c r="AN24" i="5" s="1"/>
  <c r="AM17" i="5"/>
  <c r="AM24" i="5" s="1"/>
  <c r="AK17" i="5"/>
  <c r="AK24" i="5" s="1"/>
  <c r="AJ17" i="5"/>
  <c r="AJ24" i="5" s="1"/>
  <c r="AI17" i="5"/>
  <c r="AI24" i="5" s="1"/>
  <c r="AH17" i="5"/>
  <c r="AH24" i="5" s="1"/>
  <c r="AF17" i="5"/>
  <c r="AF24" i="5" s="1"/>
  <c r="AE17" i="5"/>
  <c r="AE24" i="5" s="1"/>
  <c r="AD17" i="5"/>
  <c r="AD24" i="5" s="1"/>
  <c r="AC17" i="5"/>
  <c r="AC24" i="5" s="1"/>
  <c r="AA17" i="5"/>
  <c r="AA24" i="5" s="1"/>
  <c r="Z17" i="5"/>
  <c r="Z24" i="5" s="1"/>
  <c r="Y17" i="5"/>
  <c r="Y24" i="5" s="1"/>
  <c r="X17" i="5"/>
  <c r="X24" i="5" s="1"/>
  <c r="V17" i="5"/>
  <c r="V24" i="5" s="1"/>
  <c r="U17" i="5"/>
  <c r="U24" i="5" s="1"/>
  <c r="T17" i="5"/>
  <c r="T24" i="5" s="1"/>
  <c r="S17" i="5"/>
  <c r="S24" i="5" s="1"/>
  <c r="Q17" i="5"/>
  <c r="Q24" i="5" s="1"/>
  <c r="P17" i="5"/>
  <c r="P24" i="5" s="1"/>
  <c r="O17" i="5"/>
  <c r="O24" i="5" s="1"/>
  <c r="N17" i="5"/>
  <c r="N24" i="5" s="1"/>
  <c r="L17" i="5"/>
  <c r="L24" i="5" s="1"/>
  <c r="K17" i="5"/>
  <c r="K24" i="5" s="1"/>
  <c r="J17" i="5"/>
  <c r="J24" i="5" s="1"/>
  <c r="I17" i="5"/>
  <c r="I24" i="5" s="1"/>
  <c r="G17" i="5"/>
  <c r="G24" i="5" s="1"/>
  <c r="F17" i="5"/>
  <c r="F24" i="5" s="1"/>
  <c r="E17" i="5"/>
  <c r="E24" i="5" s="1"/>
  <c r="D17" i="5"/>
  <c r="D24" i="5" s="1"/>
  <c r="DR16" i="5"/>
  <c r="DR15" i="5"/>
  <c r="DR13" i="5"/>
  <c r="DR12" i="5"/>
  <c r="DR11" i="5"/>
  <c r="DR10" i="5"/>
  <c r="DR5" i="5"/>
  <c r="DM16" i="5"/>
  <c r="DM15" i="5"/>
  <c r="DM14" i="5"/>
  <c r="DM13" i="5"/>
  <c r="DM12" i="5"/>
  <c r="DM11" i="5"/>
  <c r="DM10" i="5"/>
  <c r="DM6" i="5"/>
  <c r="DM5" i="5"/>
  <c r="DI4" i="5" s="1"/>
  <c r="DH16" i="5"/>
  <c r="DH14" i="5"/>
  <c r="DH13" i="5"/>
  <c r="DH12" i="5"/>
  <c r="DH11" i="5"/>
  <c r="DH10" i="5"/>
  <c r="DH6" i="5"/>
  <c r="DH11" i="10" s="1"/>
  <c r="DH5" i="5"/>
  <c r="DD4" i="5" s="1"/>
  <c r="DC16" i="5"/>
  <c r="DC15" i="5"/>
  <c r="DD15" i="5" s="1"/>
  <c r="DE15" i="5" s="1"/>
  <c r="DC14" i="5"/>
  <c r="DC13" i="5"/>
  <c r="DC12" i="5"/>
  <c r="DC11" i="5"/>
  <c r="DC8" i="5"/>
  <c r="DD8" i="5" s="1"/>
  <c r="DD167" i="5" s="1"/>
  <c r="DC7" i="5"/>
  <c r="DD7" i="5" s="1"/>
  <c r="DD66" i="5" s="1"/>
  <c r="DC6" i="5"/>
  <c r="DC11" i="10" s="1"/>
  <c r="DC5" i="5"/>
  <c r="CY4" i="5" s="1"/>
  <c r="CX16" i="5"/>
  <c r="CX14" i="5"/>
  <c r="CX13" i="5"/>
  <c r="CX12" i="5"/>
  <c r="CX11" i="5"/>
  <c r="CX10" i="5"/>
  <c r="CX8" i="5"/>
  <c r="CY167" i="5" s="1"/>
  <c r="CX7" i="5"/>
  <c r="CX6" i="5"/>
  <c r="CX11" i="10" s="1"/>
  <c r="DC10" i="10" s="1"/>
  <c r="CX5" i="5"/>
  <c r="CT4" i="5" s="1"/>
  <c r="CS16" i="5"/>
  <c r="CS15" i="5"/>
  <c r="CS14" i="5"/>
  <c r="CS13" i="5"/>
  <c r="CS12" i="5"/>
  <c r="CS11" i="5"/>
  <c r="CS10" i="5"/>
  <c r="CS6" i="5"/>
  <c r="CS11" i="10" s="1"/>
  <c r="CX10" i="10" s="1"/>
  <c r="CS5" i="5"/>
  <c r="CO4" i="5" s="1"/>
  <c r="CN16" i="5"/>
  <c r="CN15" i="5"/>
  <c r="CN14" i="5"/>
  <c r="CN13" i="5"/>
  <c r="CN12" i="5"/>
  <c r="CN11" i="5"/>
  <c r="CN10" i="5"/>
  <c r="CN8" i="5"/>
  <c r="CN7" i="5"/>
  <c r="CN6" i="5"/>
  <c r="CN11" i="10" s="1"/>
  <c r="CN5" i="5"/>
  <c r="CJ4" i="5" s="1"/>
  <c r="CI16" i="5"/>
  <c r="CI15" i="5"/>
  <c r="CI14" i="5"/>
  <c r="CI13" i="5"/>
  <c r="CI12" i="5"/>
  <c r="CI11" i="5"/>
  <c r="CI10" i="5"/>
  <c r="CI8" i="5"/>
  <c r="CI7" i="5"/>
  <c r="CI6" i="5"/>
  <c r="CI11" i="10" s="1"/>
  <c r="CI5" i="5"/>
  <c r="CD16" i="5"/>
  <c r="CD15" i="5"/>
  <c r="CD14" i="5"/>
  <c r="CD13" i="5"/>
  <c r="CD12" i="5"/>
  <c r="CD11" i="5"/>
  <c r="CD10" i="5"/>
  <c r="CD9" i="5"/>
  <c r="CD8" i="5"/>
  <c r="CD7" i="5"/>
  <c r="CD6" i="5"/>
  <c r="CD11" i="10" s="1"/>
  <c r="CI10" i="10" s="1"/>
  <c r="CI9" i="10" s="1"/>
  <c r="CD5" i="5"/>
  <c r="BZ4" i="5" s="1"/>
  <c r="BY16" i="5"/>
  <c r="BY15" i="5"/>
  <c r="BY14" i="5"/>
  <c r="BY13" i="5"/>
  <c r="BY12" i="5"/>
  <c r="BY11" i="5"/>
  <c r="BY10" i="5"/>
  <c r="BY8" i="5"/>
  <c r="BY7" i="5"/>
  <c r="BY6" i="5"/>
  <c r="BY11" i="10" s="1"/>
  <c r="CD10" i="10" s="1"/>
  <c r="BY5" i="5"/>
  <c r="BT16" i="5"/>
  <c r="BT15" i="5"/>
  <c r="BT14" i="5"/>
  <c r="BT13" i="5"/>
  <c r="BT12" i="5"/>
  <c r="BT11" i="5"/>
  <c r="BT10" i="5"/>
  <c r="BT8" i="5"/>
  <c r="BT7" i="5"/>
  <c r="BT6" i="5"/>
  <c r="BT11" i="10" s="1"/>
  <c r="BT5" i="5"/>
  <c r="BP4" i="5" s="1"/>
  <c r="BQ16" i="5"/>
  <c r="BQ17" i="5" s="1"/>
  <c r="BQ24" i="5" s="1"/>
  <c r="BO16" i="5"/>
  <c r="BO15" i="5"/>
  <c r="BO14" i="5"/>
  <c r="BO13" i="5"/>
  <c r="BO12" i="5"/>
  <c r="BO11" i="5"/>
  <c r="BO10" i="5"/>
  <c r="BO8" i="5"/>
  <c r="BO7" i="5"/>
  <c r="BO6" i="5"/>
  <c r="BO5" i="5"/>
  <c r="BK4" i="5" s="1"/>
  <c r="BJ16" i="5"/>
  <c r="BJ15" i="5"/>
  <c r="BJ14" i="5"/>
  <c r="BJ13" i="5"/>
  <c r="BJ12" i="5"/>
  <c r="BJ11" i="5"/>
  <c r="BJ10" i="5"/>
  <c r="BJ8" i="5"/>
  <c r="BJ7" i="5"/>
  <c r="BJ6" i="5"/>
  <c r="BJ11" i="10" s="1"/>
  <c r="BO10" i="10" s="1"/>
  <c r="BJ5" i="5"/>
  <c r="BE16" i="5"/>
  <c r="BE15" i="5"/>
  <c r="BE14" i="5"/>
  <c r="BE13" i="5"/>
  <c r="BE12" i="5"/>
  <c r="BE11" i="5"/>
  <c r="BE10" i="5"/>
  <c r="BE8" i="5"/>
  <c r="BE7" i="5"/>
  <c r="BE6" i="5"/>
  <c r="BE5" i="5"/>
  <c r="AZ16" i="5"/>
  <c r="AZ15" i="5"/>
  <c r="AZ14" i="5"/>
  <c r="AZ13" i="5"/>
  <c r="AZ12" i="5"/>
  <c r="AZ11" i="5"/>
  <c r="AZ10" i="5"/>
  <c r="AZ83" i="5" s="1"/>
  <c r="AZ8" i="5"/>
  <c r="AZ7" i="5"/>
  <c r="AZ6" i="5"/>
  <c r="AZ11" i="10" s="1"/>
  <c r="AZ5" i="5"/>
  <c r="AQ16" i="5"/>
  <c r="AQ15" i="5"/>
  <c r="AQ14" i="5"/>
  <c r="AQ13" i="5"/>
  <c r="AQ12" i="5"/>
  <c r="AQ11" i="5"/>
  <c r="AQ10" i="5"/>
  <c r="AQ8" i="5"/>
  <c r="AQ7" i="5"/>
  <c r="AQ6" i="5"/>
  <c r="AQ11" i="10" s="1"/>
  <c r="AQ5" i="5"/>
  <c r="AL16" i="5"/>
  <c r="AL15" i="5"/>
  <c r="AL14" i="5"/>
  <c r="AL13" i="5"/>
  <c r="AL12" i="5"/>
  <c r="AL11" i="5"/>
  <c r="AL10" i="5"/>
  <c r="AL8" i="5"/>
  <c r="AL7" i="5"/>
  <c r="AL6" i="5"/>
  <c r="AL5" i="5"/>
  <c r="AG16" i="5"/>
  <c r="AG15" i="5"/>
  <c r="AG14" i="5"/>
  <c r="AG13" i="5"/>
  <c r="AG12" i="5"/>
  <c r="AG11" i="5"/>
  <c r="AG10" i="5"/>
  <c r="AG8" i="5"/>
  <c r="AB16" i="5"/>
  <c r="AB15" i="5"/>
  <c r="AB14" i="5"/>
  <c r="AB13" i="5"/>
  <c r="AB12" i="5"/>
  <c r="AB11" i="5"/>
  <c r="AB10" i="5"/>
  <c r="AB8" i="5"/>
  <c r="W16" i="5"/>
  <c r="W15" i="5"/>
  <c r="W14" i="5"/>
  <c r="W13" i="5"/>
  <c r="W12" i="5"/>
  <c r="W11" i="5"/>
  <c r="W10" i="5"/>
  <c r="W8" i="5"/>
  <c r="W7" i="5"/>
  <c r="W6" i="5"/>
  <c r="R16" i="5"/>
  <c r="R15" i="5"/>
  <c r="R14" i="5"/>
  <c r="R13" i="5"/>
  <c r="R12" i="5"/>
  <c r="R11" i="5"/>
  <c r="R10" i="5"/>
  <c r="R8" i="5"/>
  <c r="R7" i="5"/>
  <c r="R6" i="5"/>
  <c r="M16" i="5"/>
  <c r="M15" i="5"/>
  <c r="M14" i="5"/>
  <c r="M13" i="5"/>
  <c r="M12" i="5"/>
  <c r="M11" i="5"/>
  <c r="M10" i="5"/>
  <c r="M8" i="5"/>
  <c r="M7" i="5"/>
  <c r="M6" i="5"/>
  <c r="H16" i="5"/>
  <c r="H15" i="5"/>
  <c r="H14" i="5"/>
  <c r="H13" i="5"/>
  <c r="H12" i="5"/>
  <c r="H11" i="5"/>
  <c r="H10" i="5"/>
  <c r="H8" i="5"/>
  <c r="H7" i="5"/>
  <c r="H6" i="5"/>
  <c r="DG15" i="5"/>
  <c r="DH15" i="5" s="1"/>
  <c r="CW15" i="5"/>
  <c r="CW17" i="5" s="1"/>
  <c r="CW24" i="5" s="1"/>
  <c r="DQ14" i="5"/>
  <c r="DR14" i="5" s="1"/>
  <c r="DN14" i="5"/>
  <c r="DO13" i="5"/>
  <c r="DA9" i="5"/>
  <c r="CY9" i="5"/>
  <c r="CW9" i="5"/>
  <c r="CW84" i="5" s="1"/>
  <c r="CV9" i="5"/>
  <c r="CU9" i="5"/>
  <c r="CT9" i="5"/>
  <c r="CR9" i="5"/>
  <c r="CS9" i="5" s="1"/>
  <c r="CQ9" i="5"/>
  <c r="CP9" i="5"/>
  <c r="CO9" i="5"/>
  <c r="CO84" i="5" s="1"/>
  <c r="CM9" i="5"/>
  <c r="CN9" i="5" s="1"/>
  <c r="CL9" i="5"/>
  <c r="CK9" i="5"/>
  <c r="CJ9" i="5"/>
  <c r="CH9" i="5"/>
  <c r="CI9" i="5" s="1"/>
  <c r="CG9" i="5"/>
  <c r="CF9" i="5"/>
  <c r="CE9" i="5"/>
  <c r="CE74" i="5" s="1"/>
  <c r="CE75" i="5" s="1"/>
  <c r="BX9" i="5"/>
  <c r="CC74" i="5" s="1"/>
  <c r="BW9" i="5"/>
  <c r="BV9" i="5"/>
  <c r="BU9" i="5"/>
  <c r="BS9" i="5"/>
  <c r="BT9" i="5" s="1"/>
  <c r="BR9" i="5"/>
  <c r="BQ9" i="5"/>
  <c r="BP9" i="5"/>
  <c r="BN9" i="5"/>
  <c r="BO9" i="5" s="1"/>
  <c r="BM9" i="5"/>
  <c r="BL9" i="5"/>
  <c r="BK9" i="5"/>
  <c r="BI9" i="5"/>
  <c r="BI84" i="5" s="1"/>
  <c r="BH9" i="5"/>
  <c r="BG9" i="5"/>
  <c r="BF9" i="5"/>
  <c r="BD9" i="5"/>
  <c r="BE9" i="5" s="1"/>
  <c r="BC9" i="5"/>
  <c r="BB9" i="5"/>
  <c r="BA9" i="5"/>
  <c r="BA84" i="5" s="1"/>
  <c r="AY9" i="5"/>
  <c r="AZ9" i="5" s="1"/>
  <c r="AT9" i="5"/>
  <c r="AS9" i="5"/>
  <c r="AR9" i="5"/>
  <c r="AR84" i="5" s="1"/>
  <c r="AP9" i="5"/>
  <c r="AQ9" i="5" s="1"/>
  <c r="AO9" i="5"/>
  <c r="AN9" i="5"/>
  <c r="AM9" i="5"/>
  <c r="AK9" i="5"/>
  <c r="AL9" i="5" s="1"/>
  <c r="AJ9" i="5"/>
  <c r="AJ84" i="5" s="1"/>
  <c r="AI9" i="5"/>
  <c r="AH9" i="5"/>
  <c r="AF9" i="5"/>
  <c r="AF84" i="5" s="1"/>
  <c r="AE9" i="5"/>
  <c r="AD9" i="5"/>
  <c r="AC9" i="5"/>
  <c r="AA9" i="5"/>
  <c r="AB9" i="5" s="1"/>
  <c r="Z9" i="5"/>
  <c r="Y9" i="5"/>
  <c r="X9" i="5"/>
  <c r="X84" i="5" s="1"/>
  <c r="V9" i="5"/>
  <c r="U9" i="5"/>
  <c r="T9" i="5"/>
  <c r="T84" i="5" s="1"/>
  <c r="S9" i="5"/>
  <c r="Q9" i="5"/>
  <c r="R9" i="5" s="1"/>
  <c r="P9" i="5"/>
  <c r="P84" i="5" s="1"/>
  <c r="O9" i="5"/>
  <c r="N9" i="5"/>
  <c r="L9" i="5"/>
  <c r="L84" i="5" s="1"/>
  <c r="K9" i="5"/>
  <c r="J9" i="5"/>
  <c r="I9" i="5"/>
  <c r="G9" i="5"/>
  <c r="G84" i="5" s="1"/>
  <c r="F9" i="5"/>
  <c r="F84" i="5" s="1"/>
  <c r="E9" i="5"/>
  <c r="D9" i="5"/>
  <c r="D84" i="5" s="1"/>
  <c r="DV9" i="5"/>
  <c r="DU9" i="5"/>
  <c r="DT9" i="5"/>
  <c r="DS9" i="5"/>
  <c r="DQ9" i="5"/>
  <c r="DQ84" i="5" s="1"/>
  <c r="DP9" i="5"/>
  <c r="DO9" i="5"/>
  <c r="DL9" i="5"/>
  <c r="DM9" i="5" s="1"/>
  <c r="DK9" i="5"/>
  <c r="DG9" i="5"/>
  <c r="DH9" i="5" s="1"/>
  <c r="DF9" i="5"/>
  <c r="DE9" i="5"/>
  <c r="DE84" i="5" s="1"/>
  <c r="DD9" i="5"/>
  <c r="CQ8" i="5"/>
  <c r="CR8" i="5" s="1"/>
  <c r="CS8" i="5" s="1"/>
  <c r="CT8" i="5" s="1"/>
  <c r="CQ7" i="5"/>
  <c r="CR7" i="5" s="1"/>
  <c r="AG6" i="5"/>
  <c r="AG11" i="10" s="1"/>
  <c r="AG5" i="5"/>
  <c r="AB6" i="5"/>
  <c r="DW16" i="5"/>
  <c r="DX16" i="5" s="1"/>
  <c r="DY16" i="5" s="1"/>
  <c r="DZ16" i="5" s="1"/>
  <c r="EA16" i="5" s="1"/>
  <c r="EB16" i="5" s="1"/>
  <c r="EC16" i="5" s="1"/>
  <c r="ED16" i="5" s="1"/>
  <c r="EE16" i="5" s="1"/>
  <c r="EF16" i="5" s="1"/>
  <c r="EG16" i="5" s="1"/>
  <c r="EH16" i="5" s="1"/>
  <c r="EI16" i="5" s="1"/>
  <c r="EJ16" i="5" s="1"/>
  <c r="EK16" i="5" s="1"/>
  <c r="EL16" i="5" s="1"/>
  <c r="DW15" i="5"/>
  <c r="DW13" i="5"/>
  <c r="DX13" i="5" s="1"/>
  <c r="DW12" i="5"/>
  <c r="DW11" i="5"/>
  <c r="DW10" i="5"/>
  <c r="DW6" i="5"/>
  <c r="EL5" i="5"/>
  <c r="EK5" i="5"/>
  <c r="EJ5" i="5"/>
  <c r="EI5" i="5"/>
  <c r="EH5" i="5"/>
  <c r="EG5" i="5"/>
  <c r="EF5" i="5"/>
  <c r="EE5" i="5"/>
  <c r="ED5" i="5"/>
  <c r="EC5" i="5"/>
  <c r="EB5" i="5"/>
  <c r="EA5" i="5"/>
  <c r="DZ5" i="5"/>
  <c r="DY5" i="5"/>
  <c r="DX5" i="5"/>
  <c r="DW5" i="5"/>
  <c r="DV5" i="5"/>
  <c r="DU5" i="5"/>
  <c r="DT5" i="5"/>
  <c r="DS5" i="5"/>
  <c r="DQ5" i="5"/>
  <c r="DP5" i="5"/>
  <c r="DO5" i="5"/>
  <c r="DN5" i="5"/>
  <c r="DL5" i="5"/>
  <c r="DK5" i="5"/>
  <c r="DJ5" i="5"/>
  <c r="DI5" i="5"/>
  <c r="DG5" i="5"/>
  <c r="DF5" i="5"/>
  <c r="DE5" i="5"/>
  <c r="DD5" i="5"/>
  <c r="DB5" i="5"/>
  <c r="DA5" i="5"/>
  <c r="CZ5" i="5"/>
  <c r="CY5" i="5"/>
  <c r="CW5" i="5"/>
  <c r="CV5" i="5"/>
  <c r="CU5" i="5"/>
  <c r="CT5" i="5"/>
  <c r="CR5" i="5"/>
  <c r="CQ5" i="5"/>
  <c r="CP5" i="5"/>
  <c r="CO5" i="5"/>
  <c r="CM5" i="5"/>
  <c r="CL5" i="5"/>
  <c r="CK5" i="5"/>
  <c r="CJ5" i="5"/>
  <c r="CH5" i="5"/>
  <c r="CG5" i="5"/>
  <c r="CF5" i="5"/>
  <c r="CE5" i="5"/>
  <c r="CC5" i="5"/>
  <c r="CB5" i="5"/>
  <c r="CA5" i="5"/>
  <c r="BZ5" i="5"/>
  <c r="BX5" i="5"/>
  <c r="BW5" i="5"/>
  <c r="BV5" i="5"/>
  <c r="BU5" i="5"/>
  <c r="BS5" i="5"/>
  <c r="BR5" i="5"/>
  <c r="BQ5" i="5"/>
  <c r="BP5" i="5"/>
  <c r="BN5" i="5"/>
  <c r="BM5" i="5"/>
  <c r="BL5" i="5"/>
  <c r="BK5" i="5"/>
  <c r="BI5" i="5"/>
  <c r="BH5" i="5"/>
  <c r="BG5" i="5"/>
  <c r="BF5" i="5"/>
  <c r="BD5" i="5"/>
  <c r="BC5" i="5"/>
  <c r="BB5" i="5"/>
  <c r="BA5" i="5"/>
  <c r="AY5" i="5"/>
  <c r="AX5" i="5"/>
  <c r="AW5" i="5"/>
  <c r="AV5" i="5"/>
  <c r="AT5" i="5"/>
  <c r="AS5" i="5"/>
  <c r="AR5" i="5"/>
  <c r="AP5" i="5"/>
  <c r="AO5" i="5"/>
  <c r="AN5" i="5"/>
  <c r="AM5" i="5"/>
  <c r="AK5" i="5"/>
  <c r="AJ5" i="5"/>
  <c r="AI5" i="5"/>
  <c r="AH5" i="5"/>
  <c r="AF5" i="5"/>
  <c r="AE5" i="5"/>
  <c r="AD5" i="5"/>
  <c r="AC5" i="5"/>
  <c r="B5" i="5"/>
  <c r="B4" i="5"/>
  <c r="DI3" i="5"/>
  <c r="DD3" i="5"/>
  <c r="CY3" i="5"/>
  <c r="CT3" i="5"/>
  <c r="CO3" i="5"/>
  <c r="CJ3" i="5"/>
  <c r="CE4" i="5"/>
  <c r="CE3" i="5"/>
  <c r="BZ3" i="5"/>
  <c r="BU4" i="5"/>
  <c r="BU3" i="5"/>
  <c r="BP3" i="5"/>
  <c r="BK3" i="5"/>
  <c r="AC4" i="5"/>
  <c r="AC3" i="5"/>
  <c r="X4" i="5"/>
  <c r="EK3" i="5"/>
  <c r="EJ3" i="5"/>
  <c r="EI3" i="5"/>
  <c r="EH3" i="5"/>
  <c r="EF3" i="5"/>
  <c r="EE3" i="5"/>
  <c r="ED3" i="5"/>
  <c r="EC3" i="5"/>
  <c r="EA3" i="5"/>
  <c r="DZ3" i="5"/>
  <c r="DY3" i="5"/>
  <c r="DX3" i="5"/>
  <c r="DV3" i="5"/>
  <c r="DU3" i="5"/>
  <c r="DT3" i="5"/>
  <c r="DS3" i="5"/>
  <c r="DQ3" i="5"/>
  <c r="DP3" i="5"/>
  <c r="DO3" i="5"/>
  <c r="DN3" i="5"/>
  <c r="DL3" i="5"/>
  <c r="DK3" i="5"/>
  <c r="DJ3" i="5"/>
  <c r="DG3" i="5"/>
  <c r="DF3" i="5"/>
  <c r="DE3" i="5"/>
  <c r="DB3" i="5"/>
  <c r="DA3" i="5"/>
  <c r="CZ3" i="5"/>
  <c r="CW3" i="5"/>
  <c r="CV3" i="5"/>
  <c r="CU3" i="5"/>
  <c r="CR3" i="5"/>
  <c r="CQ3" i="5"/>
  <c r="CP3" i="5"/>
  <c r="CM3" i="5"/>
  <c r="CL3" i="5"/>
  <c r="CK3" i="5"/>
  <c r="CH3" i="5"/>
  <c r="CG3" i="5"/>
  <c r="CF3" i="5"/>
  <c r="CC3" i="5"/>
  <c r="CB3" i="5"/>
  <c r="CA3" i="5"/>
  <c r="BX3" i="5"/>
  <c r="BW3" i="5"/>
  <c r="BV3" i="5"/>
  <c r="BS3" i="5"/>
  <c r="BR3" i="5"/>
  <c r="BQ3" i="5"/>
  <c r="BN3" i="5"/>
  <c r="BM3" i="5"/>
  <c r="BL3" i="5"/>
  <c r="BI3" i="5"/>
  <c r="BH3" i="5"/>
  <c r="BG3" i="5"/>
  <c r="BF3" i="5"/>
  <c r="BD3" i="5"/>
  <c r="BC3" i="5"/>
  <c r="BB3" i="5"/>
  <c r="BA3" i="5"/>
  <c r="AY3" i="5"/>
  <c r="AX3" i="5"/>
  <c r="AW3" i="5"/>
  <c r="AV3" i="5"/>
  <c r="AT3" i="5"/>
  <c r="AS3" i="5"/>
  <c r="AR3" i="5"/>
  <c r="AP3" i="5"/>
  <c r="AO3" i="5"/>
  <c r="AN3" i="5"/>
  <c r="AM3" i="5"/>
  <c r="AK3" i="5"/>
  <c r="AJ3" i="5"/>
  <c r="AI3" i="5"/>
  <c r="AH3" i="5"/>
  <c r="AF3" i="5"/>
  <c r="AE3" i="5"/>
  <c r="AD3" i="5"/>
  <c r="DF129" i="4"/>
  <c r="DE129" i="4"/>
  <c r="DD129" i="4"/>
  <c r="DB129" i="4"/>
  <c r="DA129" i="4"/>
  <c r="CZ129" i="4"/>
  <c r="CY129" i="4"/>
  <c r="CW129" i="4"/>
  <c r="CV129" i="4"/>
  <c r="CU129" i="4"/>
  <c r="CT129" i="4"/>
  <c r="CR129" i="4"/>
  <c r="CQ129" i="4"/>
  <c r="CP129" i="4"/>
  <c r="CO129" i="4"/>
  <c r="CV127" i="4"/>
  <c r="CT127" i="4"/>
  <c r="CS127" i="4"/>
  <c r="CU127" i="4" s="1"/>
  <c r="CR127" i="4"/>
  <c r="CP127" i="4"/>
  <c r="CO127" i="4"/>
  <c r="CN127" i="4"/>
  <c r="CM127" i="4" s="1"/>
  <c r="CL127" i="4"/>
  <c r="CI127" i="4"/>
  <c r="CH127" i="4"/>
  <c r="CG127" i="4"/>
  <c r="CF127" i="4"/>
  <c r="CE127" i="4"/>
  <c r="CD127" i="4"/>
  <c r="BZ127" i="4"/>
  <c r="BY127" i="4"/>
  <c r="BW127" i="4" s="1"/>
  <c r="BX127" i="4"/>
  <c r="BV127" i="4"/>
  <c r="BU127" i="4"/>
  <c r="BT127" i="4"/>
  <c r="BO127" i="4"/>
  <c r="BN127" i="4"/>
  <c r="BM127" i="4"/>
  <c r="BL127" i="4"/>
  <c r="BK127" i="4"/>
  <c r="BJ127" i="4"/>
  <c r="BE127" i="4"/>
  <c r="BC127" i="4" s="1"/>
  <c r="BD127" i="4"/>
  <c r="BB127" i="4"/>
  <c r="BA127" i="4"/>
  <c r="AY127" i="4"/>
  <c r="AX127" i="4"/>
  <c r="AW127" i="4"/>
  <c r="AV127" i="4"/>
  <c r="AQ127" i="4"/>
  <c r="AO127" i="4"/>
  <c r="AL127" i="4"/>
  <c r="AJ127" i="4" s="1"/>
  <c r="AK127" i="4"/>
  <c r="AI127" i="4"/>
  <c r="AH127" i="4"/>
  <c r="AG127" i="4"/>
  <c r="AE127" i="4"/>
  <c r="AC127" i="4"/>
  <c r="AB127" i="4"/>
  <c r="AA127" i="4"/>
  <c r="Z127" i="4"/>
  <c r="Y127" i="4"/>
  <c r="X127" i="4"/>
  <c r="W127" i="4"/>
  <c r="U127" i="4"/>
  <c r="S127" i="4"/>
  <c r="Q127" i="4"/>
  <c r="P127" i="4"/>
  <c r="O127" i="4"/>
  <c r="N127" i="4"/>
  <c r="M127" i="4"/>
  <c r="K127" i="4" s="1"/>
  <c r="L127" i="4"/>
  <c r="J127" i="4"/>
  <c r="I127" i="4"/>
  <c r="H127" i="4"/>
  <c r="F127" i="4"/>
  <c r="D127" i="4"/>
  <c r="DJ125" i="4"/>
  <c r="DL125" i="4"/>
  <c r="I9" i="19"/>
  <c r="EK125" i="4"/>
  <c r="I8" i="19"/>
  <c r="DQ125" i="4"/>
  <c r="DE125" i="4"/>
  <c r="DZ125" i="4"/>
  <c r="DV125" i="4"/>
  <c r="DT125" i="4"/>
  <c r="EJ125" i="4"/>
  <c r="DO125" i="4"/>
  <c r="DY125" i="4"/>
  <c r="EF125" i="4"/>
  <c r="I11" i="19"/>
  <c r="DF125" i="4"/>
  <c r="EA125" i="4"/>
  <c r="ED125" i="4"/>
  <c r="DB125" i="4"/>
  <c r="DK125" i="4"/>
  <c r="DP125" i="4"/>
  <c r="EI125" i="4"/>
  <c r="DU125" i="4"/>
  <c r="DG125" i="4"/>
  <c r="EE125" i="4"/>
  <c r="EE6" i="7" l="1"/>
  <c r="DQ6" i="7"/>
  <c r="DW17" i="10"/>
  <c r="BV81" i="5"/>
  <c r="CU6" i="7"/>
  <c r="CZ6" i="7"/>
  <c r="DE6" i="7"/>
  <c r="S13" i="7"/>
  <c r="BC13" i="7"/>
  <c r="AI69" i="5"/>
  <c r="AN69" i="5"/>
  <c r="AS69" i="5"/>
  <c r="AX69" i="5"/>
  <c r="BH69" i="5"/>
  <c r="BM69" i="5"/>
  <c r="D55" i="5"/>
  <c r="CJ52" i="5"/>
  <c r="CJ69" i="5" s="1"/>
  <c r="CO52" i="5"/>
  <c r="DC67" i="5"/>
  <c r="F52" i="5"/>
  <c r="CT52" i="5"/>
  <c r="DW105" i="5"/>
  <c r="BL91" i="5"/>
  <c r="BQ91" i="5"/>
  <c r="CF91" i="5"/>
  <c r="CK91" i="5"/>
  <c r="CZ91" i="5"/>
  <c r="BG125" i="5"/>
  <c r="W158" i="5"/>
  <c r="Q178" i="5"/>
  <c r="L69" i="5"/>
  <c r="F55" i="5"/>
  <c r="DH67" i="5"/>
  <c r="CN20" i="10"/>
  <c r="CG52" i="5"/>
  <c r="CV52" i="5"/>
  <c r="Y78" i="5"/>
  <c r="Y79" i="5" s="1"/>
  <c r="AI78" i="5"/>
  <c r="AS78" i="5"/>
  <c r="AS79" i="5" s="1"/>
  <c r="BL125" i="5"/>
  <c r="CP125" i="5"/>
  <c r="BC9" i="10"/>
  <c r="BH9" i="10"/>
  <c r="BM9" i="10"/>
  <c r="BR9" i="10"/>
  <c r="BW9" i="10"/>
  <c r="CB9" i="10"/>
  <c r="CG9" i="10"/>
  <c r="CL9" i="10"/>
  <c r="CQ9" i="10"/>
  <c r="CV9" i="10"/>
  <c r="DA13" i="10"/>
  <c r="O74" i="8"/>
  <c r="AN74" i="8"/>
  <c r="DB44" i="7"/>
  <c r="DL44" i="7"/>
  <c r="CQ50" i="7"/>
  <c r="AP56" i="7"/>
  <c r="CQ87" i="7"/>
  <c r="DI92" i="7"/>
  <c r="DK52" i="7"/>
  <c r="DO52" i="7"/>
  <c r="V92" i="7"/>
  <c r="AW36" i="7"/>
  <c r="DM25" i="7"/>
  <c r="K39" i="7"/>
  <c r="P39" i="7"/>
  <c r="AJ39" i="7"/>
  <c r="AO39" i="7"/>
  <c r="T46" i="7"/>
  <c r="Y46" i="7"/>
  <c r="BP50" i="7"/>
  <c r="BT51" i="7"/>
  <c r="CB50" i="7"/>
  <c r="CN51" i="7"/>
  <c r="I128" i="7"/>
  <c r="CE105" i="7"/>
  <c r="DE109" i="7"/>
  <c r="DS119" i="7"/>
  <c r="H121" i="7"/>
  <c r="W121" i="7"/>
  <c r="W122" i="7" s="1"/>
  <c r="AQ121" i="7"/>
  <c r="AQ122" i="7" s="1"/>
  <c r="AM126" i="7"/>
  <c r="BM168" i="7"/>
  <c r="CQ115" i="7"/>
  <c r="CQ116" i="7" s="1"/>
  <c r="AM124" i="7"/>
  <c r="AI126" i="7"/>
  <c r="AJ173" i="7"/>
  <c r="BF192" i="7"/>
  <c r="BF193" i="7" s="1"/>
  <c r="AE203" i="7"/>
  <c r="BD201" i="7"/>
  <c r="BX201" i="7"/>
  <c r="CR201" i="7"/>
  <c r="CU409" i="7"/>
  <c r="AR112" i="7"/>
  <c r="BW115" i="7"/>
  <c r="BW116" i="7" s="1"/>
  <c r="DS112" i="7"/>
  <c r="DN122" i="7"/>
  <c r="DR123" i="7"/>
  <c r="DW124" i="7" s="1"/>
  <c r="DW123" i="7"/>
  <c r="H125" i="7"/>
  <c r="AZ125" i="7"/>
  <c r="BO125" i="7"/>
  <c r="BT126" i="7" s="1"/>
  <c r="BT125" i="7"/>
  <c r="DM125" i="7"/>
  <c r="AE201" i="7"/>
  <c r="AT201" i="7"/>
  <c r="AC128" i="7"/>
  <c r="DF128" i="7"/>
  <c r="DK128" i="7"/>
  <c r="DP128" i="7"/>
  <c r="DU128" i="7"/>
  <c r="AY131" i="7"/>
  <c r="Z87" i="7"/>
  <c r="AT87" i="7"/>
  <c r="CV92" i="7"/>
  <c r="I97" i="7"/>
  <c r="AC97" i="7"/>
  <c r="AR97" i="7"/>
  <c r="CF97" i="7"/>
  <c r="DT97" i="7"/>
  <c r="Q105" i="7"/>
  <c r="V105" i="7"/>
  <c r="AK105" i="7"/>
  <c r="AT113" i="7"/>
  <c r="BK113" i="7"/>
  <c r="CE113" i="7"/>
  <c r="CY113" i="7"/>
  <c r="K124" i="7"/>
  <c r="L126" i="7"/>
  <c r="U175" i="7"/>
  <c r="AO175" i="7"/>
  <c r="CR175" i="7"/>
  <c r="DL175" i="7"/>
  <c r="P181" i="7"/>
  <c r="BQ181" i="7"/>
  <c r="D190" i="7"/>
  <c r="I190" i="7"/>
  <c r="N190" i="7"/>
  <c r="X192" i="7"/>
  <c r="X193" i="7" s="1"/>
  <c r="AC190" i="7"/>
  <c r="AH190" i="7"/>
  <c r="AR190" i="7"/>
  <c r="AY190" i="7"/>
  <c r="BS190" i="7"/>
  <c r="CM190" i="7"/>
  <c r="DG190" i="7"/>
  <c r="DV190" i="7"/>
  <c r="DQ196" i="7"/>
  <c r="DU196" i="7"/>
  <c r="I199" i="7"/>
  <c r="M199" i="7"/>
  <c r="Q199" i="7"/>
  <c r="U199" i="7"/>
  <c r="Y199" i="7"/>
  <c r="AC199" i="7"/>
  <c r="AG199" i="7"/>
  <c r="AK199" i="7"/>
  <c r="AO199" i="7"/>
  <c r="AS199" i="7"/>
  <c r="BB199" i="7"/>
  <c r="BF199" i="7"/>
  <c r="BJ199" i="7"/>
  <c r="BN199" i="7"/>
  <c r="BR199" i="7"/>
  <c r="DN201" i="7"/>
  <c r="L201" i="7"/>
  <c r="I203" i="7"/>
  <c r="R202" i="7"/>
  <c r="AL202" i="7"/>
  <c r="AQ202" i="7"/>
  <c r="AQ203" i="7" s="1"/>
  <c r="DG250" i="7"/>
  <c r="DL250" i="7"/>
  <c r="BJ261" i="7"/>
  <c r="BJ298" i="7"/>
  <c r="BT310" i="7"/>
  <c r="BT188" i="7" s="1"/>
  <c r="BY348" i="7"/>
  <c r="DJ6" i="7"/>
  <c r="BX114" i="5"/>
  <c r="AX42" i="8"/>
  <c r="BW33" i="8"/>
  <c r="CQ33" i="8"/>
  <c r="BH31" i="8"/>
  <c r="CQ58" i="8"/>
  <c r="AX40" i="8"/>
  <c r="AX38" i="8"/>
  <c r="BM56" i="8"/>
  <c r="BR29" i="8"/>
  <c r="CG56" i="8"/>
  <c r="CL29" i="8"/>
  <c r="DA56" i="8"/>
  <c r="DN91" i="5"/>
  <c r="EL142" i="5"/>
  <c r="K13" i="7"/>
  <c r="AE13" i="7"/>
  <c r="AM13" i="7"/>
  <c r="AV71" i="7"/>
  <c r="CA33" i="8"/>
  <c r="BB29" i="8"/>
  <c r="BQ56" i="8"/>
  <c r="BV29" i="8"/>
  <c r="CP29" i="8"/>
  <c r="AM28" i="8"/>
  <c r="DU63" i="8"/>
  <c r="CY120" i="5"/>
  <c r="EB142" i="5"/>
  <c r="EG142" i="5"/>
  <c r="Y120" i="5"/>
  <c r="BP120" i="5"/>
  <c r="T13" i="7"/>
  <c r="AN13" i="7"/>
  <c r="DJ56" i="8"/>
  <c r="P56" i="8"/>
  <c r="AD29" i="8"/>
  <c r="AJ38" i="8"/>
  <c r="AR38" i="8"/>
  <c r="BZ37" i="8"/>
  <c r="I73" i="8"/>
  <c r="U73" i="8"/>
  <c r="AC73" i="8"/>
  <c r="AO73" i="8"/>
  <c r="AI13" i="7"/>
  <c r="BD71" i="7"/>
  <c r="BF29" i="8"/>
  <c r="BZ29" i="8"/>
  <c r="CT29" i="8"/>
  <c r="DT63" i="8"/>
  <c r="DS16" i="10"/>
  <c r="DI210" i="10"/>
  <c r="DI213" i="10" s="1"/>
  <c r="CS218" i="10"/>
  <c r="DJ22" i="10"/>
  <c r="DL22" i="10"/>
  <c r="DM22" i="10" s="1"/>
  <c r="DD58" i="10"/>
  <c r="DD60" i="10" s="1"/>
  <c r="DU68" i="10"/>
  <c r="DU71" i="10" s="1"/>
  <c r="DD88" i="10"/>
  <c r="DD90" i="10" s="1"/>
  <c r="DU112" i="10"/>
  <c r="CJ200" i="10"/>
  <c r="CJ202" i="10" s="1"/>
  <c r="DC218" i="10"/>
  <c r="DM37" i="10"/>
  <c r="DR34" i="10" s="1"/>
  <c r="CY204" i="10"/>
  <c r="CZ199" i="10"/>
  <c r="DR37" i="10"/>
  <c r="DW34" i="10" s="1"/>
  <c r="DW37" i="10" s="1"/>
  <c r="EB34" i="10" s="1"/>
  <c r="EB37" i="10" s="1"/>
  <c r="EG34" i="10" s="1"/>
  <c r="EG37" i="10" s="1"/>
  <c r="EL34" i="10" s="1"/>
  <c r="EL37" i="10" s="1"/>
  <c r="CW52" i="10"/>
  <c r="CY48" i="10"/>
  <c r="CY50" i="10" s="1"/>
  <c r="DC50" i="10" s="1"/>
  <c r="CO98" i="10"/>
  <c r="CO100" i="10" s="1"/>
  <c r="CX218" i="10"/>
  <c r="BD9" i="10"/>
  <c r="DS22" i="10"/>
  <c r="DX22" i="10"/>
  <c r="DX26" i="5" s="1"/>
  <c r="EA22" i="10"/>
  <c r="EJ22" i="10"/>
  <c r="EJ26" i="5" s="1"/>
  <c r="CY39" i="10"/>
  <c r="DD39" i="10"/>
  <c r="DW24" i="10"/>
  <c r="DF70" i="10"/>
  <c r="DG72" i="10"/>
  <c r="CK204" i="10"/>
  <c r="CI221" i="10"/>
  <c r="BK5" i="8"/>
  <c r="BO5" i="8" s="1"/>
  <c r="DV50" i="8"/>
  <c r="DW10" i="7"/>
  <c r="DK63" i="8"/>
  <c r="DP63" i="8"/>
  <c r="DM30" i="7"/>
  <c r="DR30" i="7"/>
  <c r="R38" i="7"/>
  <c r="DH36" i="7"/>
  <c r="BX37" i="7"/>
  <c r="BY37" i="7" s="1"/>
  <c r="CB44" i="7"/>
  <c r="Q49" i="7"/>
  <c r="Q165" i="7" s="1"/>
  <c r="V49" i="7"/>
  <c r="AA49" i="7"/>
  <c r="AK46" i="7"/>
  <c r="AP49" i="7"/>
  <c r="CA44" i="7"/>
  <c r="CU44" i="7"/>
  <c r="DO44" i="7"/>
  <c r="BK50" i="7"/>
  <c r="BW50" i="7"/>
  <c r="AD58" i="7"/>
  <c r="DG58" i="7"/>
  <c r="V70" i="7"/>
  <c r="BF70" i="7"/>
  <c r="CT70" i="7"/>
  <c r="DC69" i="7"/>
  <c r="I74" i="7"/>
  <c r="AC74" i="7"/>
  <c r="AR74" i="7"/>
  <c r="BL74" i="7"/>
  <c r="CF74" i="7"/>
  <c r="DJ74" i="7"/>
  <c r="U92" i="7"/>
  <c r="Z92" i="7"/>
  <c r="I93" i="7"/>
  <c r="CF92" i="7"/>
  <c r="BC92" i="7"/>
  <c r="U97" i="7"/>
  <c r="AO97" i="7"/>
  <c r="BP97" i="7"/>
  <c r="CJ97" i="7"/>
  <c r="DD97" i="7"/>
  <c r="DS97" i="7"/>
  <c r="I105" i="7"/>
  <c r="N105" i="7"/>
  <c r="V109" i="7"/>
  <c r="AP109" i="7"/>
  <c r="L36" i="7"/>
  <c r="AP36" i="7"/>
  <c r="AP39" i="7" s="1"/>
  <c r="DL36" i="7"/>
  <c r="E46" i="7"/>
  <c r="CV44" i="7"/>
  <c r="DP44" i="7"/>
  <c r="J16" i="8"/>
  <c r="N70" i="7"/>
  <c r="AH70" i="7"/>
  <c r="T74" i="7"/>
  <c r="Y74" i="7"/>
  <c r="AS74" i="7"/>
  <c r="BH74" i="7"/>
  <c r="BM74" i="7"/>
  <c r="CB74" i="7"/>
  <c r="CV74" i="7"/>
  <c r="J87" i="7"/>
  <c r="AD87" i="7"/>
  <c r="DF92" i="7"/>
  <c r="CQ93" i="7"/>
  <c r="L97" i="7"/>
  <c r="Q97" i="7"/>
  <c r="AK97" i="7"/>
  <c r="BL97" i="7"/>
  <c r="J105" i="7"/>
  <c r="Y105" i="7"/>
  <c r="AD105" i="7"/>
  <c r="AS105" i="7"/>
  <c r="CA112" i="7"/>
  <c r="CM115" i="7"/>
  <c r="CM116" i="7" s="1"/>
  <c r="DG115" i="7"/>
  <c r="DG116" i="7" s="1"/>
  <c r="U39" i="7"/>
  <c r="V56" i="7"/>
  <c r="BQ56" i="7"/>
  <c r="J70" i="7"/>
  <c r="AD70" i="7"/>
  <c r="CL70" i="7"/>
  <c r="U74" i="7"/>
  <c r="AO74" i="7"/>
  <c r="BD74" i="7"/>
  <c r="BI74" i="7"/>
  <c r="BX74" i="7"/>
  <c r="CR74" i="7"/>
  <c r="DB74" i="7"/>
  <c r="DL87" i="7"/>
  <c r="BH97" i="7"/>
  <c r="BM97" i="7"/>
  <c r="CB97" i="7"/>
  <c r="CV97" i="7"/>
  <c r="DP97" i="7"/>
  <c r="U105" i="7"/>
  <c r="Z105" i="7"/>
  <c r="AO105" i="7"/>
  <c r="AT105" i="7"/>
  <c r="DQ105" i="7"/>
  <c r="J109" i="7"/>
  <c r="CC109" i="7"/>
  <c r="CW109" i="7"/>
  <c r="BI115" i="7"/>
  <c r="BI116" i="7" s="1"/>
  <c r="P74" i="8"/>
  <c r="AE74" i="8"/>
  <c r="AE39" i="7"/>
  <c r="G39" i="7"/>
  <c r="AW39" i="7"/>
  <c r="BB39" i="7"/>
  <c r="BG52" i="7"/>
  <c r="CA52" i="7"/>
  <c r="CU52" i="7"/>
  <c r="AN46" i="7"/>
  <c r="AX46" i="7"/>
  <c r="DK44" i="7"/>
  <c r="K49" i="7"/>
  <c r="U49" i="7"/>
  <c r="U165" i="7" s="1"/>
  <c r="Z49" i="7"/>
  <c r="AE49" i="7"/>
  <c r="AO49" i="7"/>
  <c r="AT49" i="7"/>
  <c r="CW49" i="7"/>
  <c r="J58" i="7"/>
  <c r="U128" i="7"/>
  <c r="Z70" i="7"/>
  <c r="AO128" i="7"/>
  <c r="AT128" i="7"/>
  <c r="BI128" i="7"/>
  <c r="BN70" i="7"/>
  <c r="CC128" i="7"/>
  <c r="CW128" i="7"/>
  <c r="DB128" i="7"/>
  <c r="DG129" i="7" s="1"/>
  <c r="L74" i="7"/>
  <c r="Q74" i="7"/>
  <c r="AK74" i="7"/>
  <c r="BA74" i="7"/>
  <c r="BP74" i="7"/>
  <c r="CJ74" i="7"/>
  <c r="CX73" i="7"/>
  <c r="DN74" i="7"/>
  <c r="BP87" i="7"/>
  <c r="CO92" i="7"/>
  <c r="BW93" i="7"/>
  <c r="T97" i="7"/>
  <c r="Y97" i="7"/>
  <c r="AN97" i="7"/>
  <c r="AS97" i="7"/>
  <c r="BD97" i="7"/>
  <c r="BX97" i="7"/>
  <c r="CR97" i="7"/>
  <c r="AZ108" i="7"/>
  <c r="BA113" i="7"/>
  <c r="BP109" i="7"/>
  <c r="BY108" i="7"/>
  <c r="CJ109" i="7"/>
  <c r="DH108" i="7"/>
  <c r="DM108" i="7"/>
  <c r="DS115" i="7"/>
  <c r="DS116" i="7" s="1"/>
  <c r="DV112" i="7"/>
  <c r="N124" i="7"/>
  <c r="AA126" i="7"/>
  <c r="DV124" i="7"/>
  <c r="BS124" i="7"/>
  <c r="CM124" i="7"/>
  <c r="DG124" i="7"/>
  <c r="BD126" i="7"/>
  <c r="BX126" i="7"/>
  <c r="CR126" i="7"/>
  <c r="DT139" i="7"/>
  <c r="P173" i="7"/>
  <c r="X181" i="7"/>
  <c r="AM181" i="7"/>
  <c r="AR181" i="7"/>
  <c r="CG181" i="7"/>
  <c r="DV201" i="7"/>
  <c r="Z201" i="7"/>
  <c r="W202" i="7"/>
  <c r="BY310" i="7"/>
  <c r="BY188" i="7" s="1"/>
  <c r="DO119" i="7"/>
  <c r="S126" i="7"/>
  <c r="DS122" i="7"/>
  <c r="DS126" i="7"/>
  <c r="BK124" i="7"/>
  <c r="CE124" i="7"/>
  <c r="CJ126" i="7"/>
  <c r="DD126" i="7"/>
  <c r="DP139" i="7"/>
  <c r="DU139" i="7"/>
  <c r="DP144" i="7"/>
  <c r="AA173" i="7"/>
  <c r="AF173" i="7"/>
  <c r="T181" i="7"/>
  <c r="AN181" i="7"/>
  <c r="BX181" i="7"/>
  <c r="DI181" i="7"/>
  <c r="AS189" i="7"/>
  <c r="BB192" i="7"/>
  <c r="BB193" i="7" s="1"/>
  <c r="AA201" i="7"/>
  <c r="O203" i="7"/>
  <c r="AI203" i="7"/>
  <c r="AZ200" i="7"/>
  <c r="BP201" i="7"/>
  <c r="CJ201" i="7"/>
  <c r="DC200" i="7"/>
  <c r="DD201" i="7"/>
  <c r="DM200" i="7"/>
  <c r="DB250" i="7"/>
  <c r="DP105" i="7"/>
  <c r="DU105" i="7"/>
  <c r="N115" i="7"/>
  <c r="N116" i="7" s="1"/>
  <c r="AH115" i="7"/>
  <c r="AH116" i="7" s="1"/>
  <c r="AR113" i="7"/>
  <c r="N109" i="7"/>
  <c r="AW113" i="7"/>
  <c r="BL113" i="7"/>
  <c r="BQ113" i="7"/>
  <c r="CA113" i="7"/>
  <c r="CF113" i="7"/>
  <c r="CU113" i="7"/>
  <c r="CZ113" i="7"/>
  <c r="DT109" i="7"/>
  <c r="CK109" i="7"/>
  <c r="DO115" i="7"/>
  <c r="DO116" i="7" s="1"/>
  <c r="AE124" i="7"/>
  <c r="O126" i="7"/>
  <c r="DO122" i="7"/>
  <c r="BG124" i="7"/>
  <c r="CA124" i="7"/>
  <c r="CF124" i="7"/>
  <c r="CU124" i="7"/>
  <c r="BL126" i="7"/>
  <c r="CF126" i="7"/>
  <c r="CZ126" i="7"/>
  <c r="DL139" i="7"/>
  <c r="DQ139" i="7"/>
  <c r="Q168" i="7"/>
  <c r="S173" i="7"/>
  <c r="X173" i="7"/>
  <c r="AR173" i="7"/>
  <c r="AZ180" i="7"/>
  <c r="BP181" i="7"/>
  <c r="DE181" i="7"/>
  <c r="DR181" i="7"/>
  <c r="E190" i="7"/>
  <c r="J190" i="7"/>
  <c r="AD190" i="7"/>
  <c r="AN190" i="7"/>
  <c r="AS191" i="7" s="1"/>
  <c r="AS190" i="7"/>
  <c r="AS185" i="7"/>
  <c r="BI190" i="7"/>
  <c r="BN190" i="7"/>
  <c r="CW192" i="7"/>
  <c r="CW193" i="7" s="1"/>
  <c r="S201" i="7"/>
  <c r="AM201" i="7"/>
  <c r="BL201" i="7"/>
  <c r="CF201" i="7"/>
  <c r="CZ201" i="7"/>
  <c r="CH250" i="7"/>
  <c r="AZ250" i="7"/>
  <c r="AD109" i="7"/>
  <c r="AN113" i="7"/>
  <c r="BH113" i="7"/>
  <c r="BM113" i="7"/>
  <c r="BW113" i="7"/>
  <c r="CB113" i="7"/>
  <c r="CQ113" i="7"/>
  <c r="CV113" i="7"/>
  <c r="DP109" i="7"/>
  <c r="V115" i="7"/>
  <c r="V116" i="7" s="1"/>
  <c r="AP115" i="7"/>
  <c r="AP116" i="7" s="1"/>
  <c r="AY115" i="7"/>
  <c r="AY116" i="7" s="1"/>
  <c r="BG112" i="7"/>
  <c r="BO112" i="7"/>
  <c r="BS112" i="7"/>
  <c r="DK115" i="7"/>
  <c r="DK116" i="7" s="1"/>
  <c r="L124" i="7"/>
  <c r="V124" i="7"/>
  <c r="AE126" i="7"/>
  <c r="AT126" i="7"/>
  <c r="BC124" i="7"/>
  <c r="BH124" i="7"/>
  <c r="BW124" i="7"/>
  <c r="CQ124" i="7"/>
  <c r="BH126" i="7"/>
  <c r="CB126" i="7"/>
  <c r="CV126" i="7"/>
  <c r="DI139" i="7"/>
  <c r="Q175" i="7"/>
  <c r="AK175" i="7"/>
  <c r="AV175" i="7"/>
  <c r="BA170" i="7"/>
  <c r="BP175" i="7"/>
  <c r="DD175" i="7"/>
  <c r="AH168" i="7"/>
  <c r="AN173" i="7"/>
  <c r="DN169" i="7"/>
  <c r="L181" i="7"/>
  <c r="AF181" i="7"/>
  <c r="F190" i="7"/>
  <c r="P192" i="7"/>
  <c r="P193" i="7" s="1"/>
  <c r="AJ192" i="7"/>
  <c r="AJ193" i="7" s="1"/>
  <c r="BA192" i="7"/>
  <c r="BA193" i="7" s="1"/>
  <c r="BK190" i="7"/>
  <c r="BU192" i="7"/>
  <c r="BU193" i="7" s="1"/>
  <c r="CE190" i="7"/>
  <c r="CO190" i="7"/>
  <c r="CT190" i="7"/>
  <c r="CY190" i="7"/>
  <c r="CW185" i="7"/>
  <c r="Q192" i="7"/>
  <c r="Q193" i="7" s="1"/>
  <c r="V192" i="7"/>
  <c r="V193" i="7" s="1"/>
  <c r="AK192" i="7"/>
  <c r="AK193" i="7" s="1"/>
  <c r="AP192" i="7"/>
  <c r="AP193" i="7" s="1"/>
  <c r="DU201" i="7"/>
  <c r="J201" i="7"/>
  <c r="O201" i="7"/>
  <c r="AI201" i="7"/>
  <c r="AA203" i="7"/>
  <c r="BH201" i="7"/>
  <c r="CB201" i="7"/>
  <c r="CV201" i="7"/>
  <c r="CW250" i="7"/>
  <c r="H250" i="7"/>
  <c r="M250" i="7"/>
  <c r="R250" i="7"/>
  <c r="W250" i="7"/>
  <c r="AB250" i="7"/>
  <c r="AG250" i="7"/>
  <c r="AL250" i="7"/>
  <c r="K120" i="5"/>
  <c r="CF120" i="5"/>
  <c r="BL9" i="10"/>
  <c r="BN9" i="10"/>
  <c r="BS9" i="10"/>
  <c r="CH9" i="10"/>
  <c r="BB84" i="5"/>
  <c r="BQ84" i="5"/>
  <c r="CK84" i="5"/>
  <c r="DA84" i="5"/>
  <c r="CV69" i="5"/>
  <c r="AN78" i="5"/>
  <c r="AN79" i="5" s="1"/>
  <c r="AI124" i="5"/>
  <c r="AN125" i="5"/>
  <c r="BX9" i="10"/>
  <c r="CR9" i="10"/>
  <c r="DU84" i="5"/>
  <c r="AC52" i="5"/>
  <c r="AH52" i="5"/>
  <c r="AM52" i="5"/>
  <c r="AR52" i="5"/>
  <c r="AW52" i="5"/>
  <c r="BB52" i="5"/>
  <c r="BG52" i="5"/>
  <c r="BL52" i="5"/>
  <c r="BL69" i="5" s="1"/>
  <c r="BQ52" i="5"/>
  <c r="BV52" i="5"/>
  <c r="BV69" i="5" s="1"/>
  <c r="CK52" i="5"/>
  <c r="CK69" i="5" s="1"/>
  <c r="H102" i="5"/>
  <c r="Y124" i="5"/>
  <c r="AD125" i="5"/>
  <c r="CC9" i="10"/>
  <c r="CW9" i="10"/>
  <c r="J13" i="7"/>
  <c r="P13" i="7"/>
  <c r="X13" i="7"/>
  <c r="AJ13" i="7"/>
  <c r="AR13" i="7"/>
  <c r="O13" i="7"/>
  <c r="BG13" i="7"/>
  <c r="BL13" i="7"/>
  <c r="BV13" i="7"/>
  <c r="CA13" i="7"/>
  <c r="CF13" i="7"/>
  <c r="CP13" i="7"/>
  <c r="CU13" i="7"/>
  <c r="DF154" i="7"/>
  <c r="CG28" i="8"/>
  <c r="AM37" i="8"/>
  <c r="CL37" i="8"/>
  <c r="O55" i="8"/>
  <c r="AI55" i="8"/>
  <c r="BF55" i="8"/>
  <c r="BP55" i="8"/>
  <c r="BZ55" i="8"/>
  <c r="BK73" i="8"/>
  <c r="CJ73" i="8"/>
  <c r="CY73" i="8"/>
  <c r="DN73" i="8"/>
  <c r="DS73" i="8"/>
  <c r="DO6" i="7"/>
  <c r="DT6" i="7"/>
  <c r="DY6" i="7"/>
  <c r="ED6" i="7"/>
  <c r="EI6" i="7"/>
  <c r="BH13" i="7"/>
  <c r="BR13" i="7"/>
  <c r="BW13" i="7"/>
  <c r="CB13" i="7"/>
  <c r="CL13" i="7"/>
  <c r="CQ13" i="7"/>
  <c r="CV13" i="7"/>
  <c r="DN13" i="7"/>
  <c r="DQ154" i="7"/>
  <c r="DV154" i="7"/>
  <c r="O28" i="8"/>
  <c r="BI28" i="8"/>
  <c r="CW28" i="8"/>
  <c r="T37" i="8"/>
  <c r="AN37" i="8"/>
  <c r="DB37" i="8"/>
  <c r="DU37" i="8"/>
  <c r="AD55" i="8"/>
  <c r="BB55" i="8"/>
  <c r="BV55" i="8"/>
  <c r="CF55" i="8"/>
  <c r="BL73" i="8"/>
  <c r="CA73" i="8"/>
  <c r="CZ73" i="8"/>
  <c r="DO73" i="8"/>
  <c r="BC91" i="5"/>
  <c r="BW91" i="5"/>
  <c r="CQ91" i="5"/>
  <c r="BN13" i="7"/>
  <c r="BS13" i="7"/>
  <c r="BX13" i="7"/>
  <c r="CH13" i="7"/>
  <c r="CM13" i="7"/>
  <c r="CR13" i="7"/>
  <c r="DC153" i="7"/>
  <c r="DM153" i="7"/>
  <c r="BA28" i="8"/>
  <c r="CO28" i="8"/>
  <c r="BF37" i="8"/>
  <c r="DQ37" i="8"/>
  <c r="BH55" i="8"/>
  <c r="BR55" i="8"/>
  <c r="BC73" i="8"/>
  <c r="CB73" i="8"/>
  <c r="CQ73" i="8"/>
  <c r="I120" i="5"/>
  <c r="N120" i="5"/>
  <c r="S120" i="5"/>
  <c r="AC120" i="5"/>
  <c r="AH120" i="5"/>
  <c r="AM121" i="5"/>
  <c r="AM115" i="5" s="1"/>
  <c r="BX120" i="5"/>
  <c r="CR120" i="5"/>
  <c r="DG120" i="5"/>
  <c r="DS120" i="5"/>
  <c r="CY6" i="7"/>
  <c r="DI6" i="7"/>
  <c r="DS6" i="7"/>
  <c r="EC6" i="7"/>
  <c r="BB13" i="7"/>
  <c r="BF13" i="7"/>
  <c r="BK13" i="7"/>
  <c r="BP13" i="7"/>
  <c r="BZ13" i="7"/>
  <c r="CE13" i="7"/>
  <c r="CJ13" i="7"/>
  <c r="CT13" i="7"/>
  <c r="CY13" i="7"/>
  <c r="DE154" i="7"/>
  <c r="DJ154" i="7"/>
  <c r="AE28" i="8"/>
  <c r="BQ28" i="8"/>
  <c r="X37" i="8"/>
  <c r="AJ37" i="8"/>
  <c r="BV37" i="8"/>
  <c r="N55" i="8"/>
  <c r="Z55" i="8"/>
  <c r="AH55" i="8"/>
  <c r="AT55" i="8"/>
  <c r="BN55" i="8"/>
  <c r="BX55" i="8"/>
  <c r="N73" i="8"/>
  <c r="Z73" i="8"/>
  <c r="AH73" i="8"/>
  <c r="BD73" i="8"/>
  <c r="BS73" i="8"/>
  <c r="CR73" i="8"/>
  <c r="CO69" i="5"/>
  <c r="AG34" i="5"/>
  <c r="AG41" i="5" s="1"/>
  <c r="BJ34" i="5"/>
  <c r="BJ41" i="5" s="1"/>
  <c r="BO34" i="5"/>
  <c r="CP52" i="5"/>
  <c r="DW106" i="5"/>
  <c r="T81" i="5"/>
  <c r="DK91" i="5"/>
  <c r="DP91" i="5"/>
  <c r="DU91" i="5"/>
  <c r="CB120" i="5"/>
  <c r="BB124" i="5"/>
  <c r="BL124" i="5"/>
  <c r="AZ158" i="5"/>
  <c r="DJ13" i="10"/>
  <c r="AC69" i="5"/>
  <c r="AM69" i="5"/>
  <c r="AR69" i="5"/>
  <c r="AW69" i="5"/>
  <c r="BB69" i="5"/>
  <c r="AB67" i="5"/>
  <c r="AZ67" i="5"/>
  <c r="AZ66" i="5" s="1"/>
  <c r="BJ67" i="5"/>
  <c r="BO67" i="5"/>
  <c r="CX67" i="5"/>
  <c r="CF52" i="5"/>
  <c r="CF69" i="5" s="1"/>
  <c r="CU52" i="5"/>
  <c r="Y91" i="5"/>
  <c r="AS91" i="5"/>
  <c r="BD91" i="5"/>
  <c r="BI91" i="5"/>
  <c r="BX91" i="5"/>
  <c r="CC91" i="5"/>
  <c r="CR91" i="5"/>
  <c r="CW91" i="5"/>
  <c r="BG124" i="5"/>
  <c r="BG155" i="5"/>
  <c r="D184" i="5"/>
  <c r="D185" i="5" s="1"/>
  <c r="I191" i="5"/>
  <c r="N202" i="5"/>
  <c r="H197" i="5"/>
  <c r="M197" i="5"/>
  <c r="R197" i="5"/>
  <c r="W197" i="5"/>
  <c r="H198" i="5"/>
  <c r="R198" i="5"/>
  <c r="CZ13" i="10"/>
  <c r="BQ69" i="5"/>
  <c r="S52" i="5"/>
  <c r="S69" i="5" s="1"/>
  <c r="X52" i="5"/>
  <c r="BT67" i="5"/>
  <c r="BY67" i="5"/>
  <c r="DD41" i="5"/>
  <c r="DD52" i="5" s="1"/>
  <c r="N52" i="5"/>
  <c r="AY58" i="5"/>
  <c r="T91" i="5"/>
  <c r="AN91" i="5"/>
  <c r="BA91" i="5"/>
  <c r="BF91" i="5"/>
  <c r="BP91" i="5"/>
  <c r="BU91" i="5"/>
  <c r="BZ91" i="5"/>
  <c r="CJ91" i="5"/>
  <c r="CO91" i="5"/>
  <c r="CT91" i="5"/>
  <c r="H104" i="5"/>
  <c r="CO120" i="5"/>
  <c r="F120" i="5"/>
  <c r="U120" i="5"/>
  <c r="Z120" i="5"/>
  <c r="AE120" i="5"/>
  <c r="BL120" i="5"/>
  <c r="DK120" i="5"/>
  <c r="DE124" i="5"/>
  <c r="BB125" i="5"/>
  <c r="AD124" i="5"/>
  <c r="AN124" i="5"/>
  <c r="AI125" i="5"/>
  <c r="AS125" i="5"/>
  <c r="M158" i="5"/>
  <c r="EB201" i="5"/>
  <c r="EG201" i="5"/>
  <c r="CK9" i="10"/>
  <c r="E120" i="5"/>
  <c r="AI155" i="5"/>
  <c r="BQ9" i="10"/>
  <c r="CF9" i="10"/>
  <c r="CH81" i="5"/>
  <c r="CH82" i="5" s="1"/>
  <c r="F81" i="5"/>
  <c r="K81" i="5"/>
  <c r="P81" i="5"/>
  <c r="DE81" i="5"/>
  <c r="DE82" i="5" s="1"/>
  <c r="BD116" i="5"/>
  <c r="BD127" i="5" s="1"/>
  <c r="DL114" i="5"/>
  <c r="N191" i="5"/>
  <c r="BB9" i="10"/>
  <c r="BG9" i="10"/>
  <c r="BV9" i="10"/>
  <c r="CA9" i="10"/>
  <c r="CP9" i="10"/>
  <c r="DE13" i="10"/>
  <c r="EB22" i="10"/>
  <c r="EA26" i="5"/>
  <c r="EB26" i="5" s="1"/>
  <c r="DB23" i="10"/>
  <c r="DG23" i="10"/>
  <c r="DG22" i="10" s="1"/>
  <c r="DH22" i="10" s="1"/>
  <c r="DD72" i="10"/>
  <c r="DD21" i="10"/>
  <c r="DG140" i="10"/>
  <c r="DG144" i="10" s="1"/>
  <c r="DF21" i="10"/>
  <c r="CZ23" i="10"/>
  <c r="DJ150" i="10"/>
  <c r="DJ153" i="10" s="1"/>
  <c r="DK150" i="10" s="1"/>
  <c r="DK153" i="10" s="1"/>
  <c r="DL150" i="10" s="1"/>
  <c r="DL153" i="10" s="1"/>
  <c r="DM153" i="10" s="1"/>
  <c r="DR150" i="10" s="1"/>
  <c r="DI21" i="10"/>
  <c r="DF23" i="10"/>
  <c r="DF22" i="10" s="1"/>
  <c r="DI144" i="10"/>
  <c r="DJ140" i="10"/>
  <c r="DJ143" i="10" s="1"/>
  <c r="CH23" i="10"/>
  <c r="DP22" i="10"/>
  <c r="EC22" i="10"/>
  <c r="EC26" i="5" s="1"/>
  <c r="DG39" i="10"/>
  <c r="DC100" i="10"/>
  <c r="CO102" i="10"/>
  <c r="CO16" i="10" s="1"/>
  <c r="DV118" i="10"/>
  <c r="DV121" i="10" s="1"/>
  <c r="DV122" i="10"/>
  <c r="DW122" i="10" s="1"/>
  <c r="DF174" i="10"/>
  <c r="CM202" i="10"/>
  <c r="CN202" i="10" s="1"/>
  <c r="CQ204" i="10"/>
  <c r="DC212" i="10"/>
  <c r="DH212" i="10"/>
  <c r="CM212" i="10"/>
  <c r="DL13" i="10"/>
  <c r="DO13" i="10"/>
  <c r="DN22" i="10"/>
  <c r="DV22" i="10"/>
  <c r="DW22" i="10" s="1"/>
  <c r="EH22" i="10"/>
  <c r="EH26" i="5" s="1"/>
  <c r="DB39" i="10"/>
  <c r="CR36" i="10"/>
  <c r="CS36" i="10" s="1"/>
  <c r="CS37" i="10" s="1"/>
  <c r="DM98" i="10"/>
  <c r="DW111" i="10"/>
  <c r="DG174" i="10"/>
  <c r="CS204" i="10"/>
  <c r="CH204" i="10"/>
  <c r="CU212" i="10"/>
  <c r="CE214" i="10"/>
  <c r="CE16" i="10" s="1"/>
  <c r="CP214" i="10"/>
  <c r="CI218" i="10"/>
  <c r="CT40" i="10"/>
  <c r="DH60" i="10"/>
  <c r="DN174" i="10"/>
  <c r="CL204" i="10"/>
  <c r="CY209" i="10"/>
  <c r="CH214" i="10"/>
  <c r="CQ214" i="10"/>
  <c r="CN221" i="10"/>
  <c r="CP222" i="10"/>
  <c r="CQ222" i="10" s="1"/>
  <c r="CR222" i="10" s="1"/>
  <c r="CS222" i="10" s="1"/>
  <c r="CX221" i="10"/>
  <c r="DF13" i="10"/>
  <c r="DI22" i="10"/>
  <c r="DU22" i="10"/>
  <c r="DY22" i="10"/>
  <c r="DY26" i="5" s="1"/>
  <c r="CU39" i="10"/>
  <c r="CZ40" i="10"/>
  <c r="CZ39" i="10"/>
  <c r="DE40" i="10"/>
  <c r="DE39" i="10"/>
  <c r="DH39" i="10" s="1"/>
  <c r="DF33" i="10"/>
  <c r="DD48" i="10"/>
  <c r="DD50" i="10" s="1"/>
  <c r="CZ82" i="10"/>
  <c r="DV108" i="10"/>
  <c r="DV111" i="10" s="1"/>
  <c r="DT112" i="10"/>
  <c r="CY150" i="10"/>
  <c r="CY152" i="10" s="1"/>
  <c r="DC152" i="10" s="1"/>
  <c r="CS214" i="10"/>
  <c r="CL214" i="10"/>
  <c r="AL34" i="5"/>
  <c r="AL41" i="5" s="1"/>
  <c r="BE74" i="5"/>
  <c r="E81" i="5"/>
  <c r="DM74" i="5"/>
  <c r="AO81" i="5"/>
  <c r="AO82" i="5" s="1"/>
  <c r="BM84" i="5"/>
  <c r="CG84" i="5"/>
  <c r="AA69" i="5"/>
  <c r="AF69" i="5"/>
  <c r="AK69" i="5"/>
  <c r="AV69" i="5"/>
  <c r="BA69" i="5"/>
  <c r="BF69" i="5"/>
  <c r="BP69" i="5"/>
  <c r="CP69" i="5"/>
  <c r="W67" i="5"/>
  <c r="AE52" i="5"/>
  <c r="AJ52" i="5"/>
  <c r="AO52" i="5"/>
  <c r="AO69" i="5" s="1"/>
  <c r="AT52" i="5"/>
  <c r="AT69" i="5" s="1"/>
  <c r="AY52" i="5"/>
  <c r="BD52" i="5"/>
  <c r="BI52" i="5"/>
  <c r="BN52" i="5"/>
  <c r="BS52" i="5"/>
  <c r="BX52" i="5"/>
  <c r="CM52" i="5"/>
  <c r="CM69" i="5" s="1"/>
  <c r="DW103" i="5"/>
  <c r="DW104" i="5"/>
  <c r="O81" i="5"/>
  <c r="BR81" i="5"/>
  <c r="CG81" i="5"/>
  <c r="N91" i="5"/>
  <c r="AH91" i="5"/>
  <c r="DT91" i="5"/>
  <c r="H106" i="5"/>
  <c r="CH114" i="5"/>
  <c r="CJ120" i="5"/>
  <c r="DA177" i="5"/>
  <c r="DB177" i="5" s="1"/>
  <c r="DC177" i="5" s="1"/>
  <c r="DW154" i="5"/>
  <c r="BX164" i="5"/>
  <c r="BY164" i="5" s="1"/>
  <c r="CC166" i="5"/>
  <c r="L171" i="5"/>
  <c r="BD174" i="5"/>
  <c r="DM173" i="5"/>
  <c r="BH176" i="5"/>
  <c r="BI176" i="5" s="1"/>
  <c r="BJ176" i="5" s="1"/>
  <c r="CU9" i="10"/>
  <c r="CD9" i="10"/>
  <c r="CI17" i="5"/>
  <c r="CI24" i="5" s="1"/>
  <c r="E69" i="5"/>
  <c r="T69" i="5"/>
  <c r="Y69" i="5"/>
  <c r="BX69" i="5"/>
  <c r="CH69" i="5"/>
  <c r="K52" i="5"/>
  <c r="K69" i="5" s="1"/>
  <c r="P52" i="5"/>
  <c r="P69" i="5" s="1"/>
  <c r="U52" i="5"/>
  <c r="U69" i="5" s="1"/>
  <c r="Z52" i="5"/>
  <c r="Z69" i="5" s="1"/>
  <c r="CC52" i="5"/>
  <c r="CC69" i="5" s="1"/>
  <c r="CK81" i="5"/>
  <c r="D81" i="5"/>
  <c r="X91" i="5"/>
  <c r="AR91" i="5"/>
  <c r="BH91" i="5"/>
  <c r="BM91" i="5"/>
  <c r="CB91" i="5"/>
  <c r="CG91" i="5"/>
  <c r="CV91" i="5"/>
  <c r="DL91" i="5"/>
  <c r="J120" i="5"/>
  <c r="AI120" i="5"/>
  <c r="BW120" i="5"/>
  <c r="CE120" i="5"/>
  <c r="CV120" i="5"/>
  <c r="AT125" i="5"/>
  <c r="CC164" i="5"/>
  <c r="CD164" i="5" s="1"/>
  <c r="DH165" i="5"/>
  <c r="DO181" i="5"/>
  <c r="DQ13" i="10"/>
  <c r="Y74" i="5"/>
  <c r="AN84" i="5"/>
  <c r="AE69" i="5"/>
  <c r="AJ69" i="5"/>
  <c r="BD69" i="5"/>
  <c r="BI69" i="5"/>
  <c r="BN69" i="5"/>
  <c r="BU69" i="5"/>
  <c r="BZ69" i="5"/>
  <c r="BQ81" i="5"/>
  <c r="S91" i="5"/>
  <c r="AM91" i="5"/>
  <c r="DD91" i="5"/>
  <c r="CQ120" i="5"/>
  <c r="CM162" i="5"/>
  <c r="CM201" i="5" s="1"/>
  <c r="AA175" i="5"/>
  <c r="DC173" i="5"/>
  <c r="CM9" i="10"/>
  <c r="EB173" i="5"/>
  <c r="DY68" i="10"/>
  <c r="DY71" i="10" s="1"/>
  <c r="DB13" i="10"/>
  <c r="DG13" i="10"/>
  <c r="CW81" i="5"/>
  <c r="CW82" i="5" s="1"/>
  <c r="DQ81" i="5"/>
  <c r="BT78" i="5"/>
  <c r="BY78" i="5"/>
  <c r="CD78" i="5"/>
  <c r="CN78" i="5"/>
  <c r="CS78" i="5"/>
  <c r="CX78" i="5"/>
  <c r="DH78" i="5"/>
  <c r="DM78" i="5"/>
  <c r="DR78" i="5"/>
  <c r="BZ79" i="5"/>
  <c r="CT79" i="5"/>
  <c r="DN79" i="5"/>
  <c r="DF81" i="5"/>
  <c r="BS91" i="5"/>
  <c r="CM91" i="5"/>
  <c r="DE91" i="5"/>
  <c r="DJ91" i="5"/>
  <c r="BK91" i="5"/>
  <c r="CE91" i="5"/>
  <c r="CY91" i="5"/>
  <c r="DF91" i="5"/>
  <c r="BG91" i="5"/>
  <c r="CA91" i="5"/>
  <c r="CU91" i="5"/>
  <c r="DB91" i="5"/>
  <c r="DQ91" i="5"/>
  <c r="DV91" i="5"/>
  <c r="DI91" i="5"/>
  <c r="CG120" i="5"/>
  <c r="CL120" i="5"/>
  <c r="DA120" i="5"/>
  <c r="BI120" i="5"/>
  <c r="BN120" i="5"/>
  <c r="CC120" i="5"/>
  <c r="CW120" i="5"/>
  <c r="DB120" i="5"/>
  <c r="CV6" i="7"/>
  <c r="DA6" i="7"/>
  <c r="DF6" i="7"/>
  <c r="EJ6" i="7"/>
  <c r="I13" i="7"/>
  <c r="U13" i="7"/>
  <c r="Y13" i="7"/>
  <c r="AC13" i="7"/>
  <c r="AO13" i="7"/>
  <c r="AS13" i="7"/>
  <c r="BD13" i="7"/>
  <c r="BS120" i="5"/>
  <c r="CA120" i="5"/>
  <c r="X120" i="5"/>
  <c r="BZ120" i="5"/>
  <c r="EF6" i="7"/>
  <c r="EK6" i="7"/>
  <c r="BK120" i="5"/>
  <c r="CM120" i="5"/>
  <c r="CU120" i="5"/>
  <c r="P120" i="5"/>
  <c r="AJ120" i="5"/>
  <c r="BQ120" i="5"/>
  <c r="BV120" i="5"/>
  <c r="CN129" i="5"/>
  <c r="CS129" i="5"/>
  <c r="DC129" i="5"/>
  <c r="DH129" i="5"/>
  <c r="DM129" i="5"/>
  <c r="DR129" i="5"/>
  <c r="DW129" i="5"/>
  <c r="DK13" i="7"/>
  <c r="DG20" i="7"/>
  <c r="DJ20" i="7"/>
  <c r="BA13" i="7"/>
  <c r="DK20" i="7"/>
  <c r="DJ13" i="7"/>
  <c r="DF20" i="7"/>
  <c r="DR153" i="7"/>
  <c r="DR154" i="7" s="1"/>
  <c r="DS154" i="7"/>
  <c r="EA153" i="7"/>
  <c r="EF153" i="7" s="1"/>
  <c r="EK153" i="7" s="1"/>
  <c r="DO154" i="7"/>
  <c r="DN154" i="7"/>
  <c r="AR28" i="8"/>
  <c r="DK154" i="7"/>
  <c r="BS29" i="8"/>
  <c r="DG154" i="7"/>
  <c r="DI154" i="7"/>
  <c r="DU154" i="7"/>
  <c r="BK29" i="8"/>
  <c r="AI28" i="8"/>
  <c r="AJ28" i="8"/>
  <c r="BC29" i="8"/>
  <c r="CY29" i="8"/>
  <c r="DI28" i="8"/>
  <c r="K37" i="8"/>
  <c r="O37" i="8"/>
  <c r="AE37" i="8"/>
  <c r="BG29" i="8"/>
  <c r="BW29" i="8"/>
  <c r="AR37" i="8"/>
  <c r="DS55" i="8"/>
  <c r="AD73" i="8"/>
  <c r="AT73" i="8"/>
  <c r="AN28" i="8"/>
  <c r="CA29" i="8"/>
  <c r="CQ29" i="8"/>
  <c r="BD37" i="8"/>
  <c r="CJ37" i="8"/>
  <c r="CZ37" i="8"/>
  <c r="CE29" i="8"/>
  <c r="CU29" i="8"/>
  <c r="CH55" i="8"/>
  <c r="CL55" i="8"/>
  <c r="CV55" i="8"/>
  <c r="CS74" i="5"/>
  <c r="CW34" i="5"/>
  <c r="CW41" i="5" s="1"/>
  <c r="CW52" i="5" s="1"/>
  <c r="CX32" i="5"/>
  <c r="CX34" i="5" s="1"/>
  <c r="CX41" i="5" s="1"/>
  <c r="DW11" i="10"/>
  <c r="EB10" i="10" s="1"/>
  <c r="DS14" i="5"/>
  <c r="DT14" i="5" s="1"/>
  <c r="DU14" i="5" s="1"/>
  <c r="DV14" i="5" s="1"/>
  <c r="DW14" i="5" s="1"/>
  <c r="H9" i="5"/>
  <c r="BU10" i="10"/>
  <c r="BU9" i="10" s="1"/>
  <c r="BY10" i="10"/>
  <c r="BY9" i="10" s="1"/>
  <c r="CJ10" i="10"/>
  <c r="CJ9" i="10" s="1"/>
  <c r="CN10" i="10"/>
  <c r="CN9" i="10" s="1"/>
  <c r="CS10" i="10"/>
  <c r="CS9" i="10" s="1"/>
  <c r="CO10" i="10"/>
  <c r="CO9" i="10" s="1"/>
  <c r="CX15" i="5"/>
  <c r="DC17" i="5"/>
  <c r="DC24" i="5" s="1"/>
  <c r="DR11" i="10"/>
  <c r="DW10" i="10" s="1"/>
  <c r="CY41" i="5"/>
  <c r="CY52" i="5" s="1"/>
  <c r="CZ39" i="5"/>
  <c r="DA39" i="5" s="1"/>
  <c r="AG9" i="5"/>
  <c r="AG74" i="5" s="1"/>
  <c r="AQ17" i="5"/>
  <c r="AQ24" i="5" s="1"/>
  <c r="AZ17" i="5"/>
  <c r="AZ24" i="5" s="1"/>
  <c r="BJ9" i="5"/>
  <c r="BJ74" i="5" s="1"/>
  <c r="BT17" i="5"/>
  <c r="BT24" i="5" s="1"/>
  <c r="BY17" i="5"/>
  <c r="BY24" i="5" s="1"/>
  <c r="CN17" i="5"/>
  <c r="CN24" i="5" s="1"/>
  <c r="CX9" i="5"/>
  <c r="DM11" i="10"/>
  <c r="DX22" i="5"/>
  <c r="DY22" i="5" s="1"/>
  <c r="DZ22" i="5" s="1"/>
  <c r="EA22" i="5" s="1"/>
  <c r="EB22" i="5" s="1"/>
  <c r="CA34" i="5"/>
  <c r="CA41" i="5" s="1"/>
  <c r="CA52" i="5" s="1"/>
  <c r="CB32" i="5"/>
  <c r="CB34" i="5" s="1"/>
  <c r="CB41" i="5" s="1"/>
  <c r="CB52" i="5" s="1"/>
  <c r="CB69" i="5" s="1"/>
  <c r="DX15" i="5"/>
  <c r="CW69" i="5"/>
  <c r="DI10" i="10"/>
  <c r="DI13" i="10" s="1"/>
  <c r="DM10" i="10"/>
  <c r="DW113" i="5"/>
  <c r="DX29" i="5"/>
  <c r="DY29" i="5" s="1"/>
  <c r="DZ29" i="5" s="1"/>
  <c r="EA29" i="5" s="1"/>
  <c r="EB29" i="5" s="1"/>
  <c r="AB17" i="5"/>
  <c r="AB24" i="5" s="1"/>
  <c r="H17" i="5"/>
  <c r="H24" i="5" s="1"/>
  <c r="M9" i="5"/>
  <c r="M74" i="5" s="1"/>
  <c r="R17" i="5"/>
  <c r="R24" i="5" s="1"/>
  <c r="W17" i="5"/>
  <c r="W24" i="5" s="1"/>
  <c r="AL17" i="5"/>
  <c r="AL24" i="5" s="1"/>
  <c r="AL11" i="10"/>
  <c r="BE10" i="10"/>
  <c r="BA10" i="10"/>
  <c r="BA9" i="10" s="1"/>
  <c r="BE17" i="5"/>
  <c r="BE24" i="5" s="1"/>
  <c r="BE11" i="10"/>
  <c r="BJ10" i="10" s="1"/>
  <c r="BJ9" i="10" s="1"/>
  <c r="BO17" i="5"/>
  <c r="BO11" i="10"/>
  <c r="BO9" i="10" s="1"/>
  <c r="BY9" i="5"/>
  <c r="BY74" i="5" s="1"/>
  <c r="DH10" i="10"/>
  <c r="DD10" i="10"/>
  <c r="DD13" i="10" s="1"/>
  <c r="DW34" i="5"/>
  <c r="DW41" i="5" s="1"/>
  <c r="DX28" i="5"/>
  <c r="DY28" i="5" s="1"/>
  <c r="DZ28" i="5" s="1"/>
  <c r="EA28" i="5" s="1"/>
  <c r="EB28" i="5" s="1"/>
  <c r="DA34" i="5"/>
  <c r="DA41" i="5" s="1"/>
  <c r="CD67" i="5"/>
  <c r="CD20" i="10"/>
  <c r="CI67" i="5"/>
  <c r="CI20" i="10"/>
  <c r="CS67" i="5"/>
  <c r="CS20" i="10"/>
  <c r="DX38" i="5"/>
  <c r="DY38" i="5" s="1"/>
  <c r="DZ38" i="5" s="1"/>
  <c r="EA38" i="5" s="1"/>
  <c r="EB38" i="5" s="1"/>
  <c r="R50" i="5"/>
  <c r="R109" i="5" s="1"/>
  <c r="AL50" i="5"/>
  <c r="AL109" i="5" s="1"/>
  <c r="V55" i="5"/>
  <c r="AP55" i="5"/>
  <c r="BS55" i="5"/>
  <c r="CR56" i="5"/>
  <c r="AE59" i="5"/>
  <c r="AJ81" i="5"/>
  <c r="AJ82" i="5" s="1"/>
  <c r="BA79" i="5"/>
  <c r="J81" i="5"/>
  <c r="AD81" i="5"/>
  <c r="AD82" i="5" s="1"/>
  <c r="BG81" i="5"/>
  <c r="CA81" i="5"/>
  <c r="CA82" i="5" s="1"/>
  <c r="CU81" i="5"/>
  <c r="DG81" i="5"/>
  <c r="P91" i="5"/>
  <c r="AJ91" i="5"/>
  <c r="F116" i="5"/>
  <c r="F127" i="5" s="1"/>
  <c r="Z116" i="5"/>
  <c r="Z127" i="5" s="1"/>
  <c r="AA123" i="5" s="1"/>
  <c r="BL116" i="5"/>
  <c r="BL127" i="5" s="1"/>
  <c r="CE116" i="5"/>
  <c r="CE127" i="5" s="1"/>
  <c r="CV116" i="5"/>
  <c r="CV127" i="5" s="1"/>
  <c r="DP116" i="5"/>
  <c r="DP127" i="5" s="1"/>
  <c r="T120" i="5"/>
  <c r="BM120" i="5"/>
  <c r="BR120" i="5"/>
  <c r="Z55" i="5"/>
  <c r="AT55" i="5"/>
  <c r="BW55" i="5"/>
  <c r="AY56" i="5"/>
  <c r="AE81" i="5"/>
  <c r="AE82" i="5" s="1"/>
  <c r="Z81" i="5"/>
  <c r="AT81" i="5"/>
  <c r="BC81" i="5"/>
  <c r="BW81" i="5"/>
  <c r="BW82" i="5" s="1"/>
  <c r="CQ81" i="5"/>
  <c r="G116" i="5"/>
  <c r="G127" i="5" s="1"/>
  <c r="AA116" i="5"/>
  <c r="AA127" i="5" s="1"/>
  <c r="BW116" i="5"/>
  <c r="BW127" i="5" s="1"/>
  <c r="BX130" i="5" s="1"/>
  <c r="CF116" i="5"/>
  <c r="CF127" i="5" s="1"/>
  <c r="CY116" i="5"/>
  <c r="CY127" i="5" s="1"/>
  <c r="BU120" i="5"/>
  <c r="BY120" i="5" s="1"/>
  <c r="DD120" i="5"/>
  <c r="DI120" i="5"/>
  <c r="BW136" i="5"/>
  <c r="BX136" i="5" s="1"/>
  <c r="BY136" i="5" s="1"/>
  <c r="DX19" i="5"/>
  <c r="DY19" i="5" s="1"/>
  <c r="DZ19" i="5" s="1"/>
  <c r="EA19" i="5" s="1"/>
  <c r="EB19" i="5" s="1"/>
  <c r="DX23" i="5"/>
  <c r="DY23" i="5" s="1"/>
  <c r="DZ23" i="5" s="1"/>
  <c r="EA23" i="5" s="1"/>
  <c r="EB23" i="5" s="1"/>
  <c r="DX30" i="5"/>
  <c r="DY30" i="5" s="1"/>
  <c r="DZ30" i="5" s="1"/>
  <c r="EA30" i="5" s="1"/>
  <c r="EB30" i="5" s="1"/>
  <c r="DX40" i="5"/>
  <c r="DY40" i="5" s="1"/>
  <c r="DZ40" i="5" s="1"/>
  <c r="EA40" i="5" s="1"/>
  <c r="EB40" i="5" s="1"/>
  <c r="EH51" i="5"/>
  <c r="EI51" i="5" s="1"/>
  <c r="EJ51" i="5" s="1"/>
  <c r="EK51" i="5" s="1"/>
  <c r="EL51" i="5" s="1"/>
  <c r="BE50" i="5"/>
  <c r="BE109" i="5" s="1"/>
  <c r="BY50" i="5"/>
  <c r="BY109" i="5" s="1"/>
  <c r="CS50" i="5"/>
  <c r="CS109" i="5" s="1"/>
  <c r="AD55" i="5"/>
  <c r="AY55" i="5"/>
  <c r="CM55" i="5"/>
  <c r="BS56" i="5"/>
  <c r="AI59" i="5"/>
  <c r="AM58" i="5"/>
  <c r="W78" i="5"/>
  <c r="AN81" i="5"/>
  <c r="BF79" i="5"/>
  <c r="G81" i="5"/>
  <c r="H81" i="5" s="1"/>
  <c r="H82" i="5" s="1"/>
  <c r="Q81" i="5"/>
  <c r="AS81" i="5"/>
  <c r="V81" i="5"/>
  <c r="BS81" i="5"/>
  <c r="BS82" i="5" s="1"/>
  <c r="CM81" i="5"/>
  <c r="Z91" i="5"/>
  <c r="AT91" i="5"/>
  <c r="H103" i="5"/>
  <c r="AM116" i="5"/>
  <c r="AM127" i="5" s="1"/>
  <c r="AJ114" i="5"/>
  <c r="BI114" i="5"/>
  <c r="CR114" i="5"/>
  <c r="K116" i="5"/>
  <c r="K127" i="5" s="1"/>
  <c r="AE116" i="5"/>
  <c r="AE127" i="5" s="1"/>
  <c r="CA116" i="5"/>
  <c r="CA127" i="5" s="1"/>
  <c r="CQ116" i="5"/>
  <c r="CQ127" i="5" s="1"/>
  <c r="CR123" i="5" s="1"/>
  <c r="CZ116" i="5"/>
  <c r="CZ127" i="5" s="1"/>
  <c r="O120" i="5"/>
  <c r="CH120" i="5"/>
  <c r="DP120" i="5"/>
  <c r="AE136" i="5"/>
  <c r="AO136" i="5"/>
  <c r="CC136" i="5"/>
  <c r="CL136" i="5"/>
  <c r="CM136" i="5" s="1"/>
  <c r="CZ34" i="5"/>
  <c r="CZ41" i="5" s="1"/>
  <c r="CZ52" i="5" s="1"/>
  <c r="DM67" i="5"/>
  <c r="AQ34" i="5"/>
  <c r="AQ41" i="5" s="1"/>
  <c r="BE34" i="5"/>
  <c r="BE41" i="5" s="1"/>
  <c r="DX37" i="5"/>
  <c r="DX154" i="5" s="1"/>
  <c r="AH55" i="5"/>
  <c r="BC55" i="5"/>
  <c r="CQ55" i="5"/>
  <c r="CM56" i="5"/>
  <c r="T59" i="5"/>
  <c r="AD59" i="5"/>
  <c r="AJ66" i="5"/>
  <c r="CQ66" i="5"/>
  <c r="CQ59" i="5" s="1"/>
  <c r="AI81" i="5"/>
  <c r="BB81" i="5"/>
  <c r="CC77" i="5"/>
  <c r="CC81" i="5" s="1"/>
  <c r="CC82" i="5" s="1"/>
  <c r="CL81" i="5"/>
  <c r="CL82" i="5" s="1"/>
  <c r="H78" i="5"/>
  <c r="AJ79" i="5"/>
  <c r="U81" i="5"/>
  <c r="U82" i="5" s="1"/>
  <c r="K91" i="5"/>
  <c r="O91" i="5"/>
  <c r="AE91" i="5"/>
  <c r="AI91" i="5"/>
  <c r="BB91" i="5"/>
  <c r="BN91" i="5"/>
  <c r="BR91" i="5"/>
  <c r="BV91" i="5"/>
  <c r="CH91" i="5"/>
  <c r="CL91" i="5"/>
  <c r="CP91" i="5"/>
  <c r="DG91" i="5"/>
  <c r="DO91" i="5"/>
  <c r="DS91" i="5"/>
  <c r="AK114" i="5"/>
  <c r="BN114" i="5"/>
  <c r="V116" i="5"/>
  <c r="V127" i="5" s="1"/>
  <c r="BK116" i="5"/>
  <c r="BK127" i="5" s="1"/>
  <c r="CB116" i="5"/>
  <c r="CB127" i="5" s="1"/>
  <c r="CU116" i="5"/>
  <c r="CU127" i="5" s="1"/>
  <c r="CV123" i="5" s="1"/>
  <c r="DO116" i="5"/>
  <c r="DO127" i="5" s="1"/>
  <c r="CT120" i="5"/>
  <c r="DQ120" i="5"/>
  <c r="CR136" i="5"/>
  <c r="CS136" i="5" s="1"/>
  <c r="BD139" i="5"/>
  <c r="BD142" i="5"/>
  <c r="BE142" i="5" s="1"/>
  <c r="BD144" i="5"/>
  <c r="BE144" i="5" s="1"/>
  <c r="BI138" i="5"/>
  <c r="BJ138" i="5" s="1"/>
  <c r="BI141" i="5"/>
  <c r="BJ141" i="5" s="1"/>
  <c r="BI143" i="5"/>
  <c r="BI146" i="5"/>
  <c r="BJ146" i="5" s="1"/>
  <c r="BN140" i="5"/>
  <c r="BO140" i="5" s="1"/>
  <c r="BN142" i="5"/>
  <c r="BO142" i="5" s="1"/>
  <c r="BN145" i="5"/>
  <c r="BO145" i="5" s="1"/>
  <c r="BS139" i="5"/>
  <c r="BT139" i="5" s="1"/>
  <c r="BS141" i="5"/>
  <c r="BS144" i="5"/>
  <c r="BT144" i="5" s="1"/>
  <c r="BX138" i="5"/>
  <c r="BY138" i="5" s="1"/>
  <c r="BX140" i="5"/>
  <c r="BY140" i="5" s="1"/>
  <c r="BX143" i="5"/>
  <c r="BY143" i="5" s="1"/>
  <c r="BX146" i="5"/>
  <c r="BY146" i="5" s="1"/>
  <c r="CC139" i="5"/>
  <c r="CC142" i="5"/>
  <c r="CD142" i="5" s="1"/>
  <c r="CC145" i="5"/>
  <c r="CD145" i="5" s="1"/>
  <c r="CH138" i="5"/>
  <c r="CI138" i="5" s="1"/>
  <c r="CH141" i="5"/>
  <c r="CI141" i="5" s="1"/>
  <c r="CH144" i="5"/>
  <c r="CI144" i="5" s="1"/>
  <c r="CH146" i="5"/>
  <c r="CI146" i="5" s="1"/>
  <c r="CM140" i="5"/>
  <c r="CN140" i="5" s="1"/>
  <c r="CM143" i="5"/>
  <c r="CN143" i="5" s="1"/>
  <c r="CM145" i="5"/>
  <c r="CN145" i="5" s="1"/>
  <c r="CR139" i="5"/>
  <c r="CS139" i="5" s="1"/>
  <c r="CR142" i="5"/>
  <c r="CS142" i="5" s="1"/>
  <c r="CR144" i="5"/>
  <c r="CW138" i="5"/>
  <c r="CX138" i="5" s="1"/>
  <c r="CW141" i="5"/>
  <c r="CX141" i="5" s="1"/>
  <c r="CW143" i="5"/>
  <c r="DB142" i="5"/>
  <c r="DC142" i="5" s="1"/>
  <c r="DP142" i="5"/>
  <c r="DQ142" i="5" s="1"/>
  <c r="AN155" i="5"/>
  <c r="DB157" i="5"/>
  <c r="CR167" i="5"/>
  <c r="CS167" i="5" s="1"/>
  <c r="BN166" i="5"/>
  <c r="BO166" i="5" s="1"/>
  <c r="DR166" i="5"/>
  <c r="Z151" i="5"/>
  <c r="AA151" i="5" s="1"/>
  <c r="AJ150" i="5"/>
  <c r="AT157" i="5"/>
  <c r="AT198" i="5" s="1"/>
  <c r="BH150" i="5"/>
  <c r="DM151" i="5"/>
  <c r="DR154" i="5"/>
  <c r="DU156" i="5"/>
  <c r="DU197" i="5" s="1"/>
  <c r="AD155" i="5"/>
  <c r="AD158" i="5" s="1"/>
  <c r="AF165" i="5"/>
  <c r="AK165" i="5"/>
  <c r="AP165" i="5"/>
  <c r="BI161" i="5"/>
  <c r="CR165" i="5"/>
  <c r="DU161" i="5"/>
  <c r="DU124" i="5" s="1"/>
  <c r="BN164" i="5"/>
  <c r="BS164" i="5"/>
  <c r="BT164" i="5" s="1"/>
  <c r="BR167" i="5"/>
  <c r="BS167" i="5" s="1"/>
  <c r="BT167" i="5" s="1"/>
  <c r="BX168" i="5"/>
  <c r="BY168" i="5" s="1"/>
  <c r="CV167" i="5"/>
  <c r="CX167" i="5" s="1"/>
  <c r="BC141" i="5"/>
  <c r="BD141" i="5" s="1"/>
  <c r="BE141" i="5" s="1"/>
  <c r="BH140" i="5"/>
  <c r="BI140" i="5" s="1"/>
  <c r="BJ140" i="5" s="1"/>
  <c r="BJ143" i="5"/>
  <c r="BM139" i="5"/>
  <c r="BM78" i="5" s="1"/>
  <c r="BM79" i="5" s="1"/>
  <c r="BR138" i="5"/>
  <c r="BS138" i="5" s="1"/>
  <c r="BT138" i="5" s="1"/>
  <c r="BT141" i="5"/>
  <c r="BR146" i="5"/>
  <c r="BS146" i="5" s="1"/>
  <c r="BT146" i="5" s="1"/>
  <c r="BW145" i="5"/>
  <c r="BX145" i="5" s="1"/>
  <c r="BY145" i="5" s="1"/>
  <c r="CD139" i="5"/>
  <c r="CB144" i="5"/>
  <c r="CC144" i="5" s="1"/>
  <c r="CD144" i="5" s="1"/>
  <c r="CG143" i="5"/>
  <c r="CH143" i="5" s="1"/>
  <c r="CI143" i="5" s="1"/>
  <c r="CL142" i="5"/>
  <c r="CM142" i="5" s="1"/>
  <c r="CN142" i="5" s="1"/>
  <c r="CQ141" i="5"/>
  <c r="CR141" i="5" s="1"/>
  <c r="CS141" i="5" s="1"/>
  <c r="CS144" i="5"/>
  <c r="CV140" i="5"/>
  <c r="CW140" i="5" s="1"/>
  <c r="CX140" i="5" s="1"/>
  <c r="CW142" i="5"/>
  <c r="CX142" i="5" s="1"/>
  <c r="CX143" i="5"/>
  <c r="DB138" i="5"/>
  <c r="DC138" i="5" s="1"/>
  <c r="DF142" i="5"/>
  <c r="DG142" i="5" s="1"/>
  <c r="DM141" i="5"/>
  <c r="BD148" i="5"/>
  <c r="BE148" i="5" s="1"/>
  <c r="BH148" i="5"/>
  <c r="BI148" i="5" s="1"/>
  <c r="BJ148" i="5" s="1"/>
  <c r="AS155" i="5"/>
  <c r="BB155" i="5"/>
  <c r="BB158" i="5" s="1"/>
  <c r="F164" i="5"/>
  <c r="G164" i="5" s="1"/>
  <c r="H164" i="5" s="1"/>
  <c r="K165" i="5"/>
  <c r="L165" i="5" s="1"/>
  <c r="M165" i="5" s="1"/>
  <c r="P165" i="5"/>
  <c r="Q165" i="5" s="1"/>
  <c r="R165" i="5" s="1"/>
  <c r="U165" i="5"/>
  <c r="V165" i="5" s="1"/>
  <c r="W165" i="5" s="1"/>
  <c r="Z165" i="5"/>
  <c r="AA165" i="5" s="1"/>
  <c r="AB165" i="5" s="1"/>
  <c r="BX167" i="5"/>
  <c r="BY167" i="5" s="1"/>
  <c r="CC168" i="5"/>
  <c r="CD168" i="5" s="1"/>
  <c r="AA136" i="5"/>
  <c r="AB136" i="5" s="1"/>
  <c r="AK136" i="5"/>
  <c r="AL136" i="5" s="1"/>
  <c r="BI136" i="5"/>
  <c r="BS136" i="5"/>
  <c r="BT136" i="5" s="1"/>
  <c r="CG136" i="5"/>
  <c r="CH136" i="5" s="1"/>
  <c r="CV136" i="5"/>
  <c r="CW136" i="5" s="1"/>
  <c r="CX136" i="5" s="1"/>
  <c r="DF136" i="5"/>
  <c r="AA139" i="5"/>
  <c r="BC138" i="5"/>
  <c r="BD138" i="5" s="1"/>
  <c r="BE138" i="5" s="1"/>
  <c r="BC140" i="5"/>
  <c r="BD140" i="5" s="1"/>
  <c r="BC143" i="5"/>
  <c r="BD143" i="5" s="1"/>
  <c r="BE143" i="5" s="1"/>
  <c r="BD145" i="5"/>
  <c r="BE145" i="5" s="1"/>
  <c r="BC146" i="5"/>
  <c r="BD146" i="5" s="1"/>
  <c r="BE146" i="5" s="1"/>
  <c r="BH139" i="5"/>
  <c r="BI139" i="5" s="1"/>
  <c r="BI78" i="5" s="1"/>
  <c r="BH142" i="5"/>
  <c r="BI142" i="5" s="1"/>
  <c r="BJ142" i="5" s="1"/>
  <c r="BI144" i="5"/>
  <c r="BJ144" i="5" s="1"/>
  <c r="BH145" i="5"/>
  <c r="BI145" i="5" s="1"/>
  <c r="BJ145" i="5" s="1"/>
  <c r="BM138" i="5"/>
  <c r="BM141" i="5"/>
  <c r="BN141" i="5" s="1"/>
  <c r="BO141" i="5" s="1"/>
  <c r="BN143" i="5"/>
  <c r="BO143" i="5" s="1"/>
  <c r="BM144" i="5"/>
  <c r="BN144" i="5" s="1"/>
  <c r="BO144" i="5" s="1"/>
  <c r="BM146" i="5"/>
  <c r="BN146" i="5" s="1"/>
  <c r="BR140" i="5"/>
  <c r="BS140" i="5" s="1"/>
  <c r="BT140" i="5" s="1"/>
  <c r="BS142" i="5"/>
  <c r="BT142" i="5" s="1"/>
  <c r="BR143" i="5"/>
  <c r="BS143" i="5" s="1"/>
  <c r="BT143" i="5" s="1"/>
  <c r="BR145" i="5"/>
  <c r="BS145" i="5" s="1"/>
  <c r="BW139" i="5"/>
  <c r="BX139" i="5" s="1"/>
  <c r="BY139" i="5" s="1"/>
  <c r="BX141" i="5"/>
  <c r="BY141" i="5" s="1"/>
  <c r="BW142" i="5"/>
  <c r="BX142" i="5" s="1"/>
  <c r="BY142" i="5" s="1"/>
  <c r="BW144" i="5"/>
  <c r="BX144" i="5" s="1"/>
  <c r="CB138" i="5"/>
  <c r="CC138" i="5" s="1"/>
  <c r="CD138" i="5" s="1"/>
  <c r="CC140" i="5"/>
  <c r="CD140" i="5" s="1"/>
  <c r="CB141" i="5"/>
  <c r="CC141" i="5" s="1"/>
  <c r="CD141" i="5" s="1"/>
  <c r="CB143" i="5"/>
  <c r="CC143" i="5" s="1"/>
  <c r="CB146" i="5"/>
  <c r="CC146" i="5" s="1"/>
  <c r="CD146" i="5" s="1"/>
  <c r="CH139" i="5"/>
  <c r="CI139" i="5" s="1"/>
  <c r="CG140" i="5"/>
  <c r="CH140" i="5" s="1"/>
  <c r="CI140" i="5" s="1"/>
  <c r="CG142" i="5"/>
  <c r="CG145" i="5"/>
  <c r="CH145" i="5" s="1"/>
  <c r="CI145" i="5" s="1"/>
  <c r="CM138" i="5"/>
  <c r="CN138" i="5" s="1"/>
  <c r="CL139" i="5"/>
  <c r="CM139" i="5" s="1"/>
  <c r="CN139" i="5" s="1"/>
  <c r="CL141" i="5"/>
  <c r="CM141" i="5" s="1"/>
  <c r="CL144" i="5"/>
  <c r="CM144" i="5" s="1"/>
  <c r="CN144" i="5" s="1"/>
  <c r="CM146" i="5"/>
  <c r="CN146" i="5" s="1"/>
  <c r="CQ138" i="5"/>
  <c r="CR138" i="5" s="1"/>
  <c r="CS138" i="5" s="1"/>
  <c r="CQ140" i="5"/>
  <c r="CR140" i="5" s="1"/>
  <c r="CQ143" i="5"/>
  <c r="CR143" i="5" s="1"/>
  <c r="CS143" i="5" s="1"/>
  <c r="CR145" i="5"/>
  <c r="CS145" i="5" s="1"/>
  <c r="CQ146" i="5"/>
  <c r="CR146" i="5" s="1"/>
  <c r="CS146" i="5" s="1"/>
  <c r="CV139" i="5"/>
  <c r="CW144" i="5"/>
  <c r="CX144" i="5" s="1"/>
  <c r="DM138" i="5"/>
  <c r="DM142" i="5"/>
  <c r="AA153" i="5"/>
  <c r="AB153" i="5" s="1"/>
  <c r="AT151" i="5"/>
  <c r="AT155" i="5" s="1"/>
  <c r="AT156" i="5"/>
  <c r="AT197" i="5" s="1"/>
  <c r="BC150" i="5"/>
  <c r="DT155" i="5"/>
  <c r="Q161" i="5"/>
  <c r="AA161" i="5"/>
  <c r="AB161" i="5" s="1"/>
  <c r="AK161" i="5"/>
  <c r="BD165" i="5"/>
  <c r="BI165" i="5"/>
  <c r="CH161" i="5"/>
  <c r="CH200" i="5" s="1"/>
  <c r="CH207" i="5" s="1"/>
  <c r="AT181" i="5"/>
  <c r="DH172" i="5"/>
  <c r="BI174" i="5"/>
  <c r="BJ174" i="5" s="1"/>
  <c r="BI178" i="5"/>
  <c r="BJ178" i="5" s="1"/>
  <c r="DR171" i="5"/>
  <c r="DC179" i="5"/>
  <c r="DU179" i="5"/>
  <c r="DV179" i="5" s="1"/>
  <c r="BI180" i="5"/>
  <c r="BJ180" i="5" s="1"/>
  <c r="S191" i="5"/>
  <c r="CS195" i="5"/>
  <c r="CX9" i="10"/>
  <c r="F173" i="5"/>
  <c r="G173" i="5" s="1"/>
  <c r="H173" i="5" s="1"/>
  <c r="L172" i="5"/>
  <c r="L179" i="5"/>
  <c r="P175" i="5"/>
  <c r="Q175" i="5" s="1"/>
  <c r="R175" i="5" s="1"/>
  <c r="V174" i="5"/>
  <c r="U178" i="5"/>
  <c r="V178" i="5" s="1"/>
  <c r="W178" i="5" s="1"/>
  <c r="AA176" i="5"/>
  <c r="AF173" i="5"/>
  <c r="AE178" i="5"/>
  <c r="AF178" i="5" s="1"/>
  <c r="AG178" i="5" s="1"/>
  <c r="BD172" i="5"/>
  <c r="BE172" i="5" s="1"/>
  <c r="BN173" i="5"/>
  <c r="BO173" i="5" s="1"/>
  <c r="BI9" i="10"/>
  <c r="AK171" i="5"/>
  <c r="BD178" i="5"/>
  <c r="BH175" i="5"/>
  <c r="BI175" i="5" s="1"/>
  <c r="BJ175" i="5" s="1"/>
  <c r="BH179" i="5"/>
  <c r="BI179" i="5" s="1"/>
  <c r="BJ179" i="5" s="1"/>
  <c r="DW173" i="5"/>
  <c r="DC201" i="5"/>
  <c r="DH201" i="5"/>
  <c r="G172" i="5"/>
  <c r="F177" i="5"/>
  <c r="G177" i="5" s="1"/>
  <c r="H177" i="5" s="1"/>
  <c r="L176" i="5"/>
  <c r="P171" i="5"/>
  <c r="Q171" i="5" s="1"/>
  <c r="R171" i="5" s="1"/>
  <c r="Q179" i="5"/>
  <c r="V177" i="5"/>
  <c r="W177" i="5" s="1"/>
  <c r="Z172" i="5"/>
  <c r="AA172" i="5" s="1"/>
  <c r="AB172" i="5" s="1"/>
  <c r="AA180" i="5"/>
  <c r="AE174" i="5"/>
  <c r="AF174" i="5" s="1"/>
  <c r="AG174" i="5" s="1"/>
  <c r="AK172" i="5"/>
  <c r="BD176" i="5"/>
  <c r="BE176" i="5" s="1"/>
  <c r="DR175" i="5"/>
  <c r="DK29" i="7"/>
  <c r="DK18" i="8"/>
  <c r="DW8" i="7"/>
  <c r="DW18" i="8" s="1"/>
  <c r="DS18" i="8"/>
  <c r="DC29" i="7"/>
  <c r="EG29" i="7"/>
  <c r="EL29" i="7"/>
  <c r="DD38" i="7"/>
  <c r="Q46" i="7"/>
  <c r="BH46" i="7"/>
  <c r="BM44" i="7"/>
  <c r="CG44" i="7"/>
  <c r="DA44" i="7"/>
  <c r="Y49" i="7"/>
  <c r="AW50" i="7"/>
  <c r="BA52" i="7"/>
  <c r="BF51" i="7"/>
  <c r="DA52" i="7"/>
  <c r="BH51" i="7"/>
  <c r="BX51" i="7"/>
  <c r="DD51" i="7"/>
  <c r="E63" i="7"/>
  <c r="E13" i="8"/>
  <c r="J13" i="8"/>
  <c r="T56" i="7"/>
  <c r="T13" i="8"/>
  <c r="T14" i="8" s="1"/>
  <c r="Y63" i="7"/>
  <c r="Y13" i="8"/>
  <c r="AD14" i="8"/>
  <c r="AN14" i="8"/>
  <c r="AN56" i="7"/>
  <c r="AN13" i="8"/>
  <c r="AS63" i="7"/>
  <c r="AS13" i="8"/>
  <c r="AS14" i="8" s="1"/>
  <c r="K58" i="7"/>
  <c r="K15" i="8"/>
  <c r="K76" i="8" s="1"/>
  <c r="P58" i="7"/>
  <c r="P15" i="8"/>
  <c r="P40" i="8" s="1"/>
  <c r="Z16" i="8"/>
  <c r="AE58" i="7"/>
  <c r="AE15" i="8"/>
  <c r="AJ58" i="7"/>
  <c r="AJ15" i="8"/>
  <c r="AJ76" i="8" s="1"/>
  <c r="AT16" i="8"/>
  <c r="Z58" i="7"/>
  <c r="AT58" i="7"/>
  <c r="AY63" i="7"/>
  <c r="AY13" i="8"/>
  <c r="BD56" i="7"/>
  <c r="BD13" i="8"/>
  <c r="BI63" i="7"/>
  <c r="BI13" i="8"/>
  <c r="BN13" i="8"/>
  <c r="BS13" i="8"/>
  <c r="BX13" i="8"/>
  <c r="CC14" i="8" s="1"/>
  <c r="CH13" i="8"/>
  <c r="CM63" i="7"/>
  <c r="CM13" i="8"/>
  <c r="CR56" i="7"/>
  <c r="CR13" i="8"/>
  <c r="CW63" i="7"/>
  <c r="CW13" i="8"/>
  <c r="CW14" i="8" s="1"/>
  <c r="DB13" i="8"/>
  <c r="DL56" i="7"/>
  <c r="DL13" i="8"/>
  <c r="DL14" i="8" s="1"/>
  <c r="DV13" i="8"/>
  <c r="DV14" i="8" s="1"/>
  <c r="CK56" i="7"/>
  <c r="DE56" i="7"/>
  <c r="BE57" i="7"/>
  <c r="BE15" i="8" s="1"/>
  <c r="BA15" i="8"/>
  <c r="BF16" i="8" s="1"/>
  <c r="BO57" i="7"/>
  <c r="BO15" i="8" s="1"/>
  <c r="BK15" i="8"/>
  <c r="BK16" i="8" s="1"/>
  <c r="BP58" i="7"/>
  <c r="BP15" i="8"/>
  <c r="BP76" i="8" s="1"/>
  <c r="BU77" i="8" s="1"/>
  <c r="BY57" i="7"/>
  <c r="BY15" i="8" s="1"/>
  <c r="BU15" i="8"/>
  <c r="BU76" i="8" s="1"/>
  <c r="CI57" i="7"/>
  <c r="CI15" i="8" s="1"/>
  <c r="CE15" i="8"/>
  <c r="CE58" i="8" s="1"/>
  <c r="CJ58" i="7"/>
  <c r="CJ15" i="8"/>
  <c r="CT58" i="7"/>
  <c r="CO15" i="8"/>
  <c r="CT16" i="8" s="1"/>
  <c r="CY58" i="7"/>
  <c r="CY15" i="8"/>
  <c r="CY16" i="8" s="1"/>
  <c r="DN58" i="7"/>
  <c r="DI15" i="8"/>
  <c r="DI16" i="8" s="1"/>
  <c r="DR57" i="7"/>
  <c r="DR15" i="8" s="1"/>
  <c r="DN15" i="8"/>
  <c r="DS58" i="7"/>
  <c r="DS15" i="8"/>
  <c r="BA58" i="7"/>
  <c r="CA58" i="7"/>
  <c r="CU58" i="7"/>
  <c r="AT63" i="7"/>
  <c r="DQ63" i="7"/>
  <c r="AT129" i="7"/>
  <c r="Q70" i="7"/>
  <c r="AT70" i="7"/>
  <c r="BA70" i="7"/>
  <c r="CG70" i="7"/>
  <c r="DI129" i="7"/>
  <c r="DN129" i="7"/>
  <c r="DJ70" i="7"/>
  <c r="F99" i="7"/>
  <c r="F8" i="8"/>
  <c r="K9" i="8" s="1"/>
  <c r="U9" i="8"/>
  <c r="Z99" i="7"/>
  <c r="Z8" i="8"/>
  <c r="Z9" i="8" s="1"/>
  <c r="AO87" i="7"/>
  <c r="AO8" i="8"/>
  <c r="AO9" i="8" s="1"/>
  <c r="AT99" i="7"/>
  <c r="AT8" i="8"/>
  <c r="O87" i="7"/>
  <c r="AA87" i="7"/>
  <c r="AI87" i="7"/>
  <c r="BA9" i="8"/>
  <c r="BF99" i="7"/>
  <c r="BF8" i="8"/>
  <c r="BK9" i="8" s="1"/>
  <c r="BF88" i="7"/>
  <c r="BP9" i="8"/>
  <c r="BU88" i="7"/>
  <c r="BU8" i="8"/>
  <c r="BU9" i="8" s="1"/>
  <c r="BZ99" i="7"/>
  <c r="BZ8" i="8"/>
  <c r="CE99" i="7"/>
  <c r="CE8" i="8"/>
  <c r="CJ9" i="8"/>
  <c r="CO99" i="7"/>
  <c r="CO8" i="8"/>
  <c r="CO9" i="8" s="1"/>
  <c r="CT99" i="7"/>
  <c r="CT8" i="8"/>
  <c r="CY99" i="7"/>
  <c r="CY8" i="8"/>
  <c r="DN87" i="7"/>
  <c r="DN8" i="8"/>
  <c r="DS8" i="8"/>
  <c r="CA87" i="7"/>
  <c r="CR87" i="7"/>
  <c r="G94" i="7"/>
  <c r="G10" i="8"/>
  <c r="L11" i="8" s="1"/>
  <c r="Q10" i="8"/>
  <c r="Q11" i="8" s="1"/>
  <c r="Q92" i="7"/>
  <c r="Q93" i="7"/>
  <c r="V93" i="7"/>
  <c r="V10" i="8"/>
  <c r="V11" i="8" s="1"/>
  <c r="AA93" i="7"/>
  <c r="AA10" i="8"/>
  <c r="AF94" i="7"/>
  <c r="AF10" i="8"/>
  <c r="AK10" i="8"/>
  <c r="AK92" i="7"/>
  <c r="AK93" i="7"/>
  <c r="AP93" i="7"/>
  <c r="AP10" i="8"/>
  <c r="AP11" i="8" s="1"/>
  <c r="P93" i="7"/>
  <c r="AG6" i="7"/>
  <c r="AL6" i="7"/>
  <c r="AQ6" i="7"/>
  <c r="BQ39" i="7"/>
  <c r="BD46" i="7"/>
  <c r="BI46" i="7"/>
  <c r="AK49" i="7"/>
  <c r="AK165" i="7" s="1"/>
  <c r="AW52" i="7"/>
  <c r="BL52" i="7"/>
  <c r="CB52" i="7"/>
  <c r="CF52" i="7"/>
  <c r="CR52" i="7"/>
  <c r="CV52" i="7"/>
  <c r="DL52" i="7"/>
  <c r="DQ52" i="7"/>
  <c r="BL51" i="7"/>
  <c r="CB51" i="7"/>
  <c r="CR51" i="7"/>
  <c r="DL51" i="7"/>
  <c r="P14" i="8"/>
  <c r="P63" i="7"/>
  <c r="U64" i="7" s="1"/>
  <c r="P13" i="8"/>
  <c r="U63" i="7"/>
  <c r="U13" i="8"/>
  <c r="U14" i="8" s="1"/>
  <c r="Z13" i="8"/>
  <c r="AE14" i="8" s="1"/>
  <c r="AJ56" i="7"/>
  <c r="AJ13" i="8"/>
  <c r="AJ14" i="8" s="1"/>
  <c r="AO63" i="7"/>
  <c r="AO13" i="8"/>
  <c r="Z56" i="7"/>
  <c r="AT56" i="7"/>
  <c r="L58" i="7"/>
  <c r="L15" i="8"/>
  <c r="L16" i="8" s="1"/>
  <c r="V16" i="8"/>
  <c r="AA58" i="7"/>
  <c r="AA15" i="8"/>
  <c r="AF58" i="7"/>
  <c r="AF15" i="8"/>
  <c r="AK16" i="8"/>
  <c r="AP16" i="8"/>
  <c r="BA13" i="8"/>
  <c r="BA14" i="8" s="1"/>
  <c r="BF13" i="8"/>
  <c r="BK13" i="8"/>
  <c r="BP56" i="7"/>
  <c r="BP13" i="8"/>
  <c r="BP14" i="8" s="1"/>
  <c r="BZ13" i="8"/>
  <c r="CE56" i="7"/>
  <c r="CE13" i="8"/>
  <c r="CJ56" i="7"/>
  <c r="CJ13" i="8"/>
  <c r="CO63" i="7"/>
  <c r="CO13" i="8"/>
  <c r="CT13" i="8"/>
  <c r="CY14" i="8" s="1"/>
  <c r="CY13" i="8"/>
  <c r="DN13" i="8"/>
  <c r="DS63" i="7"/>
  <c r="DS13" i="8"/>
  <c r="BA56" i="7"/>
  <c r="BU56" i="7"/>
  <c r="CO56" i="7"/>
  <c r="DI56" i="7"/>
  <c r="BB58" i="7"/>
  <c r="BB15" i="8"/>
  <c r="BB16" i="8" s="1"/>
  <c r="BG58" i="7"/>
  <c r="BG15" i="8"/>
  <c r="BG58" i="8" s="1"/>
  <c r="BV77" i="8"/>
  <c r="CA16" i="8"/>
  <c r="CP58" i="7"/>
  <c r="CK15" i="8"/>
  <c r="CK76" i="8" s="1"/>
  <c r="CP77" i="8" s="1"/>
  <c r="CZ16" i="8"/>
  <c r="DO58" i="7"/>
  <c r="DO15" i="8"/>
  <c r="DT16" i="8" s="1"/>
  <c r="BF58" i="7"/>
  <c r="CE58" i="7"/>
  <c r="BU63" i="7"/>
  <c r="DV63" i="7"/>
  <c r="AP129" i="7"/>
  <c r="I70" i="7"/>
  <c r="AO70" i="7"/>
  <c r="BQ70" i="7"/>
  <c r="CK70" i="7"/>
  <c r="CW70" i="7"/>
  <c r="DJ129" i="7"/>
  <c r="DO70" i="7"/>
  <c r="DC73" i="7"/>
  <c r="DC74" i="7" s="1"/>
  <c r="Q161" i="7"/>
  <c r="L8" i="8"/>
  <c r="L9" i="8" s="1"/>
  <c r="Q106" i="7"/>
  <c r="Q8" i="8"/>
  <c r="V88" i="7"/>
  <c r="V8" i="8"/>
  <c r="AK161" i="7"/>
  <c r="AF8" i="8"/>
  <c r="AF9" i="8" s="1"/>
  <c r="AK106" i="7"/>
  <c r="AK8" i="8"/>
  <c r="AP99" i="7"/>
  <c r="AP8" i="8"/>
  <c r="S87" i="7"/>
  <c r="AM87" i="7"/>
  <c r="AW99" i="7"/>
  <c r="AW8" i="8"/>
  <c r="BB9" i="8" s="1"/>
  <c r="BB99" i="7"/>
  <c r="BB8" i="8"/>
  <c r="BG99" i="7"/>
  <c r="BG8" i="8"/>
  <c r="BL9" i="8" s="1"/>
  <c r="BQ9" i="8"/>
  <c r="BV99" i="7"/>
  <c r="BV8" i="8"/>
  <c r="CA9" i="8" s="1"/>
  <c r="CF9" i="8"/>
  <c r="CK88" i="7"/>
  <c r="CK8" i="8"/>
  <c r="CK9" i="8" s="1"/>
  <c r="CP99" i="7"/>
  <c r="CP8" i="8"/>
  <c r="CP9" i="8" s="1"/>
  <c r="CU94" i="7"/>
  <c r="CU8" i="8"/>
  <c r="CZ9" i="8" s="1"/>
  <c r="DJ99" i="7"/>
  <c r="DJ8" i="8"/>
  <c r="DJ9" i="8" s="1"/>
  <c r="DO8" i="8"/>
  <c r="DO88" i="7"/>
  <c r="DT99" i="7"/>
  <c r="DT8" i="8"/>
  <c r="BK87" i="7"/>
  <c r="CB87" i="7"/>
  <c r="CV87" i="7"/>
  <c r="CA88" i="7"/>
  <c r="DG88" i="7"/>
  <c r="H91" i="7"/>
  <c r="H10" i="8" s="1"/>
  <c r="D10" i="8"/>
  <c r="I11" i="8" s="1"/>
  <c r="N93" i="7"/>
  <c r="N10" i="8"/>
  <c r="N11" i="8" s="1"/>
  <c r="S94" i="7"/>
  <c r="S10" i="8"/>
  <c r="X93" i="7"/>
  <c r="X10" i="8"/>
  <c r="X78" i="8" s="1"/>
  <c r="AC93" i="7"/>
  <c r="AC10" i="8"/>
  <c r="AH93" i="7"/>
  <c r="AH10" i="8"/>
  <c r="AQ91" i="7"/>
  <c r="AQ10" i="8" s="1"/>
  <c r="AM10" i="8"/>
  <c r="AM93" i="7"/>
  <c r="AR92" i="7"/>
  <c r="AR10" i="8"/>
  <c r="AR42" i="8" s="1"/>
  <c r="AM92" i="7"/>
  <c r="AZ9" i="7"/>
  <c r="AZ19" i="8" s="1"/>
  <c r="AV19" i="8"/>
  <c r="BE9" i="7"/>
  <c r="BE19" i="8" s="1"/>
  <c r="BA19" i="8"/>
  <c r="BJ9" i="7"/>
  <c r="BJ19" i="8" s="1"/>
  <c r="BF19" i="8"/>
  <c r="BY9" i="7"/>
  <c r="BY19" i="8" s="1"/>
  <c r="BU19" i="8"/>
  <c r="CD9" i="7"/>
  <c r="CD19" i="8" s="1"/>
  <c r="BZ19" i="8"/>
  <c r="CN9" i="7"/>
  <c r="CN19" i="8" s="1"/>
  <c r="CJ19" i="8"/>
  <c r="CS9" i="7"/>
  <c r="CS19" i="8" s="1"/>
  <c r="CO19" i="8"/>
  <c r="CX9" i="7"/>
  <c r="CX19" i="8" s="1"/>
  <c r="CT19" i="8"/>
  <c r="DM9" i="7"/>
  <c r="DM19" i="8" s="1"/>
  <c r="DI19" i="8"/>
  <c r="DV29" i="7"/>
  <c r="DW29" i="7" s="1"/>
  <c r="DM31" i="7"/>
  <c r="DR31" i="7"/>
  <c r="L39" i="7"/>
  <c r="AF39" i="7"/>
  <c r="BC52" i="7"/>
  <c r="BM39" i="7"/>
  <c r="CQ52" i="7"/>
  <c r="BA46" i="7"/>
  <c r="BM52" i="7"/>
  <c r="BQ52" i="7"/>
  <c r="CC52" i="7"/>
  <c r="CG52" i="7"/>
  <c r="CK52" i="7"/>
  <c r="DI52" i="7"/>
  <c r="BH50" i="7"/>
  <c r="CV50" i="7"/>
  <c r="BP51" i="7"/>
  <c r="CF51" i="7"/>
  <c r="CV51" i="7"/>
  <c r="DP51" i="7"/>
  <c r="Q63" i="7"/>
  <c r="Q13" i="8"/>
  <c r="Q14" i="8" s="1"/>
  <c r="AF63" i="7"/>
  <c r="AF13" i="8"/>
  <c r="AF14" i="8" s="1"/>
  <c r="AK63" i="7"/>
  <c r="AK13" i="8"/>
  <c r="AP13" i="8"/>
  <c r="J56" i="7"/>
  <c r="AD56" i="7"/>
  <c r="M57" i="7"/>
  <c r="I15" i="8"/>
  <c r="R57" i="7"/>
  <c r="R15" i="8" s="1"/>
  <c r="N15" i="8"/>
  <c r="S58" i="7"/>
  <c r="S15" i="8"/>
  <c r="S76" i="8" s="1"/>
  <c r="X58" i="7"/>
  <c r="X15" i="8"/>
  <c r="X40" i="8" s="1"/>
  <c r="AG57" i="7"/>
  <c r="AG15" i="8" s="1"/>
  <c r="AC15" i="8"/>
  <c r="AL57" i="7"/>
  <c r="AL15" i="8" s="1"/>
  <c r="AH15" i="8"/>
  <c r="AM58" i="7"/>
  <c r="AM15" i="8"/>
  <c r="AR58" i="7"/>
  <c r="AR15" i="8"/>
  <c r="N58" i="7"/>
  <c r="AH58" i="7"/>
  <c r="AW63" i="7"/>
  <c r="AW13" i="8"/>
  <c r="BB13" i="8"/>
  <c r="BB14" i="8" s="1"/>
  <c r="BG63" i="7"/>
  <c r="BG13" i="8"/>
  <c r="BL56" i="7"/>
  <c r="BL13" i="8"/>
  <c r="BQ63" i="7"/>
  <c r="BQ13" i="8"/>
  <c r="BV13" i="8"/>
  <c r="CA13" i="8"/>
  <c r="CF56" i="7"/>
  <c r="CF13" i="8"/>
  <c r="CP13" i="8"/>
  <c r="CU56" i="7"/>
  <c r="CU13" i="8"/>
  <c r="CZ56" i="7"/>
  <c r="CZ13" i="8"/>
  <c r="DJ13" i="8"/>
  <c r="DJ14" i="8" s="1"/>
  <c r="DO13" i="8"/>
  <c r="DT13" i="8"/>
  <c r="BI56" i="7"/>
  <c r="CC56" i="7"/>
  <c r="CW56" i="7"/>
  <c r="DQ56" i="7"/>
  <c r="BC58" i="7"/>
  <c r="BC15" i="8"/>
  <c r="BC16" i="8" s="1"/>
  <c r="BR58" i="7"/>
  <c r="BM15" i="8"/>
  <c r="BR16" i="8" s="1"/>
  <c r="BW58" i="7"/>
  <c r="BW15" i="8"/>
  <c r="BW58" i="8" s="1"/>
  <c r="CB58" i="7"/>
  <c r="CB15" i="8"/>
  <c r="CB76" i="8" s="1"/>
  <c r="CL58" i="7"/>
  <c r="CG15" i="8"/>
  <c r="CG76" i="8" s="1"/>
  <c r="CG77" i="8" s="1"/>
  <c r="CV58" i="7"/>
  <c r="CV15" i="8"/>
  <c r="CV76" i="8" s="1"/>
  <c r="DF58" i="7"/>
  <c r="DA15" i="8"/>
  <c r="DA76" i="8" s="1"/>
  <c r="DA77" i="8" s="1"/>
  <c r="DK58" i="7"/>
  <c r="DK15" i="8"/>
  <c r="DK16" i="8" s="1"/>
  <c r="DP76" i="8"/>
  <c r="DU58" i="7"/>
  <c r="DU15" i="8"/>
  <c r="BK58" i="7"/>
  <c r="CM58" i="7"/>
  <c r="H57" i="7"/>
  <c r="H15" i="8" s="1"/>
  <c r="D15" i="8"/>
  <c r="CK63" i="7"/>
  <c r="AP70" i="7"/>
  <c r="BI70" i="7"/>
  <c r="BU70" i="7"/>
  <c r="DA70" i="7"/>
  <c r="DF129" i="7"/>
  <c r="DU129" i="7"/>
  <c r="I106" i="7"/>
  <c r="I8" i="8"/>
  <c r="I9" i="8" s="1"/>
  <c r="N106" i="7"/>
  <c r="N8" i="8"/>
  <c r="AC106" i="7"/>
  <c r="AC8" i="8"/>
  <c r="AC9" i="8" s="1"/>
  <c r="AH99" i="7"/>
  <c r="AH8" i="8"/>
  <c r="K87" i="7"/>
  <c r="V87" i="7"/>
  <c r="AE87" i="7"/>
  <c r="AP87" i="7"/>
  <c r="AX99" i="7"/>
  <c r="AX8" i="8"/>
  <c r="BC101" i="7"/>
  <c r="BC102" i="7" s="1"/>
  <c r="BC8" i="8"/>
  <c r="BH9" i="8" s="1"/>
  <c r="BM9" i="8"/>
  <c r="BR99" i="7"/>
  <c r="BR8" i="8"/>
  <c r="BW9" i="8" s="1"/>
  <c r="BW99" i="7"/>
  <c r="BW8" i="8"/>
  <c r="BW88" i="7"/>
  <c r="CB9" i="8"/>
  <c r="CG9" i="8"/>
  <c r="CL99" i="7"/>
  <c r="CL8" i="8"/>
  <c r="CQ99" i="7"/>
  <c r="CQ8" i="8"/>
  <c r="CV9" i="8" s="1"/>
  <c r="CQ88" i="7"/>
  <c r="DA88" i="7"/>
  <c r="DA8" i="8"/>
  <c r="DA9" i="8" s="1"/>
  <c r="DK94" i="7"/>
  <c r="DK8" i="8"/>
  <c r="DK9" i="8" s="1"/>
  <c r="DP99" i="7"/>
  <c r="DP8" i="8"/>
  <c r="DU87" i="7"/>
  <c r="DU8" i="8"/>
  <c r="BL87" i="7"/>
  <c r="CF87" i="7"/>
  <c r="BG88" i="7"/>
  <c r="CL88" i="7"/>
  <c r="DN88" i="7"/>
  <c r="AP92" i="7"/>
  <c r="W6" i="7"/>
  <c r="BE6" i="7"/>
  <c r="BO6" i="7"/>
  <c r="BT6" i="7"/>
  <c r="BY6" i="7"/>
  <c r="CD6" i="7"/>
  <c r="CI6" i="7"/>
  <c r="CN6" i="7"/>
  <c r="CS6" i="7"/>
  <c r="M9" i="7"/>
  <c r="M19" i="8" s="1"/>
  <c r="I19" i="8"/>
  <c r="R9" i="7"/>
  <c r="R19" i="8" s="1"/>
  <c r="N19" i="8"/>
  <c r="W9" i="7"/>
  <c r="W19" i="8" s="1"/>
  <c r="S19" i="8"/>
  <c r="AB9" i="7"/>
  <c r="AB19" i="8" s="1"/>
  <c r="X19" i="8"/>
  <c r="X74" i="8" s="1"/>
  <c r="AG9" i="7"/>
  <c r="AG19" i="8" s="1"/>
  <c r="AC19" i="8"/>
  <c r="AL9" i="7"/>
  <c r="AL19" i="8" s="1"/>
  <c r="AH19" i="8"/>
  <c r="AQ9" i="7"/>
  <c r="AQ19" i="8" s="1"/>
  <c r="AM19" i="8"/>
  <c r="AM74" i="8" s="1"/>
  <c r="DJ29" i="7"/>
  <c r="DJ28" i="7" s="1"/>
  <c r="DJ18" i="8"/>
  <c r="DO29" i="7"/>
  <c r="DO18" i="8"/>
  <c r="DR26" i="7"/>
  <c r="W38" i="7"/>
  <c r="I39" i="7"/>
  <c r="X39" i="7"/>
  <c r="AC39" i="7"/>
  <c r="AG39" i="7" s="1"/>
  <c r="BN39" i="7"/>
  <c r="BS52" i="7"/>
  <c r="CH39" i="7"/>
  <c r="CI39" i="7" s="1"/>
  <c r="CM52" i="7"/>
  <c r="DF38" i="7"/>
  <c r="E49" i="7"/>
  <c r="O49" i="7"/>
  <c r="AI49" i="7"/>
  <c r="AI52" i="7" s="1"/>
  <c r="BL44" i="7"/>
  <c r="CF44" i="7"/>
  <c r="CZ44" i="7"/>
  <c r="AS49" i="7"/>
  <c r="AS165" i="7" s="1"/>
  <c r="AY52" i="7"/>
  <c r="BI52" i="7"/>
  <c r="BN52" i="7"/>
  <c r="BV51" i="7"/>
  <c r="CD51" i="7"/>
  <c r="CL51" i="7"/>
  <c r="DE52" i="7"/>
  <c r="DJ52" i="7"/>
  <c r="DL50" i="7"/>
  <c r="CJ51" i="7"/>
  <c r="CZ51" i="7"/>
  <c r="D63" i="7"/>
  <c r="I64" i="7" s="1"/>
  <c r="D13" i="8"/>
  <c r="I63" i="7"/>
  <c r="N64" i="7" s="1"/>
  <c r="I13" i="8"/>
  <c r="I14" i="8" s="1"/>
  <c r="R55" i="7"/>
  <c r="R13" i="8" s="1"/>
  <c r="N13" i="8"/>
  <c r="X56" i="7"/>
  <c r="X13" i="8"/>
  <c r="X14" i="8" s="1"/>
  <c r="AC63" i="7"/>
  <c r="AC13" i="8"/>
  <c r="AL55" i="7"/>
  <c r="AL13" i="8" s="1"/>
  <c r="AH13" i="8"/>
  <c r="AH14" i="8" s="1"/>
  <c r="N56" i="7"/>
  <c r="AH56" i="7"/>
  <c r="O58" i="7"/>
  <c r="O15" i="8"/>
  <c r="T16" i="8" s="1"/>
  <c r="T58" i="7"/>
  <c r="T15" i="8"/>
  <c r="T76" i="8" s="1"/>
  <c r="Y16" i="8"/>
  <c r="AD16" i="8"/>
  <c r="AI58" i="7"/>
  <c r="AI15" i="8"/>
  <c r="AI76" i="8" s="1"/>
  <c r="AN58" i="7"/>
  <c r="AN15" i="8"/>
  <c r="AN40" i="8" s="1"/>
  <c r="V58" i="7"/>
  <c r="AP58" i="7"/>
  <c r="AX13" i="8"/>
  <c r="BC13" i="8"/>
  <c r="BH13" i="8"/>
  <c r="BM14" i="8" s="1"/>
  <c r="BR13" i="8"/>
  <c r="BW63" i="7"/>
  <c r="BW13" i="8"/>
  <c r="CB56" i="7"/>
  <c r="CB13" i="8"/>
  <c r="CG63" i="7"/>
  <c r="CG13" i="8"/>
  <c r="CL13" i="8"/>
  <c r="CL14" i="8" s="1"/>
  <c r="CQ13" i="8"/>
  <c r="CV56" i="7"/>
  <c r="CV13" i="8"/>
  <c r="DK56" i="7"/>
  <c r="DK13" i="8"/>
  <c r="DK14" i="8" s="1"/>
  <c r="DP56" i="7"/>
  <c r="DP13" i="8"/>
  <c r="DU63" i="7"/>
  <c r="DZ63" i="7" s="1"/>
  <c r="DU13" i="8"/>
  <c r="BM56" i="7"/>
  <c r="CG56" i="7"/>
  <c r="DA56" i="7"/>
  <c r="DU56" i="7"/>
  <c r="BN58" i="7"/>
  <c r="BI15" i="8"/>
  <c r="BI16" i="8" s="1"/>
  <c r="BS58" i="7"/>
  <c r="BS15" i="8"/>
  <c r="BS16" i="8" s="1"/>
  <c r="BX58" i="7"/>
  <c r="BX15" i="8"/>
  <c r="BX31" i="8" s="1"/>
  <c r="CH58" i="7"/>
  <c r="CC15" i="8"/>
  <c r="CH16" i="8" s="1"/>
  <c r="CR58" i="7"/>
  <c r="CR15" i="8"/>
  <c r="CR76" i="8" s="1"/>
  <c r="DB58" i="7"/>
  <c r="CW15" i="8"/>
  <c r="CW76" i="8" s="1"/>
  <c r="DB77" i="8" s="1"/>
  <c r="DV58" i="7"/>
  <c r="DQ15" i="8"/>
  <c r="BV58" i="7"/>
  <c r="CQ58" i="7"/>
  <c r="AD63" i="7"/>
  <c r="AD64" i="7" s="1"/>
  <c r="DA63" i="7"/>
  <c r="AS70" i="7"/>
  <c r="BM70" i="7"/>
  <c r="CC70" i="7"/>
  <c r="CO70" i="7"/>
  <c r="DQ129" i="7"/>
  <c r="DV129" i="7"/>
  <c r="AW71" i="7"/>
  <c r="DB72" i="7"/>
  <c r="BQ74" i="7"/>
  <c r="J99" i="7"/>
  <c r="J8" i="8"/>
  <c r="J9" i="8" s="1"/>
  <c r="Y87" i="7"/>
  <c r="Y8" i="8"/>
  <c r="Y9" i="8" s="1"/>
  <c r="AD99" i="7"/>
  <c r="AD8" i="8"/>
  <c r="AD9" i="8" s="1"/>
  <c r="AS101" i="7"/>
  <c r="AS102" i="7" s="1"/>
  <c r="AS8" i="8"/>
  <c r="AS9" i="8" s="1"/>
  <c r="AY99" i="7"/>
  <c r="AY8" i="8"/>
  <c r="BD9" i="8" s="1"/>
  <c r="BI9" i="8"/>
  <c r="BN99" i="7"/>
  <c r="BN8" i="8"/>
  <c r="BS9" i="8" s="1"/>
  <c r="BS106" i="7"/>
  <c r="BS8" i="8"/>
  <c r="BX9" i="8" s="1"/>
  <c r="CC9" i="8"/>
  <c r="CH99" i="7"/>
  <c r="CH8" i="8"/>
  <c r="CM106" i="7"/>
  <c r="CM8" i="8"/>
  <c r="CR9" i="8" s="1"/>
  <c r="CW9" i="8"/>
  <c r="DB99" i="7"/>
  <c r="DB8" i="8"/>
  <c r="DB9" i="8" s="1"/>
  <c r="DL99" i="7"/>
  <c r="DL8" i="8"/>
  <c r="DL9" i="8" s="1"/>
  <c r="DV88" i="7"/>
  <c r="DV8" i="8"/>
  <c r="BK88" i="7"/>
  <c r="CM88" i="7"/>
  <c r="K93" i="7"/>
  <c r="K10" i="8"/>
  <c r="K60" i="8" s="1"/>
  <c r="U10" i="8"/>
  <c r="U11" i="8" s="1"/>
  <c r="U93" i="7"/>
  <c r="Z93" i="7"/>
  <c r="Z10" i="8"/>
  <c r="AE93" i="7"/>
  <c r="AE10" i="8"/>
  <c r="AE78" i="8" s="1"/>
  <c r="AJ94" i="7"/>
  <c r="AJ10" i="8"/>
  <c r="AJ42" i="8" s="1"/>
  <c r="AJ93" i="7"/>
  <c r="AT92" i="7"/>
  <c r="AO10" i="8"/>
  <c r="AT93" i="7"/>
  <c r="AT10" i="8"/>
  <c r="AO93" i="7"/>
  <c r="BD94" i="7"/>
  <c r="BD10" i="8"/>
  <c r="BI93" i="7"/>
  <c r="BI10" i="8"/>
  <c r="BI60" i="8" s="1"/>
  <c r="BN93" i="7"/>
  <c r="BN10" i="8"/>
  <c r="BX93" i="7"/>
  <c r="BX10" i="8"/>
  <c r="BX78" i="8" s="1"/>
  <c r="BX79" i="8" s="1"/>
  <c r="CC93" i="7"/>
  <c r="CC10" i="8"/>
  <c r="CC60" i="8" s="1"/>
  <c r="CR93" i="7"/>
  <c r="CR10" i="8"/>
  <c r="CR78" i="8" s="1"/>
  <c r="CW93" i="7"/>
  <c r="CW10" i="8"/>
  <c r="DL93" i="7"/>
  <c r="DL10" i="8"/>
  <c r="DL11" i="8" s="1"/>
  <c r="DQ93" i="7"/>
  <c r="DQ10" i="8"/>
  <c r="DQ33" i="8" s="1"/>
  <c r="DV10" i="8"/>
  <c r="DV60" i="8" s="1"/>
  <c r="CE92" i="7"/>
  <c r="CA93" i="7"/>
  <c r="DJ93" i="7"/>
  <c r="BS94" i="7"/>
  <c r="CG101" i="7"/>
  <c r="CG102" i="7" s="1"/>
  <c r="DA101" i="7"/>
  <c r="DA102" i="7" s="1"/>
  <c r="AG104" i="7"/>
  <c r="AL104" i="7"/>
  <c r="BS105" i="7"/>
  <c r="Y114" i="7"/>
  <c r="Y109" i="7"/>
  <c r="AS109" i="7"/>
  <c r="BM109" i="7"/>
  <c r="BX109" i="7"/>
  <c r="CG109" i="7"/>
  <c r="CR109" i="7"/>
  <c r="DA109" i="7"/>
  <c r="DL109" i="7"/>
  <c r="DU109" i="7"/>
  <c r="AA112" i="7"/>
  <c r="V113" i="7"/>
  <c r="AP113" i="7"/>
  <c r="BX115" i="7"/>
  <c r="BX116" i="7" s="1"/>
  <c r="CC115" i="7"/>
  <c r="CC116" i="7" s="1"/>
  <c r="CG115" i="7"/>
  <c r="CG116" i="7" s="1"/>
  <c r="CK115" i="7"/>
  <c r="CK116" i="7" s="1"/>
  <c r="CO115" i="7"/>
  <c r="CO116" i="7" s="1"/>
  <c r="CW115" i="7"/>
  <c r="CW116" i="7" s="1"/>
  <c r="DA115" i="7"/>
  <c r="DA116" i="7" s="1"/>
  <c r="DE115" i="7"/>
  <c r="DE116" i="7" s="1"/>
  <c r="DT112" i="7"/>
  <c r="DO112" i="7"/>
  <c r="BW112" i="7"/>
  <c r="CM112" i="7"/>
  <c r="CC113" i="7"/>
  <c r="CW113" i="7"/>
  <c r="Q115" i="7"/>
  <c r="Q116" i="7" s="1"/>
  <c r="CA115" i="7"/>
  <c r="CA116" i="7" s="1"/>
  <c r="CU115" i="7"/>
  <c r="CU116" i="7" s="1"/>
  <c r="DM118" i="7"/>
  <c r="DW118" i="7"/>
  <c r="AJ124" i="7"/>
  <c r="P126" i="7"/>
  <c r="AJ126" i="7"/>
  <c r="DJ122" i="7"/>
  <c r="DP122" i="7"/>
  <c r="BL124" i="7"/>
  <c r="CZ124" i="7"/>
  <c r="BI126" i="7"/>
  <c r="BS126" i="7"/>
  <c r="CC126" i="7"/>
  <c r="CM126" i="7"/>
  <c r="CW126" i="7"/>
  <c r="DG126" i="7"/>
  <c r="BP126" i="7"/>
  <c r="DS139" i="7"/>
  <c r="DL144" i="7"/>
  <c r="DT144" i="7"/>
  <c r="DP145" i="7"/>
  <c r="I168" i="7"/>
  <c r="V168" i="7"/>
  <c r="AO168" i="7"/>
  <c r="U170" i="7"/>
  <c r="DA170" i="7"/>
  <c r="BN168" i="7"/>
  <c r="DB168" i="7"/>
  <c r="CR173" i="7"/>
  <c r="CW173" i="7"/>
  <c r="BG181" i="7"/>
  <c r="CA181" i="7"/>
  <c r="CP181" i="7"/>
  <c r="G190" i="7"/>
  <c r="L190" i="7"/>
  <c r="Q186" i="7"/>
  <c r="Q185" i="7"/>
  <c r="AK186" i="7"/>
  <c r="AK185" i="7"/>
  <c r="AP186" i="7"/>
  <c r="AP190" i="7"/>
  <c r="I185" i="7"/>
  <c r="V185" i="7"/>
  <c r="AH185" i="7"/>
  <c r="BQ192" i="7"/>
  <c r="BQ193" i="7" s="1"/>
  <c r="BQ185" i="7"/>
  <c r="CA185" i="7"/>
  <c r="BV190" i="7"/>
  <c r="AZ91" i="7"/>
  <c r="AZ10" i="8" s="1"/>
  <c r="AV10" i="8"/>
  <c r="AV78" i="8" s="1"/>
  <c r="BA94" i="7"/>
  <c r="BA10" i="8"/>
  <c r="BP94" i="7"/>
  <c r="BP10" i="8"/>
  <c r="BP69" i="8" s="1"/>
  <c r="BU93" i="7"/>
  <c r="BU10" i="8"/>
  <c r="CE11" i="8"/>
  <c r="CN91" i="7"/>
  <c r="CN10" i="8" s="1"/>
  <c r="CJ10" i="8"/>
  <c r="CO93" i="7"/>
  <c r="CO10" i="8"/>
  <c r="CO60" i="8" s="1"/>
  <c r="CT93" i="7"/>
  <c r="CT10" i="8"/>
  <c r="CY11" i="8" s="1"/>
  <c r="DM91" i="7"/>
  <c r="DM10" i="8" s="1"/>
  <c r="DM11" i="8" s="1"/>
  <c r="DI10" i="8"/>
  <c r="DI33" i="8" s="1"/>
  <c r="DI34" i="8" s="1"/>
  <c r="DS92" i="7"/>
  <c r="DS10" i="8"/>
  <c r="DS60" i="8" s="1"/>
  <c r="DD92" i="7"/>
  <c r="DJ92" i="7"/>
  <c r="BK92" i="7"/>
  <c r="BF93" i="7"/>
  <c r="BS93" i="7"/>
  <c r="CM93" i="7"/>
  <c r="CY93" i="7"/>
  <c r="BX94" i="7"/>
  <c r="BI97" i="7"/>
  <c r="CW97" i="7"/>
  <c r="AH105" i="7"/>
  <c r="CG105" i="7"/>
  <c r="DA105" i="7"/>
  <c r="Q109" i="7"/>
  <c r="Z109" i="7"/>
  <c r="AK109" i="7"/>
  <c r="AT109" i="7"/>
  <c r="CB109" i="7"/>
  <c r="CV109" i="7"/>
  <c r="DD109" i="7"/>
  <c r="D115" i="7"/>
  <c r="D116" i="7" s="1"/>
  <c r="I115" i="7"/>
  <c r="I116" i="7" s="1"/>
  <c r="R111" i="7"/>
  <c r="S112" i="7"/>
  <c r="AC115" i="7"/>
  <c r="AC116" i="7" s="1"/>
  <c r="AM112" i="7"/>
  <c r="AR115" i="7"/>
  <c r="AR116" i="7" s="1"/>
  <c r="BC115" i="7"/>
  <c r="BC116" i="7" s="1"/>
  <c r="BG115" i="7"/>
  <c r="BG116" i="7" s="1"/>
  <c r="BK115" i="7"/>
  <c r="BK116" i="7" s="1"/>
  <c r="DP112" i="7"/>
  <c r="DU115" i="7"/>
  <c r="DU116" i="7" s="1"/>
  <c r="BK112" i="7"/>
  <c r="CQ112" i="7"/>
  <c r="DG112" i="7"/>
  <c r="CE115" i="7"/>
  <c r="CE116" i="7" s="1"/>
  <c r="CY115" i="7"/>
  <c r="CY116" i="7" s="1"/>
  <c r="AM122" i="7"/>
  <c r="AA124" i="7"/>
  <c r="AF124" i="7"/>
  <c r="Q126" i="7"/>
  <c r="AF126" i="7"/>
  <c r="DK122" i="7"/>
  <c r="DN124" i="7"/>
  <c r="CB124" i="7"/>
  <c r="CV124" i="7"/>
  <c r="BA126" i="7"/>
  <c r="BU126" i="7"/>
  <c r="CO126" i="7"/>
  <c r="CT126" i="7"/>
  <c r="DO139" i="7"/>
  <c r="DO144" i="7"/>
  <c r="D170" i="7"/>
  <c r="J168" i="7"/>
  <c r="Z168" i="7"/>
  <c r="AP168" i="7"/>
  <c r="AC170" i="7"/>
  <c r="CK168" i="7"/>
  <c r="BU173" i="7"/>
  <c r="CE173" i="7"/>
  <c r="CJ173" i="7"/>
  <c r="CO173" i="7"/>
  <c r="DD173" i="7"/>
  <c r="DM172" i="7"/>
  <c r="DR172" i="7"/>
  <c r="DW172" i="7"/>
  <c r="DN173" i="7"/>
  <c r="V181" i="7"/>
  <c r="BC181" i="7"/>
  <c r="BM181" i="7"/>
  <c r="CQ181" i="7"/>
  <c r="J185" i="7"/>
  <c r="Y185" i="7"/>
  <c r="AO185" i="7"/>
  <c r="CQ185" i="7"/>
  <c r="CL190" i="7"/>
  <c r="AW94" i="7"/>
  <c r="AW10" i="8"/>
  <c r="BG92" i="7"/>
  <c r="BB10" i="8"/>
  <c r="BG11" i="8" s="1"/>
  <c r="BL93" i="7"/>
  <c r="BL10" i="8"/>
  <c r="BL11" i="8" s="1"/>
  <c r="BQ93" i="7"/>
  <c r="BQ10" i="8"/>
  <c r="CF94" i="7"/>
  <c r="CF10" i="8"/>
  <c r="CF78" i="8" s="1"/>
  <c r="CK93" i="7"/>
  <c r="CK10" i="8"/>
  <c r="CU11" i="8"/>
  <c r="CZ93" i="7"/>
  <c r="CZ10" i="8"/>
  <c r="CZ11" i="8" s="1"/>
  <c r="DO92" i="7"/>
  <c r="DO10" i="8"/>
  <c r="DO11" i="8" s="1"/>
  <c r="DT93" i="7"/>
  <c r="DT10" i="8"/>
  <c r="DE92" i="7"/>
  <c r="DN92" i="7"/>
  <c r="BP92" i="7"/>
  <c r="CJ92" i="7"/>
  <c r="CZ92" i="7"/>
  <c r="BG93" i="7"/>
  <c r="CE93" i="7"/>
  <c r="DN93" i="7"/>
  <c r="DV93" i="7"/>
  <c r="CY94" i="7"/>
  <c r="G101" i="7"/>
  <c r="G102" i="7" s="1"/>
  <c r="V97" i="7"/>
  <c r="AP97" i="7"/>
  <c r="BA97" i="7"/>
  <c r="BO96" i="7"/>
  <c r="CO97" i="7"/>
  <c r="DA97" i="7"/>
  <c r="CC105" i="7"/>
  <c r="CH105" i="7"/>
  <c r="CW105" i="7"/>
  <c r="DB105" i="7"/>
  <c r="DV105" i="7"/>
  <c r="CM105" i="7"/>
  <c r="U109" i="7"/>
  <c r="AO109" i="7"/>
  <c r="BA109" i="7"/>
  <c r="BC109" i="7"/>
  <c r="DQ109" i="7"/>
  <c r="E115" i="7"/>
  <c r="E116" i="7" s="1"/>
  <c r="J115" i="7"/>
  <c r="J116" i="7" s="1"/>
  <c r="Y115" i="7"/>
  <c r="Y116" i="7" s="1"/>
  <c r="AD115" i="7"/>
  <c r="AD116" i="7" s="1"/>
  <c r="J113" i="7"/>
  <c r="AD113" i="7"/>
  <c r="AS115" i="7"/>
  <c r="AS116" i="7" s="1"/>
  <c r="AV115" i="7"/>
  <c r="AV116" i="7" s="1"/>
  <c r="BL115" i="7"/>
  <c r="BL116" i="7" s="1"/>
  <c r="BP115" i="7"/>
  <c r="BP116" i="7" s="1"/>
  <c r="BV115" i="7"/>
  <c r="BV116" i="7" s="1"/>
  <c r="DL115" i="7"/>
  <c r="DL116" i="7" s="1"/>
  <c r="DQ115" i="7"/>
  <c r="DQ116" i="7" s="1"/>
  <c r="AK115" i="7"/>
  <c r="AK116" i="7" s="1"/>
  <c r="BS115" i="7"/>
  <c r="BS116" i="7" s="1"/>
  <c r="DP119" i="7"/>
  <c r="DU119" i="7"/>
  <c r="S124" i="7"/>
  <c r="X124" i="7"/>
  <c r="W125" i="7"/>
  <c r="X126" i="7"/>
  <c r="AR126" i="7"/>
  <c r="DT124" i="7"/>
  <c r="DT126" i="7"/>
  <c r="BD124" i="7"/>
  <c r="BX124" i="7"/>
  <c r="CR124" i="7"/>
  <c r="BG126" i="7"/>
  <c r="BQ126" i="7"/>
  <c r="CA126" i="7"/>
  <c r="CK126" i="7"/>
  <c r="CU126" i="7"/>
  <c r="DE126" i="7"/>
  <c r="DK139" i="7"/>
  <c r="DY143" i="7"/>
  <c r="CW162" i="7"/>
  <c r="N168" i="7"/>
  <c r="AD168" i="7"/>
  <c r="AT168" i="7"/>
  <c r="AK170" i="7"/>
  <c r="BO167" i="7"/>
  <c r="DC167" i="7"/>
  <c r="BF168" i="7"/>
  <c r="CT168" i="7"/>
  <c r="DA169" i="7"/>
  <c r="BL173" i="7"/>
  <c r="CF173" i="7"/>
  <c r="CK173" i="7"/>
  <c r="CZ173" i="7"/>
  <c r="DE173" i="7"/>
  <c r="DT173" i="7"/>
  <c r="DS173" i="7"/>
  <c r="N181" i="7"/>
  <c r="BD181" i="7"/>
  <c r="BS181" i="7"/>
  <c r="CC181" i="7"/>
  <c r="CM181" i="7"/>
  <c r="DO181" i="7"/>
  <c r="DS181" i="7"/>
  <c r="DW181" i="7"/>
  <c r="DJ181" i="7"/>
  <c r="N185" i="7"/>
  <c r="AC185" i="7"/>
  <c r="CC190" i="7"/>
  <c r="CC185" i="7"/>
  <c r="DG185" i="7"/>
  <c r="DB190" i="7"/>
  <c r="J93" i="7"/>
  <c r="J10" i="8"/>
  <c r="J11" i="8" s="1"/>
  <c r="O94" i="7"/>
  <c r="O10" i="8"/>
  <c r="O78" i="8" s="1"/>
  <c r="T94" i="7"/>
  <c r="T10" i="8"/>
  <c r="T42" i="8" s="1"/>
  <c r="AD92" i="7"/>
  <c r="Y10" i="8"/>
  <c r="AD93" i="7"/>
  <c r="AD10" i="8"/>
  <c r="AD11" i="8" s="1"/>
  <c r="AI94" i="7"/>
  <c r="AI10" i="8"/>
  <c r="AN93" i="7"/>
  <c r="AN10" i="8"/>
  <c r="AN78" i="8" s="1"/>
  <c r="AS93" i="7"/>
  <c r="AS10" i="8"/>
  <c r="O93" i="7"/>
  <c r="BC11" i="8"/>
  <c r="BH94" i="7"/>
  <c r="BH10" i="8"/>
  <c r="BH78" i="8" s="1"/>
  <c r="BM93" i="7"/>
  <c r="BM10" i="8"/>
  <c r="BM60" i="8" s="1"/>
  <c r="CB94" i="7"/>
  <c r="CB10" i="8"/>
  <c r="CG93" i="7"/>
  <c r="CG10" i="8"/>
  <c r="CV94" i="7"/>
  <c r="CV10" i="8"/>
  <c r="CV33" i="8" s="1"/>
  <c r="CV34" i="8" s="1"/>
  <c r="DA94" i="7"/>
  <c r="DA10" i="8"/>
  <c r="DK92" i="7"/>
  <c r="DK10" i="8"/>
  <c r="DP93" i="7"/>
  <c r="DP10" i="8"/>
  <c r="DU94" i="7"/>
  <c r="DU73" i="7" s="1"/>
  <c r="DU10" i="8"/>
  <c r="DT92" i="7"/>
  <c r="CB92" i="7"/>
  <c r="CK92" i="7"/>
  <c r="DA92" i="7"/>
  <c r="BK93" i="7"/>
  <c r="BZ93" i="7"/>
  <c r="CF93" i="7"/>
  <c r="CU93" i="7"/>
  <c r="DI93" i="7"/>
  <c r="DO93" i="7"/>
  <c r="BC94" i="7"/>
  <c r="H96" i="7"/>
  <c r="BQ97" i="7"/>
  <c r="DE97" i="7"/>
  <c r="AC105" i="7"/>
  <c r="BU105" i="7"/>
  <c r="CN104" i="7"/>
  <c r="CO105" i="7"/>
  <c r="DH104" i="7"/>
  <c r="DM104" i="7"/>
  <c r="DN105" i="7"/>
  <c r="BG105" i="7"/>
  <c r="CF114" i="7"/>
  <c r="BL109" i="7"/>
  <c r="BU109" i="7"/>
  <c r="CF109" i="7"/>
  <c r="CO109" i="7"/>
  <c r="CZ109" i="7"/>
  <c r="DI109" i="7"/>
  <c r="F115" i="7"/>
  <c r="F116" i="7" s="1"/>
  <c r="K112" i="7"/>
  <c r="Z115" i="7"/>
  <c r="Z116" i="7" s="1"/>
  <c r="AE112" i="7"/>
  <c r="AO115" i="7"/>
  <c r="AO116" i="7" s="1"/>
  <c r="N113" i="7"/>
  <c r="AH113" i="7"/>
  <c r="AT112" i="7"/>
  <c r="AW115" i="7"/>
  <c r="AW116" i="7" s="1"/>
  <c r="BA112" i="7"/>
  <c r="BE112" i="7"/>
  <c r="BI112" i="7"/>
  <c r="BM112" i="7"/>
  <c r="BQ115" i="7"/>
  <c r="BQ116" i="7" s="1"/>
  <c r="CB115" i="7"/>
  <c r="CB116" i="7" s="1"/>
  <c r="CF115" i="7"/>
  <c r="CF116" i="7" s="1"/>
  <c r="CJ115" i="7"/>
  <c r="CJ116" i="7" s="1"/>
  <c r="CR115" i="7"/>
  <c r="CR116" i="7" s="1"/>
  <c r="CV115" i="7"/>
  <c r="CV116" i="7" s="1"/>
  <c r="CZ115" i="7"/>
  <c r="CZ116" i="7" s="1"/>
  <c r="DD115" i="7"/>
  <c r="DD116" i="7" s="1"/>
  <c r="DI115" i="7"/>
  <c r="DI116" i="7" s="1"/>
  <c r="DR111" i="7"/>
  <c r="DW111" i="7"/>
  <c r="DN112" i="7"/>
  <c r="BC112" i="7"/>
  <c r="DI113" i="7"/>
  <c r="S122" i="7"/>
  <c r="O124" i="7"/>
  <c r="AI124" i="7"/>
  <c r="T126" i="7"/>
  <c r="AN126" i="7"/>
  <c r="AZ121" i="7"/>
  <c r="BO121" i="7"/>
  <c r="BO122" i="7" s="1"/>
  <c r="DC121" i="7"/>
  <c r="DM121" i="7"/>
  <c r="DD122" i="7"/>
  <c r="DT122" i="7"/>
  <c r="DS124" i="7"/>
  <c r="AZ123" i="7"/>
  <c r="BJ123" i="7"/>
  <c r="BO123" i="7"/>
  <c r="BP124" i="7"/>
  <c r="CN123" i="7"/>
  <c r="CX123" i="7"/>
  <c r="DC123" i="7"/>
  <c r="DD124" i="7"/>
  <c r="DM123" i="7"/>
  <c r="CY124" i="7"/>
  <c r="BC126" i="7"/>
  <c r="BM126" i="7"/>
  <c r="BW126" i="7"/>
  <c r="CG126" i="7"/>
  <c r="CQ126" i="7"/>
  <c r="DA126" i="7"/>
  <c r="DS144" i="7"/>
  <c r="BA162" i="7"/>
  <c r="AS170" i="7"/>
  <c r="DE168" i="7"/>
  <c r="DJ169" i="7"/>
  <c r="BH173" i="7"/>
  <c r="BM173" i="7"/>
  <c r="CV173" i="7"/>
  <c r="DA173" i="7"/>
  <c r="DP173" i="7"/>
  <c r="BK181" i="7"/>
  <c r="BZ181" i="7"/>
  <c r="CE181" i="7"/>
  <c r="Z186" i="7"/>
  <c r="Z185" i="7"/>
  <c r="Z190" i="7"/>
  <c r="AT190" i="7"/>
  <c r="AT185" i="7"/>
  <c r="U185" i="7"/>
  <c r="H188" i="7"/>
  <c r="AB188" i="7"/>
  <c r="AC192" i="7"/>
  <c r="AC193" i="7" s="1"/>
  <c r="AQ188" i="7"/>
  <c r="AT192" i="7"/>
  <c r="AT193" i="7" s="1"/>
  <c r="DQ192" i="7"/>
  <c r="DQ193" i="7" s="1"/>
  <c r="DH195" i="7"/>
  <c r="DH196" i="7" s="1"/>
  <c r="DS196" i="7"/>
  <c r="DW196" i="7"/>
  <c r="AQ199" i="7"/>
  <c r="BD199" i="7"/>
  <c r="BP199" i="7"/>
  <c r="P201" i="7"/>
  <c r="AJ201" i="7"/>
  <c r="T203" i="7"/>
  <c r="AN203" i="7"/>
  <c r="BG201" i="7"/>
  <c r="BQ201" i="7"/>
  <c r="CA201" i="7"/>
  <c r="CK201" i="7"/>
  <c r="CU201" i="7"/>
  <c r="DE201" i="7"/>
  <c r="BD250" i="7"/>
  <c r="CV409" i="7"/>
  <c r="CZ409" i="7"/>
  <c r="CX412" i="7"/>
  <c r="DW184" i="7"/>
  <c r="J192" i="7"/>
  <c r="J193" i="7" s="1"/>
  <c r="AD192" i="7"/>
  <c r="AD193" i="7" s="1"/>
  <c r="BL192" i="7"/>
  <c r="BL193" i="7" s="1"/>
  <c r="CJ192" i="7"/>
  <c r="CJ193" i="7" s="1"/>
  <c r="CR192" i="7"/>
  <c r="CR193" i="7" s="1"/>
  <c r="DS192" i="7"/>
  <c r="DS193" i="7" s="1"/>
  <c r="BF190" i="7"/>
  <c r="Q201" i="7"/>
  <c r="AF201" i="7"/>
  <c r="AK201" i="7"/>
  <c r="P203" i="7"/>
  <c r="AJ203" i="7"/>
  <c r="S203" i="7"/>
  <c r="AM203" i="7"/>
  <c r="BC201" i="7"/>
  <c r="BM201" i="7"/>
  <c r="BW201" i="7"/>
  <c r="CG201" i="7"/>
  <c r="CQ201" i="7"/>
  <c r="DA201" i="7"/>
  <c r="U192" i="7"/>
  <c r="U193" i="7" s="1"/>
  <c r="AO192" i="7"/>
  <c r="AO193" i="7" s="1"/>
  <c r="DO192" i="7"/>
  <c r="DO193" i="7" s="1"/>
  <c r="DH198" i="7"/>
  <c r="DS201" i="7"/>
  <c r="I201" i="7"/>
  <c r="X201" i="7"/>
  <c r="AC201" i="7"/>
  <c r="AR201" i="7"/>
  <c r="AF203" i="7"/>
  <c r="BI201" i="7"/>
  <c r="BS201" i="7"/>
  <c r="CC201" i="7"/>
  <c r="CM201" i="7"/>
  <c r="CW201" i="7"/>
  <c r="DG201" i="7"/>
  <c r="DV203" i="7"/>
  <c r="DV226" i="7"/>
  <c r="AQ250" i="7"/>
  <c r="CT409" i="7"/>
  <c r="CX409" i="7"/>
  <c r="BR192" i="7"/>
  <c r="BR193" i="7" s="1"/>
  <c r="BV192" i="7"/>
  <c r="BV193" i="7" s="1"/>
  <c r="CH192" i="7"/>
  <c r="CH193" i="7" s="1"/>
  <c r="CL192" i="7"/>
  <c r="CL193" i="7" s="1"/>
  <c r="DB192" i="7"/>
  <c r="DB193" i="7" s="1"/>
  <c r="DK192" i="7"/>
  <c r="DK193" i="7" s="1"/>
  <c r="DU189" i="7"/>
  <c r="T201" i="7"/>
  <c r="AN201" i="7"/>
  <c r="W203" i="7"/>
  <c r="X203" i="7"/>
  <c r="AR203" i="7"/>
  <c r="BA201" i="7"/>
  <c r="BU201" i="7"/>
  <c r="BZ201" i="7"/>
  <c r="CO201" i="7"/>
  <c r="CT201" i="7"/>
  <c r="CS202" i="7"/>
  <c r="DV223" i="7"/>
  <c r="DW264" i="7"/>
  <c r="CY409" i="7"/>
  <c r="I31" i="8"/>
  <c r="U33" i="8"/>
  <c r="Y31" i="8"/>
  <c r="AC33" i="8"/>
  <c r="AO31" i="8"/>
  <c r="AS33" i="8"/>
  <c r="CK33" i="8"/>
  <c r="DL28" i="8"/>
  <c r="DU28" i="8"/>
  <c r="BZ5" i="8"/>
  <c r="CD5" i="8" s="1"/>
  <c r="BK69" i="8"/>
  <c r="BP70" i="8" s="1"/>
  <c r="DY49" i="8"/>
  <c r="DY50" i="8" s="1"/>
  <c r="CY5" i="8"/>
  <c r="DC5" i="8" s="1"/>
  <c r="M5" i="8"/>
  <c r="R5" i="8"/>
  <c r="W5" i="8"/>
  <c r="AB5" i="8"/>
  <c r="AG5" i="8"/>
  <c r="AL5" i="8"/>
  <c r="AQ5" i="8"/>
  <c r="BK65" i="8"/>
  <c r="BS65" i="8"/>
  <c r="EA50" i="8"/>
  <c r="H5" i="8"/>
  <c r="DS50" i="8"/>
  <c r="DO34" i="10"/>
  <c r="DO37" i="10" s="1"/>
  <c r="DN38" i="10"/>
  <c r="DL39" i="10"/>
  <c r="EL33" i="10"/>
  <c r="DL38" i="10"/>
  <c r="DM38" i="10" s="1"/>
  <c r="DM33" i="10"/>
  <c r="DT13" i="10"/>
  <c r="DC33" i="10"/>
  <c r="DB38" i="10"/>
  <c r="CX34" i="10"/>
  <c r="CS21" i="10"/>
  <c r="DC39" i="10"/>
  <c r="DK39" i="10"/>
  <c r="DX31" i="10"/>
  <c r="DV33" i="10"/>
  <c r="EG33" i="10"/>
  <c r="EL26" i="5"/>
  <c r="BK10" i="10"/>
  <c r="BK9" i="10" s="1"/>
  <c r="CE10" i="10"/>
  <c r="CE9" i="10" s="1"/>
  <c r="CY10" i="10"/>
  <c r="CY13" i="10" s="1"/>
  <c r="DQ22" i="10"/>
  <c r="DR22" i="10" s="1"/>
  <c r="DJ39" i="10"/>
  <c r="DZ33" i="10"/>
  <c r="DI39" i="10"/>
  <c r="CW36" i="10"/>
  <c r="CW23" i="10" s="1"/>
  <c r="DA38" i="10"/>
  <c r="DA40" i="10" s="1"/>
  <c r="CU52" i="10"/>
  <c r="CU50" i="10"/>
  <c r="DH50" i="10"/>
  <c r="DR48" i="10"/>
  <c r="DN48" i="10"/>
  <c r="DN51" i="10" s="1"/>
  <c r="DO48" i="10" s="1"/>
  <c r="DO51" i="10" s="1"/>
  <c r="DP48" i="10" s="1"/>
  <c r="DP51" i="10" s="1"/>
  <c r="DV68" i="10"/>
  <c r="DV71" i="10" s="1"/>
  <c r="DU72" i="10"/>
  <c r="DX10" i="10"/>
  <c r="CX39" i="10"/>
  <c r="DN40" i="10"/>
  <c r="DH36" i="10"/>
  <c r="DC36" i="10"/>
  <c r="DI38" i="10"/>
  <c r="DZ68" i="10"/>
  <c r="DZ71" i="10" s="1"/>
  <c r="DY72" i="10"/>
  <c r="DD87" i="10"/>
  <c r="DB92" i="10"/>
  <c r="DU13" i="10"/>
  <c r="DN39" i="10"/>
  <c r="DJ38" i="10"/>
  <c r="DA62" i="10"/>
  <c r="DB57" i="10"/>
  <c r="DR58" i="10"/>
  <c r="DN58" i="10"/>
  <c r="DN61" i="10" s="1"/>
  <c r="DO58" i="10" s="1"/>
  <c r="DO61" i="10" s="1"/>
  <c r="DP58" i="10" s="1"/>
  <c r="DP61" i="10" s="1"/>
  <c r="DQ58" i="10" s="1"/>
  <c r="DQ61" i="10" s="1"/>
  <c r="DR61" i="10" s="1"/>
  <c r="DL68" i="10"/>
  <c r="DL71" i="10" s="1"/>
  <c r="DK72" i="10"/>
  <c r="DR78" i="10"/>
  <c r="DN78" i="10"/>
  <c r="DN81" i="10" s="1"/>
  <c r="DO78" i="10" s="1"/>
  <c r="DO81" i="10" s="1"/>
  <c r="DP78" i="10" s="1"/>
  <c r="DP81" i="10" s="1"/>
  <c r="DQ78" i="10" s="1"/>
  <c r="DQ81" i="10" s="1"/>
  <c r="DR81" i="10" s="1"/>
  <c r="DR88" i="10"/>
  <c r="DN88" i="10"/>
  <c r="DN91" i="10" s="1"/>
  <c r="DO88" i="10" s="1"/>
  <c r="DO91" i="10" s="1"/>
  <c r="DP88" i="10" s="1"/>
  <c r="DP91" i="10" s="1"/>
  <c r="DQ88" i="10" s="1"/>
  <c r="DQ91" i="10" s="1"/>
  <c r="DR91" i="10" s="1"/>
  <c r="EG26" i="5"/>
  <c r="BZ10" i="10"/>
  <c r="BZ9" i="10" s="1"/>
  <c r="CT10" i="10"/>
  <c r="CT9" i="10" s="1"/>
  <c r="DV13" i="10"/>
  <c r="DK38" i="10"/>
  <c r="DK40" i="10" s="1"/>
  <c r="CV33" i="10"/>
  <c r="DC80" i="10"/>
  <c r="CY47" i="10"/>
  <c r="CT48" i="10"/>
  <c r="DM58" i="10"/>
  <c r="CZ62" i="10"/>
  <c r="DP68" i="10"/>
  <c r="DP71" i="10" s="1"/>
  <c r="DE72" i="10"/>
  <c r="DH72" i="10" s="1"/>
  <c r="DJ72" i="10"/>
  <c r="CZ88" i="10"/>
  <c r="CZ92" i="10" s="1"/>
  <c r="DH90" i="10"/>
  <c r="DY107" i="10"/>
  <c r="EC117" i="10"/>
  <c r="DJ134" i="10"/>
  <c r="DA92" i="10"/>
  <c r="CY97" i="10"/>
  <c r="CW102" i="10"/>
  <c r="DU97" i="10"/>
  <c r="DV129" i="10"/>
  <c r="CV52" i="10"/>
  <c r="DC58" i="10"/>
  <c r="CY58" i="10"/>
  <c r="CY60" i="10" s="1"/>
  <c r="DA77" i="10"/>
  <c r="CM100" i="10"/>
  <c r="CM102" i="10"/>
  <c r="CQ102" i="10"/>
  <c r="CQ100" i="10"/>
  <c r="CQ23" i="10" s="1"/>
  <c r="CU100" i="10"/>
  <c r="CU23" i="10" s="1"/>
  <c r="CU102" i="10"/>
  <c r="CU16" i="10" s="1"/>
  <c r="DR98" i="10"/>
  <c r="DN98" i="10"/>
  <c r="DN101" i="10" s="1"/>
  <c r="CY62" i="10"/>
  <c r="DS72" i="10"/>
  <c r="DX108" i="10"/>
  <c r="DX111" i="10" s="1"/>
  <c r="DY108" i="10" s="1"/>
  <c r="DY111" i="10" s="1"/>
  <c r="DZ108" i="10" s="1"/>
  <c r="DZ111" i="10" s="1"/>
  <c r="EA108" i="10" s="1"/>
  <c r="EA111" i="10" s="1"/>
  <c r="EB108" i="10"/>
  <c r="EB111" i="10" s="1"/>
  <c r="DF134" i="10"/>
  <c r="DG129" i="10"/>
  <c r="DM133" i="10"/>
  <c r="DN130" i="10"/>
  <c r="DN133" i="10" s="1"/>
  <c r="DH78" i="10"/>
  <c r="DD78" i="10"/>
  <c r="DD80" i="10" s="1"/>
  <c r="DH80" i="10" s="1"/>
  <c r="CP102" i="10"/>
  <c r="DV112" i="10"/>
  <c r="DE134" i="10"/>
  <c r="CZ149" i="10"/>
  <c r="CY154" i="10"/>
  <c r="DH152" i="10"/>
  <c r="DU170" i="10"/>
  <c r="DU173" i="10" s="1"/>
  <c r="DT174" i="10"/>
  <c r="CT100" i="10"/>
  <c r="CN102" i="10"/>
  <c r="DW121" i="10"/>
  <c r="DK140" i="10"/>
  <c r="DK143" i="10" s="1"/>
  <c r="DJ144" i="10"/>
  <c r="DP170" i="10"/>
  <c r="DP173" i="10" s="1"/>
  <c r="DO174" i="10"/>
  <c r="DW112" i="10"/>
  <c r="DK134" i="10"/>
  <c r="DR129" i="10"/>
  <c r="DI134" i="10"/>
  <c r="DT160" i="10"/>
  <c r="DT163" i="10" s="1"/>
  <c r="DS164" i="10"/>
  <c r="CR102" i="10"/>
  <c r="CR100" i="10"/>
  <c r="DD98" i="10"/>
  <c r="DD100" i="10" s="1"/>
  <c r="CV100" i="10"/>
  <c r="DL129" i="10"/>
  <c r="DZ129" i="10"/>
  <c r="EF129" i="10"/>
  <c r="EL129" i="10"/>
  <c r="DM139" i="10"/>
  <c r="DF144" i="10"/>
  <c r="DH144" i="10" s="1"/>
  <c r="DN150" i="10"/>
  <c r="DN153" i="10" s="1"/>
  <c r="DO150" i="10" s="1"/>
  <c r="DO153" i="10" s="1"/>
  <c r="DP150" i="10" s="1"/>
  <c r="DP153" i="10" s="1"/>
  <c r="DQ150" i="10" s="1"/>
  <c r="DQ153" i="10" s="1"/>
  <c r="DR153" i="10" s="1"/>
  <c r="DO179" i="10"/>
  <c r="EA139" i="10"/>
  <c r="EF139" i="10"/>
  <c r="EK139" i="10"/>
  <c r="DE174" i="10"/>
  <c r="DH174" i="10" s="1"/>
  <c r="DE172" i="10"/>
  <c r="DE23" i="10" s="1"/>
  <c r="DE22" i="10" s="1"/>
  <c r="DK170" i="10"/>
  <c r="DK173" i="10" s="1"/>
  <c r="DS174" i="10"/>
  <c r="CI202" i="10"/>
  <c r="DX159" i="10"/>
  <c r="DK180" i="10"/>
  <c r="DK183" i="10" s="1"/>
  <c r="DZ189" i="10"/>
  <c r="DU194" i="10"/>
  <c r="DV190" i="10"/>
  <c r="DV193" i="10" s="1"/>
  <c r="DA199" i="10"/>
  <c r="CZ204" i="10"/>
  <c r="EA199" i="10"/>
  <c r="DQ164" i="10"/>
  <c r="DR164" i="10" s="1"/>
  <c r="DR163" i="10"/>
  <c r="DR200" i="10"/>
  <c r="DN200" i="10"/>
  <c r="DN203" i="10" s="1"/>
  <c r="DO200" i="10" s="1"/>
  <c r="DO203" i="10" s="1"/>
  <c r="DP200" i="10" s="1"/>
  <c r="DP203" i="10" s="1"/>
  <c r="DQ200" i="10" s="1"/>
  <c r="DQ203" i="10" s="1"/>
  <c r="DR203" i="10" s="1"/>
  <c r="CW204" i="10"/>
  <c r="DD200" i="10"/>
  <c r="DD202" i="10" s="1"/>
  <c r="DH202" i="10" s="1"/>
  <c r="CV204" i="10"/>
  <c r="CV202" i="10"/>
  <c r="CR202" i="10"/>
  <c r="CS202" i="10" s="1"/>
  <c r="CF204" i="10"/>
  <c r="CX200" i="10"/>
  <c r="CT200" i="10"/>
  <c r="CT202" i="10" s="1"/>
  <c r="DK209" i="10"/>
  <c r="CF214" i="10"/>
  <c r="CF212" i="10"/>
  <c r="CJ210" i="10"/>
  <c r="CR212" i="10"/>
  <c r="CG214" i="10"/>
  <c r="CG212" i="10"/>
  <c r="CG23" i="10" s="1"/>
  <c r="CK212" i="10"/>
  <c r="CK23" i="10" s="1"/>
  <c r="CK214" i="10"/>
  <c r="CK16" i="10" s="1"/>
  <c r="CX210" i="10"/>
  <c r="CT210" i="10"/>
  <c r="CG204" i="10"/>
  <c r="CG16" i="10" s="1"/>
  <c r="EA209" i="10"/>
  <c r="CV214" i="10"/>
  <c r="CV212" i="10"/>
  <c r="DJ210" i="10"/>
  <c r="DJ213" i="10" s="1"/>
  <c r="DJ214" i="10" s="1"/>
  <c r="DI214" i="10"/>
  <c r="CO212" i="10"/>
  <c r="DX220" i="10"/>
  <c r="DY220" i="10" s="1"/>
  <c r="DZ220" i="10" s="1"/>
  <c r="EA220" i="10" s="1"/>
  <c r="DW220" i="10"/>
  <c r="CH222" i="10"/>
  <c r="CH16" i="10" s="1"/>
  <c r="CM222" i="10"/>
  <c r="CN222" i="10" s="1"/>
  <c r="CS221" i="10"/>
  <c r="CI222" i="10"/>
  <c r="CU5" i="8"/>
  <c r="CT5" i="8"/>
  <c r="CX5" i="8" s="1"/>
  <c r="BA5" i="8"/>
  <c r="BE5" i="8" s="1"/>
  <c r="BQ5" i="8"/>
  <c r="BU5" i="8"/>
  <c r="BY5" i="8" s="1"/>
  <c r="CK5" i="8"/>
  <c r="CO5" i="8"/>
  <c r="CS5" i="8" s="1"/>
  <c r="S9" i="8"/>
  <c r="AA9" i="8"/>
  <c r="AE9" i="8"/>
  <c r="AM9" i="8"/>
  <c r="K11" i="8"/>
  <c r="O11" i="8"/>
  <c r="S11" i="8"/>
  <c r="AA11" i="8"/>
  <c r="AI11" i="8"/>
  <c r="AM11" i="8"/>
  <c r="BB60" i="8"/>
  <c r="BB42" i="8"/>
  <c r="BF60" i="8"/>
  <c r="BF42" i="8"/>
  <c r="BN60" i="8"/>
  <c r="BN61" i="8" s="1"/>
  <c r="BN42" i="8"/>
  <c r="BR78" i="8"/>
  <c r="BR69" i="8"/>
  <c r="BR60" i="8"/>
  <c r="BR61" i="8" s="1"/>
  <c r="BR42" i="8"/>
  <c r="BV60" i="8"/>
  <c r="BV42" i="8"/>
  <c r="BZ60" i="8"/>
  <c r="BZ42" i="8"/>
  <c r="CH60" i="8"/>
  <c r="CH61" i="8" s="1"/>
  <c r="CH42" i="8"/>
  <c r="CL60" i="8"/>
  <c r="CL42" i="8"/>
  <c r="CP60" i="8"/>
  <c r="CP42" i="8"/>
  <c r="CT60" i="8"/>
  <c r="CT61" i="8" s="1"/>
  <c r="CT42" i="8"/>
  <c r="DB60" i="8"/>
  <c r="DB42" i="8"/>
  <c r="BK11" i="8"/>
  <c r="BS11" i="8"/>
  <c r="BW11" i="8"/>
  <c r="CA11" i="8"/>
  <c r="CM11" i="8"/>
  <c r="CQ11" i="8"/>
  <c r="DN9" i="8"/>
  <c r="DV9" i="8"/>
  <c r="DJ11" i="8"/>
  <c r="DN11" i="8"/>
  <c r="K14" i="8"/>
  <c r="O14" i="8"/>
  <c r="S14" i="8"/>
  <c r="AA14" i="8"/>
  <c r="AI14" i="8"/>
  <c r="AM14" i="8"/>
  <c r="K16" i="8"/>
  <c r="O16" i="8"/>
  <c r="S16" i="8"/>
  <c r="AA16" i="8"/>
  <c r="AE16" i="8"/>
  <c r="AI16" i="8"/>
  <c r="AM16" i="8"/>
  <c r="CE16" i="8"/>
  <c r="CM16" i="8"/>
  <c r="CQ16" i="8"/>
  <c r="CU16" i="8"/>
  <c r="DN14" i="8"/>
  <c r="DJ16" i="8"/>
  <c r="DN16" i="8"/>
  <c r="DV16" i="8"/>
  <c r="DJ74" i="8"/>
  <c r="DO38" i="8"/>
  <c r="DO29" i="8"/>
  <c r="X56" i="8"/>
  <c r="X38" i="8"/>
  <c r="K63" i="8"/>
  <c r="K33" i="8"/>
  <c r="K31" i="8"/>
  <c r="K29" i="8"/>
  <c r="O63" i="8"/>
  <c r="O33" i="8"/>
  <c r="O31" i="8"/>
  <c r="O29" i="8"/>
  <c r="S63" i="8"/>
  <c r="S33" i="8"/>
  <c r="S31" i="8"/>
  <c r="S29" i="8"/>
  <c r="AE63" i="8"/>
  <c r="AE31" i="8"/>
  <c r="AE29" i="8"/>
  <c r="K28" i="8"/>
  <c r="S28" i="8"/>
  <c r="U29" i="8"/>
  <c r="AC29" i="8"/>
  <c r="AS29" i="8"/>
  <c r="AV63" i="8"/>
  <c r="AV33" i="8"/>
  <c r="AV29" i="8"/>
  <c r="AV31" i="8"/>
  <c r="BD63" i="8"/>
  <c r="BD29" i="8"/>
  <c r="BD33" i="8"/>
  <c r="BD28" i="8"/>
  <c r="BH63" i="8"/>
  <c r="BH33" i="8"/>
  <c r="BH29" i="8"/>
  <c r="BH28" i="8"/>
  <c r="BL29" i="8"/>
  <c r="BL33" i="8"/>
  <c r="BL28" i="8"/>
  <c r="BP29" i="8"/>
  <c r="BP28" i="8"/>
  <c r="BX63" i="8"/>
  <c r="BX29" i="8"/>
  <c r="BX28" i="8"/>
  <c r="CB63" i="8"/>
  <c r="CB29" i="8"/>
  <c r="CB33" i="8"/>
  <c r="CB28" i="8"/>
  <c r="CF63" i="8"/>
  <c r="CF29" i="8"/>
  <c r="CF28" i="8"/>
  <c r="CJ63" i="8"/>
  <c r="CJ29" i="8"/>
  <c r="CJ33" i="8"/>
  <c r="CJ28" i="8"/>
  <c r="CR63" i="8"/>
  <c r="CR29" i="8"/>
  <c r="CR28" i="8"/>
  <c r="CV63" i="8"/>
  <c r="CV29" i="8"/>
  <c r="CV28" i="8"/>
  <c r="CZ63" i="8"/>
  <c r="CZ29" i="8"/>
  <c r="CZ33" i="8"/>
  <c r="CZ28" i="8"/>
  <c r="BD31" i="8"/>
  <c r="BL31" i="8"/>
  <c r="CB31" i="8"/>
  <c r="CJ31" i="8"/>
  <c r="CR31" i="8"/>
  <c r="CZ31" i="8"/>
  <c r="BP33" i="8"/>
  <c r="CE40" i="8"/>
  <c r="CM40" i="8"/>
  <c r="CU40" i="8"/>
  <c r="P11" i="8"/>
  <c r="T11" i="8"/>
  <c r="AF11" i="8"/>
  <c r="BF9" i="8"/>
  <c r="BN9" i="8"/>
  <c r="BR9" i="8"/>
  <c r="BV9" i="8"/>
  <c r="BZ9" i="8"/>
  <c r="CH9" i="8"/>
  <c r="CL9" i="8"/>
  <c r="BG78" i="8"/>
  <c r="BG33" i="8"/>
  <c r="CY78" i="8"/>
  <c r="CY33" i="8"/>
  <c r="BD11" i="8"/>
  <c r="BH11" i="8"/>
  <c r="CB11" i="8"/>
  <c r="CF11" i="8"/>
  <c r="CJ11" i="8"/>
  <c r="CV11" i="8"/>
  <c r="DU42" i="8"/>
  <c r="DU33" i="8"/>
  <c r="P16" i="8"/>
  <c r="X16" i="8"/>
  <c r="AF16" i="8"/>
  <c r="AN16" i="8"/>
  <c r="BF14" i="8"/>
  <c r="BN14" i="8"/>
  <c r="BR14" i="8"/>
  <c r="BV14" i="8"/>
  <c r="BZ14" i="8"/>
  <c r="CH14" i="8"/>
  <c r="CP14" i="8"/>
  <c r="CT14" i="8"/>
  <c r="BD16" i="8"/>
  <c r="BX16" i="8"/>
  <c r="CF16" i="8"/>
  <c r="CJ16" i="8"/>
  <c r="CR16" i="8"/>
  <c r="CV16" i="8"/>
  <c r="DQ76" i="8"/>
  <c r="DQ58" i="8"/>
  <c r="DQ31" i="8"/>
  <c r="DU58" i="8"/>
  <c r="DU31" i="8"/>
  <c r="BD74" i="8"/>
  <c r="BH74" i="8"/>
  <c r="BL74" i="8"/>
  <c r="BP74" i="8"/>
  <c r="BX74" i="8"/>
  <c r="CB74" i="8"/>
  <c r="CF74" i="8"/>
  <c r="CJ74" i="8"/>
  <c r="CR74" i="8"/>
  <c r="CV74" i="8"/>
  <c r="CZ74" i="8"/>
  <c r="P63" i="8"/>
  <c r="P33" i="8"/>
  <c r="P31" i="8"/>
  <c r="P32" i="8" s="1"/>
  <c r="P29" i="8"/>
  <c r="T63" i="8"/>
  <c r="T33" i="8"/>
  <c r="T31" i="8"/>
  <c r="T32" i="8" s="1"/>
  <c r="T29" i="8"/>
  <c r="X63" i="8"/>
  <c r="X33" i="8"/>
  <c r="X31" i="8"/>
  <c r="X32" i="8" s="1"/>
  <c r="X29" i="8"/>
  <c r="T28" i="8"/>
  <c r="J31" i="8"/>
  <c r="Z31" i="8"/>
  <c r="AH31" i="8"/>
  <c r="N33" i="8"/>
  <c r="AD33" i="8"/>
  <c r="AT33" i="8"/>
  <c r="AW63" i="8"/>
  <c r="AW31" i="8"/>
  <c r="AW29" i="8"/>
  <c r="AW33" i="8"/>
  <c r="BA63" i="8"/>
  <c r="BA33" i="8"/>
  <c r="BA29" i="8"/>
  <c r="BI63" i="8"/>
  <c r="BI29" i="8"/>
  <c r="BM33" i="8"/>
  <c r="BM29" i="8"/>
  <c r="BQ33" i="8"/>
  <c r="BQ29" i="8"/>
  <c r="BU63" i="8"/>
  <c r="BU29" i="8"/>
  <c r="CC63" i="8"/>
  <c r="CC33" i="8"/>
  <c r="CC29" i="8"/>
  <c r="CG63" i="8"/>
  <c r="CG33" i="8"/>
  <c r="CG29" i="8"/>
  <c r="CK63" i="8"/>
  <c r="CK29" i="8"/>
  <c r="CO63" i="8"/>
  <c r="CO33" i="8"/>
  <c r="CO34" i="8" s="1"/>
  <c r="CO29" i="8"/>
  <c r="CW63" i="8"/>
  <c r="CW33" i="8"/>
  <c r="CW29" i="8"/>
  <c r="DA63" i="8"/>
  <c r="DA29" i="8"/>
  <c r="BB28" i="8"/>
  <c r="BR28" i="8"/>
  <c r="BZ28" i="8"/>
  <c r="CH28" i="8"/>
  <c r="CP28" i="8"/>
  <c r="BM31" i="8"/>
  <c r="BM32" i="8" s="1"/>
  <c r="BU31" i="8"/>
  <c r="CC31" i="8"/>
  <c r="CC32" i="8" s="1"/>
  <c r="BU33" i="8"/>
  <c r="P38" i="8"/>
  <c r="T40" i="8"/>
  <c r="X42" i="8"/>
  <c r="AN42" i="8"/>
  <c r="BH40" i="8"/>
  <c r="BX40" i="8"/>
  <c r="CF40" i="8"/>
  <c r="CV40" i="8"/>
  <c r="AM78" i="8"/>
  <c r="AM60" i="8"/>
  <c r="BL78" i="8"/>
  <c r="BL79" i="8" s="1"/>
  <c r="BL69" i="8"/>
  <c r="BM11" i="8"/>
  <c r="BQ11" i="8"/>
  <c r="BU11" i="8"/>
  <c r="CK11" i="8"/>
  <c r="DA11" i="8"/>
  <c r="DN78" i="8"/>
  <c r="DN60" i="8"/>
  <c r="DS61" i="8" s="1"/>
  <c r="BL76" i="8"/>
  <c r="BL67" i="8"/>
  <c r="BM16" i="8"/>
  <c r="BQ16" i="8"/>
  <c r="BU16" i="8"/>
  <c r="CC16" i="8"/>
  <c r="CW16" i="8"/>
  <c r="DJ76" i="8"/>
  <c r="DJ77" i="8" s="1"/>
  <c r="DJ58" i="8"/>
  <c r="DJ59" i="8" s="1"/>
  <c r="DV76" i="8"/>
  <c r="DV58" i="8"/>
  <c r="DV59" i="8" s="1"/>
  <c r="BA74" i="8"/>
  <c r="BI74" i="8"/>
  <c r="BM74" i="8"/>
  <c r="BQ74" i="8"/>
  <c r="BU74" i="8"/>
  <c r="CC74" i="8"/>
  <c r="CG74" i="8"/>
  <c r="CK74" i="8"/>
  <c r="CO74" i="8"/>
  <c r="CW74" i="8"/>
  <c r="DA74" i="8"/>
  <c r="DQ74" i="8"/>
  <c r="DQ56" i="8"/>
  <c r="DQ29" i="8"/>
  <c r="DU74" i="8"/>
  <c r="DU56" i="8"/>
  <c r="DU29" i="8"/>
  <c r="BI56" i="8"/>
  <c r="BI38" i="8"/>
  <c r="BU56" i="8"/>
  <c r="BU38" i="8"/>
  <c r="CK56" i="8"/>
  <c r="CK38" i="8"/>
  <c r="CO56" i="8"/>
  <c r="CO38" i="8"/>
  <c r="CW56" i="8"/>
  <c r="CW38" i="8"/>
  <c r="E63" i="8"/>
  <c r="E33" i="8"/>
  <c r="E31" i="8"/>
  <c r="E29" i="8"/>
  <c r="I63" i="8"/>
  <c r="U63" i="8"/>
  <c r="U28" i="8"/>
  <c r="Y63" i="8"/>
  <c r="Y28" i="8"/>
  <c r="AC63" i="8"/>
  <c r="AC28" i="8"/>
  <c r="AO63" i="8"/>
  <c r="AO28" i="8"/>
  <c r="AS63" i="8"/>
  <c r="AS28" i="8"/>
  <c r="I29" i="8"/>
  <c r="Y29" i="8"/>
  <c r="AO29" i="8"/>
  <c r="U31" i="8"/>
  <c r="AC31" i="8"/>
  <c r="AS31" i="8"/>
  <c r="I33" i="8"/>
  <c r="Y33" i="8"/>
  <c r="Y34" i="8" s="1"/>
  <c r="AO33" i="8"/>
  <c r="AX33" i="8"/>
  <c r="BM28" i="8"/>
  <c r="BU28" i="8"/>
  <c r="CC28" i="8"/>
  <c r="CK28" i="8"/>
  <c r="DA28" i="8"/>
  <c r="CF31" i="8"/>
  <c r="CV31" i="8"/>
  <c r="I40" i="8"/>
  <c r="U38" i="8"/>
  <c r="Y40" i="8"/>
  <c r="Y41" i="8" s="1"/>
  <c r="AC42" i="8"/>
  <c r="AO40" i="8"/>
  <c r="AS42" i="8"/>
  <c r="BM42" i="8"/>
  <c r="CC42" i="8"/>
  <c r="DA38" i="8"/>
  <c r="DK38" i="8"/>
  <c r="P78" i="8"/>
  <c r="P42" i="8"/>
  <c r="BA60" i="8"/>
  <c r="BA42" i="8"/>
  <c r="BQ60" i="8"/>
  <c r="BQ42" i="8"/>
  <c r="BU60" i="8"/>
  <c r="BU42" i="8"/>
  <c r="CG60" i="8"/>
  <c r="CG42" i="8"/>
  <c r="CK60" i="8"/>
  <c r="CK42" i="8"/>
  <c r="CW60" i="8"/>
  <c r="CW42" i="8"/>
  <c r="DA60" i="8"/>
  <c r="DA42" i="8"/>
  <c r="BB11" i="8"/>
  <c r="BF11" i="8"/>
  <c r="BR11" i="8"/>
  <c r="BV11" i="8"/>
  <c r="BZ11" i="8"/>
  <c r="CH11" i="8"/>
  <c r="CL11" i="8"/>
  <c r="CP11" i="8"/>
  <c r="CT11" i="8"/>
  <c r="DB11" i="8"/>
  <c r="DI11" i="8"/>
  <c r="DQ11" i="8"/>
  <c r="DU11" i="8"/>
  <c r="AR76" i="8"/>
  <c r="AR40" i="8"/>
  <c r="BQ77" i="8"/>
  <c r="CW77" i="8"/>
  <c r="BV16" i="8"/>
  <c r="DB16" i="8"/>
  <c r="DQ16" i="8"/>
  <c r="DU16" i="8"/>
  <c r="DI74" i="8"/>
  <c r="DV74" i="8"/>
  <c r="DV56" i="8"/>
  <c r="BB56" i="8"/>
  <c r="BB38" i="8"/>
  <c r="BF56" i="8"/>
  <c r="BF38" i="8"/>
  <c r="BN65" i="8"/>
  <c r="BN56" i="8"/>
  <c r="BN38" i="8"/>
  <c r="BR65" i="8"/>
  <c r="BR56" i="8"/>
  <c r="BR38" i="8"/>
  <c r="BV56" i="8"/>
  <c r="BV38" i="8"/>
  <c r="BZ56" i="8"/>
  <c r="BZ38" i="8"/>
  <c r="CH56" i="8"/>
  <c r="CH38" i="8"/>
  <c r="CL56" i="8"/>
  <c r="CL38" i="8"/>
  <c r="CP56" i="8"/>
  <c r="CP38" i="8"/>
  <c r="CT56" i="8"/>
  <c r="CT38" i="8"/>
  <c r="DB56" i="8"/>
  <c r="DB38" i="8"/>
  <c r="F63" i="8"/>
  <c r="F31" i="8"/>
  <c r="F33" i="8"/>
  <c r="F29" i="8"/>
  <c r="J63" i="8"/>
  <c r="J28" i="8"/>
  <c r="N63" i="8"/>
  <c r="N28" i="8"/>
  <c r="Z63" i="8"/>
  <c r="Z28" i="8"/>
  <c r="AD63" i="8"/>
  <c r="AD28" i="8"/>
  <c r="AH63" i="8"/>
  <c r="AH28" i="8"/>
  <c r="AT63" i="8"/>
  <c r="AT28" i="8"/>
  <c r="P28" i="8"/>
  <c r="X28" i="8"/>
  <c r="J29" i="8"/>
  <c r="Z29" i="8"/>
  <c r="AH29" i="8"/>
  <c r="N31" i="8"/>
  <c r="N32" i="8" s="1"/>
  <c r="AD31" i="8"/>
  <c r="AD32" i="8" s="1"/>
  <c r="AT31" i="8"/>
  <c r="AT32" i="8" s="1"/>
  <c r="J33" i="8"/>
  <c r="J34" i="8" s="1"/>
  <c r="Z33" i="8"/>
  <c r="Z34" i="8" s="1"/>
  <c r="AH33" i="8"/>
  <c r="AH34" i="8" s="1"/>
  <c r="BK31" i="8"/>
  <c r="BS33" i="8"/>
  <c r="BF28" i="8"/>
  <c r="BN28" i="8"/>
  <c r="BV28" i="8"/>
  <c r="CL28" i="8"/>
  <c r="CT28" i="8"/>
  <c r="DB28" i="8"/>
  <c r="BQ31" i="8"/>
  <c r="BQ32" i="8" s="1"/>
  <c r="CG31" i="8"/>
  <c r="CG32" i="8" s="1"/>
  <c r="CO31" i="8"/>
  <c r="CO32" i="8" s="1"/>
  <c r="CW31" i="8"/>
  <c r="CW32" i="8" s="1"/>
  <c r="BK33" i="8"/>
  <c r="CF33" i="8"/>
  <c r="CF34" i="8" s="1"/>
  <c r="DA33" i="8"/>
  <c r="DA34" i="8" s="1"/>
  <c r="DJ63" i="8"/>
  <c r="DJ28" i="8"/>
  <c r="DJ33" i="8"/>
  <c r="DJ34" i="8" s="1"/>
  <c r="DJ31" i="8"/>
  <c r="DJ32" i="8" s="1"/>
  <c r="DJ29" i="8"/>
  <c r="DN63" i="8"/>
  <c r="DN28" i="8"/>
  <c r="DN33" i="8"/>
  <c r="DN34" i="8" s="1"/>
  <c r="DS28" i="8"/>
  <c r="DN31" i="8"/>
  <c r="DN29" i="8"/>
  <c r="DR31" i="8"/>
  <c r="DV63" i="8"/>
  <c r="DV28" i="8"/>
  <c r="DV33" i="8"/>
  <c r="DV34" i="8" s="1"/>
  <c r="DV31" i="8"/>
  <c r="DV29" i="8"/>
  <c r="AH40" i="8"/>
  <c r="AJ69" i="8"/>
  <c r="AJ65" i="8"/>
  <c r="AJ64" i="8"/>
  <c r="AN69" i="8"/>
  <c r="AN67" i="8"/>
  <c r="AN65" i="8"/>
  <c r="AN64" i="8"/>
  <c r="AR69" i="8"/>
  <c r="AR67" i="8"/>
  <c r="AR65" i="8"/>
  <c r="AR64" i="8"/>
  <c r="AJ29" i="8"/>
  <c r="AN29" i="8"/>
  <c r="AR29" i="8"/>
  <c r="AN31" i="8"/>
  <c r="AR31" i="8"/>
  <c r="AJ33" i="8"/>
  <c r="AN33" i="8"/>
  <c r="AR33" i="8"/>
  <c r="AY63" i="8"/>
  <c r="BC65" i="8"/>
  <c r="BC69" i="8"/>
  <c r="BG69" i="8"/>
  <c r="BG65" i="8"/>
  <c r="BW64" i="8"/>
  <c r="BW69" i="8"/>
  <c r="BW70" i="8" s="1"/>
  <c r="BW65" i="8"/>
  <c r="CA67" i="8"/>
  <c r="CA65" i="8"/>
  <c r="CA69" i="8"/>
  <c r="CE69" i="8"/>
  <c r="CE67" i="8"/>
  <c r="CE65" i="8"/>
  <c r="CM69" i="8"/>
  <c r="CM67" i="8"/>
  <c r="CM65" i="8"/>
  <c r="CQ67" i="8"/>
  <c r="CQ65" i="8"/>
  <c r="CQ69" i="8"/>
  <c r="CU69" i="8"/>
  <c r="CU67" i="8"/>
  <c r="CU65" i="8"/>
  <c r="CY67" i="8"/>
  <c r="CY65" i="8"/>
  <c r="CY69" i="8"/>
  <c r="BS31" i="8"/>
  <c r="CA31" i="8"/>
  <c r="CE31" i="8"/>
  <c r="CM31" i="8"/>
  <c r="CQ31" i="8"/>
  <c r="CU31" i="8"/>
  <c r="CY31" i="8"/>
  <c r="CE33" i="8"/>
  <c r="CU33" i="8"/>
  <c r="DI64" i="8"/>
  <c r="DI67" i="8"/>
  <c r="DI68" i="8" s="1"/>
  <c r="DI69" i="8"/>
  <c r="DI70" i="8" s="1"/>
  <c r="DI65" i="8"/>
  <c r="DQ64" i="8"/>
  <c r="DQ67" i="8"/>
  <c r="DQ69" i="8"/>
  <c r="DQ65" i="8"/>
  <c r="DU64" i="8"/>
  <c r="DU69" i="8"/>
  <c r="DU65" i="8"/>
  <c r="DU67" i="8"/>
  <c r="DQ28" i="8"/>
  <c r="DI29" i="8"/>
  <c r="DS29" i="8"/>
  <c r="AS46" i="9" s="1"/>
  <c r="DI31" i="8"/>
  <c r="DI32" i="8" s="1"/>
  <c r="DS31" i="8"/>
  <c r="DS32" i="8" s="1"/>
  <c r="AY29" i="8"/>
  <c r="D42" i="8"/>
  <c r="D40" i="8"/>
  <c r="D38" i="8"/>
  <c r="P37" i="8"/>
  <c r="J38" i="8"/>
  <c r="Z38" i="8"/>
  <c r="N40" i="8"/>
  <c r="N41" i="8" s="1"/>
  <c r="AD40" i="8"/>
  <c r="AT40" i="8"/>
  <c r="AT41" i="8" s="1"/>
  <c r="AH42" i="8"/>
  <c r="AH43" i="8" s="1"/>
  <c r="BB40" i="8"/>
  <c r="BF40" i="8"/>
  <c r="BN40" i="8"/>
  <c r="BR40" i="8"/>
  <c r="BV40" i="8"/>
  <c r="BZ40" i="8"/>
  <c r="CH40" i="8"/>
  <c r="CL40" i="8"/>
  <c r="CP40" i="8"/>
  <c r="CT40" i="8"/>
  <c r="DB40" i="8"/>
  <c r="BI37" i="8"/>
  <c r="CO37" i="8"/>
  <c r="BG38" i="8"/>
  <c r="BM38" i="8"/>
  <c r="BW38" i="8"/>
  <c r="CC38" i="8"/>
  <c r="CM38" i="8"/>
  <c r="DL42" i="8"/>
  <c r="DL43" i="8" s="1"/>
  <c r="DP40" i="8"/>
  <c r="DT40" i="8"/>
  <c r="DO31" i="8"/>
  <c r="DO32" i="8" s="1"/>
  <c r="DS33" i="8"/>
  <c r="DS34" i="8" s="1"/>
  <c r="E38" i="8"/>
  <c r="E40" i="8"/>
  <c r="E42" i="8"/>
  <c r="I37" i="8"/>
  <c r="U37" i="8"/>
  <c r="Y37" i="8"/>
  <c r="AC37" i="8"/>
  <c r="AO37" i="8"/>
  <c r="AS37" i="8"/>
  <c r="AH37" i="8"/>
  <c r="J40" i="8"/>
  <c r="U40" i="8"/>
  <c r="U41" i="8" s="1"/>
  <c r="Z40" i="8"/>
  <c r="I42" i="8"/>
  <c r="N42" i="8"/>
  <c r="Y42" i="8"/>
  <c r="Y43" i="8" s="1"/>
  <c r="AD42" i="8"/>
  <c r="AO42" i="8"/>
  <c r="AO43" i="8" s="1"/>
  <c r="AT42" i="8"/>
  <c r="AY42" i="8"/>
  <c r="AY38" i="8"/>
  <c r="AY40" i="8"/>
  <c r="BC42" i="8"/>
  <c r="BC43" i="8" s="1"/>
  <c r="BC37" i="8"/>
  <c r="BG42" i="8"/>
  <c r="BG43" i="8" s="1"/>
  <c r="BG37" i="8"/>
  <c r="BK42" i="8"/>
  <c r="BK43" i="8" s="1"/>
  <c r="BK37" i="8"/>
  <c r="BS42" i="8"/>
  <c r="BS43" i="8" s="1"/>
  <c r="BS37" i="8"/>
  <c r="BW42" i="8"/>
  <c r="BW43" i="8" s="1"/>
  <c r="BW37" i="8"/>
  <c r="CA42" i="8"/>
  <c r="CA43" i="8" s="1"/>
  <c r="CA37" i="8"/>
  <c r="CE42" i="8"/>
  <c r="CE43" i="8" s="1"/>
  <c r="CE37" i="8"/>
  <c r="CM42" i="8"/>
  <c r="CM43" i="8" s="1"/>
  <c r="CM37" i="8"/>
  <c r="CQ42" i="8"/>
  <c r="CQ43" i="8" s="1"/>
  <c r="CQ37" i="8"/>
  <c r="CU42" i="8"/>
  <c r="CU43" i="8" s="1"/>
  <c r="CU38" i="8"/>
  <c r="CU37" i="8"/>
  <c r="CY42" i="8"/>
  <c r="CY43" i="8" s="1"/>
  <c r="CY38" i="8"/>
  <c r="CY37" i="8"/>
  <c r="BP37" i="8"/>
  <c r="BU37" i="8"/>
  <c r="CF37" i="8"/>
  <c r="CK37" i="8"/>
  <c r="CV37" i="8"/>
  <c r="DA37" i="8"/>
  <c r="BC38" i="8"/>
  <c r="BS38" i="8"/>
  <c r="DI42" i="8"/>
  <c r="DI43" i="8" s="1"/>
  <c r="DQ40" i="8"/>
  <c r="DU40" i="8"/>
  <c r="DU41" i="8" s="1"/>
  <c r="DK69" i="8"/>
  <c r="DK70" i="8" s="1"/>
  <c r="DK67" i="8"/>
  <c r="DK68" i="8" s="1"/>
  <c r="DK65" i="8"/>
  <c r="DK64" i="8"/>
  <c r="DO69" i="8"/>
  <c r="DO67" i="8"/>
  <c r="DO65" i="8"/>
  <c r="DO64" i="8"/>
  <c r="DS69" i="8"/>
  <c r="DS67" i="8"/>
  <c r="DS65" i="8"/>
  <c r="DS64" i="8"/>
  <c r="DO28" i="8"/>
  <c r="DT28" i="8"/>
  <c r="DK29" i="8"/>
  <c r="DK31" i="8"/>
  <c r="DK32" i="8" s="1"/>
  <c r="DO33" i="8"/>
  <c r="F38" i="8"/>
  <c r="F40" i="8"/>
  <c r="F42" i="8"/>
  <c r="N37" i="8"/>
  <c r="S37" i="8"/>
  <c r="AD37" i="8"/>
  <c r="AI37" i="8"/>
  <c r="AT37" i="8"/>
  <c r="AC38" i="8"/>
  <c r="AH38" i="8"/>
  <c r="AS38" i="8"/>
  <c r="J42" i="8"/>
  <c r="U42" i="8"/>
  <c r="U43" i="8" s="1"/>
  <c r="Z42" i="8"/>
  <c r="AV40" i="8"/>
  <c r="AV38" i="8"/>
  <c r="BD42" i="8"/>
  <c r="BD38" i="8"/>
  <c r="BH42" i="8"/>
  <c r="BH38" i="8"/>
  <c r="BL42" i="8"/>
  <c r="BL43" i="8" s="1"/>
  <c r="BL38" i="8"/>
  <c r="BP38" i="8"/>
  <c r="BX42" i="8"/>
  <c r="BX43" i="8" s="1"/>
  <c r="BX38" i="8"/>
  <c r="CB42" i="8"/>
  <c r="CB43" i="8" s="1"/>
  <c r="CB38" i="8"/>
  <c r="CF42" i="8"/>
  <c r="CF38" i="8"/>
  <c r="CJ42" i="8"/>
  <c r="CJ43" i="8" s="1"/>
  <c r="CJ38" i="8"/>
  <c r="CR42" i="8"/>
  <c r="CR38" i="8"/>
  <c r="CV42" i="8"/>
  <c r="CV38" i="8"/>
  <c r="CZ40" i="8"/>
  <c r="CZ41" i="8" s="1"/>
  <c r="CZ42" i="8"/>
  <c r="CZ38" i="8"/>
  <c r="BA37" i="8"/>
  <c r="BL37" i="8"/>
  <c r="BQ37" i="8"/>
  <c r="CB37" i="8"/>
  <c r="CG37" i="8"/>
  <c r="CR37" i="8"/>
  <c r="CW37" i="8"/>
  <c r="CE38" i="8"/>
  <c r="BK40" i="8"/>
  <c r="BS40" i="8"/>
  <c r="CA40" i="8"/>
  <c r="CA41" i="8" s="1"/>
  <c r="CQ40" i="8"/>
  <c r="CQ41" i="8" s="1"/>
  <c r="CY40" i="8"/>
  <c r="DJ42" i="8"/>
  <c r="DJ43" i="8" s="1"/>
  <c r="DN42" i="8"/>
  <c r="DV40" i="8"/>
  <c r="AI69" i="8"/>
  <c r="AI67" i="8"/>
  <c r="AI65" i="8"/>
  <c r="AI64" i="8"/>
  <c r="AM69" i="8"/>
  <c r="AM67" i="8"/>
  <c r="AM65" i="8"/>
  <c r="AM64" i="8"/>
  <c r="AI29" i="8"/>
  <c r="AM29" i="8"/>
  <c r="AI31" i="8"/>
  <c r="AM31" i="8"/>
  <c r="AM32" i="8" s="1"/>
  <c r="AI33" i="8"/>
  <c r="AI34" i="8" s="1"/>
  <c r="AM33" i="8"/>
  <c r="AX63" i="8"/>
  <c r="AX31" i="8"/>
  <c r="BB63" i="8"/>
  <c r="BG64" i="8" s="1"/>
  <c r="BB33" i="8"/>
  <c r="BF63" i="8"/>
  <c r="BF33" i="8"/>
  <c r="BF34" i="8" s="1"/>
  <c r="BN33" i="8"/>
  <c r="BR33" i="8"/>
  <c r="BR34" i="8" s="1"/>
  <c r="BV63" i="8"/>
  <c r="BV33" i="8"/>
  <c r="BV34" i="8" s="1"/>
  <c r="BZ63" i="8"/>
  <c r="BZ33" i="8"/>
  <c r="BZ34" i="8" s="1"/>
  <c r="CH63" i="8"/>
  <c r="CH33" i="8"/>
  <c r="CH34" i="8" s="1"/>
  <c r="CL63" i="8"/>
  <c r="CL33" i="8"/>
  <c r="CL34" i="8" s="1"/>
  <c r="CP63" i="8"/>
  <c r="CP33" i="8"/>
  <c r="CP34" i="8" s="1"/>
  <c r="CT63" i="8"/>
  <c r="CY64" i="8" s="1"/>
  <c r="CT33" i="8"/>
  <c r="CT34" i="8" s="1"/>
  <c r="DB63" i="8"/>
  <c r="DB33" i="8"/>
  <c r="DB34" i="8" s="1"/>
  <c r="BC28" i="8"/>
  <c r="BG28" i="8"/>
  <c r="BK28" i="8"/>
  <c r="BS28" i="8"/>
  <c r="BW28" i="8"/>
  <c r="CA28" i="8"/>
  <c r="CE28" i="8"/>
  <c r="CM28" i="8"/>
  <c r="CQ28" i="8"/>
  <c r="CU28" i="8"/>
  <c r="CY28" i="8"/>
  <c r="BB31" i="8"/>
  <c r="BB32" i="8" s="1"/>
  <c r="BF31" i="8"/>
  <c r="BN31" i="8"/>
  <c r="BR31" i="8"/>
  <c r="BR32" i="8" s="1"/>
  <c r="BV31" i="8"/>
  <c r="BV32" i="8" s="1"/>
  <c r="BZ31" i="8"/>
  <c r="BZ32" i="8" s="1"/>
  <c r="CH31" i="8"/>
  <c r="CL31" i="8"/>
  <c r="CP31" i="8"/>
  <c r="CT31" i="8"/>
  <c r="CT32" i="8" s="1"/>
  <c r="DB31" i="8"/>
  <c r="DB32" i="8" s="1"/>
  <c r="BC33" i="8"/>
  <c r="BC34" i="8" s="1"/>
  <c r="DK28" i="8"/>
  <c r="DP28" i="8"/>
  <c r="DK33" i="8"/>
  <c r="DK34" i="8" s="1"/>
  <c r="AX29" i="8"/>
  <c r="AY31" i="8"/>
  <c r="AY33" i="8"/>
  <c r="K42" i="8"/>
  <c r="O42" i="8"/>
  <c r="O43" i="8" s="1"/>
  <c r="S42" i="8"/>
  <c r="S43" i="8" s="1"/>
  <c r="AE42" i="8"/>
  <c r="AI42" i="8"/>
  <c r="AI43" i="8" s="1"/>
  <c r="AM42" i="8"/>
  <c r="AM43" i="8" s="1"/>
  <c r="J37" i="8"/>
  <c r="Z37" i="8"/>
  <c r="I38" i="8"/>
  <c r="N38" i="8"/>
  <c r="Y38" i="8"/>
  <c r="AD38" i="8"/>
  <c r="AO38" i="8"/>
  <c r="AT38" i="8"/>
  <c r="AC40" i="8"/>
  <c r="AC41" i="8" s="1"/>
  <c r="AS40" i="8"/>
  <c r="AS41" i="8" s="1"/>
  <c r="AW40" i="8"/>
  <c r="AW38" i="8"/>
  <c r="AW42" i="8"/>
  <c r="BA40" i="8"/>
  <c r="BM40" i="8"/>
  <c r="BM41" i="8" s="1"/>
  <c r="BQ40" i="8"/>
  <c r="BU40" i="8"/>
  <c r="CC40" i="8"/>
  <c r="CC41" i="8" s="1"/>
  <c r="CO40" i="8"/>
  <c r="CW40" i="8"/>
  <c r="BB37" i="8"/>
  <c r="BH37" i="8"/>
  <c r="BM37" i="8"/>
  <c r="BR37" i="8"/>
  <c r="BX37" i="8"/>
  <c r="CC37" i="8"/>
  <c r="CH37" i="8"/>
  <c r="BA38" i="8"/>
  <c r="BK38" i="8"/>
  <c r="BQ38" i="8"/>
  <c r="CA38" i="8"/>
  <c r="CG38" i="8"/>
  <c r="CQ38" i="8"/>
  <c r="BD40" i="8"/>
  <c r="BD41" i="8" s="1"/>
  <c r="BL40" i="8"/>
  <c r="CB40" i="8"/>
  <c r="CJ40" i="8"/>
  <c r="CJ41" i="8" s="1"/>
  <c r="CR40" i="8"/>
  <c r="CR41" i="8" s="1"/>
  <c r="CO42" i="8"/>
  <c r="DK37" i="8"/>
  <c r="DK42" i="8"/>
  <c r="DK43" i="8" s="1"/>
  <c r="DK40" i="8"/>
  <c r="DK41" i="8" s="1"/>
  <c r="DO42" i="8"/>
  <c r="DO37" i="8"/>
  <c r="DO40" i="8"/>
  <c r="DS42" i="8"/>
  <c r="DS37" i="8"/>
  <c r="DS40" i="8"/>
  <c r="DL64" i="8"/>
  <c r="DL65" i="8"/>
  <c r="DL67" i="8"/>
  <c r="DL68" i="8" s="1"/>
  <c r="DP64" i="8"/>
  <c r="DP67" i="8"/>
  <c r="DP68" i="8" s="1"/>
  <c r="DP69" i="8"/>
  <c r="DP70" i="8" s="1"/>
  <c r="DP65" i="8"/>
  <c r="DT64" i="8"/>
  <c r="DT69" i="8"/>
  <c r="DT70" i="8" s="1"/>
  <c r="DT65" i="8"/>
  <c r="DT67" i="8"/>
  <c r="DL29" i="8"/>
  <c r="DP29" i="8"/>
  <c r="DT29" i="8"/>
  <c r="DL31" i="8"/>
  <c r="DL32" i="8" s="1"/>
  <c r="DP31" i="8"/>
  <c r="DP32" i="8" s="1"/>
  <c r="DT31" i="8"/>
  <c r="DT32" i="8" s="1"/>
  <c r="DP33" i="8"/>
  <c r="DP34" i="8" s="1"/>
  <c r="DT33" i="8"/>
  <c r="K38" i="8"/>
  <c r="O38" i="8"/>
  <c r="S38" i="8"/>
  <c r="AE38" i="8"/>
  <c r="AI38" i="8"/>
  <c r="AM38" i="8"/>
  <c r="K40" i="8"/>
  <c r="O40" i="8"/>
  <c r="S40" i="8"/>
  <c r="S41" i="8" s="1"/>
  <c r="AE40" i="8"/>
  <c r="AE41" i="8" s="1"/>
  <c r="AI40" i="8"/>
  <c r="AI41" i="8" s="1"/>
  <c r="AM40" i="8"/>
  <c r="AM41" i="8" s="1"/>
  <c r="DL37" i="8"/>
  <c r="DP37" i="8"/>
  <c r="DT37" i="8"/>
  <c r="DJ38" i="8"/>
  <c r="DN38" i="8"/>
  <c r="DV38" i="8"/>
  <c r="DJ40" i="8"/>
  <c r="DJ41" i="8" s="1"/>
  <c r="DN40" i="8"/>
  <c r="DT42" i="8"/>
  <c r="EF50" i="8"/>
  <c r="EK49" i="8"/>
  <c r="EK50" i="8" s="1"/>
  <c r="D56" i="8"/>
  <c r="D58" i="8"/>
  <c r="D60" i="8"/>
  <c r="P60" i="8"/>
  <c r="P61" i="8" s="1"/>
  <c r="P58" i="8"/>
  <c r="P55" i="8"/>
  <c r="T58" i="8"/>
  <c r="T60" i="8"/>
  <c r="T55" i="8"/>
  <c r="X58" i="8"/>
  <c r="X60" i="8"/>
  <c r="X55" i="8"/>
  <c r="AJ58" i="8"/>
  <c r="AJ56" i="8"/>
  <c r="AJ60" i="8"/>
  <c r="AJ55" i="8"/>
  <c r="AN58" i="8"/>
  <c r="AN56" i="8"/>
  <c r="AN60" i="8"/>
  <c r="AN55" i="8"/>
  <c r="AR60" i="8"/>
  <c r="AR61" i="8" s="1"/>
  <c r="AR58" i="8"/>
  <c r="AR56" i="8"/>
  <c r="AR55" i="8"/>
  <c r="T56" i="8"/>
  <c r="CY58" i="8"/>
  <c r="EC49" i="8"/>
  <c r="DX50" i="8"/>
  <c r="E60" i="8"/>
  <c r="E58" i="8"/>
  <c r="E56" i="8"/>
  <c r="I58" i="8"/>
  <c r="U58" i="8"/>
  <c r="U59" i="8" s="1"/>
  <c r="Y58" i="8"/>
  <c r="AC58" i="8"/>
  <c r="AO58" i="8"/>
  <c r="AS58" i="8"/>
  <c r="DN37" i="8"/>
  <c r="DV37" i="8"/>
  <c r="DL38" i="8"/>
  <c r="DP38" i="8"/>
  <c r="DT38" i="8"/>
  <c r="DL40" i="8"/>
  <c r="DL41" i="8" s="1"/>
  <c r="DQ42" i="8"/>
  <c r="DZ49" i="8"/>
  <c r="DI38" i="8"/>
  <c r="DQ38" i="8"/>
  <c r="DU38" i="8"/>
  <c r="DI40" i="8"/>
  <c r="DI41" i="8" s="1"/>
  <c r="ED49" i="8"/>
  <c r="K58" i="8"/>
  <c r="O60" i="8"/>
  <c r="S58" i="8"/>
  <c r="AI58" i="8"/>
  <c r="AM58" i="8"/>
  <c r="J55" i="8"/>
  <c r="DO58" i="8"/>
  <c r="DO59" i="8" s="1"/>
  <c r="F60" i="8"/>
  <c r="K61" i="8" s="1"/>
  <c r="F58" i="8"/>
  <c r="F56" i="8"/>
  <c r="J60" i="8"/>
  <c r="N60" i="8"/>
  <c r="Z60" i="8"/>
  <c r="AD60" i="8"/>
  <c r="AH60" i="8"/>
  <c r="AT60" i="8"/>
  <c r="AT58" i="8"/>
  <c r="AT59" i="8" s="1"/>
  <c r="J56" i="8"/>
  <c r="N56" i="8"/>
  <c r="Z56" i="8"/>
  <c r="AD56" i="8"/>
  <c r="AH56" i="8"/>
  <c r="AT56" i="8"/>
  <c r="J58" i="8"/>
  <c r="J59" i="8" s="1"/>
  <c r="N58" i="8"/>
  <c r="N59" i="8" s="1"/>
  <c r="Z58" i="8"/>
  <c r="AD58" i="8"/>
  <c r="AH58" i="8"/>
  <c r="S60" i="8"/>
  <c r="AC60" i="8"/>
  <c r="AI60" i="8"/>
  <c r="AS60" i="8"/>
  <c r="AS61" i="8" s="1"/>
  <c r="BM55" i="8"/>
  <c r="BU55" i="8"/>
  <c r="CC55" i="8"/>
  <c r="CK55" i="8"/>
  <c r="BH58" i="8"/>
  <c r="BP58" i="8"/>
  <c r="BX58" i="8"/>
  <c r="CF58" i="8"/>
  <c r="CP58" i="8"/>
  <c r="CU59" i="8" s="1"/>
  <c r="CT58" i="8"/>
  <c r="DB58" i="8"/>
  <c r="DO56" i="8"/>
  <c r="I55" i="8"/>
  <c r="U55" i="8"/>
  <c r="Y55" i="8"/>
  <c r="AC55" i="8"/>
  <c r="AO55" i="8"/>
  <c r="AS55" i="8"/>
  <c r="K56" i="8"/>
  <c r="O56" i="8"/>
  <c r="S56" i="8"/>
  <c r="AE56" i="8"/>
  <c r="AI56" i="8"/>
  <c r="AM56" i="8"/>
  <c r="O58" i="8"/>
  <c r="AE58" i="8"/>
  <c r="I60" i="8"/>
  <c r="Y60" i="8"/>
  <c r="Y61" i="8" s="1"/>
  <c r="AO60" i="8"/>
  <c r="AO61" i="8" s="1"/>
  <c r="AY58" i="8"/>
  <c r="AY56" i="8"/>
  <c r="BC60" i="8"/>
  <c r="BC56" i="8"/>
  <c r="BC55" i="8"/>
  <c r="BG60" i="8"/>
  <c r="BG56" i="8"/>
  <c r="BG55" i="8"/>
  <c r="BK60" i="8"/>
  <c r="BK61" i="8" s="1"/>
  <c r="BK56" i="8"/>
  <c r="BK55" i="8"/>
  <c r="BS60" i="8"/>
  <c r="BS56" i="8"/>
  <c r="BS55" i="8"/>
  <c r="BW60" i="8"/>
  <c r="BW56" i="8"/>
  <c r="BW55" i="8"/>
  <c r="CA60" i="8"/>
  <c r="CA61" i="8" s="1"/>
  <c r="CA56" i="8"/>
  <c r="CA55" i="8"/>
  <c r="CE60" i="8"/>
  <c r="CE61" i="8" s="1"/>
  <c r="CE56" i="8"/>
  <c r="CE55" i="8"/>
  <c r="CM60" i="8"/>
  <c r="CM61" i="8" s="1"/>
  <c r="CM56" i="8"/>
  <c r="CM55" i="8"/>
  <c r="BK58" i="8"/>
  <c r="BS58" i="8"/>
  <c r="CA58" i="8"/>
  <c r="CQ60" i="8"/>
  <c r="CQ56" i="8"/>
  <c r="CQ55" i="8"/>
  <c r="CU60" i="8"/>
  <c r="CU61" i="8" s="1"/>
  <c r="CU56" i="8"/>
  <c r="CU55" i="8"/>
  <c r="CY60" i="8"/>
  <c r="CY61" i="8" s="1"/>
  <c r="CY56" i="8"/>
  <c r="CY55" i="8"/>
  <c r="CZ55" i="8"/>
  <c r="DI58" i="8"/>
  <c r="DI59" i="8" s="1"/>
  <c r="DS58" i="8"/>
  <c r="DS56" i="8"/>
  <c r="DW54" i="8"/>
  <c r="U60" i="8"/>
  <c r="U61" i="8" s="1"/>
  <c r="AV56" i="8"/>
  <c r="AV58" i="8"/>
  <c r="BD60" i="8"/>
  <c r="BD61" i="8" s="1"/>
  <c r="BD56" i="8"/>
  <c r="BH60" i="8"/>
  <c r="BH56" i="8"/>
  <c r="BL60" i="8"/>
  <c r="BL61" i="8" s="1"/>
  <c r="BL56" i="8"/>
  <c r="BP56" i="8"/>
  <c r="BX60" i="8"/>
  <c r="BX56" i="8"/>
  <c r="CB60" i="8"/>
  <c r="CB56" i="8"/>
  <c r="CF60" i="8"/>
  <c r="CF61" i="8" s="1"/>
  <c r="CF56" i="8"/>
  <c r="CO55" i="8"/>
  <c r="CJ60" i="8"/>
  <c r="CJ56" i="8"/>
  <c r="BA55" i="8"/>
  <c r="BI55" i="8"/>
  <c r="BQ55" i="8"/>
  <c r="CG55" i="8"/>
  <c r="BD58" i="8"/>
  <c r="BL58" i="8"/>
  <c r="CB58" i="8"/>
  <c r="CJ58" i="8"/>
  <c r="CJ59" i="8" s="1"/>
  <c r="CR58" i="8"/>
  <c r="CR59" i="8" s="1"/>
  <c r="CW55" i="8"/>
  <c r="CR60" i="8"/>
  <c r="CR56" i="8"/>
  <c r="CR55" i="8"/>
  <c r="DO60" i="8"/>
  <c r="DO55" i="8"/>
  <c r="I56" i="8"/>
  <c r="U56" i="8"/>
  <c r="Y56" i="8"/>
  <c r="AC56" i="8"/>
  <c r="AO56" i="8"/>
  <c r="AS56" i="8"/>
  <c r="BI58" i="8"/>
  <c r="BI59" i="8" s="1"/>
  <c r="BM58" i="8"/>
  <c r="BQ58" i="8"/>
  <c r="BU58" i="8"/>
  <c r="CC58" i="8"/>
  <c r="CC59" i="8" s="1"/>
  <c r="BD55" i="8"/>
  <c r="BL55" i="8"/>
  <c r="CB55" i="8"/>
  <c r="CJ55" i="8"/>
  <c r="CO58" i="8"/>
  <c r="CW58" i="8"/>
  <c r="DA58" i="8"/>
  <c r="DK55" i="8"/>
  <c r="DK58" i="8"/>
  <c r="DK59" i="8" s="1"/>
  <c r="DK56" i="8"/>
  <c r="BM64" i="8"/>
  <c r="AX58" i="8"/>
  <c r="BB58" i="8"/>
  <c r="BF58" i="8"/>
  <c r="BN58" i="8"/>
  <c r="BR58" i="8"/>
  <c r="BV58" i="8"/>
  <c r="BZ58" i="8"/>
  <c r="CH58" i="8"/>
  <c r="CL58" i="8"/>
  <c r="CV56" i="8"/>
  <c r="CZ56" i="8"/>
  <c r="CV60" i="8"/>
  <c r="CZ60" i="8"/>
  <c r="CZ61" i="8" s="1"/>
  <c r="DJ55" i="8"/>
  <c r="DN55" i="8"/>
  <c r="DR54" i="8"/>
  <c r="DV55" i="8"/>
  <c r="DL55" i="8"/>
  <c r="DQ55" i="8"/>
  <c r="DI56" i="8"/>
  <c r="DN56" i="8"/>
  <c r="DN58" i="8"/>
  <c r="DJ60" i="8"/>
  <c r="DJ61" i="8" s="1"/>
  <c r="AX60" i="8"/>
  <c r="BL65" i="8"/>
  <c r="BL64" i="8"/>
  <c r="BP65" i="8"/>
  <c r="BP64" i="8"/>
  <c r="BM69" i="8"/>
  <c r="BM65" i="8"/>
  <c r="BQ69" i="8"/>
  <c r="BQ70" i="8" s="1"/>
  <c r="BQ65" i="8"/>
  <c r="BQ67" i="8"/>
  <c r="BQ68" i="8" s="1"/>
  <c r="DA55" i="8"/>
  <c r="CV58" i="8"/>
  <c r="CV59" i="8" s="1"/>
  <c r="CZ58" i="8"/>
  <c r="CZ59" i="8" s="1"/>
  <c r="DL58" i="8"/>
  <c r="DL59" i="8" s="1"/>
  <c r="DL56" i="8"/>
  <c r="DP60" i="8"/>
  <c r="DP58" i="8"/>
  <c r="DP56" i="8"/>
  <c r="DT60" i="8"/>
  <c r="DT58" i="8"/>
  <c r="DT59" i="8" s="1"/>
  <c r="DT56" i="8"/>
  <c r="DT55" i="8"/>
  <c r="AX56" i="8"/>
  <c r="BN69" i="8"/>
  <c r="BR67" i="8"/>
  <c r="BQ64" i="8"/>
  <c r="AW60" i="8"/>
  <c r="AW56" i="8"/>
  <c r="CT55" i="8"/>
  <c r="DB55" i="8"/>
  <c r="DI60" i="8"/>
  <c r="DI61" i="8" s="1"/>
  <c r="DM54" i="8"/>
  <c r="DQ60" i="8"/>
  <c r="DU60" i="8"/>
  <c r="DP55" i="8"/>
  <c r="DU55" i="8"/>
  <c r="AW58" i="8"/>
  <c r="BK64" i="8"/>
  <c r="BS69" i="8"/>
  <c r="BR64" i="8"/>
  <c r="BM67" i="8"/>
  <c r="BK67" i="8"/>
  <c r="BO67" i="8"/>
  <c r="BS67" i="8"/>
  <c r="BF76" i="8"/>
  <c r="BN78" i="8"/>
  <c r="CL76" i="8"/>
  <c r="I78" i="8"/>
  <c r="U78" i="8"/>
  <c r="Y78" i="8"/>
  <c r="AC78" i="8"/>
  <c r="AC79" i="8" s="1"/>
  <c r="AO78" i="8"/>
  <c r="AS78" i="8"/>
  <c r="AS79" i="8" s="1"/>
  <c r="F78" i="8"/>
  <c r="F76" i="8"/>
  <c r="K77" i="8" s="1"/>
  <c r="F74" i="8"/>
  <c r="J78" i="8"/>
  <c r="J76" i="8"/>
  <c r="J74" i="8"/>
  <c r="J73" i="8"/>
  <c r="N78" i="8"/>
  <c r="Z78" i="8"/>
  <c r="AD78" i="8"/>
  <c r="AH78" i="8"/>
  <c r="AT78" i="8"/>
  <c r="BD78" i="8"/>
  <c r="BH76" i="8"/>
  <c r="BX76" i="8"/>
  <c r="CB78" i="8"/>
  <c r="CJ76" i="8"/>
  <c r="CZ76" i="8"/>
  <c r="BS64" i="8"/>
  <c r="BN67" i="8"/>
  <c r="DJ78" i="8"/>
  <c r="DJ79" i="8" s="1"/>
  <c r="DN76" i="8"/>
  <c r="DV78" i="8"/>
  <c r="D74" i="8"/>
  <c r="D78" i="8"/>
  <c r="D76" i="8"/>
  <c r="P73" i="8"/>
  <c r="T73" i="8"/>
  <c r="X73" i="8"/>
  <c r="AJ73" i="8"/>
  <c r="AN73" i="8"/>
  <c r="AR73" i="8"/>
  <c r="T74" i="8"/>
  <c r="AJ74" i="8"/>
  <c r="AR74" i="8"/>
  <c r="P76" i="8"/>
  <c r="P77" i="8" s="1"/>
  <c r="X76" i="8"/>
  <c r="X77" i="8" s="1"/>
  <c r="AN76" i="8"/>
  <c r="AN77" i="8" s="1"/>
  <c r="T78" i="8"/>
  <c r="T79" i="8" s="1"/>
  <c r="AJ78" i="8"/>
  <c r="AR78" i="8"/>
  <c r="AR79" i="8" s="1"/>
  <c r="AY76" i="8"/>
  <c r="AY78" i="8"/>
  <c r="AY74" i="8"/>
  <c r="BC74" i="8"/>
  <c r="BG76" i="8"/>
  <c r="BG74" i="8"/>
  <c r="BK76" i="8"/>
  <c r="BK78" i="8"/>
  <c r="BK74" i="8"/>
  <c r="BS76" i="8"/>
  <c r="BS74" i="8"/>
  <c r="BW74" i="8"/>
  <c r="CA76" i="8"/>
  <c r="CA77" i="8" s="1"/>
  <c r="CA78" i="8"/>
  <c r="CA74" i="8"/>
  <c r="CE78" i="8"/>
  <c r="CE76" i="8"/>
  <c r="CE74" i="8"/>
  <c r="CM76" i="8"/>
  <c r="CM74" i="8"/>
  <c r="CQ76" i="8"/>
  <c r="CQ78" i="8"/>
  <c r="CQ74" i="8"/>
  <c r="CU78" i="8"/>
  <c r="CU76" i="8"/>
  <c r="CU77" i="8" s="1"/>
  <c r="CU74" i="8"/>
  <c r="CY76" i="8"/>
  <c r="CY74" i="8"/>
  <c r="BH73" i="8"/>
  <c r="BP73" i="8"/>
  <c r="BX73" i="8"/>
  <c r="CF73" i="8"/>
  <c r="CV73" i="8"/>
  <c r="BC78" i="8"/>
  <c r="DI76" i="8"/>
  <c r="DI77" i="8" s="1"/>
  <c r="K73" i="8"/>
  <c r="O73" i="8"/>
  <c r="S73" i="8"/>
  <c r="AE73" i="8"/>
  <c r="AI73" i="8"/>
  <c r="AM73" i="8"/>
  <c r="K74" i="8"/>
  <c r="S74" i="8"/>
  <c r="AI74" i="8"/>
  <c r="O76" i="8"/>
  <c r="AE76" i="8"/>
  <c r="AM76" i="8"/>
  <c r="K78" i="8"/>
  <c r="S78" i="8"/>
  <c r="AI78" i="8"/>
  <c r="AN79" i="8" s="1"/>
  <c r="AX78" i="8"/>
  <c r="AX74" i="8"/>
  <c r="AX76" i="8"/>
  <c r="BB76" i="8"/>
  <c r="BB74" i="8"/>
  <c r="BB73" i="8"/>
  <c r="BF74" i="8"/>
  <c r="BF78" i="8"/>
  <c r="BF73" i="8"/>
  <c r="BN74" i="8"/>
  <c r="BN76" i="8"/>
  <c r="BN73" i="8"/>
  <c r="BR76" i="8"/>
  <c r="BR74" i="8"/>
  <c r="BR73" i="8"/>
  <c r="BV74" i="8"/>
  <c r="BV78" i="8"/>
  <c r="BV73" i="8"/>
  <c r="BZ78" i="8"/>
  <c r="BZ74" i="8"/>
  <c r="BZ73" i="8"/>
  <c r="CH78" i="8"/>
  <c r="CH76" i="8"/>
  <c r="CH74" i="8"/>
  <c r="CH73" i="8"/>
  <c r="CL78" i="8"/>
  <c r="CL74" i="8"/>
  <c r="CL73" i="8"/>
  <c r="CP78" i="8"/>
  <c r="CP74" i="8"/>
  <c r="CP73" i="8"/>
  <c r="CT74" i="8"/>
  <c r="CT78" i="8"/>
  <c r="CT76" i="8"/>
  <c r="CT73" i="8"/>
  <c r="DB78" i="8"/>
  <c r="DB74" i="8"/>
  <c r="DB73" i="8"/>
  <c r="BG73" i="8"/>
  <c r="BW73" i="8"/>
  <c r="CE73" i="8"/>
  <c r="CM73" i="8"/>
  <c r="CU73" i="8"/>
  <c r="BZ76" i="8"/>
  <c r="BZ77" i="8" s="1"/>
  <c r="BB78" i="8"/>
  <c r="BW78" i="8"/>
  <c r="BW79" i="8" s="1"/>
  <c r="CM78" i="8"/>
  <c r="N74" i="8"/>
  <c r="Z74" i="8"/>
  <c r="AD74" i="8"/>
  <c r="AH74" i="8"/>
  <c r="AT74" i="8"/>
  <c r="N76" i="8"/>
  <c r="Z76" i="8"/>
  <c r="AD76" i="8"/>
  <c r="AH76" i="8"/>
  <c r="AT76" i="8"/>
  <c r="AW78" i="8"/>
  <c r="AW74" i="8"/>
  <c r="AW76" i="8"/>
  <c r="BA78" i="8"/>
  <c r="BI78" i="8"/>
  <c r="BI79" i="8" s="1"/>
  <c r="BM78" i="8"/>
  <c r="BM79" i="8" s="1"/>
  <c r="BQ78" i="8"/>
  <c r="BU78" i="8"/>
  <c r="CC78" i="8"/>
  <c r="CC79" i="8" s="1"/>
  <c r="CG78" i="8"/>
  <c r="CK78" i="8"/>
  <c r="CK79" i="8" s="1"/>
  <c r="CO78" i="8"/>
  <c r="CW78" i="8"/>
  <c r="DA78" i="8"/>
  <c r="BD76" i="8"/>
  <c r="CO76" i="8"/>
  <c r="DL76" i="8"/>
  <c r="DL77" i="8" s="1"/>
  <c r="DL73" i="8"/>
  <c r="DP78" i="8"/>
  <c r="DP73" i="8"/>
  <c r="DT78" i="8"/>
  <c r="DT76" i="8"/>
  <c r="DT74" i="8"/>
  <c r="DP74" i="8"/>
  <c r="E74" i="8"/>
  <c r="E78" i="8"/>
  <c r="E76" i="8"/>
  <c r="I74" i="8"/>
  <c r="U74" i="8"/>
  <c r="Y74" i="8"/>
  <c r="AC74" i="8"/>
  <c r="AO74" i="8"/>
  <c r="AS74" i="8"/>
  <c r="I76" i="8"/>
  <c r="U76" i="8"/>
  <c r="Y76" i="8"/>
  <c r="Y77" i="8" s="1"/>
  <c r="AC76" i="8"/>
  <c r="AO76" i="8"/>
  <c r="AS76" i="8"/>
  <c r="AV76" i="8"/>
  <c r="AV74" i="8"/>
  <c r="CJ78" i="8"/>
  <c r="CV78" i="8"/>
  <c r="CZ78" i="8"/>
  <c r="BA73" i="8"/>
  <c r="BI73" i="8"/>
  <c r="BM73" i="8"/>
  <c r="BQ73" i="8"/>
  <c r="BU73" i="8"/>
  <c r="CC73" i="8"/>
  <c r="CG73" i="8"/>
  <c r="CK73" i="8"/>
  <c r="CO73" i="8"/>
  <c r="CW73" i="8"/>
  <c r="DA73" i="8"/>
  <c r="BM76" i="8"/>
  <c r="BM77" i="8" s="1"/>
  <c r="CC76" i="8"/>
  <c r="CC77" i="8" s="1"/>
  <c r="DK78" i="8"/>
  <c r="DK79" i="8" s="1"/>
  <c r="DO78" i="8"/>
  <c r="DS78" i="8"/>
  <c r="DT73" i="8"/>
  <c r="DL74" i="8"/>
  <c r="DN74" i="8"/>
  <c r="DI78" i="8"/>
  <c r="DI79" i="8" s="1"/>
  <c r="DI73" i="8"/>
  <c r="DQ78" i="8"/>
  <c r="DQ73" i="8"/>
  <c r="DU78" i="8"/>
  <c r="DU76" i="8"/>
  <c r="DU77" i="8" s="1"/>
  <c r="DU73" i="8"/>
  <c r="DV73" i="8"/>
  <c r="DK74" i="8"/>
  <c r="DO74" i="8"/>
  <c r="DS74" i="8"/>
  <c r="DK76" i="8"/>
  <c r="DK77" i="8" s="1"/>
  <c r="DO76" i="8"/>
  <c r="DO77" i="8" s="1"/>
  <c r="DS76" i="8"/>
  <c r="DS77" i="8" s="1"/>
  <c r="EG6" i="7"/>
  <c r="H6" i="7"/>
  <c r="AB6" i="7"/>
  <c r="DK6" i="7"/>
  <c r="DP6" i="7"/>
  <c r="EA6" i="7"/>
  <c r="X219" i="7"/>
  <c r="X220" i="7"/>
  <c r="X217" i="7"/>
  <c r="X218" i="7"/>
  <c r="AB8" i="7"/>
  <c r="AB18" i="8" s="1"/>
  <c r="AF220" i="7"/>
  <c r="AF218" i="7"/>
  <c r="AF217" i="7"/>
  <c r="AF219" i="7"/>
  <c r="AJ220" i="7"/>
  <c r="AJ219" i="7"/>
  <c r="AJ217" i="7"/>
  <c r="AJ218" i="7"/>
  <c r="AN219" i="7"/>
  <c r="AN218" i="7"/>
  <c r="AN217" i="7"/>
  <c r="AN220" i="7"/>
  <c r="AS217" i="7"/>
  <c r="AS219" i="7"/>
  <c r="AS220" i="7"/>
  <c r="AS218" i="7"/>
  <c r="BF220" i="7"/>
  <c r="BF218" i="7"/>
  <c r="BF219" i="7"/>
  <c r="BF217" i="7"/>
  <c r="BJ8" i="7"/>
  <c r="BJ18" i="8" s="1"/>
  <c r="BN220" i="7"/>
  <c r="BN218" i="7"/>
  <c r="BN219" i="7"/>
  <c r="BN217" i="7"/>
  <c r="BR220" i="7"/>
  <c r="BR218" i="7"/>
  <c r="BR219" i="7"/>
  <c r="BR217" i="7"/>
  <c r="BW218" i="7"/>
  <c r="BW217" i="7"/>
  <c r="BW220" i="7"/>
  <c r="BW219" i="7"/>
  <c r="CT220" i="7"/>
  <c r="CT218" i="7"/>
  <c r="CT217" i="7"/>
  <c r="CT219" i="7"/>
  <c r="CX8" i="7"/>
  <c r="CX18" i="8" s="1"/>
  <c r="DB220" i="7"/>
  <c r="DB218" i="7"/>
  <c r="DB219" i="7"/>
  <c r="DB217" i="7"/>
  <c r="DF220" i="7"/>
  <c r="DF218" i="7"/>
  <c r="DF219" i="7"/>
  <c r="DF217" i="7"/>
  <c r="DF29" i="7"/>
  <c r="BO9" i="7"/>
  <c r="BO19" i="8" s="1"/>
  <c r="BT9" i="7"/>
  <c r="BT19" i="8" s="1"/>
  <c r="DC9" i="7"/>
  <c r="DC19" i="8" s="1"/>
  <c r="DH9" i="7"/>
  <c r="DI219" i="7"/>
  <c r="DI218" i="7"/>
  <c r="DI217" i="7"/>
  <c r="DI220" i="7"/>
  <c r="DI29" i="7"/>
  <c r="DI28" i="7" s="1"/>
  <c r="DM8" i="7"/>
  <c r="DD82" i="7"/>
  <c r="DD20" i="7"/>
  <c r="DD13" i="7"/>
  <c r="DL82" i="7"/>
  <c r="DL20" i="7"/>
  <c r="DL13" i="7"/>
  <c r="DO27" i="7"/>
  <c r="DP27" i="7" s="1"/>
  <c r="BE39" i="7"/>
  <c r="K52" i="7"/>
  <c r="Z51" i="7"/>
  <c r="Z52" i="7"/>
  <c r="Z50" i="7"/>
  <c r="AE52" i="7"/>
  <c r="AE51" i="7"/>
  <c r="AT51" i="7"/>
  <c r="AT52" i="7"/>
  <c r="DG6" i="7"/>
  <c r="D220" i="7"/>
  <c r="D219" i="7"/>
  <c r="D217" i="7"/>
  <c r="D218" i="7"/>
  <c r="H8" i="7"/>
  <c r="H18" i="8" s="1"/>
  <c r="L220" i="7"/>
  <c r="L219" i="7"/>
  <c r="L218" i="7"/>
  <c r="L217" i="7"/>
  <c r="P220" i="7"/>
  <c r="P217" i="7"/>
  <c r="P218" i="7"/>
  <c r="P219" i="7"/>
  <c r="T218" i="7"/>
  <c r="T217" i="7"/>
  <c r="T220" i="7"/>
  <c r="T219" i="7"/>
  <c r="Y220" i="7"/>
  <c r="Y218" i="7"/>
  <c r="Y217" i="7"/>
  <c r="Y219" i="7"/>
  <c r="Y225" i="7" s="1"/>
  <c r="AC219" i="7"/>
  <c r="AC217" i="7"/>
  <c r="AC223" i="7" s="1"/>
  <c r="AC220" i="7"/>
  <c r="AC226" i="7" s="1"/>
  <c r="AC218" i="7"/>
  <c r="AG8" i="7"/>
  <c r="AG18" i="8" s="1"/>
  <c r="AK220" i="7"/>
  <c r="AK226" i="7" s="1"/>
  <c r="AK218" i="7"/>
  <c r="AK224" i="7" s="1"/>
  <c r="AK217" i="7"/>
  <c r="AK219" i="7"/>
  <c r="AK225" i="7" s="1"/>
  <c r="AO220" i="7"/>
  <c r="AO226" i="7" s="1"/>
  <c r="AO219" i="7"/>
  <c r="AO225" i="7" s="1"/>
  <c r="AO217" i="7"/>
  <c r="AO218" i="7"/>
  <c r="AO224" i="7" s="1"/>
  <c r="AT218" i="7"/>
  <c r="AT220" i="7"/>
  <c r="AT217" i="7"/>
  <c r="AT223" i="7" s="1"/>
  <c r="AT219" i="7"/>
  <c r="AX220" i="7"/>
  <c r="AX218" i="7"/>
  <c r="AX219" i="7"/>
  <c r="AX217" i="7"/>
  <c r="BB220" i="7"/>
  <c r="BB218" i="7"/>
  <c r="BB217" i="7"/>
  <c r="BB219" i="7"/>
  <c r="BG217" i="7"/>
  <c r="BG220" i="7"/>
  <c r="BG219" i="7"/>
  <c r="BG218" i="7"/>
  <c r="BK220" i="7"/>
  <c r="BK219" i="7"/>
  <c r="BK218" i="7"/>
  <c r="BK217" i="7"/>
  <c r="BO8" i="7"/>
  <c r="BO18" i="8" s="1"/>
  <c r="BS217" i="7"/>
  <c r="BS223" i="7" s="1"/>
  <c r="BS218" i="7"/>
  <c r="BS220" i="7"/>
  <c r="BS226" i="7" s="1"/>
  <c r="BS219" i="7"/>
  <c r="BS225" i="7" s="1"/>
  <c r="CP220" i="7"/>
  <c r="CP218" i="7"/>
  <c r="CP219" i="7"/>
  <c r="CP217" i="7"/>
  <c r="CU220" i="7"/>
  <c r="CU226" i="7" s="1"/>
  <c r="CU219" i="7"/>
  <c r="CU218" i="7"/>
  <c r="CU217" i="7"/>
  <c r="CU223" i="7" s="1"/>
  <c r="CY218" i="7"/>
  <c r="CY217" i="7"/>
  <c r="CY219" i="7"/>
  <c r="CY220" i="7"/>
  <c r="DC8" i="7"/>
  <c r="DC18" i="8" s="1"/>
  <c r="DG29" i="7"/>
  <c r="DR8" i="7"/>
  <c r="DR18" i="8" s="1"/>
  <c r="DN29" i="7"/>
  <c r="N13" i="7"/>
  <c r="AD13" i="7"/>
  <c r="AT13" i="7"/>
  <c r="V89" i="7"/>
  <c r="V51" i="7"/>
  <c r="V50" i="7"/>
  <c r="V52" i="7"/>
  <c r="AA52" i="7"/>
  <c r="AA50" i="7"/>
  <c r="AA51" i="7"/>
  <c r="AP51" i="7"/>
  <c r="AP50" i="7"/>
  <c r="AP52" i="7"/>
  <c r="CW52" i="7"/>
  <c r="CW51" i="7"/>
  <c r="CW50" i="7"/>
  <c r="DB51" i="7"/>
  <c r="DX63" i="7"/>
  <c r="DB6" i="7"/>
  <c r="DC6" i="7" s="1"/>
  <c r="DV6" i="7"/>
  <c r="BJ6" i="7"/>
  <c r="CW6" i="7"/>
  <c r="DX6" i="7"/>
  <c r="EB6" i="7" s="1"/>
  <c r="E220" i="7"/>
  <c r="E218" i="7"/>
  <c r="E217" i="7"/>
  <c r="E219" i="7"/>
  <c r="I219" i="7"/>
  <c r="I220" i="7"/>
  <c r="I226" i="7" s="1"/>
  <c r="I217" i="7"/>
  <c r="I223" i="7" s="1"/>
  <c r="I218" i="7"/>
  <c r="M8" i="7"/>
  <c r="M18" i="8" s="1"/>
  <c r="Q220" i="7"/>
  <c r="Q226" i="7" s="1"/>
  <c r="Q219" i="7"/>
  <c r="Q225" i="7" s="1"/>
  <c r="Q218" i="7"/>
  <c r="Q217" i="7"/>
  <c r="Q223" i="7" s="1"/>
  <c r="U220" i="7"/>
  <c r="U226" i="7" s="1"/>
  <c r="U217" i="7"/>
  <c r="U223" i="7" s="1"/>
  <c r="U219" i="7"/>
  <c r="U225" i="7" s="1"/>
  <c r="U218" i="7"/>
  <c r="Z220" i="7"/>
  <c r="Z226" i="7" s="1"/>
  <c r="Z219" i="7"/>
  <c r="Z217" i="7"/>
  <c r="Z223" i="7" s="1"/>
  <c r="Z218" i="7"/>
  <c r="Z224" i="7" s="1"/>
  <c r="AD219" i="7"/>
  <c r="AD225" i="7" s="1"/>
  <c r="AD220" i="7"/>
  <c r="AD226" i="7" s="1"/>
  <c r="AD218" i="7"/>
  <c r="AD224" i="7" s="1"/>
  <c r="AD217" i="7"/>
  <c r="AH219" i="7"/>
  <c r="AH220" i="7"/>
  <c r="AH217" i="7"/>
  <c r="AH223" i="7" s="1"/>
  <c r="AH218" i="7"/>
  <c r="AH224" i="7" s="1"/>
  <c r="AL8" i="7"/>
  <c r="AL18" i="8" s="1"/>
  <c r="AP219" i="7"/>
  <c r="AP225" i="7" s="1"/>
  <c r="AP218" i="7"/>
  <c r="AP217" i="7"/>
  <c r="AP223" i="7" s="1"/>
  <c r="AP220" i="7"/>
  <c r="AP226" i="7" s="1"/>
  <c r="H9" i="7"/>
  <c r="H19" i="8" s="1"/>
  <c r="AY219" i="7"/>
  <c r="AY217" i="7"/>
  <c r="AY220" i="7"/>
  <c r="AY218" i="7"/>
  <c r="BC219" i="7"/>
  <c r="BC225" i="7" s="1"/>
  <c r="BC217" i="7"/>
  <c r="BC223" i="7" s="1"/>
  <c r="BC220" i="7"/>
  <c r="BC226" i="7" s="1"/>
  <c r="BC218" i="7"/>
  <c r="BZ220" i="7"/>
  <c r="BZ218" i="7"/>
  <c r="BZ219" i="7"/>
  <c r="BZ217" i="7"/>
  <c r="CD8" i="7"/>
  <c r="CD18" i="8" s="1"/>
  <c r="CH220" i="7"/>
  <c r="CH218" i="7"/>
  <c r="CH219" i="7"/>
  <c r="CH217" i="7"/>
  <c r="CL220" i="7"/>
  <c r="CL218" i="7"/>
  <c r="CL219" i="7"/>
  <c r="CL217" i="7"/>
  <c r="CQ220" i="7"/>
  <c r="CQ226" i="7" s="1"/>
  <c r="CQ219" i="7"/>
  <c r="CQ218" i="7"/>
  <c r="CQ217" i="7"/>
  <c r="CQ223" i="7" s="1"/>
  <c r="CI9" i="7"/>
  <c r="CI19" i="8" s="1"/>
  <c r="DK28" i="7"/>
  <c r="DR9" i="7"/>
  <c r="DR19" i="8" s="1"/>
  <c r="DO25" i="7"/>
  <c r="DR25" i="7" s="1"/>
  <c r="AZ39" i="7"/>
  <c r="BE40" i="7"/>
  <c r="BF52" i="7" s="1"/>
  <c r="AK64" i="7"/>
  <c r="R58" i="7"/>
  <c r="CX6" i="7"/>
  <c r="DN6" i="7"/>
  <c r="DR6" i="7" s="1"/>
  <c r="EH6" i="7"/>
  <c r="EL6" i="7" s="1"/>
  <c r="M6" i="7"/>
  <c r="DD6" i="7"/>
  <c r="F220" i="7"/>
  <c r="F219" i="7"/>
  <c r="F217" i="7"/>
  <c r="F218" i="7"/>
  <c r="J219" i="7"/>
  <c r="J220" i="7"/>
  <c r="J226" i="7" s="1"/>
  <c r="J218" i="7"/>
  <c r="J224" i="7" s="1"/>
  <c r="J217" i="7"/>
  <c r="J223" i="7" s="1"/>
  <c r="N219" i="7"/>
  <c r="N220" i="7"/>
  <c r="N226" i="7" s="1"/>
  <c r="N217" i="7"/>
  <c r="N223" i="7" s="1"/>
  <c r="N218" i="7"/>
  <c r="R8" i="7"/>
  <c r="R18" i="8" s="1"/>
  <c r="V219" i="7"/>
  <c r="V225" i="7" s="1"/>
  <c r="V218" i="7"/>
  <c r="V217" i="7"/>
  <c r="V223" i="7" s="1"/>
  <c r="V220" i="7"/>
  <c r="V226" i="7" s="1"/>
  <c r="AR220" i="7"/>
  <c r="AR218" i="7"/>
  <c r="AR217" i="7"/>
  <c r="AR219" i="7"/>
  <c r="AV218" i="7"/>
  <c r="AZ218" i="7" s="1"/>
  <c r="BE224" i="7" s="1"/>
  <c r="AV220" i="7"/>
  <c r="AZ220" i="7" s="1"/>
  <c r="BE226" i="7" s="1"/>
  <c r="AV219" i="7"/>
  <c r="AZ219" i="7" s="1"/>
  <c r="BE225" i="7" s="1"/>
  <c r="AV217" i="7"/>
  <c r="AZ217" i="7" s="1"/>
  <c r="BE223" i="7" s="1"/>
  <c r="AZ8" i="7"/>
  <c r="AZ18" i="8" s="1"/>
  <c r="BD218" i="7"/>
  <c r="BD224" i="7" s="1"/>
  <c r="BD220" i="7"/>
  <c r="BD226" i="7" s="1"/>
  <c r="BD219" i="7"/>
  <c r="BD217" i="7"/>
  <c r="BD223" i="7" s="1"/>
  <c r="BV220" i="7"/>
  <c r="BV218" i="7"/>
  <c r="BV219" i="7"/>
  <c r="BV217" i="7"/>
  <c r="CA220" i="7"/>
  <c r="CA226" i="7" s="1"/>
  <c r="CA219" i="7"/>
  <c r="CA218" i="7"/>
  <c r="CA217" i="7"/>
  <c r="CA223" i="7" s="1"/>
  <c r="CE220" i="7"/>
  <c r="CE219" i="7"/>
  <c r="CE217" i="7"/>
  <c r="CE218" i="7"/>
  <c r="CI8" i="7"/>
  <c r="CI18" i="8" s="1"/>
  <c r="CM218" i="7"/>
  <c r="CM224" i="7" s="1"/>
  <c r="CM220" i="7"/>
  <c r="CM226" i="7" s="1"/>
  <c r="CM219" i="7"/>
  <c r="CM225" i="7" s="1"/>
  <c r="CM217" i="7"/>
  <c r="DE29" i="7"/>
  <c r="DP29" i="7"/>
  <c r="Z13" i="7"/>
  <c r="AH13" i="7"/>
  <c r="BI13" i="7"/>
  <c r="BM13" i="7"/>
  <c r="BQ13" i="7"/>
  <c r="BU13" i="7"/>
  <c r="CC13" i="7"/>
  <c r="CG13" i="7"/>
  <c r="CK13" i="7"/>
  <c r="CO13" i="7"/>
  <c r="CW13" i="7"/>
  <c r="DR22" i="7"/>
  <c r="M39" i="7"/>
  <c r="DN38" i="7"/>
  <c r="E165" i="7"/>
  <c r="E50" i="7"/>
  <c r="E52" i="7"/>
  <c r="O52" i="7"/>
  <c r="BQ44" i="7"/>
  <c r="BV44" i="7"/>
  <c r="CK44" i="7"/>
  <c r="CP44" i="7"/>
  <c r="DE44" i="7"/>
  <c r="DJ44" i="7"/>
  <c r="DG84" i="7"/>
  <c r="DK83" i="7"/>
  <c r="DK84" i="7"/>
  <c r="Q36" i="7"/>
  <c r="Q39" i="7" s="1"/>
  <c r="R39" i="7" s="1"/>
  <c r="AK36" i="7"/>
  <c r="AK39" i="7" s="1"/>
  <c r="AL39" i="7" s="1"/>
  <c r="CA36" i="7"/>
  <c r="DO36" i="7"/>
  <c r="DO38" i="7" s="1"/>
  <c r="G43" i="7"/>
  <c r="G46" i="7" s="1"/>
  <c r="AA43" i="7"/>
  <c r="AA46" i="7" s="1"/>
  <c r="AW43" i="7"/>
  <c r="AW46" i="7" s="1"/>
  <c r="AZ46" i="7" s="1"/>
  <c r="BB43" i="7"/>
  <c r="BB46" i="7" s="1"/>
  <c r="BR43" i="7"/>
  <c r="BR44" i="7" s="1"/>
  <c r="CL43" i="7"/>
  <c r="CL44" i="7" s="1"/>
  <c r="DF43" i="7"/>
  <c r="DF44" i="7" s="1"/>
  <c r="F49" i="7"/>
  <c r="K51" i="7" s="1"/>
  <c r="L49" i="7"/>
  <c r="P49" i="7"/>
  <c r="T49" i="7"/>
  <c r="AF49" i="7"/>
  <c r="AJ49" i="7"/>
  <c r="AN49" i="7"/>
  <c r="AN89" i="7" s="1"/>
  <c r="AY50" i="7"/>
  <c r="BB50" i="7"/>
  <c r="BG50" i="7"/>
  <c r="BL50" i="7"/>
  <c r="BQ50" i="7"/>
  <c r="BV50" i="7"/>
  <c r="CA50" i="7"/>
  <c r="CF50" i="7"/>
  <c r="CK50" i="7"/>
  <c r="CP50" i="7"/>
  <c r="CU50" i="7"/>
  <c r="CZ50" i="7"/>
  <c r="DF50" i="7"/>
  <c r="DK50" i="7"/>
  <c r="DP50" i="7"/>
  <c r="Q52" i="7"/>
  <c r="U52" i="7"/>
  <c r="Y52" i="7"/>
  <c r="AK52" i="7"/>
  <c r="AO52" i="7"/>
  <c r="BC51" i="7"/>
  <c r="BG51" i="7"/>
  <c r="BK51" i="7"/>
  <c r="BS51" i="7"/>
  <c r="BW51" i="7"/>
  <c r="CA51" i="7"/>
  <c r="CE51" i="7"/>
  <c r="CI51" i="7"/>
  <c r="CM51" i="7"/>
  <c r="CQ51" i="7"/>
  <c r="CU51" i="7"/>
  <c r="CY51" i="7"/>
  <c r="DG51" i="7"/>
  <c r="DK51" i="7"/>
  <c r="DO51" i="7"/>
  <c r="AX52" i="7"/>
  <c r="BB52" i="7"/>
  <c r="BR52" i="7"/>
  <c r="BV52" i="7"/>
  <c r="CH52" i="7"/>
  <c r="CL52" i="7"/>
  <c r="CP52" i="7"/>
  <c r="DB52" i="7"/>
  <c r="DF52" i="7"/>
  <c r="DN52" i="7"/>
  <c r="W55" i="7"/>
  <c r="W13" i="8" s="1"/>
  <c r="AQ55" i="7"/>
  <c r="AQ13" i="8" s="1"/>
  <c r="AQ14" i="8" s="1"/>
  <c r="I56" i="7"/>
  <c r="Q56" i="7"/>
  <c r="U56" i="7"/>
  <c r="Y56" i="7"/>
  <c r="AC56" i="7"/>
  <c r="AK56" i="7"/>
  <c r="AO56" i="7"/>
  <c r="AS56" i="7"/>
  <c r="W57" i="7"/>
  <c r="AQ57" i="7"/>
  <c r="I58" i="7"/>
  <c r="Q58" i="7"/>
  <c r="U58" i="7"/>
  <c r="Y58" i="7"/>
  <c r="AC58" i="7"/>
  <c r="AK58" i="7"/>
  <c r="AO58" i="7"/>
  <c r="AS58" i="7"/>
  <c r="BJ55" i="7"/>
  <c r="BJ13" i="8" s="1"/>
  <c r="CD55" i="7"/>
  <c r="CD13" i="8" s="1"/>
  <c r="CX55" i="7"/>
  <c r="CX13" i="8" s="1"/>
  <c r="DR55" i="7"/>
  <c r="DR13" i="8" s="1"/>
  <c r="BH56" i="7"/>
  <c r="BX56" i="7"/>
  <c r="DD56" i="7"/>
  <c r="DT56" i="7"/>
  <c r="BJ57" i="7"/>
  <c r="CF58" i="7"/>
  <c r="CN57" i="7"/>
  <c r="DM57" i="7"/>
  <c r="DM15" i="8" s="1"/>
  <c r="BU58" i="7"/>
  <c r="BZ58" i="7"/>
  <c r="CK58" i="7"/>
  <c r="DA58" i="7"/>
  <c r="DQ58" i="7"/>
  <c r="G63" i="7"/>
  <c r="L63" i="7"/>
  <c r="AH63" i="7"/>
  <c r="AM63" i="7"/>
  <c r="AR63" i="7"/>
  <c r="AX63" i="7"/>
  <c r="BC63" i="7"/>
  <c r="BN63" i="7"/>
  <c r="BN64" i="7" s="1"/>
  <c r="BS63" i="7"/>
  <c r="CT63" i="7"/>
  <c r="CT64" i="7" s="1"/>
  <c r="CY63" i="7"/>
  <c r="DJ63" i="7"/>
  <c r="DJ64" i="7" s="1"/>
  <c r="DO63" i="7"/>
  <c r="X139" i="7"/>
  <c r="S128" i="7"/>
  <c r="S70" i="7"/>
  <c r="W69" i="7"/>
  <c r="AF139" i="7"/>
  <c r="AA128" i="7"/>
  <c r="AA70" i="7"/>
  <c r="AJ139" i="7"/>
  <c r="AE128" i="7"/>
  <c r="AE70" i="7"/>
  <c r="AJ128" i="7"/>
  <c r="AJ70" i="7"/>
  <c r="AX128" i="7"/>
  <c r="AX71" i="7"/>
  <c r="BC128" i="7"/>
  <c r="BH139" i="7"/>
  <c r="BC70" i="7"/>
  <c r="BH70" i="7"/>
  <c r="BZ128" i="7"/>
  <c r="BZ129" i="7" s="1"/>
  <c r="CD69" i="7"/>
  <c r="CH128" i="7"/>
  <c r="CH129" i="7" s="1"/>
  <c r="CL128" i="7"/>
  <c r="CL129" i="7" s="1"/>
  <c r="CQ128" i="7"/>
  <c r="CV139" i="7"/>
  <c r="CQ70" i="7"/>
  <c r="CV70" i="7"/>
  <c r="DK129" i="7"/>
  <c r="DF70" i="7"/>
  <c r="DN70" i="7"/>
  <c r="DV70" i="7"/>
  <c r="G134" i="7"/>
  <c r="G131" i="7"/>
  <c r="AI144" i="7"/>
  <c r="AD134" i="7"/>
  <c r="AD131" i="7"/>
  <c r="AD74" i="7"/>
  <c r="AI134" i="7"/>
  <c r="AI131" i="7"/>
  <c r="AN144" i="7"/>
  <c r="AI74" i="7"/>
  <c r="AR144" i="7"/>
  <c r="AM134" i="7"/>
  <c r="AM131" i="7"/>
  <c r="AM74" i="7"/>
  <c r="AQ73" i="7"/>
  <c r="AW134" i="7"/>
  <c r="AW75" i="7"/>
  <c r="BG144" i="7"/>
  <c r="BB134" i="7"/>
  <c r="BB131" i="7"/>
  <c r="BB132" i="7" s="1"/>
  <c r="BB74" i="7"/>
  <c r="BG74" i="7"/>
  <c r="BF134" i="7"/>
  <c r="BF131" i="7"/>
  <c r="BK144" i="7"/>
  <c r="BF74" i="7"/>
  <c r="BK74" i="7"/>
  <c r="BJ73" i="7"/>
  <c r="BN134" i="7"/>
  <c r="BN131" i="7"/>
  <c r="BS144" i="7"/>
  <c r="BN74" i="7"/>
  <c r="BS74" i="7"/>
  <c r="CK134" i="7"/>
  <c r="CK131" i="7"/>
  <c r="CK74" i="7"/>
  <c r="CU144" i="7"/>
  <c r="CP134" i="7"/>
  <c r="CP131" i="7"/>
  <c r="CP132" i="7" s="1"/>
  <c r="CP74" i="7"/>
  <c r="CU74" i="7"/>
  <c r="CT134" i="7"/>
  <c r="CT131" i="7"/>
  <c r="CY144" i="7"/>
  <c r="CT74" i="7"/>
  <c r="CY74" i="7"/>
  <c r="DG131" i="7"/>
  <c r="DG134" i="7"/>
  <c r="DG75" i="7"/>
  <c r="DG74" i="7"/>
  <c r="DG76" i="7"/>
  <c r="DL75" i="7"/>
  <c r="U89" i="7"/>
  <c r="DM93" i="7"/>
  <c r="AQ38" i="7"/>
  <c r="BG46" i="7"/>
  <c r="G49" i="7"/>
  <c r="BE49" i="7"/>
  <c r="U50" i="7"/>
  <c r="BC50" i="7"/>
  <c r="BM50" i="7"/>
  <c r="BR50" i="7"/>
  <c r="CG50" i="7"/>
  <c r="CL50" i="7"/>
  <c r="DA50" i="7"/>
  <c r="DG50" i="7"/>
  <c r="DQ50" i="7"/>
  <c r="BD51" i="7"/>
  <c r="BW52" i="7"/>
  <c r="DG52" i="7"/>
  <c r="H55" i="7"/>
  <c r="H13" i="8" s="1"/>
  <c r="AB55" i="7"/>
  <c r="AB13" i="8" s="1"/>
  <c r="AB57" i="7"/>
  <c r="BO55" i="7"/>
  <c r="BO13" i="8" s="1"/>
  <c r="CI55" i="7"/>
  <c r="CI13" i="8" s="1"/>
  <c r="DC55" i="7"/>
  <c r="DC13" i="8" s="1"/>
  <c r="DW55" i="7"/>
  <c r="DW13" i="8" s="1"/>
  <c r="BL58" i="7"/>
  <c r="BT57" i="7"/>
  <c r="CS57" i="7"/>
  <c r="DW57" i="7"/>
  <c r="BQ58" i="7"/>
  <c r="CG58" i="7"/>
  <c r="CW58" i="7"/>
  <c r="S63" i="7"/>
  <c r="S64" i="7" s="1"/>
  <c r="X63" i="7"/>
  <c r="AI63" i="7"/>
  <c r="AI64" i="7" s="1"/>
  <c r="AN63" i="7"/>
  <c r="BZ63" i="7"/>
  <c r="BZ64" i="7" s="1"/>
  <c r="CE63" i="7"/>
  <c r="CP63" i="7"/>
  <c r="CP64" i="7" s="1"/>
  <c r="CU63" i="7"/>
  <c r="DF63" i="7"/>
  <c r="DF64" i="7" s="1"/>
  <c r="DK63" i="7"/>
  <c r="DV64" i="7"/>
  <c r="EA63" i="7"/>
  <c r="D66" i="7"/>
  <c r="T139" i="7"/>
  <c r="O128" i="7"/>
  <c r="O70" i="7"/>
  <c r="T128" i="7"/>
  <c r="T70" i="7"/>
  <c r="X128" i="7"/>
  <c r="X129" i="7" s="1"/>
  <c r="X70" i="7"/>
  <c r="AB69" i="7"/>
  <c r="AF128" i="7"/>
  <c r="AF129" i="7" s="1"/>
  <c r="AF70" i="7"/>
  <c r="AY128" i="7"/>
  <c r="BD139" i="7"/>
  <c r="AY71" i="7"/>
  <c r="BD70" i="7"/>
  <c r="BV128" i="7"/>
  <c r="BV129" i="7" s="1"/>
  <c r="CA128" i="7"/>
  <c r="CF139" i="7"/>
  <c r="CA70" i="7"/>
  <c r="CF70" i="7"/>
  <c r="CE128" i="7"/>
  <c r="CE129" i="7" s="1"/>
  <c r="CJ139" i="7"/>
  <c r="CE70" i="7"/>
  <c r="CJ70" i="7"/>
  <c r="CI69" i="7"/>
  <c r="CM128" i="7"/>
  <c r="CM129" i="7" s="1"/>
  <c r="CR139" i="7"/>
  <c r="CM70" i="7"/>
  <c r="CR70" i="7"/>
  <c r="BV70" i="7"/>
  <c r="DG70" i="7"/>
  <c r="DK71" i="7"/>
  <c r="N134" i="7"/>
  <c r="N131" i="7"/>
  <c r="N74" i="7"/>
  <c r="R73" i="7"/>
  <c r="V134" i="7"/>
  <c r="V131" i="7"/>
  <c r="V74" i="7"/>
  <c r="Z134" i="7"/>
  <c r="Z131" i="7"/>
  <c r="Z74" i="7"/>
  <c r="AJ144" i="7"/>
  <c r="AE134" i="7"/>
  <c r="AE131" i="7"/>
  <c r="AE132" i="7" s="1"/>
  <c r="AE74" i="7"/>
  <c r="AJ74" i="7"/>
  <c r="AX134" i="7"/>
  <c r="BC144" i="7"/>
  <c r="BC74" i="7"/>
  <c r="BU134" i="7"/>
  <c r="BU131" i="7"/>
  <c r="BY73" i="7"/>
  <c r="CC134" i="7"/>
  <c r="CC131" i="7"/>
  <c r="CC74" i="7"/>
  <c r="CG134" i="7"/>
  <c r="CG131" i="7"/>
  <c r="CG74" i="7"/>
  <c r="CL134" i="7"/>
  <c r="CL131" i="7"/>
  <c r="CQ144" i="7"/>
  <c r="CL74" i="7"/>
  <c r="CQ74" i="7"/>
  <c r="DA134" i="7"/>
  <c r="DA131" i="7"/>
  <c r="DA74" i="7"/>
  <c r="DD75" i="7"/>
  <c r="DF74" i="7"/>
  <c r="AQ93" i="7"/>
  <c r="BH219" i="7"/>
  <c r="BH225" i="7" s="1"/>
  <c r="BH218" i="7"/>
  <c r="BH224" i="7" s="1"/>
  <c r="BH217" i="7"/>
  <c r="BH223" i="7" s="1"/>
  <c r="BH220" i="7"/>
  <c r="BH226" i="7" s="1"/>
  <c r="BL219" i="7"/>
  <c r="BL225" i="7" s="1"/>
  <c r="BL220" i="7"/>
  <c r="BL218" i="7"/>
  <c r="BL224" i="7" s="1"/>
  <c r="BL217" i="7"/>
  <c r="BL223" i="7" s="1"/>
  <c r="BP219" i="7"/>
  <c r="BP220" i="7"/>
  <c r="BP218" i="7"/>
  <c r="BP217" i="7"/>
  <c r="BT8" i="7"/>
  <c r="BT18" i="8" s="1"/>
  <c r="BX219" i="7"/>
  <c r="BX225" i="7" s="1"/>
  <c r="BX218" i="7"/>
  <c r="BX224" i="7" s="1"/>
  <c r="BX220" i="7"/>
  <c r="BX226" i="7" s="1"/>
  <c r="BX217" i="7"/>
  <c r="BX223" i="7" s="1"/>
  <c r="CB219" i="7"/>
  <c r="CB225" i="7" s="1"/>
  <c r="CB217" i="7"/>
  <c r="CB218" i="7"/>
  <c r="CB224" i="7" s="1"/>
  <c r="CB220" i="7"/>
  <c r="CB226" i="7" s="1"/>
  <c r="CF219" i="7"/>
  <c r="CF225" i="7" s="1"/>
  <c r="CF217" i="7"/>
  <c r="CF220" i="7"/>
  <c r="CF226" i="7" s="1"/>
  <c r="CF218" i="7"/>
  <c r="CF224" i="7" s="1"/>
  <c r="CJ219" i="7"/>
  <c r="CJ217" i="7"/>
  <c r="CJ220" i="7"/>
  <c r="CJ218" i="7"/>
  <c r="CN8" i="7"/>
  <c r="CN18" i="8" s="1"/>
  <c r="CR219" i="7"/>
  <c r="CR217" i="7"/>
  <c r="CR223" i="7" s="1"/>
  <c r="CR218" i="7"/>
  <c r="CR224" i="7" s="1"/>
  <c r="CR220" i="7"/>
  <c r="CR226" i="7" s="1"/>
  <c r="CV219" i="7"/>
  <c r="CV225" i="7" s="1"/>
  <c r="CV217" i="7"/>
  <c r="CV220" i="7"/>
  <c r="CV226" i="7" s="1"/>
  <c r="CV218" i="7"/>
  <c r="CV224" i="7" s="1"/>
  <c r="CZ219" i="7"/>
  <c r="CZ225" i="7" s="1"/>
  <c r="CZ217" i="7"/>
  <c r="CZ223" i="7" s="1"/>
  <c r="CZ220" i="7"/>
  <c r="CZ226" i="7" s="1"/>
  <c r="CZ218" i="7"/>
  <c r="CZ224" i="7" s="1"/>
  <c r="DD219" i="7"/>
  <c r="DD225" i="7" s="1"/>
  <c r="DD217" i="7"/>
  <c r="DD223" i="7" s="1"/>
  <c r="DD218" i="7"/>
  <c r="DD224" i="7" s="1"/>
  <c r="DD220" i="7"/>
  <c r="DD226" i="7" s="1"/>
  <c r="DH8" i="7"/>
  <c r="DE84" i="7"/>
  <c r="DI84" i="7"/>
  <c r="DM82" i="7"/>
  <c r="DI83" i="7"/>
  <c r="E36" i="7"/>
  <c r="E39" i="7" s="1"/>
  <c r="Y36" i="7"/>
  <c r="Y39" i="7" s="1"/>
  <c r="AS36" i="7"/>
  <c r="AS39" i="7" s="1"/>
  <c r="BS36" i="7"/>
  <c r="DG36" i="7"/>
  <c r="DG38" i="7" s="1"/>
  <c r="DH38" i="7" s="1"/>
  <c r="AA38" i="7"/>
  <c r="AA39" i="7" s="1"/>
  <c r="T39" i="7"/>
  <c r="W39" i="7" s="1"/>
  <c r="AN39" i="7"/>
  <c r="AQ39" i="7" s="1"/>
  <c r="O43" i="7"/>
  <c r="AI43" i="7"/>
  <c r="AI46" i="7" s="1"/>
  <c r="J46" i="7"/>
  <c r="N46" i="7"/>
  <c r="V46" i="7"/>
  <c r="Z46" i="7"/>
  <c r="AD46" i="7"/>
  <c r="AH46" i="7"/>
  <c r="AP46" i="7"/>
  <c r="AT46" i="7"/>
  <c r="J49" i="7"/>
  <c r="AD49" i="7"/>
  <c r="BN165" i="7"/>
  <c r="BN89" i="7"/>
  <c r="CT165" i="7"/>
  <c r="CT89" i="7"/>
  <c r="DJ165" i="7"/>
  <c r="DJ89" i="7"/>
  <c r="AK50" i="7"/>
  <c r="BD50" i="7"/>
  <c r="BI50" i="7"/>
  <c r="BN50" i="7"/>
  <c r="BS50" i="7"/>
  <c r="BX50" i="7"/>
  <c r="CC50" i="7"/>
  <c r="CH50" i="7"/>
  <c r="CM50" i="7"/>
  <c r="CR50" i="7"/>
  <c r="DD50" i="7"/>
  <c r="DI50" i="7"/>
  <c r="DN50" i="7"/>
  <c r="Q51" i="7"/>
  <c r="U51" i="7"/>
  <c r="AK51" i="7"/>
  <c r="BA51" i="7"/>
  <c r="BI51" i="7"/>
  <c r="BM51" i="7"/>
  <c r="BQ51" i="7"/>
  <c r="BU51" i="7"/>
  <c r="BY51" i="7"/>
  <c r="CC51" i="7"/>
  <c r="CG51" i="7"/>
  <c r="CK51" i="7"/>
  <c r="CO51" i="7"/>
  <c r="CS51" i="7"/>
  <c r="DA51" i="7"/>
  <c r="DE51" i="7"/>
  <c r="DI51" i="7"/>
  <c r="DQ51" i="7"/>
  <c r="BD52" i="7"/>
  <c r="BH52" i="7"/>
  <c r="BX52" i="7"/>
  <c r="CZ52" i="7"/>
  <c r="DD52" i="7"/>
  <c r="DP52" i="7"/>
  <c r="M55" i="7"/>
  <c r="AG55" i="7"/>
  <c r="K56" i="7"/>
  <c r="O56" i="7"/>
  <c r="S56" i="7"/>
  <c r="AA56" i="7"/>
  <c r="AE56" i="7"/>
  <c r="AI56" i="7"/>
  <c r="AM56" i="7"/>
  <c r="AV66" i="7"/>
  <c r="AV63" i="7"/>
  <c r="AZ55" i="7"/>
  <c r="AZ13" i="8" s="1"/>
  <c r="BD63" i="7"/>
  <c r="BD64" i="7" s="1"/>
  <c r="BH63" i="7"/>
  <c r="BH64" i="7" s="1"/>
  <c r="BL63" i="7"/>
  <c r="BL64" i="7" s="1"/>
  <c r="BP63" i="7"/>
  <c r="BT55" i="7"/>
  <c r="BT13" i="8" s="1"/>
  <c r="BT14" i="8" s="1"/>
  <c r="BX63" i="7"/>
  <c r="CB63" i="7"/>
  <c r="CB64" i="7" s="1"/>
  <c r="CF63" i="7"/>
  <c r="CJ63" i="7"/>
  <c r="CJ64" i="7" s="1"/>
  <c r="CN55" i="7"/>
  <c r="CN13" i="8" s="1"/>
  <c r="CR63" i="7"/>
  <c r="CR64" i="7" s="1"/>
  <c r="CV63" i="7"/>
  <c r="CZ63" i="7"/>
  <c r="CZ64" i="7" s="1"/>
  <c r="DD63" i="7"/>
  <c r="DD64" i="7" s="1"/>
  <c r="DH55" i="7"/>
  <c r="DL63" i="7"/>
  <c r="DQ64" i="7" s="1"/>
  <c r="DP63" i="7"/>
  <c r="DP64" i="7" s="1"/>
  <c r="DT63" i="7"/>
  <c r="BB56" i="7"/>
  <c r="BF56" i="7"/>
  <c r="BN56" i="7"/>
  <c r="BR56" i="7"/>
  <c r="BV56" i="7"/>
  <c r="BZ56" i="7"/>
  <c r="CH56" i="7"/>
  <c r="CL56" i="7"/>
  <c r="CP56" i="7"/>
  <c r="CT56" i="7"/>
  <c r="DB56" i="7"/>
  <c r="DF56" i="7"/>
  <c r="DJ56" i="7"/>
  <c r="DN56" i="7"/>
  <c r="DV56" i="7"/>
  <c r="BD58" i="7"/>
  <c r="BH58" i="7"/>
  <c r="CX57" i="7"/>
  <c r="DC57" i="7"/>
  <c r="DT58" i="7"/>
  <c r="BM58" i="7"/>
  <c r="CC58" i="7"/>
  <c r="DI58" i="7"/>
  <c r="AZ57" i="7"/>
  <c r="D60" i="7"/>
  <c r="J63" i="7"/>
  <c r="J64" i="7" s="1"/>
  <c r="O63" i="7"/>
  <c r="T63" i="7"/>
  <c r="Z63" i="7"/>
  <c r="Z64" i="7" s="1"/>
  <c r="AE63" i="7"/>
  <c r="AJ63" i="7"/>
  <c r="AP63" i="7"/>
  <c r="AP64" i="7" s="1"/>
  <c r="BA63" i="7"/>
  <c r="BF63" i="7"/>
  <c r="BK63" i="7"/>
  <c r="BV63" i="7"/>
  <c r="BV64" i="7" s="1"/>
  <c r="CA63" i="7"/>
  <c r="CL63" i="7"/>
  <c r="CL64" i="7" s="1"/>
  <c r="CQ63" i="7"/>
  <c r="DB63" i="7"/>
  <c r="DB64" i="7" s="1"/>
  <c r="DG63" i="7"/>
  <c r="L139" i="7"/>
  <c r="G128" i="7"/>
  <c r="P139" i="7"/>
  <c r="K128" i="7"/>
  <c r="K70" i="7"/>
  <c r="P128" i="7"/>
  <c r="U129" i="7" s="1"/>
  <c r="P70" i="7"/>
  <c r="AR139" i="7"/>
  <c r="AM128" i="7"/>
  <c r="AM70" i="7"/>
  <c r="AQ69" i="7"/>
  <c r="Y70" i="7"/>
  <c r="BF128" i="7"/>
  <c r="BF129" i="7" s="1"/>
  <c r="BJ69" i="7"/>
  <c r="BN128" i="7"/>
  <c r="BN129" i="7" s="1"/>
  <c r="BR128" i="7"/>
  <c r="BR129" i="7" s="1"/>
  <c r="BW128" i="7"/>
  <c r="CB139" i="7"/>
  <c r="BW70" i="7"/>
  <c r="CB70" i="7"/>
  <c r="CT128" i="7"/>
  <c r="CT129" i="7" s="1"/>
  <c r="CX69" i="7"/>
  <c r="DC70" i="7" s="1"/>
  <c r="DR69" i="7"/>
  <c r="DF71" i="7"/>
  <c r="DN71" i="7"/>
  <c r="J134" i="7"/>
  <c r="J131" i="7"/>
  <c r="J74" i="7"/>
  <c r="O134" i="7"/>
  <c r="O131" i="7"/>
  <c r="T144" i="7"/>
  <c r="O74" i="7"/>
  <c r="S134" i="7"/>
  <c r="S135" i="7" s="1"/>
  <c r="S131" i="7"/>
  <c r="S132" i="7" s="1"/>
  <c r="X144" i="7"/>
  <c r="S74" i="7"/>
  <c r="W73" i="7"/>
  <c r="AA134" i="7"/>
  <c r="AA135" i="7" s="1"/>
  <c r="AA131" i="7"/>
  <c r="AA132" i="7" s="1"/>
  <c r="AA74" i="7"/>
  <c r="BQ134" i="7"/>
  <c r="BQ131" i="7"/>
  <c r="BV134" i="7"/>
  <c r="BV131" i="7"/>
  <c r="CA144" i="7"/>
  <c r="BV74" i="7"/>
  <c r="CA74" i="7"/>
  <c r="CE144" i="7"/>
  <c r="BZ134" i="7"/>
  <c r="BZ131" i="7"/>
  <c r="BZ132" i="7" s="1"/>
  <c r="BZ74" i="7"/>
  <c r="CE74" i="7"/>
  <c r="CD73" i="7"/>
  <c r="CM144" i="7"/>
  <c r="CH134" i="7"/>
  <c r="CH135" i="7" s="1"/>
  <c r="CH131" i="7"/>
  <c r="CH74" i="7"/>
  <c r="CM74" i="7"/>
  <c r="BU74" i="7"/>
  <c r="DO131" i="7"/>
  <c r="DO134" i="7"/>
  <c r="DO74" i="7"/>
  <c r="DO76" i="7"/>
  <c r="DE75" i="7"/>
  <c r="G219" i="7"/>
  <c r="G220" i="7"/>
  <c r="G218" i="7"/>
  <c r="G217" i="7"/>
  <c r="K220" i="7"/>
  <c r="K226" i="7" s="1"/>
  <c r="K219" i="7"/>
  <c r="K225" i="7" s="1"/>
  <c r="K217" i="7"/>
  <c r="K223" i="7" s="1"/>
  <c r="K218" i="7"/>
  <c r="K224" i="7" s="1"/>
  <c r="O218" i="7"/>
  <c r="O224" i="7" s="1"/>
  <c r="O217" i="7"/>
  <c r="O223" i="7" s="1"/>
  <c r="O219" i="7"/>
  <c r="O225" i="7" s="1"/>
  <c r="O220" i="7"/>
  <c r="S220" i="7"/>
  <c r="S219" i="7"/>
  <c r="S217" i="7"/>
  <c r="S223" i="7" s="1"/>
  <c r="S218" i="7"/>
  <c r="S224" i="7" s="1"/>
  <c r="W8" i="7"/>
  <c r="W18" i="8" s="1"/>
  <c r="AA220" i="7"/>
  <c r="AA226" i="7" s="1"/>
  <c r="AA218" i="7"/>
  <c r="AA224" i="7" s="1"/>
  <c r="AA217" i="7"/>
  <c r="AA223" i="7" s="1"/>
  <c r="AA219" i="7"/>
  <c r="AE220" i="7"/>
  <c r="AE226" i="7" s="1"/>
  <c r="AE219" i="7"/>
  <c r="AE225" i="7" s="1"/>
  <c r="AE217" i="7"/>
  <c r="AE218" i="7"/>
  <c r="AE224" i="7" s="1"/>
  <c r="AI219" i="7"/>
  <c r="AI225" i="7" s="1"/>
  <c r="AI218" i="7"/>
  <c r="AI217" i="7"/>
  <c r="AI223" i="7" s="1"/>
  <c r="AI220" i="7"/>
  <c r="AI226" i="7" s="1"/>
  <c r="AM220" i="7"/>
  <c r="AM226" i="7" s="1"/>
  <c r="AM219" i="7"/>
  <c r="AM217" i="7"/>
  <c r="AM218" i="7"/>
  <c r="AM224" i="7" s="1"/>
  <c r="AQ8" i="7"/>
  <c r="AQ18" i="8" s="1"/>
  <c r="AW217" i="7"/>
  <c r="AW219" i="7"/>
  <c r="AW220" i="7"/>
  <c r="AW218" i="7"/>
  <c r="BA217" i="7"/>
  <c r="BA223" i="7" s="1"/>
  <c r="BA219" i="7"/>
  <c r="BA225" i="7" s="1"/>
  <c r="BA218" i="7"/>
  <c r="BA220" i="7"/>
  <c r="BA226" i="7" s="1"/>
  <c r="BE8" i="7"/>
  <c r="BE18" i="8" s="1"/>
  <c r="BI220" i="7"/>
  <c r="BI226" i="7" s="1"/>
  <c r="BI217" i="7"/>
  <c r="BI219" i="7"/>
  <c r="BI225" i="7" s="1"/>
  <c r="BI218" i="7"/>
  <c r="BI224" i="7" s="1"/>
  <c r="BM219" i="7"/>
  <c r="BM218" i="7"/>
  <c r="BM224" i="7" s="1"/>
  <c r="BM217" i="7"/>
  <c r="BM223" i="7" s="1"/>
  <c r="BM220" i="7"/>
  <c r="BM226" i="7" s="1"/>
  <c r="BQ219" i="7"/>
  <c r="BQ220" i="7"/>
  <c r="BQ226" i="7" s="1"/>
  <c r="BQ217" i="7"/>
  <c r="BQ223" i="7" s="1"/>
  <c r="BQ218" i="7"/>
  <c r="BQ224" i="7" s="1"/>
  <c r="BU220" i="7"/>
  <c r="BU219" i="7"/>
  <c r="BU218" i="7"/>
  <c r="BU217" i="7"/>
  <c r="BY8" i="7"/>
  <c r="BY18" i="8" s="1"/>
  <c r="CC219" i="7"/>
  <c r="CC225" i="7" s="1"/>
  <c r="CC218" i="7"/>
  <c r="CC224" i="7" s="1"/>
  <c r="CC217" i="7"/>
  <c r="CC220" i="7"/>
  <c r="CC226" i="7" s="1"/>
  <c r="CG219" i="7"/>
  <c r="CG225" i="7" s="1"/>
  <c r="CG218" i="7"/>
  <c r="CG224" i="7" s="1"/>
  <c r="CG217" i="7"/>
  <c r="CG223" i="7" s="1"/>
  <c r="CG220" i="7"/>
  <c r="CK220" i="7"/>
  <c r="CK226" i="7" s="1"/>
  <c r="CK219" i="7"/>
  <c r="CK225" i="7" s="1"/>
  <c r="CK218" i="7"/>
  <c r="CK217" i="7"/>
  <c r="CK223" i="7" s="1"/>
  <c r="CO220" i="7"/>
  <c r="CO217" i="7"/>
  <c r="CO218" i="7"/>
  <c r="CO219" i="7"/>
  <c r="CS8" i="7"/>
  <c r="CS18" i="8" s="1"/>
  <c r="CW219" i="7"/>
  <c r="CW225" i="7" s="1"/>
  <c r="CW218" i="7"/>
  <c r="CW217" i="7"/>
  <c r="CW223" i="7" s="1"/>
  <c r="CW220" i="7"/>
  <c r="CW226" i="7" s="1"/>
  <c r="DA220" i="7"/>
  <c r="DA226" i="7" s="1"/>
  <c r="DA219" i="7"/>
  <c r="DA225" i="7" s="1"/>
  <c r="DA218" i="7"/>
  <c r="DA224" i="7" s="1"/>
  <c r="DA217" i="7"/>
  <c r="DA223" i="7" s="1"/>
  <c r="DE220" i="7"/>
  <c r="DE217" i="7"/>
  <c r="DE219" i="7"/>
  <c r="DE218" i="7"/>
  <c r="DF75" i="7"/>
  <c r="DF84" i="7"/>
  <c r="DJ83" i="7"/>
  <c r="DJ79" i="7"/>
  <c r="DJ75" i="7"/>
  <c r="DJ84" i="7"/>
  <c r="DN83" i="7"/>
  <c r="DN75" i="7"/>
  <c r="DN84" i="7"/>
  <c r="DI13" i="7"/>
  <c r="DE20" i="7"/>
  <c r="DI20" i="7"/>
  <c r="DM20" i="7" s="1"/>
  <c r="DD29" i="7"/>
  <c r="DH29" i="7" s="1"/>
  <c r="DL29" i="7"/>
  <c r="DL28" i="7" s="1"/>
  <c r="EB29" i="7"/>
  <c r="F36" i="7"/>
  <c r="F39" i="7" s="1"/>
  <c r="Z36" i="7"/>
  <c r="Z39" i="7" s="1"/>
  <c r="AT36" i="7"/>
  <c r="AT39" i="7" s="1"/>
  <c r="BR37" i="7"/>
  <c r="BR39" i="7" s="1"/>
  <c r="F43" i="7"/>
  <c r="F46" i="7" s="1"/>
  <c r="H46" i="7" s="1"/>
  <c r="H47" i="7" s="1"/>
  <c r="P43" i="7"/>
  <c r="P46" i="7" s="1"/>
  <c r="AJ43" i="7"/>
  <c r="AJ46" i="7" s="1"/>
  <c r="K46" i="7"/>
  <c r="O46" i="7"/>
  <c r="S46" i="7"/>
  <c r="W46" i="7" s="1"/>
  <c r="AE46" i="7"/>
  <c r="AM46" i="7"/>
  <c r="AQ46" i="7" s="1"/>
  <c r="AX50" i="7"/>
  <c r="BA50" i="7"/>
  <c r="BF50" i="7"/>
  <c r="BU50" i="7"/>
  <c r="BZ50" i="7"/>
  <c r="CE50" i="7"/>
  <c r="CJ50" i="7"/>
  <c r="CO50" i="7"/>
  <c r="CT50" i="7"/>
  <c r="CY50" i="7"/>
  <c r="BB51" i="7"/>
  <c r="BN51" i="7"/>
  <c r="BR51" i="7"/>
  <c r="BZ51" i="7"/>
  <c r="CH51" i="7"/>
  <c r="CP51" i="7"/>
  <c r="CT51" i="7"/>
  <c r="DF51" i="7"/>
  <c r="DJ51" i="7"/>
  <c r="DN51" i="7"/>
  <c r="L56" i="7"/>
  <c r="P56" i="7"/>
  <c r="AF56" i="7"/>
  <c r="AR56" i="7"/>
  <c r="BE55" i="7"/>
  <c r="BE13" i="8" s="1"/>
  <c r="BE14" i="8" s="1"/>
  <c r="BY55" i="7"/>
  <c r="BY13" i="8" s="1"/>
  <c r="CS55" i="7"/>
  <c r="CS13" i="8" s="1"/>
  <c r="CS14" i="8" s="1"/>
  <c r="DM55" i="7"/>
  <c r="DM13" i="8" s="1"/>
  <c r="DM14" i="8" s="1"/>
  <c r="BC56" i="7"/>
  <c r="BG56" i="7"/>
  <c r="BK56" i="7"/>
  <c r="BS56" i="7"/>
  <c r="BW56" i="7"/>
  <c r="CA56" i="7"/>
  <c r="CM56" i="7"/>
  <c r="CQ56" i="7"/>
  <c r="CY56" i="7"/>
  <c r="DG56" i="7"/>
  <c r="DO56" i="7"/>
  <c r="DS56" i="7"/>
  <c r="CD57" i="7"/>
  <c r="CZ58" i="7"/>
  <c r="DD58" i="7"/>
  <c r="DH57" i="7"/>
  <c r="DL58" i="7"/>
  <c r="DP58" i="7"/>
  <c r="BI58" i="7"/>
  <c r="CO58" i="7"/>
  <c r="DE58" i="7"/>
  <c r="AV60" i="7"/>
  <c r="F63" i="7"/>
  <c r="K63" i="7"/>
  <c r="P64" i="7" s="1"/>
  <c r="V63" i="7"/>
  <c r="V64" i="7" s="1"/>
  <c r="AA63" i="7"/>
  <c r="BB63" i="7"/>
  <c r="BB64" i="7" s="1"/>
  <c r="BM63" i="7"/>
  <c r="BM64" i="7" s="1"/>
  <c r="BR63" i="7"/>
  <c r="CC63" i="7"/>
  <c r="CC64" i="7" s="1"/>
  <c r="CH63" i="7"/>
  <c r="DI63" i="7"/>
  <c r="DI64" i="7" s="1"/>
  <c r="DN63" i="7"/>
  <c r="D128" i="7"/>
  <c r="H69" i="7"/>
  <c r="L128" i="7"/>
  <c r="L70" i="7"/>
  <c r="AN139" i="7"/>
  <c r="AI128" i="7"/>
  <c r="AI70" i="7"/>
  <c r="AN128" i="7"/>
  <c r="AN70" i="7"/>
  <c r="AR128" i="7"/>
  <c r="AR129" i="7" s="1"/>
  <c r="AR70" i="7"/>
  <c r="BB128" i="7"/>
  <c r="BB129" i="7" s="1"/>
  <c r="BG128" i="7"/>
  <c r="BL139" i="7"/>
  <c r="BG70" i="7"/>
  <c r="BL70" i="7"/>
  <c r="BK128" i="7"/>
  <c r="BK129" i="7" s="1"/>
  <c r="BP139" i="7"/>
  <c r="BK70" i="7"/>
  <c r="BP70" i="7"/>
  <c r="BO69" i="7"/>
  <c r="BS128" i="7"/>
  <c r="BS129" i="7" s="1"/>
  <c r="BX139" i="7"/>
  <c r="BS70" i="7"/>
  <c r="BX70" i="7"/>
  <c r="CP128" i="7"/>
  <c r="CP129" i="7" s="1"/>
  <c r="CU128" i="7"/>
  <c r="CZ139" i="7"/>
  <c r="CU70" i="7"/>
  <c r="CZ70" i="7"/>
  <c r="CY128" i="7"/>
  <c r="CY129" i="7" s="1"/>
  <c r="DD139" i="7"/>
  <c r="CY70" i="7"/>
  <c r="BB70" i="7"/>
  <c r="BR70" i="7"/>
  <c r="BZ70" i="7"/>
  <c r="CH70" i="7"/>
  <c r="CP70" i="7"/>
  <c r="DO129" i="7"/>
  <c r="DS129" i="7"/>
  <c r="DW69" i="7"/>
  <c r="DK70" i="7"/>
  <c r="DS70" i="7"/>
  <c r="DG71" i="7"/>
  <c r="F134" i="7"/>
  <c r="F131" i="7"/>
  <c r="P144" i="7"/>
  <c r="K134" i="7"/>
  <c r="K131" i="7"/>
  <c r="K74" i="7"/>
  <c r="AM144" i="7"/>
  <c r="AH134" i="7"/>
  <c r="AH131" i="7"/>
  <c r="AH74" i="7"/>
  <c r="AL73" i="7"/>
  <c r="AP134" i="7"/>
  <c r="AP131" i="7"/>
  <c r="AP74" i="7"/>
  <c r="AT134" i="7"/>
  <c r="AT131" i="7"/>
  <c r="AT74" i="7"/>
  <c r="P74" i="7"/>
  <c r="X74" i="7"/>
  <c r="AF74" i="7"/>
  <c r="AN74" i="7"/>
  <c r="BA134" i="7"/>
  <c r="BA135" i="7" s="1"/>
  <c r="BA131" i="7"/>
  <c r="BA132" i="7" s="1"/>
  <c r="BE73" i="7"/>
  <c r="BI134" i="7"/>
  <c r="BI131" i="7"/>
  <c r="BM134" i="7"/>
  <c r="BM131" i="7"/>
  <c r="BW144" i="7"/>
  <c r="BR134" i="7"/>
  <c r="BR131" i="7"/>
  <c r="BR74" i="7"/>
  <c r="BW74" i="7"/>
  <c r="CO134" i="7"/>
  <c r="CO131" i="7"/>
  <c r="CO74" i="7"/>
  <c r="CS73" i="7"/>
  <c r="CX74" i="7" s="1"/>
  <c r="CW134" i="7"/>
  <c r="CW131" i="7"/>
  <c r="CW74" i="7"/>
  <c r="DK131" i="7"/>
  <c r="DK134" i="7"/>
  <c r="DK75" i="7"/>
  <c r="DK74" i="7"/>
  <c r="DK76" i="7"/>
  <c r="DI75" i="7"/>
  <c r="AX75" i="7"/>
  <c r="E89" i="7"/>
  <c r="K139" i="7"/>
  <c r="F128" i="7"/>
  <c r="O139" i="7"/>
  <c r="J128" i="7"/>
  <c r="J129" i="7" s="1"/>
  <c r="S139" i="7"/>
  <c r="N128" i="7"/>
  <c r="N129" i="7" s="1"/>
  <c r="R69" i="7"/>
  <c r="AA139" i="7"/>
  <c r="V128" i="7"/>
  <c r="V129" i="7" s="1"/>
  <c r="AE139" i="7"/>
  <c r="Z128" i="7"/>
  <c r="Z129" i="7" s="1"/>
  <c r="AI139" i="7"/>
  <c r="AD128" i="7"/>
  <c r="AD129" i="7" s="1"/>
  <c r="AM139" i="7"/>
  <c r="AH128" i="7"/>
  <c r="AH129" i="7" s="1"/>
  <c r="AL69" i="7"/>
  <c r="BE69" i="7"/>
  <c r="BY69" i="7"/>
  <c r="CS69" i="7"/>
  <c r="DM69" i="7"/>
  <c r="DE70" i="7"/>
  <c r="DI70" i="7"/>
  <c r="DQ70" i="7"/>
  <c r="DU70" i="7"/>
  <c r="DE71" i="7"/>
  <c r="DI71" i="7"/>
  <c r="DB70" i="7"/>
  <c r="E131" i="7"/>
  <c r="E134" i="7"/>
  <c r="I131" i="7"/>
  <c r="I134" i="7"/>
  <c r="I135" i="7" s="1"/>
  <c r="M73" i="7"/>
  <c r="Q131" i="7"/>
  <c r="Q134" i="7"/>
  <c r="U131" i="7"/>
  <c r="U134" i="7"/>
  <c r="Y131" i="7"/>
  <c r="Y134" i="7"/>
  <c r="AH144" i="7"/>
  <c r="AC131" i="7"/>
  <c r="AC134" i="7"/>
  <c r="AG73" i="7"/>
  <c r="AK131" i="7"/>
  <c r="AK134" i="7"/>
  <c r="AO131" i="7"/>
  <c r="AO134" i="7"/>
  <c r="AS131" i="7"/>
  <c r="AS134" i="7"/>
  <c r="AZ73" i="7"/>
  <c r="BD134" i="7"/>
  <c r="BD131" i="7"/>
  <c r="BD132" i="7" s="1"/>
  <c r="BH134" i="7"/>
  <c r="BH131" i="7"/>
  <c r="BL134" i="7"/>
  <c r="BL131" i="7"/>
  <c r="BP134" i="7"/>
  <c r="BP131" i="7"/>
  <c r="BT73" i="7"/>
  <c r="BX134" i="7"/>
  <c r="BX131" i="7"/>
  <c r="CB134" i="7"/>
  <c r="CB131" i="7"/>
  <c r="CF134" i="7"/>
  <c r="CF131" i="7"/>
  <c r="CJ134" i="7"/>
  <c r="CJ131" i="7"/>
  <c r="CN73" i="7"/>
  <c r="CR134" i="7"/>
  <c r="CR131" i="7"/>
  <c r="CV134" i="7"/>
  <c r="CV131" i="7"/>
  <c r="CZ134" i="7"/>
  <c r="CZ131" i="7"/>
  <c r="DB134" i="7"/>
  <c r="DB135" i="7" s="1"/>
  <c r="DB131" i="7"/>
  <c r="DB132" i="7" s="1"/>
  <c r="DG144" i="7"/>
  <c r="DF134" i="7"/>
  <c r="DF135" i="7" s="1"/>
  <c r="DF131" i="7"/>
  <c r="DF132" i="7" s="1"/>
  <c r="DJ134" i="7"/>
  <c r="DJ131" i="7"/>
  <c r="DN134" i="7"/>
  <c r="DN131" i="7"/>
  <c r="DR73" i="7"/>
  <c r="DE74" i="7"/>
  <c r="DI74" i="7"/>
  <c r="DQ74" i="7"/>
  <c r="BD83" i="7"/>
  <c r="AX84" i="7"/>
  <c r="L161" i="7"/>
  <c r="G89" i="7"/>
  <c r="P161" i="7"/>
  <c r="K89" i="7"/>
  <c r="K99" i="7"/>
  <c r="K100" i="7" s="1"/>
  <c r="T161" i="7"/>
  <c r="O99" i="7"/>
  <c r="O100" i="7" s="1"/>
  <c r="O89" i="7"/>
  <c r="X161" i="7"/>
  <c r="W86" i="7"/>
  <c r="W8" i="8" s="1"/>
  <c r="AF161" i="7"/>
  <c r="AA89" i="7"/>
  <c r="AJ161" i="7"/>
  <c r="AE89" i="7"/>
  <c r="AE99" i="7"/>
  <c r="AE100" i="7" s="1"/>
  <c r="AN161" i="7"/>
  <c r="AI99" i="7"/>
  <c r="AI100" i="7" s="1"/>
  <c r="AI89" i="7"/>
  <c r="AR161" i="7"/>
  <c r="AM99" i="7"/>
  <c r="AM100" i="7" s="1"/>
  <c r="AQ86" i="7"/>
  <c r="AQ8" i="8" s="1"/>
  <c r="I87" i="7"/>
  <c r="Q87" i="7"/>
  <c r="U87" i="7"/>
  <c r="AC87" i="7"/>
  <c r="AK87" i="7"/>
  <c r="AS87" i="7"/>
  <c r="K88" i="7"/>
  <c r="O88" i="7"/>
  <c r="S88" i="7"/>
  <c r="AA88" i="7"/>
  <c r="AE88" i="7"/>
  <c r="AI88" i="7"/>
  <c r="AM88" i="7"/>
  <c r="AV99" i="7"/>
  <c r="AV106" i="7"/>
  <c r="AZ86" i="7"/>
  <c r="BD88" i="7"/>
  <c r="BD106" i="7"/>
  <c r="BD99" i="7"/>
  <c r="BD100" i="7" s="1"/>
  <c r="BH88" i="7"/>
  <c r="BH106" i="7"/>
  <c r="BL88" i="7"/>
  <c r="BL106" i="7"/>
  <c r="BL99" i="7"/>
  <c r="BL100" i="7" s="1"/>
  <c r="BP88" i="7"/>
  <c r="BP106" i="7"/>
  <c r="BP99" i="7"/>
  <c r="BT86" i="7"/>
  <c r="BT8" i="8" s="1"/>
  <c r="BX88" i="7"/>
  <c r="BX99" i="7"/>
  <c r="CB88" i="7"/>
  <c r="CB106" i="7"/>
  <c r="CB99" i="7"/>
  <c r="CB100" i="7" s="1"/>
  <c r="CF88" i="7"/>
  <c r="CF99" i="7"/>
  <c r="CJ88" i="7"/>
  <c r="CJ106" i="7"/>
  <c r="CJ99" i="7"/>
  <c r="CJ100" i="7" s="1"/>
  <c r="CN86" i="7"/>
  <c r="CR88" i="7"/>
  <c r="CR99" i="7"/>
  <c r="CV88" i="7"/>
  <c r="CV106" i="7"/>
  <c r="CV99" i="7"/>
  <c r="CV100" i="7" s="1"/>
  <c r="CZ88" i="7"/>
  <c r="CZ99" i="7"/>
  <c r="DD88" i="7"/>
  <c r="DD106" i="7"/>
  <c r="DD99" i="7"/>
  <c r="DH86" i="7"/>
  <c r="DE87" i="7"/>
  <c r="DJ87" i="7"/>
  <c r="DP87" i="7"/>
  <c r="BD87" i="7"/>
  <c r="BZ87" i="7"/>
  <c r="CE87" i="7"/>
  <c r="CJ87" i="7"/>
  <c r="CP87" i="7"/>
  <c r="CU87" i="7"/>
  <c r="CZ87" i="7"/>
  <c r="BZ88" i="7"/>
  <c r="CE88" i="7"/>
  <c r="CP88" i="7"/>
  <c r="CU88" i="7"/>
  <c r="DF88" i="7"/>
  <c r="DL88" i="7"/>
  <c r="DS88" i="7"/>
  <c r="J89" i="7"/>
  <c r="Z89" i="7"/>
  <c r="AF89" i="7"/>
  <c r="AK89" i="7"/>
  <c r="AP89" i="7"/>
  <c r="BB89" i="7"/>
  <c r="BG89" i="7"/>
  <c r="BL89" i="7"/>
  <c r="BR89" i="7"/>
  <c r="BW89" i="7"/>
  <c r="CB89" i="7"/>
  <c r="CH89" i="7"/>
  <c r="CM89" i="7"/>
  <c r="CR89" i="7"/>
  <c r="DN89" i="7"/>
  <c r="E94" i="7"/>
  <c r="I94" i="7"/>
  <c r="M91" i="7"/>
  <c r="M10" i="8" s="1"/>
  <c r="M11" i="8" s="1"/>
  <c r="Q94" i="7"/>
  <c r="I92" i="7"/>
  <c r="N92" i="7"/>
  <c r="S92" i="7"/>
  <c r="Y92" i="7"/>
  <c r="AI92" i="7"/>
  <c r="AO92" i="7"/>
  <c r="S93" i="7"/>
  <c r="AI93" i="7"/>
  <c r="BO91" i="7"/>
  <c r="BO10" i="8" s="1"/>
  <c r="BT91" i="7"/>
  <c r="BT10" i="8" s="1"/>
  <c r="CS91" i="7"/>
  <c r="CS10" i="8" s="1"/>
  <c r="DF94" i="7"/>
  <c r="DJ94" i="7"/>
  <c r="DN94" i="7"/>
  <c r="DR91" i="7"/>
  <c r="DR10" i="8" s="1"/>
  <c r="DV94" i="7"/>
  <c r="DV73" i="7" s="1"/>
  <c r="BB92" i="7"/>
  <c r="BM92" i="7"/>
  <c r="BS92" i="7"/>
  <c r="BX92" i="7"/>
  <c r="CC92" i="7"/>
  <c r="CY92" i="7"/>
  <c r="BH93" i="7"/>
  <c r="DF93" i="7"/>
  <c r="D94" i="7"/>
  <c r="J94" i="7"/>
  <c r="Z94" i="7"/>
  <c r="AE94" i="7"/>
  <c r="AP94" i="7"/>
  <c r="AV94" i="7"/>
  <c r="BG94" i="7"/>
  <c r="BL94" i="7"/>
  <c r="BQ94" i="7"/>
  <c r="BW94" i="7"/>
  <c r="CG94" i="7"/>
  <c r="CM94" i="7"/>
  <c r="CR94" i="7"/>
  <c r="CW94" i="7"/>
  <c r="U101" i="7"/>
  <c r="U102" i="7" s="1"/>
  <c r="Y101" i="7"/>
  <c r="Y102" i="7" s="1"/>
  <c r="AD101" i="7"/>
  <c r="AD102" i="7" s="1"/>
  <c r="AD97" i="7"/>
  <c r="AI101" i="7"/>
  <c r="AI102" i="7" s="1"/>
  <c r="AI97" i="7"/>
  <c r="AM101" i="7"/>
  <c r="AM102" i="7" s="1"/>
  <c r="AM97" i="7"/>
  <c r="AQ96" i="7"/>
  <c r="AW101" i="7"/>
  <c r="AW102" i="7" s="1"/>
  <c r="BB101" i="7"/>
  <c r="BB102" i="7" s="1"/>
  <c r="BB97" i="7"/>
  <c r="BG97" i="7"/>
  <c r="BF97" i="7"/>
  <c r="BF101" i="7"/>
  <c r="BF102" i="7" s="1"/>
  <c r="BK97" i="7"/>
  <c r="BJ96" i="7"/>
  <c r="BO97" i="7" s="1"/>
  <c r="BN97" i="7"/>
  <c r="BS97" i="7"/>
  <c r="BX101" i="7"/>
  <c r="BX102" i="7" s="1"/>
  <c r="CF101" i="7"/>
  <c r="CF102" i="7" s="1"/>
  <c r="CK101" i="7"/>
  <c r="CK102" i="7" s="1"/>
  <c r="CP97" i="7"/>
  <c r="CP101" i="7"/>
  <c r="CP102" i="7" s="1"/>
  <c r="CU97" i="7"/>
  <c r="CT101" i="7"/>
  <c r="CT102" i="7" s="1"/>
  <c r="CT97" i="7"/>
  <c r="CY97" i="7"/>
  <c r="CX96" i="7"/>
  <c r="DB97" i="7"/>
  <c r="DB101" i="7"/>
  <c r="DB102" i="7" s="1"/>
  <c r="DG97" i="7"/>
  <c r="DL101" i="7"/>
  <c r="DL102" i="7" s="1"/>
  <c r="DP101" i="7"/>
  <c r="DP102" i="7" s="1"/>
  <c r="DT101" i="7"/>
  <c r="DT102" i="7" s="1"/>
  <c r="CG97" i="7"/>
  <c r="I99" i="7"/>
  <c r="S99" i="7"/>
  <c r="AC99" i="7"/>
  <c r="BH99" i="7"/>
  <c r="DV99" i="7"/>
  <c r="L101" i="7"/>
  <c r="L102" i="7" s="1"/>
  <c r="AF101" i="7"/>
  <c r="AF102" i="7" s="1"/>
  <c r="BD101" i="7"/>
  <c r="BD102" i="7" s="1"/>
  <c r="BW101" i="7"/>
  <c r="BW102" i="7" s="1"/>
  <c r="CQ101" i="7"/>
  <c r="CQ102" i="7" s="1"/>
  <c r="DK101" i="7"/>
  <c r="DK102" i="7" s="1"/>
  <c r="D106" i="7"/>
  <c r="M104" i="7"/>
  <c r="R104" i="7"/>
  <c r="S105" i="7"/>
  <c r="S106" i="7"/>
  <c r="W104" i="7"/>
  <c r="AA105" i="7"/>
  <c r="AA106" i="7"/>
  <c r="AF106" i="7"/>
  <c r="AW106" i="7"/>
  <c r="BB106" i="7"/>
  <c r="BB105" i="7"/>
  <c r="BT104" i="7"/>
  <c r="BZ106" i="7"/>
  <c r="BZ105" i="7"/>
  <c r="CD104" i="7"/>
  <c r="DF106" i="7"/>
  <c r="DF105" i="7"/>
  <c r="DK106" i="7"/>
  <c r="DP106" i="7"/>
  <c r="DT106" i="7"/>
  <c r="DG105" i="7"/>
  <c r="AH106" i="7"/>
  <c r="AY106" i="7"/>
  <c r="CH106" i="7"/>
  <c r="DB106" i="7"/>
  <c r="O109" i="7"/>
  <c r="O113" i="7"/>
  <c r="O114" i="7" s="1"/>
  <c r="X113" i="7"/>
  <c r="AG108" i="7"/>
  <c r="AM109" i="7"/>
  <c r="AM113" i="7"/>
  <c r="AQ108" i="7"/>
  <c r="BC114" i="7"/>
  <c r="BH114" i="7"/>
  <c r="BL114" i="7"/>
  <c r="BV109" i="7"/>
  <c r="BV113" i="7"/>
  <c r="BV114" i="7" s="1"/>
  <c r="CN108" i="7"/>
  <c r="CS108" i="7"/>
  <c r="CT109" i="7"/>
  <c r="CT113" i="7"/>
  <c r="CY114" i="7" s="1"/>
  <c r="CX108" i="7"/>
  <c r="DB109" i="7"/>
  <c r="DB113" i="7"/>
  <c r="DB114" i="7" s="1"/>
  <c r="DG114" i="7"/>
  <c r="DQ114" i="7"/>
  <c r="P115" i="7"/>
  <c r="P116" i="7" s="1"/>
  <c r="P112" i="7"/>
  <c r="AI115" i="7"/>
  <c r="AI116" i="7" s="1"/>
  <c r="AN115" i="7"/>
  <c r="AN116" i="7" s="1"/>
  <c r="AS112" i="7"/>
  <c r="AN112" i="7"/>
  <c r="J114" i="7"/>
  <c r="Z114" i="7"/>
  <c r="AP114" i="7"/>
  <c r="AS114" i="7"/>
  <c r="BZ115" i="7"/>
  <c r="BZ116" i="7" s="1"/>
  <c r="CH115" i="7"/>
  <c r="CH116" i="7" s="1"/>
  <c r="CL115" i="7"/>
  <c r="CL116" i="7" s="1"/>
  <c r="CP115" i="7"/>
  <c r="CP116" i="7" s="1"/>
  <c r="CT115" i="7"/>
  <c r="CT116" i="7" s="1"/>
  <c r="DB115" i="7"/>
  <c r="DB116" i="7" s="1"/>
  <c r="DF115" i="7"/>
  <c r="DF116" i="7" s="1"/>
  <c r="BI114" i="7"/>
  <c r="CG114" i="7"/>
  <c r="DA114" i="7"/>
  <c r="DR124" i="7"/>
  <c r="AY84" i="7"/>
  <c r="I161" i="7"/>
  <c r="D101" i="7"/>
  <c r="D102" i="7" s="1"/>
  <c r="H86" i="7"/>
  <c r="U161" i="7"/>
  <c r="P99" i="7"/>
  <c r="P100" i="7" s="1"/>
  <c r="Y161" i="7"/>
  <c r="T99" i="7"/>
  <c r="AC161" i="7"/>
  <c r="X101" i="7"/>
  <c r="X102" i="7" s="1"/>
  <c r="AB86" i="7"/>
  <c r="AB8" i="8" s="1"/>
  <c r="AO161" i="7"/>
  <c r="AJ101" i="7"/>
  <c r="AJ102" i="7" s="1"/>
  <c r="AJ99" i="7"/>
  <c r="AJ100" i="7" s="1"/>
  <c r="AS161" i="7"/>
  <c r="AN99" i="7"/>
  <c r="AN100" i="7" s="1"/>
  <c r="AR99" i="7"/>
  <c r="AR101" i="7"/>
  <c r="AR102" i="7" s="1"/>
  <c r="L88" i="7"/>
  <c r="P88" i="7"/>
  <c r="T88" i="7"/>
  <c r="X88" i="7"/>
  <c r="AF88" i="7"/>
  <c r="AJ88" i="7"/>
  <c r="AN88" i="7"/>
  <c r="AR88" i="7"/>
  <c r="BA99" i="7"/>
  <c r="BA100" i="7" s="1"/>
  <c r="BA89" i="7"/>
  <c r="BA87" i="7"/>
  <c r="BE86" i="7"/>
  <c r="BE8" i="8" s="1"/>
  <c r="BI89" i="7"/>
  <c r="BI87" i="7"/>
  <c r="BI99" i="7"/>
  <c r="BM89" i="7"/>
  <c r="BM87" i="7"/>
  <c r="BQ89" i="7"/>
  <c r="BQ87" i="7"/>
  <c r="BU89" i="7"/>
  <c r="BU87" i="7"/>
  <c r="BU106" i="7"/>
  <c r="BY86" i="7"/>
  <c r="BY8" i="8" s="1"/>
  <c r="BY9" i="8" s="1"/>
  <c r="CC89" i="7"/>
  <c r="CC87" i="7"/>
  <c r="CG89" i="7"/>
  <c r="CG87" i="7"/>
  <c r="CK89" i="7"/>
  <c r="CK87" i="7"/>
  <c r="CO89" i="7"/>
  <c r="CO87" i="7"/>
  <c r="CO106" i="7"/>
  <c r="CS86" i="7"/>
  <c r="CS8" i="8" s="1"/>
  <c r="CW89" i="7"/>
  <c r="CW87" i="7"/>
  <c r="DA89" i="7"/>
  <c r="DA87" i="7"/>
  <c r="DE89" i="7"/>
  <c r="DI89" i="7"/>
  <c r="DI88" i="7"/>
  <c r="DI106" i="7"/>
  <c r="DM86" i="7"/>
  <c r="DM8" i="8" s="1"/>
  <c r="DM9" i="8" s="1"/>
  <c r="DQ89" i="7"/>
  <c r="DQ88" i="7"/>
  <c r="DQ99" i="7"/>
  <c r="DQ100" i="7" s="1"/>
  <c r="DU99" i="7"/>
  <c r="DU100" i="7" s="1"/>
  <c r="DF87" i="7"/>
  <c r="DQ87" i="7"/>
  <c r="DV87" i="7"/>
  <c r="BF87" i="7"/>
  <c r="BV87" i="7"/>
  <c r="CL87" i="7"/>
  <c r="BA88" i="7"/>
  <c r="BQ88" i="7"/>
  <c r="CG88" i="7"/>
  <c r="CW88" i="7"/>
  <c r="L89" i="7"/>
  <c r="Q89" i="7"/>
  <c r="W91" i="7"/>
  <c r="W10" i="8" s="1"/>
  <c r="AN92" i="7"/>
  <c r="AE92" i="7"/>
  <c r="BY91" i="7"/>
  <c r="BY10" i="8" s="1"/>
  <c r="CL94" i="7"/>
  <c r="CL92" i="7"/>
  <c r="CP94" i="7"/>
  <c r="CP92" i="7"/>
  <c r="CT94" i="7"/>
  <c r="CT92" i="7"/>
  <c r="CX91" i="7"/>
  <c r="CX10" i="8" s="1"/>
  <c r="DB94" i="7"/>
  <c r="DB93" i="7"/>
  <c r="BH92" i="7"/>
  <c r="CU92" i="7"/>
  <c r="BD93" i="7"/>
  <c r="CP93" i="7"/>
  <c r="F94" i="7"/>
  <c r="K94" i="7"/>
  <c r="P94" i="7"/>
  <c r="V94" i="7"/>
  <c r="AA94" i="7"/>
  <c r="BM94" i="7"/>
  <c r="CC94" i="7"/>
  <c r="DD94" i="7"/>
  <c r="DI94" i="7"/>
  <c r="DP94" i="7"/>
  <c r="I101" i="7"/>
  <c r="I102" i="7" s="1"/>
  <c r="N97" i="7"/>
  <c r="N101" i="7"/>
  <c r="N102" i="7" s="1"/>
  <c r="R96" i="7"/>
  <c r="Z97" i="7"/>
  <c r="Z101" i="7"/>
  <c r="Z102" i="7" s="1"/>
  <c r="AE101" i="7"/>
  <c r="AE102" i="7" s="1"/>
  <c r="AE97" i="7"/>
  <c r="AN101" i="7"/>
  <c r="AN102" i="7" s="1"/>
  <c r="AJ97" i="7"/>
  <c r="AX101" i="7"/>
  <c r="AX102" i="7" s="1"/>
  <c r="BC97" i="7"/>
  <c r="BG101" i="7"/>
  <c r="BG102" i="7" s="1"/>
  <c r="BP101" i="7"/>
  <c r="BP102" i="7" s="1"/>
  <c r="BU101" i="7"/>
  <c r="BU102" i="7" s="1"/>
  <c r="BY96" i="7"/>
  <c r="CC101" i="7"/>
  <c r="CC102" i="7" s="1"/>
  <c r="CL97" i="7"/>
  <c r="CQ97" i="7"/>
  <c r="CY101" i="7"/>
  <c r="CY102" i="7" s="1"/>
  <c r="DD101" i="7"/>
  <c r="DD102" i="7" s="1"/>
  <c r="DI101" i="7"/>
  <c r="DI102" i="7" s="1"/>
  <c r="DM96" i="7"/>
  <c r="DQ97" i="7"/>
  <c r="DQ101" i="7"/>
  <c r="DQ102" i="7" s="1"/>
  <c r="DU97" i="7"/>
  <c r="DU101" i="7"/>
  <c r="DU102" i="7" s="1"/>
  <c r="L99" i="7"/>
  <c r="V99" i="7"/>
  <c r="AF99" i="7"/>
  <c r="BM99" i="7"/>
  <c r="BM100" i="7" s="1"/>
  <c r="CC99" i="7"/>
  <c r="CC100" i="7" s="1"/>
  <c r="DI99" i="7"/>
  <c r="DV101" i="7"/>
  <c r="DV102" i="7" s="1"/>
  <c r="Q101" i="7"/>
  <c r="Q102" i="7" s="1"/>
  <c r="AK101" i="7"/>
  <c r="AK102" i="7" s="1"/>
  <c r="BI101" i="7"/>
  <c r="BI102" i="7" s="1"/>
  <c r="O105" i="7"/>
  <c r="O106" i="7"/>
  <c r="T106" i="7"/>
  <c r="X106" i="7"/>
  <c r="AL105" i="7"/>
  <c r="AM105" i="7"/>
  <c r="AM106" i="7"/>
  <c r="AQ104" i="7"/>
  <c r="AX106" i="7"/>
  <c r="BQ106" i="7"/>
  <c r="BV106" i="7"/>
  <c r="BV105" i="7"/>
  <c r="CA106" i="7"/>
  <c r="CE106" i="7"/>
  <c r="CT106" i="7"/>
  <c r="CT105" i="7"/>
  <c r="CX104" i="7"/>
  <c r="DQ106" i="7"/>
  <c r="DU106" i="7"/>
  <c r="DV106" i="7"/>
  <c r="F106" i="7"/>
  <c r="V106" i="7"/>
  <c r="BC106" i="7"/>
  <c r="K109" i="7"/>
  <c r="K113" i="7"/>
  <c r="K114" i="7" s="1"/>
  <c r="U114" i="7"/>
  <c r="AI109" i="7"/>
  <c r="AI113" i="7"/>
  <c r="AI114" i="7" s="1"/>
  <c r="AR114" i="7"/>
  <c r="BD114" i="7"/>
  <c r="BR109" i="7"/>
  <c r="BR113" i="7"/>
  <c r="BR114" i="7" s="1"/>
  <c r="BW114" i="7"/>
  <c r="CB114" i="7"/>
  <c r="CP109" i="7"/>
  <c r="CP113" i="7"/>
  <c r="CP114" i="7" s="1"/>
  <c r="CU114" i="7"/>
  <c r="DC113" i="7"/>
  <c r="DM109" i="7"/>
  <c r="DN113" i="7"/>
  <c r="DN109" i="7"/>
  <c r="DR108" i="7"/>
  <c r="DR109" i="7" s="1"/>
  <c r="DV113" i="7"/>
  <c r="DV114" i="7" s="1"/>
  <c r="DV109" i="7"/>
  <c r="H111" i="7"/>
  <c r="L115" i="7"/>
  <c r="L116" i="7" s="1"/>
  <c r="L112" i="7"/>
  <c r="AJ115" i="7"/>
  <c r="AJ116" i="7" s="1"/>
  <c r="AJ112" i="7"/>
  <c r="Q112" i="7"/>
  <c r="AD114" i="7"/>
  <c r="DV115" i="7"/>
  <c r="DV116" i="7" s="1"/>
  <c r="CK114" i="7"/>
  <c r="DE114" i="7"/>
  <c r="M119" i="7"/>
  <c r="R119" i="7"/>
  <c r="W119" i="7"/>
  <c r="AL119" i="7"/>
  <c r="AQ119" i="7"/>
  <c r="DD134" i="7"/>
  <c r="DD131" i="7"/>
  <c r="DH73" i="7"/>
  <c r="DL134" i="7"/>
  <c r="DL135" i="7" s="1"/>
  <c r="DL131" i="7"/>
  <c r="DL132" i="7" s="1"/>
  <c r="DP134" i="7"/>
  <c r="DP131" i="7"/>
  <c r="DP132" i="7" s="1"/>
  <c r="AV84" i="7"/>
  <c r="E99" i="7"/>
  <c r="J100" i="7" s="1"/>
  <c r="E106" i="7"/>
  <c r="M86" i="7"/>
  <c r="M8" i="8" s="1"/>
  <c r="U106" i="7"/>
  <c r="U99" i="7"/>
  <c r="Y99" i="7"/>
  <c r="Y100" i="7" s="1"/>
  <c r="Y106" i="7"/>
  <c r="AG86" i="7"/>
  <c r="AG8" i="8" s="1"/>
  <c r="AO106" i="7"/>
  <c r="AO99" i="7"/>
  <c r="AS99" i="7"/>
  <c r="AS106" i="7"/>
  <c r="I88" i="7"/>
  <c r="Q88" i="7"/>
  <c r="U88" i="7"/>
  <c r="Y88" i="7"/>
  <c r="AC88" i="7"/>
  <c r="AK88" i="7"/>
  <c r="AO88" i="7"/>
  <c r="AS88" i="7"/>
  <c r="BJ86" i="7"/>
  <c r="BJ8" i="8" s="1"/>
  <c r="CD86" i="7"/>
  <c r="CD8" i="8" s="1"/>
  <c r="CX86" i="7"/>
  <c r="CX8" i="8" s="1"/>
  <c r="DR86" i="7"/>
  <c r="DR8" i="8" s="1"/>
  <c r="BB87" i="7"/>
  <c r="BG87" i="7"/>
  <c r="BR87" i="7"/>
  <c r="BW87" i="7"/>
  <c r="CH87" i="7"/>
  <c r="CM87" i="7"/>
  <c r="BB88" i="7"/>
  <c r="BM88" i="7"/>
  <c r="BR88" i="7"/>
  <c r="CC88" i="7"/>
  <c r="CH88" i="7"/>
  <c r="DJ88" i="7"/>
  <c r="DU88" i="7"/>
  <c r="AS89" i="7"/>
  <c r="BZ89" i="7"/>
  <c r="CP89" i="7"/>
  <c r="DF89" i="7"/>
  <c r="T92" i="7"/>
  <c r="X92" i="7"/>
  <c r="AB91" i="7"/>
  <c r="AB10" i="8" s="1"/>
  <c r="AF92" i="7"/>
  <c r="AJ92" i="7"/>
  <c r="AO94" i="7"/>
  <c r="AS94" i="7"/>
  <c r="K92" i="7"/>
  <c r="AA92" i="7"/>
  <c r="AF93" i="7"/>
  <c r="BA93" i="7"/>
  <c r="BA92" i="7"/>
  <c r="BE91" i="7"/>
  <c r="BE10" i="8" s="1"/>
  <c r="BE11" i="8" s="1"/>
  <c r="BR94" i="7"/>
  <c r="BR92" i="7"/>
  <c r="BV94" i="7"/>
  <c r="BV92" i="7"/>
  <c r="BZ94" i="7"/>
  <c r="BZ92" i="7"/>
  <c r="CD91" i="7"/>
  <c r="CD10" i="8" s="1"/>
  <c r="CH94" i="7"/>
  <c r="CH92" i="7"/>
  <c r="DC91" i="7"/>
  <c r="DC10" i="8" s="1"/>
  <c r="DH91" i="7"/>
  <c r="DP92" i="7"/>
  <c r="DU92" i="7"/>
  <c r="BD92" i="7"/>
  <c r="BU92" i="7"/>
  <c r="CA92" i="7"/>
  <c r="CQ92" i="7"/>
  <c r="BV93" i="7"/>
  <c r="CL93" i="7"/>
  <c r="L94" i="7"/>
  <c r="AH94" i="7"/>
  <c r="AM94" i="7"/>
  <c r="AR94" i="7"/>
  <c r="AY94" i="7"/>
  <c r="BI94" i="7"/>
  <c r="CE94" i="7"/>
  <c r="CJ94" i="7"/>
  <c r="CO94" i="7"/>
  <c r="CZ94" i="7"/>
  <c r="DE94" i="7"/>
  <c r="DQ94" i="7"/>
  <c r="E101" i="7"/>
  <c r="E102" i="7" s="1"/>
  <c r="J101" i="7"/>
  <c r="J102" i="7" s="1"/>
  <c r="J97" i="7"/>
  <c r="O101" i="7"/>
  <c r="O102" i="7" s="1"/>
  <c r="O97" i="7"/>
  <c r="S101" i="7"/>
  <c r="S102" i="7" s="1"/>
  <c r="S97" i="7"/>
  <c r="W96" i="7"/>
  <c r="W97" i="7" s="1"/>
  <c r="AA97" i="7"/>
  <c r="AO101" i="7"/>
  <c r="AO102" i="7" s="1"/>
  <c r="BH101" i="7"/>
  <c r="BH102" i="7" s="1"/>
  <c r="BL101" i="7"/>
  <c r="BL102" i="7" s="1"/>
  <c r="BQ101" i="7"/>
  <c r="BQ102" i="7" s="1"/>
  <c r="BV97" i="7"/>
  <c r="BV101" i="7"/>
  <c r="BV102" i="7" s="1"/>
  <c r="CA97" i="7"/>
  <c r="BZ101" i="7"/>
  <c r="BZ102" i="7" s="1"/>
  <c r="BZ97" i="7"/>
  <c r="CE97" i="7"/>
  <c r="CD96" i="7"/>
  <c r="CD97" i="7" s="1"/>
  <c r="CH97" i="7"/>
  <c r="CH101" i="7"/>
  <c r="CH102" i="7" s="1"/>
  <c r="CM97" i="7"/>
  <c r="CR101" i="7"/>
  <c r="CR102" i="7" s="1"/>
  <c r="CZ101" i="7"/>
  <c r="CZ102" i="7" s="1"/>
  <c r="DE101" i="7"/>
  <c r="DE102" i="7" s="1"/>
  <c r="DJ101" i="7"/>
  <c r="DJ102" i="7" s="1"/>
  <c r="DN97" i="7"/>
  <c r="DR96" i="7"/>
  <c r="DV97" i="7"/>
  <c r="BU97" i="7"/>
  <c r="CC97" i="7"/>
  <c r="D99" i="7"/>
  <c r="N99" i="7"/>
  <c r="X99" i="7"/>
  <c r="X100" i="7" s="1"/>
  <c r="AK99" i="7"/>
  <c r="BQ99" i="7"/>
  <c r="BQ100" i="7" s="1"/>
  <c r="CG99" i="7"/>
  <c r="CW99" i="7"/>
  <c r="CW100" i="7" s="1"/>
  <c r="DN99" i="7"/>
  <c r="CT100" i="7"/>
  <c r="V101" i="7"/>
  <c r="V102" i="7" s="1"/>
  <c r="AP101" i="7"/>
  <c r="AP102" i="7" s="1"/>
  <c r="BN101" i="7"/>
  <c r="BN102" i="7" s="1"/>
  <c r="CB101" i="7"/>
  <c r="CB102" i="7" s="1"/>
  <c r="CL101" i="7"/>
  <c r="CL102" i="7" s="1"/>
  <c r="CV101" i="7"/>
  <c r="CV102" i="7" s="1"/>
  <c r="DF101" i="7"/>
  <c r="DF102" i="7" s="1"/>
  <c r="K105" i="7"/>
  <c r="K106" i="7"/>
  <c r="P106" i="7"/>
  <c r="AI105" i="7"/>
  <c r="AI106" i="7"/>
  <c r="AN106" i="7"/>
  <c r="AR106" i="7"/>
  <c r="BI106" i="7"/>
  <c r="BM106" i="7"/>
  <c r="BR106" i="7"/>
  <c r="BR105" i="7"/>
  <c r="CF106" i="7"/>
  <c r="CK106" i="7"/>
  <c r="CP106" i="7"/>
  <c r="CP105" i="7"/>
  <c r="CU106" i="7"/>
  <c r="CY106" i="7"/>
  <c r="DR104" i="7"/>
  <c r="BC105" i="7"/>
  <c r="CY105" i="7"/>
  <c r="J106" i="7"/>
  <c r="Z106" i="7"/>
  <c r="AP106" i="7"/>
  <c r="BG106" i="7"/>
  <c r="BX106" i="7"/>
  <c r="CR106" i="7"/>
  <c r="DL106" i="7"/>
  <c r="G113" i="7"/>
  <c r="L114" i="7" s="1"/>
  <c r="G115" i="7"/>
  <c r="G116" i="7" s="1"/>
  <c r="Q114" i="7"/>
  <c r="AE109" i="7"/>
  <c r="AE113" i="7"/>
  <c r="AE114" i="7" s="1"/>
  <c r="AO114" i="7"/>
  <c r="BF115" i="7"/>
  <c r="BF116" i="7" s="1"/>
  <c r="BF113" i="7"/>
  <c r="BF109" i="7"/>
  <c r="BJ108" i="7"/>
  <c r="BN109" i="7"/>
  <c r="BN113" i="7"/>
  <c r="BN114" i="7" s="1"/>
  <c r="BN115" i="7"/>
  <c r="BN116" i="7" s="1"/>
  <c r="BX114" i="7"/>
  <c r="CL109" i="7"/>
  <c r="CL113" i="7"/>
  <c r="CL114" i="7" s="1"/>
  <c r="CV114" i="7"/>
  <c r="CZ114" i="7"/>
  <c r="DJ109" i="7"/>
  <c r="DJ113" i="7"/>
  <c r="DO114" i="7" s="1"/>
  <c r="DW108" i="7"/>
  <c r="DW109" i="7" s="1"/>
  <c r="X115" i="7"/>
  <c r="X116" i="7" s="1"/>
  <c r="X112" i="7"/>
  <c r="AB111" i="7"/>
  <c r="AF115" i="7"/>
  <c r="AF116" i="7" s="1"/>
  <c r="AF112" i="7"/>
  <c r="AK112" i="7"/>
  <c r="R113" i="7"/>
  <c r="CN115" i="7"/>
  <c r="CN116" i="7" s="1"/>
  <c r="DW112" i="7"/>
  <c r="BQ114" i="7"/>
  <c r="I129" i="7"/>
  <c r="M69" i="7"/>
  <c r="Y129" i="7"/>
  <c r="AC129" i="7"/>
  <c r="AG69" i="7"/>
  <c r="AK129" i="7"/>
  <c r="AO129" i="7"/>
  <c r="AS129" i="7"/>
  <c r="AV128" i="7"/>
  <c r="BA129" i="7" s="1"/>
  <c r="BA139" i="7"/>
  <c r="AZ69" i="7"/>
  <c r="BD128" i="7"/>
  <c r="BD129" i="7" s="1"/>
  <c r="BI139" i="7"/>
  <c r="BH128" i="7"/>
  <c r="BH129" i="7" s="1"/>
  <c r="BM139" i="7"/>
  <c r="BL128" i="7"/>
  <c r="BL129" i="7" s="1"/>
  <c r="BQ139" i="7"/>
  <c r="BP128" i="7"/>
  <c r="BP129" i="7" s="1"/>
  <c r="BU139" i="7"/>
  <c r="BT69" i="7"/>
  <c r="BX128" i="7"/>
  <c r="BX129" i="7" s="1"/>
  <c r="CC139" i="7"/>
  <c r="CB128" i="7"/>
  <c r="CB129" i="7" s="1"/>
  <c r="CG139" i="7"/>
  <c r="CF128" i="7"/>
  <c r="CF129" i="7" s="1"/>
  <c r="CK139" i="7"/>
  <c r="CJ128" i="7"/>
  <c r="CJ129" i="7" s="1"/>
  <c r="CO139" i="7"/>
  <c r="CN69" i="7"/>
  <c r="CR128" i="7"/>
  <c r="CR129" i="7" s="1"/>
  <c r="CW139" i="7"/>
  <c r="CV128" i="7"/>
  <c r="CV129" i="7" s="1"/>
  <c r="DA139" i="7"/>
  <c r="CZ128" i="7"/>
  <c r="DE139" i="7"/>
  <c r="DD129" i="7"/>
  <c r="DH69" i="7"/>
  <c r="DL129" i="7"/>
  <c r="DP129" i="7"/>
  <c r="DT129" i="7"/>
  <c r="DD70" i="7"/>
  <c r="DL70" i="7"/>
  <c r="DP70" i="7"/>
  <c r="DT70" i="7"/>
  <c r="DD71" i="7"/>
  <c r="DL71" i="7"/>
  <c r="DB129" i="7"/>
  <c r="H73" i="7"/>
  <c r="L131" i="7"/>
  <c r="L132" i="7" s="1"/>
  <c r="L134" i="7"/>
  <c r="L135" i="7" s="1"/>
  <c r="P131" i="7"/>
  <c r="P132" i="7" s="1"/>
  <c r="P134" i="7"/>
  <c r="P135" i="7" s="1"/>
  <c r="T131" i="7"/>
  <c r="T132" i="7" s="1"/>
  <c r="T134" i="7"/>
  <c r="T135" i="7" s="1"/>
  <c r="X131" i="7"/>
  <c r="X132" i="7" s="1"/>
  <c r="X134" i="7"/>
  <c r="X135" i="7" s="1"/>
  <c r="AB73" i="7"/>
  <c r="AF131" i="7"/>
  <c r="AF132" i="7" s="1"/>
  <c r="AF134" i="7"/>
  <c r="AF135" i="7" s="1"/>
  <c r="AJ131" i="7"/>
  <c r="AJ132" i="7" s="1"/>
  <c r="AJ134" i="7"/>
  <c r="AJ135" i="7" s="1"/>
  <c r="AN131" i="7"/>
  <c r="AN132" i="7" s="1"/>
  <c r="AN134" i="7"/>
  <c r="AN135" i="7" s="1"/>
  <c r="AR131" i="7"/>
  <c r="AR132" i="7" s="1"/>
  <c r="AR134" i="7"/>
  <c r="AR135" i="7" s="1"/>
  <c r="BD144" i="7"/>
  <c r="AY134" i="7"/>
  <c r="BC131" i="7"/>
  <c r="BC132" i="7" s="1"/>
  <c r="BH144" i="7"/>
  <c r="BC134" i="7"/>
  <c r="BC135" i="7" s="1"/>
  <c r="BG131" i="7"/>
  <c r="BG132" i="7" s="1"/>
  <c r="BL144" i="7"/>
  <c r="BG134" i="7"/>
  <c r="BG135" i="7" s="1"/>
  <c r="BK131" i="7"/>
  <c r="BK132" i="7" s="1"/>
  <c r="BP144" i="7"/>
  <c r="BK134" i="7"/>
  <c r="BK135" i="7" s="1"/>
  <c r="BO73" i="7"/>
  <c r="BS131" i="7"/>
  <c r="BX144" i="7"/>
  <c r="BS134" i="7"/>
  <c r="BS135" i="7" s="1"/>
  <c r="BW131" i="7"/>
  <c r="BW132" i="7" s="1"/>
  <c r="CB144" i="7"/>
  <c r="BW134" i="7"/>
  <c r="BW135" i="7" s="1"/>
  <c r="CA131" i="7"/>
  <c r="CA132" i="7" s="1"/>
  <c r="CF144" i="7"/>
  <c r="CA134" i="7"/>
  <c r="CA135" i="7" s="1"/>
  <c r="CE131" i="7"/>
  <c r="CE132" i="7" s="1"/>
  <c r="CJ144" i="7"/>
  <c r="CE134" i="7"/>
  <c r="CE135" i="7" s="1"/>
  <c r="CI73" i="7"/>
  <c r="CM131" i="7"/>
  <c r="CM132" i="7" s="1"/>
  <c r="CR144" i="7"/>
  <c r="CM134" i="7"/>
  <c r="CM135" i="7" s="1"/>
  <c r="CQ131" i="7"/>
  <c r="CQ132" i="7" s="1"/>
  <c r="CV144" i="7"/>
  <c r="CQ134" i="7"/>
  <c r="CQ135" i="7" s="1"/>
  <c r="CU131" i="7"/>
  <c r="CU132" i="7" s="1"/>
  <c r="CZ144" i="7"/>
  <c r="CU134" i="7"/>
  <c r="CU135" i="7" s="1"/>
  <c r="CY131" i="7"/>
  <c r="CY132" i="7" s="1"/>
  <c r="DD144" i="7"/>
  <c r="CY134" i="7"/>
  <c r="CZ74" i="7"/>
  <c r="DE134" i="7"/>
  <c r="DE135" i="7" s="1"/>
  <c r="DE131" i="7"/>
  <c r="DE132" i="7" s="1"/>
  <c r="DI134" i="7"/>
  <c r="DI131" i="7"/>
  <c r="DI132" i="7" s="1"/>
  <c r="DM73" i="7"/>
  <c r="DQ134" i="7"/>
  <c r="DQ135" i="7" s="1"/>
  <c r="DQ131" i="7"/>
  <c r="DD74" i="7"/>
  <c r="DL74" i="7"/>
  <c r="DP74" i="7"/>
  <c r="DB76" i="7"/>
  <c r="DC76" i="7" s="1"/>
  <c r="DF76" i="7"/>
  <c r="DH76" i="7" s="1"/>
  <c r="DJ76" i="7"/>
  <c r="DM76" i="7" s="1"/>
  <c r="DN76" i="7"/>
  <c r="DZ76" i="7"/>
  <c r="AV75" i="7"/>
  <c r="BD75" i="7"/>
  <c r="AW84" i="7"/>
  <c r="R86" i="7"/>
  <c r="Z100" i="7"/>
  <c r="AD100" i="7"/>
  <c r="AH100" i="7"/>
  <c r="AL86" i="7"/>
  <c r="AT100" i="7"/>
  <c r="L87" i="7"/>
  <c r="P87" i="7"/>
  <c r="T87" i="7"/>
  <c r="X87" i="7"/>
  <c r="AF87" i="7"/>
  <c r="AJ87" i="7"/>
  <c r="AN87" i="7"/>
  <c r="AR87" i="7"/>
  <c r="J88" i="7"/>
  <c r="N88" i="7"/>
  <c r="Z88" i="7"/>
  <c r="AD88" i="7"/>
  <c r="AH88" i="7"/>
  <c r="AP88" i="7"/>
  <c r="AT88" i="7"/>
  <c r="BG100" i="7"/>
  <c r="BK99" i="7"/>
  <c r="BK100" i="7" s="1"/>
  <c r="BK101" i="7"/>
  <c r="BK102" i="7" s="1"/>
  <c r="BO86" i="7"/>
  <c r="BS99" i="7"/>
  <c r="BS100" i="7" s="1"/>
  <c r="BS101" i="7"/>
  <c r="BS102" i="7" s="1"/>
  <c r="BW100" i="7"/>
  <c r="CA99" i="7"/>
  <c r="CA100" i="7" s="1"/>
  <c r="CA101" i="7"/>
  <c r="CA102" i="7" s="1"/>
  <c r="CE100" i="7"/>
  <c r="CI86" i="7"/>
  <c r="CI8" i="8" s="1"/>
  <c r="CM99" i="7"/>
  <c r="CM100" i="7" s="1"/>
  <c r="CM101" i="7"/>
  <c r="CM102" i="7" s="1"/>
  <c r="CQ100" i="7"/>
  <c r="CU99" i="7"/>
  <c r="CU100" i="7" s="1"/>
  <c r="CU101" i="7"/>
  <c r="CU102" i="7" s="1"/>
  <c r="CY100" i="7"/>
  <c r="DC86" i="7"/>
  <c r="DC8" i="8" s="1"/>
  <c r="DG99" i="7"/>
  <c r="DG100" i="7" s="1"/>
  <c r="DG87" i="7"/>
  <c r="DG101" i="7"/>
  <c r="DG102" i="7" s="1"/>
  <c r="DK99" i="7"/>
  <c r="DP100" i="7" s="1"/>
  <c r="DK87" i="7"/>
  <c r="DO87" i="7"/>
  <c r="DO101" i="7"/>
  <c r="DO102" i="7" s="1"/>
  <c r="DO99" i="7"/>
  <c r="DO100" i="7" s="1"/>
  <c r="DO94" i="7"/>
  <c r="DS87" i="7"/>
  <c r="DS101" i="7"/>
  <c r="DS102" i="7" s="1"/>
  <c r="DS99" i="7"/>
  <c r="DS94" i="7"/>
  <c r="DS73" i="7" s="1"/>
  <c r="DW86" i="7"/>
  <c r="DW8" i="8" s="1"/>
  <c r="DD87" i="7"/>
  <c r="DI87" i="7"/>
  <c r="DT87" i="7"/>
  <c r="BC87" i="7"/>
  <c r="BH87" i="7"/>
  <c r="BN87" i="7"/>
  <c r="BS87" i="7"/>
  <c r="BX87" i="7"/>
  <c r="CT87" i="7"/>
  <c r="CY87" i="7"/>
  <c r="BC88" i="7"/>
  <c r="BI88" i="7"/>
  <c r="BN88" i="7"/>
  <c r="BS88" i="7"/>
  <c r="CO88" i="7"/>
  <c r="CT88" i="7"/>
  <c r="CY88" i="7"/>
  <c r="DE88" i="7"/>
  <c r="DK88" i="7"/>
  <c r="D89" i="7"/>
  <c r="T89" i="7"/>
  <c r="Y89" i="7"/>
  <c r="AD89" i="7"/>
  <c r="AJ89" i="7"/>
  <c r="AO89" i="7"/>
  <c r="AT89" i="7"/>
  <c r="BF89" i="7"/>
  <c r="BK89" i="7"/>
  <c r="BP89" i="7"/>
  <c r="BV89" i="7"/>
  <c r="CA89" i="7"/>
  <c r="CF89" i="7"/>
  <c r="CL89" i="7"/>
  <c r="CQ89" i="7"/>
  <c r="CV89" i="7"/>
  <c r="DB89" i="7"/>
  <c r="DG89" i="7"/>
  <c r="DL89" i="7"/>
  <c r="L92" i="7"/>
  <c r="P92" i="7"/>
  <c r="U94" i="7"/>
  <c r="Y94" i="7"/>
  <c r="AC94" i="7"/>
  <c r="AG91" i="7"/>
  <c r="AG10" i="8" s="1"/>
  <c r="AG11" i="8" s="1"/>
  <c r="AK94" i="7"/>
  <c r="AC92" i="7"/>
  <c r="AH92" i="7"/>
  <c r="AS92" i="7"/>
  <c r="L93" i="7"/>
  <c r="AR93" i="7"/>
  <c r="AX94" i="7"/>
  <c r="BB94" i="7"/>
  <c r="BF94" i="7"/>
  <c r="BJ91" i="7"/>
  <c r="BJ10" i="8" s="1"/>
  <c r="BN94" i="7"/>
  <c r="BN92" i="7"/>
  <c r="CI91" i="7"/>
  <c r="DL92" i="7"/>
  <c r="DQ92" i="7"/>
  <c r="DV92" i="7"/>
  <c r="BF92" i="7"/>
  <c r="BL92" i="7"/>
  <c r="BQ92" i="7"/>
  <c r="BW92" i="7"/>
  <c r="CG92" i="7"/>
  <c r="CM92" i="7"/>
  <c r="CR92" i="7"/>
  <c r="CW92" i="7"/>
  <c r="BB93" i="7"/>
  <c r="BR93" i="7"/>
  <c r="CH93" i="7"/>
  <c r="N94" i="7"/>
  <c r="X94" i="7"/>
  <c r="AD94" i="7"/>
  <c r="AN94" i="7"/>
  <c r="AT94" i="7"/>
  <c r="BK94" i="7"/>
  <c r="BU94" i="7"/>
  <c r="CA94" i="7"/>
  <c r="CK94" i="7"/>
  <c r="CQ94" i="7"/>
  <c r="DG94" i="7"/>
  <c r="DL94" i="7"/>
  <c r="DT94" i="7"/>
  <c r="DT73" i="7" s="1"/>
  <c r="F101" i="7"/>
  <c r="F102" i="7" s="1"/>
  <c r="K101" i="7"/>
  <c r="K102" i="7" s="1"/>
  <c r="K97" i="7"/>
  <c r="P101" i="7"/>
  <c r="P102" i="7" s="1"/>
  <c r="T101" i="7"/>
  <c r="T102" i="7" s="1"/>
  <c r="AB96" i="7"/>
  <c r="AB97" i="7" s="1"/>
  <c r="AC101" i="7"/>
  <c r="AC102" i="7" s="1"/>
  <c r="AH97" i="7"/>
  <c r="AH101" i="7"/>
  <c r="AH102" i="7" s="1"/>
  <c r="AL96" i="7"/>
  <c r="AT97" i="7"/>
  <c r="AT101" i="7"/>
  <c r="AT102" i="7" s="1"/>
  <c r="P97" i="7"/>
  <c r="X97" i="7"/>
  <c r="AF97" i="7"/>
  <c r="AV101" i="7"/>
  <c r="AV102" i="7" s="1"/>
  <c r="BA101" i="7"/>
  <c r="BA102" i="7" s="1"/>
  <c r="BE96" i="7"/>
  <c r="BM101" i="7"/>
  <c r="BM102" i="7" s="1"/>
  <c r="BR97" i="7"/>
  <c r="BW97" i="7"/>
  <c r="CE101" i="7"/>
  <c r="CE102" i="7" s="1"/>
  <c r="CJ101" i="7"/>
  <c r="CJ102" i="7" s="1"/>
  <c r="CO101" i="7"/>
  <c r="CO102" i="7" s="1"/>
  <c r="CS96" i="7"/>
  <c r="CW101" i="7"/>
  <c r="CW102" i="7" s="1"/>
  <c r="DF97" i="7"/>
  <c r="DW96" i="7"/>
  <c r="DO97" i="7"/>
  <c r="G99" i="7"/>
  <c r="Q99" i="7"/>
  <c r="Q100" i="7" s="1"/>
  <c r="AA99" i="7"/>
  <c r="AA100" i="7" s="1"/>
  <c r="BC99" i="7"/>
  <c r="BC100" i="7" s="1"/>
  <c r="BU99" i="7"/>
  <c r="BU100" i="7" s="1"/>
  <c r="CK99" i="7"/>
  <c r="CK100" i="7" s="1"/>
  <c r="DA99" i="7"/>
  <c r="DA100" i="7" s="1"/>
  <c r="DN101" i="7"/>
  <c r="DN102" i="7" s="1"/>
  <c r="AA101" i="7"/>
  <c r="AA102" i="7" s="1"/>
  <c r="AY101" i="7"/>
  <c r="AY102" i="7" s="1"/>
  <c r="BR101" i="7"/>
  <c r="BR102" i="7" s="1"/>
  <c r="G106" i="7"/>
  <c r="L106" i="7"/>
  <c r="AE105" i="7"/>
  <c r="AE106" i="7"/>
  <c r="AJ106" i="7"/>
  <c r="AZ104" i="7"/>
  <c r="AZ106" i="7" s="1"/>
  <c r="BA106" i="7"/>
  <c r="BF106" i="7"/>
  <c r="BF105" i="7"/>
  <c r="BJ104" i="7"/>
  <c r="BN106" i="7"/>
  <c r="BN105" i="7"/>
  <c r="CL106" i="7"/>
  <c r="CL105" i="7"/>
  <c r="CZ106" i="7"/>
  <c r="DE106" i="7"/>
  <c r="DJ106" i="7"/>
  <c r="DO106" i="7"/>
  <c r="DS106" i="7"/>
  <c r="DN106" i="7"/>
  <c r="BW105" i="7"/>
  <c r="AD106" i="7"/>
  <c r="AT106" i="7"/>
  <c r="BK106" i="7"/>
  <c r="CC106" i="7"/>
  <c r="CW106" i="7"/>
  <c r="D113" i="7"/>
  <c r="H113" i="7" s="1"/>
  <c r="M108" i="7"/>
  <c r="S109" i="7"/>
  <c r="S113" i="7"/>
  <c r="W108" i="7"/>
  <c r="AA109" i="7"/>
  <c r="AA113" i="7"/>
  <c r="AA114" i="7" s="1"/>
  <c r="AA115" i="7"/>
  <c r="AA116" i="7" s="1"/>
  <c r="AF113" i="7"/>
  <c r="AT114" i="7"/>
  <c r="BB113" i="7"/>
  <c r="BB114" i="7" s="1"/>
  <c r="BB109" i="7"/>
  <c r="BO113" i="7"/>
  <c r="BK114" i="7"/>
  <c r="BT108" i="7"/>
  <c r="BY109" i="7" s="1"/>
  <c r="BZ109" i="7"/>
  <c r="BZ113" i="7"/>
  <c r="CE114" i="7" s="1"/>
  <c r="CD108" i="7"/>
  <c r="CD109" i="7" s="1"/>
  <c r="CH109" i="7"/>
  <c r="CH113" i="7"/>
  <c r="CH114" i="7" s="1"/>
  <c r="CR114" i="7"/>
  <c r="DF109" i="7"/>
  <c r="DF113" i="7"/>
  <c r="DF114" i="7" s="1"/>
  <c r="BG109" i="7"/>
  <c r="O115" i="7"/>
  <c r="O116" i="7" s="1"/>
  <c r="T115" i="7"/>
  <c r="T116" i="7" s="1"/>
  <c r="T112" i="7"/>
  <c r="AL111" i="7"/>
  <c r="I112" i="7"/>
  <c r="Y112" i="7"/>
  <c r="AO112" i="7"/>
  <c r="V114" i="7"/>
  <c r="AL113" i="7"/>
  <c r="AX115" i="7"/>
  <c r="AX116" i="7" s="1"/>
  <c r="BB115" i="7"/>
  <c r="BB116" i="7" s="1"/>
  <c r="BR115" i="7"/>
  <c r="BR116" i="7" s="1"/>
  <c r="CS115" i="7"/>
  <c r="CS116" i="7" s="1"/>
  <c r="DJ115" i="7"/>
  <c r="DJ116" i="7" s="1"/>
  <c r="CC114" i="7"/>
  <c r="CW114" i="7"/>
  <c r="M96" i="7"/>
  <c r="M97" i="7" s="1"/>
  <c r="AG96" i="7"/>
  <c r="AG97" i="7" s="1"/>
  <c r="AZ96" i="7"/>
  <c r="BT96" i="7"/>
  <c r="BT97" i="7" s="1"/>
  <c r="CN96" i="7"/>
  <c r="DH96" i="7"/>
  <c r="L105" i="7"/>
  <c r="P105" i="7"/>
  <c r="T105" i="7"/>
  <c r="X105" i="7"/>
  <c r="AF105" i="7"/>
  <c r="AJ105" i="7"/>
  <c r="AN105" i="7"/>
  <c r="AR105" i="7"/>
  <c r="BE104" i="7"/>
  <c r="BY104" i="7"/>
  <c r="BY105" i="7" s="1"/>
  <c r="CS104" i="7"/>
  <c r="CS105" i="7" s="1"/>
  <c r="DO105" i="7"/>
  <c r="DS105" i="7"/>
  <c r="BW106" i="7"/>
  <c r="CG106" i="7"/>
  <c r="CQ106" i="7"/>
  <c r="DA106" i="7"/>
  <c r="R108" i="7"/>
  <c r="R109" i="7" s="1"/>
  <c r="AL108" i="7"/>
  <c r="AL109" i="7" s="1"/>
  <c r="L109" i="7"/>
  <c r="P109" i="7"/>
  <c r="T109" i="7"/>
  <c r="X109" i="7"/>
  <c r="AF109" i="7"/>
  <c r="AJ109" i="7"/>
  <c r="AN109" i="7"/>
  <c r="AR109" i="7"/>
  <c r="BE108" i="7"/>
  <c r="BE109" i="7" s="1"/>
  <c r="BK109" i="7"/>
  <c r="BS109" i="7"/>
  <c r="BW109" i="7"/>
  <c r="CA109" i="7"/>
  <c r="CE109" i="7"/>
  <c r="CM109" i="7"/>
  <c r="CQ109" i="7"/>
  <c r="CU109" i="7"/>
  <c r="CY109" i="7"/>
  <c r="DG109" i="7"/>
  <c r="DK109" i="7"/>
  <c r="DO109" i="7"/>
  <c r="DS109" i="7"/>
  <c r="W111" i="7"/>
  <c r="W112" i="7" s="1"/>
  <c r="AQ111" i="7"/>
  <c r="I113" i="7"/>
  <c r="AC113" i="7"/>
  <c r="AT115" i="7"/>
  <c r="AT116" i="7" s="1"/>
  <c r="DQ112" i="7"/>
  <c r="DU112" i="7"/>
  <c r="DS113" i="7"/>
  <c r="BB112" i="7"/>
  <c r="BF112" i="7"/>
  <c r="BJ112" i="7"/>
  <c r="BN112" i="7"/>
  <c r="BR112" i="7"/>
  <c r="BV112" i="7"/>
  <c r="CH112" i="7"/>
  <c r="CL112" i="7"/>
  <c r="CP112" i="7"/>
  <c r="CT112" i="7"/>
  <c r="CX112" i="7"/>
  <c r="DB112" i="7"/>
  <c r="DF112" i="7"/>
  <c r="AV113" i="7"/>
  <c r="AZ113" i="7" s="1"/>
  <c r="BP113" i="7"/>
  <c r="CJ113" i="7"/>
  <c r="DD113" i="7"/>
  <c r="K115" i="7"/>
  <c r="K116" i="7" s="1"/>
  <c r="U115" i="7"/>
  <c r="U116" i="7" s="1"/>
  <c r="AE115" i="7"/>
  <c r="AE116" i="7" s="1"/>
  <c r="BH115" i="7"/>
  <c r="BH116" i="7" s="1"/>
  <c r="BM115" i="7"/>
  <c r="BM116" i="7" s="1"/>
  <c r="DN115" i="7"/>
  <c r="DN116" i="7" s="1"/>
  <c r="I119" i="7"/>
  <c r="AC119" i="7"/>
  <c r="DT119" i="7"/>
  <c r="DN119" i="7"/>
  <c r="AB121" i="7"/>
  <c r="AB122" i="7" s="1"/>
  <c r="R123" i="7"/>
  <c r="W123" i="7"/>
  <c r="AN124" i="7"/>
  <c r="AS124" i="7"/>
  <c r="U126" i="7"/>
  <c r="AL125" i="7"/>
  <c r="AQ125" i="7"/>
  <c r="AQ126" i="7" s="1"/>
  <c r="BT121" i="7"/>
  <c r="BT122" i="7" s="1"/>
  <c r="DH121" i="7"/>
  <c r="DH122" i="7" s="1"/>
  <c r="DQ124" i="7"/>
  <c r="BA124" i="7"/>
  <c r="BF124" i="7"/>
  <c r="BE123" i="7"/>
  <c r="BE124" i="7" s="1"/>
  <c r="BI124" i="7"/>
  <c r="BN124" i="7"/>
  <c r="CK124" i="7"/>
  <c r="CP124" i="7"/>
  <c r="CO124" i="7"/>
  <c r="CT124" i="7"/>
  <c r="CS123" i="7"/>
  <c r="CS124" i="7" s="1"/>
  <c r="CW124" i="7"/>
  <c r="DB124" i="7"/>
  <c r="CJ124" i="7"/>
  <c r="BR126" i="7"/>
  <c r="CP126" i="7"/>
  <c r="DC125" i="7"/>
  <c r="DH125" i="7"/>
  <c r="DH126" i="7" s="1"/>
  <c r="CU139" i="7"/>
  <c r="DH111" i="7"/>
  <c r="DP113" i="7"/>
  <c r="DP114" i="7" s="1"/>
  <c r="DT113" i="7"/>
  <c r="DT114" i="7" s="1"/>
  <c r="BE113" i="7"/>
  <c r="CS113" i="7"/>
  <c r="BD115" i="7"/>
  <c r="BD116" i="7" s="1"/>
  <c r="AB118" i="7"/>
  <c r="AB119" i="7" s="1"/>
  <c r="AG121" i="7"/>
  <c r="AG122" i="7" s="1"/>
  <c r="T124" i="7"/>
  <c r="AB123" i="7"/>
  <c r="AB124" i="7" s="1"/>
  <c r="AO124" i="7"/>
  <c r="M125" i="7"/>
  <c r="M126" i="7" s="1"/>
  <c r="AS126" i="7"/>
  <c r="N126" i="7"/>
  <c r="V126" i="7"/>
  <c r="CI121" i="7"/>
  <c r="CI122" i="7" s="1"/>
  <c r="DU122" i="7"/>
  <c r="DU126" i="7"/>
  <c r="BT123" i="7"/>
  <c r="BT124" i="7" s="1"/>
  <c r="CG124" i="7"/>
  <c r="CL124" i="7"/>
  <c r="DH123" i="7"/>
  <c r="DH124" i="7" s="1"/>
  <c r="BE125" i="7"/>
  <c r="BE126" i="7" s="1"/>
  <c r="BN126" i="7"/>
  <c r="CL126" i="7"/>
  <c r="CQ139" i="7"/>
  <c r="J144" i="7"/>
  <c r="N144" i="7"/>
  <c r="H104" i="7"/>
  <c r="H106" i="7" s="1"/>
  <c r="AB104" i="7"/>
  <c r="AG105" i="7" s="1"/>
  <c r="BO104" i="7"/>
  <c r="CI104" i="7"/>
  <c r="CI105" i="7" s="1"/>
  <c r="DC104" i="7"/>
  <c r="DC105" i="7" s="1"/>
  <c r="DW104" i="7"/>
  <c r="CF105" i="7"/>
  <c r="CJ105" i="7"/>
  <c r="CZ105" i="7"/>
  <c r="DD105" i="7"/>
  <c r="H108" i="7"/>
  <c r="AB108" i="7"/>
  <c r="BO108" i="7"/>
  <c r="BO109" i="7" s="1"/>
  <c r="CI108" i="7"/>
  <c r="DC108" i="7"/>
  <c r="DH109" i="7" s="1"/>
  <c r="BD109" i="7"/>
  <c r="BH109" i="7"/>
  <c r="M111" i="7"/>
  <c r="M112" i="7" s="1"/>
  <c r="AG111" i="7"/>
  <c r="AG112" i="7" s="1"/>
  <c r="J112" i="7"/>
  <c r="N112" i="7"/>
  <c r="AD112" i="7"/>
  <c r="AH112" i="7"/>
  <c r="DM111" i="7"/>
  <c r="DM115" i="7" s="1"/>
  <c r="DM116" i="7" s="1"/>
  <c r="BL112" i="7"/>
  <c r="BP112" i="7"/>
  <c r="BX112" i="7"/>
  <c r="CB112" i="7"/>
  <c r="CF112" i="7"/>
  <c r="CJ112" i="7"/>
  <c r="CN112" i="7"/>
  <c r="CR112" i="7"/>
  <c r="CV112" i="7"/>
  <c r="CZ112" i="7"/>
  <c r="DD112" i="7"/>
  <c r="S115" i="7"/>
  <c r="S116" i="7" s="1"/>
  <c r="AM115" i="7"/>
  <c r="AM116" i="7" s="1"/>
  <c r="BA115" i="7"/>
  <c r="BA116" i="7" s="1"/>
  <c r="DP115" i="7"/>
  <c r="DP116" i="7" s="1"/>
  <c r="DT115" i="7"/>
  <c r="DT116" i="7" s="1"/>
  <c r="DH118" i="7"/>
  <c r="DH119" i="7" s="1"/>
  <c r="DQ119" i="7"/>
  <c r="M121" i="7"/>
  <c r="M122" i="7" s="1"/>
  <c r="AL121" i="7"/>
  <c r="AL122" i="7" s="1"/>
  <c r="P124" i="7"/>
  <c r="U124" i="7"/>
  <c r="Y124" i="7"/>
  <c r="AC124" i="7"/>
  <c r="AG123" i="7"/>
  <c r="AG124" i="7" s="1"/>
  <c r="AK124" i="7"/>
  <c r="Z124" i="7"/>
  <c r="AH124" i="7"/>
  <c r="AP124" i="7"/>
  <c r="R125" i="7"/>
  <c r="W126" i="7" s="1"/>
  <c r="AB125" i="7"/>
  <c r="AB126" i="7" s="1"/>
  <c r="AO126" i="7"/>
  <c r="CN121" i="7"/>
  <c r="CN122" i="7" s="1"/>
  <c r="BQ124" i="7"/>
  <c r="BV124" i="7"/>
  <c r="BU124" i="7"/>
  <c r="BZ124" i="7"/>
  <c r="BY123" i="7"/>
  <c r="CC124" i="7"/>
  <c r="CH124" i="7"/>
  <c r="DE124" i="7"/>
  <c r="BB126" i="7"/>
  <c r="BF126" i="7"/>
  <c r="BY125" i="7"/>
  <c r="BY126" i="7" s="1"/>
  <c r="CH126" i="7"/>
  <c r="DF126" i="7"/>
  <c r="CM139" i="7"/>
  <c r="DG139" i="7"/>
  <c r="O144" i="7"/>
  <c r="R91" i="7"/>
  <c r="R10" i="8" s="1"/>
  <c r="R11" i="8" s="1"/>
  <c r="AL91" i="7"/>
  <c r="AL10" i="8" s="1"/>
  <c r="AL11" i="8" s="1"/>
  <c r="DW91" i="7"/>
  <c r="DW10" i="8" s="1"/>
  <c r="DG92" i="7"/>
  <c r="CI96" i="7"/>
  <c r="CI97" i="7" s="1"/>
  <c r="DC96" i="7"/>
  <c r="DC97" i="7" s="1"/>
  <c r="BA105" i="7"/>
  <c r="BI105" i="7"/>
  <c r="BM105" i="7"/>
  <c r="BQ105" i="7"/>
  <c r="CK105" i="7"/>
  <c r="DE105" i="7"/>
  <c r="O112" i="7"/>
  <c r="AI112" i="7"/>
  <c r="BQ112" i="7"/>
  <c r="CC112" i="7"/>
  <c r="CG112" i="7"/>
  <c r="CK112" i="7"/>
  <c r="CO112" i="7"/>
  <c r="CS112" i="7"/>
  <c r="CW112" i="7"/>
  <c r="DA112" i="7"/>
  <c r="DE112" i="7"/>
  <c r="DR118" i="7"/>
  <c r="DR119" i="7" s="1"/>
  <c r="R121" i="7"/>
  <c r="R122" i="7" s="1"/>
  <c r="M123" i="7"/>
  <c r="M124" i="7" s="1"/>
  <c r="Q124" i="7"/>
  <c r="AL123" i="7"/>
  <c r="AQ123" i="7"/>
  <c r="AR124" i="7"/>
  <c r="Y126" i="7"/>
  <c r="AC126" i="7"/>
  <c r="AG125" i="7"/>
  <c r="AK126" i="7"/>
  <c r="Z126" i="7"/>
  <c r="AH126" i="7"/>
  <c r="AP126" i="7"/>
  <c r="DR121" i="7"/>
  <c r="DR122" i="7" s="1"/>
  <c r="DW121" i="7"/>
  <c r="DW122" i="7" s="1"/>
  <c r="DV122" i="7"/>
  <c r="DU124" i="7"/>
  <c r="DR125" i="7"/>
  <c r="DR126" i="7" s="1"/>
  <c r="DW125" i="7"/>
  <c r="DW126" i="7" s="1"/>
  <c r="DV126" i="7"/>
  <c r="H123" i="7"/>
  <c r="BM124" i="7"/>
  <c r="BR124" i="7"/>
  <c r="CD123" i="7"/>
  <c r="CI123" i="7"/>
  <c r="DA124" i="7"/>
  <c r="DF124" i="7"/>
  <c r="BV126" i="7"/>
  <c r="BZ126" i="7"/>
  <c r="CI125" i="7"/>
  <c r="CN125" i="7"/>
  <c r="CN126" i="7" s="1"/>
  <c r="CS125" i="7"/>
  <c r="DB126" i="7"/>
  <c r="J139" i="7"/>
  <c r="N139" i="7"/>
  <c r="R139" i="7"/>
  <c r="V139" i="7"/>
  <c r="Z139" i="7"/>
  <c r="AD139" i="7"/>
  <c r="AH139" i="7"/>
  <c r="AL139" i="7"/>
  <c r="AP139" i="7"/>
  <c r="AT139" i="7"/>
  <c r="BC139" i="7"/>
  <c r="BG139" i="7"/>
  <c r="BK139" i="7"/>
  <c r="BO139" i="7"/>
  <c r="BS139" i="7"/>
  <c r="BW139" i="7"/>
  <c r="CA139" i="7"/>
  <c r="CE139" i="7"/>
  <c r="CY139" i="7"/>
  <c r="BJ121" i="7"/>
  <c r="BJ122" i="7" s="1"/>
  <c r="CD121" i="7"/>
  <c r="CD122" i="7" s="1"/>
  <c r="CX121" i="7"/>
  <c r="DC122" i="7" s="1"/>
  <c r="BK126" i="7"/>
  <c r="CE126" i="7"/>
  <c r="CY126" i="7"/>
  <c r="D205" i="7"/>
  <c r="D206" i="7" s="1"/>
  <c r="L205" i="7"/>
  <c r="P205" i="7"/>
  <c r="T205" i="7"/>
  <c r="X205" i="7"/>
  <c r="AF205" i="7"/>
  <c r="AJ205" i="7"/>
  <c r="AN205" i="7"/>
  <c r="AR205" i="7"/>
  <c r="L140" i="7"/>
  <c r="P140" i="7"/>
  <c r="T140" i="7"/>
  <c r="X140" i="7"/>
  <c r="AB140" i="7"/>
  <c r="AF140" i="7"/>
  <c r="AJ140" i="7"/>
  <c r="AN140" i="7"/>
  <c r="AR140" i="7"/>
  <c r="AW205" i="7"/>
  <c r="BA205" i="7"/>
  <c r="BI205" i="7"/>
  <c r="BI206" i="7" s="1"/>
  <c r="BM205" i="7"/>
  <c r="BM206" i="7" s="1"/>
  <c r="BQ205" i="7"/>
  <c r="BQ206" i="7" s="1"/>
  <c r="BU205" i="7"/>
  <c r="BU206" i="7" s="1"/>
  <c r="CC205" i="7"/>
  <c r="CC206" i="7" s="1"/>
  <c r="CG205" i="7"/>
  <c r="CG206" i="7" s="1"/>
  <c r="CK205" i="7"/>
  <c r="CK206" i="7" s="1"/>
  <c r="CO205" i="7"/>
  <c r="CO206" i="7" s="1"/>
  <c r="CS138" i="7"/>
  <c r="CW205" i="7"/>
  <c r="CW206" i="7" s="1"/>
  <c r="DA205" i="7"/>
  <c r="DA206" i="7" s="1"/>
  <c r="DE205" i="7"/>
  <c r="DE206" i="7" s="1"/>
  <c r="DI205" i="7"/>
  <c r="DM138" i="7"/>
  <c r="DQ205" i="7"/>
  <c r="DU205" i="7"/>
  <c r="AW213" i="7"/>
  <c r="AW209" i="7"/>
  <c r="BB213" i="7"/>
  <c r="BB209" i="7"/>
  <c r="BB144" i="7"/>
  <c r="BF213" i="7"/>
  <c r="BF209" i="7"/>
  <c r="BF210" i="7" s="1"/>
  <c r="BF144" i="7"/>
  <c r="BJ144" i="7"/>
  <c r="BN213" i="7"/>
  <c r="BN209" i="7"/>
  <c r="BN210" i="7" s="1"/>
  <c r="BN144" i="7"/>
  <c r="BR213" i="7"/>
  <c r="BR209" i="7"/>
  <c r="BR210" i="7" s="1"/>
  <c r="BR144" i="7"/>
  <c r="BV213" i="7"/>
  <c r="BV209" i="7"/>
  <c r="BV210" i="7" s="1"/>
  <c r="BV144" i="7"/>
  <c r="BZ213" i="7"/>
  <c r="BZ209" i="7"/>
  <c r="BZ210" i="7" s="1"/>
  <c r="BZ144" i="7"/>
  <c r="CD144" i="7"/>
  <c r="CH213" i="7"/>
  <c r="CH209" i="7"/>
  <c r="CH210" i="7" s="1"/>
  <c r="CH144" i="7"/>
  <c r="DE213" i="7"/>
  <c r="DE209" i="7"/>
  <c r="DE210" i="7" s="1"/>
  <c r="DE144" i="7"/>
  <c r="DJ213" i="7"/>
  <c r="DJ209" i="7"/>
  <c r="DJ145" i="7"/>
  <c r="DJ144" i="7"/>
  <c r="DN213" i="7"/>
  <c r="DN209" i="7"/>
  <c r="DN145" i="7"/>
  <c r="DN144" i="7"/>
  <c r="DR143" i="7"/>
  <c r="DV213" i="7"/>
  <c r="DV209" i="7"/>
  <c r="DV145" i="7"/>
  <c r="EA143" i="7"/>
  <c r="DV144" i="7"/>
  <c r="AD144" i="7"/>
  <c r="N145" i="7"/>
  <c r="E205" i="7"/>
  <c r="E206" i="7" s="1"/>
  <c r="I205" i="7"/>
  <c r="Q205" i="7"/>
  <c r="Q206" i="7" s="1"/>
  <c r="U205" i="7"/>
  <c r="U206" i="7" s="1"/>
  <c r="Y205" i="7"/>
  <c r="Y206" i="7" s="1"/>
  <c r="AC205" i="7"/>
  <c r="AK205" i="7"/>
  <c r="AK206" i="7" s="1"/>
  <c r="AO205" i="7"/>
  <c r="AO206" i="7" s="1"/>
  <c r="AS205" i="7"/>
  <c r="AS206" i="7" s="1"/>
  <c r="I140" i="7"/>
  <c r="M140" i="7"/>
  <c r="Q140" i="7"/>
  <c r="U140" i="7"/>
  <c r="Y140" i="7"/>
  <c r="AC140" i="7"/>
  <c r="AG140" i="7"/>
  <c r="AK140" i="7"/>
  <c r="AO140" i="7"/>
  <c r="AS140" i="7"/>
  <c r="AX205" i="7"/>
  <c r="BB205" i="7"/>
  <c r="BF205" i="7"/>
  <c r="BF206" i="7" s="1"/>
  <c r="BN205" i="7"/>
  <c r="BN206" i="7" s="1"/>
  <c r="BR205" i="7"/>
  <c r="BR206" i="7" s="1"/>
  <c r="BV205" i="7"/>
  <c r="BV206" i="7" s="1"/>
  <c r="BZ205" i="7"/>
  <c r="BZ206" i="7" s="1"/>
  <c r="CH205" i="7"/>
  <c r="CH206" i="7" s="1"/>
  <c r="CL205" i="7"/>
  <c r="CL206" i="7" s="1"/>
  <c r="CP205" i="7"/>
  <c r="CP206" i="7" s="1"/>
  <c r="CT205" i="7"/>
  <c r="CT206" i="7" s="1"/>
  <c r="CX138" i="7"/>
  <c r="DB205" i="7"/>
  <c r="DB206" i="7" s="1"/>
  <c r="DF205" i="7"/>
  <c r="DF206" i="7" s="1"/>
  <c r="DJ205" i="7"/>
  <c r="DJ156" i="7"/>
  <c r="DN205" i="7"/>
  <c r="DR138" i="7"/>
  <c r="DV205" i="7"/>
  <c r="E213" i="7"/>
  <c r="E214" i="7" s="1"/>
  <c r="E209" i="7"/>
  <c r="E210" i="7" s="1"/>
  <c r="I213" i="7"/>
  <c r="I209" i="7"/>
  <c r="Q213" i="7"/>
  <c r="Q209" i="7"/>
  <c r="Q144" i="7"/>
  <c r="U213" i="7"/>
  <c r="U209" i="7"/>
  <c r="U144" i="7"/>
  <c r="Y213" i="7"/>
  <c r="Y209" i="7"/>
  <c r="AC213" i="7"/>
  <c r="AC209" i="7"/>
  <c r="AK213" i="7"/>
  <c r="AK209" i="7"/>
  <c r="AK144" i="7"/>
  <c r="AO213" i="7"/>
  <c r="AO209" i="7"/>
  <c r="AO144" i="7"/>
  <c r="AS213" i="7"/>
  <c r="AS209" i="7"/>
  <c r="AS145" i="7"/>
  <c r="AS144" i="7"/>
  <c r="AX213" i="7"/>
  <c r="AX209" i="7"/>
  <c r="CO213" i="7"/>
  <c r="CO209" i="7"/>
  <c r="CO210" i="7" s="1"/>
  <c r="CO144" i="7"/>
  <c r="CS143" i="7"/>
  <c r="CW213" i="7"/>
  <c r="CW209" i="7"/>
  <c r="CW144" i="7"/>
  <c r="DA209" i="7"/>
  <c r="DA210" i="7" s="1"/>
  <c r="DA213" i="7"/>
  <c r="DA144" i="7"/>
  <c r="DF213" i="7"/>
  <c r="DF209" i="7"/>
  <c r="DF210" i="7" s="1"/>
  <c r="DF144" i="7"/>
  <c r="I145" i="7"/>
  <c r="Q145" i="7"/>
  <c r="Y145" i="7"/>
  <c r="AG145" i="7"/>
  <c r="AO145" i="7"/>
  <c r="BJ125" i="7"/>
  <c r="BJ126" i="7" s="1"/>
  <c r="CD125" i="7"/>
  <c r="CD126" i="7" s="1"/>
  <c r="CX125" i="7"/>
  <c r="CX126" i="7" s="1"/>
  <c r="F205" i="7"/>
  <c r="F206" i="7" s="1"/>
  <c r="J205" i="7"/>
  <c r="N205" i="7"/>
  <c r="V205" i="7"/>
  <c r="V206" i="7" s="1"/>
  <c r="Z205" i="7"/>
  <c r="AD205" i="7"/>
  <c r="AH205" i="7"/>
  <c r="AP205" i="7"/>
  <c r="AP206" i="7" s="1"/>
  <c r="AT205" i="7"/>
  <c r="J140" i="7"/>
  <c r="N140" i="7"/>
  <c r="R140" i="7"/>
  <c r="V140" i="7"/>
  <c r="Z140" i="7"/>
  <c r="AD140" i="7"/>
  <c r="AH140" i="7"/>
  <c r="AL140" i="7"/>
  <c r="AP140" i="7"/>
  <c r="AT140" i="7"/>
  <c r="AY205" i="7"/>
  <c r="BC205" i="7"/>
  <c r="BG205" i="7"/>
  <c r="BG206" i="7" s="1"/>
  <c r="BK205" i="7"/>
  <c r="BK206" i="7" s="1"/>
  <c r="BS205" i="7"/>
  <c r="BS206" i="7" s="1"/>
  <c r="BW205" i="7"/>
  <c r="BW206" i="7" s="1"/>
  <c r="CA205" i="7"/>
  <c r="CA206" i="7" s="1"/>
  <c r="CE205" i="7"/>
  <c r="CE206" i="7" s="1"/>
  <c r="CI138" i="7"/>
  <c r="CM205" i="7"/>
  <c r="CM206" i="7" s="1"/>
  <c r="CQ205" i="7"/>
  <c r="CQ206" i="7" s="1"/>
  <c r="CU205" i="7"/>
  <c r="CU206" i="7" s="1"/>
  <c r="CY205" i="7"/>
  <c r="CY206" i="7" s="1"/>
  <c r="DC138" i="7"/>
  <c r="DG205" i="7"/>
  <c r="DG206" i="7" s="1"/>
  <c r="DK205" i="7"/>
  <c r="DO205" i="7"/>
  <c r="DS205" i="7"/>
  <c r="DW138" i="7"/>
  <c r="DJ141" i="7"/>
  <c r="F213" i="7"/>
  <c r="F214" i="7" s="1"/>
  <c r="F209" i="7"/>
  <c r="F210" i="7" s="1"/>
  <c r="J213" i="7"/>
  <c r="J209" i="7"/>
  <c r="J210" i="7" s="1"/>
  <c r="N213" i="7"/>
  <c r="N214" i="7" s="1"/>
  <c r="N209" i="7"/>
  <c r="N210" i="7" s="1"/>
  <c r="V213" i="7"/>
  <c r="V214" i="7" s="1"/>
  <c r="V209" i="7"/>
  <c r="V144" i="7"/>
  <c r="Z213" i="7"/>
  <c r="Z214" i="7" s="1"/>
  <c r="Z209" i="7"/>
  <c r="Z144" i="7"/>
  <c r="AD213" i="7"/>
  <c r="AD214" i="7" s="1"/>
  <c r="AD209" i="7"/>
  <c r="AD210" i="7" s="1"/>
  <c r="AH213" i="7"/>
  <c r="AH209" i="7"/>
  <c r="AH210" i="7" s="1"/>
  <c r="AP213" i="7"/>
  <c r="AP214" i="7" s="1"/>
  <c r="AP209" i="7"/>
  <c r="AP210" i="7" s="1"/>
  <c r="AP144" i="7"/>
  <c r="AT213" i="7"/>
  <c r="AT214" i="7" s="1"/>
  <c r="AT209" i="7"/>
  <c r="AT210" i="7" s="1"/>
  <c r="AT145" i="7"/>
  <c r="CK209" i="7"/>
  <c r="CK210" i="7" s="1"/>
  <c r="CK213" i="7"/>
  <c r="CK144" i="7"/>
  <c r="CP213" i="7"/>
  <c r="CP209" i="7"/>
  <c r="CP210" i="7" s="1"/>
  <c r="CP144" i="7"/>
  <c r="CT213" i="7"/>
  <c r="CT214" i="7" s="1"/>
  <c r="CT209" i="7"/>
  <c r="CT210" i="7" s="1"/>
  <c r="CT144" i="7"/>
  <c r="CX143" i="7"/>
  <c r="DB213" i="7"/>
  <c r="DB214" i="7" s="1"/>
  <c r="DB209" i="7"/>
  <c r="DB210" i="7" s="1"/>
  <c r="DB144" i="7"/>
  <c r="EE143" i="7"/>
  <c r="Y144" i="7"/>
  <c r="J145" i="7"/>
  <c r="R145" i="7"/>
  <c r="Z145" i="7"/>
  <c r="AH145" i="7"/>
  <c r="AP145" i="7"/>
  <c r="BE121" i="7"/>
  <c r="BE122" i="7" s="1"/>
  <c r="BY121" i="7"/>
  <c r="BY122" i="7" s="1"/>
  <c r="CS121" i="7"/>
  <c r="CS122" i="7" s="1"/>
  <c r="G205" i="7"/>
  <c r="G206" i="7" s="1"/>
  <c r="K205" i="7"/>
  <c r="K206" i="7" s="1"/>
  <c r="O205" i="7"/>
  <c r="O206" i="7" s="1"/>
  <c r="S205" i="7"/>
  <c r="S206" i="7" s="1"/>
  <c r="AA205" i="7"/>
  <c r="AE205" i="7"/>
  <c r="AE206" i="7" s="1"/>
  <c r="AI205" i="7"/>
  <c r="AI206" i="7" s="1"/>
  <c r="AM205" i="7"/>
  <c r="AM206" i="7" s="1"/>
  <c r="I139" i="7"/>
  <c r="M139" i="7"/>
  <c r="Q139" i="7"/>
  <c r="U139" i="7"/>
  <c r="Y139" i="7"/>
  <c r="AC139" i="7"/>
  <c r="AG139" i="7"/>
  <c r="AK139" i="7"/>
  <c r="AO139" i="7"/>
  <c r="AS139" i="7"/>
  <c r="K140" i="7"/>
  <c r="O140" i="7"/>
  <c r="S140" i="7"/>
  <c r="W140" i="7"/>
  <c r="AA140" i="7"/>
  <c r="AE140" i="7"/>
  <c r="AI140" i="7"/>
  <c r="AM140" i="7"/>
  <c r="AQ140" i="7"/>
  <c r="AV205" i="7"/>
  <c r="BD205" i="7"/>
  <c r="BH205" i="7"/>
  <c r="BH206" i="7" s="1"/>
  <c r="BL205" i="7"/>
  <c r="BL206" i="7" s="1"/>
  <c r="BP205" i="7"/>
  <c r="BP206" i="7" s="1"/>
  <c r="BX205" i="7"/>
  <c r="BX206" i="7" s="1"/>
  <c r="CB205" i="7"/>
  <c r="CB206" i="7" s="1"/>
  <c r="CF205" i="7"/>
  <c r="CF206" i="7" s="1"/>
  <c r="CJ205" i="7"/>
  <c r="CJ206" i="7" s="1"/>
  <c r="CN138" i="7"/>
  <c r="CR205" i="7"/>
  <c r="CR206" i="7" s="1"/>
  <c r="CV205" i="7"/>
  <c r="CV206" i="7" s="1"/>
  <c r="CZ205" i="7"/>
  <c r="CZ206" i="7" s="1"/>
  <c r="DD205" i="7"/>
  <c r="DD206" i="7" s="1"/>
  <c r="DH138" i="7"/>
  <c r="DL205" i="7"/>
  <c r="DP205" i="7"/>
  <c r="DT205" i="7"/>
  <c r="BB139" i="7"/>
  <c r="BF139" i="7"/>
  <c r="BJ139" i="7"/>
  <c r="BN139" i="7"/>
  <c r="BR139" i="7"/>
  <c r="BV139" i="7"/>
  <c r="BZ139" i="7"/>
  <c r="CD139" i="7"/>
  <c r="CH139" i="7"/>
  <c r="CL139" i="7"/>
  <c r="CP139" i="7"/>
  <c r="CT139" i="7"/>
  <c r="DB139" i="7"/>
  <c r="DF139" i="7"/>
  <c r="DJ139" i="7"/>
  <c r="DN139" i="7"/>
  <c r="DV139" i="7"/>
  <c r="AZ141" i="7"/>
  <c r="G213" i="7"/>
  <c r="G214" i="7" s="1"/>
  <c r="G209" i="7"/>
  <c r="G210" i="7" s="1"/>
  <c r="K213" i="7"/>
  <c r="K209" i="7"/>
  <c r="K210" i="7" s="1"/>
  <c r="K145" i="7"/>
  <c r="K144" i="7"/>
  <c r="O213" i="7"/>
  <c r="O214" i="7" s="1"/>
  <c r="O209" i="7"/>
  <c r="O210" i="7" s="1"/>
  <c r="O145" i="7"/>
  <c r="S213" i="7"/>
  <c r="S209" i="7"/>
  <c r="S210" i="7" s="1"/>
  <c r="S145" i="7"/>
  <c r="W145" i="7"/>
  <c r="AA213" i="7"/>
  <c r="AA214" i="7" s="1"/>
  <c r="AA209" i="7"/>
  <c r="AA145" i="7"/>
  <c r="AA144" i="7"/>
  <c r="AE213" i="7"/>
  <c r="AE209" i="7"/>
  <c r="AE210" i="7" s="1"/>
  <c r="AE145" i="7"/>
  <c r="AE144" i="7"/>
  <c r="AT144" i="7"/>
  <c r="BA213" i="7"/>
  <c r="BA209" i="7"/>
  <c r="BA144" i="7"/>
  <c r="BE144" i="7"/>
  <c r="BI213" i="7"/>
  <c r="BI209" i="7"/>
  <c r="BI210" i="7" s="1"/>
  <c r="BI144" i="7"/>
  <c r="BM213" i="7"/>
  <c r="BM209" i="7"/>
  <c r="BM210" i="7" s="1"/>
  <c r="BM144" i="7"/>
  <c r="BQ213" i="7"/>
  <c r="BQ209" i="7"/>
  <c r="BQ210" i="7" s="1"/>
  <c r="BQ144" i="7"/>
  <c r="BU209" i="7"/>
  <c r="BU210" i="7" s="1"/>
  <c r="BU213" i="7"/>
  <c r="BU144" i="7"/>
  <c r="BY144" i="7"/>
  <c r="CC213" i="7"/>
  <c r="CC209" i="7"/>
  <c r="CC210" i="7" s="1"/>
  <c r="CC144" i="7"/>
  <c r="CG213" i="7"/>
  <c r="CG209" i="7"/>
  <c r="CG210" i="7" s="1"/>
  <c r="CG144" i="7"/>
  <c r="CL213" i="7"/>
  <c r="CL209" i="7"/>
  <c r="CL210" i="7" s="1"/>
  <c r="CL144" i="7"/>
  <c r="DI213" i="7"/>
  <c r="DI209" i="7"/>
  <c r="DI144" i="7"/>
  <c r="DM143" i="7"/>
  <c r="DQ209" i="7"/>
  <c r="DQ213" i="7"/>
  <c r="DQ144" i="7"/>
  <c r="DU213" i="7"/>
  <c r="DU209" i="7"/>
  <c r="DU144" i="7"/>
  <c r="DK144" i="7"/>
  <c r="I144" i="7"/>
  <c r="S144" i="7"/>
  <c r="AC144" i="7"/>
  <c r="M145" i="7"/>
  <c r="U145" i="7"/>
  <c r="AC145" i="7"/>
  <c r="AK145" i="7"/>
  <c r="DU145" i="7"/>
  <c r="D213" i="7"/>
  <c r="D214" i="7" s="1"/>
  <c r="D209" i="7"/>
  <c r="D210" i="7" s="1"/>
  <c r="L213" i="7"/>
  <c r="L209" i="7"/>
  <c r="L210" i="7" s="1"/>
  <c r="P213" i="7"/>
  <c r="P214" i="7" s="1"/>
  <c r="P209" i="7"/>
  <c r="T213" i="7"/>
  <c r="T209" i="7"/>
  <c r="X213" i="7"/>
  <c r="X214" i="7" s="1"/>
  <c r="X209" i="7"/>
  <c r="AF213" i="7"/>
  <c r="AF214" i="7" s="1"/>
  <c r="AF209" i="7"/>
  <c r="AF210" i="7" s="1"/>
  <c r="AJ213" i="7"/>
  <c r="AJ209" i="7"/>
  <c r="AJ210" i="7" s="1"/>
  <c r="AN213" i="7"/>
  <c r="AN209" i="7"/>
  <c r="AR213" i="7"/>
  <c r="AR209" i="7"/>
  <c r="AV213" i="7"/>
  <c r="AV209" i="7"/>
  <c r="AZ143" i="7"/>
  <c r="BD213" i="7"/>
  <c r="BD209" i="7"/>
  <c r="BH213" i="7"/>
  <c r="BH209" i="7"/>
  <c r="BH210" i="7" s="1"/>
  <c r="BL213" i="7"/>
  <c r="BL209" i="7"/>
  <c r="BL210" i="7" s="1"/>
  <c r="BP209" i="7"/>
  <c r="BP210" i="7" s="1"/>
  <c r="BP213" i="7"/>
  <c r="BX213" i="7"/>
  <c r="BX209" i="7"/>
  <c r="BX210" i="7" s="1"/>
  <c r="CB213" i="7"/>
  <c r="CB209" i="7"/>
  <c r="CB210" i="7" s="1"/>
  <c r="CF209" i="7"/>
  <c r="CF210" i="7" s="1"/>
  <c r="CF213" i="7"/>
  <c r="CJ213" i="7"/>
  <c r="CJ209" i="7"/>
  <c r="CJ210" i="7" s="1"/>
  <c r="CN143" i="7"/>
  <c r="CR213" i="7"/>
  <c r="CR209" i="7"/>
  <c r="CR210" i="7" s="1"/>
  <c r="CV209" i="7"/>
  <c r="CV210" i="7" s="1"/>
  <c r="CV213" i="7"/>
  <c r="CZ213" i="7"/>
  <c r="CZ209" i="7"/>
  <c r="DD213" i="7"/>
  <c r="DD209" i="7"/>
  <c r="DD210" i="7" s="1"/>
  <c r="DH143" i="7"/>
  <c r="DL209" i="7"/>
  <c r="DL213" i="7"/>
  <c r="DP213" i="7"/>
  <c r="DP209" i="7"/>
  <c r="DT213" i="7"/>
  <c r="DT209" i="7"/>
  <c r="DX143" i="7"/>
  <c r="L144" i="7"/>
  <c r="AF144" i="7"/>
  <c r="L145" i="7"/>
  <c r="P145" i="7"/>
  <c r="T145" i="7"/>
  <c r="X145" i="7"/>
  <c r="AB145" i="7"/>
  <c r="AF145" i="7"/>
  <c r="AJ145" i="7"/>
  <c r="AN145" i="7"/>
  <c r="DJ149" i="7"/>
  <c r="DD154" i="7"/>
  <c r="DH153" i="7"/>
  <c r="DH154" i="7" s="1"/>
  <c r="DL154" i="7"/>
  <c r="F175" i="7"/>
  <c r="F165" i="7"/>
  <c r="K182" i="7"/>
  <c r="K175" i="7"/>
  <c r="K165" i="7"/>
  <c r="K161" i="7"/>
  <c r="AH182" i="7"/>
  <c r="AH175" i="7"/>
  <c r="AH176" i="7" s="1"/>
  <c r="AH161" i="7"/>
  <c r="AH170" i="7"/>
  <c r="AH171" i="7" s="1"/>
  <c r="AH162" i="7"/>
  <c r="AL160" i="7"/>
  <c r="AL205" i="7" s="1"/>
  <c r="AP175" i="7"/>
  <c r="AP176" i="7" s="1"/>
  <c r="AP182" i="7"/>
  <c r="AP161" i="7"/>
  <c r="AP170" i="7"/>
  <c r="AP171" i="7" s="1"/>
  <c r="AP165" i="7"/>
  <c r="AP162" i="7"/>
  <c r="AT175" i="7"/>
  <c r="AT176" i="7" s="1"/>
  <c r="AT170" i="7"/>
  <c r="AT171" i="7" s="1"/>
  <c r="AT161" i="7"/>
  <c r="AT162" i="7"/>
  <c r="AT165" i="7"/>
  <c r="BA171" i="7"/>
  <c r="BK165" i="7"/>
  <c r="D171" i="7"/>
  <c r="DW153" i="7"/>
  <c r="DW154" i="7" s="1"/>
  <c r="G175" i="7"/>
  <c r="G182" i="7"/>
  <c r="G165" i="7"/>
  <c r="AD175" i="7"/>
  <c r="AD170" i="7"/>
  <c r="AD171" i="7" s="1"/>
  <c r="AD161" i="7"/>
  <c r="AD162" i="7"/>
  <c r="AD165" i="7"/>
  <c r="AI182" i="7"/>
  <c r="AI175" i="7"/>
  <c r="AI162" i="7"/>
  <c r="AI165" i="7"/>
  <c r="AI161" i="7"/>
  <c r="AM182" i="7"/>
  <c r="AM175" i="7"/>
  <c r="AM176" i="7" s="1"/>
  <c r="AM162" i="7"/>
  <c r="AM161" i="7"/>
  <c r="AQ160" i="7"/>
  <c r="AW171" i="7"/>
  <c r="BL165" i="7"/>
  <c r="CA165" i="7"/>
  <c r="DY153" i="7"/>
  <c r="ED153" i="7" s="1"/>
  <c r="EI153" i="7" s="1"/>
  <c r="DT154" i="7"/>
  <c r="DX153" i="7"/>
  <c r="N175" i="7"/>
  <c r="N176" i="7" s="1"/>
  <c r="N170" i="7"/>
  <c r="N171" i="7" s="1"/>
  <c r="N161" i="7"/>
  <c r="N162" i="7"/>
  <c r="R160" i="7"/>
  <c r="R205" i="7" s="1"/>
  <c r="V175" i="7"/>
  <c r="V176" i="7" s="1"/>
  <c r="V170" i="7"/>
  <c r="V171" i="7" s="1"/>
  <c r="V161" i="7"/>
  <c r="V165" i="7"/>
  <c r="V162" i="7"/>
  <c r="Z175" i="7"/>
  <c r="Z176" i="7" s="1"/>
  <c r="Z182" i="7"/>
  <c r="Z161" i="7"/>
  <c r="Z170" i="7"/>
  <c r="Z171" i="7" s="1"/>
  <c r="Z165" i="7"/>
  <c r="Z162" i="7"/>
  <c r="AE175" i="7"/>
  <c r="AE182" i="7"/>
  <c r="AE165" i="7"/>
  <c r="AE161" i="7"/>
  <c r="CQ165" i="7"/>
  <c r="AI213" i="7"/>
  <c r="AI214" i="7" s="1"/>
  <c r="AI209" i="7"/>
  <c r="AI210" i="7" s="1"/>
  <c r="AM213" i="7"/>
  <c r="AM214" i="7" s="1"/>
  <c r="AM209" i="7"/>
  <c r="AM210" i="7" s="1"/>
  <c r="AY213" i="7"/>
  <c r="AY209" i="7"/>
  <c r="BC213" i="7"/>
  <c r="BC214" i="7" s="1"/>
  <c r="BC209" i="7"/>
  <c r="BG213" i="7"/>
  <c r="BG214" i="7" s="1"/>
  <c r="BG209" i="7"/>
  <c r="BG210" i="7" s="1"/>
  <c r="BK209" i="7"/>
  <c r="BK210" i="7" s="1"/>
  <c r="BK213" i="7"/>
  <c r="BK214" i="7" s="1"/>
  <c r="BO209" i="7"/>
  <c r="BS213" i="7"/>
  <c r="BS214" i="7" s="1"/>
  <c r="BS209" i="7"/>
  <c r="BS210" i="7" s="1"/>
  <c r="BW213" i="7"/>
  <c r="BW214" i="7" s="1"/>
  <c r="BW209" i="7"/>
  <c r="BW210" i="7" s="1"/>
  <c r="CA209" i="7"/>
  <c r="CA210" i="7" s="1"/>
  <c r="CA213" i="7"/>
  <c r="CA214" i="7" s="1"/>
  <c r="CE213" i="7"/>
  <c r="CE214" i="7" s="1"/>
  <c r="CE209" i="7"/>
  <c r="CE210" i="7" s="1"/>
  <c r="CI143" i="7"/>
  <c r="CM213" i="7"/>
  <c r="CM214" i="7" s="1"/>
  <c r="CM209" i="7"/>
  <c r="CM210" i="7" s="1"/>
  <c r="CQ209" i="7"/>
  <c r="CQ210" i="7" s="1"/>
  <c r="CQ213" i="7"/>
  <c r="CQ214" i="7" s="1"/>
  <c r="CU213" i="7"/>
  <c r="CU214" i="7" s="1"/>
  <c r="CU209" i="7"/>
  <c r="CU210" i="7" s="1"/>
  <c r="CY213" i="7"/>
  <c r="CY214" i="7" s="1"/>
  <c r="CY209" i="7"/>
  <c r="DC143" i="7"/>
  <c r="DG209" i="7"/>
  <c r="DG210" i="7" s="1"/>
  <c r="DG213" i="7"/>
  <c r="DG214" i="7" s="1"/>
  <c r="DK213" i="7"/>
  <c r="DK214" i="7" s="1"/>
  <c r="DK209" i="7"/>
  <c r="DK210" i="7" s="1"/>
  <c r="DO213" i="7"/>
  <c r="DO214" i="7" s="1"/>
  <c r="DO209" i="7"/>
  <c r="DS213" i="7"/>
  <c r="DS214" i="7" s="1"/>
  <c r="DS209" i="7"/>
  <c r="DW143" i="7"/>
  <c r="AI145" i="7"/>
  <c r="AM145" i="7"/>
  <c r="AQ145" i="7"/>
  <c r="DP154" i="7"/>
  <c r="J175" i="7"/>
  <c r="J176" i="7" s="1"/>
  <c r="J161" i="7"/>
  <c r="J170" i="7"/>
  <c r="J171" i="7" s="1"/>
  <c r="J165" i="7"/>
  <c r="J162" i="7"/>
  <c r="O175" i="7"/>
  <c r="O182" i="7"/>
  <c r="O165" i="7"/>
  <c r="O161" i="7"/>
  <c r="S182" i="7"/>
  <c r="S175" i="7"/>
  <c r="S176" i="7" s="1"/>
  <c r="S161" i="7"/>
  <c r="W160" i="7"/>
  <c r="W205" i="7" s="1"/>
  <c r="W206" i="7" s="1"/>
  <c r="AA175" i="7"/>
  <c r="AA176" i="7" s="1"/>
  <c r="AA182" i="7"/>
  <c r="AA165" i="7"/>
  <c r="AA161" i="7"/>
  <c r="O162" i="7"/>
  <c r="AE162" i="7"/>
  <c r="CW171" i="7"/>
  <c r="DG165" i="7"/>
  <c r="DA171" i="7"/>
  <c r="I176" i="7"/>
  <c r="M160" i="7"/>
  <c r="Y175" i="7"/>
  <c r="AG160" i="7"/>
  <c r="AG205" i="7" s="1"/>
  <c r="I162" i="7"/>
  <c r="Q162" i="7"/>
  <c r="U162" i="7"/>
  <c r="Y162" i="7"/>
  <c r="AC162" i="7"/>
  <c r="AK162" i="7"/>
  <c r="AO162" i="7"/>
  <c r="AS162" i="7"/>
  <c r="AX175" i="7"/>
  <c r="AX170" i="7"/>
  <c r="AX171" i="7" s="1"/>
  <c r="BB175" i="7"/>
  <c r="BB170" i="7"/>
  <c r="BB171" i="7" s="1"/>
  <c r="BF170" i="7"/>
  <c r="BF171" i="7" s="1"/>
  <c r="BF175" i="7"/>
  <c r="BJ160" i="7"/>
  <c r="BJ205" i="7" s="1"/>
  <c r="BN170" i="7"/>
  <c r="BN171" i="7" s="1"/>
  <c r="BN175" i="7"/>
  <c r="BR170" i="7"/>
  <c r="BR171" i="7" s="1"/>
  <c r="BR175" i="7"/>
  <c r="BV170" i="7"/>
  <c r="BV171" i="7" s="1"/>
  <c r="BV175" i="7"/>
  <c r="BZ182" i="7"/>
  <c r="BZ170" i="7"/>
  <c r="BZ171" i="7" s="1"/>
  <c r="BZ175" i="7"/>
  <c r="CD160" i="7"/>
  <c r="CD205" i="7" s="1"/>
  <c r="CH170" i="7"/>
  <c r="CH171" i="7" s="1"/>
  <c r="CH182" i="7"/>
  <c r="CH175" i="7"/>
  <c r="CL170" i="7"/>
  <c r="CL171" i="7" s="1"/>
  <c r="CL175" i="7"/>
  <c r="CP170" i="7"/>
  <c r="CP171" i="7" s="1"/>
  <c r="CP182" i="7"/>
  <c r="CP175" i="7"/>
  <c r="CT182" i="7"/>
  <c r="CT170" i="7"/>
  <c r="CT175" i="7"/>
  <c r="CX160" i="7"/>
  <c r="DB182" i="7"/>
  <c r="DB170" i="7"/>
  <c r="DB171" i="7" s="1"/>
  <c r="DB175" i="7"/>
  <c r="DF170" i="7"/>
  <c r="DF171" i="7" s="1"/>
  <c r="DF182" i="7"/>
  <c r="DF175" i="7"/>
  <c r="DJ182" i="7"/>
  <c r="DJ170" i="7"/>
  <c r="DJ171" i="7" s="1"/>
  <c r="DJ175" i="7"/>
  <c r="DN177" i="7"/>
  <c r="DN178" i="7" s="1"/>
  <c r="DN170" i="7"/>
  <c r="DN182" i="7"/>
  <c r="DN175" i="7"/>
  <c r="DR160" i="7"/>
  <c r="DR177" i="7" s="1"/>
  <c r="DR178" i="7" s="1"/>
  <c r="DV177" i="7"/>
  <c r="DV178" i="7" s="1"/>
  <c r="DV170" i="7"/>
  <c r="DV182" i="7"/>
  <c r="DV175" i="7"/>
  <c r="BB161" i="7"/>
  <c r="BF161" i="7"/>
  <c r="BN161" i="7"/>
  <c r="BR161" i="7"/>
  <c r="BV161" i="7"/>
  <c r="BZ161" i="7"/>
  <c r="CH161" i="7"/>
  <c r="CL161" i="7"/>
  <c r="CP161" i="7"/>
  <c r="CT161" i="7"/>
  <c r="DB161" i="7"/>
  <c r="DF161" i="7"/>
  <c r="DJ161" i="7"/>
  <c r="DN161" i="7"/>
  <c r="DV161" i="7"/>
  <c r="BK162" i="7"/>
  <c r="CA162" i="7"/>
  <c r="CQ162" i="7"/>
  <c r="D165" i="7"/>
  <c r="Y165" i="7"/>
  <c r="AO165" i="7"/>
  <c r="BF165" i="7"/>
  <c r="BP165" i="7"/>
  <c r="BV165" i="7"/>
  <c r="CF165" i="7"/>
  <c r="CL165" i="7"/>
  <c r="CV165" i="7"/>
  <c r="DB165" i="7"/>
  <c r="DL165" i="7"/>
  <c r="S170" i="7"/>
  <c r="S171" i="7" s="1"/>
  <c r="S168" i="7"/>
  <c r="W167" i="7"/>
  <c r="AA170" i="7"/>
  <c r="AA171" i="7" s="1"/>
  <c r="AA168" i="7"/>
  <c r="AE170" i="7"/>
  <c r="AE171" i="7" s="1"/>
  <c r="AE168" i="7"/>
  <c r="AJ170" i="7"/>
  <c r="AJ171" i="7" s="1"/>
  <c r="AJ168" i="7"/>
  <c r="U168" i="7"/>
  <c r="AE169" i="7"/>
  <c r="I170" i="7"/>
  <c r="I171" i="7" s="1"/>
  <c r="Q170" i="7"/>
  <c r="Q171" i="7" s="1"/>
  <c r="Y170" i="7"/>
  <c r="Y171" i="7" s="1"/>
  <c r="AO170" i="7"/>
  <c r="AO171" i="7" s="1"/>
  <c r="K177" i="7"/>
  <c r="K178" i="7" s="1"/>
  <c r="O177" i="7"/>
  <c r="O178" i="7" s="1"/>
  <c r="AC177" i="7"/>
  <c r="AC178" i="7" s="1"/>
  <c r="AC173" i="7"/>
  <c r="AG172" i="7"/>
  <c r="AK177" i="7"/>
  <c r="AK178" i="7" s="1"/>
  <c r="AK173" i="7"/>
  <c r="AO173" i="7"/>
  <c r="AO177" i="7"/>
  <c r="AO178" i="7" s="1"/>
  <c r="AT177" i="7"/>
  <c r="AT178" i="7" s="1"/>
  <c r="AT173" i="7"/>
  <c r="BE167" i="7"/>
  <c r="CF170" i="7"/>
  <c r="CF171" i="7" s="1"/>
  <c r="CF168" i="7"/>
  <c r="CS167" i="7"/>
  <c r="DT169" i="7"/>
  <c r="DT170" i="7"/>
  <c r="DT168" i="7"/>
  <c r="BR168" i="7"/>
  <c r="BZ168" i="7"/>
  <c r="CH168" i="7"/>
  <c r="CP168" i="7"/>
  <c r="DF168" i="7"/>
  <c r="DN168" i="7"/>
  <c r="DV168" i="7"/>
  <c r="CF169" i="7"/>
  <c r="E170" i="7"/>
  <c r="E171" i="7" s="1"/>
  <c r="G177" i="7"/>
  <c r="G178" i="7" s="1"/>
  <c r="BI170" i="7"/>
  <c r="BI171" i="7" s="1"/>
  <c r="CO170" i="7"/>
  <c r="CO171" i="7" s="1"/>
  <c r="DE170" i="7"/>
  <c r="DE171" i="7" s="1"/>
  <c r="DU170" i="7"/>
  <c r="BP177" i="7"/>
  <c r="BP178" i="7" s="1"/>
  <c r="BZ177" i="7"/>
  <c r="BZ178" i="7" s="1"/>
  <c r="CT177" i="7"/>
  <c r="CT178" i="7" s="1"/>
  <c r="CY177" i="7"/>
  <c r="CY178" i="7" s="1"/>
  <c r="DR173" i="7"/>
  <c r="DW173" i="7"/>
  <c r="BH182" i="7"/>
  <c r="AY170" i="7"/>
  <c r="AY171" i="7" s="1"/>
  <c r="AY182" i="7"/>
  <c r="AY175" i="7"/>
  <c r="BD176" i="7" s="1"/>
  <c r="BC182" i="7"/>
  <c r="BC175" i="7"/>
  <c r="BC176" i="7" s="1"/>
  <c r="BC170" i="7"/>
  <c r="BC171" i="7" s="1"/>
  <c r="BG170" i="7"/>
  <c r="BG171" i="7" s="1"/>
  <c r="BG175" i="7"/>
  <c r="BG182" i="7"/>
  <c r="BK182" i="7"/>
  <c r="BK170" i="7"/>
  <c r="BK171" i="7" s="1"/>
  <c r="BK175" i="7"/>
  <c r="BK176" i="7" s="1"/>
  <c r="BO160" i="7"/>
  <c r="BO170" i="7" s="1"/>
  <c r="BO171" i="7" s="1"/>
  <c r="BS170" i="7"/>
  <c r="BS171" i="7" s="1"/>
  <c r="BS182" i="7"/>
  <c r="BS175" i="7"/>
  <c r="BS176" i="7" s="1"/>
  <c r="BW170" i="7"/>
  <c r="BW171" i="7" s="1"/>
  <c r="BW175" i="7"/>
  <c r="CA182" i="7"/>
  <c r="CA170" i="7"/>
  <c r="CA171" i="7" s="1"/>
  <c r="CA175" i="7"/>
  <c r="CA176" i="7" s="1"/>
  <c r="CE182" i="7"/>
  <c r="CE170" i="7"/>
  <c r="CE171" i="7" s="1"/>
  <c r="CE175" i="7"/>
  <c r="CI160" i="7"/>
  <c r="CM170" i="7"/>
  <c r="CM171" i="7" s="1"/>
  <c r="CM182" i="7"/>
  <c r="CM175" i="7"/>
  <c r="CQ170" i="7"/>
  <c r="CQ171" i="7" s="1"/>
  <c r="CQ182" i="7"/>
  <c r="CQ175" i="7"/>
  <c r="CU170" i="7"/>
  <c r="CU171" i="7" s="1"/>
  <c r="CU175" i="7"/>
  <c r="CU176" i="7" s="1"/>
  <c r="CU182" i="7"/>
  <c r="CY170" i="7"/>
  <c r="CY182" i="7"/>
  <c r="CY175" i="7"/>
  <c r="DD176" i="7" s="1"/>
  <c r="DC160" i="7"/>
  <c r="DG170" i="7"/>
  <c r="DG171" i="7" s="1"/>
  <c r="DG182" i="7"/>
  <c r="DG175" i="7"/>
  <c r="DG176" i="7" s="1"/>
  <c r="DK170" i="7"/>
  <c r="DK171" i="7" s="1"/>
  <c r="DK175" i="7"/>
  <c r="DP176" i="7" s="1"/>
  <c r="DK182" i="7"/>
  <c r="DO177" i="7"/>
  <c r="DO178" i="7" s="1"/>
  <c r="DO170" i="7"/>
  <c r="DO171" i="7" s="1"/>
  <c r="DO182" i="7"/>
  <c r="DO175" i="7"/>
  <c r="DO176" i="7" s="1"/>
  <c r="DS177" i="7"/>
  <c r="DS178" i="7" s="1"/>
  <c r="DS170" i="7"/>
  <c r="DS175" i="7"/>
  <c r="DS182" i="7"/>
  <c r="DW160" i="7"/>
  <c r="DW177" i="7" s="1"/>
  <c r="DW178" i="7" s="1"/>
  <c r="BC161" i="7"/>
  <c r="BG161" i="7"/>
  <c r="BK161" i="7"/>
  <c r="BS161" i="7"/>
  <c r="BW161" i="7"/>
  <c r="CA161" i="7"/>
  <c r="CE161" i="7"/>
  <c r="CM161" i="7"/>
  <c r="CQ161" i="7"/>
  <c r="CU161" i="7"/>
  <c r="CY161" i="7"/>
  <c r="DG161" i="7"/>
  <c r="DK161" i="7"/>
  <c r="DO161" i="7"/>
  <c r="DS161" i="7"/>
  <c r="BD162" i="7"/>
  <c r="BH162" i="7"/>
  <c r="BL162" i="7"/>
  <c r="BP162" i="7"/>
  <c r="CB162" i="7"/>
  <c r="CF162" i="7"/>
  <c r="CR162" i="7"/>
  <c r="CV162" i="7"/>
  <c r="CZ162" i="7"/>
  <c r="DL162" i="7"/>
  <c r="DP162" i="7"/>
  <c r="DT162" i="7"/>
  <c r="AV165" i="7"/>
  <c r="BG165" i="7"/>
  <c r="BW165" i="7"/>
  <c r="CB165" i="7"/>
  <c r="CM165" i="7"/>
  <c r="CR165" i="7"/>
  <c r="F170" i="7"/>
  <c r="F171" i="7" s="1"/>
  <c r="O170" i="7"/>
  <c r="O171" i="7" s="1"/>
  <c r="O168" i="7"/>
  <c r="T170" i="7"/>
  <c r="T171" i="7" s="1"/>
  <c r="T168" i="7"/>
  <c r="X170" i="7"/>
  <c r="X171" i="7" s="1"/>
  <c r="X168" i="7"/>
  <c r="AB167" i="7"/>
  <c r="AB209" i="7" s="1"/>
  <c r="AF170" i="7"/>
  <c r="AF171" i="7" s="1"/>
  <c r="AF168" i="7"/>
  <c r="X169" i="7"/>
  <c r="AF169" i="7"/>
  <c r="P177" i="7"/>
  <c r="P178" i="7" s="1"/>
  <c r="T177" i="7"/>
  <c r="T178" i="7" s="1"/>
  <c r="Y177" i="7"/>
  <c r="Y178" i="7" s="1"/>
  <c r="Y173" i="7"/>
  <c r="AD177" i="7"/>
  <c r="AD178" i="7" s="1"/>
  <c r="AD173" i="7"/>
  <c r="AH177" i="7"/>
  <c r="AH178" i="7" s="1"/>
  <c r="AH173" i="7"/>
  <c r="AL172" i="7"/>
  <c r="AP177" i="7"/>
  <c r="AP178" i="7" s="1"/>
  <c r="AP173" i="7"/>
  <c r="AI173" i="7"/>
  <c r="BP170" i="7"/>
  <c r="BP171" i="7" s="1"/>
  <c r="BP168" i="7"/>
  <c r="BT167" i="7"/>
  <c r="BT209" i="7" s="1"/>
  <c r="BX170" i="7"/>
  <c r="BX171" i="7" s="1"/>
  <c r="BX168" i="7"/>
  <c r="CB170" i="7"/>
  <c r="CB171" i="7" s="1"/>
  <c r="CB168" i="7"/>
  <c r="DD170" i="7"/>
  <c r="DD168" i="7"/>
  <c r="DH167" i="7"/>
  <c r="DH168" i="7" s="1"/>
  <c r="DL169" i="7"/>
  <c r="DL170" i="7"/>
  <c r="DL171" i="7" s="1"/>
  <c r="DL168" i="7"/>
  <c r="DP169" i="7"/>
  <c r="DP170" i="7"/>
  <c r="DP171" i="7" s="1"/>
  <c r="DP168" i="7"/>
  <c r="BU168" i="7"/>
  <c r="CC168" i="7"/>
  <c r="DI168" i="7"/>
  <c r="DQ168" i="7"/>
  <c r="BM170" i="7"/>
  <c r="BM171" i="7" s="1"/>
  <c r="CC170" i="7"/>
  <c r="CC171" i="7" s="1"/>
  <c r="DI170" i="7"/>
  <c r="AW177" i="7"/>
  <c r="AW178" i="7" s="1"/>
  <c r="BB177" i="7"/>
  <c r="BB178" i="7" s="1"/>
  <c r="BG177" i="7"/>
  <c r="BG178" i="7" s="1"/>
  <c r="BQ177" i="7"/>
  <c r="BQ178" i="7" s="1"/>
  <c r="BV177" i="7"/>
  <c r="BV178" i="7" s="1"/>
  <c r="CA177" i="7"/>
  <c r="CA178" i="7" s="1"/>
  <c r="CP177" i="7"/>
  <c r="CP178" i="7" s="1"/>
  <c r="CU177" i="7"/>
  <c r="CU178" i="7" s="1"/>
  <c r="DJ177" i="7"/>
  <c r="DJ178" i="7" s="1"/>
  <c r="AZ160" i="7"/>
  <c r="AZ165" i="7" s="1"/>
  <c r="BL175" i="7"/>
  <c r="BL176" i="7" s="1"/>
  <c r="BL177" i="7"/>
  <c r="BL178" i="7" s="1"/>
  <c r="BT160" i="7"/>
  <c r="BX182" i="7"/>
  <c r="BX175" i="7"/>
  <c r="CB176" i="7"/>
  <c r="CJ175" i="7"/>
  <c r="CJ177" i="7"/>
  <c r="CJ178" i="7" s="1"/>
  <c r="CN160" i="7"/>
  <c r="CV176" i="7"/>
  <c r="DH160" i="7"/>
  <c r="DT176" i="7"/>
  <c r="BD161" i="7"/>
  <c r="BH161" i="7"/>
  <c r="BL161" i="7"/>
  <c r="BP161" i="7"/>
  <c r="BX161" i="7"/>
  <c r="CB161" i="7"/>
  <c r="CF161" i="7"/>
  <c r="CJ161" i="7"/>
  <c r="CR161" i="7"/>
  <c r="CV161" i="7"/>
  <c r="CZ161" i="7"/>
  <c r="DD161" i="7"/>
  <c r="DL161" i="7"/>
  <c r="DP161" i="7"/>
  <c r="DT161" i="7"/>
  <c r="BC165" i="7"/>
  <c r="BH165" i="7"/>
  <c r="BS165" i="7"/>
  <c r="BX165" i="7"/>
  <c r="CY165" i="7"/>
  <c r="DD165" i="7"/>
  <c r="DO165" i="7"/>
  <c r="G170" i="7"/>
  <c r="G171" i="7" s="1"/>
  <c r="K170" i="7"/>
  <c r="K171" i="7" s="1"/>
  <c r="K168" i="7"/>
  <c r="P170" i="7"/>
  <c r="P171" i="7" s="1"/>
  <c r="P168" i="7"/>
  <c r="AM170" i="7"/>
  <c r="AM171" i="7" s="1"/>
  <c r="AM168" i="7"/>
  <c r="AQ167" i="7"/>
  <c r="AQ209" i="7" s="1"/>
  <c r="Y168" i="7"/>
  <c r="K169" i="7"/>
  <c r="U171" i="7"/>
  <c r="AC171" i="7"/>
  <c r="AK171" i="7"/>
  <c r="AS171" i="7"/>
  <c r="I177" i="7"/>
  <c r="I178" i="7" s="1"/>
  <c r="I173" i="7"/>
  <c r="M172" i="7"/>
  <c r="Q177" i="7"/>
  <c r="Q178" i="7" s="1"/>
  <c r="Q173" i="7"/>
  <c r="U173" i="7"/>
  <c r="U177" i="7"/>
  <c r="U178" i="7" s="1"/>
  <c r="Z177" i="7"/>
  <c r="Z178" i="7" s="1"/>
  <c r="Z173" i="7"/>
  <c r="AE177" i="7"/>
  <c r="AE178" i="7" s="1"/>
  <c r="AI177" i="7"/>
  <c r="AI178" i="7" s="1"/>
  <c r="BL170" i="7"/>
  <c r="BL171" i="7" s="1"/>
  <c r="BL168" i="7"/>
  <c r="BY167" i="7"/>
  <c r="CZ170" i="7"/>
  <c r="CZ171" i="7" s="1"/>
  <c r="CZ168" i="7"/>
  <c r="DM167" i="7"/>
  <c r="BV168" i="7"/>
  <c r="CL168" i="7"/>
  <c r="DJ168" i="7"/>
  <c r="BL169" i="7"/>
  <c r="CB169" i="7"/>
  <c r="E177" i="7"/>
  <c r="E178" i="7" s="1"/>
  <c r="BQ170" i="7"/>
  <c r="BQ171" i="7" s="1"/>
  <c r="CG170" i="7"/>
  <c r="CG171" i="7" s="1"/>
  <c r="AX177" i="7"/>
  <c r="AX178" i="7" s="1"/>
  <c r="BC177" i="7"/>
  <c r="BC178" i="7" s="1"/>
  <c r="CQ177" i="7"/>
  <c r="CQ178" i="7" s="1"/>
  <c r="DF177" i="7"/>
  <c r="DF178" i="7" s="1"/>
  <c r="DK177" i="7"/>
  <c r="DK178" i="7" s="1"/>
  <c r="DU177" i="7"/>
  <c r="DU178" i="7" s="1"/>
  <c r="H160" i="7"/>
  <c r="H165" i="7" s="1"/>
  <c r="L175" i="7"/>
  <c r="L176" i="7" s="1"/>
  <c r="L165" i="7"/>
  <c r="P175" i="7"/>
  <c r="P176" i="7" s="1"/>
  <c r="P165" i="7"/>
  <c r="T175" i="7"/>
  <c r="T165" i="7"/>
  <c r="X175" i="7"/>
  <c r="X176" i="7" s="1"/>
  <c r="AB160" i="7"/>
  <c r="AF175" i="7"/>
  <c r="AF165" i="7"/>
  <c r="AJ175" i="7"/>
  <c r="AO176" i="7" s="1"/>
  <c r="AJ165" i="7"/>
  <c r="AN175" i="7"/>
  <c r="AN176" i="7" s="1"/>
  <c r="AN165" i="7"/>
  <c r="AR177" i="7"/>
  <c r="AR178" i="7" s="1"/>
  <c r="AR175" i="7"/>
  <c r="AR176" i="7" s="1"/>
  <c r="L162" i="7"/>
  <c r="P162" i="7"/>
  <c r="T162" i="7"/>
  <c r="X162" i="7"/>
  <c r="AF162" i="7"/>
  <c r="AJ162" i="7"/>
  <c r="AN162" i="7"/>
  <c r="AR162" i="7"/>
  <c r="AW175" i="7"/>
  <c r="AW165" i="7"/>
  <c r="BA175" i="7"/>
  <c r="BA176" i="7" s="1"/>
  <c r="BA165" i="7"/>
  <c r="BE160" i="7"/>
  <c r="BI175" i="7"/>
  <c r="BI176" i="7" s="1"/>
  <c r="BI165" i="7"/>
  <c r="BM175" i="7"/>
  <c r="BM176" i="7" s="1"/>
  <c r="BM177" i="7"/>
  <c r="BM178" i="7" s="1"/>
  <c r="BM165" i="7"/>
  <c r="BQ175" i="7"/>
  <c r="BQ176" i="7" s="1"/>
  <c r="BQ165" i="7"/>
  <c r="BU175" i="7"/>
  <c r="BU176" i="7" s="1"/>
  <c r="BU177" i="7"/>
  <c r="BU178" i="7" s="1"/>
  <c r="BU165" i="7"/>
  <c r="BY160" i="7"/>
  <c r="CC182" i="7"/>
  <c r="CC175" i="7"/>
  <c r="CC165" i="7"/>
  <c r="CG175" i="7"/>
  <c r="CG176" i="7" s="1"/>
  <c r="CG165" i="7"/>
  <c r="CK175" i="7"/>
  <c r="CK176" i="7" s="1"/>
  <c r="CK177" i="7"/>
  <c r="CK178" i="7" s="1"/>
  <c r="CK165" i="7"/>
  <c r="CO175" i="7"/>
  <c r="CO177" i="7"/>
  <c r="CO178" i="7" s="1"/>
  <c r="CO165" i="7"/>
  <c r="CS160" i="7"/>
  <c r="CW175" i="7"/>
  <c r="CW176" i="7" s="1"/>
  <c r="CW177" i="7"/>
  <c r="CW178" i="7" s="1"/>
  <c r="CW165" i="7"/>
  <c r="DA175" i="7"/>
  <c r="DA176" i="7" s="1"/>
  <c r="DA177" i="7"/>
  <c r="DA178" i="7" s="1"/>
  <c r="DA165" i="7"/>
  <c r="DE175" i="7"/>
  <c r="DE176" i="7" s="1"/>
  <c r="DE177" i="7"/>
  <c r="DE178" i="7" s="1"/>
  <c r="DE165" i="7"/>
  <c r="DI175" i="7"/>
  <c r="DI177" i="7"/>
  <c r="DI178" i="7" s="1"/>
  <c r="DI165" i="7"/>
  <c r="DM160" i="7"/>
  <c r="DQ175" i="7"/>
  <c r="DQ176" i="7" s="1"/>
  <c r="DQ165" i="7"/>
  <c r="DU175" i="7"/>
  <c r="DU176" i="7" s="1"/>
  <c r="BA161" i="7"/>
  <c r="BI161" i="7"/>
  <c r="BM161" i="7"/>
  <c r="BQ161" i="7"/>
  <c r="BU161" i="7"/>
  <c r="CC161" i="7"/>
  <c r="CG161" i="7"/>
  <c r="CK161" i="7"/>
  <c r="CO161" i="7"/>
  <c r="CW161" i="7"/>
  <c r="DA161" i="7"/>
  <c r="DE161" i="7"/>
  <c r="DI161" i="7"/>
  <c r="DQ161" i="7"/>
  <c r="DU161" i="7"/>
  <c r="AY165" i="7"/>
  <c r="BD165" i="7"/>
  <c r="CE165" i="7"/>
  <c r="CJ165" i="7"/>
  <c r="CU165" i="7"/>
  <c r="CZ165" i="7"/>
  <c r="DK165" i="7"/>
  <c r="DP165" i="7"/>
  <c r="H167" i="7"/>
  <c r="H170" i="7" s="1"/>
  <c r="H171" i="7" s="1"/>
  <c r="L170" i="7"/>
  <c r="L171" i="7" s="1"/>
  <c r="L168" i="7"/>
  <c r="AI170" i="7"/>
  <c r="AI171" i="7" s="1"/>
  <c r="AI168" i="7"/>
  <c r="AN170" i="7"/>
  <c r="AN171" i="7" s="1"/>
  <c r="AN168" i="7"/>
  <c r="AR170" i="7"/>
  <c r="AR171" i="7" s="1"/>
  <c r="AR168" i="7"/>
  <c r="L169" i="7"/>
  <c r="T169" i="7"/>
  <c r="AR169" i="7"/>
  <c r="J177" i="7"/>
  <c r="J178" i="7" s="1"/>
  <c r="J173" i="7"/>
  <c r="N177" i="7"/>
  <c r="N178" i="7" s="1"/>
  <c r="N173" i="7"/>
  <c r="R172" i="7"/>
  <c r="V177" i="7"/>
  <c r="V178" i="7" s="1"/>
  <c r="V173" i="7"/>
  <c r="AJ177" i="7"/>
  <c r="AJ178" i="7" s="1"/>
  <c r="AN177" i="7"/>
  <c r="AN178" i="7" s="1"/>
  <c r="AS177" i="7"/>
  <c r="AS178" i="7" s="1"/>
  <c r="AS173" i="7"/>
  <c r="O173" i="7"/>
  <c r="AE173" i="7"/>
  <c r="AM173" i="7"/>
  <c r="AV170" i="7"/>
  <c r="AV171" i="7" s="1"/>
  <c r="AZ167" i="7"/>
  <c r="AZ170" i="7" s="1"/>
  <c r="AZ171" i="7" s="1"/>
  <c r="BD170" i="7"/>
  <c r="BD171" i="7" s="1"/>
  <c r="BD168" i="7"/>
  <c r="BH170" i="7"/>
  <c r="BH171" i="7" s="1"/>
  <c r="BH168" i="7"/>
  <c r="CI167" i="7"/>
  <c r="CJ170" i="7"/>
  <c r="CJ171" i="7" s="1"/>
  <c r="CJ168" i="7"/>
  <c r="CN167" i="7"/>
  <c r="CR170" i="7"/>
  <c r="CR171" i="7" s="1"/>
  <c r="CR168" i="7"/>
  <c r="CV170" i="7"/>
  <c r="CV171" i="7" s="1"/>
  <c r="CV168" i="7"/>
  <c r="DW167" i="7"/>
  <c r="BA168" i="7"/>
  <c r="BI168" i="7"/>
  <c r="BQ168" i="7"/>
  <c r="CG168" i="7"/>
  <c r="CO168" i="7"/>
  <c r="CW168" i="7"/>
  <c r="DU168" i="7"/>
  <c r="BO169" i="7"/>
  <c r="F177" i="7"/>
  <c r="F178" i="7" s="1"/>
  <c r="BU170" i="7"/>
  <c r="BU171" i="7" s="1"/>
  <c r="CK170" i="7"/>
  <c r="CK171" i="7" s="1"/>
  <c r="DQ170" i="7"/>
  <c r="DQ171" i="7" s="1"/>
  <c r="DB177" i="7"/>
  <c r="DB178" i="7" s="1"/>
  <c r="DG177" i="7"/>
  <c r="DG178" i="7" s="1"/>
  <c r="DL177" i="7"/>
  <c r="DL178" i="7" s="1"/>
  <c r="DQ177" i="7"/>
  <c r="DQ178" i="7" s="1"/>
  <c r="F182" i="7"/>
  <c r="R167" i="7"/>
  <c r="R209" i="7" s="1"/>
  <c r="AL167" i="7"/>
  <c r="L177" i="7"/>
  <c r="L178" i="7" s="1"/>
  <c r="X177" i="7"/>
  <c r="X178" i="7" s="1"/>
  <c r="AB172" i="7"/>
  <c r="AF177" i="7"/>
  <c r="AF178" i="7" s="1"/>
  <c r="BB169" i="7"/>
  <c r="BF169" i="7"/>
  <c r="BN169" i="7"/>
  <c r="BR169" i="7"/>
  <c r="BV169" i="7"/>
  <c r="BZ169" i="7"/>
  <c r="CH169" i="7"/>
  <c r="CL169" i="7"/>
  <c r="CP169" i="7"/>
  <c r="CT169" i="7"/>
  <c r="BA177" i="7"/>
  <c r="BA178" i="7" s="1"/>
  <c r="BE172" i="7"/>
  <c r="BI177" i="7"/>
  <c r="BI178" i="7" s="1"/>
  <c r="BY172" i="7"/>
  <c r="CC177" i="7"/>
  <c r="CC178" i="7" s="1"/>
  <c r="CG177" i="7"/>
  <c r="CG178" i="7" s="1"/>
  <c r="CS172" i="7"/>
  <c r="DQ173" i="7"/>
  <c r="DU173" i="7"/>
  <c r="BA173" i="7"/>
  <c r="BI173" i="7"/>
  <c r="BQ173" i="7"/>
  <c r="CC173" i="7"/>
  <c r="CG173" i="7"/>
  <c r="CR177" i="7"/>
  <c r="CR178" i="7" s="1"/>
  <c r="CV177" i="7"/>
  <c r="CV178" i="7" s="1"/>
  <c r="CZ177" i="7"/>
  <c r="CZ178" i="7" s="1"/>
  <c r="DD177" i="7"/>
  <c r="DD178" i="7" s="1"/>
  <c r="DP177" i="7"/>
  <c r="DP178" i="7" s="1"/>
  <c r="DT177" i="7"/>
  <c r="DT178" i="7" s="1"/>
  <c r="BH177" i="7"/>
  <c r="BH178" i="7" s="1"/>
  <c r="D182" i="7"/>
  <c r="I181" i="7"/>
  <c r="I182" i="7"/>
  <c r="M180" i="7"/>
  <c r="Q181" i="7"/>
  <c r="Q182" i="7"/>
  <c r="U181" i="7"/>
  <c r="U182" i="7"/>
  <c r="Z181" i="7"/>
  <c r="AQ180" i="7"/>
  <c r="AR182" i="7"/>
  <c r="BL182" i="7"/>
  <c r="BQ182" i="7"/>
  <c r="BU182" i="7"/>
  <c r="BY180" i="7"/>
  <c r="CH181" i="7"/>
  <c r="BU181" i="7"/>
  <c r="CK181" i="7"/>
  <c r="CZ182" i="7"/>
  <c r="CZ181" i="7"/>
  <c r="DE182" i="7"/>
  <c r="DI182" i="7"/>
  <c r="DQ182" i="7"/>
  <c r="DU182" i="7"/>
  <c r="DN181" i="7"/>
  <c r="DV181" i="7"/>
  <c r="AV182" i="7"/>
  <c r="BD182" i="7"/>
  <c r="K185" i="7"/>
  <c r="K190" i="7"/>
  <c r="K191" i="7" s="1"/>
  <c r="AI190" i="7"/>
  <c r="AI191" i="7" s="1"/>
  <c r="AI185" i="7"/>
  <c r="AI192" i="7"/>
  <c r="AI193" i="7" s="1"/>
  <c r="BL190" i="7"/>
  <c r="BL185" i="7"/>
  <c r="CJ190" i="7"/>
  <c r="CJ185" i="7"/>
  <c r="CN184" i="7"/>
  <c r="CN192" i="7" s="1"/>
  <c r="CN193" i="7" s="1"/>
  <c r="CR190" i="7"/>
  <c r="CR185" i="7"/>
  <c r="DP192" i="7"/>
  <c r="DP193" i="7" s="1"/>
  <c r="DP190" i="7"/>
  <c r="DP185" i="7"/>
  <c r="CO185" i="7"/>
  <c r="DU185" i="7"/>
  <c r="BF177" i="7"/>
  <c r="BF178" i="7" s="1"/>
  <c r="BJ172" i="7"/>
  <c r="BN177" i="7"/>
  <c r="BN178" i="7" s="1"/>
  <c r="BR177" i="7"/>
  <c r="BR178" i="7" s="1"/>
  <c r="CD172" i="7"/>
  <c r="CH177" i="7"/>
  <c r="CH178" i="7" s="1"/>
  <c r="CL177" i="7"/>
  <c r="CL178" i="7" s="1"/>
  <c r="CX172" i="7"/>
  <c r="BB173" i="7"/>
  <c r="BF173" i="7"/>
  <c r="BN173" i="7"/>
  <c r="BR173" i="7"/>
  <c r="BV173" i="7"/>
  <c r="BZ173" i="7"/>
  <c r="CH173" i="7"/>
  <c r="CL173" i="7"/>
  <c r="CP173" i="7"/>
  <c r="CT173" i="7"/>
  <c r="DB173" i="7"/>
  <c r="DF173" i="7"/>
  <c r="CE177" i="7"/>
  <c r="CE178" i="7" s="1"/>
  <c r="E182" i="7"/>
  <c r="J181" i="7"/>
  <c r="R180" i="7"/>
  <c r="AF182" i="7"/>
  <c r="AJ182" i="7"/>
  <c r="AN182" i="7"/>
  <c r="AS181" i="7"/>
  <c r="AS182" i="7"/>
  <c r="O181" i="7"/>
  <c r="BM182" i="7"/>
  <c r="BR181" i="7"/>
  <c r="BV182" i="7"/>
  <c r="CJ182" i="7"/>
  <c r="CN180" i="7"/>
  <c r="BH181" i="7"/>
  <c r="CR182" i="7"/>
  <c r="CR181" i="7"/>
  <c r="CV182" i="7"/>
  <c r="CV181" i="7"/>
  <c r="DA182" i="7"/>
  <c r="DA181" i="7"/>
  <c r="J182" i="7"/>
  <c r="L191" i="7"/>
  <c r="AE190" i="7"/>
  <c r="AE191" i="7" s="1"/>
  <c r="AE185" i="7"/>
  <c r="BH190" i="7"/>
  <c r="BH185" i="7"/>
  <c r="CF190" i="7"/>
  <c r="CF185" i="7"/>
  <c r="DD190" i="7"/>
  <c r="DD185" i="7"/>
  <c r="DH184" i="7"/>
  <c r="DL190" i="7"/>
  <c r="DL192" i="7"/>
  <c r="DL193" i="7" s="1"/>
  <c r="DL185" i="7"/>
  <c r="BM185" i="7"/>
  <c r="DI185" i="7"/>
  <c r="I192" i="7"/>
  <c r="I193" i="7" s="1"/>
  <c r="N189" i="7"/>
  <c r="M188" i="7"/>
  <c r="M189" i="7" s="1"/>
  <c r="I189" i="7"/>
  <c r="AB196" i="7"/>
  <c r="AY177" i="7"/>
  <c r="AY178" i="7" s="1"/>
  <c r="BK177" i="7"/>
  <c r="BK178" i="7" s="1"/>
  <c r="BO172" i="7"/>
  <c r="BS177" i="7"/>
  <c r="BS178" i="7" s="1"/>
  <c r="BW177" i="7"/>
  <c r="BW178" i="7" s="1"/>
  <c r="CI172" i="7"/>
  <c r="CM177" i="7"/>
  <c r="CM178" i="7" s="1"/>
  <c r="DC172" i="7"/>
  <c r="DO173" i="7"/>
  <c r="BC173" i="7"/>
  <c r="BG173" i="7"/>
  <c r="BK173" i="7"/>
  <c r="BS173" i="7"/>
  <c r="BW173" i="7"/>
  <c r="CA173" i="7"/>
  <c r="CM173" i="7"/>
  <c r="CQ173" i="7"/>
  <c r="CU173" i="7"/>
  <c r="CY173" i="7"/>
  <c r="DG173" i="7"/>
  <c r="CF177" i="7"/>
  <c r="CF178" i="7" s="1"/>
  <c r="W180" i="7"/>
  <c r="X182" i="7"/>
  <c r="AC181" i="7"/>
  <c r="AC182" i="7"/>
  <c r="AG180" i="7"/>
  <c r="AK181" i="7"/>
  <c r="AK182" i="7"/>
  <c r="AO181" i="7"/>
  <c r="AO182" i="7"/>
  <c r="AT181" i="7"/>
  <c r="AW182" i="7"/>
  <c r="BA182" i="7"/>
  <c r="BE180" i="7"/>
  <c r="BI182" i="7"/>
  <c r="BN181" i="7"/>
  <c r="BW182" i="7"/>
  <c r="CF182" i="7"/>
  <c r="CK182" i="7"/>
  <c r="BA181" i="7"/>
  <c r="BI181" i="7"/>
  <c r="CO182" i="7"/>
  <c r="CS180" i="7"/>
  <c r="CW182" i="7"/>
  <c r="CT181" i="7"/>
  <c r="DB181" i="7"/>
  <c r="I191" i="7"/>
  <c r="N191" i="7"/>
  <c r="S190" i="7"/>
  <c r="S185" i="7"/>
  <c r="W184" i="7"/>
  <c r="AA190" i="7"/>
  <c r="AA185" i="7"/>
  <c r="AE186" i="7"/>
  <c r="AZ184" i="7"/>
  <c r="BD190" i="7"/>
  <c r="BD185" i="7"/>
  <c r="CB190" i="7"/>
  <c r="CB185" i="7"/>
  <c r="CZ190" i="7"/>
  <c r="CZ185" i="7"/>
  <c r="BA185" i="7"/>
  <c r="CG185" i="7"/>
  <c r="J189" i="7"/>
  <c r="E192" i="7"/>
  <c r="E193" i="7" s="1"/>
  <c r="AV192" i="7"/>
  <c r="AV193" i="7" s="1"/>
  <c r="BD192" i="7"/>
  <c r="BD193" i="7" s="1"/>
  <c r="BH192" i="7"/>
  <c r="BH193" i="7" s="1"/>
  <c r="BP192" i="7"/>
  <c r="BP193" i="7" s="1"/>
  <c r="BX192" i="7"/>
  <c r="BX193" i="7" s="1"/>
  <c r="CB192" i="7"/>
  <c r="CB193" i="7" s="1"/>
  <c r="CF192" i="7"/>
  <c r="CF193" i="7" s="1"/>
  <c r="CV192" i="7"/>
  <c r="CV193" i="7" s="1"/>
  <c r="CZ192" i="7"/>
  <c r="CZ193" i="7" s="1"/>
  <c r="DD192" i="7"/>
  <c r="DD193" i="7" s="1"/>
  <c r="M167" i="7"/>
  <c r="AG167" i="7"/>
  <c r="S177" i="7"/>
  <c r="S178" i="7" s="1"/>
  <c r="W172" i="7"/>
  <c r="AA177" i="7"/>
  <c r="AA178" i="7" s="1"/>
  <c r="AM177" i="7"/>
  <c r="AM178" i="7" s="1"/>
  <c r="AQ172" i="7"/>
  <c r="BJ167" i="7"/>
  <c r="BO168" i="7" s="1"/>
  <c r="CD167" i="7"/>
  <c r="CD209" i="7" s="1"/>
  <c r="CX167" i="7"/>
  <c r="DR167" i="7"/>
  <c r="DG168" i="7"/>
  <c r="D177" i="7"/>
  <c r="D178" i="7" s="1"/>
  <c r="H172" i="7"/>
  <c r="AV177" i="7"/>
  <c r="AV178" i="7" s="1"/>
  <c r="AZ172" i="7"/>
  <c r="BD177" i="7"/>
  <c r="BD178" i="7" s="1"/>
  <c r="BT172" i="7"/>
  <c r="BX177" i="7"/>
  <c r="BX178" i="7" s="1"/>
  <c r="CB177" i="7"/>
  <c r="CB178" i="7" s="1"/>
  <c r="CN172" i="7"/>
  <c r="DH172" i="7"/>
  <c r="BD173" i="7"/>
  <c r="BP173" i="7"/>
  <c r="BX173" i="7"/>
  <c r="CB173" i="7"/>
  <c r="L182" i="7"/>
  <c r="P182" i="7"/>
  <c r="T182" i="7"/>
  <c r="Y181" i="7"/>
  <c r="Y182" i="7"/>
  <c r="AD181" i="7"/>
  <c r="AH181" i="7"/>
  <c r="AL180" i="7"/>
  <c r="AP181" i="7"/>
  <c r="K181" i="7"/>
  <c r="S181" i="7"/>
  <c r="AA181" i="7"/>
  <c r="AI181" i="7"/>
  <c r="AX182" i="7"/>
  <c r="BB181" i="7"/>
  <c r="BF181" i="7"/>
  <c r="BP182" i="7"/>
  <c r="BT180" i="7"/>
  <c r="CB182" i="7"/>
  <c r="CG182" i="7"/>
  <c r="CB181" i="7"/>
  <c r="CJ181" i="7"/>
  <c r="DC180" i="7"/>
  <c r="DD182" i="7"/>
  <c r="DD181" i="7"/>
  <c r="DH180" i="7"/>
  <c r="DL182" i="7"/>
  <c r="DL181" i="7"/>
  <c r="DP182" i="7"/>
  <c r="DP181" i="7"/>
  <c r="DT182" i="7"/>
  <c r="DT181" i="7"/>
  <c r="CO181" i="7"/>
  <c r="CW181" i="7"/>
  <c r="DU181" i="7"/>
  <c r="N182" i="7"/>
  <c r="V182" i="7"/>
  <c r="AD182" i="7"/>
  <c r="AT182" i="7"/>
  <c r="J191" i="7"/>
  <c r="O190" i="7"/>
  <c r="O191" i="7" s="1"/>
  <c r="O185" i="7"/>
  <c r="AH191" i="7"/>
  <c r="AM190" i="7"/>
  <c r="AM185" i="7"/>
  <c r="AQ184" i="7"/>
  <c r="AQ213" i="7" s="1"/>
  <c r="S186" i="7"/>
  <c r="BP190" i="7"/>
  <c r="BP185" i="7"/>
  <c r="BT184" i="7"/>
  <c r="BX190" i="7"/>
  <c r="BX185" i="7"/>
  <c r="CV190" i="7"/>
  <c r="CV185" i="7"/>
  <c r="DT190" i="7"/>
  <c r="DT185" i="7"/>
  <c r="BU185" i="7"/>
  <c r="CK185" i="7"/>
  <c r="DA185" i="7"/>
  <c r="DQ185" i="7"/>
  <c r="DT192" i="7"/>
  <c r="DT193" i="7" s="1"/>
  <c r="H180" i="7"/>
  <c r="H182" i="7" s="1"/>
  <c r="AB180" i="7"/>
  <c r="BO180" i="7"/>
  <c r="CI180" i="7"/>
  <c r="BW181" i="7"/>
  <c r="BB182" i="7"/>
  <c r="BF182" i="7"/>
  <c r="BN182" i="7"/>
  <c r="BR182" i="7"/>
  <c r="CL182" i="7"/>
  <c r="R184" i="7"/>
  <c r="AL184" i="7"/>
  <c r="AL213" i="7" s="1"/>
  <c r="L185" i="7"/>
  <c r="P185" i="7"/>
  <c r="T185" i="7"/>
  <c r="X185" i="7"/>
  <c r="AF185" i="7"/>
  <c r="AJ185" i="7"/>
  <c r="AN185" i="7"/>
  <c r="AR185" i="7"/>
  <c r="J186" i="7"/>
  <c r="N186" i="7"/>
  <c r="AD186" i="7"/>
  <c r="AH186" i="7"/>
  <c r="AT186" i="7"/>
  <c r="BO184" i="7"/>
  <c r="CI184" i="7"/>
  <c r="DC184" i="7"/>
  <c r="L192" i="7"/>
  <c r="L193" i="7" s="1"/>
  <c r="AF192" i="7"/>
  <c r="AF193" i="7" s="1"/>
  <c r="Q189" i="7"/>
  <c r="U189" i="7"/>
  <c r="Y189" i="7"/>
  <c r="AC189" i="7"/>
  <c r="AK189" i="7"/>
  <c r="AO189" i="7"/>
  <c r="T190" i="7"/>
  <c r="Y190" i="7"/>
  <c r="AJ190" i="7"/>
  <c r="AO190" i="7"/>
  <c r="AR189" i="7"/>
  <c r="AY192" i="7"/>
  <c r="AY193" i="7" s="1"/>
  <c r="BC192" i="7"/>
  <c r="BC193" i="7" s="1"/>
  <c r="BG192" i="7"/>
  <c r="BG193" i="7" s="1"/>
  <c r="BK192" i="7"/>
  <c r="BK193" i="7" s="1"/>
  <c r="BO192" i="7"/>
  <c r="BO193" i="7" s="1"/>
  <c r="BS192" i="7"/>
  <c r="BS193" i="7" s="1"/>
  <c r="BW192" i="7"/>
  <c r="BW193" i="7" s="1"/>
  <c r="CA192" i="7"/>
  <c r="CA193" i="7" s="1"/>
  <c r="CE192" i="7"/>
  <c r="CE193" i="7" s="1"/>
  <c r="CI192" i="7"/>
  <c r="CI193" i="7" s="1"/>
  <c r="CM192" i="7"/>
  <c r="CM193" i="7" s="1"/>
  <c r="CQ192" i="7"/>
  <c r="CQ193" i="7" s="1"/>
  <c r="CU192" i="7"/>
  <c r="CU193" i="7" s="1"/>
  <c r="CY192" i="7"/>
  <c r="CY193" i="7" s="1"/>
  <c r="DC192" i="7"/>
  <c r="DC193" i="7" s="1"/>
  <c r="DG192" i="7"/>
  <c r="DG193" i="7" s="1"/>
  <c r="DP189" i="7"/>
  <c r="DO189" i="7"/>
  <c r="DU190" i="7"/>
  <c r="BU190" i="7"/>
  <c r="BZ190" i="7"/>
  <c r="CK190" i="7"/>
  <c r="CP190" i="7"/>
  <c r="DA190" i="7"/>
  <c r="DF190" i="7"/>
  <c r="DH188" i="7"/>
  <c r="K192" i="7"/>
  <c r="K193" i="7" s="1"/>
  <c r="S192" i="7"/>
  <c r="S193" i="7" s="1"/>
  <c r="Y192" i="7"/>
  <c r="Y193" i="7" s="1"/>
  <c r="AE192" i="7"/>
  <c r="AE193" i="7" s="1"/>
  <c r="AM192" i="7"/>
  <c r="AM193" i="7" s="1"/>
  <c r="AW192" i="7"/>
  <c r="AW193" i="7" s="1"/>
  <c r="BM192" i="7"/>
  <c r="BM193" i="7" s="1"/>
  <c r="CC192" i="7"/>
  <c r="CC193" i="7" s="1"/>
  <c r="DI192" i="7"/>
  <c r="DI193" i="7" s="1"/>
  <c r="DN192" i="7"/>
  <c r="DN193" i="7" s="1"/>
  <c r="K196" i="7"/>
  <c r="AA196" i="7"/>
  <c r="DN196" i="7"/>
  <c r="DR196" i="7"/>
  <c r="DV196" i="7"/>
  <c r="CX198" i="7"/>
  <c r="CX199" i="7" s="1"/>
  <c r="DD199" i="7"/>
  <c r="DR198" i="7"/>
  <c r="DW198" i="7"/>
  <c r="R200" i="7"/>
  <c r="W200" i="7"/>
  <c r="AB200" i="7"/>
  <c r="AO201" i="7"/>
  <c r="M202" i="7"/>
  <c r="M203" i="7" s="1"/>
  <c r="Q203" i="7"/>
  <c r="AS203" i="7"/>
  <c r="N203" i="7"/>
  <c r="V203" i="7"/>
  <c r="BH199" i="7"/>
  <c r="BB201" i="7"/>
  <c r="BF201" i="7"/>
  <c r="BO200" i="7"/>
  <c r="BT200" i="7"/>
  <c r="BY200" i="7"/>
  <c r="CH201" i="7"/>
  <c r="DF201" i="7"/>
  <c r="AG188" i="7"/>
  <c r="AG189" i="7" s="1"/>
  <c r="V189" i="7"/>
  <c r="Z189" i="7"/>
  <c r="AH189" i="7"/>
  <c r="AP189" i="7"/>
  <c r="P190" i="7"/>
  <c r="P191" i="7" s="1"/>
  <c r="U190" i="7"/>
  <c r="AF190" i="7"/>
  <c r="AK190" i="7"/>
  <c r="AR192" i="7"/>
  <c r="AR193" i="7" s="1"/>
  <c r="AT189" i="7"/>
  <c r="DM188" i="7"/>
  <c r="DQ189" i="7"/>
  <c r="DV189" i="7"/>
  <c r="DQ190" i="7"/>
  <c r="DQ191" i="7" s="1"/>
  <c r="BA190" i="7"/>
  <c r="BQ190" i="7"/>
  <c r="CG190" i="7"/>
  <c r="CW190" i="7"/>
  <c r="DI190" i="7"/>
  <c r="DN191" i="7" s="1"/>
  <c r="F192" i="7"/>
  <c r="F193" i="7" s="1"/>
  <c r="N192" i="7"/>
  <c r="N193" i="7" s="1"/>
  <c r="T192" i="7"/>
  <c r="T193" i="7" s="1"/>
  <c r="Z192" i="7"/>
  <c r="Z193" i="7" s="1"/>
  <c r="AH192" i="7"/>
  <c r="AH193" i="7" s="1"/>
  <c r="AN192" i="7"/>
  <c r="AN193" i="7" s="1"/>
  <c r="AX192" i="7"/>
  <c r="AX193" i="7" s="1"/>
  <c r="BI192" i="7"/>
  <c r="BI193" i="7" s="1"/>
  <c r="BN192" i="7"/>
  <c r="BN193" i="7" s="1"/>
  <c r="CO192" i="7"/>
  <c r="CO193" i="7" s="1"/>
  <c r="CT192" i="7"/>
  <c r="CT193" i="7" s="1"/>
  <c r="DE192" i="7"/>
  <c r="DE193" i="7" s="1"/>
  <c r="DJ192" i="7"/>
  <c r="DJ193" i="7" s="1"/>
  <c r="AG195" i="7"/>
  <c r="AG196" i="7" s="1"/>
  <c r="DC198" i="7"/>
  <c r="K199" i="7"/>
  <c r="S199" i="7"/>
  <c r="AA199" i="7"/>
  <c r="AI199" i="7"/>
  <c r="Y201" i="7"/>
  <c r="AG200" i="7"/>
  <c r="AH201" i="7"/>
  <c r="AP201" i="7"/>
  <c r="AB202" i="7"/>
  <c r="AB203" i="7" s="1"/>
  <c r="AO203" i="7"/>
  <c r="BI199" i="7"/>
  <c r="BV201" i="7"/>
  <c r="CI200" i="7"/>
  <c r="CN200" i="7"/>
  <c r="CS200" i="7"/>
  <c r="DB201" i="7"/>
  <c r="H190" i="7"/>
  <c r="H184" i="7"/>
  <c r="H213" i="7" s="1"/>
  <c r="H214" i="7" s="1"/>
  <c r="AB184" i="7"/>
  <c r="L186" i="7"/>
  <c r="P186" i="7"/>
  <c r="X186" i="7"/>
  <c r="AJ186" i="7"/>
  <c r="AN186" i="7"/>
  <c r="AR186" i="7"/>
  <c r="BE184" i="7"/>
  <c r="BE213" i="7" s="1"/>
  <c r="BY184" i="7"/>
  <c r="CS184" i="7"/>
  <c r="DM184" i="7"/>
  <c r="BB185" i="7"/>
  <c r="BF185" i="7"/>
  <c r="BN185" i="7"/>
  <c r="BR185" i="7"/>
  <c r="BV185" i="7"/>
  <c r="BZ185" i="7"/>
  <c r="CH185" i="7"/>
  <c r="CL185" i="7"/>
  <c r="CP185" i="7"/>
  <c r="CT185" i="7"/>
  <c r="DB185" i="7"/>
  <c r="DF185" i="7"/>
  <c r="DJ185" i="7"/>
  <c r="R188" i="7"/>
  <c r="R189" i="7" s="1"/>
  <c r="AL188" i="7"/>
  <c r="O189" i="7"/>
  <c r="AA189" i="7"/>
  <c r="AI189" i="7"/>
  <c r="Q190" i="7"/>
  <c r="Q191" i="7" s="1"/>
  <c r="V190" i="7"/>
  <c r="DR188" i="7"/>
  <c r="DW188" i="7"/>
  <c r="DS190" i="7"/>
  <c r="BB190" i="7"/>
  <c r="BR190" i="7"/>
  <c r="CH190" i="7"/>
  <c r="DJ190" i="7"/>
  <c r="O192" i="7"/>
  <c r="O193" i="7" s="1"/>
  <c r="BZ192" i="7"/>
  <c r="BZ193" i="7" s="1"/>
  <c r="CP192" i="7"/>
  <c r="CP193" i="7" s="1"/>
  <c r="DF192" i="7"/>
  <c r="DF193" i="7" s="1"/>
  <c r="DV192" i="7"/>
  <c r="DV193" i="7" s="1"/>
  <c r="M195" i="7"/>
  <c r="M196" i="7" s="1"/>
  <c r="AD196" i="7"/>
  <c r="AH196" i="7"/>
  <c r="AL195" i="7"/>
  <c r="AQ196" i="7" s="1"/>
  <c r="AP196" i="7"/>
  <c r="AT196" i="7"/>
  <c r="AI196" i="7"/>
  <c r="DO196" i="7"/>
  <c r="DR200" i="7"/>
  <c r="DR201" i="7" s="1"/>
  <c r="DW200" i="7"/>
  <c r="U201" i="7"/>
  <c r="AL200" i="7"/>
  <c r="AQ200" i="7"/>
  <c r="Y203" i="7"/>
  <c r="AC203" i="7"/>
  <c r="AG202" i="7"/>
  <c r="AG203" i="7" s="1"/>
  <c r="AK203" i="7"/>
  <c r="AH203" i="7"/>
  <c r="AP203" i="7"/>
  <c r="BL199" i="7"/>
  <c r="BR201" i="7"/>
  <c r="CP201" i="7"/>
  <c r="DH200" i="7"/>
  <c r="DH201" i="7" s="1"/>
  <c r="BJ180" i="7"/>
  <c r="CD180" i="7"/>
  <c r="CD181" i="7" s="1"/>
  <c r="BV181" i="7"/>
  <c r="CL181" i="7"/>
  <c r="CX180" i="7"/>
  <c r="M184" i="7"/>
  <c r="M213" i="7" s="1"/>
  <c r="M214" i="7" s="1"/>
  <c r="AG184" i="7"/>
  <c r="I186" i="7"/>
  <c r="AC186" i="7"/>
  <c r="AS186" i="7"/>
  <c r="BJ184" i="7"/>
  <c r="CD184" i="7"/>
  <c r="CD213" i="7" s="1"/>
  <c r="CX184" i="7"/>
  <c r="CX192" i="7" s="1"/>
  <c r="CX193" i="7" s="1"/>
  <c r="DR184" i="7"/>
  <c r="BC185" i="7"/>
  <c r="BS185" i="7"/>
  <c r="CY185" i="7"/>
  <c r="DS185" i="7"/>
  <c r="G192" i="7"/>
  <c r="G193" i="7" s="1"/>
  <c r="W188" i="7"/>
  <c r="AA192" i="7"/>
  <c r="AA193" i="7" s="1"/>
  <c r="L189" i="7"/>
  <c r="AF189" i="7"/>
  <c r="X190" i="7"/>
  <c r="AC191" i="7" s="1"/>
  <c r="AS192" i="7"/>
  <c r="AS193" i="7" s="1"/>
  <c r="DT189" i="7"/>
  <c r="DS189" i="7"/>
  <c r="DO190" i="7"/>
  <c r="DR190" i="7" s="1"/>
  <c r="DK190" i="7"/>
  <c r="D192" i="7"/>
  <c r="D193" i="7" s="1"/>
  <c r="J196" i="7"/>
  <c r="N196" i="7"/>
  <c r="R195" i="7"/>
  <c r="R196" i="7" s="1"/>
  <c r="V196" i="7"/>
  <c r="Z196" i="7"/>
  <c r="O196" i="7"/>
  <c r="AE196" i="7"/>
  <c r="DM198" i="7"/>
  <c r="DM199" i="7" s="1"/>
  <c r="DT201" i="7"/>
  <c r="O199" i="7"/>
  <c r="W199" i="7"/>
  <c r="AE199" i="7"/>
  <c r="AM199" i="7"/>
  <c r="M200" i="7"/>
  <c r="M201" i="7" s="1"/>
  <c r="AS201" i="7"/>
  <c r="N201" i="7"/>
  <c r="V201" i="7"/>
  <c r="AD201" i="7"/>
  <c r="U203" i="7"/>
  <c r="BE200" i="7"/>
  <c r="BE201" i="7" s="1"/>
  <c r="BN201" i="7"/>
  <c r="CL201" i="7"/>
  <c r="BK201" i="7"/>
  <c r="CE201" i="7"/>
  <c r="CY201" i="7"/>
  <c r="BB203" i="7"/>
  <c r="BF203" i="7"/>
  <c r="BN203" i="7"/>
  <c r="BR203" i="7"/>
  <c r="BV203" i="7"/>
  <c r="BZ203" i="7"/>
  <c r="CH203" i="7"/>
  <c r="CL203" i="7"/>
  <c r="CP203" i="7"/>
  <c r="CT203" i="7"/>
  <c r="DB203" i="7"/>
  <c r="DF203" i="7"/>
  <c r="DJ203" i="7"/>
  <c r="DN203" i="7"/>
  <c r="BJ202" i="7"/>
  <c r="BJ203" i="7" s="1"/>
  <c r="CD202" i="7"/>
  <c r="CD203" i="7" s="1"/>
  <c r="CX202" i="7"/>
  <c r="CX203" i="7" s="1"/>
  <c r="DR202" i="7"/>
  <c r="DR203" i="7" s="1"/>
  <c r="BJ200" i="7"/>
  <c r="BJ201" i="7" s="1"/>
  <c r="CD200" i="7"/>
  <c r="CX200" i="7"/>
  <c r="BO202" i="7"/>
  <c r="CI202" i="7"/>
  <c r="DC202" i="7"/>
  <c r="AZ202" i="7"/>
  <c r="BE203" i="7" s="1"/>
  <c r="BT202" i="7"/>
  <c r="BT203" i="7" s="1"/>
  <c r="CN202" i="7"/>
  <c r="CN203" i="7" s="1"/>
  <c r="DH202" i="7"/>
  <c r="DH203" i="7" s="1"/>
  <c r="DV224" i="7"/>
  <c r="DV225" i="7"/>
  <c r="BO239" i="7"/>
  <c r="BT239" i="7"/>
  <c r="BY239" i="7"/>
  <c r="CD239" i="7"/>
  <c r="CI239" i="7"/>
  <c r="CN239" i="7"/>
  <c r="CS239" i="7"/>
  <c r="CI250" i="7"/>
  <c r="BT273" i="7"/>
  <c r="BT111" i="7" s="1"/>
  <c r="BY386" i="7"/>
  <c r="DI408" i="7"/>
  <c r="BE250" i="7"/>
  <c r="DG408" i="7"/>
  <c r="DB406" i="7"/>
  <c r="DC406" i="7" s="1"/>
  <c r="DK408" i="7"/>
  <c r="DC412" i="7"/>
  <c r="DD411" i="7"/>
  <c r="DE411" i="7" s="1"/>
  <c r="DF411" i="7" s="1"/>
  <c r="DG411" i="7" s="1"/>
  <c r="DH411" i="7" s="1"/>
  <c r="BJ242" i="7"/>
  <c r="BI250" i="7"/>
  <c r="BJ250" i="7" s="1"/>
  <c r="BN250" i="7"/>
  <c r="BO250" i="7" s="1"/>
  <c r="BO242" i="7"/>
  <c r="BS250" i="7"/>
  <c r="BT250" i="7" s="1"/>
  <c r="BT242" i="7"/>
  <c r="CN250" i="7"/>
  <c r="BX250" i="7"/>
  <c r="BY250" i="7" s="1"/>
  <c r="CR250" i="7"/>
  <c r="CS250" i="7" s="1"/>
  <c r="BU273" i="7"/>
  <c r="BT274" i="7"/>
  <c r="BY311" i="7"/>
  <c r="DA406" i="7"/>
  <c r="CW409" i="7"/>
  <c r="CC250" i="7"/>
  <c r="CD250" i="7" s="1"/>
  <c r="BP386" i="7"/>
  <c r="BT386" i="7" s="1"/>
  <c r="DE408" i="7"/>
  <c r="CI242" i="7"/>
  <c r="CN242" i="7"/>
  <c r="CR66" i="5"/>
  <c r="CR17" i="5"/>
  <c r="CR24" i="5" s="1"/>
  <c r="CS7" i="5"/>
  <c r="BO24" i="5"/>
  <c r="X69" i="5"/>
  <c r="BR69" i="5"/>
  <c r="CG69" i="5"/>
  <c r="CZ69" i="5"/>
  <c r="AL52" i="5"/>
  <c r="BO41" i="5"/>
  <c r="CE34" i="5"/>
  <c r="CE41" i="5" s="1"/>
  <c r="CE52" i="5" s="1"/>
  <c r="DY37" i="5"/>
  <c r="L59" i="5"/>
  <c r="N66" i="5"/>
  <c r="N58" i="5"/>
  <c r="W66" i="5"/>
  <c r="BW59" i="5"/>
  <c r="DX157" i="5"/>
  <c r="DY15" i="5"/>
  <c r="O66" i="5"/>
  <c r="O58" i="5"/>
  <c r="DX156" i="5"/>
  <c r="DY31" i="5"/>
  <c r="R66" i="5"/>
  <c r="R58" i="5"/>
  <c r="AB66" i="5"/>
  <c r="AL58" i="5"/>
  <c r="AL66" i="5"/>
  <c r="BO66" i="5"/>
  <c r="DC66" i="5"/>
  <c r="AP59" i="5"/>
  <c r="AY59" i="5"/>
  <c r="BS59" i="5"/>
  <c r="DX152" i="5"/>
  <c r="DY13" i="5"/>
  <c r="J66" i="5"/>
  <c r="J58" i="5"/>
  <c r="CR34" i="5"/>
  <c r="CR41" i="5" s="1"/>
  <c r="CR52" i="5" s="1"/>
  <c r="CS32" i="5"/>
  <c r="CS34" i="5" s="1"/>
  <c r="CS41" i="5" s="1"/>
  <c r="CS52" i="5" s="1"/>
  <c r="CI66" i="5"/>
  <c r="AH59" i="5"/>
  <c r="BK59" i="5"/>
  <c r="DV84" i="5"/>
  <c r="DV74" i="5"/>
  <c r="DV75" i="5" s="1"/>
  <c r="DL84" i="5"/>
  <c r="DL74" i="5"/>
  <c r="DP84" i="5"/>
  <c r="DP74" i="5"/>
  <c r="DP75" i="5" s="1"/>
  <c r="I74" i="5"/>
  <c r="N74" i="5"/>
  <c r="N75" i="5" s="1"/>
  <c r="N84" i="5"/>
  <c r="S84" i="5"/>
  <c r="S74" i="5"/>
  <c r="AC74" i="5"/>
  <c r="AC75" i="5" s="1"/>
  <c r="AH74" i="5"/>
  <c r="AH75" i="5" s="1"/>
  <c r="AH84" i="5"/>
  <c r="AM84" i="5"/>
  <c r="AM74" i="5"/>
  <c r="AM75" i="5" s="1"/>
  <c r="BF84" i="5"/>
  <c r="BF74" i="5"/>
  <c r="BF75" i="5" s="1"/>
  <c r="BK74" i="5"/>
  <c r="BK75" i="5" s="1"/>
  <c r="BP84" i="5"/>
  <c r="BP74" i="5"/>
  <c r="BP75" i="5" s="1"/>
  <c r="BU84" i="5"/>
  <c r="BZ74" i="5"/>
  <c r="BZ75" i="5" s="1"/>
  <c r="CJ84" i="5"/>
  <c r="CJ74" i="5"/>
  <c r="CJ75" i="5" s="1"/>
  <c r="CT84" i="5"/>
  <c r="CT74" i="5"/>
  <c r="CT75" i="5" s="1"/>
  <c r="CY74" i="5"/>
  <c r="CY75" i="5" s="1"/>
  <c r="M90" i="5"/>
  <c r="AG90" i="5"/>
  <c r="AL90" i="5"/>
  <c r="AQ90" i="5"/>
  <c r="BE90" i="5"/>
  <c r="BJ90" i="5"/>
  <c r="BO90" i="5"/>
  <c r="CQ17" i="5"/>
  <c r="CQ24" i="5" s="1"/>
  <c r="AB116" i="5"/>
  <c r="AB127" i="5" s="1"/>
  <c r="AB114" i="5"/>
  <c r="AZ116" i="5"/>
  <c r="AZ127" i="5" s="1"/>
  <c r="AZ114" i="5"/>
  <c r="BJ114" i="5"/>
  <c r="BJ116" i="5"/>
  <c r="BJ127" i="5" s="1"/>
  <c r="CD114" i="5"/>
  <c r="CD116" i="5"/>
  <c r="CD127" i="5" s="1"/>
  <c r="M67" i="5"/>
  <c r="BT66" i="5"/>
  <c r="BY66" i="5"/>
  <c r="BY58" i="5"/>
  <c r="CD66" i="5"/>
  <c r="CN67" i="5"/>
  <c r="CS66" i="5"/>
  <c r="CS58" i="5"/>
  <c r="CX66" i="5"/>
  <c r="DR67" i="5"/>
  <c r="D34" i="5"/>
  <c r="D41" i="5" s="1"/>
  <c r="D52" i="5" s="1"/>
  <c r="D69" i="5" s="1"/>
  <c r="AB34" i="5"/>
  <c r="AB41" i="5" s="1"/>
  <c r="BY34" i="5"/>
  <c r="BY41" i="5" s="1"/>
  <c r="BY52" i="5" s="1"/>
  <c r="N105" i="5"/>
  <c r="S106" i="5"/>
  <c r="R106" i="5"/>
  <c r="X102" i="5"/>
  <c r="W102" i="5"/>
  <c r="AC103" i="5"/>
  <c r="AB103" i="5"/>
  <c r="AC104" i="5"/>
  <c r="AB104" i="5"/>
  <c r="AH105" i="5"/>
  <c r="AG105" i="5"/>
  <c r="AM106" i="5"/>
  <c r="AL106" i="5"/>
  <c r="AR102" i="5"/>
  <c r="AQ102" i="5"/>
  <c r="BI109" i="5"/>
  <c r="BI59" i="5"/>
  <c r="BI58" i="5"/>
  <c r="CC109" i="5"/>
  <c r="CE100" i="5" s="1"/>
  <c r="CC59" i="5"/>
  <c r="CC58" i="5"/>
  <c r="CW109" i="5"/>
  <c r="CY100" i="5" s="1"/>
  <c r="CW59" i="5"/>
  <c r="CW58" i="5"/>
  <c r="CW56" i="5"/>
  <c r="BE105" i="5"/>
  <c r="BF105" i="5"/>
  <c r="BJ103" i="5"/>
  <c r="BK103" i="5"/>
  <c r="BK104" i="5"/>
  <c r="BJ104" i="5"/>
  <c r="BO102" i="5"/>
  <c r="BP102" i="5"/>
  <c r="BT106" i="5"/>
  <c r="BU106" i="5"/>
  <c r="BY105" i="5"/>
  <c r="BZ105" i="5"/>
  <c r="CD103" i="5"/>
  <c r="CE103" i="5"/>
  <c r="CI103" i="5" s="1"/>
  <c r="CE104" i="5"/>
  <c r="CI104" i="5" s="1"/>
  <c r="CD104" i="5"/>
  <c r="CN106" i="5"/>
  <c r="CO106" i="5"/>
  <c r="CS105" i="5"/>
  <c r="CT105" i="5"/>
  <c r="CX103" i="5"/>
  <c r="CY103" i="5"/>
  <c r="CY104" i="5"/>
  <c r="CX104" i="5"/>
  <c r="DH106" i="5"/>
  <c r="DI106" i="5"/>
  <c r="DM105" i="5"/>
  <c r="DN105" i="5"/>
  <c r="DR103" i="5"/>
  <c r="DS103" i="5"/>
  <c r="DS104" i="5"/>
  <c r="DR104" i="5"/>
  <c r="E55" i="5"/>
  <c r="I55" i="5"/>
  <c r="F56" i="5"/>
  <c r="J56" i="5"/>
  <c r="N56" i="5"/>
  <c r="R56" i="5"/>
  <c r="V56" i="5"/>
  <c r="Z56" i="5"/>
  <c r="AD56" i="5"/>
  <c r="AH56" i="5"/>
  <c r="AL56" i="5"/>
  <c r="AP56" i="5"/>
  <c r="AT56" i="5"/>
  <c r="BB55" i="5"/>
  <c r="BF55" i="5"/>
  <c r="BN55" i="5"/>
  <c r="BR55" i="5"/>
  <c r="BV55" i="5"/>
  <c r="BZ55" i="5"/>
  <c r="CH55" i="5"/>
  <c r="CL55" i="5"/>
  <c r="CP55" i="5"/>
  <c r="CT55" i="5"/>
  <c r="BB56" i="5"/>
  <c r="BF56" i="5"/>
  <c r="BN56" i="5"/>
  <c r="BR56" i="5"/>
  <c r="BV56" i="5"/>
  <c r="BZ56" i="5"/>
  <c r="CH56" i="5"/>
  <c r="CL56" i="5"/>
  <c r="CQ56" i="5"/>
  <c r="CV56" i="5"/>
  <c r="L58" i="5"/>
  <c r="AH58" i="5"/>
  <c r="AR58" i="5"/>
  <c r="Z59" i="5"/>
  <c r="BD58" i="5"/>
  <c r="BZ58" i="5"/>
  <c r="CE58" i="5"/>
  <c r="CJ58" i="5"/>
  <c r="CP58" i="5"/>
  <c r="CU58" i="5"/>
  <c r="CZ58" i="5"/>
  <c r="BC59" i="5"/>
  <c r="BH59" i="5"/>
  <c r="BN59" i="5"/>
  <c r="BX59" i="5"/>
  <c r="CY59" i="5"/>
  <c r="DD59" i="5"/>
  <c r="K67" i="5"/>
  <c r="S75" i="5"/>
  <c r="L74" i="5"/>
  <c r="AR74" i="5"/>
  <c r="AR75" i="5" s="1"/>
  <c r="BM74" i="5"/>
  <c r="P82" i="5"/>
  <c r="AN82" i="5"/>
  <c r="BR82" i="5"/>
  <c r="CK82" i="5"/>
  <c r="Q82" i="5"/>
  <c r="AS82" i="5"/>
  <c r="V82" i="5"/>
  <c r="CM82" i="5"/>
  <c r="J74" i="5"/>
  <c r="J75" i="5" s="1"/>
  <c r="J84" i="5"/>
  <c r="AD74" i="5"/>
  <c r="AD75" i="5" s="1"/>
  <c r="AD84" i="5"/>
  <c r="BG74" i="5"/>
  <c r="BG75" i="5" s="1"/>
  <c r="CP84" i="5"/>
  <c r="CP74" i="5"/>
  <c r="CP75" i="5" s="1"/>
  <c r="CN90" i="5"/>
  <c r="DC90" i="5"/>
  <c r="DH90" i="5"/>
  <c r="DM90" i="5"/>
  <c r="DR90" i="5"/>
  <c r="DD17" i="5"/>
  <c r="DD24" i="5" s="1"/>
  <c r="M116" i="5"/>
  <c r="M127" i="5" s="1"/>
  <c r="M114" i="5"/>
  <c r="AG116" i="5"/>
  <c r="AG127" i="5" s="1"/>
  <c r="AG114" i="5"/>
  <c r="BO116" i="5"/>
  <c r="BO127" i="5" s="1"/>
  <c r="BO114" i="5"/>
  <c r="CI116" i="5"/>
  <c r="CI127" i="5" s="1"/>
  <c r="CI114" i="5"/>
  <c r="F69" i="5"/>
  <c r="N69" i="5"/>
  <c r="AD69" i="5"/>
  <c r="AH69" i="5"/>
  <c r="AP69" i="5"/>
  <c r="AY69" i="5"/>
  <c r="BC69" i="5"/>
  <c r="BG69" i="5"/>
  <c r="BK69" i="5"/>
  <c r="BS69" i="5"/>
  <c r="BW69" i="5"/>
  <c r="CA69" i="5"/>
  <c r="CE69" i="5"/>
  <c r="CU69" i="5"/>
  <c r="CY69" i="5"/>
  <c r="I66" i="5"/>
  <c r="I58" i="5"/>
  <c r="I34" i="5"/>
  <c r="I41" i="5" s="1"/>
  <c r="I52" i="5" s="1"/>
  <c r="I69" i="5" s="1"/>
  <c r="M34" i="5"/>
  <c r="M41" i="5" s="1"/>
  <c r="Q34" i="5"/>
  <c r="Q41" i="5" s="1"/>
  <c r="Q52" i="5" s="1"/>
  <c r="Q69" i="5" s="1"/>
  <c r="CD34" i="5"/>
  <c r="CD41" i="5" s="1"/>
  <c r="DR34" i="5"/>
  <c r="DR41" i="5" s="1"/>
  <c r="DB44" i="5"/>
  <c r="H46" i="5"/>
  <c r="M105" i="5" s="1"/>
  <c r="M106" i="5"/>
  <c r="N106" i="5"/>
  <c r="S102" i="5"/>
  <c r="R102" i="5"/>
  <c r="W103" i="5"/>
  <c r="X103" i="5"/>
  <c r="X104" i="5"/>
  <c r="W104" i="5"/>
  <c r="AC105" i="5"/>
  <c r="AB105" i="5"/>
  <c r="AG106" i="5"/>
  <c r="AH106" i="5"/>
  <c r="AL102" i="5"/>
  <c r="AM102" i="5"/>
  <c r="AQ103" i="5"/>
  <c r="AR103" i="5"/>
  <c r="AR104" i="5"/>
  <c r="AQ104" i="5"/>
  <c r="G50" i="5"/>
  <c r="G109" i="5" s="1"/>
  <c r="W50" i="5"/>
  <c r="W109" i="5" s="1"/>
  <c r="AQ50" i="5"/>
  <c r="AQ109" i="5" s="1"/>
  <c r="BA109" i="5"/>
  <c r="BB100" i="5" s="1"/>
  <c r="BA59" i="5"/>
  <c r="BA58" i="5"/>
  <c r="BU109" i="5"/>
  <c r="BV100" i="5" s="1"/>
  <c r="BU59" i="5"/>
  <c r="BU58" i="5"/>
  <c r="CO109" i="5"/>
  <c r="CP100" i="5" s="1"/>
  <c r="CO59" i="5"/>
  <c r="CO58" i="5"/>
  <c r="CO56" i="5"/>
  <c r="BE106" i="5"/>
  <c r="BF106" i="5"/>
  <c r="BJ105" i="5"/>
  <c r="BK105" i="5"/>
  <c r="BJ50" i="5"/>
  <c r="BJ109" i="5" s="1"/>
  <c r="BP103" i="5"/>
  <c r="BO103" i="5"/>
  <c r="BO104" i="5"/>
  <c r="BP104" i="5"/>
  <c r="BT102" i="5"/>
  <c r="BU102" i="5"/>
  <c r="BY106" i="5"/>
  <c r="BZ106" i="5"/>
  <c r="CD105" i="5"/>
  <c r="CE105" i="5"/>
  <c r="CI105" i="5" s="1"/>
  <c r="CD50" i="5"/>
  <c r="CD109" i="5" s="1"/>
  <c r="CN102" i="5"/>
  <c r="CO102" i="5"/>
  <c r="CS106" i="5"/>
  <c r="CT106" i="5"/>
  <c r="CX105" i="5"/>
  <c r="CY105" i="5"/>
  <c r="CX50" i="5"/>
  <c r="CX109" i="5" s="1"/>
  <c r="DC45" i="5"/>
  <c r="DH103" i="5" s="1"/>
  <c r="DC104" i="5"/>
  <c r="DD104" i="5"/>
  <c r="DM106" i="5"/>
  <c r="DN106" i="5"/>
  <c r="DR105" i="5"/>
  <c r="DS105" i="5"/>
  <c r="J55" i="5"/>
  <c r="N55" i="5"/>
  <c r="K56" i="5"/>
  <c r="O56" i="5"/>
  <c r="S56" i="5"/>
  <c r="W56" i="5"/>
  <c r="AA56" i="5"/>
  <c r="AE56" i="5"/>
  <c r="AI56" i="5"/>
  <c r="AM56" i="5"/>
  <c r="BG55" i="5"/>
  <c r="BK55" i="5"/>
  <c r="CA55" i="5"/>
  <c r="CE55" i="5"/>
  <c r="CU55" i="5"/>
  <c r="CY55" i="5"/>
  <c r="BC56" i="5"/>
  <c r="BG56" i="5"/>
  <c r="BK56" i="5"/>
  <c r="BW56" i="5"/>
  <c r="CA56" i="5"/>
  <c r="CE56" i="5"/>
  <c r="S58" i="5"/>
  <c r="X58" i="5"/>
  <c r="AD58" i="5"/>
  <c r="AI58" i="5"/>
  <c r="AN58" i="5"/>
  <c r="AT58" i="5"/>
  <c r="P59" i="5"/>
  <c r="V59" i="5"/>
  <c r="AA59" i="5"/>
  <c r="AF59" i="5"/>
  <c r="BF58" i="5"/>
  <c r="BK58" i="5"/>
  <c r="BP58" i="5"/>
  <c r="BV58" i="5"/>
  <c r="CA58" i="5"/>
  <c r="CF58" i="5"/>
  <c r="CL58" i="5"/>
  <c r="CQ58" i="5"/>
  <c r="CV58" i="5"/>
  <c r="BD59" i="5"/>
  <c r="BZ59" i="5"/>
  <c r="CE59" i="5"/>
  <c r="CJ59" i="5"/>
  <c r="CP59" i="5"/>
  <c r="CU59" i="5"/>
  <c r="CZ59" i="5"/>
  <c r="G67" i="5"/>
  <c r="DW67" i="5"/>
  <c r="P74" i="5"/>
  <c r="P75" i="5" s="1"/>
  <c r="AF74" i="5"/>
  <c r="BQ74" i="5"/>
  <c r="BQ75" i="5" s="1"/>
  <c r="CG74" i="5"/>
  <c r="CW74" i="5"/>
  <c r="CW75" i="5" s="1"/>
  <c r="K82" i="5"/>
  <c r="AI82" i="5"/>
  <c r="BB82" i="5"/>
  <c r="DF82" i="5"/>
  <c r="EA82" i="5"/>
  <c r="Q84" i="5"/>
  <c r="AK84" i="5"/>
  <c r="H105" i="5"/>
  <c r="DD84" i="5"/>
  <c r="DD74" i="5"/>
  <c r="DD75" i="5" s="1"/>
  <c r="BV84" i="5"/>
  <c r="CA74" i="5"/>
  <c r="CA75" i="5" s="1"/>
  <c r="BV74" i="5"/>
  <c r="BV75" i="5" s="1"/>
  <c r="AQ74" i="5"/>
  <c r="CD90" i="5"/>
  <c r="CY169" i="5"/>
  <c r="DB167" i="5"/>
  <c r="DC167" i="5" s="1"/>
  <c r="DW90" i="5"/>
  <c r="DE8" i="5"/>
  <c r="DF8" i="5" s="1"/>
  <c r="DG8" i="5" s="1"/>
  <c r="K84" i="5"/>
  <c r="K74" i="5"/>
  <c r="K75" i="5" s="1"/>
  <c r="U74" i="5"/>
  <c r="U75" i="5" s="1"/>
  <c r="AT74" i="5"/>
  <c r="AT75" i="5" s="1"/>
  <c r="AT84" i="5"/>
  <c r="BW74" i="5"/>
  <c r="BW75" i="5" s="1"/>
  <c r="CB74" i="5"/>
  <c r="CB75" i="5" s="1"/>
  <c r="CL84" i="5"/>
  <c r="CL74" i="5"/>
  <c r="CL75" i="5" s="1"/>
  <c r="CD74" i="5"/>
  <c r="CI74" i="5"/>
  <c r="CN74" i="5"/>
  <c r="DR9" i="5"/>
  <c r="DR74" i="5" s="1"/>
  <c r="DW114" i="5"/>
  <c r="DW111" i="5"/>
  <c r="H116" i="5"/>
  <c r="H127" i="5" s="1"/>
  <c r="H114" i="5"/>
  <c r="R114" i="5"/>
  <c r="R116" i="5"/>
  <c r="R127" i="5" s="1"/>
  <c r="AL114" i="5"/>
  <c r="AL116" i="5"/>
  <c r="AL127" i="5" s="1"/>
  <c r="BT116" i="5"/>
  <c r="BT127" i="5" s="1"/>
  <c r="BT114" i="5"/>
  <c r="CN116" i="5"/>
  <c r="CN127" i="5" s="1"/>
  <c r="CN114" i="5"/>
  <c r="DH31" i="5"/>
  <c r="DE32" i="5"/>
  <c r="DF32" i="5" s="1"/>
  <c r="J34" i="5"/>
  <c r="J41" i="5" s="1"/>
  <c r="J52" i="5" s="1"/>
  <c r="J69" i="5" s="1"/>
  <c r="R34" i="5"/>
  <c r="R41" i="5" s="1"/>
  <c r="R52" i="5" s="1"/>
  <c r="R69" i="5" s="1"/>
  <c r="V34" i="5"/>
  <c r="V41" i="5" s="1"/>
  <c r="V52" i="5" s="1"/>
  <c r="V69" i="5" s="1"/>
  <c r="CI34" i="5"/>
  <c r="CI41" i="5" s="1"/>
  <c r="CQ34" i="5"/>
  <c r="CQ41" i="5" s="1"/>
  <c r="CQ52" i="5" s="1"/>
  <c r="DC34" i="5"/>
  <c r="DC41" i="5" s="1"/>
  <c r="DX45" i="5"/>
  <c r="DX46" i="5"/>
  <c r="DX47" i="5"/>
  <c r="DX49" i="5"/>
  <c r="M102" i="5"/>
  <c r="N102" i="5"/>
  <c r="S103" i="5"/>
  <c r="R103" i="5"/>
  <c r="S104" i="5"/>
  <c r="R104" i="5"/>
  <c r="W105" i="5"/>
  <c r="X105" i="5"/>
  <c r="AC106" i="5"/>
  <c r="AB106" i="5"/>
  <c r="AG102" i="5"/>
  <c r="AH102" i="5"/>
  <c r="AM103" i="5"/>
  <c r="AL103" i="5"/>
  <c r="AL104" i="5"/>
  <c r="AM104" i="5"/>
  <c r="AQ105" i="5"/>
  <c r="AR105" i="5"/>
  <c r="AB50" i="5"/>
  <c r="AB109" i="5" s="1"/>
  <c r="BQ109" i="5"/>
  <c r="BR100" i="5" s="1"/>
  <c r="BQ59" i="5"/>
  <c r="BQ58" i="5"/>
  <c r="CK109" i="5"/>
  <c r="CL100" i="5" s="1"/>
  <c r="CK59" i="5"/>
  <c r="CK58" i="5"/>
  <c r="BF102" i="5"/>
  <c r="BE102" i="5"/>
  <c r="BK106" i="5"/>
  <c r="BJ106" i="5"/>
  <c r="BO105" i="5"/>
  <c r="BP105" i="5"/>
  <c r="BO50" i="5"/>
  <c r="BO109" i="5" s="1"/>
  <c r="BU103" i="5"/>
  <c r="BT103" i="5"/>
  <c r="BT104" i="5"/>
  <c r="BU104" i="5"/>
  <c r="BZ102" i="5"/>
  <c r="BY102" i="5"/>
  <c r="CE106" i="5"/>
  <c r="CI106" i="5" s="1"/>
  <c r="CD106" i="5"/>
  <c r="CI50" i="5"/>
  <c r="CI109" i="5" s="1"/>
  <c r="CO103" i="5"/>
  <c r="CN103" i="5"/>
  <c r="CN104" i="5"/>
  <c r="CO104" i="5"/>
  <c r="CT102" i="5"/>
  <c r="CS102" i="5"/>
  <c r="CY106" i="5"/>
  <c r="CX106" i="5"/>
  <c r="DC105" i="5"/>
  <c r="DD105" i="5"/>
  <c r="DI103" i="5"/>
  <c r="DH104" i="5"/>
  <c r="DI104" i="5"/>
  <c r="DS106" i="5"/>
  <c r="DR106" i="5"/>
  <c r="K55" i="5"/>
  <c r="O55" i="5"/>
  <c r="S55" i="5"/>
  <c r="AA55" i="5"/>
  <c r="AE55" i="5"/>
  <c r="AI55" i="5"/>
  <c r="AM55" i="5"/>
  <c r="D56" i="5"/>
  <c r="L56" i="5"/>
  <c r="P56" i="5"/>
  <c r="T56" i="5"/>
  <c r="X56" i="5"/>
  <c r="AB56" i="5"/>
  <c r="AF56" i="5"/>
  <c r="AJ56" i="5"/>
  <c r="AN56" i="5"/>
  <c r="AR56" i="5"/>
  <c r="BD55" i="5"/>
  <c r="BH55" i="5"/>
  <c r="BL55" i="5"/>
  <c r="BP55" i="5"/>
  <c r="BX55" i="5"/>
  <c r="CB55" i="5"/>
  <c r="CF55" i="5"/>
  <c r="CJ55" i="5"/>
  <c r="CR55" i="5"/>
  <c r="CV55" i="5"/>
  <c r="CZ55" i="5"/>
  <c r="BD56" i="5"/>
  <c r="BH56" i="5"/>
  <c r="BL56" i="5"/>
  <c r="BP56" i="5"/>
  <c r="BX56" i="5"/>
  <c r="CB56" i="5"/>
  <c r="CF56" i="5"/>
  <c r="CJ56" i="5"/>
  <c r="CT56" i="5"/>
  <c r="CY56" i="5"/>
  <c r="T58" i="5"/>
  <c r="Z58" i="5"/>
  <c r="AE58" i="5"/>
  <c r="AJ58" i="5"/>
  <c r="AP58" i="5"/>
  <c r="AM59" i="5"/>
  <c r="AR59" i="5"/>
  <c r="BB58" i="5"/>
  <c r="BG58" i="5"/>
  <c r="BL58" i="5"/>
  <c r="BR58" i="5"/>
  <c r="BW58" i="5"/>
  <c r="CB58" i="5"/>
  <c r="CH58" i="5"/>
  <c r="CM58" i="5"/>
  <c r="CR58" i="5"/>
  <c r="BF59" i="5"/>
  <c r="BP59" i="5"/>
  <c r="BV59" i="5"/>
  <c r="CA59" i="5"/>
  <c r="CF59" i="5"/>
  <c r="CL59" i="5"/>
  <c r="CV59" i="5"/>
  <c r="AQ67" i="5"/>
  <c r="I75" i="5"/>
  <c r="Y75" i="5"/>
  <c r="T74" i="5"/>
  <c r="T75" i="5" s="1"/>
  <c r="AJ74" i="5"/>
  <c r="AJ75" i="5" s="1"/>
  <c r="DL75" i="5"/>
  <c r="BU74" i="5"/>
  <c r="CK74" i="5"/>
  <c r="DA74" i="5"/>
  <c r="DQ74" i="5"/>
  <c r="DQ75" i="5" s="1"/>
  <c r="T82" i="5"/>
  <c r="BV82" i="5"/>
  <c r="CG82" i="5"/>
  <c r="J82" i="5"/>
  <c r="BG82" i="5"/>
  <c r="CU82" i="5"/>
  <c r="DG82" i="5"/>
  <c r="DD169" i="5"/>
  <c r="O84" i="5"/>
  <c r="O74" i="5"/>
  <c r="O75" i="5" s="1"/>
  <c r="AI84" i="5"/>
  <c r="AI74" i="5"/>
  <c r="AI75" i="5" s="1"/>
  <c r="AS74" i="5"/>
  <c r="AS75" i="5" s="1"/>
  <c r="BL84" i="5"/>
  <c r="BL74" i="5"/>
  <c r="BL75" i="5" s="1"/>
  <c r="CF84" i="5"/>
  <c r="CF74" i="5"/>
  <c r="CF75" i="5" s="1"/>
  <c r="CU74" i="5"/>
  <c r="CU75" i="5" s="1"/>
  <c r="AL74" i="5"/>
  <c r="BO74" i="5"/>
  <c r="BT90" i="5"/>
  <c r="BY90" i="5"/>
  <c r="CI90" i="5"/>
  <c r="CS90" i="5"/>
  <c r="CX90" i="5"/>
  <c r="DX183" i="5"/>
  <c r="EB183" i="5"/>
  <c r="DW9" i="5"/>
  <c r="DE7" i="5"/>
  <c r="Z74" i="5"/>
  <c r="Z75" i="5" s="1"/>
  <c r="Z84" i="5"/>
  <c r="AE84" i="5"/>
  <c r="AE74" i="5"/>
  <c r="AE75" i="5" s="1"/>
  <c r="AO74" i="5"/>
  <c r="AO75" i="5" s="1"/>
  <c r="BH84" i="5"/>
  <c r="BH74" i="5"/>
  <c r="BH75" i="5" s="1"/>
  <c r="BR84" i="5"/>
  <c r="BR74" i="5"/>
  <c r="BR75" i="5" s="1"/>
  <c r="CQ74" i="5"/>
  <c r="CQ75" i="5" s="1"/>
  <c r="CV84" i="5"/>
  <c r="CV74" i="5"/>
  <c r="CV75" i="5" s="1"/>
  <c r="W90" i="5"/>
  <c r="AZ84" i="5"/>
  <c r="BE77" i="5"/>
  <c r="BA77" i="5"/>
  <c r="BA81" i="5" s="1"/>
  <c r="BT74" i="5"/>
  <c r="CX74" i="5"/>
  <c r="DF84" i="5"/>
  <c r="DF74" i="5"/>
  <c r="DF75" i="5" s="1"/>
  <c r="DK74" i="5"/>
  <c r="DK75" i="5" s="1"/>
  <c r="DT84" i="5"/>
  <c r="DT74" i="5"/>
  <c r="DT75" i="5" s="1"/>
  <c r="Q74" i="5"/>
  <c r="V74" i="5"/>
  <c r="V84" i="5"/>
  <c r="AA84" i="5"/>
  <c r="AA74" i="5"/>
  <c r="AK74" i="5"/>
  <c r="AP74" i="5"/>
  <c r="AP84" i="5"/>
  <c r="BD84" i="5"/>
  <c r="BD74" i="5"/>
  <c r="BD75" i="5" s="1"/>
  <c r="BN84" i="5"/>
  <c r="BN74" i="5"/>
  <c r="BN75" i="5" s="1"/>
  <c r="BS74" i="5"/>
  <c r="BS75" i="5" s="1"/>
  <c r="BX84" i="5"/>
  <c r="BX74" i="5"/>
  <c r="BX75" i="5" s="1"/>
  <c r="CH84" i="5"/>
  <c r="CH74" i="5"/>
  <c r="CH75" i="5" s="1"/>
  <c r="CM74" i="5"/>
  <c r="CM75" i="5" s="1"/>
  <c r="CR84" i="5"/>
  <c r="CR74" i="5"/>
  <c r="CR75" i="5" s="1"/>
  <c r="R90" i="5"/>
  <c r="W9" i="5"/>
  <c r="W74" i="5" s="1"/>
  <c r="AB90" i="5"/>
  <c r="CX183" i="5"/>
  <c r="DC183" i="5"/>
  <c r="CY183" i="5"/>
  <c r="DH183" i="5"/>
  <c r="DD183" i="5"/>
  <c r="DM183" i="5"/>
  <c r="DI183" i="5"/>
  <c r="DR183" i="5"/>
  <c r="DN183" i="5"/>
  <c r="DW183" i="5"/>
  <c r="DS183" i="5"/>
  <c r="M17" i="5"/>
  <c r="M24" i="5" s="1"/>
  <c r="AG17" i="5"/>
  <c r="AG24" i="5" s="1"/>
  <c r="BJ17" i="5"/>
  <c r="BJ24" i="5" s="1"/>
  <c r="CD17" i="5"/>
  <c r="CD24" i="5" s="1"/>
  <c r="CX17" i="5"/>
  <c r="CX24" i="5" s="1"/>
  <c r="W116" i="5"/>
  <c r="W127" i="5" s="1"/>
  <c r="W114" i="5"/>
  <c r="AQ116" i="5"/>
  <c r="AQ127" i="5" s="1"/>
  <c r="AQ114" i="5"/>
  <c r="BE116" i="5"/>
  <c r="BE127" i="5" s="1"/>
  <c r="BE114" i="5"/>
  <c r="BY116" i="5"/>
  <c r="BY127" i="5" s="1"/>
  <c r="BY114" i="5"/>
  <c r="H26" i="5"/>
  <c r="AG67" i="5"/>
  <c r="BE67" i="5"/>
  <c r="BJ66" i="5"/>
  <c r="O34" i="5"/>
  <c r="O41" i="5" s="1"/>
  <c r="O52" i="5" s="1"/>
  <c r="O69" i="5" s="1"/>
  <c r="W34" i="5"/>
  <c r="W41" i="5" s="1"/>
  <c r="AZ34" i="5"/>
  <c r="AZ41" i="5" s="1"/>
  <c r="BT34" i="5"/>
  <c r="BT41" i="5" s="1"/>
  <c r="CN34" i="5"/>
  <c r="CN41" i="5" s="1"/>
  <c r="CS56" i="5"/>
  <c r="N103" i="5"/>
  <c r="M103" i="5"/>
  <c r="M104" i="5"/>
  <c r="N104" i="5"/>
  <c r="S105" i="5"/>
  <c r="R105" i="5"/>
  <c r="X106" i="5"/>
  <c r="W106" i="5"/>
  <c r="AC102" i="5"/>
  <c r="AB102" i="5"/>
  <c r="AH103" i="5"/>
  <c r="AG103" i="5"/>
  <c r="AG104" i="5"/>
  <c r="AH104" i="5"/>
  <c r="AM105" i="5"/>
  <c r="AL105" i="5"/>
  <c r="AQ106" i="5"/>
  <c r="AR106" i="5"/>
  <c r="M50" i="5"/>
  <c r="M109" i="5" s="1"/>
  <c r="Q109" i="5"/>
  <c r="Q59" i="5"/>
  <c r="Q58" i="5"/>
  <c r="U109" i="5"/>
  <c r="V100" i="5" s="1"/>
  <c r="U59" i="5"/>
  <c r="U58" i="5"/>
  <c r="Y109" i="5"/>
  <c r="Z100" i="5" s="1"/>
  <c r="Y59" i="5"/>
  <c r="Y58" i="5"/>
  <c r="AC109" i="5"/>
  <c r="AD100" i="5" s="1"/>
  <c r="AC59" i="5"/>
  <c r="AC58" i="5"/>
  <c r="AG50" i="5"/>
  <c r="AG109" i="5" s="1"/>
  <c r="AK109" i="5"/>
  <c r="AK59" i="5"/>
  <c r="AK58" i="5"/>
  <c r="AO109" i="5"/>
  <c r="AP100" i="5" s="1"/>
  <c r="AO59" i="5"/>
  <c r="AO58" i="5"/>
  <c r="AS109" i="5"/>
  <c r="AT100" i="5" s="1"/>
  <c r="AS59" i="5"/>
  <c r="AS58" i="5"/>
  <c r="BM109" i="5"/>
  <c r="BN100" i="5" s="1"/>
  <c r="BM59" i="5"/>
  <c r="BM58" i="5"/>
  <c r="CG109" i="5"/>
  <c r="CH100" i="5" s="1"/>
  <c r="CG59" i="5"/>
  <c r="CG58" i="5"/>
  <c r="DA50" i="5"/>
  <c r="AZ50" i="5"/>
  <c r="AZ108" i="5" s="1"/>
  <c r="BE103" i="5"/>
  <c r="BF103" i="5"/>
  <c r="BF104" i="5"/>
  <c r="BE104" i="5"/>
  <c r="BK102" i="5"/>
  <c r="BJ102" i="5"/>
  <c r="BO106" i="5"/>
  <c r="BP106" i="5"/>
  <c r="BU105" i="5"/>
  <c r="BT105" i="5"/>
  <c r="BT50" i="5"/>
  <c r="BT109" i="5" s="1"/>
  <c r="BY103" i="5"/>
  <c r="BZ103" i="5"/>
  <c r="BZ104" i="5"/>
  <c r="BY104" i="5"/>
  <c r="CE102" i="5"/>
  <c r="CI102" i="5" s="1"/>
  <c r="CD102" i="5"/>
  <c r="CO105" i="5"/>
  <c r="CN105" i="5"/>
  <c r="CN50" i="5"/>
  <c r="CN109" i="5" s="1"/>
  <c r="CS103" i="5"/>
  <c r="CT103" i="5"/>
  <c r="CT104" i="5"/>
  <c r="CS104" i="5"/>
  <c r="CY102" i="5"/>
  <c r="CX102" i="5"/>
  <c r="DC106" i="5"/>
  <c r="DD106" i="5"/>
  <c r="DI105" i="5"/>
  <c r="DH105" i="5"/>
  <c r="DM103" i="5"/>
  <c r="DN103" i="5"/>
  <c r="DN104" i="5"/>
  <c r="DM104" i="5"/>
  <c r="L55" i="5"/>
  <c r="P55" i="5"/>
  <c r="T55" i="5"/>
  <c r="X55" i="5"/>
  <c r="AF55" i="5"/>
  <c r="AJ55" i="5"/>
  <c r="AN55" i="5"/>
  <c r="AR55" i="5"/>
  <c r="I56" i="5"/>
  <c r="Q56" i="5"/>
  <c r="U56" i="5"/>
  <c r="Y56" i="5"/>
  <c r="AC56" i="5"/>
  <c r="AK56" i="5"/>
  <c r="AO56" i="5"/>
  <c r="AS56" i="5"/>
  <c r="BA55" i="5"/>
  <c r="BI55" i="5"/>
  <c r="BM55" i="5"/>
  <c r="BQ55" i="5"/>
  <c r="BU55" i="5"/>
  <c r="BY55" i="5"/>
  <c r="CC55" i="5"/>
  <c r="CG55" i="5"/>
  <c r="CK55" i="5"/>
  <c r="CO55" i="5"/>
  <c r="CS55" i="5"/>
  <c r="CW55" i="5"/>
  <c r="BA56" i="5"/>
  <c r="BI56" i="5"/>
  <c r="BM56" i="5"/>
  <c r="BQ56" i="5"/>
  <c r="BU56" i="5"/>
  <c r="CC56" i="5"/>
  <c r="CG56" i="5"/>
  <c r="CK56" i="5"/>
  <c r="CP56" i="5"/>
  <c r="CU56" i="5"/>
  <c r="CZ56" i="5"/>
  <c r="P58" i="5"/>
  <c r="V58" i="5"/>
  <c r="AA58" i="5"/>
  <c r="AF58" i="5"/>
  <c r="S59" i="5"/>
  <c r="X59" i="5"/>
  <c r="AN59" i="5"/>
  <c r="AT59" i="5"/>
  <c r="BC58" i="5"/>
  <c r="BH58" i="5"/>
  <c r="BN58" i="5"/>
  <c r="BS58" i="5"/>
  <c r="BX58" i="5"/>
  <c r="CT58" i="5"/>
  <c r="CY58" i="5"/>
  <c r="BB59" i="5"/>
  <c r="BG59" i="5"/>
  <c r="BL59" i="5"/>
  <c r="BR59" i="5"/>
  <c r="CB59" i="5"/>
  <c r="CH59" i="5"/>
  <c r="CM59" i="5"/>
  <c r="X74" i="5"/>
  <c r="X75" i="5" s="1"/>
  <c r="AN74" i="5"/>
  <c r="AN75" i="5" s="1"/>
  <c r="BM75" i="5"/>
  <c r="BU75" i="5"/>
  <c r="CC75" i="5"/>
  <c r="CG75" i="5"/>
  <c r="CK75" i="5"/>
  <c r="DA75" i="5"/>
  <c r="BI74" i="5"/>
  <c r="BI75" i="5" s="1"/>
  <c r="CO74" i="5"/>
  <c r="CO75" i="5" s="1"/>
  <c r="DU74" i="5"/>
  <c r="DU75" i="5" s="1"/>
  <c r="O82" i="5"/>
  <c r="BQ82" i="5"/>
  <c r="CP82" i="5"/>
  <c r="DQ82" i="5"/>
  <c r="E82" i="5"/>
  <c r="F82" i="5"/>
  <c r="Z82" i="5"/>
  <c r="AT82" i="5"/>
  <c r="BC82" i="5"/>
  <c r="CQ82" i="5"/>
  <c r="BD77" i="5"/>
  <c r="BH77" i="5"/>
  <c r="BL77" i="5"/>
  <c r="BL81" i="5" s="1"/>
  <c r="BL82" i="5" s="1"/>
  <c r="BX77" i="5"/>
  <c r="BX81" i="5" s="1"/>
  <c r="BX82" i="5" s="1"/>
  <c r="CB77" i="5"/>
  <c r="CB81" i="5" s="1"/>
  <c r="CB82" i="5" s="1"/>
  <c r="CF77" i="5"/>
  <c r="CF81" i="5" s="1"/>
  <c r="CF82" i="5" s="1"/>
  <c r="CR77" i="5"/>
  <c r="CR81" i="5" s="1"/>
  <c r="CR82" i="5" s="1"/>
  <c r="CV77" i="5"/>
  <c r="CV81" i="5" s="1"/>
  <c r="CV82" i="5" s="1"/>
  <c r="CZ77" i="5"/>
  <c r="DL77" i="5"/>
  <c r="DL81" i="5" s="1"/>
  <c r="DL82" i="5" s="1"/>
  <c r="DP77" i="5"/>
  <c r="DP81" i="5" s="1"/>
  <c r="DP82" i="5" s="1"/>
  <c r="DT77" i="5"/>
  <c r="BP79" i="5"/>
  <c r="CJ79" i="5"/>
  <c r="DD79" i="5"/>
  <c r="AE79" i="5"/>
  <c r="AI79" i="5"/>
  <c r="AM79" i="5"/>
  <c r="L81" i="5"/>
  <c r="L82" i="5" s="1"/>
  <c r="E84" i="5"/>
  <c r="I84" i="5"/>
  <c r="U84" i="5"/>
  <c r="Y84" i="5"/>
  <c r="AC84" i="5"/>
  <c r="AO84" i="5"/>
  <c r="AS84" i="5"/>
  <c r="BC84" i="5"/>
  <c r="BG84" i="5"/>
  <c r="BK84" i="5"/>
  <c r="BS84" i="5"/>
  <c r="BW84" i="5"/>
  <c r="CA84" i="5"/>
  <c r="CE84" i="5"/>
  <c r="CM84" i="5"/>
  <c r="CQ84" i="5"/>
  <c r="CU84" i="5"/>
  <c r="CY84" i="5"/>
  <c r="DG84" i="5"/>
  <c r="DK84" i="5"/>
  <c r="DO84" i="5"/>
  <c r="DS84" i="5"/>
  <c r="J123" i="5"/>
  <c r="I114" i="5"/>
  <c r="S130" i="5"/>
  <c r="S123" i="5"/>
  <c r="S126" i="5" s="1"/>
  <c r="AD123" i="5"/>
  <c r="AC114" i="5"/>
  <c r="AM130" i="5"/>
  <c r="AM123" i="5"/>
  <c r="AM126" i="5" s="1"/>
  <c r="BT130" i="5"/>
  <c r="BP130" i="5"/>
  <c r="BP123" i="5"/>
  <c r="BP126" i="5" s="1"/>
  <c r="BS130" i="5"/>
  <c r="BS123" i="5"/>
  <c r="CC114" i="5"/>
  <c r="CN130" i="5"/>
  <c r="CN131" i="5" s="1"/>
  <c r="CJ130" i="5"/>
  <c r="CJ123" i="5"/>
  <c r="CJ126" i="5" s="1"/>
  <c r="CM130" i="5"/>
  <c r="CM123" i="5"/>
  <c r="CW114" i="5"/>
  <c r="DH116" i="5"/>
  <c r="DH113" i="5" s="1"/>
  <c r="DH114" i="5" s="1"/>
  <c r="DG127" i="5"/>
  <c r="CK118" i="5"/>
  <c r="CK120" i="5" s="1"/>
  <c r="CN118" i="5"/>
  <c r="L130" i="5"/>
  <c r="L123" i="5"/>
  <c r="AF130" i="5"/>
  <c r="AF123" i="5"/>
  <c r="CB130" i="5"/>
  <c r="CB123" i="5"/>
  <c r="DA130" i="5"/>
  <c r="DA123" i="5"/>
  <c r="CI120" i="5"/>
  <c r="DU120" i="5"/>
  <c r="CI78" i="5"/>
  <c r="DC78" i="5"/>
  <c r="DW78" i="5"/>
  <c r="O130" i="5"/>
  <c r="O123" i="5"/>
  <c r="O126" i="5" s="1"/>
  <c r="N114" i="5"/>
  <c r="AH114" i="5"/>
  <c r="AH116" i="5"/>
  <c r="AH127" i="5" s="1"/>
  <c r="AL130" i="5" s="1"/>
  <c r="AP114" i="5"/>
  <c r="AP116" i="5"/>
  <c r="AP127" i="5" s="1"/>
  <c r="BG114" i="5"/>
  <c r="BU130" i="5"/>
  <c r="BU123" i="5"/>
  <c r="BU126" i="5" s="1"/>
  <c r="CO130" i="5"/>
  <c r="CO123" i="5"/>
  <c r="CO126" i="5" s="1"/>
  <c r="DE123" i="5"/>
  <c r="DJ123" i="5"/>
  <c r="AR118" i="5"/>
  <c r="AR121" i="5" s="1"/>
  <c r="CS118" i="5"/>
  <c r="CP118" i="5"/>
  <c r="CP120" i="5" s="1"/>
  <c r="CS120" i="5" s="1"/>
  <c r="BL130" i="5"/>
  <c r="BL123" i="5"/>
  <c r="CC130" i="5"/>
  <c r="CC123" i="5"/>
  <c r="DQ123" i="5"/>
  <c r="P130" i="5"/>
  <c r="P123" i="5"/>
  <c r="T130" i="5"/>
  <c r="T123" i="5"/>
  <c r="T126" i="5" s="1"/>
  <c r="S114" i="5"/>
  <c r="AJ130" i="5"/>
  <c r="AJ123" i="5"/>
  <c r="AN123" i="5"/>
  <c r="AR114" i="5"/>
  <c r="BC114" i="5"/>
  <c r="BI130" i="5"/>
  <c r="BI123" i="5"/>
  <c r="BQ130" i="5"/>
  <c r="BQ123" i="5"/>
  <c r="BS114" i="5"/>
  <c r="BZ123" i="5"/>
  <c r="CK130" i="5"/>
  <c r="CM114" i="5"/>
  <c r="CS116" i="5"/>
  <c r="CR127" i="5"/>
  <c r="CR130" i="5" s="1"/>
  <c r="BM130" i="5"/>
  <c r="BL126" i="5"/>
  <c r="BM123" i="5"/>
  <c r="CF130" i="5"/>
  <c r="CF123" i="5"/>
  <c r="CF126" i="5" s="1"/>
  <c r="CW123" i="5"/>
  <c r="D126" i="5"/>
  <c r="E123" i="5"/>
  <c r="D114" i="5"/>
  <c r="N130" i="5"/>
  <c r="N123" i="5"/>
  <c r="N126" i="5" s="1"/>
  <c r="R130" i="5"/>
  <c r="Q130" i="5"/>
  <c r="Q123" i="5"/>
  <c r="U123" i="5"/>
  <c r="Y123" i="5"/>
  <c r="X114" i="5"/>
  <c r="AH123" i="5"/>
  <c r="AK130" i="5"/>
  <c r="AK123" i="5"/>
  <c r="BF123" i="5"/>
  <c r="BK130" i="5"/>
  <c r="BO130" i="5"/>
  <c r="BK123" i="5"/>
  <c r="BK126" i="5" s="1"/>
  <c r="BN130" i="5"/>
  <c r="BN123" i="5"/>
  <c r="BR130" i="5"/>
  <c r="BR123" i="5"/>
  <c r="BV123" i="5"/>
  <c r="CI130" i="5"/>
  <c r="CE130" i="5"/>
  <c r="CE123" i="5"/>
  <c r="CE126" i="5" s="1"/>
  <c r="CH130" i="5"/>
  <c r="CH123" i="5"/>
  <c r="CL130" i="5"/>
  <c r="CL123" i="5"/>
  <c r="CW127" i="5"/>
  <c r="CW130" i="5" s="1"/>
  <c r="CX116" i="5"/>
  <c r="CX113" i="5" s="1"/>
  <c r="CX114" i="5" s="1"/>
  <c r="DB123" i="5"/>
  <c r="DQ127" i="5"/>
  <c r="DR116" i="5"/>
  <c r="DR113" i="5" s="1"/>
  <c r="DR114" i="5" s="1"/>
  <c r="DM114" i="5"/>
  <c r="I130" i="5"/>
  <c r="I123" i="5"/>
  <c r="I126" i="5" s="1"/>
  <c r="AC130" i="5"/>
  <c r="AC123" i="5"/>
  <c r="AC126" i="5" s="1"/>
  <c r="BX123" i="5"/>
  <c r="CG130" i="5"/>
  <c r="CG123" i="5"/>
  <c r="CZ130" i="5"/>
  <c r="CZ123" i="5"/>
  <c r="CZ126" i="5" s="1"/>
  <c r="L114" i="5"/>
  <c r="Q114" i="5"/>
  <c r="AF114" i="5"/>
  <c r="AI114" i="5"/>
  <c r="AM114" i="5"/>
  <c r="BD114" i="5"/>
  <c r="BH114" i="5"/>
  <c r="BM114" i="5"/>
  <c r="BR114" i="5"/>
  <c r="CG114" i="5"/>
  <c r="CL114" i="5"/>
  <c r="DA114" i="5"/>
  <c r="E116" i="5"/>
  <c r="E127" i="5" s="1"/>
  <c r="E130" i="5" s="1"/>
  <c r="U116" i="5"/>
  <c r="U127" i="5" s="1"/>
  <c r="W130" i="5" s="1"/>
  <c r="Y116" i="5"/>
  <c r="Y127" i="5" s="1"/>
  <c r="BV116" i="5"/>
  <c r="BV127" i="5" s="1"/>
  <c r="BZ116" i="5"/>
  <c r="BZ127" i="5" s="1"/>
  <c r="BZ130" i="5" s="1"/>
  <c r="CP116" i="5"/>
  <c r="CP127" i="5" s="1"/>
  <c r="CT116" i="5"/>
  <c r="CT127" i="5" s="1"/>
  <c r="DB116" i="5"/>
  <c r="DN116" i="5"/>
  <c r="DN127" i="5" s="1"/>
  <c r="AN118" i="5"/>
  <c r="AN121" i="5" s="1"/>
  <c r="BF118" i="5"/>
  <c r="BF121" i="5" s="1"/>
  <c r="DF118" i="5"/>
  <c r="DF120" i="5" s="1"/>
  <c r="DN118" i="5"/>
  <c r="DN120" i="5" s="1"/>
  <c r="DV118" i="5"/>
  <c r="DV120" i="5" s="1"/>
  <c r="CZ120" i="5"/>
  <c r="DA139" i="5"/>
  <c r="DH138" i="5"/>
  <c r="DQ140" i="5"/>
  <c r="DR140" i="5" s="1"/>
  <c r="DU142" i="5"/>
  <c r="DV142" i="5" s="1"/>
  <c r="DU146" i="5"/>
  <c r="DV146" i="5" s="1"/>
  <c r="DA146" i="5"/>
  <c r="DB146" i="5" s="1"/>
  <c r="DC146" i="5" s="1"/>
  <c r="AE148" i="5"/>
  <c r="AF148" i="5" s="1"/>
  <c r="AG148" i="5" s="1"/>
  <c r="CL148" i="5"/>
  <c r="CM148" i="5" s="1"/>
  <c r="CN148" i="5" s="1"/>
  <c r="DF148" i="5"/>
  <c r="Z150" i="5"/>
  <c r="Y155" i="5"/>
  <c r="Y158" i="5" s="1"/>
  <c r="BL155" i="5"/>
  <c r="BL158" i="5" s="1"/>
  <c r="BM150" i="5"/>
  <c r="BN150" i="5" s="1"/>
  <c r="CB151" i="5"/>
  <c r="CC151" i="5" s="1"/>
  <c r="CQ152" i="5"/>
  <c r="CR152" i="5" s="1"/>
  <c r="CS152" i="5" s="1"/>
  <c r="DF153" i="5"/>
  <c r="DG153" i="5" s="1"/>
  <c r="DQ152" i="5"/>
  <c r="DR152" i="5" s="1"/>
  <c r="ED164" i="5"/>
  <c r="DG114" i="5"/>
  <c r="DQ114" i="5"/>
  <c r="G130" i="5"/>
  <c r="J116" i="5"/>
  <c r="J127" i="5" s="1"/>
  <c r="X130" i="5"/>
  <c r="AD116" i="5"/>
  <c r="AD127" i="5" s="1"/>
  <c r="CX129" i="5"/>
  <c r="Z140" i="5"/>
  <c r="AA140" i="5" s="1"/>
  <c r="AF139" i="5"/>
  <c r="AF78" i="5" s="1"/>
  <c r="AG78" i="5" s="1"/>
  <c r="AF141" i="5"/>
  <c r="AG141" i="5" s="1"/>
  <c r="AF143" i="5"/>
  <c r="AG143" i="5" s="1"/>
  <c r="AF145" i="5"/>
  <c r="AG145" i="5" s="1"/>
  <c r="AK138" i="5"/>
  <c r="AL138" i="5" s="1"/>
  <c r="AK140" i="5"/>
  <c r="AL140" i="5" s="1"/>
  <c r="AK142" i="5"/>
  <c r="AL142" i="5" s="1"/>
  <c r="AK144" i="5"/>
  <c r="AL144" i="5" s="1"/>
  <c r="AK146" i="5"/>
  <c r="AL146" i="5" s="1"/>
  <c r="AP139" i="5"/>
  <c r="AP78" i="5" s="1"/>
  <c r="AQ78" i="5" s="1"/>
  <c r="AP141" i="5"/>
  <c r="AQ141" i="5" s="1"/>
  <c r="AP143" i="5"/>
  <c r="AQ143" i="5" s="1"/>
  <c r="AP145" i="5"/>
  <c r="AQ145" i="5" s="1"/>
  <c r="DP143" i="5"/>
  <c r="DQ143" i="5" s="1"/>
  <c r="DV140" i="5"/>
  <c r="DW140" i="5" s="1"/>
  <c r="DU143" i="5"/>
  <c r="DV143" i="5" s="1"/>
  <c r="DU147" i="5"/>
  <c r="DV147" i="5" s="1"/>
  <c r="CW145" i="5"/>
  <c r="CX145" i="5" s="1"/>
  <c r="DF145" i="5"/>
  <c r="DG145" i="5" s="1"/>
  <c r="AJ148" i="5"/>
  <c r="AK148" i="5" s="1"/>
  <c r="CC148" i="5"/>
  <c r="CD148" i="5" s="1"/>
  <c r="CQ148" i="5"/>
  <c r="CR148" i="5" s="1"/>
  <c r="CS148" i="5" s="1"/>
  <c r="DK148" i="5"/>
  <c r="DL148" i="5" s="1"/>
  <c r="AE155" i="5"/>
  <c r="AF150" i="5"/>
  <c r="AG150" i="5" s="1"/>
  <c r="AF152" i="5"/>
  <c r="AG152" i="5" s="1"/>
  <c r="AF154" i="5"/>
  <c r="AG154" i="5" s="1"/>
  <c r="AK151" i="5"/>
  <c r="AL151" i="5" s="1"/>
  <c r="AK153" i="5"/>
  <c r="AL153" i="5" s="1"/>
  <c r="AO155" i="5"/>
  <c r="AP150" i="5"/>
  <c r="AQ150" i="5" s="1"/>
  <c r="AP152" i="5"/>
  <c r="AQ152" i="5" s="1"/>
  <c r="AP154" i="5"/>
  <c r="AQ154" i="5" s="1"/>
  <c r="BC155" i="5"/>
  <c r="BD150" i="5"/>
  <c r="BE150" i="5" s="1"/>
  <c r="BD152" i="5"/>
  <c r="BE152" i="5" s="1"/>
  <c r="BD154" i="5"/>
  <c r="BE154" i="5" s="1"/>
  <c r="BI151" i="5"/>
  <c r="BJ151" i="5" s="1"/>
  <c r="BW152" i="5"/>
  <c r="BW155" i="5" s="1"/>
  <c r="CL153" i="5"/>
  <c r="CL155" i="5" s="1"/>
  <c r="DA154" i="5"/>
  <c r="DB154" i="5" s="1"/>
  <c r="DL153" i="5"/>
  <c r="DM153" i="5" s="1"/>
  <c r="DU150" i="5"/>
  <c r="DU153" i="5"/>
  <c r="DV153" i="5" s="1"/>
  <c r="BU190" i="5"/>
  <c r="BU194" i="5"/>
  <c r="BU184" i="5"/>
  <c r="O114" i="5"/>
  <c r="T114" i="5"/>
  <c r="BP114" i="5"/>
  <c r="BU114" i="5"/>
  <c r="CJ114" i="5"/>
  <c r="CO114" i="5"/>
  <c r="DD114" i="5"/>
  <c r="DT120" i="5"/>
  <c r="G123" i="5"/>
  <c r="DB140" i="5"/>
  <c r="DC140" i="5" s="1"/>
  <c r="DF141" i="5"/>
  <c r="DG141" i="5" s="1"/>
  <c r="DH141" i="5" s="1"/>
  <c r="DG143" i="5"/>
  <c r="DH143" i="5" s="1"/>
  <c r="DP139" i="5"/>
  <c r="DQ139" i="5" s="1"/>
  <c r="DV139" i="5"/>
  <c r="DW139" i="5" s="1"/>
  <c r="DV141" i="5"/>
  <c r="DW141" i="5" s="1"/>
  <c r="DU144" i="5"/>
  <c r="DV144" i="5" s="1"/>
  <c r="DK140" i="5"/>
  <c r="DL140" i="5" s="1"/>
  <c r="DF146" i="5"/>
  <c r="CV146" i="5"/>
  <c r="CW146" i="5" s="1"/>
  <c r="CX146" i="5" s="1"/>
  <c r="AM158" i="5"/>
  <c r="AN148" i="5"/>
  <c r="AO148" i="5" s="1"/>
  <c r="AP148" i="5" s="1"/>
  <c r="AZ194" i="5"/>
  <c r="AZ199" i="5" s="1"/>
  <c r="AZ202" i="5" s="1"/>
  <c r="AZ190" i="5"/>
  <c r="AZ184" i="5"/>
  <c r="AZ185" i="5" s="1"/>
  <c r="BA183" i="5" s="1"/>
  <c r="CV148" i="5"/>
  <c r="CW148" i="5" s="1"/>
  <c r="CX148" i="5" s="1"/>
  <c r="DN158" i="5"/>
  <c r="DO148" i="5"/>
  <c r="DP148" i="5" s="1"/>
  <c r="DQ148" i="5" s="1"/>
  <c r="BR153" i="5"/>
  <c r="BR155" i="5" s="1"/>
  <c r="CG154" i="5"/>
  <c r="CH154" i="5" s="1"/>
  <c r="CZ155" i="5"/>
  <c r="CZ158" i="5" s="1"/>
  <c r="DA150" i="5"/>
  <c r="DB150" i="5" s="1"/>
  <c r="DP151" i="5"/>
  <c r="DQ151" i="5" s="1"/>
  <c r="DO155" i="5"/>
  <c r="DR153" i="5"/>
  <c r="AH190" i="5"/>
  <c r="AH194" i="5"/>
  <c r="AH184" i="5"/>
  <c r="P114" i="5"/>
  <c r="BQ114" i="5"/>
  <c r="CK114" i="5"/>
  <c r="DI114" i="5"/>
  <c r="BA118" i="5"/>
  <c r="BA121" i="5" s="1"/>
  <c r="X123" i="5"/>
  <c r="X126" i="5" s="1"/>
  <c r="EB125" i="5"/>
  <c r="BJ136" i="5"/>
  <c r="CD136" i="5"/>
  <c r="AF138" i="5"/>
  <c r="AG138" i="5" s="1"/>
  <c r="AF140" i="5"/>
  <c r="AG140" i="5" s="1"/>
  <c r="AF142" i="5"/>
  <c r="AG142" i="5" s="1"/>
  <c r="AF144" i="5"/>
  <c r="AG144" i="5" s="1"/>
  <c r="AF146" i="5"/>
  <c r="AG146" i="5" s="1"/>
  <c r="AK139" i="5"/>
  <c r="AK78" i="5" s="1"/>
  <c r="AK141" i="5"/>
  <c r="AL141" i="5" s="1"/>
  <c r="AK143" i="5"/>
  <c r="AL143" i="5" s="1"/>
  <c r="AK145" i="5"/>
  <c r="AL145" i="5" s="1"/>
  <c r="AP138" i="5"/>
  <c r="AQ138" i="5" s="1"/>
  <c r="AP140" i="5"/>
  <c r="AQ140" i="5" s="1"/>
  <c r="AP142" i="5"/>
  <c r="AQ142" i="5" s="1"/>
  <c r="AP144" i="5"/>
  <c r="AQ144" i="5" s="1"/>
  <c r="AP146" i="5"/>
  <c r="AQ146" i="5" s="1"/>
  <c r="DA143" i="5"/>
  <c r="DB143" i="5" s="1"/>
  <c r="DV138" i="5"/>
  <c r="DW138" i="5" s="1"/>
  <c r="DU145" i="5"/>
  <c r="DV145" i="5" s="1"/>
  <c r="DA145" i="5"/>
  <c r="DB145" i="5" s="1"/>
  <c r="DC145" i="5" s="1"/>
  <c r="DK145" i="5"/>
  <c r="DL145" i="5" s="1"/>
  <c r="Z148" i="5"/>
  <c r="AA148" i="5" s="1"/>
  <c r="AB148" i="5" s="1"/>
  <c r="BX148" i="5"/>
  <c r="BY148" i="5" s="1"/>
  <c r="CG148" i="5"/>
  <c r="CH148" i="5" s="1"/>
  <c r="CI148" i="5" s="1"/>
  <c r="DA148" i="5"/>
  <c r="DB148" i="5" s="1"/>
  <c r="Z154" i="5"/>
  <c r="AA154" i="5" s="1"/>
  <c r="AB154" i="5" s="1"/>
  <c r="AF151" i="5"/>
  <c r="AG151" i="5" s="1"/>
  <c r="AF153" i="5"/>
  <c r="AG153" i="5" s="1"/>
  <c r="AJ155" i="5"/>
  <c r="AK150" i="5"/>
  <c r="AK152" i="5"/>
  <c r="AL152" i="5" s="1"/>
  <c r="AK154" i="5"/>
  <c r="AL154" i="5" s="1"/>
  <c r="AP151" i="5"/>
  <c r="AQ151" i="5" s="1"/>
  <c r="AP153" i="5"/>
  <c r="AQ153" i="5" s="1"/>
  <c r="BD151" i="5"/>
  <c r="BE151" i="5" s="1"/>
  <c r="BD153" i="5"/>
  <c r="BE153" i="5" s="1"/>
  <c r="BH155" i="5"/>
  <c r="BI150" i="5"/>
  <c r="BJ150" i="5" s="1"/>
  <c r="BM154" i="5"/>
  <c r="BN154" i="5" s="1"/>
  <c r="BO154" i="5" s="1"/>
  <c r="CF155" i="5"/>
  <c r="CF158" i="5" s="1"/>
  <c r="CG150" i="5"/>
  <c r="CV151" i="5"/>
  <c r="CW151" i="5" s="1"/>
  <c r="CU155" i="5"/>
  <c r="CU158" i="5" s="1"/>
  <c r="DL150" i="5"/>
  <c r="DK152" i="5"/>
  <c r="DL152" i="5" s="1"/>
  <c r="DM154" i="5"/>
  <c r="DT198" i="5"/>
  <c r="DU157" i="5"/>
  <c r="BA190" i="5"/>
  <c r="BA194" i="5"/>
  <c r="BA184" i="5"/>
  <c r="CA155" i="5"/>
  <c r="AS158" i="5"/>
  <c r="DU136" i="5"/>
  <c r="AF136" i="5"/>
  <c r="BD136" i="5"/>
  <c r="BN136" i="5"/>
  <c r="DB136" i="5"/>
  <c r="DQ136" i="5"/>
  <c r="Z138" i="5"/>
  <c r="DA141" i="5"/>
  <c r="DB141" i="5" s="1"/>
  <c r="DG140" i="5"/>
  <c r="DH140" i="5" s="1"/>
  <c r="DP141" i="5"/>
  <c r="DQ141" i="5" s="1"/>
  <c r="CY190" i="5"/>
  <c r="CY194" i="5"/>
  <c r="DK146" i="5"/>
  <c r="DL146" i="5" s="1"/>
  <c r="DP145" i="5"/>
  <c r="DQ145" i="5" s="1"/>
  <c r="DP146" i="5"/>
  <c r="DQ146" i="5" s="1"/>
  <c r="DP147" i="5"/>
  <c r="DQ147" i="5" s="1"/>
  <c r="V158" i="5"/>
  <c r="AT148" i="5"/>
  <c r="BM148" i="5"/>
  <c r="BN148" i="5" s="1"/>
  <c r="BQ148" i="5"/>
  <c r="BR148" i="5" s="1"/>
  <c r="CE158" i="5"/>
  <c r="BI152" i="5"/>
  <c r="BJ152" i="5" s="1"/>
  <c r="BN151" i="5"/>
  <c r="BO151" i="5" s="1"/>
  <c r="BS150" i="5"/>
  <c r="BT150" i="5" s="1"/>
  <c r="BS154" i="5"/>
  <c r="BT154" i="5" s="1"/>
  <c r="BX153" i="5"/>
  <c r="BY153" i="5" s="1"/>
  <c r="CC152" i="5"/>
  <c r="CD152" i="5" s="1"/>
  <c r="CH151" i="5"/>
  <c r="CI151" i="5" s="1"/>
  <c r="CM150" i="5"/>
  <c r="CN150" i="5" s="1"/>
  <c r="CM154" i="5"/>
  <c r="CN154" i="5" s="1"/>
  <c r="CR153" i="5"/>
  <c r="CS153" i="5" s="1"/>
  <c r="CW152" i="5"/>
  <c r="CX152" i="5" s="1"/>
  <c r="DB151" i="5"/>
  <c r="DC151" i="5" s="1"/>
  <c r="DG150" i="5"/>
  <c r="DH150" i="5" s="1"/>
  <c r="DG154" i="5"/>
  <c r="DH154" i="5" s="1"/>
  <c r="U194" i="5"/>
  <c r="U199" i="5" s="1"/>
  <c r="BP158" i="5"/>
  <c r="DD194" i="5"/>
  <c r="DD190" i="5"/>
  <c r="DD184" i="5"/>
  <c r="DT158" i="5"/>
  <c r="F163" i="5"/>
  <c r="G163" i="5" s="1"/>
  <c r="H163" i="5" s="1"/>
  <c r="L161" i="5"/>
  <c r="P164" i="5"/>
  <c r="P125" i="5" s="1"/>
  <c r="V161" i="5"/>
  <c r="Z164" i="5"/>
  <c r="AF161" i="5"/>
  <c r="AG161" i="5" s="1"/>
  <c r="AJ164" i="5"/>
  <c r="AJ125" i="5" s="1"/>
  <c r="AP161" i="5"/>
  <c r="BD161" i="5"/>
  <c r="BH164" i="5"/>
  <c r="BH125" i="5" s="1"/>
  <c r="BN161" i="5"/>
  <c r="BO161" i="5" s="1"/>
  <c r="CQ164" i="5"/>
  <c r="CQ125" i="5" s="1"/>
  <c r="DG161" i="5"/>
  <c r="DH161" i="5" s="1"/>
  <c r="BR165" i="5"/>
  <c r="BR125" i="5" s="1"/>
  <c r="CG163" i="5"/>
  <c r="CH163" i="5" s="1"/>
  <c r="CI163" i="5" s="1"/>
  <c r="DJ200" i="5"/>
  <c r="DJ207" i="5" s="1"/>
  <c r="DK161" i="5"/>
  <c r="CV166" i="5"/>
  <c r="CW166" i="5" s="1"/>
  <c r="CX166" i="5" s="1"/>
  <c r="D187" i="5"/>
  <c r="E183" i="5"/>
  <c r="CO194" i="5"/>
  <c r="CO190" i="5"/>
  <c r="CO184" i="5"/>
  <c r="DI190" i="5"/>
  <c r="DI194" i="5"/>
  <c r="K200" i="5"/>
  <c r="K207" i="5" s="1"/>
  <c r="K168" i="5"/>
  <c r="U200" i="5"/>
  <c r="U207" i="5" s="1"/>
  <c r="U168" i="5"/>
  <c r="AE200" i="5"/>
  <c r="AE207" i="5" s="1"/>
  <c r="AE168" i="5"/>
  <c r="AF168" i="5" s="1"/>
  <c r="AG168" i="5" s="1"/>
  <c r="AO200" i="5"/>
  <c r="AO207" i="5" s="1"/>
  <c r="AO168" i="5"/>
  <c r="AP168" i="5" s="1"/>
  <c r="AQ168" i="5" s="1"/>
  <c r="BC200" i="5"/>
  <c r="BC207" i="5" s="1"/>
  <c r="BC168" i="5"/>
  <c r="BD168" i="5" s="1"/>
  <c r="BM200" i="5"/>
  <c r="BM207" i="5" s="1"/>
  <c r="DF200" i="5"/>
  <c r="DF207" i="5" s="1"/>
  <c r="BM167" i="5"/>
  <c r="BN167" i="5" s="1"/>
  <c r="BO167" i="5" s="1"/>
  <c r="DV164" i="5"/>
  <c r="DW164" i="5" s="1"/>
  <c r="CG165" i="5"/>
  <c r="CG125" i="5" s="1"/>
  <c r="K177" i="5"/>
  <c r="L177" i="5" s="1"/>
  <c r="M177" i="5" s="1"/>
  <c r="AD181" i="5"/>
  <c r="AE171" i="5"/>
  <c r="AF171" i="5" s="1"/>
  <c r="AI158" i="5"/>
  <c r="BG158" i="5"/>
  <c r="CA158" i="5"/>
  <c r="L158" i="5"/>
  <c r="AR194" i="5"/>
  <c r="AR199" i="5" s="1"/>
  <c r="AR202" i="5" s="1"/>
  <c r="AR184" i="5"/>
  <c r="AR190" i="5"/>
  <c r="BK190" i="5"/>
  <c r="BK184" i="5"/>
  <c r="BK185" i="5" s="1"/>
  <c r="BK194" i="5"/>
  <c r="BO148" i="5"/>
  <c r="DS190" i="5"/>
  <c r="DS194" i="5"/>
  <c r="DW148" i="5"/>
  <c r="BI154" i="5"/>
  <c r="BJ154" i="5" s="1"/>
  <c r="BN153" i="5"/>
  <c r="BO153" i="5" s="1"/>
  <c r="BS152" i="5"/>
  <c r="BT152" i="5" s="1"/>
  <c r="BX151" i="5"/>
  <c r="BY151" i="5" s="1"/>
  <c r="CC150" i="5"/>
  <c r="CC154" i="5"/>
  <c r="CD154" i="5" s="1"/>
  <c r="CH153" i="5"/>
  <c r="CI153" i="5" s="1"/>
  <c r="CM152" i="5"/>
  <c r="CN152" i="5" s="1"/>
  <c r="CR151" i="5"/>
  <c r="CS151" i="5" s="1"/>
  <c r="CW150" i="5"/>
  <c r="CX150" i="5" s="1"/>
  <c r="CW154" i="5"/>
  <c r="CX154" i="5" s="1"/>
  <c r="DB153" i="5"/>
  <c r="DC153" i="5" s="1"/>
  <c r="DG152" i="5"/>
  <c r="DH152" i="5" s="1"/>
  <c r="AC194" i="5"/>
  <c r="AC190" i="5"/>
  <c r="AC184" i="5"/>
  <c r="O194" i="5"/>
  <c r="O190" i="5"/>
  <c r="P158" i="5"/>
  <c r="Q158" i="5" s="1"/>
  <c r="CJ194" i="5"/>
  <c r="CJ190" i="5"/>
  <c r="K164" i="5"/>
  <c r="K125" i="5" s="1"/>
  <c r="Q200" i="5"/>
  <c r="U164" i="5"/>
  <c r="U125" i="5" s="1"/>
  <c r="AE164" i="5"/>
  <c r="AE125" i="5" s="1"/>
  <c r="AK200" i="5"/>
  <c r="AO164" i="5"/>
  <c r="AO125" i="5" s="1"/>
  <c r="BC164" i="5"/>
  <c r="BC125" i="5" s="1"/>
  <c r="BI200" i="5"/>
  <c r="BI207" i="5" s="1"/>
  <c r="BM163" i="5"/>
  <c r="BN163" i="5" s="1"/>
  <c r="BO163" i="5" s="1"/>
  <c r="CB165" i="5"/>
  <c r="CB125" i="5" s="1"/>
  <c r="CW163" i="5"/>
  <c r="CX163" i="5" s="1"/>
  <c r="CK164" i="5"/>
  <c r="CK125" i="5" s="1"/>
  <c r="DL165" i="5"/>
  <c r="DM165" i="5" s="1"/>
  <c r="BM168" i="5"/>
  <c r="BN168" i="5" s="1"/>
  <c r="BO168" i="5" s="1"/>
  <c r="AB152" i="5"/>
  <c r="BI153" i="5"/>
  <c r="BJ153" i="5" s="1"/>
  <c r="BN152" i="5"/>
  <c r="BO152" i="5" s="1"/>
  <c r="BS151" i="5"/>
  <c r="BT151" i="5" s="1"/>
  <c r="BV155" i="5"/>
  <c r="BV158" i="5" s="1"/>
  <c r="BX150" i="5"/>
  <c r="BX154" i="5"/>
  <c r="BY154" i="5" s="1"/>
  <c r="CB155" i="5"/>
  <c r="CC153" i="5"/>
  <c r="CD153" i="5" s="1"/>
  <c r="CH152" i="5"/>
  <c r="CI152" i="5" s="1"/>
  <c r="CM151" i="5"/>
  <c r="CN151" i="5" s="1"/>
  <c r="CP155" i="5"/>
  <c r="CP158" i="5" s="1"/>
  <c r="CR150" i="5"/>
  <c r="CR154" i="5"/>
  <c r="CS154" i="5" s="1"/>
  <c r="CW153" i="5"/>
  <c r="CX153" i="5" s="1"/>
  <c r="DB152" i="5"/>
  <c r="DC152" i="5" s="1"/>
  <c r="DG151" i="5"/>
  <c r="DH151" i="5" s="1"/>
  <c r="DJ155" i="5"/>
  <c r="DJ158" i="5" s="1"/>
  <c r="DQ150" i="5"/>
  <c r="DW151" i="5"/>
  <c r="X194" i="5"/>
  <c r="X190" i="5"/>
  <c r="X184" i="5"/>
  <c r="BQ155" i="5"/>
  <c r="CK155" i="5"/>
  <c r="CK158" i="5" s="1"/>
  <c r="DE155" i="5"/>
  <c r="DE158" i="5" s="1"/>
  <c r="F167" i="5"/>
  <c r="G167" i="5" s="1"/>
  <c r="H167" i="5" s="1"/>
  <c r="P200" i="5"/>
  <c r="P207" i="5" s="1"/>
  <c r="P168" i="5"/>
  <c r="Q168" i="5" s="1"/>
  <c r="R168" i="5" s="1"/>
  <c r="Z200" i="5"/>
  <c r="Z207" i="5" s="1"/>
  <c r="Z168" i="5"/>
  <c r="AJ200" i="5"/>
  <c r="AJ207" i="5" s="1"/>
  <c r="AJ168" i="5"/>
  <c r="AT200" i="5"/>
  <c r="AT207" i="5" s="1"/>
  <c r="BH200" i="5"/>
  <c r="BH207" i="5" s="1"/>
  <c r="BH168" i="5"/>
  <c r="BI168" i="5" s="1"/>
  <c r="CQ168" i="5"/>
  <c r="CR168" i="5" s="1"/>
  <c r="BW165" i="5"/>
  <c r="BW125" i="5" s="1"/>
  <c r="CG167" i="5"/>
  <c r="CH167" i="5" s="1"/>
  <c r="CI167" i="5" s="1"/>
  <c r="DL168" i="5"/>
  <c r="DM168" i="5" s="1"/>
  <c r="U175" i="5"/>
  <c r="V175" i="5" s="1"/>
  <c r="W175" i="5" s="1"/>
  <c r="DC157" i="5"/>
  <c r="J194" i="5"/>
  <c r="J199" i="5" s="1"/>
  <c r="J190" i="5"/>
  <c r="E201" i="5"/>
  <c r="H166" i="5"/>
  <c r="M163" i="5"/>
  <c r="M167" i="5"/>
  <c r="R163" i="5"/>
  <c r="R167" i="5"/>
  <c r="W163" i="5"/>
  <c r="W167" i="5"/>
  <c r="AB163" i="5"/>
  <c r="AB167" i="5"/>
  <c r="AG163" i="5"/>
  <c r="AG167" i="5"/>
  <c r="AL163" i="5"/>
  <c r="AL167" i="5"/>
  <c r="AQ163" i="5"/>
  <c r="AQ167" i="5"/>
  <c r="AS201" i="5"/>
  <c r="AT162" i="5"/>
  <c r="BE163" i="5"/>
  <c r="BE167" i="5"/>
  <c r="BJ163" i="5"/>
  <c r="BJ167" i="5"/>
  <c r="CS165" i="5"/>
  <c r="CZ200" i="5"/>
  <c r="CZ207" i="5" s="1"/>
  <c r="DB161" i="5"/>
  <c r="BL201" i="5"/>
  <c r="BM162" i="5"/>
  <c r="BO164" i="5"/>
  <c r="CD166" i="5"/>
  <c r="CF201" i="5"/>
  <c r="CG162" i="5"/>
  <c r="CU201" i="5"/>
  <c r="CX201" i="5" s="1"/>
  <c r="CX162" i="5"/>
  <c r="DJ201" i="5"/>
  <c r="DL162" i="5"/>
  <c r="DL201" i="5" s="1"/>
  <c r="CX165" i="5"/>
  <c r="CL166" i="5"/>
  <c r="CM166" i="5" s="1"/>
  <c r="CL168" i="5"/>
  <c r="CM168" i="5" s="1"/>
  <c r="DA165" i="5"/>
  <c r="DB165" i="5" s="1"/>
  <c r="DF164" i="5"/>
  <c r="DF166" i="5"/>
  <c r="DG166" i="5" s="1"/>
  <c r="DH166" i="5" s="1"/>
  <c r="BQ168" i="5"/>
  <c r="K173" i="5"/>
  <c r="T181" i="5"/>
  <c r="U171" i="5"/>
  <c r="V171" i="5" s="1"/>
  <c r="W171" i="5" s="1"/>
  <c r="Z177" i="5"/>
  <c r="AO171" i="5"/>
  <c r="AP171" i="5" s="1"/>
  <c r="BC179" i="5"/>
  <c r="BD179" i="5" s="1"/>
  <c r="BM177" i="5"/>
  <c r="BN177" i="5" s="1"/>
  <c r="BR172" i="5"/>
  <c r="BS172" i="5" s="1"/>
  <c r="BR176" i="5"/>
  <c r="BR180" i="5"/>
  <c r="BS180" i="5" s="1"/>
  <c r="BT180" i="5" s="1"/>
  <c r="BW174" i="5"/>
  <c r="BX174" i="5" s="1"/>
  <c r="BW178" i="5"/>
  <c r="BX178" i="5" s="1"/>
  <c r="BY178" i="5" s="1"/>
  <c r="CB172" i="5"/>
  <c r="CB176" i="5"/>
  <c r="CC176" i="5" s="1"/>
  <c r="CD176" i="5" s="1"/>
  <c r="CB180" i="5"/>
  <c r="CC180" i="5" s="1"/>
  <c r="CG174" i="5"/>
  <c r="CG178" i="5"/>
  <c r="CL173" i="5"/>
  <c r="CM173" i="5" s="1"/>
  <c r="CN173" i="5" s="1"/>
  <c r="CL177" i="5"/>
  <c r="CM177" i="5" s="1"/>
  <c r="CQ172" i="5"/>
  <c r="CQ176" i="5"/>
  <c r="DU174" i="5"/>
  <c r="DV174" i="5" s="1"/>
  <c r="E194" i="5"/>
  <c r="E190" i="5"/>
  <c r="K194" i="5"/>
  <c r="K199" i="5" s="1"/>
  <c r="BF190" i="5"/>
  <c r="BF184" i="5"/>
  <c r="BF194" i="5"/>
  <c r="BZ194" i="5"/>
  <c r="BZ190" i="5"/>
  <c r="CT194" i="5"/>
  <c r="CT184" i="5"/>
  <c r="CT190" i="5"/>
  <c r="E200" i="5"/>
  <c r="E207" i="5" s="1"/>
  <c r="E169" i="5"/>
  <c r="J201" i="5"/>
  <c r="O201" i="5"/>
  <c r="T201" i="5"/>
  <c r="Y201" i="5"/>
  <c r="AD201" i="5"/>
  <c r="AI201" i="5"/>
  <c r="AN201" i="5"/>
  <c r="BB201" i="5"/>
  <c r="BG201" i="5"/>
  <c r="BP200" i="5"/>
  <c r="BP169" i="5"/>
  <c r="BU200" i="5"/>
  <c r="BZ169" i="5"/>
  <c r="BZ184" i="5" s="1"/>
  <c r="CA161" i="5"/>
  <c r="CJ200" i="5"/>
  <c r="CJ169" i="5"/>
  <c r="CP201" i="5"/>
  <c r="CQ162" i="5"/>
  <c r="DA200" i="5"/>
  <c r="DA207" i="5" s="1"/>
  <c r="DO200" i="5"/>
  <c r="DU200" i="5"/>
  <c r="DO164" i="5"/>
  <c r="EB164" i="5"/>
  <c r="CG166" i="5"/>
  <c r="CH166" i="5" s="1"/>
  <c r="CI166" i="5" s="1"/>
  <c r="DK164" i="5"/>
  <c r="DT169" i="5"/>
  <c r="DG168" i="5"/>
  <c r="DH168" i="5" s="1"/>
  <c r="DQ168" i="5"/>
  <c r="DR168" i="5" s="1"/>
  <c r="G171" i="5"/>
  <c r="F178" i="5"/>
  <c r="P176" i="5"/>
  <c r="Q176" i="5" s="1"/>
  <c r="Z173" i="5"/>
  <c r="Z181" i="5" s="1"/>
  <c r="AE179" i="5"/>
  <c r="AF179" i="5" s="1"/>
  <c r="AG179" i="5" s="1"/>
  <c r="BC175" i="5"/>
  <c r="BD175" i="5" s="1"/>
  <c r="DF173" i="5"/>
  <c r="DG173" i="5" s="1"/>
  <c r="DH173" i="5" s="1"/>
  <c r="DU171" i="5"/>
  <c r="AE156" i="5"/>
  <c r="AE157" i="5"/>
  <c r="AJ156" i="5"/>
  <c r="AJ157" i="5"/>
  <c r="AO156" i="5"/>
  <c r="AO157" i="5"/>
  <c r="BC156" i="5"/>
  <c r="BC157" i="5"/>
  <c r="BH156" i="5"/>
  <c r="BH157" i="5"/>
  <c r="BM156" i="5"/>
  <c r="BM157" i="5"/>
  <c r="BR156" i="5"/>
  <c r="BR157" i="5"/>
  <c r="BW156" i="5"/>
  <c r="BW157" i="5"/>
  <c r="CB156" i="5"/>
  <c r="CB157" i="5"/>
  <c r="CG156" i="5"/>
  <c r="CG157" i="5"/>
  <c r="CL156" i="5"/>
  <c r="CL157" i="5"/>
  <c r="CQ156" i="5"/>
  <c r="CQ157" i="5"/>
  <c r="CV156" i="5"/>
  <c r="CV157" i="5"/>
  <c r="DA156" i="5"/>
  <c r="DF156" i="5"/>
  <c r="DF157" i="5"/>
  <c r="DK156" i="5"/>
  <c r="DK157" i="5"/>
  <c r="DP156" i="5"/>
  <c r="DP157" i="5"/>
  <c r="Z157" i="5"/>
  <c r="F158" i="5"/>
  <c r="G158" i="5" s="1"/>
  <c r="T194" i="5"/>
  <c r="T199" i="5" s="1"/>
  <c r="T190" i="5"/>
  <c r="F161" i="5"/>
  <c r="G162" i="5"/>
  <c r="G201" i="5" s="1"/>
  <c r="H201" i="5" s="1"/>
  <c r="F165" i="5"/>
  <c r="J200" i="5"/>
  <c r="J207" i="5" s="1"/>
  <c r="J169" i="5"/>
  <c r="M161" i="5"/>
  <c r="K162" i="5"/>
  <c r="K166" i="5"/>
  <c r="L166" i="5" s="1"/>
  <c r="O200" i="5"/>
  <c r="O207" i="5" s="1"/>
  <c r="O169" i="5"/>
  <c r="R161" i="5"/>
  <c r="P162" i="5"/>
  <c r="P166" i="5"/>
  <c r="Q166" i="5" s="1"/>
  <c r="T200" i="5"/>
  <c r="T207" i="5" s="1"/>
  <c r="W161" i="5"/>
  <c r="U162" i="5"/>
  <c r="U190" i="5" s="1"/>
  <c r="U166" i="5"/>
  <c r="V166" i="5" s="1"/>
  <c r="Y200" i="5"/>
  <c r="Y207" i="5" s="1"/>
  <c r="Y169" i="5"/>
  <c r="Z162" i="5"/>
  <c r="Z166" i="5"/>
  <c r="AA166" i="5" s="1"/>
  <c r="AD200" i="5"/>
  <c r="AD207" i="5" s="1"/>
  <c r="AD169" i="5"/>
  <c r="AE162" i="5"/>
  <c r="AG165" i="5"/>
  <c r="AE166" i="5"/>
  <c r="AF166" i="5" s="1"/>
  <c r="AI200" i="5"/>
  <c r="AI207" i="5" s="1"/>
  <c r="AI169" i="5"/>
  <c r="AL161" i="5"/>
  <c r="AJ162" i="5"/>
  <c r="AL165" i="5"/>
  <c r="AJ166" i="5"/>
  <c r="AK166" i="5" s="1"/>
  <c r="AN200" i="5"/>
  <c r="AN207" i="5" s="1"/>
  <c r="AQ161" i="5"/>
  <c r="AO162" i="5"/>
  <c r="AQ165" i="5"/>
  <c r="AO166" i="5"/>
  <c r="AP166" i="5" s="1"/>
  <c r="AS200" i="5"/>
  <c r="AS207" i="5" s="1"/>
  <c r="AS169" i="5"/>
  <c r="BB200" i="5"/>
  <c r="BB207" i="5" s="1"/>
  <c r="BB169" i="5"/>
  <c r="BE161" i="5"/>
  <c r="BC162" i="5"/>
  <c r="BE165" i="5"/>
  <c r="BC166" i="5"/>
  <c r="BD166" i="5" s="1"/>
  <c r="BG200" i="5"/>
  <c r="BG169" i="5"/>
  <c r="BJ161" i="5"/>
  <c r="BH162" i="5"/>
  <c r="BJ165" i="5"/>
  <c r="BH166" i="5"/>
  <c r="BI166" i="5" s="1"/>
  <c r="BL200" i="5"/>
  <c r="BL207" i="5" s="1"/>
  <c r="BL169" i="5"/>
  <c r="BQ161" i="5"/>
  <c r="BV161" i="5"/>
  <c r="CB161" i="5"/>
  <c r="CF200" i="5"/>
  <c r="CF207" i="5" s="1"/>
  <c r="CF169" i="5"/>
  <c r="CN162" i="5"/>
  <c r="CP200" i="5"/>
  <c r="CP207" i="5" s="1"/>
  <c r="CP169" i="5"/>
  <c r="CQ161" i="5"/>
  <c r="CR166" i="5"/>
  <c r="CS166" i="5" s="1"/>
  <c r="CU200" i="5"/>
  <c r="CU207" i="5" s="1"/>
  <c r="CU169" i="5"/>
  <c r="CV161" i="5"/>
  <c r="DE200" i="5"/>
  <c r="DE207" i="5" s="1"/>
  <c r="DE169" i="5"/>
  <c r="DP161" i="5"/>
  <c r="DV161" i="5"/>
  <c r="BN165" i="5"/>
  <c r="BQ201" i="5"/>
  <c r="BR162" i="5"/>
  <c r="BS163" i="5"/>
  <c r="BT163" i="5" s="1"/>
  <c r="BV201" i="5"/>
  <c r="BW162" i="5"/>
  <c r="BX163" i="5"/>
  <c r="BY163" i="5" s="1"/>
  <c r="CA201" i="5"/>
  <c r="CB162" i="5"/>
  <c r="CC163" i="5"/>
  <c r="CD163" i="5" s="1"/>
  <c r="CC167" i="5"/>
  <c r="CD167" i="5" s="1"/>
  <c r="CK161" i="5"/>
  <c r="CL161" i="5" s="1"/>
  <c r="CV164" i="5"/>
  <c r="DC161" i="5"/>
  <c r="CL165" i="5"/>
  <c r="CM165" i="5" s="1"/>
  <c r="CL167" i="5"/>
  <c r="CM167" i="5" s="1"/>
  <c r="DA164" i="5"/>
  <c r="DA166" i="5"/>
  <c r="DB166" i="5" s="1"/>
  <c r="DR165" i="5"/>
  <c r="F168" i="5"/>
  <c r="G168" i="5" s="1"/>
  <c r="DW168" i="5"/>
  <c r="T169" i="5"/>
  <c r="AN169" i="5"/>
  <c r="F174" i="5"/>
  <c r="P172" i="5"/>
  <c r="Q172" i="5" s="1"/>
  <c r="R172" i="5" s="1"/>
  <c r="U179" i="5"/>
  <c r="AA171" i="5"/>
  <c r="AB171" i="5" s="1"/>
  <c r="AE175" i="5"/>
  <c r="BB181" i="5"/>
  <c r="BC171" i="5"/>
  <c r="BD171" i="5" s="1"/>
  <c r="BM172" i="5"/>
  <c r="BN172" i="5" s="1"/>
  <c r="BO172" i="5" s="1"/>
  <c r="BM175" i="5"/>
  <c r="BN175" i="5" s="1"/>
  <c r="BO175" i="5" s="1"/>
  <c r="BM179" i="5"/>
  <c r="BR174" i="5"/>
  <c r="BS174" i="5" s="1"/>
  <c r="BR178" i="5"/>
  <c r="BS178" i="5" s="1"/>
  <c r="BW172" i="5"/>
  <c r="BW176" i="5"/>
  <c r="BW180" i="5"/>
  <c r="BX180" i="5" s="1"/>
  <c r="CB174" i="5"/>
  <c r="CC174" i="5" s="1"/>
  <c r="CB178" i="5"/>
  <c r="CC178" i="5" s="1"/>
  <c r="CG172" i="5"/>
  <c r="CG176" i="5"/>
  <c r="CH176" i="5" s="1"/>
  <c r="CK181" i="5"/>
  <c r="CL171" i="5"/>
  <c r="CM171" i="5" s="1"/>
  <c r="CL175" i="5"/>
  <c r="CM175" i="5" s="1"/>
  <c r="CL179" i="5"/>
  <c r="CM179" i="5" s="1"/>
  <c r="CN179" i="5" s="1"/>
  <c r="CQ174" i="5"/>
  <c r="CV172" i="5"/>
  <c r="CV176" i="5"/>
  <c r="CW176" i="5" s="1"/>
  <c r="DB171" i="5"/>
  <c r="CY181" i="5"/>
  <c r="CY184" i="5" s="1"/>
  <c r="CZ180" i="5"/>
  <c r="DA180" i="5" s="1"/>
  <c r="CE207" i="5"/>
  <c r="DU165" i="5"/>
  <c r="DU169" i="5" s="1"/>
  <c r="BR166" i="5"/>
  <c r="BS166" i="5" s="1"/>
  <c r="BV166" i="5"/>
  <c r="BW166" i="5" s="1"/>
  <c r="CG168" i="5"/>
  <c r="CH168" i="5" s="1"/>
  <c r="CV168" i="5"/>
  <c r="CW168" i="5" s="1"/>
  <c r="CZ168" i="5"/>
  <c r="DA168" i="5" s="1"/>
  <c r="E181" i="5"/>
  <c r="H171" i="5"/>
  <c r="H175" i="5"/>
  <c r="H179" i="5"/>
  <c r="M174" i="5"/>
  <c r="M178" i="5"/>
  <c r="R173" i="5"/>
  <c r="R177" i="5"/>
  <c r="W172" i="5"/>
  <c r="W176" i="5"/>
  <c r="W180" i="5"/>
  <c r="AB174" i="5"/>
  <c r="AB178" i="5"/>
  <c r="AG172" i="5"/>
  <c r="AG176" i="5"/>
  <c r="AG180" i="5"/>
  <c r="AQ172" i="5"/>
  <c r="BD173" i="5"/>
  <c r="BE173" i="5" s="1"/>
  <c r="BE174" i="5"/>
  <c r="BD177" i="5"/>
  <c r="BE177" i="5" s="1"/>
  <c r="BE178" i="5"/>
  <c r="BG181" i="5"/>
  <c r="BH171" i="5"/>
  <c r="BI172" i="5"/>
  <c r="BJ172" i="5" s="1"/>
  <c r="CV175" i="5"/>
  <c r="CW175" i="5" s="1"/>
  <c r="CX175" i="5" s="1"/>
  <c r="CV179" i="5"/>
  <c r="DK172" i="5"/>
  <c r="DL172" i="5" s="1"/>
  <c r="DK175" i="5"/>
  <c r="DL175" i="5" s="1"/>
  <c r="AJ176" i="5"/>
  <c r="DR174" i="5"/>
  <c r="CR178" i="5"/>
  <c r="CS178" i="5" s="1"/>
  <c r="CR180" i="5"/>
  <c r="CS180" i="5" s="1"/>
  <c r="DC174" i="5"/>
  <c r="AJ180" i="5"/>
  <c r="BN180" i="5"/>
  <c r="EG171" i="5"/>
  <c r="BX166" i="5"/>
  <c r="M172" i="5"/>
  <c r="M176" i="5"/>
  <c r="R179" i="5"/>
  <c r="W174" i="5"/>
  <c r="AB176" i="5"/>
  <c r="AB180" i="5"/>
  <c r="AL172" i="5"/>
  <c r="BL181" i="5"/>
  <c r="BM171" i="5"/>
  <c r="CV173" i="5"/>
  <c r="CW173" i="5" s="1"/>
  <c r="CX173" i="5" s="1"/>
  <c r="CV177" i="5"/>
  <c r="CW177" i="5" s="1"/>
  <c r="CX177" i="5" s="1"/>
  <c r="AM181" i="5"/>
  <c r="AN173" i="5"/>
  <c r="AN181" i="5" s="1"/>
  <c r="AO178" i="5"/>
  <c r="AP178" i="5" s="1"/>
  <c r="CR179" i="5"/>
  <c r="CS179" i="5" s="1"/>
  <c r="DA172" i="5"/>
  <c r="DB172" i="5" s="1"/>
  <c r="DC172" i="5" s="1"/>
  <c r="DF180" i="5"/>
  <c r="DG180" i="5" s="1"/>
  <c r="DQ180" i="5"/>
  <c r="DQ181" i="5" s="1"/>
  <c r="N184" i="5"/>
  <c r="H172" i="5"/>
  <c r="H176" i="5"/>
  <c r="J181" i="5"/>
  <c r="M171" i="5"/>
  <c r="M175" i="5"/>
  <c r="M179" i="5"/>
  <c r="R174" i="5"/>
  <c r="R178" i="5"/>
  <c r="W173" i="5"/>
  <c r="Y181" i="5"/>
  <c r="AB175" i="5"/>
  <c r="AB179" i="5"/>
  <c r="AG173" i="5"/>
  <c r="AG177" i="5"/>
  <c r="AI181" i="5"/>
  <c r="AL171" i="5"/>
  <c r="AS181" i="5"/>
  <c r="BM174" i="5"/>
  <c r="BM176" i="5"/>
  <c r="BN176" i="5" s="1"/>
  <c r="BM178" i="5"/>
  <c r="BQ181" i="5"/>
  <c r="BR171" i="5"/>
  <c r="BR173" i="5"/>
  <c r="BS173" i="5" s="1"/>
  <c r="BT173" i="5" s="1"/>
  <c r="BR175" i="5"/>
  <c r="BR177" i="5"/>
  <c r="BS177" i="5" s="1"/>
  <c r="BT177" i="5" s="1"/>
  <c r="BR179" i="5"/>
  <c r="BV181" i="5"/>
  <c r="BW171" i="5"/>
  <c r="BX171" i="5" s="1"/>
  <c r="BW173" i="5"/>
  <c r="BW175" i="5"/>
  <c r="BX175" i="5" s="1"/>
  <c r="BW177" i="5"/>
  <c r="BX177" i="5" s="1"/>
  <c r="BW179" i="5"/>
  <c r="BX179" i="5" s="1"/>
  <c r="CB171" i="5"/>
  <c r="CB173" i="5"/>
  <c r="CC173" i="5" s="1"/>
  <c r="CB175" i="5"/>
  <c r="CB177" i="5"/>
  <c r="CC177" i="5" s="1"/>
  <c r="CB179" i="5"/>
  <c r="CF181" i="5"/>
  <c r="CG171" i="5"/>
  <c r="CH171" i="5" s="1"/>
  <c r="CG173" i="5"/>
  <c r="CH173" i="5" s="1"/>
  <c r="CI173" i="5" s="1"/>
  <c r="CG175" i="5"/>
  <c r="CH175" i="5" s="1"/>
  <c r="CG177" i="5"/>
  <c r="CH177" i="5" s="1"/>
  <c r="CI177" i="5" s="1"/>
  <c r="CG179" i="5"/>
  <c r="CL172" i="5"/>
  <c r="CM172" i="5" s="1"/>
  <c r="CN172" i="5" s="1"/>
  <c r="CL174" i="5"/>
  <c r="CL176" i="5"/>
  <c r="CM176" i="5" s="1"/>
  <c r="CN176" i="5" s="1"/>
  <c r="CL178" i="5"/>
  <c r="CP181" i="5"/>
  <c r="CQ171" i="5"/>
  <c r="CQ173" i="5"/>
  <c r="CR173" i="5" s="1"/>
  <c r="CQ175" i="5"/>
  <c r="CR175" i="5" s="1"/>
  <c r="CU181" i="5"/>
  <c r="CV171" i="5"/>
  <c r="CW171" i="5" s="1"/>
  <c r="CX171" i="5" s="1"/>
  <c r="CV174" i="5"/>
  <c r="CV178" i="5"/>
  <c r="CW178" i="5" s="1"/>
  <c r="DX181" i="5"/>
  <c r="EB171" i="5"/>
  <c r="EH181" i="5"/>
  <c r="EL171" i="5"/>
  <c r="EL181" i="5" s="1"/>
  <c r="DS181" i="5"/>
  <c r="DS184" i="5" s="1"/>
  <c r="DT172" i="5"/>
  <c r="DU172" i="5" s="1"/>
  <c r="DV172" i="5" s="1"/>
  <c r="AO174" i="5"/>
  <c r="O180" i="5"/>
  <c r="O181" i="5" s="1"/>
  <c r="CA181" i="5"/>
  <c r="DG174" i="5"/>
  <c r="DH174" i="5" s="1"/>
  <c r="AK173" i="5"/>
  <c r="AK175" i="5"/>
  <c r="AL175" i="5" s="1"/>
  <c r="AK179" i="5"/>
  <c r="AL179" i="5" s="1"/>
  <c r="AP177" i="5"/>
  <c r="AQ177" i="5" s="1"/>
  <c r="DH177" i="5"/>
  <c r="DM174" i="5"/>
  <c r="DR172" i="5"/>
  <c r="H180" i="5"/>
  <c r="M180" i="5"/>
  <c r="CJ181" i="5"/>
  <c r="CM180" i="5"/>
  <c r="CN180" i="5" s="1"/>
  <c r="CW180" i="5"/>
  <c r="CX180" i="5" s="1"/>
  <c r="DE181" i="5"/>
  <c r="DR173" i="5"/>
  <c r="BO180" i="5"/>
  <c r="I199" i="5"/>
  <c r="I202" i="5" s="1"/>
  <c r="DF171" i="5"/>
  <c r="DF175" i="5"/>
  <c r="DG175" i="5" s="1"/>
  <c r="DL171" i="5"/>
  <c r="DP181" i="5"/>
  <c r="DU175" i="5"/>
  <c r="DV175" i="5" s="1"/>
  <c r="BH173" i="5"/>
  <c r="BI173" i="5" s="1"/>
  <c r="AJ174" i="5"/>
  <c r="AK177" i="5"/>
  <c r="AL177" i="5" s="1"/>
  <c r="AJ178" i="5"/>
  <c r="AK178" i="5" s="1"/>
  <c r="AP175" i="5"/>
  <c r="AQ175" i="5" s="1"/>
  <c r="AO176" i="5"/>
  <c r="AP179" i="5"/>
  <c r="AQ179" i="5" s="1"/>
  <c r="DC171" i="5"/>
  <c r="DC175" i="5"/>
  <c r="AO180" i="5"/>
  <c r="BC180" i="5"/>
  <c r="BD180" i="5" s="1"/>
  <c r="CG180" i="5"/>
  <c r="CH180" i="5" s="1"/>
  <c r="DI181" i="5"/>
  <c r="DJ180" i="5"/>
  <c r="DW180" i="5"/>
  <c r="DY197" i="5"/>
  <c r="DZ197" i="5" s="1"/>
  <c r="EA197" i="5" s="1"/>
  <c r="DC198" i="5"/>
  <c r="N205" i="5"/>
  <c r="N203" i="5"/>
  <c r="S199" i="5"/>
  <c r="S202" i="5" s="1"/>
  <c r="AB197" i="5"/>
  <c r="D199" i="5"/>
  <c r="D202" i="5" s="1"/>
  <c r="M198" i="5"/>
  <c r="CN201" i="5"/>
  <c r="R200" i="5"/>
  <c r="AL200" i="5"/>
  <c r="EL201" i="5"/>
  <c r="W198" i="5"/>
  <c r="DR201" i="5"/>
  <c r="DW201" i="5"/>
  <c r="EG208" i="5"/>
  <c r="EL208" i="5"/>
  <c r="DT208" i="5"/>
  <c r="DU208" i="5" s="1"/>
  <c r="BS127" i="4"/>
  <c r="BQ127" i="4"/>
  <c r="AP127" i="4"/>
  <c r="AN127" i="4"/>
  <c r="BG127" i="4"/>
  <c r="BI127" i="4"/>
  <c r="AD127" i="4"/>
  <c r="AF127" i="4"/>
  <c r="BF127" i="4"/>
  <c r="BP127" i="4"/>
  <c r="CA127" i="4"/>
  <c r="CC127" i="4"/>
  <c r="CB127" i="4"/>
  <c r="V127" i="4"/>
  <c r="T127" i="4"/>
  <c r="E127" i="4"/>
  <c r="G127" i="4"/>
  <c r="AM127" i="4"/>
  <c r="BH127" i="4"/>
  <c r="BR127" i="4"/>
  <c r="CJ127" i="4"/>
  <c r="CK127" i="4"/>
  <c r="CQ127" i="4"/>
  <c r="DV121" i="4"/>
  <c r="DU121" i="4"/>
  <c r="DT121" i="4"/>
  <c r="DS121" i="4"/>
  <c r="DQ121" i="4"/>
  <c r="DP121" i="4"/>
  <c r="DO121" i="4"/>
  <c r="DN121" i="4"/>
  <c r="DL121" i="4"/>
  <c r="DK121" i="4"/>
  <c r="DJ121" i="4"/>
  <c r="DI121" i="4"/>
  <c r="DG121" i="4"/>
  <c r="DF121" i="4"/>
  <c r="DE121" i="4"/>
  <c r="DD121" i="4"/>
  <c r="DB121" i="4"/>
  <c r="DA121" i="4"/>
  <c r="CZ121" i="4"/>
  <c r="CY121" i="4"/>
  <c r="DV120" i="4"/>
  <c r="DU120" i="4"/>
  <c r="DT120" i="4"/>
  <c r="DS120" i="4"/>
  <c r="DQ120" i="4"/>
  <c r="DP120" i="4"/>
  <c r="DO120" i="4"/>
  <c r="DN120" i="4"/>
  <c r="DL120" i="4"/>
  <c r="DK120" i="4"/>
  <c r="DJ120" i="4"/>
  <c r="DI120" i="4"/>
  <c r="DW119" i="4"/>
  <c r="DW115" i="4"/>
  <c r="DR119" i="4"/>
  <c r="DR115" i="4"/>
  <c r="DM119" i="4"/>
  <c r="DM115" i="4"/>
  <c r="DH119" i="4"/>
  <c r="DC119" i="4"/>
  <c r="DV116" i="4"/>
  <c r="DU116" i="4"/>
  <c r="DT116" i="4"/>
  <c r="DS116" i="4"/>
  <c r="DQ116" i="4"/>
  <c r="DP116" i="4"/>
  <c r="DO116" i="4"/>
  <c r="DN116" i="4"/>
  <c r="DJ117" i="4"/>
  <c r="DL116" i="4"/>
  <c r="DK116" i="4"/>
  <c r="DJ116" i="4"/>
  <c r="DI116" i="4"/>
  <c r="DH115" i="4"/>
  <c r="DC115" i="4"/>
  <c r="AT107" i="4"/>
  <c r="AS107" i="4"/>
  <c r="AR107" i="4"/>
  <c r="AO107" i="4"/>
  <c r="AN107" i="4"/>
  <c r="AM107" i="4"/>
  <c r="AJ107" i="4"/>
  <c r="AI107" i="4"/>
  <c r="AH107" i="4"/>
  <c r="AE107" i="4"/>
  <c r="AD107" i="4"/>
  <c r="AC107" i="4"/>
  <c r="Z107" i="4"/>
  <c r="Y107" i="4"/>
  <c r="X107" i="4"/>
  <c r="U107" i="4"/>
  <c r="T107" i="4"/>
  <c r="S107" i="4"/>
  <c r="P107" i="4"/>
  <c r="O107" i="4"/>
  <c r="N107" i="4"/>
  <c r="K107" i="4"/>
  <c r="J107" i="4"/>
  <c r="I107" i="4"/>
  <c r="AT106" i="4"/>
  <c r="AS106" i="4"/>
  <c r="AR106" i="4"/>
  <c r="AO106" i="4"/>
  <c r="AN106" i="4"/>
  <c r="AM106" i="4"/>
  <c r="AJ106" i="4"/>
  <c r="AI106" i="4"/>
  <c r="AH106" i="4"/>
  <c r="AE106" i="4"/>
  <c r="AD106" i="4"/>
  <c r="AC106" i="4"/>
  <c r="Z106" i="4"/>
  <c r="Y106" i="4"/>
  <c r="X106" i="4"/>
  <c r="U106" i="4"/>
  <c r="T106" i="4"/>
  <c r="S106" i="4"/>
  <c r="P106" i="4"/>
  <c r="O106" i="4"/>
  <c r="N106" i="4"/>
  <c r="K106" i="4"/>
  <c r="J106" i="4"/>
  <c r="I106" i="4"/>
  <c r="AT105" i="4"/>
  <c r="AS105" i="4"/>
  <c r="AR105" i="4"/>
  <c r="AO105" i="4"/>
  <c r="AN105" i="4"/>
  <c r="AM105" i="4"/>
  <c r="AJ105" i="4"/>
  <c r="AI105" i="4"/>
  <c r="AH105" i="4"/>
  <c r="AE105" i="4"/>
  <c r="AD105" i="4"/>
  <c r="AC105" i="4"/>
  <c r="Z105" i="4"/>
  <c r="Y105" i="4"/>
  <c r="X105" i="4"/>
  <c r="U105" i="4"/>
  <c r="T105" i="4"/>
  <c r="S105" i="4"/>
  <c r="P105" i="4"/>
  <c r="O105" i="4"/>
  <c r="N105" i="4"/>
  <c r="K105" i="4"/>
  <c r="J105" i="4"/>
  <c r="I105" i="4"/>
  <c r="AT104" i="4"/>
  <c r="AS104" i="4"/>
  <c r="AR104" i="4"/>
  <c r="AO104" i="4"/>
  <c r="AN104" i="4"/>
  <c r="AM104" i="4"/>
  <c r="AJ104" i="4"/>
  <c r="AI104" i="4"/>
  <c r="AH104" i="4"/>
  <c r="AE104" i="4"/>
  <c r="AD104" i="4"/>
  <c r="AC104" i="4"/>
  <c r="Z104" i="4"/>
  <c r="Y104" i="4"/>
  <c r="X104" i="4"/>
  <c r="U104" i="4"/>
  <c r="T104" i="4"/>
  <c r="S104" i="4"/>
  <c r="P104" i="4"/>
  <c r="O104" i="4"/>
  <c r="N104" i="4"/>
  <c r="K104" i="4"/>
  <c r="J104" i="4"/>
  <c r="AT102" i="4"/>
  <c r="AS102" i="4"/>
  <c r="AR102" i="4"/>
  <c r="AO102" i="4"/>
  <c r="AN102" i="4"/>
  <c r="AM102" i="4"/>
  <c r="AJ102" i="4"/>
  <c r="AI102" i="4"/>
  <c r="AH102" i="4"/>
  <c r="AE102" i="4"/>
  <c r="AD102" i="4"/>
  <c r="AC102" i="4"/>
  <c r="Z102" i="4"/>
  <c r="Y102" i="4"/>
  <c r="X102" i="4"/>
  <c r="U102" i="4"/>
  <c r="T102" i="4"/>
  <c r="S102" i="4"/>
  <c r="P102" i="4"/>
  <c r="O102" i="4"/>
  <c r="N102" i="4"/>
  <c r="K102" i="4"/>
  <c r="J102" i="4"/>
  <c r="I102" i="4"/>
  <c r="DF111" i="4"/>
  <c r="DE111" i="4"/>
  <c r="DD111" i="4"/>
  <c r="DB111" i="4"/>
  <c r="DA111" i="4"/>
  <c r="CZ111" i="4"/>
  <c r="CY111" i="4"/>
  <c r="CW111" i="4"/>
  <c r="CV111" i="4"/>
  <c r="CU111" i="4"/>
  <c r="CT111" i="4"/>
  <c r="DV107" i="4"/>
  <c r="DU107" i="4"/>
  <c r="DT107" i="4"/>
  <c r="DS107" i="4"/>
  <c r="DQ107" i="4"/>
  <c r="DP107" i="4"/>
  <c r="DO107" i="4"/>
  <c r="DN107" i="4"/>
  <c r="DL107" i="4"/>
  <c r="DK107" i="4"/>
  <c r="DJ107" i="4"/>
  <c r="DI107" i="4"/>
  <c r="DG107" i="4"/>
  <c r="DF107" i="4"/>
  <c r="DE107" i="4"/>
  <c r="DD107" i="4"/>
  <c r="DB107" i="4"/>
  <c r="DA107" i="4"/>
  <c r="CZ107" i="4"/>
  <c r="CY107" i="4"/>
  <c r="CW107" i="4"/>
  <c r="CV107" i="4"/>
  <c r="CU107" i="4"/>
  <c r="CT107" i="4"/>
  <c r="CR107" i="4"/>
  <c r="CQ107" i="4"/>
  <c r="CP107" i="4"/>
  <c r="CO107" i="4"/>
  <c r="CM107" i="4"/>
  <c r="CL107" i="4"/>
  <c r="CK107" i="4"/>
  <c r="CJ107" i="4"/>
  <c r="CH107" i="4"/>
  <c r="CG107" i="4"/>
  <c r="CF107" i="4"/>
  <c r="CE107" i="4"/>
  <c r="CC107" i="4"/>
  <c r="CB107" i="4"/>
  <c r="CA107" i="4"/>
  <c r="BZ107" i="4"/>
  <c r="BX107" i="4"/>
  <c r="BW107" i="4"/>
  <c r="BV107" i="4"/>
  <c r="BU107" i="4"/>
  <c r="BS107" i="4"/>
  <c r="BR107" i="4"/>
  <c r="BQ107" i="4"/>
  <c r="BP107" i="4"/>
  <c r="BN107" i="4"/>
  <c r="BM107" i="4"/>
  <c r="BL107" i="4"/>
  <c r="BK107" i="4"/>
  <c r="BI107" i="4"/>
  <c r="BH107" i="4"/>
  <c r="BG107" i="4"/>
  <c r="BF107" i="4"/>
  <c r="BD107" i="4"/>
  <c r="BC107" i="4"/>
  <c r="BB107" i="4"/>
  <c r="BA107" i="4"/>
  <c r="DV106" i="4"/>
  <c r="DU106" i="4"/>
  <c r="DT106" i="4"/>
  <c r="DS106" i="4"/>
  <c r="DQ106" i="4"/>
  <c r="DP106" i="4"/>
  <c r="DO106" i="4"/>
  <c r="DN106" i="4"/>
  <c r="DL106" i="4"/>
  <c r="DK106" i="4"/>
  <c r="DJ106" i="4"/>
  <c r="DI106" i="4"/>
  <c r="DG106" i="4"/>
  <c r="DF106" i="4"/>
  <c r="DE106" i="4"/>
  <c r="DD106" i="4"/>
  <c r="DB106" i="4"/>
  <c r="DA106" i="4"/>
  <c r="CZ106" i="4"/>
  <c r="CY106" i="4"/>
  <c r="CW106" i="4"/>
  <c r="CV106" i="4"/>
  <c r="CU106" i="4"/>
  <c r="CT106" i="4"/>
  <c r="CR106" i="4"/>
  <c r="CQ106" i="4"/>
  <c r="CP106" i="4"/>
  <c r="CO106" i="4"/>
  <c r="CM106" i="4"/>
  <c r="CL106" i="4"/>
  <c r="CK106" i="4"/>
  <c r="CJ106" i="4"/>
  <c r="CH106" i="4"/>
  <c r="CG106" i="4"/>
  <c r="CF106" i="4"/>
  <c r="CE106" i="4"/>
  <c r="CC106" i="4"/>
  <c r="CB106" i="4"/>
  <c r="CA106" i="4"/>
  <c r="BZ106" i="4"/>
  <c r="BX106" i="4"/>
  <c r="BW106" i="4"/>
  <c r="BV106" i="4"/>
  <c r="BU106" i="4"/>
  <c r="BS106" i="4"/>
  <c r="BR106" i="4"/>
  <c r="BQ106" i="4"/>
  <c r="BP106" i="4"/>
  <c r="BN106" i="4"/>
  <c r="BM106" i="4"/>
  <c r="BL106" i="4"/>
  <c r="BK106" i="4"/>
  <c r="BI106" i="4"/>
  <c r="BH106" i="4"/>
  <c r="BG106" i="4"/>
  <c r="BF106" i="4"/>
  <c r="BD106" i="4"/>
  <c r="BC106" i="4"/>
  <c r="BB106" i="4"/>
  <c r="BA106" i="4"/>
  <c r="DV105" i="4"/>
  <c r="DU105" i="4"/>
  <c r="DT105" i="4"/>
  <c r="DS105" i="4"/>
  <c r="DQ105" i="4"/>
  <c r="DP105" i="4"/>
  <c r="DO105" i="4"/>
  <c r="DN105" i="4"/>
  <c r="DL105" i="4"/>
  <c r="DK105" i="4"/>
  <c r="DJ105" i="4"/>
  <c r="DI105" i="4"/>
  <c r="DG105" i="4"/>
  <c r="DF105" i="4"/>
  <c r="DE105" i="4"/>
  <c r="DD105" i="4"/>
  <c r="DB105" i="4"/>
  <c r="DA105" i="4"/>
  <c r="CZ105" i="4"/>
  <c r="CY105" i="4"/>
  <c r="CW105" i="4"/>
  <c r="CV105" i="4"/>
  <c r="CU105" i="4"/>
  <c r="CT105" i="4"/>
  <c r="CR105" i="4"/>
  <c r="CQ105" i="4"/>
  <c r="CP105" i="4"/>
  <c r="CO105" i="4"/>
  <c r="CM105" i="4"/>
  <c r="CL105" i="4"/>
  <c r="CK105" i="4"/>
  <c r="CJ105" i="4"/>
  <c r="CH105" i="4"/>
  <c r="CG105" i="4"/>
  <c r="CF105" i="4"/>
  <c r="CE105" i="4"/>
  <c r="CC105" i="4"/>
  <c r="CB105" i="4"/>
  <c r="CA105" i="4"/>
  <c r="BZ105" i="4"/>
  <c r="BX105" i="4"/>
  <c r="BW105" i="4"/>
  <c r="BV105" i="4"/>
  <c r="BU105" i="4"/>
  <c r="BS105" i="4"/>
  <c r="BR105" i="4"/>
  <c r="BQ105" i="4"/>
  <c r="BP105" i="4"/>
  <c r="BN105" i="4"/>
  <c r="BM105" i="4"/>
  <c r="BL105" i="4"/>
  <c r="BK105" i="4"/>
  <c r="BI105" i="4"/>
  <c r="BH105" i="4"/>
  <c r="BG105" i="4"/>
  <c r="BF105" i="4"/>
  <c r="BD105" i="4"/>
  <c r="BC105" i="4"/>
  <c r="BB105" i="4"/>
  <c r="BA105" i="4"/>
  <c r="DV104" i="4"/>
  <c r="DU104" i="4"/>
  <c r="DT104" i="4"/>
  <c r="DS104" i="4"/>
  <c r="DQ104" i="4"/>
  <c r="DP104" i="4"/>
  <c r="DO104" i="4"/>
  <c r="DN104" i="4"/>
  <c r="DL104" i="4"/>
  <c r="DK104" i="4"/>
  <c r="DJ104" i="4"/>
  <c r="DI104" i="4"/>
  <c r="DG104" i="4"/>
  <c r="DF104" i="4"/>
  <c r="DE104" i="4"/>
  <c r="DD104" i="4"/>
  <c r="DB104" i="4"/>
  <c r="DA104" i="4"/>
  <c r="CZ104" i="4"/>
  <c r="CY104" i="4"/>
  <c r="CW104" i="4"/>
  <c r="CV104" i="4"/>
  <c r="CU104" i="4"/>
  <c r="CT104" i="4"/>
  <c r="CR104" i="4"/>
  <c r="CQ104" i="4"/>
  <c r="CP104" i="4"/>
  <c r="CO104" i="4"/>
  <c r="CM104" i="4"/>
  <c r="CL104" i="4"/>
  <c r="CK104" i="4"/>
  <c r="CJ104" i="4"/>
  <c r="CH104" i="4"/>
  <c r="CG104" i="4"/>
  <c r="CF104" i="4"/>
  <c r="CE104" i="4"/>
  <c r="CC104" i="4"/>
  <c r="CB104" i="4"/>
  <c r="CA104" i="4"/>
  <c r="BZ104" i="4"/>
  <c r="BX104" i="4"/>
  <c r="BW104" i="4"/>
  <c r="BV104" i="4"/>
  <c r="BU104" i="4"/>
  <c r="BS104" i="4"/>
  <c r="BR104" i="4"/>
  <c r="BQ104" i="4"/>
  <c r="BP104" i="4"/>
  <c r="BN104" i="4"/>
  <c r="BM104" i="4"/>
  <c r="BL104" i="4"/>
  <c r="BK104" i="4"/>
  <c r="BI104" i="4"/>
  <c r="BH104" i="4"/>
  <c r="BG104" i="4"/>
  <c r="BF104" i="4"/>
  <c r="BD104" i="4"/>
  <c r="BC104" i="4"/>
  <c r="BB104" i="4"/>
  <c r="BA104" i="4"/>
  <c r="DV102" i="4"/>
  <c r="DU102" i="4"/>
  <c r="DT102" i="4"/>
  <c r="DS102" i="4"/>
  <c r="DQ102" i="4"/>
  <c r="DP102" i="4"/>
  <c r="DO102" i="4"/>
  <c r="DN102" i="4"/>
  <c r="DL102" i="4"/>
  <c r="DK102" i="4"/>
  <c r="DJ102" i="4"/>
  <c r="DI102" i="4"/>
  <c r="DG102" i="4"/>
  <c r="DF102" i="4"/>
  <c r="DE102" i="4"/>
  <c r="DD102" i="4"/>
  <c r="DB102" i="4"/>
  <c r="DA102" i="4"/>
  <c r="CZ102" i="4"/>
  <c r="CY102" i="4"/>
  <c r="CW102" i="4"/>
  <c r="CV102" i="4"/>
  <c r="CU102" i="4"/>
  <c r="CT102" i="4"/>
  <c r="CR102" i="4"/>
  <c r="CQ102" i="4"/>
  <c r="CP102" i="4"/>
  <c r="CO102" i="4"/>
  <c r="CM102" i="4"/>
  <c r="CL102" i="4"/>
  <c r="CK102" i="4"/>
  <c r="CJ102" i="4"/>
  <c r="CH102" i="4"/>
  <c r="CG102" i="4"/>
  <c r="CF102" i="4"/>
  <c r="CE102" i="4"/>
  <c r="CC102" i="4"/>
  <c r="CB102" i="4"/>
  <c r="CA102" i="4"/>
  <c r="BZ102" i="4"/>
  <c r="BX102" i="4"/>
  <c r="BW102" i="4"/>
  <c r="BV102" i="4"/>
  <c r="BU102" i="4"/>
  <c r="BS102" i="4"/>
  <c r="BR102" i="4"/>
  <c r="BQ102" i="4"/>
  <c r="BP102" i="4"/>
  <c r="BN102" i="4"/>
  <c r="BM102" i="4"/>
  <c r="BL102" i="4"/>
  <c r="BK102" i="4"/>
  <c r="BI102" i="4"/>
  <c r="BH102" i="4"/>
  <c r="BG102" i="4"/>
  <c r="BF102" i="4"/>
  <c r="BD102" i="4"/>
  <c r="BC102" i="4"/>
  <c r="BB102" i="4"/>
  <c r="BA102" i="4"/>
  <c r="CW99" i="4"/>
  <c r="CV99" i="4"/>
  <c r="CU99" i="4"/>
  <c r="CT99" i="4"/>
  <c r="CR99" i="4"/>
  <c r="CQ99" i="4"/>
  <c r="CP99" i="4"/>
  <c r="CO99" i="4"/>
  <c r="CM99" i="4"/>
  <c r="CL99" i="4"/>
  <c r="CK99" i="4"/>
  <c r="CJ99" i="4"/>
  <c r="CB99" i="4"/>
  <c r="CA99" i="4"/>
  <c r="BX99" i="4"/>
  <c r="CW98" i="4"/>
  <c r="CV98" i="4"/>
  <c r="CU98" i="4"/>
  <c r="CT98" i="4"/>
  <c r="CR98" i="4"/>
  <c r="CQ98" i="4"/>
  <c r="CP98" i="4"/>
  <c r="CO98" i="4"/>
  <c r="CM98" i="4"/>
  <c r="CL98" i="4"/>
  <c r="CK98" i="4"/>
  <c r="CJ98" i="4"/>
  <c r="CH98" i="4"/>
  <c r="CG98" i="4"/>
  <c r="CF98" i="4"/>
  <c r="CE98" i="4"/>
  <c r="CC98" i="4"/>
  <c r="CB98" i="4"/>
  <c r="CA98" i="4"/>
  <c r="BZ98" i="4"/>
  <c r="BX98" i="4"/>
  <c r="BW98" i="4"/>
  <c r="BV98" i="4"/>
  <c r="BU98" i="4"/>
  <c r="BS98" i="4"/>
  <c r="BR98" i="4"/>
  <c r="BQ98" i="4"/>
  <c r="BP98" i="4"/>
  <c r="BN98" i="4"/>
  <c r="BM98" i="4"/>
  <c r="BL98" i="4"/>
  <c r="BK98" i="4"/>
  <c r="BI98" i="4"/>
  <c r="BH98" i="4"/>
  <c r="BG98" i="4"/>
  <c r="BF98" i="4"/>
  <c r="BD98" i="4"/>
  <c r="BC98" i="4"/>
  <c r="BB98" i="4"/>
  <c r="BA98" i="4"/>
  <c r="AY98" i="4"/>
  <c r="AX98" i="4"/>
  <c r="AW98" i="4"/>
  <c r="AV98" i="4"/>
  <c r="CW97" i="4"/>
  <c r="CV97" i="4"/>
  <c r="CU97" i="4"/>
  <c r="CT97" i="4"/>
  <c r="CR97" i="4"/>
  <c r="CQ97" i="4"/>
  <c r="CP97" i="4"/>
  <c r="CO97" i="4"/>
  <c r="CM97" i="4"/>
  <c r="CL97" i="4"/>
  <c r="CK97" i="4"/>
  <c r="CJ97" i="4"/>
  <c r="CH97" i="4"/>
  <c r="CG97" i="4"/>
  <c r="CF97" i="4"/>
  <c r="CE97" i="4"/>
  <c r="CC97" i="4"/>
  <c r="CB97" i="4"/>
  <c r="CA97" i="4"/>
  <c r="BZ97" i="4"/>
  <c r="BX97" i="4"/>
  <c r="BW97" i="4"/>
  <c r="BV97" i="4"/>
  <c r="BU97" i="4"/>
  <c r="BS97" i="4"/>
  <c r="BR97" i="4"/>
  <c r="BQ97" i="4"/>
  <c r="BP97" i="4"/>
  <c r="BN97" i="4"/>
  <c r="BM97" i="4"/>
  <c r="BL97" i="4"/>
  <c r="BK97" i="4"/>
  <c r="BI97" i="4"/>
  <c r="BH97" i="4"/>
  <c r="BG97" i="4"/>
  <c r="BF97" i="4"/>
  <c r="BD97" i="4"/>
  <c r="BC97" i="4"/>
  <c r="BB97" i="4"/>
  <c r="BA97" i="4"/>
  <c r="AY97" i="4"/>
  <c r="AX97" i="4"/>
  <c r="AW97" i="4"/>
  <c r="AV97" i="4"/>
  <c r="CW96" i="4"/>
  <c r="CV96" i="4"/>
  <c r="CU96" i="4"/>
  <c r="CT96" i="4"/>
  <c r="CR96" i="4"/>
  <c r="CQ96" i="4"/>
  <c r="CP96" i="4"/>
  <c r="CO96" i="4"/>
  <c r="CM96" i="4"/>
  <c r="CL96" i="4"/>
  <c r="CK96" i="4"/>
  <c r="CJ96" i="4"/>
  <c r="CH96" i="4"/>
  <c r="CG96" i="4"/>
  <c r="CF96" i="4"/>
  <c r="CE96" i="4"/>
  <c r="CC96" i="4"/>
  <c r="CB96" i="4"/>
  <c r="CA96" i="4"/>
  <c r="BZ96" i="4"/>
  <c r="BX96" i="4"/>
  <c r="BW96" i="4"/>
  <c r="BV96" i="4"/>
  <c r="BU96" i="4"/>
  <c r="BS96" i="4"/>
  <c r="BR96" i="4"/>
  <c r="BQ96" i="4"/>
  <c r="BP96" i="4"/>
  <c r="BN96" i="4"/>
  <c r="BM96" i="4"/>
  <c r="BL96" i="4"/>
  <c r="BK96" i="4"/>
  <c r="BI96" i="4"/>
  <c r="BH96" i="4"/>
  <c r="BG96" i="4"/>
  <c r="BF96" i="4"/>
  <c r="BD96" i="4"/>
  <c r="BC96" i="4"/>
  <c r="BB96" i="4"/>
  <c r="BA96" i="4"/>
  <c r="AY96" i="4"/>
  <c r="AX96" i="4"/>
  <c r="AW96" i="4"/>
  <c r="AV96" i="4"/>
  <c r="DV95" i="4"/>
  <c r="DU95" i="4"/>
  <c r="DT95" i="4"/>
  <c r="DS95" i="4"/>
  <c r="DQ95" i="4"/>
  <c r="DP95" i="4"/>
  <c r="DO95" i="4"/>
  <c r="DN95" i="4"/>
  <c r="DL95" i="4"/>
  <c r="DK95" i="4"/>
  <c r="DJ95" i="4"/>
  <c r="DI95" i="4"/>
  <c r="DG95" i="4"/>
  <c r="DF95" i="4"/>
  <c r="DE95" i="4"/>
  <c r="DD95" i="4"/>
  <c r="DB95" i="4"/>
  <c r="DA95" i="4"/>
  <c r="CZ95" i="4"/>
  <c r="CY95" i="4"/>
  <c r="CW95" i="4"/>
  <c r="CV95" i="4"/>
  <c r="CU95" i="4"/>
  <c r="CT95" i="4"/>
  <c r="CR95" i="4"/>
  <c r="CQ95" i="4"/>
  <c r="CP95" i="4"/>
  <c r="CO95" i="4"/>
  <c r="CM95" i="4"/>
  <c r="CL95" i="4"/>
  <c r="CK95" i="4"/>
  <c r="CJ95" i="4"/>
  <c r="CH95" i="4"/>
  <c r="CG95" i="4"/>
  <c r="CF95" i="4"/>
  <c r="CE95" i="4"/>
  <c r="CC95" i="4"/>
  <c r="CB95" i="4"/>
  <c r="CA95" i="4"/>
  <c r="BZ95" i="4"/>
  <c r="BX95" i="4"/>
  <c r="BW95" i="4"/>
  <c r="BV95" i="4"/>
  <c r="BU95" i="4"/>
  <c r="BS95" i="4"/>
  <c r="BR95" i="4"/>
  <c r="BQ95" i="4"/>
  <c r="BP95" i="4"/>
  <c r="BN95" i="4"/>
  <c r="BM95" i="4"/>
  <c r="BL95" i="4"/>
  <c r="BK95" i="4"/>
  <c r="BI95" i="4"/>
  <c r="BH95" i="4"/>
  <c r="BG95" i="4"/>
  <c r="BF95" i="4"/>
  <c r="BD95" i="4"/>
  <c r="BC95" i="4"/>
  <c r="BB95" i="4"/>
  <c r="BA95" i="4"/>
  <c r="AY95" i="4"/>
  <c r="AX95" i="4"/>
  <c r="AW95" i="4"/>
  <c r="AV95" i="4"/>
  <c r="AT98" i="4"/>
  <c r="AS98" i="4"/>
  <c r="AR98" i="4"/>
  <c r="AO98" i="4"/>
  <c r="AN98" i="4"/>
  <c r="AM98" i="4"/>
  <c r="AJ98" i="4"/>
  <c r="AI98" i="4"/>
  <c r="AH98" i="4"/>
  <c r="AE98" i="4"/>
  <c r="AD98" i="4"/>
  <c r="AC98" i="4"/>
  <c r="Z98" i="4"/>
  <c r="Y98" i="4"/>
  <c r="X98" i="4"/>
  <c r="U98" i="4"/>
  <c r="T98" i="4"/>
  <c r="S98" i="4"/>
  <c r="P98" i="4"/>
  <c r="O98" i="4"/>
  <c r="N98" i="4"/>
  <c r="K98" i="4"/>
  <c r="J98" i="4"/>
  <c r="I98" i="4"/>
  <c r="F98" i="4"/>
  <c r="E98" i="4"/>
  <c r="D98" i="4"/>
  <c r="AT97" i="4"/>
  <c r="AS97" i="4"/>
  <c r="AR97" i="4"/>
  <c r="AO97" i="4"/>
  <c r="AN97" i="4"/>
  <c r="AM97" i="4"/>
  <c r="AJ97" i="4"/>
  <c r="AI97" i="4"/>
  <c r="AH97" i="4"/>
  <c r="AE97" i="4"/>
  <c r="AD97" i="4"/>
  <c r="AC97" i="4"/>
  <c r="Z97" i="4"/>
  <c r="Y97" i="4"/>
  <c r="X97" i="4"/>
  <c r="U97" i="4"/>
  <c r="T97" i="4"/>
  <c r="S97" i="4"/>
  <c r="P97" i="4"/>
  <c r="O97" i="4"/>
  <c r="N97" i="4"/>
  <c r="K97" i="4"/>
  <c r="J97" i="4"/>
  <c r="I97" i="4"/>
  <c r="F97" i="4"/>
  <c r="E97" i="4"/>
  <c r="D97" i="4"/>
  <c r="AT96" i="4"/>
  <c r="AS96" i="4"/>
  <c r="AR96" i="4"/>
  <c r="AO96" i="4"/>
  <c r="AN96" i="4"/>
  <c r="AM96" i="4"/>
  <c r="AJ96" i="4"/>
  <c r="AI96" i="4"/>
  <c r="AH96" i="4"/>
  <c r="AE96" i="4"/>
  <c r="AD96" i="4"/>
  <c r="AC96" i="4"/>
  <c r="Z96" i="4"/>
  <c r="Y96" i="4"/>
  <c r="X96" i="4"/>
  <c r="U96" i="4"/>
  <c r="T96" i="4"/>
  <c r="S96" i="4"/>
  <c r="P96" i="4"/>
  <c r="O96" i="4"/>
  <c r="N96" i="4"/>
  <c r="K96" i="4"/>
  <c r="J96" i="4"/>
  <c r="I96" i="4"/>
  <c r="F96" i="4"/>
  <c r="E96" i="4"/>
  <c r="AT95" i="4"/>
  <c r="AS95" i="4"/>
  <c r="AR95" i="4"/>
  <c r="AO95" i="4"/>
  <c r="AN95" i="4"/>
  <c r="AM95" i="4"/>
  <c r="AJ95" i="4"/>
  <c r="AI95" i="4"/>
  <c r="AH95" i="4"/>
  <c r="AE95" i="4"/>
  <c r="AD95" i="4"/>
  <c r="AC95" i="4"/>
  <c r="Z95" i="4"/>
  <c r="Y95" i="4"/>
  <c r="X95" i="4"/>
  <c r="U95" i="4"/>
  <c r="T95" i="4"/>
  <c r="S95" i="4"/>
  <c r="P95" i="4"/>
  <c r="O95" i="4"/>
  <c r="N95" i="4"/>
  <c r="K95" i="4"/>
  <c r="J95" i="4"/>
  <c r="I95" i="4"/>
  <c r="F95" i="4"/>
  <c r="E95" i="4"/>
  <c r="D95" i="4"/>
  <c r="DV84" i="4"/>
  <c r="DU84" i="4"/>
  <c r="DT84" i="4"/>
  <c r="DS84" i="4"/>
  <c r="DQ84" i="4"/>
  <c r="DP84" i="4"/>
  <c r="DO84" i="4"/>
  <c r="DN84" i="4"/>
  <c r="DL84" i="4"/>
  <c r="DK84" i="4"/>
  <c r="DJ84" i="4"/>
  <c r="DI84" i="4"/>
  <c r="DG84" i="4"/>
  <c r="DF84" i="4"/>
  <c r="DE84" i="4"/>
  <c r="DD84" i="4"/>
  <c r="DB84" i="4"/>
  <c r="DA84" i="4"/>
  <c r="CZ84" i="4"/>
  <c r="CY84" i="4"/>
  <c r="CW84" i="4"/>
  <c r="CV84" i="4"/>
  <c r="CU84" i="4"/>
  <c r="CT84" i="4"/>
  <c r="CR84" i="4"/>
  <c r="CQ84" i="4"/>
  <c r="CP84" i="4"/>
  <c r="CO84" i="4"/>
  <c r="CM84" i="4"/>
  <c r="CL84" i="4"/>
  <c r="CK84" i="4"/>
  <c r="CJ84" i="4"/>
  <c r="CB84" i="4"/>
  <c r="CA84" i="4"/>
  <c r="BX84" i="4"/>
  <c r="DU83" i="4"/>
  <c r="DT83" i="4"/>
  <c r="DS83" i="4"/>
  <c r="DQ83" i="4"/>
  <c r="DL83" i="4"/>
  <c r="DK83" i="4"/>
  <c r="DJ83" i="4"/>
  <c r="DI83" i="4"/>
  <c r="DG83" i="4"/>
  <c r="DF83" i="4"/>
  <c r="DE83" i="4"/>
  <c r="DD83" i="4"/>
  <c r="DB83" i="4"/>
  <c r="DA83" i="4"/>
  <c r="CZ83" i="4"/>
  <c r="CY83" i="4"/>
  <c r="CW83" i="4"/>
  <c r="CV83" i="4"/>
  <c r="CU83" i="4"/>
  <c r="CT83" i="4"/>
  <c r="CR83" i="4"/>
  <c r="CQ83" i="4"/>
  <c r="CP83" i="4"/>
  <c r="CO83" i="4"/>
  <c r="CM83" i="4"/>
  <c r="CL83" i="4"/>
  <c r="CK83" i="4"/>
  <c r="CJ83" i="4"/>
  <c r="CH83" i="4"/>
  <c r="CG83" i="4"/>
  <c r="CF83" i="4"/>
  <c r="CE83" i="4"/>
  <c r="CC83" i="4"/>
  <c r="CB83" i="4"/>
  <c r="CA83" i="4"/>
  <c r="BZ83" i="4"/>
  <c r="BX83" i="4"/>
  <c r="BW83" i="4"/>
  <c r="BV83" i="4"/>
  <c r="BU83" i="4"/>
  <c r="BS83" i="4"/>
  <c r="BR83" i="4"/>
  <c r="BQ83" i="4"/>
  <c r="BP83" i="4"/>
  <c r="BN83" i="4"/>
  <c r="BM83" i="4"/>
  <c r="BL83" i="4"/>
  <c r="BK83" i="4"/>
  <c r="BI83" i="4"/>
  <c r="BH83" i="4"/>
  <c r="BG83" i="4"/>
  <c r="BF83" i="4"/>
  <c r="BD83" i="4"/>
  <c r="BC83" i="4"/>
  <c r="BB83" i="4"/>
  <c r="BA83" i="4"/>
  <c r="AY83" i="4"/>
  <c r="AX83" i="4"/>
  <c r="AW83" i="4"/>
  <c r="AV83" i="4"/>
  <c r="EK83" i="4"/>
  <c r="EJ83" i="4"/>
  <c r="EI83" i="4"/>
  <c r="EH83" i="4"/>
  <c r="EF83" i="4"/>
  <c r="EE83" i="4"/>
  <c r="ED83" i="4"/>
  <c r="EC83" i="4"/>
  <c r="EA83" i="4"/>
  <c r="DZ83" i="4"/>
  <c r="DY83" i="4"/>
  <c r="DX83" i="4"/>
  <c r="DW83" i="4"/>
  <c r="EK82" i="4"/>
  <c r="EJ82" i="4"/>
  <c r="EI82" i="4"/>
  <c r="EH82" i="4"/>
  <c r="EF82" i="4"/>
  <c r="EE82" i="4"/>
  <c r="ED82" i="4"/>
  <c r="EC82" i="4"/>
  <c r="EA82" i="4"/>
  <c r="DZ82" i="4"/>
  <c r="DY82" i="4"/>
  <c r="DX82" i="4"/>
  <c r="EK81" i="4"/>
  <c r="EJ81" i="4"/>
  <c r="EI81" i="4"/>
  <c r="EH81" i="4"/>
  <c r="EF81" i="4"/>
  <c r="EE81" i="4"/>
  <c r="ED81" i="4"/>
  <c r="EC81" i="4"/>
  <c r="EA81" i="4"/>
  <c r="DZ81" i="4"/>
  <c r="DY81" i="4"/>
  <c r="DX81" i="4"/>
  <c r="DV82" i="4"/>
  <c r="DU82" i="4"/>
  <c r="DT82" i="4"/>
  <c r="DS82" i="4"/>
  <c r="DQ82" i="4"/>
  <c r="DP82" i="4"/>
  <c r="DO82" i="4"/>
  <c r="DN82" i="4"/>
  <c r="DL82" i="4"/>
  <c r="DK82" i="4"/>
  <c r="DJ82" i="4"/>
  <c r="DI82" i="4"/>
  <c r="DG82" i="4"/>
  <c r="DF82" i="4"/>
  <c r="DE82" i="4"/>
  <c r="DD82" i="4"/>
  <c r="DB82" i="4"/>
  <c r="DA82" i="4"/>
  <c r="CZ82" i="4"/>
  <c r="CY82" i="4"/>
  <c r="CW82" i="4"/>
  <c r="CV82" i="4"/>
  <c r="CU82" i="4"/>
  <c r="CT82" i="4"/>
  <c r="CR82" i="4"/>
  <c r="CQ82" i="4"/>
  <c r="CP82" i="4"/>
  <c r="CO82" i="4"/>
  <c r="CM82" i="4"/>
  <c r="CL82" i="4"/>
  <c r="CK82" i="4"/>
  <c r="CJ82" i="4"/>
  <c r="CH82" i="4"/>
  <c r="CG82" i="4"/>
  <c r="CF82" i="4"/>
  <c r="CE82" i="4"/>
  <c r="CC82" i="4"/>
  <c r="CB82" i="4"/>
  <c r="CA82" i="4"/>
  <c r="BZ82" i="4"/>
  <c r="BX82" i="4"/>
  <c r="BW82" i="4"/>
  <c r="BV82" i="4"/>
  <c r="BU82" i="4"/>
  <c r="BS82" i="4"/>
  <c r="BR82" i="4"/>
  <c r="BQ82" i="4"/>
  <c r="BP82" i="4"/>
  <c r="BN82" i="4"/>
  <c r="BM82" i="4"/>
  <c r="BL82" i="4"/>
  <c r="BI82" i="4"/>
  <c r="BH82" i="4"/>
  <c r="BD82" i="4"/>
  <c r="AY82" i="4"/>
  <c r="AX82" i="4"/>
  <c r="AW82" i="4"/>
  <c r="AV82" i="4"/>
  <c r="DV81" i="4"/>
  <c r="DU81" i="4"/>
  <c r="DT81" i="4"/>
  <c r="DS81" i="4"/>
  <c r="DQ81" i="4"/>
  <c r="DP81" i="4"/>
  <c r="DO81" i="4"/>
  <c r="DN81" i="4"/>
  <c r="DL81" i="4"/>
  <c r="DK81" i="4"/>
  <c r="DJ81" i="4"/>
  <c r="DI81" i="4"/>
  <c r="DG81" i="4"/>
  <c r="DF81" i="4"/>
  <c r="DE81" i="4"/>
  <c r="DD81" i="4"/>
  <c r="DB81" i="4"/>
  <c r="DA81" i="4"/>
  <c r="CZ81" i="4"/>
  <c r="CY81" i="4"/>
  <c r="CW81" i="4"/>
  <c r="CV81" i="4"/>
  <c r="CU81" i="4"/>
  <c r="CT81" i="4"/>
  <c r="CR81" i="4"/>
  <c r="CQ81" i="4"/>
  <c r="CP81" i="4"/>
  <c r="CO81" i="4"/>
  <c r="CM81" i="4"/>
  <c r="CL81" i="4"/>
  <c r="CK81" i="4"/>
  <c r="CJ81" i="4"/>
  <c r="CH81" i="4"/>
  <c r="CG81" i="4"/>
  <c r="CF81" i="4"/>
  <c r="CE81" i="4"/>
  <c r="CC81" i="4"/>
  <c r="CB81" i="4"/>
  <c r="CA81" i="4"/>
  <c r="BZ81" i="4"/>
  <c r="BX81" i="4"/>
  <c r="BW81" i="4"/>
  <c r="BV81" i="4"/>
  <c r="BU81" i="4"/>
  <c r="BS81" i="4"/>
  <c r="BR81" i="4"/>
  <c r="BQ81" i="4"/>
  <c r="BP81" i="4"/>
  <c r="BN81" i="4"/>
  <c r="BM81" i="4"/>
  <c r="BL81" i="4"/>
  <c r="BK81" i="4"/>
  <c r="BI81" i="4"/>
  <c r="BH81" i="4"/>
  <c r="BG81" i="4"/>
  <c r="BF81" i="4"/>
  <c r="BD81" i="4"/>
  <c r="BC81" i="4"/>
  <c r="BB81" i="4"/>
  <c r="BA81" i="4"/>
  <c r="AY81" i="4"/>
  <c r="AX81" i="4"/>
  <c r="AW81" i="4"/>
  <c r="AV81" i="4"/>
  <c r="AT83" i="4"/>
  <c r="AS83" i="4"/>
  <c r="AR83" i="4"/>
  <c r="AP83" i="4"/>
  <c r="AO83" i="4"/>
  <c r="AN83" i="4"/>
  <c r="AM83" i="4"/>
  <c r="AK83" i="4"/>
  <c r="AJ83" i="4"/>
  <c r="AI83" i="4"/>
  <c r="AH83" i="4"/>
  <c r="AF83" i="4"/>
  <c r="AE83" i="4"/>
  <c r="AD83" i="4"/>
  <c r="AC83" i="4"/>
  <c r="AA83" i="4"/>
  <c r="Z83" i="4"/>
  <c r="Y83" i="4"/>
  <c r="X83" i="4"/>
  <c r="V83" i="4"/>
  <c r="U83" i="4"/>
  <c r="T83" i="4"/>
  <c r="S83" i="4"/>
  <c r="Q83" i="4"/>
  <c r="P83" i="4"/>
  <c r="O83" i="4"/>
  <c r="N83" i="4"/>
  <c r="L83" i="4"/>
  <c r="K83" i="4"/>
  <c r="J83" i="4"/>
  <c r="I83" i="4"/>
  <c r="AS82" i="4"/>
  <c r="AR82" i="4"/>
  <c r="AO82" i="4"/>
  <c r="AN82" i="4"/>
  <c r="AM82" i="4"/>
  <c r="AJ82" i="4"/>
  <c r="AI82" i="4"/>
  <c r="AH82" i="4"/>
  <c r="AE82" i="4"/>
  <c r="AD82" i="4"/>
  <c r="AC82" i="4"/>
  <c r="Z82" i="4"/>
  <c r="Y82" i="4"/>
  <c r="X82" i="4"/>
  <c r="U82" i="4"/>
  <c r="T82" i="4"/>
  <c r="S82" i="4"/>
  <c r="P82" i="4"/>
  <c r="O82" i="4"/>
  <c r="N82" i="4"/>
  <c r="K82" i="4"/>
  <c r="J82" i="4"/>
  <c r="I82" i="4"/>
  <c r="AT81" i="4"/>
  <c r="AS81" i="4"/>
  <c r="AR81" i="4"/>
  <c r="AP81" i="4"/>
  <c r="AO81" i="4"/>
  <c r="AN81" i="4"/>
  <c r="AM81" i="4"/>
  <c r="AK81" i="4"/>
  <c r="AJ81" i="4"/>
  <c r="AI81" i="4"/>
  <c r="AH81" i="4"/>
  <c r="AF81" i="4"/>
  <c r="AE81" i="4"/>
  <c r="AD81" i="4"/>
  <c r="AC81" i="4"/>
  <c r="AA81" i="4"/>
  <c r="Z81" i="4"/>
  <c r="Y81" i="4"/>
  <c r="X81" i="4"/>
  <c r="V81" i="4"/>
  <c r="U81" i="4"/>
  <c r="T81" i="4"/>
  <c r="S81" i="4"/>
  <c r="Q81" i="4"/>
  <c r="P81" i="4"/>
  <c r="O81" i="4"/>
  <c r="N81" i="4"/>
  <c r="L81" i="4"/>
  <c r="K81" i="4"/>
  <c r="J81" i="4"/>
  <c r="I81" i="4"/>
  <c r="G83" i="4"/>
  <c r="F83" i="4"/>
  <c r="E83" i="4"/>
  <c r="D83" i="4"/>
  <c r="F82" i="4"/>
  <c r="E82" i="4"/>
  <c r="D82" i="4"/>
  <c r="G81" i="4"/>
  <c r="F81" i="4"/>
  <c r="E81" i="4"/>
  <c r="D81" i="4"/>
  <c r="DS77" i="4"/>
  <c r="DR77" i="4"/>
  <c r="DM75" i="4"/>
  <c r="DM76" i="4" s="1"/>
  <c r="DA77" i="4"/>
  <c r="CZ77" i="4"/>
  <c r="CV77" i="4"/>
  <c r="CU77" i="4"/>
  <c r="CT77" i="4"/>
  <c r="CR77" i="4"/>
  <c r="CQ77" i="4"/>
  <c r="CP77" i="4"/>
  <c r="CO77" i="4"/>
  <c r="CM77" i="4"/>
  <c r="CL77" i="4"/>
  <c r="CK77" i="4"/>
  <c r="CJ77" i="4"/>
  <c r="CH77" i="4"/>
  <c r="CG77" i="4"/>
  <c r="CF77" i="4"/>
  <c r="CE77" i="4"/>
  <c r="CC77" i="4"/>
  <c r="CB77" i="4"/>
  <c r="CA77" i="4"/>
  <c r="BZ77" i="4"/>
  <c r="BX77" i="4"/>
  <c r="BW77" i="4"/>
  <c r="BV77" i="4"/>
  <c r="BU77" i="4"/>
  <c r="BS77" i="4"/>
  <c r="BR77" i="4"/>
  <c r="BQ77" i="4"/>
  <c r="BP77" i="4"/>
  <c r="BN77" i="4"/>
  <c r="BM77" i="4"/>
  <c r="BL77" i="4"/>
  <c r="BK77" i="4"/>
  <c r="BI77" i="4"/>
  <c r="BH77" i="4"/>
  <c r="BG77" i="4"/>
  <c r="BF77" i="4"/>
  <c r="BD77" i="4"/>
  <c r="BC77" i="4"/>
  <c r="AS77" i="4"/>
  <c r="AO77" i="4"/>
  <c r="AK77" i="4"/>
  <c r="AJ77" i="4"/>
  <c r="AI77" i="4"/>
  <c r="AH77" i="4"/>
  <c r="AF77" i="4"/>
  <c r="AE77" i="4"/>
  <c r="AD77" i="4"/>
  <c r="AC77" i="4"/>
  <c r="AA77" i="4"/>
  <c r="Z77" i="4"/>
  <c r="Y77" i="4"/>
  <c r="X77" i="4"/>
  <c r="V77" i="4"/>
  <c r="U77" i="4"/>
  <c r="T77" i="4"/>
  <c r="S77" i="4"/>
  <c r="Q77" i="4"/>
  <c r="P77" i="4"/>
  <c r="O77" i="4"/>
  <c r="N77" i="4"/>
  <c r="L77" i="4"/>
  <c r="K77" i="4"/>
  <c r="J77" i="4"/>
  <c r="I77" i="4"/>
  <c r="G77" i="4"/>
  <c r="F77" i="4"/>
  <c r="E77" i="4"/>
  <c r="D77" i="4"/>
  <c r="DT76" i="4"/>
  <c r="DN76" i="4"/>
  <c r="DO76" i="4" s="1"/>
  <c r="DP76" i="4" s="1"/>
  <c r="DQ76" i="4" s="1"/>
  <c r="DF77" i="4"/>
  <c r="DE77" i="4"/>
  <c r="DD77" i="4"/>
  <c r="DE74" i="4" s="1"/>
  <c r="DB76" i="4"/>
  <c r="DD76" i="4" s="1"/>
  <c r="DE76" i="4" s="1"/>
  <c r="DF76" i="4" s="1"/>
  <c r="DG76" i="4" s="1"/>
  <c r="BE74" i="4"/>
  <c r="DR75" i="4"/>
  <c r="DR76" i="4" s="1"/>
  <c r="DH75" i="4"/>
  <c r="DH76" i="4" s="1"/>
  <c r="DC75" i="4"/>
  <c r="CY75" i="4"/>
  <c r="CY76" i="4" s="1"/>
  <c r="CW75" i="4"/>
  <c r="CX75" i="4" s="1"/>
  <c r="CS75" i="4"/>
  <c r="CS77" i="4" s="1"/>
  <c r="CS74" i="4"/>
  <c r="CN75" i="4"/>
  <c r="CN77" i="4" s="1"/>
  <c r="CN74" i="4"/>
  <c r="CI75" i="4"/>
  <c r="CI77" i="4" s="1"/>
  <c r="CI74" i="4"/>
  <c r="CD75" i="4"/>
  <c r="CD77" i="4" s="1"/>
  <c r="CD74" i="4"/>
  <c r="BY75" i="4"/>
  <c r="BY77" i="4" s="1"/>
  <c r="BY74" i="4"/>
  <c r="BT75" i="4"/>
  <c r="BT77" i="4" s="1"/>
  <c r="BT74" i="4"/>
  <c r="BO75" i="4"/>
  <c r="BO77" i="4" s="1"/>
  <c r="BO74" i="4"/>
  <c r="BJ75" i="4"/>
  <c r="BJ77" i="4" s="1"/>
  <c r="BJ74" i="4"/>
  <c r="BB76" i="4"/>
  <c r="BB77" i="4" s="1"/>
  <c r="BA76" i="4"/>
  <c r="AY76" i="4"/>
  <c r="AX76" i="4"/>
  <c r="AX77" i="4" s="1"/>
  <c r="AW76" i="4"/>
  <c r="AV76" i="4"/>
  <c r="BB75" i="4"/>
  <c r="BA75" i="4"/>
  <c r="AY75" i="4"/>
  <c r="AY77" i="4" s="1"/>
  <c r="AX75" i="4"/>
  <c r="AW75" i="4"/>
  <c r="AV75" i="4"/>
  <c r="AV77" i="4" s="1"/>
  <c r="AT76" i="4"/>
  <c r="AS76" i="4"/>
  <c r="AR76" i="4"/>
  <c r="AQ76" i="4"/>
  <c r="AP76" i="4"/>
  <c r="AO76" i="4"/>
  <c r="AN76" i="4"/>
  <c r="AM76" i="4"/>
  <c r="AT75" i="4"/>
  <c r="AT77" i="4" s="1"/>
  <c r="AS75" i="4"/>
  <c r="AR75" i="4"/>
  <c r="AR77" i="4" s="1"/>
  <c r="AQ75" i="4"/>
  <c r="AQ77" i="4" s="1"/>
  <c r="AP75" i="4"/>
  <c r="AP77" i="4" s="1"/>
  <c r="AO75" i="4"/>
  <c r="AN75" i="4"/>
  <c r="AN77" i="4" s="1"/>
  <c r="AM75" i="4"/>
  <c r="AM77" i="4" s="1"/>
  <c r="AL75" i="4"/>
  <c r="AL77" i="4" s="1"/>
  <c r="AG75" i="4"/>
  <c r="AG77" i="4" s="1"/>
  <c r="AB75" i="4"/>
  <c r="AB77" i="4" s="1"/>
  <c r="W75" i="4"/>
  <c r="W77" i="4" s="1"/>
  <c r="R75" i="4"/>
  <c r="R77" i="4" s="1"/>
  <c r="M75" i="4"/>
  <c r="M77" i="4" s="1"/>
  <c r="H75" i="4"/>
  <c r="H77" i="4" s="1"/>
  <c r="DX75" i="4"/>
  <c r="DY75" i="4" s="1"/>
  <c r="DW75" i="4"/>
  <c r="DW76" i="4" s="1"/>
  <c r="CX74" i="4"/>
  <c r="CY74" i="4" s="1"/>
  <c r="AZ74" i="4"/>
  <c r="DW71" i="4"/>
  <c r="DV71" i="4"/>
  <c r="DU71" i="4"/>
  <c r="DT71" i="4"/>
  <c r="DS71" i="4"/>
  <c r="DR71" i="4"/>
  <c r="DP71" i="4"/>
  <c r="DO71" i="4"/>
  <c r="DN71" i="4"/>
  <c r="DL71" i="4"/>
  <c r="DM71" i="4" s="1"/>
  <c r="DJ71" i="4"/>
  <c r="DI71" i="4"/>
  <c r="DF71" i="4"/>
  <c r="DG71" i="4" s="1"/>
  <c r="DH71" i="4" s="1"/>
  <c r="DE71" i="4"/>
  <c r="DD71" i="4"/>
  <c r="DC71" i="4"/>
  <c r="CZ71" i="4"/>
  <c r="CY71" i="4"/>
  <c r="CW71" i="4"/>
  <c r="CX71" i="4" s="1"/>
  <c r="CV71" i="4"/>
  <c r="CU71" i="4"/>
  <c r="CT71" i="4"/>
  <c r="CR71" i="4"/>
  <c r="CS71" i="4" s="1"/>
  <c r="CQ71" i="4"/>
  <c r="CP71" i="4"/>
  <c r="CO71" i="4"/>
  <c r="CN71" i="4"/>
  <c r="CM71" i="4"/>
  <c r="CL71" i="4"/>
  <c r="CK71" i="4"/>
  <c r="CJ71" i="4"/>
  <c r="CI71" i="4"/>
  <c r="CH71" i="4"/>
  <c r="CG71" i="4"/>
  <c r="CF71" i="4"/>
  <c r="CE71" i="4"/>
  <c r="CC71" i="4"/>
  <c r="CD71" i="4" s="1"/>
  <c r="CB71" i="4"/>
  <c r="CA71" i="4"/>
  <c r="BZ71" i="4"/>
  <c r="BX71" i="4"/>
  <c r="BY71" i="4" s="1"/>
  <c r="BW71" i="4"/>
  <c r="BV71" i="4"/>
  <c r="BU71" i="4"/>
  <c r="BT71" i="4"/>
  <c r="BS71" i="4"/>
  <c r="BR71" i="4"/>
  <c r="BQ71" i="4"/>
  <c r="BP71" i="4"/>
  <c r="BO71" i="4"/>
  <c r="BN71" i="4"/>
  <c r="BM71" i="4"/>
  <c r="BL71" i="4"/>
  <c r="BK71" i="4"/>
  <c r="BI71" i="4"/>
  <c r="BJ71" i="4" s="1"/>
  <c r="BH71" i="4"/>
  <c r="BG71" i="4"/>
  <c r="BF71" i="4"/>
  <c r="BD71" i="4"/>
  <c r="BE71" i="4" s="1"/>
  <c r="BC71" i="4"/>
  <c r="BB71" i="4"/>
  <c r="BA71" i="4"/>
  <c r="AZ71" i="4"/>
  <c r="AY71" i="4"/>
  <c r="DG70" i="4"/>
  <c r="DF70" i="4"/>
  <c r="DC70" i="4"/>
  <c r="DB70" i="4"/>
  <c r="DA70" i="4"/>
  <c r="CZ70" i="4"/>
  <c r="CY70" i="4"/>
  <c r="CX70" i="4"/>
  <c r="CW70" i="4"/>
  <c r="CV70" i="4"/>
  <c r="CU70" i="4"/>
  <c r="CT70" i="4"/>
  <c r="CQ70" i="4"/>
  <c r="CP70" i="4"/>
  <c r="CM70" i="4"/>
  <c r="CL70" i="4"/>
  <c r="CI70" i="4"/>
  <c r="CH70" i="4"/>
  <c r="CE70" i="4"/>
  <c r="CD70" i="4"/>
  <c r="CA70" i="4"/>
  <c r="BZ70" i="4"/>
  <c r="BW70" i="4"/>
  <c r="BV70" i="4"/>
  <c r="BS70" i="4"/>
  <c r="BR70" i="4"/>
  <c r="BO70" i="4"/>
  <c r="BN70" i="4"/>
  <c r="BK70" i="4"/>
  <c r="BJ70" i="4"/>
  <c r="BG70" i="4"/>
  <c r="BF70" i="4"/>
  <c r="BC70" i="4"/>
  <c r="BB70" i="4"/>
  <c r="AY70" i="4"/>
  <c r="AX70" i="4"/>
  <c r="DH68" i="4"/>
  <c r="DE69" i="4"/>
  <c r="DD69" i="4"/>
  <c r="DD70" i="4" s="1"/>
  <c r="DR68" i="4"/>
  <c r="DM68" i="4"/>
  <c r="CU69" i="4"/>
  <c r="CT69" i="4"/>
  <c r="CS69" i="4"/>
  <c r="CS70" i="4" s="1"/>
  <c r="CR69" i="4"/>
  <c r="CR70" i="4" s="1"/>
  <c r="CQ69" i="4"/>
  <c r="CP69" i="4"/>
  <c r="CO69" i="4"/>
  <c r="CN69" i="4"/>
  <c r="CN70" i="4" s="1"/>
  <c r="CM69" i="4"/>
  <c r="CL69" i="4"/>
  <c r="CK69" i="4"/>
  <c r="CK70" i="4" s="1"/>
  <c r="CJ69" i="4"/>
  <c r="CJ70" i="4" s="1"/>
  <c r="CI69" i="4"/>
  <c r="CH69" i="4"/>
  <c r="CG69" i="4"/>
  <c r="CG70" i="4" s="1"/>
  <c r="CF69" i="4"/>
  <c r="CF70" i="4" s="1"/>
  <c r="CE69" i="4"/>
  <c r="CD69" i="4"/>
  <c r="CC69" i="4"/>
  <c r="CC70" i="4" s="1"/>
  <c r="CB69" i="4"/>
  <c r="CB70" i="4" s="1"/>
  <c r="CA69" i="4"/>
  <c r="BZ69" i="4"/>
  <c r="BY69" i="4"/>
  <c r="BY70" i="4" s="1"/>
  <c r="BX69" i="4"/>
  <c r="BX70" i="4" s="1"/>
  <c r="BW69" i="4"/>
  <c r="BV69" i="4"/>
  <c r="BU69" i="4"/>
  <c r="BU70" i="4" s="1"/>
  <c r="BT69" i="4"/>
  <c r="BT70" i="4" s="1"/>
  <c r="BS69" i="4"/>
  <c r="BR69" i="4"/>
  <c r="BQ69" i="4"/>
  <c r="BQ70" i="4" s="1"/>
  <c r="BP69" i="4"/>
  <c r="BP70" i="4" s="1"/>
  <c r="BO69" i="4"/>
  <c r="BN69" i="4"/>
  <c r="BM69" i="4"/>
  <c r="BM70" i="4" s="1"/>
  <c r="BL69" i="4"/>
  <c r="BL70" i="4" s="1"/>
  <c r="BK69" i="4"/>
  <c r="BJ69" i="4"/>
  <c r="BI69" i="4"/>
  <c r="BI70" i="4" s="1"/>
  <c r="BH69" i="4"/>
  <c r="BH70" i="4" s="1"/>
  <c r="BG69" i="4"/>
  <c r="BF69" i="4"/>
  <c r="BE69" i="4"/>
  <c r="BE70" i="4" s="1"/>
  <c r="BD69" i="4"/>
  <c r="BD70" i="4" s="1"/>
  <c r="BC69" i="4"/>
  <c r="BB69" i="4"/>
  <c r="BA69" i="4"/>
  <c r="BA70" i="4" s="1"/>
  <c r="AZ69" i="4"/>
  <c r="AZ70" i="4" s="1"/>
  <c r="AY69" i="4"/>
  <c r="AX69" i="4"/>
  <c r="AW69" i="4"/>
  <c r="AW70" i="4" s="1"/>
  <c r="AV69" i="4"/>
  <c r="AV70" i="4" s="1"/>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T71" i="4"/>
  <c r="AS71" i="4"/>
  <c r="AR71" i="4"/>
  <c r="AQ71" i="4"/>
  <c r="AP71" i="4"/>
  <c r="AO71" i="4"/>
  <c r="AN71" i="4"/>
  <c r="AM71" i="4"/>
  <c r="AL71" i="4"/>
  <c r="AK71" i="4"/>
  <c r="AJ71" i="4"/>
  <c r="AI71" i="4"/>
  <c r="AH71" i="4"/>
  <c r="AG71" i="4"/>
  <c r="AF71" i="4"/>
  <c r="AE71" i="4"/>
  <c r="AD71" i="4"/>
  <c r="AC71" i="4"/>
  <c r="AB71" i="4"/>
  <c r="AA71" i="4" s="1"/>
  <c r="Z71" i="4"/>
  <c r="Y71" i="4"/>
  <c r="X71" i="4"/>
  <c r="W71" i="4"/>
  <c r="V71" i="4"/>
  <c r="U71" i="4"/>
  <c r="T71" i="4"/>
  <c r="S71" i="4"/>
  <c r="R71" i="4"/>
  <c r="Q71" i="4"/>
  <c r="P71" i="4"/>
  <c r="O71" i="4"/>
  <c r="N71" i="4"/>
  <c r="M71" i="4"/>
  <c r="L71" i="4"/>
  <c r="K71" i="4"/>
  <c r="J71" i="4"/>
  <c r="I71" i="4"/>
  <c r="H71" i="4"/>
  <c r="G71" i="4" s="1"/>
  <c r="F71" i="4"/>
  <c r="E71" i="4"/>
  <c r="D71" i="4"/>
  <c r="AS70" i="4"/>
  <c r="AR70" i="4"/>
  <c r="AQ70" i="4"/>
  <c r="AO70" i="4"/>
  <c r="AN70" i="4"/>
  <c r="AM70" i="4"/>
  <c r="AK70" i="4"/>
  <c r="AJ70" i="4"/>
  <c r="AI70" i="4"/>
  <c r="AF70" i="4"/>
  <c r="AE70" i="4"/>
  <c r="AB70" i="4"/>
  <c r="AA70" i="4"/>
  <c r="X70" i="4"/>
  <c r="W70" i="4"/>
  <c r="T70" i="4"/>
  <c r="S70" i="4"/>
  <c r="P70" i="4"/>
  <c r="O70" i="4"/>
  <c r="L70" i="4"/>
  <c r="K70" i="4"/>
  <c r="H70" i="4"/>
  <c r="G70" i="4"/>
  <c r="D70" i="4"/>
  <c r="AT69" i="4"/>
  <c r="AT70" i="4" s="1"/>
  <c r="AS69" i="4"/>
  <c r="AR69" i="4"/>
  <c r="AQ69" i="4"/>
  <c r="AP69" i="4"/>
  <c r="AP70" i="4" s="1"/>
  <c r="AO69" i="4"/>
  <c r="AN69" i="4"/>
  <c r="AM69" i="4"/>
  <c r="AL69" i="4"/>
  <c r="AL70" i="4" s="1"/>
  <c r="AK69" i="4"/>
  <c r="AJ69" i="4"/>
  <c r="AI69" i="4"/>
  <c r="AH69" i="4"/>
  <c r="AH70" i="4" s="1"/>
  <c r="AG69" i="4"/>
  <c r="AG70" i="4" s="1"/>
  <c r="AF69" i="4"/>
  <c r="AE69" i="4"/>
  <c r="AD69" i="4"/>
  <c r="AD70" i="4" s="1"/>
  <c r="AC69" i="4"/>
  <c r="AC70" i="4" s="1"/>
  <c r="AB69" i="4"/>
  <c r="AA69" i="4"/>
  <c r="Z69" i="4"/>
  <c r="Z70" i="4" s="1"/>
  <c r="Y69" i="4"/>
  <c r="Y70" i="4" s="1"/>
  <c r="X69" i="4"/>
  <c r="W69" i="4"/>
  <c r="V69" i="4"/>
  <c r="V70" i="4" s="1"/>
  <c r="U69" i="4"/>
  <c r="U70" i="4" s="1"/>
  <c r="T69" i="4"/>
  <c r="S69" i="4"/>
  <c r="R69" i="4"/>
  <c r="R70" i="4" s="1"/>
  <c r="Q69" i="4"/>
  <c r="Q70" i="4" s="1"/>
  <c r="P69" i="4"/>
  <c r="O69" i="4"/>
  <c r="N69" i="4"/>
  <c r="N70" i="4" s="1"/>
  <c r="M69" i="4"/>
  <c r="M70" i="4" s="1"/>
  <c r="L69" i="4"/>
  <c r="K69" i="4"/>
  <c r="J69" i="4"/>
  <c r="J70" i="4" s="1"/>
  <c r="I69" i="4"/>
  <c r="I70" i="4" s="1"/>
  <c r="H69" i="4"/>
  <c r="G69" i="4"/>
  <c r="F69" i="4"/>
  <c r="F70" i="4" s="1"/>
  <c r="E69" i="4"/>
  <c r="E70" i="4" s="1"/>
  <c r="D69"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DW69" i="4"/>
  <c r="DW68" i="4"/>
  <c r="DF65" i="4"/>
  <c r="DD65" i="4"/>
  <c r="DB65" i="4"/>
  <c r="DA65" i="4"/>
  <c r="CZ65" i="4"/>
  <c r="CY65" i="4"/>
  <c r="CW65" i="4"/>
  <c r="CV65" i="4"/>
  <c r="CU65" i="4"/>
  <c r="CT65" i="4"/>
  <c r="CR65" i="4"/>
  <c r="CQ65" i="4"/>
  <c r="CP65" i="4"/>
  <c r="CS56" i="4"/>
  <c r="CS54" i="4"/>
  <c r="CS53" i="4"/>
  <c r="BI58" i="4"/>
  <c r="BB58" i="4"/>
  <c r="BA58" i="4"/>
  <c r="AW58" i="4"/>
  <c r="AV58" i="4"/>
  <c r="AT58" i="4"/>
  <c r="AS58" i="4"/>
  <c r="AR58" i="4"/>
  <c r="AO58" i="4"/>
  <c r="AN58" i="4"/>
  <c r="AM58" i="4"/>
  <c r="AJ58" i="4"/>
  <c r="AI58" i="4"/>
  <c r="AH58" i="4"/>
  <c r="Z58" i="4"/>
  <c r="Y58" i="4"/>
  <c r="X58" i="4"/>
  <c r="U58" i="4"/>
  <c r="S58" i="4"/>
  <c r="P58" i="4"/>
  <c r="O58" i="4"/>
  <c r="N58" i="4"/>
  <c r="K58" i="4"/>
  <c r="F58" i="4"/>
  <c r="E58" i="4"/>
  <c r="D58" i="4"/>
  <c r="EL57" i="4"/>
  <c r="EL56" i="4"/>
  <c r="EL55" i="4"/>
  <c r="EL53" i="4"/>
  <c r="EL52" i="4"/>
  <c r="EG57" i="4"/>
  <c r="EG56" i="4"/>
  <c r="EG55" i="4"/>
  <c r="EG53" i="4"/>
  <c r="EG52" i="4"/>
  <c r="EB57" i="4"/>
  <c r="EB56" i="4"/>
  <c r="EB55" i="4"/>
  <c r="EB53" i="4"/>
  <c r="EB52" i="4"/>
  <c r="DR57" i="4"/>
  <c r="DR56" i="4"/>
  <c r="DR55" i="4"/>
  <c r="DM57" i="4"/>
  <c r="DM56" i="4"/>
  <c r="DM55" i="4"/>
  <c r="DM53" i="4"/>
  <c r="DH57" i="4"/>
  <c r="BH57" i="4"/>
  <c r="BJ57" i="4" s="1"/>
  <c r="BG57" i="4"/>
  <c r="BD57" i="4"/>
  <c r="BD58" i="4" s="1"/>
  <c r="BC57" i="4"/>
  <c r="BC58" i="4" s="1"/>
  <c r="BB57" i="4"/>
  <c r="AZ57" i="4"/>
  <c r="AZ56" i="4"/>
  <c r="AZ54" i="4"/>
  <c r="AZ53" i="4"/>
  <c r="AZ51" i="4"/>
  <c r="AQ57" i="4"/>
  <c r="AQ56" i="4"/>
  <c r="AQ54" i="4"/>
  <c r="AQ53" i="4"/>
  <c r="AQ52" i="4"/>
  <c r="AQ51" i="4"/>
  <c r="AL57" i="4"/>
  <c r="AL56" i="4"/>
  <c r="AL54" i="4"/>
  <c r="AL53" i="4"/>
  <c r="AL52" i="4"/>
  <c r="AL51" i="4"/>
  <c r="AG57" i="4"/>
  <c r="AG56" i="4"/>
  <c r="AG55" i="4"/>
  <c r="AG54" i="4"/>
  <c r="AG53" i="4"/>
  <c r="AG51" i="4"/>
  <c r="AB57" i="4"/>
  <c r="AB56" i="4"/>
  <c r="AB55" i="4"/>
  <c r="AB54" i="4"/>
  <c r="AB53" i="4"/>
  <c r="AB51" i="4"/>
  <c r="W57" i="4"/>
  <c r="W56" i="4"/>
  <c r="W54" i="4"/>
  <c r="W53" i="4"/>
  <c r="W51" i="4"/>
  <c r="R57" i="4"/>
  <c r="R54" i="4"/>
  <c r="R53" i="4"/>
  <c r="R51" i="4"/>
  <c r="M57" i="4"/>
  <c r="M56" i="4"/>
  <c r="M53" i="4"/>
  <c r="M52" i="4"/>
  <c r="M51" i="4"/>
  <c r="H57" i="4"/>
  <c r="H56" i="4"/>
  <c r="H54" i="4"/>
  <c r="H53" i="4"/>
  <c r="H51" i="4"/>
  <c r="DW57" i="4"/>
  <c r="DV57" i="4"/>
  <c r="DV56" i="4"/>
  <c r="DW56" i="4" s="1"/>
  <c r="CX56" i="4"/>
  <c r="CX55" i="4"/>
  <c r="CN56" i="4"/>
  <c r="CN54" i="4"/>
  <c r="CN53" i="4"/>
  <c r="CI56" i="4"/>
  <c r="CI53" i="4"/>
  <c r="CD56" i="4"/>
  <c r="CD53" i="4"/>
  <c r="BV56" i="4"/>
  <c r="BV55" i="4"/>
  <c r="BV54" i="4"/>
  <c r="BS56" i="4"/>
  <c r="BT56" i="4" s="1"/>
  <c r="BM56" i="4"/>
  <c r="BN56" i="4" s="1"/>
  <c r="BJ56" i="4"/>
  <c r="BJ55" i="4"/>
  <c r="BJ54" i="4"/>
  <c r="BJ53" i="4"/>
  <c r="BE56" i="4"/>
  <c r="BE55" i="4"/>
  <c r="BE54" i="4"/>
  <c r="Q56" i="4"/>
  <c r="R56" i="4" s="1"/>
  <c r="Q55" i="4"/>
  <c r="R55" i="4" s="1"/>
  <c r="DW55" i="4"/>
  <c r="DW53" i="4"/>
  <c r="DH55" i="4"/>
  <c r="DC55" i="4"/>
  <c r="CR55" i="4"/>
  <c r="CS55" i="4" s="1"/>
  <c r="CM55" i="4"/>
  <c r="CL55" i="4"/>
  <c r="CK55" i="4"/>
  <c r="CJ55" i="4"/>
  <c r="AX55" i="4"/>
  <c r="AX58" i="4" s="1"/>
  <c r="AP55" i="4"/>
  <c r="AP58" i="4" s="1"/>
  <c r="AK55" i="4"/>
  <c r="AL55" i="4" s="1"/>
  <c r="V55" i="4"/>
  <c r="W55" i="4" s="1"/>
  <c r="L55" i="4"/>
  <c r="M55" i="4" s="1"/>
  <c r="G55" i="4"/>
  <c r="H55" i="4" s="1"/>
  <c r="EK54" i="4"/>
  <c r="EJ54" i="4"/>
  <c r="EI54" i="4"/>
  <c r="EH54" i="4"/>
  <c r="EF54" i="4"/>
  <c r="EE54" i="4"/>
  <c r="ED54" i="4"/>
  <c r="EC54" i="4"/>
  <c r="EA54" i="4"/>
  <c r="DZ54" i="4"/>
  <c r="DY54" i="4"/>
  <c r="DX54" i="4"/>
  <c r="CH55" i="4"/>
  <c r="CG55" i="4"/>
  <c r="CF55" i="4"/>
  <c r="CE55" i="4"/>
  <c r="CH54" i="4"/>
  <c r="CG54" i="4"/>
  <c r="CF54" i="4"/>
  <c r="CE54" i="4"/>
  <c r="CC55" i="4"/>
  <c r="CB55" i="4"/>
  <c r="CA55" i="4"/>
  <c r="BZ55" i="4"/>
  <c r="BX55" i="4"/>
  <c r="BW55" i="4"/>
  <c r="CC54" i="4"/>
  <c r="CB54" i="4"/>
  <c r="CA54" i="4"/>
  <c r="BZ54" i="4"/>
  <c r="BX54" i="4"/>
  <c r="BW54" i="4"/>
  <c r="BU55" i="4"/>
  <c r="BS55" i="4"/>
  <c r="BR55" i="4"/>
  <c r="BQ55" i="4"/>
  <c r="BP55" i="4"/>
  <c r="BO55" i="4"/>
  <c r="BU54" i="4"/>
  <c r="BS54" i="4"/>
  <c r="BR54" i="4"/>
  <c r="BQ54" i="4"/>
  <c r="BP54" i="4"/>
  <c r="BN54" i="4"/>
  <c r="BO54" i="4" s="1"/>
  <c r="BN52" i="4"/>
  <c r="BN51" i="4"/>
  <c r="J54" i="4"/>
  <c r="J58" i="4" s="1"/>
  <c r="I54" i="4"/>
  <c r="DR53" i="4"/>
  <c r="BX53" i="4"/>
  <c r="BY53" i="4" s="1"/>
  <c r="BS53" i="4"/>
  <c r="BT53" i="4" s="1"/>
  <c r="BL53" i="4"/>
  <c r="BN53" i="4" s="1"/>
  <c r="BL52" i="4"/>
  <c r="BL51" i="4"/>
  <c r="DL52" i="4"/>
  <c r="DK52" i="4"/>
  <c r="DJ52" i="4"/>
  <c r="DI52" i="4"/>
  <c r="DG52" i="4"/>
  <c r="DF52" i="4"/>
  <c r="DE52" i="4"/>
  <c r="DD52" i="4"/>
  <c r="DB52" i="4"/>
  <c r="DA52" i="4"/>
  <c r="CZ52" i="4"/>
  <c r="CY52" i="4"/>
  <c r="CW52" i="4"/>
  <c r="CV52" i="4"/>
  <c r="CU52" i="4"/>
  <c r="CT52" i="4"/>
  <c r="BM52" i="4"/>
  <c r="BM51" i="4"/>
  <c r="BK51" i="4"/>
  <c r="BG52" i="4"/>
  <c r="BG58" i="4" s="1"/>
  <c r="BE52" i="4"/>
  <c r="BB52" i="4"/>
  <c r="AY52" i="4"/>
  <c r="AY58" i="4" s="1"/>
  <c r="AF52" i="4"/>
  <c r="AF58" i="4" s="1"/>
  <c r="AE52" i="4"/>
  <c r="AE58" i="4" s="1"/>
  <c r="AD52" i="4"/>
  <c r="AD58" i="4" s="1"/>
  <c r="AC52" i="4"/>
  <c r="AC58" i="4" s="1"/>
  <c r="AA52" i="4"/>
  <c r="T52" i="4"/>
  <c r="P52" i="4"/>
  <c r="G52" i="4"/>
  <c r="D52" i="4"/>
  <c r="EK51" i="4"/>
  <c r="EJ51" i="4"/>
  <c r="EI51" i="4"/>
  <c r="EH51" i="4"/>
  <c r="EF51" i="4"/>
  <c r="EE51" i="4"/>
  <c r="ED51" i="4"/>
  <c r="EC51" i="4"/>
  <c r="EA51" i="4"/>
  <c r="DZ51" i="4"/>
  <c r="DY51" i="4"/>
  <c r="DX51" i="4"/>
  <c r="DV52" i="4"/>
  <c r="DU52" i="4"/>
  <c r="DT52" i="4"/>
  <c r="DS52" i="4"/>
  <c r="DV51" i="4"/>
  <c r="DU51" i="4"/>
  <c r="DT51" i="4"/>
  <c r="DT58" i="4" s="1"/>
  <c r="DS51" i="4"/>
  <c r="DQ52" i="4"/>
  <c r="DP52" i="4"/>
  <c r="DO52" i="4"/>
  <c r="DN52" i="4"/>
  <c r="DQ51" i="4"/>
  <c r="DP51" i="4"/>
  <c r="DO51" i="4"/>
  <c r="DO58" i="4" s="1"/>
  <c r="DN51" i="4"/>
  <c r="DN58" i="4" s="1"/>
  <c r="DL51" i="4"/>
  <c r="DL58" i="4" s="1"/>
  <c r="DK51" i="4"/>
  <c r="DJ51" i="4"/>
  <c r="DI51" i="4"/>
  <c r="DF51" i="4"/>
  <c r="DE51" i="4"/>
  <c r="DD51" i="4"/>
  <c r="DB51" i="4"/>
  <c r="DA51" i="4"/>
  <c r="CZ51" i="4"/>
  <c r="CY51" i="4"/>
  <c r="CW51" i="4"/>
  <c r="CV51" i="4"/>
  <c r="CU51" i="4"/>
  <c r="CT51" i="4"/>
  <c r="CR52" i="4"/>
  <c r="CQ52" i="4"/>
  <c r="CP52" i="4"/>
  <c r="CO52" i="4"/>
  <c r="CR51" i="4"/>
  <c r="CR57" i="4" s="1"/>
  <c r="CQ51" i="4"/>
  <c r="CQ57" i="4" s="1"/>
  <c r="CP51" i="4"/>
  <c r="CP57" i="4" s="1"/>
  <c r="CO51" i="4"/>
  <c r="CM52" i="4"/>
  <c r="CL52" i="4"/>
  <c r="CK52" i="4"/>
  <c r="CJ52" i="4"/>
  <c r="CM51" i="4"/>
  <c r="CM57" i="4" s="1"/>
  <c r="CL51" i="4"/>
  <c r="CK51" i="4"/>
  <c r="CJ51" i="4"/>
  <c r="CH52" i="4"/>
  <c r="CG52" i="4"/>
  <c r="CF52" i="4"/>
  <c r="CE52" i="4"/>
  <c r="CH51" i="4"/>
  <c r="CH57" i="4" s="1"/>
  <c r="CH58" i="4" s="1"/>
  <c r="CG51" i="4"/>
  <c r="CF51" i="4"/>
  <c r="CE51" i="4"/>
  <c r="CC52" i="4"/>
  <c r="CB52" i="4"/>
  <c r="CA52" i="4"/>
  <c r="BZ52" i="4"/>
  <c r="BX52" i="4"/>
  <c r="BW52" i="4"/>
  <c r="BV52" i="4"/>
  <c r="BU52" i="4"/>
  <c r="BS52" i="4"/>
  <c r="BR52" i="4"/>
  <c r="BQ52" i="4"/>
  <c r="BP52" i="4"/>
  <c r="CC51" i="4"/>
  <c r="CB51" i="4"/>
  <c r="CA51" i="4"/>
  <c r="BZ51" i="4"/>
  <c r="BX51" i="4"/>
  <c r="BW51" i="4"/>
  <c r="BV51" i="4"/>
  <c r="BV57" i="4" s="1"/>
  <c r="BU51" i="4"/>
  <c r="BS51" i="4"/>
  <c r="BR51" i="4"/>
  <c r="BQ51" i="4"/>
  <c r="BP51" i="4"/>
  <c r="BH51" i="4"/>
  <c r="BF51" i="4"/>
  <c r="BJ51" i="4" s="1"/>
  <c r="BE51" i="4"/>
  <c r="DC46" i="4"/>
  <c r="DC45" i="4"/>
  <c r="DC44" i="4"/>
  <c r="DC42" i="4"/>
  <c r="DC41" i="4"/>
  <c r="DC40" i="4"/>
  <c r="DC39" i="4"/>
  <c r="DC38" i="4"/>
  <c r="DC37" i="4"/>
  <c r="CX46" i="4"/>
  <c r="CX44" i="4"/>
  <c r="CX42" i="4"/>
  <c r="CX41" i="4"/>
  <c r="CX40" i="4"/>
  <c r="CX39" i="4"/>
  <c r="CX38" i="4"/>
  <c r="CX37" i="4"/>
  <c r="CS46" i="4"/>
  <c r="CS45" i="4"/>
  <c r="CS44" i="4"/>
  <c r="CS42" i="4"/>
  <c r="CS41" i="4"/>
  <c r="CS40" i="4"/>
  <c r="CS39" i="4"/>
  <c r="CS38" i="4"/>
  <c r="CS37" i="4"/>
  <c r="CM48" i="4"/>
  <c r="CL48" i="4"/>
  <c r="CK48" i="4"/>
  <c r="BJ48" i="4"/>
  <c r="BJ46" i="4"/>
  <c r="BJ45" i="4"/>
  <c r="BJ44" i="4"/>
  <c r="BJ42" i="4"/>
  <c r="BJ41" i="4"/>
  <c r="BJ40" i="4"/>
  <c r="BJ39" i="4"/>
  <c r="BJ38" i="4"/>
  <c r="BJ37" i="4"/>
  <c r="BE48" i="4"/>
  <c r="BE46" i="4"/>
  <c r="BE45" i="4"/>
  <c r="BE44" i="4"/>
  <c r="BE42" i="4"/>
  <c r="BE41" i="4"/>
  <c r="BE40" i="4"/>
  <c r="BE39" i="4"/>
  <c r="BE38" i="4"/>
  <c r="BE37" i="4"/>
  <c r="AZ48" i="4"/>
  <c r="AZ46" i="4"/>
  <c r="AZ45" i="4"/>
  <c r="AZ44" i="4"/>
  <c r="AZ42" i="4"/>
  <c r="AZ41" i="4"/>
  <c r="AZ40" i="4"/>
  <c r="AZ39" i="4"/>
  <c r="AZ38" i="4"/>
  <c r="AZ37" i="4"/>
  <c r="AQ48" i="4"/>
  <c r="AQ45" i="4"/>
  <c r="AQ44" i="4"/>
  <c r="AQ42" i="4"/>
  <c r="AQ41" i="4"/>
  <c r="AQ40" i="4"/>
  <c r="AQ39" i="4"/>
  <c r="AQ38" i="4"/>
  <c r="AQ37" i="4"/>
  <c r="AL48" i="4"/>
  <c r="AL45" i="4"/>
  <c r="AL44" i="4"/>
  <c r="AL42" i="4"/>
  <c r="AL41" i="4"/>
  <c r="AL40" i="4"/>
  <c r="AL39" i="4"/>
  <c r="AL38" i="4"/>
  <c r="AL37" i="4"/>
  <c r="AG48" i="4"/>
  <c r="AG45" i="4"/>
  <c r="AG42" i="4"/>
  <c r="AG41" i="4"/>
  <c r="AG40" i="4"/>
  <c r="AG39" i="4"/>
  <c r="AG38" i="4"/>
  <c r="AG37" i="4"/>
  <c r="AB48" i="4"/>
  <c r="AB45" i="4"/>
  <c r="AB44" i="4"/>
  <c r="AB42" i="4"/>
  <c r="AB41" i="4"/>
  <c r="AB40" i="4"/>
  <c r="AB39" i="4"/>
  <c r="AB38" i="4"/>
  <c r="AB37" i="4"/>
  <c r="W48" i="4"/>
  <c r="W45" i="4"/>
  <c r="W44" i="4"/>
  <c r="W42" i="4"/>
  <c r="W41" i="4"/>
  <c r="W40" i="4"/>
  <c r="W39" i="4"/>
  <c r="W38" i="4"/>
  <c r="W37" i="4"/>
  <c r="R48" i="4"/>
  <c r="R45" i="4"/>
  <c r="R44" i="4"/>
  <c r="R42" i="4"/>
  <c r="R41" i="4"/>
  <c r="R40" i="4"/>
  <c r="R39" i="4"/>
  <c r="R38" i="4"/>
  <c r="R37" i="4"/>
  <c r="M48" i="4"/>
  <c r="M45" i="4"/>
  <c r="M44" i="4"/>
  <c r="M42" i="4"/>
  <c r="M41" i="4"/>
  <c r="M40" i="4"/>
  <c r="M39" i="4"/>
  <c r="M38" i="4"/>
  <c r="M37" i="4"/>
  <c r="H48" i="4"/>
  <c r="H45" i="4"/>
  <c r="H44" i="4"/>
  <c r="H42" i="4"/>
  <c r="H41" i="4"/>
  <c r="H40" i="4"/>
  <c r="H39" i="4"/>
  <c r="H38" i="4"/>
  <c r="H37" i="4"/>
  <c r="DR46" i="4"/>
  <c r="DR44" i="4"/>
  <c r="DR42" i="4"/>
  <c r="DR41" i="4"/>
  <c r="DR40" i="4"/>
  <c r="DR39" i="4"/>
  <c r="DR38" i="4"/>
  <c r="DR37" i="4"/>
  <c r="DM46" i="4"/>
  <c r="DM44" i="4"/>
  <c r="DM42" i="4"/>
  <c r="DM41" i="4"/>
  <c r="DM40" i="4"/>
  <c r="DM39" i="4"/>
  <c r="DM38" i="4"/>
  <c r="DM37" i="4"/>
  <c r="DH46" i="4"/>
  <c r="DH44" i="4"/>
  <c r="DH42" i="4"/>
  <c r="DH41" i="4"/>
  <c r="DH40" i="4"/>
  <c r="DH39" i="4"/>
  <c r="DH38" i="4"/>
  <c r="DH37" i="4"/>
  <c r="CN46" i="4"/>
  <c r="CN45" i="4"/>
  <c r="CN44" i="4"/>
  <c r="CN42" i="4"/>
  <c r="CN41" i="4"/>
  <c r="CN40" i="4"/>
  <c r="CN39" i="4"/>
  <c r="CN38" i="4"/>
  <c r="CN37" i="4"/>
  <c r="CI46" i="4"/>
  <c r="CI45" i="4"/>
  <c r="CI44" i="4"/>
  <c r="CI42" i="4"/>
  <c r="CI41" i="4"/>
  <c r="CI40" i="4"/>
  <c r="CI39" i="4"/>
  <c r="CI38" i="4"/>
  <c r="CI37" i="4"/>
  <c r="CD46" i="4"/>
  <c r="CD45" i="4"/>
  <c r="CD44" i="4"/>
  <c r="CD42" i="4"/>
  <c r="CD41" i="4"/>
  <c r="CD40" i="4"/>
  <c r="CD39" i="4"/>
  <c r="CD38" i="4"/>
  <c r="CD37" i="4"/>
  <c r="BY46" i="4"/>
  <c r="BY45" i="4"/>
  <c r="BY44" i="4"/>
  <c r="BY42" i="4"/>
  <c r="BY41" i="4"/>
  <c r="BY40" i="4"/>
  <c r="BY39" i="4"/>
  <c r="BY38" i="4"/>
  <c r="BY37" i="4"/>
  <c r="BT46" i="4"/>
  <c r="BT45" i="4"/>
  <c r="BT44" i="4"/>
  <c r="BT42" i="4"/>
  <c r="BT41" i="4"/>
  <c r="BT40" i="4"/>
  <c r="BT38" i="4"/>
  <c r="BT37" i="4"/>
  <c r="BO46" i="4"/>
  <c r="BO45" i="4"/>
  <c r="BO44" i="4"/>
  <c r="BO42" i="4"/>
  <c r="BO41" i="4"/>
  <c r="BO40" i="4"/>
  <c r="BO39" i="4"/>
  <c r="BO38" i="4"/>
  <c r="BO37" i="4"/>
  <c r="AP46" i="4"/>
  <c r="AQ46" i="4" s="1"/>
  <c r="AK46" i="4"/>
  <c r="AL46" i="4" s="1"/>
  <c r="AF46" i="4"/>
  <c r="AG46" i="4" s="1"/>
  <c r="AA46" i="4"/>
  <c r="AB46" i="4" s="1"/>
  <c r="V46" i="4"/>
  <c r="W46" i="4" s="1"/>
  <c r="Q46" i="4"/>
  <c r="R46" i="4" s="1"/>
  <c r="L46" i="4"/>
  <c r="M46" i="4" s="1"/>
  <c r="G46" i="4"/>
  <c r="H46" i="4" s="1"/>
  <c r="DW46" i="4"/>
  <c r="DD45" i="4"/>
  <c r="CT45" i="4"/>
  <c r="CX45" i="4" s="1"/>
  <c r="EL44" i="4"/>
  <c r="EL42" i="4"/>
  <c r="EL41" i="4"/>
  <c r="EL40" i="4"/>
  <c r="EL39" i="4"/>
  <c r="EL38" i="4"/>
  <c r="EL37" i="4"/>
  <c r="EG44" i="4"/>
  <c r="EG42" i="4"/>
  <c r="EG41" i="4"/>
  <c r="EG40" i="4"/>
  <c r="EG39" i="4"/>
  <c r="EG38" i="4"/>
  <c r="EG37" i="4"/>
  <c r="EB44" i="4"/>
  <c r="EB42" i="4"/>
  <c r="EB41" i="4"/>
  <c r="EB40" i="4"/>
  <c r="EB39" i="4"/>
  <c r="EB38" i="4"/>
  <c r="EB37" i="4"/>
  <c r="DW44" i="4"/>
  <c r="DW42" i="4"/>
  <c r="DW41" i="4"/>
  <c r="DW40" i="4"/>
  <c r="DW39" i="4"/>
  <c r="DW38" i="4"/>
  <c r="DW37" i="4"/>
  <c r="AF44" i="4"/>
  <c r="AG44" i="4" s="1"/>
  <c r="EK43" i="4"/>
  <c r="EJ43" i="4"/>
  <c r="EI43" i="4"/>
  <c r="EH43" i="4"/>
  <c r="EF43" i="4"/>
  <c r="EE43" i="4"/>
  <c r="ED43" i="4"/>
  <c r="EC43" i="4"/>
  <c r="EA43" i="4"/>
  <c r="DZ43" i="4"/>
  <c r="DY43" i="4"/>
  <c r="DX43" i="4"/>
  <c r="DV43" i="4"/>
  <c r="DU43" i="4"/>
  <c r="DT43" i="4"/>
  <c r="DQ43" i="4"/>
  <c r="DP43" i="4"/>
  <c r="DO43" i="4"/>
  <c r="DN43" i="4"/>
  <c r="DL43" i="4"/>
  <c r="DK43" i="4"/>
  <c r="DJ43" i="4"/>
  <c r="DI43" i="4"/>
  <c r="DG43" i="4"/>
  <c r="DF43" i="4"/>
  <c r="DE43" i="4"/>
  <c r="DD43" i="4"/>
  <c r="DB43" i="4"/>
  <c r="DA43" i="4"/>
  <c r="CZ43" i="4"/>
  <c r="CY43" i="4"/>
  <c r="CW43" i="4"/>
  <c r="CV43" i="4"/>
  <c r="CU43" i="4"/>
  <c r="CT43" i="4"/>
  <c r="CR43" i="4"/>
  <c r="CQ43" i="4"/>
  <c r="CP43" i="4"/>
  <c r="CO43" i="4"/>
  <c r="CM43" i="4"/>
  <c r="CL43" i="4"/>
  <c r="CK43" i="4"/>
  <c r="CJ43" i="4"/>
  <c r="CH43" i="4"/>
  <c r="CG43" i="4"/>
  <c r="CF43" i="4"/>
  <c r="CE43" i="4"/>
  <c r="CC43" i="4"/>
  <c r="CB43" i="4"/>
  <c r="CA43" i="4"/>
  <c r="BZ43" i="4"/>
  <c r="BX43" i="4"/>
  <c r="BW43" i="4"/>
  <c r="BV43" i="4"/>
  <c r="BU43" i="4"/>
  <c r="BS43" i="4"/>
  <c r="BR43" i="4"/>
  <c r="BP43" i="4"/>
  <c r="BN43" i="4"/>
  <c r="BM43" i="4"/>
  <c r="BL43" i="4"/>
  <c r="BK43" i="4"/>
  <c r="BI43" i="4"/>
  <c r="BH43" i="4"/>
  <c r="BG43" i="4"/>
  <c r="BF43" i="4"/>
  <c r="BD43" i="4"/>
  <c r="BC43" i="4"/>
  <c r="BB43" i="4"/>
  <c r="BA43" i="4"/>
  <c r="AY43" i="4"/>
  <c r="AX43" i="4"/>
  <c r="AW43" i="4"/>
  <c r="AV43" i="4"/>
  <c r="AT43" i="4"/>
  <c r="AS43" i="4"/>
  <c r="AR43" i="4"/>
  <c r="AP43" i="4"/>
  <c r="AO43" i="4"/>
  <c r="AN43" i="4"/>
  <c r="AM43" i="4"/>
  <c r="AK43" i="4"/>
  <c r="AJ43" i="4"/>
  <c r="AI43" i="4"/>
  <c r="AH43" i="4"/>
  <c r="AE43" i="4"/>
  <c r="AD43" i="4"/>
  <c r="AC43" i="4"/>
  <c r="AA43" i="4"/>
  <c r="Z43" i="4"/>
  <c r="Y43" i="4"/>
  <c r="X43" i="4"/>
  <c r="V43" i="4"/>
  <c r="U43" i="4"/>
  <c r="T43" i="4"/>
  <c r="S43" i="4"/>
  <c r="P43" i="4"/>
  <c r="O43" i="4"/>
  <c r="N43" i="4"/>
  <c r="K43" i="4"/>
  <c r="J43" i="4"/>
  <c r="I43" i="4"/>
  <c r="F43" i="4"/>
  <c r="E43" i="4"/>
  <c r="D43" i="4"/>
  <c r="BQ39" i="4"/>
  <c r="BT39" i="4" s="1"/>
  <c r="DR34" i="4"/>
  <c r="DM34" i="4"/>
  <c r="DH34" i="4"/>
  <c r="DC34" i="4"/>
  <c r="CX34" i="4"/>
  <c r="CS34" i="4"/>
  <c r="CN34" i="4"/>
  <c r="CI34" i="4"/>
  <c r="CD34" i="4"/>
  <c r="BY34" i="4"/>
  <c r="BT34" i="4"/>
  <c r="BO34" i="4"/>
  <c r="BJ34" i="4"/>
  <c r="BJ32" i="4"/>
  <c r="BJ31" i="4"/>
  <c r="BJ30" i="4"/>
  <c r="BJ29" i="4"/>
  <c r="BJ28" i="4"/>
  <c r="BJ65" i="5" s="1"/>
  <c r="BE34" i="4"/>
  <c r="BE32" i="4"/>
  <c r="BE31" i="4"/>
  <c r="BE30" i="4"/>
  <c r="BE29" i="4"/>
  <c r="BE28" i="4"/>
  <c r="BE65" i="5" s="1"/>
  <c r="AZ34" i="4"/>
  <c r="AZ32" i="4"/>
  <c r="AZ31" i="4"/>
  <c r="AZ30" i="4"/>
  <c r="AZ29" i="4"/>
  <c r="AZ28" i="4"/>
  <c r="AZ65" i="5" s="1"/>
  <c r="AO34" i="4"/>
  <c r="AN34" i="4"/>
  <c r="AM34" i="4"/>
  <c r="AP34" i="4" s="1"/>
  <c r="AK34" i="4"/>
  <c r="AL34" i="4" s="1"/>
  <c r="AF34" i="4"/>
  <c r="AG34" i="4" s="1"/>
  <c r="AA34" i="4"/>
  <c r="AB34" i="4" s="1"/>
  <c r="V34" i="4"/>
  <c r="P34" i="4"/>
  <c r="L34" i="4"/>
  <c r="M34" i="4" s="1"/>
  <c r="G34" i="4"/>
  <c r="DW34" i="4"/>
  <c r="EL32" i="4"/>
  <c r="EL31" i="4"/>
  <c r="EL30" i="4"/>
  <c r="EL29" i="4"/>
  <c r="EL24" i="4"/>
  <c r="EL23" i="4"/>
  <c r="EL22" i="4"/>
  <c r="EL21" i="4"/>
  <c r="EL20" i="4"/>
  <c r="EG32" i="4"/>
  <c r="EG31" i="4"/>
  <c r="EG30" i="4"/>
  <c r="EG29" i="4"/>
  <c r="EG24" i="4"/>
  <c r="EG23" i="4"/>
  <c r="EG22" i="4"/>
  <c r="EG21" i="4"/>
  <c r="EG20" i="4"/>
  <c r="EB32" i="4"/>
  <c r="EB31" i="4"/>
  <c r="EB30" i="4"/>
  <c r="EB29" i="4"/>
  <c r="EB24" i="4"/>
  <c r="EB23" i="4"/>
  <c r="EB22" i="4"/>
  <c r="EB21" i="4"/>
  <c r="EB20" i="4"/>
  <c r="DW32" i="4"/>
  <c r="DW31" i="4"/>
  <c r="DW30" i="4"/>
  <c r="DW29" i="4"/>
  <c r="DW28" i="4"/>
  <c r="DW26" i="4"/>
  <c r="DW24" i="4"/>
  <c r="DW23" i="4"/>
  <c r="DW22" i="4"/>
  <c r="DW21" i="4"/>
  <c r="DW20" i="4"/>
  <c r="AQ32" i="4"/>
  <c r="AQ30" i="4"/>
  <c r="AL32" i="4"/>
  <c r="AG32" i="4"/>
  <c r="AG31" i="4"/>
  <c r="AB32" i="4"/>
  <c r="AB31" i="4"/>
  <c r="AB30" i="4"/>
  <c r="J32" i="4"/>
  <c r="D32" i="4"/>
  <c r="DR31" i="4"/>
  <c r="DR30" i="4"/>
  <c r="DM31" i="4"/>
  <c r="DM30" i="4"/>
  <c r="DM29" i="4"/>
  <c r="DM28" i="4"/>
  <c r="DM26" i="4"/>
  <c r="DM24" i="4"/>
  <c r="DM23" i="4"/>
  <c r="DM22" i="4"/>
  <c r="DM83" i="4" s="1"/>
  <c r="DM21" i="4"/>
  <c r="DM20" i="4"/>
  <c r="DM19" i="4"/>
  <c r="DM18" i="4"/>
  <c r="DM17" i="4"/>
  <c r="DM16" i="4"/>
  <c r="DM15" i="4"/>
  <c r="DM13" i="4"/>
  <c r="DM12" i="4"/>
  <c r="DH31" i="4"/>
  <c r="DH30" i="4"/>
  <c r="DH29" i="4"/>
  <c r="DH28" i="4"/>
  <c r="DH65" i="5" s="1"/>
  <c r="DH26" i="4"/>
  <c r="DH119" i="5" s="1"/>
  <c r="DC31" i="4"/>
  <c r="DC30" i="4"/>
  <c r="DC29" i="4"/>
  <c r="DC28" i="4"/>
  <c r="DC65" i="5" s="1"/>
  <c r="DC26" i="4"/>
  <c r="DC119" i="5" s="1"/>
  <c r="CX31" i="4"/>
  <c r="CX30" i="4"/>
  <c r="CX29" i="4"/>
  <c r="CX28" i="4"/>
  <c r="CX65" i="5" s="1"/>
  <c r="CX26" i="4"/>
  <c r="CX119" i="5" s="1"/>
  <c r="CX121" i="5" s="1"/>
  <c r="DC118" i="5" s="1"/>
  <c r="CS31" i="4"/>
  <c r="CS30" i="4"/>
  <c r="CS29" i="4"/>
  <c r="CS28" i="4"/>
  <c r="CS65" i="5" s="1"/>
  <c r="CS26" i="4"/>
  <c r="CS119" i="5" s="1"/>
  <c r="CN31" i="4"/>
  <c r="CN30" i="4"/>
  <c r="CN29" i="4"/>
  <c r="CN28" i="4"/>
  <c r="CN65" i="5" s="1"/>
  <c r="CN26" i="4"/>
  <c r="CI31" i="4"/>
  <c r="CI30" i="4"/>
  <c r="CI29" i="4"/>
  <c r="CI28" i="4"/>
  <c r="CI65" i="5" s="1"/>
  <c r="CD31" i="4"/>
  <c r="CD30" i="4"/>
  <c r="CD29" i="4"/>
  <c r="CD28" i="4"/>
  <c r="CD65" i="5" s="1"/>
  <c r="BY31" i="4"/>
  <c r="BY30" i="4"/>
  <c r="BY29" i="4"/>
  <c r="BY28" i="4"/>
  <c r="BY65" i="5" s="1"/>
  <c r="BT31" i="4"/>
  <c r="BT30" i="4"/>
  <c r="BT29" i="4"/>
  <c r="BT28" i="4"/>
  <c r="BT65" i="5" s="1"/>
  <c r="BO31" i="4"/>
  <c r="BO30" i="4"/>
  <c r="BO29" i="4"/>
  <c r="BO28" i="4"/>
  <c r="BO65" i="5" s="1"/>
  <c r="AO31" i="4"/>
  <c r="AN31" i="4"/>
  <c r="AM31" i="4"/>
  <c r="AP31" i="4" s="1"/>
  <c r="AK31" i="4"/>
  <c r="AL31" i="4" s="1"/>
  <c r="AK30" i="4"/>
  <c r="AL30" i="4" s="1"/>
  <c r="AK29" i="4"/>
  <c r="AL29" i="4" s="1"/>
  <c r="AK28" i="4"/>
  <c r="P31" i="4"/>
  <c r="Q31" i="4" s="1"/>
  <c r="R31" i="4" s="1"/>
  <c r="BB30" i="4"/>
  <c r="AF30" i="4"/>
  <c r="AG30" i="4" s="1"/>
  <c r="AF29" i="4"/>
  <c r="AG29" i="4" s="1"/>
  <c r="AF28" i="4"/>
  <c r="L32" i="4"/>
  <c r="M32" i="4" s="1"/>
  <c r="L31" i="4"/>
  <c r="M31" i="4" s="1"/>
  <c r="L30" i="4"/>
  <c r="M30" i="4" s="1"/>
  <c r="AP29" i="4"/>
  <c r="AQ29" i="4" s="1"/>
  <c r="AP28" i="4"/>
  <c r="AA29" i="4"/>
  <c r="AB29" i="4" s="1"/>
  <c r="AA28" i="4"/>
  <c r="P29" i="4"/>
  <c r="Q29" i="4" s="1"/>
  <c r="R29" i="4" s="1"/>
  <c r="O29" i="4"/>
  <c r="N29" i="4"/>
  <c r="L29" i="4"/>
  <c r="M29" i="4" s="1"/>
  <c r="K29" i="4"/>
  <c r="J29" i="4"/>
  <c r="DR28" i="4"/>
  <c r="DR26" i="4"/>
  <c r="DR24" i="4"/>
  <c r="DR23" i="4"/>
  <c r="DR22" i="4"/>
  <c r="DR83" i="4" s="1"/>
  <c r="DR21" i="4"/>
  <c r="DR20" i="4"/>
  <c r="V32" i="4"/>
  <c r="W32" i="4" s="1"/>
  <c r="V31" i="4"/>
  <c r="W31" i="4" s="1"/>
  <c r="V30" i="4"/>
  <c r="W30" i="4" s="1"/>
  <c r="V29" i="4"/>
  <c r="W29" i="4" s="1"/>
  <c r="V28" i="4"/>
  <c r="V65" i="5" s="1"/>
  <c r="Q32" i="4"/>
  <c r="R32" i="4" s="1"/>
  <c r="Q30" i="4"/>
  <c r="R30" i="4" s="1"/>
  <c r="Q28" i="4"/>
  <c r="L28" i="4"/>
  <c r="L65" i="5" s="1"/>
  <c r="G31" i="4"/>
  <c r="H31" i="4" s="1"/>
  <c r="G30" i="4"/>
  <c r="H30" i="4" s="1"/>
  <c r="G29" i="4"/>
  <c r="H29" i="4" s="1"/>
  <c r="G28" i="4"/>
  <c r="CC26" i="4"/>
  <c r="CC25" i="4"/>
  <c r="BZ26" i="4"/>
  <c r="BZ25" i="4"/>
  <c r="BZ159" i="5" s="1"/>
  <c r="BW26" i="4"/>
  <c r="BV26" i="4"/>
  <c r="BU26" i="4"/>
  <c r="DB25" i="4"/>
  <c r="DB27" i="4" s="1"/>
  <c r="DA25" i="4"/>
  <c r="DA27" i="4" s="1"/>
  <c r="CZ25" i="4"/>
  <c r="CY25" i="4"/>
  <c r="CW25" i="4"/>
  <c r="CW27" i="4" s="1"/>
  <c r="CV25" i="4"/>
  <c r="CV27" i="4" s="1"/>
  <c r="CU25" i="4"/>
  <c r="CT25" i="4"/>
  <c r="CR25" i="4"/>
  <c r="CR27" i="4" s="1"/>
  <c r="CR33" i="4" s="1"/>
  <c r="CQ25" i="4"/>
  <c r="CQ27" i="4" s="1"/>
  <c r="CP25" i="4"/>
  <c r="CO25" i="4"/>
  <c r="CO27" i="4" s="1"/>
  <c r="CM25" i="4"/>
  <c r="CM27" i="4" s="1"/>
  <c r="CM33" i="4" s="1"/>
  <c r="CL25" i="4"/>
  <c r="CK25" i="4"/>
  <c r="CK67" i="4" s="1"/>
  <c r="CJ25" i="4"/>
  <c r="CJ27" i="4" s="1"/>
  <c r="CH26" i="4"/>
  <c r="CG26" i="4"/>
  <c r="CF26" i="4"/>
  <c r="CE26" i="4"/>
  <c r="CI26" i="4" s="1"/>
  <c r="CH25" i="4"/>
  <c r="CG25" i="4"/>
  <c r="CF25" i="4"/>
  <c r="CE25" i="4"/>
  <c r="CB25" i="4"/>
  <c r="CB27" i="4" s="1"/>
  <c r="CA25" i="4"/>
  <c r="BX25" i="4"/>
  <c r="BX27" i="4" s="1"/>
  <c r="BW25" i="4"/>
  <c r="BV25" i="4"/>
  <c r="BU25" i="4"/>
  <c r="BU27" i="4" s="1"/>
  <c r="BS26" i="4"/>
  <c r="BR26" i="4"/>
  <c r="BQ26" i="4"/>
  <c r="BP26" i="4"/>
  <c r="BS25" i="4"/>
  <c r="BR25" i="4"/>
  <c r="BQ25" i="4"/>
  <c r="BP25" i="4"/>
  <c r="BN26" i="4"/>
  <c r="BM26" i="4"/>
  <c r="BL26" i="4"/>
  <c r="BK26" i="4"/>
  <c r="BO26" i="4" s="1"/>
  <c r="BN25" i="4"/>
  <c r="BM25" i="4"/>
  <c r="BL25" i="4"/>
  <c r="BI26" i="4"/>
  <c r="BH26" i="4"/>
  <c r="BG26" i="4"/>
  <c r="BF26" i="4"/>
  <c r="BI25" i="4"/>
  <c r="BH25" i="4"/>
  <c r="BD26" i="4"/>
  <c r="BC26" i="4"/>
  <c r="BB26" i="4"/>
  <c r="BA26" i="4"/>
  <c r="BD25" i="4"/>
  <c r="BC25" i="4"/>
  <c r="AY26" i="4"/>
  <c r="AX26" i="4"/>
  <c r="AW26" i="4"/>
  <c r="AV26" i="4"/>
  <c r="AY25" i="4"/>
  <c r="AX25" i="4"/>
  <c r="AW25" i="4"/>
  <c r="AV25" i="4"/>
  <c r="AT26" i="4"/>
  <c r="AS26" i="4"/>
  <c r="AR26" i="4"/>
  <c r="AS25" i="4"/>
  <c r="AS27" i="4" s="1"/>
  <c r="AR25" i="4"/>
  <c r="AR27" i="4" s="1"/>
  <c r="AO26" i="4"/>
  <c r="AN26" i="4"/>
  <c r="AM26" i="4"/>
  <c r="AO25" i="4"/>
  <c r="AO27" i="4" s="1"/>
  <c r="AN25" i="4"/>
  <c r="AN27" i="4" s="1"/>
  <c r="AM25" i="4"/>
  <c r="AJ26" i="4"/>
  <c r="AI26" i="4"/>
  <c r="AH26" i="4"/>
  <c r="AJ25" i="4"/>
  <c r="AJ27" i="4" s="1"/>
  <c r="AI25" i="4"/>
  <c r="AH25" i="4"/>
  <c r="AH159" i="5" s="1"/>
  <c r="AE26" i="4"/>
  <c r="AD26" i="4"/>
  <c r="AC26" i="4"/>
  <c r="AE25" i="4"/>
  <c r="AD25" i="4"/>
  <c r="AD27" i="4" s="1"/>
  <c r="AD33" i="4" s="1"/>
  <c r="AC25" i="4"/>
  <c r="AC159" i="5" s="1"/>
  <c r="Z26" i="4"/>
  <c r="Y26" i="4"/>
  <c r="X26" i="4"/>
  <c r="U26" i="4"/>
  <c r="T26" i="4"/>
  <c r="S26" i="4"/>
  <c r="P26" i="4"/>
  <c r="P99" i="4" s="1"/>
  <c r="O26" i="4"/>
  <c r="N26" i="4"/>
  <c r="L26" i="4"/>
  <c r="K26" i="4"/>
  <c r="J26" i="4"/>
  <c r="I26" i="4"/>
  <c r="F26" i="4"/>
  <c r="E26" i="4"/>
  <c r="D26" i="4"/>
  <c r="G26" i="4" s="1"/>
  <c r="Z25" i="4"/>
  <c r="Y25" i="4"/>
  <c r="Y27" i="4" s="1"/>
  <c r="Y33" i="4" s="1"/>
  <c r="X25" i="4"/>
  <c r="X27" i="4" s="1"/>
  <c r="U25" i="4"/>
  <c r="U27" i="4" s="1"/>
  <c r="T25" i="4"/>
  <c r="T27" i="4" s="1"/>
  <c r="S25" i="4"/>
  <c r="AR159" i="5" s="1"/>
  <c r="P25" i="4"/>
  <c r="P27" i="4" s="1"/>
  <c r="O25" i="4"/>
  <c r="N25" i="4"/>
  <c r="K25" i="4"/>
  <c r="J25" i="4"/>
  <c r="I25" i="4"/>
  <c r="I27" i="4" s="1"/>
  <c r="I33" i="4" s="1"/>
  <c r="F25" i="4"/>
  <c r="E25" i="4"/>
  <c r="E27" i="4" s="1"/>
  <c r="DH23" i="4"/>
  <c r="DH22" i="4"/>
  <c r="DH83" i="4" s="1"/>
  <c r="DH21" i="4"/>
  <c r="DH20" i="4"/>
  <c r="DH19" i="4"/>
  <c r="DH18" i="4"/>
  <c r="DH17" i="4"/>
  <c r="DH16" i="4"/>
  <c r="DC23" i="4"/>
  <c r="DC22" i="4"/>
  <c r="DC83" i="4" s="1"/>
  <c r="DC21" i="4"/>
  <c r="DC20" i="4"/>
  <c r="CX23" i="4"/>
  <c r="CX22" i="4"/>
  <c r="CX83" i="4" s="1"/>
  <c r="CX21" i="4"/>
  <c r="CX20" i="4"/>
  <c r="CS23" i="4"/>
  <c r="CS22" i="4"/>
  <c r="CS83" i="4" s="1"/>
  <c r="CS21" i="4"/>
  <c r="CS20" i="4"/>
  <c r="CN23" i="4"/>
  <c r="CN22" i="4"/>
  <c r="CN83" i="4" s="1"/>
  <c r="CN21" i="4"/>
  <c r="CN20" i="4"/>
  <c r="CI23" i="4"/>
  <c r="CI22" i="4"/>
  <c r="CI83" i="4" s="1"/>
  <c r="CI21" i="4"/>
  <c r="CI20" i="4"/>
  <c r="CD23" i="4"/>
  <c r="CD22" i="4"/>
  <c r="CD83" i="4" s="1"/>
  <c r="CD21" i="4"/>
  <c r="CD20" i="4"/>
  <c r="BY23" i="4"/>
  <c r="BY22" i="4"/>
  <c r="BY83" i="4" s="1"/>
  <c r="BY21" i="4"/>
  <c r="BY20" i="4"/>
  <c r="BT23" i="4"/>
  <c r="BT22" i="4"/>
  <c r="BT83" i="4" s="1"/>
  <c r="BT21" i="4"/>
  <c r="BT20" i="4"/>
  <c r="BO23" i="4"/>
  <c r="BO22" i="4"/>
  <c r="BO83" i="4" s="1"/>
  <c r="BO21" i="4"/>
  <c r="BJ23" i="4"/>
  <c r="BJ22" i="4"/>
  <c r="BJ21" i="4"/>
  <c r="BE23" i="4"/>
  <c r="BE22" i="4"/>
  <c r="BE21" i="4"/>
  <c r="AZ23" i="4"/>
  <c r="AZ22" i="4"/>
  <c r="AZ21" i="4"/>
  <c r="AZ20" i="4"/>
  <c r="AQ23" i="4"/>
  <c r="AQ22" i="4"/>
  <c r="AQ21" i="4"/>
  <c r="AL23" i="4"/>
  <c r="AL22" i="4"/>
  <c r="AL21" i="4"/>
  <c r="AG23" i="4"/>
  <c r="AG22" i="4"/>
  <c r="AG21" i="4"/>
  <c r="AB23" i="4"/>
  <c r="AB22" i="4"/>
  <c r="AB21" i="4"/>
  <c r="W23" i="4"/>
  <c r="W22" i="4"/>
  <c r="W21" i="4"/>
  <c r="R23" i="4"/>
  <c r="R22" i="4"/>
  <c r="R21" i="4"/>
  <c r="M23" i="4"/>
  <c r="M22" i="4"/>
  <c r="M21" i="4"/>
  <c r="H23" i="4"/>
  <c r="H22" i="4"/>
  <c r="H21" i="4"/>
  <c r="BK20" i="4"/>
  <c r="BK52" i="4" s="1"/>
  <c r="BO52" i="4" s="1"/>
  <c r="BG20" i="4"/>
  <c r="BG82" i="4" s="1"/>
  <c r="BF20" i="4"/>
  <c r="BF82" i="4" s="1"/>
  <c r="BC20" i="4"/>
  <c r="BC82" i="4" s="1"/>
  <c r="BB20" i="4"/>
  <c r="BB82" i="4" s="1"/>
  <c r="BA20" i="4"/>
  <c r="BA82" i="4" s="1"/>
  <c r="AT20" i="4"/>
  <c r="AT82" i="4" s="1"/>
  <c r="AP20" i="4"/>
  <c r="AP82" i="4" s="1"/>
  <c r="AK20" i="4"/>
  <c r="AK82" i="4" s="1"/>
  <c r="AF20" i="4"/>
  <c r="AF82" i="4" s="1"/>
  <c r="AA20" i="4"/>
  <c r="AA82" i="4" s="1"/>
  <c r="AB82" i="4" s="1"/>
  <c r="V20" i="4"/>
  <c r="V82" i="4" s="1"/>
  <c r="Q20" i="4"/>
  <c r="Q82" i="4" s="1"/>
  <c r="L20" i="4"/>
  <c r="L82" i="4" s="1"/>
  <c r="G20" i="4"/>
  <c r="G82" i="4" s="1"/>
  <c r="DR18" i="4"/>
  <c r="DR17" i="4"/>
  <c r="DR93" i="5" s="1"/>
  <c r="DC18" i="4"/>
  <c r="DC54" i="8" s="1"/>
  <c r="DC17" i="4"/>
  <c r="DC36" i="8" s="1"/>
  <c r="DC16" i="4"/>
  <c r="DC27" i="8" s="1"/>
  <c r="CX18" i="4"/>
  <c r="CX54" i="8" s="1"/>
  <c r="CX17" i="4"/>
  <c r="CX36" i="8" s="1"/>
  <c r="CX16" i="4"/>
  <c r="CX27" i="8" s="1"/>
  <c r="CS18" i="4"/>
  <c r="CS54" i="8" s="1"/>
  <c r="CS17" i="4"/>
  <c r="CS36" i="8" s="1"/>
  <c r="CS16" i="4"/>
  <c r="CS27" i="8" s="1"/>
  <c r="CN18" i="4"/>
  <c r="CN54" i="8" s="1"/>
  <c r="CN17" i="4"/>
  <c r="CN36" i="8" s="1"/>
  <c r="CN16" i="4"/>
  <c r="CN27" i="8" s="1"/>
  <c r="CI18" i="4"/>
  <c r="CI54" i="8" s="1"/>
  <c r="CI17" i="4"/>
  <c r="CI36" i="8" s="1"/>
  <c r="CI16" i="4"/>
  <c r="CI27" i="8" s="1"/>
  <c r="CD18" i="4"/>
  <c r="CD54" i="8" s="1"/>
  <c r="CD17" i="4"/>
  <c r="CD36" i="8" s="1"/>
  <c r="CD16" i="4"/>
  <c r="CD27" i="8" s="1"/>
  <c r="BY18" i="4"/>
  <c r="BY54" i="8" s="1"/>
  <c r="BY17" i="4"/>
  <c r="BY36" i="8" s="1"/>
  <c r="BY16" i="4"/>
  <c r="BY27" i="8" s="1"/>
  <c r="BT18" i="4"/>
  <c r="BT54" i="8" s="1"/>
  <c r="BT17" i="4"/>
  <c r="BT36" i="8" s="1"/>
  <c r="BT16" i="4"/>
  <c r="BT27" i="8" s="1"/>
  <c r="BO18" i="4"/>
  <c r="BO54" i="8" s="1"/>
  <c r="BO17" i="4"/>
  <c r="BO36" i="8" s="1"/>
  <c r="BO16" i="4"/>
  <c r="BO27" i="8" s="1"/>
  <c r="BJ18" i="4"/>
  <c r="BJ54" i="8" s="1"/>
  <c r="BJ17" i="4"/>
  <c r="BJ36" i="8" s="1"/>
  <c r="BJ16" i="4"/>
  <c r="BJ27" i="8" s="1"/>
  <c r="BE18" i="4"/>
  <c r="BE54" i="8" s="1"/>
  <c r="BE17" i="4"/>
  <c r="BE36" i="8" s="1"/>
  <c r="BE16" i="4"/>
  <c r="BE27" i="8" s="1"/>
  <c r="AZ18" i="4"/>
  <c r="AZ54" i="8" s="1"/>
  <c r="AZ17" i="4"/>
  <c r="AZ36" i="8" s="1"/>
  <c r="AZ16" i="4"/>
  <c r="AZ27" i="8" s="1"/>
  <c r="AP18" i="4"/>
  <c r="AP54" i="8" s="1"/>
  <c r="AP17" i="4"/>
  <c r="AQ17" i="4" s="1"/>
  <c r="AP16" i="4"/>
  <c r="AP27" i="8" s="1"/>
  <c r="AK18" i="4"/>
  <c r="AK54" i="8" s="1"/>
  <c r="AK17" i="4"/>
  <c r="AK16" i="4"/>
  <c r="AF18" i="4"/>
  <c r="AF54" i="8" s="1"/>
  <c r="AF17" i="4"/>
  <c r="AG17" i="4" s="1"/>
  <c r="AG36" i="8" s="1"/>
  <c r="AF16" i="4"/>
  <c r="AF27" i="8" s="1"/>
  <c r="AA18" i="4"/>
  <c r="AA54" i="8" s="1"/>
  <c r="AA17" i="4"/>
  <c r="AA16" i="4"/>
  <c r="AA27" i="8" s="1"/>
  <c r="V18" i="4"/>
  <c r="V54" i="8" s="1"/>
  <c r="V17" i="4"/>
  <c r="V16" i="4"/>
  <c r="V27" i="8" s="1"/>
  <c r="Q18" i="4"/>
  <c r="Q54" i="8" s="1"/>
  <c r="Q17" i="4"/>
  <c r="Q16" i="4"/>
  <c r="Q27" i="8" s="1"/>
  <c r="L18" i="4"/>
  <c r="L54" i="8" s="1"/>
  <c r="L17" i="4"/>
  <c r="M17" i="4" s="1"/>
  <c r="L16" i="4"/>
  <c r="L27" i="8" s="1"/>
  <c r="G18" i="4"/>
  <c r="G17" i="4"/>
  <c r="D16" i="4"/>
  <c r="DR15" i="4"/>
  <c r="DR13" i="4"/>
  <c r="DR12" i="4"/>
  <c r="DV14" i="4"/>
  <c r="DU14" i="4"/>
  <c r="DT14" i="4"/>
  <c r="DS14" i="4"/>
  <c r="DQ14" i="4"/>
  <c r="DP14" i="4"/>
  <c r="DO14" i="4"/>
  <c r="DN14" i="4"/>
  <c r="DL14" i="4"/>
  <c r="DK14" i="4"/>
  <c r="DK25" i="4" s="1"/>
  <c r="DK27" i="4" s="1"/>
  <c r="DJ14" i="4"/>
  <c r="DI14" i="4"/>
  <c r="DG14" i="4"/>
  <c r="DG15" i="7" s="1"/>
  <c r="DF14" i="4"/>
  <c r="DF15" i="7" s="1"/>
  <c r="DE14" i="4"/>
  <c r="DD14" i="4"/>
  <c r="DD15" i="7" s="1"/>
  <c r="DB14" i="4"/>
  <c r="DB25" i="8" s="1"/>
  <c r="DA14" i="4"/>
  <c r="DA25" i="8" s="1"/>
  <c r="CZ14" i="4"/>
  <c r="CY14" i="4"/>
  <c r="CW14" i="4"/>
  <c r="CW25" i="8" s="1"/>
  <c r="CV14" i="4"/>
  <c r="CU14" i="4"/>
  <c r="CT14" i="4"/>
  <c r="CR14" i="4"/>
  <c r="CQ14" i="4"/>
  <c r="CP14" i="4"/>
  <c r="CO14" i="4"/>
  <c r="CM14" i="4"/>
  <c r="CL14" i="4"/>
  <c r="CK14" i="4"/>
  <c r="CJ14" i="4"/>
  <c r="CH14" i="4"/>
  <c r="CG14" i="4"/>
  <c r="CF14" i="4"/>
  <c r="CE14" i="4"/>
  <c r="CC14" i="4"/>
  <c r="CB14" i="4"/>
  <c r="CA14" i="4"/>
  <c r="BZ14" i="4"/>
  <c r="BX14" i="4"/>
  <c r="BW14" i="4"/>
  <c r="BV14" i="4"/>
  <c r="BU14" i="4"/>
  <c r="BS14" i="4"/>
  <c r="BR14" i="4"/>
  <c r="BQ14" i="4"/>
  <c r="BP14" i="4"/>
  <c r="BN14" i="4"/>
  <c r="BM14" i="4"/>
  <c r="BL14" i="4"/>
  <c r="BK14" i="4"/>
  <c r="BI14" i="4"/>
  <c r="BH14" i="4"/>
  <c r="BG14" i="4"/>
  <c r="BF14" i="4"/>
  <c r="BD14" i="4"/>
  <c r="BC14" i="4"/>
  <c r="BB14" i="4"/>
  <c r="BA14" i="4"/>
  <c r="AY14" i="4"/>
  <c r="AX14" i="4"/>
  <c r="AW14" i="4"/>
  <c r="AV14" i="4"/>
  <c r="AT14" i="4"/>
  <c r="AS14" i="4"/>
  <c r="AR14" i="4"/>
  <c r="AO14" i="4"/>
  <c r="AN14" i="4"/>
  <c r="AM14" i="4"/>
  <c r="AJ14" i="4"/>
  <c r="AI14" i="4"/>
  <c r="AH14" i="4"/>
  <c r="AE14" i="4"/>
  <c r="AD14" i="4"/>
  <c r="AC14" i="4"/>
  <c r="Z14" i="4"/>
  <c r="Y14" i="4"/>
  <c r="X14" i="4"/>
  <c r="U14" i="4"/>
  <c r="T14" i="4"/>
  <c r="S14" i="4"/>
  <c r="P14" i="4"/>
  <c r="O14" i="4"/>
  <c r="N14" i="4"/>
  <c r="K14" i="4"/>
  <c r="J14" i="4"/>
  <c r="I14" i="4"/>
  <c r="F14" i="4"/>
  <c r="E14" i="4"/>
  <c r="D14" i="4"/>
  <c r="DH13" i="4"/>
  <c r="DH14" i="7" s="1"/>
  <c r="DH12" i="4"/>
  <c r="DH86" i="5" s="1"/>
  <c r="DC13" i="4"/>
  <c r="DC12" i="4"/>
  <c r="CX13" i="4"/>
  <c r="CX12" i="4"/>
  <c r="CX86" i="5" s="1"/>
  <c r="CS13" i="4"/>
  <c r="CS12" i="4"/>
  <c r="CN13" i="4"/>
  <c r="CN12" i="4"/>
  <c r="CN86" i="5" s="1"/>
  <c r="CI13" i="4"/>
  <c r="CD13" i="4"/>
  <c r="BY13" i="4"/>
  <c r="BT13" i="4"/>
  <c r="BO13" i="4"/>
  <c r="BJ13" i="4"/>
  <c r="BE13" i="4"/>
  <c r="AZ13" i="4"/>
  <c r="AP13" i="4"/>
  <c r="AP12" i="4"/>
  <c r="AK13" i="4"/>
  <c r="AK12" i="4"/>
  <c r="AF13" i="4"/>
  <c r="AF12" i="4"/>
  <c r="AA13" i="4"/>
  <c r="AA12" i="4"/>
  <c r="V13" i="4"/>
  <c r="V12" i="4"/>
  <c r="Q13" i="4"/>
  <c r="Q12" i="4"/>
  <c r="L13" i="4"/>
  <c r="L12" i="4"/>
  <c r="G13" i="4"/>
  <c r="G12" i="4"/>
  <c r="G79" i="5" s="1"/>
  <c r="CV11" i="4"/>
  <c r="CU11" i="4"/>
  <c r="CT11" i="4"/>
  <c r="CR11" i="4"/>
  <c r="CQ11" i="4"/>
  <c r="CP11" i="4"/>
  <c r="CO11" i="4"/>
  <c r="CM11" i="4"/>
  <c r="CL11" i="4"/>
  <c r="CK11" i="4"/>
  <c r="CJ11" i="4"/>
  <c r="CH11" i="4"/>
  <c r="CG11" i="4"/>
  <c r="CF11" i="4"/>
  <c r="CE11" i="4"/>
  <c r="CC11" i="4"/>
  <c r="CB11" i="4"/>
  <c r="CA11" i="4"/>
  <c r="BZ11" i="4"/>
  <c r="BX11" i="4"/>
  <c r="BW11" i="4"/>
  <c r="BV11" i="4"/>
  <c r="BU11" i="4"/>
  <c r="BS11" i="4"/>
  <c r="BR11" i="4"/>
  <c r="BQ11" i="4"/>
  <c r="BP11" i="4"/>
  <c r="BN11" i="4"/>
  <c r="BM11" i="4"/>
  <c r="BL11" i="4"/>
  <c r="BK11" i="4"/>
  <c r="BI11" i="4"/>
  <c r="BH11" i="4"/>
  <c r="BG11" i="4"/>
  <c r="BF11" i="4"/>
  <c r="BD11" i="4"/>
  <c r="BC11" i="4"/>
  <c r="BB11" i="4"/>
  <c r="BA11" i="4"/>
  <c r="AY11" i="4"/>
  <c r="AX11" i="4"/>
  <c r="AW11" i="4"/>
  <c r="AV11" i="4"/>
  <c r="AT11" i="4"/>
  <c r="AS11" i="4"/>
  <c r="AR11" i="4"/>
  <c r="AO11" i="4"/>
  <c r="AN11" i="4"/>
  <c r="AM11" i="4"/>
  <c r="AJ11" i="4"/>
  <c r="AI11" i="4"/>
  <c r="AH11" i="4"/>
  <c r="AE11" i="4"/>
  <c r="AD11" i="4"/>
  <c r="AC11" i="4"/>
  <c r="Z11" i="4"/>
  <c r="Y11" i="4"/>
  <c r="X11" i="4"/>
  <c r="U11" i="4"/>
  <c r="T11" i="4"/>
  <c r="S11" i="4"/>
  <c r="P11" i="4"/>
  <c r="O11" i="4"/>
  <c r="N11" i="4"/>
  <c r="K11" i="4"/>
  <c r="J11" i="4"/>
  <c r="I11" i="4"/>
  <c r="F11" i="4"/>
  <c r="E11" i="4"/>
  <c r="D11" i="4"/>
  <c r="DJ9" i="4"/>
  <c r="DJ8" i="4"/>
  <c r="CS9" i="4"/>
  <c r="CS8" i="4"/>
  <c r="CN9" i="4"/>
  <c r="CN8" i="4"/>
  <c r="CI9" i="4"/>
  <c r="CI8" i="4"/>
  <c r="CD9" i="4"/>
  <c r="CD8" i="4"/>
  <c r="BY9" i="4"/>
  <c r="BY8" i="4"/>
  <c r="BT9" i="4"/>
  <c r="BT8" i="4"/>
  <c r="BO9" i="4"/>
  <c r="BO8" i="4"/>
  <c r="BJ9" i="4"/>
  <c r="BJ8" i="4"/>
  <c r="BE9" i="4"/>
  <c r="BE8" i="4"/>
  <c r="AZ9" i="4"/>
  <c r="AZ8" i="4"/>
  <c r="DW18" i="4"/>
  <c r="DW17" i="4"/>
  <c r="DW16" i="4"/>
  <c r="DW15" i="4"/>
  <c r="DW13" i="4"/>
  <c r="DW12" i="4"/>
  <c r="DZ9" i="4"/>
  <c r="DV10" i="4"/>
  <c r="DU10" i="4"/>
  <c r="DT10" i="4"/>
  <c r="DS10" i="4"/>
  <c r="DV8" i="4"/>
  <c r="DU8" i="4"/>
  <c r="DT8" i="4"/>
  <c r="DS8" i="4"/>
  <c r="DQ10" i="4"/>
  <c r="DP10" i="4"/>
  <c r="DO10" i="4"/>
  <c r="DN10" i="4"/>
  <c r="DQ9" i="4"/>
  <c r="DP9" i="4"/>
  <c r="DO9" i="4"/>
  <c r="DN9" i="4"/>
  <c r="DQ8" i="4"/>
  <c r="DQ11" i="4" s="1"/>
  <c r="DP8" i="4"/>
  <c r="DP11" i="4" s="1"/>
  <c r="DO8" i="4"/>
  <c r="DO11" i="4" s="1"/>
  <c r="DN8" i="4"/>
  <c r="DK10" i="7"/>
  <c r="DL9" i="4"/>
  <c r="DK9" i="4"/>
  <c r="DL8" i="4"/>
  <c r="DK8" i="4"/>
  <c r="DI9" i="4"/>
  <c r="DM9" i="4" s="1"/>
  <c r="DG9" i="4"/>
  <c r="DF9" i="4"/>
  <c r="DE9" i="4"/>
  <c r="DD9" i="4"/>
  <c r="DB9" i="4"/>
  <c r="DA9" i="4"/>
  <c r="CZ9" i="4"/>
  <c r="CY9" i="4"/>
  <c r="CW9" i="4"/>
  <c r="CX9" i="4" s="1"/>
  <c r="DI8" i="4"/>
  <c r="DM8" i="4" s="1"/>
  <c r="DG8" i="4"/>
  <c r="DF8" i="4"/>
  <c r="DE8" i="4"/>
  <c r="DD8" i="4"/>
  <c r="DH8" i="4" s="1"/>
  <c r="DB8" i="4"/>
  <c r="DB11" i="4" s="1"/>
  <c r="DA8" i="4"/>
  <c r="DA11" i="4" s="1"/>
  <c r="CZ8" i="4"/>
  <c r="CY8" i="4"/>
  <c r="CY11" i="4" s="1"/>
  <c r="CW8" i="4"/>
  <c r="CW11" i="4" s="1"/>
  <c r="AP9" i="4"/>
  <c r="AQ9" i="4" s="1"/>
  <c r="AP8" i="4"/>
  <c r="AQ8" i="4" s="1"/>
  <c r="AK9" i="4"/>
  <c r="AL9" i="4" s="1"/>
  <c r="AK8" i="4"/>
  <c r="AL8" i="4" s="1"/>
  <c r="AF9" i="4"/>
  <c r="AG9" i="4" s="1"/>
  <c r="AF8" i="4"/>
  <c r="AG8" i="4" s="1"/>
  <c r="AA9" i="4"/>
  <c r="AB9" i="4" s="1"/>
  <c r="AA8" i="4"/>
  <c r="AB8" i="4" s="1"/>
  <c r="V9" i="4"/>
  <c r="W9" i="4" s="1"/>
  <c r="V8" i="4"/>
  <c r="W8" i="4" s="1"/>
  <c r="Q9" i="4"/>
  <c r="R9" i="4" s="1"/>
  <c r="Q8" i="4"/>
  <c r="R8" i="4" s="1"/>
  <c r="L9" i="4"/>
  <c r="M9" i="4" s="1"/>
  <c r="L8" i="4"/>
  <c r="M8" i="4" s="1"/>
  <c r="G9" i="4"/>
  <c r="H9" i="4" s="1"/>
  <c r="G8" i="4"/>
  <c r="H8" i="4" s="1"/>
  <c r="EK6" i="4"/>
  <c r="EJ6" i="4"/>
  <c r="EI6" i="4"/>
  <c r="EH6" i="4"/>
  <c r="EF6" i="4"/>
  <c r="EE6" i="4"/>
  <c r="ED6" i="4"/>
  <c r="EC6" i="4"/>
  <c r="EA6" i="4"/>
  <c r="DZ6" i="4"/>
  <c r="DY6" i="4"/>
  <c r="DX6" i="4"/>
  <c r="DV6" i="4"/>
  <c r="DU6" i="4"/>
  <c r="DT6" i="4"/>
  <c r="DS6" i="4"/>
  <c r="DQ6" i="4"/>
  <c r="DP6" i="4"/>
  <c r="DO6" i="4"/>
  <c r="DN6" i="4"/>
  <c r="DL6" i="4"/>
  <c r="DK6" i="4"/>
  <c r="DJ6" i="4"/>
  <c r="DI6" i="4"/>
  <c r="DG6" i="4"/>
  <c r="DF6" i="4"/>
  <c r="DE6" i="4"/>
  <c r="DD6" i="4"/>
  <c r="DB6" i="4"/>
  <c r="DA6" i="4"/>
  <c r="CZ6" i="4"/>
  <c r="CY6" i="4"/>
  <c r="CW6" i="4"/>
  <c r="CV6" i="4"/>
  <c r="CU6" i="4"/>
  <c r="CT6" i="4"/>
  <c r="CR6" i="4"/>
  <c r="CQ6" i="4"/>
  <c r="CP6" i="4"/>
  <c r="CO6" i="4"/>
  <c r="CM6" i="4"/>
  <c r="CL6" i="4"/>
  <c r="CK6" i="4"/>
  <c r="CJ6" i="4"/>
  <c r="CH6" i="4"/>
  <c r="CG6" i="4"/>
  <c r="CF6" i="4"/>
  <c r="CE6" i="4"/>
  <c r="CC6" i="4"/>
  <c r="CB6" i="4"/>
  <c r="CA6" i="4"/>
  <c r="BZ6" i="4"/>
  <c r="BX6" i="4"/>
  <c r="BW6" i="4"/>
  <c r="BV6" i="4"/>
  <c r="BU6" i="4"/>
  <c r="BS6" i="4"/>
  <c r="BR6" i="4"/>
  <c r="BQ6" i="4"/>
  <c r="BP6" i="4"/>
  <c r="BN6" i="4"/>
  <c r="BM6" i="4"/>
  <c r="BL6" i="4"/>
  <c r="BK6" i="4"/>
  <c r="BI6" i="4"/>
  <c r="BH6" i="4"/>
  <c r="BG6" i="4"/>
  <c r="BF6" i="4"/>
  <c r="BD6" i="4"/>
  <c r="BC6" i="4"/>
  <c r="BB6" i="4"/>
  <c r="BA6" i="4"/>
  <c r="AY6" i="4"/>
  <c r="AX6" i="4"/>
  <c r="AW6" i="4"/>
  <c r="AT6" i="4"/>
  <c r="AS6" i="4"/>
  <c r="AR6" i="4"/>
  <c r="AP6" i="4"/>
  <c r="AO6" i="4"/>
  <c r="AN6" i="4"/>
  <c r="AM6" i="4"/>
  <c r="AK6" i="4"/>
  <c r="AJ6" i="4"/>
  <c r="AI6" i="4"/>
  <c r="AH6" i="4"/>
  <c r="AF6" i="4"/>
  <c r="AE6" i="4"/>
  <c r="AD6" i="4"/>
  <c r="AA6" i="4"/>
  <c r="Z6" i="4"/>
  <c r="Y6" i="4"/>
  <c r="X6" i="4"/>
  <c r="V6" i="4"/>
  <c r="U6" i="4"/>
  <c r="T6" i="4"/>
  <c r="S6" i="4"/>
  <c r="Q6" i="4"/>
  <c r="P6" i="4"/>
  <c r="O6" i="4"/>
  <c r="N6" i="4"/>
  <c r="L6" i="4"/>
  <c r="L60" i="7" s="1"/>
  <c r="K6" i="4"/>
  <c r="J6" i="4"/>
  <c r="I6" i="4"/>
  <c r="G6" i="4"/>
  <c r="G60" i="7" s="1"/>
  <c r="F6" i="4"/>
  <c r="E6" i="4"/>
  <c r="B4" i="4"/>
  <c r="EL3" i="4"/>
  <c r="EG3" i="4"/>
  <c r="EB3" i="4"/>
  <c r="DW3" i="4"/>
  <c r="DR3" i="4"/>
  <c r="DM3" i="4"/>
  <c r="DH3" i="4"/>
  <c r="DC3" i="4"/>
  <c r="CX3" i="4"/>
  <c r="CS3" i="4"/>
  <c r="CN3" i="4"/>
  <c r="CI3" i="4"/>
  <c r="CD3" i="4"/>
  <c r="BY3" i="4"/>
  <c r="BT3" i="4"/>
  <c r="BO3" i="4"/>
  <c r="BJ3" i="4"/>
  <c r="BE3" i="4"/>
  <c r="AZ3" i="4"/>
  <c r="AQ3" i="4"/>
  <c r="AL3" i="4"/>
  <c r="AG3" i="4"/>
  <c r="AB3" i="4"/>
  <c r="W3" i="4"/>
  <c r="R3" i="4"/>
  <c r="M3" i="4"/>
  <c r="H3" i="4"/>
  <c r="BK57" i="9"/>
  <c r="BJ57" i="9"/>
  <c r="BI57" i="9"/>
  <c r="BH57" i="9"/>
  <c r="BF57" i="9"/>
  <c r="BE57" i="9"/>
  <c r="BD57" i="9"/>
  <c r="BC57" i="9"/>
  <c r="BA57" i="9"/>
  <c r="AZ57" i="9"/>
  <c r="AY57" i="9"/>
  <c r="AX57" i="9"/>
  <c r="AV56" i="9"/>
  <c r="AU56" i="9"/>
  <c r="AT56" i="9"/>
  <c r="AH56" i="9"/>
  <c r="AG56" i="9"/>
  <c r="AF56" i="9"/>
  <c r="AE56" i="9"/>
  <c r="AD56" i="9"/>
  <c r="BK55" i="9"/>
  <c r="BJ55" i="9"/>
  <c r="BI55" i="9"/>
  <c r="BH55" i="9"/>
  <c r="BF55" i="9"/>
  <c r="BE55" i="9"/>
  <c r="BD55" i="9"/>
  <c r="BC55" i="9"/>
  <c r="BA55" i="9"/>
  <c r="AZ55" i="9"/>
  <c r="AY55" i="9"/>
  <c r="AX55" i="9"/>
  <c r="BK52" i="9"/>
  <c r="BJ52" i="9"/>
  <c r="BI52" i="9"/>
  <c r="BH52" i="9"/>
  <c r="BF52" i="9"/>
  <c r="BE52" i="9"/>
  <c r="BD52" i="9"/>
  <c r="BC52" i="9"/>
  <c r="BA52" i="9"/>
  <c r="AZ52" i="9"/>
  <c r="AY52" i="9"/>
  <c r="AX52" i="9"/>
  <c r="AV51" i="9"/>
  <c r="AU51" i="9"/>
  <c r="AT51" i="9"/>
  <c r="AS51" i="9"/>
  <c r="AH51" i="9"/>
  <c r="AG51" i="9"/>
  <c r="AF51" i="9"/>
  <c r="AE51" i="9"/>
  <c r="AD51" i="9"/>
  <c r="BK50" i="9"/>
  <c r="BJ50" i="9"/>
  <c r="BI50" i="9"/>
  <c r="BH50" i="9"/>
  <c r="BF50" i="9"/>
  <c r="BE50" i="9"/>
  <c r="BD50" i="9"/>
  <c r="BC50" i="9"/>
  <c r="BA50" i="9"/>
  <c r="AZ50" i="9"/>
  <c r="AY50" i="9"/>
  <c r="AX50" i="9"/>
  <c r="BK47" i="9"/>
  <c r="BJ47" i="9"/>
  <c r="BI47" i="9"/>
  <c r="BH47" i="9"/>
  <c r="BF47" i="9"/>
  <c r="BE47" i="9"/>
  <c r="BD47" i="9"/>
  <c r="BC47" i="9"/>
  <c r="BA47" i="9"/>
  <c r="AZ47" i="9"/>
  <c r="AY47" i="9"/>
  <c r="AX47" i="9"/>
  <c r="AV46" i="9"/>
  <c r="AU46" i="9"/>
  <c r="AT46" i="9"/>
  <c r="AH46" i="9"/>
  <c r="AG46" i="9"/>
  <c r="AF46" i="9"/>
  <c r="AE46" i="9"/>
  <c r="AD46" i="9"/>
  <c r="BK45" i="9"/>
  <c r="BJ45" i="9"/>
  <c r="BI45" i="9"/>
  <c r="BH45" i="9"/>
  <c r="BF45" i="9"/>
  <c r="BE45" i="9"/>
  <c r="BD45" i="9"/>
  <c r="BC45" i="9"/>
  <c r="BA45" i="9"/>
  <c r="AZ45" i="9"/>
  <c r="AY45" i="9"/>
  <c r="AX45" i="9"/>
  <c r="BK42" i="9"/>
  <c r="BJ42" i="9"/>
  <c r="BI42" i="9"/>
  <c r="BH42" i="9"/>
  <c r="BF42" i="9"/>
  <c r="BE42" i="9"/>
  <c r="BD42" i="9"/>
  <c r="BC42" i="9"/>
  <c r="BA42" i="9"/>
  <c r="AZ42" i="9"/>
  <c r="AY42" i="9"/>
  <c r="AX42" i="9"/>
  <c r="AV41" i="9"/>
  <c r="AU41" i="9"/>
  <c r="AQ41" i="9"/>
  <c r="AP41" i="9"/>
  <c r="AO41" i="9"/>
  <c r="AN41" i="9"/>
  <c r="AH41" i="9"/>
  <c r="AG41" i="9"/>
  <c r="AF41" i="9"/>
  <c r="AE41" i="9"/>
  <c r="AD41" i="9"/>
  <c r="BK40" i="9"/>
  <c r="BJ40" i="9"/>
  <c r="BI40" i="9"/>
  <c r="BH40" i="9"/>
  <c r="BF40" i="9"/>
  <c r="BE40" i="9"/>
  <c r="BD40" i="9"/>
  <c r="BC40" i="9"/>
  <c r="BA40" i="9"/>
  <c r="AZ40" i="9"/>
  <c r="AY40" i="9"/>
  <c r="AX40" i="9"/>
  <c r="C37" i="9"/>
  <c r="BL31" i="9"/>
  <c r="BG31" i="9"/>
  <c r="BB31" i="9"/>
  <c r="AW31" i="9"/>
  <c r="AS31" i="9"/>
  <c r="AX31" i="9" s="1"/>
  <c r="BC31" i="9" s="1"/>
  <c r="BH31" i="9" s="1"/>
  <c r="AR31" i="9"/>
  <c r="AQ31" i="9"/>
  <c r="AV31" i="9" s="1"/>
  <c r="BA31" i="9" s="1"/>
  <c r="BF31" i="9" s="1"/>
  <c r="BK31" i="9" s="1"/>
  <c r="AP31" i="9"/>
  <c r="AU31" i="9" s="1"/>
  <c r="AZ31" i="9" s="1"/>
  <c r="BE31" i="9" s="1"/>
  <c r="BJ31" i="9" s="1"/>
  <c r="AO31" i="9"/>
  <c r="AT31" i="9" s="1"/>
  <c r="AY31" i="9" s="1"/>
  <c r="BD31" i="9" s="1"/>
  <c r="BI31" i="9" s="1"/>
  <c r="AN31" i="9"/>
  <c r="AM31" i="9"/>
  <c r="C27" i="9"/>
  <c r="DB19" i="4" s="1"/>
  <c r="BK21" i="9"/>
  <c r="BJ21" i="9"/>
  <c r="BI21" i="9"/>
  <c r="BH21" i="9"/>
  <c r="BF21" i="9"/>
  <c r="BE21" i="9"/>
  <c r="BD21" i="9"/>
  <c r="BC21" i="9"/>
  <c r="BA21" i="9"/>
  <c r="AZ21" i="9"/>
  <c r="AY21" i="9"/>
  <c r="AX21" i="9"/>
  <c r="BL20" i="9"/>
  <c r="BG20" i="9"/>
  <c r="BB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BK19" i="9"/>
  <c r="BJ19" i="9"/>
  <c r="BI19" i="9"/>
  <c r="BH19" i="9"/>
  <c r="BF19" i="9"/>
  <c r="BE19" i="9"/>
  <c r="BD19" i="9"/>
  <c r="BC19" i="9"/>
  <c r="BA19" i="9"/>
  <c r="AZ19" i="9"/>
  <c r="AY19" i="9"/>
  <c r="AX19" i="9"/>
  <c r="BK17" i="9"/>
  <c r="BJ17" i="9"/>
  <c r="BI17" i="9"/>
  <c r="BH17" i="9"/>
  <c r="BF17" i="9"/>
  <c r="BE17" i="9"/>
  <c r="BD17" i="9"/>
  <c r="BC17" i="9"/>
  <c r="BA17" i="9"/>
  <c r="AZ17" i="9"/>
  <c r="AY17" i="9"/>
  <c r="AX17" i="9"/>
  <c r="BL16" i="9"/>
  <c r="BG16" i="9"/>
  <c r="BB16" i="9"/>
  <c r="AV16" i="9"/>
  <c r="AU16" i="9"/>
  <c r="AT16" i="9"/>
  <c r="AS16" i="9"/>
  <c r="AQ16" i="9"/>
  <c r="AP16" i="9"/>
  <c r="AO16" i="9"/>
  <c r="AN16" i="9"/>
  <c r="AL16" i="9"/>
  <c r="AK16" i="9"/>
  <c r="AJ16" i="9"/>
  <c r="AI16" i="9"/>
  <c r="AG16" i="9"/>
  <c r="AF16" i="9"/>
  <c r="AE16" i="9"/>
  <c r="AD16" i="9"/>
  <c r="AB16" i="9"/>
  <c r="AA16" i="9"/>
  <c r="Z16" i="9"/>
  <c r="Y16" i="9"/>
  <c r="W16" i="9"/>
  <c r="V16" i="9"/>
  <c r="U16" i="9"/>
  <c r="T16" i="9"/>
  <c r="R16" i="9"/>
  <c r="Q16" i="9"/>
  <c r="P16" i="9"/>
  <c r="O16" i="9"/>
  <c r="M16" i="9"/>
  <c r="L16" i="9"/>
  <c r="K16" i="9"/>
  <c r="J16" i="9"/>
  <c r="H16" i="9"/>
  <c r="H25" i="9" s="1"/>
  <c r="G16" i="9"/>
  <c r="G25" i="9" s="1"/>
  <c r="F16" i="9"/>
  <c r="F25" i="9" s="1"/>
  <c r="E16" i="9"/>
  <c r="E25" i="9" s="1"/>
  <c r="BK15" i="9"/>
  <c r="BJ15" i="9"/>
  <c r="BI15" i="9"/>
  <c r="BH15" i="9"/>
  <c r="BF15" i="9"/>
  <c r="BE15" i="9"/>
  <c r="BD15" i="9"/>
  <c r="BC15" i="9"/>
  <c r="BA15" i="9"/>
  <c r="AZ15" i="9"/>
  <c r="AY15" i="9"/>
  <c r="AX15" i="9"/>
  <c r="BK13" i="9"/>
  <c r="BJ13" i="9"/>
  <c r="BI13" i="9"/>
  <c r="BH13" i="9"/>
  <c r="BF13" i="9"/>
  <c r="BE13" i="9"/>
  <c r="BD13" i="9"/>
  <c r="BC13" i="9"/>
  <c r="BA13" i="9"/>
  <c r="AZ13" i="9"/>
  <c r="AY13" i="9"/>
  <c r="AX13" i="9"/>
  <c r="AV12" i="9"/>
  <c r="AU12" i="9"/>
  <c r="AT12" i="9"/>
  <c r="AS12" i="9"/>
  <c r="AQ12" i="9"/>
  <c r="AP12" i="9"/>
  <c r="AO12" i="9"/>
  <c r="AN12" i="9"/>
  <c r="AL12" i="9"/>
  <c r="AK12" i="9"/>
  <c r="AJ12" i="9"/>
  <c r="AI12" i="9"/>
  <c r="AG12" i="9"/>
  <c r="AF12" i="9"/>
  <c r="AE12" i="9"/>
  <c r="AD12" i="9"/>
  <c r="AB12" i="9"/>
  <c r="AA12" i="9"/>
  <c r="Z12" i="9"/>
  <c r="Y12" i="9"/>
  <c r="W12" i="9"/>
  <c r="V12" i="9"/>
  <c r="U12" i="9"/>
  <c r="T12" i="9"/>
  <c r="R12" i="9"/>
  <c r="Q12" i="9"/>
  <c r="P12" i="9"/>
  <c r="O12" i="9"/>
  <c r="M12" i="9"/>
  <c r="L12" i="9"/>
  <c r="K12" i="9"/>
  <c r="J12" i="9"/>
  <c r="H12" i="9"/>
  <c r="G12" i="9"/>
  <c r="F12" i="9"/>
  <c r="E12" i="9"/>
  <c r="BK11" i="9"/>
  <c r="BJ11" i="9"/>
  <c r="BI11" i="9"/>
  <c r="BH11" i="9"/>
  <c r="BF11" i="9"/>
  <c r="BE11" i="9"/>
  <c r="BD11" i="9"/>
  <c r="BC11" i="9"/>
  <c r="BA11" i="9"/>
  <c r="AZ11" i="9"/>
  <c r="AY11" i="9"/>
  <c r="AX11" i="9"/>
  <c r="BL6" i="9"/>
  <c r="BL35" i="9" s="1"/>
  <c r="BL25" i="9" s="1"/>
  <c r="BK6" i="9"/>
  <c r="BK35" i="9" s="1"/>
  <c r="BK25" i="9" s="1"/>
  <c r="BJ6" i="9"/>
  <c r="BJ35" i="9" s="1"/>
  <c r="BJ25" i="9" s="1"/>
  <c r="BI6" i="9"/>
  <c r="BI35" i="9" s="1"/>
  <c r="BI25" i="9" s="1"/>
  <c r="BH6" i="9"/>
  <c r="BH35" i="9" s="1"/>
  <c r="BH25" i="9" s="1"/>
  <c r="BG6" i="9"/>
  <c r="BG35" i="9" s="1"/>
  <c r="BG25" i="9" s="1"/>
  <c r="BF6" i="9"/>
  <c r="BF35" i="9" s="1"/>
  <c r="BF25" i="9" s="1"/>
  <c r="BE6" i="9"/>
  <c r="BE35" i="9" s="1"/>
  <c r="BE25" i="9" s="1"/>
  <c r="BD6" i="9"/>
  <c r="BD35" i="9" s="1"/>
  <c r="BD25" i="9" s="1"/>
  <c r="BC6" i="9"/>
  <c r="BC35" i="9" s="1"/>
  <c r="BC25" i="9" s="1"/>
  <c r="BB6" i="9"/>
  <c r="BB35" i="9" s="1"/>
  <c r="BB25" i="9" s="1"/>
  <c r="BA6" i="9"/>
  <c r="BA35" i="9" s="1"/>
  <c r="BA25" i="9" s="1"/>
  <c r="AZ6" i="9"/>
  <c r="AZ35" i="9" s="1"/>
  <c r="AZ25" i="9" s="1"/>
  <c r="AY6" i="9"/>
  <c r="AY35" i="9" s="1"/>
  <c r="AY25" i="9" s="1"/>
  <c r="AX6" i="9"/>
  <c r="AX35" i="9" s="1"/>
  <c r="AX25" i="9" s="1"/>
  <c r="AW6" i="9"/>
  <c r="AW35" i="9" s="1"/>
  <c r="AW25" i="9" s="1"/>
  <c r="AV6" i="9"/>
  <c r="AV35" i="9" s="1"/>
  <c r="AV25" i="9" s="1"/>
  <c r="AU6" i="9"/>
  <c r="AU35" i="9" s="1"/>
  <c r="AU25" i="9" s="1"/>
  <c r="AT6" i="9"/>
  <c r="AT35" i="9" s="1"/>
  <c r="AT25" i="9" s="1"/>
  <c r="AS6" i="9"/>
  <c r="AS35" i="9" s="1"/>
  <c r="AS25" i="9" s="1"/>
  <c r="AR6" i="9"/>
  <c r="AR35" i="9" s="1"/>
  <c r="AR25" i="9" s="1"/>
  <c r="AQ6" i="9"/>
  <c r="AQ35" i="9" s="1"/>
  <c r="AQ25" i="9" s="1"/>
  <c r="AP6" i="9"/>
  <c r="AP35" i="9" s="1"/>
  <c r="AP25" i="9" s="1"/>
  <c r="AO6" i="9"/>
  <c r="AO35" i="9" s="1"/>
  <c r="AO25" i="9" s="1"/>
  <c r="AN6" i="9"/>
  <c r="AN35" i="9" s="1"/>
  <c r="AN25" i="9" s="1"/>
  <c r="AM6" i="9"/>
  <c r="AM35" i="9" s="1"/>
  <c r="AM25" i="9" s="1"/>
  <c r="AL6" i="9"/>
  <c r="AL35" i="9" s="1"/>
  <c r="AL25" i="9" s="1"/>
  <c r="AK6" i="9"/>
  <c r="AK35" i="9" s="1"/>
  <c r="AK25" i="9" s="1"/>
  <c r="AJ6" i="9"/>
  <c r="AJ35" i="9" s="1"/>
  <c r="AJ25" i="9" s="1"/>
  <c r="AI6" i="9"/>
  <c r="AI35" i="9" s="1"/>
  <c r="AI25" i="9" s="1"/>
  <c r="AH6" i="9"/>
  <c r="AH35" i="9" s="1"/>
  <c r="AH25" i="9" s="1"/>
  <c r="AG6" i="9"/>
  <c r="AG35" i="9" s="1"/>
  <c r="AG25" i="9" s="1"/>
  <c r="AF6" i="9"/>
  <c r="AF35" i="9" s="1"/>
  <c r="AF25" i="9" s="1"/>
  <c r="AE6" i="9"/>
  <c r="AE35" i="9" s="1"/>
  <c r="AE25" i="9" s="1"/>
  <c r="AD6" i="9"/>
  <c r="AD35" i="9" s="1"/>
  <c r="AD25" i="9" s="1"/>
  <c r="AC6" i="9"/>
  <c r="AC35" i="9" s="1"/>
  <c r="AC25" i="9" s="1"/>
  <c r="AB6" i="9"/>
  <c r="AB35" i="9" s="1"/>
  <c r="AB25" i="9" s="1"/>
  <c r="AA6" i="9"/>
  <c r="AA35" i="9" s="1"/>
  <c r="AA25" i="9" s="1"/>
  <c r="Z6" i="9"/>
  <c r="Z35" i="9" s="1"/>
  <c r="Z25" i="9" s="1"/>
  <c r="Y6" i="9"/>
  <c r="Y35" i="9" s="1"/>
  <c r="Y25" i="9" s="1"/>
  <c r="X6" i="9"/>
  <c r="X35" i="9" s="1"/>
  <c r="X25" i="9" s="1"/>
  <c r="W6" i="9"/>
  <c r="W35" i="9" s="1"/>
  <c r="W25" i="9" s="1"/>
  <c r="V6" i="9"/>
  <c r="V35" i="9" s="1"/>
  <c r="V25" i="9" s="1"/>
  <c r="U6" i="9"/>
  <c r="U35" i="9" s="1"/>
  <c r="U25" i="9" s="1"/>
  <c r="T6" i="9"/>
  <c r="T35" i="9" s="1"/>
  <c r="T25" i="9" s="1"/>
  <c r="S6" i="9"/>
  <c r="S35" i="9" s="1"/>
  <c r="S25" i="9" s="1"/>
  <c r="R6" i="9"/>
  <c r="R35" i="9" s="1"/>
  <c r="R25" i="9" s="1"/>
  <c r="Q6" i="9"/>
  <c r="Q35" i="9" s="1"/>
  <c r="Q25" i="9" s="1"/>
  <c r="P6" i="9"/>
  <c r="P35" i="9" s="1"/>
  <c r="P25" i="9" s="1"/>
  <c r="O6" i="9"/>
  <c r="O35" i="9" s="1"/>
  <c r="O25" i="9" s="1"/>
  <c r="N6" i="9"/>
  <c r="N35" i="9" s="1"/>
  <c r="N25" i="9" s="1"/>
  <c r="M6" i="9"/>
  <c r="M35" i="9" s="1"/>
  <c r="M25" i="9" s="1"/>
  <c r="L6" i="9"/>
  <c r="L35" i="9" s="1"/>
  <c r="L25" i="9" s="1"/>
  <c r="K6" i="9"/>
  <c r="K35" i="9" s="1"/>
  <c r="K25" i="9" s="1"/>
  <c r="J6" i="9"/>
  <c r="J35" i="9" s="1"/>
  <c r="J25" i="9" s="1"/>
  <c r="I6" i="9"/>
  <c r="I35" i="9" s="1"/>
  <c r="I25" i="9" s="1"/>
  <c r="H6" i="9"/>
  <c r="H35" i="9" s="1"/>
  <c r="G6" i="9"/>
  <c r="G35" i="9" s="1"/>
  <c r="F6" i="9"/>
  <c r="F35" i="9" s="1"/>
  <c r="E6" i="9"/>
  <c r="E35" i="9" s="1"/>
  <c r="A5" i="2"/>
  <c r="DM125" i="4"/>
  <c r="DW125" i="4"/>
  <c r="EB125" i="4"/>
  <c r="EC125" i="4"/>
  <c r="DX125" i="4"/>
  <c r="EL125" i="4"/>
  <c r="DI125" i="4"/>
  <c r="DC125" i="4"/>
  <c r="EH125" i="4"/>
  <c r="DS125" i="4"/>
  <c r="DN125" i="4"/>
  <c r="DR125" i="4"/>
  <c r="DH125" i="4"/>
  <c r="DD125" i="4"/>
  <c r="EG125" i="4"/>
  <c r="CX125" i="4"/>
  <c r="EH58" i="4" l="1"/>
  <c r="BS70" i="8"/>
  <c r="EG82" i="4"/>
  <c r="EL82" i="4"/>
  <c r="CN84" i="4"/>
  <c r="CS84" i="4"/>
  <c r="DH84" i="4"/>
  <c r="DM84" i="4"/>
  <c r="DT61" i="8"/>
  <c r="AC61" i="8"/>
  <c r="I59" i="8"/>
  <c r="AE43" i="8"/>
  <c r="CY41" i="8"/>
  <c r="BK41" i="8"/>
  <c r="BO120" i="5"/>
  <c r="DO79" i="8"/>
  <c r="U77" i="8"/>
  <c r="BX61" i="8"/>
  <c r="I61" i="8"/>
  <c r="O41" i="8"/>
  <c r="DT68" i="8"/>
  <c r="CO43" i="8"/>
  <c r="BE55" i="5"/>
  <c r="DS10" i="10"/>
  <c r="DS13" i="10" s="1"/>
  <c r="DQ155" i="5"/>
  <c r="Y81" i="5"/>
  <c r="Y82" i="5" s="1"/>
  <c r="DP155" i="5"/>
  <c r="AL69" i="5"/>
  <c r="CD120" i="5"/>
  <c r="CX8" i="4"/>
  <c r="CI203" i="7"/>
  <c r="DR185" i="7"/>
  <c r="M190" i="7"/>
  <c r="AF176" i="7"/>
  <c r="T176" i="7"/>
  <c r="CF176" i="7"/>
  <c r="AL173" i="7"/>
  <c r="AA206" i="7"/>
  <c r="CP214" i="7"/>
  <c r="Z206" i="7"/>
  <c r="AC206" i="7"/>
  <c r="I206" i="7"/>
  <c r="BG114" i="7"/>
  <c r="AF114" i="7"/>
  <c r="L129" i="7"/>
  <c r="Q129" i="7"/>
  <c r="DH58" i="7"/>
  <c r="AO50" i="7"/>
  <c r="AP224" i="7"/>
  <c r="Q224" i="7"/>
  <c r="I224" i="7"/>
  <c r="P89" i="7"/>
  <c r="Q50" i="7"/>
  <c r="CN173" i="7"/>
  <c r="CC214" i="7"/>
  <c r="W173" i="7"/>
  <c r="BH176" i="7"/>
  <c r="CM176" i="7"/>
  <c r="CE176" i="7"/>
  <c r="BG176" i="7"/>
  <c r="AA210" i="7"/>
  <c r="K214" i="7"/>
  <c r="J206" i="7"/>
  <c r="AK100" i="7"/>
  <c r="U100" i="7"/>
  <c r="AO100" i="7"/>
  <c r="DP135" i="7"/>
  <c r="DN64" i="7"/>
  <c r="BR64" i="7"/>
  <c r="CW224" i="7"/>
  <c r="CK224" i="7"/>
  <c r="CC223" i="7"/>
  <c r="AI224" i="7"/>
  <c r="CN14" i="8"/>
  <c r="BX64" i="7"/>
  <c r="BL226" i="7"/>
  <c r="CN93" i="7"/>
  <c r="AI135" i="7"/>
  <c r="AS52" i="7"/>
  <c r="CM223" i="7"/>
  <c r="V224" i="7"/>
  <c r="AL58" i="7"/>
  <c r="AD223" i="7"/>
  <c r="U224" i="7"/>
  <c r="DW6" i="7"/>
  <c r="BS224" i="7"/>
  <c r="AO223" i="7"/>
  <c r="AK223" i="7"/>
  <c r="AC224" i="7"/>
  <c r="DL78" i="8"/>
  <c r="DL79" i="8" s="1"/>
  <c r="AJ79" i="8"/>
  <c r="CL77" i="8"/>
  <c r="BP67" i="8"/>
  <c r="CL59" i="8"/>
  <c r="CG58" i="8"/>
  <c r="BM59" i="8"/>
  <c r="CR62" i="8"/>
  <c r="AV60" i="8"/>
  <c r="BG61" i="8"/>
  <c r="AE60" i="8"/>
  <c r="DL69" i="8"/>
  <c r="DL70" i="8" s="1"/>
  <c r="DS43" i="8"/>
  <c r="BI42" i="8"/>
  <c r="BI43" i="8" s="1"/>
  <c r="BI40" i="8"/>
  <c r="CH32" i="8"/>
  <c r="BB34" i="8"/>
  <c r="AM34" i="8"/>
  <c r="AV42" i="8"/>
  <c r="BW31" i="8"/>
  <c r="BW67" i="8"/>
  <c r="BG67" i="8"/>
  <c r="AJ67" i="8"/>
  <c r="BA31" i="8"/>
  <c r="BA32" i="8" s="1"/>
  <c r="DA16" i="8"/>
  <c r="CC11" i="8"/>
  <c r="CK31" i="8"/>
  <c r="BI33" i="8"/>
  <c r="BI34" i="8" s="1"/>
  <c r="CB16" i="8"/>
  <c r="AJ11" i="8"/>
  <c r="BG40" i="8"/>
  <c r="BL41" i="8" s="1"/>
  <c r="CR33" i="8"/>
  <c r="CR34" i="8" s="1"/>
  <c r="BX33" i="8"/>
  <c r="BG16" i="8"/>
  <c r="AE11" i="8"/>
  <c r="CO11" i="8"/>
  <c r="BN16" i="8"/>
  <c r="DU14" i="8"/>
  <c r="CB14" i="8"/>
  <c r="BW14" i="8"/>
  <c r="AR16" i="8"/>
  <c r="AC16" i="8"/>
  <c r="AP14" i="8"/>
  <c r="AH11" i="8"/>
  <c r="CJ14" i="8"/>
  <c r="CE14" i="8"/>
  <c r="CW79" i="8"/>
  <c r="BN34" i="8"/>
  <c r="DQ132" i="7"/>
  <c r="DI135" i="7"/>
  <c r="CY135" i="7"/>
  <c r="BS132" i="7"/>
  <c r="CZ129" i="7"/>
  <c r="CG100" i="7"/>
  <c r="N100" i="7"/>
  <c r="AG9" i="8"/>
  <c r="BI100" i="7"/>
  <c r="AR100" i="7"/>
  <c r="BI223" i="7"/>
  <c r="BA224" i="7"/>
  <c r="AA225" i="7"/>
  <c r="S226" i="7"/>
  <c r="BZ135" i="7"/>
  <c r="CV223" i="7"/>
  <c r="W14" i="8"/>
  <c r="BD225" i="7"/>
  <c r="J225" i="7"/>
  <c r="BC224" i="7"/>
  <c r="AH226" i="7"/>
  <c r="Z225" i="7"/>
  <c r="AT50" i="7"/>
  <c r="BW224" i="7"/>
  <c r="AO77" i="8"/>
  <c r="BI76" i="8"/>
  <c r="BW76" i="8"/>
  <c r="U79" i="8"/>
  <c r="BA58" i="8"/>
  <c r="BA59" i="8" s="1"/>
  <c r="CB59" i="8"/>
  <c r="BS61" i="8"/>
  <c r="K41" i="8"/>
  <c r="CK40" i="8"/>
  <c r="CK41" i="8" s="1"/>
  <c r="CP32" i="8"/>
  <c r="BC40" i="8"/>
  <c r="BC41" i="8" s="1"/>
  <c r="AD41" i="8"/>
  <c r="BG31" i="8"/>
  <c r="AJ31" i="8"/>
  <c r="AJ32" i="8" s="1"/>
  <c r="CP16" i="8"/>
  <c r="CK77" i="8"/>
  <c r="AS43" i="8"/>
  <c r="BP31" i="8"/>
  <c r="U32" i="8"/>
  <c r="CK16" i="8"/>
  <c r="DV42" i="8"/>
  <c r="AJ40" i="8"/>
  <c r="BU34" i="8"/>
  <c r="BP16" i="8"/>
  <c r="CR11" i="8"/>
  <c r="BX11" i="8"/>
  <c r="CT9" i="8"/>
  <c r="AE33" i="8"/>
  <c r="AJ34" i="8" s="1"/>
  <c r="AI9" i="8"/>
  <c r="O9" i="8"/>
  <c r="CA14" i="8"/>
  <c r="CO16" i="8"/>
  <c r="BZ16" i="8"/>
  <c r="T100" i="7"/>
  <c r="BY14" i="8"/>
  <c r="CG226" i="7"/>
  <c r="BQ225" i="7"/>
  <c r="BM225" i="7"/>
  <c r="AM223" i="7"/>
  <c r="AE223" i="7"/>
  <c r="O226" i="7"/>
  <c r="CH132" i="7"/>
  <c r="AS51" i="7"/>
  <c r="CR225" i="7"/>
  <c r="CF223" i="7"/>
  <c r="CB223" i="7"/>
  <c r="T129" i="7"/>
  <c r="AH64" i="7"/>
  <c r="BE46" i="7"/>
  <c r="BE47" i="7" s="1"/>
  <c r="N224" i="7"/>
  <c r="DH6" i="7"/>
  <c r="AS223" i="7"/>
  <c r="DM6" i="7"/>
  <c r="DS79" i="8"/>
  <c r="CZ79" i="8"/>
  <c r="BQ79" i="8"/>
  <c r="BC76" i="8"/>
  <c r="BP78" i="8"/>
  <c r="BU79" i="8" s="1"/>
  <c r="CK58" i="8"/>
  <c r="CK59" i="8" s="1"/>
  <c r="DL60" i="8"/>
  <c r="DL61" i="8" s="1"/>
  <c r="DN59" i="8"/>
  <c r="BL59" i="8"/>
  <c r="BP60" i="8"/>
  <c r="CQ61" i="8"/>
  <c r="BC58" i="8"/>
  <c r="BW61" i="8"/>
  <c r="DL33" i="8"/>
  <c r="DL34" i="8" s="1"/>
  <c r="DA40" i="8"/>
  <c r="DA41" i="8" s="1"/>
  <c r="CG40" i="8"/>
  <c r="CL32" i="8"/>
  <c r="AI32" i="8"/>
  <c r="BP42" i="8"/>
  <c r="I43" i="8"/>
  <c r="BC31" i="8"/>
  <c r="BH32" i="8" s="1"/>
  <c r="BC67" i="8"/>
  <c r="BI31" i="8"/>
  <c r="BI32" i="8" s="1"/>
  <c r="BN11" i="8"/>
  <c r="AO41" i="8"/>
  <c r="CG16" i="8"/>
  <c r="BP40" i="8"/>
  <c r="BU41" i="8" s="1"/>
  <c r="DA31" i="8"/>
  <c r="CC34" i="8"/>
  <c r="BA34" i="8"/>
  <c r="BH16" i="8"/>
  <c r="BP11" i="8"/>
  <c r="BW40" i="8"/>
  <c r="CB41" i="8" s="1"/>
  <c r="CB34" i="8"/>
  <c r="BW16" i="8"/>
  <c r="DU9" i="8"/>
  <c r="CQ9" i="8"/>
  <c r="CF14" i="8"/>
  <c r="DS9" i="8"/>
  <c r="CY9" i="8"/>
  <c r="CX44" i="7"/>
  <c r="CA57" i="4"/>
  <c r="BZ57" i="4"/>
  <c r="CT57" i="4"/>
  <c r="ED58" i="4"/>
  <c r="EI58" i="4"/>
  <c r="G58" i="4"/>
  <c r="DP130" i="5"/>
  <c r="DF66" i="4"/>
  <c r="DM14" i="4"/>
  <c r="DM15" i="7" s="1"/>
  <c r="CU57" i="4"/>
  <c r="DZ58" i="4"/>
  <c r="EE58" i="4"/>
  <c r="AB16" i="4"/>
  <c r="AB27" i="8" s="1"/>
  <c r="AB33" i="8" s="1"/>
  <c r="AH27" i="4"/>
  <c r="AH33" i="4" s="1"/>
  <c r="BR57" i="4"/>
  <c r="BW57" i="4"/>
  <c r="CG57" i="4"/>
  <c r="CL57" i="4"/>
  <c r="CL58" i="4" s="1"/>
  <c r="EA58" i="4"/>
  <c r="EF58" i="4"/>
  <c r="S79" i="8"/>
  <c r="DC121" i="5"/>
  <c r="DE118" i="5" s="1"/>
  <c r="DE120" i="5" s="1"/>
  <c r="DR84" i="4"/>
  <c r="DW84" i="4"/>
  <c r="CD55" i="4"/>
  <c r="CI54" i="4"/>
  <c r="CI55" i="4"/>
  <c r="EG54" i="4"/>
  <c r="DB66" i="4"/>
  <c r="DW121" i="4"/>
  <c r="BT120" i="5"/>
  <c r="BO43" i="4"/>
  <c r="CD43" i="4"/>
  <c r="BE57" i="4"/>
  <c r="BE58" i="4" s="1"/>
  <c r="DC13" i="10"/>
  <c r="DC9" i="10" s="1"/>
  <c r="DM13" i="10"/>
  <c r="DM9" i="10" s="1"/>
  <c r="CJ204" i="10"/>
  <c r="CN204" i="10" s="1"/>
  <c r="DJ40" i="10"/>
  <c r="CQ16" i="10"/>
  <c r="DC92" i="10"/>
  <c r="CL16" i="10"/>
  <c r="AS41" i="9"/>
  <c r="AT41" i="9"/>
  <c r="DU79" i="8"/>
  <c r="CO59" i="8"/>
  <c r="DK11" i="4"/>
  <c r="DV32" i="8"/>
  <c r="DQ43" i="8"/>
  <c r="DO34" i="8"/>
  <c r="DW201" i="7"/>
  <c r="CS201" i="7"/>
  <c r="AZ182" i="7"/>
  <c r="AI132" i="7"/>
  <c r="CA224" i="7"/>
  <c r="AT224" i="7"/>
  <c r="Y224" i="7"/>
  <c r="AS225" i="7"/>
  <c r="J41" i="8"/>
  <c r="DQ9" i="8"/>
  <c r="CV14" i="8"/>
  <c r="AH9" i="8"/>
  <c r="N9" i="8"/>
  <c r="AO14" i="8"/>
  <c r="DW115" i="7"/>
  <c r="DW116" i="7" s="1"/>
  <c r="CX109" i="7"/>
  <c r="CX14" i="8"/>
  <c r="BL14" i="8"/>
  <c r="BG14" i="8"/>
  <c r="CW135" i="7"/>
  <c r="BR135" i="7"/>
  <c r="O132" i="7"/>
  <c r="CD14" i="8"/>
  <c r="CU225" i="7"/>
  <c r="BG225" i="7"/>
  <c r="DT43" i="8"/>
  <c r="AC43" i="8"/>
  <c r="CG34" i="8"/>
  <c r="AO11" i="8"/>
  <c r="CZ14" i="8"/>
  <c r="CU14" i="8"/>
  <c r="AR11" i="8"/>
  <c r="AP9" i="8"/>
  <c r="Q9" i="8"/>
  <c r="DS14" i="8"/>
  <c r="BI14" i="8"/>
  <c r="AJ16" i="8"/>
  <c r="DC199" i="7"/>
  <c r="CD173" i="7"/>
  <c r="K176" i="7"/>
  <c r="T210" i="7"/>
  <c r="CI124" i="7"/>
  <c r="AG126" i="7"/>
  <c r="AQ124" i="7"/>
  <c r="DR115" i="7"/>
  <c r="DR116" i="7" s="1"/>
  <c r="BF64" i="7"/>
  <c r="AE64" i="7"/>
  <c r="AJ129" i="7"/>
  <c r="BJ14" i="8"/>
  <c r="BA41" i="8"/>
  <c r="DV77" i="8"/>
  <c r="DS11" i="8"/>
  <c r="DV11" i="8"/>
  <c r="CW11" i="8"/>
  <c r="CQ14" i="8"/>
  <c r="BL16" i="8"/>
  <c r="BK14" i="8"/>
  <c r="AK11" i="8"/>
  <c r="DS16" i="8"/>
  <c r="AO16" i="8"/>
  <c r="BM114" i="7"/>
  <c r="CI161" i="5"/>
  <c r="T184" i="5"/>
  <c r="AA130" i="5"/>
  <c r="AB130" i="5"/>
  <c r="CV130" i="5"/>
  <c r="G82" i="5"/>
  <c r="BE56" i="5"/>
  <c r="F181" i="5"/>
  <c r="BM169" i="5"/>
  <c r="AA200" i="5"/>
  <c r="DO158" i="5"/>
  <c r="DV156" i="5"/>
  <c r="DQ130" i="5"/>
  <c r="CN120" i="5"/>
  <c r="DA52" i="5"/>
  <c r="DA69" i="5" s="1"/>
  <c r="AQ56" i="5"/>
  <c r="DD69" i="5"/>
  <c r="BF10" i="10"/>
  <c r="BF9" i="10" s="1"/>
  <c r="Z125" i="5"/>
  <c r="BY130" i="5"/>
  <c r="BY69" i="5"/>
  <c r="R74" i="5"/>
  <c r="BE52" i="5"/>
  <c r="R18" i="4"/>
  <c r="R54" i="8" s="1"/>
  <c r="M28" i="4"/>
  <c r="M65" i="5" s="1"/>
  <c r="EL54" i="4"/>
  <c r="CO41" i="8"/>
  <c r="BY54" i="4"/>
  <c r="DW82" i="4"/>
  <c r="AC27" i="4"/>
  <c r="AC33" i="4" s="1"/>
  <c r="BE43" i="4"/>
  <c r="CS43" i="4"/>
  <c r="CX43" i="4"/>
  <c r="DR52" i="4"/>
  <c r="CX77" i="4"/>
  <c r="CX76" i="4" s="1"/>
  <c r="H81" i="4"/>
  <c r="BJ81" i="4"/>
  <c r="BO81" i="4"/>
  <c r="BT81" i="4"/>
  <c r="BY81" i="4"/>
  <c r="CD81" i="4"/>
  <c r="CN81" i="4"/>
  <c r="CS81" i="4"/>
  <c r="CX81" i="4"/>
  <c r="DR81" i="4"/>
  <c r="DW81" i="4"/>
  <c r="AZ82" i="4"/>
  <c r="AL18" i="4"/>
  <c r="AL54" i="8" s="1"/>
  <c r="DR116" i="4"/>
  <c r="CM79" i="8"/>
  <c r="AI61" i="8"/>
  <c r="J61" i="8"/>
  <c r="BX152" i="5"/>
  <c r="BX155" i="5" s="1"/>
  <c r="DW143" i="5"/>
  <c r="CZ181" i="5"/>
  <c r="DM140" i="5"/>
  <c r="AJ181" i="5"/>
  <c r="CJ184" i="5"/>
  <c r="CT204" i="10"/>
  <c r="DL40" i="10"/>
  <c r="DM39" i="10"/>
  <c r="DF38" i="10"/>
  <c r="DF40" i="10" s="1"/>
  <c r="DG33" i="10"/>
  <c r="CY214" i="10"/>
  <c r="CZ209" i="10"/>
  <c r="CI214" i="10"/>
  <c r="CI204" i="10"/>
  <c r="CI200" i="5"/>
  <c r="T202" i="5"/>
  <c r="AN158" i="5"/>
  <c r="BI164" i="5"/>
  <c r="BI125" i="5" s="1"/>
  <c r="DW120" i="5"/>
  <c r="AH130" i="5"/>
  <c r="G55" i="5"/>
  <c r="BE9" i="10"/>
  <c r="AA173" i="5"/>
  <c r="BT172" i="5"/>
  <c r="CI154" i="5"/>
  <c r="DW147" i="5"/>
  <c r="CI168" i="5"/>
  <c r="CD178" i="5"/>
  <c r="AE158" i="5"/>
  <c r="CR172" i="5"/>
  <c r="CS172" i="5" s="1"/>
  <c r="DF169" i="5"/>
  <c r="CC165" i="5"/>
  <c r="CC125" i="5" s="1"/>
  <c r="DT26" i="10"/>
  <c r="DT42" i="10" s="1"/>
  <c r="DT54" i="10" s="1"/>
  <c r="DT64" i="10" s="1"/>
  <c r="DT74" i="10" s="1"/>
  <c r="DT84" i="10" s="1"/>
  <c r="DT94" i="10" s="1"/>
  <c r="DT104" i="10" s="1"/>
  <c r="DT114" i="10" s="1"/>
  <c r="DT124" i="10" s="1"/>
  <c r="DT136" i="10" s="1"/>
  <c r="DT146" i="10" s="1"/>
  <c r="DT156" i="10" s="1"/>
  <c r="DT166" i="10" s="1"/>
  <c r="DT176" i="10" s="1"/>
  <c r="DT186" i="10" s="1"/>
  <c r="DT196" i="10" s="1"/>
  <c r="DT206" i="10" s="1"/>
  <c r="DT224" i="10" s="1"/>
  <c r="CG155" i="5"/>
  <c r="DW144" i="5"/>
  <c r="DM148" i="5"/>
  <c r="CD58" i="5"/>
  <c r="G56" i="5"/>
  <c r="DH13" i="10"/>
  <c r="DH9" i="10" s="1"/>
  <c r="EJ74" i="8"/>
  <c r="EE74" i="8"/>
  <c r="DZ74" i="8"/>
  <c r="EJ56" i="8"/>
  <c r="EE56" i="8"/>
  <c r="DZ56" i="8"/>
  <c r="EK38" i="8"/>
  <c r="EF38" i="8"/>
  <c r="EA38" i="8"/>
  <c r="EK29" i="8"/>
  <c r="EF29" i="8"/>
  <c r="EA29" i="8"/>
  <c r="EI74" i="8"/>
  <c r="ED74" i="8"/>
  <c r="DY74" i="8"/>
  <c r="EI56" i="8"/>
  <c r="ED56" i="8"/>
  <c r="DY56" i="8"/>
  <c r="EJ38" i="8"/>
  <c r="EE38" i="8"/>
  <c r="DZ38" i="8"/>
  <c r="EJ29" i="8"/>
  <c r="EE29" i="8"/>
  <c r="DZ29" i="8"/>
  <c r="EH74" i="8"/>
  <c r="EC74" i="8"/>
  <c r="DX74" i="8"/>
  <c r="EH56" i="8"/>
  <c r="EC56" i="8"/>
  <c r="DX56" i="8"/>
  <c r="EI38" i="8"/>
  <c r="ED38" i="8"/>
  <c r="DY38" i="8"/>
  <c r="EI29" i="8"/>
  <c r="ED29" i="8"/>
  <c r="DY29" i="8"/>
  <c r="EK74" i="8"/>
  <c r="EF74" i="8"/>
  <c r="EA74" i="8"/>
  <c r="EK56" i="8"/>
  <c r="EF56" i="8"/>
  <c r="EA56" i="8"/>
  <c r="EH38" i="8"/>
  <c r="EC38" i="8"/>
  <c r="DX38" i="8"/>
  <c r="EH29" i="8"/>
  <c r="EC29" i="8"/>
  <c r="DX29" i="8"/>
  <c r="M6" i="4"/>
  <c r="M60" i="7" s="1"/>
  <c r="I98" i="5"/>
  <c r="I94" i="5"/>
  <c r="I87" i="5"/>
  <c r="I60" i="7"/>
  <c r="R6" i="4"/>
  <c r="N98" i="5"/>
  <c r="N94" i="5"/>
  <c r="N87" i="5"/>
  <c r="N60" i="7"/>
  <c r="S98" i="5"/>
  <c r="S94" i="5"/>
  <c r="S87" i="5"/>
  <c r="S60" i="7"/>
  <c r="S61" i="7" s="1"/>
  <c r="W6" i="4"/>
  <c r="AA60" i="7"/>
  <c r="AA66" i="7"/>
  <c r="AL6" i="4"/>
  <c r="AH98" i="5"/>
  <c r="AH94" i="5"/>
  <c r="AH87" i="5"/>
  <c r="AH60" i="7"/>
  <c r="AH61" i="7" s="1"/>
  <c r="AQ6" i="4"/>
  <c r="AM98" i="5"/>
  <c r="AM94" i="5"/>
  <c r="AM87" i="5"/>
  <c r="AM60" i="7"/>
  <c r="AR98" i="5"/>
  <c r="AR94" i="5"/>
  <c r="AR87" i="5"/>
  <c r="AR60" i="7"/>
  <c r="AR61" i="7" s="1"/>
  <c r="AR97" i="5"/>
  <c r="AR86" i="5"/>
  <c r="AR93" i="5"/>
  <c r="AZ6" i="4"/>
  <c r="AX60" i="7"/>
  <c r="AX66" i="7"/>
  <c r="BC94" i="5"/>
  <c r="BC87" i="5"/>
  <c r="BC98" i="5"/>
  <c r="BC66" i="7"/>
  <c r="BC60" i="7"/>
  <c r="BH94" i="5"/>
  <c r="BH87" i="5"/>
  <c r="BH98" i="5"/>
  <c r="BH60" i="7"/>
  <c r="BH66" i="7"/>
  <c r="BM94" i="5"/>
  <c r="BM87" i="5"/>
  <c r="BM98" i="5"/>
  <c r="BM60" i="7"/>
  <c r="BM66" i="7"/>
  <c r="BR94" i="5"/>
  <c r="BR87" i="5"/>
  <c r="BR98" i="5"/>
  <c r="BR60" i="7"/>
  <c r="BR66" i="7"/>
  <c r="BW94" i="5"/>
  <c r="BW87" i="5"/>
  <c r="BW98" i="5"/>
  <c r="BW66" i="7"/>
  <c r="BW60" i="7"/>
  <c r="CB94" i="5"/>
  <c r="CB87" i="5"/>
  <c r="CB98" i="5"/>
  <c r="CB66" i="7"/>
  <c r="CB60" i="7"/>
  <c r="CF98" i="5"/>
  <c r="CF94" i="5"/>
  <c r="CF87" i="5"/>
  <c r="CF66" i="7"/>
  <c r="CF60" i="7"/>
  <c r="CK98" i="5"/>
  <c r="CK94" i="5"/>
  <c r="CK87" i="5"/>
  <c r="CK60" i="7"/>
  <c r="CK66" i="7"/>
  <c r="CP98" i="5"/>
  <c r="CP94" i="5"/>
  <c r="CP87" i="5"/>
  <c r="CP60" i="7"/>
  <c r="CP61" i="7" s="1"/>
  <c r="CP66" i="7"/>
  <c r="CU98" i="5"/>
  <c r="CU94" i="5"/>
  <c r="CU87" i="5"/>
  <c r="CU60" i="7"/>
  <c r="CU66" i="7"/>
  <c r="CZ98" i="5"/>
  <c r="CW97" i="5"/>
  <c r="CW86" i="5"/>
  <c r="CZ94" i="5"/>
  <c r="CW93" i="5"/>
  <c r="CZ87" i="5"/>
  <c r="CZ60" i="7"/>
  <c r="CZ66" i="7"/>
  <c r="DE98" i="5"/>
  <c r="DB93" i="5"/>
  <c r="DB86" i="5"/>
  <c r="DB97" i="5"/>
  <c r="DE94" i="5"/>
  <c r="DE87" i="5"/>
  <c r="DE60" i="7"/>
  <c r="DE66" i="7"/>
  <c r="DJ98" i="5"/>
  <c r="DG93" i="5"/>
  <c r="DG86" i="5"/>
  <c r="DG97" i="5"/>
  <c r="DJ94" i="5"/>
  <c r="DJ87" i="5"/>
  <c r="DJ60" i="7"/>
  <c r="DJ61" i="7" s="1"/>
  <c r="DJ66" i="7"/>
  <c r="DO98" i="5"/>
  <c r="DL97" i="5"/>
  <c r="DL86" i="5"/>
  <c r="DL93" i="5"/>
  <c r="DO94" i="5"/>
  <c r="DO87" i="5"/>
  <c r="DO66" i="7"/>
  <c r="DO60" i="7"/>
  <c r="DT98" i="5"/>
  <c r="DQ86" i="5"/>
  <c r="DT94" i="5"/>
  <c r="DQ93" i="5"/>
  <c r="DT87" i="5"/>
  <c r="DT60" i="7"/>
  <c r="DU93" i="5"/>
  <c r="DU86" i="5"/>
  <c r="DU97" i="5"/>
  <c r="DW27" i="8"/>
  <c r="F148" i="7"/>
  <c r="F78" i="7"/>
  <c r="N148" i="7"/>
  <c r="N78" i="7"/>
  <c r="T148" i="7"/>
  <c r="T78" i="7"/>
  <c r="AZ87" i="5"/>
  <c r="AQ36" i="8"/>
  <c r="AQ93" i="5"/>
  <c r="AQ94" i="5"/>
  <c r="H6" i="4"/>
  <c r="G97" i="5" s="1"/>
  <c r="E98" i="5"/>
  <c r="E94" i="5"/>
  <c r="E87" i="5"/>
  <c r="E66" i="7"/>
  <c r="E60" i="7"/>
  <c r="J98" i="5"/>
  <c r="J94" i="5"/>
  <c r="J87" i="5"/>
  <c r="J60" i="7"/>
  <c r="O98" i="5"/>
  <c r="O94" i="5"/>
  <c r="O87" i="5"/>
  <c r="O60" i="7"/>
  <c r="O61" i="7" s="1"/>
  <c r="O66" i="7"/>
  <c r="T98" i="5"/>
  <c r="T94" i="5"/>
  <c r="T87" i="5"/>
  <c r="T66" i="7"/>
  <c r="T60" i="7"/>
  <c r="AB6" i="4"/>
  <c r="AA97" i="5" s="1"/>
  <c r="X98" i="5"/>
  <c r="X94" i="5"/>
  <c r="X87" i="5"/>
  <c r="X60" i="7"/>
  <c r="X61" i="7" s="1"/>
  <c r="AG6" i="4"/>
  <c r="AD98" i="5"/>
  <c r="AD94" i="5"/>
  <c r="AD87" i="5"/>
  <c r="AD60" i="7"/>
  <c r="AI98" i="5"/>
  <c r="AI94" i="5"/>
  <c r="AI87" i="5"/>
  <c r="AI60" i="7"/>
  <c r="AI61" i="7" s="1"/>
  <c r="AI66" i="7"/>
  <c r="AN98" i="5"/>
  <c r="AN94" i="5"/>
  <c r="AN87" i="5"/>
  <c r="AN66" i="7"/>
  <c r="AN60" i="7"/>
  <c r="AS98" i="5"/>
  <c r="AS94" i="5"/>
  <c r="AS93" i="5"/>
  <c r="AS86" i="5"/>
  <c r="AS97" i="5"/>
  <c r="AS87" i="5"/>
  <c r="AS60" i="7"/>
  <c r="AS66" i="7"/>
  <c r="AY66" i="7"/>
  <c r="AY60" i="7"/>
  <c r="BD94" i="5"/>
  <c r="BD87" i="5"/>
  <c r="BD98" i="5"/>
  <c r="BD60" i="7"/>
  <c r="BD66" i="7"/>
  <c r="BI94" i="5"/>
  <c r="BI87" i="5"/>
  <c r="BI98" i="5"/>
  <c r="BI60" i="7"/>
  <c r="BI66" i="7"/>
  <c r="BN94" i="5"/>
  <c r="BN87" i="5"/>
  <c r="BN98" i="5"/>
  <c r="BN60" i="7"/>
  <c r="BN66" i="7"/>
  <c r="BS94" i="5"/>
  <c r="BS87" i="5"/>
  <c r="BS98" i="5"/>
  <c r="BS66" i="7"/>
  <c r="BS60" i="7"/>
  <c r="BX94" i="5"/>
  <c r="BX87" i="5"/>
  <c r="BX98" i="5"/>
  <c r="BX60" i="7"/>
  <c r="BX66" i="7"/>
  <c r="CC94" i="5"/>
  <c r="CC87" i="5"/>
  <c r="CC98" i="5"/>
  <c r="CC60" i="7"/>
  <c r="CC66" i="7"/>
  <c r="CG94" i="5"/>
  <c r="CG87" i="5"/>
  <c r="CG98" i="5"/>
  <c r="CG66" i="7"/>
  <c r="CG60" i="7"/>
  <c r="CG61" i="7" s="1"/>
  <c r="CL94" i="5"/>
  <c r="CL87" i="5"/>
  <c r="CL98" i="5"/>
  <c r="CL60" i="7"/>
  <c r="CL61" i="7" s="1"/>
  <c r="CL66" i="7"/>
  <c r="CQ94" i="5"/>
  <c r="CQ87" i="5"/>
  <c r="CQ98" i="5"/>
  <c r="CQ66" i="7"/>
  <c r="CQ60" i="7"/>
  <c r="CV94" i="5"/>
  <c r="CV87" i="5"/>
  <c r="CV98" i="5"/>
  <c r="CV60" i="7"/>
  <c r="CV66" i="7"/>
  <c r="DA94" i="5"/>
  <c r="DA87" i="5"/>
  <c r="DA98" i="5"/>
  <c r="DA60" i="7"/>
  <c r="DA66" i="7"/>
  <c r="DF94" i="5"/>
  <c r="DF87" i="5"/>
  <c r="DF98" i="5"/>
  <c r="DF60" i="7"/>
  <c r="DF66" i="7"/>
  <c r="DK94" i="5"/>
  <c r="DK87" i="5"/>
  <c r="DK98" i="5"/>
  <c r="DK60" i="7"/>
  <c r="DK66" i="7"/>
  <c r="DP94" i="5"/>
  <c r="DP87" i="5"/>
  <c r="DP98" i="5"/>
  <c r="DP60" i="7"/>
  <c r="DU61" i="7" s="1"/>
  <c r="DP66" i="7"/>
  <c r="DU94" i="5"/>
  <c r="DU87" i="5"/>
  <c r="DU98" i="5"/>
  <c r="DU60" i="7"/>
  <c r="DV93" i="5"/>
  <c r="DV86" i="5"/>
  <c r="DV97" i="5"/>
  <c r="DW102" i="4"/>
  <c r="DW23" i="8"/>
  <c r="DW12" i="7"/>
  <c r="DW89" i="5"/>
  <c r="DW73" i="5"/>
  <c r="DW86" i="5"/>
  <c r="DW36" i="8"/>
  <c r="DW93" i="5"/>
  <c r="DW97" i="5"/>
  <c r="D25" i="4"/>
  <c r="D27" i="8"/>
  <c r="G16" i="4"/>
  <c r="G27" i="8" s="1"/>
  <c r="L28" i="8" s="1"/>
  <c r="Q36" i="8"/>
  <c r="Q94" i="5"/>
  <c r="Q98" i="5"/>
  <c r="Q93" i="5"/>
  <c r="Q97" i="5"/>
  <c r="V36" i="8"/>
  <c r="V97" i="5"/>
  <c r="V94" i="5"/>
  <c r="V98" i="5"/>
  <c r="V93" i="5"/>
  <c r="W17" i="4"/>
  <c r="DM25" i="8"/>
  <c r="DM57" i="8" s="1"/>
  <c r="F94" i="5"/>
  <c r="F87" i="5"/>
  <c r="F98" i="5"/>
  <c r="F60" i="7"/>
  <c r="K94" i="5"/>
  <c r="K87" i="5"/>
  <c r="K98" i="5"/>
  <c r="K66" i="7"/>
  <c r="K60" i="7"/>
  <c r="P94" i="5"/>
  <c r="P87" i="5"/>
  <c r="P98" i="5"/>
  <c r="P66" i="7"/>
  <c r="P60" i="7"/>
  <c r="U94" i="5"/>
  <c r="U87" i="5"/>
  <c r="U98" i="5"/>
  <c r="U66" i="7"/>
  <c r="U60" i="7"/>
  <c r="Y98" i="5"/>
  <c r="Y94" i="5"/>
  <c r="Y87" i="5"/>
  <c r="Y66" i="7"/>
  <c r="Y60" i="7"/>
  <c r="AE94" i="5"/>
  <c r="AE87" i="5"/>
  <c r="AE98" i="5"/>
  <c r="AE66" i="7"/>
  <c r="AE60" i="7"/>
  <c r="AJ94" i="5"/>
  <c r="AJ87" i="5"/>
  <c r="AJ98" i="5"/>
  <c r="AJ66" i="7"/>
  <c r="AJ60" i="7"/>
  <c r="AO94" i="5"/>
  <c r="AO87" i="5"/>
  <c r="AO98" i="5"/>
  <c r="AO60" i="7"/>
  <c r="AO66" i="7"/>
  <c r="AT94" i="5"/>
  <c r="AT93" i="5"/>
  <c r="AT86" i="5"/>
  <c r="AT97" i="5"/>
  <c r="AT87" i="5"/>
  <c r="AT98" i="5"/>
  <c r="AT60" i="7"/>
  <c r="AT66" i="7"/>
  <c r="BE6" i="4"/>
  <c r="BA94" i="5"/>
  <c r="BA98" i="5"/>
  <c r="BA87" i="5"/>
  <c r="BA60" i="7"/>
  <c r="BA66" i="7"/>
  <c r="BJ6" i="4"/>
  <c r="BF94" i="5"/>
  <c r="BF98" i="5"/>
  <c r="BF87" i="5"/>
  <c r="BF60" i="7"/>
  <c r="BF66" i="7"/>
  <c r="BO6" i="4"/>
  <c r="BK94" i="5"/>
  <c r="BK98" i="5"/>
  <c r="BK87" i="5"/>
  <c r="BK66" i="7"/>
  <c r="BK60" i="7"/>
  <c r="BT6" i="4"/>
  <c r="BP94" i="5"/>
  <c r="BP98" i="5"/>
  <c r="BP87" i="5"/>
  <c r="BP66" i="7"/>
  <c r="BP60" i="7"/>
  <c r="BP61" i="7" s="1"/>
  <c r="BY6" i="4"/>
  <c r="BU94" i="5"/>
  <c r="BU98" i="5"/>
  <c r="BU87" i="5"/>
  <c r="BU60" i="7"/>
  <c r="BU66" i="7"/>
  <c r="BZ94" i="5"/>
  <c r="BZ98" i="5"/>
  <c r="BZ87" i="5"/>
  <c r="BZ60" i="7"/>
  <c r="BZ66" i="7"/>
  <c r="CD6" i="4"/>
  <c r="CD60" i="7" s="1"/>
  <c r="CH94" i="5"/>
  <c r="CH87" i="5"/>
  <c r="CH98" i="5"/>
  <c r="CH60" i="7"/>
  <c r="CH61" i="7" s="1"/>
  <c r="CH66" i="7"/>
  <c r="CM94" i="5"/>
  <c r="CM87" i="5"/>
  <c r="CM98" i="5"/>
  <c r="CM66" i="7"/>
  <c r="CM60" i="7"/>
  <c r="CR94" i="5"/>
  <c r="CR87" i="5"/>
  <c r="CR98" i="5"/>
  <c r="CR66" i="7"/>
  <c r="CR60" i="7"/>
  <c r="CW94" i="5"/>
  <c r="CW87" i="5"/>
  <c r="CW98" i="5"/>
  <c r="CW66" i="7"/>
  <c r="CW60" i="7"/>
  <c r="DB94" i="5"/>
  <c r="DB87" i="5"/>
  <c r="DB98" i="5"/>
  <c r="DB60" i="7"/>
  <c r="DB66" i="7"/>
  <c r="DG94" i="5"/>
  <c r="DG87" i="5"/>
  <c r="DG98" i="5"/>
  <c r="DG66" i="7"/>
  <c r="DG60" i="7"/>
  <c r="DL94" i="5"/>
  <c r="DL87" i="5"/>
  <c r="DL98" i="5"/>
  <c r="DL60" i="7"/>
  <c r="DL66" i="7"/>
  <c r="DQ94" i="5"/>
  <c r="DQ87" i="5"/>
  <c r="DQ98" i="5"/>
  <c r="DQ60" i="7"/>
  <c r="DQ66" i="7"/>
  <c r="DV94" i="5"/>
  <c r="DV87" i="5"/>
  <c r="DV98" i="5"/>
  <c r="DV60" i="7"/>
  <c r="DW72" i="8"/>
  <c r="DW24" i="8"/>
  <c r="DW14" i="7"/>
  <c r="AR148" i="7"/>
  <c r="AR78" i="7"/>
  <c r="AW148" i="7"/>
  <c r="AW78" i="7"/>
  <c r="BB148" i="7"/>
  <c r="BB78" i="7"/>
  <c r="BG148" i="7"/>
  <c r="BG78" i="7"/>
  <c r="BL148" i="7"/>
  <c r="BL78" i="7"/>
  <c r="BQ148" i="7"/>
  <c r="BQ78" i="7"/>
  <c r="BV148" i="7"/>
  <c r="BV78" i="7"/>
  <c r="CA148" i="7"/>
  <c r="CA78" i="7"/>
  <c r="CF148" i="7"/>
  <c r="CF78" i="7"/>
  <c r="CK148" i="7"/>
  <c r="CK78" i="7"/>
  <c r="CP148" i="7"/>
  <c r="CP78" i="7"/>
  <c r="CU148" i="7"/>
  <c r="CU78" i="7"/>
  <c r="L25" i="4"/>
  <c r="L23" i="8"/>
  <c r="L12" i="7"/>
  <c r="L89" i="5"/>
  <c r="L91" i="5" s="1"/>
  <c r="L87" i="5"/>
  <c r="L73" i="5"/>
  <c r="L75" i="5" s="1"/>
  <c r="L79" i="5"/>
  <c r="V25" i="4"/>
  <c r="V23" i="8"/>
  <c r="V38" i="8" s="1"/>
  <c r="V12" i="7"/>
  <c r="V87" i="5"/>
  <c r="V89" i="5"/>
  <c r="V91" i="5" s="1"/>
  <c r="V73" i="5"/>
  <c r="V86" i="5"/>
  <c r="V79" i="5"/>
  <c r="V11" i="4"/>
  <c r="AF25" i="4"/>
  <c r="AF23" i="8"/>
  <c r="AF12" i="7"/>
  <c r="AF89" i="5"/>
  <c r="AF91" i="5" s="1"/>
  <c r="AF87" i="5"/>
  <c r="AF86" i="5"/>
  <c r="AF73" i="5"/>
  <c r="AP14" i="4"/>
  <c r="AP23" i="8"/>
  <c r="AP12" i="7"/>
  <c r="AP87" i="5"/>
  <c r="AP89" i="5"/>
  <c r="AP91" i="5" s="1"/>
  <c r="AP73" i="5"/>
  <c r="AP86" i="5"/>
  <c r="AP11" i="4"/>
  <c r="BJ72" i="8"/>
  <c r="BJ24" i="8"/>
  <c r="BJ14" i="7"/>
  <c r="CD72" i="8"/>
  <c r="CD24" i="8"/>
  <c r="CD14" i="7"/>
  <c r="CS14" i="4"/>
  <c r="CS23" i="8"/>
  <c r="CS56" i="8" s="1"/>
  <c r="CS12" i="7"/>
  <c r="CS89" i="5"/>
  <c r="CS73" i="5"/>
  <c r="CS75" i="5" s="1"/>
  <c r="CS86" i="5"/>
  <c r="DC102" i="4"/>
  <c r="DC23" i="8"/>
  <c r="DC12" i="7"/>
  <c r="DC89" i="5"/>
  <c r="DC91" i="5" s="1"/>
  <c r="DC73" i="5"/>
  <c r="DC86" i="5"/>
  <c r="D25" i="8"/>
  <c r="D15" i="7"/>
  <c r="J103" i="4"/>
  <c r="J25" i="8"/>
  <c r="J15" i="7"/>
  <c r="P25" i="8"/>
  <c r="P15" i="7"/>
  <c r="X25" i="8"/>
  <c r="X15" i="7"/>
  <c r="AD103" i="4"/>
  <c r="AD25" i="8"/>
  <c r="AD15" i="7"/>
  <c r="AJ25" i="8"/>
  <c r="AJ15" i="7"/>
  <c r="AR25" i="8"/>
  <c r="AR15" i="7"/>
  <c r="AW25" i="8"/>
  <c r="AW66" i="8" s="1"/>
  <c r="AW15" i="7"/>
  <c r="BB25" i="8"/>
  <c r="BB15" i="7"/>
  <c r="BG103" i="4"/>
  <c r="BG25" i="8"/>
  <c r="BG15" i="7"/>
  <c r="BG16" i="7" s="1"/>
  <c r="BL103" i="4"/>
  <c r="BL25" i="8"/>
  <c r="BL15" i="7"/>
  <c r="BQ25" i="8"/>
  <c r="BQ15" i="7"/>
  <c r="BV25" i="8"/>
  <c r="BV66" i="8" s="1"/>
  <c r="BV15" i="7"/>
  <c r="CA103" i="4"/>
  <c r="CA25" i="8"/>
  <c r="CA15" i="7"/>
  <c r="CA16" i="7" s="1"/>
  <c r="CF103" i="4"/>
  <c r="CF25" i="8"/>
  <c r="CF15" i="7"/>
  <c r="CK25" i="8"/>
  <c r="CK15" i="7"/>
  <c r="CP25" i="8"/>
  <c r="CP15" i="7"/>
  <c r="CU103" i="4"/>
  <c r="CU25" i="8"/>
  <c r="CU15" i="7"/>
  <c r="CZ25" i="8"/>
  <c r="CZ15" i="7"/>
  <c r="CZ16" i="7" s="1"/>
  <c r="DE25" i="4"/>
  <c r="DE15" i="7"/>
  <c r="DJ25" i="4"/>
  <c r="DJ25" i="8"/>
  <c r="DJ15" i="7"/>
  <c r="DO25" i="4"/>
  <c r="DO25" i="8"/>
  <c r="DO15" i="7"/>
  <c r="DO16" i="7" s="1"/>
  <c r="DT25" i="4"/>
  <c r="DT25" i="8"/>
  <c r="DT15" i="7"/>
  <c r="DT16" i="7" s="1"/>
  <c r="DR102" i="4"/>
  <c r="DR23" i="8"/>
  <c r="DR29" i="8" s="1"/>
  <c r="DR12" i="7"/>
  <c r="DR89" i="5"/>
  <c r="DR73" i="5"/>
  <c r="DR14" i="4"/>
  <c r="DR86" i="5"/>
  <c r="M36" i="8"/>
  <c r="M93" i="5"/>
  <c r="AL58" i="8"/>
  <c r="L61" i="7"/>
  <c r="Q60" i="7"/>
  <c r="Q66" i="7"/>
  <c r="V60" i="7"/>
  <c r="V61" i="7" s="1"/>
  <c r="V66" i="7"/>
  <c r="Z94" i="5"/>
  <c r="Z87" i="5"/>
  <c r="Z98" i="5"/>
  <c r="Z60" i="7"/>
  <c r="Z66" i="7"/>
  <c r="AF66" i="7"/>
  <c r="AF60" i="7"/>
  <c r="AF61" i="7" s="1"/>
  <c r="AK66" i="7"/>
  <c r="AK60" i="7"/>
  <c r="AP60" i="7"/>
  <c r="AP66" i="7"/>
  <c r="AW60" i="7"/>
  <c r="AW66" i="7"/>
  <c r="BB98" i="5"/>
  <c r="BB94" i="5"/>
  <c r="BB87" i="5"/>
  <c r="BB60" i="7"/>
  <c r="BB66" i="7"/>
  <c r="BG98" i="5"/>
  <c r="BG94" i="5"/>
  <c r="BG87" i="5"/>
  <c r="BG66" i="7"/>
  <c r="BG60" i="7"/>
  <c r="BL98" i="5"/>
  <c r="BL94" i="5"/>
  <c r="BL87" i="5"/>
  <c r="BL66" i="7"/>
  <c r="BL60" i="7"/>
  <c r="BQ98" i="5"/>
  <c r="BQ94" i="5"/>
  <c r="BQ87" i="5"/>
  <c r="BQ66" i="7"/>
  <c r="BQ60" i="7"/>
  <c r="BV98" i="5"/>
  <c r="BV94" i="5"/>
  <c r="BV87" i="5"/>
  <c r="BV60" i="7"/>
  <c r="BV66" i="7"/>
  <c r="CA98" i="5"/>
  <c r="CA94" i="5"/>
  <c r="CA87" i="5"/>
  <c r="CA66" i="7"/>
  <c r="CA60" i="7"/>
  <c r="CI6" i="4"/>
  <c r="CE94" i="5"/>
  <c r="CE98" i="5"/>
  <c r="CE87" i="5"/>
  <c r="CE60" i="7"/>
  <c r="CE61" i="7" s="1"/>
  <c r="CE66" i="7"/>
  <c r="CN6" i="4"/>
  <c r="CJ94" i="5"/>
  <c r="CN94" i="5" s="1"/>
  <c r="CJ98" i="5"/>
  <c r="CJ87" i="5"/>
  <c r="CJ60" i="7"/>
  <c r="CJ66" i="7"/>
  <c r="CS6" i="4"/>
  <c r="CO94" i="5"/>
  <c r="CO98" i="5"/>
  <c r="CO87" i="5"/>
  <c r="CO60" i="7"/>
  <c r="CO61" i="7" s="1"/>
  <c r="CO66" i="7"/>
  <c r="CX6" i="4"/>
  <c r="CT94" i="5"/>
  <c r="CT98" i="5"/>
  <c r="CT87" i="5"/>
  <c r="CT60" i="7"/>
  <c r="CT66" i="7"/>
  <c r="DC6" i="4"/>
  <c r="CY94" i="5"/>
  <c r="CV93" i="5"/>
  <c r="CY98" i="5"/>
  <c r="CV97" i="5"/>
  <c r="CV86" i="5"/>
  <c r="CY87" i="5"/>
  <c r="CY66" i="7"/>
  <c r="CY60" i="7"/>
  <c r="CY61" i="7" s="1"/>
  <c r="DH6" i="4"/>
  <c r="DD94" i="5"/>
  <c r="DD98" i="5"/>
  <c r="DA93" i="5"/>
  <c r="DA86" i="5"/>
  <c r="DA97" i="5"/>
  <c r="DD87" i="5"/>
  <c r="DD60" i="7"/>
  <c r="DD66" i="7"/>
  <c r="DM6" i="4"/>
  <c r="DM87" i="5" s="1"/>
  <c r="DF97" i="5"/>
  <c r="DI94" i="5"/>
  <c r="DI98" i="5"/>
  <c r="DF93" i="5"/>
  <c r="DF86" i="5"/>
  <c r="DI87" i="5"/>
  <c r="DI60" i="7"/>
  <c r="DI66" i="7"/>
  <c r="DR6" i="4"/>
  <c r="DR60" i="7" s="1"/>
  <c r="DN94" i="5"/>
  <c r="DN98" i="5"/>
  <c r="DK97" i="5"/>
  <c r="DK86" i="5"/>
  <c r="DK93" i="5"/>
  <c r="DN87" i="5"/>
  <c r="DN60" i="7"/>
  <c r="DN66" i="7"/>
  <c r="DW6" i="4"/>
  <c r="DS94" i="5"/>
  <c r="DP93" i="5"/>
  <c r="DS98" i="5"/>
  <c r="DQ97" i="5"/>
  <c r="DP86" i="5"/>
  <c r="DS87" i="5"/>
  <c r="DS60" i="7"/>
  <c r="EB6" i="4"/>
  <c r="DT97" i="5"/>
  <c r="DT93" i="5"/>
  <c r="DT86" i="5"/>
  <c r="EG6" i="4"/>
  <c r="EL6" i="4"/>
  <c r="G11" i="4"/>
  <c r="L11" i="4"/>
  <c r="Q11" i="4"/>
  <c r="AA11" i="4"/>
  <c r="AF11" i="4"/>
  <c r="Y148" i="7"/>
  <c r="Y78" i="7"/>
  <c r="AE148" i="7"/>
  <c r="AE78" i="7"/>
  <c r="AQ11" i="4"/>
  <c r="AQ12" i="4" s="1"/>
  <c r="AQ97" i="4" s="1"/>
  <c r="AM148" i="7"/>
  <c r="AM78" i="7"/>
  <c r="G54" i="8"/>
  <c r="H18" i="4"/>
  <c r="H54" i="8" s="1"/>
  <c r="AF33" i="8"/>
  <c r="AF31" i="8"/>
  <c r="AF28" i="8"/>
  <c r="AF29" i="8"/>
  <c r="AK27" i="8"/>
  <c r="AL16" i="4"/>
  <c r="AL27" i="8" s="1"/>
  <c r="E148" i="7"/>
  <c r="E78" i="7"/>
  <c r="K148" i="7"/>
  <c r="K78" i="7"/>
  <c r="W11" i="4"/>
  <c r="S148" i="7"/>
  <c r="S78" i="7"/>
  <c r="X148" i="7"/>
  <c r="X78" i="7"/>
  <c r="AD148" i="7"/>
  <c r="AD78" i="7"/>
  <c r="AJ148" i="7"/>
  <c r="AJ78" i="7"/>
  <c r="AZ11" i="4"/>
  <c r="AZ12" i="4" s="1"/>
  <c r="AZ96" i="4" s="1"/>
  <c r="AV148" i="7"/>
  <c r="AV78" i="7"/>
  <c r="BE11" i="4"/>
  <c r="BE148" i="7" s="1"/>
  <c r="BA148" i="7"/>
  <c r="BA78" i="7"/>
  <c r="BF148" i="7"/>
  <c r="BF78" i="7"/>
  <c r="BO11" i="4"/>
  <c r="BK148" i="7"/>
  <c r="BK78" i="7"/>
  <c r="BT11" i="4"/>
  <c r="BT148" i="7" s="1"/>
  <c r="BP148" i="7"/>
  <c r="BP78" i="7"/>
  <c r="BY11" i="4"/>
  <c r="BY148" i="7" s="1"/>
  <c r="BU148" i="7"/>
  <c r="BU78" i="7"/>
  <c r="BZ148" i="7"/>
  <c r="BZ78" i="7"/>
  <c r="CI11" i="4"/>
  <c r="CI12" i="4" s="1"/>
  <c r="CE148" i="7"/>
  <c r="CE78" i="7"/>
  <c r="CN11" i="4"/>
  <c r="CJ148" i="7"/>
  <c r="CJ78" i="7"/>
  <c r="CS11" i="4"/>
  <c r="CO148" i="7"/>
  <c r="CO78" i="7"/>
  <c r="CT148" i="7"/>
  <c r="CT78" i="7"/>
  <c r="G95" i="4"/>
  <c r="G72" i="8"/>
  <c r="G24" i="8"/>
  <c r="G14" i="7"/>
  <c r="Q72" i="8"/>
  <c r="Q24" i="8"/>
  <c r="Q14" i="7"/>
  <c r="AA14" i="4"/>
  <c r="AA72" i="8"/>
  <c r="AA24" i="8"/>
  <c r="AA14" i="7"/>
  <c r="AK72" i="8"/>
  <c r="AK24" i="8"/>
  <c r="AK14" i="7"/>
  <c r="BE72" i="8"/>
  <c r="BE74" i="8" s="1"/>
  <c r="BE24" i="8"/>
  <c r="BE14" i="7"/>
  <c r="BY72" i="8"/>
  <c r="BY24" i="8"/>
  <c r="BY14" i="7"/>
  <c r="CN14" i="4"/>
  <c r="CN72" i="8"/>
  <c r="CN24" i="8"/>
  <c r="CN14" i="7"/>
  <c r="CX72" i="8"/>
  <c r="CX24" i="8"/>
  <c r="CX14" i="7"/>
  <c r="I25" i="8"/>
  <c r="I15" i="7"/>
  <c r="I16" i="7" s="1"/>
  <c r="O103" i="4"/>
  <c r="O25" i="8"/>
  <c r="O66" i="8" s="1"/>
  <c r="O15" i="7"/>
  <c r="U25" i="8"/>
  <c r="U15" i="7"/>
  <c r="U16" i="7" s="1"/>
  <c r="AC25" i="8"/>
  <c r="AC66" i="8" s="1"/>
  <c r="AC15" i="7"/>
  <c r="AI103" i="4"/>
  <c r="AI25" i="8"/>
  <c r="AI15" i="7"/>
  <c r="AI16" i="7" s="1"/>
  <c r="AO25" i="8"/>
  <c r="AO15" i="7"/>
  <c r="AO16" i="7" s="1"/>
  <c r="AV25" i="8"/>
  <c r="AV15" i="7"/>
  <c r="BA25" i="8"/>
  <c r="BA15" i="7"/>
  <c r="BF25" i="8"/>
  <c r="BF15" i="7"/>
  <c r="BK103" i="4"/>
  <c r="BK25" i="8"/>
  <c r="BK15" i="7"/>
  <c r="BP103" i="4"/>
  <c r="BP25" i="8"/>
  <c r="BP15" i="7"/>
  <c r="BU25" i="8"/>
  <c r="BU15" i="7"/>
  <c r="BZ25" i="8"/>
  <c r="BZ15" i="7"/>
  <c r="CE103" i="4"/>
  <c r="CE25" i="8"/>
  <c r="CE15" i="7"/>
  <c r="CJ103" i="4"/>
  <c r="CJ25" i="8"/>
  <c r="CJ15" i="7"/>
  <c r="CO25" i="8"/>
  <c r="CO15" i="7"/>
  <c r="CT25" i="8"/>
  <c r="CT15" i="7"/>
  <c r="CY25" i="8"/>
  <c r="CY15" i="7"/>
  <c r="DD16" i="7" s="1"/>
  <c r="DI25" i="8"/>
  <c r="DI15" i="7"/>
  <c r="DI16" i="7" s="1"/>
  <c r="DN25" i="8"/>
  <c r="DN15" i="7"/>
  <c r="DS25" i="8"/>
  <c r="DS15" i="7"/>
  <c r="DS16" i="7" s="1"/>
  <c r="G36" i="8"/>
  <c r="G94" i="5"/>
  <c r="G98" i="5"/>
  <c r="L36" i="8"/>
  <c r="L94" i="5"/>
  <c r="L98" i="5"/>
  <c r="L97" i="5"/>
  <c r="R16" i="4"/>
  <c r="R27" i="8" s="1"/>
  <c r="V28" i="8"/>
  <c r="V31" i="8"/>
  <c r="V29" i="8"/>
  <c r="V33" i="8"/>
  <c r="V63" i="8"/>
  <c r="AA33" i="8"/>
  <c r="AA31" i="8"/>
  <c r="AA28" i="8"/>
  <c r="AB18" i="4"/>
  <c r="AB54" i="8" s="1"/>
  <c r="AF58" i="8"/>
  <c r="AF56" i="8"/>
  <c r="AF60" i="8"/>
  <c r="AF55" i="8"/>
  <c r="AK58" i="8"/>
  <c r="AK59" i="8" s="1"/>
  <c r="AK55" i="8"/>
  <c r="AK60" i="8"/>
  <c r="BE55" i="8"/>
  <c r="AZ60" i="8"/>
  <c r="BJ28" i="8"/>
  <c r="BJ63" i="8"/>
  <c r="BO64" i="8" s="1"/>
  <c r="BO40" i="8"/>
  <c r="BO37" i="8"/>
  <c r="BT55" i="8"/>
  <c r="CD28" i="8"/>
  <c r="CD63" i="8"/>
  <c r="CI37" i="8"/>
  <c r="CI40" i="8"/>
  <c r="CN60" i="8"/>
  <c r="CN55" i="8"/>
  <c r="CN62" i="8"/>
  <c r="CX28" i="8"/>
  <c r="CX63" i="8"/>
  <c r="DC38" i="8"/>
  <c r="DC37" i="8"/>
  <c r="CI129" i="5"/>
  <c r="CI131" i="5" s="1"/>
  <c r="CI119" i="5"/>
  <c r="CT27" i="4"/>
  <c r="CT159" i="5"/>
  <c r="CY27" i="4"/>
  <c r="CY80" i="4" s="1"/>
  <c r="CY159" i="5"/>
  <c r="DF25" i="4"/>
  <c r="H28" i="4"/>
  <c r="H65" i="5" s="1"/>
  <c r="G65" i="5"/>
  <c r="R28" i="4"/>
  <c r="R65" i="5" s="1"/>
  <c r="Q65" i="5"/>
  <c r="W28" i="4"/>
  <c r="W65" i="5" s="1"/>
  <c r="DR119" i="5"/>
  <c r="AB28" i="4"/>
  <c r="AB65" i="5" s="1"/>
  <c r="AA65" i="5"/>
  <c r="DM65" i="5"/>
  <c r="DW43" i="4"/>
  <c r="CI43" i="4"/>
  <c r="DM43" i="4"/>
  <c r="DC43" i="4"/>
  <c r="BY51" i="4"/>
  <c r="BT52" i="4"/>
  <c r="BY52" i="4"/>
  <c r="CD52" i="4"/>
  <c r="CI52" i="4"/>
  <c r="CN52" i="4"/>
  <c r="CS51" i="4"/>
  <c r="CS52" i="4"/>
  <c r="DH52" i="4"/>
  <c r="DM52" i="4"/>
  <c r="CY66" i="4"/>
  <c r="DX71" i="4"/>
  <c r="DX68" i="4" s="1"/>
  <c r="DX69" i="4" s="1"/>
  <c r="R81" i="4"/>
  <c r="W81" i="4"/>
  <c r="AB81" i="4"/>
  <c r="AG81" i="4"/>
  <c r="AL81" i="4"/>
  <c r="EB81" i="4"/>
  <c r="EG81" i="4"/>
  <c r="EL81" i="4"/>
  <c r="DC121" i="4"/>
  <c r="DW116" i="4"/>
  <c r="CJ159" i="5"/>
  <c r="E131" i="5"/>
  <c r="CH131" i="5"/>
  <c r="BN131" i="5"/>
  <c r="CF131" i="5"/>
  <c r="CK131" i="5"/>
  <c r="CO131" i="5"/>
  <c r="DW79" i="5"/>
  <c r="DA131" i="5"/>
  <c r="DH97" i="5"/>
  <c r="AG93" i="5"/>
  <c r="DC93" i="5"/>
  <c r="CS94" i="5"/>
  <c r="BY93" i="5"/>
  <c r="DW91" i="5"/>
  <c r="AF75" i="5"/>
  <c r="DR97" i="5"/>
  <c r="DC98" i="5"/>
  <c r="CS98" i="5"/>
  <c r="CD97" i="5"/>
  <c r="DR91" i="5"/>
  <c r="DM93" i="5"/>
  <c r="DH93" i="5"/>
  <c r="CS93" i="5"/>
  <c r="BO97" i="5"/>
  <c r="BE98" i="5"/>
  <c r="BE94" i="5"/>
  <c r="AG94" i="5"/>
  <c r="DC33" i="8"/>
  <c r="BY60" i="8"/>
  <c r="AP55" i="8"/>
  <c r="AP58" i="8"/>
  <c r="AP56" i="8"/>
  <c r="AP60" i="8"/>
  <c r="AP61" i="8" s="1"/>
  <c r="BE28" i="8"/>
  <c r="BE63" i="8"/>
  <c r="BE31" i="8"/>
  <c r="BJ37" i="8"/>
  <c r="BO55" i="8"/>
  <c r="BY28" i="8"/>
  <c r="BY63" i="8"/>
  <c r="BY31" i="8"/>
  <c r="CI55" i="8"/>
  <c r="CI58" i="8"/>
  <c r="CS63" i="8"/>
  <c r="CS29" i="8"/>
  <c r="CS28" i="8"/>
  <c r="CX37" i="8"/>
  <c r="DC55" i="8"/>
  <c r="DC56" i="8"/>
  <c r="L119" i="5"/>
  <c r="L120" i="5" s="1"/>
  <c r="M120" i="5" s="1"/>
  <c r="L129" i="5"/>
  <c r="AX89" i="4"/>
  <c r="DR65" i="5"/>
  <c r="AG28" i="4"/>
  <c r="AG65" i="5" s="1"/>
  <c r="AF65" i="5"/>
  <c r="CN99" i="4"/>
  <c r="CN119" i="5"/>
  <c r="BV58" i="4"/>
  <c r="EB54" i="4"/>
  <c r="AG52" i="4"/>
  <c r="CK57" i="4"/>
  <c r="CK58" i="4" s="1"/>
  <c r="AK207" i="5"/>
  <c r="Q207" i="5"/>
  <c r="CZ131" i="5"/>
  <c r="N131" i="5"/>
  <c r="P131" i="5"/>
  <c r="CV131" i="5"/>
  <c r="BL131" i="5"/>
  <c r="DC79" i="5"/>
  <c r="CJ131" i="5"/>
  <c r="CD93" i="5"/>
  <c r="DR75" i="5"/>
  <c r="CX98" i="5"/>
  <c r="CI97" i="5"/>
  <c r="BY97" i="5"/>
  <c r="DC94" i="5"/>
  <c r="BE97" i="5"/>
  <c r="BJ94" i="5"/>
  <c r="BE93" i="5"/>
  <c r="DW42" i="8"/>
  <c r="BJ60" i="8"/>
  <c r="CX60" i="8"/>
  <c r="I148" i="7"/>
  <c r="I78" i="7"/>
  <c r="O148" i="7"/>
  <c r="O78" i="7"/>
  <c r="U148" i="7"/>
  <c r="U78" i="7"/>
  <c r="Z148" i="7"/>
  <c r="Z78" i="7"/>
  <c r="AH148" i="7"/>
  <c r="AH78" i="7"/>
  <c r="AN148" i="7"/>
  <c r="AN78" i="7"/>
  <c r="AS148" i="7"/>
  <c r="AS78" i="7"/>
  <c r="AX148" i="7"/>
  <c r="AX78" i="7"/>
  <c r="BC148" i="7"/>
  <c r="BC78" i="7"/>
  <c r="BH148" i="7"/>
  <c r="BH78" i="7"/>
  <c r="BM148" i="7"/>
  <c r="BM78" i="7"/>
  <c r="BR148" i="7"/>
  <c r="BR78" i="7"/>
  <c r="BW148" i="7"/>
  <c r="BW78" i="7"/>
  <c r="CB148" i="7"/>
  <c r="CB78" i="7"/>
  <c r="CG148" i="7"/>
  <c r="CG78" i="7"/>
  <c r="CL148" i="7"/>
  <c r="CL78" i="7"/>
  <c r="CQ148" i="7"/>
  <c r="CQ78" i="7"/>
  <c r="CV148" i="7"/>
  <c r="CV78" i="7"/>
  <c r="L72" i="8"/>
  <c r="L24" i="8"/>
  <c r="L14" i="7"/>
  <c r="W13" i="4"/>
  <c r="V72" i="8"/>
  <c r="V24" i="8"/>
  <c r="V14" i="7"/>
  <c r="AF72" i="8"/>
  <c r="AF24" i="8"/>
  <c r="AF14" i="7"/>
  <c r="AP72" i="8"/>
  <c r="AP24" i="8"/>
  <c r="AP14" i="7"/>
  <c r="BO72" i="8"/>
  <c r="BO24" i="8"/>
  <c r="BO14" i="7"/>
  <c r="CI72" i="8"/>
  <c r="CI24" i="8"/>
  <c r="CI14" i="7"/>
  <c r="CS72" i="8"/>
  <c r="CS73" i="8" s="1"/>
  <c r="CS24" i="8"/>
  <c r="CS14" i="7"/>
  <c r="DC72" i="8"/>
  <c r="DC24" i="8"/>
  <c r="DC14" i="7"/>
  <c r="E25" i="8"/>
  <c r="E15" i="7"/>
  <c r="K103" i="4"/>
  <c r="K25" i="8"/>
  <c r="K15" i="7"/>
  <c r="S103" i="4"/>
  <c r="S25" i="8"/>
  <c r="S66" i="8" s="1"/>
  <c r="S15" i="7"/>
  <c r="Y25" i="8"/>
  <c r="Y15" i="7"/>
  <c r="AE103" i="4"/>
  <c r="AE25" i="8"/>
  <c r="AE15" i="7"/>
  <c r="AM103" i="4"/>
  <c r="AM25" i="8"/>
  <c r="AM15" i="7"/>
  <c r="AS25" i="8"/>
  <c r="AS15" i="7"/>
  <c r="AX25" i="8"/>
  <c r="AX66" i="8" s="1"/>
  <c r="AX15" i="7"/>
  <c r="BC103" i="4"/>
  <c r="BC25" i="8"/>
  <c r="BC15" i="7"/>
  <c r="BH103" i="4"/>
  <c r="BH25" i="8"/>
  <c r="BH15" i="7"/>
  <c r="BM25" i="8"/>
  <c r="BM15" i="7"/>
  <c r="BR25" i="8"/>
  <c r="BR15" i="7"/>
  <c r="BW103" i="4"/>
  <c r="BW25" i="8"/>
  <c r="BW15" i="7"/>
  <c r="CB103" i="4"/>
  <c r="CB25" i="8"/>
  <c r="CB15" i="7"/>
  <c r="CG25" i="8"/>
  <c r="CG15" i="7"/>
  <c r="CG16" i="7" s="1"/>
  <c r="CL25" i="8"/>
  <c r="CL66" i="8" s="1"/>
  <c r="CL15" i="7"/>
  <c r="CQ103" i="4"/>
  <c r="CQ25" i="8"/>
  <c r="CQ15" i="7"/>
  <c r="CV103" i="4"/>
  <c r="CV25" i="8"/>
  <c r="CV15" i="7"/>
  <c r="DA30" i="8"/>
  <c r="DA39" i="8"/>
  <c r="DA57" i="8"/>
  <c r="DA75" i="8"/>
  <c r="DK25" i="8"/>
  <c r="DK15" i="7"/>
  <c r="DK16" i="7" s="1"/>
  <c r="DP25" i="8"/>
  <c r="DP15" i="7"/>
  <c r="DP16" i="7" s="1"/>
  <c r="DU25" i="8"/>
  <c r="DU15" i="7"/>
  <c r="DR72" i="8"/>
  <c r="DR24" i="8"/>
  <c r="DR14" i="7"/>
  <c r="L56" i="8"/>
  <c r="L60" i="8"/>
  <c r="L58" i="8"/>
  <c r="L55" i="8"/>
  <c r="Q60" i="8"/>
  <c r="Q55" i="8"/>
  <c r="Q58" i="8"/>
  <c r="Q59" i="8" s="1"/>
  <c r="AA36" i="8"/>
  <c r="AA94" i="5"/>
  <c r="AA93" i="5"/>
  <c r="AA98" i="5"/>
  <c r="AF36" i="8"/>
  <c r="AF94" i="5"/>
  <c r="AF93" i="5"/>
  <c r="AF98" i="5"/>
  <c r="AF97" i="5"/>
  <c r="AP31" i="8"/>
  <c r="AP29" i="8"/>
  <c r="AP28" i="8"/>
  <c r="AP33" i="8"/>
  <c r="AZ33" i="8"/>
  <c r="AZ63" i="8"/>
  <c r="BE40" i="8"/>
  <c r="BJ55" i="8"/>
  <c r="BT63" i="8"/>
  <c r="BT28" i="8"/>
  <c r="CD37" i="8"/>
  <c r="BY37" i="8"/>
  <c r="BY40" i="8"/>
  <c r="CD55" i="8"/>
  <c r="CN28" i="8"/>
  <c r="CN63" i="8"/>
  <c r="CN33" i="8"/>
  <c r="CS38" i="8"/>
  <c r="CS37" i="8"/>
  <c r="CX55" i="8"/>
  <c r="DR36" i="8"/>
  <c r="BO129" i="5"/>
  <c r="BO119" i="5"/>
  <c r="DP25" i="4"/>
  <c r="DP67" i="4" s="1"/>
  <c r="AQ28" i="4"/>
  <c r="AQ65" i="5" s="1"/>
  <c r="AP65" i="5"/>
  <c r="AL28" i="4"/>
  <c r="AL65" i="5" s="1"/>
  <c r="AK65" i="5"/>
  <c r="DM23" i="8"/>
  <c r="DM12" i="7"/>
  <c r="DM89" i="5"/>
  <c r="DM91" i="5" s="1"/>
  <c r="DM73" i="5"/>
  <c r="DM75" i="5" s="1"/>
  <c r="DM27" i="8"/>
  <c r="DW119" i="5"/>
  <c r="BY43" i="4"/>
  <c r="DH43" i="4"/>
  <c r="DR43" i="4"/>
  <c r="AL43" i="4"/>
  <c r="AZ43" i="4"/>
  <c r="BJ43" i="4"/>
  <c r="BR58" i="4"/>
  <c r="CG58" i="4"/>
  <c r="DH51" i="4"/>
  <c r="CC57" i="4"/>
  <c r="AZ55" i="4"/>
  <c r="BQ57" i="4"/>
  <c r="BQ58" i="4" s="1"/>
  <c r="T58" i="4"/>
  <c r="DA66" i="4"/>
  <c r="R83" i="4"/>
  <c r="W83" i="4"/>
  <c r="AL83" i="4"/>
  <c r="AQ83" i="4"/>
  <c r="AZ83" i="4"/>
  <c r="BE83" i="4"/>
  <c r="DQ131" i="5"/>
  <c r="BU159" i="5"/>
  <c r="CL131" i="5"/>
  <c r="CE131" i="5"/>
  <c r="DH118" i="5"/>
  <c r="DH121" i="5" s="1"/>
  <c r="CW131" i="5"/>
  <c r="BI131" i="5"/>
  <c r="O131" i="5"/>
  <c r="CI79" i="5"/>
  <c r="CR131" i="5"/>
  <c r="AM131" i="5"/>
  <c r="S131" i="5"/>
  <c r="AP75" i="5"/>
  <c r="CX94" i="5"/>
  <c r="CX93" i="5"/>
  <c r="CN93" i="5"/>
  <c r="DM97" i="5"/>
  <c r="CI93" i="5"/>
  <c r="CX97" i="5"/>
  <c r="CS97" i="5"/>
  <c r="BJ97" i="5"/>
  <c r="DM86" i="5"/>
  <c r="BT93" i="5"/>
  <c r="BJ93" i="5"/>
  <c r="AZ94" i="5"/>
  <c r="CS60" i="8"/>
  <c r="CS61" i="8" s="1"/>
  <c r="D148" i="7"/>
  <c r="D78" i="7"/>
  <c r="J148" i="7"/>
  <c r="J78" i="7"/>
  <c r="P148" i="7"/>
  <c r="P78" i="7"/>
  <c r="AC148" i="7"/>
  <c r="AC78" i="7"/>
  <c r="AI148" i="7"/>
  <c r="AI78" i="7"/>
  <c r="AO148" i="7"/>
  <c r="AO78" i="7"/>
  <c r="AT148" i="7"/>
  <c r="AT78" i="7"/>
  <c r="AY148" i="7"/>
  <c r="AY78" i="7"/>
  <c r="BD148" i="7"/>
  <c r="BD78" i="7"/>
  <c r="BJ11" i="4"/>
  <c r="BJ148" i="7" s="1"/>
  <c r="BI148" i="7"/>
  <c r="BI78" i="7"/>
  <c r="BN148" i="7"/>
  <c r="BN78" i="7"/>
  <c r="BS148" i="7"/>
  <c r="BS78" i="7"/>
  <c r="BX148" i="7"/>
  <c r="BX78" i="7"/>
  <c r="CD11" i="4"/>
  <c r="CD148" i="7" s="1"/>
  <c r="CC148" i="7"/>
  <c r="CC78" i="7"/>
  <c r="CH148" i="7"/>
  <c r="CH78" i="7"/>
  <c r="CM148" i="7"/>
  <c r="CM78" i="7"/>
  <c r="CR148" i="7"/>
  <c r="CR78" i="7"/>
  <c r="G23" i="8"/>
  <c r="G38" i="8" s="1"/>
  <c r="G12" i="7"/>
  <c r="G87" i="5"/>
  <c r="Q23" i="8"/>
  <c r="Q56" i="8" s="1"/>
  <c r="Q12" i="7"/>
  <c r="Q87" i="5"/>
  <c r="Q86" i="5"/>
  <c r="Q73" i="5"/>
  <c r="Q75" i="5" s="1"/>
  <c r="Q89" i="5"/>
  <c r="Q91" i="5" s="1"/>
  <c r="Q79" i="5"/>
  <c r="AA25" i="4"/>
  <c r="AA23" i="8"/>
  <c r="AA29" i="8" s="1"/>
  <c r="AA12" i="7"/>
  <c r="AA87" i="5"/>
  <c r="AA89" i="5"/>
  <c r="AA91" i="5" s="1"/>
  <c r="AA86" i="5"/>
  <c r="AA73" i="5"/>
  <c r="AA75" i="5" s="1"/>
  <c r="AZ207" i="5"/>
  <c r="AK25" i="4"/>
  <c r="AK23" i="8"/>
  <c r="AK56" i="8" s="1"/>
  <c r="AK12" i="7"/>
  <c r="AK13" i="7" s="1"/>
  <c r="AK87" i="5"/>
  <c r="AK86" i="5"/>
  <c r="AK89" i="5"/>
  <c r="AK91" i="5" s="1"/>
  <c r="AK73" i="5"/>
  <c r="AZ72" i="8"/>
  <c r="AZ24" i="8"/>
  <c r="AZ14" i="7"/>
  <c r="BT72" i="8"/>
  <c r="BT24" i="8"/>
  <c r="BT14" i="7"/>
  <c r="CN23" i="8"/>
  <c r="CN56" i="8" s="1"/>
  <c r="CN12" i="7"/>
  <c r="CN73" i="5"/>
  <c r="CN75" i="5" s="1"/>
  <c r="CN89" i="5"/>
  <c r="CN91" i="5" s="1"/>
  <c r="CX102" i="4"/>
  <c r="CX23" i="8"/>
  <c r="CX29" i="8" s="1"/>
  <c r="CX12" i="7"/>
  <c r="CX13" i="7" s="1"/>
  <c r="CX89" i="5"/>
  <c r="CX91" i="5" s="1"/>
  <c r="CX73" i="5"/>
  <c r="CX75" i="5" s="1"/>
  <c r="DH12" i="7"/>
  <c r="DH89" i="5"/>
  <c r="DH91" i="5" s="1"/>
  <c r="DH73" i="5"/>
  <c r="F25" i="8"/>
  <c r="F66" i="8" s="1"/>
  <c r="F15" i="7"/>
  <c r="N103" i="4"/>
  <c r="N25" i="8"/>
  <c r="N15" i="7"/>
  <c r="N16" i="7" s="1"/>
  <c r="T25" i="8"/>
  <c r="T15" i="7"/>
  <c r="T16" i="7" s="1"/>
  <c r="Z103" i="4"/>
  <c r="Z25" i="8"/>
  <c r="Z15" i="7"/>
  <c r="Z16" i="7" s="1"/>
  <c r="AH103" i="4"/>
  <c r="AH25" i="8"/>
  <c r="AH15" i="7"/>
  <c r="AH16" i="7" s="1"/>
  <c r="AN25" i="8"/>
  <c r="AN15" i="7"/>
  <c r="AT103" i="4"/>
  <c r="AT25" i="8"/>
  <c r="AT66" i="8" s="1"/>
  <c r="AT15" i="7"/>
  <c r="AT16" i="7" s="1"/>
  <c r="AY25" i="8"/>
  <c r="AY15" i="7"/>
  <c r="BD103" i="4"/>
  <c r="BD25" i="8"/>
  <c r="BD15" i="7"/>
  <c r="BI25" i="8"/>
  <c r="BI15" i="7"/>
  <c r="BN25" i="8"/>
  <c r="BN15" i="7"/>
  <c r="BS103" i="4"/>
  <c r="BS25" i="8"/>
  <c r="BS15" i="7"/>
  <c r="BX103" i="4"/>
  <c r="BX25" i="8"/>
  <c r="BX15" i="7"/>
  <c r="BX16" i="7" s="1"/>
  <c r="CC25" i="8"/>
  <c r="CC15" i="7"/>
  <c r="CH25" i="8"/>
  <c r="CH15" i="7"/>
  <c r="CM103" i="4"/>
  <c r="CM25" i="8"/>
  <c r="CM15" i="7"/>
  <c r="CR103" i="4"/>
  <c r="CR25" i="8"/>
  <c r="CR15" i="7"/>
  <c r="CW75" i="8"/>
  <c r="CW30" i="8"/>
  <c r="CW39" i="8"/>
  <c r="CW57" i="8"/>
  <c r="DB30" i="8"/>
  <c r="DB57" i="8"/>
  <c r="DB39" i="8"/>
  <c r="DB75" i="8"/>
  <c r="DL25" i="8"/>
  <c r="DL15" i="7"/>
  <c r="DL16" i="7" s="1"/>
  <c r="DQ25" i="8"/>
  <c r="DQ15" i="7"/>
  <c r="DV25" i="8"/>
  <c r="DV15" i="7"/>
  <c r="DV16" i="7" s="1"/>
  <c r="L29" i="8"/>
  <c r="L63" i="8"/>
  <c r="L69" i="8" s="1"/>
  <c r="L33" i="8"/>
  <c r="L31" i="8"/>
  <c r="Q63" i="8"/>
  <c r="V64" i="8" s="1"/>
  <c r="Q31" i="8"/>
  <c r="Q28" i="8"/>
  <c r="Q33" i="8"/>
  <c r="Q34" i="8" s="1"/>
  <c r="R58" i="8"/>
  <c r="V55" i="8"/>
  <c r="V56" i="8"/>
  <c r="V60" i="8"/>
  <c r="V61" i="8" s="1"/>
  <c r="V58" i="8"/>
  <c r="AA55" i="8"/>
  <c r="AA58" i="8"/>
  <c r="AG40" i="8"/>
  <c r="AK36" i="8"/>
  <c r="AK94" i="5"/>
  <c r="AK98" i="5"/>
  <c r="AK93" i="5"/>
  <c r="AK97" i="5"/>
  <c r="AP36" i="8"/>
  <c r="AP97" i="5"/>
  <c r="AP94" i="5"/>
  <c r="AP98" i="5"/>
  <c r="AP93" i="5"/>
  <c r="BE37" i="8"/>
  <c r="AZ42" i="8"/>
  <c r="BE58" i="8"/>
  <c r="BO31" i="8"/>
  <c r="BO28" i="8"/>
  <c r="BT37" i="8"/>
  <c r="BY55" i="8"/>
  <c r="BY58" i="8"/>
  <c r="CI63" i="8"/>
  <c r="CN64" i="8" s="1"/>
  <c r="CI31" i="8"/>
  <c r="CI28" i="8"/>
  <c r="CN42" i="8"/>
  <c r="CN37" i="8"/>
  <c r="CS55" i="8"/>
  <c r="DC63" i="8"/>
  <c r="DC29" i="8"/>
  <c r="DC28" i="8"/>
  <c r="G129" i="5"/>
  <c r="G119" i="5"/>
  <c r="G120" i="5" s="1"/>
  <c r="H120" i="5" s="1"/>
  <c r="DU25" i="4"/>
  <c r="DU27" i="4" s="1"/>
  <c r="DM72" i="8"/>
  <c r="DM24" i="8"/>
  <c r="DM14" i="7"/>
  <c r="DM36" i="8"/>
  <c r="DM119" i="5"/>
  <c r="EB43" i="4"/>
  <c r="CN43" i="4"/>
  <c r="AB43" i="4"/>
  <c r="DS58" i="4"/>
  <c r="DW52" i="4"/>
  <c r="DX58" i="4"/>
  <c r="EL51" i="4"/>
  <c r="EL58" i="4" s="1"/>
  <c r="H52" i="4"/>
  <c r="H58" i="4" s="1"/>
  <c r="V52" i="4"/>
  <c r="V58" i="4" s="1"/>
  <c r="BT55" i="4"/>
  <c r="BY55" i="4"/>
  <c r="CN55" i="4"/>
  <c r="BU57" i="4"/>
  <c r="BU58" i="4" s="1"/>
  <c r="CW66" i="4"/>
  <c r="DW70" i="4"/>
  <c r="BY82" i="4"/>
  <c r="CD82" i="4"/>
  <c r="CI82" i="4"/>
  <c r="DC82" i="4"/>
  <c r="DH82" i="4"/>
  <c r="CI207" i="5"/>
  <c r="AA207" i="5"/>
  <c r="CO159" i="5"/>
  <c r="CG131" i="5"/>
  <c r="AC131" i="5"/>
  <c r="BK131" i="5"/>
  <c r="AH131" i="5"/>
  <c r="BM131" i="5"/>
  <c r="AJ131" i="5"/>
  <c r="T131" i="5"/>
  <c r="DP131" i="5"/>
  <c r="CM131" i="5"/>
  <c r="AK75" i="5"/>
  <c r="V75" i="5"/>
  <c r="CS91" i="5"/>
  <c r="DC97" i="5"/>
  <c r="CN97" i="5"/>
  <c r="BT97" i="5"/>
  <c r="DR94" i="5"/>
  <c r="BJ98" i="5"/>
  <c r="AZ98" i="5"/>
  <c r="DH87" i="5"/>
  <c r="CX87" i="5"/>
  <c r="CN87" i="5"/>
  <c r="BO93" i="5"/>
  <c r="CD78" i="8"/>
  <c r="BA61" i="7"/>
  <c r="BY74" i="8"/>
  <c r="L66" i="7"/>
  <c r="I77" i="8"/>
  <c r="CO79" i="8"/>
  <c r="CR61" i="8"/>
  <c r="BH61" i="8"/>
  <c r="DT34" i="8"/>
  <c r="DN43" i="8"/>
  <c r="BH43" i="8"/>
  <c r="J43" i="8"/>
  <c r="AD43" i="8"/>
  <c r="CI74" i="8"/>
  <c r="AM59" i="8"/>
  <c r="CD74" i="8"/>
  <c r="BT74" i="8"/>
  <c r="BJ74" i="8"/>
  <c r="DQ79" i="8"/>
  <c r="CG79" i="8"/>
  <c r="Z77" i="8"/>
  <c r="BV59" i="8"/>
  <c r="BU59" i="8"/>
  <c r="CB61" i="8"/>
  <c r="BP61" i="8"/>
  <c r="AD59" i="8"/>
  <c r="DO43" i="8"/>
  <c r="K43" i="8"/>
  <c r="DV41" i="8"/>
  <c r="BS41" i="8"/>
  <c r="CR43" i="8"/>
  <c r="Z43" i="8"/>
  <c r="CN74" i="8"/>
  <c r="DM31" i="8"/>
  <c r="DM32" i="8" s="1"/>
  <c r="AZ74" i="8"/>
  <c r="BO74" i="8"/>
  <c r="BI41" i="8"/>
  <c r="BD43" i="8"/>
  <c r="CX79" i="5"/>
  <c r="AA76" i="8"/>
  <c r="BO58" i="8"/>
  <c r="DR79" i="5"/>
  <c r="CS79" i="5"/>
  <c r="DM79" i="5"/>
  <c r="CN79" i="5"/>
  <c r="AF40" i="8"/>
  <c r="AA60" i="8"/>
  <c r="DH79" i="5"/>
  <c r="AD190" i="5"/>
  <c r="AD194" i="5"/>
  <c r="AD199" i="5" s="1"/>
  <c r="AD159" i="5"/>
  <c r="BI79" i="5"/>
  <c r="BI81" i="5"/>
  <c r="BI82" i="5" s="1"/>
  <c r="BB194" i="5"/>
  <c r="BB199" i="5" s="1"/>
  <c r="BB190" i="5"/>
  <c r="BB191" i="5" s="1"/>
  <c r="BE180" i="5"/>
  <c r="EG181" i="5"/>
  <c r="AK180" i="5"/>
  <c r="AL180" i="5" s="1"/>
  <c r="BX172" i="5"/>
  <c r="BY172" i="5" s="1"/>
  <c r="H168" i="5"/>
  <c r="BB184" i="5"/>
  <c r="AB173" i="5"/>
  <c r="AL166" i="5"/>
  <c r="E184" i="5"/>
  <c r="CH174" i="5"/>
  <c r="CI174" i="5" s="1"/>
  <c r="CX168" i="5"/>
  <c r="CD125" i="5"/>
  <c r="CH165" i="5"/>
  <c r="CH125" i="5" s="1"/>
  <c r="BE168" i="5"/>
  <c r="BS165" i="5"/>
  <c r="CR164" i="5"/>
  <c r="BJ125" i="5"/>
  <c r="BR158" i="5"/>
  <c r="DR148" i="5"/>
  <c r="DW145" i="5"/>
  <c r="BW158" i="5"/>
  <c r="AG139" i="5"/>
  <c r="CQ155" i="5"/>
  <c r="CQ158" i="5" s="1"/>
  <c r="DB139" i="5"/>
  <c r="DC139" i="5" s="1"/>
  <c r="Y130" i="5"/>
  <c r="AB139" i="5"/>
  <c r="AA78" i="5"/>
  <c r="DH142" i="5"/>
  <c r="DW179" i="5"/>
  <c r="AB151" i="5"/>
  <c r="CD143" i="5"/>
  <c r="R55" i="5"/>
  <c r="EC28" i="5"/>
  <c r="ED28" i="5" s="1"/>
  <c r="EE28" i="5" s="1"/>
  <c r="EF28" i="5" s="1"/>
  <c r="EG28" i="5" s="1"/>
  <c r="BT10" i="10"/>
  <c r="BT9" i="10" s="1"/>
  <c r="BP10" i="10"/>
  <c r="BP9" i="10" s="1"/>
  <c r="BE69" i="5"/>
  <c r="EC29" i="5"/>
  <c r="ED29" i="5" s="1"/>
  <c r="EE29" i="5" s="1"/>
  <c r="EF29" i="5" s="1"/>
  <c r="EG29" i="5" s="1"/>
  <c r="DN10" i="10"/>
  <c r="DN13" i="10" s="1"/>
  <c r="DR13" i="10" s="1"/>
  <c r="DR10" i="10"/>
  <c r="BT174" i="5"/>
  <c r="BE171" i="5"/>
  <c r="CI125" i="5"/>
  <c r="Z155" i="5"/>
  <c r="AZ52" i="5"/>
  <c r="AZ69" i="5" s="1"/>
  <c r="CI52" i="5"/>
  <c r="CI69" i="5" s="1"/>
  <c r="CD55" i="5"/>
  <c r="BY144" i="5"/>
  <c r="BJ139" i="5"/>
  <c r="BH78" i="5"/>
  <c r="BN139" i="5"/>
  <c r="AJ59" i="5"/>
  <c r="CS140" i="5"/>
  <c r="EC30" i="5"/>
  <c r="ED30" i="5" s="1"/>
  <c r="EE30" i="5" s="1"/>
  <c r="EF30" i="5" s="1"/>
  <c r="EG30" i="5" s="1"/>
  <c r="EC19" i="5"/>
  <c r="ED19" i="5" s="1"/>
  <c r="EE19" i="5" s="1"/>
  <c r="EF19" i="5" s="1"/>
  <c r="EG19" i="5" s="1"/>
  <c r="BY56" i="5"/>
  <c r="DX14" i="5"/>
  <c r="DY14" i="5" s="1"/>
  <c r="DZ14" i="5" s="1"/>
  <c r="EA14" i="5" s="1"/>
  <c r="EB14" i="5" s="1"/>
  <c r="DA181" i="5"/>
  <c r="CN175" i="5"/>
  <c r="BY180" i="5"/>
  <c r="J184" i="5"/>
  <c r="G178" i="5"/>
  <c r="H178" i="5" s="1"/>
  <c r="AG166" i="5"/>
  <c r="AA168" i="5"/>
  <c r="AB168" i="5" s="1"/>
  <c r="BD164" i="5"/>
  <c r="BD125" i="5" s="1"/>
  <c r="BE125" i="5" s="1"/>
  <c r="AF164" i="5"/>
  <c r="AF125" i="5" s="1"/>
  <c r="AG125" i="5" s="1"/>
  <c r="CI165" i="5"/>
  <c r="AT158" i="5"/>
  <c r="CL158" i="5"/>
  <c r="DR146" i="5"/>
  <c r="AQ139" i="5"/>
  <c r="AB140" i="5"/>
  <c r="H130" i="5"/>
  <c r="AZ55" i="5"/>
  <c r="CD52" i="5"/>
  <c r="CD69" i="5" s="1"/>
  <c r="BT145" i="5"/>
  <c r="BE140" i="5"/>
  <c r="CW139" i="5"/>
  <c r="CX139" i="5" s="1"/>
  <c r="CN141" i="5"/>
  <c r="CN136" i="5"/>
  <c r="AP136" i="5"/>
  <c r="AQ136" i="5" s="1"/>
  <c r="EC40" i="5"/>
  <c r="ED40" i="5" s="1"/>
  <c r="EE40" i="5" s="1"/>
  <c r="EF40" i="5" s="1"/>
  <c r="EG40" i="5" s="1"/>
  <c r="EB181" i="5"/>
  <c r="DB180" i="5"/>
  <c r="DC180" i="5" s="1"/>
  <c r="CI176" i="5"/>
  <c r="AJ169" i="5"/>
  <c r="AD184" i="5"/>
  <c r="Z169" i="5"/>
  <c r="R176" i="5"/>
  <c r="BE179" i="5"/>
  <c r="BJ168" i="5"/>
  <c r="CB158" i="5"/>
  <c r="CD165" i="5"/>
  <c r="L164" i="5"/>
  <c r="L125" i="5" s="1"/>
  <c r="M125" i="5" s="1"/>
  <c r="L168" i="5"/>
  <c r="M168" i="5" s="1"/>
  <c r="DK155" i="5"/>
  <c r="DK158" i="5" s="1"/>
  <c r="CX151" i="5"/>
  <c r="CX155" i="5" s="1"/>
  <c r="CH150" i="5"/>
  <c r="CI150" i="5" s="1"/>
  <c r="CI155" i="5" s="1"/>
  <c r="DR151" i="5"/>
  <c r="CN52" i="5"/>
  <c r="CN69" i="5" s="1"/>
  <c r="BO146" i="5"/>
  <c r="CI136" i="5"/>
  <c r="CH142" i="5"/>
  <c r="CI142" i="5" s="1"/>
  <c r="BN138" i="5"/>
  <c r="BO138" i="5" s="1"/>
  <c r="DG136" i="5"/>
  <c r="DH136" i="5" s="1"/>
  <c r="BE139" i="5"/>
  <c r="BD78" i="5"/>
  <c r="BM81" i="5"/>
  <c r="BM82" i="5" s="1"/>
  <c r="DR142" i="5"/>
  <c r="EC23" i="5"/>
  <c r="ED23" i="5" s="1"/>
  <c r="EE23" i="5" s="1"/>
  <c r="EF23" i="5" s="1"/>
  <c r="EG23" i="5" s="1"/>
  <c r="AL55" i="5"/>
  <c r="EC38" i="5"/>
  <c r="ED38" i="5" s="1"/>
  <c r="EE38" i="5" s="1"/>
  <c r="EF38" i="5" s="1"/>
  <c r="EG38" i="5" s="1"/>
  <c r="EC22" i="5"/>
  <c r="ED22" i="5" s="1"/>
  <c r="EE22" i="5" s="1"/>
  <c r="EF22" i="5" s="1"/>
  <c r="EG22" i="5" s="1"/>
  <c r="DE11" i="4"/>
  <c r="BO203" i="7"/>
  <c r="AQ201" i="7"/>
  <c r="CN201" i="7"/>
  <c r="AG201" i="7"/>
  <c r="AK191" i="7"/>
  <c r="DW199" i="7"/>
  <c r="Y191" i="7"/>
  <c r="DU9" i="7"/>
  <c r="DU76" i="7"/>
  <c r="DZ74" i="7"/>
  <c r="DU74" i="7"/>
  <c r="DU134" i="7"/>
  <c r="DU131" i="7"/>
  <c r="DC408" i="7"/>
  <c r="DC409" i="7" s="1"/>
  <c r="DC21" i="8"/>
  <c r="CX201" i="7"/>
  <c r="DO191" i="7"/>
  <c r="AF191" i="7"/>
  <c r="AG190" i="7"/>
  <c r="DM203" i="7"/>
  <c r="BY201" i="7"/>
  <c r="AB201" i="7"/>
  <c r="T191" i="7"/>
  <c r="BT213" i="7"/>
  <c r="BT192" i="7"/>
  <c r="BT193" i="7" s="1"/>
  <c r="BT181" i="7"/>
  <c r="CS203" i="7"/>
  <c r="AZ190" i="7"/>
  <c r="AZ192" i="7"/>
  <c r="AZ193" i="7" s="1"/>
  <c r="AL203" i="7"/>
  <c r="M191" i="7"/>
  <c r="DH185" i="7"/>
  <c r="CO176" i="7"/>
  <c r="BP176" i="7"/>
  <c r="CH176" i="7"/>
  <c r="AE176" i="7"/>
  <c r="AR214" i="7"/>
  <c r="AJ214" i="7"/>
  <c r="BM214" i="7"/>
  <c r="AH206" i="7"/>
  <c r="U210" i="7"/>
  <c r="CD124" i="7"/>
  <c r="BE114" i="7"/>
  <c r="CM114" i="7"/>
  <c r="BO101" i="7"/>
  <c r="BO102" i="7" s="1"/>
  <c r="BO8" i="8"/>
  <c r="AL63" i="7"/>
  <c r="AL8" i="8"/>
  <c r="AL9" i="8" s="1"/>
  <c r="R63" i="7"/>
  <c r="R8" i="8"/>
  <c r="R9" i="8" s="1"/>
  <c r="CQ114" i="7"/>
  <c r="BS114" i="7"/>
  <c r="BO9" i="8"/>
  <c r="H89" i="7"/>
  <c r="H8" i="8"/>
  <c r="T114" i="7"/>
  <c r="BY11" i="8"/>
  <c r="BT9" i="8"/>
  <c r="AZ94" i="7"/>
  <c r="AZ8" i="8"/>
  <c r="AQ9" i="8"/>
  <c r="BR132" i="7"/>
  <c r="BG129" i="7"/>
  <c r="AN129" i="7"/>
  <c r="AA64" i="7"/>
  <c r="CD58" i="7"/>
  <c r="CD15" i="8"/>
  <c r="P129" i="7"/>
  <c r="T64" i="7"/>
  <c r="R56" i="7"/>
  <c r="M13" i="8"/>
  <c r="M14" i="8" s="1"/>
  <c r="AB46" i="7"/>
  <c r="AB39" i="7"/>
  <c r="CL135" i="7"/>
  <c r="BT58" i="7"/>
  <c r="BT15" i="8"/>
  <c r="DW14" i="8"/>
  <c r="AQ58" i="7"/>
  <c r="AQ15" i="8"/>
  <c r="CQ224" i="7"/>
  <c r="BW226" i="7"/>
  <c r="AS224" i="7"/>
  <c r="DW78" i="8"/>
  <c r="BZ79" i="8"/>
  <c r="BB77" i="8"/>
  <c r="DC78" i="8"/>
  <c r="BK77" i="8"/>
  <c r="DA59" i="8"/>
  <c r="DC60" i="8"/>
  <c r="S61" i="8"/>
  <c r="AL60" i="8"/>
  <c r="DM40" i="8"/>
  <c r="DM41" i="8" s="1"/>
  <c r="BY42" i="8"/>
  <c r="AG42" i="8"/>
  <c r="DR33" i="8"/>
  <c r="R33" i="8"/>
  <c r="CX11" i="8"/>
  <c r="CS42" i="8"/>
  <c r="AL33" i="8"/>
  <c r="AF34" i="8"/>
  <c r="X34" i="8"/>
  <c r="T34" i="8"/>
  <c r="P34" i="8"/>
  <c r="BJ9" i="8"/>
  <c r="DR11" i="8"/>
  <c r="CX78" i="8"/>
  <c r="AQ11" i="8"/>
  <c r="DC124" i="7"/>
  <c r="BO124" i="7"/>
  <c r="ED143" i="7"/>
  <c r="EI143" i="7" s="1"/>
  <c r="DY73" i="7"/>
  <c r="BA11" i="8"/>
  <c r="BI11" i="8"/>
  <c r="Z11" i="8"/>
  <c r="CM9" i="8"/>
  <c r="DP14" i="8"/>
  <c r="DA14" i="8"/>
  <c r="BH14" i="8"/>
  <c r="BC14" i="8"/>
  <c r="AS16" i="8"/>
  <c r="N14" i="8"/>
  <c r="DP9" i="8"/>
  <c r="DP16" i="8"/>
  <c r="CL16" i="8"/>
  <c r="DT14" i="8"/>
  <c r="DO14" i="8"/>
  <c r="CK14" i="8"/>
  <c r="AL16" i="8"/>
  <c r="V14" i="8"/>
  <c r="CU9" i="8"/>
  <c r="BB100" i="7"/>
  <c r="V9" i="8"/>
  <c r="DO16" i="8"/>
  <c r="CO14" i="8"/>
  <c r="BU14" i="8"/>
  <c r="Q16" i="8"/>
  <c r="CE9" i="8"/>
  <c r="AT9" i="8"/>
  <c r="DQ14" i="8"/>
  <c r="DB14" i="8"/>
  <c r="CR14" i="8"/>
  <c r="CM14" i="8"/>
  <c r="BN61" i="7"/>
  <c r="U16" i="8"/>
  <c r="J14" i="8"/>
  <c r="DW168" i="7"/>
  <c r="DV176" i="7"/>
  <c r="DT214" i="7"/>
  <c r="DL210" i="7"/>
  <c r="CJ214" i="7"/>
  <c r="CB214" i="7"/>
  <c r="AJ114" i="7"/>
  <c r="DW9" i="8"/>
  <c r="BO11" i="8"/>
  <c r="CN94" i="7"/>
  <c r="CN8" i="8"/>
  <c r="CN9" i="8" s="1"/>
  <c r="BE58" i="7"/>
  <c r="AZ15" i="8"/>
  <c r="BP64" i="7"/>
  <c r="H39" i="7"/>
  <c r="H40" i="7" s="1"/>
  <c r="M36" i="7" s="1"/>
  <c r="M40" i="7" s="1"/>
  <c r="R36" i="7" s="1"/>
  <c r="R40" i="7" s="1"/>
  <c r="W36" i="7" s="1"/>
  <c r="CN58" i="7"/>
  <c r="CN15" i="8"/>
  <c r="DC14" i="8"/>
  <c r="W58" i="7"/>
  <c r="W15" i="8"/>
  <c r="DR78" i="8"/>
  <c r="R60" i="8"/>
  <c r="CX33" i="8"/>
  <c r="BT42" i="8"/>
  <c r="BO42" i="8"/>
  <c r="CD11" i="8"/>
  <c r="M42" i="8"/>
  <c r="CS11" i="8"/>
  <c r="CS33" i="8"/>
  <c r="DW11" i="8"/>
  <c r="DR14" i="8"/>
  <c r="DC11" i="8"/>
  <c r="CD42" i="8"/>
  <c r="W11" i="8"/>
  <c r="DP42" i="8"/>
  <c r="DU43" i="8" s="1"/>
  <c r="DP11" i="8"/>
  <c r="R14" i="8"/>
  <c r="I16" i="8"/>
  <c r="BM61" i="7"/>
  <c r="AT14" i="8"/>
  <c r="BI61" i="7"/>
  <c r="CI126" i="7"/>
  <c r="DC9" i="8"/>
  <c r="M9" i="8"/>
  <c r="BE9" i="8"/>
  <c r="AH132" i="7"/>
  <c r="K132" i="7"/>
  <c r="O135" i="7"/>
  <c r="DC58" i="7"/>
  <c r="DC15" i="8"/>
  <c r="DW58" i="7"/>
  <c r="DW15" i="8"/>
  <c r="DW16" i="8" s="1"/>
  <c r="AB58" i="7"/>
  <c r="AB15" i="8"/>
  <c r="CQ129" i="7"/>
  <c r="L64" i="7"/>
  <c r="CI14" i="8"/>
  <c r="AB14" i="8"/>
  <c r="BY78" i="8"/>
  <c r="BJ78" i="8"/>
  <c r="BT78" i="8"/>
  <c r="DR32" i="8"/>
  <c r="BJ11" i="8"/>
  <c r="BE42" i="8"/>
  <c r="BT11" i="8"/>
  <c r="CX9" i="8"/>
  <c r="BT33" i="8"/>
  <c r="DR9" i="8"/>
  <c r="CX42" i="8"/>
  <c r="CD60" i="8"/>
  <c r="CD61" i="8" s="1"/>
  <c r="BJ42" i="8"/>
  <c r="AG16" i="8"/>
  <c r="M58" i="7"/>
  <c r="M15" i="8"/>
  <c r="AT64" i="7"/>
  <c r="BA76" i="8"/>
  <c r="BA77" i="8" s="1"/>
  <c r="BA16" i="8"/>
  <c r="CC176" i="7"/>
  <c r="CR176" i="7"/>
  <c r="BL214" i="7"/>
  <c r="BD214" i="7"/>
  <c r="T214" i="7"/>
  <c r="L214" i="7"/>
  <c r="DI210" i="7"/>
  <c r="DA214" i="7"/>
  <c r="BB214" i="7"/>
  <c r="AB109" i="7"/>
  <c r="DW119" i="7"/>
  <c r="CN92" i="7"/>
  <c r="CI10" i="8"/>
  <c r="CI9" i="8"/>
  <c r="AB11" i="8"/>
  <c r="AB9" i="8"/>
  <c r="AP135" i="7"/>
  <c r="K135" i="7"/>
  <c r="CU129" i="7"/>
  <c r="BV132" i="7"/>
  <c r="BA64" i="7"/>
  <c r="CX58" i="7"/>
  <c r="CX15" i="8"/>
  <c r="CV64" i="7"/>
  <c r="AL56" i="7"/>
  <c r="AG13" i="8"/>
  <c r="AG14" i="8" s="1"/>
  <c r="AG46" i="7"/>
  <c r="M46" i="7"/>
  <c r="CL132" i="7"/>
  <c r="CS58" i="7"/>
  <c r="CS15" i="8"/>
  <c r="BJ58" i="7"/>
  <c r="BJ15" i="8"/>
  <c r="BO14" i="8"/>
  <c r="BG223" i="7"/>
  <c r="DM29" i="7"/>
  <c r="DM18" i="8"/>
  <c r="DM76" i="8"/>
  <c r="DM77" i="8" s="1"/>
  <c r="BO78" i="8"/>
  <c r="BO69" i="8"/>
  <c r="CS62" i="8"/>
  <c r="BT60" i="8"/>
  <c r="BO60" i="8"/>
  <c r="BO61" i="8" s="1"/>
  <c r="AB60" i="8"/>
  <c r="CD33" i="8"/>
  <c r="BJ33" i="8"/>
  <c r="DC42" i="8"/>
  <c r="DC69" i="8"/>
  <c r="BO33" i="8"/>
  <c r="DM16" i="8"/>
  <c r="BE60" i="8"/>
  <c r="BE33" i="8"/>
  <c r="BE34" i="8" s="1"/>
  <c r="BY33" i="8"/>
  <c r="CD9" i="8"/>
  <c r="DR16" i="8"/>
  <c r="DK60" i="8"/>
  <c r="DK61" i="8" s="1"/>
  <c r="DK11" i="8"/>
  <c r="CG11" i="8"/>
  <c r="AS11" i="8"/>
  <c r="AN11" i="8"/>
  <c r="Y11" i="8"/>
  <c r="DT11" i="8"/>
  <c r="AT11" i="8"/>
  <c r="CG14" i="8"/>
  <c r="AC14" i="8"/>
  <c r="BC9" i="8"/>
  <c r="BQ14" i="8"/>
  <c r="AH16" i="8"/>
  <c r="N16" i="8"/>
  <c r="AK14" i="8"/>
  <c r="AC11" i="8"/>
  <c r="X11" i="8"/>
  <c r="DT9" i="8"/>
  <c r="DO9" i="8"/>
  <c r="BG9" i="8"/>
  <c r="AK9" i="8"/>
  <c r="DE61" i="7"/>
  <c r="DN61" i="7"/>
  <c r="CT61" i="7"/>
  <c r="BZ61" i="7"/>
  <c r="Z14" i="8"/>
  <c r="BE16" i="8"/>
  <c r="DV61" i="7"/>
  <c r="BX14" i="8"/>
  <c r="BS14" i="8"/>
  <c r="BD14" i="8"/>
  <c r="Y14" i="8"/>
  <c r="DM10" i="4"/>
  <c r="DL10" i="7"/>
  <c r="DM10" i="7" s="1"/>
  <c r="DO41" i="8"/>
  <c r="CO77" i="8"/>
  <c r="BD77" i="8"/>
  <c r="CT77" i="8"/>
  <c r="BF79" i="8"/>
  <c r="BS77" i="8"/>
  <c r="Z79" i="8"/>
  <c r="O59" i="8"/>
  <c r="AH59" i="8"/>
  <c r="CZ43" i="8"/>
  <c r="CV43" i="8"/>
  <c r="CF43" i="8"/>
  <c r="BP43" i="8"/>
  <c r="AT43" i="8"/>
  <c r="N43" i="8"/>
  <c r="Z41" i="8"/>
  <c r="AE32" i="8"/>
  <c r="CQ79" i="8"/>
  <c r="BC77" i="8"/>
  <c r="AS77" i="8"/>
  <c r="AC77" i="8"/>
  <c r="DB79" i="8"/>
  <c r="O77" i="8"/>
  <c r="BQ59" i="8"/>
  <c r="AO59" i="8"/>
  <c r="DN32" i="8"/>
  <c r="CV79" i="8"/>
  <c r="BI77" i="8"/>
  <c r="CU79" i="8"/>
  <c r="CQ77" i="8"/>
  <c r="CE77" i="8"/>
  <c r="CA79" i="8"/>
  <c r="BO79" i="8"/>
  <c r="BP79" i="8"/>
  <c r="AT79" i="8"/>
  <c r="AD79" i="8"/>
  <c r="N79" i="8"/>
  <c r="DP59" i="8"/>
  <c r="CT62" i="8"/>
  <c r="CV61" i="8"/>
  <c r="CH59" i="8"/>
  <c r="BR59" i="8"/>
  <c r="BB59" i="8"/>
  <c r="BD59" i="8"/>
  <c r="AE59" i="8"/>
  <c r="BP59" i="8"/>
  <c r="AJ61" i="8"/>
  <c r="X59" i="8"/>
  <c r="DN41" i="8"/>
  <c r="CG41" i="8"/>
  <c r="EC220" i="10"/>
  <c r="ED220" i="10" s="1"/>
  <c r="EE220" i="10" s="1"/>
  <c r="EF220" i="10" s="1"/>
  <c r="EB220" i="10"/>
  <c r="CI212" i="10"/>
  <c r="CF23" i="10"/>
  <c r="CX202" i="10"/>
  <c r="DA204" i="10"/>
  <c r="DB199" i="10"/>
  <c r="DY159" i="10"/>
  <c r="DL170" i="10"/>
  <c r="DL173" i="10" s="1"/>
  <c r="DK174" i="10"/>
  <c r="EG139" i="10"/>
  <c r="EA129" i="10"/>
  <c r="DH100" i="10"/>
  <c r="DD23" i="10"/>
  <c r="DT164" i="10"/>
  <c r="DU160" i="10"/>
  <c r="DU163" i="10" s="1"/>
  <c r="DP174" i="10"/>
  <c r="DQ170" i="10"/>
  <c r="DQ173" i="10" s="1"/>
  <c r="DX118" i="10"/>
  <c r="DX121" i="10" s="1"/>
  <c r="EB118" i="10"/>
  <c r="EB121" i="10" s="1"/>
  <c r="CM16" i="10"/>
  <c r="CX102" i="10"/>
  <c r="CZ97" i="10"/>
  <c r="CY102" i="10"/>
  <c r="DP72" i="10"/>
  <c r="DQ68" i="10"/>
  <c r="DQ71" i="10" s="1"/>
  <c r="CY52" i="10"/>
  <c r="CZ47" i="10"/>
  <c r="DW78" i="10"/>
  <c r="DS78" i="10"/>
  <c r="DS81" i="10" s="1"/>
  <c r="DT78" i="10" s="1"/>
  <c r="DT81" i="10" s="1"/>
  <c r="DU78" i="10" s="1"/>
  <c r="DU81" i="10" s="1"/>
  <c r="DV78" i="10" s="1"/>
  <c r="DV81" i="10" s="1"/>
  <c r="DW81" i="10" s="1"/>
  <c r="DB62" i="10"/>
  <c r="DD57" i="10"/>
  <c r="DW13" i="10"/>
  <c r="DW9" i="10" s="1"/>
  <c r="CS212" i="10"/>
  <c r="CO23" i="10"/>
  <c r="CS23" i="10" s="1"/>
  <c r="DW200" i="10"/>
  <c r="DS200" i="10"/>
  <c r="DS203" i="10" s="1"/>
  <c r="DT200" i="10" s="1"/>
  <c r="DT203" i="10" s="1"/>
  <c r="DU200" i="10" s="1"/>
  <c r="DU203" i="10" s="1"/>
  <c r="DV200" i="10" s="1"/>
  <c r="DV203" i="10" s="1"/>
  <c r="DW203" i="10" s="1"/>
  <c r="EC199" i="10"/>
  <c r="CX204" i="10"/>
  <c r="EA189" i="10"/>
  <c r="EB139" i="10"/>
  <c r="CR23" i="10"/>
  <c r="DU174" i="10"/>
  <c r="DV170" i="10"/>
  <c r="DV173" i="10" s="1"/>
  <c r="DA149" i="10"/>
  <c r="CZ154" i="10"/>
  <c r="DO130" i="10"/>
  <c r="DO133" i="10" s="1"/>
  <c r="DN134" i="10"/>
  <c r="EG108" i="10"/>
  <c r="EG111" i="10" s="1"/>
  <c r="EC108" i="10"/>
  <c r="EC111" i="10" s="1"/>
  <c r="ED108" i="10" s="1"/>
  <c r="ED111" i="10" s="1"/>
  <c r="EE108" i="10" s="1"/>
  <c r="EE111" i="10" s="1"/>
  <c r="EF108" i="10" s="1"/>
  <c r="EF111" i="10" s="1"/>
  <c r="CN100" i="10"/>
  <c r="CM23" i="10"/>
  <c r="DV97" i="10"/>
  <c r="ED117" i="10"/>
  <c r="CV38" i="10"/>
  <c r="CV40" i="10" s="1"/>
  <c r="CW33" i="10"/>
  <c r="DL72" i="10"/>
  <c r="DY31" i="10"/>
  <c r="DB40" i="10"/>
  <c r="DC38" i="10"/>
  <c r="DD40" i="10" s="1"/>
  <c r="EC209" i="10"/>
  <c r="DL209" i="10"/>
  <c r="DK184" i="10"/>
  <c r="DL180" i="10"/>
  <c r="DL183" i="10" s="1"/>
  <c r="DW150" i="10"/>
  <c r="DS150" i="10"/>
  <c r="DS153" i="10" s="1"/>
  <c r="DT150" i="10" s="1"/>
  <c r="DT153" i="10" s="1"/>
  <c r="DU150" i="10" s="1"/>
  <c r="DU153" i="10" s="1"/>
  <c r="DV150" i="10" s="1"/>
  <c r="DV153" i="10" s="1"/>
  <c r="DW153" i="10" s="1"/>
  <c r="DL134" i="10"/>
  <c r="DM134" i="10" s="1"/>
  <c r="DM129" i="10"/>
  <c r="CR16" i="10"/>
  <c r="DL140" i="10"/>
  <c r="DL143" i="10" s="1"/>
  <c r="DK144" i="10"/>
  <c r="CS102" i="10"/>
  <c r="CP16" i="10"/>
  <c r="DO98" i="10"/>
  <c r="DO101" i="10" s="1"/>
  <c r="DB77" i="10"/>
  <c r="DA82" i="10"/>
  <c r="DW129" i="10"/>
  <c r="DZ107" i="10"/>
  <c r="DY112" i="10"/>
  <c r="DM72" i="10"/>
  <c r="DS88" i="10"/>
  <c r="DS91" i="10" s="1"/>
  <c r="DT88" i="10" s="1"/>
  <c r="DT91" i="10" s="1"/>
  <c r="DU88" i="10" s="1"/>
  <c r="DU91" i="10" s="1"/>
  <c r="DV88" i="10" s="1"/>
  <c r="DV91" i="10" s="1"/>
  <c r="DW91" i="10" s="1"/>
  <c r="DW88" i="10"/>
  <c r="DW58" i="10"/>
  <c r="DS58" i="10"/>
  <c r="DS61" i="10" s="1"/>
  <c r="DT58" i="10" s="1"/>
  <c r="DT61" i="10" s="1"/>
  <c r="DU58" i="10" s="1"/>
  <c r="DU61" i="10" s="1"/>
  <c r="DV58" i="10" s="1"/>
  <c r="DV61" i="10" s="1"/>
  <c r="DW61" i="10" s="1"/>
  <c r="DW71" i="10"/>
  <c r="DV72" i="10"/>
  <c r="DW72" i="10" s="1"/>
  <c r="DK210" i="10"/>
  <c r="DK213" i="10" s="1"/>
  <c r="DL210" i="10" s="1"/>
  <c r="DL213" i="10" s="1"/>
  <c r="DM213" i="10" s="1"/>
  <c r="DJ21" i="10"/>
  <c r="CT212" i="10"/>
  <c r="CX212" i="10" s="1"/>
  <c r="CT214" i="10"/>
  <c r="CX214" i="10" s="1"/>
  <c r="CJ214" i="10"/>
  <c r="CJ212" i="10"/>
  <c r="CF16" i="10"/>
  <c r="CV16" i="10"/>
  <c r="DW193" i="10"/>
  <c r="DX190" i="10" s="1"/>
  <c r="DX193" i="10" s="1"/>
  <c r="DV194" i="10"/>
  <c r="DW194" i="10" s="1"/>
  <c r="EL139" i="10"/>
  <c r="DP179" i="10"/>
  <c r="EG129" i="10"/>
  <c r="CV23" i="10"/>
  <c r="CX100" i="10"/>
  <c r="DH129" i="10"/>
  <c r="DG134" i="10"/>
  <c r="DH134" i="10" s="1"/>
  <c r="CS100" i="10"/>
  <c r="DC62" i="10"/>
  <c r="DC60" i="10"/>
  <c r="CY23" i="10"/>
  <c r="DC23" i="10" s="1"/>
  <c r="DX112" i="10"/>
  <c r="CT50" i="10"/>
  <c r="CX50" i="10" s="1"/>
  <c r="CT52" i="10"/>
  <c r="CX52" i="10" s="1"/>
  <c r="DD92" i="10"/>
  <c r="DE87" i="10"/>
  <c r="EA68" i="10"/>
  <c r="EA71" i="10" s="1"/>
  <c r="DZ72" i="10"/>
  <c r="DQ51" i="10"/>
  <c r="DR51" i="10" s="1"/>
  <c r="DQ48" i="10"/>
  <c r="EA33" i="10"/>
  <c r="DW33" i="10"/>
  <c r="CX36" i="10"/>
  <c r="DO38" i="10"/>
  <c r="DO40" i="10" s="1"/>
  <c r="DP34" i="10"/>
  <c r="DP37" i="10" s="1"/>
  <c r="DO39" i="10"/>
  <c r="AT77" i="8"/>
  <c r="AD77" i="8"/>
  <c r="N77" i="8"/>
  <c r="CP79" i="8"/>
  <c r="CH79" i="8"/>
  <c r="BR77" i="8"/>
  <c r="AE77" i="8"/>
  <c r="BC79" i="8"/>
  <c r="BW77" i="8"/>
  <c r="BK79" i="8"/>
  <c r="CZ77" i="8"/>
  <c r="CJ77" i="8"/>
  <c r="BT79" i="8"/>
  <c r="BD79" i="8"/>
  <c r="AH79" i="8"/>
  <c r="J77" i="8"/>
  <c r="DU61" i="8"/>
  <c r="BP68" i="8"/>
  <c r="CJ61" i="8"/>
  <c r="CA59" i="8"/>
  <c r="BX59" i="8"/>
  <c r="AP59" i="8"/>
  <c r="Z59" i="8"/>
  <c r="AT61" i="8"/>
  <c r="AD61" i="8"/>
  <c r="N61" i="8"/>
  <c r="AA59" i="8"/>
  <c r="K59" i="8"/>
  <c r="Y59" i="8"/>
  <c r="AR59" i="8"/>
  <c r="AN61" i="8"/>
  <c r="X61" i="8"/>
  <c r="T61" i="8"/>
  <c r="P59" i="8"/>
  <c r="CX67" i="8"/>
  <c r="CX69" i="8"/>
  <c r="CX64" i="8"/>
  <c r="CX65" i="8"/>
  <c r="CP67" i="8"/>
  <c r="CU68" i="8" s="1"/>
  <c r="CP69" i="8"/>
  <c r="CP66" i="8"/>
  <c r="CP64" i="8"/>
  <c r="CP65" i="8"/>
  <c r="CH67" i="8"/>
  <c r="CH69" i="8"/>
  <c r="CM70" i="8" s="1"/>
  <c r="CH66" i="8"/>
  <c r="CH64" i="8"/>
  <c r="CH65" i="8"/>
  <c r="BZ67" i="8"/>
  <c r="CE68" i="8" s="1"/>
  <c r="BZ69" i="8"/>
  <c r="BZ66" i="8"/>
  <c r="BZ64" i="8"/>
  <c r="BZ65" i="8"/>
  <c r="BF67" i="8"/>
  <c r="BF66" i="8"/>
  <c r="BF69" i="8"/>
  <c r="BF64" i="8"/>
  <c r="BF65" i="8"/>
  <c r="AX69" i="8"/>
  <c r="BC70" i="8" s="1"/>
  <c r="AX65" i="8"/>
  <c r="AX67" i="8"/>
  <c r="BC68" i="8" s="1"/>
  <c r="CT41" i="8"/>
  <c r="BN41" i="8"/>
  <c r="DQ68" i="8"/>
  <c r="CY32" i="8"/>
  <c r="BS32" i="8"/>
  <c r="AY67" i="8"/>
  <c r="AY66" i="8"/>
  <c r="AY65" i="8"/>
  <c r="AY69" i="8"/>
  <c r="AR32" i="8"/>
  <c r="DJ69" i="8"/>
  <c r="DJ70" i="8" s="1"/>
  <c r="DJ67" i="8"/>
  <c r="DJ68" i="8" s="1"/>
  <c r="DJ65" i="8"/>
  <c r="DJ64" i="8"/>
  <c r="DJ66" i="8"/>
  <c r="AT64" i="8"/>
  <c r="AT67" i="8"/>
  <c r="AT69" i="8"/>
  <c r="AT65" i="8"/>
  <c r="AD66" i="8"/>
  <c r="AD64" i="8"/>
  <c r="AD67" i="8"/>
  <c r="AI68" i="8" s="1"/>
  <c r="AD69" i="8"/>
  <c r="AI70" i="8" s="1"/>
  <c r="AD65" i="8"/>
  <c r="N66" i="8"/>
  <c r="N64" i="8"/>
  <c r="N67" i="8"/>
  <c r="N69" i="8"/>
  <c r="N65" i="8"/>
  <c r="F67" i="8"/>
  <c r="F65" i="8"/>
  <c r="F69" i="8"/>
  <c r="AJ77" i="8"/>
  <c r="X41" i="8"/>
  <c r="DA61" i="8"/>
  <c r="CO61" i="8"/>
  <c r="CG61" i="8"/>
  <c r="BU61" i="8"/>
  <c r="BI61" i="8"/>
  <c r="BA61" i="8"/>
  <c r="T43" i="8"/>
  <c r="BM43" i="8"/>
  <c r="I41" i="8"/>
  <c r="BP32" i="8"/>
  <c r="AS32" i="8"/>
  <c r="AO66" i="8"/>
  <c r="AO64" i="8"/>
  <c r="AO67" i="8"/>
  <c r="AO68" i="8" s="1"/>
  <c r="AO69" i="8"/>
  <c r="AO70" i="8" s="1"/>
  <c r="AO65" i="8"/>
  <c r="Y66" i="8"/>
  <c r="Y64" i="8"/>
  <c r="Y67" i="8"/>
  <c r="Y69" i="8"/>
  <c r="Y65" i="8"/>
  <c r="I66" i="8"/>
  <c r="I67" i="8"/>
  <c r="I69" i="8"/>
  <c r="I65" i="8"/>
  <c r="CF77" i="8"/>
  <c r="BL77" i="8"/>
  <c r="S77" i="8"/>
  <c r="CF79" i="8"/>
  <c r="BX41" i="8"/>
  <c r="AJ41" i="8"/>
  <c r="CK32" i="8"/>
  <c r="DA69" i="8"/>
  <c r="DA66" i="8"/>
  <c r="DA65" i="8"/>
  <c r="DA67" i="8"/>
  <c r="DA64" i="8"/>
  <c r="CW69" i="8"/>
  <c r="CW66" i="8"/>
  <c r="CW65" i="8"/>
  <c r="CW64" i="8"/>
  <c r="CW67" i="8"/>
  <c r="CS69" i="8"/>
  <c r="CS65" i="8"/>
  <c r="CS67" i="8"/>
  <c r="CS64" i="8"/>
  <c r="CO69" i="8"/>
  <c r="CO66" i="8"/>
  <c r="CO65" i="8"/>
  <c r="CO64" i="8"/>
  <c r="CO67" i="8"/>
  <c r="BQ34" i="8"/>
  <c r="BM34" i="8"/>
  <c r="BI69" i="8"/>
  <c r="BN70" i="8" s="1"/>
  <c r="BI66" i="8"/>
  <c r="BI65" i="8"/>
  <c r="BI64" i="8"/>
  <c r="BI67" i="8"/>
  <c r="BN64" i="8"/>
  <c r="AW65" i="8"/>
  <c r="AW69" i="8"/>
  <c r="AW67" i="8"/>
  <c r="Z32" i="8"/>
  <c r="DU32" i="8"/>
  <c r="DQ77" i="8"/>
  <c r="BW59" i="8"/>
  <c r="CY79" i="8"/>
  <c r="CU41" i="8"/>
  <c r="CZ32" i="8"/>
  <c r="CJ34" i="8"/>
  <c r="BX34" i="8"/>
  <c r="BD34" i="8"/>
  <c r="AV67" i="8"/>
  <c r="AV69" i="8"/>
  <c r="AV65" i="8"/>
  <c r="AV66" i="8"/>
  <c r="CX43" i="8"/>
  <c r="CL61" i="8"/>
  <c r="BV43" i="8"/>
  <c r="BR70" i="8"/>
  <c r="BJ43" i="8"/>
  <c r="BB43" i="8"/>
  <c r="BX32" i="8"/>
  <c r="U34" i="8"/>
  <c r="CY77" i="8"/>
  <c r="BG77" i="8"/>
  <c r="DV79" i="8"/>
  <c r="J79" i="8"/>
  <c r="BN79" i="8"/>
  <c r="DW60" i="8"/>
  <c r="DW58" i="8"/>
  <c r="DW56" i="8"/>
  <c r="DW55" i="8"/>
  <c r="BS59" i="8"/>
  <c r="CT59" i="8"/>
  <c r="V59" i="8"/>
  <c r="Z61" i="8"/>
  <c r="ED50" i="8"/>
  <c r="EI49" i="8"/>
  <c r="EI50" i="8" s="1"/>
  <c r="DZ50" i="8"/>
  <c r="EE49" i="8"/>
  <c r="T59" i="8"/>
  <c r="DS41" i="8"/>
  <c r="CW41" i="8"/>
  <c r="BQ41" i="8"/>
  <c r="DO68" i="8"/>
  <c r="DQ41" i="8"/>
  <c r="CP41" i="8"/>
  <c r="BZ41" i="8"/>
  <c r="DU68" i="8"/>
  <c r="CU34" i="8"/>
  <c r="CU32" i="8"/>
  <c r="CE32" i="8"/>
  <c r="CU64" i="8"/>
  <c r="CE64" i="8"/>
  <c r="AR34" i="8"/>
  <c r="AN32" i="8"/>
  <c r="AR68" i="8"/>
  <c r="DV69" i="8"/>
  <c r="DV70" i="8" s="1"/>
  <c r="DV67" i="8"/>
  <c r="DV68" i="8" s="1"/>
  <c r="DV65" i="8"/>
  <c r="DV66" i="8"/>
  <c r="DV64" i="8"/>
  <c r="BS34" i="8"/>
  <c r="AH66" i="8"/>
  <c r="AH64" i="8"/>
  <c r="AH69" i="8"/>
  <c r="AM70" i="8" s="1"/>
  <c r="AH65" i="8"/>
  <c r="AH67" i="8"/>
  <c r="AR41" i="8"/>
  <c r="T77" i="8"/>
  <c r="CW43" i="8"/>
  <c r="CK43" i="8"/>
  <c r="CC61" i="8"/>
  <c r="BQ43" i="8"/>
  <c r="BE43" i="8"/>
  <c r="AR43" i="8"/>
  <c r="P43" i="8"/>
  <c r="AS66" i="8"/>
  <c r="AS64" i="8"/>
  <c r="AS69" i="8"/>
  <c r="AS70" i="8" s="1"/>
  <c r="AS65" i="8"/>
  <c r="AS67" i="8"/>
  <c r="AS68" i="8" s="1"/>
  <c r="AC64" i="8"/>
  <c r="AC69" i="8"/>
  <c r="AC65" i="8"/>
  <c r="AC67" i="8"/>
  <c r="E65" i="8"/>
  <c r="E66" i="8"/>
  <c r="E67" i="8"/>
  <c r="E69" i="8"/>
  <c r="CB77" i="8"/>
  <c r="DN61" i="8"/>
  <c r="BL70" i="8"/>
  <c r="AM61" i="8"/>
  <c r="CV41" i="8"/>
  <c r="BP41" i="8"/>
  <c r="AT34" i="8"/>
  <c r="N34" i="8"/>
  <c r="DU59" i="8"/>
  <c r="CQ59" i="8"/>
  <c r="DU34" i="8"/>
  <c r="CM34" i="8"/>
  <c r="BG34" i="8"/>
  <c r="CM41" i="8"/>
  <c r="BG41" i="8"/>
  <c r="CR32" i="8"/>
  <c r="BL32" i="8"/>
  <c r="CZ34" i="8"/>
  <c r="CF69" i="8"/>
  <c r="CF70" i="8" s="1"/>
  <c r="CF65" i="8"/>
  <c r="CF64" i="8"/>
  <c r="CF66" i="8"/>
  <c r="CF67" i="8"/>
  <c r="CF68" i="8" s="1"/>
  <c r="CB69" i="8"/>
  <c r="CB70" i="8" s="1"/>
  <c r="CB65" i="8"/>
  <c r="CB64" i="8"/>
  <c r="CB66" i="8"/>
  <c r="CB67" i="8"/>
  <c r="CB68" i="8" s="1"/>
  <c r="BX69" i="8"/>
  <c r="BX70" i="8" s="1"/>
  <c r="BX65" i="8"/>
  <c r="BX64" i="8"/>
  <c r="BX66" i="8"/>
  <c r="BX67" i="8"/>
  <c r="BX68" i="8" s="1"/>
  <c r="BT64" i="8"/>
  <c r="BL34" i="8"/>
  <c r="BH34" i="8"/>
  <c r="AA32" i="8"/>
  <c r="S32" i="8"/>
  <c r="O32" i="8"/>
  <c r="K32" i="8"/>
  <c r="DP77" i="8"/>
  <c r="CP43" i="8"/>
  <c r="CH43" i="8"/>
  <c r="BV61" i="8"/>
  <c r="BR79" i="8"/>
  <c r="BJ61" i="8"/>
  <c r="BB61" i="8"/>
  <c r="Q32" i="8"/>
  <c r="DT77" i="8"/>
  <c r="DP79" i="8"/>
  <c r="DA79" i="8"/>
  <c r="BB79" i="8"/>
  <c r="CT79" i="8"/>
  <c r="K79" i="8"/>
  <c r="CE79" i="8"/>
  <c r="BN68" i="8"/>
  <c r="CR79" i="8"/>
  <c r="CB79" i="8"/>
  <c r="BS68" i="8"/>
  <c r="DM60" i="8"/>
  <c r="DM61" i="8" s="1"/>
  <c r="DM58" i="8"/>
  <c r="DM59" i="8" s="1"/>
  <c r="DM56" i="8"/>
  <c r="DM55" i="8"/>
  <c r="BN59" i="8"/>
  <c r="BK59" i="8"/>
  <c r="BC61" i="8"/>
  <c r="CP59" i="8"/>
  <c r="BH59" i="8"/>
  <c r="AI59" i="8"/>
  <c r="S59" i="8"/>
  <c r="Q61" i="8"/>
  <c r="EC50" i="8"/>
  <c r="EH49" i="8"/>
  <c r="EH50" i="8" s="1"/>
  <c r="AN59" i="8"/>
  <c r="DB67" i="8"/>
  <c r="DB68" i="8" s="1"/>
  <c r="DB66" i="8"/>
  <c r="DB69" i="8"/>
  <c r="DB64" i="8"/>
  <c r="DB65" i="8"/>
  <c r="CT67" i="8"/>
  <c r="CT68" i="8" s="1"/>
  <c r="CT66" i="8"/>
  <c r="CT69" i="8"/>
  <c r="CT70" i="8" s="1"/>
  <c r="CT64" i="8"/>
  <c r="CT65" i="8"/>
  <c r="CL67" i="8"/>
  <c r="CQ68" i="8" s="1"/>
  <c r="CL69" i="8"/>
  <c r="CL64" i="8"/>
  <c r="CL65" i="8"/>
  <c r="CD67" i="8"/>
  <c r="CD69" i="8"/>
  <c r="CD64" i="8"/>
  <c r="BV67" i="8"/>
  <c r="BV68" i="8" s="1"/>
  <c r="BV64" i="8"/>
  <c r="BV69" i="8"/>
  <c r="BV70" i="8" s="1"/>
  <c r="BV65" i="8"/>
  <c r="BJ67" i="8"/>
  <c r="BJ69" i="8"/>
  <c r="BJ64" i="8"/>
  <c r="BB67" i="8"/>
  <c r="BB68" i="8" s="1"/>
  <c r="BB66" i="8"/>
  <c r="BB64" i="8"/>
  <c r="BB65" i="8"/>
  <c r="BB69" i="8"/>
  <c r="AM68" i="8"/>
  <c r="DO70" i="8"/>
  <c r="DT41" i="8"/>
  <c r="DB41" i="8"/>
  <c r="CL41" i="8"/>
  <c r="BV41" i="8"/>
  <c r="BF41" i="8"/>
  <c r="CE34" i="8"/>
  <c r="CQ32" i="8"/>
  <c r="CA32" i="8"/>
  <c r="BG32" i="8"/>
  <c r="CU70" i="8"/>
  <c r="CM68" i="8"/>
  <c r="CE70" i="8"/>
  <c r="CA68" i="8"/>
  <c r="BC64" i="8"/>
  <c r="AN34" i="8"/>
  <c r="AR70" i="8"/>
  <c r="AN68" i="8"/>
  <c r="DN69" i="8"/>
  <c r="DN70" i="8" s="1"/>
  <c r="DN67" i="8"/>
  <c r="DN68" i="8" s="1"/>
  <c r="DN65" i="8"/>
  <c r="DN66" i="8"/>
  <c r="DN64" i="8"/>
  <c r="BO34" i="8"/>
  <c r="V67" i="8"/>
  <c r="V69" i="8"/>
  <c r="V65" i="8"/>
  <c r="AR77" i="8"/>
  <c r="P41" i="8"/>
  <c r="CW61" i="8"/>
  <c r="CK61" i="8"/>
  <c r="BQ61" i="8"/>
  <c r="BE61" i="8"/>
  <c r="P79" i="8"/>
  <c r="CS43" i="8"/>
  <c r="CV32" i="8"/>
  <c r="AC32" i="8"/>
  <c r="Q64" i="8"/>
  <c r="CV77" i="8"/>
  <c r="BP77" i="8"/>
  <c r="AI77" i="8"/>
  <c r="DV43" i="8"/>
  <c r="DN79" i="8"/>
  <c r="AM79" i="8"/>
  <c r="BH41" i="8"/>
  <c r="X43" i="8"/>
  <c r="DA32" i="8"/>
  <c r="BU32" i="8"/>
  <c r="BU69" i="8"/>
  <c r="BU70" i="8" s="1"/>
  <c r="BU66" i="8"/>
  <c r="BU65" i="8"/>
  <c r="BU67" i="8"/>
  <c r="BU68" i="8" s="1"/>
  <c r="BU64" i="8"/>
  <c r="J32" i="8"/>
  <c r="DQ32" i="8"/>
  <c r="CM59" i="8"/>
  <c r="BG59" i="8"/>
  <c r="DC34" i="8"/>
  <c r="BW34" i="8"/>
  <c r="BG79" i="8"/>
  <c r="CE41" i="8"/>
  <c r="CJ32" i="8"/>
  <c r="BD32" i="8"/>
  <c r="CV69" i="8"/>
  <c r="CV70" i="8" s="1"/>
  <c r="CV65" i="8"/>
  <c r="CV64" i="8"/>
  <c r="CV66" i="8"/>
  <c r="CV67" i="8"/>
  <c r="CV68" i="8" s="1"/>
  <c r="CR69" i="8"/>
  <c r="CR70" i="8" s="1"/>
  <c r="CR65" i="8"/>
  <c r="CR64" i="8"/>
  <c r="CR66" i="8"/>
  <c r="CR67" i="8"/>
  <c r="CR68" i="8" s="1"/>
  <c r="CN69" i="8"/>
  <c r="CN67" i="8"/>
  <c r="CJ69" i="8"/>
  <c r="CJ70" i="8" s="1"/>
  <c r="CJ65" i="8"/>
  <c r="CJ64" i="8"/>
  <c r="CJ66" i="8"/>
  <c r="CJ67" i="8"/>
  <c r="CJ68" i="8" s="1"/>
  <c r="BH69" i="8"/>
  <c r="BH70" i="8" s="1"/>
  <c r="BH65" i="8"/>
  <c r="BH64" i="8"/>
  <c r="BH66" i="8"/>
  <c r="BH67" i="8"/>
  <c r="BH68" i="8" s="1"/>
  <c r="BD69" i="8"/>
  <c r="BD70" i="8" s="1"/>
  <c r="BD65" i="8"/>
  <c r="BD64" i="8"/>
  <c r="BD66" i="8"/>
  <c r="BD67" i="8"/>
  <c r="BD68" i="8" s="1"/>
  <c r="AE34" i="8"/>
  <c r="AA34" i="8"/>
  <c r="S34" i="8"/>
  <c r="O34" i="8"/>
  <c r="K34" i="8"/>
  <c r="DB43" i="8"/>
  <c r="CP61" i="8"/>
  <c r="BZ43" i="8"/>
  <c r="BR43" i="8"/>
  <c r="BN43" i="8"/>
  <c r="BF43" i="8"/>
  <c r="CK34" i="8"/>
  <c r="AS34" i="8"/>
  <c r="AC34" i="8"/>
  <c r="CQ34" i="8"/>
  <c r="CJ79" i="8"/>
  <c r="DT79" i="8"/>
  <c r="BA79" i="8"/>
  <c r="AH77" i="8"/>
  <c r="CL79" i="8"/>
  <c r="CH77" i="8"/>
  <c r="BV79" i="8"/>
  <c r="BN77" i="8"/>
  <c r="AI79" i="8"/>
  <c r="AM77" i="8"/>
  <c r="CM77" i="8"/>
  <c r="DN77" i="8"/>
  <c r="BX77" i="8"/>
  <c r="BH77" i="8"/>
  <c r="AO79" i="8"/>
  <c r="Y79" i="8"/>
  <c r="I79" i="8"/>
  <c r="BO68" i="8"/>
  <c r="BR68" i="8"/>
  <c r="BM70" i="8"/>
  <c r="DR55" i="8"/>
  <c r="DR58" i="8"/>
  <c r="DR59" i="8" s="1"/>
  <c r="DR56" i="8"/>
  <c r="DR60" i="8"/>
  <c r="DR61" i="8" s="1"/>
  <c r="BZ59" i="8"/>
  <c r="CW59" i="8"/>
  <c r="CG59" i="8"/>
  <c r="DO61" i="8"/>
  <c r="DS59" i="8"/>
  <c r="BC59" i="8"/>
  <c r="DB59" i="8"/>
  <c r="CF59" i="8"/>
  <c r="AH61" i="8"/>
  <c r="AE61" i="8"/>
  <c r="O61" i="8"/>
  <c r="AS59" i="8"/>
  <c r="AC59" i="8"/>
  <c r="CY59" i="8"/>
  <c r="AJ59" i="8"/>
  <c r="AF59" i="8"/>
  <c r="DP41" i="8"/>
  <c r="CH41" i="8"/>
  <c r="BR41" i="8"/>
  <c r="BB41" i="8"/>
  <c r="DU70" i="8"/>
  <c r="DQ70" i="8"/>
  <c r="DM63" i="8"/>
  <c r="CM32" i="8"/>
  <c r="BW32" i="8"/>
  <c r="BC32" i="8"/>
  <c r="DC64" i="8"/>
  <c r="CQ64" i="8"/>
  <c r="CM64" i="8"/>
  <c r="CA64" i="8"/>
  <c r="BW68" i="8"/>
  <c r="BG70" i="8"/>
  <c r="AN70" i="8"/>
  <c r="AH41" i="8"/>
  <c r="DR63" i="8"/>
  <c r="BK34" i="8"/>
  <c r="BK32" i="8"/>
  <c r="Z66" i="8"/>
  <c r="Z64" i="8"/>
  <c r="Z69" i="8"/>
  <c r="Z65" i="8"/>
  <c r="Z67" i="8"/>
  <c r="J66" i="8"/>
  <c r="J64" i="8"/>
  <c r="J69" i="8"/>
  <c r="J70" i="8" s="1"/>
  <c r="J65" i="8"/>
  <c r="J67" i="8"/>
  <c r="AN41" i="8"/>
  <c r="DA43" i="8"/>
  <c r="CG43" i="8"/>
  <c r="BU43" i="8"/>
  <c r="BM61" i="8"/>
  <c r="BA43" i="8"/>
  <c r="AJ43" i="8"/>
  <c r="X79" i="8"/>
  <c r="CC43" i="8"/>
  <c r="CF32" i="8"/>
  <c r="AO34" i="8"/>
  <c r="U66" i="8"/>
  <c r="U64" i="8"/>
  <c r="U69" i="8"/>
  <c r="U65" i="8"/>
  <c r="U67" i="8"/>
  <c r="CR77" i="8"/>
  <c r="BL68" i="8"/>
  <c r="DV61" i="8"/>
  <c r="BH79" i="8"/>
  <c r="AE79" i="8"/>
  <c r="O79" i="8"/>
  <c r="CF41" i="8"/>
  <c r="AN43" i="8"/>
  <c r="T41" i="8"/>
  <c r="CK69" i="8"/>
  <c r="CK66" i="8"/>
  <c r="CK65" i="8"/>
  <c r="CK67" i="8"/>
  <c r="CK64" i="8"/>
  <c r="CG69" i="8"/>
  <c r="CG70" i="8" s="1"/>
  <c r="CG66" i="8"/>
  <c r="CG65" i="8"/>
  <c r="CG64" i="8"/>
  <c r="CG67" i="8"/>
  <c r="CG68" i="8" s="1"/>
  <c r="CC69" i="8"/>
  <c r="CC70" i="8" s="1"/>
  <c r="CC66" i="8"/>
  <c r="CC65" i="8"/>
  <c r="CC67" i="8"/>
  <c r="CC68" i="8" s="1"/>
  <c r="CC64" i="8"/>
  <c r="BY69" i="8"/>
  <c r="BY67" i="8"/>
  <c r="BE69" i="8"/>
  <c r="BE67" i="8"/>
  <c r="BE64" i="8"/>
  <c r="BA66" i="8"/>
  <c r="BA69" i="8"/>
  <c r="BA70" i="8" s="1"/>
  <c r="BA65" i="8"/>
  <c r="BA64" i="8"/>
  <c r="BA67" i="8"/>
  <c r="BA68" i="8" s="1"/>
  <c r="AD34" i="8"/>
  <c r="AH32" i="8"/>
  <c r="X69" i="8"/>
  <c r="X67" i="8"/>
  <c r="X65" i="8"/>
  <c r="X64" i="8"/>
  <c r="X66" i="8"/>
  <c r="T69" i="8"/>
  <c r="T67" i="8"/>
  <c r="T65" i="8"/>
  <c r="T66" i="8"/>
  <c r="T64" i="8"/>
  <c r="P69" i="8"/>
  <c r="P67" i="8"/>
  <c r="P65" i="8"/>
  <c r="P64" i="8"/>
  <c r="P66" i="8"/>
  <c r="L65" i="8"/>
  <c r="DQ59" i="8"/>
  <c r="CE59" i="8"/>
  <c r="DQ34" i="8"/>
  <c r="CY34" i="8"/>
  <c r="BS79" i="8"/>
  <c r="BW41" i="8"/>
  <c r="BP34" i="8"/>
  <c r="CB32" i="8"/>
  <c r="CZ69" i="8"/>
  <c r="CZ70" i="8" s="1"/>
  <c r="CZ65" i="8"/>
  <c r="CZ64" i="8"/>
  <c r="CZ66" i="8"/>
  <c r="CZ67" i="8"/>
  <c r="CZ68" i="8" s="1"/>
  <c r="BT34" i="8"/>
  <c r="AZ67" i="8"/>
  <c r="AZ69" i="8"/>
  <c r="AE69" i="8"/>
  <c r="AE70" i="8" s="1"/>
  <c r="AE67" i="8"/>
  <c r="AE65" i="8"/>
  <c r="AE66" i="8"/>
  <c r="AE64" i="8"/>
  <c r="S69" i="8"/>
  <c r="S70" i="8" s="1"/>
  <c r="S67" i="8"/>
  <c r="S68" i="8" s="1"/>
  <c r="S65" i="8"/>
  <c r="S64" i="8"/>
  <c r="O69" i="8"/>
  <c r="O70" i="8" s="1"/>
  <c r="O67" i="8"/>
  <c r="O68" i="8" s="1"/>
  <c r="O65" i="8"/>
  <c r="O64" i="8"/>
  <c r="K69" i="8"/>
  <c r="K70" i="8" s="1"/>
  <c r="K67" i="8"/>
  <c r="K65" i="8"/>
  <c r="K64" i="8"/>
  <c r="K66" i="8"/>
  <c r="DB61" i="8"/>
  <c r="CT43" i="8"/>
  <c r="CL43" i="8"/>
  <c r="CD43" i="8"/>
  <c r="BZ61" i="8"/>
  <c r="BF61" i="8"/>
  <c r="AO32" i="8"/>
  <c r="Y32" i="8"/>
  <c r="CA34" i="8"/>
  <c r="DS131" i="7"/>
  <c r="DS132" i="7" s="1"/>
  <c r="DS134" i="7"/>
  <c r="DS135" i="7" s="1"/>
  <c r="DS74" i="7"/>
  <c r="DS76" i="7"/>
  <c r="DW73" i="7"/>
  <c r="DS9" i="7"/>
  <c r="DS19" i="8" s="1"/>
  <c r="W40" i="7"/>
  <c r="AB36" i="7" s="1"/>
  <c r="DV134" i="7"/>
  <c r="DV135" i="7" s="1"/>
  <c r="DV131" i="7"/>
  <c r="DV132" i="7" s="1"/>
  <c r="DV76" i="7"/>
  <c r="DV9" i="7"/>
  <c r="DV74" i="7"/>
  <c r="BF43" i="7"/>
  <c r="BF46" i="7" s="1"/>
  <c r="BJ46" i="7" s="1"/>
  <c r="BJ43" i="7"/>
  <c r="BJ49" i="7"/>
  <c r="DB117" i="4"/>
  <c r="DB148" i="7"/>
  <c r="DB78" i="7"/>
  <c r="I49" i="7"/>
  <c r="M43" i="7"/>
  <c r="M47" i="7" s="1"/>
  <c r="M49" i="7"/>
  <c r="M165" i="7" s="1"/>
  <c r="DT134" i="7"/>
  <c r="DT135" i="7" s="1"/>
  <c r="DT131" i="7"/>
  <c r="DT132" i="7" s="1"/>
  <c r="DT74" i="7"/>
  <c r="DY74" i="7"/>
  <c r="DT76" i="7"/>
  <c r="DT9" i="7"/>
  <c r="DE117" i="4"/>
  <c r="DE148" i="7"/>
  <c r="DP117" i="4"/>
  <c r="DP148" i="7"/>
  <c r="DP78" i="7"/>
  <c r="DA117" i="4"/>
  <c r="DA148" i="7"/>
  <c r="DA78" i="7"/>
  <c r="DG11" i="4"/>
  <c r="DR8" i="4"/>
  <c r="DR9" i="4"/>
  <c r="DW8" i="4"/>
  <c r="DW10" i="4"/>
  <c r="DJ408" i="7"/>
  <c r="DE406" i="7"/>
  <c r="DF406" i="7"/>
  <c r="BT115" i="7"/>
  <c r="BT116" i="7" s="1"/>
  <c r="BT112" i="7"/>
  <c r="BJ192" i="7"/>
  <c r="BJ193" i="7" s="1"/>
  <c r="BJ185" i="7"/>
  <c r="BJ190" i="7"/>
  <c r="AG186" i="7"/>
  <c r="AG185" i="7"/>
  <c r="DC201" i="7"/>
  <c r="DS191" i="7"/>
  <c r="DW190" i="7"/>
  <c r="DW191" i="7" s="1"/>
  <c r="AL189" i="7"/>
  <c r="CS190" i="7"/>
  <c r="CS192" i="7"/>
  <c r="CS193" i="7" s="1"/>
  <c r="CS185" i="7"/>
  <c r="U191" i="7"/>
  <c r="BO201" i="7"/>
  <c r="R201" i="7"/>
  <c r="DH192" i="7"/>
  <c r="DH193" i="7" s="1"/>
  <c r="DH189" i="7"/>
  <c r="AJ191" i="7"/>
  <c r="CI190" i="7"/>
  <c r="CI185" i="7"/>
  <c r="R185" i="7"/>
  <c r="R186" i="7"/>
  <c r="BO181" i="7"/>
  <c r="BO182" i="7"/>
  <c r="AL181" i="7"/>
  <c r="AL182" i="7"/>
  <c r="DH173" i="7"/>
  <c r="DH177" i="7"/>
  <c r="DH178" i="7" s="1"/>
  <c r="BT173" i="7"/>
  <c r="CX169" i="7"/>
  <c r="CX168" i="7"/>
  <c r="AG169" i="7"/>
  <c r="AG168" i="7"/>
  <c r="AG170" i="7"/>
  <c r="AG171" i="7" s="1"/>
  <c r="DW185" i="7"/>
  <c r="W185" i="7"/>
  <c r="W186" i="7"/>
  <c r="R190" i="7"/>
  <c r="R191" i="7" s="1"/>
  <c r="Z191" i="7"/>
  <c r="BJ173" i="7"/>
  <c r="DP191" i="7"/>
  <c r="CN190" i="7"/>
  <c r="CN185" i="7"/>
  <c r="AQ181" i="7"/>
  <c r="AQ182" i="7"/>
  <c r="CS177" i="7"/>
  <c r="CS178" i="7" s="1"/>
  <c r="CS173" i="7"/>
  <c r="CI170" i="7"/>
  <c r="CI171" i="7" s="1"/>
  <c r="CI168" i="7"/>
  <c r="CI169" i="7"/>
  <c r="R173" i="7"/>
  <c r="DM161" i="7"/>
  <c r="AM16" i="9" s="1"/>
  <c r="BE165" i="7"/>
  <c r="BE161" i="7"/>
  <c r="BE162" i="7"/>
  <c r="DH161" i="7"/>
  <c r="AH16" i="9" s="1"/>
  <c r="CJ176" i="7"/>
  <c r="DH170" i="7"/>
  <c r="DH171" i="7" s="1"/>
  <c r="DD171" i="7"/>
  <c r="DW170" i="7"/>
  <c r="DW171" i="7" s="1"/>
  <c r="DS171" i="7"/>
  <c r="DX170" i="7"/>
  <c r="DC161" i="7"/>
  <c r="AC16" i="9" s="1"/>
  <c r="DC162" i="7"/>
  <c r="BW176" i="7"/>
  <c r="DZ170" i="7"/>
  <c r="EE170" i="7" s="1"/>
  <c r="EJ170" i="7" s="1"/>
  <c r="DU171" i="7"/>
  <c r="BE169" i="7"/>
  <c r="BE170" i="7"/>
  <c r="BE171" i="7" s="1"/>
  <c r="BE168" i="7"/>
  <c r="W170" i="7"/>
  <c r="W171" i="7" s="1"/>
  <c r="W168" i="7"/>
  <c r="W169" i="7"/>
  <c r="DR170" i="7"/>
  <c r="DR171" i="7" s="1"/>
  <c r="DN171" i="7"/>
  <c r="DB176" i="7"/>
  <c r="CT176" i="7"/>
  <c r="CX175" i="7"/>
  <c r="BZ176" i="7"/>
  <c r="AS176" i="7"/>
  <c r="AC176" i="7"/>
  <c r="M162" i="7"/>
  <c r="M161" i="7"/>
  <c r="DS211" i="7"/>
  <c r="DS210" i="7"/>
  <c r="DC213" i="7"/>
  <c r="DC209" i="7"/>
  <c r="DC144" i="7"/>
  <c r="AC12" i="9" s="1"/>
  <c r="EB153" i="7"/>
  <c r="EB154" i="7" s="1"/>
  <c r="EC153" i="7"/>
  <c r="DT211" i="7"/>
  <c r="DT210" i="7"/>
  <c r="DL214" i="7"/>
  <c r="DD214" i="7"/>
  <c r="AN214" i="7"/>
  <c r="DP207" i="7"/>
  <c r="AP20" i="9" s="1"/>
  <c r="DP206" i="7"/>
  <c r="CN205" i="7"/>
  <c r="CN139" i="7"/>
  <c r="EJ143" i="7"/>
  <c r="CK214" i="7"/>
  <c r="DS207" i="7"/>
  <c r="AS20" i="9" s="1"/>
  <c r="DX205" i="7"/>
  <c r="DS206" i="7"/>
  <c r="CW210" i="7"/>
  <c r="CW31" i="7"/>
  <c r="CW30" i="7" s="1"/>
  <c r="AS214" i="7"/>
  <c r="AO214" i="7"/>
  <c r="AK214" i="7"/>
  <c r="AC210" i="7"/>
  <c r="CX205" i="7"/>
  <c r="CX139" i="7"/>
  <c r="EF143" i="7"/>
  <c r="EA73" i="7"/>
  <c r="DR213" i="7"/>
  <c r="DR209" i="7"/>
  <c r="DR145" i="7"/>
  <c r="DR144" i="7"/>
  <c r="AR12" i="9" s="1"/>
  <c r="DN211" i="7"/>
  <c r="DN210" i="7"/>
  <c r="BJ209" i="7"/>
  <c r="DU206" i="7"/>
  <c r="DU207" i="7"/>
  <c r="AU20" i="9" s="1"/>
  <c r="DZ205" i="7"/>
  <c r="CS205" i="7"/>
  <c r="CS139" i="7"/>
  <c r="BE205" i="7"/>
  <c r="DW92" i="7"/>
  <c r="DW94" i="7"/>
  <c r="R124" i="7"/>
  <c r="DD114" i="7"/>
  <c r="DH113" i="7"/>
  <c r="DH114" i="7" s="1"/>
  <c r="AK114" i="7"/>
  <c r="M109" i="7"/>
  <c r="DW101" i="7"/>
  <c r="DW102" i="7" s="1"/>
  <c r="DW97" i="7"/>
  <c r="AG94" i="7"/>
  <c r="AG93" i="7"/>
  <c r="AG92" i="7"/>
  <c r="DW99" i="7"/>
  <c r="DS100" i="7"/>
  <c r="DB237" i="7"/>
  <c r="DB235" i="7"/>
  <c r="DB238" i="7"/>
  <c r="DB236" i="7"/>
  <c r="DC87" i="7"/>
  <c r="DC88" i="7"/>
  <c r="CI99" i="7"/>
  <c r="CI88" i="7"/>
  <c r="CI87" i="7"/>
  <c r="CI89" i="7"/>
  <c r="BO131" i="7"/>
  <c r="BT210" i="7" s="1"/>
  <c r="BT144" i="7"/>
  <c r="BO134" i="7"/>
  <c r="BO74" i="7"/>
  <c r="AB131" i="7"/>
  <c r="AB134" i="7"/>
  <c r="AB74" i="7"/>
  <c r="BT128" i="7"/>
  <c r="BY139" i="7"/>
  <c r="BT70" i="7"/>
  <c r="M128" i="7"/>
  <c r="M70" i="7"/>
  <c r="BJ109" i="7"/>
  <c r="DN100" i="7"/>
  <c r="DR99" i="7"/>
  <c r="DH94" i="7"/>
  <c r="DH92" i="7"/>
  <c r="CD94" i="7"/>
  <c r="CD92" i="7"/>
  <c r="CD93" i="7"/>
  <c r="CD99" i="7"/>
  <c r="CD88" i="7"/>
  <c r="CD87" i="7"/>
  <c r="CD89" i="7"/>
  <c r="CN105" i="7"/>
  <c r="DM99" i="7"/>
  <c r="V100" i="7"/>
  <c r="DL237" i="7"/>
  <c r="DL235" i="7"/>
  <c r="DL238" i="7"/>
  <c r="DL236" i="7"/>
  <c r="DM88" i="7"/>
  <c r="DM87" i="7"/>
  <c r="CN109" i="7"/>
  <c r="AG109" i="7"/>
  <c r="R105" i="7"/>
  <c r="R106" i="7"/>
  <c r="S100" i="7"/>
  <c r="DG237" i="7"/>
  <c r="DG235" i="7"/>
  <c r="DG238" i="7"/>
  <c r="DG236" i="7"/>
  <c r="DH87" i="7"/>
  <c r="CZ100" i="7"/>
  <c r="BX100" i="7"/>
  <c r="DR134" i="7"/>
  <c r="DR131" i="7"/>
  <c r="DR76" i="7"/>
  <c r="DR74" i="7"/>
  <c r="DJ135" i="7"/>
  <c r="CV132" i="7"/>
  <c r="CN134" i="7"/>
  <c r="CN131" i="7"/>
  <c r="CN74" i="7"/>
  <c r="CF135" i="7"/>
  <c r="BX135" i="7"/>
  <c r="BL132" i="7"/>
  <c r="AS132" i="7"/>
  <c r="AK132" i="7"/>
  <c r="U132" i="7"/>
  <c r="DA129" i="7"/>
  <c r="CK129" i="7"/>
  <c r="BU129" i="7"/>
  <c r="BN100" i="7"/>
  <c r="BO128" i="7"/>
  <c r="BT139" i="7"/>
  <c r="BO70" i="7"/>
  <c r="AI129" i="7"/>
  <c r="CH64" i="7"/>
  <c r="BQ61" i="7"/>
  <c r="DM60" i="7"/>
  <c r="DM63" i="7"/>
  <c r="DM56" i="7"/>
  <c r="DE224" i="7"/>
  <c r="DJ224" i="7"/>
  <c r="CO226" i="7"/>
  <c r="CS220" i="7"/>
  <c r="BU225" i="7"/>
  <c r="BY219" i="7"/>
  <c r="BR100" i="7"/>
  <c r="W134" i="7"/>
  <c r="W131" i="7"/>
  <c r="W74" i="7"/>
  <c r="BJ128" i="7"/>
  <c r="BJ70" i="7"/>
  <c r="AM129" i="7"/>
  <c r="AZ66" i="7"/>
  <c r="AZ63" i="7"/>
  <c r="AZ60" i="7"/>
  <c r="J51" i="7"/>
  <c r="J52" i="7"/>
  <c r="J50" i="7"/>
  <c r="DL231" i="7"/>
  <c r="DL228" i="7"/>
  <c r="DL230" i="7"/>
  <c r="DL229" i="7"/>
  <c r="DM84" i="7"/>
  <c r="CJ224" i="7"/>
  <c r="CN218" i="7"/>
  <c r="BP225" i="7"/>
  <c r="BT219" i="7"/>
  <c r="CP100" i="7"/>
  <c r="CX134" i="7"/>
  <c r="CG135" i="7"/>
  <c r="CC135" i="7"/>
  <c r="BU135" i="7"/>
  <c r="Z135" i="7"/>
  <c r="V135" i="7"/>
  <c r="N132" i="7"/>
  <c r="AB128" i="7"/>
  <c r="AB70" i="7"/>
  <c r="DW56" i="7"/>
  <c r="DW63" i="7"/>
  <c r="DW60" i="7"/>
  <c r="BZ100" i="7"/>
  <c r="CK135" i="7"/>
  <c r="BN132" i="7"/>
  <c r="AD132" i="7"/>
  <c r="CD128" i="7"/>
  <c r="CD70" i="7"/>
  <c r="S129" i="7"/>
  <c r="AM64" i="7"/>
  <c r="DM58" i="7"/>
  <c r="DR63" i="7"/>
  <c r="DR56" i="7"/>
  <c r="AN52" i="7"/>
  <c r="AN51" i="7"/>
  <c r="T52" i="7"/>
  <c r="T51" i="7"/>
  <c r="DZ64" i="7"/>
  <c r="EE63" i="7"/>
  <c r="BW64" i="7"/>
  <c r="DB31" i="7"/>
  <c r="DB30" i="7" s="1"/>
  <c r="CE226" i="7"/>
  <c r="CI220" i="7"/>
  <c r="BV226" i="7"/>
  <c r="AR224" i="7"/>
  <c r="DT61" i="7"/>
  <c r="BG64" i="7"/>
  <c r="AP61" i="7"/>
  <c r="Q64" i="7"/>
  <c r="CL226" i="7"/>
  <c r="CH226" i="7"/>
  <c r="BZ224" i="7"/>
  <c r="CD218" i="7"/>
  <c r="M219" i="7"/>
  <c r="I225" i="7"/>
  <c r="DC134" i="7"/>
  <c r="DC135" i="7" s="1"/>
  <c r="CO64" i="7"/>
  <c r="Z61" i="7"/>
  <c r="CY223" i="7"/>
  <c r="DC217" i="7"/>
  <c r="CP224" i="7"/>
  <c r="BK224" i="7"/>
  <c r="BO218" i="7"/>
  <c r="BB223" i="7"/>
  <c r="T225" i="7"/>
  <c r="P225" i="7"/>
  <c r="L223" i="7"/>
  <c r="DR58" i="7"/>
  <c r="BX61" i="7"/>
  <c r="DD84" i="7"/>
  <c r="DH82" i="7"/>
  <c r="DN223" i="7"/>
  <c r="DI223" i="7"/>
  <c r="DK223" i="7"/>
  <c r="DF223" i="7"/>
  <c r="DB223" i="7"/>
  <c r="CT226" i="7"/>
  <c r="CX220" i="7"/>
  <c r="CX226" i="7" s="1"/>
  <c r="BR226" i="7"/>
  <c r="BN226" i="7"/>
  <c r="BJ218" i="7"/>
  <c r="BJ224" i="7" s="1"/>
  <c r="BF224" i="7"/>
  <c r="AN224" i="7"/>
  <c r="AJ225" i="7"/>
  <c r="AF224" i="7"/>
  <c r="X223" i="7"/>
  <c r="DC9" i="4"/>
  <c r="DD11" i="4"/>
  <c r="DO117" i="4"/>
  <c r="DO148" i="7"/>
  <c r="DO78" i="7"/>
  <c r="DR10" i="4"/>
  <c r="CX11" i="4"/>
  <c r="CW148" i="7"/>
  <c r="CW78" i="7"/>
  <c r="DP408" i="7"/>
  <c r="DN408" i="7"/>
  <c r="M186" i="7"/>
  <c r="M185" i="7"/>
  <c r="DW192" i="7"/>
  <c r="DW193" i="7" s="1"/>
  <c r="DW189" i="7"/>
  <c r="BY190" i="7"/>
  <c r="BY192" i="7"/>
  <c r="BY193" i="7" s="1"/>
  <c r="BY185" i="7"/>
  <c r="AB186" i="7"/>
  <c r="AB185" i="7"/>
  <c r="BO190" i="7"/>
  <c r="BO185" i="7"/>
  <c r="AB182" i="7"/>
  <c r="AB181" i="7"/>
  <c r="AQ190" i="7"/>
  <c r="AM191" i="7"/>
  <c r="DC181" i="7"/>
  <c r="DC182" i="7"/>
  <c r="CD170" i="7"/>
  <c r="CD171" i="7" s="1"/>
  <c r="CD169" i="7"/>
  <c r="CD168" i="7"/>
  <c r="M169" i="7"/>
  <c r="M170" i="7"/>
  <c r="M171" i="7" s="1"/>
  <c r="M168" i="7"/>
  <c r="DC177" i="7"/>
  <c r="DC178" i="7" s="1"/>
  <c r="DC173" i="7"/>
  <c r="AQ189" i="7"/>
  <c r="DV191" i="7"/>
  <c r="AR191" i="7"/>
  <c r="BE173" i="7"/>
  <c r="AL169" i="7"/>
  <c r="AL170" i="7"/>
  <c r="AL171" i="7" s="1"/>
  <c r="AL168" i="7"/>
  <c r="CN170" i="7"/>
  <c r="CN171" i="7" s="1"/>
  <c r="CN168" i="7"/>
  <c r="CN169" i="7"/>
  <c r="CS175" i="7"/>
  <c r="CS165" i="7"/>
  <c r="CS161" i="7"/>
  <c r="S16" i="9" s="1"/>
  <c r="CS162" i="7"/>
  <c r="BY175" i="7"/>
  <c r="BY165" i="7"/>
  <c r="BY161" i="7"/>
  <c r="BY162" i="7"/>
  <c r="M173" i="7"/>
  <c r="BT175" i="7"/>
  <c r="BT165" i="7"/>
  <c r="BT161" i="7"/>
  <c r="BT162" i="7"/>
  <c r="DI171" i="7"/>
  <c r="DM170" i="7"/>
  <c r="DM171" i="7" s="1"/>
  <c r="DC168" i="7"/>
  <c r="DW182" i="7"/>
  <c r="DW161" i="7"/>
  <c r="DC175" i="7"/>
  <c r="DC176" i="7" s="1"/>
  <c r="CY176" i="7"/>
  <c r="CI175" i="7"/>
  <c r="CI165" i="7"/>
  <c r="CI161" i="7"/>
  <c r="I16" i="9" s="1"/>
  <c r="CI162" i="7"/>
  <c r="BO175" i="7"/>
  <c r="BO176" i="7" s="1"/>
  <c r="BO165" i="7"/>
  <c r="BO161" i="7"/>
  <c r="BO162" i="7"/>
  <c r="CS169" i="7"/>
  <c r="CS170" i="7"/>
  <c r="CS171" i="7" s="1"/>
  <c r="CS168" i="7"/>
  <c r="DR182" i="7"/>
  <c r="DR162" i="7"/>
  <c r="DR161" i="7"/>
  <c r="DF176" i="7"/>
  <c r="CT171" i="7"/>
  <c r="CX170" i="7"/>
  <c r="CX171" i="7" s="1"/>
  <c r="BR176" i="7"/>
  <c r="BJ165" i="7"/>
  <c r="BJ162" i="7"/>
  <c r="BJ161" i="7"/>
  <c r="BB176" i="7"/>
  <c r="Y176" i="7"/>
  <c r="CY210" i="7"/>
  <c r="CY31" i="7"/>
  <c r="CI213" i="7"/>
  <c r="CI214" i="7" s="1"/>
  <c r="CI209" i="7"/>
  <c r="CI145" i="7"/>
  <c r="CI144" i="7"/>
  <c r="I12" i="9" s="1"/>
  <c r="AQ214" i="7"/>
  <c r="AD176" i="7"/>
  <c r="CZ210" i="7"/>
  <c r="CZ31" i="7"/>
  <c r="CZ30" i="7" s="1"/>
  <c r="AR210" i="7"/>
  <c r="DQ214" i="7"/>
  <c r="CG214" i="7"/>
  <c r="BU214" i="7"/>
  <c r="BQ214" i="7"/>
  <c r="BA214" i="7"/>
  <c r="DW205" i="7"/>
  <c r="DW139" i="7"/>
  <c r="AL206" i="7"/>
  <c r="CW214" i="7"/>
  <c r="CO214" i="7"/>
  <c r="AG209" i="7"/>
  <c r="AG210" i="7" s="1"/>
  <c r="AC214" i="7"/>
  <c r="Q210" i="7"/>
  <c r="DN207" i="7"/>
  <c r="AN20" i="9" s="1"/>
  <c r="DN206" i="7"/>
  <c r="DN214" i="7"/>
  <c r="DJ210" i="7"/>
  <c r="DE214" i="7"/>
  <c r="CH214" i="7"/>
  <c r="BZ214" i="7"/>
  <c r="BV214" i="7"/>
  <c r="BR214" i="7"/>
  <c r="BN214" i="7"/>
  <c r="BJ213" i="7"/>
  <c r="BJ214" i="7" s="1"/>
  <c r="BF214" i="7"/>
  <c r="DI206" i="7"/>
  <c r="DI207" i="7"/>
  <c r="AI20" i="9" s="1"/>
  <c r="AN206" i="7"/>
  <c r="AF206" i="7"/>
  <c r="X206" i="7"/>
  <c r="P206" i="7"/>
  <c r="H205" i="7"/>
  <c r="H206" i="7" s="1"/>
  <c r="AL93" i="7"/>
  <c r="AL92" i="7"/>
  <c r="AL94" i="7"/>
  <c r="BO126" i="7"/>
  <c r="DH115" i="7"/>
  <c r="DH116" i="7" s="1"/>
  <c r="DH112" i="7"/>
  <c r="CJ114" i="7"/>
  <c r="CN113" i="7"/>
  <c r="DS114" i="7"/>
  <c r="DW113" i="7"/>
  <c r="AC114" i="7"/>
  <c r="AG113" i="7"/>
  <c r="BE106" i="7"/>
  <c r="BE105" i="7"/>
  <c r="BT109" i="7"/>
  <c r="W109" i="7"/>
  <c r="DM134" i="7"/>
  <c r="DM131" i="7"/>
  <c r="DM74" i="7"/>
  <c r="DM75" i="7"/>
  <c r="H131" i="7"/>
  <c r="H134" i="7"/>
  <c r="AZ128" i="7"/>
  <c r="BE139" i="7"/>
  <c r="DM113" i="7"/>
  <c r="AH114" i="7"/>
  <c r="R112" i="7"/>
  <c r="DR105" i="7"/>
  <c r="DR106" i="7"/>
  <c r="DC92" i="7"/>
  <c r="DC94" i="7"/>
  <c r="AB92" i="7"/>
  <c r="AB93" i="7"/>
  <c r="AB94" i="7"/>
  <c r="DR87" i="7"/>
  <c r="BJ89" i="7"/>
  <c r="BJ88" i="7"/>
  <c r="BJ87" i="7"/>
  <c r="DH134" i="7"/>
  <c r="DH135" i="7" s="1"/>
  <c r="DH131" i="7"/>
  <c r="DH74" i="7"/>
  <c r="DH75" i="7"/>
  <c r="CX105" i="7"/>
  <c r="L100" i="7"/>
  <c r="BY97" i="7"/>
  <c r="W93" i="7"/>
  <c r="W92" i="7"/>
  <c r="W94" i="7"/>
  <c r="CS89" i="7"/>
  <c r="CS87" i="7"/>
  <c r="CS88" i="7"/>
  <c r="CS99" i="7"/>
  <c r="AB87" i="7"/>
  <c r="AB88" i="7"/>
  <c r="CT114" i="7"/>
  <c r="CX113" i="7"/>
  <c r="CX114" i="7" s="1"/>
  <c r="AQ109" i="7"/>
  <c r="AB113" i="7"/>
  <c r="X114" i="7"/>
  <c r="W105" i="7"/>
  <c r="W106" i="7"/>
  <c r="M106" i="7"/>
  <c r="M105" i="7"/>
  <c r="DV100" i="7"/>
  <c r="I100" i="7"/>
  <c r="CX97" i="7"/>
  <c r="BJ97" i="7"/>
  <c r="AQ97" i="7"/>
  <c r="DR94" i="7"/>
  <c r="DR93" i="7"/>
  <c r="DR92" i="7"/>
  <c r="CS93" i="7"/>
  <c r="CS94" i="7"/>
  <c r="CS92" i="7"/>
  <c r="M94" i="7"/>
  <c r="M92" i="7"/>
  <c r="M93" i="7"/>
  <c r="DD100" i="7"/>
  <c r="DH99" i="7"/>
  <c r="CR100" i="7"/>
  <c r="DN132" i="7"/>
  <c r="CV135" i="7"/>
  <c r="CJ132" i="7"/>
  <c r="CB132" i="7"/>
  <c r="BT134" i="7"/>
  <c r="BT135" i="7" s="1"/>
  <c r="BT131" i="7"/>
  <c r="BT132" i="7" s="1"/>
  <c r="BT74" i="7"/>
  <c r="BL135" i="7"/>
  <c r="BD135" i="7"/>
  <c r="AO135" i="7"/>
  <c r="AG131" i="7"/>
  <c r="AG132" i="7" s="1"/>
  <c r="AG134" i="7"/>
  <c r="AG135" i="7" s="1"/>
  <c r="AG74" i="7"/>
  <c r="Y135" i="7"/>
  <c r="Q135" i="7"/>
  <c r="CW129" i="7"/>
  <c r="CG129" i="7"/>
  <c r="BQ129" i="7"/>
  <c r="AQ139" i="7"/>
  <c r="AL128" i="7"/>
  <c r="AL70" i="7"/>
  <c r="DK135" i="7"/>
  <c r="CW132" i="7"/>
  <c r="AT132" i="7"/>
  <c r="AP132" i="7"/>
  <c r="H128" i="7"/>
  <c r="CS66" i="7"/>
  <c r="CS63" i="7"/>
  <c r="CS56" i="7"/>
  <c r="CS60" i="7"/>
  <c r="DE225" i="7"/>
  <c r="DJ225" i="7"/>
  <c r="CO225" i="7"/>
  <c r="CS219" i="7"/>
  <c r="BU226" i="7"/>
  <c r="BY220" i="7"/>
  <c r="DO135" i="7"/>
  <c r="CD134" i="7"/>
  <c r="CD131" i="7"/>
  <c r="CD74" i="7"/>
  <c r="BQ132" i="7"/>
  <c r="J132" i="7"/>
  <c r="DR128" i="7"/>
  <c r="DR70" i="7"/>
  <c r="BW129" i="7"/>
  <c r="AQ128" i="7"/>
  <c r="AQ70" i="7"/>
  <c r="DG64" i="7"/>
  <c r="CA64" i="7"/>
  <c r="DL61" i="7"/>
  <c r="DQ61" i="7"/>
  <c r="CF61" i="7"/>
  <c r="CK61" i="7"/>
  <c r="AO61" i="7"/>
  <c r="DH63" i="7"/>
  <c r="DH60" i="7"/>
  <c r="DH56" i="7"/>
  <c r="CF64" i="7"/>
  <c r="CJ226" i="7"/>
  <c r="CN220" i="7"/>
  <c r="CN226" i="7" s="1"/>
  <c r="BP223" i="7"/>
  <c r="BT217" i="7"/>
  <c r="H94" i="7"/>
  <c r="BV100" i="7"/>
  <c r="BY134" i="7"/>
  <c r="BY131" i="7"/>
  <c r="BY132" i="7" s="1"/>
  <c r="BY74" i="7"/>
  <c r="R134" i="7"/>
  <c r="R131" i="7"/>
  <c r="R74" i="7"/>
  <c r="N135" i="7"/>
  <c r="CI128" i="7"/>
  <c r="CI129" i="7" s="1"/>
  <c r="CI70" i="7"/>
  <c r="CA129" i="7"/>
  <c r="O129" i="7"/>
  <c r="EF63" i="7"/>
  <c r="EA64" i="7"/>
  <c r="CU64" i="7"/>
  <c r="AN64" i="7"/>
  <c r="DP61" i="7"/>
  <c r="CJ61" i="7"/>
  <c r="AS61" i="7"/>
  <c r="DC63" i="7"/>
  <c r="DC60" i="7"/>
  <c r="DC56" i="7"/>
  <c r="AB56" i="7"/>
  <c r="AB63" i="7"/>
  <c r="DM94" i="7"/>
  <c r="BF100" i="7"/>
  <c r="DG135" i="7"/>
  <c r="BN135" i="7"/>
  <c r="AD135" i="7"/>
  <c r="AB139" i="7"/>
  <c r="W128" i="7"/>
  <c r="W70" i="7"/>
  <c r="CY64" i="7"/>
  <c r="BC64" i="7"/>
  <c r="Q61" i="7"/>
  <c r="CX60" i="7"/>
  <c r="CX63" i="7"/>
  <c r="CX56" i="7"/>
  <c r="AJ52" i="7"/>
  <c r="AJ51" i="7"/>
  <c r="AJ50" i="7"/>
  <c r="P52" i="7"/>
  <c r="P51" i="7"/>
  <c r="P50" i="7"/>
  <c r="DA64" i="7"/>
  <c r="DU64" i="7"/>
  <c r="BH61" i="7"/>
  <c r="O51" i="7"/>
  <c r="CE224" i="7"/>
  <c r="CI218" i="7"/>
  <c r="CI224" i="7" s="1"/>
  <c r="BV223" i="7"/>
  <c r="AR226" i="7"/>
  <c r="CK64" i="7"/>
  <c r="DE64" i="7"/>
  <c r="DA31" i="7"/>
  <c r="DA30" i="7" s="1"/>
  <c r="CL223" i="7"/>
  <c r="CH223" i="7"/>
  <c r="BZ226" i="7"/>
  <c r="CD220" i="7"/>
  <c r="CD226" i="7" s="1"/>
  <c r="DC131" i="7"/>
  <c r="DS64" i="7"/>
  <c r="CY224" i="7"/>
  <c r="DC218" i="7"/>
  <c r="CP226" i="7"/>
  <c r="BK225" i="7"/>
  <c r="BO219" i="7"/>
  <c r="BG226" i="7"/>
  <c r="BB224" i="7"/>
  <c r="AT226" i="7"/>
  <c r="Y223" i="7"/>
  <c r="T226" i="7"/>
  <c r="P224" i="7"/>
  <c r="L224" i="7"/>
  <c r="CI58" i="7"/>
  <c r="DB61" i="7"/>
  <c r="BI64" i="7"/>
  <c r="Y51" i="7"/>
  <c r="K50" i="7"/>
  <c r="DR27" i="7"/>
  <c r="DI224" i="7"/>
  <c r="DN224" i="7"/>
  <c r="DF225" i="7"/>
  <c r="DK225" i="7"/>
  <c r="DB225" i="7"/>
  <c r="CT225" i="7"/>
  <c r="CX219" i="7"/>
  <c r="BW225" i="7"/>
  <c r="BR223" i="7"/>
  <c r="BN223" i="7"/>
  <c r="BF226" i="7"/>
  <c r="BJ220" i="7"/>
  <c r="BJ226" i="7" s="1"/>
  <c r="AN225" i="7"/>
  <c r="AJ226" i="7"/>
  <c r="AF226" i="7"/>
  <c r="X226" i="7"/>
  <c r="CY148" i="7"/>
  <c r="CY78" i="7"/>
  <c r="DK117" i="4"/>
  <c r="DK148" i="7"/>
  <c r="DK78" i="7"/>
  <c r="DI411" i="7"/>
  <c r="DJ411" i="7" s="1"/>
  <c r="DK411" i="7" s="1"/>
  <c r="DL411" i="7" s="1"/>
  <c r="DM411" i="7" s="1"/>
  <c r="DH412" i="7"/>
  <c r="DD406" i="7"/>
  <c r="X191" i="7"/>
  <c r="AB190" i="7"/>
  <c r="W189" i="7"/>
  <c r="CX190" i="7"/>
  <c r="CX185" i="7"/>
  <c r="CX182" i="7"/>
  <c r="CX181" i="7"/>
  <c r="BJ181" i="7"/>
  <c r="BJ182" i="7"/>
  <c r="DR192" i="7"/>
  <c r="DR193" i="7" s="1"/>
  <c r="DR189" i="7"/>
  <c r="BE192" i="7"/>
  <c r="BE193" i="7" s="1"/>
  <c r="BE190" i="7"/>
  <c r="BE185" i="7"/>
  <c r="BY203" i="7"/>
  <c r="DR199" i="7"/>
  <c r="DT191" i="7"/>
  <c r="DH182" i="7"/>
  <c r="DH181" i="7"/>
  <c r="DM181" i="7"/>
  <c r="BJ170" i="7"/>
  <c r="BJ171" i="7" s="1"/>
  <c r="BJ169" i="7"/>
  <c r="BJ168" i="7"/>
  <c r="W190" i="7"/>
  <c r="W191" i="7" s="1"/>
  <c r="S191" i="7"/>
  <c r="CS182" i="7"/>
  <c r="CS181" i="7"/>
  <c r="BO177" i="7"/>
  <c r="BO178" i="7" s="1"/>
  <c r="BO173" i="7"/>
  <c r="AB189" i="7"/>
  <c r="R181" i="7"/>
  <c r="R182" i="7"/>
  <c r="CX177" i="7"/>
  <c r="CX178" i="7" s="1"/>
  <c r="CX173" i="7"/>
  <c r="AN191" i="7"/>
  <c r="AD191" i="7"/>
  <c r="M181" i="7"/>
  <c r="M182" i="7"/>
  <c r="AB173" i="7"/>
  <c r="R169" i="7"/>
  <c r="R168" i="7"/>
  <c r="R170" i="7"/>
  <c r="R171" i="7" s="1"/>
  <c r="AB162" i="7"/>
  <c r="AB161" i="7"/>
  <c r="BY169" i="7"/>
  <c r="BY168" i="7"/>
  <c r="BY170" i="7"/>
  <c r="BY171" i="7" s="1"/>
  <c r="AQ170" i="7"/>
  <c r="AQ171" i="7" s="1"/>
  <c r="AQ168" i="7"/>
  <c r="AQ169" i="7"/>
  <c r="DH175" i="7"/>
  <c r="DH176" i="7" s="1"/>
  <c r="CN175" i="7"/>
  <c r="CN176" i="7" s="1"/>
  <c r="CN165" i="7"/>
  <c r="CN161" i="7"/>
  <c r="N16" i="9" s="1"/>
  <c r="CN162" i="7"/>
  <c r="BT170" i="7"/>
  <c r="BT171" i="7" s="1"/>
  <c r="BT168" i="7"/>
  <c r="BT169" i="7"/>
  <c r="DN176" i="7"/>
  <c r="DR175" i="7"/>
  <c r="DJ176" i="7"/>
  <c r="CL176" i="7"/>
  <c r="BF176" i="7"/>
  <c r="AK176" i="7"/>
  <c r="U176" i="7"/>
  <c r="DO210" i="7"/>
  <c r="DO211" i="7"/>
  <c r="R161" i="7"/>
  <c r="R162" i="7"/>
  <c r="AQ162" i="7"/>
  <c r="AQ161" i="7"/>
  <c r="DP211" i="7"/>
  <c r="DP210" i="7"/>
  <c r="DH213" i="7"/>
  <c r="DH214" i="7" s="1"/>
  <c r="DH209" i="7"/>
  <c r="DH210" i="7" s="1"/>
  <c r="DH144" i="7"/>
  <c r="AH12" i="9" s="1"/>
  <c r="CZ214" i="7"/>
  <c r="CR214" i="7"/>
  <c r="CF214" i="7"/>
  <c r="BP214" i="7"/>
  <c r="AZ209" i="7"/>
  <c r="AZ213" i="7"/>
  <c r="BE214" i="7" s="1"/>
  <c r="AZ146" i="7"/>
  <c r="AB213" i="7"/>
  <c r="DU210" i="7"/>
  <c r="DU211" i="7"/>
  <c r="DQ210" i="7"/>
  <c r="DQ211" i="7"/>
  <c r="DI214" i="7"/>
  <c r="CL214" i="7"/>
  <c r="BY209" i="7"/>
  <c r="BY210" i="7" s="1"/>
  <c r="BE209" i="7"/>
  <c r="W209" i="7"/>
  <c r="W210" i="7" s="1"/>
  <c r="DT207" i="7"/>
  <c r="AT20" i="9" s="1"/>
  <c r="DT206" i="7"/>
  <c r="DY205" i="7"/>
  <c r="DL207" i="7"/>
  <c r="AL20" i="9" s="1"/>
  <c r="DL206" i="7"/>
  <c r="BT205" i="7"/>
  <c r="BT206" i="7" s="1"/>
  <c r="AQ205" i="7"/>
  <c r="AQ206" i="7" s="1"/>
  <c r="CX213" i="7"/>
  <c r="CX209" i="7"/>
  <c r="CX144" i="7"/>
  <c r="X12" i="9" s="1"/>
  <c r="R213" i="7"/>
  <c r="R214" i="7" s="1"/>
  <c r="DK206" i="7"/>
  <c r="DK207" i="7"/>
  <c r="AK20" i="9" s="1"/>
  <c r="DC205" i="7"/>
  <c r="DC139" i="7"/>
  <c r="BO205" i="7"/>
  <c r="BO206" i="7" s="1"/>
  <c r="CS213" i="7"/>
  <c r="CS209" i="7"/>
  <c r="CS210" i="7" s="1"/>
  <c r="CS144" i="7"/>
  <c r="S12" i="9" s="1"/>
  <c r="AG213" i="7"/>
  <c r="AL214" i="7" s="1"/>
  <c r="Y210" i="7"/>
  <c r="U214" i="7"/>
  <c r="Q214" i="7"/>
  <c r="I210" i="7"/>
  <c r="DV207" i="7"/>
  <c r="AV20" i="9" s="1"/>
  <c r="DV206" i="7"/>
  <c r="EA205" i="7"/>
  <c r="M205" i="7"/>
  <c r="M206" i="7" s="1"/>
  <c r="DV210" i="7"/>
  <c r="DV211" i="7"/>
  <c r="DJ214" i="7"/>
  <c r="DQ206" i="7"/>
  <c r="DQ207" i="7"/>
  <c r="AQ20" i="9" s="1"/>
  <c r="BY205" i="7"/>
  <c r="BY206" i="7" s="1"/>
  <c r="R93" i="7"/>
  <c r="R92" i="7"/>
  <c r="R94" i="7"/>
  <c r="DC115" i="7"/>
  <c r="DC116" i="7" s="1"/>
  <c r="DC109" i="7"/>
  <c r="BO105" i="7"/>
  <c r="BO106" i="7"/>
  <c r="BP114" i="7"/>
  <c r="BT113" i="7"/>
  <c r="BT114" i="7" s="1"/>
  <c r="I114" i="7"/>
  <c r="M113" i="7"/>
  <c r="M114" i="7" s="1"/>
  <c r="DH97" i="7"/>
  <c r="AL112" i="7"/>
  <c r="CD113" i="7"/>
  <c r="W113" i="7"/>
  <c r="W114" i="7" s="1"/>
  <c r="S114" i="7"/>
  <c r="BJ106" i="7"/>
  <c r="BJ105" i="7"/>
  <c r="BE97" i="7"/>
  <c r="AL97" i="7"/>
  <c r="BJ94" i="7"/>
  <c r="BJ92" i="7"/>
  <c r="BJ93" i="7"/>
  <c r="DW87" i="7"/>
  <c r="DC99" i="7"/>
  <c r="CN124" i="7"/>
  <c r="CO114" i="7"/>
  <c r="AB112" i="7"/>
  <c r="BF114" i="7"/>
  <c r="BJ113" i="7"/>
  <c r="BJ114" i="7" s="1"/>
  <c r="DH105" i="7"/>
  <c r="CW237" i="7"/>
  <c r="CW235" i="7"/>
  <c r="CW238" i="7"/>
  <c r="CW236" i="7"/>
  <c r="CX88" i="7"/>
  <c r="CX87" i="7"/>
  <c r="AG88" i="7"/>
  <c r="AG87" i="7"/>
  <c r="DD132" i="7"/>
  <c r="DR113" i="7"/>
  <c r="DR114" i="7" s="1"/>
  <c r="DN114" i="7"/>
  <c r="BY93" i="7"/>
  <c r="BY94" i="7"/>
  <c r="BY92" i="7"/>
  <c r="BE89" i="7"/>
  <c r="BE87" i="7"/>
  <c r="BE88" i="7"/>
  <c r="CX115" i="7"/>
  <c r="CX116" i="7" s="1"/>
  <c r="CI113" i="7"/>
  <c r="CI114" i="7" s="1"/>
  <c r="AQ113" i="7"/>
  <c r="AQ114" i="7" s="1"/>
  <c r="AM114" i="7"/>
  <c r="BT105" i="7"/>
  <c r="BH100" i="7"/>
  <c r="BT94" i="7"/>
  <c r="BT93" i="7"/>
  <c r="BT92" i="7"/>
  <c r="BT88" i="7"/>
  <c r="BT99" i="7"/>
  <c r="BT89" i="7"/>
  <c r="BT87" i="7"/>
  <c r="AQ87" i="7"/>
  <c r="AQ88" i="7"/>
  <c r="W87" i="7"/>
  <c r="W88" i="7"/>
  <c r="DN135" i="7"/>
  <c r="CZ132" i="7"/>
  <c r="CR132" i="7"/>
  <c r="CJ135" i="7"/>
  <c r="CB135" i="7"/>
  <c r="BP132" i="7"/>
  <c r="BH132" i="7"/>
  <c r="AZ134" i="7"/>
  <c r="AO132" i="7"/>
  <c r="AC135" i="7"/>
  <c r="Y132" i="7"/>
  <c r="Q132" i="7"/>
  <c r="DM128" i="7"/>
  <c r="DM71" i="7"/>
  <c r="DM70" i="7"/>
  <c r="CS128" i="7"/>
  <c r="CS70" i="7"/>
  <c r="CC129" i="7"/>
  <c r="BM129" i="7"/>
  <c r="W139" i="7"/>
  <c r="R128" i="7"/>
  <c r="R129" i="7" s="1"/>
  <c r="R70" i="7"/>
  <c r="DB100" i="7"/>
  <c r="DK132" i="7"/>
  <c r="CO132" i="7"/>
  <c r="BM132" i="7"/>
  <c r="BI135" i="7"/>
  <c r="AT135" i="7"/>
  <c r="DW128" i="7"/>
  <c r="DW129" i="7" s="1"/>
  <c r="DW70" i="7"/>
  <c r="BY66" i="7"/>
  <c r="BY60" i="7"/>
  <c r="BY56" i="7"/>
  <c r="BY63" i="7"/>
  <c r="DJ223" i="7"/>
  <c r="DE223" i="7"/>
  <c r="CO224" i="7"/>
  <c r="CS218" i="7"/>
  <c r="CS224" i="7" s="1"/>
  <c r="BU223" i="7"/>
  <c r="BY217" i="7"/>
  <c r="BY223" i="7" s="1"/>
  <c r="AM225" i="7"/>
  <c r="AQ219" i="7"/>
  <c r="DF100" i="7"/>
  <c r="DO132" i="7"/>
  <c r="BQ135" i="7"/>
  <c r="J135" i="7"/>
  <c r="CX128" i="7"/>
  <c r="CX70" i="7"/>
  <c r="CN66" i="7"/>
  <c r="CN63" i="7"/>
  <c r="CN60" i="7"/>
  <c r="CN56" i="7"/>
  <c r="AG63" i="7"/>
  <c r="AG64" i="7" s="1"/>
  <c r="AG60" i="7"/>
  <c r="AG56" i="7"/>
  <c r="AD51" i="7"/>
  <c r="AD66" i="7"/>
  <c r="AD52" i="7"/>
  <c r="BS37" i="7"/>
  <c r="BS39" i="7" s="1"/>
  <c r="CJ223" i="7"/>
  <c r="CN217" i="7"/>
  <c r="BP224" i="7"/>
  <c r="BT218" i="7"/>
  <c r="BT224" i="7" s="1"/>
  <c r="AQ94" i="7"/>
  <c r="DT100" i="7"/>
  <c r="AP100" i="7"/>
  <c r="DA132" i="7"/>
  <c r="CI66" i="7"/>
  <c r="CI56" i="7"/>
  <c r="CI63" i="7"/>
  <c r="CI60" i="7"/>
  <c r="H63" i="7"/>
  <c r="G52" i="7"/>
  <c r="G50" i="7"/>
  <c r="DG132" i="7"/>
  <c r="CT132" i="7"/>
  <c r="BO144" i="7"/>
  <c r="BJ134" i="7"/>
  <c r="BJ131" i="7"/>
  <c r="BO210" i="7" s="1"/>
  <c r="BJ74" i="7"/>
  <c r="BF132" i="7"/>
  <c r="AM132" i="7"/>
  <c r="CD56" i="7"/>
  <c r="CD63" i="7"/>
  <c r="AQ60" i="7"/>
  <c r="AQ63" i="7"/>
  <c r="AQ64" i="7" s="1"/>
  <c r="AQ56" i="7"/>
  <c r="AF52" i="7"/>
  <c r="AF50" i="7"/>
  <c r="AF51" i="7"/>
  <c r="L52" i="7"/>
  <c r="L50" i="7"/>
  <c r="L51" i="7"/>
  <c r="DU132" i="7"/>
  <c r="AI51" i="7"/>
  <c r="CE223" i="7"/>
  <c r="CI217" i="7"/>
  <c r="BV225" i="7"/>
  <c r="AR225" i="7"/>
  <c r="N225" i="7"/>
  <c r="R219" i="7"/>
  <c r="R225" i="7" s="1"/>
  <c r="BV61" i="7"/>
  <c r="AG58" i="7"/>
  <c r="AF64" i="7"/>
  <c r="AO51" i="7"/>
  <c r="BF36" i="7"/>
  <c r="BJ36" i="7"/>
  <c r="BJ40" i="7" s="1"/>
  <c r="AB38" i="7"/>
  <c r="CL225" i="7"/>
  <c r="CH225" i="7"/>
  <c r="BZ223" i="7"/>
  <c r="CD217" i="7"/>
  <c r="CD223" i="7" s="1"/>
  <c r="DX64" i="7"/>
  <c r="EC63" i="7"/>
  <c r="DR29" i="7"/>
  <c r="CY226" i="7"/>
  <c r="DC220" i="7"/>
  <c r="CP223" i="7"/>
  <c r="BK226" i="7"/>
  <c r="BO220" i="7"/>
  <c r="BO226" i="7" s="1"/>
  <c r="BB226" i="7"/>
  <c r="T223" i="7"/>
  <c r="P223" i="7"/>
  <c r="L225" i="7"/>
  <c r="BY58" i="7"/>
  <c r="CW64" i="7"/>
  <c r="AS64" i="7"/>
  <c r="DM28" i="7"/>
  <c r="DI225" i="7"/>
  <c r="DN225" i="7"/>
  <c r="DK224" i="7"/>
  <c r="DF224" i="7"/>
  <c r="DB224" i="7"/>
  <c r="CT223" i="7"/>
  <c r="CX217" i="7"/>
  <c r="BR225" i="7"/>
  <c r="BN225" i="7"/>
  <c r="BF223" i="7"/>
  <c r="BJ217" i="7"/>
  <c r="BJ223" i="7" s="1"/>
  <c r="AN226" i="7"/>
  <c r="AJ224" i="7"/>
  <c r="AF225" i="7"/>
  <c r="AB219" i="7"/>
  <c r="X225" i="7"/>
  <c r="CZ11" i="4"/>
  <c r="DF11" i="4"/>
  <c r="DL11" i="4"/>
  <c r="DQ117" i="4"/>
  <c r="DQ148" i="7"/>
  <c r="DQ78" i="7"/>
  <c r="BY273" i="7"/>
  <c r="BY111" i="7" s="1"/>
  <c r="BU111" i="7"/>
  <c r="DL408" i="7"/>
  <c r="DG406" i="7"/>
  <c r="DC203" i="7"/>
  <c r="CD201" i="7"/>
  <c r="CD190" i="7"/>
  <c r="CD185" i="7"/>
  <c r="CD192" i="7"/>
  <c r="CD193" i="7" s="1"/>
  <c r="AL201" i="7"/>
  <c r="AL196" i="7"/>
  <c r="V191" i="7"/>
  <c r="DM185" i="7"/>
  <c r="CI201" i="7"/>
  <c r="DM190" i="7"/>
  <c r="DR191" i="7" s="1"/>
  <c r="DM192" i="7"/>
  <c r="DM193" i="7" s="1"/>
  <c r="DW203" i="7"/>
  <c r="BT201" i="7"/>
  <c r="W201" i="7"/>
  <c r="DU191" i="7"/>
  <c r="AT191" i="7"/>
  <c r="AO191" i="7"/>
  <c r="DC190" i="7"/>
  <c r="DC185" i="7"/>
  <c r="AL185" i="7"/>
  <c r="AL186" i="7"/>
  <c r="CI181" i="7"/>
  <c r="DH199" i="7"/>
  <c r="BT190" i="7"/>
  <c r="BT185" i="7"/>
  <c r="AQ185" i="7"/>
  <c r="AQ186" i="7"/>
  <c r="AL190" i="7"/>
  <c r="AL191" i="7" s="1"/>
  <c r="DR169" i="7"/>
  <c r="DR168" i="7"/>
  <c r="AQ173" i="7"/>
  <c r="AP191" i="7"/>
  <c r="AA191" i="7"/>
  <c r="BE182" i="7"/>
  <c r="BE181" i="7"/>
  <c r="AG181" i="7"/>
  <c r="AG182" i="7"/>
  <c r="W181" i="7"/>
  <c r="W182" i="7"/>
  <c r="CI173" i="7"/>
  <c r="W196" i="7"/>
  <c r="DH190" i="7"/>
  <c r="DH191" i="7" s="1"/>
  <c r="CN181" i="7"/>
  <c r="R203" i="7"/>
  <c r="DM182" i="7"/>
  <c r="BY181" i="7"/>
  <c r="BY173" i="7"/>
  <c r="DM175" i="7"/>
  <c r="DM176" i="7" s="1"/>
  <c r="DI176" i="7"/>
  <c r="AJ176" i="7"/>
  <c r="DM169" i="7"/>
  <c r="DM168" i="7"/>
  <c r="DL176" i="7"/>
  <c r="CZ176" i="7"/>
  <c r="BX176" i="7"/>
  <c r="AB170" i="7"/>
  <c r="AB171" i="7" s="1"/>
  <c r="AB168" i="7"/>
  <c r="AB169" i="7"/>
  <c r="DW175" i="7"/>
  <c r="DW176" i="7" s="1"/>
  <c r="DS176" i="7"/>
  <c r="DK176" i="7"/>
  <c r="DC170" i="7"/>
  <c r="DC171" i="7" s="1"/>
  <c r="CY171" i="7"/>
  <c r="CQ176" i="7"/>
  <c r="DM177" i="7"/>
  <c r="DM178" i="7" s="1"/>
  <c r="DT171" i="7"/>
  <c r="DY170" i="7"/>
  <c r="ED170" i="7" s="1"/>
  <c r="EI170" i="7" s="1"/>
  <c r="AG173" i="7"/>
  <c r="EA170" i="7"/>
  <c r="EF170" i="7" s="1"/>
  <c r="EK170" i="7" s="1"/>
  <c r="DV171" i="7"/>
  <c r="CX162" i="7"/>
  <c r="CX161" i="7"/>
  <c r="X16" i="9" s="1"/>
  <c r="CP176" i="7"/>
  <c r="CD175" i="7"/>
  <c r="CD176" i="7" s="1"/>
  <c r="CD162" i="7"/>
  <c r="CD165" i="7"/>
  <c r="CD161" i="7"/>
  <c r="BV176" i="7"/>
  <c r="BN176" i="7"/>
  <c r="AG162" i="7"/>
  <c r="AG161" i="7"/>
  <c r="Q176" i="7"/>
  <c r="W161" i="7"/>
  <c r="W162" i="7"/>
  <c r="O176" i="7"/>
  <c r="DW209" i="7"/>
  <c r="DW213" i="7"/>
  <c r="DW214" i="7" s="1"/>
  <c r="DW144" i="7"/>
  <c r="BO213" i="7"/>
  <c r="BO214" i="7" s="1"/>
  <c r="AI176" i="7"/>
  <c r="AL161" i="7"/>
  <c r="AL162" i="7"/>
  <c r="EB143" i="7"/>
  <c r="EC143" i="7"/>
  <c r="DX73" i="7"/>
  <c r="DP214" i="7"/>
  <c r="CV214" i="7"/>
  <c r="CN213" i="7"/>
  <c r="CN214" i="7" s="1"/>
  <c r="CN209" i="7"/>
  <c r="CN144" i="7"/>
  <c r="N12" i="9" s="1"/>
  <c r="BX214" i="7"/>
  <c r="BH214" i="7"/>
  <c r="AN210" i="7"/>
  <c r="X210" i="7"/>
  <c r="P210" i="7"/>
  <c r="H209" i="7"/>
  <c r="H210" i="7" s="1"/>
  <c r="DU214" i="7"/>
  <c r="DM213" i="7"/>
  <c r="DM214" i="7" s="1"/>
  <c r="DM209" i="7"/>
  <c r="DM210" i="7" s="1"/>
  <c r="DM144" i="7"/>
  <c r="AM12" i="9" s="1"/>
  <c r="DM145" i="7"/>
  <c r="BY213" i="7"/>
  <c r="BY214" i="7" s="1"/>
  <c r="BI214" i="7"/>
  <c r="AE214" i="7"/>
  <c r="W213" i="7"/>
  <c r="W214" i="7" s="1"/>
  <c r="S214" i="7"/>
  <c r="DH205" i="7"/>
  <c r="DH139" i="7"/>
  <c r="AZ205" i="7"/>
  <c r="AL209" i="7"/>
  <c r="AL210" i="7" s="1"/>
  <c r="AH214" i="7"/>
  <c r="Z210" i="7"/>
  <c r="V210" i="7"/>
  <c r="J214" i="7"/>
  <c r="DO206" i="7"/>
  <c r="DO207" i="7"/>
  <c r="AO20" i="9" s="1"/>
  <c r="CI205" i="7"/>
  <c r="CI206" i="7" s="1"/>
  <c r="CI140" i="7"/>
  <c r="CI139" i="7"/>
  <c r="AT206" i="7"/>
  <c r="AD206" i="7"/>
  <c r="N206" i="7"/>
  <c r="DF214" i="7"/>
  <c r="AS210" i="7"/>
  <c r="AO210" i="7"/>
  <c r="AK210" i="7"/>
  <c r="Y214" i="7"/>
  <c r="M209" i="7"/>
  <c r="M210" i="7" s="1"/>
  <c r="I214" i="7"/>
  <c r="DR205" i="7"/>
  <c r="DR139" i="7"/>
  <c r="DJ206" i="7"/>
  <c r="DJ207" i="7"/>
  <c r="AJ20" i="9" s="1"/>
  <c r="DM154" i="7"/>
  <c r="DV214" i="7"/>
  <c r="DJ146" i="7"/>
  <c r="DM205" i="7"/>
  <c r="DM139" i="7"/>
  <c r="AR206" i="7"/>
  <c r="AJ206" i="7"/>
  <c r="AB205" i="7"/>
  <c r="AB206" i="7" s="1"/>
  <c r="T206" i="7"/>
  <c r="L206" i="7"/>
  <c r="CX122" i="7"/>
  <c r="CS126" i="7"/>
  <c r="AL124" i="7"/>
  <c r="BY124" i="7"/>
  <c r="R126" i="7"/>
  <c r="CI115" i="7"/>
  <c r="CI116" i="7" s="1"/>
  <c r="CI109" i="7"/>
  <c r="DW106" i="7"/>
  <c r="DW105" i="7"/>
  <c r="AB106" i="7"/>
  <c r="AB105" i="7"/>
  <c r="CX124" i="7"/>
  <c r="BJ124" i="7"/>
  <c r="DC126" i="7"/>
  <c r="AL126" i="7"/>
  <c r="W124" i="7"/>
  <c r="AQ112" i="7"/>
  <c r="CN97" i="7"/>
  <c r="BA114" i="7"/>
  <c r="BO114" i="7"/>
  <c r="CS97" i="7"/>
  <c r="CI94" i="7"/>
  <c r="CI93" i="7"/>
  <c r="CI92" i="7"/>
  <c r="BO99" i="7"/>
  <c r="BO100" i="7" s="1"/>
  <c r="BO89" i="7"/>
  <c r="BO88" i="7"/>
  <c r="BO87" i="7"/>
  <c r="AL88" i="7"/>
  <c r="AL87" i="7"/>
  <c r="R88" i="7"/>
  <c r="R87" i="7"/>
  <c r="CI131" i="7"/>
  <c r="CI132" i="7" s="1"/>
  <c r="CI134" i="7"/>
  <c r="CI135" i="7" s="1"/>
  <c r="CI74" i="7"/>
  <c r="DH128" i="7"/>
  <c r="DH71" i="7"/>
  <c r="DH70" i="7"/>
  <c r="CN128" i="7"/>
  <c r="CN129" i="7" s="1"/>
  <c r="CN70" i="7"/>
  <c r="AG128" i="7"/>
  <c r="AG129" i="7" s="1"/>
  <c r="AG70" i="7"/>
  <c r="DM122" i="7"/>
  <c r="DR112" i="7"/>
  <c r="DR97" i="7"/>
  <c r="DR101" i="7"/>
  <c r="DR102" i="7" s="1"/>
  <c r="BE93" i="7"/>
  <c r="BE92" i="7"/>
  <c r="BE94" i="7"/>
  <c r="CX99" i="7"/>
  <c r="CX100" i="7" s="1"/>
  <c r="AS100" i="7"/>
  <c r="M89" i="7"/>
  <c r="M88" i="7"/>
  <c r="M87" i="7"/>
  <c r="DD135" i="7"/>
  <c r="AG119" i="7"/>
  <c r="N114" i="7"/>
  <c r="AN114" i="7"/>
  <c r="P114" i="7"/>
  <c r="AL106" i="7"/>
  <c r="AQ105" i="7"/>
  <c r="AQ106" i="7"/>
  <c r="AG106" i="7"/>
  <c r="AF100" i="7"/>
  <c r="R97" i="7"/>
  <c r="CX94" i="7"/>
  <c r="CX92" i="7"/>
  <c r="BY89" i="7"/>
  <c r="BY87" i="7"/>
  <c r="BY88" i="7"/>
  <c r="BY99" i="7"/>
  <c r="BY100" i="7" s="1"/>
  <c r="CD115" i="7"/>
  <c r="CD116" i="7" s="1"/>
  <c r="DU114" i="7"/>
  <c r="CS109" i="7"/>
  <c r="CA114" i="7"/>
  <c r="CD105" i="7"/>
  <c r="AC100" i="7"/>
  <c r="BO94" i="7"/>
  <c r="BO93" i="7"/>
  <c r="BO92" i="7"/>
  <c r="CN88" i="7"/>
  <c r="CN99" i="7"/>
  <c r="CN100" i="7" s="1"/>
  <c r="CN87" i="7"/>
  <c r="CN89" i="7"/>
  <c r="CF100" i="7"/>
  <c r="BP100" i="7"/>
  <c r="DJ132" i="7"/>
  <c r="CZ135" i="7"/>
  <c r="CR135" i="7"/>
  <c r="CF132" i="7"/>
  <c r="BX132" i="7"/>
  <c r="BP135" i="7"/>
  <c r="BH135" i="7"/>
  <c r="AS135" i="7"/>
  <c r="AK135" i="7"/>
  <c r="AC132" i="7"/>
  <c r="U135" i="7"/>
  <c r="M131" i="7"/>
  <c r="M132" i="7" s="1"/>
  <c r="M134" i="7"/>
  <c r="M135" i="7" s="1"/>
  <c r="M74" i="7"/>
  <c r="DE129" i="7"/>
  <c r="CO129" i="7"/>
  <c r="BY128" i="7"/>
  <c r="BY129" i="7" s="1"/>
  <c r="BY70" i="7"/>
  <c r="BE128" i="7"/>
  <c r="BE129" i="7" s="1"/>
  <c r="BE70" i="7"/>
  <c r="CH100" i="7"/>
  <c r="CS134" i="7"/>
  <c r="CS135" i="7" s="1"/>
  <c r="CS131" i="7"/>
  <c r="CS132" i="7" s="1"/>
  <c r="CS74" i="7"/>
  <c r="CO135" i="7"/>
  <c r="BM135" i="7"/>
  <c r="BE134" i="7"/>
  <c r="BE135" i="7" s="1"/>
  <c r="BE131" i="7"/>
  <c r="BE74" i="7"/>
  <c r="AL134" i="7"/>
  <c r="AL135" i="7" s="1"/>
  <c r="AL131" i="7"/>
  <c r="AL132" i="7" s="1"/>
  <c r="AL74" i="7"/>
  <c r="AH135" i="7"/>
  <c r="K64" i="7"/>
  <c r="CR61" i="7"/>
  <c r="BE66" i="7"/>
  <c r="BE60" i="7"/>
  <c r="BE61" i="7" s="1"/>
  <c r="BE63" i="7"/>
  <c r="BE64" i="7" s="1"/>
  <c r="BE56" i="7"/>
  <c r="BT37" i="7"/>
  <c r="DJ226" i="7"/>
  <c r="DE226" i="7"/>
  <c r="CO223" i="7"/>
  <c r="CS217" i="7"/>
  <c r="BU224" i="7"/>
  <c r="BY218" i="7"/>
  <c r="BY224" i="7" s="1"/>
  <c r="W219" i="7"/>
  <c r="W225" i="7" s="1"/>
  <c r="S225" i="7"/>
  <c r="CL100" i="7"/>
  <c r="BV135" i="7"/>
  <c r="K129" i="7"/>
  <c r="J66" i="7"/>
  <c r="CQ64" i="7"/>
  <c r="BK64" i="7"/>
  <c r="AJ64" i="7"/>
  <c r="O64" i="7"/>
  <c r="CV61" i="7"/>
  <c r="DA61" i="7"/>
  <c r="Y61" i="7"/>
  <c r="DT64" i="7"/>
  <c r="DY63" i="7"/>
  <c r="DL64" i="7"/>
  <c r="BT66" i="7"/>
  <c r="BT63" i="7"/>
  <c r="BT60" i="7"/>
  <c r="BT56" i="7"/>
  <c r="M63" i="7"/>
  <c r="M64" i="7" s="1"/>
  <c r="M56" i="7"/>
  <c r="AL46" i="7"/>
  <c r="R46" i="7"/>
  <c r="CN219" i="7"/>
  <c r="CJ225" i="7"/>
  <c r="BP226" i="7"/>
  <c r="BT220" i="7"/>
  <c r="AQ92" i="7"/>
  <c r="DE100" i="7"/>
  <c r="CX131" i="7"/>
  <c r="CX132" i="7" s="1"/>
  <c r="DA135" i="7"/>
  <c r="CG132" i="7"/>
  <c r="CC132" i="7"/>
  <c r="BU132" i="7"/>
  <c r="AE135" i="7"/>
  <c r="Z132" i="7"/>
  <c r="V132" i="7"/>
  <c r="DC128" i="7"/>
  <c r="DC129" i="7" s="1"/>
  <c r="DK64" i="7"/>
  <c r="CE64" i="7"/>
  <c r="X64" i="7"/>
  <c r="CZ61" i="7"/>
  <c r="BO56" i="7"/>
  <c r="BO66" i="7"/>
  <c r="BO63" i="7"/>
  <c r="BO60" i="7"/>
  <c r="BE52" i="7"/>
  <c r="BE51" i="7"/>
  <c r="DM92" i="7"/>
  <c r="CO100" i="7"/>
  <c r="CT135" i="7"/>
  <c r="CP135" i="7"/>
  <c r="CK132" i="7"/>
  <c r="BF135" i="7"/>
  <c r="BB135" i="7"/>
  <c r="AQ134" i="7"/>
  <c r="AQ135" i="7" s="1"/>
  <c r="AQ131" i="7"/>
  <c r="AQ74" i="7"/>
  <c r="AM135" i="7"/>
  <c r="BC129" i="7"/>
  <c r="AE129" i="7"/>
  <c r="AA129" i="7"/>
  <c r="DO64" i="7"/>
  <c r="BS64" i="7"/>
  <c r="AR64" i="7"/>
  <c r="BJ60" i="7"/>
  <c r="BJ66" i="7"/>
  <c r="BJ56" i="7"/>
  <c r="BJ63" i="7"/>
  <c r="W60" i="7"/>
  <c r="W56" i="7"/>
  <c r="W63" i="7"/>
  <c r="W64" i="7" s="1"/>
  <c r="G66" i="7"/>
  <c r="F89" i="7"/>
  <c r="F50" i="7"/>
  <c r="F52" i="7"/>
  <c r="DU135" i="7"/>
  <c r="CG64" i="7"/>
  <c r="AC64" i="7"/>
  <c r="DR38" i="7"/>
  <c r="DR40" i="7" s="1"/>
  <c r="CE225" i="7"/>
  <c r="CI219" i="7"/>
  <c r="CA225" i="7"/>
  <c r="BV224" i="7"/>
  <c r="AR223" i="7"/>
  <c r="AD61" i="7"/>
  <c r="BQ64" i="7"/>
  <c r="CQ225" i="7"/>
  <c r="CL224" i="7"/>
  <c r="CH224" i="7"/>
  <c r="BZ225" i="7"/>
  <c r="CD219" i="7"/>
  <c r="CD225" i="7" s="1"/>
  <c r="AH225" i="7"/>
  <c r="AL219" i="7"/>
  <c r="BU64" i="7"/>
  <c r="DD61" i="7"/>
  <c r="AO64" i="7"/>
  <c r="F66" i="7"/>
  <c r="CY225" i="7"/>
  <c r="DC219" i="7"/>
  <c r="CU224" i="7"/>
  <c r="CP225" i="7"/>
  <c r="BK223" i="7"/>
  <c r="BO217" i="7"/>
  <c r="BO223" i="7" s="1"/>
  <c r="BG224" i="7"/>
  <c r="BB225" i="7"/>
  <c r="AT225" i="7"/>
  <c r="AG219" i="7"/>
  <c r="AG225" i="7" s="1"/>
  <c r="AC225" i="7"/>
  <c r="Y226" i="7"/>
  <c r="T224" i="7"/>
  <c r="P226" i="7"/>
  <c r="L226" i="7"/>
  <c r="H219" i="7"/>
  <c r="BO58" i="7"/>
  <c r="CM64" i="7"/>
  <c r="Y64" i="7"/>
  <c r="AE50" i="7"/>
  <c r="DL84" i="7"/>
  <c r="DL83" i="7"/>
  <c r="DN226" i="7"/>
  <c r="DI226" i="7"/>
  <c r="DF226" i="7"/>
  <c r="DK226" i="7"/>
  <c r="DB226" i="7"/>
  <c r="CT224" i="7"/>
  <c r="CX218" i="7"/>
  <c r="CX224" i="7" s="1"/>
  <c r="BW223" i="7"/>
  <c r="BR224" i="7"/>
  <c r="BN224" i="7"/>
  <c r="BF225" i="7"/>
  <c r="BJ219" i="7"/>
  <c r="BJ225" i="7" s="1"/>
  <c r="AS226" i="7"/>
  <c r="AN223" i="7"/>
  <c r="AJ223" i="7"/>
  <c r="AF223" i="7"/>
  <c r="X224" i="7"/>
  <c r="CL200" i="5"/>
  <c r="CL207" i="5" s="1"/>
  <c r="CL124" i="5"/>
  <c r="G194" i="5"/>
  <c r="G199" i="5" s="1"/>
  <c r="BV194" i="5"/>
  <c r="BV199" i="5" s="1"/>
  <c r="BV190" i="5"/>
  <c r="BV159" i="5"/>
  <c r="AT190" i="5"/>
  <c r="AT194" i="5"/>
  <c r="AT199" i="5" s="1"/>
  <c r="AT159" i="5"/>
  <c r="CZ194" i="5"/>
  <c r="CZ199" i="5" s="1"/>
  <c r="CZ202" i="5" s="1"/>
  <c r="CZ190" i="5"/>
  <c r="CZ159" i="5"/>
  <c r="CL190" i="5"/>
  <c r="CL194" i="5"/>
  <c r="CL159" i="5"/>
  <c r="AQ155" i="5"/>
  <c r="BN155" i="5"/>
  <c r="BO150" i="5"/>
  <c r="BO155" i="5" s="1"/>
  <c r="AE194" i="5"/>
  <c r="AE190" i="5"/>
  <c r="AE159" i="5"/>
  <c r="CP194" i="5"/>
  <c r="CP199" i="5" s="1"/>
  <c r="CP202" i="5" s="1"/>
  <c r="CP190" i="5"/>
  <c r="CP184" i="5"/>
  <c r="CP159" i="5"/>
  <c r="CB194" i="5"/>
  <c r="CB190" i="5"/>
  <c r="CB159" i="5"/>
  <c r="BL194" i="5"/>
  <c r="BL199" i="5" s="1"/>
  <c r="BL202" i="5" s="1"/>
  <c r="BL190" i="5"/>
  <c r="BL184" i="5"/>
  <c r="BL159" i="5"/>
  <c r="O184" i="5"/>
  <c r="BR194" i="5"/>
  <c r="BR159" i="5"/>
  <c r="CF194" i="5"/>
  <c r="CF199" i="5" s="1"/>
  <c r="CF202" i="5" s="1"/>
  <c r="CF190" i="5"/>
  <c r="CF184" i="5"/>
  <c r="CF159" i="5"/>
  <c r="BW194" i="5"/>
  <c r="BW159" i="5"/>
  <c r="CQ194" i="5"/>
  <c r="CQ190" i="5"/>
  <c r="CQ159" i="5"/>
  <c r="CK190" i="5"/>
  <c r="CK191" i="5" s="1"/>
  <c r="CK194" i="5"/>
  <c r="CK199" i="5" s="1"/>
  <c r="CK159" i="5"/>
  <c r="DJ194" i="5"/>
  <c r="DJ199" i="5" s="1"/>
  <c r="DJ202" i="5" s="1"/>
  <c r="DJ190" i="5"/>
  <c r="DJ159" i="5"/>
  <c r="DB155" i="5"/>
  <c r="DC150" i="5"/>
  <c r="DW208" i="5"/>
  <c r="AB200" i="5"/>
  <c r="CI180" i="5"/>
  <c r="DH175" i="5"/>
  <c r="AP174" i="5"/>
  <c r="AQ174" i="5" s="1"/>
  <c r="CX178" i="5"/>
  <c r="CV181" i="5"/>
  <c r="CS175" i="5"/>
  <c r="CD177" i="5"/>
  <c r="CD173" i="5"/>
  <c r="BY179" i="5"/>
  <c r="BY175" i="5"/>
  <c r="BY171" i="5"/>
  <c r="BO176" i="5"/>
  <c r="DH180" i="5"/>
  <c r="AO173" i="5"/>
  <c r="DB168" i="5"/>
  <c r="DC168" i="5" s="1"/>
  <c r="AK176" i="5"/>
  <c r="AL176" i="5" s="1"/>
  <c r="DM172" i="5"/>
  <c r="BH181" i="5"/>
  <c r="BI171" i="5"/>
  <c r="BI181" i="5" s="1"/>
  <c r="DV165" i="5"/>
  <c r="DW165" i="5" s="1"/>
  <c r="DU125" i="5"/>
  <c r="DB181" i="5"/>
  <c r="CX176" i="5"/>
  <c r="CR174" i="5"/>
  <c r="CS174" i="5" s="1"/>
  <c r="CH172" i="5"/>
  <c r="CD174" i="5"/>
  <c r="BX176" i="5"/>
  <c r="BY176" i="5" s="1"/>
  <c r="BT178" i="5"/>
  <c r="BN179" i="5"/>
  <c r="BO179" i="5" s="1"/>
  <c r="G174" i="5"/>
  <c r="H174" i="5" s="1"/>
  <c r="CN165" i="5"/>
  <c r="BW201" i="5"/>
  <c r="BX162" i="5"/>
  <c r="CQ200" i="5"/>
  <c r="CQ207" i="5" s="1"/>
  <c r="CQ169" i="5"/>
  <c r="CR161" i="5"/>
  <c r="CQ124" i="5"/>
  <c r="BV200" i="5"/>
  <c r="BV207" i="5" s="1"/>
  <c r="BV169" i="5"/>
  <c r="BV184" i="5" s="1"/>
  <c r="BV124" i="5"/>
  <c r="AE201" i="5"/>
  <c r="AF162" i="5"/>
  <c r="AE124" i="5"/>
  <c r="U201" i="5"/>
  <c r="V162" i="5"/>
  <c r="V201" i="5" s="1"/>
  <c r="U124" i="5"/>
  <c r="DP198" i="5"/>
  <c r="DQ157" i="5"/>
  <c r="DQ198" i="5" s="1"/>
  <c r="DF198" i="5"/>
  <c r="DG157" i="5"/>
  <c r="DG198" i="5" s="1"/>
  <c r="CV197" i="5"/>
  <c r="CW156" i="5"/>
  <c r="CL197" i="5"/>
  <c r="CM156" i="5"/>
  <c r="CB197" i="5"/>
  <c r="CC156" i="5"/>
  <c r="BR197" i="5"/>
  <c r="BS156" i="5"/>
  <c r="BH197" i="5"/>
  <c r="BI156" i="5"/>
  <c r="AO197" i="5"/>
  <c r="AP156" i="5"/>
  <c r="AE197" i="5"/>
  <c r="AF156" i="5"/>
  <c r="DU181" i="5"/>
  <c r="DV171" i="5"/>
  <c r="CM178" i="5"/>
  <c r="CN178" i="5" s="1"/>
  <c r="BN178" i="5"/>
  <c r="BO178" i="5" s="1"/>
  <c r="BE175" i="5"/>
  <c r="BE181" i="5" s="1"/>
  <c r="BY166" i="5"/>
  <c r="BW161" i="5"/>
  <c r="BP207" i="5"/>
  <c r="BE166" i="5"/>
  <c r="AB166" i="5"/>
  <c r="W162" i="5"/>
  <c r="CR176" i="5"/>
  <c r="CS176" i="5" s="1"/>
  <c r="CN177" i="5"/>
  <c r="CH178" i="5"/>
  <c r="CI178" i="5" s="1"/>
  <c r="CD180" i="5"/>
  <c r="CC172" i="5"/>
  <c r="CD172" i="5" s="1"/>
  <c r="BY174" i="5"/>
  <c r="BS176" i="5"/>
  <c r="BT176" i="5" s="1"/>
  <c r="BO177" i="5"/>
  <c r="AO181" i="5"/>
  <c r="U181" i="5"/>
  <c r="K181" i="5"/>
  <c r="BR168" i="5"/>
  <c r="BS168" i="5" s="1"/>
  <c r="BT168" i="5" s="1"/>
  <c r="CN168" i="5"/>
  <c r="DB200" i="5"/>
  <c r="DB124" i="5"/>
  <c r="DC124" i="5" s="1"/>
  <c r="DR157" i="5"/>
  <c r="DH157" i="5"/>
  <c r="BX165" i="5"/>
  <c r="CS168" i="5"/>
  <c r="X199" i="5"/>
  <c r="X202" i="5" s="1"/>
  <c r="CV155" i="5"/>
  <c r="CV158" i="5" s="1"/>
  <c r="AJ158" i="5"/>
  <c r="BE164" i="5"/>
  <c r="AG164" i="5"/>
  <c r="V164" i="5"/>
  <c r="P194" i="5"/>
  <c r="P199" i="5" s="1"/>
  <c r="P190" i="5"/>
  <c r="CC155" i="5"/>
  <c r="DS199" i="5"/>
  <c r="DS202" i="5" s="1"/>
  <c r="L194" i="5"/>
  <c r="BG194" i="5"/>
  <c r="BG199" i="5" s="1"/>
  <c r="BG202" i="5" s="1"/>
  <c r="BG190" i="5"/>
  <c r="BG191" i="5" s="1"/>
  <c r="BG184" i="5"/>
  <c r="BB202" i="5"/>
  <c r="AE181" i="5"/>
  <c r="CL164" i="5"/>
  <c r="CL169" i="5" s="1"/>
  <c r="U169" i="5"/>
  <c r="U184" i="5" s="1"/>
  <c r="CO191" i="5"/>
  <c r="CC179" i="5"/>
  <c r="CD179" i="5" s="1"/>
  <c r="BX173" i="5"/>
  <c r="BY173" i="5" s="1"/>
  <c r="BJ164" i="5"/>
  <c r="AK164" i="5"/>
  <c r="AA164" i="5"/>
  <c r="Q164" i="5"/>
  <c r="CE194" i="5"/>
  <c r="CE184" i="5"/>
  <c r="CE190" i="5"/>
  <c r="CE159" i="5"/>
  <c r="V194" i="5"/>
  <c r="V199" i="5" s="1"/>
  <c r="V190" i="5"/>
  <c r="DC136" i="5"/>
  <c r="DV136" i="5"/>
  <c r="DM152" i="5"/>
  <c r="DF155" i="5"/>
  <c r="DF158" i="5" s="1"/>
  <c r="DC148" i="5"/>
  <c r="AQ148" i="5"/>
  <c r="DR145" i="5"/>
  <c r="DC141" i="5"/>
  <c r="CD150" i="5"/>
  <c r="BS153" i="5"/>
  <c r="BT153" i="5" s="1"/>
  <c r="DN194" i="5"/>
  <c r="DN190" i="5"/>
  <c r="DS191" i="5" s="1"/>
  <c r="BE183" i="5"/>
  <c r="BA185" i="5"/>
  <c r="DG146" i="5"/>
  <c r="DH146" i="5" s="1"/>
  <c r="DW153" i="5"/>
  <c r="CM153" i="5"/>
  <c r="CN153" i="5" s="1"/>
  <c r="CN155" i="5" s="1"/>
  <c r="BY152" i="5"/>
  <c r="BD155" i="5"/>
  <c r="AL148" i="5"/>
  <c r="DH145" i="5"/>
  <c r="DR143" i="5"/>
  <c r="AP79" i="5"/>
  <c r="AP81" i="5"/>
  <c r="AP82" i="5" s="1"/>
  <c r="AE130" i="5"/>
  <c r="AE131" i="5" s="1"/>
  <c r="AD126" i="5"/>
  <c r="AE123" i="5"/>
  <c r="AE126" i="5" s="1"/>
  <c r="K130" i="5"/>
  <c r="J126" i="5"/>
  <c r="K123" i="5"/>
  <c r="EE164" i="5"/>
  <c r="ED125" i="5"/>
  <c r="DR150" i="5"/>
  <c r="DR155" i="5" s="1"/>
  <c r="AA150" i="5"/>
  <c r="DG148" i="5"/>
  <c r="DH148" i="5" s="1"/>
  <c r="DM146" i="5"/>
  <c r="DW146" i="5"/>
  <c r="BF115" i="5"/>
  <c r="BF116" i="5" s="1"/>
  <c r="BF127" i="5" s="1"/>
  <c r="BG118" i="5"/>
  <c r="BG121" i="5" s="1"/>
  <c r="CU130" i="5"/>
  <c r="CU131" i="5" s="1"/>
  <c r="CU123" i="5"/>
  <c r="CU126" i="5" s="1"/>
  <c r="Z130" i="5"/>
  <c r="Y126" i="5"/>
  <c r="Z123" i="5"/>
  <c r="AG130" i="5"/>
  <c r="M130" i="5"/>
  <c r="CY130" i="5"/>
  <c r="CY131" i="5" s="1"/>
  <c r="CY123" i="5"/>
  <c r="CY126" i="5" s="1"/>
  <c r="DM118" i="5"/>
  <c r="DJ118" i="5"/>
  <c r="AI130" i="5"/>
  <c r="AI131" i="5" s="1"/>
  <c r="AH126" i="5"/>
  <c r="AI123" i="5"/>
  <c r="AI126" i="5" s="1"/>
  <c r="DI130" i="5"/>
  <c r="DI131" i="5" s="1"/>
  <c r="DI123" i="5"/>
  <c r="DI126" i="5" s="1"/>
  <c r="AD130" i="5"/>
  <c r="AD131" i="5" s="1"/>
  <c r="J130" i="5"/>
  <c r="BA100" i="5"/>
  <c r="BE100" i="5"/>
  <c r="W52" i="5"/>
  <c r="W69" i="5" s="1"/>
  <c r="BE66" i="5"/>
  <c r="BE58" i="5"/>
  <c r="DD185" i="5"/>
  <c r="DD187" i="5" s="1"/>
  <c r="CY185" i="5"/>
  <c r="CY187" i="5" s="1"/>
  <c r="CX58" i="5"/>
  <c r="CN55" i="5"/>
  <c r="DX104" i="5"/>
  <c r="DY49" i="5"/>
  <c r="DX103" i="5"/>
  <c r="DY45" i="5"/>
  <c r="W123" i="5"/>
  <c r="AZ187" i="5"/>
  <c r="EC82" i="5"/>
  <c r="CI55" i="5"/>
  <c r="DB102" i="5"/>
  <c r="DC44" i="5"/>
  <c r="DB50" i="5"/>
  <c r="I59" i="5"/>
  <c r="BT123" i="5"/>
  <c r="R123" i="5"/>
  <c r="BT58" i="5"/>
  <c r="BJ55" i="5"/>
  <c r="AB52" i="5"/>
  <c r="AB69" i="5" s="1"/>
  <c r="CX59" i="5"/>
  <c r="CN66" i="5"/>
  <c r="CN58" i="5"/>
  <c r="M66" i="5"/>
  <c r="M58" i="5"/>
  <c r="CI123" i="5"/>
  <c r="CQ69" i="5"/>
  <c r="CI58" i="5"/>
  <c r="J59" i="5"/>
  <c r="DY152" i="5"/>
  <c r="DZ13" i="5"/>
  <c r="AQ52" i="5"/>
  <c r="AQ69" i="5" s="1"/>
  <c r="AB58" i="5"/>
  <c r="R59" i="5"/>
  <c r="DX198" i="5"/>
  <c r="CN56" i="5"/>
  <c r="BO56" i="5"/>
  <c r="W59" i="5"/>
  <c r="N59" i="5"/>
  <c r="AG56" i="5"/>
  <c r="S205" i="5"/>
  <c r="S203" i="5"/>
  <c r="DK180" i="5"/>
  <c r="AK174" i="5"/>
  <c r="AK181" i="5" s="1"/>
  <c r="CB181" i="5"/>
  <c r="BD181" i="5"/>
  <c r="DB164" i="5"/>
  <c r="DB125" i="5" s="1"/>
  <c r="DA125" i="5"/>
  <c r="CB201" i="5"/>
  <c r="CC162" i="5"/>
  <c r="CC201" i="5" s="1"/>
  <c r="BO165" i="5"/>
  <c r="BN125" i="5"/>
  <c r="BO125" i="5" s="1"/>
  <c r="BQ200" i="5"/>
  <c r="BQ207" i="5" s="1"/>
  <c r="BR161" i="5"/>
  <c r="BQ169" i="5"/>
  <c r="BQ124" i="5"/>
  <c r="BC201" i="5"/>
  <c r="BD162" i="5"/>
  <c r="BD201" i="5" s="1"/>
  <c r="BC124" i="5"/>
  <c r="AO201" i="5"/>
  <c r="AP162" i="5"/>
  <c r="AP201" i="5" s="1"/>
  <c r="AO124" i="5"/>
  <c r="P201" i="5"/>
  <c r="Q162" i="5"/>
  <c r="P124" i="5"/>
  <c r="P126" i="5" s="1"/>
  <c r="T205" i="5"/>
  <c r="T203" i="5"/>
  <c r="DP197" i="5"/>
  <c r="DQ156" i="5"/>
  <c r="DQ197" i="5" s="1"/>
  <c r="DF197" i="5"/>
  <c r="DG156" i="5"/>
  <c r="DG197" i="5" s="1"/>
  <c r="CQ198" i="5"/>
  <c r="CR157" i="5"/>
  <c r="CR198" i="5" s="1"/>
  <c r="CG198" i="5"/>
  <c r="CH157" i="5"/>
  <c r="CH198" i="5" s="1"/>
  <c r="BW198" i="5"/>
  <c r="BX157" i="5"/>
  <c r="BX198" i="5" s="1"/>
  <c r="BM198" i="5"/>
  <c r="BN157" i="5"/>
  <c r="BN198" i="5" s="1"/>
  <c r="BC198" i="5"/>
  <c r="BD157" i="5"/>
  <c r="BD198" i="5" s="1"/>
  <c r="AJ198" i="5"/>
  <c r="AK157" i="5"/>
  <c r="AK198" i="5" s="1"/>
  <c r="AP180" i="5"/>
  <c r="AQ180" i="5" s="1"/>
  <c r="DT181" i="5"/>
  <c r="CM174" i="5"/>
  <c r="CN174" i="5" s="1"/>
  <c r="BN174" i="5"/>
  <c r="BO174" i="5" s="1"/>
  <c r="G181" i="5"/>
  <c r="CQ201" i="5"/>
  <c r="CJ207" i="5"/>
  <c r="BU207" i="5"/>
  <c r="BJ166" i="5"/>
  <c r="BE162" i="5"/>
  <c r="BE169" i="5" s="1"/>
  <c r="M166" i="5"/>
  <c r="CT191" i="5"/>
  <c r="BF191" i="5"/>
  <c r="AL173" i="5"/>
  <c r="DG164" i="5"/>
  <c r="DG125" i="5" s="1"/>
  <c r="DF125" i="5"/>
  <c r="DH125" i="5" s="1"/>
  <c r="CZ169" i="5"/>
  <c r="CZ184" i="5" s="1"/>
  <c r="AT201" i="5"/>
  <c r="AT124" i="5"/>
  <c r="J191" i="5"/>
  <c r="BH169" i="5"/>
  <c r="O191" i="5"/>
  <c r="BK199" i="5"/>
  <c r="BK202" i="5" s="1"/>
  <c r="DE194" i="5"/>
  <c r="DE199" i="5" s="1"/>
  <c r="DE202" i="5" s="1"/>
  <c r="DE184" i="5"/>
  <c r="DE185" i="5" s="1"/>
  <c r="DE187" i="5" s="1"/>
  <c r="DE190" i="5"/>
  <c r="DE191" i="5" s="1"/>
  <c r="DE159" i="5"/>
  <c r="CA190" i="5"/>
  <c r="CA194" i="5"/>
  <c r="CA199" i="5" s="1"/>
  <c r="CA159" i="5"/>
  <c r="AN190" i="5"/>
  <c r="AN184" i="5"/>
  <c r="AN194" i="5"/>
  <c r="AN199" i="5" s="1"/>
  <c r="AN202" i="5" s="1"/>
  <c r="AN159" i="5"/>
  <c r="BC169" i="5"/>
  <c r="K169" i="5"/>
  <c r="K184" i="5" s="1"/>
  <c r="DI199" i="5"/>
  <c r="DI202" i="5" s="1"/>
  <c r="CO199" i="5"/>
  <c r="CO202" i="5" s="1"/>
  <c r="CC175" i="5"/>
  <c r="CD175" i="5" s="1"/>
  <c r="BS179" i="5"/>
  <c r="BT179" i="5" s="1"/>
  <c r="E185" i="5"/>
  <c r="DG200" i="5"/>
  <c r="DG124" i="5"/>
  <c r="DH124" i="5" s="1"/>
  <c r="BN200" i="5"/>
  <c r="BD200" i="5"/>
  <c r="BD124" i="5"/>
  <c r="DD191" i="5"/>
  <c r="U191" i="5"/>
  <c r="CY199" i="5"/>
  <c r="CY202" i="5" s="1"/>
  <c r="BO136" i="5"/>
  <c r="AS194" i="5"/>
  <c r="AS199" i="5" s="1"/>
  <c r="AS202" i="5" s="1"/>
  <c r="AS190" i="5"/>
  <c r="AS191" i="5" s="1"/>
  <c r="AS184" i="5"/>
  <c r="AS159" i="5"/>
  <c r="BA199" i="5"/>
  <c r="BA202" i="5" s="1"/>
  <c r="AK155" i="5"/>
  <c r="AK79" i="5"/>
  <c r="AK81" i="5"/>
  <c r="AK82" i="5" s="1"/>
  <c r="BY150" i="5"/>
  <c r="BY155" i="5" s="1"/>
  <c r="DP158" i="5"/>
  <c r="BU199" i="5"/>
  <c r="BU202" i="5" s="1"/>
  <c r="DU155" i="5"/>
  <c r="DU158" i="5" s="1"/>
  <c r="DU26" i="10" s="1"/>
  <c r="DU42" i="10" s="1"/>
  <c r="DU54" i="10" s="1"/>
  <c r="DU64" i="10" s="1"/>
  <c r="DU74" i="10" s="1"/>
  <c r="DU84" i="10" s="1"/>
  <c r="DU94" i="10" s="1"/>
  <c r="DU104" i="10" s="1"/>
  <c r="DU114" i="10" s="1"/>
  <c r="DU124" i="10" s="1"/>
  <c r="DU136" i="10" s="1"/>
  <c r="DU146" i="10" s="1"/>
  <c r="DU156" i="10" s="1"/>
  <c r="DU166" i="10" s="1"/>
  <c r="DU176" i="10" s="1"/>
  <c r="DU186" i="10" s="1"/>
  <c r="DU196" i="10" s="1"/>
  <c r="DU206" i="10" s="1"/>
  <c r="DU224" i="10" s="1"/>
  <c r="DV150" i="5"/>
  <c r="DV155" i="5" s="1"/>
  <c r="DR141" i="5"/>
  <c r="AD202" i="5"/>
  <c r="AO118" i="5"/>
  <c r="AO121" i="5" s="1"/>
  <c r="AN115" i="5"/>
  <c r="AN116" i="5" s="1"/>
  <c r="AN127" i="5" s="1"/>
  <c r="CQ130" i="5"/>
  <c r="CQ131" i="5" s="1"/>
  <c r="CQ123" i="5"/>
  <c r="CQ126" i="5" s="1"/>
  <c r="U126" i="5"/>
  <c r="V130" i="5"/>
  <c r="V123" i="5"/>
  <c r="U130" i="5"/>
  <c r="U131" i="5" s="1"/>
  <c r="DA109" i="5"/>
  <c r="DB100" i="5" s="1"/>
  <c r="DA59" i="5"/>
  <c r="DA58" i="5"/>
  <c r="DA56" i="5"/>
  <c r="DA55" i="5"/>
  <c r="AZ59" i="5"/>
  <c r="CD123" i="5"/>
  <c r="DW74" i="5"/>
  <c r="DX81" i="5"/>
  <c r="AQ58" i="5"/>
  <c r="AQ66" i="5"/>
  <c r="BT55" i="5"/>
  <c r="DF34" i="5"/>
  <c r="DF41" i="5" s="1"/>
  <c r="DG32" i="5"/>
  <c r="BY123" i="5"/>
  <c r="M52" i="5"/>
  <c r="BY59" i="5"/>
  <c r="BE123" i="5"/>
  <c r="BA123" i="5"/>
  <c r="CX56" i="5"/>
  <c r="AQ55" i="5"/>
  <c r="BO59" i="5"/>
  <c r="AL59" i="5"/>
  <c r="CI56" i="5"/>
  <c r="BJ56" i="5"/>
  <c r="DE34" i="5"/>
  <c r="DE41" i="5" s="1"/>
  <c r="M56" i="5"/>
  <c r="AG52" i="5"/>
  <c r="AG69" i="5" s="1"/>
  <c r="CS17" i="5"/>
  <c r="CS24" i="5" s="1"/>
  <c r="CS69" i="5" s="1"/>
  <c r="CT7" i="5"/>
  <c r="D205" i="5"/>
  <c r="D203" i="5"/>
  <c r="I203" i="5"/>
  <c r="I205" i="5"/>
  <c r="BJ173" i="5"/>
  <c r="P180" i="5"/>
  <c r="Q180" i="5" s="1"/>
  <c r="CW174" i="5"/>
  <c r="CX174" i="5" s="1"/>
  <c r="CS173" i="5"/>
  <c r="CG181" i="5"/>
  <c r="BY177" i="5"/>
  <c r="BR181" i="5"/>
  <c r="DR180" i="5"/>
  <c r="AQ178" i="5"/>
  <c r="AP173" i="5"/>
  <c r="BM181" i="5"/>
  <c r="BN171" i="5"/>
  <c r="BN181" i="5" s="1"/>
  <c r="DM175" i="5"/>
  <c r="CW179" i="5"/>
  <c r="CX179" i="5" s="1"/>
  <c r="CW172" i="5"/>
  <c r="CX172" i="5" s="1"/>
  <c r="CL181" i="5"/>
  <c r="AF175" i="5"/>
  <c r="AG175" i="5" s="1"/>
  <c r="V179" i="5"/>
  <c r="W179" i="5" s="1"/>
  <c r="W181" i="5" s="1"/>
  <c r="DC166" i="5"/>
  <c r="CN167" i="5"/>
  <c r="CK200" i="5"/>
  <c r="CK207" i="5" s="1"/>
  <c r="CK169" i="5"/>
  <c r="CK184" i="5" s="1"/>
  <c r="CM161" i="5"/>
  <c r="CK124" i="5"/>
  <c r="DV200" i="5"/>
  <c r="DW200" i="5" s="1"/>
  <c r="DW207" i="5" s="1"/>
  <c r="DV169" i="5"/>
  <c r="DV124" i="5"/>
  <c r="DW124" i="5" s="1"/>
  <c r="BG207" i="5"/>
  <c r="BJ200" i="5"/>
  <c r="AJ201" i="5"/>
  <c r="AK162" i="5"/>
  <c r="AL162" i="5" s="1"/>
  <c r="AJ124" i="5"/>
  <c r="Z201" i="5"/>
  <c r="AA162" i="5"/>
  <c r="Z124" i="5"/>
  <c r="F200" i="5"/>
  <c r="F169" i="5"/>
  <c r="F184" i="5" s="1"/>
  <c r="G161" i="5"/>
  <c r="F124" i="5"/>
  <c r="F190" i="5"/>
  <c r="F194" i="5"/>
  <c r="F199" i="5" s="1"/>
  <c r="DK198" i="5"/>
  <c r="DL157" i="5"/>
  <c r="DL198" i="5" s="1"/>
  <c r="DA197" i="5"/>
  <c r="DB156" i="5"/>
  <c r="DB197" i="5" s="1"/>
  <c r="CQ197" i="5"/>
  <c r="CR156" i="5"/>
  <c r="CR197" i="5" s="1"/>
  <c r="CG197" i="5"/>
  <c r="CH156" i="5"/>
  <c r="CH197" i="5" s="1"/>
  <c r="BW197" i="5"/>
  <c r="BX156" i="5"/>
  <c r="BX197" i="5" s="1"/>
  <c r="BM197" i="5"/>
  <c r="BN156" i="5"/>
  <c r="BN197" i="5" s="1"/>
  <c r="BC197" i="5"/>
  <c r="BD156" i="5"/>
  <c r="BD197" i="5" s="1"/>
  <c r="AJ197" i="5"/>
  <c r="AK156" i="5"/>
  <c r="AK197" i="5" s="1"/>
  <c r="CH179" i="5"/>
  <c r="CI179" i="5" s="1"/>
  <c r="DL164" i="5"/>
  <c r="DK125" i="5"/>
  <c r="CA200" i="5"/>
  <c r="CA169" i="5"/>
  <c r="CA184" i="5" s="1"/>
  <c r="CC161" i="5"/>
  <c r="CD161" i="5" s="1"/>
  <c r="CA124" i="5"/>
  <c r="BS161" i="5"/>
  <c r="BE201" i="5"/>
  <c r="R166" i="5"/>
  <c r="BZ199" i="5"/>
  <c r="BZ202" i="5" s="1"/>
  <c r="DW174" i="5"/>
  <c r="AQ171" i="5"/>
  <c r="AA177" i="5"/>
  <c r="AA181" i="5" s="1"/>
  <c r="L173" i="5"/>
  <c r="L181" i="5" s="1"/>
  <c r="DC165" i="5"/>
  <c r="CN166" i="5"/>
  <c r="DM162" i="5"/>
  <c r="CG201" i="5"/>
  <c r="CH162" i="5"/>
  <c r="CI162" i="5" s="1"/>
  <c r="CI169" i="5" s="1"/>
  <c r="CG124" i="5"/>
  <c r="CG126" i="5" s="1"/>
  <c r="BM201" i="5"/>
  <c r="BN162" i="5"/>
  <c r="BN201" i="5" s="1"/>
  <c r="BM124" i="5"/>
  <c r="H162" i="5"/>
  <c r="J202" i="5"/>
  <c r="CI157" i="5"/>
  <c r="BY157" i="5"/>
  <c r="BO157" i="5"/>
  <c r="AL157" i="5"/>
  <c r="AK168" i="5"/>
  <c r="AL168" i="5" s="1"/>
  <c r="P169" i="5"/>
  <c r="CR155" i="5"/>
  <c r="CS150" i="5"/>
  <c r="CS155" i="5" s="1"/>
  <c r="CG158" i="5"/>
  <c r="BC158" i="5"/>
  <c r="CG169" i="5"/>
  <c r="AP164" i="5"/>
  <c r="AP125" i="5" s="1"/>
  <c r="AQ125" i="5" s="1"/>
  <c r="M164" i="5"/>
  <c r="CJ191" i="5"/>
  <c r="AC191" i="5"/>
  <c r="BS148" i="5"/>
  <c r="BT148" i="5" s="1"/>
  <c r="BL183" i="5"/>
  <c r="BL185" i="5" s="1"/>
  <c r="BK187" i="5"/>
  <c r="CU194" i="5"/>
  <c r="CU199" i="5" s="1"/>
  <c r="CU202" i="5" s="1"/>
  <c r="CU190" i="5"/>
  <c r="CU191" i="5" s="1"/>
  <c r="CU184" i="5"/>
  <c r="CU159" i="5"/>
  <c r="AI194" i="5"/>
  <c r="AI199" i="5" s="1"/>
  <c r="AI202" i="5" s="1"/>
  <c r="AI190" i="5"/>
  <c r="AI191" i="5" s="1"/>
  <c r="AI184" i="5"/>
  <c r="AI159" i="5"/>
  <c r="AG171" i="5"/>
  <c r="AO169" i="5"/>
  <c r="V168" i="5"/>
  <c r="W168" i="5" s="1"/>
  <c r="DI191" i="5"/>
  <c r="CC171" i="5"/>
  <c r="CC181" i="5" s="1"/>
  <c r="BS175" i="5"/>
  <c r="BT175" i="5" s="1"/>
  <c r="AP200" i="5"/>
  <c r="AP124" i="5"/>
  <c r="AF200" i="5"/>
  <c r="AF169" i="5"/>
  <c r="AF124" i="5"/>
  <c r="AF126" i="5" s="1"/>
  <c r="V200" i="5"/>
  <c r="V124" i="5"/>
  <c r="L200" i="5"/>
  <c r="DT194" i="5"/>
  <c r="DT199" i="5" s="1"/>
  <c r="DT202" i="5" s="1"/>
  <c r="DT190" i="5"/>
  <c r="DT184" i="5"/>
  <c r="DT185" i="5" s="1"/>
  <c r="DT187" i="5" s="1"/>
  <c r="DT159" i="5"/>
  <c r="DD199" i="5"/>
  <c r="DD202" i="5" s="1"/>
  <c r="U202" i="5"/>
  <c r="DG155" i="5"/>
  <c r="DG158" i="5" s="1"/>
  <c r="CY191" i="5"/>
  <c r="Z158" i="5"/>
  <c r="AA138" i="5"/>
  <c r="BD158" i="5"/>
  <c r="BE136" i="5"/>
  <c r="BA191" i="5"/>
  <c r="DL155" i="5"/>
  <c r="DM150" i="5"/>
  <c r="DM155" i="5" s="1"/>
  <c r="CH155" i="5"/>
  <c r="CH158" i="5" s="1"/>
  <c r="BI155" i="5"/>
  <c r="DM145" i="5"/>
  <c r="DC143" i="5"/>
  <c r="AL139" i="5"/>
  <c r="AH199" i="5"/>
  <c r="AH202" i="5" s="1"/>
  <c r="DA155" i="5"/>
  <c r="DA158" i="5" s="1"/>
  <c r="AZ205" i="5"/>
  <c r="AZ203" i="5"/>
  <c r="AM194" i="5"/>
  <c r="AM190" i="5"/>
  <c r="AR191" i="5" s="1"/>
  <c r="AM184" i="5"/>
  <c r="AM159" i="5"/>
  <c r="DR139" i="5"/>
  <c r="DW150" i="5"/>
  <c r="DW155" i="5" s="1"/>
  <c r="DC154" i="5"/>
  <c r="BE155" i="5"/>
  <c r="AF155" i="5"/>
  <c r="AF79" i="5"/>
  <c r="AF81" i="5"/>
  <c r="AF82" i="5" s="1"/>
  <c r="DH153" i="5"/>
  <c r="DH155" i="5" s="1"/>
  <c r="CD151" i="5"/>
  <c r="BM155" i="5"/>
  <c r="BM158" i="5" s="1"/>
  <c r="DW142" i="5"/>
  <c r="DO130" i="5"/>
  <c r="DP123" i="5"/>
  <c r="CA130" i="5"/>
  <c r="BZ126" i="5"/>
  <c r="CA123" i="5"/>
  <c r="E126" i="5"/>
  <c r="F130" i="5"/>
  <c r="F123" i="5"/>
  <c r="CP130" i="5"/>
  <c r="CP131" i="5" s="1"/>
  <c r="CX130" i="5"/>
  <c r="CX131" i="5" s="1"/>
  <c r="CT130" i="5"/>
  <c r="CT131" i="5" s="1"/>
  <c r="CT123" i="5"/>
  <c r="CT126" i="5" s="1"/>
  <c r="CD130" i="5"/>
  <c r="CS130" i="5"/>
  <c r="CS131" i="5" s="1"/>
  <c r="AR123" i="5"/>
  <c r="AL78" i="5"/>
  <c r="BT52" i="5"/>
  <c r="BT69" i="5" s="1"/>
  <c r="AG66" i="5"/>
  <c r="AG58" i="5"/>
  <c r="H67" i="5"/>
  <c r="H34" i="5"/>
  <c r="H41" i="5" s="1"/>
  <c r="M69" i="5"/>
  <c r="DX106" i="5"/>
  <c r="DY47" i="5"/>
  <c r="AQ123" i="5"/>
  <c r="G66" i="5"/>
  <c r="G58" i="5"/>
  <c r="DC103" i="5"/>
  <c r="DD45" i="5"/>
  <c r="CX52" i="5"/>
  <c r="CX69" i="5" s="1"/>
  <c r="CK123" i="5"/>
  <c r="CK126" i="5" s="1"/>
  <c r="CN123" i="5"/>
  <c r="AL123" i="5"/>
  <c r="CX55" i="5"/>
  <c r="AG55" i="5"/>
  <c r="CD59" i="5"/>
  <c r="BT59" i="5"/>
  <c r="BO123" i="5"/>
  <c r="AZ56" i="5"/>
  <c r="CI59" i="5"/>
  <c r="W55" i="5"/>
  <c r="BJ58" i="5"/>
  <c r="AB59" i="5"/>
  <c r="DY156" i="5"/>
  <c r="DZ31" i="5"/>
  <c r="O59" i="5"/>
  <c r="AB74" i="5"/>
  <c r="ED43" i="5"/>
  <c r="EE43" i="5" s="1"/>
  <c r="CD56" i="5"/>
  <c r="W58" i="5"/>
  <c r="G52" i="5"/>
  <c r="G69" i="5" s="1"/>
  <c r="DY154" i="5"/>
  <c r="DZ37" i="5"/>
  <c r="BO52" i="5"/>
  <c r="BO69" i="5" s="1"/>
  <c r="CR69" i="5"/>
  <c r="EB197" i="5"/>
  <c r="DC181" i="5"/>
  <c r="AL178" i="5"/>
  <c r="DF181" i="5"/>
  <c r="DG171" i="5"/>
  <c r="AP176" i="5"/>
  <c r="AQ176" i="5" s="1"/>
  <c r="DW175" i="5"/>
  <c r="DM171" i="5"/>
  <c r="DW172" i="5"/>
  <c r="CQ181" i="5"/>
  <c r="CQ184" i="5" s="1"/>
  <c r="CI175" i="5"/>
  <c r="CI171" i="5"/>
  <c r="BW181" i="5"/>
  <c r="AQ173" i="5"/>
  <c r="CN171" i="5"/>
  <c r="BC181" i="5"/>
  <c r="CW164" i="5"/>
  <c r="CW125" i="5" s="1"/>
  <c r="CV125" i="5"/>
  <c r="BR201" i="5"/>
  <c r="BS162" i="5"/>
  <c r="BS201" i="5" s="1"/>
  <c r="DP200" i="5"/>
  <c r="DQ161" i="5"/>
  <c r="DP124" i="5"/>
  <c r="CV200" i="5"/>
  <c r="CV169" i="5"/>
  <c r="CW161" i="5"/>
  <c r="CV124" i="5"/>
  <c r="CR162" i="5"/>
  <c r="CR201" i="5" s="1"/>
  <c r="CS201" i="5" s="1"/>
  <c r="CB200" i="5"/>
  <c r="CB207" i="5" s="1"/>
  <c r="CB169" i="5"/>
  <c r="CB184" i="5" s="1"/>
  <c r="CB124" i="5"/>
  <c r="CB126" i="5" s="1"/>
  <c r="BH201" i="5"/>
  <c r="BI162" i="5"/>
  <c r="BJ162" i="5" s="1"/>
  <c r="BJ169" i="5" s="1"/>
  <c r="BH124" i="5"/>
  <c r="K201" i="5"/>
  <c r="L162" i="5"/>
  <c r="L201" i="5" s="1"/>
  <c r="K124" i="5"/>
  <c r="G165" i="5"/>
  <c r="G125" i="5" s="1"/>
  <c r="F125" i="5"/>
  <c r="T191" i="5"/>
  <c r="W190" i="5"/>
  <c r="Z198" i="5"/>
  <c r="AA157" i="5"/>
  <c r="AA198" i="5" s="1"/>
  <c r="DK197" i="5"/>
  <c r="DL156" i="5"/>
  <c r="DL197" i="5" s="1"/>
  <c r="CV198" i="5"/>
  <c r="CW157" i="5"/>
  <c r="CW198" i="5" s="1"/>
  <c r="CL198" i="5"/>
  <c r="CM157" i="5"/>
  <c r="CM198" i="5" s="1"/>
  <c r="CB198" i="5"/>
  <c r="CC157" i="5"/>
  <c r="CC198" i="5" s="1"/>
  <c r="BR198" i="5"/>
  <c r="BS157" i="5"/>
  <c r="BS198" i="5" s="1"/>
  <c r="BH198" i="5"/>
  <c r="BI157" i="5"/>
  <c r="BI198" i="5" s="1"/>
  <c r="AO198" i="5"/>
  <c r="AP157" i="5"/>
  <c r="AP198" i="5" s="1"/>
  <c r="AE198" i="5"/>
  <c r="AF157" i="5"/>
  <c r="AF198" i="5" s="1"/>
  <c r="DP164" i="5"/>
  <c r="DO125" i="5"/>
  <c r="DA169" i="5"/>
  <c r="CN161" i="5"/>
  <c r="AQ166" i="5"/>
  <c r="W166" i="5"/>
  <c r="R162" i="5"/>
  <c r="CT199" i="5"/>
  <c r="CT202" i="5" s="1"/>
  <c r="BF199" i="5"/>
  <c r="BF202" i="5" s="1"/>
  <c r="K190" i="5"/>
  <c r="K191" i="5" s="1"/>
  <c r="E199" i="5"/>
  <c r="E202" i="5" s="1"/>
  <c r="H194" i="5"/>
  <c r="H199" i="5" s="1"/>
  <c r="DM201" i="5"/>
  <c r="DC156" i="5"/>
  <c r="CI156" i="5"/>
  <c r="BY156" i="5"/>
  <c r="BO156" i="5"/>
  <c r="AL156" i="5"/>
  <c r="AT169" i="5"/>
  <c r="AT184" i="5" s="1"/>
  <c r="X191" i="5"/>
  <c r="Q194" i="5"/>
  <c r="Q199" i="5" s="1"/>
  <c r="Q190" i="5"/>
  <c r="AO158" i="5"/>
  <c r="BT161" i="5"/>
  <c r="CJ199" i="5"/>
  <c r="CJ202" i="5" s="1"/>
  <c r="O199" i="5"/>
  <c r="O202" i="5" s="1"/>
  <c r="AC199" i="5"/>
  <c r="AC202" i="5" s="1"/>
  <c r="CW155" i="5"/>
  <c r="BK191" i="5"/>
  <c r="AR205" i="5"/>
  <c r="AR203" i="5"/>
  <c r="DO194" i="5"/>
  <c r="DO199" i="5" s="1"/>
  <c r="DO202" i="5" s="1"/>
  <c r="DO190" i="5"/>
  <c r="DO191" i="5" s="1"/>
  <c r="DO159" i="5"/>
  <c r="BQ158" i="5"/>
  <c r="Y194" i="5"/>
  <c r="Y199" i="5" s="1"/>
  <c r="Y202" i="5" s="1"/>
  <c r="Y184" i="5"/>
  <c r="Y190" i="5"/>
  <c r="Y191" i="5" s="1"/>
  <c r="DV125" i="5"/>
  <c r="DW161" i="5"/>
  <c r="AE169" i="5"/>
  <c r="AE184" i="5" s="1"/>
  <c r="CR171" i="5"/>
  <c r="CR181" i="5" s="1"/>
  <c r="BS171" i="5"/>
  <c r="BS181" i="5" s="1"/>
  <c r="BT166" i="5"/>
  <c r="DK200" i="5"/>
  <c r="DL161" i="5"/>
  <c r="DM161" i="5" s="1"/>
  <c r="DK124" i="5"/>
  <c r="BP194" i="5"/>
  <c r="BP190" i="5"/>
  <c r="BP184" i="5"/>
  <c r="BP159" i="5"/>
  <c r="DV197" i="5"/>
  <c r="DW197" i="5" s="1"/>
  <c r="DW156" i="5"/>
  <c r="CM155" i="5"/>
  <c r="CM158" i="5" s="1"/>
  <c r="DQ158" i="5"/>
  <c r="DR136" i="5"/>
  <c r="AG136" i="5"/>
  <c r="DU198" i="5"/>
  <c r="DV157" i="5"/>
  <c r="DV198" i="5" s="1"/>
  <c r="BJ155" i="5"/>
  <c r="AL150" i="5"/>
  <c r="AL155" i="5" s="1"/>
  <c r="DR147" i="5"/>
  <c r="BA115" i="5"/>
  <c r="BA116" i="5" s="1"/>
  <c r="BA127" i="5" s="1"/>
  <c r="BB118" i="5"/>
  <c r="BB121" i="5" s="1"/>
  <c r="AH191" i="5"/>
  <c r="CR158" i="5"/>
  <c r="BH158" i="5"/>
  <c r="BT155" i="5"/>
  <c r="AP155" i="5"/>
  <c r="AP158" i="5" s="1"/>
  <c r="AG155" i="5"/>
  <c r="AB138" i="5"/>
  <c r="DB127" i="5"/>
  <c r="DC130" i="5" s="1"/>
  <c r="DC131" i="5" s="1"/>
  <c r="DC116" i="5"/>
  <c r="DC113" i="5" s="1"/>
  <c r="DC114" i="5" s="1"/>
  <c r="BW130" i="5"/>
  <c r="BV126" i="5"/>
  <c r="BW123" i="5"/>
  <c r="DS123" i="5"/>
  <c r="BV130" i="5"/>
  <c r="CS127" i="5"/>
  <c r="CS113" i="5"/>
  <c r="CS114" i="5" s="1"/>
  <c r="AR115" i="5"/>
  <c r="AR116" i="5" s="1"/>
  <c r="AR127" i="5" s="1"/>
  <c r="AS118" i="5"/>
  <c r="AS121" i="5" s="1"/>
  <c r="BJ59" i="5"/>
  <c r="BJ123" i="5"/>
  <c r="AB123" i="5"/>
  <c r="DS185" i="5"/>
  <c r="DS187" i="5" s="1"/>
  <c r="BA82" i="5"/>
  <c r="DE66" i="5"/>
  <c r="DF7" i="5"/>
  <c r="DE17" i="5"/>
  <c r="DE24" i="5" s="1"/>
  <c r="DX105" i="5"/>
  <c r="DY46" i="5"/>
  <c r="CP123" i="5"/>
  <c r="CP126" i="5" s="1"/>
  <c r="CS123" i="5"/>
  <c r="M123" i="5"/>
  <c r="DG167" i="5"/>
  <c r="DH167" i="5" s="1"/>
  <c r="DH8" i="5"/>
  <c r="DI8" i="5" s="1"/>
  <c r="BO55" i="5"/>
  <c r="I105" i="5"/>
  <c r="H50" i="5"/>
  <c r="H109" i="5" s="1"/>
  <c r="H83" i="5"/>
  <c r="K66" i="5"/>
  <c r="K58" i="5"/>
  <c r="M55" i="5"/>
  <c r="CS59" i="5"/>
  <c r="AG123" i="5"/>
  <c r="AB55" i="5"/>
  <c r="BO58" i="5"/>
  <c r="AZ58" i="5"/>
  <c r="DY157" i="5"/>
  <c r="DY198" i="5" s="1"/>
  <c r="DZ15" i="5"/>
  <c r="BT56" i="5"/>
  <c r="BJ52" i="5"/>
  <c r="BJ69" i="5" s="1"/>
  <c r="CR59" i="5"/>
  <c r="AB11" i="4"/>
  <c r="Y100" i="4"/>
  <c r="Y92" i="4"/>
  <c r="Y35" i="4"/>
  <c r="DA91" i="4"/>
  <c r="DA80" i="4"/>
  <c r="DA85" i="4" s="1"/>
  <c r="DA33" i="4"/>
  <c r="DD117" i="4"/>
  <c r="H11" i="4"/>
  <c r="H12" i="4" s="1"/>
  <c r="AG11" i="4"/>
  <c r="AG12" i="4" s="1"/>
  <c r="AG79" i="5" s="1"/>
  <c r="L27" i="4"/>
  <c r="AF108" i="4"/>
  <c r="DE108" i="4"/>
  <c r="DE89" i="4"/>
  <c r="DE67" i="4"/>
  <c r="DE27" i="4"/>
  <c r="DJ108" i="4"/>
  <c r="DJ89" i="4"/>
  <c r="DJ27" i="4"/>
  <c r="DJ67" i="4"/>
  <c r="DO132" i="4"/>
  <c r="DO108" i="4"/>
  <c r="DO89" i="4"/>
  <c r="DO67" i="4"/>
  <c r="DO27" i="4"/>
  <c r="DT132" i="4"/>
  <c r="DT108" i="4"/>
  <c r="DT89" i="4"/>
  <c r="DT67" i="4"/>
  <c r="DT27" i="4"/>
  <c r="D89" i="4"/>
  <c r="D27" i="4"/>
  <c r="AC100" i="4"/>
  <c r="AC92" i="4"/>
  <c r="AC35" i="4"/>
  <c r="AJ91" i="4"/>
  <c r="AJ80" i="4"/>
  <c r="AJ33" i="4"/>
  <c r="AR91" i="4"/>
  <c r="AR80" i="4"/>
  <c r="AR33" i="4"/>
  <c r="DK80" i="4"/>
  <c r="DK85" i="4" s="1"/>
  <c r="DK91" i="4"/>
  <c r="DK33" i="4"/>
  <c r="CR110" i="4"/>
  <c r="CR100" i="4"/>
  <c r="CR92" i="4"/>
  <c r="CR35" i="4"/>
  <c r="CY117" i="4"/>
  <c r="DC11" i="4"/>
  <c r="DC117" i="4" s="1"/>
  <c r="CV91" i="4"/>
  <c r="CV80" i="4"/>
  <c r="CV85" i="4" s="1"/>
  <c r="CV33" i="4"/>
  <c r="AB12" i="4"/>
  <c r="R11" i="4"/>
  <c r="R12" i="4" s="1"/>
  <c r="AA108" i="4"/>
  <c r="AA89" i="4"/>
  <c r="AK108" i="4"/>
  <c r="G99" i="4"/>
  <c r="G84" i="4"/>
  <c r="AN91" i="4"/>
  <c r="AN80" i="4"/>
  <c r="AN33" i="4"/>
  <c r="CB91" i="4"/>
  <c r="CB80" i="4"/>
  <c r="CB85" i="4" s="1"/>
  <c r="CB33" i="4"/>
  <c r="DU91" i="4"/>
  <c r="DU80" i="4"/>
  <c r="DU85" i="4" s="1"/>
  <c r="DU33" i="4"/>
  <c r="CI25" i="4"/>
  <c r="CI14" i="4"/>
  <c r="T91" i="4"/>
  <c r="T80" i="4"/>
  <c r="T33" i="4"/>
  <c r="BU91" i="4"/>
  <c r="BU80" i="4"/>
  <c r="BU33" i="4"/>
  <c r="CQ80" i="4"/>
  <c r="CQ85" i="4" s="1"/>
  <c r="CQ91" i="4"/>
  <c r="CQ33" i="4"/>
  <c r="W12" i="4"/>
  <c r="BE12" i="4"/>
  <c r="BY12" i="4"/>
  <c r="BY95" i="4" s="1"/>
  <c r="M11" i="4"/>
  <c r="M12" i="4" s="1"/>
  <c r="CN103" i="4"/>
  <c r="P91" i="4"/>
  <c r="P80" i="4"/>
  <c r="P33" i="4"/>
  <c r="P100" i="4" s="1"/>
  <c r="X91" i="4"/>
  <c r="X80" i="4"/>
  <c r="X33" i="4"/>
  <c r="I100" i="4"/>
  <c r="I92" i="4"/>
  <c r="I35" i="4"/>
  <c r="CI99" i="4"/>
  <c r="CJ91" i="4"/>
  <c r="CJ80" i="4"/>
  <c r="CJ33" i="4"/>
  <c r="CO91" i="4"/>
  <c r="CO80" i="4"/>
  <c r="CO33" i="4"/>
  <c r="CT91" i="4"/>
  <c r="CT80" i="4"/>
  <c r="CT33" i="4"/>
  <c r="CM100" i="4"/>
  <c r="CM92" i="4"/>
  <c r="CM35" i="4"/>
  <c r="L106" i="4"/>
  <c r="L95" i="4"/>
  <c r="AF106" i="4"/>
  <c r="AF95" i="4"/>
  <c r="AP106" i="4"/>
  <c r="AP95" i="4"/>
  <c r="BT106" i="4"/>
  <c r="G14" i="4"/>
  <c r="CZ118" i="4"/>
  <c r="CZ103" i="4"/>
  <c r="CZ98" i="4"/>
  <c r="CZ96" i="4"/>
  <c r="CZ97" i="4"/>
  <c r="CZ99" i="4"/>
  <c r="DD118" i="4"/>
  <c r="DD103" i="4"/>
  <c r="DD98" i="4"/>
  <c r="DD96" i="4"/>
  <c r="DD99" i="4"/>
  <c r="DD97" i="4"/>
  <c r="DQ118" i="4"/>
  <c r="DQ99" i="4"/>
  <c r="DQ98" i="4"/>
  <c r="DQ97" i="4"/>
  <c r="DQ96" i="4"/>
  <c r="DQ103" i="4"/>
  <c r="DV118" i="4"/>
  <c r="DV103" i="4"/>
  <c r="DV99" i="4"/>
  <c r="DV98" i="4"/>
  <c r="DV97" i="4"/>
  <c r="DV96" i="4"/>
  <c r="DR96" i="4"/>
  <c r="DR103" i="4"/>
  <c r="W97" i="4"/>
  <c r="BE107" i="4"/>
  <c r="BE98" i="4"/>
  <c r="CI104" i="4"/>
  <c r="CI96" i="4"/>
  <c r="DC104" i="4"/>
  <c r="K108" i="4"/>
  <c r="K89" i="4"/>
  <c r="E91" i="4"/>
  <c r="E80" i="4"/>
  <c r="U80" i="4"/>
  <c r="U91" i="4"/>
  <c r="AI108" i="4"/>
  <c r="AI89" i="4"/>
  <c r="AO80" i="4"/>
  <c r="AO91" i="4"/>
  <c r="AS80" i="4"/>
  <c r="AS91" i="4"/>
  <c r="AX99" i="4"/>
  <c r="AX84" i="4"/>
  <c r="BC99" i="4"/>
  <c r="BC84" i="4"/>
  <c r="BM108" i="4"/>
  <c r="BM89" i="4"/>
  <c r="BM27" i="4"/>
  <c r="BW108" i="4"/>
  <c r="BW89" i="4"/>
  <c r="BW67" i="4"/>
  <c r="CL108" i="4"/>
  <c r="CL89" i="4"/>
  <c r="CL67" i="4"/>
  <c r="DF108" i="4"/>
  <c r="DF89" i="4"/>
  <c r="DF67" i="4"/>
  <c r="DP89" i="4"/>
  <c r="CC99" i="4"/>
  <c r="CC84" i="4"/>
  <c r="CC27" i="4"/>
  <c r="CW91" i="4"/>
  <c r="CW80" i="4"/>
  <c r="CW85" i="4" s="1"/>
  <c r="AQ31" i="4"/>
  <c r="AD110" i="4"/>
  <c r="AD100" i="4"/>
  <c r="AD92" i="4"/>
  <c r="CX51" i="4"/>
  <c r="BZ58" i="4"/>
  <c r="DC8" i="4"/>
  <c r="DN11" i="4"/>
  <c r="DW106" i="4"/>
  <c r="DW95" i="4"/>
  <c r="DW14" i="4"/>
  <c r="DW104" i="4"/>
  <c r="DW105" i="4"/>
  <c r="DW107" i="4"/>
  <c r="AK11" i="4"/>
  <c r="BE106" i="4"/>
  <c r="BE95" i="4"/>
  <c r="BY106" i="4"/>
  <c r="CN102" i="4"/>
  <c r="CS106" i="4"/>
  <c r="CS95" i="4"/>
  <c r="DH102" i="4"/>
  <c r="V14" i="4"/>
  <c r="CY118" i="4"/>
  <c r="CY103" i="4"/>
  <c r="CY99" i="4"/>
  <c r="CY98" i="4"/>
  <c r="CY97" i="4"/>
  <c r="CY96" i="4"/>
  <c r="DC14" i="4"/>
  <c r="DC99" i="4" s="1"/>
  <c r="DG118" i="4"/>
  <c r="DG103" i="4"/>
  <c r="DG99" i="4"/>
  <c r="DG98" i="4"/>
  <c r="DG97" i="4"/>
  <c r="DG96" i="4"/>
  <c r="DK118" i="4"/>
  <c r="DK103" i="4"/>
  <c r="DK99" i="4"/>
  <c r="DK98" i="4"/>
  <c r="DK97" i="4"/>
  <c r="DK96" i="4"/>
  <c r="DP118" i="4"/>
  <c r="DP103" i="4"/>
  <c r="DP98" i="4"/>
  <c r="DP96" i="4"/>
  <c r="DP97" i="4"/>
  <c r="DP99" i="4"/>
  <c r="DU118" i="4"/>
  <c r="DU103" i="4"/>
  <c r="DU99" i="4"/>
  <c r="DU98" i="4"/>
  <c r="DU97" i="4"/>
  <c r="DU96" i="4"/>
  <c r="DR106" i="4"/>
  <c r="DR95" i="4"/>
  <c r="G98" i="4"/>
  <c r="L105" i="4"/>
  <c r="L97" i="4"/>
  <c r="Q104" i="4"/>
  <c r="Q96" i="4"/>
  <c r="Q107" i="4"/>
  <c r="Q98" i="4"/>
  <c r="V105" i="4"/>
  <c r="V97" i="4"/>
  <c r="AA104" i="4"/>
  <c r="AA96" i="4"/>
  <c r="AA107" i="4"/>
  <c r="AA98" i="4"/>
  <c r="AF105" i="4"/>
  <c r="AF97" i="4"/>
  <c r="AK104" i="4"/>
  <c r="AK96" i="4"/>
  <c r="AK107" i="4"/>
  <c r="AK98" i="4"/>
  <c r="AP105" i="4"/>
  <c r="AP97" i="4"/>
  <c r="BE105" i="4"/>
  <c r="BE97" i="4"/>
  <c r="BJ107" i="4"/>
  <c r="BT104" i="4"/>
  <c r="BY105" i="4"/>
  <c r="CD107" i="4"/>
  <c r="CN104" i="4"/>
  <c r="CN96" i="4"/>
  <c r="CS105" i="4"/>
  <c r="CS97" i="4"/>
  <c r="CX107" i="4"/>
  <c r="DR97" i="4"/>
  <c r="DR105" i="4"/>
  <c r="BE82" i="4"/>
  <c r="DH107" i="4"/>
  <c r="F89" i="4"/>
  <c r="J108" i="4"/>
  <c r="J89" i="4"/>
  <c r="N108" i="4"/>
  <c r="N89" i="4"/>
  <c r="Z108" i="4"/>
  <c r="Z89" i="4"/>
  <c r="K99" i="4"/>
  <c r="K84" i="4"/>
  <c r="O99" i="4"/>
  <c r="O84" i="4"/>
  <c r="S99" i="4"/>
  <c r="S84" i="4"/>
  <c r="AD108" i="4"/>
  <c r="AD89" i="4"/>
  <c r="AE99" i="4"/>
  <c r="AE84" i="4"/>
  <c r="AH108" i="4"/>
  <c r="AH89" i="4"/>
  <c r="AI99" i="4"/>
  <c r="AI84" i="4"/>
  <c r="AM99" i="4"/>
  <c r="AM84" i="4"/>
  <c r="AT25" i="4"/>
  <c r="AW89" i="4"/>
  <c r="AW99" i="4"/>
  <c r="AW84" i="4"/>
  <c r="AW27" i="4"/>
  <c r="BB25" i="4"/>
  <c r="BB159" i="5" s="1"/>
  <c r="BB99" i="4"/>
  <c r="BB84" i="4"/>
  <c r="BG25" i="4"/>
  <c r="BG159" i="5" s="1"/>
  <c r="BG99" i="4"/>
  <c r="BG84" i="4"/>
  <c r="BL89" i="4"/>
  <c r="BL99" i="4"/>
  <c r="BL84" i="4"/>
  <c r="BL27" i="4"/>
  <c r="BQ108" i="4"/>
  <c r="BQ89" i="4"/>
  <c r="BQ67" i="4"/>
  <c r="BQ99" i="4"/>
  <c r="BQ84" i="4"/>
  <c r="BQ27" i="4"/>
  <c r="BV108" i="4"/>
  <c r="BV89" i="4"/>
  <c r="BV67" i="4"/>
  <c r="CA108" i="4"/>
  <c r="CA89" i="4"/>
  <c r="CA67" i="4"/>
  <c r="CF108" i="4"/>
  <c r="CF89" i="4"/>
  <c r="CF67" i="4"/>
  <c r="CF99" i="4"/>
  <c r="CF84" i="4"/>
  <c r="CF27" i="4"/>
  <c r="CK108" i="4"/>
  <c r="CK89" i="4"/>
  <c r="CP108" i="4"/>
  <c r="CP89" i="4"/>
  <c r="CP67" i="4"/>
  <c r="CU108" i="4"/>
  <c r="CU89" i="4"/>
  <c r="CU67" i="4"/>
  <c r="CZ108" i="4"/>
  <c r="CZ89" i="4"/>
  <c r="CZ67" i="4"/>
  <c r="BV99" i="4"/>
  <c r="BV84" i="4"/>
  <c r="CC108" i="4"/>
  <c r="CC89" i="4"/>
  <c r="CC67" i="4"/>
  <c r="BW27" i="4"/>
  <c r="CL27" i="4"/>
  <c r="DF27" i="4"/>
  <c r="DP27" i="4"/>
  <c r="DR99" i="4"/>
  <c r="AP26" i="4"/>
  <c r="CN25" i="4"/>
  <c r="CS99" i="4"/>
  <c r="DH25" i="4"/>
  <c r="DM106" i="4"/>
  <c r="DM95" i="4"/>
  <c r="DM97" i="4"/>
  <c r="DM105" i="4"/>
  <c r="DM25" i="4"/>
  <c r="E33" i="4"/>
  <c r="U33" i="4"/>
  <c r="AO33" i="4"/>
  <c r="AS33" i="4"/>
  <c r="W43" i="4"/>
  <c r="BP57" i="4"/>
  <c r="BS57" i="4" s="1"/>
  <c r="BS58" i="4" s="1"/>
  <c r="BT51" i="4"/>
  <c r="CC58" i="4"/>
  <c r="BK57" i="4"/>
  <c r="AG58" i="4"/>
  <c r="BU67" i="4"/>
  <c r="DE65" i="4"/>
  <c r="DE66" i="4" s="1"/>
  <c r="DH69" i="4"/>
  <c r="DH70" i="4" s="1"/>
  <c r="DE70" i="4"/>
  <c r="BK82" i="4"/>
  <c r="BO82" i="4" s="1"/>
  <c r="Q106" i="4"/>
  <c r="Q95" i="4"/>
  <c r="AA106" i="4"/>
  <c r="AA95" i="4"/>
  <c r="AK106" i="4"/>
  <c r="AK95" i="4"/>
  <c r="CN106" i="4"/>
  <c r="CN95" i="4"/>
  <c r="DH106" i="4"/>
  <c r="DH95" i="4"/>
  <c r="DL118" i="4"/>
  <c r="DL103" i="4"/>
  <c r="DL97" i="4"/>
  <c r="DL99" i="4"/>
  <c r="DL98" i="4"/>
  <c r="DL96" i="4"/>
  <c r="BT105" i="4"/>
  <c r="CN105" i="4"/>
  <c r="CN97" i="4"/>
  <c r="DR107" i="4"/>
  <c r="DR98" i="4"/>
  <c r="S108" i="4"/>
  <c r="S89" i="4"/>
  <c r="L99" i="4"/>
  <c r="L84" i="4"/>
  <c r="T99" i="4"/>
  <c r="T84" i="4"/>
  <c r="I80" i="4"/>
  <c r="I91" i="4"/>
  <c r="Y80" i="4"/>
  <c r="Y91" i="4"/>
  <c r="AM108" i="4"/>
  <c r="AM89" i="4"/>
  <c r="AX27" i="4"/>
  <c r="BH108" i="4"/>
  <c r="BH89" i="4"/>
  <c r="BH27" i="4"/>
  <c r="BM99" i="4"/>
  <c r="BM84" i="4"/>
  <c r="BR99" i="4"/>
  <c r="BR84" i="4"/>
  <c r="CB108" i="4"/>
  <c r="CB89" i="4"/>
  <c r="CB67" i="4"/>
  <c r="CQ108" i="4"/>
  <c r="CQ89" i="4"/>
  <c r="CQ67" i="4"/>
  <c r="DA132" i="4"/>
  <c r="DA108" i="4"/>
  <c r="DA89" i="4"/>
  <c r="DU89" i="4"/>
  <c r="DU67" i="4"/>
  <c r="BX91" i="4"/>
  <c r="BX80" i="4"/>
  <c r="BX85" i="4" s="1"/>
  <c r="CR91" i="4"/>
  <c r="CR80" i="4"/>
  <c r="CR85" i="4" s="1"/>
  <c r="BT26" i="4"/>
  <c r="DC25" i="4"/>
  <c r="DM107" i="4"/>
  <c r="AH110" i="4"/>
  <c r="AH100" i="4"/>
  <c r="AH92" i="4"/>
  <c r="BX33" i="4"/>
  <c r="CW33" i="4"/>
  <c r="CO57" i="4"/>
  <c r="CS57" i="4" s="1"/>
  <c r="DH9" i="4"/>
  <c r="DI11" i="4"/>
  <c r="H13" i="4"/>
  <c r="M13" i="4"/>
  <c r="R13" i="4"/>
  <c r="AB13" i="4"/>
  <c r="AG13" i="4"/>
  <c r="AL13" i="4"/>
  <c r="AQ13" i="4"/>
  <c r="BO106" i="4"/>
  <c r="CI106" i="4"/>
  <c r="CI95" i="4"/>
  <c r="DC106" i="4"/>
  <c r="DC95" i="4"/>
  <c r="L14" i="4"/>
  <c r="P103" i="4"/>
  <c r="T103" i="4"/>
  <c r="X103" i="4"/>
  <c r="AF14" i="4"/>
  <c r="AJ103" i="4"/>
  <c r="AN103" i="4"/>
  <c r="AR103" i="4"/>
  <c r="BA103" i="4"/>
  <c r="BI103" i="4"/>
  <c r="BM103" i="4"/>
  <c r="BQ103" i="4"/>
  <c r="BU103" i="4"/>
  <c r="CC103" i="4"/>
  <c r="CG103" i="4"/>
  <c r="CK103" i="4"/>
  <c r="CO103" i="4"/>
  <c r="CW103" i="4"/>
  <c r="DA118" i="4"/>
  <c r="DA99" i="4"/>
  <c r="DA98" i="4"/>
  <c r="DA97" i="4"/>
  <c r="DA96" i="4"/>
  <c r="DA103" i="4"/>
  <c r="DE118" i="4"/>
  <c r="DE103" i="4"/>
  <c r="DE99" i="4"/>
  <c r="DE98" i="4"/>
  <c r="DE97" i="4"/>
  <c r="DE96" i="4"/>
  <c r="DI118" i="4"/>
  <c r="DI99" i="4"/>
  <c r="DI98" i="4"/>
  <c r="DI97" i="4"/>
  <c r="DI96" i="4"/>
  <c r="DI103" i="4"/>
  <c r="DN118" i="4"/>
  <c r="DN103" i="4"/>
  <c r="DN99" i="4"/>
  <c r="DN98" i="4"/>
  <c r="DN97" i="4"/>
  <c r="DN96" i="4"/>
  <c r="DS118" i="4"/>
  <c r="DS103" i="4"/>
  <c r="DS99" i="4"/>
  <c r="DS98" i="4"/>
  <c r="DS97" i="4"/>
  <c r="DS96" i="4"/>
  <c r="G97" i="4"/>
  <c r="L96" i="4"/>
  <c r="L107" i="4"/>
  <c r="L98" i="4"/>
  <c r="Q105" i="4"/>
  <c r="Q97" i="4"/>
  <c r="V104" i="4"/>
  <c r="V96" i="4"/>
  <c r="V107" i="4"/>
  <c r="V98" i="4"/>
  <c r="AA105" i="4"/>
  <c r="AA97" i="4"/>
  <c r="AF104" i="4"/>
  <c r="AF96" i="4"/>
  <c r="AF107" i="4"/>
  <c r="AF98" i="4"/>
  <c r="AK105" i="4"/>
  <c r="AK97" i="4"/>
  <c r="AP104" i="4"/>
  <c r="AP96" i="4"/>
  <c r="AP107" i="4"/>
  <c r="AP98" i="4"/>
  <c r="BJ104" i="4"/>
  <c r="BO105" i="4"/>
  <c r="BT107" i="4"/>
  <c r="CD104" i="4"/>
  <c r="CI105" i="4"/>
  <c r="CI97" i="4"/>
  <c r="CN107" i="4"/>
  <c r="CN98" i="4"/>
  <c r="CX104" i="4"/>
  <c r="DC105" i="4"/>
  <c r="DC97" i="4"/>
  <c r="H20" i="4"/>
  <c r="M20" i="4"/>
  <c r="R20" i="4"/>
  <c r="W20" i="4"/>
  <c r="AB20" i="4"/>
  <c r="AG20" i="4"/>
  <c r="AL20" i="4"/>
  <c r="AQ20" i="4"/>
  <c r="BE20" i="4"/>
  <c r="BJ20" i="4"/>
  <c r="BO20" i="4"/>
  <c r="DH104" i="4"/>
  <c r="P108" i="4"/>
  <c r="P89" i="4"/>
  <c r="T108" i="4"/>
  <c r="T89" i="4"/>
  <c r="X108" i="4"/>
  <c r="X89" i="4"/>
  <c r="E99" i="4"/>
  <c r="E84" i="4"/>
  <c r="I99" i="4"/>
  <c r="I84" i="4"/>
  <c r="M26" i="4"/>
  <c r="Q26" i="4"/>
  <c r="U99" i="4"/>
  <c r="U84" i="4"/>
  <c r="Y99" i="4"/>
  <c r="Y84" i="4"/>
  <c r="F27" i="4"/>
  <c r="J27" i="4"/>
  <c r="N27" i="4"/>
  <c r="Z27" i="4"/>
  <c r="AC99" i="4"/>
  <c r="AC84" i="4"/>
  <c r="AD80" i="4"/>
  <c r="AD91" i="4"/>
  <c r="AJ108" i="4"/>
  <c r="AJ89" i="4"/>
  <c r="AH80" i="4"/>
  <c r="AH91" i="4"/>
  <c r="AN108" i="4"/>
  <c r="AN89" i="4"/>
  <c r="AO99" i="4"/>
  <c r="AO84" i="4"/>
  <c r="AR108" i="4"/>
  <c r="AR89" i="4"/>
  <c r="AS99" i="4"/>
  <c r="AS84" i="4"/>
  <c r="AY89" i="4"/>
  <c r="AY99" i="4"/>
  <c r="AY84" i="4"/>
  <c r="AY27" i="4"/>
  <c r="BD108" i="4"/>
  <c r="BD89" i="4"/>
  <c r="BD99" i="4"/>
  <c r="BD84" i="4"/>
  <c r="BD27" i="4"/>
  <c r="BI108" i="4"/>
  <c r="BI89" i="4"/>
  <c r="BI99" i="4"/>
  <c r="BI84" i="4"/>
  <c r="BI27" i="4"/>
  <c r="BN108" i="4"/>
  <c r="BN89" i="4"/>
  <c r="BN99" i="4"/>
  <c r="BN84" i="4"/>
  <c r="BN27" i="4"/>
  <c r="BS108" i="4"/>
  <c r="BS89" i="4"/>
  <c r="BS67" i="4"/>
  <c r="BS99" i="4"/>
  <c r="BS84" i="4"/>
  <c r="BS27" i="4"/>
  <c r="BX108" i="4"/>
  <c r="BX67" i="4"/>
  <c r="BX89" i="4"/>
  <c r="CH108" i="4"/>
  <c r="CH89" i="4"/>
  <c r="CH67" i="4"/>
  <c r="CH99" i="4"/>
  <c r="CH84" i="4"/>
  <c r="CH27" i="4"/>
  <c r="CM108" i="4"/>
  <c r="CM89" i="4"/>
  <c r="CM67" i="4"/>
  <c r="CR108" i="4"/>
  <c r="CR89" i="4"/>
  <c r="CR67" i="4"/>
  <c r="CW108" i="4"/>
  <c r="CW89" i="4"/>
  <c r="CW67" i="4"/>
  <c r="DB108" i="4"/>
  <c r="DB89" i="4"/>
  <c r="DB67" i="4"/>
  <c r="DG25" i="4"/>
  <c r="DL25" i="4"/>
  <c r="DQ25" i="4"/>
  <c r="DV25" i="4"/>
  <c r="BZ108" i="4"/>
  <c r="BZ89" i="4"/>
  <c r="BZ67" i="4"/>
  <c r="BZ27" i="4"/>
  <c r="G32" i="4"/>
  <c r="H32" i="4" s="1"/>
  <c r="CX25" i="4"/>
  <c r="W34" i="4"/>
  <c r="AN100" i="4"/>
  <c r="AD35" i="4"/>
  <c r="AH35" i="4"/>
  <c r="EL43" i="4"/>
  <c r="BT43" i="4"/>
  <c r="AB52" i="4"/>
  <c r="AB58" i="4" s="1"/>
  <c r="AA58" i="4"/>
  <c r="BF52" i="4"/>
  <c r="CD54" i="4"/>
  <c r="BX56" i="4"/>
  <c r="BM57" i="4"/>
  <c r="DA67" i="4"/>
  <c r="V106" i="4"/>
  <c r="V95" i="4"/>
  <c r="DH14" i="4"/>
  <c r="DH99" i="4" s="1"/>
  <c r="BO104" i="4"/>
  <c r="BY98" i="4"/>
  <c r="BY107" i="4"/>
  <c r="CS98" i="4"/>
  <c r="CS107" i="4"/>
  <c r="O108" i="4"/>
  <c r="O89" i="4"/>
  <c r="D99" i="4"/>
  <c r="D84" i="4"/>
  <c r="H26" i="4"/>
  <c r="X99" i="4"/>
  <c r="X84" i="4"/>
  <c r="AE108" i="4"/>
  <c r="AE89" i="4"/>
  <c r="AC80" i="4"/>
  <c r="AC91" i="4"/>
  <c r="AJ99" i="4"/>
  <c r="AJ84" i="4"/>
  <c r="AN99" i="4"/>
  <c r="AN84" i="4"/>
  <c r="AR99" i="4"/>
  <c r="AR84" i="4"/>
  <c r="BC108" i="4"/>
  <c r="BC89" i="4"/>
  <c r="BC27" i="4"/>
  <c r="BH99" i="4"/>
  <c r="BH84" i="4"/>
  <c r="BR108" i="4"/>
  <c r="BR89" i="4"/>
  <c r="BR67" i="4"/>
  <c r="BR27" i="4"/>
  <c r="CG108" i="4"/>
  <c r="CG89" i="4"/>
  <c r="CG67" i="4"/>
  <c r="CG99" i="4"/>
  <c r="CG84" i="4"/>
  <c r="CG27" i="4"/>
  <c r="CV108" i="4"/>
  <c r="CV89" i="4"/>
  <c r="CV67" i="4"/>
  <c r="DK108" i="4"/>
  <c r="DK89" i="4"/>
  <c r="DK67" i="4"/>
  <c r="BW99" i="4"/>
  <c r="BW84" i="4"/>
  <c r="CM80" i="4"/>
  <c r="CM85" i="4" s="1"/>
  <c r="CM91" i="4"/>
  <c r="DB91" i="4"/>
  <c r="DB80" i="4"/>
  <c r="DB85" i="4" s="1"/>
  <c r="DM99" i="4"/>
  <c r="DB33" i="4"/>
  <c r="AQ34" i="4"/>
  <c r="BE26" i="4"/>
  <c r="CE57" i="4"/>
  <c r="CE58" i="4" s="1"/>
  <c r="CI51" i="4"/>
  <c r="CJ57" i="4"/>
  <c r="CN57" i="4" s="1"/>
  <c r="CN51" i="4"/>
  <c r="P84" i="4"/>
  <c r="L102" i="4"/>
  <c r="Q102" i="4"/>
  <c r="V102" i="4"/>
  <c r="AA102" i="4"/>
  <c r="AF102" i="4"/>
  <c r="AK102" i="4"/>
  <c r="AP102" i="4"/>
  <c r="BJ106" i="4"/>
  <c r="CD106" i="4"/>
  <c r="CS102" i="4"/>
  <c r="CX106" i="4"/>
  <c r="CX95" i="4"/>
  <c r="I103" i="4"/>
  <c r="Q14" i="4"/>
  <c r="U103" i="4"/>
  <c r="Y103" i="4"/>
  <c r="AC103" i="4"/>
  <c r="AK14" i="4"/>
  <c r="AO103" i="4"/>
  <c r="AS103" i="4"/>
  <c r="BB103" i="4"/>
  <c r="BF103" i="4"/>
  <c r="BN103" i="4"/>
  <c r="BR103" i="4"/>
  <c r="BV103" i="4"/>
  <c r="BZ103" i="4"/>
  <c r="CH103" i="4"/>
  <c r="CL103" i="4"/>
  <c r="CP103" i="4"/>
  <c r="CT103" i="4"/>
  <c r="CX14" i="4"/>
  <c r="DB118" i="4"/>
  <c r="DB99" i="4"/>
  <c r="DB98" i="4"/>
  <c r="DB97" i="4"/>
  <c r="DB96" i="4"/>
  <c r="DB103" i="4"/>
  <c r="DF118" i="4"/>
  <c r="DF103" i="4"/>
  <c r="DF99" i="4"/>
  <c r="DF98" i="4"/>
  <c r="DF97" i="4"/>
  <c r="DF96" i="4"/>
  <c r="DJ118" i="4"/>
  <c r="DJ99" i="4"/>
  <c r="DJ98" i="4"/>
  <c r="DJ97" i="4"/>
  <c r="DJ96" i="4"/>
  <c r="DJ103" i="4"/>
  <c r="DO118" i="4"/>
  <c r="DO103" i="4"/>
  <c r="DO99" i="4"/>
  <c r="DO98" i="4"/>
  <c r="DO97" i="4"/>
  <c r="DO96" i="4"/>
  <c r="DT118" i="4"/>
  <c r="DT103" i="4"/>
  <c r="DT98" i="4"/>
  <c r="DT96" i="4"/>
  <c r="DT99" i="4"/>
  <c r="DT97" i="4"/>
  <c r="I104" i="4"/>
  <c r="D96" i="4"/>
  <c r="H17" i="4"/>
  <c r="M16" i="4"/>
  <c r="M18" i="4"/>
  <c r="R17" i="4"/>
  <c r="W16" i="4"/>
  <c r="W27" i="8" s="1"/>
  <c r="W18" i="4"/>
  <c r="AB17" i="4"/>
  <c r="AG16" i="4"/>
  <c r="AG27" i="8" s="1"/>
  <c r="AG18" i="4"/>
  <c r="AL17" i="4"/>
  <c r="AQ16" i="4"/>
  <c r="AQ18" i="4"/>
  <c r="BE104" i="4"/>
  <c r="BE96" i="4"/>
  <c r="BJ105" i="4"/>
  <c r="BO107" i="4"/>
  <c r="BY104" i="4"/>
  <c r="BY96" i="4"/>
  <c r="CD105" i="4"/>
  <c r="CI107" i="4"/>
  <c r="CI98" i="4"/>
  <c r="CS104" i="4"/>
  <c r="CS96" i="4"/>
  <c r="CX105" i="4"/>
  <c r="CX97" i="4"/>
  <c r="DC107" i="4"/>
  <c r="BJ82" i="4"/>
  <c r="DH105" i="4"/>
  <c r="DH97" i="4"/>
  <c r="E89" i="4"/>
  <c r="I108" i="4"/>
  <c r="I89" i="4"/>
  <c r="Q25" i="4"/>
  <c r="V108" i="4" s="1"/>
  <c r="U108" i="4"/>
  <c r="U89" i="4"/>
  <c r="Y108" i="4"/>
  <c r="Y89" i="4"/>
  <c r="F99" i="4"/>
  <c r="F84" i="4"/>
  <c r="J84" i="4"/>
  <c r="J99" i="4"/>
  <c r="N99" i="4"/>
  <c r="N84" i="4"/>
  <c r="R26" i="4"/>
  <c r="V26" i="4"/>
  <c r="Z99" i="4"/>
  <c r="Z84" i="4"/>
  <c r="K27" i="4"/>
  <c r="O27" i="4"/>
  <c r="S27" i="4"/>
  <c r="AC108" i="4"/>
  <c r="AC89" i="4"/>
  <c r="AD99" i="4"/>
  <c r="AD84" i="4"/>
  <c r="AE27" i="4"/>
  <c r="AH99" i="4"/>
  <c r="AH84" i="4"/>
  <c r="AI27" i="4"/>
  <c r="AO108" i="4"/>
  <c r="AO89" i="4"/>
  <c r="AM27" i="4"/>
  <c r="AS108" i="4"/>
  <c r="AS89" i="4"/>
  <c r="AT99" i="4"/>
  <c r="AT84" i="4"/>
  <c r="AV89" i="4"/>
  <c r="AV84" i="4"/>
  <c r="AV99" i="4"/>
  <c r="AV27" i="4"/>
  <c r="BA25" i="4"/>
  <c r="BA159" i="5" s="1"/>
  <c r="BA99" i="4"/>
  <c r="BA84" i="4"/>
  <c r="BE84" i="4" s="1"/>
  <c r="BF25" i="4"/>
  <c r="BF159" i="5" s="1"/>
  <c r="BF99" i="4"/>
  <c r="BF84" i="4"/>
  <c r="BK25" i="4"/>
  <c r="BK159" i="5" s="1"/>
  <c r="BK99" i="4"/>
  <c r="BK84" i="4"/>
  <c r="BP89" i="4"/>
  <c r="BP67" i="4"/>
  <c r="BP99" i="4"/>
  <c r="BP84" i="4"/>
  <c r="BP27" i="4"/>
  <c r="BU108" i="4"/>
  <c r="BU89" i="4"/>
  <c r="CE108" i="4"/>
  <c r="CE89" i="4"/>
  <c r="CE67" i="4"/>
  <c r="CE99" i="4"/>
  <c r="CE84" i="4"/>
  <c r="CI84" i="4" s="1"/>
  <c r="CE27" i="4"/>
  <c r="CJ108" i="4"/>
  <c r="CJ89" i="4"/>
  <c r="CJ67" i="4"/>
  <c r="CO108" i="4"/>
  <c r="CO89" i="4"/>
  <c r="CO67" i="4"/>
  <c r="CT108" i="4"/>
  <c r="CT89" i="4"/>
  <c r="CT67" i="4"/>
  <c r="CY108" i="4"/>
  <c r="CY89" i="4"/>
  <c r="CY67" i="4"/>
  <c r="DD25" i="4"/>
  <c r="DD159" i="5" s="1"/>
  <c r="DI25" i="4"/>
  <c r="DI159" i="5" s="1"/>
  <c r="DN25" i="4"/>
  <c r="DN159" i="5" s="1"/>
  <c r="DS25" i="4"/>
  <c r="BU99" i="4"/>
  <c r="BU84" i="4"/>
  <c r="BY84" i="4" s="1"/>
  <c r="BZ99" i="4"/>
  <c r="BZ84" i="4"/>
  <c r="CD84" i="4" s="1"/>
  <c r="BV27" i="4"/>
  <c r="CA27" i="4"/>
  <c r="CK27" i="4"/>
  <c r="CP27" i="4"/>
  <c r="CU27" i="4"/>
  <c r="CZ27" i="4"/>
  <c r="DR25" i="4"/>
  <c r="AA26" i="4"/>
  <c r="AP25" i="4"/>
  <c r="AF26" i="4"/>
  <c r="AK26" i="4"/>
  <c r="CS25" i="4"/>
  <c r="CX99" i="4"/>
  <c r="DM102" i="4"/>
  <c r="DM104" i="4"/>
  <c r="DR104" i="4"/>
  <c r="DM96" i="4"/>
  <c r="H34" i="4"/>
  <c r="Q34" i="4"/>
  <c r="AO100" i="4"/>
  <c r="AZ26" i="4"/>
  <c r="AZ99" i="4" s="1"/>
  <c r="BJ26" i="4"/>
  <c r="EG43" i="4"/>
  <c r="AQ43" i="4"/>
  <c r="BH58" i="4"/>
  <c r="CB57" i="4"/>
  <c r="CD57" i="4" s="1"/>
  <c r="DP58" i="4"/>
  <c r="DU58" i="4"/>
  <c r="DU132" i="4" s="1"/>
  <c r="EJ58" i="4"/>
  <c r="Q52" i="4"/>
  <c r="Q58" i="4" s="1"/>
  <c r="CX52" i="4"/>
  <c r="DC52" i="4"/>
  <c r="BO51" i="4"/>
  <c r="BT54" i="4"/>
  <c r="AL58" i="4"/>
  <c r="DF58" i="4"/>
  <c r="DZ75" i="4"/>
  <c r="AF43" i="4"/>
  <c r="AG43" i="4" s="1"/>
  <c r="DE45" i="4"/>
  <c r="DF45" i="4" s="1"/>
  <c r="DG45" i="4" s="1"/>
  <c r="DI45" i="4" s="1"/>
  <c r="DR51" i="4"/>
  <c r="DR58" i="4" s="1"/>
  <c r="BO56" i="4"/>
  <c r="CD51" i="4"/>
  <c r="BL57" i="4"/>
  <c r="BL58" i="4" s="1"/>
  <c r="CF57" i="4"/>
  <c r="CF58" i="4" s="1"/>
  <c r="EB51" i="4"/>
  <c r="EB58" i="4" s="1"/>
  <c r="DY58" i="4"/>
  <c r="EC58" i="4"/>
  <c r="EK58" i="4"/>
  <c r="G43" i="4"/>
  <c r="H43" i="4" s="1"/>
  <c r="L43" i="4"/>
  <c r="M43" i="4" s="1"/>
  <c r="Q43" i="4"/>
  <c r="R43" i="4" s="1"/>
  <c r="BQ43" i="4"/>
  <c r="DC51" i="4"/>
  <c r="DW51" i="4"/>
  <c r="AQ55" i="4"/>
  <c r="AQ58" i="4" s="1"/>
  <c r="AZ52" i="4"/>
  <c r="AZ58" i="4" s="1"/>
  <c r="DM51" i="4"/>
  <c r="I58" i="4"/>
  <c r="AK58" i="4"/>
  <c r="BK58" i="4"/>
  <c r="BW58" i="4"/>
  <c r="CA58" i="4"/>
  <c r="CM58" i="4"/>
  <c r="CU112" i="4"/>
  <c r="CU66" i="4"/>
  <c r="CZ66" i="4"/>
  <c r="DD66" i="4"/>
  <c r="AZ75" i="4"/>
  <c r="DG77" i="4"/>
  <c r="DH77" i="4" s="1"/>
  <c r="DI76" i="4"/>
  <c r="R82" i="4"/>
  <c r="BO53" i="4"/>
  <c r="L54" i="4"/>
  <c r="L58" i="4" s="1"/>
  <c r="EG51" i="4"/>
  <c r="EG58" i="4" s="1"/>
  <c r="CO65" i="4"/>
  <c r="CO70" i="4"/>
  <c r="DF74" i="4"/>
  <c r="DG74" i="4" s="1"/>
  <c r="M82" i="4"/>
  <c r="CT112" i="4"/>
  <c r="CY77" i="4"/>
  <c r="DC77" i="4" s="1"/>
  <c r="DC76" i="4" s="1"/>
  <c r="H82" i="4"/>
  <c r="H83" i="4"/>
  <c r="M81" i="4"/>
  <c r="W82" i="4"/>
  <c r="AB83" i="4"/>
  <c r="AG83" i="4"/>
  <c r="AZ81" i="4"/>
  <c r="BE81" i="4"/>
  <c r="DM82" i="4"/>
  <c r="DR82" i="4"/>
  <c r="BJ83" i="4"/>
  <c r="CX84" i="4"/>
  <c r="DC84" i="4"/>
  <c r="CV112" i="4"/>
  <c r="AW77" i="4"/>
  <c r="AZ77" i="4" s="1"/>
  <c r="AZ76" i="4" s="1"/>
  <c r="BE75" i="4"/>
  <c r="BA77" i="4"/>
  <c r="BE77" i="4" s="1"/>
  <c r="DT77" i="4"/>
  <c r="DU76" i="4"/>
  <c r="AQ81" i="4"/>
  <c r="AQ82" i="4"/>
  <c r="CI81" i="4"/>
  <c r="BT82" i="4"/>
  <c r="EB82" i="4"/>
  <c r="CV66" i="4"/>
  <c r="AG82" i="4"/>
  <c r="AL82" i="4"/>
  <c r="M83" i="4"/>
  <c r="DC81" i="4"/>
  <c r="DH81" i="4"/>
  <c r="DM81" i="4"/>
  <c r="CN82" i="4"/>
  <c r="CS82" i="4"/>
  <c r="CX82" i="4"/>
  <c r="EB83" i="4"/>
  <c r="EG83" i="4"/>
  <c r="EL83" i="4"/>
  <c r="DR118" i="4"/>
  <c r="DM120" i="4"/>
  <c r="DH121" i="4"/>
  <c r="DH118" i="4"/>
  <c r="DR120" i="4"/>
  <c r="DM121" i="4"/>
  <c r="DM116" i="4"/>
  <c r="DW120" i="4"/>
  <c r="DR121" i="4"/>
  <c r="BY34" i="8" l="1"/>
  <c r="BF59" i="8"/>
  <c r="BR16" i="7"/>
  <c r="DW63" i="8"/>
  <c r="N61" i="7"/>
  <c r="BE157" i="5"/>
  <c r="CS157" i="5"/>
  <c r="DR156" i="5"/>
  <c r="AQ164" i="5"/>
  <c r="V181" i="5"/>
  <c r="DH11" i="4"/>
  <c r="DH117" i="4" s="1"/>
  <c r="BL61" i="7"/>
  <c r="DQ61" i="8"/>
  <c r="BF32" i="8"/>
  <c r="CX225" i="7"/>
  <c r="CD79" i="8"/>
  <c r="BT67" i="8"/>
  <c r="BT68" i="8" s="1"/>
  <c r="BJ64" i="7"/>
  <c r="DW79" i="8"/>
  <c r="CW34" i="8"/>
  <c r="BN32" i="8"/>
  <c r="DL239" i="7"/>
  <c r="BY61" i="8"/>
  <c r="H79" i="5"/>
  <c r="H98" i="4"/>
  <c r="DW65" i="8"/>
  <c r="DW69" i="8"/>
  <c r="BX57" i="4"/>
  <c r="BY57" i="4" s="1"/>
  <c r="DU133" i="4"/>
  <c r="DM118" i="4"/>
  <c r="L104" i="4"/>
  <c r="CS58" i="4"/>
  <c r="DU108" i="4"/>
  <c r="AZ97" i="4"/>
  <c r="G96" i="4"/>
  <c r="DP108" i="4"/>
  <c r="CY33" i="4"/>
  <c r="F131" i="5"/>
  <c r="Z131" i="5"/>
  <c r="BU61" i="7"/>
  <c r="CD66" i="7"/>
  <c r="I61" i="7"/>
  <c r="AK61" i="7"/>
  <c r="L67" i="8"/>
  <c r="BY64" i="8"/>
  <c r="CK70" i="8"/>
  <c r="Q65" i="8"/>
  <c r="BT69" i="8"/>
  <c r="BT70" i="8" s="1"/>
  <c r="AA61" i="8"/>
  <c r="DW33" i="8"/>
  <c r="DW34" i="8" s="1"/>
  <c r="G131" i="5"/>
  <c r="AA56" i="8"/>
  <c r="G86" i="5"/>
  <c r="X131" i="5"/>
  <c r="CV16" i="7"/>
  <c r="BH16" i="7"/>
  <c r="M94" i="5"/>
  <c r="CP16" i="7"/>
  <c r="BQ16" i="7"/>
  <c r="L86" i="5"/>
  <c r="DY71" i="4"/>
  <c r="DY68" i="4" s="1"/>
  <c r="DP132" i="4"/>
  <c r="DC98" i="4"/>
  <c r="AZ95" i="4"/>
  <c r="CY91" i="4"/>
  <c r="J131" i="5"/>
  <c r="M66" i="7"/>
  <c r="H66" i="7"/>
  <c r="AE68" i="8"/>
  <c r="CK68" i="8"/>
  <c r="Q69" i="8"/>
  <c r="BB70" i="8"/>
  <c r="DB70" i="8"/>
  <c r="V34" i="8"/>
  <c r="BE76" i="8"/>
  <c r="BE78" i="8"/>
  <c r="BJ79" i="8" s="1"/>
  <c r="DC61" i="8"/>
  <c r="CS74" i="8"/>
  <c r="Q29" i="8"/>
  <c r="AN16" i="7"/>
  <c r="I131" i="5"/>
  <c r="L131" i="5"/>
  <c r="L93" i="5"/>
  <c r="G93" i="5"/>
  <c r="DN16" i="7"/>
  <c r="AZ98" i="4"/>
  <c r="DM98" i="4"/>
  <c r="G25" i="4"/>
  <c r="DO131" i="5"/>
  <c r="DW75" i="5"/>
  <c r="K131" i="5"/>
  <c r="AC61" i="7"/>
  <c r="H60" i="7"/>
  <c r="AB60" i="7"/>
  <c r="AG61" i="7" s="1"/>
  <c r="K68" i="8"/>
  <c r="J68" i="8"/>
  <c r="CN65" i="8"/>
  <c r="Q67" i="8"/>
  <c r="DP43" i="8"/>
  <c r="CS34" i="8"/>
  <c r="CS78" i="8"/>
  <c r="CX79" i="8" s="1"/>
  <c r="Y131" i="5"/>
  <c r="CN38" i="8"/>
  <c r="AA13" i="7"/>
  <c r="Q13" i="7"/>
  <c r="AC16" i="7"/>
  <c r="O16" i="7"/>
  <c r="CN98" i="5"/>
  <c r="CN58" i="4"/>
  <c r="CE16" i="7"/>
  <c r="BU16" i="7"/>
  <c r="CM16" i="7"/>
  <c r="BB16" i="7"/>
  <c r="AJ61" i="7"/>
  <c r="P61" i="7"/>
  <c r="CH16" i="7"/>
  <c r="DW67" i="8"/>
  <c r="CD61" i="7"/>
  <c r="DW64" i="7"/>
  <c r="AL14" i="8"/>
  <c r="AN61" i="7"/>
  <c r="T61" i="7"/>
  <c r="CQ61" i="7"/>
  <c r="CC61" i="7"/>
  <c r="DO61" i="7"/>
  <c r="CB61" i="7"/>
  <c r="AM61" i="7"/>
  <c r="CX129" i="7"/>
  <c r="AQ129" i="7"/>
  <c r="DC114" i="7"/>
  <c r="BY176" i="7"/>
  <c r="DR100" i="7"/>
  <c r="CS9" i="8"/>
  <c r="DU16" i="7"/>
  <c r="BW16" i="7"/>
  <c r="BK16" i="7"/>
  <c r="BF61" i="7"/>
  <c r="H16" i="4"/>
  <c r="BS16" i="7"/>
  <c r="CY16" i="7"/>
  <c r="CO16" i="7"/>
  <c r="BZ16" i="7"/>
  <c r="BA16" i="7"/>
  <c r="CU16" i="7"/>
  <c r="BI16" i="7"/>
  <c r="DR198" i="5"/>
  <c r="V169" i="5"/>
  <c r="V184" i="5" s="1"/>
  <c r="DA209" i="10"/>
  <c r="CZ214" i="10"/>
  <c r="DH33" i="10"/>
  <c r="DG38" i="10"/>
  <c r="DK194" i="5"/>
  <c r="DK190" i="5"/>
  <c r="DK159" i="5"/>
  <c r="CX125" i="5"/>
  <c r="DM157" i="5"/>
  <c r="BO201" i="5"/>
  <c r="H125" i="5"/>
  <c r="M201" i="5"/>
  <c r="DH198" i="5"/>
  <c r="DR9" i="10"/>
  <c r="R52" i="4"/>
  <c r="R58" i="4" s="1"/>
  <c r="V129" i="5"/>
  <c r="V119" i="5"/>
  <c r="V120" i="5" s="1"/>
  <c r="W120" i="5" s="1"/>
  <c r="AG54" i="8"/>
  <c r="AG63" i="8" s="1"/>
  <c r="AG97" i="5"/>
  <c r="AG98" i="5"/>
  <c r="W28" i="8"/>
  <c r="AB28" i="8"/>
  <c r="W33" i="8"/>
  <c r="W34" i="8" s="1"/>
  <c r="H97" i="4"/>
  <c r="H36" i="8"/>
  <c r="H93" i="5"/>
  <c r="H97" i="5"/>
  <c r="H94" i="5"/>
  <c r="BE99" i="4"/>
  <c r="BE119" i="5"/>
  <c r="BE129" i="5"/>
  <c r="DM103" i="4"/>
  <c r="BN57" i="4"/>
  <c r="BN58" i="4" s="1"/>
  <c r="AF103" i="4"/>
  <c r="AF25" i="8"/>
  <c r="AF15" i="7"/>
  <c r="AF89" i="4"/>
  <c r="L103" i="4"/>
  <c r="L25" i="8"/>
  <c r="L15" i="7"/>
  <c r="AL72" i="8"/>
  <c r="AL24" i="8"/>
  <c r="AL14" i="7"/>
  <c r="M72" i="8"/>
  <c r="M24" i="8"/>
  <c r="M14" i="7"/>
  <c r="BY97" i="4"/>
  <c r="DC25" i="8"/>
  <c r="DC15" i="7"/>
  <c r="AL11" i="4"/>
  <c r="AL12" i="4" s="1"/>
  <c r="AQ89" i="5" s="1"/>
  <c r="AQ91" i="5" s="1"/>
  <c r="AK148" i="7"/>
  <c r="AK78" i="7"/>
  <c r="M23" i="8"/>
  <c r="M12" i="7"/>
  <c r="M73" i="5"/>
  <c r="M75" i="5" s="1"/>
  <c r="M89" i="5"/>
  <c r="M91" i="5" s="1"/>
  <c r="M79" i="5"/>
  <c r="M87" i="5"/>
  <c r="M86" i="5"/>
  <c r="CI25" i="8"/>
  <c r="CI15" i="7"/>
  <c r="AZ129" i="5"/>
  <c r="AA129" i="5"/>
  <c r="AA131" i="5" s="1"/>
  <c r="AA119" i="5"/>
  <c r="AA120" i="5" s="1"/>
  <c r="AB120" i="5" s="1"/>
  <c r="DS159" i="5"/>
  <c r="R129" i="5"/>
  <c r="R131" i="5" s="1"/>
  <c r="R119" i="5"/>
  <c r="AQ54" i="8"/>
  <c r="AQ97" i="5"/>
  <c r="AQ98" i="5"/>
  <c r="AG31" i="8"/>
  <c r="AG28" i="8"/>
  <c r="AG33" i="8"/>
  <c r="AL34" i="8" s="1"/>
  <c r="R36" i="8"/>
  <c r="R97" i="5"/>
  <c r="R98" i="5"/>
  <c r="R93" i="5"/>
  <c r="R94" i="5"/>
  <c r="CX103" i="4"/>
  <c r="CX25" i="8"/>
  <c r="CX15" i="7"/>
  <c r="BX58" i="4"/>
  <c r="AG72" i="8"/>
  <c r="AG24" i="8"/>
  <c r="AG14" i="7"/>
  <c r="H95" i="4"/>
  <c r="H72" i="8"/>
  <c r="H24" i="8"/>
  <c r="H14" i="7"/>
  <c r="M54" i="4"/>
  <c r="M58" i="4" s="1"/>
  <c r="AQ26" i="4"/>
  <c r="AP129" i="5"/>
  <c r="AP119" i="5"/>
  <c r="H8" i="19"/>
  <c r="DW25" i="8"/>
  <c r="DW15" i="7"/>
  <c r="G25" i="8"/>
  <c r="G39" i="8" s="1"/>
  <c r="G15" i="7"/>
  <c r="BY23" i="8"/>
  <c r="BY12" i="7"/>
  <c r="BY86" i="5"/>
  <c r="BY79" i="5"/>
  <c r="CB58" i="4"/>
  <c r="AK119" i="5"/>
  <c r="AK120" i="5" s="1"/>
  <c r="AL120" i="5" s="1"/>
  <c r="AK129" i="5"/>
  <c r="AK131" i="5" s="1"/>
  <c r="BP108" i="4"/>
  <c r="AQ25" i="4"/>
  <c r="AQ27" i="8"/>
  <c r="AG105" i="4"/>
  <c r="AB36" i="8"/>
  <c r="AB97" i="5"/>
  <c r="AB94" i="5"/>
  <c r="AB98" i="5"/>
  <c r="AB93" i="5"/>
  <c r="M54" i="8"/>
  <c r="M97" i="5"/>
  <c r="M98" i="5"/>
  <c r="AK103" i="4"/>
  <c r="AK25" i="8"/>
  <c r="AK39" i="8" s="1"/>
  <c r="AK15" i="7"/>
  <c r="Q103" i="4"/>
  <c r="Q25" i="8"/>
  <c r="Q15" i="7"/>
  <c r="Q16" i="7" s="1"/>
  <c r="H99" i="4"/>
  <c r="H119" i="5"/>
  <c r="H129" i="5"/>
  <c r="H131" i="5" s="1"/>
  <c r="Q119" i="5"/>
  <c r="Q120" i="5" s="1"/>
  <c r="R120" i="5" s="1"/>
  <c r="Q129" i="5"/>
  <c r="Q131" i="5" s="1"/>
  <c r="AB72" i="8"/>
  <c r="AB24" i="8"/>
  <c r="AB14" i="7"/>
  <c r="BT129" i="5"/>
  <c r="BT119" i="5"/>
  <c r="DW97" i="4"/>
  <c r="W105" i="4"/>
  <c r="BE23" i="8"/>
  <c r="BE82" i="7"/>
  <c r="BE12" i="7"/>
  <c r="BE89" i="5"/>
  <c r="BE91" i="5" s="1"/>
  <c r="BE73" i="5"/>
  <c r="BE75" i="5" s="1"/>
  <c r="BE87" i="5"/>
  <c r="BE86" i="5"/>
  <c r="AZ82" i="7"/>
  <c r="AZ23" i="8"/>
  <c r="AZ12" i="7"/>
  <c r="AZ25" i="4"/>
  <c r="AZ14" i="4"/>
  <c r="AQ23" i="8"/>
  <c r="AQ12" i="7"/>
  <c r="AQ73" i="5"/>
  <c r="AQ75" i="5" s="1"/>
  <c r="AQ87" i="5"/>
  <c r="AQ86" i="5"/>
  <c r="AQ79" i="5"/>
  <c r="AQ14" i="4"/>
  <c r="BJ129" i="5"/>
  <c r="BJ119" i="5"/>
  <c r="AF119" i="5"/>
  <c r="AF120" i="5" s="1"/>
  <c r="AG120" i="5" s="1"/>
  <c r="AF129" i="5"/>
  <c r="AF131" i="5" s="1"/>
  <c r="AL36" i="8"/>
  <c r="AL93" i="5"/>
  <c r="AL98" i="5"/>
  <c r="AL97" i="5"/>
  <c r="AL94" i="5"/>
  <c r="AB107" i="4"/>
  <c r="W54" i="8"/>
  <c r="R104" i="4"/>
  <c r="M27" i="8"/>
  <c r="H84" i="4"/>
  <c r="DH103" i="4"/>
  <c r="DH15" i="7"/>
  <c r="DH16" i="7" s="1"/>
  <c r="AD85" i="4"/>
  <c r="M119" i="5"/>
  <c r="M129" i="5"/>
  <c r="AQ72" i="8"/>
  <c r="AQ24" i="8"/>
  <c r="AQ14" i="7"/>
  <c r="W106" i="4"/>
  <c r="R72" i="8"/>
  <c r="R24" i="8"/>
  <c r="R14" i="7"/>
  <c r="CX98" i="4"/>
  <c r="V103" i="4"/>
  <c r="V25" i="8"/>
  <c r="V15" i="7"/>
  <c r="AO85" i="4"/>
  <c r="U85" i="4"/>
  <c r="W23" i="8"/>
  <c r="W29" i="8" s="1"/>
  <c r="W12" i="7"/>
  <c r="W89" i="5"/>
  <c r="W91" i="5" s="1"/>
  <c r="W73" i="5"/>
  <c r="W75" i="5" s="1"/>
  <c r="W87" i="5"/>
  <c r="W86" i="5"/>
  <c r="W79" i="5"/>
  <c r="AG26" i="4"/>
  <c r="W95" i="4"/>
  <c r="AN85" i="4"/>
  <c r="AK27" i="4"/>
  <c r="R23" i="8"/>
  <c r="R56" i="8" s="1"/>
  <c r="R12" i="7"/>
  <c r="R13" i="7" s="1"/>
  <c r="R89" i="5"/>
  <c r="R91" i="5" s="1"/>
  <c r="R73" i="5"/>
  <c r="R75" i="5" s="1"/>
  <c r="R79" i="5"/>
  <c r="R87" i="5"/>
  <c r="R86" i="5"/>
  <c r="R207" i="5"/>
  <c r="V131" i="5"/>
  <c r="BO61" i="7"/>
  <c r="DC70" i="8"/>
  <c r="CD34" i="8"/>
  <c r="DM37" i="8"/>
  <c r="DM39" i="8"/>
  <c r="DM42" i="8"/>
  <c r="DM43" i="8" s="1"/>
  <c r="DM38" i="8"/>
  <c r="DM73" i="8"/>
  <c r="DM74" i="8"/>
  <c r="DM78" i="8"/>
  <c r="DM75" i="8"/>
  <c r="CI66" i="8"/>
  <c r="CI67" i="8"/>
  <c r="CN68" i="8" s="1"/>
  <c r="AK38" i="8"/>
  <c r="AK37" i="8"/>
  <c r="AK40" i="8"/>
  <c r="AK41" i="8" s="1"/>
  <c r="AK42" i="8"/>
  <c r="BS66" i="8"/>
  <c r="BS57" i="8"/>
  <c r="BS30" i="8"/>
  <c r="BS75" i="8"/>
  <c r="BS39" i="8"/>
  <c r="AT75" i="8"/>
  <c r="AT57" i="8"/>
  <c r="AT30" i="8"/>
  <c r="AT39" i="8"/>
  <c r="Z75" i="8"/>
  <c r="Z30" i="8"/>
  <c r="Z57" i="8"/>
  <c r="Z39" i="8"/>
  <c r="F30" i="8"/>
  <c r="F75" i="8"/>
  <c r="F39" i="8"/>
  <c r="F57" i="8"/>
  <c r="CM150" i="7"/>
  <c r="CM153" i="7"/>
  <c r="CM154" i="7"/>
  <c r="CM152" i="7"/>
  <c r="CM151" i="7"/>
  <c r="CM156" i="7"/>
  <c r="CC151" i="7"/>
  <c r="CC150" i="7"/>
  <c r="CC152" i="7"/>
  <c r="CC156" i="7"/>
  <c r="CC153" i="7"/>
  <c r="BS11" i="7"/>
  <c r="BS80" i="7"/>
  <c r="BS82" i="7"/>
  <c r="BS79" i="7" s="1"/>
  <c r="BI80" i="7"/>
  <c r="BI11" i="7"/>
  <c r="BI82" i="7"/>
  <c r="BD153" i="7"/>
  <c r="BD151" i="7"/>
  <c r="BD156" i="7"/>
  <c r="BD150" i="7"/>
  <c r="BD152" i="7"/>
  <c r="AT156" i="7"/>
  <c r="AT154" i="7"/>
  <c r="AT151" i="7"/>
  <c r="AT153" i="7"/>
  <c r="AT152" i="7"/>
  <c r="AI156" i="7"/>
  <c r="AI151" i="7"/>
  <c r="AI152" i="7"/>
  <c r="AI153" i="7"/>
  <c r="AI154" i="7"/>
  <c r="P153" i="7"/>
  <c r="P154" i="7"/>
  <c r="P156" i="7"/>
  <c r="P151" i="7"/>
  <c r="P152" i="7"/>
  <c r="D151" i="7"/>
  <c r="D153" i="7"/>
  <c r="D156" i="7"/>
  <c r="W52" i="4"/>
  <c r="W58" i="4" s="1"/>
  <c r="DM29" i="8"/>
  <c r="CX56" i="8"/>
  <c r="CQ30" i="8"/>
  <c r="CQ66" i="8"/>
  <c r="CQ39" i="8"/>
  <c r="CQ57" i="8"/>
  <c r="CQ75" i="8"/>
  <c r="BC57" i="8"/>
  <c r="BC30" i="8"/>
  <c r="BC66" i="8"/>
  <c r="BC75" i="8"/>
  <c r="BC39" i="8"/>
  <c r="AS16" i="7"/>
  <c r="Y16" i="7"/>
  <c r="DC74" i="8"/>
  <c r="DC73" i="8"/>
  <c r="AP73" i="8"/>
  <c r="AP74" i="8"/>
  <c r="AP76" i="8"/>
  <c r="AP78" i="8"/>
  <c r="CV151" i="7"/>
  <c r="CV150" i="7"/>
  <c r="CV152" i="7"/>
  <c r="CV156" i="7"/>
  <c r="CL153" i="7"/>
  <c r="CL152" i="7"/>
  <c r="CL154" i="7"/>
  <c r="CL150" i="7"/>
  <c r="CL156" i="7"/>
  <c r="CL149" i="7" s="1"/>
  <c r="CL151" i="7"/>
  <c r="CB153" i="7"/>
  <c r="CB151" i="7"/>
  <c r="CB154" i="7"/>
  <c r="CB156" i="7"/>
  <c r="CB150" i="7"/>
  <c r="CB152" i="7"/>
  <c r="BR153" i="7"/>
  <c r="BR152" i="7"/>
  <c r="BR150" i="7"/>
  <c r="BR156" i="7"/>
  <c r="BR149" i="7" s="1"/>
  <c r="BR154" i="7"/>
  <c r="BR151" i="7"/>
  <c r="BH152" i="7"/>
  <c r="BH154" i="7"/>
  <c r="BH153" i="7"/>
  <c r="BH151" i="7"/>
  <c r="BH156" i="7"/>
  <c r="BH150" i="7"/>
  <c r="AX156" i="7"/>
  <c r="AX153" i="7"/>
  <c r="AX151" i="7"/>
  <c r="AN153" i="7"/>
  <c r="AN154" i="7"/>
  <c r="AN152" i="7"/>
  <c r="AN151" i="7"/>
  <c r="AN156" i="7"/>
  <c r="Z154" i="7"/>
  <c r="Z152" i="7"/>
  <c r="Z151" i="7"/>
  <c r="Z153" i="7"/>
  <c r="Z156" i="7"/>
  <c r="O153" i="7"/>
  <c r="O156" i="7"/>
  <c r="O151" i="7"/>
  <c r="O152" i="7"/>
  <c r="O154" i="7"/>
  <c r="V32" i="8"/>
  <c r="G40" i="8"/>
  <c r="G42" i="8"/>
  <c r="DI57" i="8"/>
  <c r="DI30" i="8"/>
  <c r="DI66" i="8"/>
  <c r="DI39" i="8"/>
  <c r="DI75" i="8"/>
  <c r="CT16" i="7"/>
  <c r="CJ16" i="7"/>
  <c r="CE66" i="8"/>
  <c r="CE30" i="8"/>
  <c r="CE39" i="8"/>
  <c r="CE57" i="8"/>
  <c r="CE75" i="8"/>
  <c r="BF16" i="7"/>
  <c r="AC75" i="8"/>
  <c r="AC30" i="8"/>
  <c r="AC39" i="8"/>
  <c r="AC57" i="8"/>
  <c r="O39" i="8"/>
  <c r="O30" i="8"/>
  <c r="O57" i="8"/>
  <c r="O75" i="8"/>
  <c r="BE73" i="8"/>
  <c r="CT151" i="7"/>
  <c r="CT150" i="7"/>
  <c r="CT152" i="7"/>
  <c r="CT156" i="7"/>
  <c r="CJ80" i="7"/>
  <c r="CJ11" i="7"/>
  <c r="CJ82" i="7"/>
  <c r="CN78" i="7"/>
  <c r="CE156" i="7"/>
  <c r="CI148" i="7"/>
  <c r="CE152" i="7"/>
  <c r="CE154" i="7"/>
  <c r="CE150" i="7"/>
  <c r="CE151" i="7"/>
  <c r="CE153" i="7"/>
  <c r="BU80" i="7"/>
  <c r="BU11" i="7"/>
  <c r="BU82" i="7"/>
  <c r="BY78" i="7"/>
  <c r="CD154" i="7" s="1"/>
  <c r="BP154" i="7"/>
  <c r="BP150" i="7"/>
  <c r="BP152" i="7"/>
  <c r="BP153" i="7"/>
  <c r="BP156" i="7"/>
  <c r="BP151" i="7"/>
  <c r="BO12" i="4"/>
  <c r="BO148" i="7"/>
  <c r="BA150" i="7"/>
  <c r="BA153" i="7"/>
  <c r="BA151" i="7"/>
  <c r="BA154" i="7"/>
  <c r="BA156" i="7"/>
  <c r="BA152" i="7"/>
  <c r="AD151" i="7"/>
  <c r="AD156" i="7"/>
  <c r="AD153" i="7"/>
  <c r="AD152" i="7"/>
  <c r="AD154" i="7"/>
  <c r="S152" i="7"/>
  <c r="S153" i="7"/>
  <c r="S154" i="7"/>
  <c r="S156" i="7"/>
  <c r="S151" i="7"/>
  <c r="E11" i="7"/>
  <c r="E22" i="8" s="1"/>
  <c r="E82" i="7"/>
  <c r="AQ28" i="8"/>
  <c r="AL28" i="8"/>
  <c r="AL63" i="8"/>
  <c r="AL31" i="8"/>
  <c r="H60" i="8"/>
  <c r="H58" i="8"/>
  <c r="Y151" i="7"/>
  <c r="Y156" i="7"/>
  <c r="Y153" i="7"/>
  <c r="Y154" i="7"/>
  <c r="Y152" i="7"/>
  <c r="Y149" i="7"/>
  <c r="AA148" i="7"/>
  <c r="AA78" i="7"/>
  <c r="DI61" i="7"/>
  <c r="DE97" i="5"/>
  <c r="DE93" i="5"/>
  <c r="DE86" i="5"/>
  <c r="DD86" i="5"/>
  <c r="DD93" i="5"/>
  <c r="DD97" i="5"/>
  <c r="BB61" i="7"/>
  <c r="DJ16" i="7"/>
  <c r="CU66" i="8"/>
  <c r="CU30" i="8"/>
  <c r="CU39" i="8"/>
  <c r="CU57" i="8"/>
  <c r="CU75" i="8"/>
  <c r="CK16" i="7"/>
  <c r="BV16" i="7"/>
  <c r="BL16" i="7"/>
  <c r="BG66" i="8"/>
  <c r="BG30" i="8"/>
  <c r="BG75" i="8"/>
  <c r="BG39" i="8"/>
  <c r="BG57" i="8"/>
  <c r="AJ16" i="7"/>
  <c r="P39" i="8"/>
  <c r="P30" i="8"/>
  <c r="P75" i="8"/>
  <c r="P57" i="8"/>
  <c r="CP80" i="7"/>
  <c r="CP11" i="7"/>
  <c r="CP82" i="7"/>
  <c r="CK154" i="7"/>
  <c r="CF11" i="7"/>
  <c r="CF82" i="7"/>
  <c r="CF79" i="7" s="1"/>
  <c r="CF80" i="7"/>
  <c r="BV80" i="7"/>
  <c r="BV11" i="7"/>
  <c r="BV82" i="7"/>
  <c r="BL11" i="7"/>
  <c r="BL82" i="7"/>
  <c r="BL79" i="7" s="1"/>
  <c r="BL80" i="7"/>
  <c r="BB80" i="7"/>
  <c r="BB11" i="7"/>
  <c r="BB82" i="7"/>
  <c r="AR11" i="7"/>
  <c r="AR22" i="8" s="1"/>
  <c r="AR82" i="7"/>
  <c r="AR79" i="7" s="1"/>
  <c r="AR80" i="7"/>
  <c r="CW61" i="7"/>
  <c r="CB93" i="5"/>
  <c r="CC97" i="5"/>
  <c r="CA93" i="5"/>
  <c r="CB86" i="5"/>
  <c r="CB97" i="5"/>
  <c r="CA86" i="5"/>
  <c r="CA97" i="5"/>
  <c r="CC93" i="5"/>
  <c r="CC86" i="5"/>
  <c r="BZ97" i="5"/>
  <c r="BZ86" i="5"/>
  <c r="BZ93" i="5"/>
  <c r="U61" i="7"/>
  <c r="G63" i="8"/>
  <c r="G30" i="8"/>
  <c r="G29" i="8"/>
  <c r="G33" i="8"/>
  <c r="L34" i="8" s="1"/>
  <c r="G31" i="8"/>
  <c r="L32" i="8" s="1"/>
  <c r="DW39" i="8"/>
  <c r="DW37" i="8"/>
  <c r="DW38" i="8"/>
  <c r="DF61" i="7"/>
  <c r="DM94" i="5"/>
  <c r="T11" i="7"/>
  <c r="T22" i="8" s="1"/>
  <c r="T82" i="7"/>
  <c r="T80" i="7"/>
  <c r="F11" i="7"/>
  <c r="F22" i="8" s="1"/>
  <c r="F82" i="7"/>
  <c r="BR61" i="7"/>
  <c r="AA61" i="7"/>
  <c r="M131" i="5"/>
  <c r="DC65" i="8"/>
  <c r="DC66" i="8"/>
  <c r="DL30" i="8"/>
  <c r="DL66" i="8"/>
  <c r="DL39" i="8"/>
  <c r="DL57" i="8"/>
  <c r="DL75" i="8"/>
  <c r="CH57" i="8"/>
  <c r="CH39" i="8"/>
  <c r="CH30" i="8"/>
  <c r="CH75" i="8"/>
  <c r="BX75" i="8"/>
  <c r="BX30" i="8"/>
  <c r="BX39" i="8"/>
  <c r="BX57" i="8"/>
  <c r="BI75" i="8"/>
  <c r="BI30" i="8"/>
  <c r="BI39" i="8"/>
  <c r="BI57" i="8"/>
  <c r="AH30" i="8"/>
  <c r="AH75" i="8"/>
  <c r="AH57" i="8"/>
  <c r="AH39" i="8"/>
  <c r="N75" i="8"/>
  <c r="N57" i="8"/>
  <c r="N30" i="8"/>
  <c r="N39" i="8"/>
  <c r="CR11" i="7"/>
  <c r="CR82" i="7"/>
  <c r="CR80" i="7"/>
  <c r="CH80" i="7"/>
  <c r="CH11" i="7"/>
  <c r="CH82" i="7"/>
  <c r="CD153" i="7"/>
  <c r="CD150" i="7"/>
  <c r="CD156" i="7"/>
  <c r="CD151" i="7"/>
  <c r="BS153" i="7"/>
  <c r="BS150" i="7"/>
  <c r="BS154" i="7"/>
  <c r="BS152" i="7"/>
  <c r="BS151" i="7"/>
  <c r="BS156" i="7"/>
  <c r="BI150" i="7"/>
  <c r="BI156" i="7"/>
  <c r="BI153" i="7"/>
  <c r="BI152" i="7"/>
  <c r="BI151" i="7"/>
  <c r="BI154" i="7"/>
  <c r="BD154" i="7"/>
  <c r="AY79" i="7"/>
  <c r="AY11" i="7"/>
  <c r="AO80" i="7"/>
  <c r="AO11" i="7"/>
  <c r="AO22" i="8" s="1"/>
  <c r="AO82" i="7"/>
  <c r="AC80" i="7"/>
  <c r="AC11" i="7"/>
  <c r="AC82" i="7"/>
  <c r="J80" i="7"/>
  <c r="J11" i="7"/>
  <c r="J22" i="8" s="1"/>
  <c r="J82" i="7"/>
  <c r="DR40" i="8"/>
  <c r="DR41" i="8" s="1"/>
  <c r="DR37" i="8"/>
  <c r="DR38" i="8"/>
  <c r="CN29" i="8"/>
  <c r="AF38" i="8"/>
  <c r="AF42" i="8"/>
  <c r="AF37" i="8"/>
  <c r="DP30" i="8"/>
  <c r="DP66" i="8"/>
  <c r="DP39" i="8"/>
  <c r="DP75" i="8"/>
  <c r="DP57" i="8"/>
  <c r="CV30" i="8"/>
  <c r="CV57" i="8"/>
  <c r="CV75" i="8"/>
  <c r="CV39" i="8"/>
  <c r="CG75" i="8"/>
  <c r="CG30" i="8"/>
  <c r="CG39" i="8"/>
  <c r="CG57" i="8"/>
  <c r="BR57" i="8"/>
  <c r="BR39" i="8"/>
  <c r="BR30" i="8"/>
  <c r="BR75" i="8"/>
  <c r="BR66" i="8"/>
  <c r="BH30" i="8"/>
  <c r="BH39" i="8"/>
  <c r="BH57" i="8"/>
  <c r="BH75" i="8"/>
  <c r="AS75" i="8"/>
  <c r="AS30" i="8"/>
  <c r="AS39" i="8"/>
  <c r="AS57" i="8"/>
  <c r="AE16" i="7"/>
  <c r="Y75" i="8"/>
  <c r="Y30" i="8"/>
  <c r="Y39" i="8"/>
  <c r="Y57" i="8"/>
  <c r="K16" i="7"/>
  <c r="E30" i="8"/>
  <c r="E39" i="8"/>
  <c r="E57" i="8"/>
  <c r="E75" i="8"/>
  <c r="BO73" i="8"/>
  <c r="BO76" i="8"/>
  <c r="CQ11" i="7"/>
  <c r="CQ82" i="7"/>
  <c r="CQ80" i="7"/>
  <c r="CG80" i="7"/>
  <c r="CG11" i="7"/>
  <c r="CG82" i="7"/>
  <c r="BW11" i="7"/>
  <c r="BW80" i="7"/>
  <c r="BW82" i="7"/>
  <c r="BW79" i="7" s="1"/>
  <c r="BM80" i="7"/>
  <c r="BM11" i="7"/>
  <c r="BM82" i="7"/>
  <c r="BC11" i="7"/>
  <c r="BC82" i="7"/>
  <c r="BC79" i="7" s="1"/>
  <c r="BC80" i="7"/>
  <c r="AS80" i="7"/>
  <c r="AS11" i="7"/>
  <c r="AS22" i="8" s="1"/>
  <c r="AS82" i="7"/>
  <c r="AH80" i="7"/>
  <c r="AH11" i="7"/>
  <c r="AL78" i="7"/>
  <c r="AH82" i="7"/>
  <c r="U80" i="7"/>
  <c r="U11" i="7"/>
  <c r="U22" i="8" s="1"/>
  <c r="U82" i="7"/>
  <c r="I80" i="7"/>
  <c r="I11" i="7"/>
  <c r="I82" i="7"/>
  <c r="AF61" i="8"/>
  <c r="AB55" i="8"/>
  <c r="CT30" i="8"/>
  <c r="CT57" i="8"/>
  <c r="CT39" i="8"/>
  <c r="CT75" i="8"/>
  <c r="CJ30" i="8"/>
  <c r="CJ75" i="8"/>
  <c r="CJ39" i="8"/>
  <c r="CJ57" i="8"/>
  <c r="BU30" i="8"/>
  <c r="BU57" i="8"/>
  <c r="BU75" i="8"/>
  <c r="BU39" i="8"/>
  <c r="BF30" i="8"/>
  <c r="BF75" i="8"/>
  <c r="BF57" i="8"/>
  <c r="BF39" i="8"/>
  <c r="AV30" i="8"/>
  <c r="AV75" i="8"/>
  <c r="AV39" i="8"/>
  <c r="AV57" i="8"/>
  <c r="AI30" i="8"/>
  <c r="AI57" i="8"/>
  <c r="AI39" i="8"/>
  <c r="AI75" i="8"/>
  <c r="AI66" i="8"/>
  <c r="CN78" i="8"/>
  <c r="CS79" i="8" s="1"/>
  <c r="CN73" i="8"/>
  <c r="BY76" i="8"/>
  <c r="BY73" i="8"/>
  <c r="G78" i="8"/>
  <c r="G76" i="8"/>
  <c r="G75" i="8"/>
  <c r="G74" i="8"/>
  <c r="CO80" i="7"/>
  <c r="CO11" i="7"/>
  <c r="CO82" i="7"/>
  <c r="CS78" i="7"/>
  <c r="CN148" i="7"/>
  <c r="CJ151" i="7"/>
  <c r="CJ154" i="7"/>
  <c r="CJ156" i="7"/>
  <c r="CJ153" i="7"/>
  <c r="CJ150" i="7"/>
  <c r="CJ152" i="7"/>
  <c r="CI23" i="8"/>
  <c r="CI65" i="8" s="1"/>
  <c r="CI12" i="7"/>
  <c r="CI86" i="5"/>
  <c r="CI87" i="5"/>
  <c r="BU150" i="7"/>
  <c r="BU151" i="7"/>
  <c r="BU152" i="7"/>
  <c r="BU156" i="7"/>
  <c r="BU153" i="7"/>
  <c r="BT153" i="7"/>
  <c r="BT151" i="7"/>
  <c r="BT156" i="7"/>
  <c r="BT150" i="7"/>
  <c r="BF80" i="7"/>
  <c r="BF11" i="7"/>
  <c r="BF82" i="7"/>
  <c r="BJ78" i="7"/>
  <c r="BE151" i="7"/>
  <c r="BE156" i="7"/>
  <c r="BE153" i="7"/>
  <c r="AJ11" i="7"/>
  <c r="AJ22" i="8" s="1"/>
  <c r="AJ80" i="7"/>
  <c r="AJ82" i="7"/>
  <c r="X11" i="7"/>
  <c r="X80" i="7"/>
  <c r="X82" i="7"/>
  <c r="AB78" i="7"/>
  <c r="E153" i="7"/>
  <c r="E151" i="7"/>
  <c r="E156" i="7"/>
  <c r="AK30" i="8"/>
  <c r="AK31" i="8"/>
  <c r="AK29" i="8"/>
  <c r="AK28" i="8"/>
  <c r="AK33" i="8"/>
  <c r="AK34" i="8" s="1"/>
  <c r="AK63" i="8"/>
  <c r="G57" i="8"/>
  <c r="G60" i="8"/>
  <c r="L61" i="8" s="1"/>
  <c r="G58" i="8"/>
  <c r="L59" i="8" s="1"/>
  <c r="G56" i="8"/>
  <c r="AE80" i="7"/>
  <c r="AE11" i="7"/>
  <c r="AE22" i="8" s="1"/>
  <c r="AE82" i="7"/>
  <c r="AE79" i="7" s="1"/>
  <c r="BJ12" i="4"/>
  <c r="Q148" i="7"/>
  <c r="Q78" i="7"/>
  <c r="DS86" i="5"/>
  <c r="DS93" i="5"/>
  <c r="DS97" i="5"/>
  <c r="CZ97" i="5"/>
  <c r="CZ93" i="5"/>
  <c r="CZ86" i="5"/>
  <c r="CY86" i="5"/>
  <c r="CY97" i="5"/>
  <c r="CY93" i="5"/>
  <c r="CR97" i="5"/>
  <c r="CP93" i="5"/>
  <c r="CQ97" i="5"/>
  <c r="CR86" i="5"/>
  <c r="CP97" i="5"/>
  <c r="CR93" i="5"/>
  <c r="CQ86" i="5"/>
  <c r="CQ93" i="5"/>
  <c r="CP86" i="5"/>
  <c r="CO86" i="5"/>
  <c r="CO93" i="5"/>
  <c r="CO97" i="5"/>
  <c r="CF97" i="5"/>
  <c r="CH93" i="5"/>
  <c r="CG93" i="5"/>
  <c r="CH86" i="5"/>
  <c r="CH97" i="5"/>
  <c r="CF93" i="5"/>
  <c r="CG86" i="5"/>
  <c r="CG97" i="5"/>
  <c r="CF86" i="5"/>
  <c r="CE97" i="5"/>
  <c r="CE86" i="5"/>
  <c r="CE93" i="5"/>
  <c r="DR25" i="8"/>
  <c r="DR15" i="7"/>
  <c r="DR16" i="7" s="1"/>
  <c r="DR13" i="7"/>
  <c r="DJ75" i="8"/>
  <c r="DJ39" i="8"/>
  <c r="DJ30" i="8"/>
  <c r="DJ57" i="8"/>
  <c r="CK30" i="8"/>
  <c r="CK57" i="8"/>
  <c r="CK75" i="8"/>
  <c r="CK39" i="8"/>
  <c r="BV30" i="8"/>
  <c r="BV57" i="8"/>
  <c r="BV39" i="8"/>
  <c r="BV75" i="8"/>
  <c r="BL30" i="8"/>
  <c r="BL39" i="8"/>
  <c r="BL57" i="8"/>
  <c r="BL66" i="8"/>
  <c r="BL75" i="8"/>
  <c r="AW30" i="8"/>
  <c r="AW39" i="8"/>
  <c r="AW57" i="8"/>
  <c r="AW75" i="8"/>
  <c r="AJ30" i="8"/>
  <c r="AJ66" i="8"/>
  <c r="AJ39" i="8"/>
  <c r="AJ75" i="8"/>
  <c r="AJ57" i="8"/>
  <c r="X16" i="7"/>
  <c r="J16" i="7"/>
  <c r="D39" i="8"/>
  <c r="D57" i="8"/>
  <c r="D75" i="8"/>
  <c r="CS87" i="5"/>
  <c r="CS13" i="7"/>
  <c r="BJ73" i="8"/>
  <c r="AP25" i="8"/>
  <c r="AP75" i="8" s="1"/>
  <c r="AP15" i="7"/>
  <c r="AP16" i="7" s="1"/>
  <c r="V148" i="7"/>
  <c r="V78" i="7"/>
  <c r="CP156" i="7"/>
  <c r="CP151" i="7"/>
  <c r="CP152" i="7"/>
  <c r="CP150" i="7"/>
  <c r="CF152" i="7"/>
  <c r="CF153" i="7"/>
  <c r="CF150" i="7"/>
  <c r="CF151" i="7"/>
  <c r="CF156" i="7"/>
  <c r="CF154" i="7"/>
  <c r="BV156" i="7"/>
  <c r="BV153" i="7"/>
  <c r="BV152" i="7"/>
  <c r="BV154" i="7"/>
  <c r="BV150" i="7"/>
  <c r="BV151" i="7"/>
  <c r="BL153" i="7"/>
  <c r="BL151" i="7"/>
  <c r="BL154" i="7"/>
  <c r="BL152" i="7"/>
  <c r="BL150" i="7"/>
  <c r="BL156" i="7"/>
  <c r="BB153" i="7"/>
  <c r="BB152" i="7"/>
  <c r="BB150" i="7"/>
  <c r="BB154" i="7"/>
  <c r="BB156" i="7"/>
  <c r="BB149" i="7" s="1"/>
  <c r="BB151" i="7"/>
  <c r="AR151" i="7"/>
  <c r="AR154" i="7"/>
  <c r="AR153" i="7"/>
  <c r="AR156" i="7"/>
  <c r="AR152" i="7"/>
  <c r="DW73" i="8"/>
  <c r="DW74" i="8"/>
  <c r="BR97" i="5"/>
  <c r="BQ97" i="5"/>
  <c r="BS93" i="5"/>
  <c r="BR93" i="5"/>
  <c r="BS86" i="5"/>
  <c r="BS97" i="5"/>
  <c r="BQ93" i="5"/>
  <c r="BR86" i="5"/>
  <c r="BQ86" i="5"/>
  <c r="BP86" i="5"/>
  <c r="BP93" i="5"/>
  <c r="BP97" i="5"/>
  <c r="BH93" i="5"/>
  <c r="BI97" i="5"/>
  <c r="BG93" i="5"/>
  <c r="BH86" i="5"/>
  <c r="BH97" i="5"/>
  <c r="BG86" i="5"/>
  <c r="BG97" i="5"/>
  <c r="BI93" i="5"/>
  <c r="BI86" i="5"/>
  <c r="BF93" i="5"/>
  <c r="BF97" i="5"/>
  <c r="BF86" i="5"/>
  <c r="AT61" i="7"/>
  <c r="W36" i="8"/>
  <c r="W93" i="5"/>
  <c r="W94" i="5"/>
  <c r="W97" i="5"/>
  <c r="W98" i="5"/>
  <c r="DW87" i="5"/>
  <c r="DW13" i="7"/>
  <c r="T151" i="7"/>
  <c r="T154" i="7"/>
  <c r="T153" i="7"/>
  <c r="T156" i="7"/>
  <c r="T152" i="7"/>
  <c r="F153" i="7"/>
  <c r="F151" i="7"/>
  <c r="F156" i="7"/>
  <c r="AO93" i="5"/>
  <c r="AO97" i="5"/>
  <c r="AN93" i="5"/>
  <c r="AN86" i="5"/>
  <c r="AN97" i="5"/>
  <c r="AO86" i="5"/>
  <c r="AM93" i="5"/>
  <c r="AM97" i="5"/>
  <c r="AM86" i="5"/>
  <c r="U93" i="5"/>
  <c r="U97" i="5"/>
  <c r="T93" i="5"/>
  <c r="T86" i="5"/>
  <c r="T97" i="5"/>
  <c r="U86" i="5"/>
  <c r="S86" i="5"/>
  <c r="S93" i="5"/>
  <c r="S97" i="5"/>
  <c r="AB23" i="8"/>
  <c r="AB12" i="7"/>
  <c r="AB13" i="7" s="1"/>
  <c r="AB89" i="5"/>
  <c r="AB91" i="5" s="1"/>
  <c r="AB73" i="5"/>
  <c r="AB75" i="5" s="1"/>
  <c r="AB86" i="5"/>
  <c r="AB87" i="5"/>
  <c r="AG23" i="8"/>
  <c r="AG38" i="8" s="1"/>
  <c r="AG12" i="7"/>
  <c r="AG89" i="5"/>
  <c r="AG91" i="5" s="1"/>
  <c r="AG73" i="5"/>
  <c r="AG75" i="5" s="1"/>
  <c r="AG87" i="5"/>
  <c r="AG86" i="5"/>
  <c r="AL79" i="5"/>
  <c r="AB207" i="5"/>
  <c r="BY79" i="8"/>
  <c r="DQ16" i="7"/>
  <c r="CR16" i="7"/>
  <c r="CW16" i="7"/>
  <c r="CM66" i="8"/>
  <c r="CM30" i="8"/>
  <c r="CM75" i="8"/>
  <c r="CM39" i="8"/>
  <c r="CM57" i="8"/>
  <c r="CC16" i="7"/>
  <c r="BN16" i="7"/>
  <c r="BD16" i="7"/>
  <c r="AY30" i="8"/>
  <c r="AY39" i="8"/>
  <c r="AY57" i="8"/>
  <c r="AY75" i="8"/>
  <c r="AZ78" i="8"/>
  <c r="BE79" i="8" s="1"/>
  <c r="CR151" i="7"/>
  <c r="CR152" i="7"/>
  <c r="CR156" i="7"/>
  <c r="CR150" i="7"/>
  <c r="CH153" i="7"/>
  <c r="CH156" i="7"/>
  <c r="CH149" i="7" s="1"/>
  <c r="CH152" i="7"/>
  <c r="CH150" i="7"/>
  <c r="CH154" i="7"/>
  <c r="CH151" i="7"/>
  <c r="CC154" i="7"/>
  <c r="BX11" i="7"/>
  <c r="BX82" i="7"/>
  <c r="BX79" i="7" s="1"/>
  <c r="BX80" i="7"/>
  <c r="BN80" i="7"/>
  <c r="BN11" i="7"/>
  <c r="BN82" i="7"/>
  <c r="BJ153" i="7"/>
  <c r="BJ156" i="7"/>
  <c r="BJ151" i="7"/>
  <c r="BJ150" i="7"/>
  <c r="AY151" i="7"/>
  <c r="AY156" i="7"/>
  <c r="AY153" i="7"/>
  <c r="AO151" i="7"/>
  <c r="AO153" i="7"/>
  <c r="AO154" i="7"/>
  <c r="AO156" i="7"/>
  <c r="AO152" i="7"/>
  <c r="AC154" i="7"/>
  <c r="AC152" i="7"/>
  <c r="AC153" i="7"/>
  <c r="AC151" i="7"/>
  <c r="AC156" i="7"/>
  <c r="J153" i="7"/>
  <c r="J152" i="7"/>
  <c r="J156" i="7"/>
  <c r="J154" i="7"/>
  <c r="J151" i="7"/>
  <c r="DR42" i="8"/>
  <c r="DR43" i="8" s="1"/>
  <c r="AA37" i="8"/>
  <c r="AA42" i="8"/>
  <c r="AA38" i="8"/>
  <c r="AA40" i="8"/>
  <c r="DU39" i="8"/>
  <c r="DU30" i="8"/>
  <c r="DU66" i="8"/>
  <c r="DU75" i="8"/>
  <c r="DU57" i="8"/>
  <c r="CL16" i="7"/>
  <c r="CB16" i="7"/>
  <c r="BW75" i="8"/>
  <c r="BW66" i="8"/>
  <c r="BW30" i="8"/>
  <c r="BW39" i="8"/>
  <c r="BW57" i="8"/>
  <c r="BM16" i="7"/>
  <c r="BC16" i="7"/>
  <c r="AM16" i="7"/>
  <c r="AE39" i="8"/>
  <c r="AE30" i="8"/>
  <c r="AE57" i="8"/>
  <c r="AE75" i="8"/>
  <c r="S16" i="7"/>
  <c r="K57" i="8"/>
  <c r="K30" i="8"/>
  <c r="K39" i="8"/>
  <c r="K75" i="8"/>
  <c r="CI73" i="8"/>
  <c r="CI75" i="8"/>
  <c r="CI76" i="8"/>
  <c r="V73" i="8"/>
  <c r="V75" i="8"/>
  <c r="V74" i="8"/>
  <c r="V76" i="8"/>
  <c r="V78" i="8"/>
  <c r="L76" i="8"/>
  <c r="L74" i="8"/>
  <c r="L78" i="8"/>
  <c r="L75" i="8"/>
  <c r="L73" i="8"/>
  <c r="CQ151" i="7"/>
  <c r="CQ156" i="7"/>
  <c r="CQ150" i="7"/>
  <c r="CQ152" i="7"/>
  <c r="CG150" i="7"/>
  <c r="CG156" i="7"/>
  <c r="CG153" i="7"/>
  <c r="CG151" i="7"/>
  <c r="CG154" i="7"/>
  <c r="CG152" i="7"/>
  <c r="BW156" i="7"/>
  <c r="BW152" i="7"/>
  <c r="BW150" i="7"/>
  <c r="BW154" i="7"/>
  <c r="BW153" i="7"/>
  <c r="BW151" i="7"/>
  <c r="BM151" i="7"/>
  <c r="BM150" i="7"/>
  <c r="BM152" i="7"/>
  <c r="BM156" i="7"/>
  <c r="BM153" i="7"/>
  <c r="BC153" i="7"/>
  <c r="BC150" i="7"/>
  <c r="BC154" i="7"/>
  <c r="BC151" i="7"/>
  <c r="BC156" i="7"/>
  <c r="BC152" i="7"/>
  <c r="AS156" i="7"/>
  <c r="AS149" i="7" s="1"/>
  <c r="AS154" i="7"/>
  <c r="AS153" i="7"/>
  <c r="AS152" i="7"/>
  <c r="AS151" i="7"/>
  <c r="AH153" i="7"/>
  <c r="AL148" i="7"/>
  <c r="AH152" i="7"/>
  <c r="AH154" i="7"/>
  <c r="AH156" i="7"/>
  <c r="AH149" i="7" s="1"/>
  <c r="AH151" i="7"/>
  <c r="U152" i="7"/>
  <c r="U153" i="7"/>
  <c r="U151" i="7"/>
  <c r="U156" i="7"/>
  <c r="U154" i="7"/>
  <c r="I151" i="7"/>
  <c r="I153" i="7"/>
  <c r="I154" i="7"/>
  <c r="I156" i="7"/>
  <c r="I149" i="7" s="1"/>
  <c r="I152" i="7"/>
  <c r="CI64" i="8"/>
  <c r="R31" i="8"/>
  <c r="R28" i="8"/>
  <c r="R63" i="8"/>
  <c r="R29" i="8"/>
  <c r="DS75" i="8"/>
  <c r="DS30" i="8"/>
  <c r="DS66" i="8"/>
  <c r="DS57" i="8"/>
  <c r="DS39" i="8"/>
  <c r="DN30" i="8"/>
  <c r="DN75" i="8"/>
  <c r="DN39" i="8"/>
  <c r="DN57" i="8"/>
  <c r="BP16" i="7"/>
  <c r="BK66" i="8"/>
  <c r="BK30" i="8"/>
  <c r="BK57" i="8"/>
  <c r="BK39" i="8"/>
  <c r="BK75" i="8"/>
  <c r="U75" i="8"/>
  <c r="U30" i="8"/>
  <c r="U57" i="8"/>
  <c r="U39" i="8"/>
  <c r="CX75" i="8"/>
  <c r="CX74" i="8"/>
  <c r="CX73" i="8"/>
  <c r="CN25" i="8"/>
  <c r="CN15" i="7"/>
  <c r="CN16" i="7" s="1"/>
  <c r="AA74" i="8"/>
  <c r="AA73" i="8"/>
  <c r="AA78" i="8"/>
  <c r="Q73" i="8"/>
  <c r="Q74" i="8"/>
  <c r="Q76" i="8"/>
  <c r="Q78" i="8"/>
  <c r="CO150" i="7"/>
  <c r="CO156" i="7"/>
  <c r="CO152" i="7"/>
  <c r="CS148" i="7"/>
  <c r="CO151" i="7"/>
  <c r="BZ80" i="7"/>
  <c r="BZ11" i="7"/>
  <c r="BZ82" i="7"/>
  <c r="CD78" i="7"/>
  <c r="BY150" i="7"/>
  <c r="BY156" i="7"/>
  <c r="BY151" i="7"/>
  <c r="BY153" i="7"/>
  <c r="BK11" i="7"/>
  <c r="BK80" i="7"/>
  <c r="BO78" i="7"/>
  <c r="BK82" i="7"/>
  <c r="BK79" i="7" s="1"/>
  <c r="BF153" i="7"/>
  <c r="BF156" i="7"/>
  <c r="BF149" i="7" s="1"/>
  <c r="BF152" i="7"/>
  <c r="BF154" i="7"/>
  <c r="BF150" i="7"/>
  <c r="BF151" i="7"/>
  <c r="AV79" i="7"/>
  <c r="AV11" i="7"/>
  <c r="AZ78" i="7"/>
  <c r="AJ151" i="7"/>
  <c r="AJ154" i="7"/>
  <c r="AJ156" i="7"/>
  <c r="AJ152" i="7"/>
  <c r="AJ153" i="7"/>
  <c r="X153" i="7"/>
  <c r="X154" i="7"/>
  <c r="X152" i="7"/>
  <c r="X156" i="7"/>
  <c r="AB148" i="7"/>
  <c r="X151" i="7"/>
  <c r="K80" i="7"/>
  <c r="K11" i="7"/>
  <c r="K22" i="8" s="1"/>
  <c r="K82" i="7"/>
  <c r="K79" i="7" s="1"/>
  <c r="CD12" i="4"/>
  <c r="AF63" i="8"/>
  <c r="AF32" i="8"/>
  <c r="AM11" i="7"/>
  <c r="AM82" i="7"/>
  <c r="AM79" i="7" s="1"/>
  <c r="AM80" i="7"/>
  <c r="AE153" i="7"/>
  <c r="AE154" i="7"/>
  <c r="AE151" i="7"/>
  <c r="AE156" i="7"/>
  <c r="AE152" i="7"/>
  <c r="L148" i="7"/>
  <c r="M148" i="7" s="1"/>
  <c r="L78" i="7"/>
  <c r="DS61" i="7"/>
  <c r="DO93" i="5"/>
  <c r="DP97" i="5"/>
  <c r="DO97" i="5"/>
  <c r="DO86" i="5"/>
  <c r="DN86" i="5"/>
  <c r="DN97" i="5"/>
  <c r="DN93" i="5"/>
  <c r="CA61" i="7"/>
  <c r="BG61" i="7"/>
  <c r="DH94" i="5"/>
  <c r="DR87" i="5"/>
  <c r="DT30" i="8"/>
  <c r="DT75" i="8"/>
  <c r="DT57" i="8"/>
  <c r="DT66" i="8"/>
  <c r="DT39" i="8"/>
  <c r="DO75" i="8"/>
  <c r="DO30" i="8"/>
  <c r="DO57" i="8"/>
  <c r="DO66" i="8"/>
  <c r="DO39" i="8"/>
  <c r="CZ30" i="8"/>
  <c r="CZ39" i="8"/>
  <c r="CZ57" i="8"/>
  <c r="CZ75" i="8"/>
  <c r="CF16" i="7"/>
  <c r="CA57" i="8"/>
  <c r="CA30" i="8"/>
  <c r="CA66" i="8"/>
  <c r="CA39" i="8"/>
  <c r="CA75" i="8"/>
  <c r="AR16" i="7"/>
  <c r="AD16" i="7"/>
  <c r="X39" i="8"/>
  <c r="X30" i="8"/>
  <c r="X75" i="8"/>
  <c r="X57" i="8"/>
  <c r="J57" i="8"/>
  <c r="J30" i="8"/>
  <c r="J39" i="8"/>
  <c r="J75" i="8"/>
  <c r="DC87" i="5"/>
  <c r="DC13" i="7"/>
  <c r="CD73" i="8"/>
  <c r="AP148" i="7"/>
  <c r="AP78" i="7"/>
  <c r="AF13" i="7"/>
  <c r="CU11" i="7"/>
  <c r="CU80" i="7"/>
  <c r="CU82" i="7"/>
  <c r="CK80" i="7"/>
  <c r="CK11" i="7"/>
  <c r="CK82" i="7"/>
  <c r="CA11" i="7"/>
  <c r="CA80" i="7"/>
  <c r="CA82" i="7"/>
  <c r="CA79" i="7" s="1"/>
  <c r="BQ80" i="7"/>
  <c r="BQ11" i="7"/>
  <c r="BQ82" i="7"/>
  <c r="BG11" i="7"/>
  <c r="BG80" i="7"/>
  <c r="BG82" i="7"/>
  <c r="AW79" i="7"/>
  <c r="AW11" i="7"/>
  <c r="DG61" i="7"/>
  <c r="CM61" i="7"/>
  <c r="BK61" i="7"/>
  <c r="AE61" i="7"/>
  <c r="K61" i="7"/>
  <c r="V42" i="8"/>
  <c r="V40" i="8"/>
  <c r="V39" i="8"/>
  <c r="V37" i="8"/>
  <c r="D31" i="8"/>
  <c r="I32" i="8" s="1"/>
  <c r="I28" i="8"/>
  <c r="D30" i="8"/>
  <c r="D29" i="8"/>
  <c r="D63" i="8"/>
  <c r="D33" i="8"/>
  <c r="I34" i="8" s="1"/>
  <c r="DW94" i="5"/>
  <c r="DK61" i="7"/>
  <c r="BS61" i="7"/>
  <c r="BD61" i="7"/>
  <c r="AD97" i="5"/>
  <c r="AE93" i="5"/>
  <c r="AE86" i="5"/>
  <c r="AE97" i="5"/>
  <c r="AD93" i="5"/>
  <c r="AD86" i="5"/>
  <c r="AC86" i="5"/>
  <c r="AC93" i="5"/>
  <c r="AC97" i="5"/>
  <c r="J61" i="7"/>
  <c r="AQ37" i="8"/>
  <c r="AQ42" i="8"/>
  <c r="AQ38" i="8"/>
  <c r="N80" i="7"/>
  <c r="N11" i="7"/>
  <c r="R78" i="7"/>
  <c r="N82" i="7"/>
  <c r="CU61" i="7"/>
  <c r="BW61" i="7"/>
  <c r="BC61" i="7"/>
  <c r="AJ97" i="5"/>
  <c r="AI93" i="5"/>
  <c r="AI97" i="5"/>
  <c r="AJ93" i="5"/>
  <c r="AJ86" i="5"/>
  <c r="AI86" i="5"/>
  <c r="AL60" i="7"/>
  <c r="AL61" i="7" s="1"/>
  <c r="AH86" i="5"/>
  <c r="AH93" i="5"/>
  <c r="AH97" i="5"/>
  <c r="P97" i="5"/>
  <c r="O93" i="5"/>
  <c r="O97" i="5"/>
  <c r="P93" i="5"/>
  <c r="O86" i="5"/>
  <c r="P86" i="5"/>
  <c r="R60" i="7"/>
  <c r="R61" i="7" s="1"/>
  <c r="N93" i="5"/>
  <c r="N86" i="5"/>
  <c r="N97" i="5"/>
  <c r="H23" i="8"/>
  <c r="H12" i="7"/>
  <c r="H86" i="5"/>
  <c r="H87" i="5"/>
  <c r="BJ207" i="5"/>
  <c r="BT61" i="8"/>
  <c r="AP37" i="8"/>
  <c r="AP38" i="8"/>
  <c r="AP39" i="8"/>
  <c r="AP40" i="8"/>
  <c r="AP41" i="8" s="1"/>
  <c r="AP42" i="8"/>
  <c r="DV39" i="8"/>
  <c r="DV30" i="8"/>
  <c r="DV57" i="8"/>
  <c r="DV75" i="8"/>
  <c r="DQ39" i="8"/>
  <c r="DQ30" i="8"/>
  <c r="DQ66" i="8"/>
  <c r="DQ57" i="8"/>
  <c r="DQ75" i="8"/>
  <c r="CR75" i="8"/>
  <c r="CR30" i="8"/>
  <c r="CR39" i="8"/>
  <c r="CR57" i="8"/>
  <c r="CC75" i="8"/>
  <c r="CC30" i="8"/>
  <c r="CC57" i="8"/>
  <c r="CC39" i="8"/>
  <c r="BN75" i="8"/>
  <c r="BN30" i="8"/>
  <c r="BN57" i="8"/>
  <c r="BN39" i="8"/>
  <c r="BN66" i="8"/>
  <c r="BD30" i="8"/>
  <c r="BD75" i="8"/>
  <c r="BD39" i="8"/>
  <c r="BD57" i="8"/>
  <c r="AN39" i="8"/>
  <c r="AN66" i="8"/>
  <c r="AN30" i="8"/>
  <c r="AN57" i="8"/>
  <c r="AN75" i="8"/>
  <c r="T30" i="8"/>
  <c r="T39" i="8"/>
  <c r="T57" i="8"/>
  <c r="T75" i="8"/>
  <c r="DH20" i="7"/>
  <c r="DH13" i="7"/>
  <c r="CN13" i="7"/>
  <c r="BT73" i="8"/>
  <c r="CM11" i="7"/>
  <c r="CM80" i="7"/>
  <c r="CM82" i="7"/>
  <c r="CC80" i="7"/>
  <c r="CC11" i="7"/>
  <c r="CC82" i="7"/>
  <c r="BX151" i="7"/>
  <c r="BX152" i="7"/>
  <c r="BX154" i="7"/>
  <c r="BX156" i="7"/>
  <c r="BX153" i="7"/>
  <c r="BX150" i="7"/>
  <c r="BN156" i="7"/>
  <c r="BN153" i="7"/>
  <c r="BN150" i="7"/>
  <c r="BN152" i="7"/>
  <c r="BN154" i="7"/>
  <c r="BN151" i="7"/>
  <c r="BD80" i="7"/>
  <c r="BD11" i="7"/>
  <c r="BD79" i="7"/>
  <c r="AT80" i="7"/>
  <c r="AT11" i="7"/>
  <c r="AT22" i="8" s="1"/>
  <c r="AT82" i="7"/>
  <c r="AI80" i="7"/>
  <c r="AI11" i="7"/>
  <c r="AI22" i="8" s="1"/>
  <c r="AI82" i="7"/>
  <c r="AI79" i="7" s="1"/>
  <c r="P11" i="7"/>
  <c r="P22" i="8" s="1"/>
  <c r="P82" i="7"/>
  <c r="P79" i="7" s="1"/>
  <c r="P80" i="7"/>
  <c r="D11" i="7"/>
  <c r="D82" i="7"/>
  <c r="D79" i="7" s="1"/>
  <c r="DM28" i="8"/>
  <c r="DM30" i="8"/>
  <c r="DR28" i="8"/>
  <c r="DM33" i="8"/>
  <c r="DM13" i="7"/>
  <c r="AP63" i="8"/>
  <c r="DR76" i="8"/>
  <c r="DR77" i="8" s="1"/>
  <c r="DR75" i="8"/>
  <c r="DR74" i="8"/>
  <c r="DR73" i="8"/>
  <c r="DK75" i="8"/>
  <c r="DK39" i="8"/>
  <c r="DK57" i="8"/>
  <c r="DK66" i="8"/>
  <c r="DK30" i="8"/>
  <c r="CQ16" i="7"/>
  <c r="CL30" i="8"/>
  <c r="CL57" i="8"/>
  <c r="CL39" i="8"/>
  <c r="CL75" i="8"/>
  <c r="CB75" i="8"/>
  <c r="CB30" i="8"/>
  <c r="CB39" i="8"/>
  <c r="CB57" i="8"/>
  <c r="BM75" i="8"/>
  <c r="BM30" i="8"/>
  <c r="BM66" i="8"/>
  <c r="BM57" i="8"/>
  <c r="BM39" i="8"/>
  <c r="AX57" i="8"/>
  <c r="AX39" i="8"/>
  <c r="AX30" i="8"/>
  <c r="AX75" i="8"/>
  <c r="AM30" i="8"/>
  <c r="AM39" i="8"/>
  <c r="AM57" i="8"/>
  <c r="AM66" i="8"/>
  <c r="AM75" i="8"/>
  <c r="S57" i="8"/>
  <c r="S39" i="8"/>
  <c r="S30" i="8"/>
  <c r="S75" i="8"/>
  <c r="AF78" i="8"/>
  <c r="AF74" i="8"/>
  <c r="AF75" i="8"/>
  <c r="AF73" i="8"/>
  <c r="AF76" i="8"/>
  <c r="AF77" i="8" s="1"/>
  <c r="W72" i="8"/>
  <c r="W24" i="8"/>
  <c r="W14" i="7"/>
  <c r="CV11" i="7"/>
  <c r="CV82" i="7"/>
  <c r="CV79" i="7" s="1"/>
  <c r="CV80" i="7"/>
  <c r="CL80" i="7"/>
  <c r="CL11" i="7"/>
  <c r="CL82" i="7"/>
  <c r="CB11" i="7"/>
  <c r="CB82" i="7"/>
  <c r="CB79" i="7" s="1"/>
  <c r="CB80" i="7"/>
  <c r="BR80" i="7"/>
  <c r="BR11" i="7"/>
  <c r="BR82" i="7"/>
  <c r="BM154" i="7"/>
  <c r="BH11" i="7"/>
  <c r="BH82" i="7"/>
  <c r="BH79" i="7" s="1"/>
  <c r="BH80" i="7"/>
  <c r="AX79" i="7"/>
  <c r="AX11" i="7"/>
  <c r="AN11" i="7"/>
  <c r="AN22" i="8" s="1"/>
  <c r="AN80" i="7"/>
  <c r="AN82" i="7"/>
  <c r="AN79" i="7" s="1"/>
  <c r="Z80" i="7"/>
  <c r="Z11" i="7"/>
  <c r="Z22" i="8" s="1"/>
  <c r="Z82" i="7"/>
  <c r="O80" i="7"/>
  <c r="O11" i="7"/>
  <c r="O22" i="8" s="1"/>
  <c r="O82" i="7"/>
  <c r="O79" i="7" s="1"/>
  <c r="CX61" i="8"/>
  <c r="CX38" i="8"/>
  <c r="AK61" i="8"/>
  <c r="AA63" i="8"/>
  <c r="L37" i="8"/>
  <c r="L42" i="8"/>
  <c r="L38" i="8"/>
  <c r="L40" i="8"/>
  <c r="L41" i="8" s="1"/>
  <c r="CY30" i="8"/>
  <c r="CY66" i="8"/>
  <c r="CY57" i="8"/>
  <c r="CY39" i="8"/>
  <c r="CY75" i="8"/>
  <c r="CO30" i="8"/>
  <c r="CO39" i="8"/>
  <c r="CO75" i="8"/>
  <c r="CO57" i="8"/>
  <c r="BZ57" i="8"/>
  <c r="BZ30" i="8"/>
  <c r="BZ39" i="8"/>
  <c r="BZ75" i="8"/>
  <c r="BP66" i="8"/>
  <c r="BP30" i="8"/>
  <c r="BP39" i="8"/>
  <c r="BP57" i="8"/>
  <c r="BP75" i="8"/>
  <c r="BA75" i="8"/>
  <c r="BA30" i="8"/>
  <c r="BA39" i="8"/>
  <c r="BA57" i="8"/>
  <c r="AO75" i="8"/>
  <c r="AO30" i="8"/>
  <c r="AO39" i="8"/>
  <c r="AO57" i="8"/>
  <c r="I75" i="8"/>
  <c r="I30" i="8"/>
  <c r="I39" i="8"/>
  <c r="I57" i="8"/>
  <c r="AK73" i="8"/>
  <c r="AK74" i="8"/>
  <c r="AK76" i="8"/>
  <c r="AK77" i="8" s="1"/>
  <c r="AK78" i="8"/>
  <c r="AA25" i="8"/>
  <c r="AA39" i="8" s="1"/>
  <c r="AA15" i="7"/>
  <c r="AA16" i="7" s="1"/>
  <c r="CT80" i="7"/>
  <c r="CT11" i="7"/>
  <c r="CT82" i="7"/>
  <c r="CE11" i="7"/>
  <c r="CE80" i="7"/>
  <c r="CI78" i="7"/>
  <c r="CE82" i="7"/>
  <c r="BZ153" i="7"/>
  <c r="BZ152" i="7"/>
  <c r="BZ156" i="7"/>
  <c r="BZ149" i="7" s="1"/>
  <c r="BZ154" i="7"/>
  <c r="BZ151" i="7"/>
  <c r="BZ150" i="7"/>
  <c r="BU154" i="7"/>
  <c r="BP11" i="7"/>
  <c r="BP82" i="7"/>
  <c r="BP79" i="7" s="1"/>
  <c r="BP80" i="7"/>
  <c r="BT78" i="7"/>
  <c r="BK153" i="7"/>
  <c r="BK154" i="7"/>
  <c r="BK151" i="7"/>
  <c r="BK150" i="7"/>
  <c r="BK156" i="7"/>
  <c r="BK152" i="7"/>
  <c r="BA11" i="7"/>
  <c r="BA80" i="7"/>
  <c r="BE78" i="7"/>
  <c r="BJ152" i="7" s="1"/>
  <c r="BA82" i="7"/>
  <c r="AZ148" i="7"/>
  <c r="AV151" i="7"/>
  <c r="AV153" i="7"/>
  <c r="AV156" i="7"/>
  <c r="AV149" i="7" s="1"/>
  <c r="AD80" i="7"/>
  <c r="AD11" i="7"/>
  <c r="AD22" i="8" s="1"/>
  <c r="AD82" i="7"/>
  <c r="S11" i="7"/>
  <c r="S80" i="7"/>
  <c r="S82" i="7"/>
  <c r="S79" i="7" s="1"/>
  <c r="W78" i="7"/>
  <c r="K151" i="7"/>
  <c r="K152" i="7"/>
  <c r="K154" i="7"/>
  <c r="K156" i="7"/>
  <c r="K153" i="7"/>
  <c r="BT12" i="4"/>
  <c r="BY89" i="5" s="1"/>
  <c r="BY91" i="5" s="1"/>
  <c r="AM153" i="7"/>
  <c r="AQ148" i="7"/>
  <c r="AM152" i="7"/>
  <c r="AM156" i="7"/>
  <c r="AM154" i="7"/>
  <c r="AM151" i="7"/>
  <c r="Y80" i="7"/>
  <c r="Y11" i="7"/>
  <c r="Y22" i="8" s="1"/>
  <c r="Y82" i="7"/>
  <c r="AF148" i="7"/>
  <c r="AG148" i="7" s="1"/>
  <c r="AF78" i="7"/>
  <c r="G148" i="7"/>
  <c r="G78" i="7"/>
  <c r="DJ93" i="5"/>
  <c r="DJ97" i="5"/>
  <c r="DJ86" i="5"/>
  <c r="DI86" i="5"/>
  <c r="DI93" i="5"/>
  <c r="DI97" i="5"/>
  <c r="CU93" i="5"/>
  <c r="CU97" i="5"/>
  <c r="CU86" i="5"/>
  <c r="CT86" i="5"/>
  <c r="CT97" i="5"/>
  <c r="CT93" i="5"/>
  <c r="CL97" i="5"/>
  <c r="CK97" i="5"/>
  <c r="CM93" i="5"/>
  <c r="CM86" i="5"/>
  <c r="CL93" i="5"/>
  <c r="CL86" i="5"/>
  <c r="CM97" i="5"/>
  <c r="CK93" i="5"/>
  <c r="CK86" i="5"/>
  <c r="CJ86" i="5"/>
  <c r="CJ97" i="5"/>
  <c r="CJ93" i="5"/>
  <c r="M37" i="8"/>
  <c r="M38" i="8"/>
  <c r="DE16" i="7"/>
  <c r="CP57" i="8"/>
  <c r="CP30" i="8"/>
  <c r="CP39" i="8"/>
  <c r="CP75" i="8"/>
  <c r="CF30" i="8"/>
  <c r="CF39" i="8"/>
  <c r="CF57" i="8"/>
  <c r="CF75" i="8"/>
  <c r="BQ75" i="8"/>
  <c r="BQ30" i="8"/>
  <c r="BQ66" i="8"/>
  <c r="BQ39" i="8"/>
  <c r="BQ57" i="8"/>
  <c r="BB57" i="8"/>
  <c r="BB30" i="8"/>
  <c r="BB39" i="8"/>
  <c r="BB75" i="8"/>
  <c r="AR39" i="8"/>
  <c r="AR66" i="8"/>
  <c r="AR30" i="8"/>
  <c r="AR57" i="8"/>
  <c r="AR75" i="8"/>
  <c r="AD75" i="8"/>
  <c r="AD39" i="8"/>
  <c r="AD57" i="8"/>
  <c r="AD30" i="8"/>
  <c r="P16" i="7"/>
  <c r="CS103" i="4"/>
  <c r="CS25" i="8"/>
  <c r="CS15" i="7"/>
  <c r="CS16" i="7" s="1"/>
  <c r="AP13" i="7"/>
  <c r="V13" i="7"/>
  <c r="L13" i="7"/>
  <c r="CU151" i="7"/>
  <c r="CU156" i="7"/>
  <c r="CU150" i="7"/>
  <c r="CU152" i="7"/>
  <c r="CK150" i="7"/>
  <c r="CK151" i="7"/>
  <c r="CK152" i="7"/>
  <c r="CK156" i="7"/>
  <c r="CK153" i="7"/>
  <c r="CA153" i="7"/>
  <c r="CA154" i="7"/>
  <c r="CA151" i="7"/>
  <c r="CA152" i="7"/>
  <c r="CA156" i="7"/>
  <c r="CA150" i="7"/>
  <c r="BQ150" i="7"/>
  <c r="BQ156" i="7"/>
  <c r="BQ153" i="7"/>
  <c r="BQ152" i="7"/>
  <c r="BQ151" i="7"/>
  <c r="BQ154" i="7"/>
  <c r="BG156" i="7"/>
  <c r="BG153" i="7"/>
  <c r="BG150" i="7"/>
  <c r="BG154" i="7"/>
  <c r="BG152" i="7"/>
  <c r="BG151" i="7"/>
  <c r="AW153" i="7"/>
  <c r="AW151" i="7"/>
  <c r="AW156" i="7"/>
  <c r="BX97" i="5"/>
  <c r="BV93" i="5"/>
  <c r="BW97" i="5"/>
  <c r="BV86" i="5"/>
  <c r="BV97" i="5"/>
  <c r="BX93" i="5"/>
  <c r="BW93" i="5"/>
  <c r="BX86" i="5"/>
  <c r="BW86" i="5"/>
  <c r="BU86" i="5"/>
  <c r="BU93" i="5"/>
  <c r="BU97" i="5"/>
  <c r="BL97" i="5"/>
  <c r="BN93" i="5"/>
  <c r="BM93" i="5"/>
  <c r="BN86" i="5"/>
  <c r="BN97" i="5"/>
  <c r="BL93" i="5"/>
  <c r="BM86" i="5"/>
  <c r="BM97" i="5"/>
  <c r="BL86" i="5"/>
  <c r="BK93" i="5"/>
  <c r="BK97" i="5"/>
  <c r="BK86" i="5"/>
  <c r="BD97" i="5"/>
  <c r="BB93" i="5"/>
  <c r="BC97" i="5"/>
  <c r="BB86" i="5"/>
  <c r="BB97" i="5"/>
  <c r="BD93" i="5"/>
  <c r="BC93" i="5"/>
  <c r="BD86" i="5"/>
  <c r="BC86" i="5"/>
  <c r="BA86" i="5"/>
  <c r="BA93" i="5"/>
  <c r="BA97" i="5"/>
  <c r="DM16" i="7"/>
  <c r="Q39" i="8"/>
  <c r="Q37" i="8"/>
  <c r="Q38" i="8"/>
  <c r="Q40" i="8"/>
  <c r="Q41" i="8" s="1"/>
  <c r="Q42" i="8"/>
  <c r="Q43" i="8" s="1"/>
  <c r="Z93" i="5"/>
  <c r="Z86" i="5"/>
  <c r="Z97" i="5"/>
  <c r="Y93" i="5"/>
  <c r="Y86" i="5"/>
  <c r="Y97" i="5"/>
  <c r="X93" i="5"/>
  <c r="X97" i="5"/>
  <c r="X86" i="5"/>
  <c r="F97" i="5"/>
  <c r="F93" i="5"/>
  <c r="E97" i="5"/>
  <c r="E93" i="5"/>
  <c r="E86" i="5"/>
  <c r="F86" i="5"/>
  <c r="D86" i="5"/>
  <c r="R148" i="7"/>
  <c r="N152" i="7"/>
  <c r="N154" i="7"/>
  <c r="N151" i="7"/>
  <c r="N156" i="7"/>
  <c r="N153" i="7"/>
  <c r="DW28" i="8"/>
  <c r="DW30" i="8"/>
  <c r="DW29" i="8"/>
  <c r="J97" i="5"/>
  <c r="K93" i="5"/>
  <c r="K97" i="5"/>
  <c r="J93" i="5"/>
  <c r="K86" i="5"/>
  <c r="J86" i="5"/>
  <c r="I86" i="5"/>
  <c r="I97" i="5"/>
  <c r="I93" i="5"/>
  <c r="CI158" i="5"/>
  <c r="CX181" i="5"/>
  <c r="AK158" i="5"/>
  <c r="CL184" i="5"/>
  <c r="CH181" i="5"/>
  <c r="EH19" i="5"/>
  <c r="EI19" i="5" s="1"/>
  <c r="EJ19" i="5" s="1"/>
  <c r="EK19" i="5" s="1"/>
  <c r="EL19" i="5" s="1"/>
  <c r="BN78" i="5"/>
  <c r="BO139" i="5"/>
  <c r="EH28" i="5"/>
  <c r="EI28" i="5" s="1"/>
  <c r="EJ28" i="5" s="1"/>
  <c r="EK28" i="5" s="1"/>
  <c r="EL28" i="5" s="1"/>
  <c r="CR125" i="5"/>
  <c r="CS125" i="5" s="1"/>
  <c r="CS164" i="5"/>
  <c r="DL158" i="5"/>
  <c r="AP181" i="5"/>
  <c r="BY158" i="5"/>
  <c r="BE198" i="5"/>
  <c r="CS198" i="5"/>
  <c r="DR197" i="5"/>
  <c r="AQ201" i="5"/>
  <c r="W201" i="5"/>
  <c r="EH22" i="5"/>
  <c r="EI22" i="5" s="1"/>
  <c r="EJ22" i="5" s="1"/>
  <c r="EK22" i="5" s="1"/>
  <c r="EL22" i="5" s="1"/>
  <c r="BD79" i="5"/>
  <c r="BE78" i="5"/>
  <c r="BE79" i="5" s="1"/>
  <c r="BS125" i="5"/>
  <c r="BT125" i="5" s="1"/>
  <c r="BT165" i="5"/>
  <c r="CD171" i="5"/>
  <c r="CP191" i="5"/>
  <c r="EH23" i="5"/>
  <c r="EI23" i="5" s="1"/>
  <c r="EJ23" i="5" s="1"/>
  <c r="EK23" i="5" s="1"/>
  <c r="EL23" i="5" s="1"/>
  <c r="EH40" i="5"/>
  <c r="EI40" i="5" s="1"/>
  <c r="EJ40" i="5" s="1"/>
  <c r="EK40" i="5" s="1"/>
  <c r="EL40" i="5" s="1"/>
  <c r="EH30" i="5"/>
  <c r="EI30" i="5" s="1"/>
  <c r="EJ30" i="5" s="1"/>
  <c r="EK30" i="5" s="1"/>
  <c r="EL30" i="5" s="1"/>
  <c r="BH79" i="5"/>
  <c r="BJ78" i="5"/>
  <c r="BJ79" i="5" s="1"/>
  <c r="BH81" i="5"/>
  <c r="BH82" i="5" s="1"/>
  <c r="AA81" i="5"/>
  <c r="AA82" i="5" s="1"/>
  <c r="AA79" i="5"/>
  <c r="AB78" i="5"/>
  <c r="AB79" i="5" s="1"/>
  <c r="DW169" i="5"/>
  <c r="CW158" i="5"/>
  <c r="AB157" i="5"/>
  <c r="BT171" i="5"/>
  <c r="H52" i="5"/>
  <c r="H69" i="5" s="1"/>
  <c r="AL158" i="5"/>
  <c r="AP169" i="5"/>
  <c r="DR181" i="5"/>
  <c r="AL198" i="5"/>
  <c r="BO198" i="5"/>
  <c r="CI198" i="5"/>
  <c r="DH197" i="5"/>
  <c r="DB169" i="5"/>
  <c r="H181" i="5"/>
  <c r="BL191" i="5"/>
  <c r="EH38" i="5"/>
  <c r="EI38" i="5" s="1"/>
  <c r="EJ38" i="5" s="1"/>
  <c r="EK38" i="5" s="1"/>
  <c r="EL38" i="5" s="1"/>
  <c r="BD81" i="5"/>
  <c r="EC14" i="5"/>
  <c r="ED14" i="5" s="1"/>
  <c r="EE14" i="5" s="1"/>
  <c r="EF14" i="5" s="1"/>
  <c r="EG14" i="5" s="1"/>
  <c r="EH29" i="5"/>
  <c r="EI29" i="5" s="1"/>
  <c r="EJ29" i="5" s="1"/>
  <c r="EK29" i="5" s="1"/>
  <c r="EL29" i="5" s="1"/>
  <c r="BJ61" i="7"/>
  <c r="AQ132" i="7"/>
  <c r="BT226" i="7"/>
  <c r="M61" i="7"/>
  <c r="CS223" i="7"/>
  <c r="CN64" i="7"/>
  <c r="R114" i="7"/>
  <c r="DR61" i="7"/>
  <c r="DL219" i="7"/>
  <c r="DW100" i="7"/>
  <c r="DV9" i="4"/>
  <c r="DV11" i="4" s="1"/>
  <c r="DV148" i="7" s="1"/>
  <c r="DV19" i="8"/>
  <c r="BJ34" i="8"/>
  <c r="BT43" i="8"/>
  <c r="CN31" i="8"/>
  <c r="CN32" i="8" s="1"/>
  <c r="CN16" i="8"/>
  <c r="CN58" i="8"/>
  <c r="CN59" i="8" s="1"/>
  <c r="CN76" i="8"/>
  <c r="CN77" i="8" s="1"/>
  <c r="CN40" i="8"/>
  <c r="CN41" i="8" s="1"/>
  <c r="AZ31" i="8"/>
  <c r="BE32" i="8" s="1"/>
  <c r="AZ40" i="8"/>
  <c r="BE41" i="8" s="1"/>
  <c r="AZ58" i="8"/>
  <c r="BE59" i="8" s="1"/>
  <c r="AZ76" i="8"/>
  <c r="BE77" i="8" s="1"/>
  <c r="DY76" i="7"/>
  <c r="DY9" i="7"/>
  <c r="AQ76" i="8"/>
  <c r="AQ16" i="8"/>
  <c r="AQ31" i="8"/>
  <c r="AQ58" i="8"/>
  <c r="AQ59" i="8" s="1"/>
  <c r="AQ40" i="8"/>
  <c r="DM135" i="7"/>
  <c r="BJ76" i="8"/>
  <c r="BJ16" i="8"/>
  <c r="BJ40" i="8"/>
  <c r="BJ31" i="8"/>
  <c r="BO16" i="8"/>
  <c r="BJ58" i="8"/>
  <c r="CI11" i="8"/>
  <c r="CI42" i="8"/>
  <c r="CI60" i="8"/>
  <c r="CI78" i="8"/>
  <c r="CI33" i="8"/>
  <c r="CI69" i="8"/>
  <c r="CN70" i="8" s="1"/>
  <c r="M16" i="8"/>
  <c r="M31" i="8"/>
  <c r="M58" i="8"/>
  <c r="M76" i="8"/>
  <c r="M40" i="8"/>
  <c r="DW40" i="8"/>
  <c r="DW41" i="8" s="1"/>
  <c r="DW76" i="8"/>
  <c r="DW77" i="8" s="1"/>
  <c r="DW31" i="8"/>
  <c r="DW32" i="8" s="1"/>
  <c r="AB16" i="8"/>
  <c r="W58" i="8"/>
  <c r="W59" i="8" s="1"/>
  <c r="W40" i="8"/>
  <c r="W16" i="8"/>
  <c r="W31" i="8"/>
  <c r="W76" i="8"/>
  <c r="R16" i="8"/>
  <c r="CD16" i="8"/>
  <c r="CD76" i="8"/>
  <c r="CD40" i="8"/>
  <c r="CD31" i="8"/>
  <c r="CD58" i="8"/>
  <c r="CX214" i="7"/>
  <c r="DL220" i="7"/>
  <c r="DG239" i="7"/>
  <c r="DT9" i="4"/>
  <c r="DT11" i="4" s="1"/>
  <c r="DT19" i="8"/>
  <c r="CI70" i="8"/>
  <c r="DC43" i="8"/>
  <c r="CN11" i="8"/>
  <c r="CI16" i="8"/>
  <c r="BO43" i="8"/>
  <c r="CX34" i="8"/>
  <c r="DU19" i="8"/>
  <c r="DU9" i="4"/>
  <c r="DU11" i="4" s="1"/>
  <c r="CD64" i="7"/>
  <c r="CN61" i="7"/>
  <c r="CX64" i="7"/>
  <c r="CD135" i="7"/>
  <c r="AG114" i="7"/>
  <c r="BO224" i="7"/>
  <c r="DR64" i="7"/>
  <c r="DL218" i="7"/>
  <c r="CS16" i="8"/>
  <c r="CS58" i="8"/>
  <c r="CS31" i="8"/>
  <c r="CS40" i="8"/>
  <c r="CS41" i="8" s="1"/>
  <c r="CS76" i="8"/>
  <c r="CX16" i="8"/>
  <c r="CX58" i="8"/>
  <c r="CX76" i="8"/>
  <c r="CX40" i="8"/>
  <c r="CX31" i="8"/>
  <c r="AB31" i="8"/>
  <c r="AB58" i="8"/>
  <c r="AB76" i="8"/>
  <c r="AB40" i="8"/>
  <c r="DC16" i="8"/>
  <c r="DC31" i="8"/>
  <c r="DC32" i="8" s="1"/>
  <c r="DC58" i="8"/>
  <c r="DC67" i="8"/>
  <c r="DC68" i="8" s="1"/>
  <c r="DC40" i="8"/>
  <c r="DC76" i="8"/>
  <c r="DC77" i="8" s="1"/>
  <c r="BF77" i="8"/>
  <c r="BY43" i="8"/>
  <c r="DP61" i="8"/>
  <c r="DC79" i="8"/>
  <c r="BY16" i="8"/>
  <c r="BT31" i="8"/>
  <c r="BT40" i="8"/>
  <c r="BT76" i="8"/>
  <c r="BT58" i="8"/>
  <c r="BT16" i="8"/>
  <c r="W9" i="8"/>
  <c r="X70" i="8"/>
  <c r="V70" i="8"/>
  <c r="U68" i="8"/>
  <c r="CT23" i="10"/>
  <c r="CX23" i="10" s="1"/>
  <c r="CN214" i="10"/>
  <c r="CJ16" i="10"/>
  <c r="DR210" i="10"/>
  <c r="DN210" i="10"/>
  <c r="DN213" i="10" s="1"/>
  <c r="DZ112" i="10"/>
  <c r="EA107" i="10"/>
  <c r="DD77" i="10"/>
  <c r="DB82" i="10"/>
  <c r="DN140" i="10"/>
  <c r="DN143" i="10" s="1"/>
  <c r="DM143" i="10"/>
  <c r="DL144" i="10"/>
  <c r="EB150" i="10"/>
  <c r="DX150" i="10"/>
  <c r="DX153" i="10" s="1"/>
  <c r="DY150" i="10" s="1"/>
  <c r="DY153" i="10" s="1"/>
  <c r="DZ150" i="10" s="1"/>
  <c r="DZ153" i="10" s="1"/>
  <c r="EA150" i="10" s="1"/>
  <c r="EA153" i="10" s="1"/>
  <c r="EB153" i="10" s="1"/>
  <c r="DK214" i="10"/>
  <c r="CX33" i="10"/>
  <c r="CW38" i="10"/>
  <c r="DX97" i="10"/>
  <c r="DP130" i="10"/>
  <c r="DP133" i="10" s="1"/>
  <c r="DO134" i="10"/>
  <c r="DV174" i="10"/>
  <c r="DW174" i="10" s="1"/>
  <c r="DW173" i="10"/>
  <c r="DX170" i="10" s="1"/>
  <c r="DX173" i="10" s="1"/>
  <c r="ED199" i="10"/>
  <c r="DA47" i="10"/>
  <c r="CZ52" i="10"/>
  <c r="DQ174" i="10"/>
  <c r="DR174" i="10" s="1"/>
  <c r="DR173" i="10"/>
  <c r="EB33" i="10"/>
  <c r="DX88" i="10"/>
  <c r="DX91" i="10" s="1"/>
  <c r="DY88" i="10" s="1"/>
  <c r="DY91" i="10" s="1"/>
  <c r="DZ88" i="10" s="1"/>
  <c r="DZ91" i="10" s="1"/>
  <c r="EA88" i="10" s="1"/>
  <c r="EA91" i="10" s="1"/>
  <c r="EB91" i="10" s="1"/>
  <c r="EB88" i="10"/>
  <c r="DL214" i="10"/>
  <c r="DN209" i="10"/>
  <c r="EB189" i="10"/>
  <c r="EC189" i="10" s="1"/>
  <c r="EB78" i="10"/>
  <c r="DX78" i="10"/>
  <c r="DX81" i="10" s="1"/>
  <c r="DY78" i="10" s="1"/>
  <c r="DY81" i="10" s="1"/>
  <c r="DZ78" i="10" s="1"/>
  <c r="DZ81" i="10" s="1"/>
  <c r="EA78" i="10" s="1"/>
  <c r="EA81" i="10" s="1"/>
  <c r="EB81" i="10" s="1"/>
  <c r="DH23" i="10"/>
  <c r="DD22" i="10"/>
  <c r="DM173" i="10"/>
  <c r="DL174" i="10"/>
  <c r="DM174" i="10" s="1"/>
  <c r="DZ159" i="10"/>
  <c r="EB71" i="10"/>
  <c r="EC68" i="10" s="1"/>
  <c r="EC71" i="10" s="1"/>
  <c r="EA72" i="10"/>
  <c r="EB72" i="10" s="1"/>
  <c r="DY190" i="10"/>
  <c r="DY193" i="10" s="1"/>
  <c r="DX194" i="10"/>
  <c r="DP98" i="10"/>
  <c r="DP101" i="10" s="1"/>
  <c r="DM183" i="10"/>
  <c r="DN180" i="10"/>
  <c r="DN183" i="10" s="1"/>
  <c r="DL184" i="10"/>
  <c r="ED209" i="10"/>
  <c r="DL21" i="10"/>
  <c r="EE117" i="10"/>
  <c r="EH108" i="10"/>
  <c r="EH111" i="10" s="1"/>
  <c r="EI108" i="10" s="1"/>
  <c r="EI111" i="10" s="1"/>
  <c r="EJ108" i="10" s="1"/>
  <c r="EJ111" i="10" s="1"/>
  <c r="EK108" i="10" s="1"/>
  <c r="EK111" i="10" s="1"/>
  <c r="EL108" i="10"/>
  <c r="EL111" i="10" s="1"/>
  <c r="DB149" i="10"/>
  <c r="DA154" i="10"/>
  <c r="CT16" i="10"/>
  <c r="EB200" i="10"/>
  <c r="DX200" i="10"/>
  <c r="DX203" i="10" s="1"/>
  <c r="CZ102" i="10"/>
  <c r="DA97" i="10"/>
  <c r="EG118" i="10"/>
  <c r="EG121" i="10" s="1"/>
  <c r="EC118" i="10"/>
  <c r="EC121" i="10" s="1"/>
  <c r="EH220" i="10"/>
  <c r="EI220" i="10" s="1"/>
  <c r="EJ220" i="10" s="1"/>
  <c r="EK220" i="10" s="1"/>
  <c r="EL220" i="10" s="1"/>
  <c r="EG220" i="10"/>
  <c r="DQ34" i="10"/>
  <c r="DQ37" i="10" s="1"/>
  <c r="DP39" i="10"/>
  <c r="DP38" i="10"/>
  <c r="DP40" i="10" s="1"/>
  <c r="DW48" i="10"/>
  <c r="DS48" i="10"/>
  <c r="DS51" i="10" s="1"/>
  <c r="DT48" i="10" s="1"/>
  <c r="DT51" i="10" s="1"/>
  <c r="DU48" i="10" s="1"/>
  <c r="DU51" i="10" s="1"/>
  <c r="DV48" i="10" s="1"/>
  <c r="DV51" i="10" s="1"/>
  <c r="DW51" i="10" s="1"/>
  <c r="DE92" i="10"/>
  <c r="DF87" i="10"/>
  <c r="DQ179" i="10"/>
  <c r="CN212" i="10"/>
  <c r="CJ23" i="10"/>
  <c r="CN23" i="10" s="1"/>
  <c r="EB58" i="10"/>
  <c r="DX58" i="10"/>
  <c r="DX61" i="10" s="1"/>
  <c r="DY58" i="10" s="1"/>
  <c r="DY61" i="10" s="1"/>
  <c r="DZ58" i="10" s="1"/>
  <c r="DZ61" i="10" s="1"/>
  <c r="EA58" i="10" s="1"/>
  <c r="EA61" i="10" s="1"/>
  <c r="EB61" i="10" s="1"/>
  <c r="DC82" i="10"/>
  <c r="DM144" i="10"/>
  <c r="DM184" i="10"/>
  <c r="DZ31" i="10"/>
  <c r="DE57" i="10"/>
  <c r="DD62" i="10"/>
  <c r="DQ72" i="10"/>
  <c r="DR72" i="10" s="1"/>
  <c r="DY118" i="10"/>
  <c r="DY121" i="10" s="1"/>
  <c r="DX122" i="10"/>
  <c r="DV160" i="10"/>
  <c r="DV163" i="10" s="1"/>
  <c r="DU164" i="10"/>
  <c r="EB129" i="10"/>
  <c r="DK21" i="10"/>
  <c r="DB204" i="10"/>
  <c r="DC204" i="10" s="1"/>
  <c r="DD199" i="10"/>
  <c r="P70" i="8"/>
  <c r="T68" i="8"/>
  <c r="U70" i="8"/>
  <c r="Z70" i="8"/>
  <c r="AJ68" i="8"/>
  <c r="DM66" i="8"/>
  <c r="DM64" i="8"/>
  <c r="DM69" i="8"/>
  <c r="DM70" i="8" s="1"/>
  <c r="DM65" i="8"/>
  <c r="DM67" i="8"/>
  <c r="DM68" i="8" s="1"/>
  <c r="Q70" i="8"/>
  <c r="V68" i="8"/>
  <c r="CD68" i="8"/>
  <c r="EJ49" i="8"/>
  <c r="EJ50" i="8" s="1"/>
  <c r="EE50" i="8"/>
  <c r="DW59" i="8"/>
  <c r="CO68" i="8"/>
  <c r="CO70" i="8"/>
  <c r="DA68" i="8"/>
  <c r="AT68" i="8"/>
  <c r="AJ70" i="8"/>
  <c r="CP68" i="8"/>
  <c r="CX70" i="8"/>
  <c r="T70" i="8"/>
  <c r="X68" i="8"/>
  <c r="BE68" i="8"/>
  <c r="Q68" i="8"/>
  <c r="BJ70" i="8"/>
  <c r="CL68" i="8"/>
  <c r="AC70" i="8"/>
  <c r="AH70" i="8"/>
  <c r="DS70" i="8"/>
  <c r="DW61" i="8"/>
  <c r="BI68" i="8"/>
  <c r="BI70" i="8"/>
  <c r="CS70" i="8"/>
  <c r="N70" i="8"/>
  <c r="CY68" i="8"/>
  <c r="BF68" i="8"/>
  <c r="BZ70" i="8"/>
  <c r="CX68" i="8"/>
  <c r="Z68" i="8"/>
  <c r="DR69" i="8"/>
  <c r="DR70" i="8" s="1"/>
  <c r="DR67" i="8"/>
  <c r="DR65" i="8"/>
  <c r="DR64" i="8"/>
  <c r="DR66" i="8"/>
  <c r="BJ68" i="8"/>
  <c r="CD70" i="8"/>
  <c r="CY70" i="8"/>
  <c r="BM68" i="8"/>
  <c r="CS68" i="8"/>
  <c r="CW68" i="8"/>
  <c r="CW70" i="8"/>
  <c r="Y70" i="8"/>
  <c r="N68" i="8"/>
  <c r="AD70" i="8"/>
  <c r="BG68" i="8"/>
  <c r="DS68" i="8"/>
  <c r="BZ68" i="8"/>
  <c r="CH70" i="8"/>
  <c r="BK68" i="8"/>
  <c r="P68" i="8"/>
  <c r="BE70" i="8"/>
  <c r="CL70" i="8"/>
  <c r="AC68" i="8"/>
  <c r="AH68" i="8"/>
  <c r="BO70" i="8"/>
  <c r="DA70" i="8"/>
  <c r="Y68" i="8"/>
  <c r="AD68" i="8"/>
  <c r="AT70" i="8"/>
  <c r="CA70" i="8"/>
  <c r="CQ70" i="8"/>
  <c r="BF70" i="8"/>
  <c r="BK70" i="8"/>
  <c r="CH68" i="8"/>
  <c r="CP70" i="8"/>
  <c r="DW64" i="8"/>
  <c r="DN148" i="7"/>
  <c r="DN78" i="7"/>
  <c r="AL225" i="7"/>
  <c r="CI225" i="7"/>
  <c r="BT64" i="7"/>
  <c r="DM206" i="7"/>
  <c r="DM207" i="7"/>
  <c r="AM20" i="9" s="1"/>
  <c r="DH206" i="7"/>
  <c r="DW210" i="7"/>
  <c r="DW211" i="7"/>
  <c r="DL117" i="4"/>
  <c r="DL148" i="7"/>
  <c r="DQ150" i="7" s="1"/>
  <c r="DL78" i="7"/>
  <c r="AB225" i="7"/>
  <c r="CX223" i="7"/>
  <c r="CN223" i="7"/>
  <c r="AQ225" i="7"/>
  <c r="BY64" i="7"/>
  <c r="BT100" i="7"/>
  <c r="CW239" i="7"/>
  <c r="EF205" i="7"/>
  <c r="EK205" i="7" s="1"/>
  <c r="EA30" i="7"/>
  <c r="ED205" i="7"/>
  <c r="EI205" i="7" s="1"/>
  <c r="DY30" i="7"/>
  <c r="AB191" i="7"/>
  <c r="DM412" i="7"/>
  <c r="DN411" i="7"/>
  <c r="DO411" i="7" s="1"/>
  <c r="DP411" i="7" s="1"/>
  <c r="DQ411" i="7" s="1"/>
  <c r="DR411" i="7" s="1"/>
  <c r="DK151" i="7"/>
  <c r="DK11" i="7"/>
  <c r="DK22" i="8" s="1"/>
  <c r="DK156" i="7"/>
  <c r="DK149" i="7" s="1"/>
  <c r="DH224" i="7"/>
  <c r="DC224" i="7"/>
  <c r="CX61" i="7"/>
  <c r="AB61" i="7"/>
  <c r="R135" i="7"/>
  <c r="DH64" i="7"/>
  <c r="CD132" i="7"/>
  <c r="AL129" i="7"/>
  <c r="DM132" i="7"/>
  <c r="AB210" i="7"/>
  <c r="CI176" i="7"/>
  <c r="BT176" i="7"/>
  <c r="AQ191" i="7"/>
  <c r="DS408" i="7"/>
  <c r="DN406" i="7"/>
  <c r="DN21" i="8" s="1"/>
  <c r="DN45" i="8" s="1"/>
  <c r="CW152" i="7"/>
  <c r="CW150" i="7"/>
  <c r="CW151" i="7"/>
  <c r="CX151" i="7" s="1"/>
  <c r="CW11" i="7"/>
  <c r="CW22" i="8" s="1"/>
  <c r="CW156" i="7"/>
  <c r="CX148" i="7"/>
  <c r="DO80" i="7"/>
  <c r="DH223" i="7"/>
  <c r="DC223" i="7"/>
  <c r="CD129" i="7"/>
  <c r="AB129" i="7"/>
  <c r="DQ225" i="7"/>
  <c r="W132" i="7"/>
  <c r="DM64" i="7"/>
  <c r="CN132" i="7"/>
  <c r="DR135" i="7"/>
  <c r="DM100" i="7"/>
  <c r="CI100" i="7"/>
  <c r="DR210" i="7"/>
  <c r="DR211" i="7"/>
  <c r="DC214" i="7"/>
  <c r="DA80" i="7"/>
  <c r="DA82" i="7"/>
  <c r="DA79" i="7" s="1"/>
  <c r="DP151" i="7"/>
  <c r="DP150" i="7"/>
  <c r="DP11" i="7"/>
  <c r="DP22" i="8" s="1"/>
  <c r="DP12" i="7"/>
  <c r="DP156" i="7"/>
  <c r="DP149" i="7" s="1"/>
  <c r="R64" i="7"/>
  <c r="AQ210" i="7"/>
  <c r="R43" i="7"/>
  <c r="R47" i="7" s="1"/>
  <c r="N49" i="7"/>
  <c r="R49" i="7"/>
  <c r="CD206" i="7"/>
  <c r="DB80" i="7"/>
  <c r="DB82" i="7"/>
  <c r="DB79" i="7" s="1"/>
  <c r="BJ47" i="7"/>
  <c r="AB40" i="7"/>
  <c r="AG36" i="7" s="1"/>
  <c r="AG40" i="7" s="1"/>
  <c r="AL36" i="7" s="1"/>
  <c r="AL40" i="7" s="1"/>
  <c r="AQ36" i="7" s="1"/>
  <c r="AQ40" i="7" s="1"/>
  <c r="AR36" i="7" s="1"/>
  <c r="AR39" i="7" s="1"/>
  <c r="AG206" i="7"/>
  <c r="CN210" i="7"/>
  <c r="DX74" i="7"/>
  <c r="EB73" i="7"/>
  <c r="DX76" i="7"/>
  <c r="DX9" i="7"/>
  <c r="DX19" i="8" s="1"/>
  <c r="DQ408" i="7"/>
  <c r="DL406" i="7"/>
  <c r="DL21" i="8" s="1"/>
  <c r="DL45" i="8" s="1"/>
  <c r="DQ80" i="7"/>
  <c r="DF117" i="4"/>
  <c r="DF148" i="7"/>
  <c r="EC64" i="7"/>
  <c r="EH63" i="7"/>
  <c r="EH64" i="7" s="1"/>
  <c r="BO36" i="7"/>
  <c r="BK36" i="7"/>
  <c r="BK39" i="7" s="1"/>
  <c r="BO39" i="7" s="1"/>
  <c r="BO52" i="7"/>
  <c r="BK52" i="7"/>
  <c r="AB214" i="7"/>
  <c r="DR176" i="7"/>
  <c r="BO225" i="7"/>
  <c r="AB64" i="7"/>
  <c r="BT223" i="7"/>
  <c r="CS225" i="7"/>
  <c r="CS61" i="7"/>
  <c r="DH100" i="7"/>
  <c r="CS100" i="7"/>
  <c r="CN114" i="7"/>
  <c r="CS114" i="7"/>
  <c r="CI210" i="7"/>
  <c r="CS176" i="7"/>
  <c r="DK406" i="7"/>
  <c r="DK21" i="8" s="1"/>
  <c r="DK45" i="8" s="1"/>
  <c r="DO151" i="7"/>
  <c r="DO152" i="7" s="1"/>
  <c r="DO150" i="7"/>
  <c r="DO11" i="7"/>
  <c r="DO22" i="8" s="1"/>
  <c r="DO12" i="7"/>
  <c r="DO156" i="7"/>
  <c r="DG231" i="7"/>
  <c r="DG220" i="7" s="1"/>
  <c r="DG226" i="7" s="1"/>
  <c r="DG228" i="7"/>
  <c r="DG230" i="7"/>
  <c r="DG219" i="7" s="1"/>
  <c r="DG225" i="7" s="1"/>
  <c r="DG229" i="7"/>
  <c r="DG218" i="7" s="1"/>
  <c r="DG224" i="7" s="1"/>
  <c r="DH84" i="7"/>
  <c r="DW61" i="7"/>
  <c r="BT225" i="7"/>
  <c r="DM83" i="7"/>
  <c r="DL232" i="7"/>
  <c r="DL217" i="7"/>
  <c r="BJ129" i="7"/>
  <c r="W135" i="7"/>
  <c r="BY225" i="7"/>
  <c r="DM61" i="7"/>
  <c r="CN135" i="7"/>
  <c r="CD100" i="7"/>
  <c r="M129" i="7"/>
  <c r="AB135" i="7"/>
  <c r="BO135" i="7"/>
  <c r="DR214" i="7"/>
  <c r="CX176" i="7"/>
  <c r="DA152" i="7"/>
  <c r="DA151" i="7"/>
  <c r="DA150" i="7"/>
  <c r="DA154" i="7"/>
  <c r="DA12" i="7"/>
  <c r="DA11" i="7"/>
  <c r="DA15" i="7"/>
  <c r="DA156" i="7"/>
  <c r="DA149" i="7" s="1"/>
  <c r="AL64" i="7"/>
  <c r="CD210" i="7"/>
  <c r="I50" i="7"/>
  <c r="I51" i="7"/>
  <c r="I52" i="7"/>
  <c r="I66" i="7"/>
  <c r="I89" i="7"/>
  <c r="I165" i="7"/>
  <c r="DB154" i="7"/>
  <c r="DB151" i="7"/>
  <c r="DB152" i="7"/>
  <c r="DB150" i="7"/>
  <c r="DB12" i="7"/>
  <c r="DB11" i="7"/>
  <c r="DB15" i="7"/>
  <c r="DB156" i="7"/>
  <c r="DW9" i="7"/>
  <c r="DW19" i="8" s="1"/>
  <c r="DS9" i="4"/>
  <c r="BJ206" i="7"/>
  <c r="DI148" i="7"/>
  <c r="DI78" i="7"/>
  <c r="DH225" i="7"/>
  <c r="DC225" i="7"/>
  <c r="DS36" i="7"/>
  <c r="DS40" i="7" s="1"/>
  <c r="DT36" i="7" s="1"/>
  <c r="DT40" i="7" s="1"/>
  <c r="DU36" i="7" s="1"/>
  <c r="DU40" i="7" s="1"/>
  <c r="DV36" i="7" s="1"/>
  <c r="DV40" i="7" s="1"/>
  <c r="DW36" i="7"/>
  <c r="DW40" i="7" s="1"/>
  <c r="DH129" i="7"/>
  <c r="DR206" i="7"/>
  <c r="DR207" i="7"/>
  <c r="EH143" i="7"/>
  <c r="EG143" i="7"/>
  <c r="EC73" i="7"/>
  <c r="BU115" i="7"/>
  <c r="BU116" i="7" s="1"/>
  <c r="BU112" i="7"/>
  <c r="BU113" i="7"/>
  <c r="BZ112" i="7"/>
  <c r="DQ151" i="7"/>
  <c r="DQ12" i="7"/>
  <c r="DQ11" i="7"/>
  <c r="DQ22" i="8" s="1"/>
  <c r="DQ156" i="7"/>
  <c r="CZ117" i="4"/>
  <c r="CZ148" i="7"/>
  <c r="DC148" i="7" s="1"/>
  <c r="CZ78" i="7"/>
  <c r="DC78" i="7" s="1"/>
  <c r="DC226" i="7"/>
  <c r="DH226" i="7"/>
  <c r="BJ132" i="7"/>
  <c r="CI61" i="7"/>
  <c r="BY61" i="7"/>
  <c r="DM129" i="7"/>
  <c r="DH406" i="7"/>
  <c r="DH408" i="7" s="1"/>
  <c r="DH409" i="7" s="1"/>
  <c r="CY80" i="7"/>
  <c r="CY82" i="7"/>
  <c r="CY79" i="7" s="1"/>
  <c r="DC61" i="7"/>
  <c r="EF64" i="7"/>
  <c r="EK63" i="7"/>
  <c r="EK64" i="7" s="1"/>
  <c r="BY135" i="7"/>
  <c r="AB114" i="7"/>
  <c r="DH132" i="7"/>
  <c r="AL114" i="7"/>
  <c r="DW207" i="7"/>
  <c r="DW206" i="7"/>
  <c r="AG191" i="7"/>
  <c r="DU408" i="7"/>
  <c r="DP406" i="7"/>
  <c r="DP21" i="8" s="1"/>
  <c r="DP45" i="8" s="1"/>
  <c r="DT117" i="4"/>
  <c r="DT148" i="7"/>
  <c r="M225" i="7"/>
  <c r="CI226" i="7"/>
  <c r="EJ63" i="7"/>
  <c r="EJ64" i="7" s="1"/>
  <c r="EE64" i="7"/>
  <c r="DQ226" i="7"/>
  <c r="DL226" i="7"/>
  <c r="BT129" i="7"/>
  <c r="AB132" i="7"/>
  <c r="DB239" i="7"/>
  <c r="CS206" i="7"/>
  <c r="BJ210" i="7"/>
  <c r="EA74" i="7"/>
  <c r="EA76" i="7"/>
  <c r="EA9" i="7"/>
  <c r="CN206" i="7"/>
  <c r="EB170" i="7"/>
  <c r="EC170" i="7"/>
  <c r="DO408" i="7"/>
  <c r="DJ406" i="7"/>
  <c r="DJ21" i="8" s="1"/>
  <c r="DJ45" i="8" s="1"/>
  <c r="DE150" i="7"/>
  <c r="DE151" i="7"/>
  <c r="DE78" i="7"/>
  <c r="DE11" i="7"/>
  <c r="DE221" i="7" s="1"/>
  <c r="DE156" i="7"/>
  <c r="DJ150" i="7"/>
  <c r="BT214" i="7"/>
  <c r="R210" i="7"/>
  <c r="DW131" i="7"/>
  <c r="DW132" i="7" s="1"/>
  <c r="DW134" i="7"/>
  <c r="DW135" i="7" s="1"/>
  <c r="DW74" i="7"/>
  <c r="DW76" i="7"/>
  <c r="BO64" i="7"/>
  <c r="CN225" i="7"/>
  <c r="BT61" i="7"/>
  <c r="DY64" i="7"/>
  <c r="ED63" i="7"/>
  <c r="EB144" i="7"/>
  <c r="BY115" i="7"/>
  <c r="BY116" i="7" s="1"/>
  <c r="BY112" i="7"/>
  <c r="CD112" i="7"/>
  <c r="CI223" i="7"/>
  <c r="BJ135" i="7"/>
  <c r="CI64" i="7"/>
  <c r="CS129" i="7"/>
  <c r="DC100" i="7"/>
  <c r="AG214" i="7"/>
  <c r="CS214" i="7"/>
  <c r="DC206" i="7"/>
  <c r="CX210" i="7"/>
  <c r="DK79" i="7"/>
  <c r="CY154" i="7"/>
  <c r="CY151" i="7"/>
  <c r="CY152" i="7"/>
  <c r="CY150" i="7"/>
  <c r="CY11" i="7"/>
  <c r="CY22" i="8" s="1"/>
  <c r="CY156" i="7"/>
  <c r="CY149" i="7" s="1"/>
  <c r="DC132" i="7"/>
  <c r="W129" i="7"/>
  <c r="DC64" i="7"/>
  <c r="R132" i="7"/>
  <c r="DH61" i="7"/>
  <c r="DR129" i="7"/>
  <c r="BY226" i="7"/>
  <c r="CS64" i="7"/>
  <c r="DW114" i="7"/>
  <c r="DC31" i="7"/>
  <c r="CY30" i="7"/>
  <c r="DC30" i="7" s="1"/>
  <c r="DI406" i="7"/>
  <c r="DI21" i="8" s="1"/>
  <c r="DI45" i="8" s="1"/>
  <c r="CW80" i="7"/>
  <c r="CW82" i="7"/>
  <c r="CX78" i="7"/>
  <c r="DD148" i="7"/>
  <c r="DD78" i="7"/>
  <c r="CD224" i="7"/>
  <c r="CX135" i="7"/>
  <c r="CN224" i="7"/>
  <c r="DQ224" i="7"/>
  <c r="CS226" i="7"/>
  <c r="BO129" i="7"/>
  <c r="DR132" i="7"/>
  <c r="BO132" i="7"/>
  <c r="EE205" i="7"/>
  <c r="EJ205" i="7" s="1"/>
  <c r="DZ30" i="7"/>
  <c r="EK143" i="7"/>
  <c r="CX206" i="7"/>
  <c r="EC205" i="7"/>
  <c r="EH205" i="7" s="1"/>
  <c r="DX30" i="7"/>
  <c r="EG153" i="7"/>
  <c r="EG154" i="7" s="1"/>
  <c r="EH153" i="7"/>
  <c r="EL153" i="7" s="1"/>
  <c r="DC210" i="7"/>
  <c r="DG117" i="4"/>
  <c r="DG148" i="7"/>
  <c r="DP80" i="7"/>
  <c r="R206" i="7"/>
  <c r="M51" i="7"/>
  <c r="M52" i="7"/>
  <c r="BJ51" i="7"/>
  <c r="BJ52" i="7"/>
  <c r="BO51" i="7"/>
  <c r="CD214" i="7"/>
  <c r="DL190" i="5"/>
  <c r="DL194" i="5"/>
  <c r="DL159" i="5"/>
  <c r="CI159" i="5"/>
  <c r="CZ185" i="5"/>
  <c r="CZ187" i="5" s="1"/>
  <c r="CV190" i="5"/>
  <c r="CV191" i="5" s="1"/>
  <c r="CV194" i="5"/>
  <c r="CV184" i="5"/>
  <c r="CV159" i="5"/>
  <c r="Q181" i="5"/>
  <c r="R180" i="5"/>
  <c r="R181" i="5" s="1"/>
  <c r="DU190" i="5"/>
  <c r="DU194" i="5"/>
  <c r="DU199" i="5" s="1"/>
  <c r="DU202" i="5" s="1"/>
  <c r="DU184" i="5"/>
  <c r="DU185" i="5" s="1"/>
  <c r="DU187" i="5" s="1"/>
  <c r="DU159" i="5"/>
  <c r="CW194" i="5"/>
  <c r="CW190" i="5"/>
  <c r="CH194" i="5"/>
  <c r="CH199" i="5" s="1"/>
  <c r="CH190" i="5"/>
  <c r="CH159" i="5"/>
  <c r="AP194" i="5"/>
  <c r="AP190" i="5"/>
  <c r="AP184" i="5"/>
  <c r="AP159" i="5"/>
  <c r="CM194" i="5"/>
  <c r="CM190" i="5"/>
  <c r="CM159" i="5"/>
  <c r="DG190" i="5"/>
  <c r="DG194" i="5"/>
  <c r="DG199" i="5" s="1"/>
  <c r="DG202" i="5" s="1"/>
  <c r="DG159" i="5"/>
  <c r="AK194" i="5"/>
  <c r="AK199" i="5" s="1"/>
  <c r="AK190" i="5"/>
  <c r="AK159" i="5"/>
  <c r="DZ157" i="5"/>
  <c r="DZ198" i="5" s="1"/>
  <c r="EA15" i="5"/>
  <c r="CX123" i="5"/>
  <c r="CR190" i="5"/>
  <c r="CR194" i="5"/>
  <c r="CR159" i="5"/>
  <c r="BB123" i="5"/>
  <c r="BA126" i="5"/>
  <c r="DW198" i="5"/>
  <c r="DQ194" i="5"/>
  <c r="DQ199" i="5" s="1"/>
  <c r="DQ190" i="5"/>
  <c r="DQ159" i="5"/>
  <c r="DK207" i="5"/>
  <c r="AO194" i="5"/>
  <c r="AO199" i="5" s="1"/>
  <c r="AO202" i="5" s="1"/>
  <c r="AO190" i="5"/>
  <c r="AO184" i="5"/>
  <c r="AO159" i="5"/>
  <c r="BE156" i="5"/>
  <c r="CS156" i="5"/>
  <c r="CS158" i="5" s="1"/>
  <c r="E205" i="5"/>
  <c r="E203" i="5"/>
  <c r="CT203" i="5"/>
  <c r="CT205" i="5"/>
  <c r="AG198" i="5"/>
  <c r="BJ198" i="5"/>
  <c r="CD198" i="5"/>
  <c r="CX198" i="5"/>
  <c r="AB198" i="5"/>
  <c r="CV207" i="5"/>
  <c r="CA126" i="5"/>
  <c r="BM190" i="5"/>
  <c r="BM194" i="5"/>
  <c r="BM184" i="5"/>
  <c r="BM159" i="5"/>
  <c r="AM199" i="5"/>
  <c r="AM202" i="5" s="1"/>
  <c r="AH205" i="5"/>
  <c r="AH203" i="5"/>
  <c r="BE158" i="5"/>
  <c r="DD205" i="5"/>
  <c r="DD203" i="5"/>
  <c r="DT205" i="5"/>
  <c r="DT203" i="5"/>
  <c r="AP207" i="5"/>
  <c r="AQ200" i="5"/>
  <c r="AQ207" i="5" s="1"/>
  <c r="CG190" i="5"/>
  <c r="CG191" i="5" s="1"/>
  <c r="CG194" i="5"/>
  <c r="CG199" i="5" s="1"/>
  <c r="CG202" i="5" s="1"/>
  <c r="CG184" i="5"/>
  <c r="CG159" i="5"/>
  <c r="J205" i="5"/>
  <c r="J203" i="5"/>
  <c r="BO162" i="5"/>
  <c r="BO169" i="5" s="1"/>
  <c r="AQ181" i="5"/>
  <c r="CC200" i="5"/>
  <c r="CC207" i="5" s="1"/>
  <c r="CC169" i="5"/>
  <c r="CC124" i="5"/>
  <c r="CC126" i="5" s="1"/>
  <c r="CW181" i="5"/>
  <c r="BE197" i="5"/>
  <c r="CS197" i="5"/>
  <c r="DM198" i="5"/>
  <c r="AJ126" i="5"/>
  <c r="CM200" i="5"/>
  <c r="CM124" i="5"/>
  <c r="CT66" i="5"/>
  <c r="CT17" i="5"/>
  <c r="CT24" i="5" s="1"/>
  <c r="CT69" i="5" s="1"/>
  <c r="AN126" i="5"/>
  <c r="AO123" i="5"/>
  <c r="AN130" i="5"/>
  <c r="AN131" i="5" s="1"/>
  <c r="BU205" i="5"/>
  <c r="BU203" i="5"/>
  <c r="BA205" i="5"/>
  <c r="BA203" i="5"/>
  <c r="BN124" i="5"/>
  <c r="BN126" i="5" s="1"/>
  <c r="DG169" i="5"/>
  <c r="DI205" i="5"/>
  <c r="DI203" i="5"/>
  <c r="AF181" i="5"/>
  <c r="AN191" i="5"/>
  <c r="DE205" i="5"/>
  <c r="DE203" i="5"/>
  <c r="DH156" i="5"/>
  <c r="DH158" i="5" s="1"/>
  <c r="BE124" i="5"/>
  <c r="BE126" i="5" s="1"/>
  <c r="AL174" i="5"/>
  <c r="AL181" i="5" s="1"/>
  <c r="DY104" i="5"/>
  <c r="DZ49" i="5"/>
  <c r="H56" i="5"/>
  <c r="BH118" i="5"/>
  <c r="BH120" i="5" s="1"/>
  <c r="BJ120" i="5" s="1"/>
  <c r="BG115" i="5"/>
  <c r="BG116" i="5" s="1"/>
  <c r="BG127" i="5" s="1"/>
  <c r="BG130" i="5" s="1"/>
  <c r="BG131" i="5" s="1"/>
  <c r="DN199" i="5"/>
  <c r="DN202" i="5" s="1"/>
  <c r="DF190" i="5"/>
  <c r="DF194" i="5"/>
  <c r="DF184" i="5"/>
  <c r="DF185" i="5" s="1"/>
  <c r="DF187" i="5" s="1"/>
  <c r="DF159" i="5"/>
  <c r="V202" i="5"/>
  <c r="CE199" i="5"/>
  <c r="CE202" i="5" s="1"/>
  <c r="CI194" i="5"/>
  <c r="AK125" i="5"/>
  <c r="AL125" i="5" s="1"/>
  <c r="AL164" i="5"/>
  <c r="AL169" i="5" s="1"/>
  <c r="CS190" i="5"/>
  <c r="L199" i="5"/>
  <c r="L202" i="5" s="1"/>
  <c r="M194" i="5"/>
  <c r="M199" i="5" s="1"/>
  <c r="P191" i="5"/>
  <c r="R190" i="5"/>
  <c r="AG157" i="5"/>
  <c r="DH164" i="5"/>
  <c r="DH169" i="5" s="1"/>
  <c r="AF197" i="5"/>
  <c r="AG156" i="5"/>
  <c r="BI197" i="5"/>
  <c r="BJ156" i="5"/>
  <c r="CC197" i="5"/>
  <c r="CD156" i="5"/>
  <c r="CW197" i="5"/>
  <c r="CX156" i="5"/>
  <c r="BY181" i="5"/>
  <c r="W194" i="5"/>
  <c r="W199" i="5" s="1"/>
  <c r="DC155" i="5"/>
  <c r="DJ191" i="5"/>
  <c r="DC164" i="5"/>
  <c r="DC169" i="5" s="1"/>
  <c r="BW199" i="5"/>
  <c r="CS171" i="5"/>
  <c r="CS181" i="5" s="1"/>
  <c r="BL205" i="5"/>
  <c r="BL203" i="5"/>
  <c r="CB199" i="5"/>
  <c r="CB202" i="5" s="1"/>
  <c r="CP203" i="5"/>
  <c r="CP205" i="5"/>
  <c r="AQ157" i="5"/>
  <c r="CN157" i="5"/>
  <c r="DK191" i="5"/>
  <c r="CL199" i="5"/>
  <c r="CL202" i="5" s="1"/>
  <c r="BV202" i="5"/>
  <c r="DF66" i="5"/>
  <c r="DF17" i="5"/>
  <c r="DF24" i="5" s="1"/>
  <c r="DG7" i="5"/>
  <c r="AT118" i="5"/>
  <c r="AT121" i="5" s="1"/>
  <c r="AT115" i="5" s="1"/>
  <c r="AT116" i="5" s="1"/>
  <c r="AT127" i="5" s="1"/>
  <c r="AS115" i="5"/>
  <c r="AS116" i="5" s="1"/>
  <c r="AS127" i="5" s="1"/>
  <c r="AG158" i="5"/>
  <c r="Y203" i="5"/>
  <c r="Y205" i="5"/>
  <c r="AC205" i="5"/>
  <c r="AC203" i="5"/>
  <c r="CJ205" i="5"/>
  <c r="CJ203" i="5"/>
  <c r="W191" i="5"/>
  <c r="CV126" i="5"/>
  <c r="BT181" i="5"/>
  <c r="AG59" i="5"/>
  <c r="F126" i="5"/>
  <c r="BD194" i="5"/>
  <c r="BD199" i="5" s="1"/>
  <c r="BD202" i="5" s="1"/>
  <c r="BD190" i="5"/>
  <c r="BD191" i="5" s="1"/>
  <c r="BD159" i="5"/>
  <c r="L124" i="5"/>
  <c r="L126" i="5" s="1"/>
  <c r="AF207" i="5"/>
  <c r="AG200" i="5"/>
  <c r="AG207" i="5" s="1"/>
  <c r="BM183" i="5"/>
  <c r="BM185" i="5" s="1"/>
  <c r="BL187" i="5"/>
  <c r="DL125" i="5"/>
  <c r="DM125" i="5" s="1"/>
  <c r="DM164" i="5"/>
  <c r="G200" i="5"/>
  <c r="G207" i="5" s="1"/>
  <c r="G169" i="5"/>
  <c r="G184" i="5" s="1"/>
  <c r="G124" i="5"/>
  <c r="G126" i="5" s="1"/>
  <c r="H161" i="5"/>
  <c r="AK201" i="5"/>
  <c r="AK124" i="5"/>
  <c r="AK169" i="5"/>
  <c r="AK184" i="5" s="1"/>
  <c r="CD181" i="5"/>
  <c r="AP118" i="5"/>
  <c r="AP120" i="5" s="1"/>
  <c r="AQ120" i="5" s="1"/>
  <c r="AO115" i="5"/>
  <c r="AO116" i="5" s="1"/>
  <c r="AO127" i="5" s="1"/>
  <c r="DP194" i="5"/>
  <c r="DP199" i="5" s="1"/>
  <c r="DP202" i="5" s="1"/>
  <c r="DP190" i="5"/>
  <c r="DP191" i="5" s="1"/>
  <c r="DP159" i="5"/>
  <c r="AS205" i="5"/>
  <c r="AS203" i="5"/>
  <c r="CY203" i="5"/>
  <c r="CY205" i="5"/>
  <c r="BN169" i="5"/>
  <c r="DG207" i="5"/>
  <c r="DH200" i="5"/>
  <c r="DH207" i="5" s="1"/>
  <c r="Q201" i="5"/>
  <c r="Q124" i="5"/>
  <c r="R124" i="5" s="1"/>
  <c r="Q169" i="5"/>
  <c r="Q184" i="5" s="1"/>
  <c r="AQ124" i="5"/>
  <c r="AQ126" i="5" s="1"/>
  <c r="BR200" i="5"/>
  <c r="BR207" i="5" s="1"/>
  <c r="BR169" i="5"/>
  <c r="BR184" i="5" s="1"/>
  <c r="BR124" i="5"/>
  <c r="BR126" i="5" s="1"/>
  <c r="CN59" i="5"/>
  <c r="BF126" i="5"/>
  <c r="BG123" i="5"/>
  <c r="BF130" i="5"/>
  <c r="BF131" i="5" s="1"/>
  <c r="DB158" i="5"/>
  <c r="BS155" i="5"/>
  <c r="BB203" i="5"/>
  <c r="BB205" i="5"/>
  <c r="BG203" i="5"/>
  <c r="BG205" i="5"/>
  <c r="X205" i="5"/>
  <c r="X203" i="5"/>
  <c r="BW200" i="5"/>
  <c r="BW169" i="5"/>
  <c r="BW184" i="5" s="1"/>
  <c r="BW124" i="5"/>
  <c r="BW126" i="5" s="1"/>
  <c r="AG197" i="5"/>
  <c r="BJ197" i="5"/>
  <c r="CD197" i="5"/>
  <c r="CX197" i="5"/>
  <c r="P181" i="5"/>
  <c r="P184" i="5" s="1"/>
  <c r="H55" i="5"/>
  <c r="CK202" i="5"/>
  <c r="BX181" i="5"/>
  <c r="BR190" i="5"/>
  <c r="BR191" i="5" s="1"/>
  <c r="DW157" i="5"/>
  <c r="BJ157" i="5"/>
  <c r="CX157" i="5"/>
  <c r="DK199" i="5"/>
  <c r="DK202" i="5" s="1"/>
  <c r="CL191" i="5"/>
  <c r="CZ191" i="5"/>
  <c r="AT202" i="5"/>
  <c r="AB177" i="5"/>
  <c r="AB181" i="5" s="1"/>
  <c r="G190" i="5"/>
  <c r="H190" i="5" s="1"/>
  <c r="K59" i="5"/>
  <c r="AS130" i="5"/>
  <c r="AS131" i="5" s="1"/>
  <c r="AR126" i="5"/>
  <c r="AS123" i="5"/>
  <c r="DD130" i="5"/>
  <c r="DD131" i="5" s="1"/>
  <c r="DB126" i="5"/>
  <c r="DD123" i="5"/>
  <c r="DD126" i="5" s="1"/>
  <c r="DB130" i="5"/>
  <c r="DB131" i="5" s="1"/>
  <c r="AF158" i="5"/>
  <c r="BP191" i="5"/>
  <c r="DL200" i="5"/>
  <c r="DL207" i="5" s="1"/>
  <c r="DL124" i="5"/>
  <c r="DM124" i="5" s="1"/>
  <c r="BQ194" i="5"/>
  <c r="BQ199" i="5" s="1"/>
  <c r="BQ202" i="5" s="1"/>
  <c r="BQ190" i="5"/>
  <c r="BQ191" i="5" s="1"/>
  <c r="BQ184" i="5"/>
  <c r="BQ159" i="5"/>
  <c r="DO203" i="5"/>
  <c r="DO205" i="5"/>
  <c r="R194" i="5"/>
  <c r="R199" i="5" s="1"/>
  <c r="DM156" i="5"/>
  <c r="DM158" i="5" s="1"/>
  <c r="DQ164" i="5"/>
  <c r="DP125" i="5"/>
  <c r="AQ198" i="5"/>
  <c r="BT198" i="5"/>
  <c r="CN198" i="5"/>
  <c r="DM197" i="5"/>
  <c r="CW200" i="5"/>
  <c r="CW207" i="5" s="1"/>
  <c r="CW169" i="5"/>
  <c r="CW184" i="5" s="1"/>
  <c r="CW185" i="5" s="1"/>
  <c r="CW187" i="5" s="1"/>
  <c r="CW124" i="5"/>
  <c r="CW126" i="5" s="1"/>
  <c r="CX161" i="5"/>
  <c r="DQ200" i="5"/>
  <c r="DR200" i="5" s="1"/>
  <c r="DR207" i="5" s="1"/>
  <c r="DQ124" i="5"/>
  <c r="DR161" i="5"/>
  <c r="BT201" i="5"/>
  <c r="CN181" i="5"/>
  <c r="DZ154" i="5"/>
  <c r="EA37" i="5"/>
  <c r="G59" i="5"/>
  <c r="DY106" i="5"/>
  <c r="DZ47" i="5"/>
  <c r="H66" i="5"/>
  <c r="H58" i="5"/>
  <c r="AR130" i="5"/>
  <c r="AR131" i="5" s="1"/>
  <c r="BU191" i="5"/>
  <c r="BI158" i="5"/>
  <c r="U205" i="5"/>
  <c r="U203" i="5"/>
  <c r="L169" i="5"/>
  <c r="L184" i="5" s="1"/>
  <c r="V207" i="5"/>
  <c r="W200" i="5"/>
  <c r="W207" i="5" s="1"/>
  <c r="BS158" i="5"/>
  <c r="BM126" i="5"/>
  <c r="BO124" i="5"/>
  <c r="BO126" i="5" s="1"/>
  <c r="BS200" i="5"/>
  <c r="BS207" i="5" s="1"/>
  <c r="BS169" i="5"/>
  <c r="BS124" i="5"/>
  <c r="BS126" i="5" s="1"/>
  <c r="CA207" i="5"/>
  <c r="CD200" i="5"/>
  <c r="CD207" i="5" s="1"/>
  <c r="BO171" i="5"/>
  <c r="BO181" i="5" s="1"/>
  <c r="AL197" i="5"/>
  <c r="BO197" i="5"/>
  <c r="CI197" i="5"/>
  <c r="DC197" i="5"/>
  <c r="F202" i="5"/>
  <c r="AA201" i="5"/>
  <c r="AA124" i="5"/>
  <c r="AB124" i="5" s="1"/>
  <c r="AA169" i="5"/>
  <c r="AB162" i="5"/>
  <c r="AL201" i="5"/>
  <c r="AQ59" i="5"/>
  <c r="AD205" i="5"/>
  <c r="AD203" i="5"/>
  <c r="BO158" i="5"/>
  <c r="BD169" i="5"/>
  <c r="BD184" i="5" s="1"/>
  <c r="BN207" i="5"/>
  <c r="BO200" i="5"/>
  <c r="BO207" i="5" s="1"/>
  <c r="CD162" i="5"/>
  <c r="CD169" i="5" s="1"/>
  <c r="CO205" i="5"/>
  <c r="CO203" i="5"/>
  <c r="AN205" i="5"/>
  <c r="AN203" i="5"/>
  <c r="CX190" i="5"/>
  <c r="CX191" i="5" s="1"/>
  <c r="R201" i="5"/>
  <c r="CD201" i="5"/>
  <c r="CM181" i="5"/>
  <c r="DL180" i="5"/>
  <c r="EB198" i="5"/>
  <c r="M59" i="5"/>
  <c r="DB109" i="5"/>
  <c r="DD100" i="5" s="1"/>
  <c r="DB59" i="5"/>
  <c r="DB58" i="5"/>
  <c r="DB56" i="5"/>
  <c r="DB55" i="5"/>
  <c r="DB52" i="5"/>
  <c r="DB69" i="5" s="1"/>
  <c r="ED82" i="5"/>
  <c r="DY103" i="5"/>
  <c r="DZ45" i="5"/>
  <c r="BE59" i="5"/>
  <c r="Z126" i="5"/>
  <c r="EF164" i="5"/>
  <c r="EG164" i="5" s="1"/>
  <c r="EE125" i="5"/>
  <c r="CD155" i="5"/>
  <c r="DV158" i="5"/>
  <c r="DV26" i="10" s="1"/>
  <c r="DV42" i="10" s="1"/>
  <c r="DV54" i="10" s="1"/>
  <c r="DV64" i="10" s="1"/>
  <c r="DV74" i="10" s="1"/>
  <c r="DV84" i="10" s="1"/>
  <c r="DV94" i="10" s="1"/>
  <c r="DV104" i="10" s="1"/>
  <c r="DV114" i="10" s="1"/>
  <c r="DV124" i="10" s="1"/>
  <c r="DV136" i="10" s="1"/>
  <c r="DV146" i="10" s="1"/>
  <c r="DV156" i="10" s="1"/>
  <c r="DV166" i="10" s="1"/>
  <c r="DV176" i="10" s="1"/>
  <c r="DV186" i="10" s="1"/>
  <c r="DV196" i="10" s="1"/>
  <c r="DV206" i="10" s="1"/>
  <c r="DV224" i="10" s="1"/>
  <c r="DW136" i="5"/>
  <c r="CI190" i="5"/>
  <c r="Q125" i="5"/>
  <c r="R125" i="5" s="1"/>
  <c r="R164" i="5"/>
  <c r="R169" i="5" s="1"/>
  <c r="R184" i="5" s="1"/>
  <c r="L190" i="5"/>
  <c r="L191" i="5" s="1"/>
  <c r="DS203" i="5"/>
  <c r="DS205" i="5"/>
  <c r="P202" i="5"/>
  <c r="AJ194" i="5"/>
  <c r="AJ184" i="5"/>
  <c r="AJ190" i="5"/>
  <c r="AJ159" i="5"/>
  <c r="DB207" i="5"/>
  <c r="DC200" i="5"/>
  <c r="DC207" i="5" s="1"/>
  <c r="K202" i="5"/>
  <c r="DV181" i="5"/>
  <c r="DW171" i="5"/>
  <c r="AP197" i="5"/>
  <c r="AQ156" i="5"/>
  <c r="AQ158" i="5" s="1"/>
  <c r="BS197" i="5"/>
  <c r="BT156" i="5"/>
  <c r="CM197" i="5"/>
  <c r="CN156" i="5"/>
  <c r="CN158" i="5" s="1"/>
  <c r="AG124" i="5"/>
  <c r="AG126" i="5" s="1"/>
  <c r="BX201" i="5"/>
  <c r="BY162" i="5"/>
  <c r="BJ171" i="5"/>
  <c r="BJ181" i="5" s="1"/>
  <c r="DJ203" i="5"/>
  <c r="DJ205" i="5"/>
  <c r="CQ191" i="5"/>
  <c r="H165" i="5"/>
  <c r="CI172" i="5"/>
  <c r="CI181" i="5" s="1"/>
  <c r="CI184" i="5" s="1"/>
  <c r="M173" i="5"/>
  <c r="M181" i="5" s="1"/>
  <c r="BT157" i="5"/>
  <c r="BT162" i="5"/>
  <c r="BT169" i="5" s="1"/>
  <c r="CZ205" i="5"/>
  <c r="CZ203" i="5"/>
  <c r="AQ162" i="5"/>
  <c r="AQ169" i="5" s="1"/>
  <c r="H84" i="5"/>
  <c r="M77" i="5"/>
  <c r="I77" i="5"/>
  <c r="I81" i="5" s="1"/>
  <c r="DI167" i="5"/>
  <c r="DI166" i="5"/>
  <c r="DJ8" i="5"/>
  <c r="DY105" i="5"/>
  <c r="DZ46" i="5"/>
  <c r="BH194" i="5"/>
  <c r="BH190" i="5"/>
  <c r="BH184" i="5"/>
  <c r="BH159" i="5"/>
  <c r="BC118" i="5"/>
  <c r="BC121" i="5" s="1"/>
  <c r="BB115" i="5"/>
  <c r="BB116" i="5" s="1"/>
  <c r="BB127" i="5" s="1"/>
  <c r="DR158" i="5"/>
  <c r="BP199" i="5"/>
  <c r="BP202" i="5" s="1"/>
  <c r="O205" i="5"/>
  <c r="O203" i="5"/>
  <c r="Q202" i="5"/>
  <c r="BF205" i="5"/>
  <c r="BF203" i="5"/>
  <c r="BI201" i="5"/>
  <c r="BJ201" i="5" s="1"/>
  <c r="BI124" i="5"/>
  <c r="BI126" i="5" s="1"/>
  <c r="BI169" i="5"/>
  <c r="DG181" i="5"/>
  <c r="DH171" i="5"/>
  <c r="DH181" i="5" s="1"/>
  <c r="EF43" i="5"/>
  <c r="EG43" i="5" s="1"/>
  <c r="DZ156" i="5"/>
  <c r="EA31" i="5"/>
  <c r="DE103" i="5"/>
  <c r="DD103" i="5"/>
  <c r="DP126" i="5"/>
  <c r="AD191" i="5"/>
  <c r="AM191" i="5"/>
  <c r="AQ190" i="5"/>
  <c r="DA190" i="5"/>
  <c r="DA191" i="5" s="1"/>
  <c r="DA184" i="5"/>
  <c r="DA185" i="5" s="1"/>
  <c r="DA187" i="5" s="1"/>
  <c r="DA194" i="5"/>
  <c r="DA159" i="5"/>
  <c r="Z190" i="5"/>
  <c r="Z191" i="5" s="1"/>
  <c r="Z194" i="5"/>
  <c r="Z199" i="5" s="1"/>
  <c r="Z202" i="5" s="1"/>
  <c r="Z184" i="5"/>
  <c r="DT191" i="5"/>
  <c r="L207" i="5"/>
  <c r="M200" i="5"/>
  <c r="M207" i="5" s="1"/>
  <c r="AG181" i="5"/>
  <c r="AI205" i="5"/>
  <c r="AI203" i="5"/>
  <c r="CU203" i="5"/>
  <c r="CU205" i="5"/>
  <c r="BC190" i="5"/>
  <c r="BC194" i="5"/>
  <c r="BC184" i="5"/>
  <c r="BC159" i="5"/>
  <c r="CH201" i="5"/>
  <c r="CI201" i="5" s="1"/>
  <c r="CH124" i="5"/>
  <c r="CH126" i="5" s="1"/>
  <c r="CH169" i="5"/>
  <c r="CH184" i="5" s="1"/>
  <c r="BZ203" i="5"/>
  <c r="BZ205" i="5"/>
  <c r="CD124" i="5"/>
  <c r="CD126" i="5" s="1"/>
  <c r="F207" i="5"/>
  <c r="H200" i="5"/>
  <c r="H207" i="5" s="1"/>
  <c r="AB201" i="5"/>
  <c r="CN124" i="5"/>
  <c r="BA130" i="5"/>
  <c r="BA131" i="5" s="1"/>
  <c r="DH32" i="5"/>
  <c r="DG34" i="5"/>
  <c r="DG41" i="5" s="1"/>
  <c r="BN158" i="5"/>
  <c r="BD207" i="5"/>
  <c r="BE200" i="5"/>
  <c r="BE207" i="5" s="1"/>
  <c r="E187" i="5"/>
  <c r="F183" i="5"/>
  <c r="F185" i="5" s="1"/>
  <c r="CA202" i="5"/>
  <c r="BK203" i="5"/>
  <c r="BK205" i="5"/>
  <c r="CS162" i="5"/>
  <c r="BT124" i="5"/>
  <c r="BT126" i="5" s="1"/>
  <c r="BQ126" i="5"/>
  <c r="DC125" i="5"/>
  <c r="DA126" i="5"/>
  <c r="DC126" i="5" s="1"/>
  <c r="DZ152" i="5"/>
  <c r="EA13" i="5"/>
  <c r="DC102" i="5"/>
  <c r="DD44" i="5"/>
  <c r="DC50" i="5"/>
  <c r="AA155" i="5"/>
  <c r="AA158" i="5" s="1"/>
  <c r="AB150" i="5"/>
  <c r="AB155" i="5" s="1"/>
  <c r="AB158" i="5" s="1"/>
  <c r="K126" i="5"/>
  <c r="BA187" i="5"/>
  <c r="BB183" i="5"/>
  <c r="BB185" i="5" s="1"/>
  <c r="DN191" i="5"/>
  <c r="DR190" i="5"/>
  <c r="V191" i="5"/>
  <c r="AA125" i="5"/>
  <c r="AB125" i="5" s="1"/>
  <c r="AB164" i="5"/>
  <c r="CL125" i="5"/>
  <c r="CM164" i="5"/>
  <c r="CM125" i="5" s="1"/>
  <c r="CC158" i="5"/>
  <c r="V125" i="5"/>
  <c r="W125" i="5" s="1"/>
  <c r="W164" i="5"/>
  <c r="W169" i="5" s="1"/>
  <c r="W184" i="5" s="1"/>
  <c r="BX125" i="5"/>
  <c r="BY125" i="5" s="1"/>
  <c r="BY165" i="5"/>
  <c r="BT200" i="5"/>
  <c r="BT207" i="5" s="1"/>
  <c r="AQ197" i="5"/>
  <c r="BT197" i="5"/>
  <c r="CN197" i="5"/>
  <c r="W124" i="5"/>
  <c r="W126" i="5" s="1"/>
  <c r="AF201" i="5"/>
  <c r="AG201" i="5" s="1"/>
  <c r="AG162" i="5"/>
  <c r="AG169" i="5" s="1"/>
  <c r="BX161" i="5"/>
  <c r="CR200" i="5"/>
  <c r="CR207" i="5" s="1"/>
  <c r="CR169" i="5"/>
  <c r="CR184" i="5" s="1"/>
  <c r="CR124" i="5"/>
  <c r="CR126" i="5" s="1"/>
  <c r="CS161" i="5"/>
  <c r="BY201" i="5"/>
  <c r="DW125" i="5"/>
  <c r="CX164" i="5"/>
  <c r="CQ199" i="5"/>
  <c r="CQ202" i="5" s="1"/>
  <c r="BW190" i="5"/>
  <c r="BX158" i="5"/>
  <c r="CF205" i="5"/>
  <c r="CF203" i="5"/>
  <c r="BR199" i="5"/>
  <c r="BR202" i="5" s="1"/>
  <c r="M162" i="5"/>
  <c r="M169" i="5" s="1"/>
  <c r="AE199" i="5"/>
  <c r="AE202" i="5" s="1"/>
  <c r="CD157" i="5"/>
  <c r="AT191" i="5"/>
  <c r="BV191" i="5"/>
  <c r="EA75" i="4"/>
  <c r="EB75" i="4" s="1"/>
  <c r="EB76" i="4" s="1"/>
  <c r="M102" i="4"/>
  <c r="M25" i="4"/>
  <c r="M159" i="5" s="1"/>
  <c r="M14" i="4"/>
  <c r="M97" i="4"/>
  <c r="AG102" i="4"/>
  <c r="AG25" i="4"/>
  <c r="AG14" i="4"/>
  <c r="AG97" i="4"/>
  <c r="AL102" i="4"/>
  <c r="AL25" i="4"/>
  <c r="AL159" i="5" s="1"/>
  <c r="AL14" i="4"/>
  <c r="AL98" i="4"/>
  <c r="AQ102" i="4"/>
  <c r="AL96" i="4"/>
  <c r="R102" i="4"/>
  <c r="R25" i="4"/>
  <c r="R159" i="5" s="1"/>
  <c r="R14" i="4"/>
  <c r="R96" i="4"/>
  <c r="R98" i="4"/>
  <c r="DY69" i="4"/>
  <c r="DY70" i="4" s="1"/>
  <c r="AQ89" i="4"/>
  <c r="AQ27" i="4"/>
  <c r="CS108" i="4"/>
  <c r="CS89" i="4"/>
  <c r="CS67" i="4"/>
  <c r="CS27" i="4"/>
  <c r="AA99" i="4"/>
  <c r="AA84" i="4"/>
  <c r="AB84" i="4" s="1"/>
  <c r="CP91" i="4"/>
  <c r="CP80" i="4"/>
  <c r="CP85" i="4" s="1"/>
  <c r="CP33" i="4"/>
  <c r="BF108" i="4"/>
  <c r="BF89" i="4"/>
  <c r="BF27" i="4"/>
  <c r="V99" i="4"/>
  <c r="V84" i="4"/>
  <c r="W84" i="4" s="1"/>
  <c r="AG107" i="4"/>
  <c r="AG98" i="4"/>
  <c r="AD87" i="4"/>
  <c r="AD90" i="4" s="1"/>
  <c r="G27" i="4"/>
  <c r="G89" i="4"/>
  <c r="AL107" i="4"/>
  <c r="AG99" i="4"/>
  <c r="AB102" i="4"/>
  <c r="AB25" i="4"/>
  <c r="AB14" i="4"/>
  <c r="AC65" i="4"/>
  <c r="AC59" i="4"/>
  <c r="AC47" i="4"/>
  <c r="Y65" i="4"/>
  <c r="Y47" i="4"/>
  <c r="Y59" i="4"/>
  <c r="DU77" i="4"/>
  <c r="DW77" i="4" s="1"/>
  <c r="DV76" i="4"/>
  <c r="DX76" i="4" s="1"/>
  <c r="CT66" i="4"/>
  <c r="DI77" i="4"/>
  <c r="DJ76" i="4"/>
  <c r="DZ71" i="4"/>
  <c r="DZ68" i="4" s="1"/>
  <c r="DI48" i="4"/>
  <c r="DJ45" i="4"/>
  <c r="AK99" i="4"/>
  <c r="AK84" i="4"/>
  <c r="AL84" i="4" s="1"/>
  <c r="DR132" i="4"/>
  <c r="DR108" i="4"/>
  <c r="DR89" i="4"/>
  <c r="DR67" i="4"/>
  <c r="DR27" i="4"/>
  <c r="CK80" i="4"/>
  <c r="CK85" i="4" s="1"/>
  <c r="CK91" i="4"/>
  <c r="CK33" i="4"/>
  <c r="DN132" i="4"/>
  <c r="DN108" i="4"/>
  <c r="DN89" i="4"/>
  <c r="DN67" i="4"/>
  <c r="DN27" i="4"/>
  <c r="CE80" i="4"/>
  <c r="CE91" i="4"/>
  <c r="CE33" i="4"/>
  <c r="BP91" i="4"/>
  <c r="BP80" i="4"/>
  <c r="BP33" i="4"/>
  <c r="BU110" i="4" s="1"/>
  <c r="BK108" i="4"/>
  <c r="BK89" i="4"/>
  <c r="BK27" i="4"/>
  <c r="K91" i="4"/>
  <c r="K80" i="4"/>
  <c r="K85" i="4" s="1"/>
  <c r="K33" i="4"/>
  <c r="R99" i="4"/>
  <c r="AQ107" i="4"/>
  <c r="AQ98" i="4"/>
  <c r="AG104" i="4"/>
  <c r="AG96" i="4"/>
  <c r="R105" i="4"/>
  <c r="R97" i="4"/>
  <c r="DB110" i="4"/>
  <c r="DB100" i="4"/>
  <c r="DB54" i="4" s="1"/>
  <c r="DB58" i="4" s="1"/>
  <c r="DB92" i="4"/>
  <c r="DB35" i="4"/>
  <c r="AL104" i="4"/>
  <c r="BF58" i="4"/>
  <c r="BJ52" i="4"/>
  <c r="BJ58" i="4" s="1"/>
  <c r="DQ108" i="4"/>
  <c r="DQ89" i="4"/>
  <c r="DQ67" i="4"/>
  <c r="DQ27" i="4"/>
  <c r="CH91" i="4"/>
  <c r="CH80" i="4"/>
  <c r="CH85" i="4" s="1"/>
  <c r="CH33" i="4"/>
  <c r="BI91" i="4"/>
  <c r="BI80" i="4"/>
  <c r="BI85" i="4" s="1"/>
  <c r="BI33" i="4"/>
  <c r="J80" i="4"/>
  <c r="J85" i="4" s="1"/>
  <c r="J91" i="4"/>
  <c r="J33" i="4"/>
  <c r="M84" i="4"/>
  <c r="AB106" i="4"/>
  <c r="AB95" i="4"/>
  <c r="DI117" i="4"/>
  <c r="DM11" i="4"/>
  <c r="DM117" i="4" s="1"/>
  <c r="BM58" i="4"/>
  <c r="DC108" i="4"/>
  <c r="DC89" i="4"/>
  <c r="DC67" i="4"/>
  <c r="DC27" i="4"/>
  <c r="BX87" i="4"/>
  <c r="BX90" i="4" s="1"/>
  <c r="I85" i="4"/>
  <c r="BT57" i="4"/>
  <c r="BT58" i="4" s="1"/>
  <c r="AS110" i="4"/>
  <c r="AS100" i="4"/>
  <c r="AS92" i="4"/>
  <c r="AS35" i="4"/>
  <c r="CN108" i="4"/>
  <c r="CN67" i="4"/>
  <c r="CN27" i="4"/>
  <c r="CN89" i="4"/>
  <c r="DF91" i="4"/>
  <c r="DF80" i="4"/>
  <c r="DF85" i="4" s="1"/>
  <c r="DF33" i="4"/>
  <c r="CF91" i="4"/>
  <c r="CF80" i="4"/>
  <c r="CF85" i="4" s="1"/>
  <c r="CF33" i="4"/>
  <c r="BQ91" i="4"/>
  <c r="BQ80" i="4"/>
  <c r="BQ85" i="4" s="1"/>
  <c r="BQ33" i="4"/>
  <c r="BB108" i="4"/>
  <c r="BB89" i="4"/>
  <c r="BB27" i="4"/>
  <c r="W26" i="4"/>
  <c r="DC118" i="4"/>
  <c r="DC103" i="4"/>
  <c r="CC91" i="4"/>
  <c r="CC80" i="4"/>
  <c r="CC85" i="4" s="1"/>
  <c r="CC33" i="4"/>
  <c r="E85" i="4"/>
  <c r="E87" i="4" s="1"/>
  <c r="E90" i="4" s="1"/>
  <c r="DC96" i="4"/>
  <c r="AB98" i="4"/>
  <c r="CM129" i="4"/>
  <c r="CM47" i="4"/>
  <c r="CM59" i="4"/>
  <c r="CM65" i="4"/>
  <c r="CY110" i="4"/>
  <c r="CY92" i="4"/>
  <c r="CY100" i="4"/>
  <c r="CY35" i="4"/>
  <c r="CT85" i="4"/>
  <c r="CT64" i="5" s="1"/>
  <c r="BY102" i="4"/>
  <c r="BY99" i="4"/>
  <c r="BY25" i="4"/>
  <c r="BY159" i="5" s="1"/>
  <c r="BY14" i="4"/>
  <c r="BU100" i="4"/>
  <c r="BU92" i="4"/>
  <c r="BU35" i="4"/>
  <c r="T100" i="4"/>
  <c r="T92" i="4"/>
  <c r="T35" i="4"/>
  <c r="DU100" i="4"/>
  <c r="DU92" i="4"/>
  <c r="DU35" i="4"/>
  <c r="CB87" i="4"/>
  <c r="CB90" i="4" s="1"/>
  <c r="AK89" i="4"/>
  <c r="CV109" i="4"/>
  <c r="CV87" i="4"/>
  <c r="CV90" i="4" s="1"/>
  <c r="CV86" i="4"/>
  <c r="DK109" i="4"/>
  <c r="DK122" i="4"/>
  <c r="DK87" i="4"/>
  <c r="DK90" i="4" s="1"/>
  <c r="DK86" i="4"/>
  <c r="AJ100" i="4"/>
  <c r="AJ92" i="4"/>
  <c r="AJ35" i="4"/>
  <c r="DJ91" i="4"/>
  <c r="DJ80" i="4"/>
  <c r="DJ85" i="4" s="1"/>
  <c r="DJ33" i="4"/>
  <c r="DE91" i="4"/>
  <c r="DE80" i="4"/>
  <c r="DE85" i="4" s="1"/>
  <c r="DE33" i="4"/>
  <c r="L91" i="4"/>
  <c r="L80" i="4"/>
  <c r="L85" i="4" s="1"/>
  <c r="L33" i="4"/>
  <c r="DA122" i="4"/>
  <c r="DA109" i="4"/>
  <c r="DA86" i="4"/>
  <c r="DA87" i="4"/>
  <c r="DA90" i="4" s="1"/>
  <c r="DS132" i="4"/>
  <c r="DS108" i="4"/>
  <c r="DS89" i="4"/>
  <c r="DS67" i="4"/>
  <c r="DS27" i="4"/>
  <c r="CG91" i="4"/>
  <c r="CG80" i="4"/>
  <c r="CG85" i="4" s="1"/>
  <c r="CG33" i="4"/>
  <c r="BC80" i="4"/>
  <c r="BC85" i="4" s="1"/>
  <c r="BC91" i="4"/>
  <c r="BC33" i="4"/>
  <c r="BZ91" i="4"/>
  <c r="BZ80" i="4"/>
  <c r="BZ33" i="4"/>
  <c r="BN91" i="4"/>
  <c r="BN80" i="4"/>
  <c r="BN85" i="4" s="1"/>
  <c r="BN33" i="4"/>
  <c r="M99" i="4"/>
  <c r="AG106" i="4"/>
  <c r="AG95" i="4"/>
  <c r="BH91" i="4"/>
  <c r="BH80" i="4"/>
  <c r="BH85" i="4" s="1"/>
  <c r="BH33" i="4"/>
  <c r="DW103" i="4"/>
  <c r="DW25" i="4"/>
  <c r="U87" i="4"/>
  <c r="U90" i="4" s="1"/>
  <c r="CT110" i="4"/>
  <c r="CT100" i="4"/>
  <c r="CT92" i="4"/>
  <c r="CT35" i="4"/>
  <c r="X85" i="4"/>
  <c r="AN87" i="4"/>
  <c r="AN90" i="4" s="1"/>
  <c r="CV110" i="4"/>
  <c r="CV100" i="4"/>
  <c r="CV54" i="4" s="1"/>
  <c r="CV92" i="4"/>
  <c r="CV35" i="4"/>
  <c r="D91" i="4"/>
  <c r="D80" i="4"/>
  <c r="D33" i="4"/>
  <c r="AQ103" i="4"/>
  <c r="DA110" i="4"/>
  <c r="DA100" i="4"/>
  <c r="DA54" i="4" s="1"/>
  <c r="DA58" i="4" s="1"/>
  <c r="DA92" i="4"/>
  <c r="DA35" i="4"/>
  <c r="CD58" i="4"/>
  <c r="AF99" i="4"/>
  <c r="AF84" i="4"/>
  <c r="AG84" i="4" s="1"/>
  <c r="CZ91" i="4"/>
  <c r="CZ80" i="4"/>
  <c r="CZ85" i="4" s="1"/>
  <c r="CZ33" i="4"/>
  <c r="CA80" i="4"/>
  <c r="CA85" i="4" s="1"/>
  <c r="CA91" i="4"/>
  <c r="CA33" i="4"/>
  <c r="DI108" i="4"/>
  <c r="DI89" i="4"/>
  <c r="DI67" i="4"/>
  <c r="DI27" i="4"/>
  <c r="BT84" i="4"/>
  <c r="BJ84" i="4"/>
  <c r="AZ84" i="4"/>
  <c r="AE91" i="4"/>
  <c r="AE80" i="4"/>
  <c r="AE85" i="4" s="1"/>
  <c r="AE33" i="4"/>
  <c r="AJ110" i="4" s="1"/>
  <c r="AQ104" i="4"/>
  <c r="AQ96" i="4"/>
  <c r="AB105" i="4"/>
  <c r="AB97" i="4"/>
  <c r="M107" i="4"/>
  <c r="M98" i="4"/>
  <c r="CI57" i="4"/>
  <c r="CI58" i="4" s="1"/>
  <c r="DW99" i="4"/>
  <c r="CM109" i="4"/>
  <c r="CM87" i="4"/>
  <c r="CM90" i="4" s="1"/>
  <c r="BR91" i="4"/>
  <c r="BR80" i="4"/>
  <c r="BR85" i="4" s="1"/>
  <c r="BR33" i="4"/>
  <c r="AC85" i="4"/>
  <c r="AB96" i="4"/>
  <c r="BY56" i="4"/>
  <c r="BY58" i="4" s="1"/>
  <c r="AH59" i="4"/>
  <c r="AH47" i="4"/>
  <c r="AH65" i="4"/>
  <c r="CX108" i="4"/>
  <c r="CX89" i="4"/>
  <c r="CX67" i="4"/>
  <c r="CX27" i="4"/>
  <c r="DL132" i="4"/>
  <c r="DL108" i="4"/>
  <c r="DL89" i="4"/>
  <c r="DL67" i="4"/>
  <c r="DL27" i="4"/>
  <c r="BS80" i="4"/>
  <c r="BS85" i="4" s="1"/>
  <c r="BX109" i="4" s="1"/>
  <c r="BS91" i="4"/>
  <c r="BS33" i="4"/>
  <c r="BD91" i="4"/>
  <c r="BD80" i="4"/>
  <c r="BD85" i="4" s="1"/>
  <c r="BD33" i="4"/>
  <c r="F91" i="4"/>
  <c r="F80" i="4"/>
  <c r="F85" i="4" s="1"/>
  <c r="F33" i="4"/>
  <c r="CX96" i="4"/>
  <c r="AQ106" i="4"/>
  <c r="AQ95" i="4"/>
  <c r="R106" i="4"/>
  <c r="R95" i="4"/>
  <c r="CW110" i="4"/>
  <c r="CW100" i="4"/>
  <c r="CW54" i="4" s="1"/>
  <c r="CW92" i="4"/>
  <c r="CW35" i="4"/>
  <c r="DX70" i="4"/>
  <c r="AO110" i="4"/>
  <c r="AO92" i="4"/>
  <c r="AO35" i="4"/>
  <c r="DM108" i="4"/>
  <c r="DM89" i="4"/>
  <c r="DM67" i="4"/>
  <c r="DM27" i="4"/>
  <c r="AP99" i="4"/>
  <c r="AP84" i="4"/>
  <c r="AQ84" i="4" s="1"/>
  <c r="CL91" i="4"/>
  <c r="CL80" i="4"/>
  <c r="CL85" i="4" s="1"/>
  <c r="CL33" i="4"/>
  <c r="BG108" i="4"/>
  <c r="BG89" i="4"/>
  <c r="BG27" i="4"/>
  <c r="AW91" i="4"/>
  <c r="AW80" i="4"/>
  <c r="AW85" i="4" s="1"/>
  <c r="AW87" i="4" s="1"/>
  <c r="AW90" i="4" s="1"/>
  <c r="AW33" i="4"/>
  <c r="AT108" i="4"/>
  <c r="AT89" i="4"/>
  <c r="AT27" i="4"/>
  <c r="DW98" i="4"/>
  <c r="DW96" i="4"/>
  <c r="CZ74" i="4"/>
  <c r="DA74" i="4" s="1"/>
  <c r="DB74" i="4" s="1"/>
  <c r="DC74" i="4" s="1"/>
  <c r="BM91" i="4"/>
  <c r="BM80" i="4"/>
  <c r="BM85" i="4" s="1"/>
  <c r="BM33" i="4"/>
  <c r="AS85" i="4"/>
  <c r="M105" i="4"/>
  <c r="CJ100" i="4"/>
  <c r="CJ92" i="4"/>
  <c r="CJ35" i="4"/>
  <c r="I65" i="4"/>
  <c r="I59" i="4"/>
  <c r="I47" i="4"/>
  <c r="AB26" i="4"/>
  <c r="P110" i="4"/>
  <c r="P92" i="4"/>
  <c r="P35" i="4"/>
  <c r="AA103" i="4"/>
  <c r="BE102" i="4"/>
  <c r="BE14" i="4"/>
  <c r="BE25" i="4"/>
  <c r="CQ100" i="4"/>
  <c r="CQ92" i="4"/>
  <c r="CQ35" i="4"/>
  <c r="BU85" i="4"/>
  <c r="BU64" i="5" s="1"/>
  <c r="T85" i="4"/>
  <c r="DU122" i="4"/>
  <c r="DU87" i="4"/>
  <c r="DU90" i="4" s="1"/>
  <c r="AU1" i="9"/>
  <c r="R34" i="4"/>
  <c r="AR100" i="4"/>
  <c r="AR92" i="4"/>
  <c r="AR35" i="4"/>
  <c r="AJ85" i="4"/>
  <c r="DT91" i="4"/>
  <c r="DT80" i="4"/>
  <c r="DT85" i="4" s="1"/>
  <c r="DT133" i="4" s="1"/>
  <c r="DT33" i="4"/>
  <c r="AP103" i="4"/>
  <c r="V27" i="4"/>
  <c r="L89" i="4"/>
  <c r="AZ89" i="4"/>
  <c r="AZ27" i="4"/>
  <c r="AV91" i="4"/>
  <c r="AV80" i="4"/>
  <c r="AV33" i="4"/>
  <c r="AM91" i="4"/>
  <c r="AM80" i="4"/>
  <c r="AM33" i="4"/>
  <c r="O91" i="4"/>
  <c r="O80" i="4"/>
  <c r="O85" i="4" s="1"/>
  <c r="O33" i="4"/>
  <c r="T110" i="4" s="1"/>
  <c r="Q108" i="4"/>
  <c r="Q89" i="4"/>
  <c r="Q27" i="4"/>
  <c r="W104" i="4"/>
  <c r="W96" i="4"/>
  <c r="DV108" i="4"/>
  <c r="DV89" i="4"/>
  <c r="DV67" i="4"/>
  <c r="DV27" i="4"/>
  <c r="AH85" i="4"/>
  <c r="N80" i="4"/>
  <c r="N91" i="4"/>
  <c r="N33" i="4"/>
  <c r="E92" i="4"/>
  <c r="E100" i="4"/>
  <c r="E35" i="4"/>
  <c r="DP91" i="4"/>
  <c r="DP80" i="4"/>
  <c r="DP85" i="4" s="1"/>
  <c r="DU86" i="4" s="1"/>
  <c r="DP33" i="4"/>
  <c r="DN117" i="4"/>
  <c r="DR11" i="4"/>
  <c r="DR117" i="4" s="1"/>
  <c r="AO86" i="4"/>
  <c r="AO87" i="4"/>
  <c r="AO90" i="4" s="1"/>
  <c r="CO85" i="4"/>
  <c r="CO64" i="5" s="1"/>
  <c r="CS80" i="4"/>
  <c r="CS85" i="4" s="1"/>
  <c r="CR64" i="5" s="1"/>
  <c r="CQ109" i="4"/>
  <c r="CQ87" i="4"/>
  <c r="CQ90" i="4" s="1"/>
  <c r="CQ86" i="4"/>
  <c r="CB100" i="4"/>
  <c r="CB92" i="4"/>
  <c r="CB35" i="4"/>
  <c r="AK80" i="4"/>
  <c r="AK91" i="4"/>
  <c r="AK33" i="4"/>
  <c r="DW118" i="4"/>
  <c r="BE76" i="4"/>
  <c r="DH74" i="4"/>
  <c r="DI74" i="4"/>
  <c r="DJ74" i="4" s="1"/>
  <c r="AP108" i="4"/>
  <c r="AP89" i="4"/>
  <c r="AP27" i="4"/>
  <c r="CU80" i="4"/>
  <c r="CU85" i="4" s="1"/>
  <c r="CU91" i="4"/>
  <c r="CU33" i="4"/>
  <c r="BV91" i="4"/>
  <c r="BV80" i="4"/>
  <c r="BV85" i="4" s="1"/>
  <c r="BV33" i="4"/>
  <c r="DD108" i="4"/>
  <c r="DD89" i="4"/>
  <c r="DD67" i="4"/>
  <c r="DD27" i="4"/>
  <c r="BO84" i="4"/>
  <c r="BA108" i="4"/>
  <c r="BA89" i="4"/>
  <c r="BA27" i="4"/>
  <c r="AI91" i="4"/>
  <c r="AI80" i="4"/>
  <c r="AI85" i="4" s="1"/>
  <c r="AN86" i="4" s="1"/>
  <c r="AI33" i="4"/>
  <c r="S91" i="4"/>
  <c r="S80" i="4"/>
  <c r="S33" i="4"/>
  <c r="AL105" i="4"/>
  <c r="AL97" i="4"/>
  <c r="W107" i="4"/>
  <c r="W98" i="4"/>
  <c r="M104" i="4"/>
  <c r="M96" i="4"/>
  <c r="CJ58" i="4"/>
  <c r="DB122" i="4"/>
  <c r="DB109" i="4"/>
  <c r="DB86" i="4"/>
  <c r="DB87" i="4"/>
  <c r="DB90" i="4" s="1"/>
  <c r="AQ105" i="4"/>
  <c r="AB104" i="4"/>
  <c r="DH45" i="4"/>
  <c r="AD65" i="4"/>
  <c r="AD59" i="4"/>
  <c r="AD47" i="4"/>
  <c r="DG108" i="4"/>
  <c r="DG67" i="4"/>
  <c r="DG89" i="4"/>
  <c r="DG27" i="4"/>
  <c r="DB132" i="4"/>
  <c r="AY80" i="4"/>
  <c r="AY85" i="4" s="1"/>
  <c r="AY91" i="4"/>
  <c r="AY33" i="4"/>
  <c r="Z80" i="4"/>
  <c r="Z85" i="4" s="1"/>
  <c r="Z91" i="4"/>
  <c r="Z33" i="4"/>
  <c r="Q99" i="4"/>
  <c r="Q84" i="4"/>
  <c r="R84" i="4" s="1"/>
  <c r="DH96" i="4"/>
  <c r="AL106" i="4"/>
  <c r="AL95" i="4"/>
  <c r="M106" i="4"/>
  <c r="M95" i="4"/>
  <c r="BX110" i="4"/>
  <c r="BX100" i="4"/>
  <c r="BX92" i="4"/>
  <c r="BX35" i="4"/>
  <c r="CR109" i="4"/>
  <c r="CR87" i="4"/>
  <c r="CR90" i="4" s="1"/>
  <c r="CR86" i="4"/>
  <c r="AX91" i="4"/>
  <c r="AX80" i="4"/>
  <c r="AX85" i="4" s="1"/>
  <c r="AX33" i="4"/>
  <c r="Y85" i="4"/>
  <c r="AD86" i="4" s="1"/>
  <c r="R107" i="4"/>
  <c r="BO57" i="4"/>
  <c r="BO58" i="4" s="1"/>
  <c r="BP58" i="4"/>
  <c r="U110" i="4"/>
  <c r="U100" i="4"/>
  <c r="U92" i="4"/>
  <c r="U35" i="4"/>
  <c r="DH108" i="4"/>
  <c r="DH89" i="4"/>
  <c r="DH67" i="4"/>
  <c r="DH27" i="4"/>
  <c r="BW80" i="4"/>
  <c r="BW85" i="4" s="1"/>
  <c r="BW91" i="4"/>
  <c r="BW33" i="4"/>
  <c r="BL91" i="4"/>
  <c r="BL80" i="4"/>
  <c r="BL85" i="4" s="1"/>
  <c r="BL33" i="4"/>
  <c r="BL108" i="4"/>
  <c r="DH98" i="4"/>
  <c r="CW109" i="4"/>
  <c r="CW86" i="4"/>
  <c r="CW87" i="4"/>
  <c r="CW90" i="4" s="1"/>
  <c r="DC80" i="4"/>
  <c r="DC85" i="4" s="1"/>
  <c r="DB64" i="5" s="1"/>
  <c r="CY85" i="4"/>
  <c r="CY64" i="5" s="1"/>
  <c r="CO110" i="4"/>
  <c r="CO100" i="4"/>
  <c r="CO92" i="4"/>
  <c r="CO35" i="4"/>
  <c r="CJ85" i="4"/>
  <c r="CJ64" i="5" s="1"/>
  <c r="CN80" i="4"/>
  <c r="CN85" i="4" s="1"/>
  <c r="CM64" i="5" s="1"/>
  <c r="X110" i="4"/>
  <c r="X100" i="4"/>
  <c r="X92" i="4"/>
  <c r="X35" i="4"/>
  <c r="P85" i="4"/>
  <c r="W102" i="4"/>
  <c r="W14" i="4"/>
  <c r="W25" i="4"/>
  <c r="W159" i="5" s="1"/>
  <c r="CI89" i="4"/>
  <c r="CI67" i="4"/>
  <c r="CI27" i="4"/>
  <c r="BJ102" i="4"/>
  <c r="AN110" i="4"/>
  <c r="AN92" i="4"/>
  <c r="AN35" i="4"/>
  <c r="AA27" i="4"/>
  <c r="H25" i="4"/>
  <c r="H159" i="5" s="1"/>
  <c r="H14" i="4"/>
  <c r="CR59" i="4"/>
  <c r="CR47" i="4"/>
  <c r="CR48" i="4"/>
  <c r="DK100" i="4"/>
  <c r="DK54" i="4" s="1"/>
  <c r="DK92" i="4"/>
  <c r="DK35" i="4"/>
  <c r="AR85" i="4"/>
  <c r="AC110" i="4"/>
  <c r="DO80" i="4"/>
  <c r="DO85" i="4" s="1"/>
  <c r="DO91" i="4"/>
  <c r="DO33" i="4"/>
  <c r="AF27" i="4"/>
  <c r="V89" i="4"/>
  <c r="L108" i="4"/>
  <c r="AL26" i="4"/>
  <c r="Y110" i="4"/>
  <c r="AB34" i="8" l="1"/>
  <c r="BY68" i="8"/>
  <c r="AP34" i="8"/>
  <c r="V16" i="7"/>
  <c r="BY70" i="8"/>
  <c r="BJ130" i="5"/>
  <c r="BJ131" i="5" s="1"/>
  <c r="CS59" i="8"/>
  <c r="Q77" i="8"/>
  <c r="AQ108" i="4"/>
  <c r="DC59" i="8"/>
  <c r="CZ16" i="10"/>
  <c r="DY170" i="10"/>
  <c r="DY173" i="10" s="1"/>
  <c r="DX174" i="10"/>
  <c r="ED68" i="10"/>
  <c r="ED71" i="10" s="1"/>
  <c r="EC72" i="10"/>
  <c r="CI68" i="8"/>
  <c r="AG34" i="8"/>
  <c r="AP43" i="8"/>
  <c r="W32" i="8"/>
  <c r="AQ32" i="8"/>
  <c r="Q79" i="8"/>
  <c r="L77" i="8"/>
  <c r="DW70" i="8"/>
  <c r="DL224" i="7"/>
  <c r="DV117" i="4"/>
  <c r="CS77" i="8"/>
  <c r="CS151" i="7"/>
  <c r="CX152" i="7" s="1"/>
  <c r="L79" i="8"/>
  <c r="CD152" i="7"/>
  <c r="AQ61" i="7"/>
  <c r="EL154" i="7"/>
  <c r="AF79" i="8"/>
  <c r="AL32" i="8"/>
  <c r="V79" i="8"/>
  <c r="AK16" i="7"/>
  <c r="CX32" i="8"/>
  <c r="H27" i="8"/>
  <c r="H29" i="8" s="1"/>
  <c r="H96" i="4"/>
  <c r="M184" i="5"/>
  <c r="DQ191" i="5"/>
  <c r="CS169" i="5"/>
  <c r="CS184" i="5" s="1"/>
  <c r="AK126" i="5"/>
  <c r="DG40" i="10"/>
  <c r="DH38" i="10"/>
  <c r="DI40" i="10" s="1"/>
  <c r="DB209" i="10"/>
  <c r="DA214" i="10"/>
  <c r="CN164" i="5"/>
  <c r="CN169" i="5" s="1"/>
  <c r="M156" i="7"/>
  <c r="M149" i="7" s="1"/>
  <c r="M153" i="7"/>
  <c r="M151" i="7"/>
  <c r="AG154" i="7"/>
  <c r="AG153" i="7"/>
  <c r="AG152" i="7"/>
  <c r="AG156" i="7"/>
  <c r="AG149" i="7" s="1"/>
  <c r="AG151" i="7"/>
  <c r="CR107" i="5"/>
  <c r="CR101" i="5"/>
  <c r="AL99" i="4"/>
  <c r="AL129" i="5"/>
  <c r="AL131" i="5" s="1"/>
  <c r="AL119" i="5"/>
  <c r="CY63" i="5"/>
  <c r="CY62" i="5"/>
  <c r="CY61" i="5"/>
  <c r="CB86" i="4"/>
  <c r="BY80" i="4"/>
  <c r="BY85" i="4" s="1"/>
  <c r="BX64" i="5" s="1"/>
  <c r="AB99" i="4"/>
  <c r="AB119" i="5"/>
  <c r="AB129" i="5"/>
  <c r="AB131" i="5" s="1"/>
  <c r="BY25" i="8"/>
  <c r="BY15" i="7"/>
  <c r="CT63" i="5"/>
  <c r="CT61" i="5"/>
  <c r="AB25" i="8"/>
  <c r="AB15" i="7"/>
  <c r="R25" i="8"/>
  <c r="R15" i="7"/>
  <c r="AG103" i="4"/>
  <c r="AG25" i="8"/>
  <c r="AG15" i="7"/>
  <c r="M25" i="8"/>
  <c r="M15" i="7"/>
  <c r="CX41" i="8"/>
  <c r="CK141" i="7"/>
  <c r="CK149" i="7"/>
  <c r="CK157" i="7"/>
  <c r="CK146" i="7"/>
  <c r="CS75" i="8"/>
  <c r="CS30" i="8"/>
  <c r="CS57" i="8"/>
  <c r="CS66" i="8"/>
  <c r="CS39" i="8"/>
  <c r="AF11" i="7"/>
  <c r="AF22" i="8" s="1"/>
  <c r="AF80" i="7"/>
  <c r="AF82" i="7"/>
  <c r="AF79" i="7" s="1"/>
  <c r="BP221" i="7"/>
  <c r="BP22" i="8"/>
  <c r="BT11" i="7"/>
  <c r="BT22" i="8" s="1"/>
  <c r="CE221" i="7"/>
  <c r="CE22" i="8"/>
  <c r="CI11" i="7"/>
  <c r="CI22" i="8" s="1"/>
  <c r="AA67" i="8"/>
  <c r="AA68" i="8" s="1"/>
  <c r="AA65" i="8"/>
  <c r="AA64" i="8"/>
  <c r="AA69" i="8"/>
  <c r="AA70" i="8" s="1"/>
  <c r="AA66" i="8"/>
  <c r="O71" i="7"/>
  <c r="O75" i="7"/>
  <c r="O84" i="7"/>
  <c r="O83" i="7"/>
  <c r="O29" i="7"/>
  <c r="O28" i="7" s="1"/>
  <c r="Z84" i="7"/>
  <c r="Z83" i="7"/>
  <c r="Z75" i="7"/>
  <c r="Z29" i="7"/>
  <c r="Z28" i="7" s="1"/>
  <c r="Z79" i="7"/>
  <c r="Z71" i="7"/>
  <c r="BH22" i="8"/>
  <c r="BH221" i="7"/>
  <c r="CB22" i="8"/>
  <c r="CB221" i="7"/>
  <c r="AP64" i="8"/>
  <c r="AP69" i="8"/>
  <c r="AP65" i="8"/>
  <c r="AP66" i="8"/>
  <c r="AP67" i="8"/>
  <c r="D22" i="8"/>
  <c r="BN157" i="7"/>
  <c r="BN141" i="7"/>
  <c r="BN146" i="7"/>
  <c r="BN149" i="7"/>
  <c r="CC221" i="7"/>
  <c r="CC22" i="8"/>
  <c r="CM221" i="7"/>
  <c r="CM22" i="8"/>
  <c r="N22" i="8"/>
  <c r="V41" i="8"/>
  <c r="BQ75" i="7"/>
  <c r="BQ79" i="7"/>
  <c r="BQ71" i="7"/>
  <c r="BQ84" i="7"/>
  <c r="BQ29" i="7"/>
  <c r="BQ28" i="7" s="1"/>
  <c r="BQ83" i="7"/>
  <c r="CK221" i="7"/>
  <c r="CK22" i="8"/>
  <c r="CU221" i="7"/>
  <c r="CU22" i="8"/>
  <c r="CD23" i="8"/>
  <c r="CD12" i="7"/>
  <c r="CD13" i="7" s="1"/>
  <c r="CD89" i="5"/>
  <c r="CD91" i="5" s="1"/>
  <c r="CD73" i="5"/>
  <c r="CD75" i="5" s="1"/>
  <c r="CD86" i="5"/>
  <c r="CD87" i="5"/>
  <c r="CD14" i="4"/>
  <c r="CD79" i="5"/>
  <c r="CD25" i="4"/>
  <c r="CD102" i="4"/>
  <c r="CD99" i="4"/>
  <c r="CD95" i="4"/>
  <c r="CI102" i="4"/>
  <c r="CD98" i="4"/>
  <c r="CD96" i="4"/>
  <c r="CD97" i="4"/>
  <c r="BE154" i="7"/>
  <c r="AZ79" i="7"/>
  <c r="BO82" i="7"/>
  <c r="BO79" i="7" s="1"/>
  <c r="BO80" i="7"/>
  <c r="BT154" i="7"/>
  <c r="CO146" i="7"/>
  <c r="CO149" i="7"/>
  <c r="CO157" i="7"/>
  <c r="CO141" i="7"/>
  <c r="U157" i="7"/>
  <c r="U146" i="7"/>
  <c r="U149" i="7"/>
  <c r="U141" i="7"/>
  <c r="BM146" i="7"/>
  <c r="BM157" i="7"/>
  <c r="BM141" i="7"/>
  <c r="BM149" i="7"/>
  <c r="AY141" i="7"/>
  <c r="AY146" i="7"/>
  <c r="AY157" i="7"/>
  <c r="AY29" i="7"/>
  <c r="AY28" i="7" s="1"/>
  <c r="BJ154" i="7"/>
  <c r="W61" i="7"/>
  <c r="W37" i="8"/>
  <c r="W38" i="8"/>
  <c r="W42" i="8"/>
  <c r="BL157" i="7"/>
  <c r="BL149" i="7"/>
  <c r="BL141" i="7"/>
  <c r="BL146" i="7"/>
  <c r="BV157" i="7"/>
  <c r="BV141" i="7"/>
  <c r="BV146" i="7"/>
  <c r="V156" i="7"/>
  <c r="V149" i="7" s="1"/>
  <c r="V154" i="7"/>
  <c r="V152" i="7"/>
  <c r="V151" i="7"/>
  <c r="V153" i="7"/>
  <c r="DR39" i="8"/>
  <c r="DR30" i="8"/>
  <c r="DR57" i="8"/>
  <c r="BJ23" i="8"/>
  <c r="BJ12" i="7"/>
  <c r="BJ13" i="7" s="1"/>
  <c r="BJ89" i="5"/>
  <c r="BJ91" i="5" s="1"/>
  <c r="BJ73" i="5"/>
  <c r="BJ75" i="5" s="1"/>
  <c r="BJ87" i="5"/>
  <c r="BJ86" i="5"/>
  <c r="BJ14" i="4"/>
  <c r="BJ98" i="4"/>
  <c r="BJ96" i="4"/>
  <c r="BJ95" i="4"/>
  <c r="BJ97" i="4"/>
  <c r="X75" i="7"/>
  <c r="X71" i="7"/>
  <c r="X84" i="7"/>
  <c r="X83" i="7"/>
  <c r="X29" i="7"/>
  <c r="AJ75" i="7"/>
  <c r="AJ71" i="7"/>
  <c r="AJ84" i="7"/>
  <c r="AJ83" i="7"/>
  <c r="AJ29" i="7"/>
  <c r="AJ28" i="7" s="1"/>
  <c r="BE146" i="7"/>
  <c r="BE141" i="7"/>
  <c r="BE149" i="7"/>
  <c r="BE157" i="7"/>
  <c r="BJ82" i="7"/>
  <c r="BJ80" i="7"/>
  <c r="CI73" i="5"/>
  <c r="CI75" i="5" s="1"/>
  <c r="CO71" i="7"/>
  <c r="CO75" i="7"/>
  <c r="CO79" i="7"/>
  <c r="CO84" i="7"/>
  <c r="CO29" i="7"/>
  <c r="CO83" i="7"/>
  <c r="I22" i="8"/>
  <c r="BM75" i="7"/>
  <c r="BM71" i="7"/>
  <c r="BM84" i="7"/>
  <c r="BM29" i="7"/>
  <c r="BM28" i="7" s="1"/>
  <c r="BM83" i="7"/>
  <c r="BM79" i="7"/>
  <c r="CG221" i="7"/>
  <c r="CG22" i="8"/>
  <c r="CQ71" i="7"/>
  <c r="CQ84" i="7"/>
  <c r="CQ29" i="7"/>
  <c r="CQ28" i="7" s="1"/>
  <c r="CQ83" i="7"/>
  <c r="CQ75" i="7"/>
  <c r="AG78" i="7"/>
  <c r="AO71" i="7"/>
  <c r="AO83" i="7"/>
  <c r="AO79" i="7"/>
  <c r="AO75" i="7"/>
  <c r="AO84" i="7"/>
  <c r="AO29" i="7"/>
  <c r="AO28" i="7" s="1"/>
  <c r="BS141" i="7"/>
  <c r="BS146" i="7"/>
  <c r="BS149" i="7"/>
  <c r="BS157" i="7"/>
  <c r="CH79" i="7"/>
  <c r="CH84" i="7"/>
  <c r="CH75" i="7"/>
  <c r="CH71" i="7"/>
  <c r="CH83" i="7"/>
  <c r="CH29" i="7"/>
  <c r="CH28" i="7" s="1"/>
  <c r="F79" i="7"/>
  <c r="F29" i="7"/>
  <c r="F28" i="7" s="1"/>
  <c r="F71" i="7"/>
  <c r="F75" i="7"/>
  <c r="F84" i="7"/>
  <c r="T75" i="7"/>
  <c r="T71" i="7"/>
  <c r="T29" i="7"/>
  <c r="T28" i="7" s="1"/>
  <c r="T84" i="7"/>
  <c r="T83" i="7"/>
  <c r="BL221" i="7"/>
  <c r="BL22" i="8"/>
  <c r="AA156" i="7"/>
  <c r="AA149" i="7" s="1"/>
  <c r="AA152" i="7"/>
  <c r="AA154" i="7"/>
  <c r="AA153" i="7"/>
  <c r="AA151" i="7"/>
  <c r="AD157" i="7"/>
  <c r="AD149" i="7"/>
  <c r="AD141" i="7"/>
  <c r="AD146" i="7"/>
  <c r="BO156" i="7"/>
  <c r="BO149" i="7" s="1"/>
  <c r="BO152" i="7"/>
  <c r="BO153" i="7"/>
  <c r="BO154" i="7"/>
  <c r="BO150" i="7"/>
  <c r="BO151" i="7"/>
  <c r="BY80" i="7"/>
  <c r="BY82" i="7"/>
  <c r="CN80" i="7"/>
  <c r="CN82" i="7"/>
  <c r="CT157" i="7"/>
  <c r="CT146" i="7"/>
  <c r="CT141" i="7"/>
  <c r="CT149" i="7"/>
  <c r="Z157" i="7"/>
  <c r="Z146" i="7"/>
  <c r="Z141" i="7"/>
  <c r="BH146" i="7"/>
  <c r="BH141" i="7"/>
  <c r="BH157" i="7"/>
  <c r="BH149" i="7"/>
  <c r="BR157" i="7"/>
  <c r="BR146" i="7"/>
  <c r="BR141" i="7"/>
  <c r="D141" i="7"/>
  <c r="D146" i="7"/>
  <c r="BI75" i="7"/>
  <c r="BI71" i="7"/>
  <c r="BI79" i="7"/>
  <c r="BI84" i="7"/>
  <c r="BI29" i="7"/>
  <c r="BI28" i="7" s="1"/>
  <c r="BI83" i="7"/>
  <c r="BX83" i="7"/>
  <c r="BS84" i="7"/>
  <c r="BS29" i="7"/>
  <c r="BS28" i="7" s="1"/>
  <c r="BS83" i="7"/>
  <c r="BS75" i="7"/>
  <c r="BS71" i="7"/>
  <c r="CC141" i="7"/>
  <c r="CC146" i="7"/>
  <c r="CC149" i="7"/>
  <c r="CC157" i="7"/>
  <c r="CM141" i="7"/>
  <c r="CM146" i="7"/>
  <c r="CM157" i="7"/>
  <c r="CM149" i="7"/>
  <c r="AK43" i="8"/>
  <c r="DM79" i="8"/>
  <c r="DR79" i="8"/>
  <c r="R73" i="8"/>
  <c r="R75" i="8"/>
  <c r="R76" i="8"/>
  <c r="R78" i="8"/>
  <c r="R74" i="8"/>
  <c r="AQ73" i="8"/>
  <c r="AQ78" i="8"/>
  <c r="AQ74" i="8"/>
  <c r="BE13" i="7"/>
  <c r="AB75" i="8"/>
  <c r="AB73" i="8"/>
  <c r="AB74" i="8"/>
  <c r="AB78" i="8"/>
  <c r="CQ64" i="5"/>
  <c r="AQ63" i="8"/>
  <c r="AQ29" i="8"/>
  <c r="AQ33" i="8"/>
  <c r="AQ34" i="8" s="1"/>
  <c r="BY73" i="5"/>
  <c r="BY75" i="5" s="1"/>
  <c r="AQ99" i="4"/>
  <c r="AQ129" i="5"/>
  <c r="AQ119" i="5"/>
  <c r="CX57" i="8"/>
  <c r="CX66" i="8"/>
  <c r="CX30" i="8"/>
  <c r="CX39" i="8"/>
  <c r="AG29" i="8"/>
  <c r="AG66" i="8"/>
  <c r="AG65" i="8"/>
  <c r="AG67" i="8"/>
  <c r="AG69" i="8"/>
  <c r="M13" i="7"/>
  <c r="AK151" i="7"/>
  <c r="AK154" i="7"/>
  <c r="AK156" i="7"/>
  <c r="AK149" i="7" s="1"/>
  <c r="AK152" i="7"/>
  <c r="AK153" i="7"/>
  <c r="AG57" i="8"/>
  <c r="AG55" i="8"/>
  <c r="AG56" i="8"/>
  <c r="AG58" i="8"/>
  <c r="AL59" i="8" s="1"/>
  <c r="AL55" i="8"/>
  <c r="AG60" i="8"/>
  <c r="DB61" i="5"/>
  <c r="DB63" i="5"/>
  <c r="DC64" i="5"/>
  <c r="DB62" i="5"/>
  <c r="AD107" i="5"/>
  <c r="AD101" i="5"/>
  <c r="BU63" i="5"/>
  <c r="BU61" i="5"/>
  <c r="BU62" i="5"/>
  <c r="I101" i="5"/>
  <c r="I107" i="5"/>
  <c r="CP64" i="5"/>
  <c r="AH101" i="5"/>
  <c r="AH107" i="5"/>
  <c r="CD108" i="4"/>
  <c r="W99" i="4"/>
  <c r="W129" i="5"/>
  <c r="W131" i="5" s="1"/>
  <c r="W119" i="5"/>
  <c r="AC101" i="5"/>
  <c r="AC107" i="5"/>
  <c r="AF153" i="7"/>
  <c r="AF154" i="7"/>
  <c r="AF152" i="7"/>
  <c r="AF156" i="7"/>
  <c r="AF149" i="7" s="1"/>
  <c r="AF151" i="7"/>
  <c r="AQ156" i="7"/>
  <c r="AQ141" i="7" s="1"/>
  <c r="AQ151" i="7"/>
  <c r="AQ153" i="7"/>
  <c r="AQ152" i="7"/>
  <c r="AQ149" i="7"/>
  <c r="AQ154" i="7"/>
  <c r="K157" i="7"/>
  <c r="K141" i="7"/>
  <c r="K146" i="7"/>
  <c r="K150" i="7" s="1"/>
  <c r="K149" i="7"/>
  <c r="W80" i="7"/>
  <c r="W82" i="7"/>
  <c r="S22" i="8"/>
  <c r="AZ153" i="7"/>
  <c r="AZ151" i="7"/>
  <c r="BA221" i="7"/>
  <c r="BA22" i="8"/>
  <c r="BE11" i="7"/>
  <c r="BE22" i="8" s="1"/>
  <c r="BT82" i="7"/>
  <c r="BT79" i="7" s="1"/>
  <c r="BT80" i="7"/>
  <c r="BZ157" i="7"/>
  <c r="BZ141" i="7"/>
  <c r="BZ146" i="7"/>
  <c r="CE75" i="7"/>
  <c r="CE84" i="7"/>
  <c r="CE79" i="7"/>
  <c r="CE29" i="7"/>
  <c r="CE71" i="7"/>
  <c r="CE83" i="7"/>
  <c r="CT71" i="7"/>
  <c r="CT29" i="7"/>
  <c r="CT28" i="7" s="1"/>
  <c r="CT83" i="7"/>
  <c r="CT79" i="7"/>
  <c r="CT75" i="7"/>
  <c r="CT84" i="7"/>
  <c r="AA57" i="8"/>
  <c r="AA30" i="8"/>
  <c r="CL75" i="7"/>
  <c r="CL84" i="7"/>
  <c r="CL29" i="7"/>
  <c r="CL28" i="7" s="1"/>
  <c r="CL83" i="7"/>
  <c r="CL71" i="7"/>
  <c r="CL79" i="7"/>
  <c r="AT84" i="7"/>
  <c r="AT75" i="7"/>
  <c r="AT83" i="7"/>
  <c r="AT29" i="7"/>
  <c r="AT28" i="7" s="1"/>
  <c r="AT71" i="7"/>
  <c r="AT79" i="7"/>
  <c r="BD221" i="7"/>
  <c r="BD22" i="8"/>
  <c r="I64" i="8"/>
  <c r="D65" i="8"/>
  <c r="D67" i="8"/>
  <c r="I68" i="8" s="1"/>
  <c r="D66" i="8"/>
  <c r="D69" i="8"/>
  <c r="I70" i="8" s="1"/>
  <c r="V43" i="8"/>
  <c r="BG71" i="7"/>
  <c r="BG29" i="7"/>
  <c r="BG28" i="7" s="1"/>
  <c r="BG83" i="7"/>
  <c r="BG75" i="7"/>
  <c r="BG79" i="7"/>
  <c r="BG84" i="7"/>
  <c r="BQ221" i="7"/>
  <c r="BQ22" i="8"/>
  <c r="AE141" i="7"/>
  <c r="AE146" i="7"/>
  <c r="AE157" i="7"/>
  <c r="AE149" i="7"/>
  <c r="AM22" i="8"/>
  <c r="AJ141" i="7"/>
  <c r="AJ146" i="7"/>
  <c r="AJ157" i="7"/>
  <c r="AJ149" i="7"/>
  <c r="AV221" i="7"/>
  <c r="AV22" i="8"/>
  <c r="AZ11" i="7"/>
  <c r="AZ22" i="8" s="1"/>
  <c r="BY154" i="7"/>
  <c r="CD80" i="7"/>
  <c r="CD82" i="7"/>
  <c r="CD79" i="7" s="1"/>
  <c r="AA75" i="8"/>
  <c r="AL156" i="7"/>
  <c r="AL149" i="7" s="1"/>
  <c r="AL154" i="7"/>
  <c r="AL151" i="7"/>
  <c r="AL153" i="7"/>
  <c r="AL152" i="7"/>
  <c r="BW141" i="7"/>
  <c r="BW146" i="7"/>
  <c r="BW149" i="7"/>
  <c r="BW157" i="7"/>
  <c r="AA41" i="8"/>
  <c r="AF41" i="8"/>
  <c r="AO157" i="7"/>
  <c r="AO146" i="7"/>
  <c r="AO150" i="7" s="1"/>
  <c r="AO141" i="7"/>
  <c r="AO149" i="7"/>
  <c r="BJ157" i="7"/>
  <c r="BJ141" i="7"/>
  <c r="BJ146" i="7"/>
  <c r="BN75" i="7"/>
  <c r="BN79" i="7"/>
  <c r="BN84" i="7"/>
  <c r="BN71" i="7"/>
  <c r="BN29" i="7"/>
  <c r="BN28" i="7" s="1"/>
  <c r="BN83" i="7"/>
  <c r="CR146" i="7"/>
  <c r="CR157" i="7"/>
  <c r="CR141" i="7"/>
  <c r="CR149" i="7"/>
  <c r="F141" i="7"/>
  <c r="F149" i="7"/>
  <c r="F146" i="7"/>
  <c r="T141" i="7"/>
  <c r="T146" i="7"/>
  <c r="T150" i="7" s="1"/>
  <c r="T157" i="7"/>
  <c r="T149" i="7"/>
  <c r="AR141" i="7"/>
  <c r="AR146" i="7"/>
  <c r="AR157" i="7"/>
  <c r="AR149" i="7"/>
  <c r="AK69" i="8"/>
  <c r="AK65" i="8"/>
  <c r="AK66" i="8"/>
  <c r="AK67" i="8"/>
  <c r="AK64" i="8"/>
  <c r="AK32" i="8"/>
  <c r="AP32" i="8"/>
  <c r="BE152" i="7"/>
  <c r="BF71" i="7"/>
  <c r="BF75" i="7"/>
  <c r="BF79" i="7"/>
  <c r="BF84" i="7"/>
  <c r="BF29" i="7"/>
  <c r="BF28" i="7" s="1"/>
  <c r="BF83" i="7"/>
  <c r="BT152" i="7"/>
  <c r="CI89" i="5"/>
  <c r="CI91" i="5" s="1"/>
  <c r="CO221" i="7"/>
  <c r="CO22" i="8"/>
  <c r="CS11" i="7"/>
  <c r="CS22" i="8" s="1"/>
  <c r="DW43" i="8"/>
  <c r="AH75" i="7"/>
  <c r="AH84" i="7"/>
  <c r="AH83" i="7"/>
  <c r="AH29" i="7"/>
  <c r="AH71" i="7"/>
  <c r="AH79" i="7"/>
  <c r="AS75" i="7"/>
  <c r="AS71" i="7"/>
  <c r="AS84" i="7"/>
  <c r="AS29" i="7"/>
  <c r="AS28" i="7" s="1"/>
  <c r="AS83" i="7"/>
  <c r="AS79" i="7"/>
  <c r="BM221" i="7"/>
  <c r="BM22" i="8"/>
  <c r="CQ221" i="7"/>
  <c r="CQ22" i="8"/>
  <c r="J29" i="7"/>
  <c r="J28" i="7" s="1"/>
  <c r="J75" i="7"/>
  <c r="J79" i="7"/>
  <c r="J84" i="7"/>
  <c r="J83" i="7"/>
  <c r="J71" i="7"/>
  <c r="AC71" i="7"/>
  <c r="AC75" i="7"/>
  <c r="AC84" i="7"/>
  <c r="AC29" i="7"/>
  <c r="AC83" i="7"/>
  <c r="AC79" i="7"/>
  <c r="CH221" i="7"/>
  <c r="CH22" i="8"/>
  <c r="CR71" i="7"/>
  <c r="CR84" i="7"/>
  <c r="CR83" i="7"/>
  <c r="CR75" i="7"/>
  <c r="CR29" i="7"/>
  <c r="CR28" i="7" s="1"/>
  <c r="BV75" i="7"/>
  <c r="BV84" i="7"/>
  <c r="BV29" i="7"/>
  <c r="BV28" i="7" s="1"/>
  <c r="BV83" i="7"/>
  <c r="BV79" i="7"/>
  <c r="BV71" i="7"/>
  <c r="CP75" i="7"/>
  <c r="CP29" i="7"/>
  <c r="CP28" i="7" s="1"/>
  <c r="CP83" i="7"/>
  <c r="CP71" i="7"/>
  <c r="CP79" i="7"/>
  <c r="CP84" i="7"/>
  <c r="Y157" i="7"/>
  <c r="Y146" i="7"/>
  <c r="Y150" i="7" s="1"/>
  <c r="Y141" i="7"/>
  <c r="E75" i="7"/>
  <c r="E29" i="7"/>
  <c r="E28" i="7" s="1"/>
  <c r="E79" i="7"/>
  <c r="E71" i="7"/>
  <c r="E84" i="7"/>
  <c r="S141" i="7"/>
  <c r="S146" i="7"/>
  <c r="S149" i="7"/>
  <c r="S157" i="7"/>
  <c r="BO23" i="8"/>
  <c r="BO12" i="7"/>
  <c r="BO13" i="7" s="1"/>
  <c r="BO89" i="5"/>
  <c r="BO91" i="5" s="1"/>
  <c r="BO73" i="5"/>
  <c r="BO75" i="5" s="1"/>
  <c r="BO86" i="5"/>
  <c r="BO99" i="4"/>
  <c r="BO14" i="4"/>
  <c r="BO96" i="4"/>
  <c r="BO98" i="4"/>
  <c r="BO102" i="4"/>
  <c r="BO95" i="4"/>
  <c r="BO97" i="4"/>
  <c r="BU83" i="7"/>
  <c r="BU75" i="7"/>
  <c r="BU71" i="7"/>
  <c r="BU79" i="7"/>
  <c r="BU84" i="7"/>
  <c r="BU29" i="7"/>
  <c r="BU28" i="7" s="1"/>
  <c r="CI154" i="7"/>
  <c r="CI150" i="7"/>
  <c r="CI151" i="7"/>
  <c r="CI152" i="7"/>
  <c r="CI156" i="7"/>
  <c r="CI153" i="7"/>
  <c r="CJ71" i="7"/>
  <c r="CJ83" i="7"/>
  <c r="CJ84" i="7"/>
  <c r="CJ75" i="7"/>
  <c r="CJ29" i="7"/>
  <c r="L43" i="8"/>
  <c r="AX146" i="7"/>
  <c r="AX141" i="7"/>
  <c r="AX157" i="7"/>
  <c r="AX29" i="7"/>
  <c r="AX28" i="7" s="1"/>
  <c r="CV141" i="7"/>
  <c r="CV146" i="7"/>
  <c r="CV157" i="7"/>
  <c r="CV149" i="7"/>
  <c r="AP79" i="8"/>
  <c r="AI141" i="7"/>
  <c r="AI149" i="7"/>
  <c r="AI157" i="7"/>
  <c r="AI146" i="7"/>
  <c r="BD146" i="7"/>
  <c r="BD149" i="7"/>
  <c r="BD141" i="7"/>
  <c r="BD29" i="7"/>
  <c r="BD28" i="7" s="1"/>
  <c r="BD157" i="7"/>
  <c r="BI221" i="7"/>
  <c r="BI22" i="8"/>
  <c r="W13" i="7"/>
  <c r="CV64" i="5"/>
  <c r="BO25" i="4"/>
  <c r="M63" i="8"/>
  <c r="M29" i="8"/>
  <c r="M30" i="8"/>
  <c r="M28" i="8"/>
  <c r="M33" i="8"/>
  <c r="AL40" i="8"/>
  <c r="AL41" i="8" s="1"/>
  <c r="AL37" i="8"/>
  <c r="AL42" i="8"/>
  <c r="BE84" i="7"/>
  <c r="BE83" i="7"/>
  <c r="BE29" i="7"/>
  <c r="BE28" i="7" s="1"/>
  <c r="BE71" i="7"/>
  <c r="BE75" i="7"/>
  <c r="BT99" i="4"/>
  <c r="AK75" i="8"/>
  <c r="AK57" i="8"/>
  <c r="M55" i="8"/>
  <c r="M56" i="8"/>
  <c r="M57" i="8"/>
  <c r="R55" i="8"/>
  <c r="M60" i="8"/>
  <c r="H78" i="8"/>
  <c r="H76" i="8"/>
  <c r="H74" i="8"/>
  <c r="AG73" i="8"/>
  <c r="AG76" i="8"/>
  <c r="AG77" i="8" s="1"/>
  <c r="AG78" i="8"/>
  <c r="AG79" i="8" s="1"/>
  <c r="AG74" i="8"/>
  <c r="CI39" i="8"/>
  <c r="CI30" i="8"/>
  <c r="CI57" i="8"/>
  <c r="AL23" i="8"/>
  <c r="AL12" i="7"/>
  <c r="AL13" i="7" s="1"/>
  <c r="AL89" i="5"/>
  <c r="AL91" i="5" s="1"/>
  <c r="AL73" i="5"/>
  <c r="AL75" i="5" s="1"/>
  <c r="AL87" i="5"/>
  <c r="AL86" i="5"/>
  <c r="AL207" i="5"/>
  <c r="AL73" i="8"/>
  <c r="AL76" i="8"/>
  <c r="AL74" i="8"/>
  <c r="AL78" i="8"/>
  <c r="BJ25" i="4"/>
  <c r="CN64" i="5"/>
  <c r="CM62" i="5"/>
  <c r="CM61" i="5"/>
  <c r="CM63" i="5"/>
  <c r="AX87" i="4"/>
  <c r="AX90" i="4" s="1"/>
  <c r="CS64" i="5"/>
  <c r="CR63" i="5"/>
  <c r="CR61" i="5"/>
  <c r="CR62" i="5"/>
  <c r="BE103" i="4"/>
  <c r="BE25" i="8"/>
  <c r="BE15" i="7"/>
  <c r="BW64" i="5"/>
  <c r="CK64" i="5"/>
  <c r="AL103" i="4"/>
  <c r="AL25" i="8"/>
  <c r="AL39" i="8" s="1"/>
  <c r="AL15" i="7"/>
  <c r="AL16" i="7" s="1"/>
  <c r="CS32" i="8"/>
  <c r="W77" i="8"/>
  <c r="AQ77" i="8"/>
  <c r="N157" i="7"/>
  <c r="N149" i="7"/>
  <c r="N146" i="7"/>
  <c r="N141" i="7"/>
  <c r="R151" i="7"/>
  <c r="R153" i="7"/>
  <c r="R156" i="7"/>
  <c r="AW141" i="7"/>
  <c r="AW157" i="7"/>
  <c r="AW29" i="7"/>
  <c r="AW28" i="7" s="1"/>
  <c r="AW149" i="7"/>
  <c r="AW146" i="7"/>
  <c r="BG141" i="7"/>
  <c r="BG146" i="7"/>
  <c r="BG157" i="7"/>
  <c r="BG149" i="7"/>
  <c r="CA146" i="7"/>
  <c r="CA157" i="7"/>
  <c r="CA141" i="7"/>
  <c r="CA149" i="7"/>
  <c r="CU141" i="7"/>
  <c r="CU146" i="7"/>
  <c r="CU149" i="7"/>
  <c r="CU157" i="7"/>
  <c r="L154" i="7"/>
  <c r="G11" i="7"/>
  <c r="G22" i="8" s="1"/>
  <c r="G82" i="7"/>
  <c r="G79" i="7" s="1"/>
  <c r="Y79" i="7"/>
  <c r="Y75" i="7"/>
  <c r="Y71" i="7"/>
  <c r="Y84" i="7"/>
  <c r="Y29" i="7"/>
  <c r="Y28" i="7" s="1"/>
  <c r="Y83" i="7"/>
  <c r="S75" i="7"/>
  <c r="S71" i="7"/>
  <c r="S84" i="7"/>
  <c r="S83" i="7"/>
  <c r="S29" i="7"/>
  <c r="AD29" i="7"/>
  <c r="AD28" i="7" s="1"/>
  <c r="AD79" i="7"/>
  <c r="AD75" i="7"/>
  <c r="AD84" i="7"/>
  <c r="AD71" i="7"/>
  <c r="AD83" i="7"/>
  <c r="AV146" i="7"/>
  <c r="AV29" i="7"/>
  <c r="AV28" i="7" s="1"/>
  <c r="AV141" i="7"/>
  <c r="BA84" i="7"/>
  <c r="BA29" i="7"/>
  <c r="BA28" i="7" s="1"/>
  <c r="BA83" i="7"/>
  <c r="BA75" i="7"/>
  <c r="BA79" i="7"/>
  <c r="BA71" i="7"/>
  <c r="CI82" i="7"/>
  <c r="CI79" i="7" s="1"/>
  <c r="CI80" i="7"/>
  <c r="CT221" i="7"/>
  <c r="CT22" i="8"/>
  <c r="AK79" i="8"/>
  <c r="BR75" i="7"/>
  <c r="BR83" i="7"/>
  <c r="BR29" i="7"/>
  <c r="BR28" i="7" s="1"/>
  <c r="BR71" i="7"/>
  <c r="BR79" i="7"/>
  <c r="BR84" i="7"/>
  <c r="CL22" i="8"/>
  <c r="CL221" i="7"/>
  <c r="CV83" i="7"/>
  <c r="CV71" i="7"/>
  <c r="CV84" i="7"/>
  <c r="CV75" i="7"/>
  <c r="CV29" i="7"/>
  <c r="CV28" i="7" s="1"/>
  <c r="W73" i="8"/>
  <c r="W74" i="8"/>
  <c r="W78" i="8"/>
  <c r="W79" i="8" s="1"/>
  <c r="D71" i="7"/>
  <c r="D84" i="7"/>
  <c r="D29" i="7"/>
  <c r="D75" i="7"/>
  <c r="D131" i="7"/>
  <c r="I132" i="7" s="1"/>
  <c r="AI83" i="7"/>
  <c r="AI75" i="7"/>
  <c r="AI71" i="7"/>
  <c r="AI29" i="7"/>
  <c r="AI28" i="7" s="1"/>
  <c r="AI84" i="7"/>
  <c r="CM71" i="7"/>
  <c r="CM84" i="7"/>
  <c r="CM29" i="7"/>
  <c r="CM28" i="7" s="1"/>
  <c r="CM79" i="7"/>
  <c r="CM83" i="7"/>
  <c r="CM75" i="7"/>
  <c r="N75" i="7"/>
  <c r="N84" i="7"/>
  <c r="N83" i="7"/>
  <c r="N29" i="7"/>
  <c r="N79" i="7"/>
  <c r="N71" i="7"/>
  <c r="CA221" i="7"/>
  <c r="CA22" i="8"/>
  <c r="CU71" i="7"/>
  <c r="CU29" i="7"/>
  <c r="CU28" i="7" s="1"/>
  <c r="CU83" i="7"/>
  <c r="CU75" i="7"/>
  <c r="CU84" i="7"/>
  <c r="CU79" i="7"/>
  <c r="AP80" i="7"/>
  <c r="AP11" i="7"/>
  <c r="AP22" i="8" s="1"/>
  <c r="AP82" i="7"/>
  <c r="AP79" i="7" s="1"/>
  <c r="L80" i="7"/>
  <c r="L11" i="7"/>
  <c r="L22" i="8" s="1"/>
  <c r="L82" i="7"/>
  <c r="L79" i="7" s="1"/>
  <c r="AQ78" i="7"/>
  <c r="K71" i="7"/>
  <c r="K75" i="7"/>
  <c r="K29" i="7"/>
  <c r="K28" i="7" s="1"/>
  <c r="K84" i="7"/>
  <c r="K83" i="7"/>
  <c r="AB153" i="7"/>
  <c r="AB152" i="7"/>
  <c r="AB156" i="7"/>
  <c r="AB151" i="7"/>
  <c r="AB154" i="7"/>
  <c r="BK221" i="7"/>
  <c r="BK22" i="8"/>
  <c r="BO11" i="7"/>
  <c r="BO22" i="8" s="1"/>
  <c r="BZ75" i="7"/>
  <c r="BZ83" i="7"/>
  <c r="BZ79" i="7"/>
  <c r="BZ84" i="7"/>
  <c r="BZ29" i="7"/>
  <c r="BZ28" i="7" s="1"/>
  <c r="BZ71" i="7"/>
  <c r="CS152" i="7"/>
  <c r="CS156" i="7"/>
  <c r="CS149" i="7" s="1"/>
  <c r="CS150" i="7"/>
  <c r="AA79" i="8"/>
  <c r="I157" i="7"/>
  <c r="I146" i="7"/>
  <c r="I141" i="7"/>
  <c r="AH157" i="7"/>
  <c r="AH141" i="7"/>
  <c r="AH146" i="7"/>
  <c r="AH150" i="7" s="1"/>
  <c r="BC141" i="7"/>
  <c r="BC146" i="7"/>
  <c r="BC157" i="7"/>
  <c r="BC149" i="7"/>
  <c r="CG146" i="7"/>
  <c r="CG141" i="7"/>
  <c r="CG149" i="7"/>
  <c r="CG157" i="7"/>
  <c r="CQ146" i="7"/>
  <c r="CQ141" i="7"/>
  <c r="CQ157" i="7"/>
  <c r="CQ149" i="7"/>
  <c r="AA77" i="8"/>
  <c r="V77" i="8"/>
  <c r="AC157" i="7"/>
  <c r="AC149" i="7"/>
  <c r="AC141" i="7"/>
  <c r="AC146" i="7"/>
  <c r="AC150" i="7" s="1"/>
  <c r="BN221" i="7"/>
  <c r="BN22" i="8"/>
  <c r="BX71" i="7"/>
  <c r="BX75" i="7"/>
  <c r="BX84" i="7"/>
  <c r="BX29" i="7"/>
  <c r="BX28" i="7" s="1"/>
  <c r="CH157" i="7"/>
  <c r="CH146" i="7"/>
  <c r="CH141" i="7"/>
  <c r="AB38" i="8"/>
  <c r="AB29" i="8"/>
  <c r="CF146" i="7"/>
  <c r="CF141" i="7"/>
  <c r="CF157" i="7"/>
  <c r="CF149" i="7"/>
  <c r="CP157" i="7"/>
  <c r="CP141" i="7"/>
  <c r="CP146" i="7"/>
  <c r="CP149" i="7"/>
  <c r="AP57" i="8"/>
  <c r="AP30" i="8"/>
  <c r="Q80" i="7"/>
  <c r="Q11" i="7"/>
  <c r="Q22" i="8" s="1"/>
  <c r="Q82" i="7"/>
  <c r="Q79" i="7" s="1"/>
  <c r="AE71" i="7"/>
  <c r="AE75" i="7"/>
  <c r="AE84" i="7"/>
  <c r="AE83" i="7"/>
  <c r="AE29" i="7"/>
  <c r="AE28" i="7" s="1"/>
  <c r="X79" i="7"/>
  <c r="X22" i="8"/>
  <c r="BE150" i="7"/>
  <c r="BF221" i="7"/>
  <c r="BF22" i="8"/>
  <c r="BJ11" i="7"/>
  <c r="BJ22" i="8" s="1"/>
  <c r="BT146" i="7"/>
  <c r="BT157" i="7"/>
  <c r="BT149" i="7"/>
  <c r="BT141" i="7"/>
  <c r="BU146" i="7"/>
  <c r="BU141" i="7"/>
  <c r="BU149" i="7"/>
  <c r="BU157" i="7"/>
  <c r="CI13" i="7"/>
  <c r="CN152" i="7"/>
  <c r="CN150" i="7"/>
  <c r="CN156" i="7"/>
  <c r="M78" i="7"/>
  <c r="R152" i="7" s="1"/>
  <c r="U71" i="7"/>
  <c r="U84" i="7"/>
  <c r="U29" i="7"/>
  <c r="U28" i="7" s="1"/>
  <c r="U83" i="7"/>
  <c r="U79" i="7"/>
  <c r="U75" i="7"/>
  <c r="AL80" i="7"/>
  <c r="AL82" i="7"/>
  <c r="BC29" i="7"/>
  <c r="BC28" i="7" s="1"/>
  <c r="BC83" i="7"/>
  <c r="BC75" i="7"/>
  <c r="BC84" i="7"/>
  <c r="BC71" i="7"/>
  <c r="BW221" i="7"/>
  <c r="BW22" i="8"/>
  <c r="AF43" i="8"/>
  <c r="AC22" i="8"/>
  <c r="AG11" i="7"/>
  <c r="AG22" i="8" s="1"/>
  <c r="BI149" i="7"/>
  <c r="BI157" i="7"/>
  <c r="BI141" i="7"/>
  <c r="BI146" i="7"/>
  <c r="CR221" i="7"/>
  <c r="CR22" i="8"/>
  <c r="T79" i="7"/>
  <c r="BB75" i="7"/>
  <c r="BB83" i="7"/>
  <c r="BB29" i="7"/>
  <c r="BB28" i="7" s="1"/>
  <c r="BB79" i="7"/>
  <c r="BB71" i="7"/>
  <c r="BB84" i="7"/>
  <c r="BV221" i="7"/>
  <c r="BV22" i="8"/>
  <c r="CF84" i="7"/>
  <c r="CF83" i="7"/>
  <c r="CF71" i="7"/>
  <c r="CF75" i="7"/>
  <c r="CF29" i="7"/>
  <c r="CF28" i="7" s="1"/>
  <c r="CP221" i="7"/>
  <c r="CP22" i="8"/>
  <c r="H56" i="8"/>
  <c r="AL67" i="8"/>
  <c r="AL68" i="8" s="1"/>
  <c r="AL69" i="8"/>
  <c r="AL66" i="8"/>
  <c r="AL65" i="8"/>
  <c r="AL64" i="8"/>
  <c r="BU221" i="7"/>
  <c r="BU22" i="8"/>
  <c r="BY11" i="7"/>
  <c r="BY22" i="8" s="1"/>
  <c r="CE141" i="7"/>
  <c r="CE146" i="7"/>
  <c r="CE157" i="7"/>
  <c r="CE149" i="7"/>
  <c r="CJ221" i="7"/>
  <c r="CJ22" i="8"/>
  <c r="CN11" i="7"/>
  <c r="CN22" i="8" s="1"/>
  <c r="O141" i="7"/>
  <c r="O157" i="7"/>
  <c r="O149" i="7"/>
  <c r="O146" i="7"/>
  <c r="O150" i="7" s="1"/>
  <c r="Z149" i="7"/>
  <c r="AN141" i="7"/>
  <c r="AN146" i="7"/>
  <c r="AN150" i="7" s="1"/>
  <c r="AN157" i="7"/>
  <c r="AN149" i="7"/>
  <c r="AX149" i="7"/>
  <c r="CB141" i="7"/>
  <c r="CB157" i="7"/>
  <c r="CB146" i="7"/>
  <c r="CB149" i="7"/>
  <c r="CN151" i="7"/>
  <c r="AP77" i="8"/>
  <c r="D149" i="7"/>
  <c r="P146" i="7"/>
  <c r="P141" i="7"/>
  <c r="P157" i="7"/>
  <c r="P149" i="7"/>
  <c r="AT157" i="7"/>
  <c r="AT141" i="7"/>
  <c r="AT146" i="7"/>
  <c r="AT149" i="7"/>
  <c r="BS221" i="7"/>
  <c r="BS22" i="8"/>
  <c r="CZ64" i="5"/>
  <c r="AG119" i="5"/>
  <c r="AG129" i="5"/>
  <c r="AG131" i="5" s="1"/>
  <c r="V30" i="8"/>
  <c r="V57" i="8"/>
  <c r="V66" i="8"/>
  <c r="BJ99" i="4"/>
  <c r="AZ65" i="8"/>
  <c r="AZ29" i="8"/>
  <c r="AZ56" i="8"/>
  <c r="AZ38" i="8"/>
  <c r="BE65" i="8"/>
  <c r="BE29" i="8"/>
  <c r="BE38" i="8"/>
  <c r="BE56" i="8"/>
  <c r="Q75" i="8"/>
  <c r="Q57" i="8"/>
  <c r="Q66" i="8"/>
  <c r="Q30" i="8"/>
  <c r="AB37" i="8"/>
  <c r="AB63" i="8"/>
  <c r="AG64" i="8" s="1"/>
  <c r="AB42" i="8"/>
  <c r="AG37" i="8"/>
  <c r="DW16" i="7"/>
  <c r="R40" i="8"/>
  <c r="W41" i="8" s="1"/>
  <c r="R37" i="8"/>
  <c r="R38" i="8"/>
  <c r="R39" i="8"/>
  <c r="R42" i="8"/>
  <c r="R43" i="8" s="1"/>
  <c r="DA64" i="5"/>
  <c r="DC16" i="7"/>
  <c r="M73" i="8"/>
  <c r="M74" i="8"/>
  <c r="M78" i="8"/>
  <c r="L16" i="7"/>
  <c r="AF16" i="7"/>
  <c r="H38" i="8"/>
  <c r="H42" i="8"/>
  <c r="M43" i="8" s="1"/>
  <c r="H40" i="8"/>
  <c r="U86" i="4"/>
  <c r="H25" i="8"/>
  <c r="H75" i="8" s="1"/>
  <c r="H15" i="7"/>
  <c r="W103" i="4"/>
  <c r="W25" i="8"/>
  <c r="W30" i="8" s="1"/>
  <c r="W15" i="7"/>
  <c r="W16" i="7" s="1"/>
  <c r="CJ61" i="5"/>
  <c r="CJ63" i="5"/>
  <c r="CJ62" i="5"/>
  <c r="AY87" i="4"/>
  <c r="AY90" i="4" s="1"/>
  <c r="CO63" i="5"/>
  <c r="CO61" i="5"/>
  <c r="CO62" i="5"/>
  <c r="F87" i="4"/>
  <c r="F90" i="4" s="1"/>
  <c r="BV64" i="5"/>
  <c r="CM107" i="5"/>
  <c r="CM101" i="5"/>
  <c r="CL64" i="5"/>
  <c r="Y107" i="5"/>
  <c r="Y101" i="5"/>
  <c r="DP152" i="7"/>
  <c r="BQ146" i="7"/>
  <c r="BQ149" i="7"/>
  <c r="BQ141" i="7"/>
  <c r="BQ157" i="7"/>
  <c r="G156" i="7"/>
  <c r="G151" i="7"/>
  <c r="G153" i="7"/>
  <c r="AM141" i="7"/>
  <c r="AM146" i="7"/>
  <c r="AM150" i="7" s="1"/>
  <c r="AM149" i="7"/>
  <c r="AM157" i="7"/>
  <c r="BT23" i="8"/>
  <c r="BT12" i="7"/>
  <c r="BT13" i="7" s="1"/>
  <c r="BT73" i="5"/>
  <c r="BT75" i="5" s="1"/>
  <c r="BT89" i="5"/>
  <c r="BT91" i="5" s="1"/>
  <c r="BT86" i="5"/>
  <c r="BT79" i="5"/>
  <c r="BT14" i="4"/>
  <c r="BY103" i="4" s="1"/>
  <c r="BT25" i="4"/>
  <c r="BT102" i="4"/>
  <c r="BT98" i="4"/>
  <c r="BT95" i="4"/>
  <c r="BT96" i="4"/>
  <c r="BT97" i="4"/>
  <c r="BE80" i="7"/>
  <c r="BE79" i="7"/>
  <c r="BK146" i="7"/>
  <c r="BK157" i="7"/>
  <c r="BK149" i="7"/>
  <c r="BK141" i="7"/>
  <c r="BP84" i="7"/>
  <c r="BP71" i="7"/>
  <c r="BP75" i="7"/>
  <c r="BP29" i="7"/>
  <c r="BP28" i="7" s="1"/>
  <c r="AN29" i="7"/>
  <c r="AN28" i="7" s="1"/>
  <c r="AN71" i="7"/>
  <c r="AN75" i="7"/>
  <c r="AN84" i="7"/>
  <c r="AN83" i="7"/>
  <c r="AX221" i="7"/>
  <c r="AX22" i="8"/>
  <c r="BH83" i="7"/>
  <c r="BH71" i="7"/>
  <c r="BH84" i="7"/>
  <c r="BH75" i="7"/>
  <c r="BH29" i="7"/>
  <c r="BH28" i="7" s="1"/>
  <c r="BR22" i="8"/>
  <c r="BR221" i="7"/>
  <c r="CB71" i="7"/>
  <c r="CB84" i="7"/>
  <c r="CB75" i="7"/>
  <c r="CB29" i="7"/>
  <c r="CB28" i="7" s="1"/>
  <c r="CB83" i="7"/>
  <c r="CV22" i="8"/>
  <c r="CV221" i="7"/>
  <c r="DM34" i="8"/>
  <c r="DR34" i="8"/>
  <c r="H78" i="7"/>
  <c r="M154" i="7" s="1"/>
  <c r="P75" i="7"/>
  <c r="P29" i="7"/>
  <c r="P28" i="7" s="1"/>
  <c r="P71" i="7"/>
  <c r="P84" i="7"/>
  <c r="P83" i="7"/>
  <c r="BX146" i="7"/>
  <c r="BX149" i="7"/>
  <c r="BX141" i="7"/>
  <c r="BX157" i="7"/>
  <c r="CC75" i="7"/>
  <c r="CC71" i="7"/>
  <c r="CC84" i="7"/>
  <c r="CC29" i="7"/>
  <c r="CC28" i="7" s="1"/>
  <c r="CC83" i="7"/>
  <c r="CC79" i="7"/>
  <c r="R80" i="7"/>
  <c r="R82" i="7"/>
  <c r="AW221" i="7"/>
  <c r="AW22" i="8"/>
  <c r="BG221" i="7"/>
  <c r="BG22" i="8"/>
  <c r="CA71" i="7"/>
  <c r="CA84" i="7"/>
  <c r="CA29" i="7"/>
  <c r="CA28" i="7" s="1"/>
  <c r="CA83" i="7"/>
  <c r="CA75" i="7"/>
  <c r="CK79" i="7"/>
  <c r="CK75" i="7"/>
  <c r="CK84" i="7"/>
  <c r="CK29" i="7"/>
  <c r="CK28" i="7" s="1"/>
  <c r="CK83" i="7"/>
  <c r="CK71" i="7"/>
  <c r="AP153" i="7"/>
  <c r="AP156" i="7"/>
  <c r="AP149" i="7" s="1"/>
  <c r="AP154" i="7"/>
  <c r="AP152" i="7"/>
  <c r="AP151" i="7"/>
  <c r="L151" i="7"/>
  <c r="L152" i="7"/>
  <c r="L153" i="7"/>
  <c r="L156" i="7"/>
  <c r="L149" i="7" s="1"/>
  <c r="AM75" i="7"/>
  <c r="AM29" i="7"/>
  <c r="AM84" i="7"/>
  <c r="AM71" i="7"/>
  <c r="AM83" i="7"/>
  <c r="AF65" i="8"/>
  <c r="AF64" i="8"/>
  <c r="AF69" i="8"/>
  <c r="AF66" i="8"/>
  <c r="AF67" i="8"/>
  <c r="AF68" i="8" s="1"/>
  <c r="X141" i="7"/>
  <c r="X146" i="7"/>
  <c r="X150" i="7" s="1"/>
  <c r="X157" i="7"/>
  <c r="X149" i="7"/>
  <c r="BF157" i="7"/>
  <c r="BF141" i="7"/>
  <c r="BF146" i="7"/>
  <c r="BP83" i="7"/>
  <c r="BK71" i="7"/>
  <c r="BK83" i="7"/>
  <c r="BK75" i="7"/>
  <c r="BK84" i="7"/>
  <c r="BK29" i="7"/>
  <c r="BK28" i="7" s="1"/>
  <c r="BY152" i="7"/>
  <c r="BY141" i="7"/>
  <c r="BY146" i="7"/>
  <c r="BY149" i="7"/>
  <c r="BY157" i="7"/>
  <c r="BZ221" i="7"/>
  <c r="CD221" i="7" s="1"/>
  <c r="BZ22" i="8"/>
  <c r="CD11" i="7"/>
  <c r="CD22" i="8" s="1"/>
  <c r="CN75" i="8"/>
  <c r="CN39" i="8"/>
  <c r="CN66" i="8"/>
  <c r="CN30" i="8"/>
  <c r="CN57" i="8"/>
  <c r="R69" i="8"/>
  <c r="R65" i="8"/>
  <c r="R66" i="8"/>
  <c r="R67" i="8"/>
  <c r="R64" i="8"/>
  <c r="AS157" i="7"/>
  <c r="AS146" i="7"/>
  <c r="AS141" i="7"/>
  <c r="AA43" i="8"/>
  <c r="J157" i="7"/>
  <c r="J146" i="7"/>
  <c r="J141" i="7"/>
  <c r="J149" i="7"/>
  <c r="AY149" i="7"/>
  <c r="BJ149" i="7"/>
  <c r="BX221" i="7"/>
  <c r="BX22" i="8"/>
  <c r="AG13" i="7"/>
  <c r="BB157" i="7"/>
  <c r="BB141" i="7"/>
  <c r="BB146" i="7"/>
  <c r="BV149" i="7"/>
  <c r="V80" i="7"/>
  <c r="V11" i="7"/>
  <c r="V22" i="8" s="1"/>
  <c r="V82" i="7"/>
  <c r="V79" i="7" s="1"/>
  <c r="Q153" i="7"/>
  <c r="Q154" i="7"/>
  <c r="Q156" i="7"/>
  <c r="Q152" i="7"/>
  <c r="Q151" i="7"/>
  <c r="E149" i="7"/>
  <c r="E146" i="7"/>
  <c r="E141" i="7"/>
  <c r="AB82" i="7"/>
  <c r="AB80" i="7"/>
  <c r="AJ79" i="7"/>
  <c r="CI56" i="8"/>
  <c r="CI29" i="8"/>
  <c r="CI38" i="8"/>
  <c r="CJ146" i="7"/>
  <c r="CJ141" i="7"/>
  <c r="CJ157" i="7"/>
  <c r="CJ149" i="7"/>
  <c r="CS82" i="7"/>
  <c r="CS80" i="7"/>
  <c r="AB56" i="8"/>
  <c r="I71" i="7"/>
  <c r="I79" i="7"/>
  <c r="I75" i="7"/>
  <c r="I84" i="7"/>
  <c r="I29" i="7"/>
  <c r="I83" i="7"/>
  <c r="AH22" i="8"/>
  <c r="BC221" i="7"/>
  <c r="BC22" i="8"/>
  <c r="BW71" i="7"/>
  <c r="BW29" i="7"/>
  <c r="BW28" i="7" s="1"/>
  <c r="BW83" i="7"/>
  <c r="BW75" i="7"/>
  <c r="BW84" i="7"/>
  <c r="CG75" i="7"/>
  <c r="CG84" i="7"/>
  <c r="CG29" i="7"/>
  <c r="CG28" i="7" s="1"/>
  <c r="CG83" i="7"/>
  <c r="CG79" i="7"/>
  <c r="CG71" i="7"/>
  <c r="CQ79" i="7"/>
  <c r="AY22" i="8"/>
  <c r="AY221" i="7"/>
  <c r="CD141" i="7"/>
  <c r="CD146" i="7"/>
  <c r="CD149" i="7"/>
  <c r="CR79" i="7"/>
  <c r="G65" i="8"/>
  <c r="G69" i="8"/>
  <c r="L70" i="8" s="1"/>
  <c r="G67" i="8"/>
  <c r="L68" i="8" s="1"/>
  <c r="G66" i="8"/>
  <c r="L64" i="8"/>
  <c r="AR71" i="7"/>
  <c r="AR29" i="7"/>
  <c r="AR28" i="7" s="1"/>
  <c r="AR75" i="7"/>
  <c r="AR84" i="7"/>
  <c r="AR83" i="7"/>
  <c r="BB221" i="7"/>
  <c r="BB22" i="8"/>
  <c r="BL84" i="7"/>
  <c r="BL71" i="7"/>
  <c r="BL75" i="7"/>
  <c r="BL83" i="7"/>
  <c r="BL29" i="7"/>
  <c r="BL28" i="7" s="1"/>
  <c r="CF221" i="7"/>
  <c r="CF22" i="8"/>
  <c r="AA80" i="7"/>
  <c r="AA11" i="7"/>
  <c r="AA22" i="8" s="1"/>
  <c r="AA82" i="7"/>
  <c r="AA79" i="7" s="1"/>
  <c r="W148" i="7"/>
  <c r="BA146" i="7"/>
  <c r="BA149" i="7"/>
  <c r="BA157" i="7"/>
  <c r="BA141" i="7"/>
  <c r="BP141" i="7"/>
  <c r="BP146" i="7"/>
  <c r="BP149" i="7"/>
  <c r="BP157" i="7"/>
  <c r="CJ79" i="7"/>
  <c r="CL157" i="7"/>
  <c r="CL146" i="7"/>
  <c r="CL141" i="7"/>
  <c r="H148" i="7"/>
  <c r="CU64" i="5"/>
  <c r="W55" i="8"/>
  <c r="W57" i="8"/>
  <c r="W56" i="8"/>
  <c r="W60" i="8"/>
  <c r="AQ25" i="8"/>
  <c r="AQ39" i="8" s="1"/>
  <c r="AQ15" i="7"/>
  <c r="AQ16" i="7" s="1"/>
  <c r="AZ25" i="8"/>
  <c r="AZ15" i="7"/>
  <c r="AZ29" i="7"/>
  <c r="AZ28" i="7" s="1"/>
  <c r="AZ131" i="7"/>
  <c r="BE132" i="7" s="1"/>
  <c r="AZ84" i="7"/>
  <c r="AZ75" i="7"/>
  <c r="AZ71" i="7"/>
  <c r="BY29" i="8"/>
  <c r="BY38" i="8"/>
  <c r="BY56" i="8"/>
  <c r="BY65" i="8"/>
  <c r="DW75" i="8"/>
  <c r="DW57" i="8"/>
  <c r="DW66" i="8"/>
  <c r="CX16" i="7"/>
  <c r="AQ55" i="8"/>
  <c r="AQ56" i="8"/>
  <c r="AQ60" i="8"/>
  <c r="AQ61" i="8" s="1"/>
  <c r="AK80" i="7"/>
  <c r="AK11" i="7"/>
  <c r="AK22" i="8" s="1"/>
  <c r="AK82" i="7"/>
  <c r="AK79" i="7" s="1"/>
  <c r="DC75" i="8"/>
  <c r="DC57" i="8"/>
  <c r="DC30" i="8"/>
  <c r="DC39" i="8"/>
  <c r="L39" i="8"/>
  <c r="L57" i="8"/>
  <c r="L66" i="8"/>
  <c r="L30" i="8"/>
  <c r="AF39" i="8"/>
  <c r="AF30" i="8"/>
  <c r="AF57" i="8"/>
  <c r="W63" i="8"/>
  <c r="BT158" i="5"/>
  <c r="DW181" i="5"/>
  <c r="DW158" i="5"/>
  <c r="DW159" i="5" s="1"/>
  <c r="EH14" i="5"/>
  <c r="EI14" i="5" s="1"/>
  <c r="EJ14" i="5" s="1"/>
  <c r="EK14" i="5" s="1"/>
  <c r="EL14" i="5" s="1"/>
  <c r="DG184" i="5"/>
  <c r="DG185" i="5" s="1"/>
  <c r="DG187" i="5" s="1"/>
  <c r="AP191" i="5"/>
  <c r="BD82" i="5"/>
  <c r="BE81" i="5"/>
  <c r="H202" i="5"/>
  <c r="H205" i="5" s="1"/>
  <c r="AB126" i="5"/>
  <c r="BN79" i="5"/>
  <c r="BN81" i="5"/>
  <c r="BN82" i="5" s="1"/>
  <c r="BO78" i="5"/>
  <c r="BO79" i="5" s="1"/>
  <c r="R126" i="5"/>
  <c r="DC158" i="5"/>
  <c r="DC159" i="5" s="1"/>
  <c r="BO40" i="7"/>
  <c r="BT41" i="8"/>
  <c r="BY41" i="8"/>
  <c r="DC41" i="8"/>
  <c r="AB32" i="8"/>
  <c r="AG32" i="8"/>
  <c r="CX59" i="8"/>
  <c r="CD32" i="8"/>
  <c r="CI32" i="8"/>
  <c r="M59" i="8"/>
  <c r="R59" i="8"/>
  <c r="CN34" i="8"/>
  <c r="CI34" i="8"/>
  <c r="BO41" i="8"/>
  <c r="BJ41" i="8"/>
  <c r="DI47" i="8"/>
  <c r="DI48" i="8"/>
  <c r="DM45" i="8"/>
  <c r="DP48" i="8"/>
  <c r="DP47" i="8"/>
  <c r="DB221" i="7"/>
  <c r="DB22" i="8"/>
  <c r="DA221" i="7"/>
  <c r="DA22" i="8"/>
  <c r="BY32" i="8"/>
  <c r="BT32" i="8"/>
  <c r="AG41" i="8"/>
  <c r="AB41" i="8"/>
  <c r="DU117" i="4"/>
  <c r="DU148" i="7"/>
  <c r="CI41" i="8"/>
  <c r="CD41" i="8"/>
  <c r="R32" i="8"/>
  <c r="CI79" i="8"/>
  <c r="CN79" i="8"/>
  <c r="BO59" i="8"/>
  <c r="BJ59" i="8"/>
  <c r="DJ48" i="8"/>
  <c r="DJ47" i="8"/>
  <c r="EA9" i="4"/>
  <c r="EA19" i="8"/>
  <c r="DK48" i="8"/>
  <c r="DK47" i="8"/>
  <c r="DL47" i="8"/>
  <c r="DL48" i="8"/>
  <c r="DN47" i="8"/>
  <c r="DN48" i="8"/>
  <c r="BT59" i="8"/>
  <c r="BY59" i="8"/>
  <c r="AB77" i="8"/>
  <c r="CI77" i="8"/>
  <c r="CD77" i="8"/>
  <c r="M41" i="8"/>
  <c r="R41" i="8"/>
  <c r="CI61" i="8"/>
  <c r="CN61" i="8"/>
  <c r="BJ77" i="8"/>
  <c r="BO77" i="8"/>
  <c r="BT77" i="8"/>
  <c r="BY77" i="8"/>
  <c r="AG59" i="8"/>
  <c r="AB59" i="8"/>
  <c r="CX77" i="8"/>
  <c r="CI59" i="8"/>
  <c r="CD59" i="8"/>
  <c r="M77" i="8"/>
  <c r="R77" i="8"/>
  <c r="CI43" i="8"/>
  <c r="CN43" i="8"/>
  <c r="BJ32" i="8"/>
  <c r="BO32" i="8"/>
  <c r="DY19" i="8"/>
  <c r="DY9" i="4"/>
  <c r="DR68" i="8"/>
  <c r="EG58" i="10"/>
  <c r="EC58" i="10"/>
  <c r="EC61" i="10" s="1"/>
  <c r="ED58" i="10" s="1"/>
  <c r="ED61" i="10" s="1"/>
  <c r="EE58" i="10" s="1"/>
  <c r="EE61" i="10" s="1"/>
  <c r="EF58" i="10" s="1"/>
  <c r="EF61" i="10" s="1"/>
  <c r="EG61" i="10" s="1"/>
  <c r="DA102" i="10"/>
  <c r="DB97" i="10"/>
  <c r="EE209" i="10"/>
  <c r="DM21" i="10"/>
  <c r="DB47" i="10"/>
  <c r="DA52" i="10"/>
  <c r="DQ130" i="10"/>
  <c r="DQ133" i="10" s="1"/>
  <c r="DP134" i="10"/>
  <c r="DD82" i="10"/>
  <c r="DE77" i="10"/>
  <c r="DW163" i="10"/>
  <c r="DX160" i="10"/>
  <c r="DX163" i="10" s="1"/>
  <c r="DV164" i="10"/>
  <c r="DW164" i="10" s="1"/>
  <c r="EA31" i="10"/>
  <c r="DR179" i="10"/>
  <c r="DS179" i="10" s="1"/>
  <c r="EB48" i="10"/>
  <c r="DX48" i="10"/>
  <c r="DX51" i="10" s="1"/>
  <c r="DY48" i="10" s="1"/>
  <c r="DY51" i="10" s="1"/>
  <c r="DZ48" i="10" s="1"/>
  <c r="DZ51" i="10" s="1"/>
  <c r="EA48" i="10" s="1"/>
  <c r="EA51" i="10" s="1"/>
  <c r="EB51" i="10" s="1"/>
  <c r="DS34" i="10"/>
  <c r="DS37" i="10" s="1"/>
  <c r="DQ38" i="10"/>
  <c r="DQ39" i="10"/>
  <c r="DR39" i="10" s="1"/>
  <c r="EF117" i="10"/>
  <c r="DZ190" i="10"/>
  <c r="DZ193" i="10" s="1"/>
  <c r="DY194" i="10"/>
  <c r="ED189" i="10"/>
  <c r="DY97" i="10"/>
  <c r="DM214" i="10"/>
  <c r="EA112" i="10"/>
  <c r="EB112" i="10" s="1"/>
  <c r="EC107" i="10"/>
  <c r="ED118" i="10"/>
  <c r="ED121" i="10" s="1"/>
  <c r="EC122" i="10"/>
  <c r="DY200" i="10"/>
  <c r="DY203" i="10" s="1"/>
  <c r="DX204" i="10"/>
  <c r="DB154" i="10"/>
  <c r="DC154" i="10" s="1"/>
  <c r="DD149" i="10"/>
  <c r="EA159" i="10"/>
  <c r="EG78" i="10"/>
  <c r="EC78" i="10"/>
  <c r="EC81" i="10" s="1"/>
  <c r="ED78" i="10" s="1"/>
  <c r="ED81" i="10" s="1"/>
  <c r="EE78" i="10" s="1"/>
  <c r="EE81" i="10" s="1"/>
  <c r="EF78" i="10" s="1"/>
  <c r="EF81" i="10" s="1"/>
  <c r="EG81" i="10" s="1"/>
  <c r="DN214" i="10"/>
  <c r="DO209" i="10"/>
  <c r="EC150" i="10"/>
  <c r="EC153" i="10" s="1"/>
  <c r="ED150" i="10" s="1"/>
  <c r="ED153" i="10" s="1"/>
  <c r="EE150" i="10" s="1"/>
  <c r="EE153" i="10" s="1"/>
  <c r="EF150" i="10" s="1"/>
  <c r="EF153" i="10" s="1"/>
  <c r="EG153" i="10" s="1"/>
  <c r="EG150" i="10"/>
  <c r="DN144" i="10"/>
  <c r="DO140" i="10"/>
  <c r="DO143" i="10" s="1"/>
  <c r="DD204" i="10"/>
  <c r="DE199" i="10"/>
  <c r="DZ118" i="10"/>
  <c r="DZ121" i="10" s="1"/>
  <c r="DY122" i="10"/>
  <c r="DE62" i="10"/>
  <c r="DF57" i="10"/>
  <c r="DF92" i="10"/>
  <c r="DG87" i="10"/>
  <c r="EH118" i="10"/>
  <c r="EH121" i="10" s="1"/>
  <c r="EI118" i="10" s="1"/>
  <c r="EI121" i="10" s="1"/>
  <c r="EJ118" i="10" s="1"/>
  <c r="EJ121" i="10" s="1"/>
  <c r="EK118" i="10" s="1"/>
  <c r="EK121" i="10" s="1"/>
  <c r="EL118" i="10"/>
  <c r="EL121" i="10" s="1"/>
  <c r="DO180" i="10"/>
  <c r="DO183" i="10" s="1"/>
  <c r="DN184" i="10"/>
  <c r="DQ98" i="10"/>
  <c r="DQ101" i="10" s="1"/>
  <c r="EC88" i="10"/>
  <c r="EC91" i="10" s="1"/>
  <c r="ED88" i="10" s="1"/>
  <c r="ED91" i="10" s="1"/>
  <c r="EE88" i="10" s="1"/>
  <c r="EE91" i="10" s="1"/>
  <c r="EF88" i="10" s="1"/>
  <c r="EF91" i="10" s="1"/>
  <c r="EG91" i="10" s="1"/>
  <c r="EG88" i="10"/>
  <c r="EE199" i="10"/>
  <c r="CW40" i="10"/>
  <c r="CW16" i="10" s="1"/>
  <c r="CX38" i="10"/>
  <c r="CY40" i="10" s="1"/>
  <c r="CY16" i="10" s="1"/>
  <c r="DC16" i="10" s="1"/>
  <c r="DO210" i="10"/>
  <c r="DO213" i="10" s="1"/>
  <c r="DN21" i="10"/>
  <c r="DW68" i="8"/>
  <c r="CX80" i="7"/>
  <c r="DM406" i="7"/>
  <c r="CY157" i="7"/>
  <c r="CY141" i="7"/>
  <c r="CY146" i="7"/>
  <c r="DC150" i="7"/>
  <c r="DC156" i="7"/>
  <c r="DC149" i="7" s="1"/>
  <c r="DJ152" i="7"/>
  <c r="DT408" i="7"/>
  <c r="DO406" i="7"/>
  <c r="DO21" i="8" s="1"/>
  <c r="DO45" i="8" s="1"/>
  <c r="CY83" i="7"/>
  <c r="CY84" i="7"/>
  <c r="CY75" i="7"/>
  <c r="CY71" i="7"/>
  <c r="DD83" i="7"/>
  <c r="CZ154" i="7"/>
  <c r="CZ151" i="7"/>
  <c r="DE152" i="7" s="1"/>
  <c r="CZ150" i="7"/>
  <c r="CZ152" i="7"/>
  <c r="CZ11" i="7"/>
  <c r="CZ12" i="7"/>
  <c r="CZ156" i="7"/>
  <c r="DQ82" i="7"/>
  <c r="DQ13" i="7"/>
  <c r="EC76" i="7"/>
  <c r="EC74" i="7"/>
  <c r="EC9" i="7"/>
  <c r="EC19" i="8" s="1"/>
  <c r="DX36" i="7"/>
  <c r="DX40" i="7" s="1"/>
  <c r="DY36" i="7" s="1"/>
  <c r="DY40" i="7" s="1"/>
  <c r="DZ36" i="7" s="1"/>
  <c r="DZ40" i="7" s="1"/>
  <c r="EA36" i="7" s="1"/>
  <c r="EA40" i="7" s="1"/>
  <c r="EB36" i="7"/>
  <c r="EB40" i="7" s="1"/>
  <c r="DI80" i="7"/>
  <c r="DM78" i="7"/>
  <c r="DI79" i="7"/>
  <c r="DB13" i="7"/>
  <c r="DG13" i="7"/>
  <c r="DO157" i="7"/>
  <c r="DO146" i="7"/>
  <c r="DO141" i="7"/>
  <c r="DO149" i="7"/>
  <c r="DF151" i="7"/>
  <c r="DF152" i="7" s="1"/>
  <c r="DF150" i="7"/>
  <c r="DF78" i="7"/>
  <c r="DF11" i="7"/>
  <c r="DF221" i="7" s="1"/>
  <c r="DF156" i="7"/>
  <c r="DF149" i="7" s="1"/>
  <c r="N51" i="7"/>
  <c r="N50" i="7"/>
  <c r="N66" i="7"/>
  <c r="N52" i="7"/>
  <c r="N165" i="7"/>
  <c r="O50" i="7"/>
  <c r="N89" i="7"/>
  <c r="DP157" i="7"/>
  <c r="DP141" i="7"/>
  <c r="DP146" i="7"/>
  <c r="CW221" i="7"/>
  <c r="CX221" i="7" s="1"/>
  <c r="CX11" i="7"/>
  <c r="CX22" i="8" s="1"/>
  <c r="DK146" i="7"/>
  <c r="DK141" i="7"/>
  <c r="DL151" i="7"/>
  <c r="DL150" i="7"/>
  <c r="DL11" i="7"/>
  <c r="DL156" i="7"/>
  <c r="DL149" i="7" s="1"/>
  <c r="DG151" i="7"/>
  <c r="DG152" i="7" s="1"/>
  <c r="DG150" i="7"/>
  <c r="DG11" i="7"/>
  <c r="DG221" i="7" s="1"/>
  <c r="DG78" i="7"/>
  <c r="DH78" i="7" s="1"/>
  <c r="DG156" i="7"/>
  <c r="CW84" i="7"/>
  <c r="CW83" i="7"/>
  <c r="CW71" i="7"/>
  <c r="CW75" i="7"/>
  <c r="CX82" i="7"/>
  <c r="CY221" i="7"/>
  <c r="DE141" i="7"/>
  <c r="DE146" i="7"/>
  <c r="DJ157" i="7"/>
  <c r="EH170" i="7"/>
  <c r="EL170" i="7" s="1"/>
  <c r="EG170" i="7"/>
  <c r="DZ408" i="7"/>
  <c r="DC80" i="7"/>
  <c r="BU114" i="7"/>
  <c r="BY113" i="7"/>
  <c r="BZ114" i="7"/>
  <c r="EG144" i="7"/>
  <c r="DI151" i="7"/>
  <c r="DI150" i="7"/>
  <c r="DM148" i="7"/>
  <c r="DI11" i="7"/>
  <c r="DI22" i="8" s="1"/>
  <c r="DI156" i="7"/>
  <c r="DI149" i="7" s="1"/>
  <c r="DB157" i="7"/>
  <c r="DB146" i="7"/>
  <c r="DB141" i="7"/>
  <c r="DB149" i="7"/>
  <c r="DA13" i="7"/>
  <c r="DF13" i="7"/>
  <c r="DO82" i="7"/>
  <c r="DO13" i="7"/>
  <c r="BP36" i="7"/>
  <c r="BP39" i="7" s="1"/>
  <c r="BT39" i="7" s="1"/>
  <c r="BT36" i="7"/>
  <c r="BT52" i="7"/>
  <c r="BP52" i="7"/>
  <c r="DV408" i="7"/>
  <c r="DQ406" i="7"/>
  <c r="EB74" i="7"/>
  <c r="EB76" i="7"/>
  <c r="W43" i="7"/>
  <c r="W47" i="7" s="1"/>
  <c r="W49" i="7"/>
  <c r="S49" i="7"/>
  <c r="DP82" i="7"/>
  <c r="DP13" i="7"/>
  <c r="DS411" i="7"/>
  <c r="DT411" i="7" s="1"/>
  <c r="DU411" i="7" s="1"/>
  <c r="DV411" i="7" s="1"/>
  <c r="DW411" i="7" s="1"/>
  <c r="DX411" i="7" s="1"/>
  <c r="DY411" i="7" s="1"/>
  <c r="DZ411" i="7" s="1"/>
  <c r="EA411" i="7" s="1"/>
  <c r="EB411" i="7" s="1"/>
  <c r="EC411" i="7" s="1"/>
  <c r="ED411" i="7" s="1"/>
  <c r="EE411" i="7" s="1"/>
  <c r="EF411" i="7" s="1"/>
  <c r="EG411" i="7" s="1"/>
  <c r="EH411" i="7" s="1"/>
  <c r="EI411" i="7" s="1"/>
  <c r="EJ411" i="7" s="1"/>
  <c r="EK411" i="7" s="1"/>
  <c r="EL411" i="7" s="1"/>
  <c r="DR412" i="7"/>
  <c r="DW412" i="7" s="1"/>
  <c r="EB412" i="7" s="1"/>
  <c r="EG412" i="7" s="1"/>
  <c r="EL412" i="7" s="1"/>
  <c r="DD80" i="7"/>
  <c r="DD79" i="7"/>
  <c r="CW79" i="7"/>
  <c r="DC151" i="7"/>
  <c r="DC152" i="7" s="1"/>
  <c r="DE149" i="7"/>
  <c r="DT151" i="7"/>
  <c r="DT150" i="7"/>
  <c r="DT78" i="7"/>
  <c r="DT11" i="7"/>
  <c r="DT22" i="8" s="1"/>
  <c r="DT12" i="7"/>
  <c r="DT156" i="7"/>
  <c r="DT149" i="7" s="1"/>
  <c r="DQ141" i="7"/>
  <c r="DQ146" i="7"/>
  <c r="EL143" i="7"/>
  <c r="DB16" i="7"/>
  <c r="DG16" i="7"/>
  <c r="DA157" i="7"/>
  <c r="DA146" i="7"/>
  <c r="DA141" i="7"/>
  <c r="DG232" i="7"/>
  <c r="DG217" i="7"/>
  <c r="DG223" i="7" s="1"/>
  <c r="EB9" i="7"/>
  <c r="EB19" i="8" s="1"/>
  <c r="DX9" i="4"/>
  <c r="BK43" i="7"/>
  <c r="BK44" i="7" s="1"/>
  <c r="BO44" i="7" s="1"/>
  <c r="BO43" i="7"/>
  <c r="DA84" i="7"/>
  <c r="DA83" i="7"/>
  <c r="DA71" i="7"/>
  <c r="DA75" i="7"/>
  <c r="DF83" i="7"/>
  <c r="CX150" i="7"/>
  <c r="CX156" i="7"/>
  <c r="CX149" i="7" s="1"/>
  <c r="DX408" i="7"/>
  <c r="DK150" i="7"/>
  <c r="DV151" i="7"/>
  <c r="DV150" i="7"/>
  <c r="DV78" i="7"/>
  <c r="DV12" i="7"/>
  <c r="DV11" i="7"/>
  <c r="DV22" i="8" s="1"/>
  <c r="DV156" i="7"/>
  <c r="DN79" i="7"/>
  <c r="DN80" i="7"/>
  <c r="DR78" i="7"/>
  <c r="DX160" i="7"/>
  <c r="EB30" i="7"/>
  <c r="DD151" i="7"/>
  <c r="DH148" i="7"/>
  <c r="DD150" i="7"/>
  <c r="DD11" i="7"/>
  <c r="DD156" i="7"/>
  <c r="DD149" i="7" s="1"/>
  <c r="ED64" i="7"/>
  <c r="EI63" i="7"/>
  <c r="EI64" i="7" s="1"/>
  <c r="DE80" i="7"/>
  <c r="DE79" i="7"/>
  <c r="DJ80" i="7"/>
  <c r="CZ80" i="7"/>
  <c r="CZ82" i="7"/>
  <c r="CZ79" i="7" s="1"/>
  <c r="DQ149" i="7"/>
  <c r="DW9" i="4"/>
  <c r="DS11" i="4"/>
  <c r="DA16" i="7"/>
  <c r="DF16" i="7"/>
  <c r="DQ223" i="7"/>
  <c r="DB83" i="7"/>
  <c r="DB75" i="7"/>
  <c r="DB84" i="7"/>
  <c r="DB71" i="7"/>
  <c r="DG83" i="7"/>
  <c r="R51" i="7"/>
  <c r="R52" i="7"/>
  <c r="R66" i="7"/>
  <c r="R89" i="7"/>
  <c r="R165" i="7"/>
  <c r="DL225" i="7"/>
  <c r="CW157" i="7"/>
  <c r="CW146" i="7"/>
  <c r="CW141" i="7"/>
  <c r="CW149" i="7"/>
  <c r="DL79" i="7"/>
  <c r="DN151" i="7"/>
  <c r="DN150" i="7"/>
  <c r="DR148" i="7"/>
  <c r="DN11" i="7"/>
  <c r="DN156" i="7"/>
  <c r="AB159" i="5"/>
  <c r="AA194" i="5"/>
  <c r="AA199" i="5" s="1"/>
  <c r="AA202" i="5" s="1"/>
  <c r="AA190" i="5"/>
  <c r="AA191" i="5" s="1"/>
  <c r="AA184" i="5"/>
  <c r="AL184" i="5"/>
  <c r="CN184" i="5"/>
  <c r="CN159" i="5"/>
  <c r="DH184" i="5"/>
  <c r="DH185" i="5" s="1"/>
  <c r="DH187" i="5" s="1"/>
  <c r="DH159" i="5"/>
  <c r="AQ184" i="5"/>
  <c r="AQ159" i="5"/>
  <c r="DM159" i="5"/>
  <c r="DC190" i="5"/>
  <c r="DC191" i="5" s="1"/>
  <c r="CS159" i="5"/>
  <c r="BT184" i="5"/>
  <c r="BT159" i="5"/>
  <c r="AE205" i="5"/>
  <c r="AE203" i="5"/>
  <c r="BC183" i="5"/>
  <c r="BC185" i="5" s="1"/>
  <c r="BB187" i="5"/>
  <c r="DD102" i="5"/>
  <c r="DE44" i="5"/>
  <c r="BC199" i="5"/>
  <c r="BC202" i="5" s="1"/>
  <c r="BE194" i="5"/>
  <c r="BE199" i="5" s="1"/>
  <c r="BE202" i="5" s="1"/>
  <c r="DR159" i="5"/>
  <c r="DZ105" i="5"/>
  <c r="EA46" i="5"/>
  <c r="P205" i="5"/>
  <c r="P203" i="5"/>
  <c r="DV190" i="5"/>
  <c r="DV191" i="5" s="1"/>
  <c r="DV194" i="5"/>
  <c r="DV184" i="5"/>
  <c r="DV185" i="5" s="1"/>
  <c r="DV187" i="5" s="1"/>
  <c r="DV159" i="5"/>
  <c r="EH164" i="5"/>
  <c r="EF125" i="5"/>
  <c r="EG125" i="5" s="1"/>
  <c r="DZ103" i="5"/>
  <c r="EA45" i="5"/>
  <c r="BO184" i="5"/>
  <c r="BO185" i="5" s="1"/>
  <c r="BO159" i="5"/>
  <c r="BI194" i="5"/>
  <c r="BI199" i="5" s="1"/>
  <c r="BI202" i="5" s="1"/>
  <c r="BI190" i="5"/>
  <c r="BI191" i="5" s="1"/>
  <c r="BI184" i="5"/>
  <c r="BI159" i="5"/>
  <c r="Q191" i="5"/>
  <c r="DK203" i="5"/>
  <c r="DK205" i="5"/>
  <c r="G202" i="5"/>
  <c r="CB205" i="5"/>
  <c r="CB203" i="5"/>
  <c r="BW202" i="5"/>
  <c r="W202" i="5"/>
  <c r="M202" i="5"/>
  <c r="DF191" i="5"/>
  <c r="DH190" i="5"/>
  <c r="BH130" i="5"/>
  <c r="BH131" i="5" s="1"/>
  <c r="BG126" i="5"/>
  <c r="BH123" i="5"/>
  <c r="BH126" i="5" s="1"/>
  <c r="DZ104" i="5"/>
  <c r="EA49" i="5"/>
  <c r="CT62" i="5"/>
  <c r="CT59" i="5"/>
  <c r="AM205" i="5"/>
  <c r="AM203" i="5"/>
  <c r="BM199" i="5"/>
  <c r="BM202" i="5" s="1"/>
  <c r="DM200" i="5"/>
  <c r="DM207" i="5" s="1"/>
  <c r="CR199" i="5"/>
  <c r="CR202" i="5" s="1"/>
  <c r="CS194" i="5"/>
  <c r="CS199" i="5" s="1"/>
  <c r="AK202" i="5"/>
  <c r="CM199" i="5"/>
  <c r="CM202" i="5" s="1"/>
  <c r="CN194" i="5"/>
  <c r="CN199" i="5" s="1"/>
  <c r="AP199" i="5"/>
  <c r="AP202" i="5" s="1"/>
  <c r="CH202" i="5"/>
  <c r="CW191" i="5"/>
  <c r="DU205" i="5"/>
  <c r="DU203" i="5"/>
  <c r="DL199" i="5"/>
  <c r="DL202" i="5" s="1"/>
  <c r="DM194" i="5"/>
  <c r="DM199" i="5" s="1"/>
  <c r="DM202" i="5" s="1"/>
  <c r="BX194" i="5"/>
  <c r="BX190" i="5"/>
  <c r="BY190" i="5" s="1"/>
  <c r="BX159" i="5"/>
  <c r="EA152" i="5"/>
  <c r="EB13" i="5"/>
  <c r="BC191" i="5"/>
  <c r="BE190" i="5"/>
  <c r="BE191" i="5" s="1"/>
  <c r="BB126" i="5"/>
  <c r="BC123" i="5"/>
  <c r="BH191" i="5"/>
  <c r="BJ190" i="5"/>
  <c r="I82" i="5"/>
  <c r="M81" i="5"/>
  <c r="M82" i="5" s="1"/>
  <c r="K205" i="5"/>
  <c r="K203" i="5"/>
  <c r="AJ191" i="5"/>
  <c r="AL190" i="5"/>
  <c r="CD158" i="5"/>
  <c r="AA126" i="5"/>
  <c r="BS190" i="5"/>
  <c r="BS194" i="5"/>
  <c r="BS184" i="5"/>
  <c r="BS159" i="5"/>
  <c r="H59" i="5"/>
  <c r="DQ125" i="5"/>
  <c r="DR125" i="5" s="1"/>
  <c r="DR164" i="5"/>
  <c r="R202" i="5"/>
  <c r="AF194" i="5"/>
  <c r="AF184" i="5"/>
  <c r="AF190" i="5"/>
  <c r="AF159" i="5"/>
  <c r="AT205" i="5"/>
  <c r="AT203" i="5"/>
  <c r="CS200" i="5"/>
  <c r="CS207" i="5" s="1"/>
  <c r="BW207" i="5"/>
  <c r="Q126" i="5"/>
  <c r="DP205" i="5"/>
  <c r="DP203" i="5"/>
  <c r="H169" i="5"/>
  <c r="H184" i="5" s="1"/>
  <c r="H185" i="5" s="1"/>
  <c r="BD205" i="5"/>
  <c r="BD203" i="5"/>
  <c r="M124" i="5"/>
  <c r="M126" i="5" s="1"/>
  <c r="DG66" i="5"/>
  <c r="DG17" i="5"/>
  <c r="DG24" i="5" s="1"/>
  <c r="DH7" i="5"/>
  <c r="BV203" i="5"/>
  <c r="BV205" i="5"/>
  <c r="AB194" i="5"/>
  <c r="AB199" i="5" s="1"/>
  <c r="AB202" i="5" s="1"/>
  <c r="L205" i="5"/>
  <c r="L203" i="5"/>
  <c r="CI199" i="5"/>
  <c r="CI202" i="5" s="1"/>
  <c r="DR194" i="5"/>
  <c r="DR199" i="5" s="1"/>
  <c r="DR202" i="5" s="1"/>
  <c r="CM126" i="5"/>
  <c r="AL124" i="5"/>
  <c r="AL126" i="5" s="1"/>
  <c r="CG205" i="5"/>
  <c r="CG203" i="5"/>
  <c r="BE184" i="5"/>
  <c r="BE185" i="5" s="1"/>
  <c r="BE159" i="5"/>
  <c r="AQ194" i="5"/>
  <c r="AQ199" i="5" s="1"/>
  <c r="AQ202" i="5" s="1"/>
  <c r="BM191" i="5"/>
  <c r="CX200" i="5"/>
  <c r="CX207" i="5" s="1"/>
  <c r="DG203" i="5"/>
  <c r="DG205" i="5"/>
  <c r="CW199" i="5"/>
  <c r="CW202" i="5" s="1"/>
  <c r="DU191" i="5"/>
  <c r="CV199" i="5"/>
  <c r="CV202" i="5" s="1"/>
  <c r="CX194" i="5"/>
  <c r="CX199" i="5" s="1"/>
  <c r="DW190" i="5"/>
  <c r="DL191" i="5"/>
  <c r="DM190" i="5"/>
  <c r="BR203" i="5"/>
  <c r="BR205" i="5"/>
  <c r="BW191" i="5"/>
  <c r="CL126" i="5"/>
  <c r="CN125" i="5"/>
  <c r="CN126" i="5" s="1"/>
  <c r="EB152" i="5"/>
  <c r="CA203" i="5"/>
  <c r="CA205" i="5"/>
  <c r="DI32" i="5"/>
  <c r="DH34" i="5"/>
  <c r="DH41" i="5" s="1"/>
  <c r="DA199" i="5"/>
  <c r="DA202" i="5" s="1"/>
  <c r="EA156" i="5"/>
  <c r="EB156" i="5" s="1"/>
  <c r="EB31" i="5"/>
  <c r="Q203" i="5"/>
  <c r="Q205" i="5"/>
  <c r="BD118" i="5"/>
  <c r="BD120" i="5" s="1"/>
  <c r="BE120" i="5" s="1"/>
  <c r="BC115" i="5"/>
  <c r="BC116" i="5" s="1"/>
  <c r="BC127" i="5" s="1"/>
  <c r="BH199" i="5"/>
  <c r="BH202" i="5" s="1"/>
  <c r="DJ167" i="5"/>
  <c r="DJ169" i="5" s="1"/>
  <c r="DK8" i="5"/>
  <c r="M83" i="5"/>
  <c r="CS124" i="5"/>
  <c r="CS126" i="5" s="1"/>
  <c r="EE82" i="5"/>
  <c r="DM180" i="5"/>
  <c r="DL181" i="5"/>
  <c r="CI124" i="5"/>
  <c r="CI126" i="5" s="1"/>
  <c r="DB194" i="5"/>
  <c r="DB199" i="5" s="1"/>
  <c r="DB202" i="5" s="1"/>
  <c r="DB184" i="5"/>
  <c r="DB185" i="5" s="1"/>
  <c r="DB187" i="5" s="1"/>
  <c r="DB190" i="5"/>
  <c r="DB191" i="5" s="1"/>
  <c r="DB159" i="5"/>
  <c r="AP130" i="5"/>
  <c r="AP131" i="5" s="1"/>
  <c r="AO126" i="5"/>
  <c r="AP123" i="5"/>
  <c r="AP126" i="5" s="1"/>
  <c r="BM187" i="5"/>
  <c r="BN183" i="5"/>
  <c r="DR124" i="5"/>
  <c r="AG184" i="5"/>
  <c r="AG159" i="5"/>
  <c r="CL203" i="5"/>
  <c r="CL205" i="5"/>
  <c r="CE203" i="5"/>
  <c r="CE205" i="5"/>
  <c r="DN203" i="5"/>
  <c r="DN205" i="5"/>
  <c r="AO130" i="5"/>
  <c r="AO131" i="5" s="1"/>
  <c r="CM169" i="5"/>
  <c r="CM184" i="5" s="1"/>
  <c r="H124" i="5"/>
  <c r="H126" i="5" s="1"/>
  <c r="AO191" i="5"/>
  <c r="DQ202" i="5"/>
  <c r="BB130" i="5"/>
  <c r="BB131" i="5" s="1"/>
  <c r="CR191" i="5"/>
  <c r="EA157" i="5"/>
  <c r="EB157" i="5" s="1"/>
  <c r="EB15" i="5"/>
  <c r="AK191" i="5"/>
  <c r="CQ203" i="5"/>
  <c r="CQ205" i="5"/>
  <c r="BX200" i="5"/>
  <c r="BX207" i="5" s="1"/>
  <c r="BX169" i="5"/>
  <c r="BX184" i="5" s="1"/>
  <c r="BX124" i="5"/>
  <c r="BY161" i="5"/>
  <c r="BY169" i="5" s="1"/>
  <c r="BY184" i="5" s="1"/>
  <c r="CC190" i="5"/>
  <c r="CD190" i="5" s="1"/>
  <c r="CI191" i="5" s="1"/>
  <c r="CC194" i="5"/>
  <c r="CC184" i="5"/>
  <c r="CC159" i="5"/>
  <c r="DC109" i="5"/>
  <c r="DC56" i="5"/>
  <c r="DC58" i="5"/>
  <c r="DC55" i="5"/>
  <c r="DC52" i="5"/>
  <c r="DC69" i="5" s="1"/>
  <c r="DC59" i="5"/>
  <c r="G183" i="5"/>
  <c r="G185" i="5" s="1"/>
  <c r="G187" i="5" s="1"/>
  <c r="F187" i="5"/>
  <c r="BN194" i="5"/>
  <c r="BN199" i="5" s="1"/>
  <c r="BN202" i="5" s="1"/>
  <c r="BN190" i="5"/>
  <c r="BN191" i="5" s="1"/>
  <c r="BN184" i="5"/>
  <c r="BN159" i="5"/>
  <c r="Z205" i="5"/>
  <c r="Z203" i="5"/>
  <c r="BP205" i="5"/>
  <c r="BP203" i="5"/>
  <c r="DI169" i="5"/>
  <c r="DI184" i="5" s="1"/>
  <c r="DI185" i="5" s="1"/>
  <c r="DI187" i="5" s="1"/>
  <c r="DK166" i="5"/>
  <c r="AJ199" i="5"/>
  <c r="AJ202" i="5" s="1"/>
  <c r="AL194" i="5"/>
  <c r="AL199" i="5" s="1"/>
  <c r="AL202" i="5" s="1"/>
  <c r="DW184" i="5"/>
  <c r="DW185" i="5" s="1"/>
  <c r="DW187" i="5" s="1"/>
  <c r="M190" i="5"/>
  <c r="M191" i="5" s="1"/>
  <c r="V126" i="5"/>
  <c r="AB169" i="5"/>
  <c r="AB184" i="5" s="1"/>
  <c r="F205" i="5"/>
  <c r="F203" i="5"/>
  <c r="DZ106" i="5"/>
  <c r="EA47" i="5"/>
  <c r="EA154" i="5"/>
  <c r="EB154" i="5" s="1"/>
  <c r="EB37" i="5"/>
  <c r="CX169" i="5"/>
  <c r="BJ124" i="5"/>
  <c r="BJ126" i="5" s="1"/>
  <c r="BQ205" i="5"/>
  <c r="BQ203" i="5"/>
  <c r="AE191" i="5"/>
  <c r="CK205" i="5"/>
  <c r="CK203" i="5"/>
  <c r="CX124" i="5"/>
  <c r="CX127" i="5" s="1"/>
  <c r="DC123" i="5" s="1"/>
  <c r="DC127" i="5" s="1"/>
  <c r="DH123" i="5" s="1"/>
  <c r="DH127" i="5" s="1"/>
  <c r="DM123" i="5" s="1"/>
  <c r="AT130" i="5"/>
  <c r="AT131" i="5" s="1"/>
  <c r="AS126" i="5"/>
  <c r="AT123" i="5"/>
  <c r="AT126" i="5" s="1"/>
  <c r="CX158" i="5"/>
  <c r="BJ158" i="5"/>
  <c r="V205" i="5"/>
  <c r="V203" i="5"/>
  <c r="DF199" i="5"/>
  <c r="DF202" i="5" s="1"/>
  <c r="DH194" i="5"/>
  <c r="DH199" i="5" s="1"/>
  <c r="DH202" i="5" s="1"/>
  <c r="AQ130" i="5"/>
  <c r="AQ131" i="5" s="1"/>
  <c r="CM207" i="5"/>
  <c r="CN200" i="5"/>
  <c r="CN207" i="5" s="1"/>
  <c r="AB190" i="5"/>
  <c r="AB191" i="5" s="1"/>
  <c r="AO203" i="5"/>
  <c r="AO205" i="5"/>
  <c r="CM191" i="5"/>
  <c r="CN190" i="5"/>
  <c r="CN191" i="5" s="1"/>
  <c r="DZ69" i="4"/>
  <c r="AF91" i="4"/>
  <c r="AF80" i="4"/>
  <c r="AF85" i="4" s="1"/>
  <c r="AJ64" i="5" s="1"/>
  <c r="AF33" i="4"/>
  <c r="AK110" i="4" s="1"/>
  <c r="DC122" i="4"/>
  <c r="DC87" i="4"/>
  <c r="DC90" i="4" s="1"/>
  <c r="BW110" i="4"/>
  <c r="BW100" i="4"/>
  <c r="BW92" i="4"/>
  <c r="BW35" i="4"/>
  <c r="AY100" i="4"/>
  <c r="AY92" i="4"/>
  <c r="AY35" i="4"/>
  <c r="AP80" i="4"/>
  <c r="AP85" i="4" s="1"/>
  <c r="AR64" i="5" s="1"/>
  <c r="AP91" i="4"/>
  <c r="AP33" i="4"/>
  <c r="DP110" i="4"/>
  <c r="DP100" i="4"/>
  <c r="DP92" i="4"/>
  <c r="DP35" i="4"/>
  <c r="AJ109" i="4"/>
  <c r="AJ87" i="4"/>
  <c r="AJ90" i="4" s="1"/>
  <c r="AJ86" i="4"/>
  <c r="T109" i="4"/>
  <c r="T87" i="4"/>
  <c r="T90" i="4" s="1"/>
  <c r="T86" i="4"/>
  <c r="BM110" i="4"/>
  <c r="BM100" i="4"/>
  <c r="BM92" i="4"/>
  <c r="BM35" i="4"/>
  <c r="BR109" i="4"/>
  <c r="BR86" i="4"/>
  <c r="BR87" i="4"/>
  <c r="BR90" i="4" s="1"/>
  <c r="DA59" i="4"/>
  <c r="DA48" i="4"/>
  <c r="DA47" i="4"/>
  <c r="BH109" i="4"/>
  <c r="BH87" i="4"/>
  <c r="BH90" i="4" s="1"/>
  <c r="BH86" i="4"/>
  <c r="BU129" i="4"/>
  <c r="BU65" i="4"/>
  <c r="BU59" i="4"/>
  <c r="BU47" i="4"/>
  <c r="K109" i="4"/>
  <c r="K87" i="4"/>
  <c r="K90" i="4" s="1"/>
  <c r="K86" i="4"/>
  <c r="CK110" i="4"/>
  <c r="CK100" i="4"/>
  <c r="CK92" i="4"/>
  <c r="CK35" i="4"/>
  <c r="CI91" i="4"/>
  <c r="CI33" i="4"/>
  <c r="X65" i="4"/>
  <c r="X59" i="4"/>
  <c r="X47" i="4"/>
  <c r="BL100" i="4"/>
  <c r="BL92" i="4"/>
  <c r="BL35" i="4"/>
  <c r="Z110" i="4"/>
  <c r="Z100" i="4"/>
  <c r="Z92" i="4"/>
  <c r="Z35" i="4"/>
  <c r="DD91" i="4"/>
  <c r="DD80" i="4"/>
  <c r="DD33" i="4"/>
  <c r="CU110" i="4"/>
  <c r="CU100" i="4"/>
  <c r="CU92" i="4"/>
  <c r="CU35" i="4"/>
  <c r="CB110" i="4"/>
  <c r="DP122" i="4"/>
  <c r="DP109" i="4"/>
  <c r="DP87" i="4"/>
  <c r="DP90" i="4" s="1"/>
  <c r="DP86" i="4"/>
  <c r="AH109" i="4"/>
  <c r="AH86" i="4"/>
  <c r="AH87" i="4"/>
  <c r="AH90" i="4" s="1"/>
  <c r="AM85" i="4"/>
  <c r="AR65" i="4"/>
  <c r="AR59" i="4"/>
  <c r="AR47" i="4"/>
  <c r="DU109" i="4"/>
  <c r="H89" i="4"/>
  <c r="H27" i="4"/>
  <c r="CO59" i="4"/>
  <c r="CO48" i="4"/>
  <c r="CO47" i="4"/>
  <c r="CY122" i="4"/>
  <c r="CY109" i="4"/>
  <c r="CY87" i="4"/>
  <c r="CY90" i="4" s="1"/>
  <c r="CY86" i="4"/>
  <c r="CY132" i="4"/>
  <c r="DH91" i="4"/>
  <c r="DH33" i="4"/>
  <c r="Y109" i="4"/>
  <c r="Y86" i="4"/>
  <c r="Y87" i="4"/>
  <c r="Y90" i="4" s="1"/>
  <c r="Z109" i="4"/>
  <c r="Z86" i="4"/>
  <c r="Z87" i="4"/>
  <c r="Z90" i="4" s="1"/>
  <c r="AD112" i="4"/>
  <c r="AD66" i="4"/>
  <c r="S110" i="4"/>
  <c r="S100" i="4"/>
  <c r="S92" i="4"/>
  <c r="S35" i="4"/>
  <c r="AI109" i="4"/>
  <c r="AI87" i="4"/>
  <c r="AI90" i="4" s="1"/>
  <c r="AI86" i="4"/>
  <c r="BV109" i="4"/>
  <c r="BV86" i="4"/>
  <c r="BV87" i="4"/>
  <c r="BV90" i="4" s="1"/>
  <c r="CU109" i="4"/>
  <c r="CU87" i="4"/>
  <c r="CU90" i="4" s="1"/>
  <c r="CU86" i="4"/>
  <c r="AK92" i="4"/>
  <c r="AK35" i="4"/>
  <c r="AK100" i="4"/>
  <c r="E65" i="4"/>
  <c r="E47" i="4"/>
  <c r="E59" i="4"/>
  <c r="DV91" i="4"/>
  <c r="DV80" i="4"/>
  <c r="DV85" i="4" s="1"/>
  <c r="DV33" i="4"/>
  <c r="AV100" i="4"/>
  <c r="AV92" i="4"/>
  <c r="AV35" i="4"/>
  <c r="BJ103" i="4"/>
  <c r="CQ48" i="4"/>
  <c r="CQ47" i="4"/>
  <c r="CQ59" i="4"/>
  <c r="BE108" i="4"/>
  <c r="BE89" i="4"/>
  <c r="BE27" i="4"/>
  <c r="P65" i="4"/>
  <c r="P47" i="4"/>
  <c r="P59" i="4"/>
  <c r="I128" i="4"/>
  <c r="I49" i="4"/>
  <c r="AS109" i="4"/>
  <c r="AS86" i="4"/>
  <c r="AS87" i="4"/>
  <c r="AS90" i="4" s="1"/>
  <c r="AW100" i="4"/>
  <c r="AW92" i="4"/>
  <c r="AW35" i="4"/>
  <c r="AO65" i="4"/>
  <c r="AO47" i="4"/>
  <c r="AO59" i="4"/>
  <c r="BS110" i="4"/>
  <c r="BS92" i="4"/>
  <c r="BS100" i="4"/>
  <c r="BS35" i="4"/>
  <c r="CX91" i="4"/>
  <c r="CX33" i="4"/>
  <c r="BR110" i="4"/>
  <c r="BR100" i="4"/>
  <c r="BR92" i="4"/>
  <c r="BR35" i="4"/>
  <c r="AE109" i="4"/>
  <c r="AE87" i="4"/>
  <c r="AE90" i="4" s="1"/>
  <c r="AE86" i="4"/>
  <c r="CA109" i="4"/>
  <c r="CA87" i="4"/>
  <c r="CA90" i="4" s="1"/>
  <c r="CA86" i="4"/>
  <c r="CX54" i="4"/>
  <c r="CV57" i="4"/>
  <c r="AN109" i="4"/>
  <c r="BH110" i="4"/>
  <c r="BH100" i="4"/>
  <c r="BH92" i="4"/>
  <c r="BH35" i="4"/>
  <c r="BC110" i="4"/>
  <c r="BC92" i="4"/>
  <c r="BC100" i="4"/>
  <c r="BC35" i="4"/>
  <c r="CG109" i="4"/>
  <c r="CG86" i="4"/>
  <c r="CG87" i="4"/>
  <c r="CG90" i="4" s="1"/>
  <c r="DS80" i="4"/>
  <c r="DS91" i="4"/>
  <c r="DS33" i="4"/>
  <c r="DE110" i="4"/>
  <c r="DE100" i="4"/>
  <c r="DE54" i="4" s="1"/>
  <c r="DE58" i="4" s="1"/>
  <c r="DE92" i="4"/>
  <c r="DE35" i="4"/>
  <c r="DJ122" i="4"/>
  <c r="DJ109" i="4"/>
  <c r="DJ86" i="4"/>
  <c r="DJ87" i="4"/>
  <c r="DJ90" i="4" s="1"/>
  <c r="CB109" i="4"/>
  <c r="DU110" i="4"/>
  <c r="CM93" i="4"/>
  <c r="CM63" i="4"/>
  <c r="BB91" i="4"/>
  <c r="BB80" i="4"/>
  <c r="BB85" i="4" s="1"/>
  <c r="BB33" i="4"/>
  <c r="BQ86" i="4"/>
  <c r="BQ109" i="4"/>
  <c r="BQ87" i="4"/>
  <c r="BQ90" i="4" s="1"/>
  <c r="AS65" i="4"/>
  <c r="AS47" i="4"/>
  <c r="AS59" i="4"/>
  <c r="CH110" i="4"/>
  <c r="CH100" i="4"/>
  <c r="CH92" i="4"/>
  <c r="CH35" i="4"/>
  <c r="CM110" i="4"/>
  <c r="K110" i="4"/>
  <c r="K100" i="4"/>
  <c r="K92" i="4"/>
  <c r="K35" i="4"/>
  <c r="DN91" i="4"/>
  <c r="DN80" i="4"/>
  <c r="DN33" i="4"/>
  <c r="DR91" i="4"/>
  <c r="DR33" i="4"/>
  <c r="DY76" i="4"/>
  <c r="DX77" i="4"/>
  <c r="AB103" i="4"/>
  <c r="R108" i="4"/>
  <c r="R89" i="4"/>
  <c r="R27" i="4"/>
  <c r="DP133" i="4"/>
  <c r="DO122" i="4"/>
  <c r="DO109" i="4"/>
  <c r="DO87" i="4"/>
  <c r="DO90" i="4" s="1"/>
  <c r="DO86" i="4"/>
  <c r="AA91" i="4"/>
  <c r="AA80" i="4"/>
  <c r="AA33" i="4"/>
  <c r="P109" i="4"/>
  <c r="P87" i="4"/>
  <c r="P90" i="4" s="1"/>
  <c r="P86" i="4"/>
  <c r="DG80" i="4"/>
  <c r="DG85" i="4" s="1"/>
  <c r="DG91" i="4"/>
  <c r="DG33" i="4"/>
  <c r="AM110" i="4"/>
  <c r="AM92" i="4"/>
  <c r="AM35" i="4"/>
  <c r="AM100" i="4"/>
  <c r="AR110" i="4"/>
  <c r="CW59" i="4"/>
  <c r="CW48" i="4"/>
  <c r="CW47" i="4"/>
  <c r="BD110" i="4"/>
  <c r="BD100" i="4"/>
  <c r="BD92" i="4"/>
  <c r="BD35" i="4"/>
  <c r="CZ110" i="4"/>
  <c r="CZ100" i="4"/>
  <c r="CZ54" i="4" s="1"/>
  <c r="CZ92" i="4"/>
  <c r="CZ35" i="4"/>
  <c r="U109" i="4"/>
  <c r="BZ110" i="4"/>
  <c r="BZ100" i="4"/>
  <c r="BZ92" i="4"/>
  <c r="BZ35" i="4"/>
  <c r="L92" i="4"/>
  <c r="L35" i="4"/>
  <c r="L100" i="4"/>
  <c r="T65" i="4"/>
  <c r="Y112" i="4" s="1"/>
  <c r="T47" i="4"/>
  <c r="T59" i="4"/>
  <c r="CT109" i="4"/>
  <c r="CT86" i="4"/>
  <c r="CT87" i="4"/>
  <c r="CT90" i="4" s="1"/>
  <c r="CM128" i="4"/>
  <c r="CM61" i="4"/>
  <c r="CM49" i="4"/>
  <c r="CN91" i="4"/>
  <c r="CN33" i="4"/>
  <c r="I87" i="4"/>
  <c r="I90" i="4" s="1"/>
  <c r="J110" i="4"/>
  <c r="J100" i="4"/>
  <c r="J92" i="4"/>
  <c r="J35" i="4"/>
  <c r="CH109" i="4"/>
  <c r="CH86" i="4"/>
  <c r="CH87" i="4"/>
  <c r="CH90" i="4" s="1"/>
  <c r="DB59" i="4"/>
  <c r="DB47" i="4"/>
  <c r="DB48" i="4"/>
  <c r="CE110" i="4"/>
  <c r="CE100" i="4"/>
  <c r="CE92" i="4"/>
  <c r="CE35" i="4"/>
  <c r="EA71" i="4"/>
  <c r="AB108" i="4"/>
  <c r="AB89" i="4"/>
  <c r="AB27" i="4"/>
  <c r="DK58" i="4"/>
  <c r="DK132" i="4" s="1"/>
  <c r="DK133" i="4" s="1"/>
  <c r="W108" i="4"/>
  <c r="W89" i="4"/>
  <c r="W27" i="4"/>
  <c r="AD128" i="4"/>
  <c r="AD49" i="4"/>
  <c r="AK85" i="4"/>
  <c r="AO64" i="5" s="1"/>
  <c r="AO109" i="4"/>
  <c r="DT110" i="4"/>
  <c r="DT100" i="4"/>
  <c r="DT92" i="4"/>
  <c r="DT35" i="4"/>
  <c r="BY87" i="4"/>
  <c r="BY90" i="4" s="1"/>
  <c r="BM109" i="4"/>
  <c r="BM86" i="4"/>
  <c r="BM87" i="4"/>
  <c r="BM90" i="4" s="1"/>
  <c r="F100" i="4"/>
  <c r="F92" i="4"/>
  <c r="F35" i="4"/>
  <c r="BD109" i="4"/>
  <c r="BD87" i="4"/>
  <c r="BD90" i="4" s="1"/>
  <c r="BD86" i="4"/>
  <c r="BS109" i="4"/>
  <c r="BS87" i="4"/>
  <c r="BS90" i="4" s="1"/>
  <c r="BS86" i="4"/>
  <c r="AH128" i="4"/>
  <c r="AH49" i="4"/>
  <c r="AC109" i="4"/>
  <c r="AC86" i="4"/>
  <c r="AC87" i="4"/>
  <c r="AC90" i="4" s="1"/>
  <c r="CA110" i="4"/>
  <c r="CA100" i="4"/>
  <c r="CA92" i="4"/>
  <c r="CA35" i="4"/>
  <c r="CZ122" i="4"/>
  <c r="CZ109" i="4"/>
  <c r="CZ87" i="4"/>
  <c r="CZ90" i="4" s="1"/>
  <c r="CZ86" i="4"/>
  <c r="CZ132" i="4"/>
  <c r="D100" i="4"/>
  <c r="D92" i="4"/>
  <c r="D35" i="4"/>
  <c r="I110" i="4"/>
  <c r="CV59" i="4"/>
  <c r="CV48" i="4"/>
  <c r="CV47" i="4"/>
  <c r="X87" i="4"/>
  <c r="X90" i="4" s="1"/>
  <c r="DW108" i="4"/>
  <c r="DW89" i="4"/>
  <c r="DW67" i="4"/>
  <c r="DW27" i="4"/>
  <c r="BN110" i="4"/>
  <c r="BN100" i="4"/>
  <c r="BN92" i="4"/>
  <c r="BN35" i="4"/>
  <c r="CD80" i="4"/>
  <c r="CD85" i="4" s="1"/>
  <c r="CC64" i="5" s="1"/>
  <c r="BZ85" i="4"/>
  <c r="CA64" i="5" s="1"/>
  <c r="BC109" i="4"/>
  <c r="BC87" i="4"/>
  <c r="BC90" i="4" s="1"/>
  <c r="BC86" i="4"/>
  <c r="L87" i="4"/>
  <c r="L90" i="4" s="1"/>
  <c r="AJ65" i="4"/>
  <c r="AJ47" i="4"/>
  <c r="AJ59" i="4"/>
  <c r="BY108" i="4"/>
  <c r="BY89" i="4"/>
  <c r="BY67" i="4"/>
  <c r="BY27" i="4"/>
  <c r="CX80" i="4"/>
  <c r="CX85" i="4" s="1"/>
  <c r="CW64" i="5" s="1"/>
  <c r="CC110" i="4"/>
  <c r="CC100" i="4"/>
  <c r="CC92" i="4"/>
  <c r="CC35" i="4"/>
  <c r="CF110" i="4"/>
  <c r="CF100" i="4"/>
  <c r="CF92" i="4"/>
  <c r="CF35" i="4"/>
  <c r="DF122" i="4"/>
  <c r="DF109" i="4"/>
  <c r="DF86" i="4"/>
  <c r="DF87" i="4"/>
  <c r="DF90" i="4" s="1"/>
  <c r="DF132" i="4"/>
  <c r="M80" i="4"/>
  <c r="M85" i="4" s="1"/>
  <c r="L64" i="5" s="1"/>
  <c r="DC91" i="4"/>
  <c r="DC33" i="4"/>
  <c r="DC132" i="4"/>
  <c r="BI109" i="4"/>
  <c r="BI86" i="4"/>
  <c r="BI87" i="4"/>
  <c r="BI90" i="4" s="1"/>
  <c r="BP100" i="4"/>
  <c r="BP92" i="4"/>
  <c r="BP35" i="4"/>
  <c r="DJ48" i="4"/>
  <c r="DK45" i="4"/>
  <c r="DK47" i="4" s="1"/>
  <c r="Y93" i="4"/>
  <c r="Y63" i="4"/>
  <c r="AC93" i="4"/>
  <c r="AC63" i="4"/>
  <c r="AD109" i="4"/>
  <c r="CP110" i="4"/>
  <c r="CP100" i="4"/>
  <c r="CP92" i="4"/>
  <c r="CP35" i="4"/>
  <c r="AL108" i="4"/>
  <c r="AL89" i="4"/>
  <c r="AL27" i="4"/>
  <c r="BJ108" i="4"/>
  <c r="M103" i="4"/>
  <c r="CR128" i="4"/>
  <c r="CR61" i="4"/>
  <c r="U65" i="4"/>
  <c r="U47" i="4"/>
  <c r="U59" i="4"/>
  <c r="AX100" i="4"/>
  <c r="AX92" i="4"/>
  <c r="AX35" i="4"/>
  <c r="S85" i="4"/>
  <c r="N85" i="4"/>
  <c r="N64" i="5" s="1"/>
  <c r="AZ80" i="4"/>
  <c r="AZ85" i="4" s="1"/>
  <c r="AV85" i="4"/>
  <c r="I93" i="4"/>
  <c r="I63" i="4"/>
  <c r="AT80" i="4"/>
  <c r="AT85" i="4" s="1"/>
  <c r="AT91" i="4"/>
  <c r="AT33" i="4"/>
  <c r="AH112" i="4"/>
  <c r="AH66" i="4"/>
  <c r="DI91" i="4"/>
  <c r="DI80" i="4"/>
  <c r="DI33" i="4"/>
  <c r="DE122" i="4"/>
  <c r="DE109" i="4"/>
  <c r="DE86" i="4"/>
  <c r="DE87" i="4"/>
  <c r="DE90" i="4" s="1"/>
  <c r="DE132" i="4"/>
  <c r="DF110" i="4"/>
  <c r="DF92" i="4"/>
  <c r="DF35" i="4"/>
  <c r="BI110" i="4"/>
  <c r="BI100" i="4"/>
  <c r="BI92" i="4"/>
  <c r="BI35" i="4"/>
  <c r="AC128" i="4"/>
  <c r="AC49" i="4"/>
  <c r="DO133" i="4"/>
  <c r="CR93" i="4"/>
  <c r="CR63" i="4"/>
  <c r="AN65" i="4"/>
  <c r="AN47" i="4"/>
  <c r="AN59" i="4"/>
  <c r="CN87" i="4"/>
  <c r="CN90" i="4" s="1"/>
  <c r="BA91" i="4"/>
  <c r="BA80" i="4"/>
  <c r="BA33" i="4"/>
  <c r="CS109" i="4"/>
  <c r="CS86" i="4"/>
  <c r="CS87" i="4"/>
  <c r="CS90" i="4" s="1"/>
  <c r="O110" i="4"/>
  <c r="O100" i="4"/>
  <c r="O92" i="4"/>
  <c r="O35" i="4"/>
  <c r="CJ110" i="4"/>
  <c r="CL110" i="4"/>
  <c r="CL100" i="4"/>
  <c r="CL92" i="4"/>
  <c r="CL35" i="4"/>
  <c r="DO110" i="4"/>
  <c r="DO92" i="4"/>
  <c r="DO100" i="4"/>
  <c r="DO35" i="4"/>
  <c r="AR109" i="4"/>
  <c r="AR87" i="4"/>
  <c r="AR90" i="4" s="1"/>
  <c r="AR86" i="4"/>
  <c r="DK110" i="4"/>
  <c r="CJ87" i="4"/>
  <c r="CJ90" i="4" s="1"/>
  <c r="BL87" i="4"/>
  <c r="BL90" i="4" s="1"/>
  <c r="BW109" i="4"/>
  <c r="BW87" i="4"/>
  <c r="BW90" i="4" s="1"/>
  <c r="BW86" i="4"/>
  <c r="BX129" i="4"/>
  <c r="BX65" i="4"/>
  <c r="BX59" i="4"/>
  <c r="BX47" i="4"/>
  <c r="AD93" i="4"/>
  <c r="AD63" i="4"/>
  <c r="AI110" i="4"/>
  <c r="AI100" i="4"/>
  <c r="AI92" i="4"/>
  <c r="AI35" i="4"/>
  <c r="BV110" i="4"/>
  <c r="BV100" i="4"/>
  <c r="BV92" i="4"/>
  <c r="BV35" i="4"/>
  <c r="CB129" i="4"/>
  <c r="CB65" i="4"/>
  <c r="CB59" i="4"/>
  <c r="CB47" i="4"/>
  <c r="CO109" i="4"/>
  <c r="CO86" i="4"/>
  <c r="CO87" i="4"/>
  <c r="CO90" i="4" s="1"/>
  <c r="N110" i="4"/>
  <c r="N100" i="4"/>
  <c r="N92" i="4"/>
  <c r="N35" i="4"/>
  <c r="AL80" i="4"/>
  <c r="AL85" i="4" s="1"/>
  <c r="AK64" i="5" s="1"/>
  <c r="Q80" i="4"/>
  <c r="Q85" i="4" s="1"/>
  <c r="T64" i="5" s="1"/>
  <c r="Q91" i="4"/>
  <c r="Q33" i="4"/>
  <c r="O109" i="4"/>
  <c r="O87" i="4"/>
  <c r="O90" i="4" s="1"/>
  <c r="O86" i="4"/>
  <c r="AZ91" i="4"/>
  <c r="AZ33" i="4"/>
  <c r="V80" i="4"/>
  <c r="V85" i="4" s="1"/>
  <c r="Z64" i="5" s="1"/>
  <c r="V91" i="4"/>
  <c r="V33" i="4"/>
  <c r="DT122" i="4"/>
  <c r="DT109" i="4"/>
  <c r="DT87" i="4"/>
  <c r="DT90" i="4" s="1"/>
  <c r="DT86" i="4"/>
  <c r="BU87" i="4"/>
  <c r="BU90" i="4" s="1"/>
  <c r="CQ110" i="4"/>
  <c r="CJ129" i="4"/>
  <c r="CJ65" i="4"/>
  <c r="CJ59" i="4"/>
  <c r="CJ47" i="4"/>
  <c r="BG80" i="4"/>
  <c r="BG85" i="4" s="1"/>
  <c r="BL86" i="4" s="1"/>
  <c r="BG91" i="4"/>
  <c r="BG33" i="4"/>
  <c r="BL110" i="4" s="1"/>
  <c r="CL109" i="4"/>
  <c r="CL86" i="4"/>
  <c r="CL87" i="4"/>
  <c r="CL90" i="4" s="1"/>
  <c r="DM91" i="4"/>
  <c r="DM33" i="4"/>
  <c r="CW57" i="4"/>
  <c r="CW58" i="4" s="1"/>
  <c r="DL91" i="4"/>
  <c r="DL80" i="4"/>
  <c r="DL85" i="4" s="1"/>
  <c r="DL33" i="4"/>
  <c r="AH93" i="4"/>
  <c r="AH63" i="4"/>
  <c r="AG80" i="4"/>
  <c r="AG85" i="4" s="1"/>
  <c r="AF64" i="5" s="1"/>
  <c r="CM86" i="4"/>
  <c r="AE110" i="4"/>
  <c r="AE100" i="4"/>
  <c r="AE92" i="4"/>
  <c r="AE35" i="4"/>
  <c r="D85" i="4"/>
  <c r="D87" i="4" s="1"/>
  <c r="D90" i="4" s="1"/>
  <c r="CT48" i="4"/>
  <c r="CT47" i="4"/>
  <c r="CT59" i="4"/>
  <c r="BN109" i="4"/>
  <c r="BN86" i="4"/>
  <c r="BN87" i="4"/>
  <c r="BN90" i="4" s="1"/>
  <c r="CG110" i="4"/>
  <c r="CG100" i="4"/>
  <c r="CG92" i="4"/>
  <c r="CG35" i="4"/>
  <c r="DJ110" i="4"/>
  <c r="DJ100" i="4"/>
  <c r="DJ54" i="4" s="1"/>
  <c r="DJ92" i="4"/>
  <c r="DJ35" i="4"/>
  <c r="CY48" i="4"/>
  <c r="CY47" i="4"/>
  <c r="CY59" i="4"/>
  <c r="CR112" i="4"/>
  <c r="CR66" i="4"/>
  <c r="CC109" i="4"/>
  <c r="CC86" i="4"/>
  <c r="CC87" i="4"/>
  <c r="CC90" i="4" s="1"/>
  <c r="BQ110" i="4"/>
  <c r="BQ100" i="4"/>
  <c r="BQ92" i="4"/>
  <c r="BQ35" i="4"/>
  <c r="CF109" i="4"/>
  <c r="CF87" i="4"/>
  <c r="CF90" i="4" s="1"/>
  <c r="CF86" i="4"/>
  <c r="BX86" i="4"/>
  <c r="J109" i="4"/>
  <c r="J86" i="4"/>
  <c r="J87" i="4"/>
  <c r="J90" i="4" s="1"/>
  <c r="DQ80" i="4"/>
  <c r="DQ85" i="4" s="1"/>
  <c r="DQ91" i="4"/>
  <c r="DQ33" i="4"/>
  <c r="BK80" i="4"/>
  <c r="BK91" i="4"/>
  <c r="BK33" i="4"/>
  <c r="BP85" i="4"/>
  <c r="BP64" i="5" s="1"/>
  <c r="BT80" i="4"/>
  <c r="BT85" i="4" s="1"/>
  <c r="BS64" i="5" s="1"/>
  <c r="CI80" i="4"/>
  <c r="CI85" i="4" s="1"/>
  <c r="CH64" i="5" s="1"/>
  <c r="CE85" i="4"/>
  <c r="CE64" i="5" s="1"/>
  <c r="CK109" i="4"/>
  <c r="CK86" i="4"/>
  <c r="CK87" i="4"/>
  <c r="CK90" i="4" s="1"/>
  <c r="DJ77" i="4"/>
  <c r="DK76" i="4"/>
  <c r="DK77" i="4" s="1"/>
  <c r="DK177" i="5" s="1"/>
  <c r="DK181" i="5" s="1"/>
  <c r="Y128" i="4"/>
  <c r="Y49" i="4"/>
  <c r="AC112" i="4"/>
  <c r="AC66" i="4"/>
  <c r="G91" i="4"/>
  <c r="G80" i="4"/>
  <c r="G85" i="4" s="1"/>
  <c r="I64" i="5" s="1"/>
  <c r="G33" i="4"/>
  <c r="L110" i="4" s="1"/>
  <c r="BF91" i="4"/>
  <c r="BF80" i="4"/>
  <c r="BF33" i="4"/>
  <c r="CP109" i="4"/>
  <c r="CP86" i="4"/>
  <c r="CP87" i="4"/>
  <c r="CP90" i="4" s="1"/>
  <c r="CS91" i="4"/>
  <c r="CS33" i="4"/>
  <c r="AQ91" i="4"/>
  <c r="AQ33" i="4"/>
  <c r="R103" i="4"/>
  <c r="AG108" i="4"/>
  <c r="AG89" i="4"/>
  <c r="AG27" i="4"/>
  <c r="M108" i="4"/>
  <c r="M89" i="4"/>
  <c r="M27" i="4"/>
  <c r="EC75" i="4"/>
  <c r="CM108" i="5" l="1"/>
  <c r="CM110" i="5" s="1"/>
  <c r="BT40" i="7"/>
  <c r="AX64" i="5"/>
  <c r="AX63" i="5" s="1"/>
  <c r="AQ80" i="4"/>
  <c r="AQ85" i="4" s="1"/>
  <c r="AP64" i="5" s="1"/>
  <c r="DL223" i="7"/>
  <c r="Y108" i="5"/>
  <c r="Y110" i="5" s="1"/>
  <c r="ED72" i="10"/>
  <c r="EE68" i="10"/>
  <c r="EE71" i="10" s="1"/>
  <c r="DZ170" i="10"/>
  <c r="DZ173" i="10" s="1"/>
  <c r="DY174" i="10"/>
  <c r="AL70" i="8"/>
  <c r="AF70" i="8"/>
  <c r="M79" i="8"/>
  <c r="DS406" i="7"/>
  <c r="DS21" i="8" s="1"/>
  <c r="DS45" i="8" s="1"/>
  <c r="DK152" i="7"/>
  <c r="BY13" i="7"/>
  <c r="W75" i="8"/>
  <c r="AL79" i="8"/>
  <c r="AQ13" i="7"/>
  <c r="AD108" i="5"/>
  <c r="AD110" i="5" s="1"/>
  <c r="R16" i="7"/>
  <c r="S64" i="5"/>
  <c r="H63" i="8"/>
  <c r="H33" i="8"/>
  <c r="M34" i="8" s="1"/>
  <c r="H31" i="8"/>
  <c r="M32" i="8" s="1"/>
  <c r="H203" i="5"/>
  <c r="DH191" i="5"/>
  <c r="DB214" i="10"/>
  <c r="DC214" i="10" s="1"/>
  <c r="DD209" i="10"/>
  <c r="BJ194" i="5"/>
  <c r="BJ199" i="5" s="1"/>
  <c r="BJ202" i="5" s="1"/>
  <c r="CR108" i="5"/>
  <c r="CR110" i="5" s="1"/>
  <c r="EB9" i="4"/>
  <c r="I63" i="5"/>
  <c r="I61" i="5"/>
  <c r="I62" i="5"/>
  <c r="CA61" i="5"/>
  <c r="CA62" i="5"/>
  <c r="CA63" i="5"/>
  <c r="AR63" i="5"/>
  <c r="AR62" i="5"/>
  <c r="AR61" i="5"/>
  <c r="T63" i="5"/>
  <c r="T61" i="5"/>
  <c r="T62" i="5"/>
  <c r="DK107" i="5"/>
  <c r="DK101" i="5"/>
  <c r="DK74" i="4"/>
  <c r="DL74" i="4" s="1"/>
  <c r="DN74" i="4" s="1"/>
  <c r="DO74" i="4" s="1"/>
  <c r="DP74" i="4" s="1"/>
  <c r="DQ74" i="4" s="1"/>
  <c r="DJ177" i="5"/>
  <c r="CE61" i="5"/>
  <c r="CE63" i="5"/>
  <c r="CE62" i="5"/>
  <c r="H80" i="4"/>
  <c r="H85" i="4" s="1"/>
  <c r="AV87" i="4"/>
  <c r="AV90" i="4" s="1"/>
  <c r="AV64" i="5"/>
  <c r="AV63" i="5" s="1"/>
  <c r="W80" i="4"/>
  <c r="W85" i="4" s="1"/>
  <c r="V64" i="5" s="1"/>
  <c r="CR62" i="4"/>
  <c r="AO63" i="5"/>
  <c r="AO61" i="5"/>
  <c r="AO62" i="5"/>
  <c r="DB107" i="5"/>
  <c r="DB101" i="5"/>
  <c r="AO107" i="5"/>
  <c r="AO101" i="5"/>
  <c r="AR101" i="5"/>
  <c r="AR107" i="5"/>
  <c r="AM64" i="5"/>
  <c r="X101" i="5"/>
  <c r="X107" i="5"/>
  <c r="BU101" i="5"/>
  <c r="BU107" i="5"/>
  <c r="DC109" i="4"/>
  <c r="AQ57" i="8"/>
  <c r="AZ57" i="8"/>
  <c r="AZ66" i="8"/>
  <c r="AZ39" i="8"/>
  <c r="AZ30" i="8"/>
  <c r="AZ75" i="8"/>
  <c r="CU61" i="5"/>
  <c r="CU63" i="5"/>
  <c r="CU62" i="5"/>
  <c r="AA71" i="7"/>
  <c r="AA75" i="7"/>
  <c r="AA83" i="7"/>
  <c r="AA29" i="7"/>
  <c r="AA28" i="7" s="1"/>
  <c r="AA84" i="7"/>
  <c r="CS71" i="7"/>
  <c r="CS75" i="7"/>
  <c r="CS84" i="7"/>
  <c r="CS83" i="7"/>
  <c r="CS79" i="7"/>
  <c r="AM28" i="7"/>
  <c r="R75" i="7"/>
  <c r="W150" i="7" s="1"/>
  <c r="R71" i="7"/>
  <c r="R79" i="7"/>
  <c r="R84" i="7"/>
  <c r="AS150" i="7"/>
  <c r="BV61" i="5"/>
  <c r="BV63" i="5"/>
  <c r="BV62" i="5"/>
  <c r="DA62" i="5"/>
  <c r="DA61" i="5"/>
  <c r="DA63" i="5"/>
  <c r="P150" i="7"/>
  <c r="CN221" i="7"/>
  <c r="CN141" i="7"/>
  <c r="CN146" i="7"/>
  <c r="CN157" i="7"/>
  <c r="CN149" i="7"/>
  <c r="AB11" i="7"/>
  <c r="AB22" i="8" s="1"/>
  <c r="N28" i="7"/>
  <c r="CI71" i="7"/>
  <c r="CI75" i="7"/>
  <c r="CI83" i="7"/>
  <c r="CI84" i="7"/>
  <c r="S28" i="7"/>
  <c r="G75" i="7"/>
  <c r="G84" i="7"/>
  <c r="G71" i="7"/>
  <c r="G29" i="7"/>
  <c r="G28" i="7" s="1"/>
  <c r="R154" i="7"/>
  <c r="BW63" i="5"/>
  <c r="BW61" i="5"/>
  <c r="BW62" i="5"/>
  <c r="BE75" i="8"/>
  <c r="BE30" i="8"/>
  <c r="BE57" i="8"/>
  <c r="BE66" i="8"/>
  <c r="BE39" i="8"/>
  <c r="CN63" i="5"/>
  <c r="CN61" i="5"/>
  <c r="CN62" i="5"/>
  <c r="AL77" i="8"/>
  <c r="M61" i="8"/>
  <c r="R61" i="8"/>
  <c r="BO27" i="4"/>
  <c r="BO108" i="4"/>
  <c r="BO89" i="4"/>
  <c r="BO67" i="4"/>
  <c r="CN29" i="7"/>
  <c r="CN28" i="7" s="1"/>
  <c r="CJ28" i="7"/>
  <c r="BO65" i="8"/>
  <c r="BO29" i="8"/>
  <c r="BO56" i="8"/>
  <c r="BO38" i="8"/>
  <c r="AH28" i="7"/>
  <c r="AK68" i="8"/>
  <c r="AJ150" i="7"/>
  <c r="AI64" i="5"/>
  <c r="CP63" i="5"/>
  <c r="CP62" i="5"/>
  <c r="CP61" i="5"/>
  <c r="AT150" i="7"/>
  <c r="AG80" i="7"/>
  <c r="AG82" i="7"/>
  <c r="M11" i="7"/>
  <c r="M22" i="8" s="1"/>
  <c r="AB29" i="7"/>
  <c r="AB28" i="7" s="1"/>
  <c r="X28" i="7"/>
  <c r="V157" i="7"/>
  <c r="V141" i="7"/>
  <c r="V146" i="7"/>
  <c r="W43" i="8"/>
  <c r="U150" i="7"/>
  <c r="AG16" i="7"/>
  <c r="R57" i="8"/>
  <c r="R30" i="8"/>
  <c r="AW64" i="5"/>
  <c r="AW63" i="5" s="1"/>
  <c r="BY64" i="5"/>
  <c r="BX62" i="5"/>
  <c r="BX61" i="5"/>
  <c r="BX63" i="5"/>
  <c r="M152" i="7"/>
  <c r="G87" i="4"/>
  <c r="G90" i="4" s="1"/>
  <c r="K64" i="5"/>
  <c r="CH62" i="5"/>
  <c r="CI64" i="5"/>
  <c r="CH63" i="5"/>
  <c r="CH61" i="5"/>
  <c r="CT101" i="5"/>
  <c r="CT107" i="5"/>
  <c r="CJ101" i="5"/>
  <c r="CJ107" i="5"/>
  <c r="BX107" i="5"/>
  <c r="BX101" i="5"/>
  <c r="AZ87" i="4"/>
  <c r="AZ90" i="4" s="1"/>
  <c r="AY64" i="5"/>
  <c r="S63" i="5"/>
  <c r="S62" i="5"/>
  <c r="S61" i="5"/>
  <c r="CX64" i="5"/>
  <c r="CW63" i="5"/>
  <c r="CW61" i="5"/>
  <c r="CW62" i="5"/>
  <c r="BZ64" i="5"/>
  <c r="CB64" i="5"/>
  <c r="CV107" i="5"/>
  <c r="CV101" i="5"/>
  <c r="CQ107" i="5"/>
  <c r="CQ101" i="5"/>
  <c r="CO101" i="5"/>
  <c r="CO107" i="5"/>
  <c r="DA107" i="5"/>
  <c r="DA101" i="5"/>
  <c r="W69" i="8"/>
  <c r="W70" i="8" s="1"/>
  <c r="W64" i="8"/>
  <c r="W67" i="8"/>
  <c r="W68" i="8" s="1"/>
  <c r="W65" i="8"/>
  <c r="W66" i="8"/>
  <c r="CF64" i="5"/>
  <c r="H151" i="7"/>
  <c r="H156" i="7"/>
  <c r="H141" i="7" s="1"/>
  <c r="H153" i="7"/>
  <c r="I28" i="7"/>
  <c r="Q157" i="7"/>
  <c r="Q141" i="7"/>
  <c r="Q146" i="7"/>
  <c r="V75" i="7"/>
  <c r="V83" i="7"/>
  <c r="V29" i="7"/>
  <c r="V28" i="7" s="1"/>
  <c r="V84" i="7"/>
  <c r="V71" i="7"/>
  <c r="BT56" i="8"/>
  <c r="BT29" i="8"/>
  <c r="BT38" i="8"/>
  <c r="BT65" i="8"/>
  <c r="G141" i="7"/>
  <c r="G146" i="7"/>
  <c r="J64" i="5"/>
  <c r="H39" i="8"/>
  <c r="AB43" i="8"/>
  <c r="AG43" i="8"/>
  <c r="Q71" i="7"/>
  <c r="Q84" i="7"/>
  <c r="Q29" i="7"/>
  <c r="Q28" i="7" s="1"/>
  <c r="Q83" i="7"/>
  <c r="Q75" i="7"/>
  <c r="AB149" i="7"/>
  <c r="AB141" i="7"/>
  <c r="AB157" i="7"/>
  <c r="AQ80" i="7"/>
  <c r="AQ82" i="7"/>
  <c r="AQ79" i="7" s="1"/>
  <c r="R149" i="7"/>
  <c r="R141" i="7"/>
  <c r="P64" i="5"/>
  <c r="BJ89" i="4"/>
  <c r="BJ27" i="4"/>
  <c r="AL75" i="8"/>
  <c r="AL38" i="8"/>
  <c r="AL56" i="8"/>
  <c r="AL29" i="8"/>
  <c r="CV61" i="5"/>
  <c r="CV63" i="5"/>
  <c r="CV62" i="5"/>
  <c r="J150" i="7"/>
  <c r="AZ221" i="7"/>
  <c r="AF146" i="7"/>
  <c r="AF150" i="7" s="1"/>
  <c r="AF157" i="7"/>
  <c r="AF141" i="7"/>
  <c r="CG64" i="5"/>
  <c r="AG61" i="8"/>
  <c r="AL61" i="8"/>
  <c r="AQ30" i="8"/>
  <c r="AB79" i="8"/>
  <c r="AQ75" i="8"/>
  <c r="Z150" i="7"/>
  <c r="BY84" i="7"/>
  <c r="BY83" i="7"/>
  <c r="CD157" i="7"/>
  <c r="BY79" i="7"/>
  <c r="BY29" i="7"/>
  <c r="BY28" i="7" s="1"/>
  <c r="BY71" i="7"/>
  <c r="BY75" i="7"/>
  <c r="BO141" i="7"/>
  <c r="BO146" i="7"/>
  <c r="BO157" i="7"/>
  <c r="BJ71" i="7"/>
  <c r="BJ75" i="7"/>
  <c r="BJ83" i="7"/>
  <c r="BJ84" i="7"/>
  <c r="BJ29" i="7"/>
  <c r="BJ28" i="7" s="1"/>
  <c r="BJ25" i="8"/>
  <c r="BJ15" i="7"/>
  <c r="BJ16" i="7" s="1"/>
  <c r="CD67" i="4"/>
  <c r="CD27" i="4"/>
  <c r="CI108" i="4"/>
  <c r="CD89" i="4"/>
  <c r="CD29" i="8"/>
  <c r="CD56" i="8"/>
  <c r="CD38" i="8"/>
  <c r="CD65" i="8"/>
  <c r="BT221" i="7"/>
  <c r="AG75" i="8"/>
  <c r="AG39" i="8"/>
  <c r="AG30" i="8"/>
  <c r="AB16" i="7"/>
  <c r="BY57" i="8"/>
  <c r="BY39" i="8"/>
  <c r="BY66" i="8"/>
  <c r="BY30" i="8"/>
  <c r="BY75" i="8"/>
  <c r="AG157" i="7"/>
  <c r="AG141" i="7"/>
  <c r="BT64" i="5"/>
  <c r="BS63" i="5"/>
  <c r="BS62" i="5"/>
  <c r="BS61" i="5"/>
  <c r="AG64" i="5"/>
  <c r="AF62" i="5"/>
  <c r="AF61" i="5"/>
  <c r="AF63" i="5"/>
  <c r="Z63" i="5"/>
  <c r="Z61" i="5"/>
  <c r="Z62" i="5"/>
  <c r="U64" i="5"/>
  <c r="N63" i="5"/>
  <c r="N61" i="5"/>
  <c r="N62" i="5"/>
  <c r="U107" i="5"/>
  <c r="U101" i="5"/>
  <c r="CC62" i="5"/>
  <c r="CC63" i="5"/>
  <c r="CC61" i="5"/>
  <c r="CD64" i="5"/>
  <c r="CW107" i="5"/>
  <c r="CW101" i="5"/>
  <c r="DM77" i="4"/>
  <c r="AS107" i="5"/>
  <c r="AS101" i="5"/>
  <c r="DL80" i="7"/>
  <c r="AK71" i="7"/>
  <c r="AK84" i="7"/>
  <c r="AK29" i="7"/>
  <c r="AK28" i="7" s="1"/>
  <c r="AK83" i="7"/>
  <c r="AK75" i="7"/>
  <c r="W154" i="7"/>
  <c r="W151" i="7"/>
  <c r="W153" i="7"/>
  <c r="W152" i="7"/>
  <c r="W156" i="7"/>
  <c r="W149" i="7" s="1"/>
  <c r="AB79" i="7"/>
  <c r="AB71" i="7"/>
  <c r="AB83" i="7"/>
  <c r="AB75" i="7"/>
  <c r="AG150" i="7" s="1"/>
  <c r="AB84" i="7"/>
  <c r="AP157" i="7"/>
  <c r="AP146" i="7"/>
  <c r="AP141" i="7"/>
  <c r="BT27" i="4"/>
  <c r="BT108" i="4"/>
  <c r="BT89" i="4"/>
  <c r="BT67" i="4"/>
  <c r="G149" i="7"/>
  <c r="AB67" i="8"/>
  <c r="AB65" i="8"/>
  <c r="AB66" i="8"/>
  <c r="AB69" i="8"/>
  <c r="AG70" i="8" s="1"/>
  <c r="AB64" i="8"/>
  <c r="CZ61" i="5"/>
  <c r="CZ63" i="5"/>
  <c r="CZ62" i="5"/>
  <c r="BJ221" i="7"/>
  <c r="BO221" i="7"/>
  <c r="I150" i="7"/>
  <c r="CK63" i="5"/>
  <c r="CK61" i="5"/>
  <c r="CK62" i="5"/>
  <c r="BQ64" i="5"/>
  <c r="AN64" i="5"/>
  <c r="CS63" i="5"/>
  <c r="CS61" i="5"/>
  <c r="CS62" i="5"/>
  <c r="AI150" i="7"/>
  <c r="CI157" i="7"/>
  <c r="CI141" i="7"/>
  <c r="CI146" i="7"/>
  <c r="CI149" i="7"/>
  <c r="BO103" i="4"/>
  <c r="BO25" i="8"/>
  <c r="BO15" i="7"/>
  <c r="BO16" i="7" s="1"/>
  <c r="AC28" i="7"/>
  <c r="AR150" i="7"/>
  <c r="CI29" i="7"/>
  <c r="CI28" i="7" s="1"/>
  <c r="CE28" i="7"/>
  <c r="BE221" i="7"/>
  <c r="W11" i="7"/>
  <c r="W22" i="8" s="1"/>
  <c r="AQ41" i="8"/>
  <c r="AH64" i="5"/>
  <c r="DC63" i="5"/>
  <c r="DC61" i="5"/>
  <c r="DC62" i="5"/>
  <c r="AK157" i="7"/>
  <c r="AK141" i="7"/>
  <c r="AK146" i="7"/>
  <c r="AQ69" i="8"/>
  <c r="AQ70" i="8" s="1"/>
  <c r="AQ65" i="8"/>
  <c r="AQ64" i="8"/>
  <c r="AQ66" i="8"/>
  <c r="AQ67" i="8"/>
  <c r="AQ68" i="8" s="1"/>
  <c r="AD150" i="7"/>
  <c r="CS29" i="7"/>
  <c r="CS28" i="7" s="1"/>
  <c r="CO28" i="7"/>
  <c r="BJ79" i="7"/>
  <c r="W39" i="8"/>
  <c r="BO71" i="7"/>
  <c r="BO29" i="7"/>
  <c r="BO28" i="7" s="1"/>
  <c r="BO83" i="7"/>
  <c r="BO75" i="7"/>
  <c r="BO84" i="7"/>
  <c r="R11" i="7"/>
  <c r="R22" i="8" s="1"/>
  <c r="H11" i="7"/>
  <c r="H22" i="8" s="1"/>
  <c r="AP70" i="8"/>
  <c r="CI221" i="7"/>
  <c r="M16" i="7"/>
  <c r="AB39" i="8"/>
  <c r="AB30" i="8"/>
  <c r="AB57" i="8"/>
  <c r="M141" i="7"/>
  <c r="BP63" i="5"/>
  <c r="BP61" i="5"/>
  <c r="BP62" i="5"/>
  <c r="CY101" i="5"/>
  <c r="CY107" i="5"/>
  <c r="BU109" i="4"/>
  <c r="AK61" i="5"/>
  <c r="AL64" i="5"/>
  <c r="AK63" i="5"/>
  <c r="AK62" i="5"/>
  <c r="CB107" i="5"/>
  <c r="CB101" i="5"/>
  <c r="CJ109" i="4"/>
  <c r="AN107" i="5"/>
  <c r="AN101" i="5"/>
  <c r="R80" i="4"/>
  <c r="R85" i="4" s="1"/>
  <c r="Q64" i="5" s="1"/>
  <c r="M64" i="5"/>
  <c r="L63" i="5"/>
  <c r="L61" i="5"/>
  <c r="L62" i="5"/>
  <c r="AJ107" i="5"/>
  <c r="AJ101" i="5"/>
  <c r="X86" i="4"/>
  <c r="T107" i="5"/>
  <c r="T101" i="5"/>
  <c r="P107" i="5"/>
  <c r="P101" i="5"/>
  <c r="E107" i="5"/>
  <c r="E101" i="5"/>
  <c r="AQ64" i="5"/>
  <c r="AP63" i="5"/>
  <c r="AP61" i="5"/>
  <c r="AP62" i="5"/>
  <c r="AT64" i="5"/>
  <c r="AJ63" i="5"/>
  <c r="AJ61" i="5"/>
  <c r="AJ62" i="5"/>
  <c r="W61" i="8"/>
  <c r="AB61" i="8"/>
  <c r="Y64" i="5"/>
  <c r="AL11" i="7"/>
  <c r="AL22" i="8" s="1"/>
  <c r="Q149" i="7"/>
  <c r="L146" i="7"/>
  <c r="L150" i="7" s="1"/>
  <c r="L157" i="7"/>
  <c r="L141" i="7"/>
  <c r="H82" i="7"/>
  <c r="H79" i="7" s="1"/>
  <c r="BT25" i="8"/>
  <c r="BT15" i="7"/>
  <c r="BT16" i="7" s="1"/>
  <c r="BT103" i="4"/>
  <c r="CL63" i="5"/>
  <c r="CL61" i="5"/>
  <c r="CL62" i="5"/>
  <c r="H57" i="8"/>
  <c r="H30" i="8"/>
  <c r="BY221" i="7"/>
  <c r="AQ157" i="7"/>
  <c r="AL75" i="7"/>
  <c r="AQ150" i="7" s="1"/>
  <c r="AL84" i="7"/>
  <c r="AL83" i="7"/>
  <c r="AL79" i="7"/>
  <c r="AL71" i="7"/>
  <c r="M82" i="7"/>
  <c r="R157" i="7" s="1"/>
  <c r="M80" i="7"/>
  <c r="CS146" i="7"/>
  <c r="CS157" i="7"/>
  <c r="CS141" i="7"/>
  <c r="L71" i="7"/>
  <c r="L84" i="7"/>
  <c r="L83" i="7"/>
  <c r="L75" i="7"/>
  <c r="Q150" i="7" s="1"/>
  <c r="L29" i="7"/>
  <c r="L28" i="7" s="1"/>
  <c r="AP83" i="7"/>
  <c r="AP29" i="7"/>
  <c r="AP28" i="7" s="1"/>
  <c r="AP75" i="7"/>
  <c r="AP71" i="7"/>
  <c r="AP84" i="7"/>
  <c r="D28" i="7"/>
  <c r="H29" i="7"/>
  <c r="H28" i="7" s="1"/>
  <c r="N150" i="7"/>
  <c r="AL57" i="8"/>
  <c r="AL30" i="8"/>
  <c r="X64" i="5"/>
  <c r="BE16" i="7"/>
  <c r="AQ43" i="8"/>
  <c r="AL43" i="8"/>
  <c r="R34" i="8"/>
  <c r="M66" i="8"/>
  <c r="M67" i="8"/>
  <c r="M64" i="8"/>
  <c r="M69" i="8"/>
  <c r="M65" i="8"/>
  <c r="S150" i="7"/>
  <c r="CS221" i="7"/>
  <c r="AK70" i="8"/>
  <c r="AL141" i="7"/>
  <c r="AL157" i="7"/>
  <c r="CD75" i="7"/>
  <c r="CD84" i="7"/>
  <c r="CD29" i="7"/>
  <c r="CD28" i="7" s="1"/>
  <c r="CD71" i="7"/>
  <c r="CD83" i="7"/>
  <c r="AQ11" i="7"/>
  <c r="AQ22" i="8" s="1"/>
  <c r="BT71" i="7"/>
  <c r="BT75" i="7"/>
  <c r="BT29" i="7"/>
  <c r="BT28" i="7" s="1"/>
  <c r="BT84" i="7"/>
  <c r="BT83" i="7"/>
  <c r="W79" i="7"/>
  <c r="W71" i="7"/>
  <c r="W83" i="7"/>
  <c r="W75" i="7"/>
  <c r="AB150" i="7" s="1"/>
  <c r="W84" i="7"/>
  <c r="BR64" i="5"/>
  <c r="CQ61" i="5"/>
  <c r="CQ63" i="5"/>
  <c r="CQ62" i="5"/>
  <c r="AQ79" i="8"/>
  <c r="R79" i="8"/>
  <c r="AS64" i="5"/>
  <c r="CN79" i="7"/>
  <c r="CN75" i="7"/>
  <c r="CN84" i="7"/>
  <c r="CN71" i="7"/>
  <c r="CN83" i="7"/>
  <c r="AA146" i="7"/>
  <c r="AA150" i="7" s="1"/>
  <c r="AA157" i="7"/>
  <c r="AA141" i="7"/>
  <c r="BJ29" i="8"/>
  <c r="BJ38" i="8"/>
  <c r="BJ56" i="8"/>
  <c r="BJ65" i="8"/>
  <c r="CD25" i="8"/>
  <c r="CD15" i="7"/>
  <c r="CI103" i="4"/>
  <c r="CD103" i="4"/>
  <c r="AP68" i="8"/>
  <c r="AE150" i="7"/>
  <c r="AF71" i="7"/>
  <c r="AF75" i="7"/>
  <c r="AF29" i="7"/>
  <c r="AF28" i="7" s="1"/>
  <c r="AF84" i="7"/>
  <c r="AF83" i="7"/>
  <c r="M75" i="8"/>
  <c r="M39" i="8"/>
  <c r="O64" i="5"/>
  <c r="EC15" i="5"/>
  <c r="ED15" i="5" s="1"/>
  <c r="DW191" i="5"/>
  <c r="BE82" i="5"/>
  <c r="BE83" i="5"/>
  <c r="EC37" i="5"/>
  <c r="ED37" i="5" s="1"/>
  <c r="CH191" i="5"/>
  <c r="BN185" i="5"/>
  <c r="BN187" i="5" s="1"/>
  <c r="EC31" i="5"/>
  <c r="ED31" i="5" s="1"/>
  <c r="DM191" i="5"/>
  <c r="EC13" i="5"/>
  <c r="DO47" i="8"/>
  <c r="DO48" i="8"/>
  <c r="DM408" i="7"/>
  <c r="DM409" i="7" s="1"/>
  <c r="DM21" i="8"/>
  <c r="DL152" i="7"/>
  <c r="DK157" i="7"/>
  <c r="CZ221" i="7"/>
  <c r="DC221" i="7" s="1"/>
  <c r="CZ22" i="8"/>
  <c r="DU11" i="7"/>
  <c r="DU22" i="8" s="1"/>
  <c r="DU150" i="7"/>
  <c r="DU12" i="7"/>
  <c r="DU151" i="7"/>
  <c r="DU156" i="7"/>
  <c r="DU78" i="7"/>
  <c r="DU80" i="7" s="1"/>
  <c r="DM47" i="8"/>
  <c r="DM48" i="8"/>
  <c r="DS48" i="8"/>
  <c r="DS47" i="8"/>
  <c r="DQ152" i="7"/>
  <c r="DR406" i="7"/>
  <c r="DQ21" i="8"/>
  <c r="DQ45" i="8" s="1"/>
  <c r="DR45" i="8" s="1"/>
  <c r="DR11" i="7"/>
  <c r="DR22" i="8" s="1"/>
  <c r="DN22" i="8"/>
  <c r="DL221" i="7"/>
  <c r="DL22" i="8"/>
  <c r="DI87" i="10"/>
  <c r="DG92" i="10"/>
  <c r="DH92" i="10" s="1"/>
  <c r="DP140" i="10"/>
  <c r="DP143" i="10" s="1"/>
  <c r="DO144" i="10"/>
  <c r="DO214" i="10"/>
  <c r="DP209" i="10"/>
  <c r="EC159" i="10"/>
  <c r="ED107" i="10"/>
  <c r="EC112" i="10"/>
  <c r="EG48" i="10"/>
  <c r="EC48" i="10"/>
  <c r="EC51" i="10" s="1"/>
  <c r="ED48" i="10" s="1"/>
  <c r="ED51" i="10" s="1"/>
  <c r="EE48" i="10" s="1"/>
  <c r="EE51" i="10" s="1"/>
  <c r="EF48" i="10" s="1"/>
  <c r="EF51" i="10" s="1"/>
  <c r="EG51" i="10" s="1"/>
  <c r="DR133" i="10"/>
  <c r="DS130" i="10"/>
  <c r="DS133" i="10" s="1"/>
  <c r="DQ134" i="10"/>
  <c r="EL58" i="10"/>
  <c r="EH58" i="10"/>
  <c r="EH61" i="10" s="1"/>
  <c r="EI58" i="10" s="1"/>
  <c r="EI61" i="10" s="1"/>
  <c r="EJ58" i="10" s="1"/>
  <c r="EJ61" i="10" s="1"/>
  <c r="EK58" i="10" s="1"/>
  <c r="EK61" i="10" s="1"/>
  <c r="EL61" i="10" s="1"/>
  <c r="EL88" i="10"/>
  <c r="EH88" i="10"/>
  <c r="EH91" i="10" s="1"/>
  <c r="EI88" i="10" s="1"/>
  <c r="EI91" i="10" s="1"/>
  <c r="EJ88" i="10" s="1"/>
  <c r="EJ91" i="10" s="1"/>
  <c r="EK88" i="10" s="1"/>
  <c r="EK91" i="10" s="1"/>
  <c r="EL91" i="10" s="1"/>
  <c r="DP180" i="10"/>
  <c r="DP183" i="10" s="1"/>
  <c r="DO184" i="10"/>
  <c r="EA118" i="10"/>
  <c r="EA121" i="10" s="1"/>
  <c r="EA122" i="10" s="1"/>
  <c r="DZ122" i="10"/>
  <c r="DZ200" i="10"/>
  <c r="DZ203" i="10" s="1"/>
  <c r="DY204" i="10"/>
  <c r="EC31" i="10"/>
  <c r="DE82" i="10"/>
  <c r="DF77" i="10"/>
  <c r="EF209" i="10"/>
  <c r="EF199" i="10"/>
  <c r="DG57" i="10"/>
  <c r="DF62" i="10"/>
  <c r="DE204" i="10"/>
  <c r="DF199" i="10"/>
  <c r="EL78" i="10"/>
  <c r="EH78" i="10"/>
  <c r="EH81" i="10" s="1"/>
  <c r="EI78" i="10" s="1"/>
  <c r="EI81" i="10" s="1"/>
  <c r="EJ78" i="10" s="1"/>
  <c r="EJ81" i="10" s="1"/>
  <c r="EK78" i="10" s="1"/>
  <c r="EK81" i="10" s="1"/>
  <c r="EL81" i="10" s="1"/>
  <c r="DD154" i="10"/>
  <c r="DE149" i="10"/>
  <c r="EA190" i="10"/>
  <c r="EA193" i="10" s="1"/>
  <c r="DZ194" i="10"/>
  <c r="DQ40" i="10"/>
  <c r="DR38" i="10"/>
  <c r="DB52" i="10"/>
  <c r="DC52" i="10" s="1"/>
  <c r="DD47" i="10"/>
  <c r="DB102" i="10"/>
  <c r="DD97" i="10"/>
  <c r="DP210" i="10"/>
  <c r="DP213" i="10" s="1"/>
  <c r="DO21" i="10"/>
  <c r="DR101" i="10"/>
  <c r="EL150" i="10"/>
  <c r="EH150" i="10"/>
  <c r="EH153" i="10" s="1"/>
  <c r="EI150" i="10" s="1"/>
  <c r="EI153" i="10" s="1"/>
  <c r="EJ150" i="10" s="1"/>
  <c r="EJ153" i="10" s="1"/>
  <c r="EK150" i="10" s="1"/>
  <c r="EK153" i="10" s="1"/>
  <c r="EL153" i="10" s="1"/>
  <c r="EE118" i="10"/>
  <c r="EE121" i="10" s="1"/>
  <c r="ED122" i="10"/>
  <c r="DZ97" i="10"/>
  <c r="EE189" i="10"/>
  <c r="EH117" i="10"/>
  <c r="DS38" i="10"/>
  <c r="DS40" i="10" s="1"/>
  <c r="DT34" i="10"/>
  <c r="DT37" i="10" s="1"/>
  <c r="DS39" i="10"/>
  <c r="DT179" i="10"/>
  <c r="DY160" i="10"/>
  <c r="DY163" i="10" s="1"/>
  <c r="DX164" i="10"/>
  <c r="DR134" i="10"/>
  <c r="DA16" i="10"/>
  <c r="DR150" i="7"/>
  <c r="DR156" i="7"/>
  <c r="DR149" i="7" s="1"/>
  <c r="CZ84" i="7"/>
  <c r="CZ75" i="7"/>
  <c r="CZ83" i="7"/>
  <c r="CZ71" i="7"/>
  <c r="DE83" i="7"/>
  <c r="DD157" i="7"/>
  <c r="DD141" i="7"/>
  <c r="DD146" i="7"/>
  <c r="DH150" i="7"/>
  <c r="DH156" i="7"/>
  <c r="DH149" i="7" s="1"/>
  <c r="DV82" i="7"/>
  <c r="DV13" i="7"/>
  <c r="DV152" i="7"/>
  <c r="EA151" i="7"/>
  <c r="CX157" i="7"/>
  <c r="CX146" i="7"/>
  <c r="CX141" i="7"/>
  <c r="BO47" i="7"/>
  <c r="DQ157" i="7"/>
  <c r="DT80" i="7"/>
  <c r="S50" i="7"/>
  <c r="S52" i="7"/>
  <c r="S51" i="7"/>
  <c r="S89" i="7"/>
  <c r="S66" i="7"/>
  <c r="S165" i="7"/>
  <c r="T50" i="7"/>
  <c r="EA408" i="7"/>
  <c r="DV406" i="7"/>
  <c r="DV21" i="8" s="1"/>
  <c r="DV45" i="8" s="1"/>
  <c r="DM150" i="7"/>
  <c r="DM156" i="7"/>
  <c r="DM149" i="7" s="1"/>
  <c r="BY114" i="7"/>
  <c r="CD114" i="7"/>
  <c r="DU406" i="7"/>
  <c r="DU21" i="8" s="1"/>
  <c r="DU45" i="8" s="1"/>
  <c r="DC11" i="7"/>
  <c r="DC22" i="8" s="1"/>
  <c r="DG79" i="7"/>
  <c r="DG80" i="7"/>
  <c r="DF79" i="7"/>
  <c r="DF80" i="7"/>
  <c r="DK80" i="7"/>
  <c r="DQ84" i="7"/>
  <c r="DQ83" i="7"/>
  <c r="DQ75" i="7"/>
  <c r="DQ71" i="7"/>
  <c r="DQ79" i="7"/>
  <c r="DC82" i="7"/>
  <c r="DY408" i="7"/>
  <c r="DT406" i="7"/>
  <c r="DN157" i="7"/>
  <c r="DN146" i="7"/>
  <c r="DN141" i="7"/>
  <c r="DS148" i="7"/>
  <c r="DS117" i="4"/>
  <c r="DW11" i="4"/>
  <c r="DW117" i="4" s="1"/>
  <c r="DD221" i="7"/>
  <c r="DH11" i="7"/>
  <c r="DD152" i="7"/>
  <c r="DH151" i="7"/>
  <c r="DH152" i="7" s="1"/>
  <c r="DV79" i="7"/>
  <c r="DV80" i="7"/>
  <c r="DT157" i="7"/>
  <c r="DT141" i="7"/>
  <c r="DT146" i="7"/>
  <c r="DH80" i="7"/>
  <c r="DH79" i="7"/>
  <c r="W52" i="7"/>
  <c r="W51" i="7"/>
  <c r="W89" i="7"/>
  <c r="W165" i="7"/>
  <c r="W66" i="7"/>
  <c r="EE408" i="7"/>
  <c r="DZ406" i="7"/>
  <c r="DZ21" i="8" s="1"/>
  <c r="DZ45" i="8" s="1"/>
  <c r="DL157" i="7"/>
  <c r="DL141" i="7"/>
  <c r="DL146" i="7"/>
  <c r="DM80" i="7"/>
  <c r="DM79" i="7"/>
  <c r="EC9" i="4"/>
  <c r="CZ157" i="7"/>
  <c r="CZ141" i="7"/>
  <c r="CZ146" i="7"/>
  <c r="DR151" i="7"/>
  <c r="DN152" i="7"/>
  <c r="DY160" i="7"/>
  <c r="DX138" i="7"/>
  <c r="DX86" i="7"/>
  <c r="DV157" i="7"/>
  <c r="DV146" i="7"/>
  <c r="DV141" i="7"/>
  <c r="DV149" i="7"/>
  <c r="EL144" i="7"/>
  <c r="DT82" i="7"/>
  <c r="DT13" i="7"/>
  <c r="AB43" i="7"/>
  <c r="AB47" i="7" s="1"/>
  <c r="X49" i="7"/>
  <c r="AB49" i="7"/>
  <c r="DI157" i="7"/>
  <c r="DI141" i="7"/>
  <c r="DI146" i="7"/>
  <c r="DI152" i="7"/>
  <c r="DM151" i="7"/>
  <c r="CX83" i="7"/>
  <c r="CX84" i="7"/>
  <c r="CX75" i="7"/>
  <c r="CX71" i="7"/>
  <c r="DF157" i="7"/>
  <c r="DF146" i="7"/>
  <c r="DF141" i="7"/>
  <c r="CZ13" i="7"/>
  <c r="DE13" i="7"/>
  <c r="DN149" i="7"/>
  <c r="DR80" i="7"/>
  <c r="EC408" i="7"/>
  <c r="DX406" i="7"/>
  <c r="DX21" i="8" s="1"/>
  <c r="DX45" i="8" s="1"/>
  <c r="DT152" i="7"/>
  <c r="DY151" i="7"/>
  <c r="DP84" i="7"/>
  <c r="DP83" i="7"/>
  <c r="DP75" i="7"/>
  <c r="DP71" i="7"/>
  <c r="DP79" i="7"/>
  <c r="BY36" i="7"/>
  <c r="BY40" i="7" s="1"/>
  <c r="BU36" i="7"/>
  <c r="BU52" i="7"/>
  <c r="BY52" i="7"/>
  <c r="DO83" i="7"/>
  <c r="DO84" i="7"/>
  <c r="DR82" i="7"/>
  <c r="DR79" i="7" s="1"/>
  <c r="DO71" i="7"/>
  <c r="DO75" i="7"/>
  <c r="DO79" i="7"/>
  <c r="DI221" i="7"/>
  <c r="DM11" i="7"/>
  <c r="DM22" i="8" s="1"/>
  <c r="DE157" i="7"/>
  <c r="DG157" i="7"/>
  <c r="DG141" i="7"/>
  <c r="DG146" i="7"/>
  <c r="DG149" i="7"/>
  <c r="EC36" i="7"/>
  <c r="EC40" i="7" s="1"/>
  <c r="ED36" i="7" s="1"/>
  <c r="ED40" i="7" s="1"/>
  <c r="EE36" i="7" s="1"/>
  <c r="EE40" i="7" s="1"/>
  <c r="EF36" i="7" s="1"/>
  <c r="EF40" i="7" s="1"/>
  <c r="EG36" i="7"/>
  <c r="EG40" i="7" s="1"/>
  <c r="CZ149" i="7"/>
  <c r="DC157" i="7"/>
  <c r="DC146" i="7"/>
  <c r="DC141" i="7"/>
  <c r="CX79" i="7"/>
  <c r="AJ205" i="5"/>
  <c r="AJ203" i="5"/>
  <c r="BN205" i="5"/>
  <c r="BN203" i="5"/>
  <c r="DG191" i="5"/>
  <c r="R191" i="5"/>
  <c r="DK167" i="5"/>
  <c r="DK169" i="5" s="1"/>
  <c r="DK184" i="5" s="1"/>
  <c r="DK185" i="5" s="1"/>
  <c r="DK187" i="5" s="1"/>
  <c r="DL8" i="5"/>
  <c r="DM8" i="5" s="1"/>
  <c r="DN8" i="5" s="1"/>
  <c r="BD130" i="5"/>
  <c r="BD131" i="5" s="1"/>
  <c r="BC126" i="5"/>
  <c r="BD123" i="5"/>
  <c r="BD126" i="5" s="1"/>
  <c r="DR191" i="5"/>
  <c r="CV205" i="5"/>
  <c r="CV203" i="5"/>
  <c r="AQ205" i="5"/>
  <c r="AQ203" i="5"/>
  <c r="DR203" i="5"/>
  <c r="DR205" i="5"/>
  <c r="AB205" i="5"/>
  <c r="AB203" i="5"/>
  <c r="BJ191" i="5"/>
  <c r="BC130" i="5"/>
  <c r="BC131" i="5" s="1"/>
  <c r="DM205" i="5"/>
  <c r="DM203" i="5"/>
  <c r="CM203" i="5"/>
  <c r="CM205" i="5"/>
  <c r="BW203" i="5"/>
  <c r="BW205" i="5"/>
  <c r="DQ126" i="5"/>
  <c r="EA103" i="5"/>
  <c r="EB45" i="5"/>
  <c r="BE205" i="5"/>
  <c r="BE203" i="5"/>
  <c r="DH205" i="5"/>
  <c r="DH203" i="5"/>
  <c r="BJ184" i="5"/>
  <c r="BJ159" i="5"/>
  <c r="EC154" i="5"/>
  <c r="DL166" i="5"/>
  <c r="DL169" i="5" s="1"/>
  <c r="DL184" i="5" s="1"/>
  <c r="DL185" i="5" s="1"/>
  <c r="DL187" i="5" s="1"/>
  <c r="DJ32" i="5"/>
  <c r="DI34" i="5"/>
  <c r="DI41" i="5" s="1"/>
  <c r="CI203" i="5"/>
  <c r="CI205" i="5"/>
  <c r="I183" i="5"/>
  <c r="I185" i="5" s="1"/>
  <c r="M183" i="5"/>
  <c r="M185" i="5" s="1"/>
  <c r="H187" i="5"/>
  <c r="BY200" i="5"/>
  <c r="BY207" i="5" s="1"/>
  <c r="AF199" i="5"/>
  <c r="AF202" i="5" s="1"/>
  <c r="AG194" i="5"/>
  <c r="AG199" i="5" s="1"/>
  <c r="AG202" i="5" s="1"/>
  <c r="BS199" i="5"/>
  <c r="BS202" i="5" s="1"/>
  <c r="BT194" i="5"/>
  <c r="BT199" i="5" s="1"/>
  <c r="BT202" i="5" s="1"/>
  <c r="CD184" i="5"/>
  <c r="CD159" i="5"/>
  <c r="DL205" i="5"/>
  <c r="DL203" i="5"/>
  <c r="CH203" i="5"/>
  <c r="CH205" i="5"/>
  <c r="AK205" i="5"/>
  <c r="AK203" i="5"/>
  <c r="BO194" i="5"/>
  <c r="BO199" i="5" s="1"/>
  <c r="BO202" i="5" s="1"/>
  <c r="BI205" i="5"/>
  <c r="BI203" i="5"/>
  <c r="BC205" i="5"/>
  <c r="BC203" i="5"/>
  <c r="AA205" i="5"/>
  <c r="AA203" i="5"/>
  <c r="DF203" i="5"/>
  <c r="DF205" i="5"/>
  <c r="CX184" i="5"/>
  <c r="CX185" i="5" s="1"/>
  <c r="CX187" i="5" s="1"/>
  <c r="CX159" i="5"/>
  <c r="DM166" i="5"/>
  <c r="BX126" i="5"/>
  <c r="BY124" i="5"/>
  <c r="BY126" i="5" s="1"/>
  <c r="DQ205" i="5"/>
  <c r="DQ203" i="5"/>
  <c r="BJ203" i="5"/>
  <c r="BJ205" i="5"/>
  <c r="DC194" i="5"/>
  <c r="DC199" i="5" s="1"/>
  <c r="DC202" i="5" s="1"/>
  <c r="DC184" i="5"/>
  <c r="DC185" i="5" s="1"/>
  <c r="DC187" i="5" s="1"/>
  <c r="CW205" i="5"/>
  <c r="CW203" i="5"/>
  <c r="BO190" i="5"/>
  <c r="BF183" i="5"/>
  <c r="BE187" i="5"/>
  <c r="R205" i="5"/>
  <c r="R203" i="5"/>
  <c r="BS191" i="5"/>
  <c r="BT190" i="5"/>
  <c r="AQ191" i="5"/>
  <c r="EC152" i="5"/>
  <c r="ED13" i="5"/>
  <c r="BX191" i="5"/>
  <c r="AP205" i="5"/>
  <c r="AP203" i="5"/>
  <c r="CS202" i="5"/>
  <c r="BM205" i="5"/>
  <c r="BM203" i="5"/>
  <c r="M205" i="5"/>
  <c r="M203" i="5"/>
  <c r="DV199" i="5"/>
  <c r="DV202" i="5" s="1"/>
  <c r="DW194" i="5"/>
  <c r="DW199" i="5" s="1"/>
  <c r="BC187" i="5"/>
  <c r="BD183" i="5"/>
  <c r="BD185" i="5" s="1"/>
  <c r="BD187" i="5" s="1"/>
  <c r="EA106" i="5"/>
  <c r="EB47" i="5"/>
  <c r="AL205" i="5"/>
  <c r="AL203" i="5"/>
  <c r="CC199" i="5"/>
  <c r="CC202" i="5" s="1"/>
  <c r="CD194" i="5"/>
  <c r="CD199" i="5" s="1"/>
  <c r="CD202" i="5" s="1"/>
  <c r="CS191" i="5"/>
  <c r="DB203" i="5"/>
  <c r="DB205" i="5"/>
  <c r="EF82" i="5"/>
  <c r="R77" i="5"/>
  <c r="N77" i="5"/>
  <c r="N81" i="5" s="1"/>
  <c r="M84" i="5"/>
  <c r="BH205" i="5"/>
  <c r="BH203" i="5"/>
  <c r="DA205" i="5"/>
  <c r="DA203" i="5"/>
  <c r="CX202" i="5"/>
  <c r="BE130" i="5"/>
  <c r="BE131" i="5" s="1"/>
  <c r="DH17" i="5"/>
  <c r="DH24" i="5" s="1"/>
  <c r="DI7" i="5"/>
  <c r="DH66" i="5"/>
  <c r="AF191" i="5"/>
  <c r="AG190" i="5"/>
  <c r="AG191" i="5" s="1"/>
  <c r="BX199" i="5"/>
  <c r="BX202" i="5" s="1"/>
  <c r="BY194" i="5"/>
  <c r="BY199" i="5" s="1"/>
  <c r="CN202" i="5"/>
  <c r="CR205" i="5"/>
  <c r="CR203" i="5"/>
  <c r="EA104" i="5"/>
  <c r="EB49" i="5"/>
  <c r="W205" i="5"/>
  <c r="W203" i="5"/>
  <c r="G205" i="5"/>
  <c r="G203" i="5"/>
  <c r="BP183" i="5"/>
  <c r="BP185" i="5" s="1"/>
  <c r="BT183" i="5"/>
  <c r="BT185" i="5" s="1"/>
  <c r="BO187" i="5"/>
  <c r="EI164" i="5"/>
  <c r="EH125" i="5"/>
  <c r="EA105" i="5"/>
  <c r="EB46" i="5"/>
  <c r="EH43" i="5"/>
  <c r="EI43" i="5" s="1"/>
  <c r="DE102" i="5"/>
  <c r="DF44" i="5"/>
  <c r="DE50" i="5"/>
  <c r="DM74" i="4"/>
  <c r="BJ80" i="4"/>
  <c r="BJ85" i="4" s="1"/>
  <c r="BI64" i="5" s="1"/>
  <c r="BF85" i="4"/>
  <c r="CI109" i="4"/>
  <c r="CI87" i="4"/>
  <c r="CI90" i="4" s="1"/>
  <c r="CI86" i="4"/>
  <c r="DQ122" i="4"/>
  <c r="DQ109" i="4"/>
  <c r="DQ86" i="4"/>
  <c r="DQ87" i="4"/>
  <c r="DQ90" i="4" s="1"/>
  <c r="BQ129" i="4"/>
  <c r="BQ65" i="4"/>
  <c r="BQ59" i="4"/>
  <c r="BQ47" i="4"/>
  <c r="DJ58" i="4"/>
  <c r="DJ132" i="4" s="1"/>
  <c r="DJ133" i="4" s="1"/>
  <c r="DL122" i="4"/>
  <c r="DL109" i="4"/>
  <c r="DL87" i="4"/>
  <c r="DL90" i="4" s="1"/>
  <c r="DL86" i="4"/>
  <c r="CB93" i="4"/>
  <c r="CB63" i="4"/>
  <c r="CN86" i="4"/>
  <c r="AT110" i="4"/>
  <c r="AT100" i="4"/>
  <c r="AT92" i="4"/>
  <c r="AT35" i="4"/>
  <c r="CP48" i="4"/>
  <c r="CP47" i="4"/>
  <c r="CP59" i="4"/>
  <c r="AJ93" i="4"/>
  <c r="AJ63" i="4"/>
  <c r="EC71" i="4"/>
  <c r="EC68" i="4" s="1"/>
  <c r="EB71" i="4"/>
  <c r="I86" i="4"/>
  <c r="CW93" i="4"/>
  <c r="CW63" i="4"/>
  <c r="AA110" i="4"/>
  <c r="AA92" i="4"/>
  <c r="AA35" i="4"/>
  <c r="AA100" i="4"/>
  <c r="Y66" i="4"/>
  <c r="P128" i="4"/>
  <c r="P49" i="4"/>
  <c r="DV110" i="4"/>
  <c r="DV100" i="4"/>
  <c r="DV92" i="4"/>
  <c r="DV35" i="4"/>
  <c r="S59" i="4"/>
  <c r="S65" i="4"/>
  <c r="S47" i="4"/>
  <c r="AQ109" i="4"/>
  <c r="AQ87" i="4"/>
  <c r="AQ90" i="4" s="1"/>
  <c r="AQ86" i="4"/>
  <c r="ED75" i="4"/>
  <c r="BF110" i="4"/>
  <c r="BF100" i="4"/>
  <c r="BF92" i="4"/>
  <c r="BF35" i="4"/>
  <c r="Y61" i="4"/>
  <c r="CE109" i="4"/>
  <c r="CE87" i="4"/>
  <c r="CE90" i="4" s="1"/>
  <c r="CE86" i="4"/>
  <c r="BK110" i="4"/>
  <c r="BK100" i="4"/>
  <c r="BK92" i="4"/>
  <c r="BK35" i="4"/>
  <c r="CY93" i="4"/>
  <c r="CY63" i="4"/>
  <c r="AG87" i="4"/>
  <c r="AG90" i="4" s="1"/>
  <c r="DL110" i="4"/>
  <c r="DL100" i="4"/>
  <c r="DL92" i="4"/>
  <c r="DL35" i="4"/>
  <c r="BG109" i="4"/>
  <c r="BG87" i="4"/>
  <c r="BG90" i="4" s="1"/>
  <c r="BG86" i="4"/>
  <c r="AZ92" i="4"/>
  <c r="AZ35" i="4"/>
  <c r="AZ100" i="4"/>
  <c r="AL109" i="4"/>
  <c r="AL86" i="4"/>
  <c r="AL87" i="4"/>
  <c r="AL90" i="4" s="1"/>
  <c r="CB128" i="4"/>
  <c r="CB61" i="4"/>
  <c r="CB49" i="4"/>
  <c r="BV129" i="4"/>
  <c r="BV65" i="4"/>
  <c r="BV47" i="4"/>
  <c r="BV59" i="4"/>
  <c r="AI59" i="4"/>
  <c r="AI65" i="4"/>
  <c r="AN112" i="4" s="1"/>
  <c r="AI47" i="4"/>
  <c r="AD113" i="4"/>
  <c r="AD64" i="4"/>
  <c r="CJ86" i="4"/>
  <c r="AN93" i="4"/>
  <c r="AN63" i="4"/>
  <c r="BI129" i="4"/>
  <c r="BI59" i="4"/>
  <c r="BI47" i="4"/>
  <c r="BI65" i="4"/>
  <c r="DF48" i="4"/>
  <c r="DF59" i="4"/>
  <c r="DF47" i="4"/>
  <c r="DI110" i="4"/>
  <c r="DI100" i="4"/>
  <c r="DI54" i="4" s="1"/>
  <c r="DI92" i="4"/>
  <c r="DI35" i="4"/>
  <c r="N109" i="4"/>
  <c r="N86" i="4"/>
  <c r="N87" i="4"/>
  <c r="N90" i="4" s="1"/>
  <c r="AX129" i="4"/>
  <c r="AX65" i="4"/>
  <c r="AX47" i="4"/>
  <c r="AX59" i="4"/>
  <c r="U128" i="4"/>
  <c r="U49" i="4"/>
  <c r="BP129" i="4"/>
  <c r="BP65" i="4"/>
  <c r="BU66" i="4" s="1"/>
  <c r="BP59" i="4"/>
  <c r="BP47" i="4"/>
  <c r="DC92" i="4"/>
  <c r="DC110" i="4"/>
  <c r="DC35" i="4"/>
  <c r="DC100" i="4"/>
  <c r="CF129" i="4"/>
  <c r="CF65" i="4"/>
  <c r="CF59" i="4"/>
  <c r="CF47" i="4"/>
  <c r="CC129" i="4"/>
  <c r="CC65" i="4"/>
  <c r="CC59" i="4"/>
  <c r="CC47" i="4"/>
  <c r="CX109" i="4"/>
  <c r="CX86" i="4"/>
  <c r="CX87" i="4"/>
  <c r="CX90" i="4" s="1"/>
  <c r="CX132" i="4"/>
  <c r="L86" i="4"/>
  <c r="BN129" i="4"/>
  <c r="BN65" i="4"/>
  <c r="BN47" i="4"/>
  <c r="BN59" i="4"/>
  <c r="DW91" i="4"/>
  <c r="DW33" i="4"/>
  <c r="CV128" i="4"/>
  <c r="CV61" i="4"/>
  <c r="D65" i="4"/>
  <c r="D59" i="4"/>
  <c r="D47" i="4"/>
  <c r="CA129" i="4"/>
  <c r="CA65" i="4"/>
  <c r="CA47" i="4"/>
  <c r="CA59" i="4"/>
  <c r="W91" i="4"/>
  <c r="W33" i="4"/>
  <c r="EA68" i="4"/>
  <c r="DB93" i="4"/>
  <c r="DB63" i="4"/>
  <c r="J59" i="4"/>
  <c r="J47" i="4"/>
  <c r="J65" i="4"/>
  <c r="T128" i="4"/>
  <c r="T49" i="4"/>
  <c r="AM59" i="4"/>
  <c r="AM65" i="4"/>
  <c r="AR66" i="4" s="1"/>
  <c r="AM47" i="4"/>
  <c r="DZ76" i="4"/>
  <c r="DY77" i="4"/>
  <c r="AS112" i="4"/>
  <c r="AS66" i="4"/>
  <c r="BB110" i="4"/>
  <c r="BB100" i="4"/>
  <c r="BB92" i="4"/>
  <c r="BB35" i="4"/>
  <c r="DS110" i="4"/>
  <c r="DS100" i="4"/>
  <c r="DS92" i="4"/>
  <c r="DS35" i="4"/>
  <c r="AW129" i="4"/>
  <c r="AW65" i="4"/>
  <c r="AW59" i="4"/>
  <c r="AW47" i="4"/>
  <c r="P93" i="4"/>
  <c r="P63" i="4"/>
  <c r="E93" i="4"/>
  <c r="E63" i="4"/>
  <c r="AK65" i="4"/>
  <c r="AK47" i="4"/>
  <c r="AK59" i="4"/>
  <c r="CO128" i="4"/>
  <c r="CO61" i="4"/>
  <c r="DD85" i="4"/>
  <c r="DH80" i="4"/>
  <c r="DH85" i="4" s="1"/>
  <c r="DG64" i="5" s="1"/>
  <c r="BU112" i="4"/>
  <c r="AY129" i="4"/>
  <c r="AY65" i="4"/>
  <c r="AY47" i="4"/>
  <c r="AY59" i="4"/>
  <c r="AF87" i="4"/>
  <c r="AF90" i="4" s="1"/>
  <c r="AQ92" i="4"/>
  <c r="AQ35" i="4"/>
  <c r="AQ100" i="4"/>
  <c r="AH113" i="4"/>
  <c r="AH64" i="4"/>
  <c r="DM110" i="4"/>
  <c r="DM92" i="4"/>
  <c r="DM35" i="4"/>
  <c r="DM100" i="4"/>
  <c r="CJ128" i="4"/>
  <c r="CJ61" i="4"/>
  <c r="CJ49" i="4"/>
  <c r="V110" i="4"/>
  <c r="V92" i="4"/>
  <c r="V35" i="4"/>
  <c r="V100" i="4"/>
  <c r="N65" i="4"/>
  <c r="N59" i="4"/>
  <c r="N47" i="4"/>
  <c r="CL129" i="4"/>
  <c r="CL65" i="4"/>
  <c r="CL47" i="4"/>
  <c r="CL59" i="4"/>
  <c r="DI85" i="4"/>
  <c r="DI64" i="5" s="1"/>
  <c r="DM80" i="4"/>
  <c r="DM85" i="4" s="1"/>
  <c r="AK109" i="4"/>
  <c r="AK86" i="4"/>
  <c r="AK87" i="4"/>
  <c r="AK90" i="4" s="1"/>
  <c r="AB91" i="4"/>
  <c r="AB33" i="4"/>
  <c r="DG122" i="4"/>
  <c r="DG109" i="4"/>
  <c r="DG87" i="4"/>
  <c r="DG90" i="4" s="1"/>
  <c r="DG86" i="4"/>
  <c r="DG132" i="4"/>
  <c r="R91" i="4"/>
  <c r="R33" i="4"/>
  <c r="K59" i="4"/>
  <c r="K47" i="4"/>
  <c r="K65" i="4"/>
  <c r="BB109" i="4"/>
  <c r="BB86" i="4"/>
  <c r="BB87" i="4"/>
  <c r="BB90" i="4" s="1"/>
  <c r="AO93" i="4"/>
  <c r="AO63" i="4"/>
  <c r="CS48" i="4"/>
  <c r="DK128" i="4"/>
  <c r="DK61" i="4"/>
  <c r="CI92" i="4"/>
  <c r="CI35" i="4"/>
  <c r="CI100" i="4"/>
  <c r="DA128" i="4"/>
  <c r="DA61" i="4"/>
  <c r="AP110" i="4"/>
  <c r="AP92" i="4"/>
  <c r="AP35" i="4"/>
  <c r="AP100" i="4"/>
  <c r="M91" i="4"/>
  <c r="M33" i="4"/>
  <c r="BT87" i="4"/>
  <c r="BT90" i="4" s="1"/>
  <c r="BO80" i="4"/>
  <c r="BO85" i="4" s="1"/>
  <c r="BN64" i="5" s="1"/>
  <c r="BK85" i="4"/>
  <c r="BP86" i="4" s="1"/>
  <c r="CT93" i="4"/>
  <c r="CT63" i="4"/>
  <c r="BG110" i="4"/>
  <c r="BG100" i="4"/>
  <c r="BG92" i="4"/>
  <c r="BG35" i="4"/>
  <c r="CJ93" i="4"/>
  <c r="CJ63" i="4"/>
  <c r="BX128" i="4"/>
  <c r="BX61" i="4"/>
  <c r="BX49" i="4"/>
  <c r="BA110" i="4"/>
  <c r="BA100" i="4"/>
  <c r="BA92" i="4"/>
  <c r="BA35" i="4"/>
  <c r="AC61" i="4"/>
  <c r="W109" i="4"/>
  <c r="W87" i="4"/>
  <c r="W90" i="4" s="1"/>
  <c r="W86" i="4"/>
  <c r="AL91" i="4"/>
  <c r="AL33" i="4"/>
  <c r="DL45" i="4"/>
  <c r="DM45" i="4" s="1"/>
  <c r="DK48" i="4"/>
  <c r="M109" i="4"/>
  <c r="M86" i="4"/>
  <c r="M87" i="4"/>
  <c r="M90" i="4" s="1"/>
  <c r="AJ128" i="4"/>
  <c r="AJ49" i="4"/>
  <c r="L109" i="4"/>
  <c r="BZ109" i="4"/>
  <c r="BZ86" i="4"/>
  <c r="BZ87" i="4"/>
  <c r="BZ90" i="4" s="1"/>
  <c r="CV93" i="4"/>
  <c r="CV63" i="4"/>
  <c r="BY86" i="4"/>
  <c r="AD111" i="4"/>
  <c r="AD61" i="4"/>
  <c r="AD62" i="4" s="1"/>
  <c r="CE129" i="4"/>
  <c r="CE65" i="4"/>
  <c r="CE47" i="4"/>
  <c r="CE59" i="4"/>
  <c r="I109" i="4"/>
  <c r="BZ129" i="4"/>
  <c r="BZ65" i="4"/>
  <c r="BZ47" i="4"/>
  <c r="BZ59" i="4"/>
  <c r="AA85" i="4"/>
  <c r="AB80" i="4"/>
  <c r="AB85" i="4" s="1"/>
  <c r="AA64" i="5" s="1"/>
  <c r="DN110" i="4"/>
  <c r="DN100" i="4"/>
  <c r="DN92" i="4"/>
  <c r="DN35" i="4"/>
  <c r="CH129" i="4"/>
  <c r="CH65" i="4"/>
  <c r="CH47" i="4"/>
  <c r="CH59" i="4"/>
  <c r="AS93" i="4"/>
  <c r="AS63" i="4"/>
  <c r="DS85" i="4"/>
  <c r="DW80" i="4"/>
  <c r="DW85" i="4" s="1"/>
  <c r="BC129" i="4"/>
  <c r="BC65" i="4"/>
  <c r="BC47" i="4"/>
  <c r="BC59" i="4"/>
  <c r="BH129" i="4"/>
  <c r="BH65" i="4"/>
  <c r="BH59" i="4"/>
  <c r="BH47" i="4"/>
  <c r="AO128" i="4"/>
  <c r="AO49" i="4"/>
  <c r="I61" i="4"/>
  <c r="P112" i="4"/>
  <c r="P66" i="4"/>
  <c r="CQ93" i="4"/>
  <c r="CQ63" i="4"/>
  <c r="AV129" i="4"/>
  <c r="AV65" i="4"/>
  <c r="AV59" i="4"/>
  <c r="AV47" i="4"/>
  <c r="DV122" i="4"/>
  <c r="DV109" i="4"/>
  <c r="DV86" i="4"/>
  <c r="DV87" i="4"/>
  <c r="DV90" i="4" s="1"/>
  <c r="AV1" i="9"/>
  <c r="CO93" i="4"/>
  <c r="CO63" i="4"/>
  <c r="AR128" i="4"/>
  <c r="AR49" i="4"/>
  <c r="AM109" i="4"/>
  <c r="AM87" i="4"/>
  <c r="AM90" i="4" s="1"/>
  <c r="AM86" i="4"/>
  <c r="Z47" i="4"/>
  <c r="Z59" i="4"/>
  <c r="Z65" i="4"/>
  <c r="BL129" i="4"/>
  <c r="BL65" i="4"/>
  <c r="BL59" i="4"/>
  <c r="BL47" i="4"/>
  <c r="X128" i="4"/>
  <c r="X49" i="4"/>
  <c r="BU128" i="4"/>
  <c r="BU61" i="4"/>
  <c r="BU49" i="4"/>
  <c r="AG91" i="4"/>
  <c r="AG33" i="4"/>
  <c r="CY128" i="4"/>
  <c r="CY61" i="4"/>
  <c r="Q110" i="4"/>
  <c r="Q92" i="4"/>
  <c r="Q35" i="4"/>
  <c r="Q100" i="4"/>
  <c r="AN128" i="4"/>
  <c r="AN49" i="4"/>
  <c r="R109" i="4"/>
  <c r="R86" i="4"/>
  <c r="R87" i="4"/>
  <c r="R90" i="4" s="1"/>
  <c r="U112" i="4"/>
  <c r="U66" i="4"/>
  <c r="BY91" i="4"/>
  <c r="BY33" i="4"/>
  <c r="CR111" i="4"/>
  <c r="DC54" i="4"/>
  <c r="BS129" i="4"/>
  <c r="BS65" i="4"/>
  <c r="BX112" i="4" s="1"/>
  <c r="BS47" i="4"/>
  <c r="BS59" i="4"/>
  <c r="E128" i="4"/>
  <c r="E49" i="4"/>
  <c r="E61" i="4" s="1"/>
  <c r="DH110" i="4"/>
  <c r="DH92" i="4"/>
  <c r="DH35" i="4"/>
  <c r="DH100" i="4"/>
  <c r="CS110" i="4"/>
  <c r="CS92" i="4"/>
  <c r="CS35" i="4"/>
  <c r="CS100" i="4"/>
  <c r="G92" i="4"/>
  <c r="G35" i="4"/>
  <c r="G100" i="4"/>
  <c r="BP87" i="4"/>
  <c r="BP90" i="4" s="1"/>
  <c r="DQ110" i="4"/>
  <c r="DQ100" i="4"/>
  <c r="DQ54" i="4" s="1"/>
  <c r="DQ92" i="4"/>
  <c r="DQ35" i="4"/>
  <c r="DJ49" i="4"/>
  <c r="DJ47" i="4"/>
  <c r="CG129" i="4"/>
  <c r="CG65" i="4"/>
  <c r="CG59" i="4"/>
  <c r="CG47" i="4"/>
  <c r="CT128" i="4"/>
  <c r="CT61" i="4"/>
  <c r="CT62" i="4" s="1"/>
  <c r="AE59" i="4"/>
  <c r="AE47" i="4"/>
  <c r="AE65" i="4"/>
  <c r="AJ112" i="4" s="1"/>
  <c r="DL133" i="4"/>
  <c r="CO112" i="4"/>
  <c r="CO66" i="4"/>
  <c r="BU86" i="4"/>
  <c r="V109" i="4"/>
  <c r="V86" i="4"/>
  <c r="V87" i="4"/>
  <c r="V90" i="4" s="1"/>
  <c r="Q109" i="4"/>
  <c r="Q86" i="4"/>
  <c r="Q87" i="4"/>
  <c r="Q90" i="4" s="1"/>
  <c r="BX93" i="4"/>
  <c r="BX63" i="4"/>
  <c r="BL109" i="4"/>
  <c r="O59" i="4"/>
  <c r="O47" i="4"/>
  <c r="O65" i="4"/>
  <c r="T112" i="4" s="1"/>
  <c r="BA85" i="4"/>
  <c r="BE80" i="4"/>
  <c r="BE85" i="4" s="1"/>
  <c r="BD64" i="5" s="1"/>
  <c r="CN109" i="4"/>
  <c r="CR113" i="4"/>
  <c r="CR64" i="4"/>
  <c r="AT109" i="4"/>
  <c r="AT86" i="4"/>
  <c r="AT87" i="4"/>
  <c r="AT90" i="4" s="1"/>
  <c r="S109" i="4"/>
  <c r="S87" i="4"/>
  <c r="S90" i="4" s="1"/>
  <c r="S86" i="4"/>
  <c r="U93" i="4"/>
  <c r="U63" i="4"/>
  <c r="BP110" i="4"/>
  <c r="CD109" i="4"/>
  <c r="CD86" i="4"/>
  <c r="CD87" i="4"/>
  <c r="CD90" i="4" s="1"/>
  <c r="X109" i="4"/>
  <c r="AH111" i="4"/>
  <c r="AH61" i="4"/>
  <c r="F65" i="4"/>
  <c r="F47" i="4"/>
  <c r="F59" i="4"/>
  <c r="BY109" i="4"/>
  <c r="DB128" i="4"/>
  <c r="DB61" i="4"/>
  <c r="CN110" i="4"/>
  <c r="CN92" i="4"/>
  <c r="CN35" i="4"/>
  <c r="CN100" i="4"/>
  <c r="T93" i="4"/>
  <c r="T63" i="4"/>
  <c r="Y64" i="4" s="1"/>
  <c r="L65" i="4"/>
  <c r="L59" i="4"/>
  <c r="L47" i="4"/>
  <c r="CZ48" i="4"/>
  <c r="DC48" i="4" s="1"/>
  <c r="CZ47" i="4"/>
  <c r="CZ59" i="4"/>
  <c r="BD129" i="4"/>
  <c r="BD65" i="4"/>
  <c r="BD47" i="4"/>
  <c r="BD59" i="4"/>
  <c r="CW128" i="4"/>
  <c r="CW61" i="4"/>
  <c r="DG110" i="4"/>
  <c r="DG100" i="4"/>
  <c r="DG54" i="4" s="1"/>
  <c r="DG58" i="4" s="1"/>
  <c r="DG92" i="4"/>
  <c r="DG35" i="4"/>
  <c r="DR110" i="4"/>
  <c r="DR92" i="4"/>
  <c r="DR35" i="4"/>
  <c r="DR100" i="4"/>
  <c r="DR80" i="4"/>
  <c r="DR85" i="4" s="1"/>
  <c r="DN85" i="4"/>
  <c r="AS128" i="4"/>
  <c r="AS49" i="4"/>
  <c r="DE59" i="4"/>
  <c r="DE47" i="4"/>
  <c r="DE48" i="4"/>
  <c r="CX57" i="4"/>
  <c r="CX58" i="4" s="1"/>
  <c r="BR129" i="4"/>
  <c r="BR65" i="4"/>
  <c r="BR47" i="4"/>
  <c r="BR59" i="4"/>
  <c r="CX110" i="4"/>
  <c r="CX92" i="4"/>
  <c r="CX35" i="4"/>
  <c r="CX100" i="4"/>
  <c r="AO112" i="4"/>
  <c r="AO66" i="4"/>
  <c r="BE91" i="4"/>
  <c r="BE33" i="4"/>
  <c r="CQ128" i="4"/>
  <c r="CQ61" i="4"/>
  <c r="H91" i="4"/>
  <c r="H33" i="4"/>
  <c r="AR93" i="4"/>
  <c r="AR63" i="4"/>
  <c r="CU48" i="4"/>
  <c r="CX48" i="4" s="1"/>
  <c r="CU47" i="4"/>
  <c r="CU59" i="4"/>
  <c r="DD110" i="4"/>
  <c r="DD100" i="4"/>
  <c r="DD54" i="4" s="1"/>
  <c r="DD92" i="4"/>
  <c r="DD35" i="4"/>
  <c r="X93" i="4"/>
  <c r="X63" i="4"/>
  <c r="AC113" i="4" s="1"/>
  <c r="CK129" i="4"/>
  <c r="CK65" i="4"/>
  <c r="CK59" i="4"/>
  <c r="CK47" i="4"/>
  <c r="BU93" i="4"/>
  <c r="BU63" i="4"/>
  <c r="DA93" i="4"/>
  <c r="DA63" i="4"/>
  <c r="BM129" i="4"/>
  <c r="BM59" i="4"/>
  <c r="BM65" i="4"/>
  <c r="BM47" i="4"/>
  <c r="AP109" i="4"/>
  <c r="AP86" i="4"/>
  <c r="AP87" i="4"/>
  <c r="AP90" i="4" s="1"/>
  <c r="BW129" i="4"/>
  <c r="BW47" i="4"/>
  <c r="BW65" i="4"/>
  <c r="BW59" i="4"/>
  <c r="DC86" i="4"/>
  <c r="AF110" i="4"/>
  <c r="AF92" i="4"/>
  <c r="AF35" i="4"/>
  <c r="AF100" i="4"/>
  <c r="DZ70" i="4"/>
  <c r="H149" i="7" l="1"/>
  <c r="BY202" i="5"/>
  <c r="AR112" i="4"/>
  <c r="E108" i="5"/>
  <c r="E110" i="5" s="1"/>
  <c r="T108" i="5"/>
  <c r="T110" i="5" s="1"/>
  <c r="AH62" i="4"/>
  <c r="EB122" i="10"/>
  <c r="DZ174" i="10"/>
  <c r="EA170" i="10"/>
  <c r="EA173" i="10" s="1"/>
  <c r="EE72" i="10"/>
  <c r="EF68" i="10"/>
  <c r="EF71" i="10" s="1"/>
  <c r="DM152" i="7"/>
  <c r="AB70" i="8"/>
  <c r="BT109" i="4"/>
  <c r="AG29" i="7"/>
  <c r="AG28" i="7" s="1"/>
  <c r="AS108" i="5"/>
  <c r="AS110" i="5" s="1"/>
  <c r="DB108" i="5"/>
  <c r="DB110" i="5" s="1"/>
  <c r="BX108" i="5"/>
  <c r="BX110" i="5" s="1"/>
  <c r="H65" i="8"/>
  <c r="H66" i="8"/>
  <c r="H69" i="8"/>
  <c r="M70" i="8" s="1"/>
  <c r="H67" i="8"/>
  <c r="M68" i="8" s="1"/>
  <c r="CW108" i="5"/>
  <c r="CW110" i="5" s="1"/>
  <c r="DB16" i="10"/>
  <c r="DD214" i="10"/>
  <c r="DE209" i="10"/>
  <c r="EC157" i="5"/>
  <c r="EC156" i="5"/>
  <c r="AJ108" i="5"/>
  <c r="AJ110" i="5" s="1"/>
  <c r="CV108" i="5"/>
  <c r="CV110" i="5" s="1"/>
  <c r="DM167" i="5"/>
  <c r="DE107" i="5"/>
  <c r="DE101" i="5"/>
  <c r="DN64" i="5"/>
  <c r="DQ64" i="5"/>
  <c r="F107" i="5"/>
  <c r="F101" i="5"/>
  <c r="O107" i="5"/>
  <c r="O101" i="5"/>
  <c r="AE107" i="5"/>
  <c r="AE101" i="5"/>
  <c r="CG107" i="5"/>
  <c r="CG101" i="5"/>
  <c r="DJ107" i="5"/>
  <c r="DJ101" i="5"/>
  <c r="Z107" i="5"/>
  <c r="Z101" i="5"/>
  <c r="BH107" i="5"/>
  <c r="BH101" i="5"/>
  <c r="H9" i="19"/>
  <c r="AA63" i="5"/>
  <c r="AA62" i="5"/>
  <c r="AA61" i="5"/>
  <c r="AB64" i="5"/>
  <c r="CE101" i="5"/>
  <c r="CE107" i="5"/>
  <c r="BO64" i="5"/>
  <c r="BN63" i="5"/>
  <c r="BN61" i="5"/>
  <c r="BN62" i="5"/>
  <c r="K107" i="5"/>
  <c r="K101" i="5"/>
  <c r="N101" i="5"/>
  <c r="N107" i="5"/>
  <c r="AM101" i="5"/>
  <c r="AM107" i="5"/>
  <c r="AI107" i="5"/>
  <c r="AI101" i="5"/>
  <c r="BV107" i="5"/>
  <c r="BV101" i="5"/>
  <c r="AG109" i="4"/>
  <c r="DV54" i="4"/>
  <c r="DW54" i="4" s="1"/>
  <c r="DW58" i="4" s="1"/>
  <c r="DW132" i="4" s="1"/>
  <c r="DW133" i="4" s="1"/>
  <c r="BQ107" i="5"/>
  <c r="BQ101" i="5"/>
  <c r="BI63" i="5"/>
  <c r="BI61" i="5"/>
  <c r="BJ64" i="5"/>
  <c r="BI62" i="5"/>
  <c r="P108" i="5"/>
  <c r="P110" i="5" s="1"/>
  <c r="AN108" i="5"/>
  <c r="AN110" i="5" s="1"/>
  <c r="AK150" i="7"/>
  <c r="BO66" i="8"/>
  <c r="BO30" i="8"/>
  <c r="BO57" i="8"/>
  <c r="BO39" i="8"/>
  <c r="BO75" i="8"/>
  <c r="AN63" i="5"/>
  <c r="AN62" i="5"/>
  <c r="AN61" i="5"/>
  <c r="BT91" i="4"/>
  <c r="BT33" i="4"/>
  <c r="R68" i="8"/>
  <c r="AP150" i="7"/>
  <c r="U63" i="5"/>
  <c r="U62" i="5"/>
  <c r="U61" i="5"/>
  <c r="DO64" i="5"/>
  <c r="BJ30" i="8"/>
  <c r="BJ66" i="8"/>
  <c r="BJ57" i="8"/>
  <c r="BJ39" i="8"/>
  <c r="BJ75" i="8"/>
  <c r="BJ91" i="4"/>
  <c r="BJ33" i="4"/>
  <c r="V150" i="7"/>
  <c r="J63" i="5"/>
  <c r="J61" i="5"/>
  <c r="J62" i="5"/>
  <c r="DA108" i="5"/>
  <c r="DA110" i="5" s="1"/>
  <c r="CQ108" i="5"/>
  <c r="CQ110" i="5" s="1"/>
  <c r="CB63" i="5"/>
  <c r="CB61" i="5"/>
  <c r="CB62" i="5"/>
  <c r="CT108" i="5"/>
  <c r="CT110" i="5" s="1"/>
  <c r="AG75" i="7"/>
  <c r="AL150" i="7" s="1"/>
  <c r="AG84" i="7"/>
  <c r="AG71" i="7"/>
  <c r="AG83" i="7"/>
  <c r="AO108" i="5"/>
  <c r="AO110" i="5" s="1"/>
  <c r="H87" i="4"/>
  <c r="H90" i="4" s="1"/>
  <c r="G64" i="5"/>
  <c r="DM177" i="5"/>
  <c r="DJ181" i="5"/>
  <c r="DJ184" i="5" s="1"/>
  <c r="DJ185" i="5" s="1"/>
  <c r="DJ187" i="5" s="1"/>
  <c r="BD101" i="5"/>
  <c r="BD107" i="5"/>
  <c r="CZ107" i="5"/>
  <c r="CZ101" i="5"/>
  <c r="BE64" i="5"/>
  <c r="BD63" i="5"/>
  <c r="BD61" i="5"/>
  <c r="BD62" i="5"/>
  <c r="BC101" i="5"/>
  <c r="BC107" i="5"/>
  <c r="DS64" i="5"/>
  <c r="DT64" i="5"/>
  <c r="DU64" i="5"/>
  <c r="CH107" i="5"/>
  <c r="CH101" i="5"/>
  <c r="AF109" i="4"/>
  <c r="AE64" i="5"/>
  <c r="AD64" i="5"/>
  <c r="AC64" i="5"/>
  <c r="CL107" i="5"/>
  <c r="CL101" i="5"/>
  <c r="AK107" i="5"/>
  <c r="AK101" i="5"/>
  <c r="D107" i="5"/>
  <c r="D101" i="5"/>
  <c r="BN107" i="5"/>
  <c r="BN101" i="5"/>
  <c r="CC107" i="5"/>
  <c r="CC101" i="5"/>
  <c r="CF107" i="5"/>
  <c r="CF101" i="5"/>
  <c r="BP101" i="5"/>
  <c r="BP107" i="5"/>
  <c r="O63" i="5"/>
  <c r="O61" i="5"/>
  <c r="O62" i="5"/>
  <c r="CD16" i="7"/>
  <c r="CI16" i="7"/>
  <c r="AT61" i="5"/>
  <c r="AT63" i="5"/>
  <c r="AT62" i="5"/>
  <c r="AQ63" i="5"/>
  <c r="AQ61" i="5"/>
  <c r="AQ62" i="5"/>
  <c r="BQ63" i="5"/>
  <c r="BQ61" i="5"/>
  <c r="BQ62" i="5"/>
  <c r="DP64" i="5"/>
  <c r="AG63" i="5"/>
  <c r="AG61" i="5"/>
  <c r="AG62" i="5"/>
  <c r="BT63" i="5"/>
  <c r="BT61" i="5"/>
  <c r="BT62" i="5"/>
  <c r="DJ64" i="5"/>
  <c r="CD91" i="4"/>
  <c r="CD33" i="4"/>
  <c r="M29" i="7"/>
  <c r="M28" i="7" s="1"/>
  <c r="BZ61" i="5"/>
  <c r="BZ63" i="5"/>
  <c r="BZ62" i="5"/>
  <c r="CX63" i="5"/>
  <c r="CX61" i="5"/>
  <c r="CX62" i="5"/>
  <c r="AZ64" i="5"/>
  <c r="AY63" i="5"/>
  <c r="AY62" i="5"/>
  <c r="AY61" i="5"/>
  <c r="CI61" i="5"/>
  <c r="CI63" i="5"/>
  <c r="CI62" i="5"/>
  <c r="BY63" i="5"/>
  <c r="BY61" i="5"/>
  <c r="BY62" i="5"/>
  <c r="BO91" i="4"/>
  <c r="BO33" i="4"/>
  <c r="W29" i="7"/>
  <c r="W28" i="7" s="1"/>
  <c r="AQ29" i="7"/>
  <c r="AQ28" i="7" s="1"/>
  <c r="DV64" i="5"/>
  <c r="V63" i="5"/>
  <c r="W64" i="5"/>
  <c r="V61" i="5"/>
  <c r="V62" i="5"/>
  <c r="BW101" i="5"/>
  <c r="BW107" i="5"/>
  <c r="CU107" i="5"/>
  <c r="CU101" i="5"/>
  <c r="BA64" i="5"/>
  <c r="BB64" i="5"/>
  <c r="BC64" i="5"/>
  <c r="BS107" i="5"/>
  <c r="BS101" i="5"/>
  <c r="BL101" i="5"/>
  <c r="BL107" i="5"/>
  <c r="DL64" i="5"/>
  <c r="DH64" i="5"/>
  <c r="DG63" i="5"/>
  <c r="DG61" i="5"/>
  <c r="J107" i="5"/>
  <c r="J101" i="5"/>
  <c r="CA107" i="5"/>
  <c r="CA101" i="5"/>
  <c r="CP107" i="5"/>
  <c r="CP101" i="5"/>
  <c r="DG62" i="5"/>
  <c r="CD30" i="8"/>
  <c r="CD57" i="8"/>
  <c r="CD39" i="8"/>
  <c r="CD66" i="8"/>
  <c r="CD75" i="8"/>
  <c r="BR62" i="5"/>
  <c r="BR63" i="5"/>
  <c r="BR61" i="5"/>
  <c r="X63" i="5"/>
  <c r="X62" i="5"/>
  <c r="X61" i="5"/>
  <c r="M71" i="7"/>
  <c r="M75" i="7"/>
  <c r="R150" i="7" s="1"/>
  <c r="M84" i="7"/>
  <c r="M83" i="7"/>
  <c r="BT30" i="8"/>
  <c r="BT57" i="8"/>
  <c r="BT39" i="8"/>
  <c r="BT66" i="8"/>
  <c r="BT75" i="8"/>
  <c r="Y63" i="5"/>
  <c r="Y62" i="5"/>
  <c r="Y61" i="5"/>
  <c r="M63" i="5"/>
  <c r="M61" i="5"/>
  <c r="M62" i="5"/>
  <c r="AH63" i="5"/>
  <c r="AH61" i="5"/>
  <c r="AH62" i="5"/>
  <c r="CG63" i="5"/>
  <c r="CG61" i="5"/>
  <c r="CG62" i="5"/>
  <c r="P63" i="5"/>
  <c r="P61" i="5"/>
  <c r="P62" i="5"/>
  <c r="CF63" i="5"/>
  <c r="CF62" i="5"/>
  <c r="CF61" i="5"/>
  <c r="CJ108" i="5"/>
  <c r="CJ110" i="5" s="1"/>
  <c r="AL29" i="7"/>
  <c r="AL28" i="7" s="1"/>
  <c r="AM63" i="5"/>
  <c r="AM61" i="5"/>
  <c r="AM62" i="5"/>
  <c r="DK64" i="5"/>
  <c r="BM107" i="5"/>
  <c r="BM101" i="5"/>
  <c r="CK107" i="5"/>
  <c r="CK101" i="5"/>
  <c r="BR107" i="5"/>
  <c r="BR101" i="5"/>
  <c r="L107" i="5"/>
  <c r="L101" i="5"/>
  <c r="BZ101" i="5"/>
  <c r="BZ107" i="5"/>
  <c r="AN66" i="4"/>
  <c r="BK64" i="5"/>
  <c r="BL64" i="5"/>
  <c r="BM64" i="5"/>
  <c r="DI61" i="5"/>
  <c r="DI63" i="5"/>
  <c r="AF86" i="4"/>
  <c r="DD64" i="5"/>
  <c r="DE64" i="5"/>
  <c r="DF64" i="5"/>
  <c r="DF107" i="5"/>
  <c r="DF101" i="5"/>
  <c r="BI107" i="5"/>
  <c r="BI101" i="5"/>
  <c r="S101" i="5"/>
  <c r="S107" i="5"/>
  <c r="BF64" i="5"/>
  <c r="BG64" i="5"/>
  <c r="BH64" i="5"/>
  <c r="AS61" i="5"/>
  <c r="AS63" i="5"/>
  <c r="AS62" i="5"/>
  <c r="M79" i="7"/>
  <c r="H84" i="7"/>
  <c r="H71" i="7"/>
  <c r="H75" i="7"/>
  <c r="M150" i="7" s="1"/>
  <c r="Q63" i="5"/>
  <c r="Q61" i="5"/>
  <c r="R64" i="5"/>
  <c r="Q62" i="5"/>
  <c r="CB108" i="5"/>
  <c r="CB110" i="5" s="1"/>
  <c r="AL63" i="5"/>
  <c r="AL61" i="5"/>
  <c r="AL62" i="5"/>
  <c r="CY108" i="5"/>
  <c r="CY110" i="5" s="1"/>
  <c r="M157" i="7"/>
  <c r="AB68" i="8"/>
  <c r="W157" i="7"/>
  <c r="W141" i="7"/>
  <c r="CD63" i="5"/>
  <c r="CD61" i="5"/>
  <c r="CD62" i="5"/>
  <c r="U108" i="5"/>
  <c r="U110" i="5" s="1"/>
  <c r="AQ71" i="7"/>
  <c r="AQ75" i="7"/>
  <c r="AV157" i="7"/>
  <c r="AQ84" i="7"/>
  <c r="AQ83" i="7"/>
  <c r="R70" i="8"/>
  <c r="CO108" i="5"/>
  <c r="CO110" i="5" s="1"/>
  <c r="K63" i="5"/>
  <c r="K61" i="5"/>
  <c r="K62" i="5"/>
  <c r="BY16" i="7"/>
  <c r="AG79" i="7"/>
  <c r="AG68" i="8"/>
  <c r="AI61" i="5"/>
  <c r="AI63" i="5"/>
  <c r="AI62" i="5"/>
  <c r="R29" i="7"/>
  <c r="R28" i="7" s="1"/>
  <c r="R83" i="7"/>
  <c r="DW202" i="5"/>
  <c r="DW203" i="5" s="1"/>
  <c r="H13" i="19"/>
  <c r="BJ77" i="5"/>
  <c r="BF77" i="5"/>
  <c r="BF81" i="5" s="1"/>
  <c r="BE84" i="5"/>
  <c r="BT191" i="5"/>
  <c r="DR48" i="8"/>
  <c r="DR47" i="8"/>
  <c r="DV48" i="8"/>
  <c r="DV47" i="8"/>
  <c r="DU152" i="7"/>
  <c r="DZ151" i="7"/>
  <c r="DX8" i="8"/>
  <c r="DX9" i="8" s="1"/>
  <c r="DR152" i="7"/>
  <c r="DW406" i="7"/>
  <c r="DT21" i="8"/>
  <c r="DT45" i="8" s="1"/>
  <c r="DU82" i="7"/>
  <c r="DU13" i="7"/>
  <c r="DQ47" i="8"/>
  <c r="DQ48" i="8"/>
  <c r="DU47" i="8"/>
  <c r="DU48" i="8"/>
  <c r="DR408" i="7"/>
  <c r="DR409" i="7" s="1"/>
  <c r="DW409" i="7" s="1"/>
  <c r="EB409" i="7" s="1"/>
  <c r="EG409" i="7" s="1"/>
  <c r="EL409" i="7" s="1"/>
  <c r="DR21" i="8"/>
  <c r="DU146" i="7"/>
  <c r="DU157" i="7"/>
  <c r="DU149" i="7"/>
  <c r="DU141" i="7"/>
  <c r="DZ160" i="10"/>
  <c r="DZ163" i="10" s="1"/>
  <c r="DY164" i="10"/>
  <c r="DU34" i="10"/>
  <c r="DU37" i="10" s="1"/>
  <c r="DT39" i="10"/>
  <c r="DT38" i="10"/>
  <c r="DT40" i="10" s="1"/>
  <c r="DQ210" i="10"/>
  <c r="DQ213" i="10" s="1"/>
  <c r="DP21" i="10"/>
  <c r="DE154" i="10"/>
  <c r="DF149" i="10"/>
  <c r="DF204" i="10"/>
  <c r="DG199" i="10"/>
  <c r="EH199" i="10"/>
  <c r="DG77" i="10"/>
  <c r="DF82" i="10"/>
  <c r="EE107" i="10"/>
  <c r="ED112" i="10"/>
  <c r="DP214" i="10"/>
  <c r="DQ209" i="10"/>
  <c r="EF189" i="10"/>
  <c r="EF118" i="10"/>
  <c r="EF121" i="10" s="1"/>
  <c r="EF122" i="10" s="1"/>
  <c r="EE122" i="10"/>
  <c r="DD102" i="10"/>
  <c r="DE97" i="10"/>
  <c r="EB193" i="10"/>
  <c r="EC190" i="10" s="1"/>
  <c r="EC193" i="10" s="1"/>
  <c r="EA194" i="10"/>
  <c r="EB194" i="10" s="1"/>
  <c r="DQ180" i="10"/>
  <c r="DQ183" i="10" s="1"/>
  <c r="DP184" i="10"/>
  <c r="EL48" i="10"/>
  <c r="EH48" i="10"/>
  <c r="EH51" i="10" s="1"/>
  <c r="EI48" i="10" s="1"/>
  <c r="EI51" i="10" s="1"/>
  <c r="EJ48" i="10" s="1"/>
  <c r="EJ51" i="10" s="1"/>
  <c r="EK48" i="10" s="1"/>
  <c r="EK51" i="10" s="1"/>
  <c r="EL51" i="10" s="1"/>
  <c r="DI92" i="10"/>
  <c r="DJ87" i="10"/>
  <c r="DC102" i="10"/>
  <c r="DU179" i="10"/>
  <c r="DS98" i="10"/>
  <c r="DS101" i="10" s="1"/>
  <c r="DW98" i="10"/>
  <c r="EH209" i="10"/>
  <c r="ED31" i="10"/>
  <c r="ED159" i="10"/>
  <c r="EH122" i="10"/>
  <c r="EI117" i="10"/>
  <c r="EA97" i="10"/>
  <c r="DD52" i="10"/>
  <c r="DE47" i="10"/>
  <c r="DG62" i="10"/>
  <c r="DH62" i="10" s="1"/>
  <c r="DI57" i="10"/>
  <c r="EA200" i="10"/>
  <c r="EA203" i="10" s="1"/>
  <c r="DZ204" i="10"/>
  <c r="DT130" i="10"/>
  <c r="DT133" i="10" s="1"/>
  <c r="DS134" i="10"/>
  <c r="DQ140" i="10"/>
  <c r="DQ143" i="10" s="1"/>
  <c r="DP144" i="10"/>
  <c r="DC83" i="7"/>
  <c r="DC84" i="7"/>
  <c r="DC75" i="7"/>
  <c r="DC71" i="7"/>
  <c r="DH83" i="7"/>
  <c r="DC79" i="7"/>
  <c r="CD36" i="7"/>
  <c r="BZ36" i="7"/>
  <c r="BZ37" i="7" s="1"/>
  <c r="CD37" i="7" s="1"/>
  <c r="BZ52" i="7"/>
  <c r="CD52" i="7"/>
  <c r="AB52" i="7"/>
  <c r="AB51" i="7"/>
  <c r="AB89" i="7"/>
  <c r="AB66" i="7"/>
  <c r="AB165" i="7"/>
  <c r="DT84" i="7"/>
  <c r="DT83" i="7"/>
  <c r="DT71" i="7"/>
  <c r="DT75" i="7"/>
  <c r="EJ408" i="7"/>
  <c r="EJ406" i="7" s="1"/>
  <c r="EJ21" i="8" s="1"/>
  <c r="EJ45" i="8" s="1"/>
  <c r="EE406" i="7"/>
  <c r="EE21" i="8" s="1"/>
  <c r="EE45" i="8" s="1"/>
  <c r="DV83" i="7"/>
  <c r="DV84" i="7"/>
  <c r="DV71" i="7"/>
  <c r="DV75" i="7"/>
  <c r="DR157" i="7"/>
  <c r="DR141" i="7"/>
  <c r="DR146" i="7"/>
  <c r="EH36" i="7"/>
  <c r="EH40" i="7" s="1"/>
  <c r="EI36" i="7" s="1"/>
  <c r="EI40" i="7" s="1"/>
  <c r="EJ36" i="7" s="1"/>
  <c r="EJ40" i="7" s="1"/>
  <c r="EK36" i="7" s="1"/>
  <c r="EK40" i="7" s="1"/>
  <c r="EL36" i="7"/>
  <c r="EL40" i="7" s="1"/>
  <c r="EH408" i="7"/>
  <c r="EH406" i="7" s="1"/>
  <c r="EH21" i="8" s="1"/>
  <c r="EH45" i="8" s="1"/>
  <c r="EC406" i="7"/>
  <c r="EC21" i="8" s="1"/>
  <c r="EC45" i="8" s="1"/>
  <c r="X52" i="7"/>
  <c r="X50" i="7"/>
  <c r="X51" i="7"/>
  <c r="X89" i="7"/>
  <c r="X165" i="7"/>
  <c r="X66" i="7"/>
  <c r="Y50" i="7"/>
  <c r="DX87" i="7"/>
  <c r="DX55" i="7"/>
  <c r="DX13" i="8" s="1"/>
  <c r="DX14" i="8" s="1"/>
  <c r="DS151" i="7"/>
  <c r="DW148" i="7"/>
  <c r="DS150" i="7"/>
  <c r="DS12" i="7"/>
  <c r="DS78" i="7"/>
  <c r="DS11" i="7"/>
  <c r="DS156" i="7"/>
  <c r="DS149" i="7" s="1"/>
  <c r="BP43" i="7"/>
  <c r="BP44" i="7" s="1"/>
  <c r="BT44" i="7" s="1"/>
  <c r="BT43" i="7"/>
  <c r="EF151" i="7"/>
  <c r="EA148" i="7"/>
  <c r="DH157" i="7"/>
  <c r="DH146" i="7"/>
  <c r="DH141" i="7"/>
  <c r="DR83" i="7"/>
  <c r="DR84" i="7"/>
  <c r="DR75" i="7"/>
  <c r="DR71" i="7"/>
  <c r="ED151" i="7"/>
  <c r="DY148" i="7"/>
  <c r="AC49" i="7"/>
  <c r="AG43" i="7"/>
  <c r="AG47" i="7" s="1"/>
  <c r="AG49" i="7"/>
  <c r="DX139" i="7"/>
  <c r="DX8" i="7"/>
  <c r="DX18" i="8" s="1"/>
  <c r="DZ160" i="7"/>
  <c r="DY138" i="7"/>
  <c r="DY86" i="7"/>
  <c r="DY8" i="8" s="1"/>
  <c r="DY9" i="8" s="1"/>
  <c r="ED408" i="7"/>
  <c r="DY406" i="7"/>
  <c r="DM157" i="7"/>
  <c r="DM146" i="7"/>
  <c r="DM141" i="7"/>
  <c r="EF408" i="7"/>
  <c r="EA406" i="7"/>
  <c r="EA21" i="8" s="1"/>
  <c r="EA45" i="8" s="1"/>
  <c r="DT79" i="7"/>
  <c r="DF102" i="5"/>
  <c r="DF50" i="5"/>
  <c r="DG44" i="5"/>
  <c r="BY205" i="5"/>
  <c r="BY203" i="5"/>
  <c r="DI66" i="5"/>
  <c r="DI17" i="5"/>
  <c r="DI24" i="5" s="1"/>
  <c r="DJ7" i="5"/>
  <c r="CD203" i="5"/>
  <c r="CD205" i="5"/>
  <c r="AG203" i="5"/>
  <c r="AG205" i="5"/>
  <c r="N183" i="5"/>
  <c r="M187" i="5"/>
  <c r="ED154" i="5"/>
  <c r="EE37" i="5"/>
  <c r="EB103" i="5"/>
  <c r="EC45" i="5"/>
  <c r="BU183" i="5"/>
  <c r="BU185" i="5" s="1"/>
  <c r="BY183" i="5"/>
  <c r="BY185" i="5" s="1"/>
  <c r="BT187" i="5"/>
  <c r="BX205" i="5"/>
  <c r="BX203" i="5"/>
  <c r="R81" i="5"/>
  <c r="R82" i="5" s="1"/>
  <c r="N82" i="5"/>
  <c r="CC205" i="5"/>
  <c r="CC203" i="5"/>
  <c r="DV203" i="5"/>
  <c r="DV205" i="5"/>
  <c r="AL191" i="5"/>
  <c r="DC203" i="5"/>
  <c r="DC205" i="5"/>
  <c r="BO203" i="5"/>
  <c r="BO205" i="5"/>
  <c r="AF205" i="5"/>
  <c r="AF203" i="5"/>
  <c r="I187" i="5"/>
  <c r="J183" i="5"/>
  <c r="J185" i="5" s="1"/>
  <c r="DJ34" i="5"/>
  <c r="DJ41" i="5" s="1"/>
  <c r="DK32" i="5"/>
  <c r="EJ164" i="5"/>
  <c r="EI125" i="5"/>
  <c r="BP187" i="5"/>
  <c r="BQ183" i="5"/>
  <c r="BQ185" i="5" s="1"/>
  <c r="CS205" i="5"/>
  <c r="CS203" i="5"/>
  <c r="ED152" i="5"/>
  <c r="EE13" i="5"/>
  <c r="ED157" i="5"/>
  <c r="ED198" i="5" s="1"/>
  <c r="EE15" i="5"/>
  <c r="DM169" i="5"/>
  <c r="BT205" i="5"/>
  <c r="BT203" i="5"/>
  <c r="ED156" i="5"/>
  <c r="ED197" i="5" s="1"/>
  <c r="EE31" i="5"/>
  <c r="DE109" i="5"/>
  <c r="DF100" i="5" s="1"/>
  <c r="DE58" i="5"/>
  <c r="DE56" i="5"/>
  <c r="DE55" i="5"/>
  <c r="DE59" i="5"/>
  <c r="DE52" i="5"/>
  <c r="DE69" i="5" s="1"/>
  <c r="EB105" i="5"/>
  <c r="EC46" i="5"/>
  <c r="EB104" i="5"/>
  <c r="EC49" i="5"/>
  <c r="CN205" i="5"/>
  <c r="CN203" i="5"/>
  <c r="CX203" i="5"/>
  <c r="CX205" i="5"/>
  <c r="EH82" i="5"/>
  <c r="EB106" i="5"/>
  <c r="EC47" i="5"/>
  <c r="BJ183" i="5"/>
  <c r="BJ185" i="5" s="1"/>
  <c r="BJ187" i="5" s="1"/>
  <c r="BF185" i="5"/>
  <c r="EC198" i="5"/>
  <c r="BS203" i="5"/>
  <c r="BS205" i="5"/>
  <c r="EC197" i="5"/>
  <c r="DN167" i="5"/>
  <c r="DO8" i="5"/>
  <c r="DP8" i="5" s="1"/>
  <c r="DQ8" i="5" s="1"/>
  <c r="DR8" i="5" s="1"/>
  <c r="DS8" i="5" s="1"/>
  <c r="DT8" i="5" s="1"/>
  <c r="DU8" i="5" s="1"/>
  <c r="DV8" i="5" s="1"/>
  <c r="DW8" i="5" s="1"/>
  <c r="DX8" i="5" s="1"/>
  <c r="BW93" i="4"/>
  <c r="BW63" i="4"/>
  <c r="CB113" i="4" s="1"/>
  <c r="CK93" i="4"/>
  <c r="CK63" i="4"/>
  <c r="O128" i="4"/>
  <c r="O49" i="4"/>
  <c r="CG112" i="4"/>
  <c r="CG66" i="4"/>
  <c r="G59" i="4"/>
  <c r="G47" i="4"/>
  <c r="G65" i="4"/>
  <c r="L66" i="4" s="1"/>
  <c r="BL93" i="4"/>
  <c r="BL63" i="4"/>
  <c r="AS113" i="4"/>
  <c r="AS64" i="4"/>
  <c r="BK109" i="4"/>
  <c r="BK87" i="4"/>
  <c r="BK90" i="4" s="1"/>
  <c r="BK86" i="4"/>
  <c r="CI129" i="4"/>
  <c r="CI65" i="4"/>
  <c r="CI47" i="4"/>
  <c r="CI59" i="4"/>
  <c r="K128" i="4"/>
  <c r="K49" i="4"/>
  <c r="N128" i="4"/>
  <c r="N49" i="4"/>
  <c r="EA76" i="4"/>
  <c r="DZ77" i="4"/>
  <c r="CA93" i="4"/>
  <c r="CA63" i="4"/>
  <c r="BN128" i="4"/>
  <c r="BN49" i="4"/>
  <c r="CF128" i="4"/>
  <c r="CF61" i="4"/>
  <c r="CF49" i="4"/>
  <c r="S112" i="4"/>
  <c r="S66" i="4"/>
  <c r="AT65" i="4"/>
  <c r="AT47" i="4"/>
  <c r="AT59" i="4"/>
  <c r="BW112" i="4"/>
  <c r="BW66" i="4"/>
  <c r="BM93" i="4"/>
  <c r="BM63" i="4"/>
  <c r="CK112" i="4"/>
  <c r="CK66" i="4"/>
  <c r="CP66" i="4"/>
  <c r="CP112" i="4"/>
  <c r="DD59" i="4"/>
  <c r="DD47" i="4"/>
  <c r="DD48" i="4"/>
  <c r="CU93" i="4"/>
  <c r="CU63" i="4"/>
  <c r="DE93" i="4"/>
  <c r="DE63" i="4"/>
  <c r="DG47" i="4"/>
  <c r="DG59" i="4"/>
  <c r="CW112" i="4"/>
  <c r="CW62" i="4"/>
  <c r="BD112" i="4"/>
  <c r="BD66" i="4"/>
  <c r="BE109" i="4"/>
  <c r="BE86" i="4"/>
  <c r="BE87" i="4"/>
  <c r="BE90" i="4" s="1"/>
  <c r="O93" i="4"/>
  <c r="O63" i="4"/>
  <c r="T113" i="4" s="1"/>
  <c r="AE112" i="4"/>
  <c r="AE66" i="4"/>
  <c r="BS128" i="4"/>
  <c r="BS61" i="4"/>
  <c r="BS49" i="4"/>
  <c r="X61" i="4"/>
  <c r="Z128" i="4"/>
  <c r="Z49" i="4"/>
  <c r="AR61" i="4"/>
  <c r="BZ128" i="4"/>
  <c r="BZ61" i="4"/>
  <c r="BZ62" i="4" s="1"/>
  <c r="BZ49" i="4"/>
  <c r="BZ111" i="4" s="1"/>
  <c r="CV113" i="4"/>
  <c r="CV64" i="4"/>
  <c r="DK49" i="4"/>
  <c r="AL110" i="4"/>
  <c r="AL92" i="4"/>
  <c r="AL35" i="4"/>
  <c r="AL100" i="4"/>
  <c r="CB66" i="4"/>
  <c r="BG129" i="4"/>
  <c r="BG65" i="4"/>
  <c r="BL112" i="4" s="1"/>
  <c r="BG59" i="4"/>
  <c r="BG47" i="4"/>
  <c r="CT113" i="4"/>
  <c r="CT64" i="4"/>
  <c r="BO109" i="4"/>
  <c r="BO87" i="4"/>
  <c r="BO90" i="4" s="1"/>
  <c r="BO86" i="4"/>
  <c r="M110" i="4"/>
  <c r="M92" i="4"/>
  <c r="M35" i="4"/>
  <c r="M100" i="4"/>
  <c r="DA112" i="4"/>
  <c r="DA62" i="4"/>
  <c r="K93" i="4"/>
  <c r="K63" i="4"/>
  <c r="AB110" i="4"/>
  <c r="AB92" i="4"/>
  <c r="AB35" i="4"/>
  <c r="AB100" i="4"/>
  <c r="CL128" i="4"/>
  <c r="CL61" i="4"/>
  <c r="CQ62" i="4" s="1"/>
  <c r="CL49" i="4"/>
  <c r="N93" i="4"/>
  <c r="N63" i="4"/>
  <c r="AQ59" i="4"/>
  <c r="AQ65" i="4"/>
  <c r="AQ47" i="4"/>
  <c r="X66" i="4"/>
  <c r="AK93" i="4"/>
  <c r="AK63" i="4"/>
  <c r="AW93" i="4"/>
  <c r="AW63" i="4"/>
  <c r="BB129" i="4"/>
  <c r="BB65" i="4"/>
  <c r="BB59" i="4"/>
  <c r="BB47" i="4"/>
  <c r="AM128" i="4"/>
  <c r="AM49" i="4"/>
  <c r="AR111" i="4" s="1"/>
  <c r="DB113" i="4"/>
  <c r="DB64" i="4"/>
  <c r="CA128" i="4"/>
  <c r="CA61" i="4"/>
  <c r="CA49" i="4"/>
  <c r="D93" i="4"/>
  <c r="D63" i="4"/>
  <c r="DW110" i="4"/>
  <c r="DW92" i="4"/>
  <c r="DW35" i="4"/>
  <c r="DW100" i="4"/>
  <c r="BN112" i="4"/>
  <c r="BN66" i="4"/>
  <c r="CC93" i="4"/>
  <c r="CC63" i="4"/>
  <c r="CF93" i="4"/>
  <c r="CF63" i="4"/>
  <c r="DC47" i="4"/>
  <c r="DC59" i="4"/>
  <c r="DC49" i="4"/>
  <c r="BP93" i="4"/>
  <c r="BP63" i="4"/>
  <c r="BU64" i="4" s="1"/>
  <c r="Y113" i="4"/>
  <c r="AX128" i="4"/>
  <c r="AX49" i="4"/>
  <c r="AX61" i="4" s="1"/>
  <c r="DI49" i="4"/>
  <c r="DI59" i="4" s="1"/>
  <c r="DI47" i="4"/>
  <c r="DF128" i="4"/>
  <c r="DF61" i="4"/>
  <c r="BI128" i="4"/>
  <c r="BI49" i="4"/>
  <c r="AI93" i="4"/>
  <c r="AI63" i="4"/>
  <c r="AN64" i="4" s="1"/>
  <c r="AZ129" i="4"/>
  <c r="AZ65" i="4"/>
  <c r="AZ59" i="4"/>
  <c r="AZ47" i="4"/>
  <c r="BF129" i="4"/>
  <c r="BF65" i="4"/>
  <c r="BF59" i="4"/>
  <c r="BF47" i="4"/>
  <c r="EE75" i="4"/>
  <c r="S93" i="4"/>
  <c r="S63" i="4"/>
  <c r="CW113" i="4"/>
  <c r="CW64" i="4"/>
  <c r="CP93" i="4"/>
  <c r="CP63" i="4"/>
  <c r="CB64" i="4"/>
  <c r="BQ128" i="4"/>
  <c r="BQ61" i="4"/>
  <c r="BQ49" i="4"/>
  <c r="BJ109" i="4"/>
  <c r="BJ86" i="4"/>
  <c r="BJ87" i="4"/>
  <c r="BJ90" i="4" s="1"/>
  <c r="AF65" i="4"/>
  <c r="AF59" i="4"/>
  <c r="AF47" i="4"/>
  <c r="BM112" i="4"/>
  <c r="BM66" i="4"/>
  <c r="BR112" i="4"/>
  <c r="BR66" i="4"/>
  <c r="AS111" i="4"/>
  <c r="AS61" i="4"/>
  <c r="BD128" i="4"/>
  <c r="BD49" i="4"/>
  <c r="CN129" i="4"/>
  <c r="CN65" i="4"/>
  <c r="CN59" i="4"/>
  <c r="CN47" i="4"/>
  <c r="BH112" i="4"/>
  <c r="BH66" i="4"/>
  <c r="CH112" i="4"/>
  <c r="CH66" i="4"/>
  <c r="CM112" i="4"/>
  <c r="CM66" i="4"/>
  <c r="CE112" i="4"/>
  <c r="CE66" i="4"/>
  <c r="AP59" i="4"/>
  <c r="AP47" i="4"/>
  <c r="AP65" i="4"/>
  <c r="CL93" i="4"/>
  <c r="CL63" i="4"/>
  <c r="CQ113" i="4" s="1"/>
  <c r="V65" i="4"/>
  <c r="V59" i="4"/>
  <c r="V47" i="4"/>
  <c r="AY128" i="4"/>
  <c r="AY49" i="4"/>
  <c r="AY61" i="4" s="1"/>
  <c r="DD122" i="4"/>
  <c r="DD109" i="4"/>
  <c r="DD87" i="4"/>
  <c r="DD90" i="4" s="1"/>
  <c r="DD86" i="4"/>
  <c r="DD132" i="4"/>
  <c r="AW128" i="4"/>
  <c r="AW49" i="4"/>
  <c r="AW61" i="4" s="1"/>
  <c r="J93" i="4"/>
  <c r="J63" i="4"/>
  <c r="D128" i="4"/>
  <c r="D49" i="4"/>
  <c r="BP128" i="4"/>
  <c r="BP61" i="4"/>
  <c r="BP49" i="4"/>
  <c r="BV112" i="4"/>
  <c r="BV66" i="4"/>
  <c r="BK129" i="4"/>
  <c r="BK65" i="4"/>
  <c r="BP66" i="4" s="1"/>
  <c r="BK47" i="4"/>
  <c r="BK59" i="4"/>
  <c r="BW128" i="4"/>
  <c r="BW61" i="4"/>
  <c r="BW49" i="4"/>
  <c r="CU128" i="4"/>
  <c r="CU61" i="4"/>
  <c r="H92" i="4"/>
  <c r="H35" i="4"/>
  <c r="H100" i="4"/>
  <c r="BE110" i="4"/>
  <c r="BE92" i="4"/>
  <c r="BE35" i="4"/>
  <c r="BE100" i="4"/>
  <c r="BR93" i="4"/>
  <c r="BR63" i="4"/>
  <c r="DN122" i="4"/>
  <c r="DN109" i="4"/>
  <c r="DN86" i="4"/>
  <c r="DN87" i="4"/>
  <c r="DN90" i="4" s="1"/>
  <c r="DN133" i="4"/>
  <c r="L128" i="4"/>
  <c r="L49" i="4"/>
  <c r="F93" i="4"/>
  <c r="F63" i="4"/>
  <c r="U113" i="4"/>
  <c r="U64" i="4"/>
  <c r="BA109" i="4"/>
  <c r="BA86" i="4"/>
  <c r="BA87" i="4"/>
  <c r="BA90" i="4" s="1"/>
  <c r="CJ66" i="4"/>
  <c r="AE128" i="4"/>
  <c r="AE49" i="4"/>
  <c r="CG128" i="4"/>
  <c r="CG61" i="4"/>
  <c r="CG62" i="4" s="1"/>
  <c r="CG49" i="4"/>
  <c r="CG111" i="4" s="1"/>
  <c r="DJ128" i="4"/>
  <c r="DJ61" i="4"/>
  <c r="DQ58" i="4"/>
  <c r="DQ132" i="4" s="1"/>
  <c r="DQ133" i="4" s="1"/>
  <c r="BP109" i="4"/>
  <c r="BS112" i="4"/>
  <c r="BS66" i="4"/>
  <c r="AN61" i="4"/>
  <c r="CY112" i="4"/>
  <c r="CY62" i="4"/>
  <c r="AV128" i="4"/>
  <c r="AV49" i="4"/>
  <c r="AV61" i="4" s="1"/>
  <c r="BH128" i="4"/>
  <c r="BH49" i="4"/>
  <c r="BC93" i="4"/>
  <c r="BC63" i="4"/>
  <c r="DW122" i="4"/>
  <c r="DW109" i="4"/>
  <c r="DW87" i="4"/>
  <c r="DW90" i="4" s="1"/>
  <c r="DW86" i="4"/>
  <c r="AW1" i="9"/>
  <c r="CH93" i="4"/>
  <c r="CH63" i="4"/>
  <c r="AB109" i="4"/>
  <c r="AB87" i="4"/>
  <c r="AB90" i="4" s="1"/>
  <c r="AB86" i="4"/>
  <c r="BZ112" i="4"/>
  <c r="BZ66" i="4"/>
  <c r="CE93" i="4"/>
  <c r="CE63" i="4"/>
  <c r="CJ64" i="4" s="1"/>
  <c r="DN45" i="4"/>
  <c r="DL48" i="4"/>
  <c r="DL49" i="4" s="1"/>
  <c r="AC62" i="4"/>
  <c r="BA129" i="4"/>
  <c r="BA65" i="4"/>
  <c r="BA59" i="4"/>
  <c r="BA47" i="4"/>
  <c r="CB112" i="4"/>
  <c r="BT86" i="4"/>
  <c r="AO113" i="4"/>
  <c r="AO64" i="4"/>
  <c r="R110" i="4"/>
  <c r="R92" i="4"/>
  <c r="R35" i="4"/>
  <c r="R100" i="4"/>
  <c r="DM109" i="4"/>
  <c r="DM86" i="4"/>
  <c r="DM87" i="4"/>
  <c r="DM90" i="4" s="1"/>
  <c r="DM122" i="4"/>
  <c r="CL112" i="4"/>
  <c r="CL66" i="4"/>
  <c r="CQ112" i="4"/>
  <c r="CQ66" i="4"/>
  <c r="N112" i="4"/>
  <c r="N66" i="4"/>
  <c r="X112" i="4"/>
  <c r="AK128" i="4"/>
  <c r="AK49" i="4"/>
  <c r="P113" i="4"/>
  <c r="P64" i="4"/>
  <c r="AM112" i="4"/>
  <c r="AM66" i="4"/>
  <c r="J112" i="4"/>
  <c r="J66" i="4"/>
  <c r="CA112" i="4"/>
  <c r="CA66" i="4"/>
  <c r="I66" i="4"/>
  <c r="I112" i="4"/>
  <c r="CC112" i="4"/>
  <c r="CC66" i="4"/>
  <c r="CF112" i="4"/>
  <c r="CF66" i="4"/>
  <c r="BP112" i="4"/>
  <c r="U111" i="4"/>
  <c r="U61" i="4"/>
  <c r="DF93" i="4"/>
  <c r="DF63" i="4"/>
  <c r="BI93" i="4"/>
  <c r="BI63" i="4"/>
  <c r="BV93" i="4"/>
  <c r="BV63" i="4"/>
  <c r="CB111" i="4"/>
  <c r="DL47" i="4"/>
  <c r="CY113" i="4"/>
  <c r="CY64" i="4"/>
  <c r="P111" i="4"/>
  <c r="P61" i="4"/>
  <c r="AA59" i="4"/>
  <c r="AA65" i="4"/>
  <c r="AA47" i="4"/>
  <c r="ED71" i="4"/>
  <c r="CP128" i="4"/>
  <c r="CP61" i="4"/>
  <c r="BQ93" i="4"/>
  <c r="BQ63" i="4"/>
  <c r="DR74" i="4"/>
  <c r="DS74" i="4"/>
  <c r="DT74" i="4" s="1"/>
  <c r="DU74" i="4" s="1"/>
  <c r="DV74" i="4" s="1"/>
  <c r="DE128" i="4"/>
  <c r="DE61" i="4"/>
  <c r="CZ128" i="4"/>
  <c r="CZ61" i="4"/>
  <c r="BS93" i="4"/>
  <c r="BS63" i="4"/>
  <c r="BX64" i="4" s="1"/>
  <c r="AG110" i="4"/>
  <c r="AG92" i="4"/>
  <c r="AG35" i="4"/>
  <c r="AG100" i="4"/>
  <c r="Z93" i="4"/>
  <c r="Z63" i="4"/>
  <c r="AO111" i="4"/>
  <c r="AO61" i="4"/>
  <c r="BC112" i="4"/>
  <c r="BC66" i="4"/>
  <c r="BZ93" i="4"/>
  <c r="BZ63" i="4"/>
  <c r="T111" i="4"/>
  <c r="T61" i="4"/>
  <c r="W110" i="4"/>
  <c r="W92" i="4"/>
  <c r="W35" i="4"/>
  <c r="W100" i="4"/>
  <c r="CC128" i="4"/>
  <c r="CC61" i="4"/>
  <c r="CC62" i="4" s="1"/>
  <c r="CC49" i="4"/>
  <c r="CC111" i="4" s="1"/>
  <c r="AX93" i="4"/>
  <c r="AX63" i="4"/>
  <c r="BI112" i="4"/>
  <c r="BI66" i="4"/>
  <c r="AI112" i="4"/>
  <c r="AI66" i="4"/>
  <c r="Y111" i="4"/>
  <c r="BF109" i="4"/>
  <c r="BF86" i="4"/>
  <c r="BF87" i="4"/>
  <c r="BF90" i="4" s="1"/>
  <c r="BM128" i="4"/>
  <c r="BM49" i="4"/>
  <c r="DA113" i="4"/>
  <c r="DA64" i="4"/>
  <c r="CK128" i="4"/>
  <c r="CK61" i="4"/>
  <c r="CK62" i="4" s="1"/>
  <c r="CK49" i="4"/>
  <c r="X113" i="4"/>
  <c r="X64" i="4"/>
  <c r="DH54" i="4"/>
  <c r="DH58" i="4" s="1"/>
  <c r="DD58" i="4"/>
  <c r="CX47" i="4"/>
  <c r="CX59" i="4"/>
  <c r="CX49" i="4"/>
  <c r="BR128" i="4"/>
  <c r="BR61" i="4"/>
  <c r="BR49" i="4"/>
  <c r="DR109" i="4"/>
  <c r="DR86" i="4"/>
  <c r="DR87" i="4"/>
  <c r="DR90" i="4" s="1"/>
  <c r="DR122" i="4"/>
  <c r="DR133" i="4"/>
  <c r="BD93" i="4"/>
  <c r="BD63" i="4"/>
  <c r="CZ93" i="4"/>
  <c r="CZ63" i="4"/>
  <c r="L93" i="4"/>
  <c r="L63" i="4"/>
  <c r="DB112" i="4"/>
  <c r="DB62" i="4"/>
  <c r="F128" i="4"/>
  <c r="F49" i="4"/>
  <c r="F61" i="4" s="1"/>
  <c r="AJ66" i="4"/>
  <c r="O112" i="4"/>
  <c r="O66" i="4"/>
  <c r="CJ112" i="4"/>
  <c r="AE93" i="4"/>
  <c r="AE63" i="4"/>
  <c r="AJ113" i="4" s="1"/>
  <c r="CG93" i="4"/>
  <c r="CG63" i="4"/>
  <c r="DJ129" i="4"/>
  <c r="DJ111" i="4"/>
  <c r="DJ65" i="4"/>
  <c r="DJ66" i="4" s="1"/>
  <c r="CS59" i="4"/>
  <c r="CS49" i="4"/>
  <c r="CS47" i="4"/>
  <c r="DH47" i="4"/>
  <c r="T66" i="4"/>
  <c r="BY110" i="4"/>
  <c r="BY92" i="4"/>
  <c r="BY35" i="4"/>
  <c r="BY100" i="4"/>
  <c r="Q65" i="4"/>
  <c r="Q47" i="4"/>
  <c r="Q59" i="4"/>
  <c r="BU62" i="4"/>
  <c r="BL128" i="4"/>
  <c r="BL49" i="4"/>
  <c r="Z112" i="4"/>
  <c r="Z66" i="4"/>
  <c r="CO113" i="4"/>
  <c r="CO64" i="4"/>
  <c r="AV93" i="4"/>
  <c r="AV63" i="4"/>
  <c r="BH93" i="4"/>
  <c r="BH63" i="4"/>
  <c r="BC128" i="4"/>
  <c r="BC49" i="4"/>
  <c r="DS122" i="4"/>
  <c r="DS109" i="4"/>
  <c r="DS87" i="4"/>
  <c r="DS90" i="4" s="1"/>
  <c r="DS86" i="4"/>
  <c r="DS133" i="4"/>
  <c r="CH128" i="4"/>
  <c r="CH61" i="4"/>
  <c r="CH49" i="4"/>
  <c r="AA109" i="4"/>
  <c r="AA87" i="4"/>
  <c r="AA90" i="4" s="1"/>
  <c r="AA86" i="4"/>
  <c r="CE128" i="4"/>
  <c r="CE61" i="4"/>
  <c r="CE62" i="4" s="1"/>
  <c r="CE49" i="4"/>
  <c r="CE111" i="4" s="1"/>
  <c r="AJ111" i="4"/>
  <c r="AJ61" i="4"/>
  <c r="AC64" i="4"/>
  <c r="AC111" i="4"/>
  <c r="BX62" i="4"/>
  <c r="CJ113" i="4"/>
  <c r="DK112" i="4"/>
  <c r="DK62" i="4"/>
  <c r="K112" i="4"/>
  <c r="K66" i="4"/>
  <c r="DI122" i="4"/>
  <c r="DI109" i="4"/>
  <c r="DI86" i="4"/>
  <c r="DI87" i="4"/>
  <c r="DI90" i="4" s="1"/>
  <c r="CO111" i="4"/>
  <c r="DM47" i="4"/>
  <c r="AQ110" i="4"/>
  <c r="AY93" i="4"/>
  <c r="AY63" i="4"/>
  <c r="DH109" i="4"/>
  <c r="DH87" i="4"/>
  <c r="DH90" i="4" s="1"/>
  <c r="DH86" i="4"/>
  <c r="DH122" i="4"/>
  <c r="DH132" i="4"/>
  <c r="CO62" i="4"/>
  <c r="AK112" i="4"/>
  <c r="AK66" i="4"/>
  <c r="AM93" i="4"/>
  <c r="AM63" i="4"/>
  <c r="J128" i="4"/>
  <c r="J49" i="4"/>
  <c r="EA69" i="4"/>
  <c r="EB68" i="4"/>
  <c r="CV62" i="4"/>
  <c r="BN93" i="4"/>
  <c r="BN63" i="4"/>
  <c r="DM54" i="4"/>
  <c r="DM58" i="4" s="1"/>
  <c r="DM132" i="4" s="1"/>
  <c r="DM133" i="4" s="1"/>
  <c r="DI58" i="4"/>
  <c r="DI132" i="4" s="1"/>
  <c r="DI133" i="4" s="1"/>
  <c r="BX66" i="4"/>
  <c r="AI128" i="4"/>
  <c r="AI49" i="4"/>
  <c r="BV128" i="4"/>
  <c r="BV61" i="4"/>
  <c r="BV49" i="4"/>
  <c r="BV111" i="4" s="1"/>
  <c r="CB62" i="4"/>
  <c r="AG86" i="4"/>
  <c r="Y62" i="4"/>
  <c r="S128" i="4"/>
  <c r="S49" i="4"/>
  <c r="DJ59" i="4"/>
  <c r="BQ112" i="4"/>
  <c r="BQ66" i="4"/>
  <c r="AN113" i="4" l="1"/>
  <c r="AJ64" i="4"/>
  <c r="BI108" i="5"/>
  <c r="BI110" i="5" s="1"/>
  <c r="CJ111" i="4"/>
  <c r="BX113" i="4"/>
  <c r="DV58" i="4"/>
  <c r="DV132" i="4" s="1"/>
  <c r="DV133" i="4" s="1"/>
  <c r="BV62" i="4"/>
  <c r="BS111" i="4"/>
  <c r="EA174" i="10"/>
  <c r="EB174" i="10" s="1"/>
  <c r="EB173" i="10"/>
  <c r="EC170" i="10" s="1"/>
  <c r="EC173" i="10" s="1"/>
  <c r="EF72" i="10"/>
  <c r="EG72" i="10" s="1"/>
  <c r="EG71" i="10"/>
  <c r="EH68" i="10" s="1"/>
  <c r="EH71" i="10" s="1"/>
  <c r="CP108" i="5"/>
  <c r="CP110" i="5" s="1"/>
  <c r="J108" i="5"/>
  <c r="J110" i="5" s="1"/>
  <c r="CC108" i="5"/>
  <c r="CC110" i="5" s="1"/>
  <c r="D108" i="5"/>
  <c r="D110" i="5" s="1"/>
  <c r="CL108" i="5"/>
  <c r="CL110" i="5" s="1"/>
  <c r="BQ108" i="5"/>
  <c r="BQ110" i="5" s="1"/>
  <c r="Z108" i="5"/>
  <c r="Z110" i="5" s="1"/>
  <c r="CF111" i="4"/>
  <c r="DE108" i="5"/>
  <c r="DW205" i="5"/>
  <c r="DE214" i="10"/>
  <c r="DF209" i="10"/>
  <c r="EG122" i="10"/>
  <c r="R83" i="5"/>
  <c r="BS108" i="5"/>
  <c r="BS110" i="5" s="1"/>
  <c r="CA108" i="5"/>
  <c r="CA110" i="5" s="1"/>
  <c r="CU108" i="5"/>
  <c r="CU110" i="5" s="1"/>
  <c r="CF108" i="5"/>
  <c r="CF110" i="5" s="1"/>
  <c r="BN108" i="5"/>
  <c r="BN110" i="5" s="1"/>
  <c r="AK108" i="5"/>
  <c r="AK110" i="5" s="1"/>
  <c r="CH108" i="5"/>
  <c r="CH110" i="5" s="1"/>
  <c r="BH108" i="5"/>
  <c r="BH110" i="5" s="1"/>
  <c r="BC108" i="5"/>
  <c r="BC110" i="5" s="1"/>
  <c r="BD108" i="5"/>
  <c r="BD110" i="5" s="1"/>
  <c r="Q107" i="5"/>
  <c r="Q101" i="5"/>
  <c r="CS101" i="5"/>
  <c r="CS107" i="5"/>
  <c r="CX101" i="5"/>
  <c r="CX107" i="5"/>
  <c r="CP62" i="4"/>
  <c r="BK101" i="5"/>
  <c r="BK107" i="5"/>
  <c r="AF107" i="5"/>
  <c r="AF101" i="5"/>
  <c r="DI101" i="5"/>
  <c r="DI107" i="5"/>
  <c r="DG107" i="5"/>
  <c r="DG101" i="5"/>
  <c r="L112" i="4"/>
  <c r="R63" i="5"/>
  <c r="R61" i="5"/>
  <c r="R62" i="5"/>
  <c r="BF61" i="5"/>
  <c r="BF63" i="5"/>
  <c r="BF62" i="5"/>
  <c r="DE63" i="5"/>
  <c r="DE61" i="5"/>
  <c r="DE62" i="5"/>
  <c r="L108" i="5"/>
  <c r="L110" i="5" s="1"/>
  <c r="CK108" i="5"/>
  <c r="CK110" i="5" s="1"/>
  <c r="DK63" i="5"/>
  <c r="DK61" i="5"/>
  <c r="BW108" i="5"/>
  <c r="BW110" i="5" s="1"/>
  <c r="BO92" i="4"/>
  <c r="BO35" i="4"/>
  <c r="BO100" i="4"/>
  <c r="BO110" i="4"/>
  <c r="DP61" i="5"/>
  <c r="DP63" i="5"/>
  <c r="AD63" i="5"/>
  <c r="AD61" i="5"/>
  <c r="AD62" i="5"/>
  <c r="BT35" i="4"/>
  <c r="BT100" i="4"/>
  <c r="BT110" i="4"/>
  <c r="BT92" i="4"/>
  <c r="AI108" i="5"/>
  <c r="AI110" i="5" s="1"/>
  <c r="CI107" i="5"/>
  <c r="AE108" i="5"/>
  <c r="AE110" i="5" s="1"/>
  <c r="F108" i="5"/>
  <c r="F110" i="5" s="1"/>
  <c r="CJ62" i="4"/>
  <c r="BA101" i="5"/>
  <c r="BA107" i="5"/>
  <c r="AP107" i="5"/>
  <c r="AP101" i="5"/>
  <c r="DC101" i="5"/>
  <c r="DC107" i="5"/>
  <c r="BB107" i="5"/>
  <c r="BB101" i="5"/>
  <c r="AT107" i="5"/>
  <c r="AT101" i="5"/>
  <c r="DD63" i="5"/>
  <c r="DD61" i="5"/>
  <c r="DD62" i="5"/>
  <c r="BM62" i="5"/>
  <c r="BM63" i="5"/>
  <c r="BM61" i="5"/>
  <c r="DH63" i="5"/>
  <c r="DH61" i="5"/>
  <c r="BC62" i="5"/>
  <c r="BC63" i="5"/>
  <c r="BC61" i="5"/>
  <c r="DW64" i="5"/>
  <c r="DV61" i="5"/>
  <c r="DV63" i="5"/>
  <c r="DJ61" i="5"/>
  <c r="DJ63" i="5"/>
  <c r="AE63" i="5"/>
  <c r="AE62" i="5"/>
  <c r="AE61" i="5"/>
  <c r="DU63" i="5"/>
  <c r="DU61" i="5"/>
  <c r="BE63" i="5"/>
  <c r="BE61" i="5"/>
  <c r="BE62" i="5"/>
  <c r="DM181" i="5"/>
  <c r="CI101" i="5"/>
  <c r="CE108" i="5"/>
  <c r="CE110" i="5" s="1"/>
  <c r="DM101" i="5"/>
  <c r="DM107" i="5"/>
  <c r="DL107" i="5"/>
  <c r="DL101" i="5"/>
  <c r="BF101" i="5"/>
  <c r="BF107" i="5"/>
  <c r="AQ101" i="5"/>
  <c r="AQ107" i="5"/>
  <c r="BL66" i="4"/>
  <c r="DD101" i="5"/>
  <c r="DD107" i="5"/>
  <c r="G107" i="5"/>
  <c r="H107" i="5" s="1"/>
  <c r="G101" i="5"/>
  <c r="DH62" i="5"/>
  <c r="DF108" i="5"/>
  <c r="BH62" i="5"/>
  <c r="BH63" i="5"/>
  <c r="BH61" i="5"/>
  <c r="BL62" i="5"/>
  <c r="BL63" i="5"/>
  <c r="BL61" i="5"/>
  <c r="BR108" i="5"/>
  <c r="BR110" i="5" s="1"/>
  <c r="BM108" i="5"/>
  <c r="BM110" i="5" s="1"/>
  <c r="BL108" i="5"/>
  <c r="BL110" i="5" s="1"/>
  <c r="BB63" i="5"/>
  <c r="BB61" i="5"/>
  <c r="BB62" i="5"/>
  <c r="DT61" i="5"/>
  <c r="DT63" i="5"/>
  <c r="CZ108" i="5"/>
  <c r="CZ110" i="5" s="1"/>
  <c r="H64" i="5"/>
  <c r="G63" i="5"/>
  <c r="G61" i="5"/>
  <c r="G62" i="5"/>
  <c r="DO61" i="5"/>
  <c r="DO63" i="5"/>
  <c r="BJ63" i="5"/>
  <c r="BJ61" i="5"/>
  <c r="BJ62" i="5"/>
  <c r="BV108" i="5"/>
  <c r="BV110" i="5" s="1"/>
  <c r="K108" i="5"/>
  <c r="K110" i="5" s="1"/>
  <c r="AB63" i="5"/>
  <c r="AB61" i="5"/>
  <c r="AB62" i="5"/>
  <c r="CG108" i="5"/>
  <c r="CG110" i="5" s="1"/>
  <c r="O108" i="5"/>
  <c r="O110" i="5" s="1"/>
  <c r="DQ63" i="5"/>
  <c r="DR64" i="5"/>
  <c r="DQ61" i="5"/>
  <c r="DH101" i="5"/>
  <c r="DH107" i="5"/>
  <c r="AA107" i="5"/>
  <c r="AA101" i="5"/>
  <c r="V107" i="5"/>
  <c r="V101" i="5"/>
  <c r="CN101" i="5"/>
  <c r="CN107" i="5"/>
  <c r="BG107" i="5"/>
  <c r="BG101" i="5"/>
  <c r="DM184" i="5"/>
  <c r="DM185" i="5" s="1"/>
  <c r="DM187" i="5" s="1"/>
  <c r="BG61" i="5"/>
  <c r="BG62" i="5"/>
  <c r="BG63" i="5"/>
  <c r="DF63" i="5"/>
  <c r="DF61" i="5"/>
  <c r="DF62" i="5"/>
  <c r="BK63" i="5"/>
  <c r="BK61" i="5"/>
  <c r="BK62" i="5"/>
  <c r="DM64" i="5"/>
  <c r="DL63" i="5"/>
  <c r="DL61" i="5"/>
  <c r="BA61" i="5"/>
  <c r="BA63" i="5"/>
  <c r="BA62" i="5"/>
  <c r="W63" i="5"/>
  <c r="W61" i="5"/>
  <c r="W62" i="5"/>
  <c r="AZ63" i="5"/>
  <c r="AZ61" i="5"/>
  <c r="AZ62" i="5"/>
  <c r="CD92" i="4"/>
  <c r="CD35" i="4"/>
  <c r="CI110" i="4"/>
  <c r="CD100" i="4"/>
  <c r="AC61" i="5"/>
  <c r="AC63" i="5"/>
  <c r="AC62" i="5"/>
  <c r="DS63" i="5"/>
  <c r="DS61" i="5"/>
  <c r="BJ35" i="4"/>
  <c r="BJ100" i="4"/>
  <c r="BJ110" i="4"/>
  <c r="BJ92" i="4"/>
  <c r="BO63" i="5"/>
  <c r="BO61" i="5"/>
  <c r="BO62" i="5"/>
  <c r="CD110" i="4"/>
  <c r="DN61" i="5"/>
  <c r="DN63" i="5"/>
  <c r="BF82" i="5"/>
  <c r="BJ81" i="5"/>
  <c r="BJ82" i="5" s="1"/>
  <c r="H12" i="19"/>
  <c r="BT47" i="7"/>
  <c r="DT47" i="8"/>
  <c r="DT48" i="8"/>
  <c r="DW45" i="8"/>
  <c r="EB406" i="7"/>
  <c r="DY21" i="8"/>
  <c r="DY45" i="8" s="1"/>
  <c r="EB45" i="8" s="1"/>
  <c r="DW408" i="7"/>
  <c r="DW21" i="8"/>
  <c r="EE151" i="7"/>
  <c r="DZ148" i="7"/>
  <c r="DU79" i="7"/>
  <c r="DU83" i="7"/>
  <c r="DU75" i="7"/>
  <c r="DU71" i="7"/>
  <c r="DU84" i="7"/>
  <c r="DW11" i="7"/>
  <c r="DW22" i="8" s="1"/>
  <c r="DS22" i="8"/>
  <c r="EB203" i="10"/>
  <c r="EA204" i="10"/>
  <c r="EB204" i="10" s="1"/>
  <c r="EE159" i="10"/>
  <c r="DV179" i="10"/>
  <c r="DS180" i="10"/>
  <c r="DS183" i="10" s="1"/>
  <c r="DR183" i="10"/>
  <c r="DQ184" i="10"/>
  <c r="DI62" i="10"/>
  <c r="DJ57" i="10"/>
  <c r="EC97" i="10"/>
  <c r="EE31" i="10"/>
  <c r="DE102" i="10"/>
  <c r="DF97" i="10"/>
  <c r="DG204" i="10"/>
  <c r="DH204" i="10" s="1"/>
  <c r="DI199" i="10"/>
  <c r="DV34" i="10"/>
  <c r="DV37" i="10" s="1"/>
  <c r="DU39" i="10"/>
  <c r="DU38" i="10"/>
  <c r="DU40" i="10" s="1"/>
  <c r="DU130" i="10"/>
  <c r="DU133" i="10" s="1"/>
  <c r="DT134" i="10"/>
  <c r="DD16" i="10"/>
  <c r="DH16" i="10" s="1"/>
  <c r="EG189" i="10"/>
  <c r="EH189" i="10" s="1"/>
  <c r="EE112" i="10"/>
  <c r="EF107" i="10"/>
  <c r="DI77" i="10"/>
  <c r="DG82" i="10"/>
  <c r="DH82" i="10" s="1"/>
  <c r="DR213" i="10"/>
  <c r="DQ21" i="10"/>
  <c r="DR143" i="10"/>
  <c r="DS140" i="10"/>
  <c r="DS143" i="10" s="1"/>
  <c r="DQ144" i="10"/>
  <c r="DR144" i="10" s="1"/>
  <c r="DF47" i="10"/>
  <c r="DE52" i="10"/>
  <c r="EJ117" i="10"/>
  <c r="EI122" i="10"/>
  <c r="EI209" i="10"/>
  <c r="DT98" i="10"/>
  <c r="DT101" i="10" s="1"/>
  <c r="DS102" i="10"/>
  <c r="DK87" i="10"/>
  <c r="DJ92" i="10"/>
  <c r="DR184" i="10"/>
  <c r="ED190" i="10"/>
  <c r="ED193" i="10" s="1"/>
  <c r="EC194" i="10"/>
  <c r="DQ214" i="10"/>
  <c r="DR214" i="10" s="1"/>
  <c r="DS209" i="10"/>
  <c r="EI199" i="10"/>
  <c r="DF154" i="10"/>
  <c r="DG149" i="10"/>
  <c r="EA160" i="10"/>
  <c r="EA163" i="10" s="1"/>
  <c r="DZ164" i="10"/>
  <c r="AC165" i="7"/>
  <c r="AC50" i="7"/>
  <c r="AC51" i="7"/>
  <c r="AC52" i="7"/>
  <c r="AC89" i="7"/>
  <c r="AC66" i="7"/>
  <c r="AD50" i="7"/>
  <c r="BU43" i="7"/>
  <c r="BU44" i="7" s="1"/>
  <c r="BY44" i="7" s="1"/>
  <c r="BY43" i="7"/>
  <c r="DS80" i="7"/>
  <c r="DW78" i="7"/>
  <c r="DW150" i="7"/>
  <c r="DW156" i="7"/>
  <c r="DW149" i="7" s="1"/>
  <c r="CD40" i="7"/>
  <c r="EK408" i="7"/>
  <c r="EK406" i="7" s="1"/>
  <c r="EK21" i="8" s="1"/>
  <c r="EK45" i="8" s="1"/>
  <c r="EF406" i="7"/>
  <c r="EF21" i="8" s="1"/>
  <c r="EF45" i="8" s="1"/>
  <c r="DY87" i="7"/>
  <c r="DY55" i="7"/>
  <c r="DY13" i="8" s="1"/>
  <c r="DY14" i="8" s="1"/>
  <c r="DY150" i="7"/>
  <c r="DY78" i="7"/>
  <c r="DY11" i="7"/>
  <c r="DY22" i="8" s="1"/>
  <c r="DS82" i="7"/>
  <c r="DS13" i="7"/>
  <c r="DW151" i="7"/>
  <c r="DW152" i="7" s="1"/>
  <c r="DS152" i="7"/>
  <c r="DX151" i="7"/>
  <c r="EI408" i="7"/>
  <c r="EI406" i="7" s="1"/>
  <c r="EI21" i="8" s="1"/>
  <c r="EI45" i="8" s="1"/>
  <c r="EL45" i="8" s="1"/>
  <c r="ED406" i="7"/>
  <c r="DY156" i="7"/>
  <c r="DY141" i="7" s="1"/>
  <c r="DY139" i="7"/>
  <c r="DY8" i="7"/>
  <c r="AG51" i="7"/>
  <c r="AG52" i="7"/>
  <c r="AG66" i="7"/>
  <c r="AG165" i="7"/>
  <c r="AG89" i="7"/>
  <c r="EI151" i="7"/>
  <c r="EI148" i="7" s="1"/>
  <c r="ED148" i="7"/>
  <c r="EA150" i="7"/>
  <c r="EA11" i="7"/>
  <c r="EA22" i="8" s="1"/>
  <c r="EA78" i="7"/>
  <c r="DS157" i="7"/>
  <c r="DS141" i="7"/>
  <c r="DS146" i="7"/>
  <c r="DX60" i="7"/>
  <c r="DX61" i="7" s="1"/>
  <c r="DX57" i="7"/>
  <c r="DX15" i="8" s="1"/>
  <c r="DX16" i="8" s="1"/>
  <c r="DX56" i="7"/>
  <c r="EA160" i="7"/>
  <c r="EB160" i="7" s="1"/>
  <c r="DZ138" i="7"/>
  <c r="DZ86" i="7"/>
  <c r="DZ8" i="8" s="1"/>
  <c r="DX8" i="4"/>
  <c r="AL43" i="7"/>
  <c r="AL47" i="7" s="1"/>
  <c r="AH49" i="7"/>
  <c r="AL49" i="7"/>
  <c r="EK151" i="7"/>
  <c r="EK148" i="7" s="1"/>
  <c r="EF148" i="7"/>
  <c r="DX167" i="5"/>
  <c r="DX166" i="5"/>
  <c r="DY8" i="5"/>
  <c r="BF187" i="5"/>
  <c r="BG183" i="5"/>
  <c r="BG185" i="5" s="1"/>
  <c r="EE157" i="5"/>
  <c r="EE198" i="5" s="1"/>
  <c r="EF15" i="5"/>
  <c r="DK34" i="5"/>
  <c r="DK41" i="5" s="1"/>
  <c r="DL32" i="5"/>
  <c r="DE110" i="5"/>
  <c r="DJ66" i="5"/>
  <c r="DJ17" i="5"/>
  <c r="DJ24" i="5" s="1"/>
  <c r="DK7" i="5"/>
  <c r="DO167" i="5"/>
  <c r="DN169" i="5"/>
  <c r="DN184" i="5" s="1"/>
  <c r="DN185" i="5" s="1"/>
  <c r="DN187" i="5" s="1"/>
  <c r="EC104" i="5"/>
  <c r="ED49" i="5"/>
  <c r="EK164" i="5"/>
  <c r="EK125" i="5" s="1"/>
  <c r="EJ125" i="5"/>
  <c r="BZ183" i="5"/>
  <c r="BZ185" i="5" s="1"/>
  <c r="CD183" i="5"/>
  <c r="CD185" i="5" s="1"/>
  <c r="BY187" i="5"/>
  <c r="EC103" i="5"/>
  <c r="ED45" i="5"/>
  <c r="DG102" i="5"/>
  <c r="DG50" i="5"/>
  <c r="DH44" i="5"/>
  <c r="EI82" i="5"/>
  <c r="EE152" i="5"/>
  <c r="EF13" i="5"/>
  <c r="R84" i="5"/>
  <c r="W77" i="5"/>
  <c r="S77" i="5"/>
  <c r="S81" i="5" s="1"/>
  <c r="BQ187" i="5"/>
  <c r="BR183" i="5"/>
  <c r="BR185" i="5" s="1"/>
  <c r="EJ43" i="5"/>
  <c r="J187" i="5"/>
  <c r="K183" i="5"/>
  <c r="K185" i="5" s="1"/>
  <c r="BU187" i="5"/>
  <c r="BV183" i="5"/>
  <c r="BV185" i="5" s="1"/>
  <c r="DI62" i="5"/>
  <c r="DF109" i="5"/>
  <c r="DG100" i="5" s="1"/>
  <c r="DF56" i="5"/>
  <c r="DF58" i="5"/>
  <c r="DF55" i="5"/>
  <c r="DF52" i="5"/>
  <c r="DF69" i="5" s="1"/>
  <c r="DF59" i="5"/>
  <c r="EC106" i="5"/>
  <c r="ED47" i="5"/>
  <c r="EC105" i="5"/>
  <c r="ED46" i="5"/>
  <c r="EE156" i="5"/>
  <c r="EF31" i="5"/>
  <c r="EE154" i="5"/>
  <c r="EF37" i="5"/>
  <c r="N185" i="5"/>
  <c r="R183" i="5"/>
  <c r="R185" i="5" s="1"/>
  <c r="DI93" i="4"/>
  <c r="DI63" i="4"/>
  <c r="DL129" i="4"/>
  <c r="DL65" i="4"/>
  <c r="DL59" i="4"/>
  <c r="AI111" i="4"/>
  <c r="AI61" i="4"/>
  <c r="AI62" i="4" s="1"/>
  <c r="CH62" i="4"/>
  <c r="CM62" i="4"/>
  <c r="DH128" i="4"/>
  <c r="DH61" i="4"/>
  <c r="W59" i="4"/>
  <c r="W47" i="4"/>
  <c r="W65" i="4"/>
  <c r="CZ112" i="4"/>
  <c r="CZ62" i="4"/>
  <c r="DF113" i="4"/>
  <c r="DF64" i="4"/>
  <c r="AK61" i="4"/>
  <c r="BA112" i="4"/>
  <c r="BA66" i="4"/>
  <c r="DN48" i="4"/>
  <c r="DN49" i="4" s="1"/>
  <c r="DO45" i="4"/>
  <c r="DN47" i="4"/>
  <c r="AF128" i="4"/>
  <c r="AF49" i="4"/>
  <c r="DC128" i="4"/>
  <c r="DC61" i="4"/>
  <c r="BB128" i="4"/>
  <c r="BB49" i="4"/>
  <c r="AB65" i="4"/>
  <c r="AB47" i="4"/>
  <c r="AB59" i="4"/>
  <c r="S111" i="4"/>
  <c r="S61" i="4"/>
  <c r="J111" i="4"/>
  <c r="J61" i="4"/>
  <c r="J62" i="4" s="1"/>
  <c r="CH111" i="4"/>
  <c r="CM111" i="4"/>
  <c r="BC111" i="4"/>
  <c r="BC61" i="4"/>
  <c r="BC62" i="4" s="1"/>
  <c r="CS128" i="4"/>
  <c r="CS61" i="4"/>
  <c r="AE113" i="4"/>
  <c r="AE64" i="4"/>
  <c r="BD113" i="4"/>
  <c r="BD64" i="4"/>
  <c r="CX128" i="4"/>
  <c r="CX61" i="4"/>
  <c r="AG65" i="4"/>
  <c r="AG47" i="4"/>
  <c r="AG59" i="4"/>
  <c r="EE71" i="4"/>
  <c r="EE68" i="4" s="1"/>
  <c r="BA93" i="4"/>
  <c r="BA63" i="4"/>
  <c r="BH111" i="4"/>
  <c r="BH61" i="4"/>
  <c r="BR113" i="4"/>
  <c r="BR64" i="4"/>
  <c r="BW62" i="4"/>
  <c r="BK112" i="4"/>
  <c r="BK66" i="4"/>
  <c r="V112" i="4"/>
  <c r="V66" i="4"/>
  <c r="AP128" i="4"/>
  <c r="AP49" i="4"/>
  <c r="CN128" i="4"/>
  <c r="CN61" i="4"/>
  <c r="CN49" i="4"/>
  <c r="CS111" i="4" s="1"/>
  <c r="BD111" i="4"/>
  <c r="BD61" i="4"/>
  <c r="BD62" i="4" s="1"/>
  <c r="CP113" i="4"/>
  <c r="CP64" i="4"/>
  <c r="BF112" i="4"/>
  <c r="BF66" i="4"/>
  <c r="BI111" i="4"/>
  <c r="BI61" i="4"/>
  <c r="DI128" i="4"/>
  <c r="DI61" i="4"/>
  <c r="DC93" i="4"/>
  <c r="DC63" i="4"/>
  <c r="CC113" i="4"/>
  <c r="CC64" i="4"/>
  <c r="I64" i="4"/>
  <c r="I113" i="4"/>
  <c r="AQ128" i="4"/>
  <c r="AQ49" i="4"/>
  <c r="K113" i="4"/>
  <c r="K64" i="4"/>
  <c r="X111" i="4"/>
  <c r="DD128" i="4"/>
  <c r="DD61" i="4"/>
  <c r="BM113" i="4"/>
  <c r="BM64" i="4"/>
  <c r="AT93" i="4"/>
  <c r="AT63" i="4"/>
  <c r="BN111" i="4"/>
  <c r="BN61" i="4"/>
  <c r="K111" i="4"/>
  <c r="K61" i="4"/>
  <c r="K62" i="4" s="1"/>
  <c r="CK113" i="4"/>
  <c r="CK64" i="4"/>
  <c r="DJ93" i="4"/>
  <c r="DJ63" i="4"/>
  <c r="Q93" i="4"/>
  <c r="Q63" i="4"/>
  <c r="CP111" i="4"/>
  <c r="CK111" i="4"/>
  <c r="L61" i="4"/>
  <c r="CU62" i="4"/>
  <c r="CL113" i="4"/>
  <c r="CL64" i="4"/>
  <c r="EF75" i="4"/>
  <c r="EG75" i="4" s="1"/>
  <c r="EG76" i="4" s="1"/>
  <c r="CU113" i="4"/>
  <c r="CU64" i="4"/>
  <c r="AM113" i="4"/>
  <c r="AM64" i="4"/>
  <c r="BH113" i="4"/>
  <c r="BH64" i="4"/>
  <c r="BL61" i="4"/>
  <c r="BQ62" i="4" s="1"/>
  <c r="Q128" i="4"/>
  <c r="Q49" i="4"/>
  <c r="CS93" i="4"/>
  <c r="CS63" i="4"/>
  <c r="CG113" i="4"/>
  <c r="CG64" i="4"/>
  <c r="CZ113" i="4"/>
  <c r="CZ64" i="4"/>
  <c r="CX129" i="4"/>
  <c r="CX111" i="4"/>
  <c r="CX65" i="4"/>
  <c r="BM111" i="4"/>
  <c r="BM61" i="4"/>
  <c r="AA112" i="4"/>
  <c r="AA66" i="4"/>
  <c r="DL128" i="4"/>
  <c r="DL61" i="4"/>
  <c r="BX111" i="4"/>
  <c r="CE113" i="4"/>
  <c r="CE64" i="4"/>
  <c r="BC113" i="4"/>
  <c r="BC64" i="4"/>
  <c r="DJ112" i="4"/>
  <c r="DJ62" i="4"/>
  <c r="BK93" i="4"/>
  <c r="BK63" i="4"/>
  <c r="BP64" i="4" s="1"/>
  <c r="V128" i="4"/>
  <c r="V49" i="4"/>
  <c r="CN112" i="4"/>
  <c r="CN66" i="4"/>
  <c r="AS62" i="4"/>
  <c r="AF93" i="4"/>
  <c r="AF63" i="4"/>
  <c r="AK64" i="4" s="1"/>
  <c r="S113" i="4"/>
  <c r="S64" i="4"/>
  <c r="BF128" i="4"/>
  <c r="BF49" i="4"/>
  <c r="AZ128" i="4"/>
  <c r="AZ49" i="4"/>
  <c r="AZ61" i="4" s="1"/>
  <c r="AI113" i="4"/>
  <c r="AI64" i="4"/>
  <c r="DF112" i="4"/>
  <c r="DF62" i="4"/>
  <c r="CF113" i="4"/>
  <c r="CF64" i="4"/>
  <c r="CA111" i="4"/>
  <c r="BB93" i="4"/>
  <c r="BB63" i="4"/>
  <c r="AQ93" i="4"/>
  <c r="AQ63" i="4"/>
  <c r="CL62" i="4"/>
  <c r="BG93" i="4"/>
  <c r="BG63" i="4"/>
  <c r="BL64" i="4" s="1"/>
  <c r="DM48" i="4"/>
  <c r="DM49" i="4" s="1"/>
  <c r="O113" i="4"/>
  <c r="O64" i="4"/>
  <c r="DG128" i="4"/>
  <c r="DG61" i="4"/>
  <c r="AT112" i="4"/>
  <c r="AT66" i="4"/>
  <c r="CF62" i="4"/>
  <c r="CA113" i="4"/>
  <c r="CA64" i="4"/>
  <c r="N111" i="4"/>
  <c r="N61" i="4"/>
  <c r="N62" i="4" s="1"/>
  <c r="CI93" i="4"/>
  <c r="CI63" i="4"/>
  <c r="G128" i="4"/>
  <c r="G49" i="4"/>
  <c r="G61" i="4" s="1"/>
  <c r="O111" i="4"/>
  <c r="O61" i="4"/>
  <c r="AR64" i="4"/>
  <c r="BW113" i="4"/>
  <c r="BW64" i="4"/>
  <c r="BY129" i="4"/>
  <c r="BY65" i="4"/>
  <c r="BY59" i="4"/>
  <c r="BY47" i="4"/>
  <c r="CS129" i="4"/>
  <c r="CS65" i="4"/>
  <c r="Z113" i="4"/>
  <c r="Z64" i="4"/>
  <c r="DX74" i="4"/>
  <c r="DY74" i="4" s="1"/>
  <c r="DZ74" i="4" s="1"/>
  <c r="EA74" i="4" s="1"/>
  <c r="DW74" i="4"/>
  <c r="AA128" i="4"/>
  <c r="AA49" i="4"/>
  <c r="BV113" i="4"/>
  <c r="BV64" i="4"/>
  <c r="D61" i="4"/>
  <c r="I62" i="4" s="1"/>
  <c r="I111" i="4"/>
  <c r="AP93" i="4"/>
  <c r="AP63" i="4"/>
  <c r="CN93" i="4"/>
  <c r="CN63" i="4"/>
  <c r="DI129" i="4"/>
  <c r="DI111" i="4"/>
  <c r="DI65" i="4"/>
  <c r="DI66" i="4" s="1"/>
  <c r="BP113" i="4"/>
  <c r="CQ111" i="4"/>
  <c r="CL111" i="4"/>
  <c r="M65" i="4"/>
  <c r="M47" i="4"/>
  <c r="M59" i="4"/>
  <c r="BG128" i="4"/>
  <c r="BG49" i="4"/>
  <c r="BL111" i="4" s="1"/>
  <c r="DG93" i="4"/>
  <c r="DG63" i="4"/>
  <c r="DD93" i="4"/>
  <c r="DD63" i="4"/>
  <c r="AT128" i="4"/>
  <c r="AT49" i="4"/>
  <c r="EC76" i="4"/>
  <c r="EA77" i="4"/>
  <c r="EB77" i="4" s="1"/>
  <c r="BN113" i="4"/>
  <c r="BN64" i="4"/>
  <c r="EA70" i="4"/>
  <c r="EB69" i="4"/>
  <c r="DM128" i="4"/>
  <c r="DM61" i="4"/>
  <c r="Q112" i="4"/>
  <c r="Q66" i="4"/>
  <c r="DH59" i="4"/>
  <c r="BR111" i="4"/>
  <c r="CX93" i="4"/>
  <c r="CX63" i="4"/>
  <c r="BZ113" i="4"/>
  <c r="BZ64" i="4"/>
  <c r="AO62" i="4"/>
  <c r="BS113" i="4"/>
  <c r="BS64" i="4"/>
  <c r="DE112" i="4"/>
  <c r="DE62" i="4"/>
  <c r="BQ113" i="4"/>
  <c r="BQ64" i="4"/>
  <c r="ED68" i="4"/>
  <c r="AA63" i="4"/>
  <c r="AA93" i="4"/>
  <c r="BI113" i="4"/>
  <c r="BI64" i="4"/>
  <c r="U62" i="4"/>
  <c r="R59" i="4"/>
  <c r="R47" i="4"/>
  <c r="R65" i="4"/>
  <c r="BA128" i="4"/>
  <c r="BA49" i="4"/>
  <c r="CH113" i="4"/>
  <c r="CH64" i="4"/>
  <c r="CM113" i="4"/>
  <c r="CM64" i="4"/>
  <c r="CQ64" i="4"/>
  <c r="BU111" i="4"/>
  <c r="AN111" i="4"/>
  <c r="AE111" i="4"/>
  <c r="AE61" i="4"/>
  <c r="BE129" i="4"/>
  <c r="BE59" i="4"/>
  <c r="BE47" i="4"/>
  <c r="BE65" i="4"/>
  <c r="H65" i="4"/>
  <c r="H47" i="4"/>
  <c r="H59" i="4"/>
  <c r="BW111" i="4"/>
  <c r="BK128" i="4"/>
  <c r="BK49" i="4"/>
  <c r="J113" i="4"/>
  <c r="J64" i="4"/>
  <c r="V93" i="4"/>
  <c r="V63" i="4"/>
  <c r="AP112" i="4"/>
  <c r="AP66" i="4"/>
  <c r="AF112" i="4"/>
  <c r="AF66" i="4"/>
  <c r="BQ111" i="4"/>
  <c r="EC69" i="4"/>
  <c r="BF93" i="4"/>
  <c r="BF63" i="4"/>
  <c r="AZ93" i="4"/>
  <c r="AZ63" i="4"/>
  <c r="DC129" i="4"/>
  <c r="DC111" i="4"/>
  <c r="DC65" i="4"/>
  <c r="CA62" i="4"/>
  <c r="AM111" i="4"/>
  <c r="AM61" i="4"/>
  <c r="AM62" i="4" s="1"/>
  <c r="BB112" i="4"/>
  <c r="BB66" i="4"/>
  <c r="N113" i="4"/>
  <c r="N64" i="4"/>
  <c r="BG112" i="4"/>
  <c r="BG66" i="4"/>
  <c r="AL65" i="4"/>
  <c r="AL59" i="4"/>
  <c r="AL47" i="4"/>
  <c r="DK129" i="4"/>
  <c r="DK111" i="4"/>
  <c r="DK65" i="4"/>
  <c r="DK66" i="4" s="1"/>
  <c r="DK59" i="4"/>
  <c r="Z111" i="4"/>
  <c r="Z61" i="4"/>
  <c r="Z62" i="4" s="1"/>
  <c r="X62" i="4"/>
  <c r="T64" i="4"/>
  <c r="DE113" i="4"/>
  <c r="DE64" i="4"/>
  <c r="BU113" i="4"/>
  <c r="CI128" i="4"/>
  <c r="CI61" i="4"/>
  <c r="CI49" i="4"/>
  <c r="G63" i="4"/>
  <c r="L113" i="4" s="1"/>
  <c r="G93" i="4"/>
  <c r="AR113" i="4"/>
  <c r="AK113" i="4" l="1"/>
  <c r="O62" i="4"/>
  <c r="BB108" i="5"/>
  <c r="BB110" i="5" s="1"/>
  <c r="AP108" i="5"/>
  <c r="AP110" i="5" s="1"/>
  <c r="DM59" i="4"/>
  <c r="BL113" i="4"/>
  <c r="EC174" i="10"/>
  <c r="ED170" i="10"/>
  <c r="ED173" i="10" s="1"/>
  <c r="DE16" i="10"/>
  <c r="EI68" i="10"/>
  <c r="EI71" i="10" s="1"/>
  <c r="EH72" i="10"/>
  <c r="EL164" i="5"/>
  <c r="AF108" i="5"/>
  <c r="AF110" i="5" s="1"/>
  <c r="BN62" i="4"/>
  <c r="DD108" i="5"/>
  <c r="DD110" i="5" s="1"/>
  <c r="L62" i="4"/>
  <c r="EK43" i="5"/>
  <c r="EL43" i="5" s="1"/>
  <c r="AT108" i="5"/>
  <c r="AT110" i="5" s="1"/>
  <c r="DF214" i="10"/>
  <c r="DG209" i="10"/>
  <c r="DG214" i="10" s="1"/>
  <c r="BG108" i="5"/>
  <c r="BG110" i="5" s="1"/>
  <c r="V108" i="5"/>
  <c r="V110" i="5" s="1"/>
  <c r="AA108" i="5"/>
  <c r="AA110" i="5" s="1"/>
  <c r="AL101" i="5"/>
  <c r="AL107" i="5"/>
  <c r="DC66" i="4"/>
  <c r="BE101" i="5"/>
  <c r="BE107" i="5"/>
  <c r="BH62" i="4"/>
  <c r="L64" i="4"/>
  <c r="AB101" i="5"/>
  <c r="AB107" i="5"/>
  <c r="DN101" i="5"/>
  <c r="DN107" i="5"/>
  <c r="DR63" i="5"/>
  <c r="DR61" i="5"/>
  <c r="G108" i="5"/>
  <c r="G110" i="5" s="1"/>
  <c r="BA108" i="5"/>
  <c r="BA110" i="5" s="1"/>
  <c r="BT65" i="4"/>
  <c r="BT59" i="4"/>
  <c r="BT47" i="4"/>
  <c r="BT129" i="4"/>
  <c r="BO65" i="4"/>
  <c r="BO47" i="4"/>
  <c r="BO59" i="4"/>
  <c r="BO129" i="4"/>
  <c r="R101" i="5"/>
  <c r="R107" i="5"/>
  <c r="BJ129" i="4"/>
  <c r="BJ65" i="4"/>
  <c r="BJ47" i="4"/>
  <c r="BJ59" i="4"/>
  <c r="CD65" i="4"/>
  <c r="CD47" i="4"/>
  <c r="CD59" i="4"/>
  <c r="CD129" i="4"/>
  <c r="H63" i="5"/>
  <c r="H61" i="5"/>
  <c r="H62" i="5"/>
  <c r="M101" i="5"/>
  <c r="M107" i="5"/>
  <c r="BY101" i="5"/>
  <c r="BY107" i="5"/>
  <c r="BS62" i="4"/>
  <c r="AN62" i="4"/>
  <c r="BM62" i="4"/>
  <c r="BI62" i="4"/>
  <c r="AG101" i="5"/>
  <c r="AG107" i="5"/>
  <c r="DM63" i="5"/>
  <c r="DM61" i="5"/>
  <c r="Q108" i="5"/>
  <c r="Q110" i="5" s="1"/>
  <c r="EB70" i="4"/>
  <c r="CS62" i="4"/>
  <c r="W101" i="5"/>
  <c r="W107" i="5"/>
  <c r="DW63" i="5"/>
  <c r="DW61" i="5"/>
  <c r="H101" i="5"/>
  <c r="H108" i="5" s="1"/>
  <c r="BJ83" i="5"/>
  <c r="DF110" i="5"/>
  <c r="EL406" i="7"/>
  <c r="EB408" i="7"/>
  <c r="EB21" i="8"/>
  <c r="DW47" i="8"/>
  <c r="DW48" i="8"/>
  <c r="DY8" i="4"/>
  <c r="DY18" i="8"/>
  <c r="EG406" i="7"/>
  <c r="ED21" i="8"/>
  <c r="ED45" i="8" s="1"/>
  <c r="EG45" i="8" s="1"/>
  <c r="BY47" i="7"/>
  <c r="DZ9" i="8"/>
  <c r="DZ150" i="7"/>
  <c r="DZ78" i="7"/>
  <c r="DZ80" i="7" s="1"/>
  <c r="DZ11" i="7"/>
  <c r="DZ22" i="8" s="1"/>
  <c r="EE148" i="7"/>
  <c r="EJ151" i="7"/>
  <c r="EJ148" i="7" s="1"/>
  <c r="DG154" i="10"/>
  <c r="DH154" i="10" s="1"/>
  <c r="DI149" i="10"/>
  <c r="DT209" i="10"/>
  <c r="DW210" i="10"/>
  <c r="DS210" i="10"/>
  <c r="DS213" i="10" s="1"/>
  <c r="DR21" i="10"/>
  <c r="EF31" i="10"/>
  <c r="DJ62" i="10"/>
  <c r="DK57" i="10"/>
  <c r="DU98" i="10"/>
  <c r="DU101" i="10" s="1"/>
  <c r="DT102" i="10"/>
  <c r="EK117" i="10"/>
  <c r="EK122" i="10" s="1"/>
  <c r="EJ122" i="10"/>
  <c r="DS144" i="10"/>
  <c r="DT140" i="10"/>
  <c r="DT143" i="10" s="1"/>
  <c r="EI189" i="10"/>
  <c r="DW179" i="10"/>
  <c r="DX179" i="10" s="1"/>
  <c r="EJ199" i="10"/>
  <c r="DL87" i="10"/>
  <c r="DK92" i="10"/>
  <c r="DI82" i="10"/>
  <c r="DJ77" i="10"/>
  <c r="DV130" i="10"/>
  <c r="DV133" i="10" s="1"/>
  <c r="DU134" i="10"/>
  <c r="DX34" i="10"/>
  <c r="DX37" i="10" s="1"/>
  <c r="DV39" i="10"/>
  <c r="DW39" i="10" s="1"/>
  <c r="DV38" i="10"/>
  <c r="DF102" i="10"/>
  <c r="DG97" i="10"/>
  <c r="ED97" i="10"/>
  <c r="DT180" i="10"/>
  <c r="DT183" i="10" s="1"/>
  <c r="DS184" i="10"/>
  <c r="EF159" i="10"/>
  <c r="EB163" i="10"/>
  <c r="EC160" i="10"/>
  <c r="EC163" i="10" s="1"/>
  <c r="EA164" i="10"/>
  <c r="EB164" i="10" s="1"/>
  <c r="EE190" i="10"/>
  <c r="EE193" i="10" s="1"/>
  <c r="ED194" i="10"/>
  <c r="EJ209" i="10"/>
  <c r="DG47" i="10"/>
  <c r="DF52" i="10"/>
  <c r="EF112" i="10"/>
  <c r="EG112" i="10" s="1"/>
  <c r="EH107" i="10"/>
  <c r="DI204" i="10"/>
  <c r="DJ199" i="10"/>
  <c r="EG200" i="10"/>
  <c r="EC200" i="10"/>
  <c r="EC203" i="10" s="1"/>
  <c r="EK150" i="7"/>
  <c r="EK78" i="7"/>
  <c r="EK11" i="7"/>
  <c r="EK22" i="8" s="1"/>
  <c r="EC160" i="7"/>
  <c r="EA138" i="7"/>
  <c r="EA86" i="7"/>
  <c r="EA8" i="8" s="1"/>
  <c r="EA9" i="8" s="1"/>
  <c r="EA80" i="7"/>
  <c r="ED150" i="7"/>
  <c r="ED78" i="7"/>
  <c r="ED11" i="7"/>
  <c r="ED22" i="8" s="1"/>
  <c r="DW157" i="7"/>
  <c r="DW146" i="7"/>
  <c r="DW141" i="7"/>
  <c r="AL51" i="7"/>
  <c r="AL52" i="7"/>
  <c r="AL66" i="7"/>
  <c r="AL165" i="7"/>
  <c r="AL89" i="7"/>
  <c r="EI150" i="7"/>
  <c r="EI78" i="7"/>
  <c r="EI11" i="7"/>
  <c r="EI22" i="8" s="1"/>
  <c r="DY157" i="7"/>
  <c r="DY146" i="7"/>
  <c r="EB151" i="7"/>
  <c r="EB152" i="7" s="1"/>
  <c r="DX148" i="7"/>
  <c r="EC151" i="7"/>
  <c r="DS83" i="7"/>
  <c r="DS84" i="7"/>
  <c r="DW82" i="7"/>
  <c r="DW79" i="7" s="1"/>
  <c r="DS71" i="7"/>
  <c r="DS75" i="7"/>
  <c r="DY149" i="7"/>
  <c r="DS79" i="7"/>
  <c r="AH89" i="7"/>
  <c r="AH51" i="7"/>
  <c r="AH50" i="7"/>
  <c r="AH52" i="7"/>
  <c r="AH165" i="7"/>
  <c r="AI50" i="7"/>
  <c r="AH66" i="7"/>
  <c r="DZ87" i="7"/>
  <c r="DZ55" i="7"/>
  <c r="DZ13" i="8" s="1"/>
  <c r="DX58" i="7"/>
  <c r="DY57" i="7"/>
  <c r="DY56" i="7"/>
  <c r="DY60" i="7"/>
  <c r="DY61" i="7" s="1"/>
  <c r="BZ43" i="7"/>
  <c r="BZ44" i="7" s="1"/>
  <c r="CD44" i="7" s="1"/>
  <c r="CD43" i="7"/>
  <c r="EF150" i="7"/>
  <c r="EF78" i="7"/>
  <c r="EF11" i="7"/>
  <c r="EF22" i="8" s="1"/>
  <c r="AQ43" i="7"/>
  <c r="AQ47" i="7" s="1"/>
  <c r="AQ49" i="7"/>
  <c r="AM49" i="7"/>
  <c r="DZ156" i="7"/>
  <c r="DZ141" i="7" s="1"/>
  <c r="DZ139" i="7"/>
  <c r="DZ8" i="7"/>
  <c r="DZ18" i="8" s="1"/>
  <c r="DZ69" i="7"/>
  <c r="DY80" i="7"/>
  <c r="CE36" i="7"/>
  <c r="CI36" i="7"/>
  <c r="CI40" i="7" s="1"/>
  <c r="CI52" i="7"/>
  <c r="CE52" i="7"/>
  <c r="DW80" i="7"/>
  <c r="EB138" i="7"/>
  <c r="N187" i="5"/>
  <c r="O183" i="5"/>
  <c r="O185" i="5" s="1"/>
  <c r="EE197" i="5"/>
  <c r="DG108" i="5"/>
  <c r="W81" i="5"/>
  <c r="W82" i="5" s="1"/>
  <c r="S82" i="5"/>
  <c r="CI183" i="5"/>
  <c r="CI185" i="5" s="1"/>
  <c r="CE183" i="5"/>
  <c r="CE185" i="5" s="1"/>
  <c r="CD187" i="5"/>
  <c r="EL125" i="5"/>
  <c r="DP167" i="5"/>
  <c r="DO169" i="5"/>
  <c r="DO184" i="5" s="1"/>
  <c r="DO185" i="5" s="1"/>
  <c r="DO187" i="5" s="1"/>
  <c r="DJ62" i="5"/>
  <c r="EF157" i="5"/>
  <c r="EF198" i="5" s="1"/>
  <c r="EG198" i="5" s="1"/>
  <c r="EG15" i="5"/>
  <c r="DY167" i="5"/>
  <c r="DY166" i="5"/>
  <c r="DZ8" i="5"/>
  <c r="EF154" i="5"/>
  <c r="EG154" i="5" s="1"/>
  <c r="EG37" i="5"/>
  <c r="ED105" i="5"/>
  <c r="EE46" i="5"/>
  <c r="BW183" i="5"/>
  <c r="BW185" i="5" s="1"/>
  <c r="BV187" i="5"/>
  <c r="W83" i="5"/>
  <c r="DH102" i="5"/>
  <c r="DH50" i="5"/>
  <c r="DI44" i="5"/>
  <c r="ED103" i="5"/>
  <c r="EE45" i="5"/>
  <c r="CA183" i="5"/>
  <c r="CA185" i="5" s="1"/>
  <c r="BZ187" i="5"/>
  <c r="ED104" i="5"/>
  <c r="EE49" i="5"/>
  <c r="BS183" i="5"/>
  <c r="BS185" i="5" s="1"/>
  <c r="BS187" i="5" s="1"/>
  <c r="BR187" i="5"/>
  <c r="EJ82" i="5"/>
  <c r="DG109" i="5"/>
  <c r="DI100" i="5" s="1"/>
  <c r="DG58" i="5"/>
  <c r="DG55" i="5"/>
  <c r="DG56" i="5"/>
  <c r="DG52" i="5"/>
  <c r="DG69" i="5" s="1"/>
  <c r="DG59" i="5"/>
  <c r="DK66" i="5"/>
  <c r="DK17" i="5"/>
  <c r="DK24" i="5" s="1"/>
  <c r="DL7" i="5"/>
  <c r="DL34" i="5"/>
  <c r="DL41" i="5" s="1"/>
  <c r="DM32" i="5"/>
  <c r="BG187" i="5"/>
  <c r="BH183" i="5"/>
  <c r="BH185" i="5" s="1"/>
  <c r="S183" i="5"/>
  <c r="R187" i="5"/>
  <c r="EF156" i="5"/>
  <c r="EF197" i="5" s="1"/>
  <c r="EG31" i="5"/>
  <c r="ED106" i="5"/>
  <c r="EE47" i="5"/>
  <c r="L183" i="5"/>
  <c r="L185" i="5" s="1"/>
  <c r="L187" i="5" s="1"/>
  <c r="K187" i="5"/>
  <c r="EF152" i="5"/>
  <c r="EG152" i="5" s="1"/>
  <c r="EG13" i="5"/>
  <c r="R93" i="4"/>
  <c r="R63" i="4"/>
  <c r="M128" i="4"/>
  <c r="M49" i="4"/>
  <c r="BY112" i="4"/>
  <c r="BY66" i="4"/>
  <c r="AT113" i="4"/>
  <c r="AT64" i="4"/>
  <c r="CN111" i="4"/>
  <c r="DO48" i="4"/>
  <c r="DO49" i="4" s="1"/>
  <c r="DP45" i="4"/>
  <c r="DO47" i="4"/>
  <c r="AL112" i="4"/>
  <c r="AL66" i="4"/>
  <c r="BK111" i="4"/>
  <c r="BK61" i="4"/>
  <c r="H128" i="4"/>
  <c r="H49" i="4"/>
  <c r="H61" i="4" s="1"/>
  <c r="BE93" i="4"/>
  <c r="BE63" i="4"/>
  <c r="AE62" i="4"/>
  <c r="R128" i="4"/>
  <c r="R49" i="4"/>
  <c r="CX113" i="4"/>
  <c r="CX64" i="4"/>
  <c r="DM112" i="4"/>
  <c r="DM62" i="4"/>
  <c r="AT111" i="4"/>
  <c r="AT61" i="4"/>
  <c r="AT62" i="4" s="1"/>
  <c r="DG113" i="4"/>
  <c r="DG64" i="4"/>
  <c r="M93" i="4"/>
  <c r="M63" i="4"/>
  <c r="AP113" i="4"/>
  <c r="AP64" i="4"/>
  <c r="CS112" i="4"/>
  <c r="CS66" i="4"/>
  <c r="BY93" i="4"/>
  <c r="BY63" i="4"/>
  <c r="BG113" i="4"/>
  <c r="BG64" i="4"/>
  <c r="BF111" i="4"/>
  <c r="BF61" i="4"/>
  <c r="AF113" i="4"/>
  <c r="AF64" i="4"/>
  <c r="BK113" i="4"/>
  <c r="BK64" i="4"/>
  <c r="Q113" i="4"/>
  <c r="Q64" i="4"/>
  <c r="DC113" i="4"/>
  <c r="DC64" i="4"/>
  <c r="AP111" i="4"/>
  <c r="AP61" i="4"/>
  <c r="AP62" i="4" s="1"/>
  <c r="AG112" i="4"/>
  <c r="AG66" i="4"/>
  <c r="CX112" i="4"/>
  <c r="CX62" i="4"/>
  <c r="AB128" i="4"/>
  <c r="AB49" i="4"/>
  <c r="BB111" i="4"/>
  <c r="BB61" i="4"/>
  <c r="BB62" i="4" s="1"/>
  <c r="AF111" i="4"/>
  <c r="AF61" i="4"/>
  <c r="DN128" i="4"/>
  <c r="DN61" i="4"/>
  <c r="W112" i="4"/>
  <c r="W66" i="4"/>
  <c r="DH93" i="4"/>
  <c r="DH63" i="4"/>
  <c r="BB113" i="4"/>
  <c r="BB64" i="4"/>
  <c r="EF71" i="4"/>
  <c r="EF68" i="4" s="1"/>
  <c r="AB112" i="4"/>
  <c r="AB66" i="4"/>
  <c r="DM93" i="4"/>
  <c r="DM63" i="4"/>
  <c r="DK93" i="4"/>
  <c r="DK63" i="4"/>
  <c r="AL128" i="4"/>
  <c r="AL49" i="4"/>
  <c r="AQ111" i="4" s="1"/>
  <c r="BE112" i="4"/>
  <c r="BE66" i="4"/>
  <c r="AA113" i="4"/>
  <c r="AA64" i="4"/>
  <c r="DD113" i="4"/>
  <c r="DD64" i="4"/>
  <c r="BG111" i="4"/>
  <c r="BG61" i="4"/>
  <c r="M112" i="4"/>
  <c r="M66" i="4"/>
  <c r="CN113" i="4"/>
  <c r="CN64" i="4"/>
  <c r="AA111" i="4"/>
  <c r="AA61" i="4"/>
  <c r="DL112" i="4"/>
  <c r="DL62" i="4"/>
  <c r="CX66" i="4"/>
  <c r="L111" i="4"/>
  <c r="DJ113" i="4"/>
  <c r="DJ64" i="4"/>
  <c r="AQ61" i="4"/>
  <c r="DI112" i="4"/>
  <c r="DI62" i="4"/>
  <c r="CN62" i="4"/>
  <c r="AG93" i="4"/>
  <c r="AG63" i="4"/>
  <c r="CD112" i="4"/>
  <c r="BR62" i="4"/>
  <c r="S62" i="4"/>
  <c r="AR62" i="4"/>
  <c r="AQ66" i="4"/>
  <c r="DC112" i="4"/>
  <c r="DC62" i="4"/>
  <c r="BJ66" i="4"/>
  <c r="W93" i="4"/>
  <c r="W63" i="4"/>
  <c r="DI113" i="4"/>
  <c r="DI64" i="4"/>
  <c r="EC70" i="4"/>
  <c r="BA111" i="4"/>
  <c r="BA61" i="4"/>
  <c r="BA62" i="4" s="1"/>
  <c r="EC74" i="4"/>
  <c r="EB74" i="4"/>
  <c r="V111" i="4"/>
  <c r="V61" i="4"/>
  <c r="Q111" i="4"/>
  <c r="Q61" i="4"/>
  <c r="Q62" i="4" s="1"/>
  <c r="EH75" i="4"/>
  <c r="DD112" i="4"/>
  <c r="DD62" i="4"/>
  <c r="BA113" i="4"/>
  <c r="BA64" i="4"/>
  <c r="CD66" i="4"/>
  <c r="W128" i="4"/>
  <c r="W49" i="4"/>
  <c r="DL93" i="4"/>
  <c r="DL63" i="4"/>
  <c r="AL93" i="4"/>
  <c r="AL63" i="4"/>
  <c r="AQ64" i="4" s="1"/>
  <c r="BF113" i="4"/>
  <c r="BF64" i="4"/>
  <c r="V113" i="4"/>
  <c r="V64" i="4"/>
  <c r="H93" i="4"/>
  <c r="H63" i="4"/>
  <c r="BE128" i="4"/>
  <c r="BE49" i="4"/>
  <c r="R112" i="4"/>
  <c r="R66" i="4"/>
  <c r="ED69" i="4"/>
  <c r="ED70" i="4" s="1"/>
  <c r="ED76" i="4"/>
  <c r="EC77" i="4"/>
  <c r="BY128" i="4"/>
  <c r="BY61" i="4"/>
  <c r="BY49" i="4"/>
  <c r="DG112" i="4"/>
  <c r="DG62" i="4"/>
  <c r="DM129" i="4"/>
  <c r="DM65" i="4"/>
  <c r="BP111" i="4"/>
  <c r="CS113" i="4"/>
  <c r="CS64" i="4"/>
  <c r="P62" i="4"/>
  <c r="AG128" i="4"/>
  <c r="AG49" i="4"/>
  <c r="T62" i="4"/>
  <c r="AJ62" i="4"/>
  <c r="AB93" i="4"/>
  <c r="AB63" i="4"/>
  <c r="AQ112" i="4"/>
  <c r="BJ112" i="4"/>
  <c r="DN129" i="4"/>
  <c r="DN111" i="4"/>
  <c r="DN65" i="4"/>
  <c r="DN66" i="4" s="1"/>
  <c r="DN59" i="4"/>
  <c r="AK111" i="4"/>
  <c r="DH112" i="4"/>
  <c r="DH62" i="4"/>
  <c r="BG62" i="4" l="1"/>
  <c r="DH214" i="10"/>
  <c r="EE170" i="10"/>
  <c r="EE173" i="10" s="1"/>
  <c r="ED174" i="10"/>
  <c r="EI72" i="10"/>
  <c r="EJ68" i="10"/>
  <c r="EJ71" i="10" s="1"/>
  <c r="EB86" i="7"/>
  <c r="EB8" i="8" s="1"/>
  <c r="EB9" i="8" s="1"/>
  <c r="EL122" i="10"/>
  <c r="BE108" i="5"/>
  <c r="BJ100" i="5" s="1"/>
  <c r="DO107" i="5"/>
  <c r="DO101" i="5"/>
  <c r="CD101" i="5"/>
  <c r="CD107" i="5"/>
  <c r="CD61" i="4"/>
  <c r="CD49" i="4"/>
  <c r="CI111" i="4" s="1"/>
  <c r="CD128" i="4"/>
  <c r="V62" i="4"/>
  <c r="CI112" i="4"/>
  <c r="CI66" i="4"/>
  <c r="BO93" i="4"/>
  <c r="BO63" i="4"/>
  <c r="BT101" i="5"/>
  <c r="BT107" i="5"/>
  <c r="BT128" i="4"/>
  <c r="BT61" i="4"/>
  <c r="BT49" i="4"/>
  <c r="BY111" i="4" s="1"/>
  <c r="BF100" i="5"/>
  <c r="BF108" i="5" s="1"/>
  <c r="BF110" i="5" s="1"/>
  <c r="AF62" i="4"/>
  <c r="BJ63" i="4"/>
  <c r="BJ93" i="4"/>
  <c r="BO101" i="5"/>
  <c r="BO107" i="5"/>
  <c r="BO49" i="4"/>
  <c r="BO128" i="4"/>
  <c r="BO61" i="4"/>
  <c r="BT93" i="4"/>
  <c r="BT63" i="4"/>
  <c r="BY113" i="4" s="1"/>
  <c r="M100" i="5"/>
  <c r="M108" i="5" s="1"/>
  <c r="I100" i="5"/>
  <c r="I108" i="5" s="1"/>
  <c r="I110" i="5" s="1"/>
  <c r="H110" i="5"/>
  <c r="CD93" i="4"/>
  <c r="CD63" i="4"/>
  <c r="BJ101" i="5"/>
  <c r="BJ107" i="5"/>
  <c r="BJ128" i="4"/>
  <c r="BJ49" i="4"/>
  <c r="BJ61" i="4" s="1"/>
  <c r="BO66" i="4"/>
  <c r="BO112" i="4"/>
  <c r="BT66" i="4"/>
  <c r="BT112" i="4"/>
  <c r="EH13" i="5"/>
  <c r="EH152" i="5" s="1"/>
  <c r="BK77" i="5"/>
  <c r="BK81" i="5" s="1"/>
  <c r="BJ84" i="5"/>
  <c r="BO77" i="5"/>
  <c r="EH31" i="5"/>
  <c r="EH156" i="5" s="1"/>
  <c r="EH37" i="5"/>
  <c r="EI37" i="5" s="1"/>
  <c r="EH15" i="5"/>
  <c r="EH157" i="5" s="1"/>
  <c r="EE150" i="7"/>
  <c r="EE11" i="7"/>
  <c r="EE22" i="8" s="1"/>
  <c r="EE78" i="7"/>
  <c r="EE80" i="7" s="1"/>
  <c r="EG408" i="7"/>
  <c r="EG21" i="8"/>
  <c r="CD47" i="7"/>
  <c r="CE43" i="7" s="1"/>
  <c r="CE44" i="7" s="1"/>
  <c r="CI44" i="7" s="1"/>
  <c r="DY58" i="7"/>
  <c r="DY15" i="8"/>
  <c r="DY16" i="8" s="1"/>
  <c r="DZ14" i="8"/>
  <c r="EJ78" i="7"/>
  <c r="EJ11" i="7"/>
  <c r="EJ22" i="8" s="1"/>
  <c r="EJ150" i="7"/>
  <c r="EL408" i="7"/>
  <c r="EL21" i="8"/>
  <c r="DJ204" i="10"/>
  <c r="DK199" i="10"/>
  <c r="DU180" i="10"/>
  <c r="DU183" i="10" s="1"/>
  <c r="DT184" i="10"/>
  <c r="DF16" i="10"/>
  <c r="DU140" i="10"/>
  <c r="DU143" i="10" s="1"/>
  <c r="DT144" i="10"/>
  <c r="DL57" i="10"/>
  <c r="DK62" i="10"/>
  <c r="DG52" i="10"/>
  <c r="DH52" i="10" s="1"/>
  <c r="DI47" i="10"/>
  <c r="EF190" i="10"/>
  <c r="EF193" i="10" s="1"/>
  <c r="EE194" i="10"/>
  <c r="EH159" i="10"/>
  <c r="DW38" i="10"/>
  <c r="DV40" i="10"/>
  <c r="DW133" i="10"/>
  <c r="DV134" i="10"/>
  <c r="DW134" i="10" s="1"/>
  <c r="DL92" i="10"/>
  <c r="DM92" i="10" s="1"/>
  <c r="DN87" i="10"/>
  <c r="DU209" i="10"/>
  <c r="ED200" i="10"/>
  <c r="ED203" i="10" s="1"/>
  <c r="EC204" i="10"/>
  <c r="EH112" i="10"/>
  <c r="EI107" i="10"/>
  <c r="EK209" i="10"/>
  <c r="EE97" i="10"/>
  <c r="DJ82" i="10"/>
  <c r="DK77" i="10"/>
  <c r="DY179" i="10"/>
  <c r="DV98" i="10"/>
  <c r="DV101" i="10" s="1"/>
  <c r="DU102" i="10"/>
  <c r="DT210" i="10"/>
  <c r="DT213" i="10" s="1"/>
  <c r="DT214" i="10" s="1"/>
  <c r="DS21" i="10"/>
  <c r="DS214" i="10"/>
  <c r="ED160" i="10"/>
  <c r="ED163" i="10" s="1"/>
  <c r="EC164" i="10"/>
  <c r="DG102" i="10"/>
  <c r="DG16" i="10" s="1"/>
  <c r="DI97" i="10"/>
  <c r="DY34" i="10"/>
  <c r="DY37" i="10" s="1"/>
  <c r="DX38" i="10"/>
  <c r="DX40" i="10" s="1"/>
  <c r="DX39" i="10"/>
  <c r="EK199" i="10"/>
  <c r="EJ189" i="10"/>
  <c r="EH31" i="10"/>
  <c r="DI154" i="10"/>
  <c r="DJ149" i="10"/>
  <c r="EB205" i="7"/>
  <c r="EB206" i="7" s="1"/>
  <c r="EB139" i="7"/>
  <c r="EB171" i="7"/>
  <c r="DZ128" i="7"/>
  <c r="DZ129" i="7" s="1"/>
  <c r="DZ70" i="7"/>
  <c r="AR43" i="7"/>
  <c r="AR46" i="7" s="1"/>
  <c r="AR49" i="7"/>
  <c r="DW83" i="7"/>
  <c r="DW84" i="7"/>
  <c r="DW71" i="7"/>
  <c r="DW75" i="7"/>
  <c r="EB148" i="7"/>
  <c r="DX150" i="7"/>
  <c r="DX78" i="7"/>
  <c r="DX11" i="7"/>
  <c r="DX156" i="7"/>
  <c r="EA87" i="7"/>
  <c r="EA55" i="7"/>
  <c r="EA13" i="8" s="1"/>
  <c r="EA14" i="8" s="1"/>
  <c r="CJ36" i="7"/>
  <c r="CN36" i="7"/>
  <c r="CN40" i="7" s="1"/>
  <c r="CJ52" i="7"/>
  <c r="CN52" i="7"/>
  <c r="DZ8" i="4"/>
  <c r="DZ157" i="7"/>
  <c r="DZ146" i="7"/>
  <c r="DZ149" i="7"/>
  <c r="EI80" i="7"/>
  <c r="EA156" i="7"/>
  <c r="EA141" i="7" s="1"/>
  <c r="EA139" i="7"/>
  <c r="EA8" i="7"/>
  <c r="AM50" i="7"/>
  <c r="AM52" i="7"/>
  <c r="AM51" i="7"/>
  <c r="AM165" i="7"/>
  <c r="AM66" i="7"/>
  <c r="AM89" i="7"/>
  <c r="AN50" i="7"/>
  <c r="EF80" i="7"/>
  <c r="CI43" i="7"/>
  <c r="DZ60" i="7"/>
  <c r="DZ61" i="7" s="1"/>
  <c r="DZ57" i="7"/>
  <c r="DZ56" i="7"/>
  <c r="AQ52" i="7"/>
  <c r="AQ51" i="7"/>
  <c r="AQ165" i="7"/>
  <c r="AQ89" i="7"/>
  <c r="AQ66" i="7"/>
  <c r="EH151" i="7"/>
  <c r="EC148" i="7"/>
  <c r="EG151" i="7"/>
  <c r="EG152" i="7" s="1"/>
  <c r="ED80" i="7"/>
  <c r="EC167" i="7"/>
  <c r="ED160" i="7"/>
  <c r="EC138" i="7"/>
  <c r="EC86" i="7"/>
  <c r="EC8" i="8" s="1"/>
  <c r="EC9" i="8" s="1"/>
  <c r="EK80" i="7"/>
  <c r="S185" i="5"/>
  <c r="W183" i="5"/>
  <c r="W185" i="5" s="1"/>
  <c r="BH187" i="5"/>
  <c r="BI183" i="5"/>
  <c r="BI185" i="5" s="1"/>
  <c r="BI187" i="5" s="1"/>
  <c r="DL66" i="5"/>
  <c r="DL17" i="5"/>
  <c r="DL24" i="5" s="1"/>
  <c r="DM7" i="5"/>
  <c r="EK82" i="5"/>
  <c r="W84" i="5"/>
  <c r="AB77" i="5"/>
  <c r="X77" i="5"/>
  <c r="X81" i="5" s="1"/>
  <c r="EG157" i="5"/>
  <c r="EG156" i="5"/>
  <c r="EI31" i="5"/>
  <c r="DI102" i="5"/>
  <c r="DI108" i="5" s="1"/>
  <c r="DJ44" i="5"/>
  <c r="DI50" i="5"/>
  <c r="EH154" i="5"/>
  <c r="EG197" i="5"/>
  <c r="DN32" i="5"/>
  <c r="DM34" i="5"/>
  <c r="DM41" i="5" s="1"/>
  <c r="DK62" i="5"/>
  <c r="CA187" i="5"/>
  <c r="CB183" i="5"/>
  <c r="CB185" i="5" s="1"/>
  <c r="DH109" i="5"/>
  <c r="DH55" i="5"/>
  <c r="DH56" i="5"/>
  <c r="DH58" i="5"/>
  <c r="DH52" i="5"/>
  <c r="DH69" i="5" s="1"/>
  <c r="DH59" i="5"/>
  <c r="BW187" i="5"/>
  <c r="BX183" i="5"/>
  <c r="BX185" i="5" s="1"/>
  <c r="BX187" i="5" s="1"/>
  <c r="CE187" i="5"/>
  <c r="CF183" i="5"/>
  <c r="CF185" i="5" s="1"/>
  <c r="P183" i="5"/>
  <c r="P185" i="5" s="1"/>
  <c r="O187" i="5"/>
  <c r="EI13" i="5"/>
  <c r="EE106" i="5"/>
  <c r="EF47" i="5"/>
  <c r="EE104" i="5"/>
  <c r="EF49" i="5"/>
  <c r="EE103" i="5"/>
  <c r="EF45" i="5"/>
  <c r="EE105" i="5"/>
  <c r="EF46" i="5"/>
  <c r="DZ167" i="5"/>
  <c r="DZ166" i="5"/>
  <c r="EA8" i="5"/>
  <c r="DQ167" i="5"/>
  <c r="DQ169" i="5" s="1"/>
  <c r="DQ184" i="5" s="1"/>
  <c r="DQ185" i="5" s="1"/>
  <c r="DQ187" i="5" s="1"/>
  <c r="DP169" i="5"/>
  <c r="DP184" i="5" s="1"/>
  <c r="DP185" i="5" s="1"/>
  <c r="DP187" i="5" s="1"/>
  <c r="CJ183" i="5"/>
  <c r="CJ185" i="5" s="1"/>
  <c r="CN183" i="5"/>
  <c r="CN185" i="5" s="1"/>
  <c r="CI187" i="5"/>
  <c r="DG110" i="5"/>
  <c r="AB111" i="4"/>
  <c r="AB61" i="4"/>
  <c r="BL62" i="4"/>
  <c r="DL113" i="4"/>
  <c r="DL64" i="4"/>
  <c r="ED74" i="4"/>
  <c r="AL111" i="4"/>
  <c r="AL61" i="4"/>
  <c r="AQ62" i="4" s="1"/>
  <c r="DM113" i="4"/>
  <c r="DM64" i="4"/>
  <c r="EH71" i="4"/>
  <c r="EH68" i="4" s="1"/>
  <c r="EG71" i="4"/>
  <c r="R111" i="4"/>
  <c r="R61" i="4"/>
  <c r="DQ45" i="4"/>
  <c r="DP48" i="4"/>
  <c r="DP49" i="4" s="1"/>
  <c r="DP47" i="4"/>
  <c r="W113" i="4"/>
  <c r="W64" i="4"/>
  <c r="DO129" i="4"/>
  <c r="DO111" i="4"/>
  <c r="DO65" i="4"/>
  <c r="DO66" i="4" s="1"/>
  <c r="DO59" i="4"/>
  <c r="EG68" i="4"/>
  <c r="BE111" i="4"/>
  <c r="BE61" i="4"/>
  <c r="BE62" i="4" s="1"/>
  <c r="AL113" i="4"/>
  <c r="AL64" i="4"/>
  <c r="W111" i="4"/>
  <c r="W61" i="4"/>
  <c r="DK113" i="4"/>
  <c r="DK64" i="4"/>
  <c r="M113" i="4"/>
  <c r="M64" i="4"/>
  <c r="AB113" i="4"/>
  <c r="AB64" i="4"/>
  <c r="AG111" i="4"/>
  <c r="AG61" i="4"/>
  <c r="EE76" i="4"/>
  <c r="ED77" i="4"/>
  <c r="EI75" i="4"/>
  <c r="AG113" i="4"/>
  <c r="AG64" i="4"/>
  <c r="R113" i="4"/>
  <c r="R64" i="4"/>
  <c r="DN93" i="4"/>
  <c r="DN63" i="4"/>
  <c r="AQ113" i="4"/>
  <c r="AK62" i="4"/>
  <c r="AA62" i="4"/>
  <c r="BJ111" i="4"/>
  <c r="DH113" i="4"/>
  <c r="DH64" i="4"/>
  <c r="DN112" i="4"/>
  <c r="DN62" i="4"/>
  <c r="BF62" i="4"/>
  <c r="BE113" i="4"/>
  <c r="BE64" i="4"/>
  <c r="BK62" i="4"/>
  <c r="BP62" i="4"/>
  <c r="DO128" i="4"/>
  <c r="DO61" i="4"/>
  <c r="M111" i="4"/>
  <c r="M61" i="4"/>
  <c r="M62" i="4" s="1"/>
  <c r="EE69" i="4"/>
  <c r="EE70" i="4" s="1"/>
  <c r="CD111" i="4" l="1"/>
  <c r="BJ62" i="4"/>
  <c r="AG62" i="4"/>
  <c r="BY64" i="4"/>
  <c r="BO62" i="4"/>
  <c r="EB87" i="7"/>
  <c r="EF170" i="10"/>
  <c r="EF173" i="10" s="1"/>
  <c r="EE174" i="10"/>
  <c r="EK68" i="10"/>
  <c r="EK71" i="10" s="1"/>
  <c r="EJ72" i="10"/>
  <c r="EI15" i="5"/>
  <c r="EJ15" i="5" s="1"/>
  <c r="BE110" i="5"/>
  <c r="DH102" i="10"/>
  <c r="EB55" i="7"/>
  <c r="EB13" i="8" s="1"/>
  <c r="EB14" i="8" s="1"/>
  <c r="W62" i="4"/>
  <c r="BT111" i="4"/>
  <c r="BT62" i="4"/>
  <c r="BO113" i="4"/>
  <c r="BO64" i="4"/>
  <c r="BY62" i="4"/>
  <c r="DP107" i="5"/>
  <c r="DP101" i="5"/>
  <c r="EJ80" i="7"/>
  <c r="BJ108" i="5"/>
  <c r="CI62" i="4"/>
  <c r="CD62" i="4"/>
  <c r="CI113" i="4"/>
  <c r="CD113" i="4"/>
  <c r="CI64" i="4"/>
  <c r="CD64" i="4"/>
  <c r="M110" i="5"/>
  <c r="N100" i="5"/>
  <c r="N108" i="5" s="1"/>
  <c r="N110" i="5" s="1"/>
  <c r="R100" i="5"/>
  <c r="R108" i="5" s="1"/>
  <c r="BT113" i="4"/>
  <c r="BT64" i="4"/>
  <c r="BO111" i="4"/>
  <c r="BJ64" i="4"/>
  <c r="BJ113" i="4"/>
  <c r="BK82" i="5"/>
  <c r="BO81" i="5"/>
  <c r="BO82" i="5" s="1"/>
  <c r="EA8" i="4"/>
  <c r="EA18" i="8"/>
  <c r="EB8" i="7"/>
  <c r="EB18" i="8" s="1"/>
  <c r="DZ58" i="7"/>
  <c r="DZ15" i="8"/>
  <c r="EB11" i="7"/>
  <c r="EB22" i="8" s="1"/>
  <c r="DX22" i="8"/>
  <c r="EK189" i="10"/>
  <c r="DL77" i="10"/>
  <c r="DK82" i="10"/>
  <c r="DX130" i="10"/>
  <c r="DX133" i="10" s="1"/>
  <c r="EB130" i="10"/>
  <c r="EI159" i="10"/>
  <c r="DN57" i="10"/>
  <c r="DL62" i="10"/>
  <c r="DM62" i="10" s="1"/>
  <c r="EI31" i="10"/>
  <c r="DW101" i="10"/>
  <c r="DV102" i="10"/>
  <c r="EE200" i="10"/>
  <c r="EE203" i="10" s="1"/>
  <c r="ED204" i="10"/>
  <c r="DN92" i="10"/>
  <c r="DO87" i="10"/>
  <c r="DV180" i="10"/>
  <c r="DV183" i="10" s="1"/>
  <c r="DU184" i="10"/>
  <c r="DZ34" i="10"/>
  <c r="DZ37" i="10" s="1"/>
  <c r="DY38" i="10"/>
  <c r="DY40" i="10" s="1"/>
  <c r="DY39" i="10"/>
  <c r="DU210" i="10"/>
  <c r="DU213" i="10" s="1"/>
  <c r="DU214" i="10" s="1"/>
  <c r="DT21" i="10"/>
  <c r="DZ179" i="10"/>
  <c r="EI112" i="10"/>
  <c r="EJ107" i="10"/>
  <c r="DV209" i="10"/>
  <c r="EG193" i="10"/>
  <c r="EH190" i="10" s="1"/>
  <c r="EH193" i="10"/>
  <c r="EF194" i="10"/>
  <c r="EG194" i="10" s="1"/>
  <c r="DV140" i="10"/>
  <c r="DV143" i="10" s="1"/>
  <c r="DU144" i="10"/>
  <c r="DJ154" i="10"/>
  <c r="DK149" i="10"/>
  <c r="DJ97" i="10"/>
  <c r="DI102" i="10"/>
  <c r="EE160" i="10"/>
  <c r="EE163" i="10" s="1"/>
  <c r="ED164" i="10"/>
  <c r="EF97" i="10"/>
  <c r="DI52" i="10"/>
  <c r="DJ47" i="10"/>
  <c r="DK204" i="10"/>
  <c r="DL199" i="10"/>
  <c r="DW102" i="10"/>
  <c r="EC156" i="7"/>
  <c r="EC141" i="7" s="1"/>
  <c r="EC139" i="7"/>
  <c r="EC8" i="7"/>
  <c r="EC18" i="8" s="1"/>
  <c r="EC209" i="7"/>
  <c r="EC91" i="7"/>
  <c r="EC10" i="8" s="1"/>
  <c r="EG148" i="7"/>
  <c r="EC150" i="7"/>
  <c r="EC78" i="7"/>
  <c r="EC11" i="7"/>
  <c r="CI47" i="7"/>
  <c r="EB8" i="4"/>
  <c r="AR52" i="7"/>
  <c r="AR50" i="7"/>
  <c r="AR51" i="7"/>
  <c r="AS50" i="7"/>
  <c r="AR66" i="7"/>
  <c r="AR89" i="7"/>
  <c r="AR165" i="7"/>
  <c r="ED167" i="7"/>
  <c r="ED91" i="7" s="1"/>
  <c r="ED10" i="8" s="1"/>
  <c r="EE160" i="7"/>
  <c r="ED138" i="7"/>
  <c r="ED86" i="7"/>
  <c r="ED8" i="8" s="1"/>
  <c r="EL151" i="7"/>
  <c r="EL152" i="7" s="1"/>
  <c r="EH148" i="7"/>
  <c r="EA157" i="7"/>
  <c r="EA146" i="7"/>
  <c r="EA149" i="7"/>
  <c r="EA56" i="7"/>
  <c r="EA60" i="7"/>
  <c r="EA61" i="7" s="1"/>
  <c r="EA57" i="7"/>
  <c r="DX157" i="7"/>
  <c r="DX146" i="7"/>
  <c r="DX141" i="7"/>
  <c r="DX149" i="7"/>
  <c r="EB150" i="7"/>
  <c r="EB156" i="7"/>
  <c r="EB149" i="7" s="1"/>
  <c r="EC87" i="7"/>
  <c r="EC55" i="7"/>
  <c r="EC13" i="8" s="1"/>
  <c r="EC14" i="8" s="1"/>
  <c r="EB63" i="7"/>
  <c r="EB64" i="7" s="1"/>
  <c r="EB60" i="7"/>
  <c r="EB61" i="7" s="1"/>
  <c r="CO36" i="7"/>
  <c r="CS36" i="7"/>
  <c r="CS40" i="7" s="1"/>
  <c r="CO52" i="7"/>
  <c r="CS52" i="7"/>
  <c r="DX80" i="7"/>
  <c r="EB78" i="7"/>
  <c r="DR167" i="5"/>
  <c r="EF103" i="5"/>
  <c r="EG45" i="5"/>
  <c r="EF106" i="5"/>
  <c r="EG47" i="5"/>
  <c r="DJ102" i="5"/>
  <c r="DK44" i="5"/>
  <c r="DJ50" i="5"/>
  <c r="EI156" i="5"/>
  <c r="EI197" i="5" s="1"/>
  <c r="EJ31" i="5"/>
  <c r="X82" i="5"/>
  <c r="AB81" i="5"/>
  <c r="AB82" i="5" s="1"/>
  <c r="EA167" i="5"/>
  <c r="EB167" i="5" s="1"/>
  <c r="EA166" i="5"/>
  <c r="EB166" i="5" s="1"/>
  <c r="EB8" i="5"/>
  <c r="EC8" i="5" s="1"/>
  <c r="EI154" i="5"/>
  <c r="EJ37" i="5"/>
  <c r="EH197" i="5"/>
  <c r="DM17" i="5"/>
  <c r="DM24" i="5" s="1"/>
  <c r="DN7" i="5"/>
  <c r="DM66" i="5"/>
  <c r="CJ187" i="5"/>
  <c r="CK183" i="5"/>
  <c r="CK185" i="5" s="1"/>
  <c r="P187" i="5"/>
  <c r="Q183" i="5"/>
  <c r="Q185" i="5" s="1"/>
  <c r="Q187" i="5" s="1"/>
  <c r="EH198" i="5"/>
  <c r="CO183" i="5"/>
  <c r="CO185" i="5" s="1"/>
  <c r="CS183" i="5"/>
  <c r="CS185" i="5" s="1"/>
  <c r="CN187" i="5"/>
  <c r="EF105" i="5"/>
  <c r="EG46" i="5"/>
  <c r="EF104" i="5"/>
  <c r="EG49" i="5"/>
  <c r="EI152" i="5"/>
  <c r="EJ13" i="5"/>
  <c r="CF187" i="5"/>
  <c r="CG183" i="5"/>
  <c r="CG185" i="5" s="1"/>
  <c r="CB187" i="5"/>
  <c r="CC183" i="5"/>
  <c r="CC185" i="5" s="1"/>
  <c r="CC187" i="5" s="1"/>
  <c r="X183" i="5"/>
  <c r="W187" i="5"/>
  <c r="DN34" i="5"/>
  <c r="DN41" i="5" s="1"/>
  <c r="DO32" i="5"/>
  <c r="DI109" i="5"/>
  <c r="DJ100" i="5" s="1"/>
  <c r="DI58" i="5"/>
  <c r="DI56" i="5"/>
  <c r="DI55" i="5"/>
  <c r="DI52" i="5"/>
  <c r="DI69" i="5" s="1"/>
  <c r="DI59" i="5"/>
  <c r="DL62" i="5"/>
  <c r="T183" i="5"/>
  <c r="T185" i="5" s="1"/>
  <c r="S187" i="5"/>
  <c r="DO112" i="4"/>
  <c r="DO62" i="4"/>
  <c r="DN113" i="4"/>
  <c r="DN64" i="4"/>
  <c r="DP128" i="4"/>
  <c r="DP61" i="4"/>
  <c r="AL62" i="4"/>
  <c r="DO93" i="4"/>
  <c r="DO63" i="4"/>
  <c r="DP129" i="4"/>
  <c r="DP111" i="4"/>
  <c r="DP65" i="4"/>
  <c r="DP66" i="4" s="1"/>
  <c r="DP59" i="4"/>
  <c r="EI71" i="4"/>
  <c r="AB62" i="4"/>
  <c r="EJ75" i="4"/>
  <c r="EF76" i="4"/>
  <c r="EE77" i="4"/>
  <c r="DS45" i="4"/>
  <c r="DQ48" i="4"/>
  <c r="DQ49" i="4" s="1"/>
  <c r="DQ47" i="4"/>
  <c r="DR45" i="4"/>
  <c r="R62" i="4"/>
  <c r="EE74" i="4"/>
  <c r="EF69" i="4"/>
  <c r="EF70" i="4" s="1"/>
  <c r="EI157" i="5" l="1"/>
  <c r="EI198" i="5" s="1"/>
  <c r="EB56" i="7"/>
  <c r="EL71" i="10"/>
  <c r="EK72" i="10"/>
  <c r="EL72" i="10" s="1"/>
  <c r="EG173" i="10"/>
  <c r="EH170" i="10" s="1"/>
  <c r="EH173" i="10" s="1"/>
  <c r="EF174" i="10"/>
  <c r="EG174" i="10" s="1"/>
  <c r="DJ108" i="5"/>
  <c r="BO83" i="5"/>
  <c r="BT77" i="5" s="1"/>
  <c r="W100" i="5"/>
  <c r="W108" i="5" s="1"/>
  <c r="R110" i="5"/>
  <c r="S100" i="5"/>
  <c r="S108" i="5" s="1"/>
  <c r="S110" i="5" s="1"/>
  <c r="DQ107" i="5"/>
  <c r="DQ101" i="5"/>
  <c r="BJ110" i="5"/>
  <c r="BO100" i="5"/>
  <c r="BO108" i="5" s="1"/>
  <c r="BK100" i="5"/>
  <c r="BK108" i="5" s="1"/>
  <c r="BK110" i="5" s="1"/>
  <c r="AB83" i="5"/>
  <c r="AG77" i="5" s="1"/>
  <c r="DR169" i="5"/>
  <c r="DR184" i="5" s="1"/>
  <c r="DR185" i="5" s="1"/>
  <c r="DR187" i="5" s="1"/>
  <c r="EC149" i="7"/>
  <c r="EA58" i="7"/>
  <c r="EA15" i="8"/>
  <c r="EA16" i="8" s="1"/>
  <c r="ED9" i="8"/>
  <c r="DZ16" i="8"/>
  <c r="EG11" i="7"/>
  <c r="EG22" i="8" s="1"/>
  <c r="EC22" i="8"/>
  <c r="DV144" i="10"/>
  <c r="DW144" i="10" s="1"/>
  <c r="DX140" i="10"/>
  <c r="DX143" i="10" s="1"/>
  <c r="DW143" i="10"/>
  <c r="DL204" i="10"/>
  <c r="DM204" i="10" s="1"/>
  <c r="DN199" i="10"/>
  <c r="DL149" i="10"/>
  <c r="DK154" i="10"/>
  <c r="EA179" i="10"/>
  <c r="DX180" i="10"/>
  <c r="DX183" i="10" s="1"/>
  <c r="DW183" i="10"/>
  <c r="DV184" i="10"/>
  <c r="DW184" i="10" s="1"/>
  <c r="DK47" i="10"/>
  <c r="DJ52" i="10"/>
  <c r="DI16" i="10"/>
  <c r="DV210" i="10"/>
  <c r="DV213" i="10" s="1"/>
  <c r="DV214" i="10" s="1"/>
  <c r="DW214" i="10" s="1"/>
  <c r="DU21" i="10"/>
  <c r="EA34" i="10"/>
  <c r="EA37" i="10" s="1"/>
  <c r="DZ39" i="10"/>
  <c r="DZ38" i="10"/>
  <c r="DZ40" i="10" s="1"/>
  <c r="DO92" i="10"/>
  <c r="DP87" i="10"/>
  <c r="EJ31" i="10"/>
  <c r="EJ159" i="10"/>
  <c r="DJ102" i="10"/>
  <c r="DK97" i="10"/>
  <c r="DX98" i="10"/>
  <c r="DX101" i="10" s="1"/>
  <c r="EB98" i="10"/>
  <c r="EL189" i="10"/>
  <c r="EH97" i="10"/>
  <c r="EF160" i="10"/>
  <c r="EF163" i="10" s="1"/>
  <c r="EE164" i="10"/>
  <c r="EI190" i="10"/>
  <c r="EI193" i="10" s="1"/>
  <c r="EH194" i="10"/>
  <c r="EJ112" i="10"/>
  <c r="EK107" i="10"/>
  <c r="EK112" i="10" s="1"/>
  <c r="EF200" i="10"/>
  <c r="EF203" i="10" s="1"/>
  <c r="EE204" i="10"/>
  <c r="DO57" i="10"/>
  <c r="DN62" i="10"/>
  <c r="DX134" i="10"/>
  <c r="DY130" i="10"/>
  <c r="DY133" i="10" s="1"/>
  <c r="DL82" i="10"/>
  <c r="DM82" i="10" s="1"/>
  <c r="DN77" i="10"/>
  <c r="EB80" i="7"/>
  <c r="EL148" i="7"/>
  <c r="EH150" i="7"/>
  <c r="EH78" i="7"/>
  <c r="EH11" i="7"/>
  <c r="ED156" i="7"/>
  <c r="ED141" i="7" s="1"/>
  <c r="ED139" i="7"/>
  <c r="ED8" i="7"/>
  <c r="ED209" i="7"/>
  <c r="CJ43" i="7"/>
  <c r="CJ44" i="7" s="1"/>
  <c r="CN44" i="7" s="1"/>
  <c r="CN43" i="7"/>
  <c r="CT36" i="7"/>
  <c r="CX36" i="7"/>
  <c r="CX40" i="7" s="1"/>
  <c r="CT52" i="7"/>
  <c r="EE167" i="7"/>
  <c r="EE91" i="7" s="1"/>
  <c r="EE10" i="8" s="1"/>
  <c r="EF160" i="7"/>
  <c r="EE138" i="7"/>
  <c r="EE86" i="7"/>
  <c r="EE8" i="8" s="1"/>
  <c r="EE9" i="8" s="1"/>
  <c r="EG150" i="7"/>
  <c r="EC8" i="4"/>
  <c r="EC80" i="7"/>
  <c r="EG78" i="7"/>
  <c r="EC94" i="7"/>
  <c r="EC69" i="7" s="1"/>
  <c r="EB57" i="7"/>
  <c r="EC60" i="7"/>
  <c r="EC61" i="7" s="1"/>
  <c r="EC57" i="7"/>
  <c r="EC15" i="8" s="1"/>
  <c r="EC16" i="8" s="1"/>
  <c r="EC56" i="7"/>
  <c r="EB157" i="7"/>
  <c r="EB146" i="7"/>
  <c r="EB141" i="7"/>
  <c r="ED87" i="7"/>
  <c r="ED55" i="7"/>
  <c r="ED13" i="8" s="1"/>
  <c r="ED94" i="7"/>
  <c r="ED73" i="7" s="1"/>
  <c r="EC157" i="7"/>
  <c r="EC146" i="7"/>
  <c r="EJ157" i="5"/>
  <c r="EK15" i="5"/>
  <c r="EG103" i="5"/>
  <c r="EH45" i="5"/>
  <c r="DI110" i="5"/>
  <c r="DO34" i="5"/>
  <c r="DO41" i="5" s="1"/>
  <c r="DP32" i="5"/>
  <c r="DP34" i="5" s="1"/>
  <c r="DP41" i="5" s="1"/>
  <c r="DM62" i="5"/>
  <c r="EC167" i="5"/>
  <c r="EC166" i="5"/>
  <c r="ED8" i="5"/>
  <c r="DJ109" i="5"/>
  <c r="DK100" i="5" s="1"/>
  <c r="DJ58" i="5"/>
  <c r="DJ56" i="5"/>
  <c r="DJ55" i="5"/>
  <c r="DJ52" i="5"/>
  <c r="DJ69" i="5" s="1"/>
  <c r="DJ59" i="5"/>
  <c r="EG104" i="5"/>
  <c r="EH49" i="5"/>
  <c r="CG187" i="5"/>
  <c r="CH183" i="5"/>
  <c r="CH185" i="5" s="1"/>
  <c r="CH187" i="5" s="1"/>
  <c r="DN66" i="5"/>
  <c r="DN17" i="5"/>
  <c r="DN24" i="5" s="1"/>
  <c r="DO7" i="5"/>
  <c r="DK102" i="5"/>
  <c r="DK50" i="5"/>
  <c r="DL44" i="5"/>
  <c r="EG106" i="5"/>
  <c r="EH47" i="5"/>
  <c r="T187" i="5"/>
  <c r="U183" i="5"/>
  <c r="U185" i="5" s="1"/>
  <c r="CT183" i="5"/>
  <c r="CT185" i="5" s="1"/>
  <c r="CS187" i="5"/>
  <c r="CK187" i="5"/>
  <c r="CL183" i="5"/>
  <c r="CL185" i="5" s="1"/>
  <c r="EJ154" i="5"/>
  <c r="EK37" i="5"/>
  <c r="EJ156" i="5"/>
  <c r="EJ197" i="5" s="1"/>
  <c r="EK31" i="5"/>
  <c r="AB183" i="5"/>
  <c r="AB185" i="5" s="1"/>
  <c r="X185" i="5"/>
  <c r="EJ152" i="5"/>
  <c r="EK13" i="5"/>
  <c r="EG105" i="5"/>
  <c r="EH46" i="5"/>
  <c r="CO187" i="5"/>
  <c r="CP183" i="5"/>
  <c r="CP185" i="5" s="1"/>
  <c r="DQ129" i="4"/>
  <c r="DQ111" i="4"/>
  <c r="DQ65" i="4"/>
  <c r="DQ66" i="4" s="1"/>
  <c r="DQ59" i="4"/>
  <c r="EJ71" i="4"/>
  <c r="EJ68" i="4" s="1"/>
  <c r="DP112" i="4"/>
  <c r="DP62" i="4"/>
  <c r="EH69" i="4"/>
  <c r="EG69" i="4"/>
  <c r="DS48" i="4"/>
  <c r="DS47" i="4"/>
  <c r="EK75" i="4"/>
  <c r="EL75" i="4" s="1"/>
  <c r="EL76" i="4" s="1"/>
  <c r="DP93" i="4"/>
  <c r="DP63" i="4"/>
  <c r="DO113" i="4"/>
  <c r="DO64" i="4"/>
  <c r="DR48" i="4"/>
  <c r="DR49" i="4" s="1"/>
  <c r="DT45" i="4"/>
  <c r="DR47" i="4"/>
  <c r="EF74" i="4"/>
  <c r="DQ128" i="4"/>
  <c r="DQ61" i="4"/>
  <c r="EH76" i="4"/>
  <c r="EF77" i="4"/>
  <c r="EG77" i="4" s="1"/>
  <c r="EI68" i="4"/>
  <c r="EI170" i="10" l="1"/>
  <c r="EI173" i="10" s="1"/>
  <c r="EH174" i="10"/>
  <c r="BP77" i="5"/>
  <c r="BP81" i="5" s="1"/>
  <c r="BP82" i="5" s="1"/>
  <c r="AB84" i="5"/>
  <c r="AC77" i="5"/>
  <c r="AC81" i="5" s="1"/>
  <c r="AG81" i="5" s="1"/>
  <c r="AG82" i="5" s="1"/>
  <c r="BO84" i="5"/>
  <c r="DR101" i="5"/>
  <c r="DR107" i="5"/>
  <c r="DS101" i="5"/>
  <c r="DS107" i="5"/>
  <c r="BP100" i="5"/>
  <c r="BP108" i="5" s="1"/>
  <c r="BP110" i="5" s="1"/>
  <c r="BT100" i="5"/>
  <c r="BT108" i="5" s="1"/>
  <c r="BO110" i="5"/>
  <c r="EG70" i="4"/>
  <c r="X100" i="5"/>
  <c r="X108" i="5" s="1"/>
  <c r="X110" i="5" s="1"/>
  <c r="W110" i="5"/>
  <c r="AB100" i="5"/>
  <c r="AB108" i="5" s="1"/>
  <c r="DK108" i="5"/>
  <c r="ED14" i="8"/>
  <c r="EB58" i="7"/>
  <c r="EB15" i="8"/>
  <c r="EB16" i="8" s="1"/>
  <c r="CN47" i="7"/>
  <c r="CS43" i="7" s="1"/>
  <c r="ED8" i="4"/>
  <c r="ED18" i="8"/>
  <c r="EL11" i="7"/>
  <c r="EL22" i="8" s="1"/>
  <c r="EH22" i="8"/>
  <c r="DN82" i="10"/>
  <c r="DO77" i="10"/>
  <c r="DY98" i="10"/>
  <c r="DY101" i="10" s="1"/>
  <c r="DX102" i="10"/>
  <c r="DO62" i="10"/>
  <c r="DP57" i="10"/>
  <c r="EL112" i="10"/>
  <c r="EH160" i="10"/>
  <c r="EH163" i="10" s="1"/>
  <c r="EG163" i="10"/>
  <c r="EF164" i="10"/>
  <c r="EG164" i="10" s="1"/>
  <c r="EK31" i="10"/>
  <c r="DW213" i="10"/>
  <c r="DV21" i="10"/>
  <c r="DK52" i="10"/>
  <c r="DL47" i="10"/>
  <c r="DY180" i="10"/>
  <c r="DY183" i="10" s="1"/>
  <c r="DX184" i="10"/>
  <c r="DL154" i="10"/>
  <c r="DM154" i="10" s="1"/>
  <c r="DN149" i="10"/>
  <c r="DZ130" i="10"/>
  <c r="DZ133" i="10" s="1"/>
  <c r="DY134" i="10"/>
  <c r="EI97" i="10"/>
  <c r="DL97" i="10"/>
  <c r="DK102" i="10"/>
  <c r="DN204" i="10"/>
  <c r="DO199" i="10"/>
  <c r="DX144" i="10"/>
  <c r="DY140" i="10"/>
  <c r="DY143" i="10" s="1"/>
  <c r="EG203" i="10"/>
  <c r="EF204" i="10"/>
  <c r="EG204" i="10" s="1"/>
  <c r="EJ190" i="10"/>
  <c r="EJ193" i="10" s="1"/>
  <c r="EI194" i="10"/>
  <c r="DJ16" i="10"/>
  <c r="EK159" i="10"/>
  <c r="DP92" i="10"/>
  <c r="DQ87" i="10"/>
  <c r="EC34" i="10"/>
  <c r="EC37" i="10" s="1"/>
  <c r="EA39" i="10"/>
  <c r="EB39" i="10" s="1"/>
  <c r="EA38" i="10"/>
  <c r="EB179" i="10"/>
  <c r="EC179" i="10" s="1"/>
  <c r="ED60" i="7"/>
  <c r="ED61" i="7" s="1"/>
  <c r="ED57" i="7"/>
  <c r="ED56" i="7"/>
  <c r="EG80" i="7"/>
  <c r="EF167" i="7"/>
  <c r="EF91" i="7" s="1"/>
  <c r="EF10" i="8" s="1"/>
  <c r="EH160" i="7"/>
  <c r="EF138" i="7"/>
  <c r="EF86" i="7"/>
  <c r="EF8" i="8" s="1"/>
  <c r="EF9" i="8" s="1"/>
  <c r="CY36" i="7"/>
  <c r="DC36" i="7"/>
  <c r="CY52" i="7"/>
  <c r="CO43" i="7"/>
  <c r="CO44" i="7" s="1"/>
  <c r="CS44" i="7" s="1"/>
  <c r="ED157" i="7"/>
  <c r="ED146" i="7"/>
  <c r="ED149" i="7"/>
  <c r="EL150" i="7"/>
  <c r="ED76" i="7"/>
  <c r="ED74" i="7"/>
  <c r="ED9" i="7"/>
  <c r="ED19" i="8" s="1"/>
  <c r="EC128" i="7"/>
  <c r="EC131" i="7"/>
  <c r="EG160" i="7"/>
  <c r="ED69" i="7"/>
  <c r="ED131" i="7" s="1"/>
  <c r="EC58" i="7"/>
  <c r="EE87" i="7"/>
  <c r="EE55" i="7"/>
  <c r="EE13" i="8" s="1"/>
  <c r="EE14" i="8" s="1"/>
  <c r="EE94" i="7"/>
  <c r="EE73" i="7" s="1"/>
  <c r="EH80" i="7"/>
  <c r="EL78" i="7"/>
  <c r="EE156" i="7"/>
  <c r="EE141" i="7" s="1"/>
  <c r="EE139" i="7"/>
  <c r="EE8" i="7"/>
  <c r="EE18" i="8" s="1"/>
  <c r="EE209" i="7"/>
  <c r="EH105" i="5"/>
  <c r="EI46" i="5"/>
  <c r="X187" i="5"/>
  <c r="Y183" i="5"/>
  <c r="Y185" i="5" s="1"/>
  <c r="CM183" i="5"/>
  <c r="CM185" i="5" s="1"/>
  <c r="CM187" i="5" s="1"/>
  <c r="CL187" i="5"/>
  <c r="U187" i="5"/>
  <c r="V183" i="5"/>
  <c r="V185" i="5" s="1"/>
  <c r="V187" i="5" s="1"/>
  <c r="DL102" i="5"/>
  <c r="DL50" i="5"/>
  <c r="DM44" i="5"/>
  <c r="DP7" i="5"/>
  <c r="DO17" i="5"/>
  <c r="DO24" i="5" s="1"/>
  <c r="DO66" i="5"/>
  <c r="AC183" i="5"/>
  <c r="AB187" i="5"/>
  <c r="EK154" i="5"/>
  <c r="EL154" i="5" s="1"/>
  <c r="EL37" i="5"/>
  <c r="DK109" i="5"/>
  <c r="DL100" i="5" s="1"/>
  <c r="DK56" i="5"/>
  <c r="DK55" i="5"/>
  <c r="DK58" i="5"/>
  <c r="DK52" i="5"/>
  <c r="DK69" i="5" s="1"/>
  <c r="DK59" i="5"/>
  <c r="EK157" i="5"/>
  <c r="EK198" i="5" s="1"/>
  <c r="EL15" i="5"/>
  <c r="CQ183" i="5"/>
  <c r="CQ185" i="5" s="1"/>
  <c r="CP187" i="5"/>
  <c r="EK152" i="5"/>
  <c r="EL152" i="5" s="1"/>
  <c r="EL13" i="5"/>
  <c r="DJ110" i="5"/>
  <c r="EH106" i="5"/>
  <c r="EI47" i="5"/>
  <c r="DN62" i="5"/>
  <c r="ED167" i="5"/>
  <c r="ED166" i="5"/>
  <c r="EE8" i="5"/>
  <c r="EJ198" i="5"/>
  <c r="EK156" i="5"/>
  <c r="EL31" i="5"/>
  <c r="CU183" i="5"/>
  <c r="CU185" i="5" s="1"/>
  <c r="CT187" i="5"/>
  <c r="EH104" i="5"/>
  <c r="EI49" i="5"/>
  <c r="EH103" i="5"/>
  <c r="EI45" i="5"/>
  <c r="DR128" i="4"/>
  <c r="DR61" i="4"/>
  <c r="DS49" i="4"/>
  <c r="DQ93" i="4"/>
  <c r="DQ63" i="4"/>
  <c r="DQ112" i="4"/>
  <c r="DQ62" i="4"/>
  <c r="DU45" i="4"/>
  <c r="DT48" i="4"/>
  <c r="DT49" i="4" s="1"/>
  <c r="DT47" i="4"/>
  <c r="DR59" i="4"/>
  <c r="EI76" i="4"/>
  <c r="EH77" i="4"/>
  <c r="EI69" i="4"/>
  <c r="EI70" i="4" s="1"/>
  <c r="DR129" i="4"/>
  <c r="DR111" i="4"/>
  <c r="DR65" i="4"/>
  <c r="DP113" i="4"/>
  <c r="DP64" i="4"/>
  <c r="EH74" i="4"/>
  <c r="EG74" i="4"/>
  <c r="DS128" i="4"/>
  <c r="DS61" i="4"/>
  <c r="EH70" i="4"/>
  <c r="EK71" i="4"/>
  <c r="EL71" i="4" s="1"/>
  <c r="AC82" i="5" l="1"/>
  <c r="DK16" i="10"/>
  <c r="EI174" i="10"/>
  <c r="EJ170" i="10"/>
  <c r="EJ173" i="10" s="1"/>
  <c r="CS47" i="7"/>
  <c r="CX49" i="7" s="1"/>
  <c r="BT81" i="5"/>
  <c r="BT82" i="5" s="1"/>
  <c r="DL108" i="5"/>
  <c r="DR66" i="4"/>
  <c r="EJ69" i="4"/>
  <c r="EJ70" i="4" s="1"/>
  <c r="BT110" i="5"/>
  <c r="BY100" i="5"/>
  <c r="BY108" i="5" s="1"/>
  <c r="BU100" i="5"/>
  <c r="BU108" i="5" s="1"/>
  <c r="BU110" i="5" s="1"/>
  <c r="AB110" i="5"/>
  <c r="AG100" i="5"/>
  <c r="AG108" i="5" s="1"/>
  <c r="AC100" i="5"/>
  <c r="AC108" i="5" s="1"/>
  <c r="AC110" i="5" s="1"/>
  <c r="DT107" i="5"/>
  <c r="DT101" i="5"/>
  <c r="EL198" i="5"/>
  <c r="EL157" i="5"/>
  <c r="ED58" i="7"/>
  <c r="ED15" i="8"/>
  <c r="EG86" i="7"/>
  <c r="EG8" i="8" s="1"/>
  <c r="EG9" i="8" s="1"/>
  <c r="DO204" i="10"/>
  <c r="DP199" i="10"/>
  <c r="DL102" i="10"/>
  <c r="DM102" i="10" s="1"/>
  <c r="DN97" i="10"/>
  <c r="DQ57" i="10"/>
  <c r="DP62" i="10"/>
  <c r="DZ98" i="10"/>
  <c r="DZ101" i="10" s="1"/>
  <c r="DY102" i="10"/>
  <c r="ED34" i="10"/>
  <c r="ED37" i="10" s="1"/>
  <c r="EC38" i="10"/>
  <c r="EC39" i="10"/>
  <c r="DS87" i="10"/>
  <c r="DQ92" i="10"/>
  <c r="DR92" i="10" s="1"/>
  <c r="EB38" i="10"/>
  <c r="EA40" i="10"/>
  <c r="EJ97" i="10"/>
  <c r="EA130" i="10"/>
  <c r="EA133" i="10" s="1"/>
  <c r="DZ134" i="10"/>
  <c r="DZ180" i="10"/>
  <c r="DZ183" i="10" s="1"/>
  <c r="DY184" i="10"/>
  <c r="EB210" i="10"/>
  <c r="DX210" i="10"/>
  <c r="DX213" i="10" s="1"/>
  <c r="DW21" i="10"/>
  <c r="EH200" i="10"/>
  <c r="EH203" i="10" s="1"/>
  <c r="EL200" i="10"/>
  <c r="ED179" i="10"/>
  <c r="EK190" i="10"/>
  <c r="EK193" i="10" s="1"/>
  <c r="EJ194" i="10"/>
  <c r="DZ140" i="10"/>
  <c r="DZ143" i="10" s="1"/>
  <c r="DY144" i="10"/>
  <c r="DN154" i="10"/>
  <c r="DO149" i="10"/>
  <c r="DL52" i="10"/>
  <c r="DM52" i="10" s="1"/>
  <c r="DN47" i="10"/>
  <c r="EI160" i="10"/>
  <c r="EI163" i="10" s="1"/>
  <c r="EH164" i="10"/>
  <c r="DP77" i="10"/>
  <c r="DO82" i="10"/>
  <c r="EE74" i="7"/>
  <c r="EE76" i="7"/>
  <c r="EE9" i="7"/>
  <c r="EG161" i="7"/>
  <c r="ED9" i="4"/>
  <c r="EF156" i="7"/>
  <c r="EF141" i="7" s="1"/>
  <c r="EF139" i="7"/>
  <c r="EF8" i="7"/>
  <c r="EF209" i="7"/>
  <c r="EG167" i="7"/>
  <c r="EE8" i="4"/>
  <c r="EG8" i="7"/>
  <c r="EG18" i="8" s="1"/>
  <c r="EH167" i="7"/>
  <c r="EI160" i="7"/>
  <c r="EH138" i="7"/>
  <c r="EH86" i="7"/>
  <c r="EH8" i="8" s="1"/>
  <c r="EH9" i="8" s="1"/>
  <c r="EE157" i="7"/>
  <c r="EE146" i="7"/>
  <c r="EE149" i="7"/>
  <c r="EE57" i="7"/>
  <c r="EE15" i="8" s="1"/>
  <c r="EE16" i="8" s="1"/>
  <c r="EE56" i="7"/>
  <c r="EE60" i="7"/>
  <c r="EE61" i="7" s="1"/>
  <c r="CX43" i="7"/>
  <c r="CX47" i="7" s="1"/>
  <c r="EF94" i="7"/>
  <c r="EF73" i="7" s="1"/>
  <c r="EG73" i="7" s="1"/>
  <c r="EG91" i="7"/>
  <c r="EG10" i="8" s="1"/>
  <c r="EE69" i="7"/>
  <c r="EE131" i="7" s="1"/>
  <c r="EL80" i="7"/>
  <c r="ED128" i="7"/>
  <c r="EF87" i="7"/>
  <c r="EF55" i="7"/>
  <c r="EF13" i="8" s="1"/>
  <c r="EF14" i="8" s="1"/>
  <c r="EG138" i="7"/>
  <c r="EI104" i="5"/>
  <c r="EJ49" i="5"/>
  <c r="CQ187" i="5"/>
  <c r="CR183" i="5"/>
  <c r="CR185" i="5" s="1"/>
  <c r="CR187" i="5" s="1"/>
  <c r="DK110" i="5"/>
  <c r="DM102" i="5"/>
  <c r="DN44" i="5"/>
  <c r="DM50" i="5"/>
  <c r="EK197" i="5"/>
  <c r="EL197" i="5" s="1"/>
  <c r="EL156" i="5"/>
  <c r="AC185" i="5"/>
  <c r="AG183" i="5"/>
  <c r="AG185" i="5" s="1"/>
  <c r="DL109" i="5"/>
  <c r="DN100" i="5" s="1"/>
  <c r="DL55" i="5"/>
  <c r="DL58" i="5"/>
  <c r="DL56" i="5"/>
  <c r="DL52" i="5"/>
  <c r="DL69" i="5" s="1"/>
  <c r="DL59" i="5"/>
  <c r="EI105" i="5"/>
  <c r="EJ46" i="5"/>
  <c r="EI103" i="5"/>
  <c r="EJ45" i="5"/>
  <c r="EI106" i="5"/>
  <c r="EJ47" i="5"/>
  <c r="DO62" i="5"/>
  <c r="AG83" i="5"/>
  <c r="CU187" i="5"/>
  <c r="CV183" i="5"/>
  <c r="CV185" i="5" s="1"/>
  <c r="CV187" i="5" s="1"/>
  <c r="EE167" i="5"/>
  <c r="EE166" i="5"/>
  <c r="EF8" i="5"/>
  <c r="DP66" i="5"/>
  <c r="DQ7" i="5"/>
  <c r="DP17" i="5"/>
  <c r="DP24" i="5" s="1"/>
  <c r="Y187" i="5"/>
  <c r="Z183" i="5"/>
  <c r="Z185" i="5" s="1"/>
  <c r="EJ76" i="4"/>
  <c r="EI77" i="4"/>
  <c r="DT128" i="4"/>
  <c r="DT61" i="4"/>
  <c r="EK68" i="4"/>
  <c r="DS112" i="4"/>
  <c r="DS62" i="4"/>
  <c r="DR93" i="4"/>
  <c r="DR63" i="4"/>
  <c r="DS129" i="4"/>
  <c r="DS111" i="4"/>
  <c r="DS65" i="4"/>
  <c r="DS66" i="4" s="1"/>
  <c r="DS59" i="4"/>
  <c r="DT129" i="4"/>
  <c r="DT111" i="4"/>
  <c r="DT65" i="4"/>
  <c r="DT66" i="4" s="1"/>
  <c r="DT59" i="4"/>
  <c r="DQ113" i="4"/>
  <c r="DQ64" i="4"/>
  <c r="DR112" i="4"/>
  <c r="DR62" i="4"/>
  <c r="EI74" i="4"/>
  <c r="EJ74" i="4" s="1"/>
  <c r="DU48" i="4"/>
  <c r="DV45" i="4"/>
  <c r="DU47" i="4"/>
  <c r="BT83" i="5" l="1"/>
  <c r="BT84" i="5" s="1"/>
  <c r="EF69" i="7"/>
  <c r="EG69" i="7" s="1"/>
  <c r="EJ174" i="10"/>
  <c r="EK170" i="10"/>
  <c r="EK173" i="10" s="1"/>
  <c r="BY110" i="5"/>
  <c r="BZ100" i="5"/>
  <c r="BZ108" i="5" s="1"/>
  <c r="BZ110" i="5" s="1"/>
  <c r="CD100" i="5"/>
  <c r="CD108" i="5" s="1"/>
  <c r="DU107" i="5"/>
  <c r="DU101" i="5"/>
  <c r="AG110" i="5"/>
  <c r="AH100" i="5"/>
  <c r="AH108" i="5" s="1"/>
  <c r="AH110" i="5" s="1"/>
  <c r="AL100" i="5"/>
  <c r="AL108" i="5" s="1"/>
  <c r="EG87" i="7"/>
  <c r="EE9" i="4"/>
  <c r="EE19" i="8"/>
  <c r="EF8" i="4"/>
  <c r="EG8" i="4" s="1"/>
  <c r="EF18" i="8"/>
  <c r="ED16" i="8"/>
  <c r="DO154" i="10"/>
  <c r="DP149" i="10"/>
  <c r="EE179" i="10"/>
  <c r="EA180" i="10"/>
  <c r="EA183" i="10" s="1"/>
  <c r="DZ184" i="10"/>
  <c r="EK97" i="10"/>
  <c r="DQ62" i="10"/>
  <c r="DR62" i="10" s="1"/>
  <c r="DS57" i="10"/>
  <c r="DP204" i="10"/>
  <c r="DQ199" i="10"/>
  <c r="DP82" i="10"/>
  <c r="DQ77" i="10"/>
  <c r="EJ160" i="10"/>
  <c r="EJ163" i="10" s="1"/>
  <c r="EI164" i="10"/>
  <c r="EL193" i="10"/>
  <c r="EK194" i="10"/>
  <c r="EL194" i="10" s="1"/>
  <c r="DX214" i="10"/>
  <c r="DY210" i="10"/>
  <c r="DY213" i="10" s="1"/>
  <c r="DX21" i="10"/>
  <c r="DX36" i="5" s="1"/>
  <c r="DS92" i="10"/>
  <c r="DT87" i="10"/>
  <c r="EC40" i="10"/>
  <c r="EA140" i="10"/>
  <c r="EA143" i="10" s="1"/>
  <c r="DZ144" i="10"/>
  <c r="DN52" i="10"/>
  <c r="DO47" i="10"/>
  <c r="EI200" i="10"/>
  <c r="EI203" i="10" s="1"/>
  <c r="EH204" i="10"/>
  <c r="EB133" i="10"/>
  <c r="EA134" i="10"/>
  <c r="EB134" i="10" s="1"/>
  <c r="EE34" i="10"/>
  <c r="EE37" i="10" s="1"/>
  <c r="ED39" i="10"/>
  <c r="ED38" i="10"/>
  <c r="ED40" i="10" s="1"/>
  <c r="EA98" i="10"/>
  <c r="EA101" i="10" s="1"/>
  <c r="DZ102" i="10"/>
  <c r="DO97" i="10"/>
  <c r="DN102" i="10"/>
  <c r="DL16" i="10"/>
  <c r="EG76" i="7"/>
  <c r="EG74" i="7"/>
  <c r="EG205" i="7"/>
  <c r="EG206" i="7" s="1"/>
  <c r="EG156" i="7"/>
  <c r="EG141" i="7" s="1"/>
  <c r="EG139" i="7"/>
  <c r="EG209" i="7"/>
  <c r="EG171" i="7"/>
  <c r="EG94" i="7"/>
  <c r="CY43" i="7"/>
  <c r="CY44" i="7" s="1"/>
  <c r="DC44" i="7" s="1"/>
  <c r="DC43" i="7"/>
  <c r="DC47" i="7" s="1"/>
  <c r="DC49" i="7"/>
  <c r="EH156" i="7"/>
  <c r="EH139" i="7"/>
  <c r="EH8" i="7"/>
  <c r="EH18" i="8" s="1"/>
  <c r="EH209" i="7"/>
  <c r="EH210" i="7" s="1"/>
  <c r="EH91" i="7"/>
  <c r="EH10" i="8" s="1"/>
  <c r="EH11" i="8" s="1"/>
  <c r="EF157" i="7"/>
  <c r="EF146" i="7"/>
  <c r="EF149" i="7"/>
  <c r="EE58" i="7"/>
  <c r="EF60" i="7"/>
  <c r="EF61" i="7" s="1"/>
  <c r="EF57" i="7"/>
  <c r="EG57" i="7" s="1"/>
  <c r="EF56" i="7"/>
  <c r="EF74" i="7"/>
  <c r="EF9" i="7"/>
  <c r="EF19" i="8" s="1"/>
  <c r="EF76" i="7"/>
  <c r="EE128" i="7"/>
  <c r="EE129" i="7" s="1"/>
  <c r="EE70" i="7"/>
  <c r="CX51" i="7"/>
  <c r="CX52" i="7"/>
  <c r="CX89" i="7"/>
  <c r="CX165" i="7"/>
  <c r="CX66" i="7"/>
  <c r="EG55" i="7"/>
  <c r="EG13" i="8" s="1"/>
  <c r="EG14" i="8" s="1"/>
  <c r="EH87" i="7"/>
  <c r="EH55" i="7"/>
  <c r="EH13" i="8" s="1"/>
  <c r="EH14" i="8" s="1"/>
  <c r="EJ160" i="7"/>
  <c r="EI167" i="7"/>
  <c r="EI91" i="7" s="1"/>
  <c r="EI10" i="8" s="1"/>
  <c r="EI11" i="8" s="1"/>
  <c r="EI138" i="7"/>
  <c r="EI86" i="7"/>
  <c r="EI8" i="8" s="1"/>
  <c r="EI9" i="8" s="1"/>
  <c r="EJ104" i="5"/>
  <c r="EK49" i="5"/>
  <c r="DQ66" i="5"/>
  <c r="DQ17" i="5"/>
  <c r="DQ24" i="5" s="1"/>
  <c r="DR7" i="5"/>
  <c r="AL77" i="5"/>
  <c r="AH77" i="5"/>
  <c r="AH81" i="5" s="1"/>
  <c r="AG84" i="5"/>
  <c r="EJ106" i="5"/>
  <c r="EK47" i="5"/>
  <c r="EJ105" i="5"/>
  <c r="EK46" i="5"/>
  <c r="AH183" i="5"/>
  <c r="AG187" i="5"/>
  <c r="Z187" i="5"/>
  <c r="AA183" i="5"/>
  <c r="AA185" i="5" s="1"/>
  <c r="AA187" i="5" s="1"/>
  <c r="DP62" i="5"/>
  <c r="AD183" i="5"/>
  <c r="AD185" i="5" s="1"/>
  <c r="AC187" i="5"/>
  <c r="DM109" i="5"/>
  <c r="DM58" i="5"/>
  <c r="DM56" i="5"/>
  <c r="DM55" i="5"/>
  <c r="DM52" i="5"/>
  <c r="DM59" i="5"/>
  <c r="EF166" i="5"/>
  <c r="EG166" i="5" s="1"/>
  <c r="EF167" i="5"/>
  <c r="EG167" i="5" s="1"/>
  <c r="EG8" i="5"/>
  <c r="EH8" i="5" s="1"/>
  <c r="EJ103" i="5"/>
  <c r="EK45" i="5"/>
  <c r="DL110" i="5"/>
  <c r="DN102" i="5"/>
  <c r="DN108" i="5" s="1"/>
  <c r="DO44" i="5"/>
  <c r="DN50" i="5"/>
  <c r="DU49" i="4"/>
  <c r="DT112" i="4"/>
  <c r="DT62" i="4"/>
  <c r="DU128" i="4"/>
  <c r="DU61" i="4"/>
  <c r="DT93" i="4"/>
  <c r="DT63" i="4"/>
  <c r="DS93" i="4"/>
  <c r="DS63" i="4"/>
  <c r="DR113" i="4"/>
  <c r="DR64" i="4"/>
  <c r="DV48" i="4"/>
  <c r="DV49" i="4" s="1"/>
  <c r="DX45" i="4"/>
  <c r="DV47" i="4"/>
  <c r="DW45" i="4"/>
  <c r="DW47" i="4" s="1"/>
  <c r="EK69" i="4"/>
  <c r="EL68" i="4"/>
  <c r="EK76" i="4"/>
  <c r="EK77" i="4" s="1"/>
  <c r="EJ77" i="4"/>
  <c r="BU77" i="5" l="1"/>
  <c r="BU81" i="5" s="1"/>
  <c r="BU82" i="5" s="1"/>
  <c r="BY77" i="5"/>
  <c r="EF128" i="7"/>
  <c r="EG131" i="7"/>
  <c r="EG128" i="7"/>
  <c r="EF131" i="7"/>
  <c r="EK174" i="10"/>
  <c r="EL174" i="10" s="1"/>
  <c r="EL173" i="10"/>
  <c r="BY81" i="5"/>
  <c r="BY82" i="5" s="1"/>
  <c r="AL110" i="5"/>
  <c r="AM100" i="5"/>
  <c r="AM108" i="5" s="1"/>
  <c r="AM110" i="5" s="1"/>
  <c r="AQ100" i="5"/>
  <c r="AQ108" i="5" s="1"/>
  <c r="EL77" i="4"/>
  <c r="DW101" i="5"/>
  <c r="DW107" i="5"/>
  <c r="EK74" i="4"/>
  <c r="EL74" i="4" s="1"/>
  <c r="DV107" i="5"/>
  <c r="DV101" i="5"/>
  <c r="CI100" i="5"/>
  <c r="CI108" i="5" s="1"/>
  <c r="CD110" i="5"/>
  <c r="EG58" i="7"/>
  <c r="EG15" i="8"/>
  <c r="EG16" i="8" s="1"/>
  <c r="EF58" i="7"/>
  <c r="EF15" i="8"/>
  <c r="EF16" i="8" s="1"/>
  <c r="DN16" i="10"/>
  <c r="EB101" i="10"/>
  <c r="EA102" i="10"/>
  <c r="DO52" i="10"/>
  <c r="DP47" i="10"/>
  <c r="DZ210" i="10"/>
  <c r="DZ213" i="10" s="1"/>
  <c r="DY214" i="10"/>
  <c r="DY21" i="10"/>
  <c r="DY36" i="5" s="1"/>
  <c r="EF179" i="10"/>
  <c r="DO102" i="10"/>
  <c r="DP97" i="10"/>
  <c r="EC130" i="10"/>
  <c r="EC133" i="10" s="1"/>
  <c r="EG130" i="10"/>
  <c r="DT92" i="10"/>
  <c r="DU87" i="10"/>
  <c r="DQ204" i="10"/>
  <c r="DR204" i="10" s="1"/>
  <c r="DS199" i="10"/>
  <c r="EF34" i="10"/>
  <c r="EF37" i="10" s="1"/>
  <c r="EE39" i="10"/>
  <c r="EE38" i="10"/>
  <c r="EE40" i="10" s="1"/>
  <c r="EK160" i="10"/>
  <c r="EK163" i="10" s="1"/>
  <c r="EJ164" i="10"/>
  <c r="EC180" i="10"/>
  <c r="EC183" i="10" s="1"/>
  <c r="EB183" i="10"/>
  <c r="EA184" i="10"/>
  <c r="EB184" i="10" s="1"/>
  <c r="DQ149" i="10"/>
  <c r="DP154" i="10"/>
  <c r="EJ200" i="10"/>
  <c r="EJ203" i="10" s="1"/>
  <c r="EI204" i="10"/>
  <c r="EC140" i="10"/>
  <c r="EC143" i="10" s="1"/>
  <c r="EB143" i="10"/>
  <c r="EA144" i="10"/>
  <c r="EB144" i="10" s="1"/>
  <c r="DX20" i="10"/>
  <c r="DX67" i="5"/>
  <c r="DS77" i="10"/>
  <c r="DQ82" i="10"/>
  <c r="DR82" i="10" s="1"/>
  <c r="DT57" i="10"/>
  <c r="DS62" i="10"/>
  <c r="EK160" i="7"/>
  <c r="EL160" i="7" s="1"/>
  <c r="EJ167" i="7"/>
  <c r="EJ138" i="7"/>
  <c r="EJ86" i="7"/>
  <c r="EJ8" i="8" s="1"/>
  <c r="EJ9" i="8" s="1"/>
  <c r="EH8" i="4"/>
  <c r="DD43" i="7"/>
  <c r="DD44" i="7" s="1"/>
  <c r="DH44" i="7" s="1"/>
  <c r="DH43" i="7"/>
  <c r="DH49" i="7"/>
  <c r="EH157" i="7"/>
  <c r="EH146" i="7"/>
  <c r="EH149" i="7"/>
  <c r="EI94" i="7"/>
  <c r="EI73" i="7" s="1"/>
  <c r="EI92" i="7"/>
  <c r="EF9" i="4"/>
  <c r="EG9" i="4" s="1"/>
  <c r="EG9" i="7"/>
  <c r="EG19" i="8" s="1"/>
  <c r="EH141" i="7"/>
  <c r="DC52" i="7"/>
  <c r="DC51" i="7"/>
  <c r="DE50" i="7"/>
  <c r="DC165" i="7"/>
  <c r="DC89" i="7"/>
  <c r="DC66" i="7"/>
  <c r="EI87" i="7"/>
  <c r="EI55" i="7"/>
  <c r="EI13" i="8" s="1"/>
  <c r="EI14" i="8" s="1"/>
  <c r="EI156" i="7"/>
  <c r="EI139" i="7"/>
  <c r="EI8" i="7"/>
  <c r="EI209" i="7"/>
  <c r="EI210" i="7" s="1"/>
  <c r="EH60" i="7"/>
  <c r="EH61" i="7" s="1"/>
  <c r="EH57" i="7"/>
  <c r="EH15" i="8" s="1"/>
  <c r="EH16" i="8" s="1"/>
  <c r="EH56" i="7"/>
  <c r="EG60" i="7"/>
  <c r="EG61" i="7" s="1"/>
  <c r="EG63" i="7"/>
  <c r="EG64" i="7" s="1"/>
  <c r="EG56" i="7"/>
  <c r="EH94" i="7"/>
  <c r="EH92" i="7"/>
  <c r="EG157" i="7"/>
  <c r="EG146" i="7"/>
  <c r="EG149" i="7"/>
  <c r="EK106" i="5"/>
  <c r="EL47" i="5"/>
  <c r="EL106" i="5" s="1"/>
  <c r="EK104" i="5"/>
  <c r="EL49" i="5"/>
  <c r="EL104" i="5" s="1"/>
  <c r="AL183" i="5"/>
  <c r="AL185" i="5" s="1"/>
  <c r="AH185" i="5"/>
  <c r="DS7" i="5"/>
  <c r="DR17" i="5"/>
  <c r="DR24" i="5" s="1"/>
  <c r="DR66" i="5"/>
  <c r="EK105" i="5"/>
  <c r="EL46" i="5"/>
  <c r="EL105" i="5" s="1"/>
  <c r="EH167" i="5"/>
  <c r="EH166" i="5"/>
  <c r="EI8" i="5"/>
  <c r="AD187" i="5"/>
  <c r="AE183" i="5"/>
  <c r="AE185" i="5" s="1"/>
  <c r="DN109" i="5"/>
  <c r="DO100" i="5" s="1"/>
  <c r="DN58" i="5"/>
  <c r="DN56" i="5"/>
  <c r="DN55" i="5"/>
  <c r="DN52" i="5"/>
  <c r="DN59" i="5"/>
  <c r="EK103" i="5"/>
  <c r="EL45" i="5"/>
  <c r="EL103" i="5" s="1"/>
  <c r="DM53" i="5"/>
  <c r="DM69" i="5"/>
  <c r="DO102" i="5"/>
  <c r="DP44" i="5"/>
  <c r="DO50" i="5"/>
  <c r="AL81" i="5"/>
  <c r="AL82" i="5" s="1"/>
  <c r="AH82" i="5"/>
  <c r="DQ62" i="5"/>
  <c r="DV128" i="4"/>
  <c r="DV61" i="4"/>
  <c r="DU129" i="4"/>
  <c r="DU111" i="4"/>
  <c r="DU65" i="4"/>
  <c r="DU66" i="4" s="1"/>
  <c r="DU59" i="4"/>
  <c r="EK70" i="4"/>
  <c r="EL69" i="4"/>
  <c r="EL70" i="4" s="1"/>
  <c r="DS113" i="4"/>
  <c r="DS64" i="4"/>
  <c r="DT113" i="4"/>
  <c r="DT64" i="4"/>
  <c r="DV129" i="4"/>
  <c r="DV111" i="4"/>
  <c r="DV65" i="4"/>
  <c r="DV66" i="4" s="1"/>
  <c r="DV59" i="4"/>
  <c r="DU112" i="4"/>
  <c r="DU62" i="4"/>
  <c r="DW128" i="4"/>
  <c r="DW61" i="4"/>
  <c r="DW48" i="4"/>
  <c r="DW49" i="4" s="1"/>
  <c r="DY45" i="4"/>
  <c r="BY83" i="5" l="1"/>
  <c r="BY84" i="5" s="1"/>
  <c r="DO16" i="10"/>
  <c r="EI69" i="7"/>
  <c r="EI70" i="7" s="1"/>
  <c r="CI110" i="5"/>
  <c r="CN100" i="5"/>
  <c r="CN108" i="5" s="1"/>
  <c r="AQ110" i="5"/>
  <c r="AR100" i="5"/>
  <c r="AR108" i="5" s="1"/>
  <c r="AR110" i="5" s="1"/>
  <c r="DN110" i="5"/>
  <c r="EI8" i="4"/>
  <c r="EI18" i="8"/>
  <c r="DH47" i="7"/>
  <c r="EC144" i="10"/>
  <c r="ED140" i="10"/>
  <c r="ED143" i="10" s="1"/>
  <c r="DT62" i="10"/>
  <c r="DU57" i="10"/>
  <c r="EA210" i="10"/>
  <c r="EA213" i="10" s="1"/>
  <c r="DZ214" i="10"/>
  <c r="DZ21" i="10"/>
  <c r="DZ36" i="5" s="1"/>
  <c r="EK200" i="10"/>
  <c r="EK203" i="10" s="1"/>
  <c r="EJ204" i="10"/>
  <c r="EL163" i="10"/>
  <c r="EK164" i="10"/>
  <c r="EL164" i="10" s="1"/>
  <c r="EB102" i="10"/>
  <c r="EH34" i="10"/>
  <c r="EH37" i="10" s="1"/>
  <c r="EF39" i="10"/>
  <c r="EG39" i="10" s="1"/>
  <c r="EF38" i="10"/>
  <c r="DV87" i="10"/>
  <c r="DU92" i="10"/>
  <c r="EC134" i="10"/>
  <c r="ED130" i="10"/>
  <c r="ED133" i="10" s="1"/>
  <c r="EG179" i="10"/>
  <c r="EH179" i="10" s="1"/>
  <c r="DQ47" i="10"/>
  <c r="DP52" i="10"/>
  <c r="EG98" i="10"/>
  <c r="EC98" i="10"/>
  <c r="EC101" i="10" s="1"/>
  <c r="DQ154" i="10"/>
  <c r="DR154" i="10" s="1"/>
  <c r="DS149" i="10"/>
  <c r="DS82" i="10"/>
  <c r="DT77" i="10"/>
  <c r="ED180" i="10"/>
  <c r="ED183" i="10" s="1"/>
  <c r="EC184" i="10"/>
  <c r="DS204" i="10"/>
  <c r="DT199" i="10"/>
  <c r="DP102" i="10"/>
  <c r="DQ97" i="10"/>
  <c r="DQ102" i="10" s="1"/>
  <c r="DY20" i="10"/>
  <c r="DY67" i="5"/>
  <c r="EI128" i="7"/>
  <c r="EI129" i="7" s="1"/>
  <c r="DI43" i="7"/>
  <c r="DI44" i="7" s="1"/>
  <c r="DM44" i="7" s="1"/>
  <c r="DM43" i="7"/>
  <c r="DM49" i="7"/>
  <c r="EK167" i="7"/>
  <c r="EK91" i="7" s="1"/>
  <c r="EK10" i="8" s="1"/>
  <c r="EK11" i="8" s="1"/>
  <c r="EK138" i="7"/>
  <c r="EL138" i="7" s="1"/>
  <c r="EK86" i="7"/>
  <c r="EK8" i="8" s="1"/>
  <c r="EK9" i="8" s="1"/>
  <c r="EH58" i="7"/>
  <c r="EI157" i="7"/>
  <c r="EI146" i="7"/>
  <c r="EI149" i="7"/>
  <c r="DH52" i="7"/>
  <c r="DH51" i="7"/>
  <c r="DJ50" i="7"/>
  <c r="DH89" i="7"/>
  <c r="DH66" i="7"/>
  <c r="DH165" i="7"/>
  <c r="EJ91" i="7"/>
  <c r="EJ10" i="8" s="1"/>
  <c r="EJ11" i="8" s="1"/>
  <c r="EI60" i="7"/>
  <c r="EI61" i="7" s="1"/>
  <c r="EI56" i="7"/>
  <c r="EI57" i="7"/>
  <c r="EI74" i="7"/>
  <c r="EI76" i="7"/>
  <c r="EI9" i="7"/>
  <c r="EJ87" i="7"/>
  <c r="EJ55" i="7"/>
  <c r="EJ13" i="8" s="1"/>
  <c r="EJ14" i="8" s="1"/>
  <c r="EL161" i="7"/>
  <c r="EH73" i="7"/>
  <c r="EH69" i="7"/>
  <c r="EI141" i="7"/>
  <c r="EJ156" i="7"/>
  <c r="EJ141" i="7" s="1"/>
  <c r="EJ139" i="7"/>
  <c r="EJ8" i="7"/>
  <c r="EJ18" i="8" s="1"/>
  <c r="EJ209" i="7"/>
  <c r="EJ210" i="7" s="1"/>
  <c r="EL86" i="7"/>
  <c r="EL8" i="8" s="1"/>
  <c r="EL9" i="8" s="1"/>
  <c r="AF183" i="5"/>
  <c r="AF185" i="5" s="1"/>
  <c r="AF187" i="5" s="1"/>
  <c r="AE187" i="5"/>
  <c r="AL83" i="5"/>
  <c r="DR62" i="5"/>
  <c r="DO109" i="5"/>
  <c r="DP100" i="5" s="1"/>
  <c r="DO58" i="5"/>
  <c r="DO56" i="5"/>
  <c r="DO55" i="5"/>
  <c r="DO52" i="5"/>
  <c r="DO59" i="5"/>
  <c r="EI167" i="5"/>
  <c r="EI166" i="5"/>
  <c r="EJ8" i="5"/>
  <c r="DT7" i="5"/>
  <c r="DS17" i="5"/>
  <c r="DS24" i="5" s="1"/>
  <c r="DS66" i="5"/>
  <c r="DP102" i="5"/>
  <c r="DP50" i="5"/>
  <c r="DQ44" i="5"/>
  <c r="DN53" i="5"/>
  <c r="DN69" i="5"/>
  <c r="DO108" i="5"/>
  <c r="AI183" i="5"/>
  <c r="AI185" i="5" s="1"/>
  <c r="AH187" i="5"/>
  <c r="AM183" i="5"/>
  <c r="AL187" i="5"/>
  <c r="DW112" i="4"/>
  <c r="DW62" i="4"/>
  <c r="DZ45" i="4"/>
  <c r="DV93" i="4"/>
  <c r="DV63" i="4"/>
  <c r="DU93" i="4"/>
  <c r="DU63" i="4"/>
  <c r="DW59" i="4"/>
  <c r="DV112" i="4"/>
  <c r="DV62" i="4"/>
  <c r="DW129" i="4"/>
  <c r="DW111" i="4"/>
  <c r="DW65" i="4"/>
  <c r="BZ77" i="5" l="1"/>
  <c r="BZ81" i="5" s="1"/>
  <c r="CD77" i="5"/>
  <c r="EI131" i="7"/>
  <c r="EI132" i="7" s="1"/>
  <c r="DR102" i="10"/>
  <c r="DO110" i="5"/>
  <c r="EL167" i="7"/>
  <c r="H11" i="19"/>
  <c r="CS100" i="5"/>
  <c r="CS108" i="5" s="1"/>
  <c r="CN110" i="5"/>
  <c r="DW66" i="4"/>
  <c r="CD81" i="5"/>
  <c r="CD82" i="5" s="1"/>
  <c r="BZ82" i="5"/>
  <c r="EI9" i="4"/>
  <c r="EI19" i="8"/>
  <c r="EI58" i="7"/>
  <c r="EI15" i="8"/>
  <c r="EI16" i="8" s="1"/>
  <c r="DM47" i="7"/>
  <c r="DN43" i="7" s="1"/>
  <c r="DN44" i="7" s="1"/>
  <c r="DR44" i="7" s="1"/>
  <c r="ED98" i="10"/>
  <c r="ED101" i="10" s="1"/>
  <c r="EC102" i="10"/>
  <c r="EI179" i="10"/>
  <c r="EI34" i="10"/>
  <c r="EI37" i="10" s="1"/>
  <c r="EH38" i="10"/>
  <c r="EH39" i="10"/>
  <c r="EB213" i="10"/>
  <c r="EA214" i="10"/>
  <c r="EB214" i="10" s="1"/>
  <c r="EA21" i="10"/>
  <c r="EA36" i="5" s="1"/>
  <c r="DT82" i="10"/>
  <c r="DU77" i="10"/>
  <c r="DQ52" i="10"/>
  <c r="DQ16" i="10" s="1"/>
  <c r="DS47" i="10"/>
  <c r="DP16" i="10"/>
  <c r="EE180" i="10"/>
  <c r="EE183" i="10" s="1"/>
  <c r="ED184" i="10"/>
  <c r="DS154" i="10"/>
  <c r="DT149" i="10"/>
  <c r="DX87" i="10"/>
  <c r="DV92" i="10"/>
  <c r="DW92" i="10" s="1"/>
  <c r="EL203" i="10"/>
  <c r="EK204" i="10"/>
  <c r="EL204" i="10" s="1"/>
  <c r="DU62" i="10"/>
  <c r="DV57" i="10"/>
  <c r="DT204" i="10"/>
  <c r="DU199" i="10"/>
  <c r="ED134" i="10"/>
  <c r="EE130" i="10"/>
  <c r="EE133" i="10" s="1"/>
  <c r="EG38" i="10"/>
  <c r="EF40" i="10"/>
  <c r="DZ20" i="10"/>
  <c r="DZ67" i="5"/>
  <c r="EE140" i="10"/>
  <c r="EE143" i="10" s="1"/>
  <c r="ED144" i="10"/>
  <c r="EL205" i="7"/>
  <c r="EL206" i="7" s="1"/>
  <c r="EL156" i="7"/>
  <c r="EL141" i="7" s="1"/>
  <c r="EL139" i="7"/>
  <c r="EL171" i="7"/>
  <c r="EL209" i="7"/>
  <c r="EL210" i="7" s="1"/>
  <c r="EK156" i="7"/>
  <c r="EK139" i="7"/>
  <c r="EK8" i="7"/>
  <c r="EK209" i="7"/>
  <c r="EK210" i="7" s="1"/>
  <c r="DR49" i="7"/>
  <c r="EJ8" i="4"/>
  <c r="EH128" i="7"/>
  <c r="EH129" i="7" s="1"/>
  <c r="EH70" i="7"/>
  <c r="EJ57" i="7"/>
  <c r="EJ60" i="7"/>
  <c r="EJ61" i="7" s="1"/>
  <c r="EJ56" i="7"/>
  <c r="EK94" i="7"/>
  <c r="EK73" i="7" s="1"/>
  <c r="EK92" i="7"/>
  <c r="EL87" i="7"/>
  <c r="EJ157" i="7"/>
  <c r="EJ146" i="7"/>
  <c r="EJ149" i="7"/>
  <c r="EH131" i="7"/>
  <c r="EH132" i="7" s="1"/>
  <c r="EH76" i="7"/>
  <c r="EH74" i="7"/>
  <c r="EH9" i="7"/>
  <c r="EH19" i="8" s="1"/>
  <c r="EJ94" i="7"/>
  <c r="EJ92" i="7"/>
  <c r="EL91" i="7"/>
  <c r="EL10" i="8" s="1"/>
  <c r="EL11" i="8" s="1"/>
  <c r="EK87" i="7"/>
  <c r="EK55" i="7"/>
  <c r="DM52" i="7"/>
  <c r="DM51" i="7"/>
  <c r="DO50" i="7"/>
  <c r="DM165" i="7"/>
  <c r="DM89" i="7"/>
  <c r="DM66" i="7"/>
  <c r="DP109" i="5"/>
  <c r="DQ100" i="5" s="1"/>
  <c r="DP56" i="5"/>
  <c r="DP55" i="5"/>
  <c r="DP58" i="5"/>
  <c r="DP52" i="5"/>
  <c r="DP59" i="5"/>
  <c r="DT66" i="5"/>
  <c r="DT17" i="5"/>
  <c r="DT24" i="5" s="1"/>
  <c r="DU7" i="5"/>
  <c r="AL84" i="5"/>
  <c r="AQ77" i="5"/>
  <c r="AM77" i="5"/>
  <c r="AM81" i="5" s="1"/>
  <c r="EJ167" i="5"/>
  <c r="EJ166" i="5"/>
  <c r="EK8" i="5"/>
  <c r="DO53" i="5"/>
  <c r="DO69" i="5"/>
  <c r="DP108" i="5"/>
  <c r="DP110" i="5" s="1"/>
  <c r="AQ183" i="5"/>
  <c r="AQ185" i="5" s="1"/>
  <c r="AM185" i="5"/>
  <c r="DQ102" i="5"/>
  <c r="DR44" i="5"/>
  <c r="DQ50" i="5"/>
  <c r="AJ183" i="5"/>
  <c r="AJ185" i="5" s="1"/>
  <c r="AI187" i="5"/>
  <c r="DS62" i="5"/>
  <c r="EA45" i="4"/>
  <c r="DW93" i="4"/>
  <c r="DW63" i="4"/>
  <c r="DV113" i="4"/>
  <c r="DV64" i="4"/>
  <c r="DU113" i="4"/>
  <c r="DU64" i="4"/>
  <c r="DR52" i="10" l="1"/>
  <c r="CX100" i="5"/>
  <c r="CX108" i="5" s="1"/>
  <c r="CS110" i="5"/>
  <c r="CD83" i="5"/>
  <c r="EJ58" i="7"/>
  <c r="EJ15" i="8"/>
  <c r="EJ16" i="8" s="1"/>
  <c r="EK8" i="4"/>
  <c r="EL8" i="4" s="1"/>
  <c r="EK18" i="8"/>
  <c r="EL55" i="7"/>
  <c r="EL13" i="8" s="1"/>
  <c r="EL14" i="8" s="1"/>
  <c r="EK13" i="8"/>
  <c r="EK14" i="8" s="1"/>
  <c r="DR43" i="7"/>
  <c r="DR47" i="7" s="1"/>
  <c r="DS52" i="10"/>
  <c r="DT47" i="10"/>
  <c r="EA20" i="10"/>
  <c r="EB20" i="10" s="1"/>
  <c r="EB36" i="5"/>
  <c r="EA67" i="5"/>
  <c r="EH40" i="10"/>
  <c r="EJ179" i="10"/>
  <c r="DX57" i="10"/>
  <c r="DV62" i="10"/>
  <c r="EI38" i="10"/>
  <c r="EI40" i="10" s="1"/>
  <c r="EJ34" i="10"/>
  <c r="EJ37" i="10" s="1"/>
  <c r="EI39" i="10"/>
  <c r="DU149" i="10"/>
  <c r="DT154" i="10"/>
  <c r="EE98" i="10"/>
  <c r="EE101" i="10" s="1"/>
  <c r="ED102" i="10"/>
  <c r="EF140" i="10"/>
  <c r="EF143" i="10" s="1"/>
  <c r="EE144" i="10"/>
  <c r="DU204" i="10"/>
  <c r="DV199" i="10"/>
  <c r="DV204" i="10" s="1"/>
  <c r="DW62" i="10"/>
  <c r="DX92" i="10"/>
  <c r="DY87" i="10"/>
  <c r="EF180" i="10"/>
  <c r="EF183" i="10" s="1"/>
  <c r="EE184" i="10"/>
  <c r="DV77" i="10"/>
  <c r="DU82" i="10"/>
  <c r="EG210" i="10"/>
  <c r="EC210" i="10"/>
  <c r="EC213" i="10" s="1"/>
  <c r="EC21" i="10" s="1"/>
  <c r="EB21" i="10"/>
  <c r="EF130" i="10"/>
  <c r="EF133" i="10" s="1"/>
  <c r="EE134" i="10"/>
  <c r="EL92" i="7"/>
  <c r="EL94" i="7"/>
  <c r="DR51" i="7"/>
  <c r="DR52" i="7"/>
  <c r="DR165" i="7"/>
  <c r="DR66" i="7"/>
  <c r="DR89" i="7"/>
  <c r="EK157" i="7"/>
  <c r="EK146" i="7"/>
  <c r="EK149" i="7"/>
  <c r="EJ73" i="7"/>
  <c r="EJ69" i="7"/>
  <c r="EL8" i="7"/>
  <c r="EL18" i="8" s="1"/>
  <c r="EK69" i="7"/>
  <c r="EK131" i="7" s="1"/>
  <c r="EK132" i="7" s="1"/>
  <c r="EL157" i="7"/>
  <c r="EL146" i="7"/>
  <c r="EL149" i="7"/>
  <c r="EK60" i="7"/>
  <c r="EK61" i="7" s="1"/>
  <c r="EK56" i="7"/>
  <c r="EK57" i="7"/>
  <c r="EK15" i="8" s="1"/>
  <c r="EK16" i="8" s="1"/>
  <c r="DS43" i="7"/>
  <c r="DS47" i="7" s="1"/>
  <c r="DW43" i="7"/>
  <c r="DW47" i="7" s="1"/>
  <c r="EH9" i="4"/>
  <c r="EK76" i="7"/>
  <c r="EK74" i="7"/>
  <c r="EK9" i="7"/>
  <c r="EK141" i="7"/>
  <c r="EK167" i="5"/>
  <c r="EL167" i="5" s="1"/>
  <c r="EK166" i="5"/>
  <c r="EL166" i="5" s="1"/>
  <c r="EL8" i="5"/>
  <c r="DR102" i="5"/>
  <c r="DR50" i="5"/>
  <c r="DS44" i="5"/>
  <c r="DQ109" i="5"/>
  <c r="DS100" i="5" s="1"/>
  <c r="DQ58" i="5"/>
  <c r="DQ56" i="5"/>
  <c r="DQ55" i="5"/>
  <c r="DQ52" i="5"/>
  <c r="DQ59" i="5"/>
  <c r="DT62" i="5"/>
  <c r="DU66" i="5"/>
  <c r="DV7" i="5"/>
  <c r="DU17" i="5"/>
  <c r="DU24" i="5" s="1"/>
  <c r="DP53" i="5"/>
  <c r="DP69" i="5"/>
  <c r="DQ108" i="5"/>
  <c r="AR183" i="5"/>
  <c r="AR185" i="5" s="1"/>
  <c r="AQ187" i="5"/>
  <c r="AJ187" i="5"/>
  <c r="AK183" i="5"/>
  <c r="AK185" i="5" s="1"/>
  <c r="AK187" i="5" s="1"/>
  <c r="AN183" i="5"/>
  <c r="AN185" i="5" s="1"/>
  <c r="AM187" i="5"/>
  <c r="AQ81" i="5"/>
  <c r="AQ82" i="5" s="1"/>
  <c r="AM82" i="5"/>
  <c r="DW113" i="4"/>
  <c r="DW64" i="4"/>
  <c r="EC45" i="4"/>
  <c r="EB45" i="4"/>
  <c r="DC100" i="5" l="1"/>
  <c r="DC108" i="5" s="1"/>
  <c r="CX110" i="5"/>
  <c r="EB67" i="5"/>
  <c r="CE77" i="5"/>
  <c r="CE81" i="5" s="1"/>
  <c r="CD84" i="5"/>
  <c r="CI77" i="5"/>
  <c r="EL63" i="7"/>
  <c r="EL64" i="7" s="1"/>
  <c r="EK9" i="4"/>
  <c r="EK19" i="8"/>
  <c r="EL56" i="7"/>
  <c r="EL60" i="7"/>
  <c r="EL61" i="7" s="1"/>
  <c r="EG183" i="10"/>
  <c r="EH180" i="10"/>
  <c r="EH183" i="10" s="1"/>
  <c r="EF184" i="10"/>
  <c r="EG184" i="10" s="1"/>
  <c r="EG133" i="10"/>
  <c r="EF134" i="10"/>
  <c r="EG134" i="10" s="1"/>
  <c r="DZ87" i="10"/>
  <c r="DY92" i="10"/>
  <c r="EK179" i="10"/>
  <c r="DW204" i="10"/>
  <c r="DX77" i="10"/>
  <c r="DV82" i="10"/>
  <c r="DW82" i="10" s="1"/>
  <c r="EF98" i="10"/>
  <c r="EF101" i="10" s="1"/>
  <c r="EE102" i="10"/>
  <c r="DU47" i="10"/>
  <c r="DT52" i="10"/>
  <c r="DV149" i="10"/>
  <c r="DU154" i="10"/>
  <c r="ED210" i="10"/>
  <c r="ED213" i="10" s="1"/>
  <c r="EC214" i="10"/>
  <c r="EC36" i="5"/>
  <c r="EH140" i="10"/>
  <c r="EH143" i="10" s="1"/>
  <c r="EG143" i="10"/>
  <c r="EF144" i="10"/>
  <c r="EG144" i="10" s="1"/>
  <c r="DY57" i="10"/>
  <c r="DX62" i="10"/>
  <c r="EJ39" i="10"/>
  <c r="EK34" i="10"/>
  <c r="EK37" i="10" s="1"/>
  <c r="EJ38" i="10"/>
  <c r="EJ40" i="10" s="1"/>
  <c r="DX43" i="7"/>
  <c r="DX47" i="7" s="1"/>
  <c r="DX49" i="7" s="1"/>
  <c r="EB43" i="7"/>
  <c r="EB47" i="7" s="1"/>
  <c r="EJ128" i="7"/>
  <c r="EJ129" i="7" s="1"/>
  <c r="EJ70" i="7"/>
  <c r="EL69" i="7"/>
  <c r="DT43" i="7"/>
  <c r="DT47" i="7" s="1"/>
  <c r="DT49" i="7" s="1"/>
  <c r="EJ131" i="7"/>
  <c r="EJ132" i="7" s="1"/>
  <c r="EJ74" i="7"/>
  <c r="EJ76" i="7"/>
  <c r="EJ9" i="7"/>
  <c r="EJ19" i="8" s="1"/>
  <c r="EL73" i="7"/>
  <c r="DS49" i="7"/>
  <c r="EK128" i="7"/>
  <c r="EK129" i="7" s="1"/>
  <c r="EK70" i="7"/>
  <c r="EK58" i="7"/>
  <c r="EL57" i="7"/>
  <c r="DQ53" i="5"/>
  <c r="DQ69" i="5"/>
  <c r="AN187" i="5"/>
  <c r="AO183" i="5"/>
  <c r="AO185" i="5" s="1"/>
  <c r="AR187" i="5"/>
  <c r="AS183" i="5"/>
  <c r="AS185" i="5" s="1"/>
  <c r="DS102" i="5"/>
  <c r="DS108" i="5" s="1"/>
  <c r="DT44" i="5"/>
  <c r="DS50" i="5"/>
  <c r="DU62" i="5"/>
  <c r="AQ83" i="5"/>
  <c r="DQ110" i="5"/>
  <c r="DV66" i="5"/>
  <c r="DV17" i="5"/>
  <c r="DV24" i="5" s="1"/>
  <c r="DW7" i="5"/>
  <c r="DR109" i="5"/>
  <c r="DT100" i="5" s="1"/>
  <c r="DR55" i="5"/>
  <c r="DR56" i="5"/>
  <c r="DR58" i="5"/>
  <c r="DR52" i="5"/>
  <c r="DR59" i="5"/>
  <c r="ED45" i="4"/>
  <c r="DC110" i="5" l="1"/>
  <c r="DH100" i="5"/>
  <c r="DH108" i="5" s="1"/>
  <c r="CE82" i="5"/>
  <c r="CI81" i="5"/>
  <c r="CI82" i="5" s="1"/>
  <c r="EL58" i="7"/>
  <c r="EL15" i="8"/>
  <c r="EL16" i="8" s="1"/>
  <c r="EE210" i="10"/>
  <c r="EE213" i="10" s="1"/>
  <c r="ED214" i="10"/>
  <c r="ED21" i="10"/>
  <c r="ED36" i="5" s="1"/>
  <c r="EG101" i="10"/>
  <c r="EF102" i="10"/>
  <c r="EG102" i="10" s="1"/>
  <c r="DX82" i="10"/>
  <c r="DY77" i="10"/>
  <c r="EA87" i="10"/>
  <c r="DZ92" i="10"/>
  <c r="EH144" i="10"/>
  <c r="EI140" i="10"/>
  <c r="EI143" i="10" s="1"/>
  <c r="DV47" i="10"/>
  <c r="DU52" i="10"/>
  <c r="EH130" i="10"/>
  <c r="EH133" i="10" s="1"/>
  <c r="EL130" i="10"/>
  <c r="EL179" i="10"/>
  <c r="EI180" i="10"/>
  <c r="EI183" i="10" s="1"/>
  <c r="EH184" i="10"/>
  <c r="EK38" i="10"/>
  <c r="EK39" i="10"/>
  <c r="EL39" i="10" s="1"/>
  <c r="DY62" i="10"/>
  <c r="DZ57" i="10"/>
  <c r="EC67" i="5"/>
  <c r="EC20" i="10"/>
  <c r="DV154" i="10"/>
  <c r="DW154" i="10" s="1"/>
  <c r="DX149" i="10"/>
  <c r="EL131" i="7"/>
  <c r="EL132" i="7" s="1"/>
  <c r="EL76" i="7"/>
  <c r="EL74" i="7"/>
  <c r="DX52" i="7"/>
  <c r="DX51" i="7"/>
  <c r="DX165" i="7"/>
  <c r="DX89" i="7"/>
  <c r="DX66" i="7"/>
  <c r="DS52" i="7"/>
  <c r="DS51" i="7"/>
  <c r="DS66" i="7"/>
  <c r="DS165" i="7"/>
  <c r="DS89" i="7"/>
  <c r="DT89" i="7"/>
  <c r="DT52" i="7"/>
  <c r="DT51" i="7"/>
  <c r="DT165" i="7"/>
  <c r="DT66" i="7"/>
  <c r="EC43" i="7"/>
  <c r="EC47" i="7" s="1"/>
  <c r="EG43" i="7"/>
  <c r="EG47" i="7" s="1"/>
  <c r="EJ9" i="4"/>
  <c r="EL9" i="4" s="1"/>
  <c r="EL9" i="7"/>
  <c r="EL19" i="8" s="1"/>
  <c r="EL128" i="7"/>
  <c r="EL129" i="7" s="1"/>
  <c r="EL70" i="7"/>
  <c r="DU43" i="7"/>
  <c r="DU47" i="7" s="1"/>
  <c r="DU49" i="7" s="1"/>
  <c r="DY43" i="7"/>
  <c r="DY47" i="7" s="1"/>
  <c r="DY49" i="7" s="1"/>
  <c r="DS109" i="5"/>
  <c r="DU100" i="5" s="1"/>
  <c r="DS58" i="5"/>
  <c r="DS56" i="5"/>
  <c r="DS55" i="5"/>
  <c r="DS52" i="5"/>
  <c r="DS59" i="5"/>
  <c r="DV62" i="5"/>
  <c r="DT102" i="5"/>
  <c r="DT108" i="5" s="1"/>
  <c r="DU44" i="5"/>
  <c r="DT50" i="5"/>
  <c r="DR53" i="5"/>
  <c r="DR69" i="5"/>
  <c r="AO187" i="5"/>
  <c r="AP183" i="5"/>
  <c r="AP185" i="5" s="1"/>
  <c r="AP187" i="5" s="1"/>
  <c r="AT183" i="5"/>
  <c r="AT185" i="5" s="1"/>
  <c r="AT187" i="5" s="1"/>
  <c r="AS187" i="5"/>
  <c r="DX7" i="5"/>
  <c r="DY7" i="5" s="1"/>
  <c r="DZ7" i="5" s="1"/>
  <c r="EA7" i="5" s="1"/>
  <c r="EB7" i="5" s="1"/>
  <c r="EC7" i="5" s="1"/>
  <c r="ED7" i="5" s="1"/>
  <c r="EE7" i="5" s="1"/>
  <c r="EF7" i="5" s="1"/>
  <c r="EG7" i="5" s="1"/>
  <c r="EH7" i="5" s="1"/>
  <c r="EI7" i="5" s="1"/>
  <c r="EJ7" i="5" s="1"/>
  <c r="EK7" i="5" s="1"/>
  <c r="EL7" i="5" s="1"/>
  <c r="DW17" i="5"/>
  <c r="DW24" i="5" s="1"/>
  <c r="DW66" i="5"/>
  <c r="AQ84" i="5"/>
  <c r="AR77" i="5"/>
  <c r="AR81" i="5" s="1"/>
  <c r="AR82" i="5" s="1"/>
  <c r="EE45" i="4"/>
  <c r="DS110" i="5" l="1"/>
  <c r="CI83" i="5"/>
  <c r="CN77" i="5" s="1"/>
  <c r="DH110" i="5"/>
  <c r="DM100" i="5"/>
  <c r="DM108" i="5" s="1"/>
  <c r="DY82" i="10"/>
  <c r="DZ77" i="10"/>
  <c r="EL38" i="10"/>
  <c r="EK40" i="10"/>
  <c r="DV52" i="10"/>
  <c r="DV16" i="10" s="1"/>
  <c r="DX47" i="10"/>
  <c r="ED67" i="5"/>
  <c r="ED20" i="10"/>
  <c r="EL98" i="10"/>
  <c r="EH98" i="10"/>
  <c r="EH101" i="10" s="1"/>
  <c r="DY149" i="10"/>
  <c r="DX154" i="10"/>
  <c r="DZ62" i="10"/>
  <c r="EA57" i="10"/>
  <c r="DU16" i="10"/>
  <c r="EJ180" i="10"/>
  <c r="EJ183" i="10" s="1"/>
  <c r="EI184" i="10"/>
  <c r="EI130" i="10"/>
  <c r="EI133" i="10" s="1"/>
  <c r="EH134" i="10"/>
  <c r="EJ140" i="10"/>
  <c r="EJ143" i="10" s="1"/>
  <c r="EI144" i="10"/>
  <c r="EC87" i="10"/>
  <c r="EA92" i="10"/>
  <c r="EB92" i="10" s="1"/>
  <c r="EF210" i="10"/>
  <c r="EF213" i="10" s="1"/>
  <c r="EE214" i="10"/>
  <c r="EE21" i="10"/>
  <c r="EE36" i="5" s="1"/>
  <c r="DU52" i="7"/>
  <c r="DU51" i="7"/>
  <c r="DU66" i="7"/>
  <c r="DU89" i="7"/>
  <c r="DU165" i="7"/>
  <c r="ED43" i="7"/>
  <c r="ED47" i="7" s="1"/>
  <c r="ED49" i="7" s="1"/>
  <c r="DY52" i="7"/>
  <c r="DY51" i="7"/>
  <c r="DY165" i="7"/>
  <c r="DY89" i="7"/>
  <c r="DY66" i="7"/>
  <c r="DZ43" i="7"/>
  <c r="DZ47" i="7" s="1"/>
  <c r="EH43" i="7"/>
  <c r="EH47" i="7" s="1"/>
  <c r="EH49" i="7" s="1"/>
  <c r="EL43" i="7"/>
  <c r="EL47" i="7" s="1"/>
  <c r="DV43" i="7"/>
  <c r="DV47" i="7" s="1"/>
  <c r="DW49" i="7" s="1"/>
  <c r="EC49" i="7"/>
  <c r="DU102" i="5"/>
  <c r="DU50" i="5"/>
  <c r="DV44" i="5"/>
  <c r="DW62" i="5"/>
  <c r="DT109" i="5"/>
  <c r="DV100" i="5" s="1"/>
  <c r="DT58" i="5"/>
  <c r="DT56" i="5"/>
  <c r="DT55" i="5"/>
  <c r="DT52" i="5"/>
  <c r="DT59" i="5"/>
  <c r="DS53" i="5"/>
  <c r="DS69" i="5"/>
  <c r="DU108" i="5"/>
  <c r="EF45" i="4"/>
  <c r="EG45" i="4"/>
  <c r="DW16" i="10" l="1"/>
  <c r="CI84" i="5"/>
  <c r="CJ77" i="5"/>
  <c r="CJ81" i="5" s="1"/>
  <c r="CJ82" i="5" s="1"/>
  <c r="DM110" i="5"/>
  <c r="DR100" i="5"/>
  <c r="DR108" i="5" s="1"/>
  <c r="DV49" i="7"/>
  <c r="DV52" i="7" s="1"/>
  <c r="EC57" i="10"/>
  <c r="EA62" i="10"/>
  <c r="EB62" i="10" s="1"/>
  <c r="EI98" i="10"/>
  <c r="EI101" i="10" s="1"/>
  <c r="EH102" i="10"/>
  <c r="EE67" i="5"/>
  <c r="EE20" i="10"/>
  <c r="EC92" i="10"/>
  <c r="ED87" i="10"/>
  <c r="EJ130" i="10"/>
  <c r="EJ133" i="10" s="1"/>
  <c r="EI134" i="10"/>
  <c r="EG213" i="10"/>
  <c r="EF214" i="10"/>
  <c r="EG214" i="10" s="1"/>
  <c r="EF21" i="10"/>
  <c r="EF36" i="5" s="1"/>
  <c r="EK140" i="10"/>
  <c r="EK143" i="10" s="1"/>
  <c r="EJ144" i="10"/>
  <c r="EK180" i="10"/>
  <c r="EK183" i="10" s="1"/>
  <c r="EJ184" i="10"/>
  <c r="DW52" i="10"/>
  <c r="DY154" i="10"/>
  <c r="DZ149" i="10"/>
  <c r="DX52" i="10"/>
  <c r="DY47" i="10"/>
  <c r="EA77" i="10"/>
  <c r="DZ82" i="10"/>
  <c r="DW52" i="7"/>
  <c r="DW51" i="7"/>
  <c r="DW165" i="7"/>
  <c r="DW66" i="7"/>
  <c r="DW89" i="7"/>
  <c r="EH51" i="7"/>
  <c r="EH52" i="7"/>
  <c r="EH165" i="7"/>
  <c r="EH89" i="7"/>
  <c r="EH66" i="7"/>
  <c r="EA43" i="7"/>
  <c r="EA47" i="7" s="1"/>
  <c r="EB49" i="7" s="1"/>
  <c r="ED51" i="7"/>
  <c r="ED52" i="7"/>
  <c r="ED165" i="7"/>
  <c r="ED89" i="7"/>
  <c r="ED66" i="7"/>
  <c r="EC52" i="7"/>
  <c r="EC51" i="7"/>
  <c r="EC165" i="7"/>
  <c r="EC89" i="7"/>
  <c r="EC66" i="7"/>
  <c r="DZ49" i="7"/>
  <c r="EE43" i="7"/>
  <c r="EE47" i="7" s="1"/>
  <c r="EI43" i="7"/>
  <c r="EI47" i="7" s="1"/>
  <c r="EI49" i="7" s="1"/>
  <c r="DT53" i="5"/>
  <c r="DT69" i="5"/>
  <c r="DV102" i="5"/>
  <c r="DV50" i="5"/>
  <c r="DW44" i="5"/>
  <c r="DV108" i="5"/>
  <c r="DT110" i="5"/>
  <c r="DU109" i="5"/>
  <c r="DU110" i="5" s="1"/>
  <c r="DU58" i="5"/>
  <c r="DU56" i="5"/>
  <c r="DU55" i="5"/>
  <c r="DU52" i="5"/>
  <c r="DU59" i="5"/>
  <c r="EH45" i="4"/>
  <c r="DV51" i="7" l="1"/>
  <c r="CN81" i="5"/>
  <c r="CN82" i="5" s="1"/>
  <c r="DR110" i="5"/>
  <c r="DW100" i="5"/>
  <c r="DV89" i="7"/>
  <c r="DV165" i="7"/>
  <c r="DV66" i="7"/>
  <c r="EA49" i="7"/>
  <c r="DZ154" i="10"/>
  <c r="EA149" i="10"/>
  <c r="EL143" i="10"/>
  <c r="EK144" i="10"/>
  <c r="EL144" i="10" s="1"/>
  <c r="EJ98" i="10"/>
  <c r="EJ101" i="10" s="1"/>
  <c r="EI102" i="10"/>
  <c r="EC62" i="10"/>
  <c r="ED57" i="10"/>
  <c r="DX16" i="10"/>
  <c r="EA82" i="10"/>
  <c r="EB82" i="10" s="1"/>
  <c r="EC77" i="10"/>
  <c r="EG36" i="5"/>
  <c r="EF67" i="5"/>
  <c r="EF20" i="10"/>
  <c r="EG20" i="10" s="1"/>
  <c r="EK130" i="10"/>
  <c r="EK133" i="10" s="1"/>
  <c r="EJ134" i="10"/>
  <c r="DZ47" i="10"/>
  <c r="DY52" i="10"/>
  <c r="DY16" i="10" s="1"/>
  <c r="DY28" i="4" s="1"/>
  <c r="EL183" i="10"/>
  <c r="EK184" i="10"/>
  <c r="EL184" i="10" s="1"/>
  <c r="ED92" i="10"/>
  <c r="EE87" i="10"/>
  <c r="EH210" i="10"/>
  <c r="EH213" i="10" s="1"/>
  <c r="EL210" i="10"/>
  <c r="EG21" i="10"/>
  <c r="EB52" i="7"/>
  <c r="EB51" i="7"/>
  <c r="EB165" i="7"/>
  <c r="EB89" i="7"/>
  <c r="EB66" i="7"/>
  <c r="EA52" i="7"/>
  <c r="EA51" i="7"/>
  <c r="EA165" i="7"/>
  <c r="EA89" i="7"/>
  <c r="EA66" i="7"/>
  <c r="EI52" i="7"/>
  <c r="EI51" i="7"/>
  <c r="EI165" i="7"/>
  <c r="EI89" i="7"/>
  <c r="EI66" i="7"/>
  <c r="DZ51" i="7"/>
  <c r="DZ52" i="7"/>
  <c r="DZ165" i="7"/>
  <c r="DZ89" i="7"/>
  <c r="DZ66" i="7"/>
  <c r="EF43" i="7"/>
  <c r="EF47" i="7" s="1"/>
  <c r="EG49" i="7" s="1"/>
  <c r="EF49" i="7"/>
  <c r="EJ43" i="7"/>
  <c r="EJ47" i="7" s="1"/>
  <c r="EJ49" i="7" s="1"/>
  <c r="EE49" i="7"/>
  <c r="DU53" i="5"/>
  <c r="DU69" i="5"/>
  <c r="DW102" i="5"/>
  <c r="DW108" i="5" s="1"/>
  <c r="DX44" i="5"/>
  <c r="DW50" i="5"/>
  <c r="DV109" i="5"/>
  <c r="DX100" i="5" s="1"/>
  <c r="DV56" i="5"/>
  <c r="DV58" i="5"/>
  <c r="DV55" i="5"/>
  <c r="DV52" i="5"/>
  <c r="DV59" i="5"/>
  <c r="EI45" i="4"/>
  <c r="CN83" i="5" l="1"/>
  <c r="CN84" i="5" s="1"/>
  <c r="DV110" i="5"/>
  <c r="EG67" i="5"/>
  <c r="EL133" i="10"/>
  <c r="EK134" i="10"/>
  <c r="EL134" i="10" s="1"/>
  <c r="EC82" i="10"/>
  <c r="ED77" i="10"/>
  <c r="ED62" i="10"/>
  <c r="EE57" i="10"/>
  <c r="EK98" i="10"/>
  <c r="EK101" i="10" s="1"/>
  <c r="EJ102" i="10"/>
  <c r="DY17" i="10"/>
  <c r="EA154" i="10"/>
  <c r="EB154" i="10" s="1"/>
  <c r="EC149" i="10"/>
  <c r="EF87" i="10"/>
  <c r="EE92" i="10"/>
  <c r="EI210" i="10"/>
  <c r="EI213" i="10" s="1"/>
  <c r="EH214" i="10"/>
  <c r="EH21" i="10"/>
  <c r="EH36" i="5" s="1"/>
  <c r="EA47" i="10"/>
  <c r="DZ52" i="10"/>
  <c r="DX28" i="4"/>
  <c r="EJ52" i="7"/>
  <c r="EJ51" i="7"/>
  <c r="EJ165" i="7"/>
  <c r="EJ89" i="7"/>
  <c r="EJ66" i="7"/>
  <c r="EG52" i="7"/>
  <c r="EG51" i="7"/>
  <c r="EG89" i="7"/>
  <c r="EG165" i="7"/>
  <c r="EG66" i="7"/>
  <c r="EF52" i="7"/>
  <c r="EF51" i="7"/>
  <c r="EF165" i="7"/>
  <c r="EF89" i="7"/>
  <c r="EF66" i="7"/>
  <c r="EE52" i="7"/>
  <c r="EE51" i="7"/>
  <c r="EE165" i="7"/>
  <c r="EE89" i="7"/>
  <c r="EE66" i="7"/>
  <c r="EK43" i="7"/>
  <c r="EK47" i="7" s="1"/>
  <c r="EK49" i="7" s="1"/>
  <c r="DW109" i="5"/>
  <c r="DW110" i="5" s="1"/>
  <c r="DW56" i="5"/>
  <c r="DW55" i="5"/>
  <c r="DW52" i="5"/>
  <c r="DW58" i="5"/>
  <c r="DW59" i="5"/>
  <c r="DX102" i="5"/>
  <c r="DY44" i="5"/>
  <c r="DV53" i="5"/>
  <c r="DV69" i="5"/>
  <c r="EB100" i="5"/>
  <c r="EJ45" i="4"/>
  <c r="EL49" i="7" l="1"/>
  <c r="EL165" i="7" s="1"/>
  <c r="CS77" i="5"/>
  <c r="CO77" i="5"/>
  <c r="CO81" i="5" s="1"/>
  <c r="CO82" i="5" s="1"/>
  <c r="DX17" i="10"/>
  <c r="DX65" i="5"/>
  <c r="EC154" i="10"/>
  <c r="ED149" i="10"/>
  <c r="DY65" i="5"/>
  <c r="EL101" i="10"/>
  <c r="EK102" i="10"/>
  <c r="EH20" i="10"/>
  <c r="EH67" i="5"/>
  <c r="EF92" i="10"/>
  <c r="EH87" i="10"/>
  <c r="ED82" i="10"/>
  <c r="EE77" i="10"/>
  <c r="DZ16" i="10"/>
  <c r="EJ210" i="10"/>
  <c r="EJ213" i="10" s="1"/>
  <c r="EI214" i="10"/>
  <c r="EI21" i="10"/>
  <c r="EI36" i="5" s="1"/>
  <c r="EE62" i="10"/>
  <c r="EF57" i="10"/>
  <c r="EA52" i="10"/>
  <c r="EA16" i="10" s="1"/>
  <c r="EA28" i="4" s="1"/>
  <c r="EC47" i="10"/>
  <c r="EG92" i="10"/>
  <c r="EL102" i="10"/>
  <c r="EK52" i="7"/>
  <c r="EK51" i="7"/>
  <c r="EK165" i="7"/>
  <c r="EK89" i="7"/>
  <c r="EK66" i="7"/>
  <c r="EL52" i="7"/>
  <c r="DY102" i="5"/>
  <c r="DZ44" i="5"/>
  <c r="DW53" i="5"/>
  <c r="DW69" i="5"/>
  <c r="EK45" i="4"/>
  <c r="EL45" i="4" s="1"/>
  <c r="EL66" i="7" l="1"/>
  <c r="EL51" i="7"/>
  <c r="EL89" i="7"/>
  <c r="CS81" i="5"/>
  <c r="CS82" i="5" s="1"/>
  <c r="EH57" i="10"/>
  <c r="EF62" i="10"/>
  <c r="EK210" i="10"/>
  <c r="EK213" i="10" s="1"/>
  <c r="EJ214" i="10"/>
  <c r="EJ21" i="10"/>
  <c r="EJ36" i="5" s="1"/>
  <c r="EG62" i="10"/>
  <c r="EB52" i="10"/>
  <c r="EH92" i="10"/>
  <c r="EI87" i="10"/>
  <c r="EA17" i="10"/>
  <c r="EF77" i="10"/>
  <c r="EE82" i="10"/>
  <c r="EC52" i="10"/>
  <c r="ED47" i="10"/>
  <c r="EI20" i="10"/>
  <c r="EI67" i="5"/>
  <c r="DZ28" i="4"/>
  <c r="EB16" i="10"/>
  <c r="ED154" i="10"/>
  <c r="EE149" i="10"/>
  <c r="DZ102" i="5"/>
  <c r="EA44" i="5"/>
  <c r="CS83" i="5" l="1"/>
  <c r="CX77" i="5" s="1"/>
  <c r="EF149" i="10"/>
  <c r="EE154" i="10"/>
  <c r="EJ87" i="10"/>
  <c r="EI92" i="10"/>
  <c r="EL213" i="10"/>
  <c r="EL21" i="10" s="1"/>
  <c r="EK214" i="10"/>
  <c r="EL214" i="10" s="1"/>
  <c r="EK21" i="10"/>
  <c r="EK36" i="5" s="1"/>
  <c r="DZ17" i="10"/>
  <c r="EB17" i="10" s="1"/>
  <c r="DZ65" i="5"/>
  <c r="EB28" i="4"/>
  <c r="EF82" i="10"/>
  <c r="EG82" i="10" s="1"/>
  <c r="EH77" i="10"/>
  <c r="EC16" i="10"/>
  <c r="EE47" i="10"/>
  <c r="ED52" i="10"/>
  <c r="ED16" i="10" s="1"/>
  <c r="ED28" i="4" s="1"/>
  <c r="EA65" i="5"/>
  <c r="EB65" i="5" s="1"/>
  <c r="EJ67" i="5"/>
  <c r="EJ20" i="10"/>
  <c r="EI57" i="10"/>
  <c r="EH62" i="10"/>
  <c r="EA102" i="5"/>
  <c r="EB44" i="5"/>
  <c r="CS84" i="5" l="1"/>
  <c r="CT77" i="5"/>
  <c r="CT81" i="5" s="1"/>
  <c r="CT82" i="5" s="1"/>
  <c r="EI62" i="10"/>
  <c r="EJ57" i="10"/>
  <c r="ED17" i="10"/>
  <c r="EE52" i="10"/>
  <c r="EF47" i="10"/>
  <c r="EH82" i="10"/>
  <c r="EI77" i="10"/>
  <c r="EF154" i="10"/>
  <c r="EG154" i="10" s="1"/>
  <c r="EH149" i="10"/>
  <c r="EC28" i="4"/>
  <c r="ED65" i="5" s="1"/>
  <c r="EL36" i="5"/>
  <c r="EK67" i="5"/>
  <c r="EK20" i="10"/>
  <c r="EL20" i="10" s="1"/>
  <c r="EJ92" i="10"/>
  <c r="EK87" i="10"/>
  <c r="EK92" i="10" s="1"/>
  <c r="EB102" i="5"/>
  <c r="EC44" i="5"/>
  <c r="CX81" i="5" l="1"/>
  <c r="CX82" i="5" s="1"/>
  <c r="CX83" i="5"/>
  <c r="EL67" i="5"/>
  <c r="EH154" i="10"/>
  <c r="EI149" i="10"/>
  <c r="EF52" i="10"/>
  <c r="EF16" i="10" s="1"/>
  <c r="EF28" i="4" s="1"/>
  <c r="EH47" i="10"/>
  <c r="EJ62" i="10"/>
  <c r="EK57" i="10"/>
  <c r="EK62" i="10" s="1"/>
  <c r="EE16" i="10"/>
  <c r="EL92" i="10"/>
  <c r="EC65" i="5"/>
  <c r="EC17" i="10"/>
  <c r="EI82" i="10"/>
  <c r="EJ77" i="10"/>
  <c r="EC102" i="5"/>
  <c r="ED44" i="5"/>
  <c r="EL62" i="10" l="1"/>
  <c r="DC77" i="5"/>
  <c r="CY77" i="5"/>
  <c r="CY81" i="5" s="1"/>
  <c r="CY82" i="5" s="1"/>
  <c r="CX84" i="5"/>
  <c r="EI154" i="10"/>
  <c r="EJ149" i="10"/>
  <c r="EJ82" i="10"/>
  <c r="EK77" i="10"/>
  <c r="EK82" i="10" s="1"/>
  <c r="EG52" i="10"/>
  <c r="EH52" i="10"/>
  <c r="EI47" i="10"/>
  <c r="EE28" i="4"/>
  <c r="EF65" i="5" s="1"/>
  <c r="EG65" i="5" s="1"/>
  <c r="EG16" i="10"/>
  <c r="EF17" i="10"/>
  <c r="ED102" i="5"/>
  <c r="EE44" i="5"/>
  <c r="EL82" i="10" l="1"/>
  <c r="EI52" i="10"/>
  <c r="EI16" i="10" s="1"/>
  <c r="EI28" i="4" s="1"/>
  <c r="EJ47" i="10"/>
  <c r="EH16" i="10"/>
  <c r="EG28" i="4"/>
  <c r="EE17" i="10"/>
  <c r="EG17" i="10" s="1"/>
  <c r="EE65" i="5"/>
  <c r="EK149" i="10"/>
  <c r="EK154" i="10" s="1"/>
  <c r="EJ154" i="10"/>
  <c r="EE102" i="5"/>
  <c r="EF44" i="5"/>
  <c r="EL154" i="10" l="1"/>
  <c r="EI17" i="10"/>
  <c r="EH28" i="4"/>
  <c r="EK47" i="10"/>
  <c r="EK52" i="10" s="1"/>
  <c r="EK16" i="10" s="1"/>
  <c r="EK28" i="4" s="1"/>
  <c r="EJ52" i="10"/>
  <c r="EJ16" i="10" s="1"/>
  <c r="EJ28" i="4" s="1"/>
  <c r="EF102" i="5"/>
  <c r="EG44" i="5"/>
  <c r="EL52" i="10" l="1"/>
  <c r="EL16" i="10"/>
  <c r="EL28" i="4"/>
  <c r="EH65" i="5"/>
  <c r="EH17" i="10"/>
  <c r="EJ17" i="10"/>
  <c r="EJ65" i="5"/>
  <c r="EK65" i="5"/>
  <c r="EL65" i="5" s="1"/>
  <c r="EK17" i="10"/>
  <c r="EI65" i="5"/>
  <c r="EG102" i="5"/>
  <c r="EH44" i="5"/>
  <c r="EL17" i="10" l="1"/>
  <c r="EH102" i="5"/>
  <c r="EI44" i="5"/>
  <c r="EI102" i="5" l="1"/>
  <c r="EJ44" i="5"/>
  <c r="EJ102" i="5" l="1"/>
  <c r="EK44" i="5"/>
  <c r="EK102" i="5" l="1"/>
  <c r="EL44" i="5"/>
  <c r="EL102" i="5" l="1"/>
  <c r="AJ56" i="9" l="1"/>
  <c r="G41" i="9"/>
  <c r="H41" i="9"/>
  <c r="AK46" i="9"/>
  <c r="AL46" i="9"/>
  <c r="AJ46" i="9"/>
  <c r="G51" i="9"/>
  <c r="O51" i="9"/>
  <c r="L51" i="9"/>
  <c r="AB51" i="9"/>
  <c r="J51" i="9"/>
  <c r="AI51" i="9"/>
  <c r="O46" i="9"/>
  <c r="AI46" i="9"/>
  <c r="F51" i="9"/>
  <c r="AL51" i="9"/>
  <c r="AK51" i="9"/>
  <c r="J56" i="9"/>
  <c r="AK56" i="9"/>
  <c r="AJ51" i="9"/>
  <c r="AN51" i="9"/>
  <c r="U56" i="9"/>
  <c r="AS56" i="9"/>
  <c r="AL56" i="9"/>
  <c r="AI56" i="9"/>
  <c r="AO56" i="9"/>
  <c r="R41" i="9"/>
  <c r="L41" i="9"/>
  <c r="P41" i="9"/>
  <c r="T41" i="9"/>
  <c r="F41" i="9"/>
  <c r="J41" i="9"/>
  <c r="V41" i="9"/>
  <c r="Z41" i="9"/>
  <c r="E41" i="9"/>
  <c r="U41" i="9"/>
  <c r="M41" i="9"/>
  <c r="K41" i="9"/>
  <c r="O41" i="9"/>
  <c r="W41" i="9"/>
  <c r="AA41" i="9"/>
  <c r="Y41" i="9"/>
  <c r="Q41" i="9"/>
  <c r="AB41" i="9"/>
  <c r="AL41" i="9"/>
  <c r="AK41" i="9"/>
  <c r="AJ41" i="9"/>
  <c r="Y51" i="9" l="1"/>
  <c r="K46" i="9"/>
  <c r="Z51" i="9"/>
  <c r="P51" i="9"/>
  <c r="H51" i="9"/>
  <c r="G46" i="9"/>
  <c r="Z46" i="9"/>
  <c r="Y46" i="9"/>
  <c r="AQ46" i="9"/>
  <c r="R46" i="9"/>
  <c r="AI41" i="9"/>
  <c r="G56" i="9"/>
  <c r="Q56" i="9"/>
  <c r="W46" i="9"/>
  <c r="J46" i="9"/>
  <c r="R56" i="9"/>
  <c r="T56" i="9"/>
  <c r="F56" i="9"/>
  <c r="M51" i="9"/>
  <c r="AP46" i="9"/>
  <c r="V51" i="9"/>
  <c r="T51" i="9"/>
  <c r="AA46" i="9"/>
  <c r="W51" i="9"/>
  <c r="AC46" i="9"/>
  <c r="AQ56" i="9"/>
  <c r="Y56" i="9"/>
  <c r="AP56" i="9"/>
  <c r="AB56" i="9"/>
  <c r="K56" i="9"/>
  <c r="AA56" i="9"/>
  <c r="H56" i="9"/>
  <c r="Q51" i="9"/>
  <c r="AN46" i="9"/>
  <c r="T46" i="9"/>
  <c r="M56" i="9"/>
  <c r="V46" i="9"/>
  <c r="AA51" i="9"/>
  <c r="E46" i="9"/>
  <c r="AN56" i="9"/>
  <c r="W56" i="9"/>
  <c r="Z56" i="9"/>
  <c r="AQ51" i="9"/>
  <c r="P46" i="9"/>
  <c r="AP51" i="9"/>
  <c r="N46" i="9"/>
  <c r="K51" i="9"/>
  <c r="R51" i="9"/>
  <c r="AM56" i="9"/>
  <c r="V56" i="9"/>
  <c r="AO51" i="9"/>
  <c r="AB46" i="9"/>
  <c r="L46" i="9"/>
  <c r="E56" i="9"/>
  <c r="F46" i="9"/>
  <c r="S51" i="9"/>
  <c r="U46" i="9"/>
  <c r="L56" i="9"/>
  <c r="P56" i="9"/>
  <c r="O56" i="9"/>
  <c r="U51" i="9"/>
  <c r="E51" i="9"/>
  <c r="H46" i="9"/>
  <c r="AO46" i="9"/>
  <c r="Q46" i="9"/>
  <c r="M46" i="9"/>
  <c r="X46" i="9" l="1"/>
  <c r="I56" i="9"/>
  <c r="AC56" i="9"/>
  <c r="S56" i="9"/>
  <c r="N51" i="9"/>
  <c r="I46" i="9"/>
  <c r="X56" i="9"/>
  <c r="I41" i="9"/>
  <c r="AR41" i="9"/>
  <c r="S41" i="9"/>
  <c r="AM41" i="9"/>
  <c r="S46" i="9"/>
  <c r="N56" i="9"/>
  <c r="I51" i="9"/>
  <c r="AC41" i="9"/>
  <c r="X51" i="9"/>
  <c r="AM51" i="9"/>
  <c r="N41" i="9"/>
  <c r="AC51" i="9"/>
  <c r="X41" i="9"/>
  <c r="AR56" i="9"/>
  <c r="AR51" i="9" l="1"/>
  <c r="AM46" i="9"/>
  <c r="AR46" i="9"/>
  <c r="DY11" i="4" l="1"/>
  <c r="EA11" i="4"/>
  <c r="EI11" i="4" l="1"/>
  <c r="DZ11" i="4"/>
  <c r="EK11" i="4"/>
  <c r="EF11" i="4"/>
  <c r="ED11" i="4"/>
  <c r="EJ11" i="4" l="1"/>
  <c r="EE11" i="4"/>
  <c r="DX11" i="4"/>
  <c r="EB11" i="4" s="1"/>
  <c r="EC11" i="4" l="1"/>
  <c r="EG11" i="4" s="1"/>
  <c r="EH11" i="4" l="1"/>
  <c r="EL11" i="4" s="1"/>
  <c r="BB12" i="9" l="1"/>
  <c r="BG12" i="9" l="1"/>
  <c r="BL12" i="9" l="1"/>
  <c r="DX12" i="5" l="1"/>
  <c r="DY12" i="5"/>
  <c r="DZ12" i="5"/>
  <c r="EA12" i="5"/>
  <c r="EB12" i="5"/>
  <c r="EC12" i="5"/>
  <c r="ED12" i="5"/>
  <c r="EE12" i="5"/>
  <c r="EF12" i="5"/>
  <c r="EG12" i="5" s="1"/>
  <c r="EH12" i="5"/>
  <c r="EI12" i="5"/>
  <c r="EJ12" i="5"/>
  <c r="EK12" i="5"/>
  <c r="EL12" i="5" s="1"/>
  <c r="DX27" i="5"/>
  <c r="DY27" i="5"/>
  <c r="DZ27" i="5"/>
  <c r="EA27" i="5"/>
  <c r="EB27" i="5"/>
  <c r="EC27" i="5"/>
  <c r="ED27" i="5"/>
  <c r="EE27" i="5"/>
  <c r="EF27" i="5"/>
  <c r="EG27" i="5" s="1"/>
  <c r="EG34" i="5" s="1"/>
  <c r="EG41" i="5" s="1"/>
  <c r="EH27" i="5"/>
  <c r="EI27" i="5"/>
  <c r="EJ27" i="5"/>
  <c r="EK27" i="5"/>
  <c r="EL27" i="5" s="1"/>
  <c r="EL34" i="5" s="1"/>
  <c r="EL41" i="5" s="1"/>
  <c r="DX34" i="5"/>
  <c r="DY34" i="5"/>
  <c r="DZ34" i="5"/>
  <c r="EA34" i="5"/>
  <c r="EB34" i="5"/>
  <c r="EC34" i="5"/>
  <c r="ED34" i="5"/>
  <c r="EE34" i="5"/>
  <c r="EF34" i="5"/>
  <c r="EH34" i="5"/>
  <c r="EI34" i="5"/>
  <c r="EJ34" i="5"/>
  <c r="EK34" i="5"/>
  <c r="DX41" i="5"/>
  <c r="DY41" i="5"/>
  <c r="DZ41" i="5"/>
  <c r="EA41" i="5"/>
  <c r="EB41" i="5"/>
  <c r="EC41" i="5"/>
  <c r="ED41" i="5"/>
  <c r="EE41" i="5"/>
  <c r="EF41" i="5"/>
  <c r="EH41" i="5"/>
  <c r="EI41" i="5"/>
  <c r="EJ41" i="5"/>
  <c r="EK41" i="5"/>
  <c r="DX78" i="5"/>
  <c r="DY78" i="5"/>
  <c r="DZ78" i="5"/>
  <c r="EA78" i="5"/>
  <c r="EB78" i="5" s="1"/>
  <c r="EC78" i="5"/>
  <c r="ED78" i="5"/>
  <c r="EG78" i="5" s="1"/>
  <c r="EE78" i="5"/>
  <c r="EF78" i="5"/>
  <c r="EH78" i="5"/>
  <c r="EI78" i="5"/>
  <c r="EL78" i="5" s="1"/>
  <c r="EJ78" i="5"/>
  <c r="EK78" i="5"/>
  <c r="DX90" i="5"/>
  <c r="DY90" i="5"/>
  <c r="DZ90" i="5"/>
  <c r="EA90" i="5"/>
  <c r="EB90" i="5"/>
  <c r="EC90" i="5"/>
  <c r="ED90" i="5"/>
  <c r="EE90" i="5"/>
  <c r="EF90" i="5"/>
  <c r="EG90" i="5"/>
  <c r="EH90" i="5"/>
  <c r="EI90" i="5"/>
  <c r="EJ90" i="5"/>
  <c r="EK90" i="5"/>
  <c r="EL90" i="5"/>
  <c r="DX93" i="5"/>
  <c r="DY93" i="5"/>
  <c r="DZ93" i="5"/>
  <c r="EA93" i="5"/>
  <c r="EC93" i="5"/>
  <c r="ED93" i="5"/>
  <c r="EE93" i="5"/>
  <c r="EF93" i="5"/>
  <c r="EH93" i="5"/>
  <c r="EI93" i="5"/>
  <c r="EJ93" i="5"/>
  <c r="EK93" i="5"/>
  <c r="DX97" i="5"/>
  <c r="DY97" i="5"/>
  <c r="DZ97" i="5"/>
  <c r="EA97" i="5"/>
  <c r="EC97" i="5"/>
  <c r="ED97" i="5"/>
  <c r="EE97" i="5"/>
  <c r="EF97" i="5"/>
  <c r="EH97" i="5"/>
  <c r="EI97" i="5"/>
  <c r="EJ97" i="5"/>
  <c r="EK97" i="5"/>
  <c r="DX139" i="5"/>
  <c r="DY139" i="5"/>
  <c r="EB139" i="5" s="1"/>
  <c r="DZ139" i="5"/>
  <c r="EA139" i="5"/>
  <c r="EC139" i="5"/>
  <c r="ED139" i="5"/>
  <c r="EG139" i="5" s="1"/>
  <c r="EE139" i="5"/>
  <c r="EF139" i="5"/>
  <c r="EH139" i="5"/>
  <c r="EI139" i="5"/>
  <c r="EL139" i="5" s="1"/>
  <c r="EJ139" i="5"/>
  <c r="EK139" i="5"/>
  <c r="DX151" i="5"/>
  <c r="DY151" i="5"/>
  <c r="DZ151" i="5"/>
  <c r="EB151" i="5" s="1"/>
  <c r="EA151" i="5"/>
  <c r="EC151" i="5"/>
  <c r="ED151" i="5"/>
  <c r="EG151" i="5" s="1"/>
  <c r="EE151" i="5"/>
  <c r="EF151" i="5"/>
  <c r="EH151" i="5"/>
  <c r="EI151" i="5"/>
  <c r="EJ151" i="5"/>
  <c r="EK151" i="5"/>
  <c r="EL151" i="5"/>
  <c r="DX153" i="5"/>
  <c r="DY153" i="5"/>
  <c r="DZ153" i="5"/>
  <c r="EA153" i="5"/>
  <c r="EB153" i="5" s="1"/>
  <c r="EC153" i="5"/>
  <c r="ED153" i="5"/>
  <c r="EE153" i="5"/>
  <c r="EG153" i="5" s="1"/>
  <c r="EF153" i="5"/>
  <c r="EH153" i="5"/>
  <c r="EI153" i="5"/>
  <c r="EL153" i="5" s="1"/>
  <c r="EJ153" i="5"/>
  <c r="EK153" i="5"/>
  <c r="DX24" i="8"/>
  <c r="DY24" i="8"/>
  <c r="DZ24" i="8"/>
  <c r="EA24" i="8"/>
  <c r="EC24" i="8"/>
  <c r="ED24" i="8"/>
  <c r="EE24" i="8"/>
  <c r="EF24" i="8"/>
  <c r="EH24" i="8"/>
  <c r="EI24" i="8"/>
  <c r="EJ24" i="8"/>
  <c r="EK24" i="8"/>
  <c r="DX10" i="4"/>
  <c r="DY10" i="4"/>
  <c r="DZ10" i="4"/>
  <c r="EB10" i="4" s="1"/>
  <c r="EA10" i="4"/>
  <c r="EC10" i="4"/>
  <c r="ED10" i="4"/>
  <c r="EG10" i="4" s="1"/>
  <c r="EE10" i="4"/>
  <c r="EF10" i="4"/>
  <c r="EH10" i="4"/>
  <c r="EI10" i="4"/>
  <c r="EJ10" i="4"/>
  <c r="EK10" i="4"/>
  <c r="EL10" i="4"/>
  <c r="EB13" i="4"/>
  <c r="EB24" i="8" s="1"/>
  <c r="EG13" i="4"/>
  <c r="EG24" i="8" s="1"/>
  <c r="EL13" i="4"/>
  <c r="EL24" i="8" s="1"/>
  <c r="EB15" i="4"/>
  <c r="EG15" i="4"/>
  <c r="EL15" i="4"/>
  <c r="EB16" i="4"/>
  <c r="EB27" i="8" s="1"/>
  <c r="EG16" i="4"/>
  <c r="EG27" i="8" s="1"/>
  <c r="EL16" i="4"/>
  <c r="EL27" i="8" s="1"/>
  <c r="EB17" i="4"/>
  <c r="EG17" i="4"/>
  <c r="EL17" i="4"/>
  <c r="EB18" i="4"/>
  <c r="EG18" i="4"/>
  <c r="EL18" i="4"/>
  <c r="EB46" i="4"/>
  <c r="EG46" i="4"/>
  <c r="EL46" i="4"/>
  <c r="DX48" i="4"/>
  <c r="DY48" i="4"/>
  <c r="DZ48" i="4"/>
  <c r="EB48" i="4" s="1"/>
  <c r="EA48" i="4"/>
  <c r="EC48" i="4"/>
  <c r="ED48" i="4"/>
  <c r="EG48" i="4" s="1"/>
  <c r="EE48" i="4"/>
  <c r="EF48" i="4"/>
  <c r="EH48" i="4"/>
  <c r="EI48" i="4"/>
  <c r="EJ48" i="4"/>
  <c r="EK48" i="4"/>
  <c r="EL48" i="4"/>
  <c r="DX104" i="4"/>
  <c r="DY104" i="4"/>
  <c r="DZ104" i="4"/>
  <c r="EA104" i="4"/>
  <c r="EB104" i="4"/>
  <c r="EC104" i="4"/>
  <c r="ED104" i="4"/>
  <c r="EE104" i="4"/>
  <c r="EF104" i="4"/>
  <c r="EG104" i="4"/>
  <c r="EH104" i="4"/>
  <c r="EI104" i="4"/>
  <c r="EJ104" i="4"/>
  <c r="EK104" i="4"/>
  <c r="EL104" i="4"/>
  <c r="DX105" i="4"/>
  <c r="DY105" i="4"/>
  <c r="DZ105" i="4"/>
  <c r="EA105" i="4"/>
  <c r="EB105" i="4"/>
  <c r="EC105" i="4"/>
  <c r="ED105" i="4"/>
  <c r="EE105" i="4"/>
  <c r="EF105" i="4"/>
  <c r="EG105" i="4"/>
  <c r="EH105" i="4"/>
  <c r="EI105" i="4"/>
  <c r="EJ105" i="4"/>
  <c r="EK105" i="4"/>
  <c r="EL105" i="4"/>
  <c r="DX106" i="4"/>
  <c r="DY106" i="4"/>
  <c r="DZ106" i="4"/>
  <c r="EA106" i="4"/>
  <c r="EB106" i="4"/>
  <c r="EC106" i="4"/>
  <c r="ED106" i="4"/>
  <c r="EE106" i="4"/>
  <c r="EF106" i="4"/>
  <c r="EG106" i="4"/>
  <c r="EH106" i="4"/>
  <c r="EI106" i="4"/>
  <c r="EJ106" i="4"/>
  <c r="EK106" i="4"/>
  <c r="EL106" i="4"/>
  <c r="DX107" i="4"/>
  <c r="DY107" i="4"/>
  <c r="DZ107" i="4"/>
  <c r="EA107" i="4"/>
  <c r="EB107" i="4"/>
  <c r="EC107" i="4"/>
  <c r="ED107" i="4"/>
  <c r="EE107" i="4"/>
  <c r="EF107" i="4"/>
  <c r="EG107" i="4"/>
  <c r="EH107" i="4"/>
  <c r="EI107" i="4"/>
  <c r="EJ107" i="4"/>
  <c r="EK107" i="4"/>
  <c r="EL107" i="4"/>
  <c r="EB10" i="7"/>
  <c r="EG10" i="7"/>
  <c r="EL10" i="7"/>
  <c r="DX12" i="7"/>
  <c r="DX12" i="4" s="1"/>
  <c r="DY12" i="7"/>
  <c r="DY12" i="4" s="1"/>
  <c r="DZ12" i="7"/>
  <c r="DZ12" i="4" s="1"/>
  <c r="EA12" i="7"/>
  <c r="EA12" i="4" s="1"/>
  <c r="EA102" i="4" s="1"/>
  <c r="EC12" i="7"/>
  <c r="EC12" i="4" s="1"/>
  <c r="ED12" i="7"/>
  <c r="ED12" i="4" s="1"/>
  <c r="EE12" i="7"/>
  <c r="EE12" i="4" s="1"/>
  <c r="EE102" i="4" s="1"/>
  <c r="EF12" i="7"/>
  <c r="EF12" i="4" s="1"/>
  <c r="EH12" i="7"/>
  <c r="EH12" i="4" s="1"/>
  <c r="EI12" i="7"/>
  <c r="EI12" i="4" s="1"/>
  <c r="EI102" i="4" s="1"/>
  <c r="EJ12" i="7"/>
  <c r="EJ12" i="4" s="1"/>
  <c r="EK12" i="7"/>
  <c r="EK12" i="4" s="1"/>
  <c r="DX13" i="7"/>
  <c r="DY13" i="7"/>
  <c r="DZ13" i="7"/>
  <c r="EA13" i="7"/>
  <c r="EC13" i="7"/>
  <c r="ED13" i="7"/>
  <c r="EE13" i="7"/>
  <c r="EF13" i="7"/>
  <c r="EH13" i="7"/>
  <c r="EI13" i="7"/>
  <c r="EJ13" i="7"/>
  <c r="EK13" i="7"/>
  <c r="DX14" i="7"/>
  <c r="DY14" i="7"/>
  <c r="DZ14" i="7"/>
  <c r="EA14" i="7"/>
  <c r="EB14" i="7"/>
  <c r="EC14" i="7"/>
  <c r="ED14" i="7"/>
  <c r="EE14" i="7"/>
  <c r="EF14" i="7"/>
  <c r="EG14" i="7"/>
  <c r="EH14" i="7"/>
  <c r="EI14" i="7"/>
  <c r="EJ14" i="7"/>
  <c r="EK14" i="7"/>
  <c r="EL14" i="7"/>
  <c r="DX82" i="7"/>
  <c r="DX75" i="7" s="1"/>
  <c r="DY82" i="7"/>
  <c r="DY79" i="7" s="1"/>
  <c r="DZ82" i="7"/>
  <c r="DZ79" i="7" s="1"/>
  <c r="EA82" i="7"/>
  <c r="EA79" i="7" s="1"/>
  <c r="EB82" i="7"/>
  <c r="EB75" i="7" s="1"/>
  <c r="EC82" i="7"/>
  <c r="EC79" i="7" s="1"/>
  <c r="ED82" i="7"/>
  <c r="ED79" i="7" s="1"/>
  <c r="EE82" i="7"/>
  <c r="EE71" i="7" s="1"/>
  <c r="EF82" i="7"/>
  <c r="EF75" i="7" s="1"/>
  <c r="EH82" i="7"/>
  <c r="EH79" i="7" s="1"/>
  <c r="EI82" i="7"/>
  <c r="EI71" i="7" s="1"/>
  <c r="EJ82" i="7"/>
  <c r="EJ75" i="7" s="1"/>
  <c r="EK82" i="7"/>
  <c r="EK79" i="7" s="1"/>
  <c r="DX83" i="7"/>
  <c r="DY83" i="7"/>
  <c r="DZ83" i="7"/>
  <c r="EA83" i="7"/>
  <c r="EB83" i="7"/>
  <c r="EC83" i="7"/>
  <c r="ED83" i="7"/>
  <c r="EE83" i="7"/>
  <c r="EF83" i="7"/>
  <c r="EH83" i="7"/>
  <c r="EI83" i="7"/>
  <c r="EJ83" i="7"/>
  <c r="EK83" i="7"/>
  <c r="DX84" i="7"/>
  <c r="DY84" i="7"/>
  <c r="DZ84" i="7"/>
  <c r="EA84" i="7"/>
  <c r="EB84" i="7"/>
  <c r="EC84" i="7"/>
  <c r="ED84" i="7"/>
  <c r="EE84" i="7"/>
  <c r="EF84" i="7"/>
  <c r="EH84" i="7"/>
  <c r="EI84" i="7"/>
  <c r="EJ84" i="7"/>
  <c r="EK84" i="7"/>
  <c r="EG82" i="7" l="1"/>
  <c r="EJ79" i="7"/>
  <c r="EF79" i="7"/>
  <c r="EB79" i="7"/>
  <c r="DX79" i="7"/>
  <c r="EI75" i="7"/>
  <c r="EE75" i="7"/>
  <c r="EA75" i="7"/>
  <c r="EH71" i="7"/>
  <c r="ED71" i="7"/>
  <c r="DZ71" i="7"/>
  <c r="EH11" i="5"/>
  <c r="EH73" i="5"/>
  <c r="EH79" i="5"/>
  <c r="EH89" i="5"/>
  <c r="EH91" i="5" s="1"/>
  <c r="EH86" i="5"/>
  <c r="EH161" i="5"/>
  <c r="EH23" i="8"/>
  <c r="EL12" i="4"/>
  <c r="EH14" i="4"/>
  <c r="ED11" i="5"/>
  <c r="ED73" i="5"/>
  <c r="ED79" i="5"/>
  <c r="ED89" i="5"/>
  <c r="ED91" i="5" s="1"/>
  <c r="ED86" i="5"/>
  <c r="ED161" i="5"/>
  <c r="ED23" i="8"/>
  <c r="ED14" i="4"/>
  <c r="DZ11" i="5"/>
  <c r="DZ73" i="5"/>
  <c r="DZ79" i="5"/>
  <c r="DZ89" i="5"/>
  <c r="DZ91" i="5" s="1"/>
  <c r="DZ86" i="5"/>
  <c r="DZ161" i="5"/>
  <c r="DZ23" i="8"/>
  <c r="DZ14" i="4"/>
  <c r="ED95" i="4"/>
  <c r="EI79" i="7"/>
  <c r="EE79" i="7"/>
  <c r="EH75" i="7"/>
  <c r="ED75" i="7"/>
  <c r="DZ75" i="7"/>
  <c r="EK71" i="7"/>
  <c r="EC71" i="7"/>
  <c r="EK11" i="5"/>
  <c r="EK79" i="5"/>
  <c r="EK89" i="5"/>
  <c r="EK91" i="5" s="1"/>
  <c r="EK73" i="5"/>
  <c r="EK161" i="5"/>
  <c r="EK23" i="8"/>
  <c r="EK95" i="4"/>
  <c r="EK14" i="4"/>
  <c r="EC11" i="5"/>
  <c r="EC79" i="5"/>
  <c r="EC89" i="5"/>
  <c r="EC91" i="5" s="1"/>
  <c r="EC73" i="5"/>
  <c r="EC161" i="5"/>
  <c r="EC23" i="8"/>
  <c r="EG12" i="4"/>
  <c r="EC95" i="4"/>
  <c r="EC14" i="4"/>
  <c r="DY11" i="5"/>
  <c r="DY79" i="5"/>
  <c r="DY89" i="5"/>
  <c r="DY91" i="5" s="1"/>
  <c r="DY73" i="5"/>
  <c r="DY161" i="5"/>
  <c r="DY23" i="8"/>
  <c r="DY95" i="4"/>
  <c r="DY14" i="4"/>
  <c r="EH102" i="4"/>
  <c r="ED102" i="4"/>
  <c r="DZ102" i="4"/>
  <c r="DZ95" i="4"/>
  <c r="EK75" i="7"/>
  <c r="EC75" i="7"/>
  <c r="DY75" i="7"/>
  <c r="EJ71" i="7"/>
  <c r="EF71" i="7"/>
  <c r="EJ11" i="5"/>
  <c r="EJ86" i="5" s="1"/>
  <c r="EJ73" i="5"/>
  <c r="EJ79" i="5"/>
  <c r="EJ89" i="5"/>
  <c r="EJ91" i="5" s="1"/>
  <c r="EJ161" i="5"/>
  <c r="EJ23" i="8"/>
  <c r="EJ95" i="4"/>
  <c r="EJ14" i="4"/>
  <c r="EF11" i="5"/>
  <c r="EF73" i="5"/>
  <c r="EF79" i="5"/>
  <c r="EF89" i="5"/>
  <c r="EF91" i="5" s="1"/>
  <c r="EF161" i="5"/>
  <c r="EF23" i="8"/>
  <c r="EF95" i="4"/>
  <c r="EF14" i="4"/>
  <c r="DX11" i="5"/>
  <c r="DX73" i="5"/>
  <c r="DX79" i="5"/>
  <c r="DX89" i="5"/>
  <c r="DX91" i="5" s="1"/>
  <c r="DX161" i="5"/>
  <c r="DX23" i="8"/>
  <c r="DX95" i="4"/>
  <c r="DX14" i="4"/>
  <c r="EB12" i="4"/>
  <c r="EK102" i="4"/>
  <c r="EC102" i="4"/>
  <c r="DY102" i="4"/>
  <c r="EL82" i="7"/>
  <c r="EI11" i="5"/>
  <c r="EI86" i="5" s="1"/>
  <c r="EI73" i="5"/>
  <c r="EI89" i="5"/>
  <c r="EI91" i="5" s="1"/>
  <c r="EI161" i="5"/>
  <c r="EI23" i="8"/>
  <c r="EI14" i="4"/>
  <c r="EI95" i="4"/>
  <c r="EE11" i="5"/>
  <c r="EE86" i="5" s="1"/>
  <c r="EE73" i="5"/>
  <c r="EE89" i="5"/>
  <c r="EE91" i="5" s="1"/>
  <c r="EE161" i="5"/>
  <c r="EE23" i="8"/>
  <c r="EE14" i="4"/>
  <c r="EE95" i="4"/>
  <c r="EA11" i="5"/>
  <c r="EA86" i="5" s="1"/>
  <c r="EA73" i="5"/>
  <c r="EA89" i="5"/>
  <c r="EA91" i="5" s="1"/>
  <c r="EA161" i="5"/>
  <c r="EA23" i="8"/>
  <c r="EA14" i="4"/>
  <c r="EA95" i="4"/>
  <c r="EJ102" i="4"/>
  <c r="EF102" i="4"/>
  <c r="DX102" i="4"/>
  <c r="EH95" i="4"/>
  <c r="EG94" i="5"/>
  <c r="EG93" i="5"/>
  <c r="EG97" i="5"/>
  <c r="EG36" i="8"/>
  <c r="EB31" i="8"/>
  <c r="EB32" i="8" s="1"/>
  <c r="EB28" i="8"/>
  <c r="EB93" i="5"/>
  <c r="EB97" i="5"/>
  <c r="EB94" i="5"/>
  <c r="EB36" i="8"/>
  <c r="EL72" i="8"/>
  <c r="EL33" i="8"/>
  <c r="EL28" i="8"/>
  <c r="EL31" i="8"/>
  <c r="EG72" i="8"/>
  <c r="EL97" i="5"/>
  <c r="EL94" i="5"/>
  <c r="EL93" i="5"/>
  <c r="EL36" i="8"/>
  <c r="EG28" i="8"/>
  <c r="EG31" i="8"/>
  <c r="EG33" i="8"/>
  <c r="EB72" i="8"/>
  <c r="EL79" i="5"/>
  <c r="EG79" i="5"/>
  <c r="EB79" i="5"/>
  <c r="EE79" i="5"/>
  <c r="EI79" i="5"/>
  <c r="EA79" i="5"/>
  <c r="EA25" i="8" l="1"/>
  <c r="EA48" i="8" s="1"/>
  <c r="EA26" i="4"/>
  <c r="EA25" i="4"/>
  <c r="EA15" i="7"/>
  <c r="EA16" i="7" s="1"/>
  <c r="EA96" i="4"/>
  <c r="EA98" i="4"/>
  <c r="EA103" i="4"/>
  <c r="EA97" i="4"/>
  <c r="EE25" i="8"/>
  <c r="EE48" i="8" s="1"/>
  <c r="EE26" i="4"/>
  <c r="EE25" i="4"/>
  <c r="EE15" i="7"/>
  <c r="EE98" i="4"/>
  <c r="EE103" i="4"/>
  <c r="EE96" i="4"/>
  <c r="EE97" i="4"/>
  <c r="EI25" i="8"/>
  <c r="EI48" i="8" s="1"/>
  <c r="EI26" i="4"/>
  <c r="EI25" i="4"/>
  <c r="EI96" i="4"/>
  <c r="EI15" i="7"/>
  <c r="EI16" i="7" s="1"/>
  <c r="EI98" i="4"/>
  <c r="EI103" i="4"/>
  <c r="EI97" i="4"/>
  <c r="DX25" i="8"/>
  <c r="DX48" i="8" s="1"/>
  <c r="DX25" i="4"/>
  <c r="DX26" i="4"/>
  <c r="DX96" i="4"/>
  <c r="DX97" i="4"/>
  <c r="DX15" i="7"/>
  <c r="DX16" i="7" s="1"/>
  <c r="DX98" i="4"/>
  <c r="DX103" i="4"/>
  <c r="DX150" i="5"/>
  <c r="DY150" i="5"/>
  <c r="DY155" i="5" s="1"/>
  <c r="EF124" i="5"/>
  <c r="EF200" i="5"/>
  <c r="EF169" i="5"/>
  <c r="EF86" i="5"/>
  <c r="EJ27" i="8"/>
  <c r="EJ36" i="8"/>
  <c r="EJ47" i="8"/>
  <c r="EJ54" i="8"/>
  <c r="EJ72" i="8"/>
  <c r="DY25" i="8"/>
  <c r="DY48" i="8" s="1"/>
  <c r="DY26" i="4"/>
  <c r="DY96" i="4"/>
  <c r="DY25" i="4"/>
  <c r="DY97" i="4"/>
  <c r="DY98" i="4"/>
  <c r="DY103" i="4"/>
  <c r="DY15" i="7"/>
  <c r="DY16" i="7" s="1"/>
  <c r="DZ150" i="5"/>
  <c r="DZ155" i="5" s="1"/>
  <c r="EC27" i="8"/>
  <c r="EC36" i="8"/>
  <c r="EC47" i="8"/>
  <c r="EC54" i="8"/>
  <c r="EC72" i="8"/>
  <c r="EK86" i="5"/>
  <c r="DZ25" i="8"/>
  <c r="DZ48" i="8" s="1"/>
  <c r="DZ97" i="4"/>
  <c r="DZ26" i="4"/>
  <c r="DZ96" i="4"/>
  <c r="DZ25" i="4"/>
  <c r="DZ15" i="7"/>
  <c r="DZ16" i="7" s="1"/>
  <c r="DZ98" i="4"/>
  <c r="DZ103" i="4"/>
  <c r="ED25" i="8"/>
  <c r="ED48" i="8" s="1"/>
  <c r="ED26" i="4"/>
  <c r="ED96" i="4"/>
  <c r="ED25" i="4"/>
  <c r="ED15" i="7"/>
  <c r="ED16" i="7" s="1"/>
  <c r="ED98" i="4"/>
  <c r="ED103" i="4"/>
  <c r="ED97" i="4"/>
  <c r="EH25" i="8"/>
  <c r="EH48" i="8" s="1"/>
  <c r="EH26" i="4"/>
  <c r="EH96" i="4"/>
  <c r="EH25" i="4"/>
  <c r="EH15" i="7"/>
  <c r="EH98" i="4"/>
  <c r="EH103" i="4"/>
  <c r="EH97" i="4"/>
  <c r="EI150" i="5"/>
  <c r="EI155" i="5" s="1"/>
  <c r="EL42" i="8"/>
  <c r="EL37" i="8"/>
  <c r="EL40" i="8"/>
  <c r="EL41" i="8" s="1"/>
  <c r="EG73" i="8"/>
  <c r="EG76" i="8"/>
  <c r="EG78" i="8"/>
  <c r="EL78" i="8"/>
  <c r="EL73" i="8"/>
  <c r="EL76" i="8"/>
  <c r="EL77" i="8" s="1"/>
  <c r="EA54" i="8"/>
  <c r="EA27" i="8"/>
  <c r="EA36" i="8"/>
  <c r="EA47" i="8"/>
  <c r="EA72" i="8"/>
  <c r="EE54" i="8"/>
  <c r="EE27" i="8"/>
  <c r="EE36" i="8"/>
  <c r="EE47" i="8"/>
  <c r="EE72" i="8"/>
  <c r="EI54" i="8"/>
  <c r="EI27" i="8"/>
  <c r="EI36" i="8"/>
  <c r="EI47" i="8"/>
  <c r="EI72" i="8"/>
  <c r="EF25" i="8"/>
  <c r="EF48" i="8" s="1"/>
  <c r="EF25" i="4"/>
  <c r="EF26" i="4"/>
  <c r="EF96" i="4"/>
  <c r="EF97" i="4"/>
  <c r="EF15" i="7"/>
  <c r="EF16" i="7" s="1"/>
  <c r="EF98" i="4"/>
  <c r="EF103" i="4"/>
  <c r="EG11" i="5"/>
  <c r="EJ124" i="5"/>
  <c r="EJ200" i="5"/>
  <c r="EJ169" i="5"/>
  <c r="DY86" i="5"/>
  <c r="EC25" i="8"/>
  <c r="EC48" i="8" s="1"/>
  <c r="EC26" i="4"/>
  <c r="EC96" i="4"/>
  <c r="EC25" i="4"/>
  <c r="EC98" i="4"/>
  <c r="EC103" i="4"/>
  <c r="EC97" i="4"/>
  <c r="EC15" i="7"/>
  <c r="EC16" i="7" s="1"/>
  <c r="EC124" i="5"/>
  <c r="EC169" i="5"/>
  <c r="EG161" i="5"/>
  <c r="EG169" i="5" s="1"/>
  <c r="EC200" i="5"/>
  <c r="EK27" i="8"/>
  <c r="EK36" i="8"/>
  <c r="EK47" i="8"/>
  <c r="EK54" i="8"/>
  <c r="EK72" i="8"/>
  <c r="DZ54" i="8"/>
  <c r="DZ27" i="8"/>
  <c r="DZ36" i="8"/>
  <c r="DZ47" i="8"/>
  <c r="DZ72" i="8"/>
  <c r="ED54" i="8"/>
  <c r="ED27" i="8"/>
  <c r="ED36" i="8"/>
  <c r="ED47" i="8"/>
  <c r="ED72" i="8"/>
  <c r="EL73" i="5"/>
  <c r="EL89" i="5"/>
  <c r="EL91" i="5" s="1"/>
  <c r="EL23" i="8"/>
  <c r="EL14" i="4"/>
  <c r="EL95" i="4"/>
  <c r="EL102" i="4"/>
  <c r="EL12" i="7"/>
  <c r="EL13" i="7" s="1"/>
  <c r="EL34" i="8"/>
  <c r="EA124" i="5"/>
  <c r="EA169" i="5"/>
  <c r="EA200" i="5"/>
  <c r="EB11" i="5"/>
  <c r="EE124" i="5"/>
  <c r="EE169" i="5"/>
  <c r="EE200" i="5"/>
  <c r="EF150" i="5"/>
  <c r="EF155" i="5" s="1"/>
  <c r="EI124" i="5"/>
  <c r="EI169" i="5"/>
  <c r="EI200" i="5"/>
  <c r="EJ150" i="5"/>
  <c r="EJ155" i="5" s="1"/>
  <c r="DX27" i="8"/>
  <c r="DX36" i="8"/>
  <c r="DX47" i="8"/>
  <c r="DX54" i="8"/>
  <c r="DX72" i="8"/>
  <c r="EJ25" i="8"/>
  <c r="EJ48" i="8" s="1"/>
  <c r="EJ25" i="4"/>
  <c r="EJ26" i="4"/>
  <c r="EJ96" i="4"/>
  <c r="EJ97" i="4"/>
  <c r="EJ15" i="7"/>
  <c r="EJ16" i="7" s="1"/>
  <c r="EJ98" i="4"/>
  <c r="EJ103" i="4"/>
  <c r="EK150" i="5"/>
  <c r="EK155" i="5" s="1"/>
  <c r="DY27" i="8"/>
  <c r="DY36" i="8"/>
  <c r="DY47" i="8"/>
  <c r="DY54" i="8"/>
  <c r="DY72" i="8"/>
  <c r="ED150" i="5"/>
  <c r="ED155" i="5" s="1"/>
  <c r="EK124" i="5"/>
  <c r="EK169" i="5"/>
  <c r="EK200" i="5"/>
  <c r="DZ124" i="5"/>
  <c r="DZ169" i="5"/>
  <c r="DZ200" i="5"/>
  <c r="ED124" i="5"/>
  <c r="ED169" i="5"/>
  <c r="ED200" i="5"/>
  <c r="EH54" i="8"/>
  <c r="EH27" i="8"/>
  <c r="EH36" i="8"/>
  <c r="EH47" i="8"/>
  <c r="EH72" i="8"/>
  <c r="EB76" i="8"/>
  <c r="EB77" i="8" s="1"/>
  <c r="EB73" i="8"/>
  <c r="EB40" i="8"/>
  <c r="EB41" i="8" s="1"/>
  <c r="EB38" i="8"/>
  <c r="BB51" i="9" s="1"/>
  <c r="EB37" i="8"/>
  <c r="EG32" i="8"/>
  <c r="EL32" i="8"/>
  <c r="EG37" i="8"/>
  <c r="EG40" i="8"/>
  <c r="EG41" i="8" s="1"/>
  <c r="EG38" i="8"/>
  <c r="BG51" i="9" s="1"/>
  <c r="EG42" i="8"/>
  <c r="EL79" i="7"/>
  <c r="EL75" i="7"/>
  <c r="EL84" i="7"/>
  <c r="EL71" i="7"/>
  <c r="EL83" i="7"/>
  <c r="EB86" i="5"/>
  <c r="EB73" i="5"/>
  <c r="EB89" i="5"/>
  <c r="EB91" i="5" s="1"/>
  <c r="EB23" i="8"/>
  <c r="EB74" i="8" s="1"/>
  <c r="BB41" i="9" s="1"/>
  <c r="EB95" i="4"/>
  <c r="EB14" i="4"/>
  <c r="EB102" i="4"/>
  <c r="EB12" i="7"/>
  <c r="EB13" i="7" s="1"/>
  <c r="DX124" i="5"/>
  <c r="EB124" i="5" s="1"/>
  <c r="EB161" i="5"/>
  <c r="EB169" i="5" s="1"/>
  <c r="DX200" i="5"/>
  <c r="DX169" i="5"/>
  <c r="DX86" i="5"/>
  <c r="EF27" i="8"/>
  <c r="EF36" i="8"/>
  <c r="EF47" i="8"/>
  <c r="EF54" i="8"/>
  <c r="EF72" i="8"/>
  <c r="DY124" i="5"/>
  <c r="DY169" i="5"/>
  <c r="DY200" i="5"/>
  <c r="EG89" i="5"/>
  <c r="EG91" i="5" s="1"/>
  <c r="EG86" i="5"/>
  <c r="EG73" i="5"/>
  <c r="EG23" i="8"/>
  <c r="EG95" i="4"/>
  <c r="EG14" i="4"/>
  <c r="EG102" i="4"/>
  <c r="EG12" i="7"/>
  <c r="EG13" i="7" s="1"/>
  <c r="EC86" i="5"/>
  <c r="EK25" i="8"/>
  <c r="EK48" i="8" s="1"/>
  <c r="EK26" i="4"/>
  <c r="EK96" i="4"/>
  <c r="EK25" i="4"/>
  <c r="EK98" i="4"/>
  <c r="EK103" i="4"/>
  <c r="EK97" i="4"/>
  <c r="EK15" i="7"/>
  <c r="EK16" i="7" s="1"/>
  <c r="EL11" i="5"/>
  <c r="EL87" i="5" s="1"/>
  <c r="EA150" i="5"/>
  <c r="EA155" i="5" s="1"/>
  <c r="EE150" i="5"/>
  <c r="EE155" i="5" s="1"/>
  <c r="EH124" i="5"/>
  <c r="EH169" i="5"/>
  <c r="EL161" i="5"/>
  <c r="EL169" i="5" s="1"/>
  <c r="EH200" i="5"/>
  <c r="EL200" i="5" s="1"/>
  <c r="EL207" i="5" s="1"/>
  <c r="EG79" i="7"/>
  <c r="EG75" i="7"/>
  <c r="EG84" i="7"/>
  <c r="EG71" i="7"/>
  <c r="EG83" i="7"/>
  <c r="EF60" i="8" l="1"/>
  <c r="EF55" i="8"/>
  <c r="EF58" i="8"/>
  <c r="EF57" i="8"/>
  <c r="EB25" i="8"/>
  <c r="EB25" i="4"/>
  <c r="EB96" i="4"/>
  <c r="EB97" i="4"/>
  <c r="EB15" i="7"/>
  <c r="EB16" i="7" s="1"/>
  <c r="EB98" i="4"/>
  <c r="EB103" i="4"/>
  <c r="EL54" i="8"/>
  <c r="EH58" i="8"/>
  <c r="EH57" i="8"/>
  <c r="EH60" i="8"/>
  <c r="EH55" i="8"/>
  <c r="ED78" i="8"/>
  <c r="ED73" i="8"/>
  <c r="ED76" i="8"/>
  <c r="ED75" i="8"/>
  <c r="DZ63" i="8"/>
  <c r="DZ28" i="8"/>
  <c r="DZ31" i="8"/>
  <c r="DZ32" i="8" s="1"/>
  <c r="DZ30" i="8"/>
  <c r="EG87" i="5"/>
  <c r="EH150" i="5"/>
  <c r="EI30" i="8"/>
  <c r="EI33" i="8"/>
  <c r="EI63" i="8"/>
  <c r="EI28" i="8"/>
  <c r="EI31" i="8"/>
  <c r="EI32" i="8" s="1"/>
  <c r="EC57" i="8"/>
  <c r="EC60" i="8"/>
  <c r="EC55" i="8"/>
  <c r="EG54" i="8"/>
  <c r="EC58" i="8"/>
  <c r="EG25" i="8"/>
  <c r="EG96" i="4"/>
  <c r="EG25" i="4"/>
  <c r="EG98" i="4"/>
  <c r="EG103" i="4"/>
  <c r="EG97" i="4"/>
  <c r="EG15" i="7"/>
  <c r="EG16" i="7" s="1"/>
  <c r="EL86" i="5"/>
  <c r="DZ73" i="8"/>
  <c r="DZ76" i="8"/>
  <c r="DZ77" i="8" s="1"/>
  <c r="DZ75" i="8"/>
  <c r="DZ58" i="8"/>
  <c r="DZ59" i="8" s="1"/>
  <c r="DZ57" i="8"/>
  <c r="DZ55" i="8"/>
  <c r="EK37" i="8"/>
  <c r="EK40" i="8"/>
  <c r="EK39" i="8"/>
  <c r="EK42" i="8"/>
  <c r="EC129" i="5"/>
  <c r="EC119" i="5"/>
  <c r="EC138" i="5"/>
  <c r="EG138" i="5" s="1"/>
  <c r="EG26" i="4"/>
  <c r="EC84" i="4"/>
  <c r="EI75" i="8"/>
  <c r="EI78" i="8"/>
  <c r="EI79" i="8" s="1"/>
  <c r="EI73" i="8"/>
  <c r="EI76" i="8"/>
  <c r="EI77" i="8" s="1"/>
  <c r="EI55" i="8"/>
  <c r="EI58" i="8"/>
  <c r="EI59" i="8" s="1"/>
  <c r="EI57" i="8"/>
  <c r="EI60" i="8"/>
  <c r="EE30" i="8"/>
  <c r="EE33" i="8"/>
  <c r="EE63" i="8"/>
  <c r="EE28" i="8"/>
  <c r="EE31" i="8"/>
  <c r="EA39" i="8"/>
  <c r="EA37" i="8"/>
  <c r="EA40" i="8"/>
  <c r="EA41" i="8" s="1"/>
  <c r="EG77" i="8"/>
  <c r="EH16" i="7"/>
  <c r="DZ27" i="4"/>
  <c r="DZ67" i="4"/>
  <c r="DZ89" i="4"/>
  <c r="DZ108" i="4"/>
  <c r="DZ132" i="4"/>
  <c r="DY129" i="5"/>
  <c r="DY119" i="5"/>
  <c r="DY138" i="5"/>
  <c r="DY84" i="4"/>
  <c r="EJ60" i="8"/>
  <c r="EJ55" i="8"/>
  <c r="EJ58" i="8"/>
  <c r="EJ57" i="8"/>
  <c r="DX129" i="5"/>
  <c r="DX119" i="5"/>
  <c r="DX138" i="5"/>
  <c r="DX84" i="4"/>
  <c r="EB26" i="4"/>
  <c r="EA119" i="5"/>
  <c r="EA129" i="5"/>
  <c r="EA138" i="5"/>
  <c r="EA84" i="4"/>
  <c r="EH78" i="8"/>
  <c r="EH73" i="8"/>
  <c r="EH76" i="8"/>
  <c r="EH75" i="8"/>
  <c r="DY57" i="8"/>
  <c r="DY55" i="8"/>
  <c r="DY58" i="8"/>
  <c r="DY59" i="8" s="1"/>
  <c r="EJ89" i="4"/>
  <c r="EJ27" i="4"/>
  <c r="EJ67" i="4"/>
  <c r="EJ132" i="4"/>
  <c r="EJ108" i="4"/>
  <c r="EL47" i="8"/>
  <c r="EL29" i="8"/>
  <c r="BL46" i="9" s="1"/>
  <c r="ED58" i="8"/>
  <c r="ED59" i="8" s="1"/>
  <c r="ED57" i="8"/>
  <c r="ED60" i="8"/>
  <c r="ED55" i="8"/>
  <c r="EH119" i="5"/>
  <c r="EH129" i="5"/>
  <c r="EH138" i="5"/>
  <c r="EL26" i="4"/>
  <c r="EH84" i="4"/>
  <c r="EA89" i="4"/>
  <c r="EA27" i="4"/>
  <c r="EA67" i="4"/>
  <c r="EA108" i="4"/>
  <c r="EA132" i="4"/>
  <c r="EL124" i="5"/>
  <c r="EK67" i="4"/>
  <c r="EK89" i="4"/>
  <c r="EK27" i="4"/>
  <c r="EK132" i="4"/>
  <c r="EK108" i="4"/>
  <c r="EF40" i="8"/>
  <c r="EF41" i="8" s="1"/>
  <c r="EF39" i="8"/>
  <c r="EF42" i="8"/>
  <c r="EF37" i="8"/>
  <c r="EB200" i="5"/>
  <c r="EB207" i="5" s="1"/>
  <c r="EB47" i="8"/>
  <c r="EB29" i="8"/>
  <c r="BB46" i="9" s="1"/>
  <c r="EH42" i="8"/>
  <c r="EH37" i="8"/>
  <c r="EH40" i="8"/>
  <c r="EH39" i="8"/>
  <c r="DY37" i="8"/>
  <c r="DY40" i="8"/>
  <c r="DY41" i="8" s="1"/>
  <c r="DY39" i="8"/>
  <c r="DX40" i="8"/>
  <c r="DX41" i="8" s="1"/>
  <c r="DX39" i="8"/>
  <c r="DX37" i="8"/>
  <c r="EB87" i="5"/>
  <c r="EC150" i="5"/>
  <c r="ED42" i="8"/>
  <c r="ED37" i="8"/>
  <c r="ED40" i="8"/>
  <c r="ED41" i="8" s="1"/>
  <c r="ED39" i="8"/>
  <c r="EK73" i="8"/>
  <c r="EK76" i="8"/>
  <c r="EK75" i="8"/>
  <c r="EK78" i="8"/>
  <c r="EK28" i="8"/>
  <c r="EK31" i="8"/>
  <c r="EK30" i="8"/>
  <c r="EK33" i="8"/>
  <c r="EK63" i="8"/>
  <c r="EG124" i="5"/>
  <c r="EF129" i="5"/>
  <c r="EF119" i="5"/>
  <c r="EF138" i="5"/>
  <c r="EF84" i="4"/>
  <c r="EE75" i="8"/>
  <c r="EE78" i="8"/>
  <c r="EE73" i="8"/>
  <c r="EE76" i="8"/>
  <c r="EE55" i="8"/>
  <c r="EE58" i="8"/>
  <c r="EE59" i="8" s="1"/>
  <c r="EE57" i="8"/>
  <c r="EE60" i="8"/>
  <c r="EA30" i="8"/>
  <c r="EA63" i="8"/>
  <c r="EA28" i="8"/>
  <c r="EA31" i="8"/>
  <c r="EA32" i="8" s="1"/>
  <c r="EL43" i="8"/>
  <c r="EH27" i="4"/>
  <c r="EH67" i="4"/>
  <c r="EH89" i="4"/>
  <c r="EH108" i="4"/>
  <c r="EH132" i="4"/>
  <c r="ED27" i="4"/>
  <c r="ED67" i="4"/>
  <c r="ED89" i="4"/>
  <c r="ED108" i="4"/>
  <c r="ED132" i="4"/>
  <c r="EC37" i="8"/>
  <c r="EC40" i="8"/>
  <c r="EC39" i="8"/>
  <c r="EC42" i="8"/>
  <c r="EB150" i="5"/>
  <c r="EB155" i="5" s="1"/>
  <c r="DX155" i="5"/>
  <c r="DX89" i="4"/>
  <c r="DX27" i="4"/>
  <c r="DX67" i="4"/>
  <c r="DX132" i="4"/>
  <c r="DX108" i="4"/>
  <c r="EI89" i="4"/>
  <c r="EI27" i="4"/>
  <c r="EI67" i="4"/>
  <c r="EI108" i="4"/>
  <c r="EI132" i="4"/>
  <c r="EE16" i="7"/>
  <c r="EK129" i="5"/>
  <c r="EK119" i="5"/>
  <c r="EK138" i="5"/>
  <c r="EK84" i="4"/>
  <c r="DX55" i="8"/>
  <c r="EB54" i="8"/>
  <c r="DX58" i="8"/>
  <c r="DX59" i="8" s="1"/>
  <c r="DX57" i="8"/>
  <c r="EE39" i="8"/>
  <c r="EE42" i="8"/>
  <c r="EE37" i="8"/>
  <c r="EE40" i="8"/>
  <c r="EL74" i="8"/>
  <c r="BL41" i="9" s="1"/>
  <c r="ED119" i="5"/>
  <c r="ED129" i="5"/>
  <c r="ED138" i="5"/>
  <c r="ED84" i="4"/>
  <c r="EJ76" i="8"/>
  <c r="EJ77" i="8" s="1"/>
  <c r="EJ75" i="8"/>
  <c r="EJ78" i="8"/>
  <c r="EJ79" i="8" s="1"/>
  <c r="EJ73" i="8"/>
  <c r="EJ31" i="8"/>
  <c r="EJ32" i="8" s="1"/>
  <c r="EJ30" i="8"/>
  <c r="EJ33" i="8"/>
  <c r="EJ28" i="8"/>
  <c r="EJ63" i="8"/>
  <c r="EE119" i="5"/>
  <c r="EE129" i="5"/>
  <c r="EE138" i="5"/>
  <c r="EE84" i="4"/>
  <c r="EG47" i="8"/>
  <c r="EG29" i="8"/>
  <c r="BG46" i="9" s="1"/>
  <c r="EF76" i="8"/>
  <c r="EF75" i="8"/>
  <c r="EF78" i="8"/>
  <c r="EF73" i="8"/>
  <c r="EF31" i="8"/>
  <c r="EF30" i="8"/>
  <c r="EF33" i="8"/>
  <c r="EF28" i="8"/>
  <c r="EF63" i="8"/>
  <c r="EH33" i="8"/>
  <c r="EH63" i="8"/>
  <c r="EH28" i="8"/>
  <c r="EH31" i="8"/>
  <c r="EH30" i="8"/>
  <c r="DY73" i="8"/>
  <c r="DY76" i="8"/>
  <c r="DY77" i="8" s="1"/>
  <c r="DY75" i="8"/>
  <c r="DY28" i="8"/>
  <c r="DY31" i="8"/>
  <c r="DY32" i="8" s="1"/>
  <c r="DY30" i="8"/>
  <c r="DY63" i="8"/>
  <c r="EJ129" i="5"/>
  <c r="EJ119" i="5"/>
  <c r="EJ138" i="5"/>
  <c r="EJ84" i="4"/>
  <c r="DX76" i="8"/>
  <c r="DX77" i="8" s="1"/>
  <c r="DX75" i="8"/>
  <c r="DX73" i="8"/>
  <c r="DX31" i="8"/>
  <c r="DX32" i="8" s="1"/>
  <c r="DX30" i="8"/>
  <c r="DX63" i="8"/>
  <c r="DX28" i="8"/>
  <c r="EL25" i="8"/>
  <c r="EL25" i="4"/>
  <c r="EL15" i="7"/>
  <c r="EL96" i="4"/>
  <c r="EL98" i="4"/>
  <c r="EL103" i="4"/>
  <c r="EL97" i="4"/>
  <c r="ED33" i="8"/>
  <c r="ED63" i="8"/>
  <c r="ED28" i="8"/>
  <c r="ED31" i="8"/>
  <c r="ED32" i="8" s="1"/>
  <c r="ED30" i="8"/>
  <c r="DZ37" i="8"/>
  <c r="DZ40" i="8"/>
  <c r="DZ41" i="8" s="1"/>
  <c r="DZ39" i="8"/>
  <c r="EK57" i="8"/>
  <c r="EK60" i="8"/>
  <c r="EK61" i="8" s="1"/>
  <c r="EK55" i="8"/>
  <c r="EK58" i="8"/>
  <c r="EK59" i="8" s="1"/>
  <c r="EG200" i="5"/>
  <c r="EG207" i="5" s="1"/>
  <c r="EC67" i="4"/>
  <c r="EC89" i="4"/>
  <c r="EC27" i="4"/>
  <c r="EC132" i="4"/>
  <c r="EC108" i="4"/>
  <c r="EF89" i="4"/>
  <c r="EF27" i="4"/>
  <c r="EF67" i="4"/>
  <c r="EF132" i="4"/>
  <c r="EF108" i="4"/>
  <c r="EI39" i="8"/>
  <c r="EI42" i="8"/>
  <c r="EI43" i="8" s="1"/>
  <c r="EI37" i="8"/>
  <c r="EI40" i="8"/>
  <c r="EA75" i="8"/>
  <c r="EA73" i="8"/>
  <c r="EA76" i="8"/>
  <c r="EA77" i="8" s="1"/>
  <c r="EA55" i="8"/>
  <c r="EA58" i="8"/>
  <c r="EA59" i="8" s="1"/>
  <c r="EA57" i="8"/>
  <c r="EL79" i="8"/>
  <c r="EG74" i="8"/>
  <c r="BG41" i="9" s="1"/>
  <c r="EL38" i="8"/>
  <c r="BL51" i="9" s="1"/>
  <c r="DZ119" i="5"/>
  <c r="DZ129" i="5"/>
  <c r="DZ138" i="5"/>
  <c r="DZ84" i="4"/>
  <c r="EC73" i="8"/>
  <c r="EC76" i="8"/>
  <c r="EC77" i="8" s="1"/>
  <c r="EC75" i="8"/>
  <c r="EC78" i="8"/>
  <c r="EC28" i="8"/>
  <c r="EC31" i="8"/>
  <c r="EC32" i="8" s="1"/>
  <c r="EC30" i="8"/>
  <c r="EC33" i="8"/>
  <c r="EC63" i="8"/>
  <c r="DY67" i="4"/>
  <c r="DY89" i="4"/>
  <c r="DY27" i="4"/>
  <c r="DY132" i="4"/>
  <c r="DY108" i="4"/>
  <c r="EJ40" i="8"/>
  <c r="EJ41" i="8" s="1"/>
  <c r="EJ39" i="8"/>
  <c r="EJ42" i="8"/>
  <c r="EJ37" i="8"/>
  <c r="EI119" i="5"/>
  <c r="EI129" i="5"/>
  <c r="EI138" i="5"/>
  <c r="EI84" i="4"/>
  <c r="EE89" i="4"/>
  <c r="EE27" i="4"/>
  <c r="EE67" i="4"/>
  <c r="EE108" i="4"/>
  <c r="EE132" i="4"/>
  <c r="EC91" i="4" l="1"/>
  <c r="EC33" i="4"/>
  <c r="EC80" i="4"/>
  <c r="EJ64" i="8"/>
  <c r="EJ67" i="8"/>
  <c r="EJ66" i="8"/>
  <c r="EJ65" i="8"/>
  <c r="EJ69" i="8"/>
  <c r="ED80" i="4"/>
  <c r="ED85" i="4" s="1"/>
  <c r="ED91" i="4"/>
  <c r="ED33" i="4"/>
  <c r="EH77" i="8"/>
  <c r="EL58" i="8"/>
  <c r="EL57" i="8"/>
  <c r="EL56" i="8"/>
  <c r="BL56" i="9" s="1"/>
  <c r="EL60" i="8"/>
  <c r="EL55" i="8"/>
  <c r="EL63" i="8"/>
  <c r="EC67" i="8"/>
  <c r="EC64" i="8"/>
  <c r="EC66" i="8"/>
  <c r="EC65" i="8"/>
  <c r="EC69" i="8"/>
  <c r="EI41" i="8"/>
  <c r="EF64" i="8"/>
  <c r="EF67" i="8"/>
  <c r="EF66" i="8"/>
  <c r="EF65" i="8"/>
  <c r="EF69" i="8"/>
  <c r="EF32" i="8"/>
  <c r="EF77" i="8"/>
  <c r="EH80" i="4"/>
  <c r="EH91" i="4"/>
  <c r="EH33" i="4"/>
  <c r="EE77" i="8"/>
  <c r="EK32" i="8"/>
  <c r="EK77" i="8"/>
  <c r="EA33" i="4"/>
  <c r="EA80" i="4"/>
  <c r="EA85" i="4" s="1"/>
  <c r="EA91" i="4"/>
  <c r="EL138" i="5"/>
  <c r="EJ33" i="4"/>
  <c r="EJ80" i="4"/>
  <c r="EJ85" i="4" s="1"/>
  <c r="EJ91" i="4"/>
  <c r="EB119" i="5"/>
  <c r="EB99" i="4"/>
  <c r="EB129" i="5"/>
  <c r="EJ61" i="8"/>
  <c r="EE32" i="8"/>
  <c r="EK41" i="8"/>
  <c r="EL150" i="5"/>
  <c r="EL155" i="5" s="1"/>
  <c r="EH155" i="5"/>
  <c r="ED77" i="8"/>
  <c r="EH61" i="8"/>
  <c r="EF59" i="8"/>
  <c r="EF33" i="4"/>
  <c r="EF80" i="4"/>
  <c r="EF85" i="4" s="1"/>
  <c r="EF91" i="4"/>
  <c r="EH32" i="8"/>
  <c r="ED133" i="4"/>
  <c r="EL119" i="5"/>
  <c r="EL99" i="4"/>
  <c r="EG67" i="4"/>
  <c r="EG89" i="4"/>
  <c r="EG27" i="4"/>
  <c r="EG132" i="4"/>
  <c r="EG108" i="4"/>
  <c r="EJ43" i="8"/>
  <c r="EE33" i="4"/>
  <c r="EE80" i="4"/>
  <c r="EE85" i="4" s="1"/>
  <c r="EE91" i="4"/>
  <c r="DY91" i="4"/>
  <c r="DY33" i="4"/>
  <c r="DY80" i="4"/>
  <c r="DY85" i="4" s="1"/>
  <c r="EL16" i="7"/>
  <c r="DX64" i="8"/>
  <c r="DX67" i="8"/>
  <c r="DX68" i="8" s="1"/>
  <c r="DX66" i="8"/>
  <c r="DX65" i="8"/>
  <c r="DY64" i="8"/>
  <c r="DY67" i="8"/>
  <c r="DY68" i="8" s="1"/>
  <c r="DY66" i="8"/>
  <c r="DY65" i="8"/>
  <c r="EH64" i="8"/>
  <c r="EH65" i="8"/>
  <c r="EH69" i="8"/>
  <c r="EH70" i="8" s="1"/>
  <c r="EH67" i="8"/>
  <c r="EH68" i="8" s="1"/>
  <c r="EH66" i="8"/>
  <c r="EJ34" i="8"/>
  <c r="EE41" i="8"/>
  <c r="EC41" i="8"/>
  <c r="EA64" i="8"/>
  <c r="EA66" i="8"/>
  <c r="EA65" i="8"/>
  <c r="EA67" i="8"/>
  <c r="EA68" i="8" s="1"/>
  <c r="EK64" i="8"/>
  <c r="EK67" i="8"/>
  <c r="EK68" i="8" s="1"/>
  <c r="EK66" i="8"/>
  <c r="EK65" i="8"/>
  <c r="EK69" i="8"/>
  <c r="EK70" i="8" s="1"/>
  <c r="EH41" i="8"/>
  <c r="EK91" i="4"/>
  <c r="EK33" i="4"/>
  <c r="EK80" i="4"/>
  <c r="EK85" i="4" s="1"/>
  <c r="EK133" i="4" s="1"/>
  <c r="EA133" i="4"/>
  <c r="EL129" i="5"/>
  <c r="EH79" i="8"/>
  <c r="EB84" i="4"/>
  <c r="DZ80" i="4"/>
  <c r="DZ85" i="4" s="1"/>
  <c r="DZ133" i="4" s="1"/>
  <c r="DZ91" i="4"/>
  <c r="DZ33" i="4"/>
  <c r="EI61" i="8"/>
  <c r="EG84" i="4"/>
  <c r="EG129" i="5"/>
  <c r="EG48" i="8"/>
  <c r="EG30" i="8"/>
  <c r="EG75" i="8"/>
  <c r="EG39" i="8"/>
  <c r="EI64" i="8"/>
  <c r="EI66" i="8"/>
  <c r="EI65" i="8"/>
  <c r="EI69" i="8"/>
  <c r="EI67" i="8"/>
  <c r="DZ64" i="8"/>
  <c r="DZ65" i="8"/>
  <c r="DZ67" i="8"/>
  <c r="DZ68" i="8" s="1"/>
  <c r="DZ66" i="8"/>
  <c r="EB89" i="4"/>
  <c r="EB27" i="4"/>
  <c r="EB67" i="4"/>
  <c r="EB132" i="4"/>
  <c r="EB108" i="4"/>
  <c r="EL48" i="8"/>
  <c r="EL30" i="8"/>
  <c r="EL39" i="8"/>
  <c r="EL75" i="8"/>
  <c r="EB56" i="8"/>
  <c r="BB56" i="9" s="1"/>
  <c r="EB55" i="8"/>
  <c r="EB58" i="8"/>
  <c r="EB59" i="8" s="1"/>
  <c r="EB57" i="8"/>
  <c r="EB63" i="8"/>
  <c r="DX33" i="4"/>
  <c r="DX80" i="4"/>
  <c r="DX91" i="4"/>
  <c r="EH43" i="8"/>
  <c r="EG57" i="8"/>
  <c r="EG56" i="8"/>
  <c r="BG56" i="9" s="1"/>
  <c r="EG60" i="8"/>
  <c r="EG55" i="8"/>
  <c r="EG58" i="8"/>
  <c r="EG59" i="8" s="1"/>
  <c r="EG63" i="8"/>
  <c r="DY133" i="4"/>
  <c r="EE133" i="4"/>
  <c r="ED64" i="8"/>
  <c r="ED65" i="8"/>
  <c r="ED69" i="8"/>
  <c r="ED67" i="8"/>
  <c r="ED68" i="8" s="1"/>
  <c r="ED66" i="8"/>
  <c r="EL27" i="4"/>
  <c r="EL67" i="4"/>
  <c r="EL89" i="4"/>
  <c r="EL108" i="4"/>
  <c r="EL132" i="4"/>
  <c r="EH34" i="8"/>
  <c r="EI33" i="4"/>
  <c r="EI80" i="4"/>
  <c r="EI85" i="4" s="1"/>
  <c r="EI91" i="4"/>
  <c r="EK34" i="8"/>
  <c r="EK79" i="8"/>
  <c r="EC155" i="5"/>
  <c r="EG150" i="5"/>
  <c r="EG155" i="5" s="1"/>
  <c r="EL84" i="4"/>
  <c r="EJ133" i="4"/>
  <c r="EB138" i="5"/>
  <c r="DX21" i="5"/>
  <c r="EJ59" i="8"/>
  <c r="EE64" i="8"/>
  <c r="EE66" i="8"/>
  <c r="EE65" i="8"/>
  <c r="EE69" i="8"/>
  <c r="EE67" i="8"/>
  <c r="EE68" i="8" s="1"/>
  <c r="EG119" i="5"/>
  <c r="EG99" i="4"/>
  <c r="EK43" i="8"/>
  <c r="EC59" i="8"/>
  <c r="EI34" i="8"/>
  <c r="EH59" i="8"/>
  <c r="EB48" i="8"/>
  <c r="EB30" i="8"/>
  <c r="EB75" i="8"/>
  <c r="EB39" i="8"/>
  <c r="EF87" i="4" l="1"/>
  <c r="EF90" i="4" s="1"/>
  <c r="EF86" i="4"/>
  <c r="BF1" i="9"/>
  <c r="EF109" i="4"/>
  <c r="EA92" i="4"/>
  <c r="EA34" i="4"/>
  <c r="EA35" i="4" s="1"/>
  <c r="EA110" i="4"/>
  <c r="EF68" i="8"/>
  <c r="EL65" i="8"/>
  <c r="EL69" i="8"/>
  <c r="EL64" i="8"/>
  <c r="EL67" i="8"/>
  <c r="EL66" i="8"/>
  <c r="EJ70" i="8"/>
  <c r="EI87" i="4"/>
  <c r="EI90" i="4" s="1"/>
  <c r="EI86" i="4"/>
  <c r="EI109" i="4"/>
  <c r="BI1" i="9"/>
  <c r="EG67" i="8"/>
  <c r="EG66" i="8"/>
  <c r="EG64" i="8"/>
  <c r="EG65" i="8"/>
  <c r="EG69" i="8"/>
  <c r="EI68" i="8"/>
  <c r="EF133" i="4"/>
  <c r="EI133" i="4"/>
  <c r="EF34" i="4"/>
  <c r="EF35" i="4" s="1"/>
  <c r="EF92" i="4"/>
  <c r="EF110" i="4"/>
  <c r="EL80" i="4"/>
  <c r="EL85" i="4" s="1"/>
  <c r="EH85" i="4"/>
  <c r="EL59" i="8"/>
  <c r="ED87" i="4"/>
  <c r="ED90" i="4" s="1"/>
  <c r="ED86" i="4"/>
  <c r="BD1" i="9"/>
  <c r="ED109" i="4"/>
  <c r="EC85" i="4"/>
  <c r="EG80" i="4"/>
  <c r="EG85" i="4" s="1"/>
  <c r="EB64" i="8"/>
  <c r="EB67" i="8"/>
  <c r="EB68" i="8" s="1"/>
  <c r="EB66" i="8"/>
  <c r="EB65" i="8"/>
  <c r="DZ87" i="4"/>
  <c r="DZ90" i="4" s="1"/>
  <c r="DZ86" i="4"/>
  <c r="AZ1" i="9"/>
  <c r="DZ109" i="4"/>
  <c r="EL91" i="4"/>
  <c r="EL33" i="4"/>
  <c r="EB33" i="4"/>
  <c r="EB91" i="4"/>
  <c r="EI70" i="8"/>
  <c r="DZ92" i="4"/>
  <c r="DZ34" i="4"/>
  <c r="DZ35" i="4" s="1"/>
  <c r="DZ110" i="4"/>
  <c r="EK86" i="4"/>
  <c r="EK87" i="4"/>
  <c r="EK90" i="4" s="1"/>
  <c r="BK1" i="9"/>
  <c r="EK109" i="4"/>
  <c r="DY86" i="4"/>
  <c r="DY87" i="4"/>
  <c r="DY90" i="4" s="1"/>
  <c r="AY1" i="9"/>
  <c r="DY109" i="4"/>
  <c r="EE64" i="5"/>
  <c r="EE87" i="4"/>
  <c r="EE90" i="4" s="1"/>
  <c r="EE86" i="4"/>
  <c r="EE109" i="4"/>
  <c r="BE1" i="9"/>
  <c r="EG133" i="4"/>
  <c r="EJ64" i="5"/>
  <c r="EJ87" i="4"/>
  <c r="EJ90" i="4" s="1"/>
  <c r="EJ86" i="4"/>
  <c r="BJ1" i="9"/>
  <c r="EJ109" i="4"/>
  <c r="EL61" i="8"/>
  <c r="EC34" i="4"/>
  <c r="EC92" i="4"/>
  <c r="EC110" i="4"/>
  <c r="EI92" i="4"/>
  <c r="EI34" i="4"/>
  <c r="EI35" i="4" s="1"/>
  <c r="EI110" i="4"/>
  <c r="EL133" i="4"/>
  <c r="DX85" i="4"/>
  <c r="EB80" i="4"/>
  <c r="EB85" i="4" s="1"/>
  <c r="DY21" i="5"/>
  <c r="DX113" i="5"/>
  <c r="DX114" i="5" s="1"/>
  <c r="DX34" i="4"/>
  <c r="DX92" i="4"/>
  <c r="DX110" i="4"/>
  <c r="EK34" i="4"/>
  <c r="EK35" i="4" s="1"/>
  <c r="EK92" i="4"/>
  <c r="EK110" i="4"/>
  <c r="DY34" i="4"/>
  <c r="DY35" i="4" s="1"/>
  <c r="DY92" i="4"/>
  <c r="DY110" i="4"/>
  <c r="EE92" i="4"/>
  <c r="EE35" i="4"/>
  <c r="EE34" i="4"/>
  <c r="EE110" i="4"/>
  <c r="EG91" i="4"/>
  <c r="EG33" i="4"/>
  <c r="EJ34" i="4"/>
  <c r="EJ92" i="4"/>
  <c r="EJ35" i="4"/>
  <c r="EJ110" i="4"/>
  <c r="EA87" i="4"/>
  <c r="EA90" i="4" s="1"/>
  <c r="EA86" i="4"/>
  <c r="EA109" i="4"/>
  <c r="BA1" i="9"/>
  <c r="EH92" i="4"/>
  <c r="EH34" i="4"/>
  <c r="EL34" i="4" s="1"/>
  <c r="EL100" i="4" s="1"/>
  <c r="EH110" i="4"/>
  <c r="EC68" i="8"/>
  <c r="ED92" i="4"/>
  <c r="ED34" i="4"/>
  <c r="ED35" i="4" s="1"/>
  <c r="ED110" i="4"/>
  <c r="EJ68" i="8"/>
  <c r="DY136" i="5" l="1"/>
  <c r="DY49" i="4"/>
  <c r="DY47" i="4"/>
  <c r="EF136" i="5"/>
  <c r="EF47" i="4"/>
  <c r="EF49" i="4"/>
  <c r="ED136" i="5"/>
  <c r="ED49" i="4"/>
  <c r="ED47" i="4"/>
  <c r="EA136" i="5"/>
  <c r="EA47" i="4"/>
  <c r="EA49" i="4"/>
  <c r="EI136" i="5"/>
  <c r="EI47" i="4"/>
  <c r="EI49" i="4"/>
  <c r="EK136" i="5"/>
  <c r="EK49" i="4"/>
  <c r="EK47" i="4"/>
  <c r="DZ136" i="5"/>
  <c r="DZ49" i="4"/>
  <c r="DZ47" i="4"/>
  <c r="EG92" i="4"/>
  <c r="EG110" i="4"/>
  <c r="EE136" i="5"/>
  <c r="EE47" i="4"/>
  <c r="EE49" i="4"/>
  <c r="EB87" i="4"/>
  <c r="EB90" i="4" s="1"/>
  <c r="EB86" i="4"/>
  <c r="BB1" i="9"/>
  <c r="EB109" i="4"/>
  <c r="EB133" i="4"/>
  <c r="EG34" i="4"/>
  <c r="EG100" i="4" s="1"/>
  <c r="EC64" i="5"/>
  <c r="EC86" i="4"/>
  <c r="EC87" i="4"/>
  <c r="EC90" i="4" s="1"/>
  <c r="BC1" i="9"/>
  <c r="EC109" i="4"/>
  <c r="EC133" i="4"/>
  <c r="EH64" i="5"/>
  <c r="EH87" i="4"/>
  <c r="EH90" i="4" s="1"/>
  <c r="EH86" i="4"/>
  <c r="BH1" i="9"/>
  <c r="EH109" i="4"/>
  <c r="EH133" i="4"/>
  <c r="EL70" i="8"/>
  <c r="EJ136" i="5"/>
  <c r="EJ47" i="4"/>
  <c r="EJ49" i="4"/>
  <c r="DX20" i="5"/>
  <c r="EB34" i="4"/>
  <c r="EB100" i="4" s="1"/>
  <c r="DX64" i="5"/>
  <c r="DX87" i="4"/>
  <c r="DX90" i="4" s="1"/>
  <c r="DX86" i="4"/>
  <c r="AX1" i="9"/>
  <c r="DX109" i="4"/>
  <c r="DX133" i="4"/>
  <c r="EC35" i="4"/>
  <c r="EE61" i="5"/>
  <c r="EE63" i="5"/>
  <c r="DZ64" i="5"/>
  <c r="ED64" i="5"/>
  <c r="EL87" i="4"/>
  <c r="EL90" i="4" s="1"/>
  <c r="EL86" i="4"/>
  <c r="BL1" i="9"/>
  <c r="EL109" i="4"/>
  <c r="EG68" i="8"/>
  <c r="DY64" i="5"/>
  <c r="EB92" i="4"/>
  <c r="EB35" i="4"/>
  <c r="EB110" i="4"/>
  <c r="EL68" i="8"/>
  <c r="EH35" i="4"/>
  <c r="EA64" i="5"/>
  <c r="DX35" i="4"/>
  <c r="DZ21" i="5"/>
  <c r="DY113" i="5"/>
  <c r="DY114" i="5" s="1"/>
  <c r="EJ63" i="5"/>
  <c r="EJ61" i="5"/>
  <c r="EK64" i="5"/>
  <c r="EL92" i="4"/>
  <c r="EL35" i="4"/>
  <c r="EL110" i="4"/>
  <c r="EG86" i="4"/>
  <c r="EG87" i="4"/>
  <c r="EG90" i="4" s="1"/>
  <c r="BG1" i="9"/>
  <c r="EG109" i="4"/>
  <c r="EI64" i="5"/>
  <c r="EF64" i="5"/>
  <c r="DX63" i="5" l="1"/>
  <c r="DX61" i="5"/>
  <c r="EJ101" i="5"/>
  <c r="EJ61" i="4"/>
  <c r="EJ128" i="4"/>
  <c r="EH61" i="5"/>
  <c r="EH63" i="5"/>
  <c r="DZ59" i="4"/>
  <c r="DZ65" i="4"/>
  <c r="DZ66" i="4" s="1"/>
  <c r="DZ111" i="4"/>
  <c r="DZ129" i="4"/>
  <c r="EA65" i="4"/>
  <c r="EA66" i="4" s="1"/>
  <c r="EA59" i="4"/>
  <c r="EA129" i="4"/>
  <c r="EA111" i="4"/>
  <c r="ED59" i="4"/>
  <c r="ED65" i="4"/>
  <c r="ED111" i="4"/>
  <c r="ED129" i="4"/>
  <c r="EL49" i="4"/>
  <c r="EL47" i="4"/>
  <c r="EA61" i="5"/>
  <c r="EA63" i="5"/>
  <c r="EB64" i="5"/>
  <c r="EB47" i="4"/>
  <c r="EB49" i="4"/>
  <c r="EE65" i="4"/>
  <c r="EE66" i="4" s="1"/>
  <c r="EE59" i="4"/>
  <c r="EE129" i="4"/>
  <c r="EE111" i="4"/>
  <c r="EI65" i="4"/>
  <c r="EI66" i="4" s="1"/>
  <c r="EI59" i="4"/>
  <c r="EI129" i="4"/>
  <c r="EI111" i="4"/>
  <c r="EA101" i="5"/>
  <c r="EA61" i="4"/>
  <c r="EA128" i="4"/>
  <c r="DY101" i="5"/>
  <c r="DY61" i="4"/>
  <c r="DY128" i="4"/>
  <c r="DX136" i="5"/>
  <c r="DX47" i="4"/>
  <c r="DX49" i="4"/>
  <c r="EH136" i="5"/>
  <c r="EH49" i="4"/>
  <c r="EH47" i="4"/>
  <c r="ED61" i="5"/>
  <c r="ED63" i="5"/>
  <c r="EC136" i="5"/>
  <c r="EC49" i="4"/>
  <c r="EC47" i="4"/>
  <c r="DY20" i="5"/>
  <c r="DX140" i="5"/>
  <c r="EC63" i="5"/>
  <c r="EC61" i="5"/>
  <c r="EE101" i="5"/>
  <c r="EE61" i="4"/>
  <c r="EE128" i="4"/>
  <c r="EG35" i="4"/>
  <c r="EK101" i="5"/>
  <c r="EK61" i="4"/>
  <c r="EK128" i="4"/>
  <c r="EI101" i="5"/>
  <c r="EI61" i="4"/>
  <c r="EI128" i="4"/>
  <c r="EF59" i="4"/>
  <c r="EF65" i="4"/>
  <c r="EF66" i="4" s="1"/>
  <c r="EF129" i="4"/>
  <c r="EF111" i="4"/>
  <c r="DY59" i="4"/>
  <c r="DY65" i="4"/>
  <c r="DY66" i="4" s="1"/>
  <c r="DY111" i="4"/>
  <c r="DY129" i="4"/>
  <c r="EF63" i="5"/>
  <c r="EG64" i="5"/>
  <c r="EF61" i="5"/>
  <c r="EI61" i="5"/>
  <c r="EI63" i="5"/>
  <c r="EK63" i="5"/>
  <c r="EL64" i="5"/>
  <c r="EK61" i="5"/>
  <c r="EA21" i="5"/>
  <c r="DZ113" i="5"/>
  <c r="DZ114" i="5" s="1"/>
  <c r="DY63" i="5"/>
  <c r="DY61" i="5"/>
  <c r="DZ61" i="5"/>
  <c r="DZ63" i="5"/>
  <c r="EJ59" i="4"/>
  <c r="EJ65" i="4"/>
  <c r="EJ66" i="4" s="1"/>
  <c r="EJ129" i="4"/>
  <c r="EJ111" i="4"/>
  <c r="DZ101" i="5"/>
  <c r="DZ61" i="4"/>
  <c r="DZ128" i="4"/>
  <c r="EK59" i="4"/>
  <c r="EK65" i="4"/>
  <c r="EK66" i="4" s="1"/>
  <c r="EK111" i="4"/>
  <c r="EK129" i="4"/>
  <c r="ED101" i="5"/>
  <c r="ED61" i="4"/>
  <c r="ED128" i="4"/>
  <c r="EF101" i="5"/>
  <c r="EF61" i="4"/>
  <c r="EF128" i="4"/>
  <c r="DZ62" i="4" l="1"/>
  <c r="DZ112" i="4"/>
  <c r="EB21" i="5"/>
  <c r="EA113" i="5"/>
  <c r="EA114" i="5" s="1"/>
  <c r="DY63" i="4"/>
  <c r="DY93" i="4"/>
  <c r="EF63" i="4"/>
  <c r="EF93" i="4"/>
  <c r="EG49" i="4"/>
  <c r="EG47" i="4"/>
  <c r="EC101" i="5"/>
  <c r="EC61" i="4"/>
  <c r="EC128" i="4"/>
  <c r="DX59" i="4"/>
  <c r="DX65" i="4"/>
  <c r="DX66" i="4" s="1"/>
  <c r="DX129" i="4"/>
  <c r="DX111" i="4"/>
  <c r="DY62" i="4"/>
  <c r="DY112" i="4"/>
  <c r="EA62" i="4"/>
  <c r="EA112" i="4"/>
  <c r="EI63" i="4"/>
  <c r="EI93" i="4"/>
  <c r="EB65" i="4"/>
  <c r="EB66" i="4" s="1"/>
  <c r="EB129" i="4"/>
  <c r="EB111" i="4"/>
  <c r="DZ63" i="4"/>
  <c r="DZ93" i="4"/>
  <c r="EJ62" i="4"/>
  <c r="EJ112" i="4"/>
  <c r="ED62" i="4"/>
  <c r="ED112" i="4"/>
  <c r="EF62" i="4"/>
  <c r="EF112" i="4"/>
  <c r="EC59" i="4"/>
  <c r="EC65" i="4"/>
  <c r="EC66" i="4" s="1"/>
  <c r="EC111" i="4"/>
  <c r="EC129" i="4"/>
  <c r="EH101" i="5"/>
  <c r="EH61" i="4"/>
  <c r="EH128" i="4"/>
  <c r="DX101" i="5"/>
  <c r="DX61" i="4"/>
  <c r="DX128" i="4"/>
  <c r="EE63" i="4"/>
  <c r="EE93" i="4"/>
  <c r="EB101" i="5"/>
  <c r="EB61" i="4"/>
  <c r="EB128" i="4"/>
  <c r="EL101" i="5"/>
  <c r="EL61" i="4"/>
  <c r="EL128" i="4"/>
  <c r="EK63" i="4"/>
  <c r="EK93" i="4"/>
  <c r="EJ63" i="4"/>
  <c r="EJ93" i="4"/>
  <c r="EL61" i="5"/>
  <c r="EL63" i="5"/>
  <c r="EK62" i="4"/>
  <c r="EK112" i="4"/>
  <c r="EE62" i="4"/>
  <c r="EE112" i="4"/>
  <c r="EG136" i="5"/>
  <c r="EH59" i="4"/>
  <c r="EH65" i="4"/>
  <c r="EH66" i="4" s="1"/>
  <c r="EH111" i="4"/>
  <c r="EH129" i="4"/>
  <c r="DX48" i="5"/>
  <c r="EB136" i="5"/>
  <c r="DX158" i="5"/>
  <c r="EB63" i="5"/>
  <c r="EB61" i="5"/>
  <c r="EL65" i="4"/>
  <c r="EL111" i="4"/>
  <c r="EL129" i="4"/>
  <c r="ED66" i="4"/>
  <c r="EA63" i="4"/>
  <c r="EA93" i="4"/>
  <c r="EG63" i="5"/>
  <c r="EG61" i="5"/>
  <c r="EI62" i="4"/>
  <c r="EI112" i="4"/>
  <c r="DZ20" i="5"/>
  <c r="DY140" i="5"/>
  <c r="DY158" i="5" s="1"/>
  <c r="EL136" i="5"/>
  <c r="ED63" i="4"/>
  <c r="ED93" i="4"/>
  <c r="DX190" i="5" l="1"/>
  <c r="DX159" i="5"/>
  <c r="DX194" i="5"/>
  <c r="DX184" i="5"/>
  <c r="DX185" i="5" s="1"/>
  <c r="DX6" i="5" s="1"/>
  <c r="DX26" i="10"/>
  <c r="DX42" i="10" s="1"/>
  <c r="DX54" i="10" s="1"/>
  <c r="DX64" i="10" s="1"/>
  <c r="DX74" i="10" s="1"/>
  <c r="DX84" i="10" s="1"/>
  <c r="DX94" i="10" s="1"/>
  <c r="DX104" i="10" s="1"/>
  <c r="DX114" i="10" s="1"/>
  <c r="DX124" i="10" s="1"/>
  <c r="DX136" i="10" s="1"/>
  <c r="DX146" i="10" s="1"/>
  <c r="DX156" i="10" s="1"/>
  <c r="DX166" i="10" s="1"/>
  <c r="DX176" i="10" s="1"/>
  <c r="DX186" i="10" s="1"/>
  <c r="DX196" i="10" s="1"/>
  <c r="DX206" i="10" s="1"/>
  <c r="DX224" i="10" s="1"/>
  <c r="EB62" i="4"/>
  <c r="EB112" i="4"/>
  <c r="EH62" i="4"/>
  <c r="EH112" i="4"/>
  <c r="EC62" i="4"/>
  <c r="EC112" i="4"/>
  <c r="EA64" i="4"/>
  <c r="EA113" i="4"/>
  <c r="EJ64" i="4"/>
  <c r="EJ113" i="4"/>
  <c r="DX62" i="4"/>
  <c r="DX112" i="4"/>
  <c r="EG59" i="4"/>
  <c r="EC63" i="4"/>
  <c r="EC93" i="4"/>
  <c r="DZ64" i="4"/>
  <c r="DZ113" i="4"/>
  <c r="EF64" i="4"/>
  <c r="EF113" i="4"/>
  <c r="EC21" i="5"/>
  <c r="EB113" i="5"/>
  <c r="EB114" i="5" s="1"/>
  <c r="EL59" i="4"/>
  <c r="EH63" i="4"/>
  <c r="EH93" i="4"/>
  <c r="EI64" i="4"/>
  <c r="EI113" i="4"/>
  <c r="EB59" i="4"/>
  <c r="DX63" i="4"/>
  <c r="DX93" i="4"/>
  <c r="EG101" i="5"/>
  <c r="EG61" i="4"/>
  <c r="EG128" i="4"/>
  <c r="DY184" i="5"/>
  <c r="DY190" i="5"/>
  <c r="DY191" i="5" s="1"/>
  <c r="DY159" i="5"/>
  <c r="DY194" i="5"/>
  <c r="DY199" i="5" s="1"/>
  <c r="DY202" i="5" s="1"/>
  <c r="DX50" i="5"/>
  <c r="DY48" i="5"/>
  <c r="DX107" i="5"/>
  <c r="DX108" i="5" s="1"/>
  <c r="ED64" i="4"/>
  <c r="ED113" i="4"/>
  <c r="EA20" i="5"/>
  <c r="DZ140" i="5"/>
  <c r="EK64" i="4"/>
  <c r="EK113" i="4"/>
  <c r="EE64" i="4"/>
  <c r="EE113" i="4"/>
  <c r="EG65" i="4"/>
  <c r="EG66" i="4" s="1"/>
  <c r="EG111" i="4"/>
  <c r="EG129" i="4"/>
  <c r="DY64" i="4"/>
  <c r="DY113" i="4"/>
  <c r="DX64" i="4" l="1"/>
  <c r="DX113" i="4"/>
  <c r="EL66" i="4"/>
  <c r="EC64" i="4"/>
  <c r="EC113" i="4"/>
  <c r="DX17" i="5"/>
  <c r="DX24" i="5" s="1"/>
  <c r="DX69" i="5" s="1"/>
  <c r="DX56" i="5"/>
  <c r="DX66" i="5"/>
  <c r="DX187" i="5"/>
  <c r="DY183" i="5"/>
  <c r="DY185" i="5" s="1"/>
  <c r="DY6" i="5" s="1"/>
  <c r="DX11" i="10"/>
  <c r="DZ158" i="5"/>
  <c r="EB20" i="5"/>
  <c r="EC20" i="5" s="1"/>
  <c r="EA140" i="5"/>
  <c r="EA158" i="5" s="1"/>
  <c r="DZ48" i="5"/>
  <c r="DY50" i="5"/>
  <c r="DY107" i="5"/>
  <c r="EG62" i="4"/>
  <c r="EG112" i="4"/>
  <c r="EB63" i="4"/>
  <c r="EB93" i="4"/>
  <c r="EG63" i="4"/>
  <c r="EG93" i="4"/>
  <c r="EL112" i="4"/>
  <c r="DX199" i="5"/>
  <c r="DX202" i="5" s="1"/>
  <c r="DX52" i="5"/>
  <c r="DX58" i="5"/>
  <c r="DX55" i="5"/>
  <c r="DX109" i="5"/>
  <c r="DY100" i="5" s="1"/>
  <c r="DY108" i="5" s="1"/>
  <c r="EH64" i="4"/>
  <c r="EH113" i="4"/>
  <c r="ED21" i="5"/>
  <c r="EC113" i="5"/>
  <c r="EC114" i="5" s="1"/>
  <c r="EL62" i="4"/>
  <c r="DY205" i="5"/>
  <c r="DY203" i="5"/>
  <c r="EL63" i="4"/>
  <c r="EL93" i="4"/>
  <c r="DX191" i="5"/>
  <c r="EG64" i="4" l="1"/>
  <c r="EG113" i="4"/>
  <c r="EA159" i="5"/>
  <c r="EA194" i="5"/>
  <c r="EA199" i="5" s="1"/>
  <c r="EA202" i="5" s="1"/>
  <c r="EA184" i="5"/>
  <c r="EA190" i="5"/>
  <c r="EA191" i="5" s="1"/>
  <c r="DY10" i="10"/>
  <c r="DX13" i="10"/>
  <c r="DX205" i="5"/>
  <c r="DX203" i="5"/>
  <c r="ED20" i="5"/>
  <c r="EC140" i="5"/>
  <c r="DY52" i="5"/>
  <c r="DY58" i="5"/>
  <c r="DY55" i="5"/>
  <c r="DY109" i="5"/>
  <c r="DZ100" i="5" s="1"/>
  <c r="EB140" i="5"/>
  <c r="EB158" i="5" s="1"/>
  <c r="EL64" i="4"/>
  <c r="EL113" i="4"/>
  <c r="EE21" i="5"/>
  <c r="ED113" i="5"/>
  <c r="ED114" i="5" s="1"/>
  <c r="DY17" i="5"/>
  <c r="DY24" i="5" s="1"/>
  <c r="DY69" i="5" s="1"/>
  <c r="DY56" i="5"/>
  <c r="DY66" i="5"/>
  <c r="DY11" i="10"/>
  <c r="DZ10" i="10" s="1"/>
  <c r="DY187" i="5"/>
  <c r="DZ183" i="5"/>
  <c r="EB64" i="4"/>
  <c r="EB113" i="4"/>
  <c r="DX53" i="5"/>
  <c r="EA48" i="5"/>
  <c r="DZ50" i="5"/>
  <c r="DZ107" i="5"/>
  <c r="DZ194" i="5"/>
  <c r="DZ184" i="5"/>
  <c r="DZ190" i="5"/>
  <c r="DZ159" i="5"/>
  <c r="DX62" i="5"/>
  <c r="DX59" i="5"/>
  <c r="DX110" i="5"/>
  <c r="EA50" i="5" l="1"/>
  <c r="EB48" i="5"/>
  <c r="EA107" i="5"/>
  <c r="DZ185" i="5"/>
  <c r="DZ6" i="5" s="1"/>
  <c r="EE20" i="5"/>
  <c r="ED140" i="5"/>
  <c r="ED158" i="5" s="1"/>
  <c r="DY26" i="10"/>
  <c r="DY42" i="10" s="1"/>
  <c r="DY54" i="10" s="1"/>
  <c r="DY64" i="10" s="1"/>
  <c r="DY74" i="10" s="1"/>
  <c r="DY84" i="10" s="1"/>
  <c r="DY94" i="10" s="1"/>
  <c r="DY104" i="10" s="1"/>
  <c r="DY114" i="10" s="1"/>
  <c r="DY124" i="10" s="1"/>
  <c r="DY136" i="10" s="1"/>
  <c r="DY146" i="10" s="1"/>
  <c r="DY156" i="10" s="1"/>
  <c r="DY166" i="10" s="1"/>
  <c r="DY176" i="10" s="1"/>
  <c r="DY186" i="10" s="1"/>
  <c r="DY196" i="10" s="1"/>
  <c r="DY206" i="10" s="1"/>
  <c r="DY224" i="10" s="1"/>
  <c r="DY13" i="10"/>
  <c r="EB159" i="5"/>
  <c r="EB184" i="5"/>
  <c r="EB185" i="5" s="1"/>
  <c r="DY53" i="5"/>
  <c r="DZ199" i="5"/>
  <c r="DZ202" i="5" s="1"/>
  <c r="EB194" i="5"/>
  <c r="EB199" i="5" s="1"/>
  <c r="EB202" i="5" s="1"/>
  <c r="DZ26" i="10"/>
  <c r="DZ42" i="10" s="1"/>
  <c r="DZ54" i="10" s="1"/>
  <c r="DZ64" i="10" s="1"/>
  <c r="DZ74" i="10" s="1"/>
  <c r="DZ84" i="10" s="1"/>
  <c r="DZ94" i="10" s="1"/>
  <c r="DZ104" i="10" s="1"/>
  <c r="DZ114" i="10" s="1"/>
  <c r="DZ124" i="10" s="1"/>
  <c r="DZ136" i="10" s="1"/>
  <c r="DZ146" i="10" s="1"/>
  <c r="DZ156" i="10" s="1"/>
  <c r="DZ166" i="10" s="1"/>
  <c r="DZ176" i="10" s="1"/>
  <c r="DZ186" i="10" s="1"/>
  <c r="DZ196" i="10" s="1"/>
  <c r="DZ206" i="10" s="1"/>
  <c r="DZ224" i="10" s="1"/>
  <c r="DZ191" i="5"/>
  <c r="EB190" i="5"/>
  <c r="EB191" i="5" s="1"/>
  <c r="DZ55" i="5"/>
  <c r="DZ52" i="5"/>
  <c r="DZ58" i="5"/>
  <c r="DZ109" i="5"/>
  <c r="EA100" i="5" s="1"/>
  <c r="EA108" i="5" s="1"/>
  <c r="DY59" i="5"/>
  <c r="DY62" i="5"/>
  <c r="EF21" i="5"/>
  <c r="EE113" i="5"/>
  <c r="EE114" i="5" s="1"/>
  <c r="DZ108" i="5"/>
  <c r="DZ110" i="5" s="1"/>
  <c r="EC158" i="5"/>
  <c r="EA205" i="5"/>
  <c r="EA203" i="5"/>
  <c r="DY110" i="5"/>
  <c r="EC184" i="5" l="1"/>
  <c r="EC190" i="5"/>
  <c r="EC159" i="5"/>
  <c r="EC194" i="5"/>
  <c r="EG21" i="5"/>
  <c r="EF113" i="5"/>
  <c r="EF114" i="5" s="1"/>
  <c r="DZ203" i="5"/>
  <c r="DZ205" i="5"/>
  <c r="DZ66" i="5"/>
  <c r="DZ17" i="5"/>
  <c r="DZ24" i="5" s="1"/>
  <c r="DZ69" i="5" s="1"/>
  <c r="DZ56" i="5"/>
  <c r="EA183" i="5"/>
  <c r="EA185" i="5" s="1"/>
  <c r="EA6" i="5" s="1"/>
  <c r="DZ11" i="10"/>
  <c r="DZ187" i="5"/>
  <c r="ED194" i="5"/>
  <c r="ED199" i="5" s="1"/>
  <c r="ED202" i="5" s="1"/>
  <c r="ED184" i="5"/>
  <c r="ED190" i="5"/>
  <c r="ED191" i="5" s="1"/>
  <c r="ED159" i="5"/>
  <c r="EB50" i="5"/>
  <c r="EC48" i="5"/>
  <c r="EB107" i="5"/>
  <c r="EB108" i="5" s="1"/>
  <c r="EB205" i="5"/>
  <c r="EB203" i="5"/>
  <c r="EF20" i="5"/>
  <c r="EE140" i="5"/>
  <c r="EA55" i="5"/>
  <c r="EA52" i="5"/>
  <c r="EA58" i="5"/>
  <c r="EA109" i="5"/>
  <c r="EC100" i="5" s="1"/>
  <c r="EB52" i="5" l="1"/>
  <c r="EB58" i="5"/>
  <c r="EB55" i="5"/>
  <c r="EB109" i="5"/>
  <c r="ED203" i="5"/>
  <c r="ED205" i="5"/>
  <c r="EA110" i="5"/>
  <c r="EC191" i="5"/>
  <c r="EE158" i="5"/>
  <c r="EG140" i="5"/>
  <c r="EG158" i="5" s="1"/>
  <c r="EG20" i="5"/>
  <c r="EH20" i="5" s="1"/>
  <c r="EF140" i="5"/>
  <c r="EF158" i="5" s="1"/>
  <c r="EA10" i="10"/>
  <c r="DZ13" i="10"/>
  <c r="DZ59" i="5"/>
  <c r="DZ62" i="5"/>
  <c r="EH21" i="5"/>
  <c r="EG113" i="5"/>
  <c r="EG114" i="5" s="1"/>
  <c r="EG100" i="5"/>
  <c r="EB110" i="5"/>
  <c r="ED48" i="5"/>
  <c r="EC50" i="5"/>
  <c r="EC107" i="5"/>
  <c r="EC108" i="5" s="1"/>
  <c r="EA17" i="5"/>
  <c r="EA24" i="5" s="1"/>
  <c r="EA69" i="5" s="1"/>
  <c r="EA56" i="5"/>
  <c r="EA66" i="5"/>
  <c r="EB6" i="5"/>
  <c r="EA187" i="5"/>
  <c r="EA11" i="10"/>
  <c r="EC199" i="5"/>
  <c r="EC202" i="5" s="1"/>
  <c r="DZ53" i="5"/>
  <c r="EG184" i="5" l="1"/>
  <c r="EG159" i="5"/>
  <c r="EE48" i="5"/>
  <c r="ED50" i="5"/>
  <c r="ED107" i="5"/>
  <c r="EI21" i="5"/>
  <c r="EH113" i="5"/>
  <c r="EH114" i="5" s="1"/>
  <c r="EA13" i="10"/>
  <c r="EB13" i="10" s="1"/>
  <c r="EB9" i="10" s="1"/>
  <c r="EA26" i="10"/>
  <c r="EA42" i="10" s="1"/>
  <c r="EA54" i="10" s="1"/>
  <c r="EA64" i="10" s="1"/>
  <c r="EA74" i="10" s="1"/>
  <c r="EA84" i="10" s="1"/>
  <c r="EA94" i="10" s="1"/>
  <c r="EA104" i="10" s="1"/>
  <c r="EA114" i="10" s="1"/>
  <c r="EA124" i="10" s="1"/>
  <c r="EA136" i="10" s="1"/>
  <c r="EA146" i="10" s="1"/>
  <c r="EA156" i="10" s="1"/>
  <c r="EA166" i="10" s="1"/>
  <c r="EA176" i="10" s="1"/>
  <c r="EA186" i="10" s="1"/>
  <c r="EA196" i="10" s="1"/>
  <c r="EA206" i="10" s="1"/>
  <c r="EA224" i="10" s="1"/>
  <c r="EE159" i="5"/>
  <c r="EE194" i="5"/>
  <c r="EE184" i="5"/>
  <c r="EE190" i="5"/>
  <c r="EA53" i="5"/>
  <c r="EB17" i="5"/>
  <c r="EB24" i="5" s="1"/>
  <c r="EB69" i="5" s="1"/>
  <c r="EB56" i="5"/>
  <c r="EB66" i="5"/>
  <c r="EC183" i="5"/>
  <c r="EC185" i="5" s="1"/>
  <c r="EC6" i="5" s="1"/>
  <c r="EG183" i="5"/>
  <c r="EG185" i="5" s="1"/>
  <c r="EB187" i="5"/>
  <c r="EB11" i="10"/>
  <c r="EF190" i="5"/>
  <c r="EF191" i="5" s="1"/>
  <c r="EF159" i="5"/>
  <c r="EF194" i="5"/>
  <c r="EF199" i="5" s="1"/>
  <c r="EF202" i="5" s="1"/>
  <c r="EF184" i="5"/>
  <c r="EC205" i="5"/>
  <c r="EC203" i="5"/>
  <c r="EA62" i="5"/>
  <c r="EA59" i="5"/>
  <c r="EC52" i="5"/>
  <c r="EC58" i="5"/>
  <c r="EC55" i="5"/>
  <c r="EC109" i="5"/>
  <c r="ED100" i="5" s="1"/>
  <c r="ED108" i="5" s="1"/>
  <c r="EI20" i="5"/>
  <c r="EH140" i="5"/>
  <c r="EB53" i="5"/>
  <c r="EC17" i="5" l="1"/>
  <c r="EC24" i="5" s="1"/>
  <c r="EC69" i="5" s="1"/>
  <c r="EC56" i="5"/>
  <c r="EC66" i="5"/>
  <c r="EC11" i="10"/>
  <c r="ED10" i="10" s="1"/>
  <c r="ED183" i="5"/>
  <c r="ED185" i="5" s="1"/>
  <c r="ED6" i="5" s="1"/>
  <c r="EC187" i="5"/>
  <c r="EJ21" i="5"/>
  <c r="EI113" i="5"/>
  <c r="EI114" i="5" s="1"/>
  <c r="EC10" i="10"/>
  <c r="EG10" i="10"/>
  <c r="EC53" i="5"/>
  <c r="EB62" i="5"/>
  <c r="EB59" i="5"/>
  <c r="EH158" i="5"/>
  <c r="EF205" i="5"/>
  <c r="EF203" i="5"/>
  <c r="ED55" i="5"/>
  <c r="ED52" i="5"/>
  <c r="ED58" i="5"/>
  <c r="ED109" i="5"/>
  <c r="EE100" i="5" s="1"/>
  <c r="EE191" i="5"/>
  <c r="EG190" i="5"/>
  <c r="EG191" i="5" s="1"/>
  <c r="EJ20" i="5"/>
  <c r="EI140" i="5"/>
  <c r="EI158" i="5" s="1"/>
  <c r="EE199" i="5"/>
  <c r="EE202" i="5" s="1"/>
  <c r="EG194" i="5"/>
  <c r="EG199" i="5" s="1"/>
  <c r="EG202" i="5" s="1"/>
  <c r="EE50" i="5"/>
  <c r="EF48" i="5"/>
  <c r="EE107" i="5"/>
  <c r="EC110" i="5"/>
  <c r="EH194" i="5" l="1"/>
  <c r="EH184" i="5"/>
  <c r="EH190" i="5"/>
  <c r="EH159" i="5"/>
  <c r="ED26" i="10"/>
  <c r="ED42" i="10" s="1"/>
  <c r="ED54" i="10" s="1"/>
  <c r="ED64" i="10" s="1"/>
  <c r="ED74" i="10" s="1"/>
  <c r="ED84" i="10" s="1"/>
  <c r="ED94" i="10" s="1"/>
  <c r="ED104" i="10" s="1"/>
  <c r="ED114" i="10" s="1"/>
  <c r="ED124" i="10" s="1"/>
  <c r="ED136" i="10" s="1"/>
  <c r="ED146" i="10" s="1"/>
  <c r="ED156" i="10" s="1"/>
  <c r="ED166" i="10" s="1"/>
  <c r="ED176" i="10" s="1"/>
  <c r="ED186" i="10" s="1"/>
  <c r="ED196" i="10" s="1"/>
  <c r="ED206" i="10" s="1"/>
  <c r="ED224" i="10" s="1"/>
  <c r="EE205" i="5"/>
  <c r="EE203" i="5"/>
  <c r="EK21" i="5"/>
  <c r="EJ113" i="5"/>
  <c r="EJ114" i="5" s="1"/>
  <c r="EC59" i="5"/>
  <c r="EC62" i="5"/>
  <c r="EG205" i="5"/>
  <c r="EG203" i="5"/>
  <c r="EI159" i="5"/>
  <c r="EI194" i="5"/>
  <c r="EI199" i="5" s="1"/>
  <c r="EI202" i="5" s="1"/>
  <c r="EI184" i="5"/>
  <c r="EI190" i="5"/>
  <c r="EI191" i="5" s="1"/>
  <c r="EE108" i="5"/>
  <c r="EC26" i="10"/>
  <c r="EC42" i="10" s="1"/>
  <c r="EC54" i="10" s="1"/>
  <c r="EC64" i="10" s="1"/>
  <c r="EC74" i="10" s="1"/>
  <c r="EC84" i="10" s="1"/>
  <c r="EC94" i="10" s="1"/>
  <c r="EC104" i="10" s="1"/>
  <c r="EC114" i="10" s="1"/>
  <c r="EC124" i="10" s="1"/>
  <c r="EC136" i="10" s="1"/>
  <c r="EC146" i="10" s="1"/>
  <c r="EC156" i="10" s="1"/>
  <c r="EC166" i="10" s="1"/>
  <c r="EC176" i="10" s="1"/>
  <c r="EC186" i="10" s="1"/>
  <c r="EC196" i="10" s="1"/>
  <c r="EC206" i="10" s="1"/>
  <c r="EC224" i="10" s="1"/>
  <c r="EC13" i="10"/>
  <c r="EF50" i="5"/>
  <c r="EG48" i="5"/>
  <c r="EF107" i="5"/>
  <c r="EE55" i="5"/>
  <c r="EE52" i="5"/>
  <c r="EE58" i="5"/>
  <c r="EE109" i="5"/>
  <c r="EF100" i="5" s="1"/>
  <c r="EF108" i="5" s="1"/>
  <c r="EK20" i="5"/>
  <c r="EJ140" i="5"/>
  <c r="EJ158" i="5" s="1"/>
  <c r="ED110" i="5"/>
  <c r="ED66" i="5"/>
  <c r="ED17" i="5"/>
  <c r="ED24" i="5" s="1"/>
  <c r="ED69" i="5" s="1"/>
  <c r="ED56" i="5"/>
  <c r="ED11" i="10"/>
  <c r="EE10" i="10" s="1"/>
  <c r="EE183" i="5"/>
  <c r="EE185" i="5" s="1"/>
  <c r="EE6" i="5" s="1"/>
  <c r="ED187" i="5"/>
  <c r="EE17" i="5" l="1"/>
  <c r="EE24" i="5" s="1"/>
  <c r="EE69" i="5" s="1"/>
  <c r="EE56" i="5"/>
  <c r="EE66" i="5"/>
  <c r="EF183" i="5"/>
  <c r="EF185" i="5" s="1"/>
  <c r="EF6" i="5" s="1"/>
  <c r="EE187" i="5"/>
  <c r="EE11" i="10"/>
  <c r="EF10" i="10" s="1"/>
  <c r="EJ190" i="5"/>
  <c r="EJ191" i="5" s="1"/>
  <c r="EJ159" i="5"/>
  <c r="EJ194" i="5"/>
  <c r="EJ199" i="5" s="1"/>
  <c r="EJ202" i="5" s="1"/>
  <c r="EJ184" i="5"/>
  <c r="EE53" i="5"/>
  <c r="EF52" i="5"/>
  <c r="EF58" i="5"/>
  <c r="EF55" i="5"/>
  <c r="EF109" i="5"/>
  <c r="EH100" i="5" s="1"/>
  <c r="EL20" i="5"/>
  <c r="EK140" i="5"/>
  <c r="EK158" i="5" s="1"/>
  <c r="EL21" i="5"/>
  <c r="EL113" i="5" s="1"/>
  <c r="EL114" i="5" s="1"/>
  <c r="EK113" i="5"/>
  <c r="EK114" i="5" s="1"/>
  <c r="ED53" i="5"/>
  <c r="EH191" i="5"/>
  <c r="EF110" i="5"/>
  <c r="EI205" i="5"/>
  <c r="EI203" i="5"/>
  <c r="EL140" i="5"/>
  <c r="EL158" i="5" s="1"/>
  <c r="ED13" i="10"/>
  <c r="ED59" i="5"/>
  <c r="ED62" i="5"/>
  <c r="EE13" i="10"/>
  <c r="EE26" i="10"/>
  <c r="EE42" i="10" s="1"/>
  <c r="EE54" i="10" s="1"/>
  <c r="EE64" i="10" s="1"/>
  <c r="EE74" i="10" s="1"/>
  <c r="EE84" i="10" s="1"/>
  <c r="EE94" i="10" s="1"/>
  <c r="EE104" i="10" s="1"/>
  <c r="EE114" i="10" s="1"/>
  <c r="EE124" i="10" s="1"/>
  <c r="EE136" i="10" s="1"/>
  <c r="EE146" i="10" s="1"/>
  <c r="EE156" i="10" s="1"/>
  <c r="EE166" i="10" s="1"/>
  <c r="EE176" i="10" s="1"/>
  <c r="EE186" i="10" s="1"/>
  <c r="EE196" i="10" s="1"/>
  <c r="EE206" i="10" s="1"/>
  <c r="EE224" i="10" s="1"/>
  <c r="EH48" i="5"/>
  <c r="EG50" i="5"/>
  <c r="EG107" i="5"/>
  <c r="EG108" i="5" s="1"/>
  <c r="EE110" i="5"/>
  <c r="EH199" i="5"/>
  <c r="EH202" i="5" s="1"/>
  <c r="EF17" i="5" l="1"/>
  <c r="EF24" i="5" s="1"/>
  <c r="EF69" i="5" s="1"/>
  <c r="EF56" i="5"/>
  <c r="EF66" i="5"/>
  <c r="EG6" i="5"/>
  <c r="EF187" i="5"/>
  <c r="EF11" i="10"/>
  <c r="EF13" i="10" s="1"/>
  <c r="EG13" i="10" s="1"/>
  <c r="EL100" i="5"/>
  <c r="EH108" i="5"/>
  <c r="EE62" i="5"/>
  <c r="EE59" i="5"/>
  <c r="EL184" i="5"/>
  <c r="EL159" i="5"/>
  <c r="EH203" i="5"/>
  <c r="EH205" i="5"/>
  <c r="EG58" i="5"/>
  <c r="EG55" i="5"/>
  <c r="EG109" i="5"/>
  <c r="EG110" i="5" s="1"/>
  <c r="EG52" i="5"/>
  <c r="EF26" i="10"/>
  <c r="EF42" i="10" s="1"/>
  <c r="EF54" i="10" s="1"/>
  <c r="EF64" i="10" s="1"/>
  <c r="EF74" i="10" s="1"/>
  <c r="EF84" i="10" s="1"/>
  <c r="EF94" i="10" s="1"/>
  <c r="EF104" i="10" s="1"/>
  <c r="EF114" i="10" s="1"/>
  <c r="EF124" i="10" s="1"/>
  <c r="EF136" i="10" s="1"/>
  <c r="EF146" i="10" s="1"/>
  <c r="EF156" i="10" s="1"/>
  <c r="EF166" i="10" s="1"/>
  <c r="EF176" i="10" s="1"/>
  <c r="EF186" i="10" s="1"/>
  <c r="EF196" i="10" s="1"/>
  <c r="EF206" i="10" s="1"/>
  <c r="EF224" i="10" s="1"/>
  <c r="EI48" i="5"/>
  <c r="EH50" i="5"/>
  <c r="EH107" i="5"/>
  <c r="EK184" i="5"/>
  <c r="EK190" i="5"/>
  <c r="EK159" i="5"/>
  <c r="EK194" i="5"/>
  <c r="EJ205" i="5"/>
  <c r="EJ203" i="5"/>
  <c r="EK191" i="5" l="1"/>
  <c r="EL190" i="5"/>
  <c r="EL191" i="5" s="1"/>
  <c r="EI50" i="5"/>
  <c r="EJ48" i="5"/>
  <c r="EI107" i="5"/>
  <c r="EK199" i="5"/>
  <c r="EK202" i="5" s="1"/>
  <c r="EL194" i="5"/>
  <c r="EL199" i="5" s="1"/>
  <c r="EL202" i="5" s="1"/>
  <c r="EG17" i="5"/>
  <c r="EG24" i="5" s="1"/>
  <c r="EG69" i="5" s="1"/>
  <c r="EG56" i="5"/>
  <c r="EG66" i="5"/>
  <c r="EH183" i="5"/>
  <c r="EH185" i="5" s="1"/>
  <c r="EH6" i="5" s="1"/>
  <c r="EL183" i="5"/>
  <c r="EL185" i="5" s="1"/>
  <c r="EG187" i="5"/>
  <c r="EG11" i="10"/>
  <c r="EF53" i="5"/>
  <c r="EH55" i="5"/>
  <c r="EH52" i="5"/>
  <c r="EH58" i="5"/>
  <c r="EH109" i="5"/>
  <c r="EI100" i="5" s="1"/>
  <c r="EI108" i="5" s="1"/>
  <c r="EG53" i="5"/>
  <c r="EF62" i="5"/>
  <c r="EF59" i="5"/>
  <c r="EH66" i="5" l="1"/>
  <c r="EH17" i="5"/>
  <c r="EH24" i="5" s="1"/>
  <c r="EH69" i="5" s="1"/>
  <c r="EH56" i="5"/>
  <c r="EI183" i="5"/>
  <c r="EI185" i="5" s="1"/>
  <c r="EI6" i="5" s="1"/>
  <c r="EH187" i="5"/>
  <c r="EH11" i="10"/>
  <c r="EI10" i="10" s="1"/>
  <c r="EL203" i="5"/>
  <c r="EL205" i="5"/>
  <c r="EI55" i="5"/>
  <c r="EI52" i="5"/>
  <c r="EI58" i="5"/>
  <c r="EI109" i="5"/>
  <c r="EJ100" i="5" s="1"/>
  <c r="EH53" i="5"/>
  <c r="EH10" i="10"/>
  <c r="EL10" i="10"/>
  <c r="EG59" i="5"/>
  <c r="EG62" i="5"/>
  <c r="EK205" i="5"/>
  <c r="EK203" i="5"/>
  <c r="EI110" i="5"/>
  <c r="EH110" i="5"/>
  <c r="EJ50" i="5"/>
  <c r="EK48" i="5"/>
  <c r="EJ107" i="5"/>
  <c r="EG9" i="10"/>
  <c r="EJ108" i="5" l="1"/>
  <c r="EI17" i="5"/>
  <c r="EI24" i="5" s="1"/>
  <c r="EI69" i="5" s="1"/>
  <c r="EI56" i="5"/>
  <c r="EI66" i="5"/>
  <c r="EJ183" i="5"/>
  <c r="EJ185" i="5" s="1"/>
  <c r="EJ6" i="5" s="1"/>
  <c r="EI187" i="5"/>
  <c r="EI11" i="10"/>
  <c r="EJ10" i="10" s="1"/>
  <c r="EL48" i="5"/>
  <c r="EK50" i="5"/>
  <c r="EK107" i="5"/>
  <c r="EJ52" i="5"/>
  <c r="EJ58" i="5"/>
  <c r="EJ55" i="5"/>
  <c r="EJ109" i="5"/>
  <c r="EK100" i="5" s="1"/>
  <c r="EK108" i="5" s="1"/>
  <c r="EH26" i="10"/>
  <c r="EH42" i="10" s="1"/>
  <c r="EH54" i="10" s="1"/>
  <c r="EH64" i="10" s="1"/>
  <c r="EH74" i="10" s="1"/>
  <c r="EH84" i="10" s="1"/>
  <c r="EH94" i="10" s="1"/>
  <c r="EH104" i="10" s="1"/>
  <c r="EH114" i="10" s="1"/>
  <c r="EH124" i="10" s="1"/>
  <c r="EH136" i="10" s="1"/>
  <c r="EH146" i="10" s="1"/>
  <c r="EH156" i="10" s="1"/>
  <c r="EH166" i="10" s="1"/>
  <c r="EH176" i="10" s="1"/>
  <c r="EH186" i="10" s="1"/>
  <c r="EH196" i="10" s="1"/>
  <c r="EH206" i="10" s="1"/>
  <c r="EH224" i="10" s="1"/>
  <c r="EH13" i="10"/>
  <c r="EI26" i="10"/>
  <c r="EI42" i="10" s="1"/>
  <c r="EI54" i="10" s="1"/>
  <c r="EI64" i="10" s="1"/>
  <c r="EI74" i="10" s="1"/>
  <c r="EI84" i="10" s="1"/>
  <c r="EI94" i="10" s="1"/>
  <c r="EI104" i="10" s="1"/>
  <c r="EI114" i="10" s="1"/>
  <c r="EI124" i="10" s="1"/>
  <c r="EI136" i="10" s="1"/>
  <c r="EI146" i="10" s="1"/>
  <c r="EI156" i="10" s="1"/>
  <c r="EI166" i="10" s="1"/>
  <c r="EI176" i="10" s="1"/>
  <c r="EI186" i="10" s="1"/>
  <c r="EI196" i="10" s="1"/>
  <c r="EI206" i="10" s="1"/>
  <c r="EI224" i="10" s="1"/>
  <c r="EI53" i="5"/>
  <c r="EH59" i="5"/>
  <c r="EH62" i="5"/>
  <c r="EL50" i="5" l="1"/>
  <c r="EL107" i="5"/>
  <c r="EL108" i="5" s="1"/>
  <c r="EI62" i="5"/>
  <c r="EI59" i="5"/>
  <c r="EJ26" i="10"/>
  <c r="EJ42" i="10" s="1"/>
  <c r="EJ54" i="10" s="1"/>
  <c r="EJ64" i="10" s="1"/>
  <c r="EJ74" i="10" s="1"/>
  <c r="EJ84" i="10" s="1"/>
  <c r="EJ94" i="10" s="1"/>
  <c r="EJ104" i="10" s="1"/>
  <c r="EJ114" i="10" s="1"/>
  <c r="EJ124" i="10" s="1"/>
  <c r="EJ136" i="10" s="1"/>
  <c r="EJ146" i="10" s="1"/>
  <c r="EJ156" i="10" s="1"/>
  <c r="EJ166" i="10" s="1"/>
  <c r="EJ176" i="10" s="1"/>
  <c r="EJ186" i="10" s="1"/>
  <c r="EJ196" i="10" s="1"/>
  <c r="EJ206" i="10" s="1"/>
  <c r="EJ224" i="10" s="1"/>
  <c r="EI13" i="10"/>
  <c r="EK52" i="5"/>
  <c r="EK58" i="5"/>
  <c r="EK55" i="5"/>
  <c r="EK109" i="5"/>
  <c r="EK110" i="5" s="1"/>
  <c r="EJ17" i="5"/>
  <c r="EJ24" i="5" s="1"/>
  <c r="EJ69" i="5" s="1"/>
  <c r="EJ56" i="5"/>
  <c r="EJ66" i="5"/>
  <c r="EK183" i="5"/>
  <c r="EK185" i="5" s="1"/>
  <c r="EK6" i="5" s="1"/>
  <c r="EJ187" i="5"/>
  <c r="EJ11" i="10"/>
  <c r="EK10" i="10" s="1"/>
  <c r="EJ110" i="5"/>
  <c r="EJ13" i="10" l="1"/>
  <c r="EJ53" i="5"/>
  <c r="EL55" i="5"/>
  <c r="EL58" i="5"/>
  <c r="EL109" i="5"/>
  <c r="EL110" i="5" s="1"/>
  <c r="EL52" i="5"/>
  <c r="EK26" i="10"/>
  <c r="EK42" i="10" s="1"/>
  <c r="EK54" i="10" s="1"/>
  <c r="EK64" i="10" s="1"/>
  <c r="EK74" i="10" s="1"/>
  <c r="EK84" i="10" s="1"/>
  <c r="EK94" i="10" s="1"/>
  <c r="EK104" i="10" s="1"/>
  <c r="EK114" i="10" s="1"/>
  <c r="EK124" i="10" s="1"/>
  <c r="EK136" i="10" s="1"/>
  <c r="EK146" i="10" s="1"/>
  <c r="EK156" i="10" s="1"/>
  <c r="EK166" i="10" s="1"/>
  <c r="EK176" i="10" s="1"/>
  <c r="EK186" i="10" s="1"/>
  <c r="EK196" i="10" s="1"/>
  <c r="EK206" i="10" s="1"/>
  <c r="EK224" i="10" s="1"/>
  <c r="EK53" i="5"/>
  <c r="EL6" i="5"/>
  <c r="EK17" i="5"/>
  <c r="EK24" i="5" s="1"/>
  <c r="EK69" i="5" s="1"/>
  <c r="EK56" i="5"/>
  <c r="EK66" i="5"/>
  <c r="EK187" i="5"/>
  <c r="EK11" i="10"/>
  <c r="EK13" i="10" s="1"/>
  <c r="EJ62" i="5"/>
  <c r="EJ59" i="5"/>
  <c r="EL13" i="10" l="1"/>
  <c r="EL66" i="5"/>
  <c r="EL17" i="5"/>
  <c r="EL24" i="5" s="1"/>
  <c r="EL69" i="5" s="1"/>
  <c r="EL56" i="5"/>
  <c r="EL187" i="5"/>
  <c r="EL11" i="10"/>
  <c r="EK59" i="5"/>
  <c r="EK62" i="5"/>
  <c r="EL59" i="5" l="1"/>
  <c r="EL62" i="5"/>
  <c r="EL53" i="5"/>
  <c r="EL9" i="10"/>
  <c r="CZ9" i="5"/>
  <c r="DB9" i="5"/>
  <c r="DC9" i="5"/>
  <c r="DI9" i="5"/>
  <c r="DJ9" i="5"/>
  <c r="DN9" i="5"/>
  <c r="DX9" i="5"/>
  <c r="DY9" i="5"/>
  <c r="DZ9" i="5"/>
  <c r="EA9" i="5"/>
  <c r="EB9" i="5"/>
  <c r="EC9" i="5"/>
  <c r="ED9" i="5"/>
  <c r="EE9" i="5"/>
  <c r="EF9" i="5"/>
  <c r="EG9" i="5"/>
  <c r="EH9" i="5"/>
  <c r="EI9" i="5"/>
  <c r="EJ9" i="5"/>
  <c r="EK9" i="5"/>
  <c r="EL9" i="5"/>
  <c r="CZ10" i="5"/>
  <c r="DB10" i="5"/>
  <c r="DC10" i="5"/>
  <c r="DI10" i="5"/>
  <c r="DJ10" i="5"/>
  <c r="DN10" i="5"/>
  <c r="DX10" i="5"/>
  <c r="DY10" i="5"/>
  <c r="DZ10" i="5"/>
  <c r="EA10" i="5"/>
  <c r="EB10" i="5"/>
  <c r="EC10" i="5"/>
  <c r="ED10" i="5"/>
  <c r="EE10" i="5"/>
  <c r="EF10" i="5"/>
  <c r="EG10" i="5"/>
  <c r="EH10" i="5"/>
  <c r="EI10" i="5"/>
  <c r="EJ10" i="5"/>
  <c r="EK10" i="5"/>
  <c r="EL10" i="5"/>
  <c r="CZ74" i="5"/>
  <c r="DB74" i="5"/>
  <c r="DC74" i="5"/>
  <c r="DE74" i="5"/>
  <c r="DG74" i="5"/>
  <c r="DH74" i="5"/>
  <c r="DI74" i="5"/>
  <c r="DJ74" i="5"/>
  <c r="DN74" i="5"/>
  <c r="DO74" i="5"/>
  <c r="DS74" i="5"/>
  <c r="DX74" i="5"/>
  <c r="DY74" i="5"/>
  <c r="DZ74" i="5"/>
  <c r="EA74" i="5"/>
  <c r="EB74" i="5"/>
  <c r="EC74" i="5"/>
  <c r="ED74" i="5"/>
  <c r="EE74" i="5"/>
  <c r="EF74" i="5"/>
  <c r="EG74" i="5"/>
  <c r="EH74" i="5"/>
  <c r="EI74" i="5"/>
  <c r="EJ74" i="5"/>
  <c r="EK74" i="5"/>
  <c r="EL74" i="5"/>
  <c r="CZ75" i="5"/>
  <c r="DB75" i="5"/>
  <c r="DC75" i="5"/>
  <c r="DE75" i="5"/>
  <c r="DG75" i="5"/>
  <c r="DH75" i="5"/>
  <c r="DI75" i="5"/>
  <c r="DJ75" i="5"/>
  <c r="DN75" i="5"/>
  <c r="DO75" i="5"/>
  <c r="DS75" i="5"/>
  <c r="DX75" i="5"/>
  <c r="DY75" i="5"/>
  <c r="DZ75" i="5"/>
  <c r="EA75" i="5"/>
  <c r="EB75" i="5"/>
  <c r="EC75" i="5"/>
  <c r="ED75" i="5"/>
  <c r="EE75" i="5"/>
  <c r="EF75" i="5"/>
  <c r="EG75" i="5"/>
  <c r="EH75" i="5"/>
  <c r="EI75" i="5"/>
  <c r="EJ75" i="5"/>
  <c r="EK75" i="5"/>
  <c r="EL75" i="5"/>
  <c r="DA77" i="5"/>
  <c r="DD77" i="5"/>
  <c r="DH77" i="5"/>
  <c r="DI77" i="5"/>
  <c r="DJ77" i="5"/>
  <c r="DK77" i="5"/>
  <c r="DM77" i="5"/>
  <c r="DN77" i="5"/>
  <c r="DO77" i="5"/>
  <c r="DR77" i="5"/>
  <c r="DS77" i="5"/>
  <c r="DW77" i="5"/>
  <c r="DX77" i="5"/>
  <c r="DY77" i="5"/>
  <c r="DZ77" i="5"/>
  <c r="EA77" i="5"/>
  <c r="EB77" i="5"/>
  <c r="EC77" i="5"/>
  <c r="ED77" i="5"/>
  <c r="EE77" i="5"/>
  <c r="EF77" i="5"/>
  <c r="EG77" i="5"/>
  <c r="EH77" i="5"/>
  <c r="EI77" i="5"/>
  <c r="EJ77" i="5"/>
  <c r="EK77" i="5"/>
  <c r="EL77" i="5"/>
  <c r="CZ81" i="5"/>
  <c r="DA81" i="5"/>
  <c r="DB81" i="5"/>
  <c r="DC81" i="5"/>
  <c r="DD81" i="5"/>
  <c r="DH81" i="5"/>
  <c r="DI81" i="5"/>
  <c r="DJ81" i="5"/>
  <c r="DK81" i="5"/>
  <c r="DM81" i="5"/>
  <c r="DN81" i="5"/>
  <c r="DO81" i="5"/>
  <c r="DR81" i="5"/>
  <c r="DS81" i="5"/>
  <c r="DT81" i="5"/>
  <c r="DU81" i="5"/>
  <c r="DV81" i="5"/>
  <c r="DW81" i="5"/>
  <c r="DY81" i="5"/>
  <c r="DZ81" i="5"/>
  <c r="EA81" i="5"/>
  <c r="EB81" i="5"/>
  <c r="EC81" i="5"/>
  <c r="ED81" i="5"/>
  <c r="EE81" i="5"/>
  <c r="EF81" i="5"/>
  <c r="EG81" i="5"/>
  <c r="EH81" i="5"/>
  <c r="EI81" i="5"/>
  <c r="EJ81" i="5"/>
  <c r="EK81" i="5"/>
  <c r="EL81" i="5"/>
  <c r="CZ82" i="5"/>
  <c r="DA82" i="5"/>
  <c r="DB82" i="5"/>
  <c r="DC82" i="5"/>
  <c r="DD82" i="5"/>
  <c r="DH82" i="5"/>
  <c r="DI82" i="5"/>
  <c r="DJ82" i="5"/>
  <c r="DK82" i="5"/>
  <c r="DM82" i="5"/>
  <c r="DN82" i="5"/>
  <c r="DO82" i="5"/>
  <c r="DR82" i="5"/>
  <c r="DS82" i="5"/>
  <c r="DT82" i="5"/>
  <c r="DU82" i="5"/>
  <c r="DV82" i="5"/>
  <c r="DW82" i="5"/>
  <c r="EB82" i="5"/>
  <c r="EG82" i="5"/>
  <c r="EL82" i="5"/>
  <c r="CZ83" i="5"/>
  <c r="DB83" i="5"/>
  <c r="DC83" i="5"/>
  <c r="DH83" i="5"/>
  <c r="DI83" i="5"/>
  <c r="DJ83" i="5"/>
  <c r="DM83" i="5"/>
  <c r="DN83" i="5"/>
  <c r="DR83" i="5"/>
  <c r="DW83" i="5"/>
  <c r="DX83" i="5"/>
  <c r="DY83" i="5"/>
  <c r="DZ83" i="5"/>
  <c r="EA83" i="5"/>
  <c r="EB83" i="5"/>
  <c r="EC83" i="5"/>
  <c r="ED83" i="5"/>
  <c r="EE83" i="5"/>
  <c r="EF83" i="5"/>
  <c r="EG83" i="5"/>
  <c r="EH83" i="5"/>
  <c r="EI83" i="5"/>
  <c r="EJ83" i="5"/>
  <c r="EK83" i="5"/>
  <c r="EL83" i="5"/>
  <c r="CZ84" i="5"/>
  <c r="DB84" i="5"/>
  <c r="DC84" i="5"/>
  <c r="DH84" i="5"/>
  <c r="DI84" i="5"/>
  <c r="DJ84" i="5"/>
  <c r="DM84" i="5"/>
  <c r="DN84" i="5"/>
  <c r="DR84" i="5"/>
  <c r="DW84" i="5"/>
  <c r="DX84" i="5"/>
  <c r="DY84" i="5"/>
  <c r="DZ84" i="5"/>
  <c r="EA84" i="5"/>
  <c r="EB84" i="5"/>
  <c r="EC84" i="5"/>
  <c r="ED84" i="5"/>
  <c r="EE84" i="5"/>
  <c r="EF84" i="5"/>
  <c r="EG84" i="5"/>
  <c r="EH84" i="5"/>
  <c r="EI84" i="5"/>
  <c r="EJ84" i="5"/>
  <c r="EK84" i="5"/>
  <c r="EL84" i="5"/>
  <c r="DJ115" i="5"/>
  <c r="DX115" i="5"/>
  <c r="DY115" i="5"/>
  <c r="DZ115" i="5"/>
  <c r="EA115" i="5"/>
  <c r="EB115" i="5"/>
  <c r="EC115" i="5"/>
  <c r="ED115" i="5"/>
  <c r="EE115" i="5"/>
  <c r="EF115" i="5"/>
  <c r="EG115" i="5"/>
  <c r="EH115" i="5"/>
  <c r="EI115" i="5"/>
  <c r="EJ115" i="5"/>
  <c r="EK115" i="5"/>
  <c r="EL115" i="5"/>
  <c r="DE116" i="5"/>
  <c r="DF116" i="5"/>
  <c r="DJ116" i="5"/>
  <c r="DK116" i="5"/>
  <c r="DL116" i="5"/>
  <c r="DM116" i="5"/>
  <c r="DS116" i="5"/>
  <c r="DT116" i="5"/>
  <c r="DU116" i="5"/>
  <c r="DV116" i="5"/>
  <c r="DW116" i="5"/>
  <c r="DX116" i="5"/>
  <c r="DY116" i="5"/>
  <c r="DZ116" i="5"/>
  <c r="EA116" i="5"/>
  <c r="EB116" i="5"/>
  <c r="EC116" i="5"/>
  <c r="ED116" i="5"/>
  <c r="EE116" i="5"/>
  <c r="EF116" i="5"/>
  <c r="EG116" i="5"/>
  <c r="EH116" i="5"/>
  <c r="EI116" i="5"/>
  <c r="EJ116" i="5"/>
  <c r="EK116" i="5"/>
  <c r="EL116" i="5"/>
  <c r="DL118" i="5"/>
  <c r="DO118" i="5"/>
  <c r="DR118" i="5"/>
  <c r="DW118" i="5"/>
  <c r="DX118" i="5"/>
  <c r="DY118" i="5"/>
  <c r="DZ118" i="5"/>
  <c r="EA118" i="5"/>
  <c r="EB118" i="5"/>
  <c r="EC118" i="5"/>
  <c r="ED118" i="5"/>
  <c r="EE118" i="5"/>
  <c r="EF118" i="5"/>
  <c r="EG118" i="5"/>
  <c r="EH118" i="5"/>
  <c r="EI118" i="5"/>
  <c r="EJ118" i="5"/>
  <c r="EK118" i="5"/>
  <c r="EL118" i="5"/>
  <c r="DJ120" i="5"/>
  <c r="DL120" i="5"/>
  <c r="DM120" i="5"/>
  <c r="DO120" i="5"/>
  <c r="DR120" i="5"/>
  <c r="DJ121" i="5"/>
  <c r="DM121" i="5"/>
  <c r="DR121" i="5"/>
  <c r="DW121" i="5"/>
  <c r="DX121" i="5"/>
  <c r="DY121" i="5"/>
  <c r="DZ121" i="5"/>
  <c r="EA121" i="5"/>
  <c r="EB121" i="5"/>
  <c r="EC121" i="5"/>
  <c r="ED121" i="5"/>
  <c r="EE121" i="5"/>
  <c r="EF121" i="5"/>
  <c r="EG121" i="5"/>
  <c r="EH121" i="5"/>
  <c r="EI121" i="5"/>
  <c r="EJ121" i="5"/>
  <c r="EK121" i="5"/>
  <c r="EL121" i="5"/>
  <c r="DF123" i="5"/>
  <c r="DG123" i="5"/>
  <c r="DK123" i="5"/>
  <c r="DL123" i="5"/>
  <c r="DN123" i="5"/>
  <c r="DO123" i="5"/>
  <c r="DR123" i="5"/>
  <c r="DT123" i="5"/>
  <c r="DU123" i="5"/>
  <c r="DV123" i="5"/>
  <c r="DW123" i="5"/>
  <c r="DX123" i="5"/>
  <c r="DY123" i="5"/>
  <c r="DZ123" i="5"/>
  <c r="EA123" i="5"/>
  <c r="EB123" i="5"/>
  <c r="EC123" i="5"/>
  <c r="ED123" i="5"/>
  <c r="EE123" i="5"/>
  <c r="EF123" i="5"/>
  <c r="EG123" i="5"/>
  <c r="EH123" i="5"/>
  <c r="EI123" i="5"/>
  <c r="EJ123" i="5"/>
  <c r="EK123" i="5"/>
  <c r="EL123" i="5"/>
  <c r="DE126" i="5"/>
  <c r="DF126" i="5"/>
  <c r="DG126" i="5"/>
  <c r="DJ126" i="5"/>
  <c r="DK126" i="5"/>
  <c r="DL126" i="5"/>
  <c r="DM126" i="5"/>
  <c r="DN126" i="5"/>
  <c r="DO126" i="5"/>
  <c r="DR126" i="5"/>
  <c r="DS126" i="5"/>
  <c r="DT126" i="5"/>
  <c r="DU126" i="5"/>
  <c r="DV126" i="5"/>
  <c r="DW126" i="5"/>
  <c r="DE127" i="5"/>
  <c r="DF127" i="5"/>
  <c r="DJ127" i="5"/>
  <c r="DK127" i="5"/>
  <c r="DL127" i="5"/>
  <c r="DM127" i="5"/>
  <c r="DR127" i="5"/>
  <c r="DS127" i="5"/>
  <c r="DT127" i="5"/>
  <c r="DU127" i="5"/>
  <c r="DV127" i="5"/>
  <c r="DW127" i="5"/>
  <c r="DX127" i="5"/>
  <c r="DY127" i="5"/>
  <c r="DZ127" i="5"/>
  <c r="EA127" i="5"/>
  <c r="EB127" i="5"/>
  <c r="EC127" i="5"/>
  <c r="ED127" i="5"/>
  <c r="EE127" i="5"/>
  <c r="EF127" i="5"/>
  <c r="EG127" i="5"/>
  <c r="EH127" i="5"/>
  <c r="EI127" i="5"/>
  <c r="EJ127" i="5"/>
  <c r="EK127" i="5"/>
  <c r="EL127" i="5"/>
  <c r="DE130" i="5"/>
  <c r="DF130" i="5"/>
  <c r="DG130" i="5"/>
  <c r="DH130" i="5"/>
  <c r="DJ130" i="5"/>
  <c r="DK130" i="5"/>
  <c r="DL130" i="5"/>
  <c r="DM130" i="5"/>
  <c r="DN130" i="5"/>
  <c r="DR130" i="5"/>
  <c r="DS130" i="5"/>
  <c r="DT130" i="5"/>
  <c r="DU130" i="5"/>
  <c r="DV130" i="5"/>
  <c r="DW130" i="5"/>
  <c r="DX130" i="5"/>
  <c r="DY130" i="5"/>
  <c r="DZ130" i="5"/>
  <c r="EA130" i="5"/>
  <c r="EB130" i="5"/>
  <c r="EC130" i="5"/>
  <c r="ED130" i="5"/>
  <c r="EE130" i="5"/>
  <c r="EF130" i="5"/>
  <c r="EG130" i="5"/>
  <c r="EH130" i="5"/>
  <c r="EI130" i="5"/>
  <c r="EJ130" i="5"/>
  <c r="EK130" i="5"/>
  <c r="EL130" i="5"/>
  <c r="DE131" i="5"/>
  <c r="DF131" i="5"/>
  <c r="DG131" i="5"/>
  <c r="DH131" i="5"/>
  <c r="DJ131" i="5"/>
  <c r="DK131" i="5"/>
  <c r="DL131" i="5"/>
  <c r="DM131" i="5"/>
  <c r="DN131" i="5"/>
  <c r="DR131" i="5"/>
  <c r="DS131" i="5"/>
  <c r="DT131" i="5"/>
  <c r="DU131" i="5"/>
  <c r="DV131" i="5"/>
  <c r="DW131" i="5"/>
  <c r="DX131" i="5"/>
  <c r="DY131" i="5"/>
  <c r="DZ131" i="5"/>
  <c r="EA131" i="5"/>
  <c r="EB131" i="5"/>
  <c r="EC131" i="5"/>
  <c r="ED131" i="5"/>
  <c r="EE131" i="5"/>
  <c r="EF131" i="5"/>
  <c r="EG131" i="5"/>
  <c r="EH131" i="5"/>
  <c r="EI131" i="5"/>
  <c r="EJ131" i="5"/>
  <c r="EK131" i="5"/>
  <c r="EL131" i="5"/>
  <c r="DX10" i="8"/>
  <c r="DY10" i="8"/>
  <c r="DZ10" i="8"/>
  <c r="EA10" i="8"/>
  <c r="EB10" i="8"/>
  <c r="DX11" i="8"/>
  <c r="DY11" i="8"/>
  <c r="DZ11" i="8"/>
  <c r="EA11" i="8"/>
  <c r="EB11" i="8"/>
  <c r="EC11" i="8"/>
  <c r="ED11" i="8"/>
  <c r="EE11" i="8"/>
  <c r="EF11" i="8"/>
  <c r="EG11" i="8"/>
  <c r="DX33" i="8"/>
  <c r="DY33" i="8"/>
  <c r="DZ33" i="8"/>
  <c r="EA33" i="8"/>
  <c r="EB33" i="8"/>
  <c r="DX34" i="8"/>
  <c r="DY34" i="8"/>
  <c r="DZ34" i="8"/>
  <c r="EA34" i="8"/>
  <c r="EB34" i="8"/>
  <c r="EC34" i="8"/>
  <c r="ED34" i="8"/>
  <c r="EE34" i="8"/>
  <c r="EF34" i="8"/>
  <c r="EG34" i="8"/>
  <c r="DX42" i="8"/>
  <c r="DY42" i="8"/>
  <c r="DZ42" i="8"/>
  <c r="EA42" i="8"/>
  <c r="EB42" i="8"/>
  <c r="DX43" i="8"/>
  <c r="DY43" i="8"/>
  <c r="DZ43" i="8"/>
  <c r="EA43" i="8"/>
  <c r="EB43" i="8"/>
  <c r="EC43" i="8"/>
  <c r="ED43" i="8"/>
  <c r="EE43" i="8"/>
  <c r="EF43" i="8"/>
  <c r="EG43" i="8"/>
  <c r="DX60" i="8"/>
  <c r="DY60" i="8"/>
  <c r="DZ60" i="8"/>
  <c r="EA60" i="8"/>
  <c r="EB60" i="8"/>
  <c r="DX61" i="8"/>
  <c r="DY61" i="8"/>
  <c r="DZ61" i="8"/>
  <c r="EA61" i="8"/>
  <c r="EB61" i="8"/>
  <c r="EC61" i="8"/>
  <c r="ED61" i="8"/>
  <c r="EE61" i="8"/>
  <c r="EF61" i="8"/>
  <c r="EG61" i="8"/>
  <c r="DX69" i="8"/>
  <c r="DY69" i="8"/>
  <c r="DZ69" i="8"/>
  <c r="EA69" i="8"/>
  <c r="EB69" i="8"/>
  <c r="DX70" i="8"/>
  <c r="DY70" i="8"/>
  <c r="DZ70" i="8"/>
  <c r="EA70" i="8"/>
  <c r="EB70" i="8"/>
  <c r="EC70" i="8"/>
  <c r="ED70" i="8"/>
  <c r="EE70" i="8"/>
  <c r="EF70" i="8"/>
  <c r="EG70" i="8"/>
  <c r="DX78" i="8"/>
  <c r="DY78" i="8"/>
  <c r="DZ78" i="8"/>
  <c r="EA78" i="8"/>
  <c r="EB78" i="8"/>
  <c r="DX79" i="8"/>
  <c r="DY79" i="8"/>
  <c r="DZ79" i="8"/>
  <c r="EA79" i="8"/>
  <c r="EB79" i="8"/>
  <c r="EC79" i="8"/>
  <c r="ED79" i="8"/>
  <c r="EE79" i="8"/>
  <c r="EF79" i="8"/>
  <c r="EG79" i="8"/>
  <c r="DG48" i="4"/>
  <c r="DH48" i="4"/>
  <c r="DG49" i="4"/>
  <c r="DH49" i="4"/>
  <c r="CY57" i="4"/>
  <c r="CZ57" i="4"/>
  <c r="DC57" i="4"/>
  <c r="CY58" i="4"/>
  <c r="CZ58" i="4"/>
  <c r="DC58" i="4"/>
  <c r="DG65" i="4"/>
  <c r="DH65" i="4"/>
  <c r="DG66" i="4"/>
  <c r="DH66" i="4"/>
  <c r="DL66" i="4"/>
  <c r="DM66" i="4"/>
  <c r="DG111" i="4"/>
  <c r="DH111" i="4"/>
  <c r="DL111" i="4"/>
  <c r="DM111" i="4"/>
  <c r="DG129" i="4"/>
  <c r="DH129" i="4"/>
  <c r="DX31" i="7"/>
  <c r="DY31" i="7"/>
  <c r="DZ31" i="7"/>
  <c r="EA31" i="7"/>
  <c r="EB31" i="7"/>
  <c r="DX69" i="7"/>
  <c r="DY69" i="7"/>
  <c r="EA69" i="7"/>
  <c r="EB69" i="7"/>
  <c r="DX70" i="7"/>
  <c r="DY70" i="7"/>
  <c r="EA70" i="7"/>
  <c r="EB70" i="7"/>
  <c r="EC70" i="7"/>
  <c r="ED70" i="7"/>
  <c r="EF70" i="7"/>
  <c r="EG70" i="7"/>
  <c r="DX71" i="7"/>
  <c r="DY71" i="7"/>
  <c r="EA71" i="7"/>
  <c r="EB71" i="7"/>
  <c r="DX91" i="7"/>
  <c r="DY91" i="7"/>
  <c r="DZ91" i="7"/>
  <c r="EA91" i="7"/>
  <c r="EB91" i="7"/>
  <c r="DX92" i="7"/>
  <c r="DY92" i="7"/>
  <c r="DZ92" i="7"/>
  <c r="EA92" i="7"/>
  <c r="EB92" i="7"/>
  <c r="EC92" i="7"/>
  <c r="ED92" i="7"/>
  <c r="EE92" i="7"/>
  <c r="EF92" i="7"/>
  <c r="EG92" i="7"/>
  <c r="DX94" i="7"/>
  <c r="DY94" i="7"/>
  <c r="EA94" i="7"/>
  <c r="EB94" i="7"/>
  <c r="DX128" i="7"/>
  <c r="DY128" i="7"/>
  <c r="EA128" i="7"/>
  <c r="EB128" i="7"/>
  <c r="DX129" i="7"/>
  <c r="DY129" i="7"/>
  <c r="EA129" i="7"/>
  <c r="EB129" i="7"/>
  <c r="EC129" i="7"/>
  <c r="ED129" i="7"/>
  <c r="EF129" i="7"/>
  <c r="EG129" i="7"/>
  <c r="DX131" i="7"/>
  <c r="DY131" i="7"/>
  <c r="DZ131" i="7"/>
  <c r="EA131" i="7"/>
  <c r="EB131" i="7"/>
  <c r="DX132" i="7"/>
  <c r="DY132" i="7"/>
  <c r="DZ132" i="7"/>
  <c r="EA132" i="7"/>
  <c r="EB132" i="7"/>
  <c r="EC132" i="7"/>
  <c r="ED132" i="7"/>
  <c r="EE132" i="7"/>
  <c r="EF132" i="7"/>
  <c r="EG132" i="7"/>
  <c r="DX167" i="7"/>
  <c r="DY167" i="7"/>
  <c r="DZ167" i="7"/>
  <c r="EA167" i="7"/>
  <c r="EB167" i="7"/>
  <c r="DX168" i="7"/>
  <c r="EB168" i="7"/>
  <c r="DX169" i="7"/>
  <c r="DX209" i="7"/>
  <c r="DY209" i="7"/>
  <c r="DZ209" i="7"/>
  <c r="EA209" i="7"/>
  <c r="EB209" i="7"/>
  <c r="DX210" i="7"/>
  <c r="DY210" i="7"/>
  <c r="DZ210" i="7"/>
  <c r="EA210" i="7"/>
  <c r="EB210" i="7"/>
  <c r="EC210" i="7"/>
  <c r="ED210" i="7"/>
  <c r="EE210" i="7"/>
  <c r="EF210" i="7"/>
  <c r="EG210" i="7"/>
</calcChain>
</file>

<file path=xl/comments1.xml><?xml version="1.0" encoding="utf-8"?>
<comments xmlns="http://schemas.openxmlformats.org/spreadsheetml/2006/main">
  <authors>
    <author>Mutoko, Moses (Research)</author>
  </authors>
  <commentList>
    <comment ref="DW14" authorId="0">
      <text>
        <r>
          <rPr>
            <sz val="9"/>
            <color indexed="81"/>
            <rFont val="Tahoma"/>
            <family val="2"/>
          </rPr>
          <t xml:space="preserve">
1Q17: 19,600-19,911
2Q17: 19,100-19,400</t>
        </r>
      </text>
    </comment>
    <comment ref="EB14" authorId="0">
      <text>
        <r>
          <rPr>
            <sz val="9"/>
            <color indexed="81"/>
            <rFont val="Tahoma"/>
            <family val="2"/>
          </rPr>
          <t>12/19: $17.8-$18.2B</t>
        </r>
      </text>
    </comment>
    <comment ref="EB28" authorId="0">
      <text>
        <r>
          <rPr>
            <sz val="9"/>
            <color indexed="81"/>
            <rFont val="Tahoma"/>
            <family val="2"/>
          </rPr>
          <t xml:space="preserve">
1Q17: 990 - 1,055</t>
        </r>
      </text>
    </comment>
    <comment ref="DW49" authorId="0">
      <text>
        <r>
          <rPr>
            <sz val="9"/>
            <color indexed="81"/>
            <rFont val="Tahoma"/>
            <family val="2"/>
          </rPr>
          <t xml:space="preserve">
1Q17:    71- 95
2Q17:   -115 to -90</t>
        </r>
      </text>
    </comment>
    <comment ref="EB59" authorId="0">
      <text>
        <r>
          <rPr>
            <sz val="9"/>
            <color indexed="81"/>
            <rFont val="Tahoma"/>
            <family val="2"/>
          </rPr>
          <t xml:space="preserve">
1Q17:  115 - 215</t>
        </r>
      </text>
    </comment>
    <comment ref="EB63" authorId="0">
      <text>
        <r>
          <rPr>
            <sz val="9"/>
            <color indexed="81"/>
            <rFont val="Tahoma"/>
            <family val="2"/>
          </rPr>
          <t>12/19: $1.07-$1.36</t>
        </r>
      </text>
    </comment>
    <comment ref="EB85" authorId="0">
      <text>
        <r>
          <rPr>
            <sz val="9"/>
            <color indexed="81"/>
            <rFont val="Tahoma"/>
            <family val="2"/>
          </rPr>
          <t>12/19: $2.475-$2.575B</t>
        </r>
      </text>
    </comment>
  </commentList>
</comments>
</file>

<file path=xl/comments2.xml><?xml version="1.0" encoding="utf-8"?>
<comments xmlns="http://schemas.openxmlformats.org/spreadsheetml/2006/main">
  <authors>
    <author>Sopcak, Zachary (Research)</author>
    <author>Ashoka, Vikram (Research)</author>
    <author>Mutoko, Moses (Research)</author>
  </authors>
  <commentList>
    <comment ref="EB158" authorId="0">
      <text>
        <r>
          <rPr>
            <b/>
            <sz val="9"/>
            <color indexed="81"/>
            <rFont val="Tahoma"/>
            <family val="2"/>
          </rPr>
          <t>12/19: $1.3-$1.55B</t>
        </r>
        <r>
          <rPr>
            <sz val="9"/>
            <color indexed="81"/>
            <rFont val="Tahoma"/>
            <family val="2"/>
          </rPr>
          <t xml:space="preserve">
</t>
        </r>
      </text>
    </comment>
    <comment ref="DW161" authorId="1">
      <text>
        <r>
          <rPr>
            <sz val="9"/>
            <color indexed="81"/>
            <rFont val="Tahoma"/>
            <family val="2"/>
          </rPr>
          <t xml:space="preserve">
Capital expenditures are expected to be approximately $150 million lower in 2017 versus 2016</t>
        </r>
      </text>
    </comment>
    <comment ref="EB161" authorId="0">
      <text>
        <r>
          <rPr>
            <b/>
            <sz val="9"/>
            <color indexed="81"/>
            <rFont val="Tahoma"/>
            <family val="2"/>
          </rPr>
          <t>12/19: $625-$675M</t>
        </r>
        <r>
          <rPr>
            <sz val="9"/>
            <color indexed="81"/>
            <rFont val="Tahoma"/>
            <family val="2"/>
          </rPr>
          <t xml:space="preserve">
</t>
        </r>
      </text>
    </comment>
    <comment ref="DX164" authorId="2">
      <text>
        <r>
          <rPr>
            <sz val="9"/>
            <color indexed="81"/>
            <rFont val="Tahoma"/>
            <family val="2"/>
          </rPr>
          <t xml:space="preserve">Expect to spend 275-$325m each year in 2018 and 2019 to increase USPI interest
For 2018, they expect to spend $290M
</t>
        </r>
      </text>
    </comment>
    <comment ref="DX197" authorId="2">
      <text>
        <r>
          <rPr>
            <sz val="9"/>
            <color indexed="81"/>
            <rFont val="Tahoma"/>
            <family val="2"/>
          </rPr>
          <t xml:space="preserve">
$50-$100: from JPM conference slides</t>
        </r>
      </text>
    </comment>
  </commentList>
</comments>
</file>

<file path=xl/comments3.xml><?xml version="1.0" encoding="utf-8"?>
<comments xmlns="http://schemas.openxmlformats.org/spreadsheetml/2006/main">
  <authors>
    <author>priyapa</author>
  </authors>
  <commentList>
    <comment ref="CX115" authorId="0">
      <text>
        <r>
          <rPr>
            <sz val="8"/>
            <color indexed="8"/>
            <rFont val="Tahoma"/>
            <family val="2"/>
          </rPr>
          <t xml:space="preserve"> 
1.5%-2.5%</t>
        </r>
      </text>
    </comment>
    <comment ref="CX119" authorId="0">
      <text>
        <r>
          <rPr>
            <sz val="8"/>
            <color indexed="8"/>
            <rFont val="Tahoma"/>
            <family val="2"/>
          </rPr>
          <t xml:space="preserve"> 
2.0%-3.0%</t>
        </r>
      </text>
    </comment>
    <comment ref="CX124" authorId="0">
      <text>
        <r>
          <rPr>
            <sz val="8"/>
            <color indexed="8"/>
            <rFont val="Tahoma"/>
            <family val="2"/>
          </rPr>
          <t xml:space="preserve"> 
1.5%-2.5%</t>
        </r>
      </text>
    </comment>
    <comment ref="CX127" authorId="0">
      <text>
        <r>
          <rPr>
            <sz val="8"/>
            <color indexed="8"/>
            <rFont val="Tahoma"/>
            <family val="2"/>
          </rPr>
          <t xml:space="preserve"> 
1.5%-2.5%</t>
        </r>
      </text>
    </comment>
    <comment ref="CX132" authorId="0">
      <text>
        <r>
          <rPr>
            <sz val="8"/>
            <color indexed="8"/>
            <rFont val="Tahoma"/>
            <family val="2"/>
          </rPr>
          <t xml:space="preserve"> 
1.5%-2.5%</t>
        </r>
      </text>
    </comment>
    <comment ref="CX156" authorId="0">
      <text>
        <r>
          <rPr>
            <sz val="8"/>
            <color indexed="8"/>
            <rFont val="Tahoma"/>
            <family val="2"/>
          </rPr>
          <t xml:space="preserve"> 
1.5%-3.0%</t>
        </r>
      </text>
    </comment>
    <comment ref="CX162" authorId="0">
      <text>
        <r>
          <rPr>
            <sz val="8"/>
            <color indexed="8"/>
            <rFont val="Tahoma"/>
            <family val="2"/>
          </rPr>
          <t xml:space="preserve"> 
1.0%-2.0%</t>
        </r>
      </text>
    </comment>
    <comment ref="CX182" authorId="0">
      <text>
        <r>
          <rPr>
            <sz val="8"/>
            <color indexed="8"/>
            <rFont val="Tahoma"/>
            <family val="2"/>
          </rPr>
          <t xml:space="preserve"> 
1.5%-2.5%</t>
        </r>
      </text>
    </comment>
    <comment ref="CX186" authorId="0">
      <text>
        <r>
          <rPr>
            <sz val="8"/>
            <color indexed="8"/>
            <rFont val="Tahoma"/>
            <family val="2"/>
          </rPr>
          <t xml:space="preserve"> 
2.0%-3.0%</t>
        </r>
      </text>
    </comment>
    <comment ref="CX191" authorId="0">
      <text>
        <r>
          <rPr>
            <sz val="8"/>
            <color indexed="8"/>
            <rFont val="Tahoma"/>
            <family val="2"/>
          </rPr>
          <t xml:space="preserve"> 
1.5%-2.5%</t>
        </r>
      </text>
    </comment>
    <comment ref="CX194" authorId="0">
      <text>
        <r>
          <rPr>
            <sz val="8"/>
            <color indexed="8"/>
            <rFont val="Tahoma"/>
            <family val="2"/>
          </rPr>
          <t xml:space="preserve"> 
1.5%-2.5%</t>
        </r>
      </text>
    </comment>
    <comment ref="CX199" authorId="0">
      <text>
        <r>
          <rPr>
            <sz val="8"/>
            <color indexed="8"/>
            <rFont val="Tahoma"/>
            <family val="2"/>
          </rPr>
          <t xml:space="preserve"> 
1.5%-2.5%</t>
        </r>
      </text>
    </comment>
    <comment ref="CX223" authorId="0">
      <text>
        <r>
          <rPr>
            <sz val="8"/>
            <color indexed="8"/>
            <rFont val="Tahoma"/>
            <family val="2"/>
          </rPr>
          <t xml:space="preserve"> 
1.5%-3.0%</t>
        </r>
      </text>
    </comment>
    <comment ref="CX229" authorId="0">
      <text>
        <r>
          <rPr>
            <sz val="8"/>
            <color indexed="8"/>
            <rFont val="Tahoma"/>
            <family val="2"/>
          </rPr>
          <t xml:space="preserve"> 
1.0%-2.0%</t>
        </r>
      </text>
    </comment>
  </commentList>
</comments>
</file>

<file path=xl/comments4.xml><?xml version="1.0" encoding="utf-8"?>
<comments xmlns="http://schemas.openxmlformats.org/spreadsheetml/2006/main">
  <authors>
    <author>shahviv</author>
    <author>priyapa</author>
  </authors>
  <commentList>
    <comment ref="CQ222" authorId="0">
      <text>
        <r>
          <rPr>
            <sz val="8"/>
            <color indexed="8"/>
            <rFont val="Tahoma"/>
            <family val="2"/>
          </rPr>
          <t xml:space="preserve">$22 mn gain on settlement of agreement
</t>
        </r>
      </text>
    </comment>
    <comment ref="CR397" authorId="1">
      <text>
        <r>
          <rPr>
            <sz val="8"/>
            <color indexed="8"/>
            <rFont val="Tahoma"/>
            <family val="2"/>
          </rPr>
          <t xml:space="preserve"> 
As noted in the earnings release total stock purchases through October 31 were approximately
$300 million. After reflecting these purchases at October 31, we had approximately 431 million shares outstanding. Our leverage ratio continues to strengthen and was 3.5 at September 30, down relative to 3.7 a year ago. This continues to give us significant balance sheet flexibility going  forward.</t>
        </r>
      </text>
    </comment>
  </commentList>
</comments>
</file>

<file path=xl/comments5.xml><?xml version="1.0" encoding="utf-8"?>
<comments xmlns="http://schemas.openxmlformats.org/spreadsheetml/2006/main">
  <authors>
    <author>Mutoko, Moses (Research)</author>
  </authors>
  <commentList>
    <comment ref="E11" authorId="0">
      <text>
        <r>
          <rPr>
            <sz val="9"/>
            <color indexed="81"/>
            <rFont val="Tahoma"/>
            <family val="2"/>
          </rPr>
          <t xml:space="preserve">
Page 22 of earnings presentation</t>
        </r>
      </text>
    </comment>
    <comment ref="F11" authorId="0">
      <text>
        <r>
          <rPr>
            <sz val="9"/>
            <color indexed="81"/>
            <rFont val="Tahoma"/>
            <family val="2"/>
          </rPr>
          <t xml:space="preserve">
Page 22 of earnings presentation</t>
        </r>
      </text>
    </comment>
  </commentList>
</comments>
</file>

<file path=xl/sharedStrings.xml><?xml version="1.0" encoding="utf-8"?>
<sst xmlns="http://schemas.openxmlformats.org/spreadsheetml/2006/main" count="7031" uniqueCount="1129">
  <si>
    <t>Balance Sheet Drivers</t>
  </si>
  <si>
    <t>Accounts receivable analysis</t>
  </si>
  <si>
    <t>Y/Y increase in sales</t>
  </si>
  <si>
    <t>Y/Y increase in gross A/R</t>
  </si>
  <si>
    <t>Ratio</t>
  </si>
  <si>
    <t>Allowance for doubtful accts - opening</t>
  </si>
  <si>
    <t>Bad debt expense</t>
  </si>
  <si>
    <t>% of revenues</t>
  </si>
  <si>
    <t>Transfers from acquisitions (Dispositions)</t>
  </si>
  <si>
    <t>Write-offs</t>
  </si>
  <si>
    <t>% of beg. gross receivables (annualized)</t>
  </si>
  <si>
    <t>Allowance for doubtful accts - closing</t>
  </si>
  <si>
    <t>as a % of gross receivables</t>
  </si>
  <si>
    <t>Accounts receivable turnover (Annualized)</t>
  </si>
  <si>
    <t>Ending receivables collection period (DSOs)</t>
  </si>
  <si>
    <t>Inventory Analysis</t>
  </si>
  <si>
    <t>Y/Y increase in inventories</t>
  </si>
  <si>
    <t>NM</t>
  </si>
  <si>
    <t>Inventory turnover</t>
  </si>
  <si>
    <t>Ending days of inventory in stock (DIOs)</t>
  </si>
  <si>
    <t>Accounts Payable Analysis</t>
  </si>
  <si>
    <t>Accounts payable turnover</t>
  </si>
  <si>
    <t>Ending payable payment period (DPOs)</t>
  </si>
  <si>
    <t>BOP shareholders' equity</t>
  </si>
  <si>
    <t>Net income</t>
  </si>
  <si>
    <t>Preferred stock</t>
  </si>
  <si>
    <t>Common Stock</t>
  </si>
  <si>
    <t>Treasury Stock</t>
  </si>
  <si>
    <t>Additional paid-in capital</t>
  </si>
  <si>
    <t>Accumulated and other comprehensive</t>
  </si>
  <si>
    <t>EOP shareholders' equity</t>
  </si>
  <si>
    <t>EOP shareholders' equity from BS</t>
  </si>
  <si>
    <t>Check</t>
  </si>
  <si>
    <t>Property &amp; Equipment, net - EOP</t>
  </si>
  <si>
    <t>check</t>
  </si>
  <si>
    <t>Plus:  Accumulated Depreciation</t>
  </si>
  <si>
    <t>Gross Property &amp; Equipment - EOP</t>
  </si>
  <si>
    <t>Accumulated Depreciation - BOP</t>
  </si>
  <si>
    <t>Additional Depreciation</t>
  </si>
  <si>
    <t>Retirements/Other</t>
  </si>
  <si>
    <t>Accumulated Depreciation - EOP</t>
  </si>
  <si>
    <t>Gross Property &amp; Equipment - BOP</t>
  </si>
  <si>
    <t>CAPEX</t>
  </si>
  <si>
    <t>Acquisitions/(Divestitures), net</t>
  </si>
  <si>
    <t>Other</t>
  </si>
  <si>
    <t>Depreciation &amp; amortization</t>
  </si>
  <si>
    <t>Average Gross PP&amp;E</t>
  </si>
  <si>
    <t>Average Depreciable Life</t>
  </si>
  <si>
    <t>Net income (loss)</t>
  </si>
  <si>
    <t>Stock-based compensation</t>
  </si>
  <si>
    <t>Asset impairment &amp; restructuring</t>
  </si>
  <si>
    <t>Litigation and investigation costs</t>
  </si>
  <si>
    <t>Amortization of debt discount and debt issuance costs</t>
  </si>
  <si>
    <t>Income (loss) from discontinued operations</t>
  </si>
  <si>
    <t>Other items</t>
  </si>
  <si>
    <t>Accounts receivable</t>
  </si>
  <si>
    <t>Inventories &amp; other current assets</t>
  </si>
  <si>
    <t>Income taxes</t>
  </si>
  <si>
    <t>Accounts payable &amp; current liabilities</t>
  </si>
  <si>
    <t>Changes in working capital</t>
  </si>
  <si>
    <t>Restructuring &amp; litigation reserves</t>
  </si>
  <si>
    <t>Discontinued operations</t>
  </si>
  <si>
    <t>Cash Flow from Operations</t>
  </si>
  <si>
    <t>% of net income + D&amp;A</t>
  </si>
  <si>
    <t>Capital expenditures - continuing ops</t>
  </si>
  <si>
    <t>Hospital construction</t>
  </si>
  <si>
    <t>Capital expenditures - discontinuing ops</t>
  </si>
  <si>
    <t>Purchases of businesses or joint venture interests</t>
  </si>
  <si>
    <t>Proceeds from sale of facilites &amp; assets - discontinued ops</t>
  </si>
  <si>
    <t>Proceeds from sales of marketable securities</t>
  </si>
  <si>
    <t>Purchases of marketable securities</t>
  </si>
  <si>
    <t>Other items, net</t>
  </si>
  <si>
    <t>Cash Flow from Investing</t>
  </si>
  <si>
    <t>Repayments of borrowings under credit facility</t>
  </si>
  <si>
    <t>Proceeds from borrowings under credit facility</t>
  </si>
  <si>
    <t>Repayments of other borrowings</t>
  </si>
  <si>
    <t>Proceeds from other borrowings</t>
  </si>
  <si>
    <t>Repurchases of preferred stock</t>
  </si>
  <si>
    <t>Deferred debt issuance costs</t>
  </si>
  <si>
    <t>Repurchases of common stock</t>
  </si>
  <si>
    <t>Cash dividends on preferred stock</t>
  </si>
  <si>
    <t>Distributions paid to noncontrolling interests</t>
  </si>
  <si>
    <t>Cash Flow from Financing</t>
  </si>
  <si>
    <t>Cash &amp; equivalents - beg balance</t>
  </si>
  <si>
    <t>Change in cash &amp; equivalents</t>
  </si>
  <si>
    <t>Cash &amp; equivalents - ending balance</t>
  </si>
  <si>
    <t>SCF = BS ?</t>
  </si>
  <si>
    <t>Free Cash Flow</t>
  </si>
  <si>
    <t>Free cash flow</t>
  </si>
  <si>
    <t>nm</t>
  </si>
  <si>
    <t xml:space="preserve">Adjusted Cash Flow </t>
  </si>
  <si>
    <t>less: income tax (payments) refunds, net</t>
  </si>
  <si>
    <t>less: insurance recoveries</t>
  </si>
  <si>
    <t>less: payment against litigation &amp; restructuring</t>
  </si>
  <si>
    <t>less: net cash from discontinued operations</t>
  </si>
  <si>
    <t>Adjusted Cash Flow from Operations</t>
  </si>
  <si>
    <t>Capital expenditures</t>
  </si>
  <si>
    <t>Adjusted Free Cash Flow</t>
  </si>
  <si>
    <t>adj FCF realization ratio (FCF/NI)</t>
  </si>
  <si>
    <t>Adjusted Free Cash Flow per Share</t>
  </si>
  <si>
    <t>Conifer</t>
  </si>
  <si>
    <t>Total</t>
  </si>
  <si>
    <t>% of Variable Expenses</t>
  </si>
  <si>
    <t>SW&amp;B</t>
  </si>
  <si>
    <t>% of Admissions</t>
  </si>
  <si>
    <t>Medicare</t>
  </si>
  <si>
    <t>Medicaid</t>
  </si>
  <si>
    <t>Managed Care</t>
  </si>
  <si>
    <t>indemnity, self-pay and other</t>
  </si>
  <si>
    <t>Y/Y Growth</t>
  </si>
  <si>
    <t>Managed care</t>
  </si>
  <si>
    <t>2Q14A</t>
  </si>
  <si>
    <t>Revenue Assumptions</t>
  </si>
  <si>
    <t>Acquisitions</t>
  </si>
  <si>
    <t>Dell’s Revenue Cycle Solutions line of business</t>
  </si>
  <si>
    <t xml:space="preserve"> </t>
  </si>
  <si>
    <t>Acquired Admissions</t>
  </si>
  <si>
    <t>Acquired Adjusted Admissions</t>
  </si>
  <si>
    <t>Revenue Build</t>
  </si>
  <si>
    <t>Facilities</t>
  </si>
  <si>
    <t>Hospitals - beg. of period</t>
  </si>
  <si>
    <t>Additions - de novo</t>
  </si>
  <si>
    <t>Additions - acquisitions</t>
  </si>
  <si>
    <t>Divestitures / Discontinued</t>
  </si>
  <si>
    <t>Hospitals - end of period</t>
  </si>
  <si>
    <t>Licensed Beds</t>
  </si>
  <si>
    <t>Beds - beg of period</t>
  </si>
  <si>
    <t>Beds - end of period</t>
  </si>
  <si>
    <t>Avg licensed beds - continuing ops</t>
  </si>
  <si>
    <t>sequential change</t>
  </si>
  <si>
    <t>Average beds / hospital</t>
  </si>
  <si>
    <t>Utilization</t>
  </si>
  <si>
    <t>Patient days</t>
  </si>
  <si>
    <t>y/y change - reported</t>
  </si>
  <si>
    <t>Adjusted patient days</t>
  </si>
  <si>
    <t>Average daily census</t>
  </si>
  <si>
    <t>Average length of stay (days)</t>
  </si>
  <si>
    <t>Utilization of licensed beds</t>
  </si>
  <si>
    <t>Revenues</t>
  </si>
  <si>
    <t>Net Inpatient Revenue</t>
  </si>
  <si>
    <t>% of net revenue</t>
  </si>
  <si>
    <t>Total Outpatient Revenue</t>
  </si>
  <si>
    <t>Pro-Forma Outpatient Revenue</t>
  </si>
  <si>
    <t xml:space="preserve">y/y change </t>
  </si>
  <si>
    <t>Total Revenue</t>
  </si>
  <si>
    <t>Volumes</t>
  </si>
  <si>
    <t>Inpatient Admissions /  Avg. Licensed Bed</t>
  </si>
  <si>
    <t>Adjusted patient admissions</t>
  </si>
  <si>
    <t>Equivalent Factor</t>
  </si>
  <si>
    <t>Paying Admissions</t>
  </si>
  <si>
    <t>Charity &amp; uninsured Admissions</t>
  </si>
  <si>
    <t>Paying Admissions as % of Admissions</t>
  </si>
  <si>
    <t>Charity &amp; uninsured Admissions as % of Admissions</t>
  </si>
  <si>
    <t>Admissions through emergency</t>
  </si>
  <si>
    <t>ER Admissions as % of Admissions</t>
  </si>
  <si>
    <t>Outpatient visits</t>
  </si>
  <si>
    <t>Paying visits</t>
  </si>
  <si>
    <t>Charity &amp; uninsured Visits</t>
  </si>
  <si>
    <t>Paying Visits as % of Visits</t>
  </si>
  <si>
    <t>Charity &amp; uninsured Visits as % of Visits</t>
  </si>
  <si>
    <t>Emergency Department Visits</t>
  </si>
  <si>
    <t>Surgeries</t>
  </si>
  <si>
    <t>na</t>
  </si>
  <si>
    <t>Surgeries - Inpatient</t>
  </si>
  <si>
    <t>Surgeries - Outpatient</t>
  </si>
  <si>
    <t>Pricing</t>
  </si>
  <si>
    <t>Net inpatient revenue / admission</t>
  </si>
  <si>
    <t>Net revenue / adj admission</t>
  </si>
  <si>
    <t>Net outpatient revenue / visit</t>
  </si>
  <si>
    <t>y/y change - Adjusted</t>
  </si>
  <si>
    <t>Other Revenues</t>
  </si>
  <si>
    <t>Equivalent Factor Adjustment</t>
  </si>
  <si>
    <t>Emergency Department Visits - outpatient</t>
  </si>
  <si>
    <t>Net patient revenue / adj admission</t>
  </si>
  <si>
    <t>Revenue Breakdown</t>
  </si>
  <si>
    <t>Managed Care and other third-party payors</t>
  </si>
  <si>
    <t>Self-pay</t>
  </si>
  <si>
    <t>% of Revenue</t>
  </si>
  <si>
    <t>Medicare Payments</t>
  </si>
  <si>
    <t>Medicare severity-adjusted diagnosis-related group – operating</t>
  </si>
  <si>
    <t>Medicare severity-adjusted diagnosis-related group – capital</t>
  </si>
  <si>
    <t xml:space="preserve">Outliers </t>
  </si>
  <si>
    <t xml:space="preserve">Outpatient </t>
  </si>
  <si>
    <t xml:space="preserve">Disproportionate share </t>
  </si>
  <si>
    <t xml:space="preserve">Direct Graduate and Indirect Medical Education(1) </t>
  </si>
  <si>
    <t xml:space="preserve">Other(2) </t>
  </si>
  <si>
    <t>Adjustments for prior-year cost reports and related valuation allowances</t>
  </si>
  <si>
    <t>TotalMedicare net patient revenues</t>
  </si>
  <si>
    <t>(1) Includes Indirect Medical Education revenue earned by our children’s hospital under the Children’s Hospitals Graduate Medical Education Payment Program administered by the Health Resources and Services Administration of HHS.</t>
  </si>
  <si>
    <t>(2) The other revenue category includes inpatient psychiatric units, inpatient rehabilitation units, one long-term acute care hospital, other revenue adjustments, and adjustments related to the estimates for current-year cost reports and related valuation allowances.</t>
  </si>
  <si>
    <t>Net inpatient revenues</t>
  </si>
  <si>
    <t>Net outpatient revenues</t>
  </si>
  <si>
    <t>Number of acute care/general hospitals (at end period)</t>
  </si>
  <si>
    <t>Licensed beds (at end of period)</t>
  </si>
  <si>
    <t>Average licensed beds</t>
  </si>
  <si>
    <t>Net inpatient revenue per patient day</t>
  </si>
  <si>
    <t>Total admissions</t>
  </si>
  <si>
    <t>Net inpatient revenue per admission</t>
  </si>
  <si>
    <t>Total surgeries</t>
  </si>
  <si>
    <t>Net outpatient revenue per visit</t>
  </si>
  <si>
    <t>Indemnity, self-pay and other</t>
  </si>
  <si>
    <t>Managed care governmental</t>
  </si>
  <si>
    <t>Managed care commercial</t>
  </si>
  <si>
    <t>Admissions, Patient Days and Surgeries</t>
  </si>
  <si>
    <t xml:space="preserve">Paying admissions (excludes charity and uninsured) </t>
  </si>
  <si>
    <t>Admissions through emergency department</t>
  </si>
  <si>
    <t>Surgeries – inpatient</t>
  </si>
  <si>
    <t>Surgeries – outpatient</t>
  </si>
  <si>
    <t>Total visits</t>
  </si>
  <si>
    <t xml:space="preserve">Paying visits (excludes charity and uninsured) </t>
  </si>
  <si>
    <t xml:space="preserve">Charity visits and uninsured visits </t>
  </si>
  <si>
    <t xml:space="preserve">Emergency department visits </t>
  </si>
  <si>
    <t>VHS Premium Revenue</t>
  </si>
  <si>
    <t>Premium per Insured</t>
  </si>
  <si>
    <t>Insured Lives</t>
  </si>
  <si>
    <t>Patient Days</t>
  </si>
  <si>
    <t>Adjusted Patient Days</t>
  </si>
  <si>
    <t>Premium Revenues</t>
  </si>
  <si>
    <t>Provision for bad debt</t>
  </si>
  <si>
    <t>% of Gross Revenues</t>
  </si>
  <si>
    <t>% of Net Revenues</t>
  </si>
  <si>
    <t>Salaries, wages, &amp; benefits/APD</t>
  </si>
  <si>
    <t>Salaries, wages, &amp; benefits / Equivalent Admission</t>
  </si>
  <si>
    <t>Supplies/APD</t>
  </si>
  <si>
    <t>Supplies / Equivalent Admission</t>
  </si>
  <si>
    <t>Health Plan Claims Expense</t>
  </si>
  <si>
    <t>Health Plan claims expense/Insured Lives</t>
  </si>
  <si>
    <t>Health Plan claims expense/Premium Revenue</t>
  </si>
  <si>
    <t>Other operating expenses/APD</t>
  </si>
  <si>
    <t>Other operating expenses / Equivalent Admission</t>
  </si>
  <si>
    <t>Controllable Expenses</t>
  </si>
  <si>
    <t>Controllable expenses/APD</t>
  </si>
  <si>
    <t>Controllable expenses / Equivalent Admission</t>
  </si>
  <si>
    <t>Bad Debt/APD</t>
  </si>
  <si>
    <t>Provision for bad debt / Equivalent Admission</t>
  </si>
  <si>
    <t>Scenarios</t>
  </si>
  <si>
    <t>Fiscal Year End, Dec 31 2009</t>
  </si>
  <si>
    <t>Fiscal Year End, Dec 31 2010</t>
  </si>
  <si>
    <t>Fiscal Year End, Dec 31 2011</t>
  </si>
  <si>
    <t>Fiscal Year End, Dec 31 2012</t>
  </si>
  <si>
    <t>Fiscal Year End, Dec 31 2013</t>
  </si>
  <si>
    <t>Fiscal Year End, Dec 31 2014</t>
  </si>
  <si>
    <t>Fiscal Year End, Dec 31 2015</t>
  </si>
  <si>
    <t>Fiscal Year End, Dec 31 2016</t>
  </si>
  <si>
    <t>1 - Bull</t>
  </si>
  <si>
    <t>2 - Base</t>
  </si>
  <si>
    <t>3 - Bear</t>
  </si>
  <si>
    <t>Supplies &amp; other</t>
  </si>
  <si>
    <t>Instructions:</t>
  </si>
  <si>
    <t>The yellow boxes above drive the scenario options.</t>
  </si>
  <si>
    <t>1)  To change scenarios type 1 for Bull, 2 for Base &amp; 3 for Bear into the corresponding box.  Note that currently if you change the top scenario all scenarios change.</t>
  </si>
  <si>
    <t>2)  The numbers on this page drive changes to the PBM &amp; HCIT Tabs</t>
  </si>
  <si>
    <t>Resolute Health</t>
  </si>
  <si>
    <t>1Q14A</t>
  </si>
  <si>
    <t>3)  To change individual numbers change the corresponding value above</t>
  </si>
  <si>
    <t>Circularity</t>
  </si>
  <si>
    <t>Debt</t>
  </si>
  <si>
    <t>_Debt_1c08</t>
  </si>
  <si>
    <t>_Debt_2c08</t>
  </si>
  <si>
    <t>_Debt_3c08</t>
  </si>
  <si>
    <t>_Debt_4c08</t>
  </si>
  <si>
    <t>_Debt_fy08</t>
  </si>
  <si>
    <t>_Debt_1c09</t>
  </si>
  <si>
    <t>_Debt_2c09</t>
  </si>
  <si>
    <t>_Debt_3c09</t>
  </si>
  <si>
    <t>_Debt_4c09</t>
  </si>
  <si>
    <t>_Debt_fy09</t>
  </si>
  <si>
    <t>_Debt_1c10</t>
  </si>
  <si>
    <t>_Debt_2c10</t>
  </si>
  <si>
    <t>_Debt_3c10</t>
  </si>
  <si>
    <t>_Debt_4c10</t>
  </si>
  <si>
    <t>_Debt_fy10</t>
  </si>
  <si>
    <t>_Debt_1c11</t>
  </si>
  <si>
    <t>_Debt_2c11</t>
  </si>
  <si>
    <t>_Debt_3c11</t>
  </si>
  <si>
    <t>_Debt_4c11</t>
  </si>
  <si>
    <t>_Debt_fy11</t>
  </si>
  <si>
    <t>_Debt_1c12</t>
  </si>
  <si>
    <t>_Debt_2c12</t>
  </si>
  <si>
    <t>_Debt_3c12</t>
  </si>
  <si>
    <t>_Debt_4c12</t>
  </si>
  <si>
    <t>_Debt_fy12</t>
  </si>
  <si>
    <t>_Debt_1c13</t>
  </si>
  <si>
    <t>_Debt_2c13</t>
  </si>
  <si>
    <t>_Debt_3c13</t>
  </si>
  <si>
    <t>_Debt_4c13</t>
  </si>
  <si>
    <t>_Debt_fy13</t>
  </si>
  <si>
    <t>Rate</t>
  </si>
  <si>
    <t>Beginning Cash Balance</t>
  </si>
  <si>
    <t>Ending Cash Balance</t>
  </si>
  <si>
    <t>Interest income</t>
  </si>
  <si>
    <t>Interest Expense</t>
  </si>
  <si>
    <t>Estimated Total Interest Expense</t>
  </si>
  <si>
    <t>Actual (reported) interest expense</t>
  </si>
  <si>
    <t>Total debt - calculated</t>
  </si>
  <si>
    <t>Current portion of LT debt</t>
  </si>
  <si>
    <t>6% secured, due 2020</t>
  </si>
  <si>
    <t>Interest Rate - funds drawn</t>
  </si>
  <si>
    <t>Beg. Balance</t>
  </si>
  <si>
    <t>Ending Balance</t>
  </si>
  <si>
    <t>Interest Expense - loans</t>
  </si>
  <si>
    <t>8 1/8% senior, due 2022</t>
  </si>
  <si>
    <t>5.00% senior notes due 2019</t>
  </si>
  <si>
    <t>6 7/8%, due 2031</t>
  </si>
  <si>
    <t>6.25%, due 2018</t>
  </si>
  <si>
    <t>4.75%, due 2020</t>
  </si>
  <si>
    <t>6.75%, due 2020</t>
  </si>
  <si>
    <t>4.5%, due 2021</t>
  </si>
  <si>
    <t>4.375%, due 2021</t>
  </si>
  <si>
    <t>Credit Agreement, due 2016</t>
  </si>
  <si>
    <t>Interest Rate - commitment fee on unused funds</t>
  </si>
  <si>
    <t>Total Available</t>
  </si>
  <si>
    <t>Remaining Amount Available</t>
  </si>
  <si>
    <t>Interest Expense - commitment fee</t>
  </si>
  <si>
    <t>Unamortized note discounts/premiums</t>
  </si>
  <si>
    <t>Change</t>
  </si>
  <si>
    <t>Mark-to-Market Losses/(Gains)</t>
  </si>
  <si>
    <t>Options</t>
  </si>
  <si>
    <t>$0.00 to $1.149</t>
  </si>
  <si>
    <t>$1.15 to $10.639</t>
  </si>
  <si>
    <t xml:space="preserve">$1.064 to $13.959 </t>
  </si>
  <si>
    <t xml:space="preserve">$13.96 to $17.589 </t>
  </si>
  <si>
    <t xml:space="preserve">$17.59 to $28.759 </t>
  </si>
  <si>
    <t xml:space="preserve">$28.76 and over </t>
  </si>
  <si>
    <t>Tenet Healthcare Corp</t>
  </si>
  <si>
    <t>Currency</t>
  </si>
  <si>
    <t>Current Stock Price</t>
  </si>
  <si>
    <t>Count</t>
  </si>
  <si>
    <t>USD</t>
  </si>
  <si>
    <t/>
  </si>
  <si>
    <t>B8DMK08</t>
  </si>
  <si>
    <t>Tenet Health</t>
  </si>
  <si>
    <t>Ticker: THC</t>
  </si>
  <si>
    <t>Senior Analyst</t>
  </si>
  <si>
    <t>THC</t>
  </si>
  <si>
    <t>Gross Revenue</t>
  </si>
  <si>
    <t>Provision for doubtful accounts</t>
  </si>
  <si>
    <t>Net Revenue</t>
  </si>
  <si>
    <t>Salaries, wages &amp; benefits</t>
  </si>
  <si>
    <t>Supplies</t>
  </si>
  <si>
    <t>Other operating expenses, net</t>
  </si>
  <si>
    <t>Asset impairments &amp; restructuring costs</t>
  </si>
  <si>
    <t>Litigation &amp; investigation costs</t>
  </si>
  <si>
    <t>Hurricane insurance recoveries, net of costs</t>
  </si>
  <si>
    <t>Electronic Health Record Incentives</t>
  </si>
  <si>
    <t>EBITDA</t>
  </si>
  <si>
    <t>Adjusted EBITDA</t>
  </si>
  <si>
    <t>Depreciation and Amortization</t>
  </si>
  <si>
    <t>Operating income</t>
  </si>
  <si>
    <t>Interest expense</t>
  </si>
  <si>
    <t>Investment earnings</t>
  </si>
  <si>
    <t>Net gain (loss) on investment sales</t>
  </si>
  <si>
    <t>(Loss) from early extinguishment of debt</t>
  </si>
  <si>
    <t>Pretax income</t>
  </si>
  <si>
    <t>Income tax expense (benefit)</t>
  </si>
  <si>
    <t>Income from continuing ops</t>
  </si>
  <si>
    <t>Discontinued operations:</t>
  </si>
  <si>
    <t>Income (loss) on operations</t>
  </si>
  <si>
    <t>Impairment of assets &amp; restructuring</t>
  </si>
  <si>
    <t>Hurricane &amp; insurance settlements</t>
  </si>
  <si>
    <t>Net gain (loss) on sales of facilities</t>
  </si>
  <si>
    <t>Income tax benefit (expense)</t>
  </si>
  <si>
    <t>Discontinued operations, net</t>
  </si>
  <si>
    <t>Cumulative effect of change in accounting principle, net of tax</t>
  </si>
  <si>
    <t>Preferred Stock Dividend</t>
  </si>
  <si>
    <t>Net income attributable to non-controlling interest</t>
  </si>
  <si>
    <t>Reported Net income/(loss) -- (GAAP)</t>
  </si>
  <si>
    <t>Adjustments</t>
  </si>
  <si>
    <t>Income attributable to common shareholders (cont ops)</t>
  </si>
  <si>
    <t>Operating EPS from continuing operations:</t>
  </si>
  <si>
    <t>Litigation settlement charges</t>
  </si>
  <si>
    <t>Deferred tax asset valuation allowance and other tax adjustments</t>
  </si>
  <si>
    <t>Loss (gain) from divestitures</t>
  </si>
  <si>
    <t>Loss (gain) on early retirement of debt</t>
  </si>
  <si>
    <t>Other one-time items</t>
  </si>
  <si>
    <t>Provision for income taxes</t>
  </si>
  <si>
    <t>Total Non-operating adjustments, net</t>
  </si>
  <si>
    <t>Margins</t>
  </si>
  <si>
    <t>Salaries &amp; benefits</t>
  </si>
  <si>
    <t>Other operating expenses</t>
  </si>
  <si>
    <t>EBITDA Margin</t>
  </si>
  <si>
    <t>Operating margin</t>
  </si>
  <si>
    <t>Pretax margin</t>
  </si>
  <si>
    <t>Inpatient Admissions</t>
  </si>
  <si>
    <t>Adjusted Admissions</t>
  </si>
  <si>
    <t>Fiscal Year ends December 31</t>
  </si>
  <si>
    <t>($ Millions, except per share data)</t>
  </si>
  <si>
    <t>THC.N</t>
  </si>
  <si>
    <t>F1Q95A</t>
  </si>
  <si>
    <t>F2Q95A</t>
  </si>
  <si>
    <t>F3Q95A</t>
  </si>
  <si>
    <t>F4Q95A</t>
  </si>
  <si>
    <t>F1995A</t>
  </si>
  <si>
    <t>F1Q96A</t>
  </si>
  <si>
    <t>F2Q96A</t>
  </si>
  <si>
    <t>F3Q96A</t>
  </si>
  <si>
    <t>F4Q96A</t>
  </si>
  <si>
    <t>F1996A</t>
  </si>
  <si>
    <t>F1Q97A</t>
  </si>
  <si>
    <t>F2Q97A</t>
  </si>
  <si>
    <t>F3Q97A</t>
  </si>
  <si>
    <t>F4Q97A</t>
  </si>
  <si>
    <t>F1997A</t>
  </si>
  <si>
    <t>F1Q98A</t>
  </si>
  <si>
    <t>F2Q98A</t>
  </si>
  <si>
    <t>F3Q98A</t>
  </si>
  <si>
    <t>F4Q98A</t>
  </si>
  <si>
    <t>F1998A</t>
  </si>
  <si>
    <t>F1Q99A</t>
  </si>
  <si>
    <t>F2Q99A</t>
  </si>
  <si>
    <t>F3Q99A</t>
  </si>
  <si>
    <t>F4Q99A</t>
  </si>
  <si>
    <t>F1999A</t>
  </si>
  <si>
    <t>F1Q00A</t>
  </si>
  <si>
    <t>F2Q00A</t>
  </si>
  <si>
    <t>F3Q00A</t>
  </si>
  <si>
    <t>F4Q00A</t>
  </si>
  <si>
    <t>F2000A</t>
  </si>
  <si>
    <t>F1Q01A</t>
  </si>
  <si>
    <t>F2Q01A</t>
  </si>
  <si>
    <t>F3Q01A</t>
  </si>
  <si>
    <t>F4Q01A</t>
  </si>
  <si>
    <t>F2001A</t>
  </si>
  <si>
    <t>F1Q02A</t>
  </si>
  <si>
    <t>F2Q02A</t>
  </si>
  <si>
    <t>F3Q02A</t>
  </si>
  <si>
    <t>F4Q02A</t>
  </si>
  <si>
    <t>F2002A</t>
  </si>
  <si>
    <t>F1Q03A</t>
  </si>
  <si>
    <t>F2Q03A</t>
  </si>
  <si>
    <t>F3Q03A</t>
  </si>
  <si>
    <t>1Q02A</t>
  </si>
  <si>
    <t>2Q02A</t>
  </si>
  <si>
    <t>3Q02A</t>
  </si>
  <si>
    <t>4Q02A</t>
  </si>
  <si>
    <t>2002A</t>
  </si>
  <si>
    <t>1Q03A</t>
  </si>
  <si>
    <t>2Q03A</t>
  </si>
  <si>
    <t>3Q03A</t>
  </si>
  <si>
    <t>4Q03A</t>
  </si>
  <si>
    <t>2003A</t>
  </si>
  <si>
    <t>1Q04A</t>
  </si>
  <si>
    <t>2Q04A</t>
  </si>
  <si>
    <t>3Q04A</t>
  </si>
  <si>
    <t>4Q04A</t>
  </si>
  <si>
    <t>2004A</t>
  </si>
  <si>
    <t>1Q05A</t>
  </si>
  <si>
    <t>2Q05A</t>
  </si>
  <si>
    <t>3Q05A</t>
  </si>
  <si>
    <t>4Q05A</t>
  </si>
  <si>
    <t>2005A</t>
  </si>
  <si>
    <t>1Q06A</t>
  </si>
  <si>
    <t>2Q06A</t>
  </si>
  <si>
    <t>3Q06A</t>
  </si>
  <si>
    <t>4Q06A</t>
  </si>
  <si>
    <t>2006A</t>
  </si>
  <si>
    <t>1Q07A</t>
  </si>
  <si>
    <t>2Q07A</t>
  </si>
  <si>
    <t>3Q07A</t>
  </si>
  <si>
    <t>4Q07A</t>
  </si>
  <si>
    <t>2007A</t>
  </si>
  <si>
    <t>1Q08A</t>
  </si>
  <si>
    <t>2Q08A</t>
  </si>
  <si>
    <t>3Q08A</t>
  </si>
  <si>
    <t>4Q08A</t>
  </si>
  <si>
    <t>2008A</t>
  </si>
  <si>
    <t>1Q09A</t>
  </si>
  <si>
    <t>2Q09A</t>
  </si>
  <si>
    <t>3Q09A</t>
  </si>
  <si>
    <t>4Q09A</t>
  </si>
  <si>
    <t>2009A</t>
  </si>
  <si>
    <t>1Q10A</t>
  </si>
  <si>
    <t>2Q10A</t>
  </si>
  <si>
    <t>3Q10A</t>
  </si>
  <si>
    <t>4Q10A</t>
  </si>
  <si>
    <t>2010A</t>
  </si>
  <si>
    <t>1Q11A</t>
  </si>
  <si>
    <t>2Q11A</t>
  </si>
  <si>
    <t>3Q11A</t>
  </si>
  <si>
    <t>4Q11A</t>
  </si>
  <si>
    <t>2011A</t>
  </si>
  <si>
    <t>1Q12A</t>
  </si>
  <si>
    <t>2Q12A</t>
  </si>
  <si>
    <t>3Q12A</t>
  </si>
  <si>
    <t>4Q12A</t>
  </si>
  <si>
    <t>2012A</t>
  </si>
  <si>
    <t>1Q13A</t>
  </si>
  <si>
    <t>2Q13A</t>
  </si>
  <si>
    <t>3Q13A</t>
  </si>
  <si>
    <t>4Q13A</t>
  </si>
  <si>
    <t>2013A</t>
  </si>
  <si>
    <t>Days in period</t>
  </si>
  <si>
    <t>Inpatient revenue</t>
  </si>
  <si>
    <t>Outpatient revenue</t>
  </si>
  <si>
    <t>Non-patient revenue</t>
  </si>
  <si>
    <t>Synergies</t>
  </si>
  <si>
    <t>Reported EPS, GAAP - Fully Diluted</t>
  </si>
  <si>
    <t>y/y change</t>
  </si>
  <si>
    <t>Reported EPS, Continuing Operations - Fully Diluted</t>
  </si>
  <si>
    <t>EBITDA (Ex-HCIT)</t>
  </si>
  <si>
    <t>Wtd. avg shares outstanding - basic</t>
  </si>
  <si>
    <t>Wtd. avg shares outstanding - diluted</t>
  </si>
  <si>
    <t>End of period shares outstanding</t>
  </si>
  <si>
    <t>ND</t>
  </si>
  <si>
    <t>Share repurchase</t>
  </si>
  <si>
    <t>Authorization</t>
  </si>
  <si>
    <t>Number of shares repurchased</t>
  </si>
  <si>
    <t>Average repurchase price</t>
  </si>
  <si>
    <t>Amount repurchased ($)</t>
  </si>
  <si>
    <t>Adjusted EBITDA Reconciliation</t>
  </si>
  <si>
    <t>Operating income (EBIT)</t>
  </si>
  <si>
    <t>Add: litigation &amp; investigation costs (benefit)</t>
  </si>
  <si>
    <t>Add: asset impariment &amp; restructuring</t>
  </si>
  <si>
    <t>Add: depreciation and amortization</t>
  </si>
  <si>
    <t>adjusted EBITDA margin</t>
  </si>
  <si>
    <t>Net Income - Operating</t>
  </si>
  <si>
    <t>Expenses</t>
  </si>
  <si>
    <t>Tax rate</t>
  </si>
  <si>
    <t>Growth Rates</t>
  </si>
  <si>
    <t>Pre-tax income</t>
  </si>
  <si>
    <t>EPS, diluted  Reported Continuing Operations</t>
  </si>
  <si>
    <t>EPS, diluted  Operating Non GAAP</t>
  </si>
  <si>
    <t>Average share price</t>
  </si>
  <si>
    <t>Unrecorded goodwill</t>
  </si>
  <si>
    <t>Statutory tax rate</t>
  </si>
  <si>
    <t>Net income reported for validation</t>
  </si>
  <si>
    <t>Balance Sheet &amp; Cash Flow Statement</t>
  </si>
  <si>
    <t>Cash &amp; equivalents</t>
  </si>
  <si>
    <t>Restricted cash</t>
  </si>
  <si>
    <t>Investments in securities</t>
  </si>
  <si>
    <t>Accounts receivable, gross</t>
  </si>
  <si>
    <t>Allowance for bad debt</t>
  </si>
  <si>
    <t>Accounts receivable, net</t>
  </si>
  <si>
    <t>Inventories</t>
  </si>
  <si>
    <t>Income tax receivable</t>
  </si>
  <si>
    <t>Deferred income taxes</t>
  </si>
  <si>
    <t>Assets held for sale</t>
  </si>
  <si>
    <t>Other current assets</t>
  </si>
  <si>
    <t>Current Assets</t>
  </si>
  <si>
    <t>Investments &amp; other assets</t>
  </si>
  <si>
    <t>Property &amp; equipment, net</t>
  </si>
  <si>
    <t>Goodwill</t>
  </si>
  <si>
    <t>Intangible assets, net</t>
  </si>
  <si>
    <t>Total Assets</t>
  </si>
  <si>
    <t>Current portion of L/T debt</t>
  </si>
  <si>
    <t>Accounts payable</t>
  </si>
  <si>
    <t>Accrued compensation &amp; benefits</t>
  </si>
  <si>
    <t>Professional &amp; general liability reserves</t>
  </si>
  <si>
    <t>Accrued interest payable</t>
  </si>
  <si>
    <t>Accrued legal settlement costs</t>
  </si>
  <si>
    <t>Other current liabilities</t>
  </si>
  <si>
    <t>Current Liabilities</t>
  </si>
  <si>
    <t>Long-term debt</t>
  </si>
  <si>
    <t>Other long-term liabilities</t>
  </si>
  <si>
    <t>Total Liabilities</t>
  </si>
  <si>
    <t xml:space="preserve">Redeemable noncontrolling interests in equity of consolidated subsidiaries </t>
  </si>
  <si>
    <t>Preferred Equity</t>
  </si>
  <si>
    <t>Common stock</t>
  </si>
  <si>
    <t>Additional paid in capital</t>
  </si>
  <si>
    <t>Accumulated other comprehensive loss</t>
  </si>
  <si>
    <t>Accumulated deficit</t>
  </si>
  <si>
    <t>Common stock in treasury</t>
  </si>
  <si>
    <t>Total Shareholders' Equity</t>
  </si>
  <si>
    <t>Noncontrolling interest</t>
  </si>
  <si>
    <t>Total Liabilities and Equity</t>
  </si>
  <si>
    <t>Leverage and Liquidty Ratios</t>
  </si>
  <si>
    <t>Total Debt / Total Capitalization</t>
  </si>
  <si>
    <t>Total Debt / Equity</t>
  </si>
  <si>
    <t>Net Debt / Equity</t>
  </si>
  <si>
    <t>Total Debt / LTM Adj. EBITDA</t>
  </si>
  <si>
    <t>Net Debt / LTM Adj. EBITDA</t>
  </si>
  <si>
    <t>EBITDA / Interest Expense</t>
  </si>
  <si>
    <t>LTM Adj.EBITDA</t>
  </si>
  <si>
    <t>Interest Expense (annualized)</t>
  </si>
  <si>
    <t xml:space="preserve">Net Debt </t>
  </si>
  <si>
    <t>Total Debt</t>
  </si>
  <si>
    <t>A = L + SE?</t>
  </si>
  <si>
    <t>% of Net Patient Revenue</t>
  </si>
  <si>
    <t>% of Adj. EBITDA</t>
  </si>
  <si>
    <t>% of Non-Patient Revenue</t>
  </si>
  <si>
    <t>3Q14A</t>
  </si>
  <si>
    <t>4Q14A</t>
  </si>
  <si>
    <t>2014A</t>
  </si>
  <si>
    <t>5.50% senior notes due 2019</t>
  </si>
  <si>
    <t>1Q15A</t>
  </si>
  <si>
    <t>Fiscal Year End, Dec 31 2017</t>
  </si>
  <si>
    <t>Adj. EBITDA for Consensus</t>
  </si>
  <si>
    <t>Adj. EBITDA for Consensus tag</t>
  </si>
  <si>
    <t>Equity in earnings of unconsolidated affiliates</t>
  </si>
  <si>
    <t>6.75% senior unsecured notes due 2023</t>
  </si>
  <si>
    <t>Accrued Expense (Pension, Legal Costs)</t>
  </si>
  <si>
    <t>Dignity JV</t>
  </si>
  <si>
    <t>Baylor JV</t>
  </si>
  <si>
    <t>Baptist Health</t>
  </si>
  <si>
    <t>Ambulatory Care</t>
  </si>
  <si>
    <t>2Q15A</t>
  </si>
  <si>
    <t>Y</t>
  </si>
  <si>
    <t>3Q15A</t>
  </si>
  <si>
    <t>USPI Capex</t>
  </si>
  <si>
    <t>Central Carolina, Frye Sale to LPNT</t>
  </si>
  <si>
    <t>West Care sale of Atlanta, Fulton, Spalding, Sylvan Grove</t>
  </si>
  <si>
    <t>Sale of St. Louis</t>
  </si>
  <si>
    <t>4Q15A</t>
  </si>
  <si>
    <t>Net revenuer per adj patient day</t>
  </si>
  <si>
    <t>8,332,13</t>
  </si>
  <si>
    <t>Undistributed Earnings from Affiliates</t>
  </si>
  <si>
    <t>Hospital CapEx as % of revs</t>
  </si>
  <si>
    <t>2015A</t>
  </si>
  <si>
    <t>Fiscal Year End, Dec 31 2018</t>
  </si>
  <si>
    <t>2018E</t>
  </si>
  <si>
    <t>1Q18E</t>
  </si>
  <si>
    <t>2Q18E</t>
  </si>
  <si>
    <t>3Q18E</t>
  </si>
  <si>
    <t>4Q18E</t>
  </si>
  <si>
    <t>1Q19E</t>
  </si>
  <si>
    <t>2Q19E</t>
  </si>
  <si>
    <t>3Q19E</t>
  </si>
  <si>
    <t>4Q19E</t>
  </si>
  <si>
    <t>2019E</t>
  </si>
  <si>
    <t>1Q16A</t>
  </si>
  <si>
    <t>2Q16A</t>
  </si>
  <si>
    <t>3Q16A</t>
  </si>
  <si>
    <t>Guidance</t>
  </si>
  <si>
    <t>MSe</t>
  </si>
  <si>
    <t>Consesus</t>
  </si>
  <si>
    <t>Revenue (in $B)</t>
  </si>
  <si>
    <t>Adjusted EBITDA (in $B)</t>
  </si>
  <si>
    <t>4Q16A</t>
  </si>
  <si>
    <t>2016A</t>
  </si>
  <si>
    <t>$19.7 to $20.1</t>
  </si>
  <si>
    <t>$600 to $800</t>
  </si>
  <si>
    <t>Zachary Sopcak</t>
  </si>
  <si>
    <t>(212) 761-4002</t>
  </si>
  <si>
    <t>Zachary.Sopcak@morganstanley.com</t>
  </si>
  <si>
    <t>Go to Income Statement</t>
  </si>
  <si>
    <t>Go to Balance Sheet</t>
  </si>
  <si>
    <t>Go to Cash Flow Statement</t>
  </si>
  <si>
    <t>Go to Revenue Assumptions</t>
  </si>
  <si>
    <t>Go to Expense Assumptions</t>
  </si>
  <si>
    <t>FY17</t>
  </si>
  <si>
    <t>1Q17A</t>
  </si>
  <si>
    <t>$2.525 to $2.625</t>
  </si>
  <si>
    <t>$71 to $95</t>
  </si>
  <si>
    <t>3Q15E</t>
  </si>
  <si>
    <t>As of 1Q17</t>
  </si>
  <si>
    <t>$2.5 to $2.6</t>
  </si>
  <si>
    <t>$107 to $133</t>
  </si>
  <si>
    <t>As of 4Q16</t>
  </si>
  <si>
    <t>Leigh Pressman, CFA</t>
  </si>
  <si>
    <t>Associate</t>
  </si>
  <si>
    <t>(212) 761-4896</t>
  </si>
  <si>
    <t>Leigh.Pressman@morganstanley.com</t>
  </si>
  <si>
    <t>$1,300 to $1,550</t>
  </si>
  <si>
    <t>$1,300 to $1,500</t>
  </si>
  <si>
    <t>Other (including gains on sales and consolidation)</t>
  </si>
  <si>
    <t>Wtd. avg shares outstanding - diluted ADJUSTED</t>
  </si>
  <si>
    <t>$0.70 to $0.93</t>
  </si>
  <si>
    <t>Balance Sheet</t>
  </si>
  <si>
    <t>Cash Flow Statement</t>
  </si>
  <si>
    <t>Fiscal Year End, Dec 31 2019</t>
  </si>
  <si>
    <t>4.625% Senior Secured First Lien Notes due 2024</t>
  </si>
  <si>
    <t>Income Statement</t>
  </si>
  <si>
    <t>mutoko</t>
  </si>
  <si>
    <t>EBITDA Delta</t>
  </si>
  <si>
    <t>CONSOLIDATED</t>
  </si>
  <si>
    <t>SAME STORE</t>
  </si>
  <si>
    <t>CONSOLIDATED - RESTATED</t>
  </si>
  <si>
    <t>SAME STORE - RESTATED</t>
  </si>
  <si>
    <t>y/y change - restated</t>
  </si>
  <si>
    <t>Total debt - reported</t>
  </si>
  <si>
    <t>Total Issuance</t>
  </si>
  <si>
    <t>Total Repayments</t>
  </si>
  <si>
    <t>Cash available for Debt Paydown</t>
  </si>
  <si>
    <t>Credit Facility</t>
  </si>
  <si>
    <t>Borrowings</t>
  </si>
  <si>
    <t>(Repayments)</t>
  </si>
  <si>
    <t>Secured Debt</t>
  </si>
  <si>
    <t>Unsecured Debt</t>
  </si>
  <si>
    <t>Share repurchase price</t>
  </si>
  <si>
    <t>Net revenue per adj patient day</t>
  </si>
  <si>
    <t>Adjusted net income</t>
  </si>
  <si>
    <t>Adjusted EPS - Fully Diluted</t>
  </si>
  <si>
    <t xml:space="preserve">Other </t>
  </si>
  <si>
    <t>2Q17A</t>
  </si>
  <si>
    <t>Liabilities held for sale</t>
  </si>
  <si>
    <t>Gains on sales, consolidation and deconsolidation</t>
  </si>
  <si>
    <t>Mortgage Notes</t>
  </si>
  <si>
    <t>7.5%, due 2022</t>
  </si>
  <si>
    <t>Outpatient Visits</t>
  </si>
  <si>
    <t>Revenues on a Per Admission, Per Patient Day and Per Visit Basis</t>
  </si>
  <si>
    <t>Net patient rev per adjusted patient admission</t>
  </si>
  <si>
    <t>Net Patient Revenues from:</t>
  </si>
  <si>
    <t>As of 2Q17</t>
  </si>
  <si>
    <t>$19.1 to $19.4</t>
  </si>
  <si>
    <t>$2.45 to $2.55</t>
  </si>
  <si>
    <t>-$1.14 to -$0.89</t>
  </si>
  <si>
    <t>$525 to $725</t>
  </si>
  <si>
    <t>$1,200 to $1,400</t>
  </si>
  <si>
    <t>$70 to $100</t>
  </si>
  <si>
    <t>(212) 761-3809</t>
  </si>
  <si>
    <t>Moses.Mutoko@morganstanley.com</t>
  </si>
  <si>
    <t>Moses Mutoko</t>
  </si>
  <si>
    <t>Inpatient Admissions - reported</t>
  </si>
  <si>
    <t>Divestitures</t>
  </si>
  <si>
    <t>Acquired (Divested) Revenue</t>
  </si>
  <si>
    <t>Cons.</t>
  </si>
  <si>
    <t>8.00% senior, due 2020</t>
  </si>
  <si>
    <t>3Q17A</t>
  </si>
  <si>
    <t>5.125% Senior Secured First Lien Notes due 2025</t>
  </si>
  <si>
    <t>7.00% senior unsecured notes due 2025</t>
  </si>
  <si>
    <t>As of 3Q17</t>
  </si>
  <si>
    <t>$18.9 to $19.1</t>
  </si>
  <si>
    <t>$2.375 to $2.425</t>
  </si>
  <si>
    <t>-$3.68 to -$3.63</t>
  </si>
  <si>
    <t>$60 to $75</t>
  </si>
  <si>
    <t>$450 to $650</t>
  </si>
  <si>
    <t>$1,125 to $1,375</t>
  </si>
  <si>
    <t>Rating: Underweight</t>
  </si>
  <si>
    <t>Adjusted Diluted EPS</t>
  </si>
  <si>
    <t>Adj. Net Income from continuing ops</t>
  </si>
  <si>
    <t>4Q17A</t>
  </si>
  <si>
    <t>1Q20E</t>
  </si>
  <si>
    <t>2Q20E</t>
  </si>
  <si>
    <t>3Q20E</t>
  </si>
  <si>
    <t>4Q20E</t>
  </si>
  <si>
    <t>2020E</t>
  </si>
  <si>
    <t>FY2018</t>
  </si>
  <si>
    <t>As of 4Q17</t>
  </si>
  <si>
    <t>2017A</t>
  </si>
  <si>
    <t xml:space="preserve">Capital leases </t>
  </si>
  <si>
    <t>$17.9 to $18.3</t>
  </si>
  <si>
    <t>$0.73 to $1.07</t>
  </si>
  <si>
    <t>$75 to $110</t>
  </si>
  <si>
    <t>$675 to $875</t>
  </si>
  <si>
    <t>Adjusted Free Cash Flow (in $M)</t>
  </si>
  <si>
    <t>Adjusted Cash Flow from Operations (in $M)</t>
  </si>
  <si>
    <t>California Hospital Quality Assurance Fee</t>
  </si>
  <si>
    <t>q/q projections</t>
  </si>
  <si>
    <t>Outpatient Revenue Growth</t>
  </si>
  <si>
    <t>Inpatient Revenue per Admission</t>
  </si>
  <si>
    <t>Research</t>
  </si>
  <si>
    <t>MSA83FVH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</si>
  <si>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</si>
  <si>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</si>
  <si>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</si>
  <si>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</si>
  <si>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</si>
  <si>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</si>
  <si>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</si>
  <si>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Zack Sopcak</t>
  </si>
  <si>
    <t>Date: 13 Apr 2018</t>
  </si>
  <si>
    <t>Ticker: THC.N</t>
  </si>
  <si>
    <t>Stock Rating: Underweight</t>
  </si>
  <si>
    <t>Industry: Healthcare Facilities &amp; Managed Care</t>
  </si>
  <si>
    <t>Industry View: In-Line</t>
  </si>
  <si>
    <t>Price as of 13 Apr 2018: 22.95</t>
  </si>
  <si>
    <t>Target Price: 16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</si>
  <si>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</si>
  <si>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</si>
  <si>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</si>
  <si>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</si>
  <si>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Tenet Healthcare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</si>
  <si>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</si>
  <si>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</si>
  <si>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</si>
  <si>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</si>
  <si>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</si>
  <si>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</si>
  <si>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</si>
  <si>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</si>
  <si>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</si>
  <si>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</si>
  <si>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</si>
  <si>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</si>
  <si>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</si>
  <si>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</si>
  <si>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</si>
  <si>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</si>
  <si>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</si>
  <si>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</si>
  <si>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</si>
  <si>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</si>
  <si>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</si>
  <si>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</si>
  <si>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</si>
  <si>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</si>
  <si>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</si>
  <si>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</si>
  <si>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</si>
  <si>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</si>
  <si>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</si>
  <si>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</si>
  <si>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</si>
  <si>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</si>
  <si>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</si>
  <si>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</si>
  <si>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</si>
  <si>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</si>
  <si>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</si>
  <si>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</si>
  <si>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</si>
  <si>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</si>
  <si>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</si>
  <si>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</si>
  <si>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</si>
  <si>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</si>
  <si>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</si>
  <si>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</si>
  <si>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</si>
  <si>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</si>
  <si>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</si>
  <si>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</si>
  <si>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</si>
  <si>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</si>
  <si>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</si>
  <si>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</si>
  <si>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</si>
  <si>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</si>
  <si>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</si>
  <si>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</si>
  <si>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</si>
  <si>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</si>
  <si>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</si>
  <si>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</si>
  <si>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</si>
  <si>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</si>
  <si>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</si>
  <si>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</si>
  <si>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</si>
  <si>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</si>
  <si>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</si>
  <si>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</si>
  <si>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</si>
  <si>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</si>
  <si>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</si>
  <si>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</si>
  <si>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</si>
  <si>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</si>
  <si>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</si>
  <si>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</si>
  <si>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</si>
  <si>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</si>
  <si>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</si>
  <si>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</si>
  <si>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</si>
  <si>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</si>
  <si>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</si>
  <si>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</si>
  <si>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</si>
  <si>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</si>
  <si>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</si>
  <si>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</si>
  <si>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</si>
  <si>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</si>
  <si>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</si>
  <si>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</si>
  <si>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</si>
  <si>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</si>
  <si>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</si>
  <si>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</si>
  <si>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</si>
  <si>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</si>
  <si>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</si>
  <si>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</si>
  <si>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</si>
  <si>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</si>
  <si>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</si>
  <si>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</si>
  <si>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</si>
  <si>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</si>
  <si>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</si>
  <si>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</si>
  <si>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</si>
  <si>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</si>
  <si>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</si>
  <si>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</si>
  <si>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</si>
  <si>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</si>
  <si>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</si>
  <si>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</si>
  <si>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</si>
  <si>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</si>
  <si>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</si>
  <si>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</si>
  <si>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</si>
  <si>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</si>
  <si>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</si>
  <si>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</si>
  <si>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</si>
  <si>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</si>
  <si>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</si>
  <si>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</si>
  <si>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</si>
  <si>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</si>
  <si>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</si>
  <si>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</si>
  <si>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</si>
  <si>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</si>
  <si>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</si>
  <si>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</si>
  <si>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</si>
  <si>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</si>
  <si>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</si>
  <si>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</si>
  <si>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</si>
  <si>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</si>
  <si>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</si>
  <si>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</si>
  <si>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</si>
  <si>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</si>
  <si>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</si>
  <si>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</si>
  <si>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</si>
  <si>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</si>
  <si>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</si>
  <si>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</si>
  <si>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</si>
  <si>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</si>
  <si>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</si>
  <si>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</si>
  <si>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</si>
  <si>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</si>
  <si>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</si>
  <si>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</si>
  <si>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</si>
  <si>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</si>
  <si>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</si>
  <si>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</si>
  <si>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</si>
  <si>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</si>
  <si>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</si>
  <si>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</si>
  <si>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</si>
  <si>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</si>
  <si>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</si>
  <si>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</si>
  <si>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</si>
  <si>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</si>
  <si>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Tenet Healthcare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</si>
  <si>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</si>
  <si>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</si>
  <si>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</si>
  <si>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</si>
  <si>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</si>
  <si>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</si>
  <si>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</si>
  <si>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</si>
  <si>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</si>
  <si>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</si>
  <si>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</si>
  <si>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</si>
  <si>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</si>
  <si>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</si>
  <si>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</si>
  <si>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</si>
  <si>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</si>
  <si>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</si>
  <si>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</si>
  <si>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</si>
  <si>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</si>
  <si>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</si>
  <si>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</si>
  <si>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</si>
  <si>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</si>
  <si>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</si>
  <si>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</si>
  <si>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</si>
  <si>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</si>
  <si>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</si>
  <si>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</si>
  <si>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</si>
  <si>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</si>
  <si>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</si>
  <si>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</si>
  <si>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</si>
  <si>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</si>
  <si>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</si>
  <si>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</si>
  <si>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</si>
  <si>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</si>
  <si>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</si>
  <si>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</si>
  <si>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</si>
  <si>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</si>
  <si>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</si>
  <si>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</si>
  <si>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</si>
  <si>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</si>
  <si>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</si>
  <si>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</si>
  <si>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</si>
  <si>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</si>
  <si>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</si>
  <si>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</si>
  <si>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</si>
  <si>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</si>
  <si>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</si>
  <si>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</si>
  <si>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</si>
  <si>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</si>
  <si>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</si>
  <si>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</si>
  <si>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</si>
  <si>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</si>
  <si>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</si>
  <si>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</si>
  <si>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</si>
  <si>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Tenet Healthcare Corp.</t>
  </si>
  <si>
    <t>Within the last 12 months, Morgan Stanley has provided or is providing investment banking services to,</t>
  </si>
  <si>
    <t>or has an investment banking client relationship with, the following company: Tenet Healthcare Corp.</t>
  </si>
  <si>
    <t>Within the last 12 months, Morgan Stanley has received compensation for products and services other than</t>
  </si>
  <si>
    <t>investment banking services from Tenet Healthcare Corp.</t>
  </si>
  <si>
    <t>In the next 3 months, Morgan Stanley expects to receive or intends to seek compensation for investment</t>
  </si>
  <si>
    <t>banking services from Tenet Healthcare Corp.</t>
  </si>
  <si>
    <t>Within the last 12 months, Morgan Stanley has received compensation for investment banking services from</t>
  </si>
  <si>
    <t>Tenet Healthcare Corp.</t>
  </si>
  <si>
    <t>Within the last 12 months, Morgan Stanley managed or co-managed a public offering (or 144A offering) of</t>
  </si>
  <si>
    <t>securities of Tenet Healthcare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</si>
  <si>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</si>
  <si>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</si>
  <si>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</si>
  <si>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</si>
  <si>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</si>
  <si>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Zack Sopcak.</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</si>
  <si>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</si>
  <si>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</si>
  <si>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</si>
  <si>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</si>
  <si>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</si>
  <si>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</si>
  <si>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</si>
  <si>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</si>
  <si>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</si>
  <si>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</si>
  <si>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</si>
  <si>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</si>
  <si>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</si>
  <si>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</si>
  <si>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</si>
  <si>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</si>
  <si>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</si>
  <si>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</si>
  <si>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</si>
  <si>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</si>
  <si>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</si>
  <si>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</si>
  <si>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</si>
  <si>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</si>
  <si>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</si>
  <si>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</si>
  <si>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</si>
  <si>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</si>
  <si>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</si>
  <si>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</si>
  <si>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</si>
  <si>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</si>
  <si>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</si>
  <si>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</si>
  <si>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</si>
  <si>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</si>
  <si>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</si>
  <si>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</si>
  <si>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</si>
  <si>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</si>
  <si>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</si>
  <si>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</si>
  <si>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</si>
  <si>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</si>
  <si>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</si>
  <si>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</si>
  <si>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</si>
  <si>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</si>
  <si>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</si>
  <si>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</si>
  <si>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</si>
  <si>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</si>
  <si>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</si>
  <si>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</si>
  <si>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</si>
  <si>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</si>
  <si>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</si>
  <si>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</si>
  <si>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</si>
  <si>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</si>
  <si>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</si>
  <si>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</si>
  <si>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</si>
  <si>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</si>
  <si>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</si>
  <si>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</si>
  <si>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</si>
  <si>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</si>
  <si>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</si>
  <si>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</si>
  <si>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</si>
  <si>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88033G407</t>
  </si>
  <si>
    <t>\\Msad\root\NA\NY\LIB\ER\HEALTH\MCOs-Facilities\Models\Rlink Models\THC.xlsm</t>
  </si>
  <si>
    <t>[BRO MSA]</t>
  </si>
  <si>
    <t>[PRODUCT MODEL]</t>
  </si>
  <si>
    <t>[EMAIL_ALERT YES]</t>
  </si>
  <si>
    <t>[DISCIPLINE Company]</t>
  </si>
  <si>
    <t>[SUPPRESSED NO]</t>
  </si>
  <si>
    <t>[DOCDAT 2018-04-13]</t>
  </si>
  <si>
    <t>[DOCTIME 13:26]</t>
  </si>
  <si>
    <t>[PSYM THC.N(S&amp;P) (None)]</t>
  </si>
  <si>
    <t>[COU 1]</t>
  </si>
  <si>
    <t>[ANA ]</t>
  </si>
  <si>
    <t>[HL THC.N Model]</t>
  </si>
  <si>
    <t>[IND ]</t>
  </si>
  <si>
    <t>[PANA MSA83FVH]</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</si>
  <si>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</si>
  <si>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</si>
  <si>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</si>
  <si>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</si>
  <si>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</si>
  <si>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</si>
  <si>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</si>
  <si>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</si>
  <si>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</si>
  <si>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</si>
  <si>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</si>
  <si>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</si>
  <si>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</si>
  <si>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IS</t>
  </si>
  <si>
    <t>BS &amp; CF</t>
  </si>
  <si>
    <t>Revenue Model</t>
  </si>
  <si>
    <t>Expense Assumptions</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</si>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</sst>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0%\)"/>
    <numFmt numFmtId="165" formatCode="_(* #,##0.0_);_(* \(#,##0.0\);_(* &quot;-&quot;??_);_(@_)"/>
    <numFmt numFmtId="166" formatCode="&quot;$&quot;#,##0.0_);\(&quot;$&quot;#,##0.0\)"/>
    <numFmt numFmtId="167" formatCode="0.0%"/>
    <numFmt numFmtId="168" formatCode="0.0_);\(0.0\)"/>
    <numFmt numFmtId="169" formatCode="&quot;$&quot;#,##0.0"/>
    <numFmt numFmtId="170" formatCode="&quot;$&quot;#,##0.00"/>
    <numFmt numFmtId="171" formatCode="0.0"/>
    <numFmt numFmtId="173" formatCode="_(&quot;$&quot;* #,##0.0_);_(&quot;$&quot;* \(#,##0.0\);_(&quot;$&quot;* &quot;-&quot;??_);_(@_)"/>
    <numFmt numFmtId="174" formatCode="_(* #,##0.0_);_(* \(#,##0.0\);_(* &quot;-&quot;?_);_(@_)"/>
    <numFmt numFmtId="175" formatCode="_(* #,##0_);_(* \(#,##0\);_(* &quot;-&quot;??_);_(@_)"/>
    <numFmt numFmtId="176" formatCode="_(&quot;$&quot;* #,##0.0_);_(&quot;$&quot;* \(#,##0.0\);_(&quot;$&quot;* &quot;-&quot;?_);_(@_)"/>
    <numFmt numFmtId="177" formatCode="_(&quot;$&quot;* #,##0_);_(&quot;$&quot;* \(#,##0\);_(&quot;$&quot;* &quot;-&quot;?_);_(@_)"/>
    <numFmt numFmtId="179" formatCode="[$-409]mmm\-yy;@"/>
    <numFmt numFmtId="180" formatCode="0.0&quot;x&quot;"/>
    <numFmt numFmtId="181" formatCode="#,##0.000_);\(#,##0.000\)"/>
    <numFmt numFmtId="182" formatCode="#,##0.0_);\(#,##0.0\)"/>
    <numFmt numFmtId="183" formatCode="_(* #,##0.0_);_(* \(#,##0.0\);_(* &quot;-&quot;_);_(@_)"/>
    <numFmt numFmtId="184" formatCode="#,##0.0&quot;x&quot;_);\(#,##0.0&quot;x&quot;\)"/>
    <numFmt numFmtId="185" formatCode="&quot;$&quot;#,##0"/>
    <numFmt numFmtId="186" formatCode="0.0000%"/>
    <numFmt numFmtId="187" formatCode="#,##0.0"/>
    <numFmt numFmtId="188" formatCode="_(* #,##0.0000000_);_(* \(#,##0.0000000\);_(* &quot;-&quot;??_);_(@_)"/>
    <numFmt numFmtId="189" formatCode="_(&quot;$&quot;* #,##0.00000_);_(&quot;$&quot;* \(#,##0.00000\);_(&quot;$&quot;* &quot;-&quot;??_);_(@_)"/>
    <numFmt numFmtId="190" formatCode="_(* #,##0.0000_);_(* \(#,##0.0000\);_(* &quot;-&quot;??_);_(@_)"/>
    <numFmt numFmtId="196" formatCode="0_)"/>
    <numFmt numFmtId="208" formatCode="mm/dd/yy\ hh:mm"/>
  </numFmts>
  <fonts count="92">
    <font>
      <sz val="10"/>
      <name val="Arial"/>
    </font>
    <font>
      <sz val="8"/>
      <color theme="1"/>
      <name val="Arial"/>
      <family val="2"/>
    </font>
    <font>
      <sz val="10"/>
      <name val="Arial"/>
      <family val="2"/>
    </font>
    <font>
      <sz val="10"/>
      <name val="Arial"/>
      <family val="2"/>
    </font>
    <font>
      <u/>
      <sz val="10"/>
      <color indexed="12"/>
      <name val="Arial"/>
      <family val="2"/>
    </font>
    <font>
      <sz val="10"/>
      <name val="Times New Roman"/>
      <family val="1"/>
    </font>
    <font>
      <sz val="8"/>
      <color indexed="8"/>
      <name val="Tahoma"/>
      <family val="2"/>
    </font>
    <font>
      <sz val="10"/>
      <color indexed="9"/>
      <name val="Arial"/>
      <family val="2"/>
    </font>
    <font>
      <sz val="8"/>
      <color indexed="10"/>
      <name val="Arial"/>
      <family val="2"/>
    </font>
    <font>
      <b/>
      <sz val="8"/>
      <color indexed="9"/>
      <name val="Arial"/>
      <family val="2"/>
    </font>
    <font>
      <sz val="8"/>
      <name val="Arial"/>
      <family val="2"/>
    </font>
    <font>
      <b/>
      <sz val="8"/>
      <name val="Arial"/>
      <family val="2"/>
    </font>
    <font>
      <u/>
      <sz val="8"/>
      <name val="Arial"/>
      <family val="2"/>
    </font>
    <font>
      <i/>
      <sz val="8"/>
      <name val="Arial"/>
      <family val="2"/>
    </font>
    <font>
      <b/>
      <sz val="12"/>
      <color indexed="9"/>
      <name val="Arial"/>
      <family val="2"/>
    </font>
    <font>
      <sz val="8"/>
      <color indexed="9"/>
      <name val="Arial"/>
      <family val="2"/>
    </font>
    <font>
      <b/>
      <sz val="10"/>
      <color indexed="9"/>
      <name val="Arial"/>
      <family val="2"/>
    </font>
    <font>
      <sz val="8"/>
      <name val="Times New Roman"/>
      <family val="1"/>
    </font>
    <font>
      <sz val="8"/>
      <color indexed="12"/>
      <name val="Arial"/>
      <family val="2"/>
    </font>
    <font>
      <sz val="8"/>
      <color indexed="17"/>
      <name val="Arial"/>
      <family val="2"/>
    </font>
    <font>
      <sz val="8"/>
      <color indexed="8"/>
      <name val="Arial"/>
      <family val="2"/>
    </font>
    <font>
      <sz val="10"/>
      <color indexed="12"/>
      <name val="Arial"/>
      <family val="2"/>
    </font>
    <font>
      <b/>
      <sz val="8"/>
      <color indexed="10"/>
      <name val="Arial"/>
      <family val="2"/>
    </font>
    <font>
      <b/>
      <sz val="12"/>
      <name val="Arial"/>
      <family val="2"/>
    </font>
    <font>
      <b/>
      <u/>
      <sz val="8"/>
      <name val="Arial"/>
      <family val="2"/>
    </font>
    <font>
      <i/>
      <sz val="8"/>
      <name val="Times New Roman"/>
      <family val="1"/>
    </font>
    <font>
      <b/>
      <sz val="8"/>
      <color indexed="18"/>
      <name val="Arial"/>
      <family val="2"/>
    </font>
    <font>
      <b/>
      <sz val="8"/>
      <color indexed="12"/>
      <name val="Arial"/>
      <family val="2"/>
    </font>
    <font>
      <sz val="10"/>
      <color indexed="10"/>
      <name val="Arial"/>
      <family val="2"/>
    </font>
    <font>
      <sz val="8"/>
      <color indexed="18"/>
      <name val="Arial"/>
      <family val="2"/>
    </font>
    <font>
      <i/>
      <sz val="8"/>
      <color indexed="17"/>
      <name val="Arial"/>
      <family val="2"/>
    </font>
    <font>
      <b/>
      <sz val="10"/>
      <name val="Arial"/>
      <family val="2"/>
    </font>
    <font>
      <b/>
      <sz val="10"/>
      <color indexed="10"/>
      <name val="Arial"/>
      <family val="2"/>
    </font>
    <font>
      <b/>
      <i/>
      <sz val="8"/>
      <name val="Arial"/>
      <family val="2"/>
    </font>
    <font>
      <sz val="11"/>
      <name val="Arial"/>
      <family val="2"/>
    </font>
    <font>
      <sz val="8"/>
      <name val="Arial"/>
      <family val="2"/>
    </font>
    <font>
      <sz val="9"/>
      <color indexed="81"/>
      <name val="Tahoma"/>
      <family val="2"/>
    </font>
    <font>
      <b/>
      <sz val="9"/>
      <color indexed="81"/>
      <name val="Tahoma"/>
      <family val="2"/>
    </font>
    <font>
      <sz val="10"/>
      <name val="MS Sans Serif"/>
      <family val="2"/>
    </font>
    <font>
      <b/>
      <sz val="10"/>
      <color indexed="8"/>
      <name val="Times New Roman"/>
      <family val="1"/>
    </font>
    <font>
      <sz val="9"/>
      <name val="Times New Roman"/>
      <family val="1"/>
    </font>
    <font>
      <sz val="10"/>
      <color indexed="8"/>
      <name val="Times New Roman"/>
      <family val="1"/>
    </font>
    <font>
      <b/>
      <u/>
      <sz val="8"/>
      <color indexed="9"/>
      <name val="Arial"/>
      <family val="2"/>
    </font>
    <font>
      <sz val="10"/>
      <name val="Helv"/>
      <charset val="204"/>
    </font>
    <font>
      <b/>
      <sz val="8"/>
      <color indexed="8"/>
      <name val="Arial"/>
      <family val="2"/>
    </font>
    <font>
      <sz val="10"/>
      <name val="Arial Narrow"/>
      <family val="2"/>
    </font>
    <font>
      <u/>
      <sz val="10"/>
      <color indexed="12"/>
      <name val="Arial Narrow"/>
      <family val="2"/>
    </font>
    <font>
      <i/>
      <sz val="10"/>
      <name val="Arial"/>
      <family val="2"/>
    </font>
    <font>
      <sz val="10"/>
      <name val="Arial"/>
      <family val="2"/>
    </font>
    <font>
      <sz val="9"/>
      <color theme="1"/>
      <name val="Arial"/>
      <family val="2"/>
    </font>
    <font>
      <sz val="8"/>
      <color rgb="FF0070C0"/>
      <name val="Arial"/>
      <family val="2"/>
    </font>
    <font>
      <sz val="8"/>
      <color theme="1"/>
      <name val="Arial"/>
      <family val="2"/>
    </font>
    <font>
      <b/>
      <sz val="8"/>
      <color theme="1"/>
      <name val="Arial"/>
      <family val="2"/>
    </font>
    <font>
      <b/>
      <sz val="8"/>
      <color rgb="FF0070C0"/>
      <name val="Arial"/>
      <family val="2"/>
    </font>
    <font>
      <sz val="8"/>
      <color theme="0"/>
      <name val="Arial"/>
      <family val="2"/>
    </font>
    <font>
      <sz val="10"/>
      <color indexed="8"/>
      <name val="Arial Narrow"/>
      <family val="2"/>
    </font>
    <font>
      <b/>
      <sz val="18"/>
      <color indexed="9"/>
      <name val="Arial Narrow"/>
      <family val="2"/>
    </font>
    <font>
      <sz val="20"/>
      <color indexed="9"/>
      <name val="Arial Narrow"/>
      <family val="2"/>
    </font>
    <font>
      <b/>
      <sz val="14"/>
      <color indexed="9"/>
      <name val="Arial Narrow"/>
      <family val="2"/>
    </font>
    <font>
      <sz val="20"/>
      <name val="Arial Narrow"/>
      <family val="2"/>
    </font>
    <font>
      <b/>
      <sz val="12"/>
      <name val="Arial Narrow"/>
      <family val="2"/>
    </font>
    <font>
      <sz val="12"/>
      <name val="Arial Narrow"/>
      <family val="2"/>
    </font>
    <font>
      <sz val="10"/>
      <color indexed="12"/>
      <name val="Arial Narrow"/>
      <family val="2"/>
    </font>
    <font>
      <b/>
      <sz val="8"/>
      <color indexed="53"/>
      <name val="Arial"/>
      <family val="2"/>
    </font>
    <font>
      <i/>
      <sz val="8"/>
      <color indexed="12"/>
      <name val="Arial"/>
      <family val="2"/>
    </font>
    <font>
      <sz val="8"/>
      <color indexed="24"/>
      <name val="Arial"/>
      <family val="2"/>
    </font>
    <font>
      <i/>
      <sz val="8"/>
      <color indexed="10"/>
      <name val="Arial"/>
      <family val="2"/>
    </font>
    <font>
      <sz val="8"/>
      <color theme="3" tint="0.39997558519241921"/>
      <name val="Arial"/>
      <family val="2"/>
    </font>
    <font>
      <u/>
      <sz val="8"/>
      <color indexed="12"/>
      <name val="Arial"/>
      <family val="2"/>
    </font>
    <font>
      <sz val="8"/>
      <color indexed="48"/>
      <name val="Arial"/>
      <family val="2"/>
    </font>
    <font>
      <i/>
      <sz val="8"/>
      <color indexed="8"/>
      <name val="Arial"/>
      <family val="2"/>
    </font>
    <font>
      <b/>
      <sz val="14"/>
      <color indexed="9"/>
      <name val="Arial"/>
      <family val="2"/>
    </font>
    <font>
      <sz val="8"/>
      <color theme="0" tint="-0.249977111117893"/>
      <name val="Arial"/>
      <family val="2"/>
    </font>
    <font>
      <sz val="8"/>
      <color rgb="FF2270AB"/>
      <name val="Arial"/>
      <family val="2"/>
    </font>
    <font>
      <sz val="8"/>
      <color rgb="FF008000"/>
      <name val="Arial"/>
      <family val="2"/>
    </font>
    <font>
      <sz val="8"/>
      <color rgb="FF0000FF"/>
      <name val="Arial"/>
      <family val="2"/>
    </font>
    <font>
      <b/>
      <sz val="8"/>
      <color rgb="FFFFFFFF"/>
      <name val="Arial"/>
      <family val="2"/>
    </font>
    <font>
      <sz val="10"/>
      <name val="Arial"/>
      <family val="2"/>
    </font>
    <font>
      <sz val="11"/>
      <color indexed="8"/>
      <name val="Calibri"/>
      <family val="2"/>
    </font>
    <font>
      <sz val="10"/>
      <color indexed="2"/>
      <name val="Tahoma"/>
      <family val="2"/>
    </font>
    <font>
      <b/>
      <sz val="10"/>
      <color indexed="0"/>
      <name val="Tahoma"/>
      <family val="2"/>
    </font>
    <font>
      <sz val="10"/>
      <name val="Tahoma"/>
      <family val="2"/>
    </font>
    <font>
      <b/>
      <i/>
      <sz val="10"/>
      <color indexed="4"/>
      <name val="Tahoma"/>
      <family val="2"/>
    </font>
    <font>
      <sz val="10"/>
      <color indexed="4"/>
      <name val="Tahoma"/>
      <family val="2"/>
    </font>
    <font>
      <sz val="11"/>
      <color theme="1"/>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20">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63"/>
        <bgColor indexed="64"/>
      </patternFill>
    </fill>
    <fill>
      <patternFill patternType="solid">
        <fgColor indexed="65"/>
        <bgColor indexed="64"/>
      </patternFill>
    </fill>
    <fill>
      <patternFill patternType="solid">
        <fgColor indexed="23"/>
        <bgColor indexed="64"/>
      </patternFill>
    </fill>
    <fill>
      <patternFill patternType="solid">
        <fgColor indexed="8"/>
        <bgColor indexed="64"/>
      </patternFill>
    </fill>
    <fill>
      <patternFill patternType="solid">
        <fgColor theme="0" tint="-0.14999847407452621"/>
        <bgColor indexed="64"/>
      </patternFill>
    </fill>
    <fill>
      <patternFill patternType="solid">
        <fgColor theme="3"/>
        <bgColor indexed="64"/>
      </patternFill>
    </fill>
    <fill>
      <patternFill patternType="solid">
        <fgColor theme="4" tint="0.79998168889431442"/>
        <bgColor indexed="64"/>
      </patternFill>
    </fill>
    <fill>
      <patternFill patternType="solid">
        <fgColor rgb="FF003366"/>
        <bgColor indexed="64"/>
      </patternFill>
    </fill>
    <fill>
      <patternFill patternType="solid">
        <fgColor rgb="FFFFFFFF"/>
        <bgColor indexed="64"/>
      </patternFill>
    </fill>
    <fill>
      <patternFill patternType="solid">
        <fgColor rgb="FF00B0F0"/>
        <bgColor indexed="64"/>
      </patternFill>
    </fill>
    <fill>
      <patternFill patternType="solid">
        <fgColor rgb="FFA3A3A3"/>
        <bgColor indexed="64"/>
      </patternFill>
    </fill>
    <fill>
      <patternFill patternType="solid">
        <fgColor rgb="FFCBCBCB"/>
        <bgColor indexed="64"/>
      </patternFill>
    </fill>
    <fill>
      <patternFill patternType="solid">
        <fgColor rgb="FFFFFF00"/>
        <bgColor indexed="64"/>
      </patternFill>
    </fill>
    <fill>
      <patternFill patternType="solid">
        <fgColor indexed="48"/>
      </patternFill>
    </fill>
  </fills>
  <borders count="68">
    <border>
      <left/>
      <right/>
      <top/>
      <bottom/>
      <diagonal/>
    </border>
    <border>
      <left/>
      <right/>
      <top/>
      <bottom style="thin">
        <color indexed="8"/>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8"/>
      </top>
      <bottom/>
      <diagonal/>
    </border>
    <border>
      <left/>
      <right/>
      <top style="medium">
        <color indexed="8"/>
      </top>
      <bottom/>
      <diagonal/>
    </border>
    <border>
      <left style="thin">
        <color indexed="64"/>
      </left>
      <right style="thin">
        <color indexed="64"/>
      </right>
      <top style="medium">
        <color indexed="8"/>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8"/>
      </bottom>
      <diagonal/>
    </border>
    <border>
      <left style="medium">
        <color indexed="64"/>
      </left>
      <right style="medium">
        <color indexed="64"/>
      </right>
      <top style="medium">
        <color indexed="8"/>
      </top>
      <bottom/>
      <diagonal/>
    </border>
    <border>
      <left/>
      <right/>
      <top style="dashed">
        <color indexed="64"/>
      </top>
      <bottom/>
      <diagonal/>
    </border>
    <border>
      <left style="thin">
        <color indexed="64"/>
      </left>
      <right style="thin">
        <color indexed="64"/>
      </right>
      <top style="dashed">
        <color indexed="64"/>
      </top>
      <bottom/>
      <diagonal/>
    </border>
    <border>
      <left style="thin">
        <color indexed="64"/>
      </left>
      <right style="thin">
        <color indexed="64"/>
      </right>
      <top style="hair">
        <color indexed="64"/>
      </top>
      <bottom/>
      <diagonal/>
    </border>
    <border>
      <left/>
      <right/>
      <top style="hair">
        <color indexed="64"/>
      </top>
      <bottom/>
      <diagonal/>
    </border>
    <border>
      <left/>
      <right style="medium">
        <color indexed="64"/>
      </right>
      <top style="medium">
        <color indexed="8"/>
      </top>
      <bottom/>
      <diagonal/>
    </border>
    <border>
      <left style="thin">
        <color indexed="64"/>
      </left>
      <right/>
      <top/>
      <bottom style="thin">
        <color indexed="8"/>
      </bottom>
      <diagonal/>
    </border>
    <border>
      <left style="thin">
        <color indexed="64"/>
      </left>
      <right/>
      <top/>
      <bottom style="hair">
        <color indexed="64"/>
      </bottom>
      <diagonal/>
    </border>
    <border>
      <left/>
      <right/>
      <top style="thin">
        <color indexed="64"/>
      </top>
      <bottom style="medium">
        <color indexed="64"/>
      </bottom>
      <diagonal/>
    </border>
    <border>
      <left style="thin">
        <color indexed="64"/>
      </left>
      <right/>
      <top style="dashed">
        <color indexed="64"/>
      </top>
      <bottom/>
      <diagonal/>
    </border>
    <border>
      <left style="thin">
        <color indexed="64"/>
      </left>
      <right/>
      <top style="hair">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15">
    <xf numFmtId="0" fontId="0" fillId="0" borderId="0"/>
    <xf numFmtId="0" fontId="2" fillId="0" borderId="0" applyNumberFormat="0" applyFont="0" applyFill="0" applyBorder="0" applyAlignment="0" applyProtection="0"/>
    <xf numFmtId="0" fontId="2" fillId="0" borderId="0"/>
    <xf numFmtId="0" fontId="3" fillId="0" borderId="0"/>
    <xf numFmtId="0" fontId="2" fillId="0" borderId="0"/>
    <xf numFmtId="0" fontId="2" fillId="0" borderId="0"/>
    <xf numFmtId="0" fontId="2" fillId="0" borderId="0"/>
    <xf numFmtId="0" fontId="2" fillId="0" borderId="0"/>
    <xf numFmtId="0" fontId="38" fillId="0" borderId="0"/>
    <xf numFmtId="0" fontId="38" fillId="0" borderId="0"/>
    <xf numFmtId="196" fontId="38" fillId="0" borderId="0"/>
    <xf numFmtId="0" fontId="38" fillId="0" borderId="0"/>
    <xf numFmtId="196" fontId="38" fillId="0" borderId="0"/>
    <xf numFmtId="0" fontId="38" fillId="0" borderId="0"/>
    <xf numFmtId="0" fontId="38" fillId="0" borderId="0"/>
    <xf numFmtId="0" fontId="2" fillId="0" borderId="0"/>
    <xf numFmtId="0" fontId="39" fillId="0" borderId="0"/>
    <xf numFmtId="0" fontId="39" fillId="0" borderId="0"/>
    <xf numFmtId="43" fontId="2" fillId="0" borderId="0" applyFont="0" applyFill="0" applyBorder="0" applyAlignment="0" applyProtection="0"/>
    <xf numFmtId="43" fontId="49"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48" fillId="0" borderId="0" applyFont="0" applyFill="0" applyBorder="0" applyAlignment="0" applyProtection="0"/>
    <xf numFmtId="0" fontId="4" fillId="0" borderId="0" applyNumberFormat="0" applyFill="0" applyBorder="0" applyAlignment="0" applyProtection="0"/>
    <xf numFmtId="0" fontId="2" fillId="0" borderId="0"/>
    <xf numFmtId="0" fontId="10" fillId="0" borderId="0"/>
    <xf numFmtId="0" fontId="49" fillId="0" borderId="0"/>
    <xf numFmtId="0" fontId="3" fillId="0" borderId="0"/>
    <xf numFmtId="0" fontId="3" fillId="0" borderId="0"/>
    <xf numFmtId="0" fontId="3" fillId="0" borderId="0"/>
    <xf numFmtId="0" fontId="5" fillId="0" borderId="0"/>
    <xf numFmtId="0" fontId="40" fillId="0" borderId="0">
      <alignment vertical="center"/>
    </xf>
    <xf numFmtId="9" fontId="2" fillId="0" borderId="0" applyFont="0" applyFill="0" applyBorder="0" applyAlignment="0" applyProtection="0"/>
    <xf numFmtId="9" fontId="10" fillId="0" borderId="0" applyFont="0" applyFill="0" applyBorder="0" applyAlignment="0" applyProtection="0"/>
    <xf numFmtId="9" fontId="49" fillId="0" borderId="0" applyFont="0" applyFill="0" applyBorder="0" applyAlignment="0" applyProtection="0"/>
    <xf numFmtId="0" fontId="2" fillId="2" borderId="0" applyNumberFormat="0" applyFont="0" applyBorder="0" applyAlignment="0" applyProtection="0"/>
    <xf numFmtId="0" fontId="2" fillId="2" borderId="0" applyNumberFormat="0" applyFont="0" applyBorder="0" applyAlignment="0" applyProtection="0"/>
    <xf numFmtId="0" fontId="41" fillId="0" borderId="0"/>
    <xf numFmtId="0" fontId="41" fillId="0" borderId="0"/>
    <xf numFmtId="0" fontId="41" fillId="0" borderId="1">
      <alignment horizontal="centerContinuous"/>
    </xf>
    <xf numFmtId="0" fontId="41" fillId="0" borderId="1">
      <alignment horizontal="centerContinuous"/>
    </xf>
    <xf numFmtId="0" fontId="25" fillId="0" borderId="1"/>
    <xf numFmtId="0" fontId="43" fillId="0" borderId="0"/>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9" fontId="10" fillId="0" borderId="0" applyFont="0" applyFill="0" applyBorder="0" applyAlignment="0" applyProtection="0"/>
    <xf numFmtId="44" fontId="77" fillId="0" borderId="0" applyFont="0" applyFill="0" applyBorder="0" applyAlignment="0" applyProtection="0"/>
    <xf numFmtId="0" fontId="2" fillId="0" borderId="0"/>
    <xf numFmtId="43" fontId="2" fillId="0" borderId="0" applyFont="0" applyFill="0" applyBorder="0" applyAlignment="0" applyProtection="0"/>
    <xf numFmtId="0" fontId="2" fillId="0" borderId="0" applyNumberFormat="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7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49"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79" fillId="0" borderId="0"/>
    <xf numFmtId="0" fontId="80" fillId="19" borderId="0"/>
    <xf numFmtId="0" fontId="81" fillId="0" borderId="0">
      <alignment wrapText="1"/>
    </xf>
    <xf numFmtId="0" fontId="4" fillId="0" borderId="0" applyNumberFormat="0" applyFill="0" applyBorder="0" applyAlignment="0" applyProtection="0"/>
    <xf numFmtId="0" fontId="80" fillId="0" borderId="0"/>
    <xf numFmtId="0" fontId="82" fillId="0" borderId="0"/>
    <xf numFmtId="0" fontId="83" fillId="0" borderId="0"/>
    <xf numFmtId="0" fontId="2" fillId="0" borderId="0"/>
    <xf numFmtId="0" fontId="78" fillId="0" borderId="0" applyFill="0" applyProtection="0"/>
    <xf numFmtId="0" fontId="83" fillId="0" borderId="0"/>
    <xf numFmtId="9" fontId="2" fillId="0" borderId="0" applyFont="0" applyFill="0" applyBorder="0" applyAlignment="0" applyProtection="0"/>
    <xf numFmtId="9" fontId="2" fillId="0" borderId="0" applyFont="0" applyFill="0" applyBorder="0" applyAlignment="0" applyProtection="0"/>
    <xf numFmtId="9" fontId="49" fillId="0" borderId="0" applyFont="0" applyFill="0" applyBorder="0" applyAlignment="0" applyProtection="0"/>
    <xf numFmtId="0" fontId="2" fillId="2" borderId="0" applyNumberFormat="0" applyFont="0" applyBorder="0" applyAlignment="0" applyProtection="0"/>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2" fillId="0" borderId="0">
      <alignment vertical="top"/>
    </xf>
    <xf numFmtId="0" fontId="85" fillId="0" borderId="0"/>
  </cellStyleXfs>
  <cellXfs count="1619">
    <xf numFmtId="0" fontId="0" fillId="0" borderId="0" xfId="0"/>
    <xf numFmtId="0" fontId="3" fillId="0" borderId="0" xfId="3"/>
    <xf numFmtId="0" fontId="7" fillId="0" borderId="0" xfId="3" applyFont="1"/>
    <xf numFmtId="0" fontId="0" fillId="0" borderId="0" xfId="3" applyFont="1"/>
    <xf numFmtId="0" fontId="10" fillId="0" borderId="0" xfId="3" applyFont="1"/>
    <xf numFmtId="0" fontId="13" fillId="0" borderId="0" xfId="3" applyFont="1"/>
    <xf numFmtId="0" fontId="7" fillId="0" borderId="0" xfId="3" applyFont="1" applyBorder="1"/>
    <xf numFmtId="0" fontId="3" fillId="0" borderId="0" xfId="3" applyBorder="1"/>
    <xf numFmtId="0" fontId="10" fillId="5" borderId="0" xfId="3" applyFont="1" applyFill="1"/>
    <xf numFmtId="0" fontId="10" fillId="0" borderId="0" xfId="3" applyFont="1" applyBorder="1"/>
    <xf numFmtId="0" fontId="10" fillId="5" borderId="0" xfId="3" applyFont="1" applyFill="1" applyBorder="1"/>
    <xf numFmtId="0" fontId="3" fillId="0" borderId="0" xfId="3" applyFont="1"/>
    <xf numFmtId="0" fontId="13" fillId="5" borderId="18" xfId="30" applyFont="1" applyFill="1" applyBorder="1"/>
    <xf numFmtId="0" fontId="13" fillId="5" borderId="0" xfId="30" applyFont="1" applyFill="1"/>
    <xf numFmtId="17" fontId="10" fillId="5" borderId="0" xfId="30" applyNumberFormat="1" applyFont="1" applyFill="1" applyAlignment="1">
      <alignment horizontal="center"/>
    </xf>
    <xf numFmtId="17" fontId="10" fillId="5" borderId="23" xfId="30" applyNumberFormat="1" applyFont="1" applyFill="1" applyBorder="1" applyAlignment="1">
      <alignment horizontal="center"/>
    </xf>
    <xf numFmtId="0" fontId="13" fillId="5" borderId="20" xfId="30" applyFont="1" applyFill="1" applyBorder="1" applyAlignment="1">
      <alignment horizontal="left"/>
    </xf>
    <xf numFmtId="176" fontId="10" fillId="0" borderId="0" xfId="3" applyNumberFormat="1" applyFont="1"/>
    <xf numFmtId="165" fontId="3" fillId="0" borderId="0" xfId="3" applyNumberFormat="1" applyFont="1"/>
    <xf numFmtId="43" fontId="10" fillId="0" borderId="0" xfId="18" applyFont="1"/>
    <xf numFmtId="174" fontId="18" fillId="0" borderId="0" xfId="18" applyNumberFormat="1" applyFont="1"/>
    <xf numFmtId="165" fontId="3" fillId="0" borderId="0" xfId="3" applyNumberFormat="1"/>
    <xf numFmtId="165" fontId="10" fillId="0" borderId="0" xfId="3" applyNumberFormat="1" applyFont="1" applyBorder="1"/>
    <xf numFmtId="165" fontId="3" fillId="0" borderId="0" xfId="3" applyNumberFormat="1" applyBorder="1"/>
    <xf numFmtId="0" fontId="0" fillId="0" borderId="0" xfId="3" applyNumberFormat="1" applyFont="1"/>
    <xf numFmtId="165" fontId="10" fillId="0" borderId="18" xfId="3" applyNumberFormat="1" applyFont="1" applyBorder="1"/>
    <xf numFmtId="165" fontId="10" fillId="0" borderId="0" xfId="3" applyNumberFormat="1" applyFont="1"/>
    <xf numFmtId="165" fontId="18" fillId="0" borderId="0" xfId="3" applyNumberFormat="1" applyFont="1"/>
    <xf numFmtId="165" fontId="10" fillId="0" borderId="23" xfId="18" applyNumberFormat="1" applyFont="1" applyBorder="1"/>
    <xf numFmtId="174" fontId="10" fillId="0" borderId="23" xfId="18" applyNumberFormat="1" applyFont="1" applyBorder="1"/>
    <xf numFmtId="174" fontId="19" fillId="0" borderId="0" xfId="18" applyNumberFormat="1" applyFont="1"/>
    <xf numFmtId="0" fontId="11" fillId="0" borderId="0" xfId="3" applyFont="1" applyBorder="1"/>
    <xf numFmtId="165" fontId="17" fillId="7" borderId="0" xfId="3" applyNumberFormat="1" applyFont="1" applyFill="1" applyBorder="1"/>
    <xf numFmtId="165" fontId="18" fillId="0" borderId="23" xfId="18" applyNumberFormat="1" applyFont="1" applyBorder="1"/>
    <xf numFmtId="167" fontId="3" fillId="0" borderId="0" xfId="32" applyNumberFormat="1" applyFont="1"/>
    <xf numFmtId="167" fontId="3" fillId="0" borderId="0" xfId="32" applyNumberFormat="1" applyFont="1" applyBorder="1"/>
    <xf numFmtId="165" fontId="21" fillId="0" borderId="0" xfId="3" applyNumberFormat="1" applyFont="1"/>
    <xf numFmtId="165" fontId="21" fillId="0" borderId="0" xfId="3" applyNumberFormat="1" applyFont="1" applyBorder="1"/>
    <xf numFmtId="0" fontId="0" fillId="0" borderId="0" xfId="3" applyFont="1" applyFill="1"/>
    <xf numFmtId="0" fontId="0" fillId="0" borderId="0" xfId="3" applyFont="1" applyFill="1" applyAlignment="1"/>
    <xf numFmtId="0" fontId="3" fillId="0" borderId="0" xfId="3" applyFont="1" applyAlignment="1">
      <alignment horizontal="right"/>
    </xf>
    <xf numFmtId="0" fontId="3" fillId="0" borderId="0" xfId="3" applyAlignment="1">
      <alignment horizontal="right"/>
    </xf>
    <xf numFmtId="0" fontId="3" fillId="0" borderId="0" xfId="3" applyBorder="1" applyAlignment="1">
      <alignment horizontal="right"/>
    </xf>
    <xf numFmtId="0" fontId="0" fillId="0" borderId="0" xfId="3" applyFont="1" applyAlignment="1"/>
    <xf numFmtId="0" fontId="13" fillId="0" borderId="0" xfId="3" applyFont="1" applyBorder="1"/>
    <xf numFmtId="0" fontId="13" fillId="0" borderId="0" xfId="3" applyFont="1" applyBorder="1" applyAlignment="1">
      <alignment horizontal="left" indent="1"/>
    </xf>
    <xf numFmtId="0" fontId="10" fillId="0" borderId="18" xfId="3" applyFont="1" applyBorder="1"/>
    <xf numFmtId="165" fontId="10" fillId="0" borderId="23" xfId="3" applyNumberFormat="1" applyFont="1" applyBorder="1"/>
    <xf numFmtId="0" fontId="10" fillId="0" borderId="21" xfId="3" applyFont="1" applyBorder="1"/>
    <xf numFmtId="165" fontId="10" fillId="0" borderId="21" xfId="18" applyNumberFormat="1" applyFont="1" applyBorder="1"/>
    <xf numFmtId="165" fontId="10" fillId="0" borderId="24" xfId="18" applyNumberFormat="1" applyFont="1" applyBorder="1"/>
    <xf numFmtId="165" fontId="18" fillId="0" borderId="21" xfId="3" applyNumberFormat="1" applyFont="1" applyBorder="1"/>
    <xf numFmtId="165" fontId="10" fillId="0" borderId="24" xfId="3" applyNumberFormat="1" applyFont="1" applyBorder="1"/>
    <xf numFmtId="165" fontId="10" fillId="0" borderId="0" xfId="18" applyNumberFormat="1" applyFont="1" applyBorder="1"/>
    <xf numFmtId="165" fontId="18" fillId="0" borderId="0" xfId="18" applyNumberFormat="1" applyFont="1" applyBorder="1"/>
    <xf numFmtId="167" fontId="10" fillId="0" borderId="23" xfId="32" applyNumberFormat="1" applyFont="1" applyBorder="1"/>
    <xf numFmtId="43" fontId="10" fillId="0" borderId="23" xfId="18" applyFont="1" applyBorder="1"/>
    <xf numFmtId="165" fontId="10" fillId="0" borderId="16" xfId="18" applyNumberFormat="1" applyFont="1" applyBorder="1"/>
    <xf numFmtId="165" fontId="10" fillId="0" borderId="39" xfId="18" applyNumberFormat="1" applyFont="1" applyBorder="1"/>
    <xf numFmtId="169" fontId="3" fillId="0" borderId="0" xfId="3" applyNumberFormat="1" applyFont="1"/>
    <xf numFmtId="169" fontId="3" fillId="0" borderId="0" xfId="3" applyNumberFormat="1"/>
    <xf numFmtId="169" fontId="3" fillId="0" borderId="0" xfId="3" applyNumberFormat="1" applyBorder="1"/>
    <xf numFmtId="170" fontId="10" fillId="0" borderId="0" xfId="18" applyNumberFormat="1" applyFont="1" applyBorder="1"/>
    <xf numFmtId="0" fontId="10" fillId="0" borderId="23" xfId="3" applyFont="1" applyBorder="1"/>
    <xf numFmtId="0" fontId="10" fillId="0" borderId="24" xfId="3" applyFont="1" applyBorder="1"/>
    <xf numFmtId="0" fontId="13" fillId="0" borderId="23" xfId="3" applyFont="1" applyBorder="1"/>
    <xf numFmtId="167" fontId="13" fillId="0" borderId="0" xfId="3" applyNumberFormat="1" applyFont="1" applyBorder="1"/>
    <xf numFmtId="167" fontId="13" fillId="0" borderId="23" xfId="3" applyNumberFormat="1" applyFont="1" applyBorder="1"/>
    <xf numFmtId="170" fontId="3" fillId="0" borderId="0" xfId="3" applyNumberFormat="1" applyFont="1"/>
    <xf numFmtId="170" fontId="3" fillId="0" borderId="0" xfId="3" applyNumberFormat="1"/>
    <xf numFmtId="170" fontId="3" fillId="0" borderId="0" xfId="3" applyNumberFormat="1" applyBorder="1"/>
    <xf numFmtId="167" fontId="10" fillId="0" borderId="21" xfId="32" applyNumberFormat="1" applyFont="1" applyBorder="1"/>
    <xf numFmtId="0" fontId="10" fillId="0" borderId="0" xfId="3" applyFont="1" applyAlignment="1">
      <alignment horizontal="left"/>
    </xf>
    <xf numFmtId="175" fontId="10" fillId="0" borderId="0" xfId="3" applyNumberFormat="1" applyFont="1"/>
    <xf numFmtId="175" fontId="10" fillId="0" borderId="23" xfId="3" applyNumberFormat="1" applyFont="1" applyBorder="1"/>
    <xf numFmtId="0" fontId="31" fillId="0" borderId="0" xfId="3" applyFont="1"/>
    <xf numFmtId="0" fontId="31" fillId="4" borderId="0" xfId="3" applyFont="1" applyFill="1"/>
    <xf numFmtId="0" fontId="31" fillId="5" borderId="3" xfId="3" applyFont="1" applyFill="1" applyBorder="1"/>
    <xf numFmtId="167" fontId="10" fillId="0" borderId="23" xfId="32" applyNumberFormat="1" applyFont="1" applyFill="1" applyBorder="1"/>
    <xf numFmtId="0" fontId="45" fillId="8" borderId="0" xfId="28" applyFont="1" applyFill="1"/>
    <xf numFmtId="0" fontId="46" fillId="8" borderId="0" xfId="23" applyFont="1" applyFill="1" applyAlignment="1" applyProtection="1"/>
    <xf numFmtId="0" fontId="45" fillId="8" borderId="0" xfId="28" applyFont="1" applyFill="1" applyAlignment="1">
      <alignment horizontal="left"/>
    </xf>
    <xf numFmtId="0" fontId="47" fillId="0" borderId="0" xfId="3" applyFont="1"/>
    <xf numFmtId="0" fontId="47" fillId="0" borderId="0" xfId="3" applyFont="1" applyBorder="1"/>
    <xf numFmtId="167" fontId="13" fillId="0" borderId="0" xfId="3" applyNumberFormat="1" applyFont="1" applyAlignment="1">
      <alignment horizontal="right"/>
    </xf>
    <xf numFmtId="167" fontId="13" fillId="0" borderId="23" xfId="3" applyNumberFormat="1" applyFont="1" applyBorder="1" applyAlignment="1">
      <alignment horizontal="right"/>
    </xf>
    <xf numFmtId="0" fontId="0" fillId="0" borderId="0" xfId="0" applyFill="1" applyBorder="1"/>
    <xf numFmtId="175" fontId="18" fillId="0" borderId="0" xfId="18" applyNumberFormat="1" applyFont="1" applyBorder="1"/>
    <xf numFmtId="175" fontId="18" fillId="0" borderId="23" xfId="18" applyNumberFormat="1" applyFont="1" applyBorder="1"/>
    <xf numFmtId="0" fontId="2" fillId="0" borderId="0" xfId="0" applyFont="1"/>
    <xf numFmtId="175" fontId="10" fillId="0" borderId="0" xfId="18" applyNumberFormat="1" applyFont="1"/>
    <xf numFmtId="0" fontId="0" fillId="0" borderId="0" xfId="0" applyFont="1"/>
    <xf numFmtId="0" fontId="54" fillId="0" borderId="0" xfId="0" applyFont="1"/>
    <xf numFmtId="14" fontId="54" fillId="0" borderId="0" xfId="0" applyNumberFormat="1" applyFont="1"/>
    <xf numFmtId="0" fontId="1" fillId="0" borderId="0" xfId="0" applyFont="1"/>
    <xf numFmtId="0" fontId="11" fillId="12" borderId="28" xfId="0" applyFont="1" applyFill="1" applyBorder="1"/>
    <xf numFmtId="0" fontId="11" fillId="12" borderId="29" xfId="0" applyFont="1" applyFill="1" applyBorder="1"/>
    <xf numFmtId="0" fontId="11" fillId="12" borderId="31" xfId="0" applyFont="1" applyFill="1" applyBorder="1"/>
    <xf numFmtId="0" fontId="11" fillId="10" borderId="39" xfId="0" applyFont="1" applyFill="1" applyBorder="1" applyAlignment="1">
      <alignment horizontal="left"/>
    </xf>
    <xf numFmtId="169" fontId="10" fillId="10" borderId="39" xfId="0" applyNumberFormat="1" applyFont="1" applyFill="1" applyBorder="1" applyAlignment="1">
      <alignment horizontal="center"/>
    </xf>
    <xf numFmtId="170" fontId="10" fillId="10" borderId="39" xfId="0" applyNumberFormat="1" applyFont="1" applyFill="1" applyBorder="1" applyAlignment="1">
      <alignment horizontal="center"/>
    </xf>
    <xf numFmtId="0" fontId="11" fillId="0" borderId="23" xfId="0" applyFont="1" applyFill="1" applyBorder="1" applyAlignment="1">
      <alignment horizontal="left"/>
    </xf>
    <xf numFmtId="9" fontId="10" fillId="0" borderId="23" xfId="0" applyNumberFormat="1" applyFont="1" applyFill="1" applyBorder="1" applyAlignment="1">
      <alignment horizontal="center"/>
    </xf>
    <xf numFmtId="0" fontId="11" fillId="10" borderId="24" xfId="0" applyFont="1" applyFill="1" applyBorder="1" applyAlignment="1">
      <alignment horizontal="left"/>
    </xf>
    <xf numFmtId="170" fontId="10" fillId="10" borderId="24" xfId="0" applyNumberFormat="1" applyFont="1" applyFill="1" applyBorder="1" applyAlignment="1">
      <alignment horizontal="center"/>
    </xf>
    <xf numFmtId="0" fontId="11" fillId="0" borderId="0" xfId="0" applyFont="1" applyBorder="1" applyAlignment="1">
      <alignment horizontal="left"/>
    </xf>
    <xf numFmtId="0" fontId="10" fillId="0" borderId="0" xfId="0" applyFont="1" applyBorder="1" applyAlignment="1">
      <alignment horizontal="center"/>
    </xf>
    <xf numFmtId="2" fontId="0" fillId="0" borderId="0" xfId="33" applyNumberFormat="1" applyFont="1" applyBorder="1" applyAlignment="1">
      <alignment horizontal="center"/>
    </xf>
    <xf numFmtId="0" fontId="0" fillId="0" borderId="0" xfId="0" applyBorder="1" applyAlignment="1">
      <alignment horizontal="center"/>
    </xf>
    <xf numFmtId="0" fontId="11" fillId="10" borderId="23" xfId="0" applyFont="1" applyFill="1" applyBorder="1" applyAlignment="1">
      <alignment horizontal="left"/>
    </xf>
    <xf numFmtId="170" fontId="10" fillId="10" borderId="23" xfId="0" applyNumberFormat="1" applyFont="1" applyFill="1" applyBorder="1" applyAlignment="1">
      <alignment horizontal="center"/>
    </xf>
    <xf numFmtId="0" fontId="11" fillId="0" borderId="0" xfId="0" applyFont="1" applyFill="1" applyBorder="1" applyAlignment="1">
      <alignment horizontal="left"/>
    </xf>
    <xf numFmtId="170" fontId="10" fillId="0" borderId="0" xfId="0" applyNumberFormat="1" applyFont="1" applyFill="1" applyBorder="1" applyAlignment="1">
      <alignment horizontal="center"/>
    </xf>
    <xf numFmtId="185" fontId="10" fillId="0" borderId="23" xfId="0" applyNumberFormat="1" applyFont="1" applyFill="1" applyBorder="1" applyAlignment="1">
      <alignment horizontal="center"/>
    </xf>
    <xf numFmtId="185" fontId="10" fillId="10" borderId="24" xfId="0" applyNumberFormat="1" applyFont="1" applyFill="1" applyBorder="1" applyAlignment="1">
      <alignment horizontal="center"/>
    </xf>
    <xf numFmtId="0" fontId="45" fillId="3" borderId="4" xfId="28" applyFont="1" applyFill="1" applyBorder="1"/>
    <xf numFmtId="0" fontId="45" fillId="3" borderId="0" xfId="28" applyFont="1" applyFill="1" applyBorder="1" applyAlignment="1">
      <alignment horizontal="left"/>
    </xf>
    <xf numFmtId="0" fontId="45" fillId="3" borderId="0" xfId="28" applyFont="1" applyFill="1" applyBorder="1"/>
    <xf numFmtId="0" fontId="45" fillId="3" borderId="8" xfId="28" applyFont="1" applyFill="1" applyBorder="1"/>
    <xf numFmtId="0" fontId="60" fillId="3" borderId="0" xfId="28" applyFont="1" applyFill="1" applyBorder="1" applyAlignment="1">
      <alignment horizontal="left"/>
    </xf>
    <xf numFmtId="0" fontId="4" fillId="3" borderId="0" xfId="23" applyFill="1" applyBorder="1" applyAlignment="1" applyProtection="1">
      <alignment horizontal="left"/>
    </xf>
    <xf numFmtId="0" fontId="4" fillId="3" borderId="0" xfId="23" applyFont="1" applyFill="1" applyBorder="1" applyAlignment="1" applyProtection="1">
      <alignment horizontal="left"/>
    </xf>
    <xf numFmtId="0" fontId="61" fillId="3" borderId="0" xfId="28" applyFont="1" applyFill="1" applyBorder="1" applyAlignment="1"/>
    <xf numFmtId="0" fontId="45" fillId="3" borderId="0" xfId="28" applyFont="1" applyFill="1" applyBorder="1" applyAlignment="1">
      <alignment horizontal="left" indent="8"/>
    </xf>
    <xf numFmtId="0" fontId="4" fillId="3" borderId="4" xfId="23" applyFill="1" applyBorder="1" applyAlignment="1" applyProtection="1"/>
    <xf numFmtId="0" fontId="62" fillId="3" borderId="0" xfId="28" applyFont="1" applyFill="1" applyBorder="1"/>
    <xf numFmtId="0" fontId="4" fillId="3" borderId="0" xfId="23" applyFill="1" applyBorder="1" applyAlignment="1" applyProtection="1"/>
    <xf numFmtId="0" fontId="61" fillId="3" borderId="9" xfId="28" applyFont="1" applyFill="1" applyBorder="1"/>
    <xf numFmtId="0" fontId="62" fillId="3" borderId="10" xfId="28" applyFont="1" applyFill="1" applyBorder="1"/>
    <xf numFmtId="0" fontId="45" fillId="3" borderId="10" xfId="28" applyFont="1" applyFill="1" applyBorder="1"/>
    <xf numFmtId="0" fontId="45" fillId="3" borderId="11" xfId="28" applyFont="1" applyFill="1" applyBorder="1"/>
    <xf numFmtId="0" fontId="62" fillId="8" borderId="0" xfId="28" applyFont="1" applyFill="1"/>
    <xf numFmtId="0" fontId="61" fillId="8" borderId="0" xfId="28" applyFont="1" applyFill="1"/>
    <xf numFmtId="0" fontId="3" fillId="8" borderId="0" xfId="28" applyFill="1"/>
    <xf numFmtId="0" fontId="0" fillId="8" borderId="0" xfId="4" applyFont="1" applyFill="1"/>
    <xf numFmtId="0" fontId="2" fillId="0" borderId="0" xfId="3" applyFont="1"/>
    <xf numFmtId="0" fontId="13" fillId="5" borderId="40" xfId="3" applyFont="1" applyFill="1" applyBorder="1"/>
    <xf numFmtId="0" fontId="10" fillId="6" borderId="23" xfId="3" applyFont="1" applyFill="1" applyBorder="1"/>
    <xf numFmtId="179" fontId="10" fillId="5" borderId="3" xfId="3" applyNumberFormat="1" applyFont="1" applyFill="1" applyBorder="1" applyAlignment="1">
      <alignment horizontal="center"/>
    </xf>
    <xf numFmtId="17" fontId="10" fillId="5" borderId="33" xfId="3" applyNumberFormat="1" applyFont="1" applyFill="1" applyBorder="1"/>
    <xf numFmtId="0" fontId="10" fillId="7" borderId="0" xfId="3" applyFont="1" applyFill="1" applyBorder="1"/>
    <xf numFmtId="0" fontId="2" fillId="0" borderId="0" xfId="3" applyFont="1" applyFill="1"/>
    <xf numFmtId="0" fontId="10" fillId="7" borderId="0" xfId="3" applyFont="1" applyFill="1"/>
    <xf numFmtId="0" fontId="13" fillId="5" borderId="20" xfId="3" applyFont="1" applyFill="1" applyBorder="1"/>
    <xf numFmtId="0" fontId="13" fillId="5" borderId="21" xfId="3" applyFont="1" applyFill="1" applyBorder="1"/>
    <xf numFmtId="0" fontId="11" fillId="7" borderId="0" xfId="3" applyFont="1" applyFill="1" applyBorder="1" applyAlignment="1">
      <alignment horizontal="center"/>
    </xf>
    <xf numFmtId="175" fontId="18" fillId="0" borderId="0" xfId="3" applyNumberFormat="1" applyFont="1"/>
    <xf numFmtId="175" fontId="18" fillId="0" borderId="0" xfId="18" applyNumberFormat="1" applyFont="1" applyFill="1"/>
    <xf numFmtId="175" fontId="18" fillId="0" borderId="21" xfId="18" applyNumberFormat="1" applyFont="1" applyFill="1" applyBorder="1"/>
    <xf numFmtId="175" fontId="11" fillId="0" borderId="0" xfId="3" applyNumberFormat="1" applyFont="1"/>
    <xf numFmtId="175" fontId="18" fillId="0" borderId="19" xfId="18" applyNumberFormat="1" applyFont="1" applyFill="1" applyBorder="1"/>
    <xf numFmtId="0" fontId="10" fillId="7" borderId="21" xfId="3" applyFont="1" applyFill="1" applyBorder="1"/>
    <xf numFmtId="0" fontId="2" fillId="0" borderId="0" xfId="3" applyFont="1" applyFill="1" applyBorder="1"/>
    <xf numFmtId="175" fontId="11" fillId="0" borderId="0" xfId="18" applyNumberFormat="1" applyFont="1" applyFill="1"/>
    <xf numFmtId="0" fontId="2" fillId="0" borderId="0" xfId="3" applyFont="1" applyBorder="1"/>
    <xf numFmtId="3" fontId="10" fillId="0" borderId="0" xfId="3" applyNumberFormat="1" applyFont="1" applyBorder="1"/>
    <xf numFmtId="3" fontId="10" fillId="0" borderId="0" xfId="3" applyNumberFormat="1" applyFont="1"/>
    <xf numFmtId="3" fontId="10" fillId="0" borderId="23" xfId="3" applyNumberFormat="1" applyFont="1" applyBorder="1"/>
    <xf numFmtId="175" fontId="27" fillId="0" borderId="0" xfId="18" applyNumberFormat="1" applyFont="1" applyFill="1"/>
    <xf numFmtId="0" fontId="10" fillId="0" borderId="0" xfId="3" applyFont="1" applyAlignment="1">
      <alignment horizontal="left" indent="1"/>
    </xf>
    <xf numFmtId="0" fontId="11" fillId="0" borderId="0" xfId="3" applyFont="1"/>
    <xf numFmtId="165" fontId="10" fillId="0" borderId="0" xfId="18" applyNumberFormat="1" applyFont="1" applyFill="1"/>
    <xf numFmtId="175" fontId="10" fillId="0" borderId="0" xfId="3" applyNumberFormat="1" applyFont="1" applyBorder="1"/>
    <xf numFmtId="167" fontId="13" fillId="0" borderId="0" xfId="3" applyNumberFormat="1" applyFont="1" applyBorder="1" applyAlignment="1">
      <alignment horizontal="right"/>
    </xf>
    <xf numFmtId="0" fontId="10" fillId="0" borderId="0" xfId="4" applyFont="1" applyBorder="1"/>
    <xf numFmtId="41" fontId="10" fillId="0" borderId="0" xfId="3" applyNumberFormat="1" applyFont="1"/>
    <xf numFmtId="41" fontId="18" fillId="0" borderId="0" xfId="3" applyNumberFormat="1" applyFont="1"/>
    <xf numFmtId="41" fontId="10" fillId="0" borderId="0" xfId="18" applyNumberFormat="1" applyFont="1"/>
    <xf numFmtId="0" fontId="24" fillId="0" borderId="0" xfId="3" applyFont="1"/>
    <xf numFmtId="0" fontId="11" fillId="0" borderId="23" xfId="3" applyFont="1" applyBorder="1"/>
    <xf numFmtId="41" fontId="10" fillId="0" borderId="23" xfId="3" applyNumberFormat="1" applyFont="1" applyBorder="1"/>
    <xf numFmtId="175" fontId="10" fillId="0" borderId="0" xfId="18" applyNumberFormat="1" applyFont="1" applyBorder="1"/>
    <xf numFmtId="175" fontId="18" fillId="0" borderId="23" xfId="3" applyNumberFormat="1" applyFont="1" applyBorder="1"/>
    <xf numFmtId="41" fontId="10" fillId="0" borderId="0" xfId="18" applyNumberFormat="1" applyFont="1" applyBorder="1"/>
    <xf numFmtId="41" fontId="10" fillId="0" borderId="21" xfId="3" applyNumberFormat="1" applyFont="1" applyBorder="1"/>
    <xf numFmtId="166" fontId="10" fillId="0" borderId="0" xfId="3" applyNumberFormat="1" applyFont="1" applyAlignment="1">
      <alignment horizontal="right"/>
    </xf>
    <xf numFmtId="175" fontId="10" fillId="0" borderId="23" xfId="3" applyNumberFormat="1" applyFont="1" applyBorder="1" applyAlignment="1">
      <alignment horizontal="right"/>
    </xf>
    <xf numFmtId="167" fontId="10" fillId="0" borderId="0" xfId="32" applyNumberFormat="1" applyFont="1"/>
    <xf numFmtId="0" fontId="18" fillId="0" borderId="0" xfId="3" applyFont="1"/>
    <xf numFmtId="0" fontId="11" fillId="12" borderId="29" xfId="0" applyFont="1" applyFill="1" applyBorder="1" applyAlignment="1">
      <alignment horizontal="center"/>
    </xf>
    <xf numFmtId="0" fontId="13" fillId="5" borderId="41" xfId="30" applyFont="1" applyFill="1" applyBorder="1"/>
    <xf numFmtId="17" fontId="10" fillId="5" borderId="41" xfId="30" applyNumberFormat="1" applyFont="1" applyFill="1" applyBorder="1" applyAlignment="1">
      <alignment horizontal="center"/>
    </xf>
    <xf numFmtId="17" fontId="10" fillId="5" borderId="42" xfId="30" applyNumberFormat="1" applyFont="1" applyFill="1" applyBorder="1" applyAlignment="1">
      <alignment horizontal="center"/>
    </xf>
    <xf numFmtId="0" fontId="13" fillId="5" borderId="1" xfId="30" applyFont="1" applyFill="1" applyBorder="1" applyAlignment="1">
      <alignment horizontal="left"/>
    </xf>
    <xf numFmtId="0" fontId="11" fillId="5" borderId="1" xfId="30" applyFont="1" applyFill="1" applyBorder="1" applyAlignment="1">
      <alignment horizontal="center"/>
    </xf>
    <xf numFmtId="0" fontId="11" fillId="5" borderId="47" xfId="30" applyFont="1" applyFill="1" applyBorder="1" applyAlignment="1">
      <alignment horizontal="center"/>
    </xf>
    <xf numFmtId="0" fontId="10" fillId="9" borderId="23" xfId="3" applyFont="1" applyFill="1" applyBorder="1"/>
    <xf numFmtId="37" fontId="10" fillId="0" borderId="0" xfId="3" applyNumberFormat="1" applyFont="1" applyBorder="1" applyAlignment="1">
      <alignment horizontal="center"/>
    </xf>
    <xf numFmtId="37" fontId="10" fillId="0" borderId="23" xfId="3" applyNumberFormat="1" applyFont="1" applyBorder="1" applyAlignment="1">
      <alignment horizontal="center"/>
    </xf>
    <xf numFmtId="37" fontId="10" fillId="0" borderId="0" xfId="3" applyNumberFormat="1" applyFont="1" applyAlignment="1">
      <alignment horizontal="center"/>
    </xf>
    <xf numFmtId="0" fontId="10" fillId="0" borderId="23" xfId="3" applyFont="1" applyBorder="1" applyAlignment="1">
      <alignment horizontal="center"/>
    </xf>
    <xf numFmtId="37" fontId="10" fillId="0" borderId="0" xfId="4" applyNumberFormat="1" applyFont="1" applyAlignment="1">
      <alignment horizontal="center"/>
    </xf>
    <xf numFmtId="0" fontId="10" fillId="0" borderId="0" xfId="3" applyFont="1" applyBorder="1" applyAlignment="1">
      <alignment horizontal="left" indent="1"/>
    </xf>
    <xf numFmtId="175" fontId="10" fillId="0" borderId="23" xfId="18" applyNumberFormat="1" applyFont="1" applyBorder="1"/>
    <xf numFmtId="0" fontId="10" fillId="0" borderId="15" xfId="3" applyFont="1" applyBorder="1" applyAlignment="1">
      <alignment horizontal="left"/>
    </xf>
    <xf numFmtId="0" fontId="10" fillId="0" borderId="16" xfId="3" applyFont="1" applyBorder="1"/>
    <xf numFmtId="0" fontId="10" fillId="0" borderId="39" xfId="3" applyFont="1" applyBorder="1"/>
    <xf numFmtId="175" fontId="10" fillId="0" borderId="16" xfId="18" applyNumberFormat="1" applyFont="1" applyBorder="1"/>
    <xf numFmtId="175" fontId="10" fillId="0" borderId="39" xfId="3" applyNumberFormat="1" applyFont="1" applyBorder="1"/>
    <xf numFmtId="0" fontId="10" fillId="9" borderId="39" xfId="3" applyFont="1" applyFill="1" applyBorder="1"/>
    <xf numFmtId="167" fontId="10" fillId="0" borderId="16" xfId="32" applyNumberFormat="1" applyFont="1" applyBorder="1"/>
    <xf numFmtId="167" fontId="10" fillId="0" borderId="39" xfId="32" applyNumberFormat="1" applyFont="1" applyBorder="1"/>
    <xf numFmtId="167" fontId="18" fillId="0" borderId="16" xfId="32" applyNumberFormat="1" applyFont="1" applyBorder="1"/>
    <xf numFmtId="176" fontId="10" fillId="0" borderId="0" xfId="18" applyNumberFormat="1" applyFont="1" applyBorder="1"/>
    <xf numFmtId="177" fontId="10" fillId="0" borderId="23" xfId="18" applyNumberFormat="1" applyFont="1" applyBorder="1"/>
    <xf numFmtId="176" fontId="10" fillId="0" borderId="0" xfId="18" applyNumberFormat="1" applyFont="1"/>
    <xf numFmtId="177" fontId="10" fillId="0" borderId="0" xfId="3" applyNumberFormat="1" applyFont="1"/>
    <xf numFmtId="177" fontId="10" fillId="0" borderId="0" xfId="18" applyNumberFormat="1" applyFont="1"/>
    <xf numFmtId="177" fontId="10" fillId="9" borderId="23" xfId="18" applyNumberFormat="1" applyFont="1" applyFill="1" applyBorder="1"/>
    <xf numFmtId="0" fontId="20" fillId="0" borderId="18" xfId="3" applyFont="1" applyBorder="1"/>
    <xf numFmtId="175" fontId="18" fillId="0" borderId="0" xfId="18" applyNumberFormat="1" applyFont="1"/>
    <xf numFmtId="175" fontId="18" fillId="0" borderId="0" xfId="3" applyNumberFormat="1" applyFont="1" applyBorder="1"/>
    <xf numFmtId="175" fontId="19" fillId="0" borderId="0" xfId="18" applyNumberFormat="1" applyFont="1"/>
    <xf numFmtId="175" fontId="19" fillId="0" borderId="0" xfId="18" applyNumberFormat="1" applyFont="1" applyBorder="1"/>
    <xf numFmtId="0" fontId="20" fillId="0" borderId="20" xfId="3" applyFont="1" applyBorder="1"/>
    <xf numFmtId="175" fontId="10" fillId="0" borderId="21" xfId="18" applyNumberFormat="1" applyFont="1" applyBorder="1"/>
    <xf numFmtId="175" fontId="10" fillId="0" borderId="24" xfId="3" applyNumberFormat="1" applyFont="1" applyBorder="1"/>
    <xf numFmtId="0" fontId="10" fillId="9" borderId="24" xfId="3" applyFont="1" applyFill="1" applyBorder="1"/>
    <xf numFmtId="175" fontId="10" fillId="0" borderId="24" xfId="18" applyNumberFormat="1" applyFont="1" applyBorder="1"/>
    <xf numFmtId="0" fontId="24" fillId="5" borderId="28" xfId="3" applyFont="1" applyFill="1" applyBorder="1"/>
    <xf numFmtId="176" fontId="11" fillId="5" borderId="29" xfId="18" applyNumberFormat="1" applyFont="1" applyFill="1" applyBorder="1"/>
    <xf numFmtId="176" fontId="11" fillId="5" borderId="30" xfId="18" applyNumberFormat="1" applyFont="1" applyFill="1" applyBorder="1"/>
    <xf numFmtId="177" fontId="11" fillId="5" borderId="29" xfId="18" applyNumberFormat="1" applyFont="1" applyFill="1" applyBorder="1"/>
    <xf numFmtId="177" fontId="11" fillId="5" borderId="30" xfId="18" applyNumberFormat="1" applyFont="1" applyFill="1" applyBorder="1"/>
    <xf numFmtId="177" fontId="11" fillId="9" borderId="30" xfId="18" applyNumberFormat="1" applyFont="1" applyFill="1" applyBorder="1"/>
    <xf numFmtId="0" fontId="20" fillId="0" borderId="0" xfId="3" applyFont="1" applyBorder="1"/>
    <xf numFmtId="0" fontId="11" fillId="5" borderId="28" xfId="3" applyFont="1" applyFill="1" applyBorder="1"/>
    <xf numFmtId="0" fontId="11" fillId="5" borderId="29" xfId="3" applyFont="1" applyFill="1" applyBorder="1"/>
    <xf numFmtId="0" fontId="10" fillId="5" borderId="29" xfId="3" applyFont="1" applyFill="1" applyBorder="1"/>
    <xf numFmtId="0" fontId="10" fillId="5" borderId="30" xfId="3" applyFont="1" applyFill="1" applyBorder="1"/>
    <xf numFmtId="0" fontId="10" fillId="9" borderId="30" xfId="3" applyFont="1" applyFill="1" applyBorder="1"/>
    <xf numFmtId="0" fontId="10" fillId="5" borderId="29" xfId="4" applyFont="1" applyFill="1" applyBorder="1"/>
    <xf numFmtId="176" fontId="11" fillId="0" borderId="0" xfId="18" applyNumberFormat="1" applyFont="1" applyBorder="1"/>
    <xf numFmtId="176" fontId="11" fillId="0" borderId="23" xfId="18" applyNumberFormat="1" applyFont="1" applyBorder="1"/>
    <xf numFmtId="177" fontId="11" fillId="0" borderId="0" xfId="18" applyNumberFormat="1" applyFont="1" applyBorder="1"/>
    <xf numFmtId="177" fontId="11" fillId="0" borderId="23" xfId="18" applyNumberFormat="1" applyFont="1" applyBorder="1"/>
    <xf numFmtId="177" fontId="11" fillId="9" borderId="23" xfId="18" applyNumberFormat="1" applyFont="1" applyFill="1" applyBorder="1"/>
    <xf numFmtId="177" fontId="11" fillId="0" borderId="0" xfId="18" applyNumberFormat="1" applyFont="1"/>
    <xf numFmtId="41" fontId="10" fillId="0" borderId="23" xfId="18" applyNumberFormat="1" applyFont="1" applyBorder="1"/>
    <xf numFmtId="41" fontId="10" fillId="0" borderId="23" xfId="4" applyNumberFormat="1" applyFont="1" applyBorder="1"/>
    <xf numFmtId="37" fontId="10" fillId="0" borderId="0" xfId="18" applyNumberFormat="1" applyFont="1" applyBorder="1"/>
    <xf numFmtId="37" fontId="10" fillId="0" borderId="23" xfId="18" applyNumberFormat="1" applyFont="1" applyBorder="1"/>
    <xf numFmtId="0" fontId="11" fillId="5" borderId="28" xfId="3" applyFont="1" applyFill="1" applyBorder="1" applyAlignment="1">
      <alignment wrapText="1"/>
    </xf>
    <xf numFmtId="165" fontId="10" fillId="5" borderId="29" xfId="18" applyNumberFormat="1" applyFont="1" applyFill="1" applyBorder="1"/>
    <xf numFmtId="165" fontId="10" fillId="5" borderId="30" xfId="18" applyNumberFormat="1" applyFont="1" applyFill="1" applyBorder="1"/>
    <xf numFmtId="37" fontId="10" fillId="5" borderId="29" xfId="18" applyNumberFormat="1" applyFont="1" applyFill="1" applyBorder="1"/>
    <xf numFmtId="37" fontId="10" fillId="5" borderId="30" xfId="18" applyNumberFormat="1" applyFont="1" applyFill="1" applyBorder="1"/>
    <xf numFmtId="0" fontId="20" fillId="0" borderId="18" xfId="3" applyFont="1" applyBorder="1" applyAlignment="1">
      <alignment wrapText="1"/>
    </xf>
    <xf numFmtId="10" fontId="18" fillId="0" borderId="0" xfId="3" applyNumberFormat="1" applyFont="1" applyBorder="1"/>
    <xf numFmtId="10" fontId="10" fillId="0" borderId="0" xfId="3" applyNumberFormat="1" applyFont="1"/>
    <xf numFmtId="10" fontId="10" fillId="0" borderId="0" xfId="3" applyNumberFormat="1" applyFont="1" applyBorder="1"/>
    <xf numFmtId="10" fontId="18" fillId="0" borderId="0" xfId="18" applyNumberFormat="1" applyFont="1"/>
    <xf numFmtId="10" fontId="65" fillId="0" borderId="0" xfId="3" applyNumberFormat="1" applyFont="1" applyBorder="1"/>
    <xf numFmtId="10" fontId="10" fillId="0" borderId="23" xfId="18" applyNumberFormat="1" applyFont="1" applyBorder="1"/>
    <xf numFmtId="10" fontId="18" fillId="0" borderId="0" xfId="32" applyNumberFormat="1" applyFont="1"/>
    <xf numFmtId="177" fontId="11" fillId="0" borderId="0" xfId="3" applyNumberFormat="1" applyFont="1" applyBorder="1"/>
    <xf numFmtId="177" fontId="11" fillId="0" borderId="23" xfId="3" applyNumberFormat="1" applyFont="1" applyBorder="1"/>
    <xf numFmtId="42" fontId="10" fillId="0" borderId="0" xfId="3" applyNumberFormat="1" applyFont="1" applyBorder="1"/>
    <xf numFmtId="42" fontId="10" fillId="0" borderId="23" xfId="3" applyNumberFormat="1" applyFont="1" applyBorder="1"/>
    <xf numFmtId="42" fontId="11" fillId="0" borderId="0" xfId="3" applyNumberFormat="1" applyFont="1"/>
    <xf numFmtId="42" fontId="11" fillId="0" borderId="23" xfId="3" applyNumberFormat="1" applyFont="1" applyBorder="1"/>
    <xf numFmtId="42" fontId="11" fillId="0" borderId="0" xfId="4" applyNumberFormat="1" applyFont="1"/>
    <xf numFmtId="175" fontId="10" fillId="0" borderId="21" xfId="3" applyNumberFormat="1" applyFont="1" applyBorder="1"/>
    <xf numFmtId="41" fontId="10" fillId="0" borderId="24" xfId="3" applyNumberFormat="1" applyFont="1" applyBorder="1"/>
    <xf numFmtId="37" fontId="10" fillId="0" borderId="16" xfId="18" applyNumberFormat="1" applyFont="1" applyBorder="1"/>
    <xf numFmtId="37" fontId="10" fillId="0" borderId="39" xfId="18" applyNumberFormat="1" applyFont="1" applyBorder="1"/>
    <xf numFmtId="41" fontId="18" fillId="0" borderId="23" xfId="3" applyNumberFormat="1" applyFont="1" applyBorder="1"/>
    <xf numFmtId="41" fontId="18" fillId="0" borderId="0" xfId="3" applyNumberFormat="1" applyFont="1" applyBorder="1"/>
    <xf numFmtId="41" fontId="10" fillId="0" borderId="0" xfId="3" applyNumberFormat="1" applyFont="1" applyBorder="1"/>
    <xf numFmtId="41" fontId="65" fillId="0" borderId="0" xfId="3" applyNumberFormat="1" applyFont="1"/>
    <xf numFmtId="41" fontId="65" fillId="0" borderId="0" xfId="3" applyNumberFormat="1" applyFont="1" applyBorder="1"/>
    <xf numFmtId="41" fontId="50" fillId="0" borderId="0" xfId="3" applyNumberFormat="1" applyFont="1"/>
    <xf numFmtId="41" fontId="50" fillId="0" borderId="0" xfId="4" applyNumberFormat="1" applyFont="1"/>
    <xf numFmtId="37" fontId="10" fillId="0" borderId="21" xfId="18" applyNumberFormat="1" applyFont="1" applyBorder="1"/>
    <xf numFmtId="37" fontId="10" fillId="0" borderId="24" xfId="18" applyNumberFormat="1" applyFont="1" applyBorder="1"/>
    <xf numFmtId="175" fontId="18" fillId="0" borderId="21" xfId="18" applyNumberFormat="1" applyFont="1" applyBorder="1"/>
    <xf numFmtId="41" fontId="10" fillId="0" borderId="21" xfId="18" applyNumberFormat="1" applyFont="1" applyBorder="1"/>
    <xf numFmtId="0" fontId="68" fillId="0" borderId="0" xfId="23" applyFont="1" applyBorder="1"/>
    <xf numFmtId="190" fontId="10" fillId="0" borderId="23" xfId="18" applyNumberFormat="1" applyFont="1" applyBorder="1"/>
    <xf numFmtId="177" fontId="11" fillId="0" borderId="0" xfId="3" applyNumberFormat="1" applyFont="1"/>
    <xf numFmtId="177" fontId="10" fillId="0" borderId="21" xfId="3" applyNumberFormat="1" applyFont="1" applyBorder="1"/>
    <xf numFmtId="177" fontId="10" fillId="0" borderId="24" xfId="3" applyNumberFormat="1" applyFont="1" applyBorder="1"/>
    <xf numFmtId="165" fontId="18" fillId="0" borderId="0" xfId="3" applyNumberFormat="1" applyFont="1" applyBorder="1"/>
    <xf numFmtId="165" fontId="65" fillId="0" borderId="0" xfId="3" applyNumberFormat="1" applyFont="1"/>
    <xf numFmtId="165" fontId="65" fillId="0" borderId="0" xfId="3" applyNumberFormat="1" applyFont="1" applyBorder="1"/>
    <xf numFmtId="165" fontId="50" fillId="0" borderId="0" xfId="3" applyNumberFormat="1" applyFont="1"/>
    <xf numFmtId="165" fontId="50" fillId="0" borderId="0" xfId="4" applyNumberFormat="1" applyFont="1"/>
    <xf numFmtId="165" fontId="10" fillId="0" borderId="21" xfId="3" applyNumberFormat="1" applyFont="1" applyBorder="1"/>
    <xf numFmtId="10" fontId="18" fillId="0" borderId="0" xfId="3" applyNumberFormat="1" applyFont="1"/>
    <xf numFmtId="42" fontId="10" fillId="0" borderId="0" xfId="3" applyNumberFormat="1" applyFont="1"/>
    <xf numFmtId="42" fontId="11" fillId="0" borderId="0" xfId="3" applyNumberFormat="1" applyFont="1" applyBorder="1"/>
    <xf numFmtId="0" fontId="10" fillId="0" borderId="23" xfId="4" applyFont="1" applyBorder="1"/>
    <xf numFmtId="0" fontId="10" fillId="9" borderId="23" xfId="4" applyFont="1" applyFill="1" applyBorder="1"/>
    <xf numFmtId="0" fontId="11" fillId="5" borderId="28" xfId="4" applyFont="1" applyFill="1" applyBorder="1" applyAlignment="1">
      <alignment wrapText="1"/>
    </xf>
    <xf numFmtId="0" fontId="10" fillId="5" borderId="30" xfId="4" applyFont="1" applyFill="1" applyBorder="1"/>
    <xf numFmtId="0" fontId="10" fillId="9" borderId="30" xfId="4" applyFont="1" applyFill="1" applyBorder="1"/>
    <xf numFmtId="0" fontId="20" fillId="0" borderId="18" xfId="4" applyFont="1" applyBorder="1" applyAlignment="1">
      <alignment wrapText="1"/>
    </xf>
    <xf numFmtId="10" fontId="18" fillId="0" borderId="0" xfId="4" applyNumberFormat="1" applyFont="1" applyBorder="1"/>
    <xf numFmtId="10" fontId="10" fillId="0" borderId="0" xfId="4" applyNumberFormat="1" applyFont="1" applyBorder="1"/>
    <xf numFmtId="10" fontId="65" fillId="0" borderId="0" xfId="4" applyNumberFormat="1" applyFont="1" applyBorder="1"/>
    <xf numFmtId="0" fontId="20" fillId="0" borderId="18" xfId="4" applyFont="1" applyBorder="1"/>
    <xf numFmtId="177" fontId="11" fillId="0" borderId="0" xfId="4" applyNumberFormat="1" applyFont="1"/>
    <xf numFmtId="177" fontId="11" fillId="0" borderId="0" xfId="4" applyNumberFormat="1" applyFont="1" applyBorder="1"/>
    <xf numFmtId="177" fontId="11" fillId="0" borderId="23" xfId="4" applyNumberFormat="1" applyFont="1" applyBorder="1"/>
    <xf numFmtId="42" fontId="10" fillId="0" borderId="0" xfId="4" applyNumberFormat="1" applyFont="1" applyBorder="1"/>
    <xf numFmtId="42" fontId="10" fillId="0" borderId="23" xfId="4" applyNumberFormat="1" applyFont="1" applyBorder="1"/>
    <xf numFmtId="42" fontId="11" fillId="0" borderId="0" xfId="4" applyNumberFormat="1" applyFont="1" applyBorder="1"/>
    <xf numFmtId="42" fontId="11" fillId="0" borderId="23" xfId="4" applyNumberFormat="1" applyFont="1" applyBorder="1"/>
    <xf numFmtId="0" fontId="20" fillId="0" borderId="20" xfId="4" applyFont="1" applyBorder="1"/>
    <xf numFmtId="0" fontId="10" fillId="0" borderId="21" xfId="4" applyFont="1" applyBorder="1"/>
    <xf numFmtId="0" fontId="10" fillId="0" borderId="24" xfId="4" applyFont="1" applyBorder="1"/>
    <xf numFmtId="0" fontId="10" fillId="9" borderId="24" xfId="4" applyFont="1" applyFill="1" applyBorder="1"/>
    <xf numFmtId="175" fontId="10" fillId="0" borderId="21" xfId="4" applyNumberFormat="1" applyFont="1" applyBorder="1"/>
    <xf numFmtId="41" fontId="10" fillId="0" borderId="24" xfId="4" applyNumberFormat="1" applyFont="1" applyBorder="1"/>
    <xf numFmtId="41" fontId="10" fillId="0" borderId="21" xfId="4" applyNumberFormat="1" applyFont="1" applyBorder="1"/>
    <xf numFmtId="177" fontId="10" fillId="0" borderId="21" xfId="4" applyNumberFormat="1" applyFont="1" applyBorder="1"/>
    <xf numFmtId="177" fontId="10" fillId="0" borderId="24" xfId="4" applyNumberFormat="1" applyFont="1" applyBorder="1"/>
    <xf numFmtId="165" fontId="10" fillId="0" borderId="23" xfId="4" applyNumberFormat="1" applyFont="1" applyBorder="1"/>
    <xf numFmtId="165" fontId="10" fillId="0" borderId="0" xfId="4" applyNumberFormat="1" applyFont="1"/>
    <xf numFmtId="165" fontId="18" fillId="0" borderId="0" xfId="4" applyNumberFormat="1" applyFont="1" applyBorder="1"/>
    <xf numFmtId="175" fontId="18" fillId="0" borderId="0" xfId="4" applyNumberFormat="1" applyFont="1"/>
    <xf numFmtId="175" fontId="10" fillId="0" borderId="0" xfId="4" applyNumberFormat="1" applyFont="1" applyBorder="1"/>
    <xf numFmtId="41" fontId="18" fillId="0" borderId="23" xfId="4" applyNumberFormat="1" applyFont="1" applyBorder="1"/>
    <xf numFmtId="41" fontId="18" fillId="0" borderId="0" xfId="4" applyNumberFormat="1" applyFont="1" applyBorder="1"/>
    <xf numFmtId="41" fontId="10" fillId="0" borderId="0" xfId="4" applyNumberFormat="1" applyFont="1"/>
    <xf numFmtId="165" fontId="10" fillId="0" borderId="0" xfId="4" applyNumberFormat="1" applyFont="1" applyBorder="1"/>
    <xf numFmtId="165" fontId="65" fillId="0" borderId="0" xfId="4" applyNumberFormat="1" applyFont="1"/>
    <xf numFmtId="165" fontId="65" fillId="0" borderId="0" xfId="4" applyNumberFormat="1" applyFont="1" applyBorder="1"/>
    <xf numFmtId="165" fontId="10" fillId="0" borderId="24" xfId="4" applyNumberFormat="1" applyFont="1" applyBorder="1"/>
    <xf numFmtId="165" fontId="10" fillId="0" borderId="21" xfId="4" applyNumberFormat="1" applyFont="1" applyBorder="1"/>
    <xf numFmtId="165" fontId="18" fillId="0" borderId="21" xfId="4" applyNumberFormat="1" applyFont="1" applyBorder="1"/>
    <xf numFmtId="10" fontId="10" fillId="0" borderId="0" xfId="4" applyNumberFormat="1" applyFont="1"/>
    <xf numFmtId="42" fontId="10" fillId="0" borderId="0" xfId="4" applyNumberFormat="1" applyFont="1"/>
    <xf numFmtId="41" fontId="69" fillId="0" borderId="0" xfId="3" applyNumberFormat="1" applyFont="1"/>
    <xf numFmtId="42" fontId="18" fillId="0" borderId="0" xfId="18" applyNumberFormat="1" applyFont="1" applyBorder="1"/>
    <xf numFmtId="42" fontId="10" fillId="0" borderId="23" xfId="18" applyNumberFormat="1" applyFont="1" applyBorder="1"/>
    <xf numFmtId="42" fontId="18" fillId="0" borderId="0" xfId="18" applyNumberFormat="1" applyFont="1"/>
    <xf numFmtId="41" fontId="11" fillId="0" borderId="23" xfId="3" applyNumberFormat="1" applyFont="1" applyBorder="1"/>
    <xf numFmtId="165" fontId="10" fillId="9" borderId="23" xfId="3" applyNumberFormat="1" applyFont="1" applyFill="1" applyBorder="1"/>
    <xf numFmtId="165" fontId="69" fillId="0" borderId="0" xfId="3" applyNumberFormat="1" applyFont="1"/>
    <xf numFmtId="165" fontId="65" fillId="3" borderId="0" xfId="3" applyNumberFormat="1" applyFont="1" applyFill="1"/>
    <xf numFmtId="41" fontId="18" fillId="5" borderId="30" xfId="3" applyNumberFormat="1" applyFont="1" applyFill="1" applyBorder="1"/>
    <xf numFmtId="41" fontId="18" fillId="5" borderId="29" xfId="3" applyNumberFormat="1" applyFont="1" applyFill="1" applyBorder="1"/>
    <xf numFmtId="41" fontId="10" fillId="5" borderId="30" xfId="3" applyNumberFormat="1" applyFont="1" applyFill="1" applyBorder="1"/>
    <xf numFmtId="41" fontId="10" fillId="5" borderId="29" xfId="3" applyNumberFormat="1" applyFont="1" applyFill="1" applyBorder="1"/>
    <xf numFmtId="177" fontId="18" fillId="0" borderId="21" xfId="3" applyNumberFormat="1" applyFont="1" applyBorder="1"/>
    <xf numFmtId="0" fontId="13" fillId="0" borderId="0" xfId="4" applyFont="1" applyBorder="1"/>
    <xf numFmtId="0" fontId="11" fillId="0" borderId="0" xfId="27" applyFont="1" applyBorder="1"/>
    <xf numFmtId="0" fontId="13" fillId="0" borderId="0" xfId="30" applyFont="1" applyBorder="1"/>
    <xf numFmtId="0" fontId="15" fillId="0" borderId="0" xfId="30" applyFont="1"/>
    <xf numFmtId="0" fontId="10" fillId="0" borderId="0" xfId="30" applyFont="1" applyBorder="1"/>
    <xf numFmtId="0" fontId="11" fillId="0" borderId="0" xfId="30" applyFont="1" applyBorder="1"/>
    <xf numFmtId="0" fontId="24" fillId="0" borderId="0" xfId="3" applyFont="1" applyBorder="1"/>
    <xf numFmtId="0" fontId="18" fillId="0" borderId="0" xfId="30" applyFont="1" applyBorder="1"/>
    <xf numFmtId="0" fontId="10" fillId="0" borderId="0" xfId="30" applyFont="1"/>
    <xf numFmtId="0" fontId="11" fillId="0" borderId="0" xfId="30" applyFont="1"/>
    <xf numFmtId="0" fontId="10" fillId="0" borderId="0" xfId="18" applyNumberFormat="1" applyFont="1" applyBorder="1"/>
    <xf numFmtId="0" fontId="10" fillId="0" borderId="0" xfId="32" applyNumberFormat="1" applyFont="1" applyBorder="1"/>
    <xf numFmtId="0" fontId="11" fillId="0" borderId="0" xfId="4" applyFont="1" applyBorder="1"/>
    <xf numFmtId="0" fontId="18" fillId="0" borderId="0" xfId="3" applyFont="1" applyBorder="1"/>
    <xf numFmtId="0" fontId="10" fillId="0" borderId="0" xfId="18" applyNumberFormat="1" applyFont="1"/>
    <xf numFmtId="0" fontId="18" fillId="0" borderId="0" xfId="18" applyNumberFormat="1" applyFont="1"/>
    <xf numFmtId="0" fontId="18" fillId="0" borderId="0" xfId="18" applyNumberFormat="1" applyFont="1" applyBorder="1"/>
    <xf numFmtId="0" fontId="19" fillId="0" borderId="0" xfId="18" applyNumberFormat="1" applyFont="1" applyBorder="1"/>
    <xf numFmtId="0" fontId="19" fillId="0" borderId="0" xfId="18" applyNumberFormat="1" applyFont="1"/>
    <xf numFmtId="0" fontId="11" fillId="0" borderId="0" xfId="18" applyNumberFormat="1" applyFont="1" applyBorder="1"/>
    <xf numFmtId="0" fontId="27" fillId="0" borderId="0" xfId="3" applyFont="1" applyBorder="1"/>
    <xf numFmtId="0" fontId="11" fillId="0" borderId="0" xfId="18" applyNumberFormat="1" applyFont="1"/>
    <xf numFmtId="0" fontId="27" fillId="0" borderId="0" xfId="4" applyFont="1" applyBorder="1"/>
    <xf numFmtId="0" fontId="19" fillId="0" borderId="0" xfId="3" applyFont="1" applyBorder="1"/>
    <xf numFmtId="0" fontId="13" fillId="0" borderId="0" xfId="18" applyNumberFormat="1" applyFont="1" applyBorder="1"/>
    <xf numFmtId="0" fontId="70" fillId="0" borderId="0" xfId="3" applyFont="1"/>
    <xf numFmtId="0" fontId="18" fillId="0" borderId="0" xfId="4" applyFont="1" applyBorder="1"/>
    <xf numFmtId="0" fontId="10" fillId="0" borderId="0" xfId="32" applyNumberFormat="1" applyFont="1"/>
    <xf numFmtId="0" fontId="64" fillId="0" borderId="0" xfId="32" applyNumberFormat="1" applyFont="1" applyBorder="1"/>
    <xf numFmtId="0" fontId="33" fillId="0" borderId="0" xfId="3" applyFont="1" applyBorder="1"/>
    <xf numFmtId="0" fontId="13" fillId="0" borderId="0" xfId="32" applyNumberFormat="1" applyFont="1" applyBorder="1"/>
    <xf numFmtId="185" fontId="10" fillId="0" borderId="0" xfId="0" applyNumberFormat="1" applyFont="1" applyFill="1" applyBorder="1" applyAlignment="1">
      <alignment horizontal="center"/>
    </xf>
    <xf numFmtId="169" fontId="10" fillId="0" borderId="0" xfId="0" applyNumberFormat="1" applyFont="1" applyFill="1" applyBorder="1" applyAlignment="1">
      <alignment horizontal="center"/>
    </xf>
    <xf numFmtId="0" fontId="0" fillId="0" borderId="0" xfId="0" applyBorder="1"/>
    <xf numFmtId="0" fontId="0" fillId="0" borderId="0" xfId="0" applyFont="1" applyBorder="1"/>
    <xf numFmtId="0" fontId="11" fillId="5" borderId="0" xfId="3" applyFont="1" applyFill="1"/>
    <xf numFmtId="0" fontId="31" fillId="0" borderId="0" xfId="3" applyFont="1" applyBorder="1"/>
    <xf numFmtId="44" fontId="2" fillId="4" borderId="0" xfId="3" applyNumberFormat="1" applyFont="1" applyFill="1"/>
    <xf numFmtId="0" fontId="2" fillId="4" borderId="0" xfId="3" applyFont="1" applyFill="1"/>
    <xf numFmtId="0" fontId="2" fillId="5" borderId="2" xfId="3" applyFont="1" applyFill="1" applyBorder="1"/>
    <xf numFmtId="0" fontId="10" fillId="5" borderId="5" xfId="3" applyFont="1" applyFill="1" applyBorder="1"/>
    <xf numFmtId="0" fontId="11" fillId="5" borderId="41" xfId="3" applyFont="1" applyFill="1" applyBorder="1" applyAlignment="1">
      <alignment horizontal="centerContinuous"/>
    </xf>
    <xf numFmtId="0" fontId="10" fillId="5" borderId="48" xfId="3" applyFont="1" applyFill="1" applyBorder="1"/>
    <xf numFmtId="0" fontId="10" fillId="5" borderId="9" xfId="3" applyFont="1" applyFill="1" applyBorder="1" applyAlignment="1">
      <alignment horizontal="right"/>
    </xf>
    <xf numFmtId="0" fontId="24" fillId="5" borderId="10" xfId="3" applyFont="1" applyFill="1" applyBorder="1" applyAlignment="1">
      <alignment horizontal="left"/>
    </xf>
    <xf numFmtId="0" fontId="11" fillId="5" borderId="11" xfId="3" applyFont="1" applyFill="1" applyBorder="1" applyAlignment="1">
      <alignment horizontal="center"/>
    </xf>
    <xf numFmtId="0" fontId="11" fillId="5" borderId="26" xfId="3" applyFont="1" applyFill="1" applyBorder="1" applyAlignment="1">
      <alignment horizontal="center"/>
    </xf>
    <xf numFmtId="0" fontId="11" fillId="5" borderId="12" xfId="3" applyFont="1" applyFill="1" applyBorder="1" applyAlignment="1">
      <alignment horizontal="center"/>
    </xf>
    <xf numFmtId="43" fontId="10" fillId="0" borderId="0" xfId="3" applyNumberFormat="1" applyFont="1"/>
    <xf numFmtId="0" fontId="10" fillId="6" borderId="0" xfId="3" applyFont="1" applyFill="1"/>
    <xf numFmtId="3" fontId="10" fillId="0" borderId="23" xfId="18" applyNumberFormat="1" applyFont="1" applyBorder="1"/>
    <xf numFmtId="3" fontId="10" fillId="6" borderId="0" xfId="3" applyNumberFormat="1" applyFont="1" applyFill="1"/>
    <xf numFmtId="3" fontId="10" fillId="0" borderId="0" xfId="3" applyNumberFormat="1" applyFont="1" applyAlignment="1">
      <alignment horizontal="right"/>
    </xf>
    <xf numFmtId="3" fontId="10" fillId="0" borderId="0" xfId="18" applyNumberFormat="1" applyFont="1"/>
    <xf numFmtId="167" fontId="13" fillId="0" borderId="0" xfId="32" applyNumberFormat="1" applyFont="1" applyAlignment="1">
      <alignment horizontal="left" indent="1"/>
    </xf>
    <xf numFmtId="167" fontId="13" fillId="0" borderId="0" xfId="32" applyNumberFormat="1" applyFont="1" applyBorder="1" applyAlignment="1">
      <alignment horizontal="right"/>
    </xf>
    <xf numFmtId="167" fontId="13" fillId="0" borderId="23" xfId="32" applyNumberFormat="1" applyFont="1" applyBorder="1" applyAlignment="1">
      <alignment horizontal="right"/>
    </xf>
    <xf numFmtId="167" fontId="13" fillId="0" borderId="0" xfId="32" applyNumberFormat="1" applyFont="1" applyAlignment="1">
      <alignment horizontal="right"/>
    </xf>
    <xf numFmtId="167" fontId="13" fillId="6" borderId="0" xfId="32" applyNumberFormat="1" applyFont="1" applyFill="1"/>
    <xf numFmtId="167" fontId="13" fillId="0" borderId="0" xfId="32" applyNumberFormat="1" applyFont="1" applyBorder="1"/>
    <xf numFmtId="167" fontId="13" fillId="0" borderId="23" xfId="32" applyNumberFormat="1" applyFont="1" applyBorder="1"/>
    <xf numFmtId="167" fontId="13" fillId="0" borderId="0" xfId="32" applyNumberFormat="1" applyFont="1"/>
    <xf numFmtId="167" fontId="13" fillId="0" borderId="19" xfId="32" applyNumberFormat="1" applyFont="1" applyBorder="1"/>
    <xf numFmtId="3" fontId="10" fillId="0" borderId="23" xfId="32" applyNumberFormat="1" applyFont="1" applyBorder="1" applyAlignment="1">
      <alignment horizontal="right"/>
    </xf>
    <xf numFmtId="3" fontId="10" fillId="6" borderId="0" xfId="32" applyNumberFormat="1" applyFont="1" applyFill="1"/>
    <xf numFmtId="3" fontId="10" fillId="0" borderId="0" xfId="32" applyNumberFormat="1" applyFont="1" applyAlignment="1">
      <alignment horizontal="right"/>
    </xf>
    <xf numFmtId="3" fontId="10" fillId="0" borderId="23" xfId="32" applyNumberFormat="1" applyFont="1" applyBorder="1"/>
    <xf numFmtId="3" fontId="10" fillId="0" borderId="0" xfId="32" applyNumberFormat="1" applyFont="1"/>
    <xf numFmtId="177" fontId="11" fillId="6" borderId="0" xfId="3" applyNumberFormat="1" applyFont="1" applyFill="1"/>
    <xf numFmtId="0" fontId="13" fillId="0" borderId="0" xfId="3" applyFont="1" applyAlignment="1">
      <alignment horizontal="left" indent="1"/>
    </xf>
    <xf numFmtId="3" fontId="13" fillId="0" borderId="0" xfId="3" applyNumberFormat="1" applyFont="1" applyAlignment="1">
      <alignment horizontal="left" indent="1"/>
    </xf>
    <xf numFmtId="3" fontId="13" fillId="0" borderId="0" xfId="3" applyNumberFormat="1" applyFont="1"/>
    <xf numFmtId="3" fontId="13" fillId="0" borderId="23" xfId="3" applyNumberFormat="1" applyFont="1" applyBorder="1"/>
    <xf numFmtId="3" fontId="13" fillId="6" borderId="0" xfId="3" applyNumberFormat="1" applyFont="1" applyFill="1"/>
    <xf numFmtId="3" fontId="13" fillId="0" borderId="0" xfId="3" applyNumberFormat="1" applyFont="1" applyAlignment="1">
      <alignment horizontal="right"/>
    </xf>
    <xf numFmtId="3" fontId="13" fillId="0" borderId="0" xfId="3" applyNumberFormat="1" applyFont="1" applyBorder="1"/>
    <xf numFmtId="3" fontId="13" fillId="0" borderId="0" xfId="3" applyNumberFormat="1" applyFont="1" applyBorder="1" applyAlignment="1">
      <alignment horizontal="right"/>
    </xf>
    <xf numFmtId="3" fontId="13" fillId="0" borderId="21" xfId="3" applyNumberFormat="1" applyFont="1" applyBorder="1" applyAlignment="1">
      <alignment horizontal="left" indent="1"/>
    </xf>
    <xf numFmtId="3" fontId="13" fillId="0" borderId="21" xfId="3" applyNumberFormat="1" applyFont="1" applyBorder="1"/>
    <xf numFmtId="3" fontId="13" fillId="0" borderId="24" xfId="3" applyNumberFormat="1" applyFont="1" applyBorder="1"/>
    <xf numFmtId="3" fontId="13" fillId="6" borderId="21" xfId="3" applyNumberFormat="1" applyFont="1" applyFill="1" applyBorder="1"/>
    <xf numFmtId="3" fontId="10" fillId="0" borderId="21" xfId="3" applyNumberFormat="1" applyFont="1" applyBorder="1"/>
    <xf numFmtId="3" fontId="10" fillId="0" borderId="24" xfId="3" applyNumberFormat="1" applyFont="1" applyBorder="1"/>
    <xf numFmtId="3" fontId="10" fillId="6" borderId="21" xfId="3" applyNumberFormat="1" applyFont="1" applyFill="1" applyBorder="1"/>
    <xf numFmtId="3" fontId="10" fillId="0" borderId="21" xfId="32" applyNumberFormat="1" applyFont="1" applyBorder="1"/>
    <xf numFmtId="43" fontId="10" fillId="0" borderId="0" xfId="18" applyFont="1" applyBorder="1"/>
    <xf numFmtId="187" fontId="11" fillId="0" borderId="16" xfId="3" applyNumberFormat="1" applyFont="1" applyBorder="1"/>
    <xf numFmtId="187" fontId="11" fillId="0" borderId="39" xfId="3" applyNumberFormat="1" applyFont="1" applyBorder="1"/>
    <xf numFmtId="187" fontId="11" fillId="0" borderId="16" xfId="32" applyNumberFormat="1" applyFont="1" applyBorder="1"/>
    <xf numFmtId="167" fontId="10" fillId="0" borderId="0" xfId="32" applyNumberFormat="1" applyFont="1" applyBorder="1"/>
    <xf numFmtId="167" fontId="10" fillId="6" borderId="0" xfId="32" applyNumberFormat="1" applyFont="1" applyFill="1"/>
    <xf numFmtId="187" fontId="10" fillId="0" borderId="0" xfId="3" applyNumberFormat="1" applyFont="1"/>
    <xf numFmtId="187" fontId="10" fillId="0" borderId="0" xfId="32" applyNumberFormat="1" applyFont="1" applyAlignment="1">
      <alignment horizontal="right"/>
    </xf>
    <xf numFmtId="187" fontId="10" fillId="0" borderId="0" xfId="32" applyNumberFormat="1" applyFont="1"/>
    <xf numFmtId="187" fontId="10" fillId="0" borderId="23" xfId="32" applyNumberFormat="1" applyFont="1" applyBorder="1"/>
    <xf numFmtId="187" fontId="10" fillId="6" borderId="0" xfId="32" applyNumberFormat="1" applyFont="1" applyFill="1"/>
    <xf numFmtId="187" fontId="10" fillId="0" borderId="23" xfId="32" applyNumberFormat="1" applyFont="1" applyBorder="1" applyAlignment="1">
      <alignment horizontal="right"/>
    </xf>
    <xf numFmtId="167" fontId="10" fillId="0" borderId="21" xfId="32" applyNumberFormat="1" applyFont="1" applyBorder="1" applyAlignment="1">
      <alignment horizontal="right"/>
    </xf>
    <xf numFmtId="167" fontId="10" fillId="0" borderId="24" xfId="32" applyNumberFormat="1" applyFont="1" applyBorder="1"/>
    <xf numFmtId="166" fontId="10" fillId="0" borderId="0" xfId="3" applyNumberFormat="1" applyFont="1"/>
    <xf numFmtId="166" fontId="10" fillId="0" borderId="16" xfId="3" applyNumberFormat="1" applyFont="1" applyBorder="1"/>
    <xf numFmtId="166" fontId="10" fillId="0" borderId="23" xfId="3" applyNumberFormat="1" applyFont="1" applyBorder="1"/>
    <xf numFmtId="166" fontId="13" fillId="6" borderId="19" xfId="3" applyNumberFormat="1" applyFont="1" applyFill="1" applyBorder="1"/>
    <xf numFmtId="166" fontId="10" fillId="0" borderId="23" xfId="3" applyNumberFormat="1" applyFont="1" applyBorder="1" applyAlignment="1">
      <alignment horizontal="right"/>
    </xf>
    <xf numFmtId="0" fontId="13" fillId="0" borderId="21" xfId="3" applyFont="1" applyBorder="1" applyAlignment="1">
      <alignment horizontal="left" vertical="center" indent="1"/>
    </xf>
    <xf numFmtId="167" fontId="13" fillId="0" borderId="21" xfId="3" applyNumberFormat="1" applyFont="1" applyBorder="1"/>
    <xf numFmtId="167" fontId="13" fillId="0" borderId="24" xfId="3" applyNumberFormat="1" applyFont="1" applyBorder="1"/>
    <xf numFmtId="0" fontId="13" fillId="6" borderId="22" xfId="3" applyFont="1" applyFill="1" applyBorder="1"/>
    <xf numFmtId="0" fontId="13" fillId="0" borderId="21" xfId="3" applyFont="1" applyBorder="1"/>
    <xf numFmtId="0" fontId="13" fillId="0" borderId="24" xfId="3" applyFont="1" applyBorder="1"/>
    <xf numFmtId="0" fontId="11" fillId="0" borderId="16" xfId="3" applyFont="1" applyBorder="1"/>
    <xf numFmtId="0" fontId="11" fillId="6" borderId="16" xfId="3" applyFont="1" applyFill="1" applyBorder="1"/>
    <xf numFmtId="167" fontId="10" fillId="0" borderId="0" xfId="32" applyNumberFormat="1" applyFont="1" applyAlignment="1">
      <alignment horizontal="right"/>
    </xf>
    <xf numFmtId="0" fontId="13" fillId="0" borderId="21" xfId="3" applyFont="1" applyBorder="1" applyAlignment="1">
      <alignment horizontal="left" indent="1"/>
    </xf>
    <xf numFmtId="0" fontId="10" fillId="6" borderId="21" xfId="3" applyFont="1" applyFill="1" applyBorder="1"/>
    <xf numFmtId="167" fontId="10" fillId="0" borderId="0" xfId="32" applyNumberFormat="1" applyFont="1" applyBorder="1" applyAlignment="1">
      <alignment horizontal="right"/>
    </xf>
    <xf numFmtId="167" fontId="10" fillId="0" borderId="23" xfId="32" applyNumberFormat="1" applyFont="1" applyBorder="1" applyAlignment="1">
      <alignment horizontal="right"/>
    </xf>
    <xf numFmtId="166" fontId="10" fillId="0" borderId="39" xfId="3" applyNumberFormat="1" applyFont="1" applyBorder="1" applyAlignment="1">
      <alignment horizontal="right"/>
    </xf>
    <xf numFmtId="166" fontId="10" fillId="0" borderId="39" xfId="3" applyNumberFormat="1" applyFont="1" applyBorder="1"/>
    <xf numFmtId="0" fontId="13" fillId="0" borderId="0" xfId="3" applyFont="1" applyBorder="1" applyAlignment="1">
      <alignment horizontal="left" vertical="center" indent="1"/>
    </xf>
    <xf numFmtId="0" fontId="13" fillId="6" borderId="0" xfId="3" applyFont="1" applyFill="1"/>
    <xf numFmtId="187" fontId="11" fillId="0" borderId="16" xfId="32" applyNumberFormat="1" applyFont="1" applyBorder="1" applyAlignment="1">
      <alignment horizontal="right"/>
    </xf>
    <xf numFmtId="38" fontId="11" fillId="6" borderId="16" xfId="3" applyNumberFormat="1" applyFont="1" applyFill="1" applyBorder="1"/>
    <xf numFmtId="187" fontId="10" fillId="0" borderId="0" xfId="32" applyNumberFormat="1" applyFont="1" applyBorder="1" applyAlignment="1">
      <alignment horizontal="right"/>
    </xf>
    <xf numFmtId="187" fontId="10" fillId="0" borderId="0" xfId="32" applyNumberFormat="1" applyFont="1" applyBorder="1"/>
    <xf numFmtId="167" fontId="19" fillId="0" borderId="0" xfId="32" applyNumberFormat="1" applyFont="1"/>
    <xf numFmtId="186" fontId="10" fillId="0" borderId="0" xfId="32" applyNumberFormat="1" applyFont="1"/>
    <xf numFmtId="9" fontId="10" fillId="0" borderId="0" xfId="32" applyFont="1"/>
    <xf numFmtId="187" fontId="11" fillId="0" borderId="39" xfId="3" applyNumberFormat="1" applyFont="1" applyBorder="1" applyAlignment="1">
      <alignment horizontal="right"/>
    </xf>
    <xf numFmtId="175" fontId="11" fillId="0" borderId="0" xfId="18" applyNumberFormat="1" applyFont="1" applyBorder="1"/>
    <xf numFmtId="175" fontId="11" fillId="0" borderId="0" xfId="18" applyNumberFormat="1" applyFont="1"/>
    <xf numFmtId="175" fontId="27" fillId="0" borderId="0" xfId="3" applyNumberFormat="1" applyFont="1" applyBorder="1"/>
    <xf numFmtId="0" fontId="11" fillId="0" borderId="29" xfId="3" applyFont="1" applyBorder="1"/>
    <xf numFmtId="187" fontId="11" fillId="0" borderId="29" xfId="3" applyNumberFormat="1" applyFont="1" applyBorder="1"/>
    <xf numFmtId="187" fontId="11" fillId="0" borderId="30" xfId="3" applyNumberFormat="1" applyFont="1" applyBorder="1"/>
    <xf numFmtId="0" fontId="11" fillId="6" borderId="29" xfId="3" applyFont="1" applyFill="1" applyBorder="1"/>
    <xf numFmtId="187" fontId="11" fillId="0" borderId="29" xfId="32" applyNumberFormat="1" applyFont="1" applyBorder="1"/>
    <xf numFmtId="9" fontId="13" fillId="0" borderId="0" xfId="32" applyFont="1" applyAlignment="1">
      <alignment horizontal="left" indent="1"/>
    </xf>
    <xf numFmtId="167" fontId="13" fillId="6" borderId="23" xfId="32" applyNumberFormat="1" applyFont="1" applyFill="1" applyBorder="1"/>
    <xf numFmtId="176" fontId="11" fillId="5" borderId="0" xfId="18" applyNumberFormat="1" applyFont="1" applyFill="1"/>
    <xf numFmtId="176" fontId="11" fillId="5" borderId="0" xfId="3" applyNumberFormat="1" applyFont="1" applyFill="1"/>
    <xf numFmtId="176" fontId="11" fillId="5" borderId="23" xfId="18" applyNumberFormat="1" applyFont="1" applyFill="1" applyBorder="1"/>
    <xf numFmtId="177" fontId="11" fillId="5" borderId="23" xfId="18" applyNumberFormat="1" applyFont="1" applyFill="1" applyBorder="1"/>
    <xf numFmtId="177" fontId="11" fillId="5" borderId="0" xfId="3" applyNumberFormat="1" applyFont="1" applyFill="1"/>
    <xf numFmtId="177" fontId="11" fillId="5" borderId="23" xfId="3" applyNumberFormat="1" applyFont="1" applyFill="1" applyBorder="1"/>
    <xf numFmtId="177" fontId="11" fillId="6" borderId="23" xfId="3" applyNumberFormat="1" applyFont="1" applyFill="1" applyBorder="1"/>
    <xf numFmtId="0" fontId="10" fillId="5" borderId="23" xfId="3" applyFont="1" applyFill="1" applyBorder="1"/>
    <xf numFmtId="176" fontId="10" fillId="0" borderId="23" xfId="18" applyNumberFormat="1" applyFont="1" applyBorder="1"/>
    <xf numFmtId="177" fontId="18" fillId="0" borderId="0" xfId="3" applyNumberFormat="1" applyFont="1" applyBorder="1"/>
    <xf numFmtId="177" fontId="10" fillId="0" borderId="0" xfId="18" applyNumberFormat="1" applyFont="1" applyBorder="1"/>
    <xf numFmtId="175" fontId="18" fillId="0" borderId="0" xfId="3" applyNumberFormat="1" applyFont="1" applyAlignment="1">
      <alignment horizontal="right"/>
    </xf>
    <xf numFmtId="175" fontId="10" fillId="0" borderId="0" xfId="3" applyNumberFormat="1" applyFont="1" applyAlignment="1">
      <alignment horizontal="right"/>
    </xf>
    <xf numFmtId="175" fontId="18" fillId="0" borderId="23" xfId="3" applyNumberFormat="1" applyFont="1" applyBorder="1" applyAlignment="1">
      <alignment horizontal="right"/>
    </xf>
    <xf numFmtId="0" fontId="10" fillId="0" borderId="0" xfId="3" applyFont="1" applyAlignment="1">
      <alignment horizontal="left" indent="2"/>
    </xf>
    <xf numFmtId="175" fontId="10" fillId="0" borderId="35" xfId="18" applyNumberFormat="1" applyFont="1" applyBorder="1"/>
    <xf numFmtId="0" fontId="11" fillId="0" borderId="0" xfId="3" applyFont="1" applyBorder="1" applyAlignment="1">
      <alignment horizontal="left" indent="1"/>
    </xf>
    <xf numFmtId="175" fontId="11" fillId="0" borderId="23" xfId="18" applyNumberFormat="1" applyFont="1" applyBorder="1"/>
    <xf numFmtId="175" fontId="11" fillId="0" borderId="23" xfId="3" applyNumberFormat="1" applyFont="1" applyBorder="1"/>
    <xf numFmtId="175" fontId="19" fillId="0" borderId="34" xfId="3" applyNumberFormat="1" applyFont="1" applyBorder="1"/>
    <xf numFmtId="175" fontId="19" fillId="0" borderId="34" xfId="3" applyNumberFormat="1" applyFont="1" applyBorder="1" applyAlignment="1">
      <alignment horizontal="right"/>
    </xf>
    <xf numFmtId="0" fontId="10" fillId="0" borderId="34" xfId="3" applyFont="1" applyBorder="1"/>
    <xf numFmtId="175" fontId="10" fillId="0" borderId="0" xfId="18" applyNumberFormat="1" applyFont="1" applyAlignment="1">
      <alignment horizontal="right"/>
    </xf>
    <xf numFmtId="0" fontId="13" fillId="0" borderId="0" xfId="3" applyFont="1" applyBorder="1" applyAlignment="1">
      <alignment horizontal="left" indent="2"/>
    </xf>
    <xf numFmtId="167" fontId="64" fillId="0" borderId="0" xfId="3" applyNumberFormat="1" applyFont="1" applyBorder="1"/>
    <xf numFmtId="167" fontId="13" fillId="0" borderId="0" xfId="3" applyNumberFormat="1" applyFont="1"/>
    <xf numFmtId="0" fontId="13" fillId="0" borderId="0" xfId="3" applyFont="1" applyAlignment="1">
      <alignment horizontal="left" indent="2"/>
    </xf>
    <xf numFmtId="175" fontId="13" fillId="0" borderId="0" xfId="18" applyNumberFormat="1" applyFont="1" applyBorder="1"/>
    <xf numFmtId="175" fontId="13" fillId="0" borderId="0" xfId="18" applyNumberFormat="1" applyFont="1" applyAlignment="1">
      <alignment horizontal="right"/>
    </xf>
    <xf numFmtId="175" fontId="13" fillId="0" borderId="0" xfId="18" applyNumberFormat="1" applyFont="1"/>
    <xf numFmtId="9" fontId="13" fillId="0" borderId="0" xfId="3" applyNumberFormat="1" applyFont="1" applyAlignment="1">
      <alignment horizontal="right"/>
    </xf>
    <xf numFmtId="9" fontId="13" fillId="0" borderId="23" xfId="3" applyNumberFormat="1" applyFont="1" applyBorder="1" applyAlignment="1">
      <alignment horizontal="right"/>
    </xf>
    <xf numFmtId="9" fontId="13" fillId="0" borderId="23" xfId="3" applyNumberFormat="1" applyFont="1" applyBorder="1"/>
    <xf numFmtId="9" fontId="13" fillId="0" borderId="0" xfId="3" applyNumberFormat="1" applyFont="1"/>
    <xf numFmtId="175" fontId="10" fillId="0" borderId="23" xfId="18" applyNumberFormat="1" applyFont="1" applyBorder="1" applyAlignment="1">
      <alignment horizontal="right"/>
    </xf>
    <xf numFmtId="0" fontId="24" fillId="5" borderId="0" xfId="3" applyFont="1" applyFill="1"/>
    <xf numFmtId="175" fontId="10" fillId="5" borderId="0" xfId="18" applyNumberFormat="1" applyFont="1" applyFill="1" applyBorder="1"/>
    <xf numFmtId="175" fontId="10" fillId="5" borderId="23" xfId="18" applyNumberFormat="1" applyFont="1" applyFill="1" applyBorder="1"/>
    <xf numFmtId="175" fontId="10" fillId="5" borderId="23" xfId="3" applyNumberFormat="1" applyFont="1" applyFill="1" applyBorder="1"/>
    <xf numFmtId="175" fontId="18" fillId="5" borderId="0" xfId="3" applyNumberFormat="1" applyFont="1" applyFill="1" applyBorder="1"/>
    <xf numFmtId="175" fontId="11" fillId="0" borderId="0" xfId="18" applyNumberFormat="1" applyFont="1" applyAlignment="1">
      <alignment horizontal="right"/>
    </xf>
    <xf numFmtId="0" fontId="11" fillId="5" borderId="0" xfId="3" applyFont="1" applyFill="1" applyBorder="1"/>
    <xf numFmtId="0" fontId="11" fillId="5" borderId="23" xfId="3" applyFont="1" applyFill="1" applyBorder="1"/>
    <xf numFmtId="175" fontId="11" fillId="5" borderId="0" xfId="18" applyNumberFormat="1" applyFont="1" applyFill="1" applyBorder="1"/>
    <xf numFmtId="175" fontId="11" fillId="5" borderId="23" xfId="18" applyNumberFormat="1" applyFont="1" applyFill="1" applyBorder="1"/>
    <xf numFmtId="175" fontId="11" fillId="5" borderId="23" xfId="3" applyNumberFormat="1" applyFont="1" applyFill="1" applyBorder="1"/>
    <xf numFmtId="175" fontId="27" fillId="5" borderId="0" xfId="3" applyNumberFormat="1" applyFont="1" applyFill="1" applyBorder="1"/>
    <xf numFmtId="0" fontId="11" fillId="0" borderId="16" xfId="3" applyFont="1" applyBorder="1" applyAlignment="1">
      <alignment horizontal="left" indent="1"/>
    </xf>
    <xf numFmtId="175" fontId="10" fillId="0" borderId="39" xfId="18" applyNumberFormat="1" applyFont="1" applyBorder="1"/>
    <xf numFmtId="175" fontId="10" fillId="0" borderId="16" xfId="18" applyNumberFormat="1" applyFont="1" applyBorder="1" applyAlignment="1">
      <alignment horizontal="right"/>
    </xf>
    <xf numFmtId="182" fontId="10" fillId="0" borderId="0" xfId="3" applyNumberFormat="1" applyFont="1" applyAlignment="1">
      <alignment horizontal="right"/>
    </xf>
    <xf numFmtId="182" fontId="10" fillId="0" borderId="23" xfId="18" applyNumberFormat="1" applyFont="1" applyBorder="1" applyAlignment="1">
      <alignment horizontal="right"/>
    </xf>
    <xf numFmtId="182" fontId="10" fillId="0" borderId="23" xfId="18" applyNumberFormat="1" applyFont="1" applyBorder="1"/>
    <xf numFmtId="182" fontId="10" fillId="0" borderId="0" xfId="3" applyNumberFormat="1" applyFont="1" applyBorder="1"/>
    <xf numFmtId="182" fontId="10" fillId="0" borderId="0" xfId="3" applyNumberFormat="1" applyFont="1"/>
    <xf numFmtId="182" fontId="10" fillId="0" borderId="23" xfId="3" applyNumberFormat="1" applyFont="1" applyBorder="1"/>
    <xf numFmtId="182" fontId="10" fillId="0" borderId="0" xfId="3" applyNumberFormat="1" applyFont="1" applyBorder="1" applyAlignment="1">
      <alignment horizontal="right"/>
    </xf>
    <xf numFmtId="43" fontId="10" fillId="0" borderId="0" xfId="18" applyFont="1" applyAlignment="1">
      <alignment horizontal="right"/>
    </xf>
    <xf numFmtId="0" fontId="10" fillId="0" borderId="23" xfId="3" applyFont="1" applyBorder="1" applyAlignment="1">
      <alignment horizontal="right"/>
    </xf>
    <xf numFmtId="43" fontId="10" fillId="0" borderId="0" xfId="18" applyFont="1" applyBorder="1" applyAlignment="1">
      <alignment horizontal="right"/>
    </xf>
    <xf numFmtId="182" fontId="10" fillId="0" borderId="0" xfId="18" applyNumberFormat="1" applyFont="1" applyBorder="1"/>
    <xf numFmtId="0" fontId="24" fillId="0" borderId="21" xfId="3" applyFont="1" applyBorder="1"/>
    <xf numFmtId="0" fontId="11" fillId="0" borderId="21" xfId="3" applyFont="1" applyBorder="1"/>
    <xf numFmtId="0" fontId="11" fillId="0" borderId="24" xfId="3" applyFont="1" applyBorder="1"/>
    <xf numFmtId="175" fontId="11" fillId="0" borderId="21" xfId="18" applyNumberFormat="1" applyFont="1" applyBorder="1"/>
    <xf numFmtId="175" fontId="11" fillId="0" borderId="24" xfId="18" applyNumberFormat="1" applyFont="1" applyBorder="1"/>
    <xf numFmtId="175" fontId="11" fillId="0" borderId="24" xfId="3" applyNumberFormat="1" applyFont="1" applyBorder="1"/>
    <xf numFmtId="175" fontId="27" fillId="0" borderId="21" xfId="3" applyNumberFormat="1" applyFont="1" applyBorder="1"/>
    <xf numFmtId="0" fontId="11" fillId="0" borderId="0" xfId="3" applyFont="1" applyAlignment="1">
      <alignment horizontal="left" indent="1"/>
    </xf>
    <xf numFmtId="167" fontId="64" fillId="0" borderId="0" xfId="32" applyNumberFormat="1" applyFont="1" applyBorder="1"/>
    <xf numFmtId="0" fontId="10" fillId="0" borderId="0" xfId="3" applyFont="1" applyFill="1" applyBorder="1"/>
    <xf numFmtId="0" fontId="10" fillId="0" borderId="21" xfId="3" applyFont="1" applyFill="1" applyBorder="1"/>
    <xf numFmtId="0" fontId="10" fillId="0" borderId="0" xfId="3" applyFont="1" applyFill="1"/>
    <xf numFmtId="167" fontId="10" fillId="0" borderId="0" xfId="32" applyNumberFormat="1" applyFont="1" applyFill="1" applyBorder="1"/>
    <xf numFmtId="167" fontId="10" fillId="0" borderId="21" xfId="3" applyNumberFormat="1" applyFont="1" applyFill="1" applyBorder="1"/>
    <xf numFmtId="0" fontId="10" fillId="0" borderId="16" xfId="3" applyFont="1" applyFill="1" applyBorder="1"/>
    <xf numFmtId="175" fontId="10" fillId="0" borderId="0" xfId="3" applyNumberFormat="1" applyFont="1" applyFill="1" applyBorder="1"/>
    <xf numFmtId="2" fontId="10" fillId="0" borderId="0" xfId="32" applyNumberFormat="1" applyFont="1" applyFill="1" applyBorder="1"/>
    <xf numFmtId="165" fontId="10" fillId="0" borderId="0" xfId="3" applyNumberFormat="1" applyFont="1" applyFill="1" applyBorder="1"/>
    <xf numFmtId="43" fontId="10" fillId="0" borderId="0" xfId="3" applyNumberFormat="1" applyFont="1" applyFill="1" applyBorder="1"/>
    <xf numFmtId="17" fontId="72" fillId="5" borderId="23" xfId="30" applyNumberFormat="1" applyFont="1" applyFill="1" applyBorder="1" applyAlignment="1">
      <alignment horizontal="center"/>
    </xf>
    <xf numFmtId="17" fontId="72" fillId="5" borderId="0" xfId="30" applyNumberFormat="1" applyFont="1" applyFill="1" applyAlignment="1">
      <alignment horizontal="center"/>
    </xf>
    <xf numFmtId="179" fontId="72" fillId="5" borderId="3" xfId="3" applyNumberFormat="1" applyFont="1" applyFill="1" applyBorder="1" applyAlignment="1">
      <alignment horizontal="center"/>
    </xf>
    <xf numFmtId="0" fontId="33" fillId="5" borderId="41" xfId="3" applyFont="1" applyFill="1" applyBorder="1"/>
    <xf numFmtId="0" fontId="11" fillId="7" borderId="0" xfId="4" applyFont="1" applyFill="1" applyBorder="1"/>
    <xf numFmtId="0" fontId="2" fillId="0" borderId="0" xfId="4" applyFont="1" applyFill="1"/>
    <xf numFmtId="0" fontId="10" fillId="7" borderId="0" xfId="4" applyFont="1" applyFill="1"/>
    <xf numFmtId="0" fontId="10" fillId="5" borderId="53" xfId="3" applyFont="1" applyFill="1" applyBorder="1"/>
    <xf numFmtId="0" fontId="11" fillId="5" borderId="53" xfId="3" applyFont="1" applyFill="1" applyBorder="1" applyAlignment="1">
      <alignment horizontal="centerContinuous"/>
    </xf>
    <xf numFmtId="0" fontId="11" fillId="5" borderId="14" xfId="3" applyFont="1" applyFill="1" applyBorder="1" applyAlignment="1">
      <alignment horizontal="center"/>
    </xf>
    <xf numFmtId="0" fontId="13" fillId="5" borderId="0" xfId="30" applyFont="1" applyFill="1" applyBorder="1"/>
    <xf numFmtId="17" fontId="10" fillId="5" borderId="0" xfId="30" applyNumberFormat="1" applyFont="1" applyFill="1" applyBorder="1" applyAlignment="1">
      <alignment horizontal="center"/>
    </xf>
    <xf numFmtId="0" fontId="10" fillId="6" borderId="0" xfId="3" applyFont="1" applyFill="1" applyBorder="1"/>
    <xf numFmtId="0" fontId="13" fillId="5" borderId="3" xfId="30" applyFont="1" applyFill="1" applyBorder="1"/>
    <xf numFmtId="17" fontId="10" fillId="5" borderId="3" xfId="30" applyNumberFormat="1" applyFont="1" applyFill="1" applyBorder="1" applyAlignment="1">
      <alignment horizontal="center"/>
    </xf>
    <xf numFmtId="17" fontId="52" fillId="5" borderId="3" xfId="30" applyNumberFormat="1" applyFont="1" applyFill="1" applyBorder="1" applyAlignment="1">
      <alignment horizontal="centerContinuous"/>
    </xf>
    <xf numFmtId="17" fontId="72" fillId="5" borderId="3" xfId="30" applyNumberFormat="1" applyFont="1" applyFill="1" applyBorder="1" applyAlignment="1">
      <alignment horizontal="centerContinuous"/>
    </xf>
    <xf numFmtId="0" fontId="10" fillId="6" borderId="3" xfId="3" applyFont="1" applyFill="1" applyBorder="1"/>
    <xf numFmtId="0" fontId="13" fillId="5" borderId="10" xfId="30" applyFont="1" applyFill="1" applyBorder="1" applyAlignment="1">
      <alignment horizontal="left"/>
    </xf>
    <xf numFmtId="0" fontId="11" fillId="5" borderId="10" xfId="30" applyFont="1" applyFill="1" applyBorder="1" applyAlignment="1">
      <alignment horizontal="center"/>
    </xf>
    <xf numFmtId="0" fontId="10" fillId="6" borderId="10" xfId="3" applyFont="1" applyFill="1" applyBorder="1"/>
    <xf numFmtId="0" fontId="13" fillId="5" borderId="18" xfId="3" applyFont="1" applyFill="1" applyBorder="1"/>
    <xf numFmtId="0" fontId="33" fillId="5" borderId="0" xfId="3" applyFont="1" applyFill="1" applyBorder="1"/>
    <xf numFmtId="179" fontId="10" fillId="5" borderId="0" xfId="3" applyNumberFormat="1" applyFont="1" applyFill="1" applyBorder="1" applyAlignment="1">
      <alignment horizontal="center"/>
    </xf>
    <xf numFmtId="179" fontId="11" fillId="5" borderId="0" xfId="3" applyNumberFormat="1" applyFont="1" applyFill="1" applyBorder="1" applyAlignment="1">
      <alignment horizontal="centerContinuous"/>
    </xf>
    <xf numFmtId="0" fontId="10" fillId="5" borderId="3" xfId="3" applyFont="1" applyFill="1" applyBorder="1"/>
    <xf numFmtId="17" fontId="10" fillId="5" borderId="3" xfId="3" applyNumberFormat="1" applyFont="1" applyFill="1" applyBorder="1"/>
    <xf numFmtId="17" fontId="72" fillId="5" borderId="3" xfId="3" applyNumberFormat="1" applyFont="1" applyFill="1" applyBorder="1"/>
    <xf numFmtId="0" fontId="11" fillId="5" borderId="10" xfId="3" applyFont="1" applyFill="1" applyBorder="1" applyAlignment="1">
      <alignment horizontal="center"/>
    </xf>
    <xf numFmtId="17" fontId="11" fillId="5" borderId="10" xfId="3" applyNumberFormat="1" applyFont="1" applyFill="1" applyBorder="1" applyAlignment="1">
      <alignment horizontal="center"/>
    </xf>
    <xf numFmtId="179" fontId="10" fillId="5" borderId="3" xfId="3" applyNumberFormat="1" applyFont="1" applyFill="1" applyBorder="1" applyAlignment="1">
      <alignment horizontal="centerContinuous"/>
    </xf>
    <xf numFmtId="179" fontId="11" fillId="5" borderId="3" xfId="3" applyNumberFormat="1" applyFont="1" applyFill="1" applyBorder="1" applyAlignment="1">
      <alignment horizontal="centerContinuous"/>
    </xf>
    <xf numFmtId="0" fontId="10" fillId="6" borderId="18" xfId="3" applyFont="1" applyFill="1" applyBorder="1"/>
    <xf numFmtId="17" fontId="11" fillId="5" borderId="3" xfId="3" applyNumberFormat="1" applyFont="1" applyFill="1" applyBorder="1" applyAlignment="1">
      <alignment horizontal="centerContinuous"/>
    </xf>
    <xf numFmtId="17" fontId="11" fillId="5" borderId="10" xfId="4" applyNumberFormat="1" applyFont="1" applyFill="1" applyBorder="1" applyAlignment="1">
      <alignment horizontal="center"/>
    </xf>
    <xf numFmtId="17" fontId="11" fillId="5" borderId="18" xfId="3" applyNumberFormat="1" applyFont="1" applyFill="1" applyBorder="1" applyAlignment="1">
      <alignment horizontal="centerContinuous"/>
    </xf>
    <xf numFmtId="0" fontId="11" fillId="5" borderId="54" xfId="30" applyFont="1" applyFill="1" applyBorder="1" applyAlignment="1">
      <alignment horizontal="center"/>
    </xf>
    <xf numFmtId="17" fontId="10" fillId="5" borderId="3" xfId="3" applyNumberFormat="1" applyFont="1" applyFill="1" applyBorder="1" applyAlignment="1">
      <alignment horizontal="centerContinuous"/>
    </xf>
    <xf numFmtId="10" fontId="73" fillId="0" borderId="0" xfId="3" applyNumberFormat="1" applyFont="1" applyFill="1"/>
    <xf numFmtId="9" fontId="2" fillId="0" borderId="0" xfId="32" applyFont="1"/>
    <xf numFmtId="0" fontId="2" fillId="0" borderId="0" xfId="0" applyFont="1" applyBorder="1"/>
    <xf numFmtId="0" fontId="55" fillId="13" borderId="2" xfId="28" applyFont="1" applyFill="1" applyBorder="1"/>
    <xf numFmtId="0" fontId="45" fillId="13" borderId="3" xfId="28" applyFont="1" applyFill="1" applyBorder="1" applyAlignment="1">
      <alignment horizontal="left"/>
    </xf>
    <xf numFmtId="0" fontId="45" fillId="13" borderId="3" xfId="28" applyFont="1" applyFill="1" applyBorder="1"/>
    <xf numFmtId="0" fontId="45" fillId="13" borderId="5" xfId="28" applyFont="1" applyFill="1" applyBorder="1"/>
    <xf numFmtId="0" fontId="56" fillId="13" borderId="4" xfId="28" applyFont="1" applyFill="1" applyBorder="1" applyAlignment="1">
      <alignment horizontal="left"/>
    </xf>
    <xf numFmtId="0" fontId="45" fillId="13" borderId="0" xfId="28" applyFont="1" applyFill="1" applyBorder="1"/>
    <xf numFmtId="0" fontId="45" fillId="13" borderId="0" xfId="28" applyFont="1" applyFill="1"/>
    <xf numFmtId="0" fontId="57" fillId="13" borderId="0" xfId="28" applyFont="1" applyFill="1" applyBorder="1"/>
    <xf numFmtId="0" fontId="45" fillId="13" borderId="8" xfId="28" applyFont="1" applyFill="1" applyBorder="1"/>
    <xf numFmtId="0" fontId="58" fillId="13" borderId="4" xfId="28" applyFont="1" applyFill="1" applyBorder="1" applyAlignment="1">
      <alignment horizontal="left"/>
    </xf>
    <xf numFmtId="0" fontId="58" fillId="13" borderId="4" xfId="28" applyFont="1" applyFill="1" applyBorder="1"/>
    <xf numFmtId="0" fontId="58" fillId="13" borderId="0" xfId="28" applyFont="1" applyFill="1" applyBorder="1" applyAlignment="1"/>
    <xf numFmtId="0" fontId="59" fillId="13" borderId="0" xfId="28" applyFont="1" applyFill="1" applyBorder="1"/>
    <xf numFmtId="188" fontId="71" fillId="13" borderId="0" xfId="18" applyNumberFormat="1" applyFont="1" applyFill="1" applyAlignment="1">
      <alignment wrapText="1"/>
    </xf>
    <xf numFmtId="188" fontId="9" fillId="13" borderId="0" xfId="18" applyNumberFormat="1" applyFont="1" applyFill="1"/>
    <xf numFmtId="43" fontId="9" fillId="13" borderId="0" xfId="18" applyFont="1" applyFill="1" applyBorder="1"/>
    <xf numFmtId="0" fontId="9" fillId="13" borderId="0" xfId="3" applyFont="1" applyFill="1"/>
    <xf numFmtId="0" fontId="15" fillId="13" borderId="0" xfId="3" applyFont="1" applyFill="1"/>
    <xf numFmtId="43" fontId="15" fillId="13" borderId="0" xfId="3" applyNumberFormat="1" applyFont="1" applyFill="1" applyBorder="1"/>
    <xf numFmtId="189" fontId="15" fillId="13" borderId="0" xfId="3" applyNumberFormat="1" applyFont="1" applyFill="1" applyBorder="1"/>
    <xf numFmtId="0" fontId="14" fillId="13" borderId="15" xfId="3" applyFont="1" applyFill="1" applyBorder="1" applyAlignment="1">
      <alignment horizontal="left"/>
    </xf>
    <xf numFmtId="0" fontId="14" fillId="13" borderId="16" xfId="3" applyFont="1" applyFill="1" applyBorder="1" applyAlignment="1">
      <alignment horizontal="left"/>
    </xf>
    <xf numFmtId="0" fontId="15" fillId="13" borderId="16" xfId="3" applyFont="1" applyFill="1" applyBorder="1"/>
    <xf numFmtId="165" fontId="15" fillId="13" borderId="16" xfId="18" applyNumberFormat="1" applyFont="1" applyFill="1" applyBorder="1"/>
    <xf numFmtId="177" fontId="15" fillId="13" borderId="16" xfId="3" applyNumberFormat="1" applyFont="1" applyFill="1" applyBorder="1"/>
    <xf numFmtId="167" fontId="15" fillId="13" borderId="16" xfId="32" applyNumberFormat="1" applyFont="1" applyFill="1" applyBorder="1"/>
    <xf numFmtId="0" fontId="15" fillId="13" borderId="17" xfId="3" applyFont="1" applyFill="1" applyBorder="1"/>
    <xf numFmtId="0" fontId="16" fillId="13" borderId="20" xfId="3" applyFont="1" applyFill="1" applyBorder="1"/>
    <xf numFmtId="0" fontId="16" fillId="13" borderId="21" xfId="3" applyFont="1" applyFill="1" applyBorder="1"/>
    <xf numFmtId="0" fontId="15" fillId="13" borderId="21" xfId="3" applyFont="1" applyFill="1" applyBorder="1"/>
    <xf numFmtId="174" fontId="15" fillId="13" borderId="21" xfId="3" applyNumberFormat="1" applyFont="1" applyFill="1" applyBorder="1"/>
    <xf numFmtId="43" fontId="15" fillId="13" borderId="21" xfId="3" applyNumberFormat="1" applyFont="1" applyFill="1" applyBorder="1"/>
    <xf numFmtId="175" fontId="15" fillId="13" borderId="21" xfId="3" applyNumberFormat="1" applyFont="1" applyFill="1" applyBorder="1"/>
    <xf numFmtId="167" fontId="15" fillId="13" borderId="21" xfId="32" applyNumberFormat="1" applyFont="1" applyFill="1" applyBorder="1"/>
    <xf numFmtId="43" fontId="15" fillId="13" borderId="16" xfId="3" applyNumberFormat="1" applyFont="1" applyFill="1" applyBorder="1"/>
    <xf numFmtId="165" fontId="15" fillId="13" borderId="16" xfId="3" applyNumberFormat="1" applyFont="1" applyFill="1" applyBorder="1"/>
    <xf numFmtId="9" fontId="15" fillId="13" borderId="16" xfId="3" applyNumberFormat="1" applyFont="1" applyFill="1" applyBorder="1"/>
    <xf numFmtId="167" fontId="15" fillId="13" borderId="16" xfId="3" applyNumberFormat="1" applyFont="1" applyFill="1" applyBorder="1"/>
    <xf numFmtId="171" fontId="15" fillId="13" borderId="16" xfId="3" applyNumberFormat="1" applyFont="1" applyFill="1" applyBorder="1"/>
    <xf numFmtId="173" fontId="9" fillId="13" borderId="16" xfId="29" applyNumberFormat="1" applyFont="1" applyFill="1" applyBorder="1" applyAlignment="1">
      <alignment horizontal="right"/>
    </xf>
    <xf numFmtId="0" fontId="15" fillId="13" borderId="0" xfId="3" applyFont="1" applyFill="1" applyBorder="1"/>
    <xf numFmtId="175" fontId="15" fillId="13" borderId="0" xfId="3" applyNumberFormat="1" applyFont="1" applyFill="1" applyBorder="1"/>
    <xf numFmtId="167" fontId="15" fillId="13" borderId="0" xfId="32" applyNumberFormat="1" applyFont="1" applyFill="1" applyBorder="1"/>
    <xf numFmtId="0" fontId="15" fillId="13" borderId="19" xfId="3" applyFont="1" applyFill="1" applyBorder="1"/>
    <xf numFmtId="165" fontId="15" fillId="13" borderId="0" xfId="18" applyNumberFormat="1" applyFont="1" applyFill="1"/>
    <xf numFmtId="167" fontId="15" fillId="13" borderId="0" xfId="32" applyNumberFormat="1" applyFont="1" applyFill="1"/>
    <xf numFmtId="0" fontId="15" fillId="13" borderId="10" xfId="3" applyFont="1" applyFill="1" applyBorder="1"/>
    <xf numFmtId="0" fontId="15" fillId="13" borderId="16" xfId="4" applyFont="1" applyFill="1" applyBorder="1"/>
    <xf numFmtId="0" fontId="15" fillId="13" borderId="0" xfId="4" applyFont="1" applyFill="1" applyBorder="1"/>
    <xf numFmtId="175" fontId="15" fillId="13" borderId="16" xfId="3" applyNumberFormat="1" applyFont="1" applyFill="1" applyBorder="1"/>
    <xf numFmtId="0" fontId="16" fillId="13" borderId="0" xfId="3" applyFont="1" applyFill="1" applyBorder="1"/>
    <xf numFmtId="0" fontId="2" fillId="0" borderId="8" xfId="3" applyFont="1" applyFill="1" applyBorder="1"/>
    <xf numFmtId="0" fontId="3" fillId="0" borderId="0" xfId="3" applyFill="1"/>
    <xf numFmtId="0" fontId="3" fillId="0" borderId="0" xfId="3" applyFill="1" applyBorder="1"/>
    <xf numFmtId="0" fontId="3" fillId="0" borderId="0" xfId="3" applyFont="1" applyFill="1"/>
    <xf numFmtId="0" fontId="3" fillId="0" borderId="0" xfId="3" applyFill="1" applyAlignment="1">
      <alignment horizontal="right"/>
    </xf>
    <xf numFmtId="0" fontId="3" fillId="0" borderId="0" xfId="3" applyFill="1" applyBorder="1" applyAlignment="1">
      <alignment horizontal="right"/>
    </xf>
    <xf numFmtId="0" fontId="3" fillId="0" borderId="0" xfId="3" applyFont="1" applyFill="1" applyAlignment="1">
      <alignment horizontal="right"/>
    </xf>
    <xf numFmtId="174" fontId="10" fillId="0" borderId="23" xfId="4" applyNumberFormat="1" applyFont="1" applyFill="1" applyBorder="1"/>
    <xf numFmtId="165" fontId="2" fillId="0" borderId="0" xfId="4" applyNumberFormat="1"/>
    <xf numFmtId="165" fontId="2" fillId="0" borderId="0" xfId="4" applyNumberFormat="1" applyBorder="1"/>
    <xf numFmtId="0" fontId="0" fillId="0" borderId="0" xfId="4" applyNumberFormat="1" applyFont="1"/>
    <xf numFmtId="165" fontId="2" fillId="0" borderId="0" xfId="4" applyNumberFormat="1" applyFont="1"/>
    <xf numFmtId="165" fontId="10" fillId="0" borderId="0" xfId="4" applyNumberFormat="1" applyFont="1" applyFill="1"/>
    <xf numFmtId="0" fontId="10" fillId="0" borderId="0" xfId="4" applyFont="1" applyFill="1" applyBorder="1"/>
    <xf numFmtId="171" fontId="10" fillId="0" borderId="0" xfId="4" applyNumberFormat="1" applyFont="1" applyFill="1" applyBorder="1"/>
    <xf numFmtId="171" fontId="10" fillId="0" borderId="23" xfId="4" applyNumberFormat="1" applyFont="1" applyFill="1" applyBorder="1"/>
    <xf numFmtId="0" fontId="2" fillId="0" borderId="0" xfId="4" applyFill="1"/>
    <xf numFmtId="0" fontId="2" fillId="0" borderId="0" xfId="4" applyFill="1" applyBorder="1"/>
    <xf numFmtId="0" fontId="0" fillId="0" borderId="0" xfId="4" applyFont="1" applyFill="1"/>
    <xf numFmtId="0" fontId="10" fillId="0" borderId="23" xfId="4" applyFont="1" applyFill="1" applyBorder="1"/>
    <xf numFmtId="0" fontId="3" fillId="0" borderId="23" xfId="3" applyFill="1" applyBorder="1"/>
    <xf numFmtId="188" fontId="2" fillId="0" borderId="0" xfId="18" applyNumberFormat="1" applyFont="1" applyFill="1"/>
    <xf numFmtId="167" fontId="2" fillId="0" borderId="0" xfId="32" applyNumberFormat="1" applyFont="1" applyFill="1"/>
    <xf numFmtId="0" fontId="2" fillId="0" borderId="0" xfId="0" applyFont="1" applyFill="1"/>
    <xf numFmtId="0" fontId="10" fillId="0" borderId="4" xfId="3" applyFont="1" applyFill="1" applyBorder="1"/>
    <xf numFmtId="0" fontId="24" fillId="0" borderId="0" xfId="3" applyFont="1" applyFill="1" applyAlignment="1">
      <alignment horizontal="left"/>
    </xf>
    <xf numFmtId="0" fontId="10" fillId="0" borderId="7" xfId="3" applyFont="1" applyFill="1" applyBorder="1"/>
    <xf numFmtId="0" fontId="10" fillId="0" borderId="6" xfId="3" applyFont="1" applyFill="1" applyBorder="1"/>
    <xf numFmtId="0" fontId="10" fillId="0" borderId="8" xfId="3" applyFont="1" applyFill="1" applyBorder="1"/>
    <xf numFmtId="0" fontId="10" fillId="0" borderId="5" xfId="3" applyFont="1" applyFill="1" applyBorder="1"/>
    <xf numFmtId="0" fontId="11" fillId="0" borderId="13" xfId="3" applyFont="1" applyFill="1" applyBorder="1" applyAlignment="1">
      <alignment horizontal="center"/>
    </xf>
    <xf numFmtId="44" fontId="11" fillId="0" borderId="0" xfId="3" applyNumberFormat="1" applyFont="1" applyFill="1" applyBorder="1" applyAlignment="1">
      <alignment horizontal="right"/>
    </xf>
    <xf numFmtId="43" fontId="11" fillId="0" borderId="7" xfId="18" applyFont="1" applyFill="1" applyBorder="1" applyAlignment="1">
      <alignment horizontal="right"/>
    </xf>
    <xf numFmtId="44" fontId="11" fillId="0" borderId="8" xfId="3" applyNumberFormat="1" applyFont="1" applyFill="1" applyBorder="1" applyAlignment="1">
      <alignment horizontal="right"/>
    </xf>
    <xf numFmtId="43" fontId="11" fillId="0" borderId="8" xfId="18" applyFont="1" applyFill="1" applyBorder="1" applyAlignment="1">
      <alignment horizontal="right"/>
    </xf>
    <xf numFmtId="0" fontId="11" fillId="0" borderId="0" xfId="3" applyFont="1" applyFill="1" applyAlignment="1">
      <alignment horizontal="center"/>
    </xf>
    <xf numFmtId="165" fontId="10" fillId="0" borderId="0" xfId="18" applyNumberFormat="1" applyFont="1" applyFill="1" applyBorder="1" applyAlignment="1">
      <alignment horizontal="right"/>
    </xf>
    <xf numFmtId="165" fontId="10" fillId="0" borderId="7" xfId="18" applyNumberFormat="1" applyFont="1" applyFill="1" applyBorder="1" applyAlignment="1">
      <alignment horizontal="right"/>
    </xf>
    <xf numFmtId="165" fontId="10" fillId="0" borderId="8" xfId="18" applyNumberFormat="1" applyFont="1" applyFill="1" applyBorder="1" applyAlignment="1">
      <alignment horizontal="right"/>
    </xf>
    <xf numFmtId="167" fontId="9" fillId="0" borderId="0" xfId="32" applyNumberFormat="1" applyFont="1" applyFill="1" applyBorder="1" applyAlignment="1">
      <alignment horizontal="right"/>
    </xf>
    <xf numFmtId="0" fontId="11" fillId="0" borderId="7" xfId="3" applyFont="1" applyFill="1" applyBorder="1" applyAlignment="1">
      <alignment horizontal="right"/>
    </xf>
    <xf numFmtId="167" fontId="9" fillId="0" borderId="8" xfId="32" applyNumberFormat="1" applyFont="1" applyFill="1" applyBorder="1" applyAlignment="1">
      <alignment horizontal="right"/>
    </xf>
    <xf numFmtId="0" fontId="11" fillId="0" borderId="8" xfId="3" applyFont="1" applyFill="1" applyBorder="1" applyAlignment="1">
      <alignment horizontal="right"/>
    </xf>
    <xf numFmtId="167" fontId="10" fillId="0" borderId="0" xfId="32" applyNumberFormat="1" applyFont="1" applyFill="1"/>
    <xf numFmtId="167" fontId="10" fillId="0" borderId="7" xfId="32" applyNumberFormat="1" applyFont="1" applyFill="1" applyBorder="1"/>
    <xf numFmtId="167" fontId="18" fillId="0" borderId="0" xfId="32" applyNumberFormat="1" applyFont="1" applyFill="1"/>
    <xf numFmtId="167" fontId="18" fillId="0" borderId="8" xfId="32" applyNumberFormat="1" applyFont="1" applyFill="1" applyBorder="1"/>
    <xf numFmtId="167" fontId="10" fillId="0" borderId="8" xfId="32" applyNumberFormat="1" applyFont="1" applyFill="1" applyBorder="1"/>
    <xf numFmtId="0" fontId="2" fillId="0" borderId="7" xfId="3" applyFont="1" applyFill="1" applyBorder="1"/>
    <xf numFmtId="167" fontId="10" fillId="0" borderId="0" xfId="32" applyNumberFormat="1" applyFont="1" applyFill="1" applyAlignment="1">
      <alignment horizontal="right"/>
    </xf>
    <xf numFmtId="167" fontId="10" fillId="0" borderId="7" xfId="32" applyNumberFormat="1" applyFont="1" applyFill="1" applyBorder="1" applyAlignment="1">
      <alignment horizontal="right"/>
    </xf>
    <xf numFmtId="167" fontId="18" fillId="0" borderId="0" xfId="32" applyNumberFormat="1" applyFont="1" applyFill="1" applyAlignment="1">
      <alignment horizontal="right"/>
    </xf>
    <xf numFmtId="0" fontId="9" fillId="0" borderId="0" xfId="3" applyFont="1" applyFill="1" applyAlignment="1">
      <alignment horizontal="right"/>
    </xf>
    <xf numFmtId="0" fontId="9" fillId="0" borderId="7" xfId="3" applyFont="1" applyFill="1" applyBorder="1" applyAlignment="1">
      <alignment horizontal="right"/>
    </xf>
    <xf numFmtId="167" fontId="27" fillId="0" borderId="0" xfId="32" applyNumberFormat="1" applyFont="1" applyFill="1" applyBorder="1" applyAlignment="1">
      <alignment horizontal="right"/>
    </xf>
    <xf numFmtId="167" fontId="27" fillId="0" borderId="8" xfId="32" applyNumberFormat="1" applyFont="1" applyFill="1" applyBorder="1" applyAlignment="1">
      <alignment horizontal="right"/>
    </xf>
    <xf numFmtId="0" fontId="9" fillId="0" borderId="8" xfId="3" applyFont="1" applyFill="1" applyBorder="1" applyAlignment="1">
      <alignment horizontal="right"/>
    </xf>
    <xf numFmtId="0" fontId="10" fillId="0" borderId="9" xfId="3" applyFont="1" applyFill="1" applyBorder="1"/>
    <xf numFmtId="0" fontId="10" fillId="0" borderId="10" xfId="3" applyFont="1" applyFill="1" applyBorder="1" applyAlignment="1">
      <alignment horizontal="center"/>
    </xf>
    <xf numFmtId="0" fontId="10" fillId="0" borderId="10" xfId="3" applyFont="1" applyFill="1" applyBorder="1"/>
    <xf numFmtId="0" fontId="10" fillId="0" borderId="12" xfId="3" applyFont="1" applyFill="1" applyBorder="1"/>
    <xf numFmtId="0" fontId="10" fillId="0" borderId="11" xfId="3" applyFont="1" applyFill="1" applyBorder="1"/>
    <xf numFmtId="10" fontId="2" fillId="0" borderId="0" xfId="32" applyNumberFormat="1" applyFont="1" applyFill="1"/>
    <xf numFmtId="0" fontId="2" fillId="0" borderId="3" xfId="3" applyFont="1" applyFill="1" applyBorder="1"/>
    <xf numFmtId="0" fontId="2" fillId="0" borderId="10" xfId="3" applyFont="1" applyFill="1" applyBorder="1"/>
    <xf numFmtId="0" fontId="31" fillId="0" borderId="2" xfId="3" applyFont="1" applyFill="1" applyBorder="1"/>
    <xf numFmtId="0" fontId="24" fillId="0" borderId="3" xfId="3" applyFont="1" applyFill="1" applyBorder="1"/>
    <xf numFmtId="0" fontId="31" fillId="0" borderId="3" xfId="3" applyFont="1" applyFill="1" applyBorder="1"/>
    <xf numFmtId="0" fontId="11" fillId="0" borderId="3" xfId="3" applyFont="1" applyFill="1" applyBorder="1" applyAlignment="1">
      <alignment horizontal="right"/>
    </xf>
    <xf numFmtId="0" fontId="11" fillId="0" borderId="5" xfId="3" applyFont="1" applyFill="1" applyBorder="1" applyAlignment="1">
      <alignment horizontal="right"/>
    </xf>
    <xf numFmtId="0" fontId="2" fillId="0" borderId="4" xfId="3" applyFont="1" applyFill="1" applyBorder="1"/>
    <xf numFmtId="0" fontId="42" fillId="0" borderId="0" xfId="3" applyFont="1" applyFill="1"/>
    <xf numFmtId="0" fontId="7" fillId="0" borderId="0" xfId="3" applyFont="1" applyFill="1"/>
    <xf numFmtId="0" fontId="9" fillId="0" borderId="0" xfId="3" applyFont="1" applyFill="1" applyBorder="1" applyAlignment="1">
      <alignment horizontal="right"/>
    </xf>
    <xf numFmtId="0" fontId="15" fillId="0" borderId="0" xfId="3" applyFont="1" applyFill="1" applyAlignment="1">
      <alignment horizontal="right"/>
    </xf>
    <xf numFmtId="0" fontId="15" fillId="0" borderId="8" xfId="3" applyFont="1" applyFill="1" applyBorder="1" applyAlignment="1">
      <alignment horizontal="right"/>
    </xf>
    <xf numFmtId="0" fontId="10" fillId="0" borderId="0" xfId="3" applyFont="1" applyFill="1" applyAlignment="1">
      <alignment horizontal="center"/>
    </xf>
    <xf numFmtId="10" fontId="18" fillId="0" borderId="0" xfId="3" applyNumberFormat="1" applyFont="1" applyFill="1" applyBorder="1"/>
    <xf numFmtId="165" fontId="18" fillId="0" borderId="0" xfId="18" applyNumberFormat="1" applyFont="1" applyFill="1" applyBorder="1"/>
    <xf numFmtId="165" fontId="10" fillId="0" borderId="8" xfId="18" applyNumberFormat="1" applyFont="1" applyFill="1" applyBorder="1"/>
    <xf numFmtId="165" fontId="18" fillId="0" borderId="0" xfId="18" applyNumberFormat="1" applyFont="1" applyFill="1"/>
    <xf numFmtId="165" fontId="18" fillId="0" borderId="8" xfId="18" applyNumberFormat="1" applyFont="1" applyFill="1" applyBorder="1"/>
    <xf numFmtId="165" fontId="10" fillId="0" borderId="0" xfId="18" applyNumberFormat="1" applyFont="1" applyFill="1" applyBorder="1"/>
    <xf numFmtId="0" fontId="2" fillId="0" borderId="9" xfId="3" applyFont="1" applyFill="1" applyBorder="1"/>
    <xf numFmtId="0" fontId="2" fillId="0" borderId="11" xfId="3" applyFont="1" applyFill="1" applyBorder="1"/>
    <xf numFmtId="0" fontId="2" fillId="0" borderId="2" xfId="3" applyFont="1" applyFill="1" applyBorder="1"/>
    <xf numFmtId="0" fontId="11" fillId="0" borderId="6" xfId="3" applyFont="1" applyFill="1" applyBorder="1" applyAlignment="1">
      <alignment horizontal="right"/>
    </xf>
    <xf numFmtId="0" fontId="15" fillId="0" borderId="7" xfId="3" applyFont="1" applyFill="1" applyBorder="1" applyAlignment="1">
      <alignment horizontal="right"/>
    </xf>
    <xf numFmtId="10" fontId="18" fillId="0" borderId="8" xfId="3" applyNumberFormat="1" applyFont="1" applyFill="1" applyBorder="1"/>
    <xf numFmtId="167" fontId="18" fillId="0" borderId="0" xfId="32" applyNumberFormat="1" applyFont="1" applyFill="1" applyBorder="1"/>
    <xf numFmtId="10" fontId="18" fillId="0" borderId="7" xfId="4" applyNumberFormat="1" applyFont="1" applyFill="1" applyBorder="1"/>
    <xf numFmtId="10" fontId="18" fillId="0" borderId="0" xfId="4" applyNumberFormat="1" applyFont="1" applyFill="1" applyBorder="1"/>
    <xf numFmtId="10" fontId="18" fillId="0" borderId="8" xfId="4" applyNumberFormat="1" applyFont="1" applyFill="1" applyBorder="1"/>
    <xf numFmtId="10" fontId="18" fillId="0" borderId="7" xfId="3" applyNumberFormat="1" applyFont="1" applyFill="1" applyBorder="1"/>
    <xf numFmtId="167" fontId="18" fillId="0" borderId="7" xfId="32" applyNumberFormat="1" applyFont="1" applyFill="1" applyBorder="1"/>
    <xf numFmtId="43" fontId="10" fillId="0" borderId="0" xfId="18" applyFont="1" applyFill="1"/>
    <xf numFmtId="43" fontId="10" fillId="0" borderId="7" xfId="18" applyFont="1" applyFill="1" applyBorder="1"/>
    <xf numFmtId="43" fontId="10" fillId="0" borderId="8" xfId="18" applyFont="1" applyFill="1" applyBorder="1"/>
    <xf numFmtId="0" fontId="2" fillId="0" borderId="12" xfId="3" applyFont="1" applyFill="1" applyBorder="1"/>
    <xf numFmtId="0" fontId="9" fillId="0" borderId="9" xfId="3" applyFont="1" applyFill="1" applyBorder="1"/>
    <xf numFmtId="0" fontId="9" fillId="0" borderId="11" xfId="3" applyFont="1" applyFill="1" applyBorder="1"/>
    <xf numFmtId="43" fontId="10" fillId="0" borderId="0" xfId="18" applyFont="1" applyFill="1" applyBorder="1"/>
    <xf numFmtId="9" fontId="29" fillId="0" borderId="8" xfId="3" applyNumberFormat="1" applyFont="1" applyFill="1" applyBorder="1"/>
    <xf numFmtId="167" fontId="11" fillId="0" borderId="0" xfId="32" applyNumberFormat="1" applyFont="1" applyFill="1"/>
    <xf numFmtId="9" fontId="29" fillId="0" borderId="11" xfId="3" applyNumberFormat="1" applyFont="1" applyFill="1" applyBorder="1"/>
    <xf numFmtId="43" fontId="2" fillId="0" borderId="0" xfId="3" applyNumberFormat="1" applyFont="1" applyFill="1" applyBorder="1"/>
    <xf numFmtId="0" fontId="31" fillId="0" borderId="0" xfId="3" applyFont="1" applyFill="1"/>
    <xf numFmtId="0" fontId="11" fillId="0" borderId="13" xfId="27" applyFont="1" applyFill="1" applyBorder="1" applyAlignment="1">
      <alignment horizontal="center"/>
    </xf>
    <xf numFmtId="167" fontId="2" fillId="0" borderId="0" xfId="32" applyNumberFormat="1" applyFont="1" applyFill="1" applyBorder="1"/>
    <xf numFmtId="165" fontId="10" fillId="0" borderId="18" xfId="3" applyNumberFormat="1" applyFont="1" applyFill="1" applyBorder="1"/>
    <xf numFmtId="165" fontId="10" fillId="0" borderId="0" xfId="3" applyNumberFormat="1" applyFont="1" applyFill="1"/>
    <xf numFmtId="174" fontId="18" fillId="0" borderId="0" xfId="18" applyNumberFormat="1" applyFont="1" applyFill="1"/>
    <xf numFmtId="174" fontId="10" fillId="0" borderId="23" xfId="18" applyNumberFormat="1" applyFont="1" applyFill="1" applyBorder="1"/>
    <xf numFmtId="174" fontId="19" fillId="0" borderId="0" xfId="18" applyNumberFormat="1" applyFont="1" applyFill="1"/>
    <xf numFmtId="165" fontId="11" fillId="0" borderId="25" xfId="3" applyNumberFormat="1" applyFont="1" applyFill="1" applyBorder="1"/>
    <xf numFmtId="165" fontId="11" fillId="0" borderId="26" xfId="3" applyNumberFormat="1" applyFont="1" applyFill="1" applyBorder="1"/>
    <xf numFmtId="174" fontId="11" fillId="0" borderId="26" xfId="3" applyNumberFormat="1" applyFont="1" applyFill="1" applyBorder="1"/>
    <xf numFmtId="174" fontId="11" fillId="0" borderId="27" xfId="3" applyNumberFormat="1" applyFont="1" applyFill="1" applyBorder="1"/>
    <xf numFmtId="165" fontId="11" fillId="0" borderId="18" xfId="3" applyNumberFormat="1" applyFont="1" applyFill="1" applyBorder="1"/>
    <xf numFmtId="165" fontId="11" fillId="0" borderId="0" xfId="3" applyNumberFormat="1" applyFont="1" applyFill="1" applyBorder="1"/>
    <xf numFmtId="174" fontId="53" fillId="0" borderId="0" xfId="3" applyNumberFormat="1" applyFont="1" applyFill="1" applyBorder="1"/>
    <xf numFmtId="174" fontId="11" fillId="0" borderId="23" xfId="3" applyNumberFormat="1" applyFont="1" applyFill="1" applyBorder="1"/>
    <xf numFmtId="174" fontId="11" fillId="0" borderId="0" xfId="3" applyNumberFormat="1" applyFont="1" applyFill="1" applyBorder="1"/>
    <xf numFmtId="174" fontId="18" fillId="0" borderId="0" xfId="18" applyNumberFormat="1" applyFont="1" applyFill="1" applyBorder="1"/>
    <xf numFmtId="174" fontId="10" fillId="0" borderId="0" xfId="18" applyNumberFormat="1" applyFont="1" applyFill="1"/>
    <xf numFmtId="174" fontId="50" fillId="0" borderId="0" xfId="18" applyNumberFormat="1" applyFont="1" applyFill="1"/>
    <xf numFmtId="165" fontId="12" fillId="0" borderId="18" xfId="3" applyNumberFormat="1" applyFont="1" applyFill="1" applyBorder="1"/>
    <xf numFmtId="165" fontId="12" fillId="0" borderId="0" xfId="3" applyNumberFormat="1" applyFont="1" applyFill="1"/>
    <xf numFmtId="174" fontId="10" fillId="0" borderId="0" xfId="3" applyNumberFormat="1" applyFont="1" applyFill="1" applyBorder="1"/>
    <xf numFmtId="174" fontId="10" fillId="0" borderId="23" xfId="3" applyNumberFormat="1" applyFont="1" applyFill="1" applyBorder="1"/>
    <xf numFmtId="165" fontId="10" fillId="0" borderId="18" xfId="3" applyNumberFormat="1" applyFont="1" applyFill="1" applyBorder="1" applyAlignment="1">
      <alignment horizontal="left" indent="1"/>
    </xf>
    <xf numFmtId="165" fontId="10" fillId="0" borderId="0" xfId="3" applyNumberFormat="1" applyFont="1" applyFill="1" applyAlignment="1">
      <alignment horizontal="left" indent="1"/>
    </xf>
    <xf numFmtId="165" fontId="18" fillId="0" borderId="0" xfId="3" applyNumberFormat="1" applyFont="1" applyFill="1"/>
    <xf numFmtId="174" fontId="18" fillId="0" borderId="34" xfId="18" applyNumberFormat="1" applyFont="1" applyFill="1" applyBorder="1"/>
    <xf numFmtId="174" fontId="18" fillId="0" borderId="0" xfId="3" applyNumberFormat="1" applyFont="1" applyFill="1"/>
    <xf numFmtId="174" fontId="10" fillId="0" borderId="0" xfId="3" applyNumberFormat="1" applyFont="1" applyFill="1"/>
    <xf numFmtId="174" fontId="50" fillId="0" borderId="0" xfId="3" applyNumberFormat="1" applyFont="1" applyFill="1"/>
    <xf numFmtId="165" fontId="10" fillId="0" borderId="0" xfId="3" applyNumberFormat="1" applyFont="1" applyFill="1" applyBorder="1" applyAlignment="1">
      <alignment horizontal="left" indent="1"/>
    </xf>
    <xf numFmtId="174" fontId="50" fillId="0" borderId="0" xfId="18" applyNumberFormat="1" applyFont="1" applyFill="1" applyBorder="1"/>
    <xf numFmtId="174" fontId="50" fillId="0" borderId="34" xfId="3" applyNumberFormat="1" applyFont="1" applyFill="1" applyBorder="1"/>
    <xf numFmtId="174" fontId="10" fillId="0" borderId="35" xfId="3" applyNumberFormat="1" applyFont="1" applyFill="1" applyBorder="1"/>
    <xf numFmtId="165" fontId="18" fillId="0" borderId="0" xfId="3" applyNumberFormat="1" applyFont="1" applyFill="1" applyBorder="1"/>
    <xf numFmtId="165" fontId="10" fillId="0" borderId="18" xfId="4" applyNumberFormat="1" applyFont="1" applyFill="1" applyBorder="1"/>
    <xf numFmtId="174" fontId="10" fillId="0" borderId="0" xfId="4" applyNumberFormat="1" applyFont="1" applyFill="1"/>
    <xf numFmtId="0" fontId="10" fillId="0" borderId="18" xfId="3" applyFont="1" applyFill="1" applyBorder="1"/>
    <xf numFmtId="0" fontId="10" fillId="0" borderId="23" xfId="3" applyFont="1" applyFill="1" applyBorder="1"/>
    <xf numFmtId="0" fontId="11" fillId="0" borderId="18" xfId="3" applyFont="1" applyFill="1" applyBorder="1"/>
    <xf numFmtId="0" fontId="11" fillId="0" borderId="0" xfId="3" applyFont="1" applyFill="1"/>
    <xf numFmtId="9" fontId="13" fillId="0" borderId="18" xfId="32" applyFont="1" applyFill="1" applyBorder="1" applyAlignment="1">
      <alignment horizontal="left" indent="1"/>
    </xf>
    <xf numFmtId="9" fontId="13" fillId="0" borderId="0" xfId="32" applyFont="1" applyFill="1" applyAlignment="1">
      <alignment horizontal="left" indent="1"/>
    </xf>
    <xf numFmtId="167" fontId="13" fillId="0" borderId="0" xfId="32" applyNumberFormat="1" applyFont="1" applyFill="1" applyBorder="1" applyAlignment="1">
      <alignment horizontal="right"/>
    </xf>
    <xf numFmtId="167" fontId="13" fillId="0" borderId="0" xfId="32" applyNumberFormat="1" applyFont="1" applyFill="1" applyAlignment="1">
      <alignment horizontal="right"/>
    </xf>
    <xf numFmtId="167" fontId="13" fillId="0" borderId="23" xfId="32" applyNumberFormat="1" applyFont="1" applyFill="1" applyBorder="1" applyAlignment="1">
      <alignment horizontal="right"/>
    </xf>
    <xf numFmtId="0" fontId="11" fillId="0" borderId="37" xfId="3" applyFont="1" applyFill="1" applyBorder="1"/>
    <xf numFmtId="0" fontId="11" fillId="0" borderId="10" xfId="3" applyFont="1" applyFill="1" applyBorder="1"/>
    <xf numFmtId="0" fontId="23" fillId="0" borderId="10" xfId="27" applyFont="1" applyFill="1" applyBorder="1"/>
    <xf numFmtId="177" fontId="11" fillId="0" borderId="10" xfId="18" applyNumberFormat="1" applyFont="1" applyFill="1" applyBorder="1"/>
    <xf numFmtId="177" fontId="11" fillId="0" borderId="38" xfId="18" applyNumberFormat="1" applyFont="1" applyFill="1" applyBorder="1"/>
    <xf numFmtId="165" fontId="10" fillId="0" borderId="23" xfId="3" applyNumberFormat="1" applyFont="1" applyFill="1" applyBorder="1"/>
    <xf numFmtId="165" fontId="18" fillId="0" borderId="23" xfId="3" applyNumberFormat="1" applyFont="1" applyFill="1" applyBorder="1"/>
    <xf numFmtId="165" fontId="10" fillId="0" borderId="23" xfId="18" applyNumberFormat="1" applyFont="1" applyFill="1" applyBorder="1"/>
    <xf numFmtId="0" fontId="10" fillId="0" borderId="20" xfId="3" applyFont="1" applyFill="1" applyBorder="1"/>
    <xf numFmtId="165" fontId="18" fillId="0" borderId="21" xfId="18" applyNumberFormat="1" applyFont="1" applyFill="1" applyBorder="1"/>
    <xf numFmtId="165" fontId="50" fillId="0" borderId="21" xfId="18" applyNumberFormat="1" applyFont="1" applyFill="1" applyBorder="1"/>
    <xf numFmtId="165" fontId="10" fillId="0" borderId="24" xfId="18" applyNumberFormat="1" applyFont="1" applyFill="1" applyBorder="1"/>
    <xf numFmtId="165" fontId="10" fillId="0" borderId="21" xfId="18" applyNumberFormat="1" applyFont="1" applyFill="1" applyBorder="1"/>
    <xf numFmtId="39" fontId="10" fillId="0" borderId="0" xfId="18" applyNumberFormat="1" applyFont="1" applyFill="1" applyBorder="1"/>
    <xf numFmtId="0" fontId="11" fillId="0" borderId="15" xfId="3" applyFont="1" applyFill="1" applyBorder="1" applyAlignment="1">
      <alignment wrapText="1"/>
    </xf>
    <xf numFmtId="0" fontId="11" fillId="0" borderId="16" xfId="3" applyFont="1" applyFill="1" applyBorder="1" applyAlignment="1">
      <alignment wrapText="1"/>
    </xf>
    <xf numFmtId="165" fontId="10" fillId="0" borderId="16" xfId="18" applyNumberFormat="1" applyFont="1" applyFill="1" applyBorder="1"/>
    <xf numFmtId="165" fontId="10" fillId="0" borderId="39" xfId="18" applyNumberFormat="1" applyFont="1" applyFill="1" applyBorder="1"/>
    <xf numFmtId="169" fontId="10" fillId="0" borderId="18" xfId="3" applyNumberFormat="1" applyFont="1" applyFill="1" applyBorder="1" applyAlignment="1">
      <alignment wrapText="1"/>
    </xf>
    <xf numFmtId="169" fontId="10" fillId="0" borderId="0" xfId="3" applyNumberFormat="1" applyFont="1" applyFill="1" applyAlignment="1">
      <alignment wrapText="1"/>
    </xf>
    <xf numFmtId="169" fontId="10" fillId="0" borderId="0" xfId="18" applyNumberFormat="1" applyFont="1" applyFill="1" applyBorder="1"/>
    <xf numFmtId="169" fontId="18" fillId="0" borderId="0" xfId="18" applyNumberFormat="1" applyFont="1" applyFill="1"/>
    <xf numFmtId="169" fontId="10" fillId="0" borderId="23" xfId="18" applyNumberFormat="1" applyFont="1" applyFill="1" applyBorder="1"/>
    <xf numFmtId="0" fontId="10" fillId="0" borderId="18" xfId="3" applyFont="1" applyFill="1" applyBorder="1" applyAlignment="1">
      <alignment horizontal="left" wrapText="1"/>
    </xf>
    <xf numFmtId="0" fontId="10" fillId="0" borderId="0" xfId="3" applyFont="1" applyFill="1" applyAlignment="1">
      <alignment horizontal="left" wrapText="1"/>
    </xf>
    <xf numFmtId="170" fontId="18" fillId="0" borderId="0" xfId="18" applyNumberFormat="1" applyFont="1" applyFill="1"/>
    <xf numFmtId="0" fontId="10" fillId="0" borderId="20" xfId="3" applyFont="1" applyFill="1" applyBorder="1" applyAlignment="1">
      <alignment horizontal="left" wrapText="1"/>
    </xf>
    <xf numFmtId="0" fontId="10" fillId="0" borderId="21" xfId="3" applyFont="1" applyFill="1" applyBorder="1" applyAlignment="1">
      <alignment horizontal="left" wrapText="1"/>
    </xf>
    <xf numFmtId="170" fontId="10" fillId="0" borderId="21" xfId="18" applyNumberFormat="1" applyFont="1" applyFill="1" applyBorder="1"/>
    <xf numFmtId="0" fontId="24" fillId="0" borderId="32" xfId="3" applyFont="1" applyFill="1" applyBorder="1" applyAlignment="1">
      <alignment wrapText="1"/>
    </xf>
    <xf numFmtId="0" fontId="24" fillId="0" borderId="3" xfId="3" applyFont="1" applyFill="1" applyBorder="1" applyAlignment="1">
      <alignment wrapText="1"/>
    </xf>
    <xf numFmtId="0" fontId="13" fillId="0" borderId="3" xfId="3" applyFont="1" applyFill="1" applyBorder="1" applyAlignment="1">
      <alignment horizontal="left" indent="1"/>
    </xf>
    <xf numFmtId="0" fontId="13" fillId="0" borderId="33" xfId="3" applyFont="1" applyFill="1" applyBorder="1" applyAlignment="1">
      <alignment horizontal="left" indent="1"/>
    </xf>
    <xf numFmtId="175" fontId="10" fillId="0" borderId="0" xfId="3" applyNumberFormat="1" applyFont="1" applyFill="1"/>
    <xf numFmtId="175" fontId="10" fillId="0" borderId="23" xfId="3" applyNumberFormat="1" applyFont="1" applyFill="1" applyBorder="1"/>
    <xf numFmtId="0" fontId="10" fillId="0" borderId="18" xfId="3" applyFont="1" applyFill="1" applyBorder="1" applyAlignment="1">
      <alignment horizontal="left" indent="1"/>
    </xf>
    <xf numFmtId="0" fontId="10" fillId="0" borderId="0" xfId="3" applyFont="1" applyFill="1" applyAlignment="1">
      <alignment horizontal="left" indent="1"/>
    </xf>
    <xf numFmtId="0" fontId="13" fillId="0" borderId="18" xfId="3" applyFont="1" applyFill="1" applyBorder="1" applyAlignment="1">
      <alignment horizontal="left" indent="1"/>
    </xf>
    <xf numFmtId="0" fontId="13" fillId="0" borderId="0" xfId="3" applyFont="1" applyFill="1" applyAlignment="1">
      <alignment horizontal="left" indent="1"/>
    </xf>
    <xf numFmtId="167" fontId="13" fillId="0" borderId="0" xfId="3" applyNumberFormat="1" applyFont="1" applyFill="1" applyBorder="1"/>
    <xf numFmtId="167" fontId="13" fillId="0" borderId="0" xfId="3" applyNumberFormat="1" applyFont="1" applyFill="1"/>
    <xf numFmtId="167" fontId="13" fillId="0" borderId="23" xfId="3" applyNumberFormat="1" applyFont="1" applyFill="1" applyBorder="1"/>
    <xf numFmtId="0" fontId="13" fillId="0" borderId="37" xfId="3" applyFont="1" applyFill="1" applyBorder="1" applyAlignment="1">
      <alignment horizontal="left" indent="1"/>
    </xf>
    <xf numFmtId="0" fontId="13" fillId="0" borderId="10" xfId="3" applyFont="1" applyFill="1" applyBorder="1" applyAlignment="1">
      <alignment horizontal="left" indent="1"/>
    </xf>
    <xf numFmtId="167" fontId="13" fillId="0" borderId="10" xfId="3" applyNumberFormat="1" applyFont="1" applyFill="1" applyBorder="1"/>
    <xf numFmtId="167" fontId="13" fillId="0" borderId="38" xfId="3" applyNumberFormat="1" applyFont="1" applyFill="1" applyBorder="1"/>
    <xf numFmtId="0" fontId="24" fillId="0" borderId="28" xfId="3" applyFont="1" applyFill="1" applyBorder="1" applyAlignment="1">
      <alignment vertical="center"/>
    </xf>
    <xf numFmtId="0" fontId="26" fillId="0" borderId="29" xfId="3" applyFont="1" applyFill="1" applyBorder="1"/>
    <xf numFmtId="0" fontId="11" fillId="0" borderId="21" xfId="30" applyFont="1" applyFill="1" applyBorder="1" applyAlignment="1">
      <alignment horizontal="center"/>
    </xf>
    <xf numFmtId="0" fontId="11" fillId="0" borderId="24" xfId="30" applyFont="1" applyFill="1" applyBorder="1" applyAlignment="1">
      <alignment horizontal="center"/>
    </xf>
    <xf numFmtId="0" fontId="10" fillId="0" borderId="18" xfId="18" applyNumberFormat="1" applyFont="1" applyFill="1" applyBorder="1" applyAlignment="1">
      <alignment horizontal="left"/>
    </xf>
    <xf numFmtId="0" fontId="10" fillId="0" borderId="0" xfId="18" applyNumberFormat="1" applyFont="1" applyFill="1" applyAlignment="1">
      <alignment horizontal="left"/>
    </xf>
    <xf numFmtId="167" fontId="10" fillId="0" borderId="0" xfId="30" applyNumberFormat="1" applyFont="1" applyFill="1" applyAlignment="1">
      <alignment horizontal="center"/>
    </xf>
    <xf numFmtId="167" fontId="10" fillId="0" borderId="0" xfId="30" applyNumberFormat="1" applyFont="1" applyFill="1" applyAlignment="1">
      <alignment horizontal="right"/>
    </xf>
    <xf numFmtId="167" fontId="10" fillId="0" borderId="23" xfId="30" applyNumberFormat="1" applyFont="1" applyFill="1" applyBorder="1" applyAlignment="1">
      <alignment horizontal="right"/>
    </xf>
    <xf numFmtId="0" fontId="10" fillId="0" borderId="37" xfId="18" applyNumberFormat="1" applyFont="1" applyFill="1" applyBorder="1" applyAlignment="1">
      <alignment horizontal="left"/>
    </xf>
    <xf numFmtId="0" fontId="10" fillId="0" borderId="10" xfId="18" applyNumberFormat="1" applyFont="1" applyFill="1" applyBorder="1" applyAlignment="1">
      <alignment horizontal="left"/>
    </xf>
    <xf numFmtId="167" fontId="10" fillId="0" borderId="10" xfId="30" applyNumberFormat="1" applyFont="1" applyFill="1" applyBorder="1" applyAlignment="1">
      <alignment horizontal="center"/>
    </xf>
    <xf numFmtId="167" fontId="10" fillId="0" borderId="10" xfId="30" applyNumberFormat="1" applyFont="1" applyFill="1" applyBorder="1" applyAlignment="1">
      <alignment horizontal="right"/>
    </xf>
    <xf numFmtId="167" fontId="10" fillId="0" borderId="38" xfId="30" applyNumberFormat="1" applyFont="1" applyFill="1" applyBorder="1" applyAlignment="1">
      <alignment horizontal="right"/>
    </xf>
    <xf numFmtId="0" fontId="10" fillId="0" borderId="37" xfId="3" applyFont="1" applyFill="1" applyBorder="1"/>
    <xf numFmtId="167" fontId="10" fillId="0" borderId="0" xfId="32" applyNumberFormat="1" applyFont="1" applyFill="1" applyBorder="1" applyAlignment="1">
      <alignment horizontal="right"/>
    </xf>
    <xf numFmtId="0" fontId="10" fillId="0" borderId="18" xfId="3" applyFont="1" applyFill="1" applyBorder="1" applyAlignment="1">
      <alignment horizontal="left"/>
    </xf>
    <xf numFmtId="0" fontId="10" fillId="0" borderId="0" xfId="3" applyFont="1" applyFill="1" applyAlignment="1">
      <alignment horizontal="left"/>
    </xf>
    <xf numFmtId="167" fontId="10" fillId="0" borderId="21" xfId="30" applyNumberFormat="1" applyFont="1" applyFill="1" applyBorder="1" applyAlignment="1">
      <alignment horizontal="right"/>
    </xf>
    <xf numFmtId="167" fontId="10" fillId="0" borderId="24" xfId="30" applyNumberFormat="1" applyFont="1" applyFill="1" applyBorder="1" applyAlignment="1">
      <alignment horizontal="right"/>
    </xf>
    <xf numFmtId="169" fontId="50" fillId="0" borderId="0" xfId="30" applyNumberFormat="1" applyFont="1" applyFill="1" applyAlignment="1">
      <alignment horizontal="right"/>
    </xf>
    <xf numFmtId="169" fontId="10" fillId="0" borderId="23" xfId="30" applyNumberFormat="1" applyFont="1" applyFill="1" applyBorder="1" applyAlignment="1">
      <alignment horizontal="right"/>
    </xf>
    <xf numFmtId="169" fontId="10" fillId="0" borderId="0" xfId="30" applyNumberFormat="1" applyFont="1" applyFill="1" applyAlignment="1">
      <alignment horizontal="right"/>
    </xf>
    <xf numFmtId="0" fontId="13" fillId="0" borderId="18" xfId="3" applyFont="1" applyFill="1" applyBorder="1"/>
    <xf numFmtId="0" fontId="13" fillId="0" borderId="0" xfId="3" applyFont="1" applyFill="1"/>
    <xf numFmtId="0" fontId="13" fillId="0" borderId="0" xfId="3" applyFont="1" applyFill="1" applyBorder="1"/>
    <xf numFmtId="167" fontId="13" fillId="0" borderId="0" xfId="30" applyNumberFormat="1" applyFont="1" applyFill="1" applyAlignment="1">
      <alignment horizontal="right"/>
    </xf>
    <xf numFmtId="167" fontId="13" fillId="0" borderId="23" xfId="30" applyNumberFormat="1" applyFont="1" applyFill="1" applyBorder="1" applyAlignment="1">
      <alignment horizontal="right"/>
    </xf>
    <xf numFmtId="0" fontId="13" fillId="0" borderId="0" xfId="3" applyFont="1" applyFill="1" applyBorder="1" applyAlignment="1">
      <alignment horizontal="left" indent="2"/>
    </xf>
    <xf numFmtId="0" fontId="13" fillId="0" borderId="23" xfId="3" applyFont="1" applyFill="1" applyBorder="1"/>
    <xf numFmtId="170" fontId="10" fillId="0" borderId="0" xfId="3" applyNumberFormat="1" applyFont="1" applyFill="1"/>
    <xf numFmtId="170" fontId="10" fillId="0" borderId="0" xfId="3" applyNumberFormat="1" applyFont="1" applyFill="1" applyBorder="1"/>
    <xf numFmtId="170" fontId="18" fillId="0" borderId="0" xfId="3" applyNumberFormat="1" applyFont="1" applyFill="1"/>
    <xf numFmtId="170" fontId="13" fillId="0" borderId="23" xfId="3" applyNumberFormat="1" applyFont="1" applyFill="1" applyBorder="1"/>
    <xf numFmtId="41" fontId="18" fillId="0" borderId="0" xfId="3" applyNumberFormat="1" applyFont="1" applyFill="1"/>
    <xf numFmtId="41" fontId="18" fillId="0" borderId="23" xfId="18" applyNumberFormat="1" applyFont="1" applyFill="1" applyBorder="1"/>
    <xf numFmtId="0" fontId="11" fillId="0" borderId="0" xfId="3" applyFont="1" applyFill="1" applyBorder="1"/>
    <xf numFmtId="1" fontId="10" fillId="0" borderId="0" xfId="3" applyNumberFormat="1" applyFont="1" applyFill="1"/>
    <xf numFmtId="1" fontId="10" fillId="0" borderId="23" xfId="3" applyNumberFormat="1" applyFont="1" applyFill="1" applyBorder="1"/>
    <xf numFmtId="0" fontId="11" fillId="0" borderId="0" xfId="3" applyFont="1" applyFill="1" applyBorder="1" applyAlignment="1">
      <alignment horizontal="center"/>
    </xf>
    <xf numFmtId="0" fontId="0" fillId="0" borderId="0" xfId="0" applyFill="1"/>
    <xf numFmtId="190" fontId="0" fillId="0" borderId="0" xfId="0" applyNumberFormat="1" applyFill="1"/>
    <xf numFmtId="175" fontId="18" fillId="0" borderId="0" xfId="3" applyNumberFormat="1" applyFont="1" applyFill="1"/>
    <xf numFmtId="175" fontId="18" fillId="0" borderId="19" xfId="3" applyNumberFormat="1" applyFont="1" applyFill="1" applyBorder="1"/>
    <xf numFmtId="175" fontId="10" fillId="0" borderId="19" xfId="18" applyNumberFormat="1" applyFont="1" applyFill="1" applyBorder="1"/>
    <xf numFmtId="175" fontId="10" fillId="0" borderId="0" xfId="18" applyNumberFormat="1" applyFont="1" applyFill="1" applyBorder="1"/>
    <xf numFmtId="175" fontId="10" fillId="0" borderId="23" xfId="18" applyNumberFormat="1" applyFont="1" applyFill="1" applyBorder="1"/>
    <xf numFmtId="175" fontId="10" fillId="0" borderId="0" xfId="18" applyNumberFormat="1" applyFont="1" applyFill="1"/>
    <xf numFmtId="175" fontId="18" fillId="0" borderId="34" xfId="3" applyNumberFormat="1" applyFont="1" applyFill="1" applyBorder="1"/>
    <xf numFmtId="175" fontId="18" fillId="0" borderId="36" xfId="3" applyNumberFormat="1" applyFont="1" applyFill="1" applyBorder="1"/>
    <xf numFmtId="175" fontId="10" fillId="0" borderId="36" xfId="18" applyNumberFormat="1" applyFont="1" applyFill="1" applyBorder="1"/>
    <xf numFmtId="175" fontId="18" fillId="0" borderId="34" xfId="18" applyNumberFormat="1" applyFont="1" applyFill="1" applyBorder="1"/>
    <xf numFmtId="175" fontId="18" fillId="0" borderId="35" xfId="18" applyNumberFormat="1" applyFont="1" applyFill="1" applyBorder="1"/>
    <xf numFmtId="175" fontId="10" fillId="0" borderId="35" xfId="18" applyNumberFormat="1" applyFont="1" applyFill="1" applyBorder="1"/>
    <xf numFmtId="175" fontId="10" fillId="0" borderId="34" xfId="3" applyNumberFormat="1" applyFont="1" applyFill="1" applyBorder="1"/>
    <xf numFmtId="175" fontId="18" fillId="0" borderId="22" xfId="18" applyNumberFormat="1" applyFont="1" applyFill="1" applyBorder="1"/>
    <xf numFmtId="175" fontId="10" fillId="0" borderId="22" xfId="18" applyNumberFormat="1" applyFont="1" applyFill="1" applyBorder="1"/>
    <xf numFmtId="0" fontId="10" fillId="0" borderId="24" xfId="3" applyFont="1" applyFill="1" applyBorder="1"/>
    <xf numFmtId="175" fontId="10" fillId="0" borderId="21" xfId="18" applyNumberFormat="1" applyFont="1" applyFill="1" applyBorder="1"/>
    <xf numFmtId="175" fontId="10" fillId="0" borderId="24" xfId="18" applyNumberFormat="1" applyFont="1" applyFill="1" applyBorder="1"/>
    <xf numFmtId="175" fontId="11" fillId="0" borderId="23" xfId="18" applyNumberFormat="1" applyFont="1" applyFill="1" applyBorder="1"/>
    <xf numFmtId="175" fontId="11" fillId="0" borderId="0" xfId="18" applyNumberFormat="1" applyFont="1" applyFill="1" applyBorder="1"/>
    <xf numFmtId="0" fontId="10" fillId="0" borderId="19" xfId="3" applyFont="1" applyFill="1" applyBorder="1"/>
    <xf numFmtId="175" fontId="10" fillId="0" borderId="0" xfId="4" applyNumberFormat="1" applyFont="1" applyFill="1"/>
    <xf numFmtId="175" fontId="18" fillId="0" borderId="21" xfId="3" applyNumberFormat="1" applyFont="1" applyFill="1" applyBorder="1"/>
    <xf numFmtId="175" fontId="18" fillId="0" borderId="22" xfId="3" applyNumberFormat="1" applyFont="1" applyFill="1" applyBorder="1"/>
    <xf numFmtId="175" fontId="10" fillId="0" borderId="21" xfId="3" applyNumberFormat="1" applyFont="1" applyFill="1" applyBorder="1"/>
    <xf numFmtId="175" fontId="11" fillId="0" borderId="0" xfId="3" applyNumberFormat="1" applyFont="1" applyFill="1"/>
    <xf numFmtId="175" fontId="11" fillId="0" borderId="23" xfId="3" applyNumberFormat="1" applyFont="1" applyFill="1" applyBorder="1"/>
    <xf numFmtId="175" fontId="11" fillId="0" borderId="0" xfId="3" applyNumberFormat="1" applyFont="1" applyFill="1" applyBorder="1"/>
    <xf numFmtId="175" fontId="10" fillId="0" borderId="24" xfId="3" applyNumberFormat="1" applyFont="1" applyFill="1" applyBorder="1"/>
    <xf numFmtId="165" fontId="11" fillId="0" borderId="0" xfId="18" applyNumberFormat="1" applyFont="1" applyFill="1"/>
    <xf numFmtId="175" fontId="11" fillId="0" borderId="18" xfId="18" applyNumberFormat="1" applyFont="1" applyFill="1" applyBorder="1"/>
    <xf numFmtId="175" fontId="11" fillId="0" borderId="19" xfId="18" applyNumberFormat="1" applyFont="1" applyFill="1" applyBorder="1"/>
    <xf numFmtId="175" fontId="18" fillId="0" borderId="0" xfId="3" applyNumberFormat="1" applyFont="1" applyFill="1" applyBorder="1"/>
    <xf numFmtId="0" fontId="11" fillId="0" borderId="20" xfId="3" applyFont="1" applyFill="1" applyBorder="1"/>
    <xf numFmtId="0" fontId="11" fillId="0" borderId="21" xfId="3" applyFont="1" applyFill="1" applyBorder="1"/>
    <xf numFmtId="175" fontId="11" fillId="0" borderId="21" xfId="3" applyNumberFormat="1" applyFont="1" applyFill="1" applyBorder="1"/>
    <xf numFmtId="175" fontId="11" fillId="0" borderId="22" xfId="3" applyNumberFormat="1" applyFont="1" applyFill="1" applyBorder="1"/>
    <xf numFmtId="175" fontId="11" fillId="0" borderId="22" xfId="18" applyNumberFormat="1" applyFont="1" applyFill="1" applyBorder="1"/>
    <xf numFmtId="175" fontId="11" fillId="0" borderId="24" xfId="3" applyNumberFormat="1" applyFont="1" applyFill="1" applyBorder="1"/>
    <xf numFmtId="0" fontId="11" fillId="0" borderId="18" xfId="4" applyFont="1" applyFill="1" applyBorder="1"/>
    <xf numFmtId="190" fontId="63" fillId="0" borderId="0" xfId="18" applyNumberFormat="1" applyFont="1" applyFill="1" applyAlignment="1">
      <alignment horizontal="left"/>
    </xf>
    <xf numFmtId="39" fontId="63" fillId="0" borderId="23" xfId="18" applyNumberFormat="1" applyFont="1" applyFill="1" applyBorder="1" applyAlignment="1">
      <alignment horizontal="center"/>
    </xf>
    <xf numFmtId="175" fontId="11" fillId="0" borderId="0" xfId="4" applyNumberFormat="1" applyFont="1" applyFill="1" applyBorder="1"/>
    <xf numFmtId="0" fontId="11" fillId="0" borderId="43" xfId="30" applyFont="1" applyFill="1" applyBorder="1" applyAlignment="1">
      <alignment horizontal="center"/>
    </xf>
    <xf numFmtId="0" fontId="11" fillId="0" borderId="44" xfId="30" applyFont="1" applyFill="1" applyBorder="1" applyAlignment="1">
      <alignment horizontal="center"/>
    </xf>
    <xf numFmtId="0" fontId="11" fillId="0" borderId="45" xfId="30" applyFont="1" applyFill="1" applyBorder="1" applyAlignment="1">
      <alignment horizontal="center"/>
    </xf>
    <xf numFmtId="0" fontId="11" fillId="0" borderId="46" xfId="30" applyFont="1" applyFill="1" applyBorder="1" applyAlignment="1">
      <alignment horizontal="center"/>
    </xf>
    <xf numFmtId="0" fontId="10" fillId="0" borderId="18" xfId="27" applyFont="1" applyFill="1" applyBorder="1" applyAlignment="1">
      <alignment wrapText="1"/>
    </xf>
    <xf numFmtId="0" fontId="10" fillId="0" borderId="0" xfId="27" applyFont="1" applyFill="1" applyAlignment="1">
      <alignment wrapText="1"/>
    </xf>
    <xf numFmtId="167" fontId="10" fillId="0" borderId="0" xfId="3" applyNumberFormat="1" applyFont="1" applyFill="1"/>
    <xf numFmtId="167" fontId="20" fillId="0" borderId="0" xfId="3" applyNumberFormat="1" applyFont="1" applyFill="1"/>
    <xf numFmtId="167" fontId="10" fillId="0" borderId="23" xfId="3" applyNumberFormat="1" applyFont="1" applyFill="1" applyBorder="1"/>
    <xf numFmtId="167" fontId="10" fillId="0" borderId="0" xfId="3" applyNumberFormat="1" applyFont="1" applyFill="1" applyBorder="1"/>
    <xf numFmtId="180" fontId="10" fillId="0" borderId="0" xfId="3" applyNumberFormat="1" applyFont="1" applyFill="1" applyBorder="1"/>
    <xf numFmtId="180" fontId="10" fillId="0" borderId="0" xfId="3" applyNumberFormat="1" applyFont="1" applyFill="1"/>
    <xf numFmtId="180" fontId="10" fillId="0" borderId="23" xfId="3" applyNumberFormat="1" applyFont="1" applyFill="1" applyBorder="1"/>
    <xf numFmtId="0" fontId="10" fillId="0" borderId="20" xfId="27" applyFont="1" applyFill="1" applyBorder="1" applyAlignment="1">
      <alignment wrapText="1"/>
    </xf>
    <xf numFmtId="0" fontId="10" fillId="0" borderId="21" xfId="27" applyFont="1" applyFill="1" applyBorder="1" applyAlignment="1">
      <alignment wrapText="1"/>
    </xf>
    <xf numFmtId="180" fontId="10" fillId="0" borderId="21" xfId="3" applyNumberFormat="1" applyFont="1" applyFill="1" applyBorder="1"/>
    <xf numFmtId="180" fontId="10" fillId="0" borderId="24" xfId="3" applyNumberFormat="1" applyFont="1" applyFill="1" applyBorder="1"/>
    <xf numFmtId="3" fontId="19" fillId="0" borderId="0" xfId="3" applyNumberFormat="1" applyFont="1" applyFill="1" applyBorder="1"/>
    <xf numFmtId="3" fontId="10" fillId="0" borderId="0" xfId="3" applyNumberFormat="1" applyFont="1" applyFill="1" applyBorder="1"/>
    <xf numFmtId="3" fontId="10" fillId="0" borderId="0" xfId="3" applyNumberFormat="1" applyFont="1" applyFill="1"/>
    <xf numFmtId="3" fontId="10" fillId="0" borderId="23" xfId="3" applyNumberFormat="1" applyFont="1" applyFill="1" applyBorder="1"/>
    <xf numFmtId="3" fontId="20" fillId="0" borderId="0" xfId="3" applyNumberFormat="1" applyFont="1" applyFill="1"/>
    <xf numFmtId="0" fontId="11" fillId="0" borderId="28" xfId="3" applyFont="1" applyFill="1" applyBorder="1"/>
    <xf numFmtId="0" fontId="11" fillId="0" borderId="29" xfId="3" applyFont="1" applyFill="1" applyBorder="1"/>
    <xf numFmtId="4" fontId="11" fillId="0" borderId="29" xfId="3" applyNumberFormat="1" applyFont="1" applyFill="1" applyBorder="1" applyAlignment="1">
      <alignment horizontal="center"/>
    </xf>
    <xf numFmtId="4" fontId="11" fillId="0" borderId="30" xfId="3" applyNumberFormat="1" applyFont="1" applyFill="1" applyBorder="1" applyAlignment="1">
      <alignment horizontal="center"/>
    </xf>
    <xf numFmtId="0" fontId="10" fillId="0" borderId="30" xfId="3" applyFont="1" applyFill="1" applyBorder="1"/>
    <xf numFmtId="39" fontId="11" fillId="0" borderId="29" xfId="3" applyNumberFormat="1" applyFont="1" applyFill="1" applyBorder="1" applyAlignment="1">
      <alignment horizontal="center"/>
    </xf>
    <xf numFmtId="181" fontId="11" fillId="0" borderId="29" xfId="3" applyNumberFormat="1" applyFont="1" applyFill="1" applyBorder="1" applyAlignment="1">
      <alignment horizontal="center"/>
    </xf>
    <xf numFmtId="39" fontId="11" fillId="0" borderId="30" xfId="3" applyNumberFormat="1" applyFont="1" applyFill="1" applyBorder="1" applyAlignment="1">
      <alignment horizontal="center"/>
    </xf>
    <xf numFmtId="39" fontId="63" fillId="0" borderId="0" xfId="3" applyNumberFormat="1" applyFont="1" applyFill="1" applyBorder="1" applyAlignment="1">
      <alignment horizontal="center"/>
    </xf>
    <xf numFmtId="0" fontId="24" fillId="0" borderId="18" xfId="3" applyFont="1" applyFill="1" applyBorder="1"/>
    <xf numFmtId="0" fontId="24" fillId="0" borderId="0" xfId="3" applyFont="1" applyFill="1"/>
    <xf numFmtId="167" fontId="10" fillId="0" borderId="23" xfId="32" applyNumberFormat="1" applyFont="1" applyFill="1" applyBorder="1" applyAlignment="1">
      <alignment horizontal="right"/>
    </xf>
    <xf numFmtId="182" fontId="13" fillId="0" borderId="0" xfId="3" applyNumberFormat="1" applyFont="1" applyFill="1" applyBorder="1"/>
    <xf numFmtId="182" fontId="13" fillId="0" borderId="23" xfId="3" applyNumberFormat="1" applyFont="1" applyFill="1" applyBorder="1"/>
    <xf numFmtId="182" fontId="13" fillId="0" borderId="0" xfId="3" applyNumberFormat="1" applyFont="1" applyFill="1"/>
    <xf numFmtId="0" fontId="12" fillId="0" borderId="18" xfId="3" applyFont="1" applyFill="1" applyBorder="1"/>
    <xf numFmtId="0" fontId="12" fillId="0" borderId="0" xfId="3" applyFont="1" applyFill="1"/>
    <xf numFmtId="165" fontId="11" fillId="0" borderId="23" xfId="18" applyNumberFormat="1" applyFont="1" applyFill="1" applyBorder="1"/>
    <xf numFmtId="175" fontId="19" fillId="0" borderId="0" xfId="3" applyNumberFormat="1" applyFont="1" applyFill="1"/>
    <xf numFmtId="9" fontId="13" fillId="0" borderId="18" xfId="32" applyFont="1" applyFill="1" applyBorder="1" applyAlignment="1">
      <alignment horizontal="left" indent="2"/>
    </xf>
    <xf numFmtId="9" fontId="13" fillId="0" borderId="0" xfId="32" applyFont="1" applyFill="1" applyAlignment="1">
      <alignment horizontal="left" indent="2"/>
    </xf>
    <xf numFmtId="167" fontId="13" fillId="0" borderId="0" xfId="32" applyNumberFormat="1" applyFont="1" applyFill="1"/>
    <xf numFmtId="167" fontId="13" fillId="0" borderId="23" xfId="32" applyNumberFormat="1" applyFont="1" applyFill="1" applyBorder="1"/>
    <xf numFmtId="167" fontId="13" fillId="0" borderId="0" xfId="32" applyNumberFormat="1" applyFont="1" applyFill="1" applyBorder="1"/>
    <xf numFmtId="175" fontId="19" fillId="0" borderId="0" xfId="18" applyNumberFormat="1" applyFont="1" applyFill="1"/>
    <xf numFmtId="167" fontId="13" fillId="0" borderId="34" xfId="32" applyNumberFormat="1" applyFont="1" applyFill="1" applyBorder="1"/>
    <xf numFmtId="9" fontId="13" fillId="0" borderId="35" xfId="32" applyFont="1" applyFill="1" applyBorder="1" applyAlignment="1">
      <alignment horizontal="right"/>
    </xf>
    <xf numFmtId="167" fontId="13" fillId="0" borderId="35" xfId="32" applyNumberFormat="1" applyFont="1" applyFill="1" applyBorder="1"/>
    <xf numFmtId="167" fontId="64" fillId="0" borderId="34" xfId="32" applyNumberFormat="1" applyFont="1" applyFill="1" applyBorder="1"/>
    <xf numFmtId="165" fontId="11" fillId="0" borderId="0" xfId="18" applyNumberFormat="1" applyFont="1" applyFill="1" applyBorder="1"/>
    <xf numFmtId="9" fontId="13" fillId="0" borderId="0" xfId="3" applyNumberFormat="1" applyFont="1" applyFill="1"/>
    <xf numFmtId="9" fontId="13" fillId="0" borderId="23" xfId="3" applyNumberFormat="1" applyFont="1" applyFill="1" applyBorder="1"/>
    <xf numFmtId="9" fontId="13" fillId="0" borderId="0" xfId="3" applyNumberFormat="1" applyFont="1" applyFill="1" applyBorder="1"/>
    <xf numFmtId="0" fontId="10" fillId="0" borderId="0" xfId="3" applyFont="1" applyFill="1" applyBorder="1" applyAlignment="1">
      <alignment horizontal="left"/>
    </xf>
    <xf numFmtId="37" fontId="13" fillId="0" borderId="0" xfId="3" applyNumberFormat="1" applyFont="1" applyFill="1" applyAlignment="1">
      <alignment horizontal="right"/>
    </xf>
    <xf numFmtId="182" fontId="13" fillId="0" borderId="0" xfId="3" applyNumberFormat="1" applyFont="1" applyFill="1" applyAlignment="1">
      <alignment horizontal="right"/>
    </xf>
    <xf numFmtId="165" fontId="10" fillId="0" borderId="0" xfId="18" applyNumberFormat="1" applyFont="1" applyFill="1" applyAlignment="1">
      <alignment horizontal="right"/>
    </xf>
    <xf numFmtId="175" fontId="27" fillId="0" borderId="0" xfId="3" applyNumberFormat="1" applyFont="1" applyFill="1"/>
    <xf numFmtId="0" fontId="11" fillId="0" borderId="23" xfId="3" applyFont="1" applyFill="1" applyBorder="1"/>
    <xf numFmtId="37" fontId="10" fillId="0" borderId="18" xfId="3" applyNumberFormat="1" applyFont="1" applyFill="1" applyBorder="1"/>
    <xf numFmtId="37" fontId="10" fillId="0" borderId="0" xfId="3" applyNumberFormat="1" applyFont="1" applyFill="1"/>
    <xf numFmtId="37" fontId="10" fillId="0" borderId="23" xfId="3" applyNumberFormat="1" applyFont="1" applyFill="1" applyBorder="1"/>
    <xf numFmtId="37" fontId="10" fillId="0" borderId="0" xfId="3" applyNumberFormat="1" applyFont="1" applyFill="1" applyBorder="1"/>
    <xf numFmtId="0" fontId="10" fillId="0" borderId="18" xfId="3" applyFont="1" applyFill="1" applyBorder="1" applyAlignment="1">
      <alignment vertical="center"/>
    </xf>
    <xf numFmtId="0" fontId="10" fillId="0" borderId="0" xfId="3" applyFont="1" applyFill="1" applyAlignment="1">
      <alignment vertical="center"/>
    </xf>
    <xf numFmtId="0" fontId="13" fillId="0" borderId="18" xfId="3" applyFont="1" applyFill="1" applyBorder="1" applyAlignment="1">
      <alignment horizontal="left" vertical="center" indent="1"/>
    </xf>
    <xf numFmtId="0" fontId="13" fillId="0" borderId="0" xfId="3" applyFont="1" applyFill="1" applyAlignment="1">
      <alignment horizontal="left" vertical="center" indent="1"/>
    </xf>
    <xf numFmtId="167" fontId="13" fillId="0" borderId="0" xfId="3" applyNumberFormat="1" applyFont="1" applyFill="1" applyAlignment="1">
      <alignment horizontal="right"/>
    </xf>
    <xf numFmtId="167" fontId="13" fillId="0" borderId="23" xfId="3" applyNumberFormat="1" applyFont="1" applyFill="1" applyBorder="1" applyAlignment="1">
      <alignment horizontal="right"/>
    </xf>
    <xf numFmtId="167" fontId="13" fillId="0" borderId="0" xfId="3" applyNumberFormat="1" applyFont="1" applyFill="1" applyBorder="1" applyAlignment="1">
      <alignment horizontal="right"/>
    </xf>
    <xf numFmtId="0" fontId="13" fillId="0" borderId="0" xfId="3" applyFont="1" applyFill="1" applyAlignment="1">
      <alignment horizontal="right"/>
    </xf>
    <xf numFmtId="0" fontId="13" fillId="0" borderId="23" xfId="3" applyFont="1" applyFill="1" applyBorder="1" applyAlignment="1">
      <alignment horizontal="right"/>
    </xf>
    <xf numFmtId="175" fontId="10" fillId="0" borderId="35" xfId="3" applyNumberFormat="1" applyFont="1" applyFill="1" applyBorder="1"/>
    <xf numFmtId="175" fontId="18" fillId="0" borderId="35" xfId="3" applyNumberFormat="1" applyFont="1" applyFill="1" applyBorder="1"/>
    <xf numFmtId="37" fontId="18" fillId="0" borderId="0" xfId="3" applyNumberFormat="1" applyFont="1" applyFill="1"/>
    <xf numFmtId="0" fontId="11" fillId="0" borderId="18" xfId="3" applyFont="1" applyFill="1" applyBorder="1" applyAlignment="1">
      <alignment vertical="center"/>
    </xf>
    <xf numFmtId="0" fontId="11" fillId="0" borderId="0" xfId="3" applyFont="1" applyFill="1" applyAlignment="1">
      <alignment vertical="center"/>
    </xf>
    <xf numFmtId="0" fontId="10" fillId="0" borderId="18" xfId="3" applyFont="1" applyFill="1" applyBorder="1" applyAlignment="1">
      <alignment horizontal="left" vertical="center" indent="1"/>
    </xf>
    <xf numFmtId="0" fontId="10" fillId="0" borderId="0" xfId="3" applyFont="1" applyFill="1" applyAlignment="1">
      <alignment horizontal="left" vertical="center" indent="1"/>
    </xf>
    <xf numFmtId="41" fontId="10" fillId="0" borderId="0" xfId="3" applyNumberFormat="1" applyFont="1" applyFill="1"/>
    <xf numFmtId="0" fontId="13" fillId="0" borderId="40" xfId="3" applyFont="1" applyFill="1" applyBorder="1"/>
    <xf numFmtId="0" fontId="33" fillId="0" borderId="41" xfId="3" applyFont="1" applyFill="1" applyBorder="1"/>
    <xf numFmtId="179" fontId="10" fillId="0" borderId="41" xfId="3" applyNumberFormat="1" applyFont="1" applyFill="1" applyBorder="1" applyAlignment="1">
      <alignment horizontal="center"/>
    </xf>
    <xf numFmtId="179" fontId="10" fillId="0" borderId="42" xfId="3" applyNumberFormat="1" applyFont="1" applyFill="1" applyBorder="1" applyAlignment="1">
      <alignment horizontal="center"/>
    </xf>
    <xf numFmtId="0" fontId="10" fillId="0" borderId="42" xfId="3" applyFont="1" applyFill="1" applyBorder="1"/>
    <xf numFmtId="0" fontId="10" fillId="0" borderId="33" xfId="3" applyFont="1" applyFill="1" applyBorder="1"/>
    <xf numFmtId="179" fontId="10" fillId="0" borderId="3" xfId="3" applyNumberFormat="1" applyFont="1" applyFill="1" applyBorder="1" applyAlignment="1">
      <alignment horizontal="center"/>
    </xf>
    <xf numFmtId="17" fontId="10" fillId="0" borderId="33" xfId="3" applyNumberFormat="1" applyFont="1" applyFill="1" applyBorder="1"/>
    <xf numFmtId="17" fontId="72" fillId="0" borderId="33" xfId="3" applyNumberFormat="1" applyFont="1" applyFill="1" applyBorder="1"/>
    <xf numFmtId="179" fontId="72" fillId="0" borderId="3" xfId="3" applyNumberFormat="1" applyFont="1" applyFill="1" applyBorder="1" applyAlignment="1">
      <alignment horizontal="center"/>
    </xf>
    <xf numFmtId="0" fontId="13" fillId="0" borderId="20" xfId="3" applyFont="1" applyFill="1" applyBorder="1"/>
    <xf numFmtId="0" fontId="13" fillId="0" borderId="21" xfId="3" applyFont="1" applyFill="1" applyBorder="1"/>
    <xf numFmtId="0" fontId="11" fillId="0" borderId="21" xfId="3" applyFont="1" applyFill="1" applyBorder="1" applyAlignment="1">
      <alignment horizontal="center"/>
    </xf>
    <xf numFmtId="0" fontId="11" fillId="0" borderId="24" xfId="3" applyFont="1" applyFill="1" applyBorder="1" applyAlignment="1">
      <alignment horizontal="center"/>
    </xf>
    <xf numFmtId="17" fontId="11" fillId="0" borderId="21" xfId="3" applyNumberFormat="1" applyFont="1" applyFill="1" applyBorder="1" applyAlignment="1">
      <alignment horizontal="center"/>
    </xf>
    <xf numFmtId="17" fontId="11" fillId="0" borderId="24" xfId="3" applyNumberFormat="1" applyFont="1" applyFill="1" applyBorder="1" applyAlignment="1">
      <alignment horizontal="center"/>
    </xf>
    <xf numFmtId="41" fontId="27" fillId="0" borderId="0" xfId="18" applyNumberFormat="1" applyFont="1" applyFill="1" applyBorder="1"/>
    <xf numFmtId="41" fontId="27" fillId="0" borderId="0" xfId="18" applyNumberFormat="1" applyFont="1" applyFill="1"/>
    <xf numFmtId="41" fontId="27" fillId="0" borderId="23" xfId="3" applyNumberFormat="1" applyFont="1" applyFill="1" applyBorder="1"/>
    <xf numFmtId="41" fontId="11" fillId="0" borderId="0" xfId="18" applyNumberFormat="1" applyFont="1" applyFill="1"/>
    <xf numFmtId="41" fontId="11" fillId="0" borderId="23" xfId="3" applyNumberFormat="1" applyFont="1" applyFill="1" applyBorder="1"/>
    <xf numFmtId="165" fontId="27" fillId="0" borderId="23" xfId="3" applyNumberFormat="1" applyFont="1" applyFill="1" applyBorder="1"/>
    <xf numFmtId="41" fontId="10" fillId="0" borderId="0" xfId="3" applyNumberFormat="1" applyFont="1" applyFill="1" applyBorder="1"/>
    <xf numFmtId="41" fontId="18" fillId="0" borderId="23" xfId="3" applyNumberFormat="1" applyFont="1" applyFill="1" applyBorder="1"/>
    <xf numFmtId="41" fontId="10" fillId="0" borderId="23" xfId="3" applyNumberFormat="1" applyFont="1" applyFill="1" applyBorder="1"/>
    <xf numFmtId="0" fontId="18" fillId="0" borderId="23" xfId="3" applyFont="1" applyFill="1" applyBorder="1"/>
    <xf numFmtId="41" fontId="18" fillId="0" borderId="0" xfId="3" applyNumberFormat="1" applyFont="1" applyFill="1" applyBorder="1"/>
    <xf numFmtId="41" fontId="18" fillId="0" borderId="0" xfId="18" applyNumberFormat="1" applyFont="1" applyFill="1" applyBorder="1"/>
    <xf numFmtId="41" fontId="18" fillId="0" borderId="0" xfId="18" applyNumberFormat="1" applyFont="1" applyFill="1"/>
    <xf numFmtId="41" fontId="10" fillId="0" borderId="23" xfId="18" applyNumberFormat="1" applyFont="1" applyFill="1" applyBorder="1"/>
    <xf numFmtId="165" fontId="18" fillId="0" borderId="23" xfId="18" applyNumberFormat="1" applyFont="1" applyFill="1" applyBorder="1"/>
    <xf numFmtId="41" fontId="10" fillId="0" borderId="0" xfId="18" applyNumberFormat="1" applyFont="1" applyFill="1"/>
    <xf numFmtId="41" fontId="10" fillId="0" borderId="0" xfId="18" applyNumberFormat="1" applyFont="1" applyFill="1" applyBorder="1"/>
    <xf numFmtId="0" fontId="10" fillId="0" borderId="0" xfId="3" applyFont="1" applyFill="1" applyBorder="1" applyAlignment="1">
      <alignment horizontal="left" indent="1"/>
    </xf>
    <xf numFmtId="0" fontId="8" fillId="0" borderId="23" xfId="3" applyFont="1" applyFill="1" applyBorder="1" applyAlignment="1">
      <alignment horizontal="center"/>
    </xf>
    <xf numFmtId="0" fontId="10" fillId="0" borderId="20" xfId="3" applyFont="1" applyFill="1" applyBorder="1" applyAlignment="1">
      <alignment horizontal="left" indent="1"/>
    </xf>
    <xf numFmtId="0" fontId="10" fillId="0" borderId="21" xfId="3" applyFont="1" applyFill="1" applyBorder="1" applyAlignment="1">
      <alignment horizontal="left" indent="1"/>
    </xf>
    <xf numFmtId="41" fontId="18" fillId="0" borderId="21" xfId="18" applyNumberFormat="1" applyFont="1" applyFill="1" applyBorder="1"/>
    <xf numFmtId="41" fontId="18" fillId="0" borderId="24" xfId="18" applyNumberFormat="1" applyFont="1" applyFill="1" applyBorder="1"/>
    <xf numFmtId="41" fontId="10" fillId="0" borderId="24" xfId="18" applyNumberFormat="1" applyFont="1" applyFill="1" applyBorder="1"/>
    <xf numFmtId="165" fontId="18" fillId="0" borderId="24" xfId="18" applyNumberFormat="1" applyFont="1" applyFill="1" applyBorder="1"/>
    <xf numFmtId="41" fontId="10" fillId="0" borderId="21" xfId="18" applyNumberFormat="1" applyFont="1" applyFill="1" applyBorder="1"/>
    <xf numFmtId="41" fontId="65" fillId="0" borderId="21" xfId="18" applyNumberFormat="1" applyFont="1" applyFill="1" applyBorder="1"/>
    <xf numFmtId="41" fontId="65" fillId="0" borderId="0" xfId="18" applyNumberFormat="1" applyFont="1" applyFill="1" applyBorder="1"/>
    <xf numFmtId="41" fontId="27" fillId="0" borderId="0" xfId="3" applyNumberFormat="1" applyFont="1" applyFill="1"/>
    <xf numFmtId="41" fontId="11" fillId="0" borderId="0" xfId="3" applyNumberFormat="1" applyFont="1" applyFill="1"/>
    <xf numFmtId="0" fontId="22" fillId="0" borderId="23" xfId="3" applyFont="1" applyFill="1" applyBorder="1" applyAlignment="1">
      <alignment horizontal="center"/>
    </xf>
    <xf numFmtId="41" fontId="11" fillId="0" borderId="51" xfId="3" applyNumberFormat="1" applyFont="1" applyFill="1" applyBorder="1"/>
    <xf numFmtId="41" fontId="11" fillId="0" borderId="52" xfId="3" applyNumberFormat="1" applyFont="1" applyFill="1" applyBorder="1"/>
    <xf numFmtId="9" fontId="13" fillId="0" borderId="0" xfId="32" applyFont="1" applyFill="1" applyBorder="1" applyAlignment="1">
      <alignment horizontal="right"/>
    </xf>
    <xf numFmtId="9" fontId="13" fillId="0" borderId="23" xfId="32" applyFont="1" applyFill="1" applyBorder="1" applyAlignment="1">
      <alignment horizontal="right"/>
    </xf>
    <xf numFmtId="9" fontId="13" fillId="0" borderId="0" xfId="32" applyFont="1" applyFill="1" applyAlignment="1">
      <alignment horizontal="right"/>
    </xf>
    <xf numFmtId="0" fontId="66" fillId="0" borderId="23" xfId="3" applyFont="1" applyFill="1" applyBorder="1" applyAlignment="1">
      <alignment horizontal="center"/>
    </xf>
    <xf numFmtId="41" fontId="20" fillId="0" borderId="0" xfId="3" applyNumberFormat="1" applyFont="1" applyFill="1" applyBorder="1"/>
    <xf numFmtId="41" fontId="50" fillId="0" borderId="0" xfId="3" applyNumberFormat="1" applyFont="1" applyFill="1"/>
    <xf numFmtId="41" fontId="18" fillId="0" borderId="34" xfId="18" applyNumberFormat="1" applyFont="1" applyFill="1" applyBorder="1"/>
    <xf numFmtId="41" fontId="10" fillId="0" borderId="35" xfId="18" applyNumberFormat="1" applyFont="1" applyFill="1" applyBorder="1"/>
    <xf numFmtId="0" fontId="10" fillId="0" borderId="34" xfId="3" applyFont="1" applyFill="1" applyBorder="1"/>
    <xf numFmtId="165" fontId="18" fillId="0" borderId="35" xfId="18" applyNumberFormat="1" applyFont="1" applyFill="1" applyBorder="1"/>
    <xf numFmtId="41" fontId="20" fillId="0" borderId="34" xfId="18" applyNumberFormat="1" applyFont="1" applyFill="1" applyBorder="1"/>
    <xf numFmtId="41" fontId="10" fillId="0" borderId="34" xfId="18" applyNumberFormat="1" applyFont="1" applyFill="1" applyBorder="1"/>
    <xf numFmtId="41" fontId="11" fillId="0" borderId="23" xfId="18" applyNumberFormat="1" applyFont="1" applyFill="1" applyBorder="1"/>
    <xf numFmtId="41" fontId="20" fillId="0" borderId="0" xfId="3" applyNumberFormat="1" applyFont="1" applyFill="1"/>
    <xf numFmtId="41" fontId="50" fillId="0" borderId="34" xfId="18" applyNumberFormat="1" applyFont="1" applyFill="1" applyBorder="1"/>
    <xf numFmtId="175" fontId="10" fillId="0" borderId="34" xfId="18" applyNumberFormat="1" applyFont="1" applyFill="1" applyBorder="1"/>
    <xf numFmtId="43" fontId="10" fillId="0" borderId="34" xfId="18" applyNumberFormat="1" applyFont="1" applyFill="1" applyBorder="1"/>
    <xf numFmtId="175" fontId="27" fillId="0" borderId="23" xfId="18" applyNumberFormat="1" applyFont="1" applyFill="1" applyBorder="1"/>
    <xf numFmtId="41" fontId="10" fillId="0" borderId="34" xfId="3" applyNumberFormat="1" applyFont="1" applyFill="1" applyBorder="1"/>
    <xf numFmtId="41" fontId="10" fillId="0" borderId="35" xfId="3" applyNumberFormat="1" applyFont="1" applyFill="1" applyBorder="1"/>
    <xf numFmtId="165" fontId="10" fillId="0" borderId="34" xfId="3" applyNumberFormat="1" applyFont="1" applyFill="1" applyBorder="1"/>
    <xf numFmtId="165" fontId="10" fillId="0" borderId="35" xfId="3" applyNumberFormat="1" applyFont="1" applyFill="1" applyBorder="1"/>
    <xf numFmtId="183" fontId="10" fillId="0" borderId="23" xfId="3" applyNumberFormat="1" applyFont="1" applyFill="1" applyBorder="1"/>
    <xf numFmtId="183" fontId="11" fillId="0" borderId="30" xfId="3" applyNumberFormat="1" applyFont="1" applyFill="1" applyBorder="1" applyAlignment="1">
      <alignment horizontal="center"/>
    </xf>
    <xf numFmtId="0" fontId="11" fillId="0" borderId="30" xfId="3" applyFont="1" applyFill="1" applyBorder="1"/>
    <xf numFmtId="175" fontId="20" fillId="0" borderId="0" xfId="3" applyNumberFormat="1" applyFont="1" applyFill="1"/>
    <xf numFmtId="9" fontId="13" fillId="0" borderId="0" xfId="32" applyFont="1" applyFill="1" applyBorder="1"/>
    <xf numFmtId="9" fontId="13" fillId="0" borderId="23" xfId="32" applyFont="1" applyFill="1" applyBorder="1"/>
    <xf numFmtId="175" fontId="18" fillId="0" borderId="23" xfId="3" applyNumberFormat="1" applyFont="1" applyFill="1" applyBorder="1"/>
    <xf numFmtId="41" fontId="10" fillId="0" borderId="21" xfId="3" applyNumberFormat="1" applyFont="1" applyFill="1" applyBorder="1"/>
    <xf numFmtId="41" fontId="10" fillId="0" borderId="24" xfId="3" applyNumberFormat="1" applyFont="1" applyFill="1" applyBorder="1"/>
    <xf numFmtId="184" fontId="10" fillId="0" borderId="18" xfId="3" applyNumberFormat="1" applyFont="1" applyFill="1" applyBorder="1" applyAlignment="1">
      <alignment horizontal="left" indent="1"/>
    </xf>
    <xf numFmtId="184" fontId="10" fillId="0" borderId="0" xfId="3" applyNumberFormat="1" applyFont="1" applyFill="1" applyAlignment="1">
      <alignment horizontal="left" indent="1"/>
    </xf>
    <xf numFmtId="184" fontId="10" fillId="0" borderId="0" xfId="32" applyNumberFormat="1" applyFont="1" applyFill="1" applyAlignment="1">
      <alignment horizontal="right"/>
    </xf>
    <xf numFmtId="184" fontId="10" fillId="0" borderId="23" xfId="32" applyNumberFormat="1" applyFont="1" applyFill="1" applyBorder="1" applyAlignment="1">
      <alignment horizontal="right"/>
    </xf>
    <xf numFmtId="184" fontId="10" fillId="0" borderId="23" xfId="3" applyNumberFormat="1" applyFont="1" applyFill="1" applyBorder="1"/>
    <xf numFmtId="184" fontId="10" fillId="0" borderId="0" xfId="32" applyNumberFormat="1" applyFont="1" applyFill="1" applyBorder="1"/>
    <xf numFmtId="184" fontId="10" fillId="0" borderId="0" xfId="32" applyNumberFormat="1" applyFont="1" applyFill="1" applyBorder="1" applyAlignment="1">
      <alignment horizontal="right"/>
    </xf>
    <xf numFmtId="7" fontId="10" fillId="0" borderId="0" xfId="3" applyNumberFormat="1" applyFont="1" applyFill="1" applyAlignment="1">
      <alignment horizontal="right"/>
    </xf>
    <xf numFmtId="7" fontId="10" fillId="0" borderId="23" xfId="3" applyNumberFormat="1" applyFont="1" applyFill="1" applyBorder="1" applyAlignment="1">
      <alignment horizontal="right"/>
    </xf>
    <xf numFmtId="166" fontId="10" fillId="0" borderId="0" xfId="3" applyNumberFormat="1" applyFont="1" applyFill="1" applyAlignment="1">
      <alignment horizontal="right"/>
    </xf>
    <xf numFmtId="175" fontId="10" fillId="0" borderId="23" xfId="3" applyNumberFormat="1" applyFont="1" applyFill="1" applyBorder="1" applyAlignment="1">
      <alignment horizontal="right"/>
    </xf>
    <xf numFmtId="7" fontId="10" fillId="0" borderId="23" xfId="3" applyNumberFormat="1" applyFont="1" applyFill="1" applyBorder="1"/>
    <xf numFmtId="7" fontId="10" fillId="0" borderId="0" xfId="3" applyNumberFormat="1" applyFont="1" applyFill="1"/>
    <xf numFmtId="7" fontId="10" fillId="0" borderId="0" xfId="3" applyNumberFormat="1" applyFont="1" applyFill="1" applyBorder="1"/>
    <xf numFmtId="43" fontId="10" fillId="0" borderId="23" xfId="18" applyFont="1" applyFill="1" applyBorder="1"/>
    <xf numFmtId="0" fontId="18" fillId="0" borderId="0" xfId="3" applyFont="1" applyFill="1"/>
    <xf numFmtId="175" fontId="11" fillId="0" borderId="0" xfId="18" applyNumberFormat="1" applyFont="1" applyFill="1" applyAlignment="1">
      <alignment horizontal="right"/>
    </xf>
    <xf numFmtId="175" fontId="11" fillId="0" borderId="23" xfId="3" applyNumberFormat="1" applyFont="1" applyFill="1" applyBorder="1" applyAlignment="1">
      <alignment horizontal="right"/>
    </xf>
    <xf numFmtId="9" fontId="13" fillId="0" borderId="23" xfId="3" applyNumberFormat="1" applyFont="1" applyFill="1" applyBorder="1" applyAlignment="1">
      <alignment horizontal="right"/>
    </xf>
    <xf numFmtId="0" fontId="13" fillId="0" borderId="0" xfId="3" applyFont="1" applyFill="1" applyAlignment="1">
      <alignment horizontal="left" indent="2"/>
    </xf>
    <xf numFmtId="0" fontId="10" fillId="0" borderId="0" xfId="4" applyFont="1" applyFill="1"/>
    <xf numFmtId="175" fontId="10" fillId="0" borderId="23" xfId="4" applyNumberFormat="1" applyFont="1" applyFill="1" applyBorder="1"/>
    <xf numFmtId="0" fontId="13" fillId="0" borderId="0" xfId="4" applyFont="1" applyFill="1" applyAlignment="1">
      <alignment horizontal="left" indent="2"/>
    </xf>
    <xf numFmtId="167" fontId="13" fillId="0" borderId="0" xfId="4" applyNumberFormat="1" applyFont="1" applyFill="1" applyBorder="1" applyAlignment="1">
      <alignment horizontal="right"/>
    </xf>
    <xf numFmtId="167" fontId="13" fillId="0" borderId="23" xfId="4" applyNumberFormat="1" applyFont="1" applyFill="1" applyBorder="1" applyAlignment="1">
      <alignment horizontal="right"/>
    </xf>
    <xf numFmtId="167" fontId="13" fillId="0" borderId="0" xfId="4" applyNumberFormat="1" applyFont="1" applyFill="1" applyAlignment="1">
      <alignment horizontal="right"/>
    </xf>
    <xf numFmtId="167" fontId="13" fillId="0" borderId="0" xfId="4" applyNumberFormat="1" applyFont="1" applyFill="1"/>
    <xf numFmtId="167" fontId="13" fillId="0" borderId="23" xfId="4" applyNumberFormat="1" applyFont="1" applyFill="1" applyBorder="1"/>
    <xf numFmtId="167" fontId="64" fillId="0" borderId="0" xfId="32" applyNumberFormat="1" applyFont="1" applyFill="1"/>
    <xf numFmtId="169" fontId="11" fillId="0" borderId="0" xfId="3" applyNumberFormat="1" applyFont="1" applyFill="1" applyAlignment="1">
      <alignment horizontal="right"/>
    </xf>
    <xf numFmtId="169" fontId="11" fillId="0" borderId="23" xfId="3" applyNumberFormat="1" applyFont="1" applyFill="1" applyBorder="1" applyAlignment="1">
      <alignment horizontal="right"/>
    </xf>
    <xf numFmtId="169" fontId="11" fillId="0" borderId="0" xfId="3" applyNumberFormat="1" applyFont="1" applyFill="1"/>
    <xf numFmtId="169" fontId="11" fillId="0" borderId="23" xfId="3" applyNumberFormat="1" applyFont="1" applyFill="1" applyBorder="1"/>
    <xf numFmtId="0" fontId="13" fillId="0" borderId="0" xfId="3" applyFont="1" applyFill="1" applyBorder="1" applyAlignment="1">
      <alignment horizontal="left" indent="1"/>
    </xf>
    <xf numFmtId="175" fontId="27" fillId="0" borderId="0" xfId="3" applyNumberFormat="1" applyFont="1" applyFill="1" applyBorder="1"/>
    <xf numFmtId="0" fontId="11" fillId="0" borderId="16" xfId="3" applyFont="1" applyFill="1" applyBorder="1" applyAlignment="1">
      <alignment horizontal="left" indent="1"/>
    </xf>
    <xf numFmtId="175" fontId="10" fillId="0" borderId="16" xfId="18" applyNumberFormat="1" applyFont="1" applyFill="1" applyBorder="1"/>
    <xf numFmtId="175" fontId="10" fillId="0" borderId="39" xfId="18" applyNumberFormat="1" applyFont="1" applyFill="1" applyBorder="1"/>
    <xf numFmtId="175" fontId="10" fillId="0" borderId="16" xfId="18" applyNumberFormat="1" applyFont="1" applyFill="1" applyBorder="1" applyAlignment="1">
      <alignment horizontal="right"/>
    </xf>
    <xf numFmtId="167" fontId="64" fillId="0" borderId="0" xfId="3" applyNumberFormat="1" applyFont="1" applyFill="1" applyBorder="1"/>
    <xf numFmtId="182" fontId="10" fillId="0" borderId="0" xfId="3" applyNumberFormat="1" applyFont="1" applyFill="1" applyAlignment="1">
      <alignment horizontal="right"/>
    </xf>
    <xf numFmtId="182" fontId="10" fillId="0" borderId="23" xfId="3" applyNumberFormat="1" applyFont="1" applyFill="1" applyBorder="1" applyAlignment="1">
      <alignment horizontal="right"/>
    </xf>
    <xf numFmtId="182" fontId="10" fillId="0" borderId="23" xfId="3" applyNumberFormat="1" applyFont="1" applyFill="1" applyBorder="1"/>
    <xf numFmtId="182" fontId="10" fillId="0" borderId="0" xfId="3" applyNumberFormat="1" applyFont="1" applyFill="1"/>
    <xf numFmtId="0" fontId="24" fillId="0" borderId="0" xfId="3" applyFont="1" applyFill="1" applyBorder="1"/>
    <xf numFmtId="10" fontId="27" fillId="0" borderId="0" xfId="3" applyNumberFormat="1" applyFont="1" applyFill="1"/>
    <xf numFmtId="175" fontId="10" fillId="0" borderId="0" xfId="18" applyNumberFormat="1" applyFont="1" applyFill="1" applyAlignment="1">
      <alignment horizontal="right"/>
    </xf>
    <xf numFmtId="43" fontId="10" fillId="0" borderId="0" xfId="18" applyFont="1" applyFill="1" applyAlignment="1">
      <alignment horizontal="right"/>
    </xf>
    <xf numFmtId="43" fontId="10" fillId="0" borderId="23" xfId="18" applyFont="1" applyFill="1" applyBorder="1" applyAlignment="1">
      <alignment horizontal="right"/>
    </xf>
    <xf numFmtId="43" fontId="10" fillId="0" borderId="0" xfId="3" applyNumberFormat="1" applyFont="1" applyFill="1"/>
    <xf numFmtId="43" fontId="10" fillId="0" borderId="23" xfId="3" applyNumberFormat="1" applyFont="1" applyFill="1" applyBorder="1"/>
    <xf numFmtId="182" fontId="10" fillId="0" borderId="0" xfId="18" applyNumberFormat="1" applyFont="1" applyFill="1" applyBorder="1"/>
    <xf numFmtId="182" fontId="10" fillId="0" borderId="23" xfId="18" applyNumberFormat="1" applyFont="1" applyFill="1" applyBorder="1"/>
    <xf numFmtId="182" fontId="10" fillId="0" borderId="0" xfId="3" applyNumberFormat="1" applyFont="1" applyFill="1" applyBorder="1"/>
    <xf numFmtId="175" fontId="10" fillId="0" borderId="23" xfId="18" applyNumberFormat="1" applyFont="1" applyFill="1" applyBorder="1" applyAlignment="1">
      <alignment horizontal="right"/>
    </xf>
    <xf numFmtId="0" fontId="24" fillId="0" borderId="21" xfId="3" applyFont="1" applyFill="1" applyBorder="1"/>
    <xf numFmtId="0" fontId="11" fillId="0" borderId="24" xfId="3" applyFont="1" applyFill="1" applyBorder="1"/>
    <xf numFmtId="175" fontId="11" fillId="0" borderId="21" xfId="18" applyNumberFormat="1" applyFont="1" applyFill="1" applyBorder="1"/>
    <xf numFmtId="175" fontId="11" fillId="0" borderId="24" xfId="18" applyNumberFormat="1" applyFont="1" applyFill="1" applyBorder="1"/>
    <xf numFmtId="175" fontId="27" fillId="0" borderId="21" xfId="3" applyNumberFormat="1" applyFont="1" applyFill="1" applyBorder="1"/>
    <xf numFmtId="0" fontId="11" fillId="0" borderId="0" xfId="3" applyFont="1" applyFill="1" applyAlignment="1">
      <alignment horizontal="left" indent="1"/>
    </xf>
    <xf numFmtId="167" fontId="30" fillId="0" borderId="0" xfId="32" applyNumberFormat="1" applyFont="1" applyFill="1"/>
    <xf numFmtId="167" fontId="64" fillId="0" borderId="0" xfId="32" applyNumberFormat="1" applyFont="1" applyFill="1" applyBorder="1"/>
    <xf numFmtId="5" fontId="10" fillId="0" borderId="0" xfId="18" applyNumberFormat="1" applyFont="1" applyFill="1" applyAlignment="1">
      <alignment horizontal="right"/>
    </xf>
    <xf numFmtId="5" fontId="10" fillId="0" borderId="23" xfId="18" applyNumberFormat="1" applyFont="1" applyFill="1" applyBorder="1" applyAlignment="1">
      <alignment horizontal="right"/>
    </xf>
    <xf numFmtId="5" fontId="10" fillId="0" borderId="23" xfId="18" applyNumberFormat="1" applyFont="1" applyFill="1" applyBorder="1"/>
    <xf numFmtId="5" fontId="10" fillId="0" borderId="0" xfId="18" applyNumberFormat="1" applyFont="1" applyFill="1"/>
    <xf numFmtId="167" fontId="30" fillId="0" borderId="0" xfId="32" applyNumberFormat="1" applyFont="1" applyFill="1" applyBorder="1"/>
    <xf numFmtId="0" fontId="10" fillId="0" borderId="29" xfId="3" applyFont="1" applyFill="1" applyBorder="1"/>
    <xf numFmtId="3" fontId="10" fillId="0" borderId="0" xfId="3" applyNumberFormat="1" applyFont="1" applyFill="1" applyAlignment="1">
      <alignment horizontal="right"/>
    </xf>
    <xf numFmtId="0" fontId="50" fillId="0" borderId="0" xfId="3" applyFont="1" applyFill="1" applyBorder="1"/>
    <xf numFmtId="0" fontId="50" fillId="0" borderId="39" xfId="3" applyFont="1" applyFill="1" applyBorder="1"/>
    <xf numFmtId="0" fontId="50" fillId="0" borderId="23" xfId="3" applyFont="1" applyFill="1" applyBorder="1"/>
    <xf numFmtId="3" fontId="50" fillId="0" borderId="0" xfId="3" applyNumberFormat="1" applyFont="1" applyFill="1" applyBorder="1"/>
    <xf numFmtId="3" fontId="50" fillId="0" borderId="23" xfId="3" applyNumberFormat="1" applyFont="1" applyFill="1" applyBorder="1"/>
    <xf numFmtId="3" fontId="10" fillId="0" borderId="21" xfId="3" applyNumberFormat="1" applyFont="1" applyFill="1" applyBorder="1"/>
    <xf numFmtId="0" fontId="50" fillId="0" borderId="21" xfId="3" applyFont="1" applyFill="1" applyBorder="1"/>
    <xf numFmtId="0" fontId="50" fillId="0" borderId="24" xfId="3" applyFont="1" applyFill="1" applyBorder="1"/>
    <xf numFmtId="167" fontId="10" fillId="0" borderId="21" xfId="32" applyNumberFormat="1" applyFont="1" applyFill="1" applyBorder="1"/>
    <xf numFmtId="167" fontId="10" fillId="0" borderId="24" xfId="32" applyNumberFormat="1" applyFont="1" applyFill="1" applyBorder="1" applyAlignment="1">
      <alignment horizontal="right"/>
    </xf>
    <xf numFmtId="167" fontId="10" fillId="0" borderId="22" xfId="32" applyNumberFormat="1" applyFont="1" applyFill="1" applyBorder="1"/>
    <xf numFmtId="167" fontId="10" fillId="0" borderId="24" xfId="32" applyNumberFormat="1" applyFont="1" applyFill="1" applyBorder="1"/>
    <xf numFmtId="167" fontId="10" fillId="0" borderId="20" xfId="32" applyNumberFormat="1" applyFont="1" applyFill="1" applyBorder="1"/>
    <xf numFmtId="0" fontId="10" fillId="0" borderId="39" xfId="3" applyFont="1" applyFill="1" applyBorder="1"/>
    <xf numFmtId="167" fontId="18" fillId="0" borderId="23" xfId="32" applyNumberFormat="1" applyFont="1" applyFill="1" applyBorder="1"/>
    <xf numFmtId="167" fontId="18" fillId="0" borderId="23" xfId="32" applyNumberFormat="1" applyFont="1" applyFill="1" applyBorder="1" applyAlignment="1">
      <alignment horizontal="right"/>
    </xf>
    <xf numFmtId="167" fontId="50" fillId="0" borderId="0" xfId="32" applyNumberFormat="1" applyFont="1" applyFill="1" applyBorder="1"/>
    <xf numFmtId="0" fontId="18" fillId="0" borderId="21" xfId="3" applyFont="1" applyFill="1" applyBorder="1" applyAlignment="1">
      <alignment horizontal="right"/>
    </xf>
    <xf numFmtId="9" fontId="18" fillId="0" borderId="24" xfId="32" applyFont="1" applyFill="1" applyBorder="1" applyAlignment="1">
      <alignment horizontal="right"/>
    </xf>
    <xf numFmtId="9" fontId="10" fillId="0" borderId="24" xfId="32" applyFont="1" applyFill="1" applyBorder="1"/>
    <xf numFmtId="167" fontId="18" fillId="0" borderId="24" xfId="32" applyNumberFormat="1" applyFont="1" applyFill="1" applyBorder="1" applyAlignment="1">
      <alignment horizontal="right"/>
    </xf>
    <xf numFmtId="9" fontId="10" fillId="0" borderId="21" xfId="32" applyFont="1" applyFill="1" applyBorder="1"/>
    <xf numFmtId="0" fontId="11" fillId="0" borderId="16" xfId="3" applyFont="1" applyFill="1" applyBorder="1"/>
    <xf numFmtId="167" fontId="18" fillId="0" borderId="21" xfId="32" applyNumberFormat="1" applyFont="1" applyFill="1" applyBorder="1" applyAlignment="1">
      <alignment horizontal="right"/>
    </xf>
    <xf numFmtId="0" fontId="18" fillId="0" borderId="24" xfId="3" applyFont="1" applyFill="1" applyBorder="1" applyAlignment="1">
      <alignment horizontal="right"/>
    </xf>
    <xf numFmtId="175" fontId="11" fillId="0" borderId="30" xfId="3" applyNumberFormat="1" applyFont="1" applyFill="1" applyBorder="1"/>
    <xf numFmtId="0" fontId="13" fillId="0" borderId="21" xfId="3" applyFont="1" applyFill="1" applyBorder="1" applyAlignment="1">
      <alignment horizontal="left" indent="1"/>
    </xf>
    <xf numFmtId="167" fontId="18" fillId="0" borderId="0" xfId="3" applyNumberFormat="1" applyFont="1" applyFill="1" applyAlignment="1">
      <alignment horizontal="right"/>
    </xf>
    <xf numFmtId="3" fontId="18" fillId="0" borderId="0" xfId="3" applyNumberFormat="1" applyFont="1" applyFill="1"/>
    <xf numFmtId="3" fontId="18" fillId="0" borderId="23" xfId="3" applyNumberFormat="1" applyFont="1" applyFill="1" applyBorder="1"/>
    <xf numFmtId="3" fontId="18" fillId="0" borderId="0" xfId="3" applyNumberFormat="1" applyFont="1" applyFill="1" applyAlignment="1">
      <alignment horizontal="right"/>
    </xf>
    <xf numFmtId="3" fontId="18" fillId="0" borderId="23" xfId="3" applyNumberFormat="1" applyFont="1" applyFill="1" applyBorder="1" applyAlignment="1">
      <alignment horizontal="right"/>
    </xf>
    <xf numFmtId="10" fontId="18" fillId="0" borderId="0" xfId="3" applyNumberFormat="1" applyFont="1" applyFill="1"/>
    <xf numFmtId="10" fontId="18" fillId="0" borderId="23" xfId="3" applyNumberFormat="1" applyFont="1" applyFill="1" applyBorder="1"/>
    <xf numFmtId="10" fontId="10" fillId="0" borderId="0" xfId="3" applyNumberFormat="1" applyFont="1" applyFill="1" applyBorder="1"/>
    <xf numFmtId="10" fontId="10" fillId="0" borderId="23" xfId="3" applyNumberFormat="1" applyFont="1" applyFill="1" applyBorder="1"/>
    <xf numFmtId="171" fontId="18" fillId="0" borderId="0" xfId="3" applyNumberFormat="1" applyFont="1" applyFill="1"/>
    <xf numFmtId="171" fontId="18" fillId="0" borderId="23" xfId="3" applyNumberFormat="1" applyFont="1" applyFill="1" applyBorder="1"/>
    <xf numFmtId="10" fontId="18" fillId="0" borderId="23" xfId="3" applyNumberFormat="1" applyFont="1" applyFill="1" applyBorder="1" applyAlignment="1">
      <alignment horizontal="right"/>
    </xf>
    <xf numFmtId="10" fontId="18" fillId="0" borderId="0" xfId="3" applyNumberFormat="1" applyFont="1" applyFill="1" applyAlignment="1">
      <alignment horizontal="right"/>
    </xf>
    <xf numFmtId="175" fontId="18" fillId="0" borderId="0" xfId="3" applyNumberFormat="1" applyFont="1" applyFill="1" applyAlignment="1">
      <alignment horizontal="right"/>
    </xf>
    <xf numFmtId="175" fontId="18" fillId="0" borderId="23" xfId="3" applyNumberFormat="1" applyFont="1" applyFill="1" applyBorder="1" applyAlignment="1">
      <alignment horizontal="right"/>
    </xf>
    <xf numFmtId="175" fontId="10" fillId="0" borderId="0" xfId="3" applyNumberFormat="1" applyFont="1" applyFill="1" applyAlignment="1">
      <alignment horizontal="right"/>
    </xf>
    <xf numFmtId="167" fontId="18" fillId="0" borderId="0" xfId="32" applyNumberFormat="1" applyFont="1" applyFill="1" applyBorder="1" applyAlignment="1">
      <alignment horizontal="right"/>
    </xf>
    <xf numFmtId="175" fontId="18" fillId="0" borderId="0" xfId="3" applyNumberFormat="1" applyFont="1" applyFill="1" applyBorder="1" applyAlignment="1">
      <alignment horizontal="right"/>
    </xf>
    <xf numFmtId="0" fontId="10" fillId="0" borderId="0" xfId="3" applyFont="1" applyFill="1" applyAlignment="1">
      <alignment horizontal="right"/>
    </xf>
    <xf numFmtId="0" fontId="2" fillId="0" borderId="23" xfId="3" applyFont="1" applyFill="1" applyBorder="1"/>
    <xf numFmtId="185" fontId="13" fillId="0" borderId="0" xfId="32" applyNumberFormat="1" applyFont="1" applyFill="1"/>
    <xf numFmtId="185" fontId="13" fillId="0" borderId="23" xfId="32" applyNumberFormat="1" applyFont="1" applyFill="1" applyBorder="1"/>
    <xf numFmtId="0" fontId="2" fillId="0" borderId="21" xfId="3" applyFont="1" applyFill="1" applyBorder="1"/>
    <xf numFmtId="167" fontId="19" fillId="0" borderId="21" xfId="3" applyNumberFormat="1" applyFont="1" applyFill="1" applyBorder="1"/>
    <xf numFmtId="167" fontId="10" fillId="0" borderId="24" xfId="3" applyNumberFormat="1" applyFont="1" applyFill="1" applyBorder="1"/>
    <xf numFmtId="187" fontId="11" fillId="0" borderId="16" xfId="3" applyNumberFormat="1" applyFont="1" applyFill="1" applyBorder="1"/>
    <xf numFmtId="187" fontId="11" fillId="0" borderId="39" xfId="3" applyNumberFormat="1" applyFont="1" applyFill="1" applyBorder="1"/>
    <xf numFmtId="187" fontId="11" fillId="0" borderId="16" xfId="32" applyNumberFormat="1" applyFont="1" applyFill="1" applyBorder="1"/>
    <xf numFmtId="0" fontId="10" fillId="14" borderId="0" xfId="27" applyFont="1" applyFill="1" applyAlignment="1">
      <alignment wrapText="1"/>
    </xf>
    <xf numFmtId="3" fontId="19" fillId="14" borderId="0" xfId="3" applyNumberFormat="1" applyFont="1" applyFill="1" applyBorder="1"/>
    <xf numFmtId="3" fontId="19" fillId="14" borderId="0" xfId="3" applyNumberFormat="1" applyFont="1" applyFill="1"/>
    <xf numFmtId="3" fontId="19" fillId="14" borderId="23" xfId="3" applyNumberFormat="1" applyFont="1" applyFill="1" applyBorder="1"/>
    <xf numFmtId="0" fontId="10" fillId="14" borderId="23" xfId="3" applyFont="1" applyFill="1" applyBorder="1"/>
    <xf numFmtId="3" fontId="10" fillId="14" borderId="0" xfId="3" applyNumberFormat="1" applyFont="1" applyFill="1" applyBorder="1"/>
    <xf numFmtId="3" fontId="10" fillId="14" borderId="0" xfId="3" applyNumberFormat="1" applyFont="1" applyFill="1"/>
    <xf numFmtId="3" fontId="10" fillId="14" borderId="23" xfId="3" applyNumberFormat="1" applyFont="1" applyFill="1" applyBorder="1"/>
    <xf numFmtId="37" fontId="10" fillId="0" borderId="0" xfId="3" applyNumberFormat="1" applyFont="1" applyFill="1" applyAlignment="1">
      <alignment horizontal="center"/>
    </xf>
    <xf numFmtId="37" fontId="10" fillId="0" borderId="23" xfId="3" applyNumberFormat="1" applyFont="1" applyFill="1" applyBorder="1" applyAlignment="1">
      <alignment horizontal="center"/>
    </xf>
    <xf numFmtId="0" fontId="10" fillId="0" borderId="23" xfId="3" applyFont="1" applyFill="1" applyBorder="1" applyAlignment="1">
      <alignment horizontal="center"/>
    </xf>
    <xf numFmtId="41" fontId="8" fillId="0" borderId="0" xfId="4" applyNumberFormat="1" applyFont="1" applyFill="1" applyBorder="1"/>
    <xf numFmtId="41" fontId="10" fillId="0" borderId="0" xfId="4" applyNumberFormat="1" applyFont="1" applyFill="1" applyBorder="1"/>
    <xf numFmtId="41" fontId="10" fillId="0" borderId="0" xfId="3" applyNumberFormat="1" applyFont="1" applyFill="1" applyAlignment="1">
      <alignment horizontal="right"/>
    </xf>
    <xf numFmtId="0" fontId="11" fillId="0" borderId="0" xfId="3" applyFont="1" applyFill="1" applyAlignment="1">
      <alignment horizontal="left"/>
    </xf>
    <xf numFmtId="2" fontId="10" fillId="0" borderId="0" xfId="3" applyNumberFormat="1" applyFont="1" applyFill="1" applyBorder="1"/>
    <xf numFmtId="0" fontId="13" fillId="0" borderId="0" xfId="3" applyFont="1" applyFill="1" applyBorder="1" applyAlignment="1">
      <alignment horizontal="left"/>
    </xf>
    <xf numFmtId="0" fontId="13" fillId="0" borderId="23" xfId="3" applyFont="1" applyFill="1" applyBorder="1" applyAlignment="1">
      <alignment horizontal="left"/>
    </xf>
    <xf numFmtId="38" fontId="10" fillId="0" borderId="0" xfId="3" applyNumberFormat="1" applyFont="1" applyFill="1" applyBorder="1"/>
    <xf numFmtId="38" fontId="10" fillId="0" borderId="0" xfId="3" applyNumberFormat="1" applyFont="1" applyFill="1"/>
    <xf numFmtId="0" fontId="13" fillId="0" borderId="0" xfId="3" applyFont="1" applyFill="1" applyAlignment="1">
      <alignment horizontal="left"/>
    </xf>
    <xf numFmtId="38" fontId="10" fillId="0" borderId="23" xfId="3" applyNumberFormat="1" applyFont="1" applyFill="1" applyBorder="1"/>
    <xf numFmtId="0" fontId="10" fillId="0" borderId="0" xfId="3" applyFont="1" applyFill="1" applyAlignment="1">
      <alignment horizontal="left" indent="2"/>
    </xf>
    <xf numFmtId="175" fontId="18" fillId="0" borderId="0" xfId="18" applyNumberFormat="1" applyFont="1" applyFill="1" applyBorder="1"/>
    <xf numFmtId="175" fontId="19" fillId="0" borderId="34" xfId="18" applyNumberFormat="1" applyFont="1" applyFill="1" applyBorder="1"/>
    <xf numFmtId="175" fontId="19" fillId="0" borderId="34" xfId="18" applyNumberFormat="1" applyFont="1" applyFill="1" applyBorder="1" applyAlignment="1">
      <alignment horizontal="right"/>
    </xf>
    <xf numFmtId="0" fontId="13" fillId="0" borderId="0" xfId="3" applyFont="1" applyFill="1" applyAlignment="1">
      <alignment horizontal="left" indent="3"/>
    </xf>
    <xf numFmtId="0" fontId="13" fillId="0" borderId="0" xfId="3" applyFont="1" applyFill="1" applyBorder="1" applyAlignment="1">
      <alignment horizontal="right"/>
    </xf>
    <xf numFmtId="0" fontId="10" fillId="0" borderId="0" xfId="3" applyFont="1" applyFill="1" applyBorder="1" applyAlignment="1">
      <alignment horizontal="left" indent="2"/>
    </xf>
    <xf numFmtId="175" fontId="10" fillId="0" borderId="0" xfId="18" applyNumberFormat="1" applyFont="1" applyFill="1" applyBorder="1" applyAlignment="1">
      <alignment horizontal="right"/>
    </xf>
    <xf numFmtId="165" fontId="10" fillId="0" borderId="23" xfId="18" applyNumberFormat="1" applyFont="1" applyFill="1" applyBorder="1" applyAlignment="1">
      <alignment horizontal="right"/>
    </xf>
    <xf numFmtId="43" fontId="18" fillId="0" borderId="0" xfId="18" applyFont="1" applyFill="1"/>
    <xf numFmtId="43" fontId="11" fillId="0" borderId="0" xfId="18" applyFont="1" applyFill="1"/>
    <xf numFmtId="169" fontId="11" fillId="0" borderId="0" xfId="18" applyNumberFormat="1" applyFont="1" applyFill="1"/>
    <xf numFmtId="169" fontId="13" fillId="0" borderId="23" xfId="3" applyNumberFormat="1" applyFont="1" applyFill="1" applyBorder="1"/>
    <xf numFmtId="169" fontId="10" fillId="0" borderId="0" xfId="18" applyNumberFormat="1" applyFont="1" applyFill="1"/>
    <xf numFmtId="169" fontId="11" fillId="0" borderId="23" xfId="18" applyNumberFormat="1" applyFont="1" applyFill="1" applyBorder="1"/>
    <xf numFmtId="169" fontId="13" fillId="0" borderId="0" xfId="3" applyNumberFormat="1" applyFont="1" applyFill="1"/>
    <xf numFmtId="5" fontId="10" fillId="0" borderId="0" xfId="18" applyNumberFormat="1" applyFont="1" applyFill="1" applyBorder="1"/>
    <xf numFmtId="0" fontId="10" fillId="15" borderId="0" xfId="3" applyFont="1" applyFill="1" applyBorder="1"/>
    <xf numFmtId="0" fontId="10" fillId="15" borderId="23" xfId="3" applyFont="1" applyFill="1" applyBorder="1"/>
    <xf numFmtId="0" fontId="11" fillId="5" borderId="16" xfId="3" applyFont="1" applyFill="1" applyBorder="1"/>
    <xf numFmtId="41" fontId="10" fillId="5" borderId="16" xfId="3" applyNumberFormat="1" applyFont="1" applyFill="1" applyBorder="1" applyAlignment="1">
      <alignment horizontal="right"/>
    </xf>
    <xf numFmtId="41" fontId="10" fillId="5" borderId="39" xfId="3" applyNumberFormat="1" applyFont="1" applyFill="1" applyBorder="1"/>
    <xf numFmtId="0" fontId="10" fillId="6" borderId="39" xfId="3" applyFont="1" applyFill="1" applyBorder="1"/>
    <xf numFmtId="41" fontId="10" fillId="5" borderId="16" xfId="3" applyNumberFormat="1" applyFont="1" applyFill="1" applyBorder="1"/>
    <xf numFmtId="0" fontId="11" fillId="14" borderId="16" xfId="3" applyFont="1" applyFill="1" applyBorder="1"/>
    <xf numFmtId="3" fontId="10" fillId="14" borderId="16" xfId="3" applyNumberFormat="1" applyFont="1" applyFill="1" applyBorder="1"/>
    <xf numFmtId="3" fontId="10" fillId="14" borderId="39" xfId="3" applyNumberFormat="1" applyFont="1" applyFill="1" applyBorder="1"/>
    <xf numFmtId="41" fontId="73" fillId="0" borderId="0" xfId="4" applyNumberFormat="1" applyFont="1" applyFill="1" applyBorder="1"/>
    <xf numFmtId="0" fontId="11" fillId="15" borderId="0" xfId="3" applyFont="1" applyFill="1"/>
    <xf numFmtId="0" fontId="75" fillId="0" borderId="23" xfId="3" applyFont="1" applyFill="1" applyBorder="1"/>
    <xf numFmtId="3" fontId="75" fillId="0" borderId="0" xfId="3" applyNumberFormat="1" applyFont="1" applyFill="1" applyBorder="1"/>
    <xf numFmtId="175" fontId="75" fillId="0" borderId="0" xfId="18" applyNumberFormat="1" applyFont="1" applyFill="1" applyBorder="1"/>
    <xf numFmtId="0" fontId="75" fillId="0" borderId="0" xfId="3" applyFont="1" applyFill="1" applyBorder="1"/>
    <xf numFmtId="10" fontId="75" fillId="0" borderId="23" xfId="3" applyNumberFormat="1" applyFont="1" applyFill="1" applyBorder="1"/>
    <xf numFmtId="167" fontId="75" fillId="0" borderId="0" xfId="32" applyNumberFormat="1" applyFont="1" applyFill="1" applyBorder="1"/>
    <xf numFmtId="10" fontId="75" fillId="0" borderId="0" xfId="3" applyNumberFormat="1" applyFont="1" applyFill="1" applyBorder="1"/>
    <xf numFmtId="167" fontId="75" fillId="0" borderId="23" xfId="3" applyNumberFormat="1" applyFont="1" applyFill="1" applyBorder="1"/>
    <xf numFmtId="167" fontId="75" fillId="0" borderId="0" xfId="3" applyNumberFormat="1" applyFont="1" applyFill="1" applyBorder="1"/>
    <xf numFmtId="10" fontId="75" fillId="0" borderId="23" xfId="3" applyNumberFormat="1" applyFont="1" applyFill="1" applyBorder="1" applyAlignment="1">
      <alignment horizontal="right"/>
    </xf>
    <xf numFmtId="167" fontId="75" fillId="0" borderId="0" xfId="3" applyNumberFormat="1" applyFont="1" applyFill="1" applyAlignment="1">
      <alignment horizontal="right"/>
    </xf>
    <xf numFmtId="175" fontId="75" fillId="0" borderId="0" xfId="3" applyNumberFormat="1" applyFont="1" applyFill="1" applyBorder="1"/>
    <xf numFmtId="2" fontId="75" fillId="0" borderId="0" xfId="32" applyNumberFormat="1" applyFont="1" applyFill="1" applyBorder="1"/>
    <xf numFmtId="175" fontId="75" fillId="0" borderId="23" xfId="3" applyNumberFormat="1" applyFont="1" applyFill="1" applyBorder="1"/>
    <xf numFmtId="165" fontId="75" fillId="0" borderId="0" xfId="3" applyNumberFormat="1" applyFont="1" applyFill="1" applyBorder="1"/>
    <xf numFmtId="43" fontId="75" fillId="0" borderId="0" xfId="3" applyNumberFormat="1" applyFont="1" applyFill="1" applyBorder="1"/>
    <xf numFmtId="10" fontId="18" fillId="0" borderId="0" xfId="3" applyNumberFormat="1" applyFont="1" applyFill="1" applyBorder="1" applyAlignment="1">
      <alignment horizontal="right"/>
    </xf>
    <xf numFmtId="0" fontId="10" fillId="0" borderId="16" xfId="3" applyFont="1" applyFill="1" applyBorder="1" applyAlignment="1">
      <alignment horizontal="left"/>
    </xf>
    <xf numFmtId="0" fontId="2" fillId="0" borderId="16" xfId="3" applyFont="1" applyFill="1" applyBorder="1"/>
    <xf numFmtId="1" fontId="10" fillId="0" borderId="16" xfId="3" applyNumberFormat="1" applyFont="1" applyFill="1" applyBorder="1"/>
    <xf numFmtId="1" fontId="10" fillId="0" borderId="39" xfId="3" applyNumberFormat="1" applyFont="1" applyFill="1" applyBorder="1"/>
    <xf numFmtId="0" fontId="10" fillId="0" borderId="0" xfId="4" applyFont="1"/>
    <xf numFmtId="175" fontId="18" fillId="0" borderId="0" xfId="4" applyNumberFormat="1" applyFont="1" applyAlignment="1">
      <alignment horizontal="right"/>
    </xf>
    <xf numFmtId="175" fontId="18" fillId="0" borderId="23" xfId="4" applyNumberFormat="1" applyFont="1" applyBorder="1" applyAlignment="1">
      <alignment horizontal="right"/>
    </xf>
    <xf numFmtId="0" fontId="10" fillId="6" borderId="23" xfId="4" applyFont="1" applyFill="1" applyBorder="1"/>
    <xf numFmtId="167" fontId="18" fillId="0" borderId="0" xfId="32" applyNumberFormat="1" applyFont="1" applyAlignment="1">
      <alignment horizontal="right"/>
    </xf>
    <xf numFmtId="167" fontId="18" fillId="0" borderId="23" xfId="32" applyNumberFormat="1" applyFont="1" applyBorder="1" applyAlignment="1">
      <alignment horizontal="right"/>
    </xf>
    <xf numFmtId="10" fontId="18" fillId="0" borderId="0" xfId="4" applyNumberFormat="1" applyFont="1" applyAlignment="1">
      <alignment horizontal="right"/>
    </xf>
    <xf numFmtId="10" fontId="18" fillId="0" borderId="23" xfId="4" applyNumberFormat="1" applyFont="1" applyBorder="1" applyAlignment="1">
      <alignment horizontal="right"/>
    </xf>
    <xf numFmtId="175" fontId="10" fillId="0" borderId="0" xfId="4" applyNumberFormat="1" applyFont="1" applyFill="1" applyBorder="1"/>
    <xf numFmtId="175" fontId="10" fillId="0" borderId="23" xfId="4" applyNumberFormat="1" applyFont="1" applyBorder="1"/>
    <xf numFmtId="175" fontId="75" fillId="0" borderId="0" xfId="4" applyNumberFormat="1" applyFont="1" applyBorder="1"/>
    <xf numFmtId="175" fontId="75" fillId="0" borderId="0" xfId="4" applyNumberFormat="1" applyFont="1" applyFill="1" applyBorder="1"/>
    <xf numFmtId="175" fontId="10" fillId="0" borderId="0" xfId="4" applyNumberFormat="1" applyFont="1" applyAlignment="1">
      <alignment horizontal="right"/>
    </xf>
    <xf numFmtId="175" fontId="10" fillId="0" borderId="0" xfId="4" applyNumberFormat="1" applyFont="1"/>
    <xf numFmtId="175" fontId="10" fillId="0" borderId="23" xfId="4" applyNumberFormat="1" applyFont="1" applyBorder="1" applyAlignment="1">
      <alignment horizontal="right"/>
    </xf>
    <xf numFmtId="2" fontId="10" fillId="0" borderId="0" xfId="32" applyNumberFormat="1" applyFont="1" applyBorder="1"/>
    <xf numFmtId="2" fontId="75" fillId="0" borderId="0" xfId="32" applyNumberFormat="1" applyFont="1" applyBorder="1"/>
    <xf numFmtId="175" fontId="18" fillId="0" borderId="19" xfId="4" applyNumberFormat="1" applyFont="1" applyBorder="1" applyAlignment="1">
      <alignment horizontal="right"/>
    </xf>
    <xf numFmtId="175" fontId="75" fillId="0" borderId="23" xfId="4" applyNumberFormat="1" applyFont="1" applyBorder="1"/>
    <xf numFmtId="175" fontId="18" fillId="0" borderId="0" xfId="4" applyNumberFormat="1" applyFont="1" applyBorder="1" applyAlignment="1">
      <alignment horizontal="right"/>
    </xf>
    <xf numFmtId="0" fontId="10" fillId="0" borderId="0" xfId="3" applyFont="1" applyFill="1" applyBorder="1" applyAlignment="1">
      <alignment horizontal="center"/>
    </xf>
    <xf numFmtId="0" fontId="10" fillId="0" borderId="0" xfId="4" applyFont="1" applyFill="1" applyAlignment="1">
      <alignment horizontal="center"/>
    </xf>
    <xf numFmtId="0" fontId="14" fillId="13" borderId="0" xfId="3" applyFont="1" applyFill="1" applyBorder="1" applyAlignment="1">
      <alignment horizontal="left"/>
    </xf>
    <xf numFmtId="0" fontId="13" fillId="5" borderId="0" xfId="30" applyFont="1" applyFill="1" applyBorder="1" applyAlignment="1">
      <alignment horizontal="left"/>
    </xf>
    <xf numFmtId="0" fontId="10" fillId="0" borderId="0" xfId="3" applyFont="1" applyBorder="1" applyAlignment="1">
      <alignment horizontal="left"/>
    </xf>
    <xf numFmtId="0" fontId="24" fillId="5" borderId="0" xfId="3" applyFont="1" applyFill="1" applyBorder="1"/>
    <xf numFmtId="0" fontId="44" fillId="0" borderId="0" xfId="3" applyFont="1" applyBorder="1"/>
    <xf numFmtId="0" fontId="11" fillId="5" borderId="0" xfId="3" applyFont="1" applyFill="1" applyBorder="1" applyAlignment="1">
      <alignment wrapText="1"/>
    </xf>
    <xf numFmtId="0" fontId="20" fillId="0" borderId="0" xfId="3" applyFont="1" applyBorder="1" applyAlignment="1">
      <alignment wrapText="1"/>
    </xf>
    <xf numFmtId="0" fontId="11" fillId="5" borderId="0" xfId="4" applyFont="1" applyFill="1" applyBorder="1" applyAlignment="1">
      <alignment wrapText="1"/>
    </xf>
    <xf numFmtId="0" fontId="20" fillId="0" borderId="0" xfId="4" applyFont="1" applyBorder="1" applyAlignment="1">
      <alignment wrapText="1"/>
    </xf>
    <xf numFmtId="0" fontId="20" fillId="0" borderId="0" xfId="4" applyFont="1" applyBorder="1"/>
    <xf numFmtId="0" fontId="10" fillId="14" borderId="18" xfId="3" applyFont="1" applyFill="1" applyBorder="1"/>
    <xf numFmtId="176" fontId="10" fillId="14" borderId="0" xfId="18" applyNumberFormat="1" applyFont="1" applyFill="1" applyBorder="1"/>
    <xf numFmtId="177" fontId="10" fillId="14" borderId="23" xfId="18" applyNumberFormat="1" applyFont="1" applyFill="1" applyBorder="1"/>
    <xf numFmtId="176" fontId="10" fillId="14" borderId="0" xfId="18" applyNumberFormat="1" applyFont="1" applyFill="1"/>
    <xf numFmtId="177" fontId="10" fillId="14" borderId="0" xfId="3" applyNumberFormat="1" applyFont="1" applyFill="1"/>
    <xf numFmtId="177" fontId="10" fillId="14" borderId="0" xfId="18" applyNumberFormat="1" applyFont="1" applyFill="1"/>
    <xf numFmtId="182" fontId="10" fillId="0" borderId="0" xfId="18" applyNumberFormat="1" applyFont="1"/>
    <xf numFmtId="182" fontId="10" fillId="14" borderId="0" xfId="18" applyNumberFormat="1" applyFont="1" applyFill="1"/>
    <xf numFmtId="182" fontId="10" fillId="14" borderId="23" xfId="18" applyNumberFormat="1" applyFont="1" applyFill="1" applyBorder="1"/>
    <xf numFmtId="182" fontId="19" fillId="0" borderId="0" xfId="18" applyNumberFormat="1" applyFont="1" applyBorder="1"/>
    <xf numFmtId="182" fontId="10" fillId="0" borderId="21" xfId="18" applyNumberFormat="1" applyFont="1" applyBorder="1"/>
    <xf numFmtId="182" fontId="10" fillId="0" borderId="24" xfId="18" applyNumberFormat="1" applyFont="1" applyBorder="1"/>
    <xf numFmtId="10" fontId="10" fillId="0" borderId="39" xfId="32" applyNumberFormat="1" applyFont="1" applyBorder="1"/>
    <xf numFmtId="10" fontId="75" fillId="0" borderId="16" xfId="32" applyNumberFormat="1" applyFont="1" applyBorder="1"/>
    <xf numFmtId="0" fontId="20" fillId="14" borderId="20" xfId="3" applyFont="1" applyFill="1" applyBorder="1"/>
    <xf numFmtId="0" fontId="10" fillId="14" borderId="21" xfId="3" applyFont="1" applyFill="1" applyBorder="1"/>
    <xf numFmtId="0" fontId="10" fillId="14" borderId="24" xfId="3" applyFont="1" applyFill="1" applyBorder="1"/>
    <xf numFmtId="175" fontId="10" fillId="14" borderId="21" xfId="18" applyNumberFormat="1" applyFont="1" applyFill="1" applyBorder="1"/>
    <xf numFmtId="175" fontId="10" fillId="14" borderId="24" xfId="3" applyNumberFormat="1" applyFont="1" applyFill="1" applyBorder="1"/>
    <xf numFmtId="175" fontId="10" fillId="14" borderId="24" xfId="18" applyNumberFormat="1" applyFont="1" applyFill="1" applyBorder="1"/>
    <xf numFmtId="175" fontId="18" fillId="14" borderId="21" xfId="18" applyNumberFormat="1" applyFont="1" applyFill="1" applyBorder="1"/>
    <xf numFmtId="182" fontId="10" fillId="0" borderId="24" xfId="3" applyNumberFormat="1" applyFont="1" applyBorder="1"/>
    <xf numFmtId="0" fontId="20" fillId="14" borderId="18" xfId="3" applyFont="1" applyFill="1" applyBorder="1"/>
    <xf numFmtId="176" fontId="10" fillId="14" borderId="23" xfId="18" applyNumberFormat="1" applyFont="1" applyFill="1" applyBorder="1"/>
    <xf numFmtId="177" fontId="10" fillId="14" borderId="0" xfId="18" applyNumberFormat="1" applyFont="1" applyFill="1" applyBorder="1"/>
    <xf numFmtId="182" fontId="10" fillId="14" borderId="0" xfId="18" applyNumberFormat="1" applyFont="1" applyFill="1" applyBorder="1"/>
    <xf numFmtId="0" fontId="10" fillId="14" borderId="0" xfId="3" applyFont="1" applyFill="1" applyBorder="1"/>
    <xf numFmtId="41" fontId="10" fillId="14" borderId="23" xfId="3" applyNumberFormat="1" applyFont="1" applyFill="1" applyBorder="1"/>
    <xf numFmtId="41" fontId="10" fillId="14" borderId="0" xfId="18" applyNumberFormat="1" applyFont="1" applyFill="1" applyBorder="1"/>
    <xf numFmtId="182" fontId="10" fillId="14" borderId="23" xfId="3" applyNumberFormat="1" applyFont="1" applyFill="1" applyBorder="1"/>
    <xf numFmtId="41" fontId="10" fillId="14" borderId="24" xfId="3" applyNumberFormat="1" applyFont="1" applyFill="1" applyBorder="1"/>
    <xf numFmtId="41" fontId="10" fillId="14" borderId="21" xfId="18" applyNumberFormat="1" applyFont="1" applyFill="1" applyBorder="1"/>
    <xf numFmtId="182" fontId="10" fillId="14" borderId="21" xfId="18" applyNumberFormat="1" applyFont="1" applyFill="1" applyBorder="1"/>
    <xf numFmtId="182" fontId="10" fillId="14" borderId="24" xfId="3" applyNumberFormat="1" applyFont="1" applyFill="1" applyBorder="1"/>
    <xf numFmtId="174" fontId="10" fillId="0" borderId="0" xfId="18" applyNumberFormat="1" applyFont="1" applyBorder="1"/>
    <xf numFmtId="0" fontId="44" fillId="14" borderId="0" xfId="3" applyFont="1" applyFill="1" applyBorder="1"/>
    <xf numFmtId="0" fontId="44" fillId="14" borderId="30" xfId="3" applyFont="1" applyFill="1" applyBorder="1"/>
    <xf numFmtId="0" fontId="20" fillId="0" borderId="0" xfId="3" applyFont="1" applyFill="1" applyBorder="1"/>
    <xf numFmtId="0" fontId="44" fillId="0" borderId="0" xfId="3" applyFont="1" applyFill="1" applyBorder="1"/>
    <xf numFmtId="37" fontId="10" fillId="0" borderId="0" xfId="18" applyNumberFormat="1" applyFont="1" applyFill="1" applyBorder="1"/>
    <xf numFmtId="37" fontId="10" fillId="0" borderId="23" xfId="18" applyNumberFormat="1" applyFont="1" applyFill="1" applyBorder="1"/>
    <xf numFmtId="182" fontId="18" fillId="0" borderId="0" xfId="18" applyNumberFormat="1" applyFont="1"/>
    <xf numFmtId="182" fontId="10" fillId="0" borderId="0" xfId="4" applyNumberFormat="1" applyFont="1"/>
    <xf numFmtId="182" fontId="10" fillId="0" borderId="21" xfId="3" applyNumberFormat="1" applyFont="1" applyBorder="1"/>
    <xf numFmtId="182" fontId="73" fillId="0" borderId="21" xfId="3" applyNumberFormat="1" applyFont="1" applyBorder="1"/>
    <xf numFmtId="182" fontId="75" fillId="0" borderId="21" xfId="3" applyNumberFormat="1" applyFont="1" applyBorder="1"/>
    <xf numFmtId="174" fontId="10" fillId="0" borderId="0" xfId="3" applyNumberFormat="1" applyFont="1"/>
    <xf numFmtId="174" fontId="10" fillId="0" borderId="21" xfId="3" applyNumberFormat="1" applyFont="1" applyBorder="1"/>
    <xf numFmtId="174" fontId="10" fillId="0" borderId="23" xfId="3" applyNumberFormat="1" applyFont="1" applyBorder="1"/>
    <xf numFmtId="174" fontId="10" fillId="0" borderId="24" xfId="3" applyNumberFormat="1" applyFont="1" applyBorder="1"/>
    <xf numFmtId="174" fontId="18" fillId="0" borderId="0" xfId="3" applyNumberFormat="1" applyFont="1"/>
    <xf numFmtId="174" fontId="50" fillId="0" borderId="0" xfId="3" applyNumberFormat="1" applyFont="1"/>
    <xf numFmtId="174" fontId="10" fillId="0" borderId="0" xfId="18" applyNumberFormat="1" applyFont="1"/>
    <xf numFmtId="168" fontId="10" fillId="0" borderId="0" xfId="3" applyNumberFormat="1" applyFont="1" applyBorder="1"/>
    <xf numFmtId="168" fontId="73" fillId="0" borderId="0" xfId="18" applyNumberFormat="1" applyFont="1"/>
    <xf numFmtId="168" fontId="18" fillId="0" borderId="0" xfId="18" applyNumberFormat="1" applyFont="1"/>
    <xf numFmtId="168" fontId="10" fillId="0" borderId="24" xfId="3" applyNumberFormat="1" applyFont="1" applyBorder="1"/>
    <xf numFmtId="168" fontId="65" fillId="0" borderId="0" xfId="3" applyNumberFormat="1" applyFont="1" applyBorder="1"/>
    <xf numFmtId="168" fontId="10" fillId="0" borderId="23" xfId="3" applyNumberFormat="1" applyFont="1" applyBorder="1"/>
    <xf numFmtId="168" fontId="10" fillId="0" borderId="0" xfId="3" applyNumberFormat="1" applyFont="1"/>
    <xf numFmtId="168" fontId="10" fillId="0" borderId="21" xfId="18" applyNumberFormat="1" applyFont="1" applyBorder="1"/>
    <xf numFmtId="177" fontId="10" fillId="0" borderId="0" xfId="3" applyNumberFormat="1" applyFont="1" applyBorder="1"/>
    <xf numFmtId="177" fontId="10" fillId="0" borderId="23" xfId="3" applyNumberFormat="1" applyFont="1" applyBorder="1"/>
    <xf numFmtId="168" fontId="10" fillId="0" borderId="0" xfId="4" applyNumberFormat="1" applyFont="1"/>
    <xf numFmtId="182" fontId="75" fillId="0" borderId="0" xfId="3" applyNumberFormat="1" applyFont="1"/>
    <xf numFmtId="174" fontId="10" fillId="0" borderId="0" xfId="4" applyNumberFormat="1" applyFont="1"/>
    <xf numFmtId="174" fontId="10" fillId="0" borderId="21" xfId="18" applyNumberFormat="1" applyFont="1" applyBorder="1"/>
    <xf numFmtId="174" fontId="75" fillId="0" borderId="0" xfId="3" applyNumberFormat="1" applyFont="1"/>
    <xf numFmtId="174" fontId="10" fillId="0" borderId="19" xfId="3" applyNumberFormat="1" applyFont="1" applyBorder="1"/>
    <xf numFmtId="182" fontId="10" fillId="0" borderId="16" xfId="3" applyNumberFormat="1" applyFont="1" applyBorder="1"/>
    <xf numFmtId="177" fontId="10" fillId="0" borderId="0" xfId="4" applyNumberFormat="1" applyFont="1"/>
    <xf numFmtId="177" fontId="10" fillId="0" borderId="0" xfId="4" applyNumberFormat="1" applyFont="1" applyBorder="1"/>
    <xf numFmtId="177" fontId="10" fillId="0" borderId="23" xfId="4" applyNumberFormat="1" applyFont="1" applyBorder="1"/>
    <xf numFmtId="174" fontId="10" fillId="0" borderId="23" xfId="4" applyNumberFormat="1" applyFont="1" applyBorder="1"/>
    <xf numFmtId="174" fontId="10" fillId="0" borderId="0" xfId="4" applyNumberFormat="1" applyFont="1" applyBorder="1"/>
    <xf numFmtId="174" fontId="75" fillId="0" borderId="0" xfId="4" applyNumberFormat="1" applyFont="1"/>
    <xf numFmtId="0" fontId="13" fillId="14" borderId="0" xfId="3" applyFont="1" applyFill="1" applyBorder="1"/>
    <xf numFmtId="0" fontId="10" fillId="14" borderId="0" xfId="3" applyFont="1" applyFill="1"/>
    <xf numFmtId="0" fontId="13" fillId="14" borderId="0" xfId="4" applyFont="1" applyFill="1" applyBorder="1"/>
    <xf numFmtId="182" fontId="10" fillId="5" borderId="29" xfId="3" applyNumberFormat="1" applyFont="1" applyFill="1" applyBorder="1"/>
    <xf numFmtId="182" fontId="10" fillId="5" borderId="29" xfId="4" applyNumberFormat="1" applyFont="1" applyFill="1" applyBorder="1"/>
    <xf numFmtId="182" fontId="10" fillId="5" borderId="30" xfId="3" applyNumberFormat="1" applyFont="1" applyFill="1" applyBorder="1"/>
    <xf numFmtId="182" fontId="75" fillId="0" borderId="0" xfId="4" applyNumberFormat="1" applyFont="1"/>
    <xf numFmtId="182" fontId="75" fillId="0" borderId="21" xfId="4" applyNumberFormat="1" applyFont="1" applyBorder="1"/>
    <xf numFmtId="174" fontId="10" fillId="0" borderId="0" xfId="3" applyNumberFormat="1" applyFont="1" applyBorder="1"/>
    <xf numFmtId="165" fontId="10" fillId="14" borderId="0" xfId="18" applyNumberFormat="1" applyFont="1" applyFill="1" applyBorder="1"/>
    <xf numFmtId="165" fontId="3" fillId="0" borderId="0" xfId="3" applyNumberFormat="1" applyFill="1"/>
    <xf numFmtId="165" fontId="3" fillId="0" borderId="0" xfId="3" applyNumberFormat="1" applyFill="1" applyBorder="1"/>
    <xf numFmtId="0" fontId="0" fillId="0" borderId="0" xfId="3" applyNumberFormat="1" applyFont="1" applyFill="1"/>
    <xf numFmtId="165" fontId="3" fillId="0" borderId="0" xfId="3" applyNumberFormat="1" applyFont="1" applyFill="1"/>
    <xf numFmtId="165" fontId="10" fillId="0" borderId="20" xfId="3" applyNumberFormat="1" applyFont="1" applyFill="1" applyBorder="1"/>
    <xf numFmtId="165" fontId="10" fillId="0" borderId="21" xfId="3" applyNumberFormat="1" applyFont="1" applyFill="1" applyBorder="1"/>
    <xf numFmtId="174" fontId="51" fillId="0" borderId="21" xfId="18" applyNumberFormat="1" applyFont="1" applyFill="1" applyBorder="1"/>
    <xf numFmtId="174" fontId="10" fillId="0" borderId="24" xfId="18" applyNumberFormat="1" applyFont="1" applyFill="1" applyBorder="1"/>
    <xf numFmtId="174" fontId="19" fillId="0" borderId="21" xfId="18" applyNumberFormat="1" applyFont="1" applyFill="1" applyBorder="1"/>
    <xf numFmtId="174" fontId="50" fillId="0" borderId="0" xfId="3" applyNumberFormat="1" applyFont="1" applyFill="1" applyBorder="1"/>
    <xf numFmtId="174" fontId="50" fillId="0" borderId="34" xfId="18" applyNumberFormat="1" applyFont="1" applyFill="1" applyBorder="1"/>
    <xf numFmtId="5" fontId="11" fillId="0" borderId="38" xfId="18" applyNumberFormat="1" applyFont="1" applyFill="1" applyBorder="1"/>
    <xf numFmtId="5" fontId="11" fillId="0" borderId="10" xfId="18" applyNumberFormat="1" applyFont="1" applyFill="1" applyBorder="1"/>
    <xf numFmtId="0" fontId="10" fillId="0" borderId="0" xfId="1" applyFont="1" applyFill="1" applyAlignment="1">
      <alignment horizontal="left"/>
    </xf>
    <xf numFmtId="0" fontId="10" fillId="0" borderId="21" xfId="1" applyFont="1" applyFill="1" applyBorder="1" applyAlignment="1">
      <alignment horizontal="left"/>
    </xf>
    <xf numFmtId="0" fontId="10" fillId="0" borderId="21" xfId="4" applyFont="1" applyFill="1" applyBorder="1"/>
    <xf numFmtId="0" fontId="10" fillId="0" borderId="24" xfId="4" applyFont="1" applyFill="1" applyBorder="1"/>
    <xf numFmtId="0" fontId="10" fillId="0" borderId="15" xfId="4" applyFont="1" applyBorder="1"/>
    <xf numFmtId="0" fontId="10" fillId="0" borderId="17" xfId="3" applyFont="1" applyFill="1" applyBorder="1"/>
    <xf numFmtId="6" fontId="10" fillId="0" borderId="20" xfId="4" applyNumberFormat="1" applyFont="1" applyBorder="1"/>
    <xf numFmtId="6" fontId="10" fillId="0" borderId="22" xfId="4" applyNumberFormat="1" applyFont="1" applyBorder="1"/>
    <xf numFmtId="182" fontId="10" fillId="5" borderId="0" xfId="3" applyNumberFormat="1" applyFont="1" applyFill="1" applyBorder="1"/>
    <xf numFmtId="0" fontId="11" fillId="16" borderId="29" xfId="3" applyFont="1" applyFill="1" applyBorder="1"/>
    <xf numFmtId="176" fontId="11" fillId="16" borderId="29" xfId="18" applyNumberFormat="1" applyFont="1" applyFill="1" applyBorder="1"/>
    <xf numFmtId="176" fontId="11" fillId="16" borderId="30" xfId="18" applyNumberFormat="1" applyFont="1" applyFill="1" applyBorder="1"/>
    <xf numFmtId="176" fontId="11" fillId="16" borderId="29" xfId="3" applyNumberFormat="1" applyFont="1" applyFill="1" applyBorder="1"/>
    <xf numFmtId="177" fontId="11" fillId="16" borderId="30" xfId="18" applyNumberFormat="1" applyFont="1" applyFill="1" applyBorder="1"/>
    <xf numFmtId="177" fontId="27" fillId="16" borderId="29" xfId="3" applyNumberFormat="1" applyFont="1" applyFill="1" applyBorder="1"/>
    <xf numFmtId="177" fontId="11" fillId="16" borderId="29" xfId="18" applyNumberFormat="1" applyFont="1" applyFill="1" applyBorder="1"/>
    <xf numFmtId="0" fontId="11" fillId="16" borderId="30" xfId="3" applyFont="1" applyFill="1" applyBorder="1"/>
    <xf numFmtId="175" fontId="18" fillId="0" borderId="34" xfId="18" applyNumberFormat="1" applyFont="1" applyFill="1" applyBorder="1" applyAlignment="1">
      <alignment horizontal="right"/>
    </xf>
    <xf numFmtId="175" fontId="10" fillId="0" borderId="35" xfId="18" applyNumberFormat="1" applyFont="1" applyFill="1" applyBorder="1" applyAlignment="1">
      <alignment horizontal="right"/>
    </xf>
    <xf numFmtId="174" fontId="10" fillId="0" borderId="34" xfId="3" applyNumberFormat="1" applyFont="1" applyBorder="1"/>
    <xf numFmtId="0" fontId="11" fillId="16" borderId="29" xfId="3" applyFont="1" applyFill="1" applyBorder="1" applyAlignment="1">
      <alignment horizontal="left"/>
    </xf>
    <xf numFmtId="0" fontId="10" fillId="16" borderId="29" xfId="3" applyFont="1" applyFill="1" applyBorder="1"/>
    <xf numFmtId="0" fontId="10" fillId="16" borderId="30" xfId="3" applyFont="1" applyFill="1" applyBorder="1"/>
    <xf numFmtId="167" fontId="10" fillId="16" borderId="29" xfId="32" applyNumberFormat="1" applyFont="1" applyFill="1" applyBorder="1"/>
    <xf numFmtId="175" fontId="10" fillId="16" borderId="29" xfId="18" applyNumberFormat="1" applyFont="1" applyFill="1" applyBorder="1"/>
    <xf numFmtId="175" fontId="10" fillId="16" borderId="30" xfId="18" applyNumberFormat="1" applyFont="1" applyFill="1" applyBorder="1"/>
    <xf numFmtId="175" fontId="18" fillId="16" borderId="29" xfId="3" applyNumberFormat="1" applyFont="1" applyFill="1" applyBorder="1"/>
    <xf numFmtId="175" fontId="10" fillId="16" borderId="30" xfId="3" applyNumberFormat="1" applyFont="1" applyFill="1" applyBorder="1"/>
    <xf numFmtId="0" fontId="13" fillId="14" borderId="0" xfId="3" applyFont="1" applyFill="1" applyAlignment="1">
      <alignment horizontal="left" indent="1"/>
    </xf>
    <xf numFmtId="167" fontId="13" fillId="14" borderId="23" xfId="3" applyNumberFormat="1" applyFont="1" applyFill="1" applyBorder="1"/>
    <xf numFmtId="167" fontId="30" fillId="14" borderId="0" xfId="3" applyNumberFormat="1" applyFont="1" applyFill="1"/>
    <xf numFmtId="167" fontId="30" fillId="14" borderId="0" xfId="32" applyNumberFormat="1" applyFont="1" applyFill="1"/>
    <xf numFmtId="167" fontId="10" fillId="14" borderId="23" xfId="32" applyNumberFormat="1" applyFont="1" applyFill="1" applyBorder="1" applyAlignment="1">
      <alignment horizontal="right"/>
    </xf>
    <xf numFmtId="167" fontId="10" fillId="14" borderId="0" xfId="32" applyNumberFormat="1" applyFont="1" applyFill="1"/>
    <xf numFmtId="167" fontId="10" fillId="14" borderId="23" xfId="32" applyNumberFormat="1" applyFont="1" applyFill="1" applyBorder="1"/>
    <xf numFmtId="167" fontId="10" fillId="14" borderId="0" xfId="32" applyNumberFormat="1" applyFont="1" applyFill="1" applyAlignment="1">
      <alignment horizontal="right"/>
    </xf>
    <xf numFmtId="167" fontId="19" fillId="14" borderId="0" xfId="32" applyNumberFormat="1" applyFont="1" applyFill="1"/>
    <xf numFmtId="10" fontId="50" fillId="0" borderId="16" xfId="32" applyNumberFormat="1" applyFont="1" applyBorder="1"/>
    <xf numFmtId="182" fontId="50" fillId="0" borderId="0" xfId="3" applyNumberFormat="1" applyFont="1"/>
    <xf numFmtId="174" fontId="50" fillId="0" borderId="21" xfId="3" applyNumberFormat="1" applyFont="1" applyBorder="1"/>
    <xf numFmtId="182" fontId="50" fillId="0" borderId="21" xfId="3" applyNumberFormat="1" applyFont="1" applyBorder="1"/>
    <xf numFmtId="169" fontId="31" fillId="4" borderId="0" xfId="20" applyNumberFormat="1" applyFont="1" applyFill="1"/>
    <xf numFmtId="169" fontId="2" fillId="4" borderId="0" xfId="20" applyNumberFormat="1" applyFont="1" applyFill="1"/>
    <xf numFmtId="169" fontId="32" fillId="4" borderId="0" xfId="20" applyNumberFormat="1" applyFont="1" applyFill="1"/>
    <xf numFmtId="169" fontId="28" fillId="4" borderId="0" xfId="20" applyNumberFormat="1" applyFont="1" applyFill="1"/>
    <xf numFmtId="0" fontId="2" fillId="0" borderId="0" xfId="24"/>
    <xf numFmtId="165" fontId="2" fillId="0" borderId="0" xfId="3" applyNumberFormat="1" applyFont="1" applyBorder="1"/>
    <xf numFmtId="0" fontId="2" fillId="0" borderId="0" xfId="3" applyNumberFormat="1" applyFont="1"/>
    <xf numFmtId="165" fontId="2" fillId="0" borderId="0" xfId="3" applyNumberFormat="1" applyFont="1"/>
    <xf numFmtId="165" fontId="10" fillId="0" borderId="28" xfId="3" applyNumberFormat="1" applyFont="1" applyFill="1" applyBorder="1"/>
    <xf numFmtId="165" fontId="10" fillId="0" borderId="29" xfId="3" applyNumberFormat="1" applyFont="1" applyFill="1" applyBorder="1"/>
    <xf numFmtId="174" fontId="10" fillId="0" borderId="29" xfId="3" applyNumberFormat="1" applyFont="1" applyFill="1" applyBorder="1"/>
    <xf numFmtId="174" fontId="10" fillId="0" borderId="30" xfId="3" applyNumberFormat="1" applyFont="1" applyFill="1" applyBorder="1"/>
    <xf numFmtId="7" fontId="10" fillId="0" borderId="0" xfId="20" applyNumberFormat="1" applyFont="1" applyFill="1"/>
    <xf numFmtId="7" fontId="10" fillId="0" borderId="23" xfId="20" applyNumberFormat="1" applyFont="1" applyFill="1" applyBorder="1"/>
    <xf numFmtId="174" fontId="50" fillId="0" borderId="55" xfId="18" applyNumberFormat="1" applyFont="1" applyFill="1" applyBorder="1"/>
    <xf numFmtId="174" fontId="50" fillId="0" borderId="36" xfId="18" applyNumberFormat="1" applyFont="1" applyFill="1" applyBorder="1"/>
    <xf numFmtId="165" fontId="31" fillId="0" borderId="0" xfId="3" applyNumberFormat="1" applyFont="1" applyBorder="1"/>
    <xf numFmtId="0" fontId="31" fillId="0" borderId="0" xfId="3" applyNumberFormat="1" applyFont="1"/>
    <xf numFmtId="165" fontId="31" fillId="0" borderId="0" xfId="3" applyNumberFormat="1" applyFont="1"/>
    <xf numFmtId="175" fontId="73" fillId="0" borderId="0" xfId="3" applyNumberFormat="1" applyFont="1" applyFill="1"/>
    <xf numFmtId="39" fontId="63" fillId="0" borderId="18" xfId="18" applyNumberFormat="1" applyFont="1" applyFill="1" applyBorder="1" applyAlignment="1">
      <alignment horizontal="center"/>
    </xf>
    <xf numFmtId="39" fontId="63" fillId="0" borderId="19" xfId="18" applyNumberFormat="1" applyFont="1" applyFill="1" applyBorder="1" applyAlignment="1">
      <alignment horizontal="center"/>
    </xf>
    <xf numFmtId="39" fontId="63" fillId="0" borderId="56" xfId="18" applyNumberFormat="1" applyFont="1" applyFill="1" applyBorder="1" applyAlignment="1">
      <alignment horizontal="center"/>
    </xf>
    <xf numFmtId="41" fontId="2" fillId="0" borderId="0" xfId="3" applyNumberFormat="1" applyFont="1"/>
    <xf numFmtId="0" fontId="68" fillId="0" borderId="0" xfId="23" applyFont="1" applyFill="1" applyBorder="1"/>
    <xf numFmtId="0" fontId="10" fillId="9" borderId="0" xfId="3" applyFont="1" applyFill="1" applyBorder="1"/>
    <xf numFmtId="167" fontId="50" fillId="0" borderId="21" xfId="3" applyNumberFormat="1" applyFont="1" applyFill="1" applyBorder="1"/>
    <xf numFmtId="175" fontId="50" fillId="0" borderId="23" xfId="3" applyNumberFormat="1" applyFont="1" applyFill="1" applyBorder="1"/>
    <xf numFmtId="175" fontId="50" fillId="0" borderId="24" xfId="3" applyNumberFormat="1" applyFont="1" applyFill="1" applyBorder="1"/>
    <xf numFmtId="167" fontId="18" fillId="0" borderId="19" xfId="32" applyNumberFormat="1" applyFont="1" applyFill="1" applyBorder="1" applyAlignment="1">
      <alignment horizontal="right"/>
    </xf>
    <xf numFmtId="3" fontId="18" fillId="0" borderId="19" xfId="3" applyNumberFormat="1" applyFont="1" applyFill="1" applyBorder="1" applyAlignment="1">
      <alignment horizontal="right"/>
    </xf>
    <xf numFmtId="3" fontId="18" fillId="0" borderId="19" xfId="3" applyNumberFormat="1" applyFont="1" applyFill="1" applyBorder="1"/>
    <xf numFmtId="0" fontId="75" fillId="0" borderId="23" xfId="3" applyFont="1" applyFill="1" applyBorder="1" applyAlignment="1">
      <alignment horizontal="right"/>
    </xf>
    <xf numFmtId="0" fontId="2" fillId="0" borderId="23" xfId="0" applyFont="1" applyBorder="1"/>
    <xf numFmtId="37" fontId="75" fillId="0" borderId="23" xfId="3" applyNumberFormat="1" applyFont="1" applyFill="1" applyBorder="1"/>
    <xf numFmtId="37" fontId="75" fillId="0" borderId="0" xfId="3" applyNumberFormat="1" applyFont="1" applyFill="1" applyBorder="1"/>
    <xf numFmtId="37" fontId="10" fillId="0" borderId="0" xfId="4" applyNumberFormat="1" applyFont="1" applyBorder="1"/>
    <xf numFmtId="37" fontId="75" fillId="0" borderId="23" xfId="4" applyNumberFormat="1" applyFont="1" applyBorder="1"/>
    <xf numFmtId="37" fontId="75" fillId="0" borderId="0" xfId="4" applyNumberFormat="1" applyFont="1" applyFill="1" applyBorder="1"/>
    <xf numFmtId="37" fontId="75" fillId="0" borderId="0" xfId="4" applyNumberFormat="1" applyFont="1" applyBorder="1"/>
    <xf numFmtId="37" fontId="18" fillId="0" borderId="0" xfId="4" applyNumberFormat="1" applyFont="1"/>
    <xf numFmtId="37" fontId="10" fillId="0" borderId="0" xfId="32" applyNumberFormat="1" applyFont="1" applyBorder="1"/>
    <xf numFmtId="37" fontId="10" fillId="0" borderId="0" xfId="32" applyNumberFormat="1" applyFont="1" applyFill="1" applyBorder="1"/>
    <xf numFmtId="37" fontId="10" fillId="0" borderId="23" xfId="4" applyNumberFormat="1" applyFont="1" applyBorder="1"/>
    <xf numFmtId="37" fontId="75" fillId="0" borderId="0" xfId="4" applyNumberFormat="1" applyFont="1" applyFill="1"/>
    <xf numFmtId="37" fontId="75" fillId="0" borderId="0" xfId="32" applyNumberFormat="1" applyFont="1" applyFill="1" applyBorder="1"/>
    <xf numFmtId="37" fontId="10" fillId="0" borderId="0" xfId="4" applyNumberFormat="1" applyFont="1" applyFill="1" applyBorder="1"/>
    <xf numFmtId="37" fontId="75" fillId="0" borderId="0" xfId="18" applyNumberFormat="1" applyFont="1" applyFill="1" applyBorder="1"/>
    <xf numFmtId="37" fontId="75" fillId="0" borderId="0" xfId="4" applyNumberFormat="1" applyFont="1"/>
    <xf numFmtId="37" fontId="75" fillId="0" borderId="0" xfId="32" applyNumberFormat="1" applyFont="1" applyBorder="1"/>
    <xf numFmtId="37" fontId="75" fillId="0" borderId="23" xfId="3" applyNumberFormat="1" applyFont="1" applyFill="1" applyBorder="1" applyAlignment="1">
      <alignment horizontal="right"/>
    </xf>
    <xf numFmtId="41" fontId="10" fillId="5" borderId="23" xfId="3" applyNumberFormat="1" applyFont="1" applyFill="1" applyBorder="1"/>
    <xf numFmtId="175" fontId="10" fillId="0" borderId="51" xfId="3" applyNumberFormat="1" applyFont="1" applyBorder="1"/>
    <xf numFmtId="37" fontId="18" fillId="0" borderId="34" xfId="18" applyNumberFormat="1" applyFont="1" applyFill="1" applyBorder="1"/>
    <xf numFmtId="9" fontId="10" fillId="0" borderId="23" xfId="0" quotePrefix="1" applyNumberFormat="1" applyFont="1" applyFill="1" applyBorder="1" applyAlignment="1">
      <alignment horizontal="center"/>
    </xf>
    <xf numFmtId="5" fontId="10" fillId="10" borderId="23" xfId="0" applyNumberFormat="1" applyFont="1" applyFill="1" applyBorder="1" applyAlignment="1">
      <alignment horizontal="center"/>
    </xf>
    <xf numFmtId="169" fontId="10" fillId="5" borderId="16" xfId="3" applyNumberFormat="1" applyFont="1" applyFill="1" applyBorder="1"/>
    <xf numFmtId="0" fontId="11" fillId="17" borderId="25" xfId="3" applyFont="1" applyFill="1" applyBorder="1"/>
    <xf numFmtId="0" fontId="11" fillId="17" borderId="26" xfId="3" applyFont="1" applyFill="1" applyBorder="1"/>
    <xf numFmtId="169" fontId="11" fillId="17" borderId="26" xfId="3" applyNumberFormat="1" applyFont="1" applyFill="1" applyBorder="1"/>
    <xf numFmtId="177" fontId="11" fillId="17" borderId="26" xfId="18" applyNumberFormat="1" applyFont="1" applyFill="1" applyBorder="1"/>
    <xf numFmtId="177" fontId="11" fillId="17" borderId="27" xfId="18" applyNumberFormat="1" applyFont="1" applyFill="1" applyBorder="1"/>
    <xf numFmtId="165" fontId="11" fillId="0" borderId="57" xfId="3" applyNumberFormat="1" applyFont="1" applyFill="1" applyBorder="1"/>
    <xf numFmtId="165" fontId="11" fillId="0" borderId="49" xfId="3" applyNumberFormat="1" applyFont="1" applyFill="1" applyBorder="1"/>
    <xf numFmtId="174" fontId="11" fillId="0" borderId="49" xfId="3" applyNumberFormat="1" applyFont="1" applyFill="1" applyBorder="1"/>
    <xf numFmtId="174" fontId="11" fillId="0" borderId="50" xfId="3" applyNumberFormat="1" applyFont="1" applyFill="1" applyBorder="1"/>
    <xf numFmtId="165" fontId="11" fillId="0" borderId="58" xfId="3" applyNumberFormat="1" applyFont="1" applyFill="1" applyBorder="1"/>
    <xf numFmtId="165" fontId="11" fillId="0" borderId="52" xfId="3" applyNumberFormat="1" applyFont="1" applyFill="1" applyBorder="1"/>
    <xf numFmtId="174" fontId="11" fillId="0" borderId="52" xfId="3" applyNumberFormat="1" applyFont="1" applyFill="1" applyBorder="1"/>
    <xf numFmtId="174" fontId="11" fillId="0" borderId="51" xfId="3" applyNumberFormat="1" applyFont="1" applyFill="1" applyBorder="1"/>
    <xf numFmtId="165" fontId="10" fillId="0" borderId="58" xfId="3" applyNumberFormat="1" applyFont="1" applyFill="1" applyBorder="1"/>
    <xf numFmtId="165" fontId="10" fillId="0" borderId="52" xfId="3" applyNumberFormat="1" applyFont="1" applyFill="1" applyBorder="1"/>
    <xf numFmtId="165" fontId="10" fillId="0" borderId="52" xfId="18" applyNumberFormat="1" applyFont="1" applyFill="1" applyBorder="1"/>
    <xf numFmtId="174" fontId="10" fillId="0" borderId="52" xfId="3" applyNumberFormat="1" applyFont="1" applyFill="1" applyBorder="1"/>
    <xf numFmtId="174" fontId="10" fillId="0" borderId="51" xfId="3" applyNumberFormat="1" applyFont="1" applyFill="1" applyBorder="1"/>
    <xf numFmtId="9" fontId="13" fillId="0" borderId="0" xfId="32" applyFont="1" applyFill="1" applyBorder="1" applyAlignment="1">
      <alignment horizontal="left" indent="1"/>
    </xf>
    <xf numFmtId="167" fontId="13" fillId="0" borderId="21" xfId="32" applyNumberFormat="1" applyFont="1" applyFill="1" applyBorder="1" applyAlignment="1">
      <alignment horizontal="left" indent="1"/>
    </xf>
    <xf numFmtId="167" fontId="10" fillId="0" borderId="21" xfId="32" applyNumberFormat="1" applyFont="1" applyFill="1" applyBorder="1" applyAlignment="1">
      <alignment horizontal="right"/>
    </xf>
    <xf numFmtId="7" fontId="11" fillId="17" borderId="27" xfId="20" applyNumberFormat="1" applyFont="1" applyFill="1" applyBorder="1"/>
    <xf numFmtId="174" fontId="11" fillId="0" borderId="52" xfId="18" applyNumberFormat="1" applyFont="1" applyFill="1" applyBorder="1"/>
    <xf numFmtId="7" fontId="10" fillId="0" borderId="0" xfId="20" applyNumberFormat="1" applyFont="1" applyFill="1" applyBorder="1"/>
    <xf numFmtId="0" fontId="0" fillId="0" borderId="0" xfId="3" applyFont="1" applyFill="1" applyBorder="1"/>
    <xf numFmtId="0" fontId="3" fillId="0" borderId="0" xfId="3" applyFont="1" applyFill="1" applyBorder="1"/>
    <xf numFmtId="7" fontId="11" fillId="17" borderId="26" xfId="20" applyNumberFormat="1" applyFont="1" applyFill="1" applyBorder="1"/>
    <xf numFmtId="0" fontId="11" fillId="18" borderId="13" xfId="3" applyFont="1" applyFill="1" applyBorder="1" applyAlignment="1">
      <alignment horizontal="center"/>
    </xf>
    <xf numFmtId="174" fontId="73" fillId="0" borderId="21" xfId="3" applyNumberFormat="1" applyFont="1" applyBorder="1"/>
    <xf numFmtId="182" fontId="73" fillId="5" borderId="29" xfId="3" applyNumberFormat="1" applyFont="1" applyFill="1" applyBorder="1"/>
    <xf numFmtId="174" fontId="73" fillId="0" borderId="0" xfId="3" applyNumberFormat="1" applyFont="1"/>
    <xf numFmtId="174" fontId="73" fillId="0" borderId="0" xfId="4" applyNumberFormat="1" applyFont="1"/>
    <xf numFmtId="175" fontId="10" fillId="0" borderId="60" xfId="18" applyNumberFormat="1" applyFont="1" applyFill="1" applyBorder="1"/>
    <xf numFmtId="0" fontId="10" fillId="0" borderId="0" xfId="3" applyFont="1" applyAlignment="1">
      <alignment horizontal="center"/>
    </xf>
    <xf numFmtId="0" fontId="10" fillId="14" borderId="59" xfId="3" applyFont="1" applyFill="1" applyBorder="1" applyAlignment="1">
      <alignment horizontal="center"/>
    </xf>
    <xf numFmtId="167" fontId="67" fillId="0" borderId="0" xfId="30" applyNumberFormat="1" applyFont="1" applyFill="1" applyBorder="1" applyAlignment="1">
      <alignment horizontal="right"/>
    </xf>
    <xf numFmtId="43" fontId="3" fillId="0" borderId="0" xfId="3" applyNumberFormat="1" applyBorder="1"/>
    <xf numFmtId="2" fontId="75" fillId="0" borderId="0" xfId="3" applyNumberFormat="1" applyFont="1" applyFill="1" applyBorder="1"/>
    <xf numFmtId="2" fontId="10" fillId="0" borderId="23" xfId="3" applyNumberFormat="1" applyFont="1" applyFill="1" applyBorder="1"/>
    <xf numFmtId="174" fontId="74" fillId="0" borderId="0" xfId="18" applyNumberFormat="1" applyFont="1" applyFill="1"/>
    <xf numFmtId="182" fontId="50" fillId="0" borderId="61" xfId="3" applyNumberFormat="1" applyFont="1" applyBorder="1"/>
    <xf numFmtId="167" fontId="13" fillId="0" borderId="24" xfId="3" applyNumberFormat="1" applyFont="1" applyFill="1" applyBorder="1"/>
    <xf numFmtId="175" fontId="10" fillId="0" borderId="22" xfId="3" applyNumberFormat="1" applyFont="1" applyFill="1" applyBorder="1"/>
    <xf numFmtId="0" fontId="76" fillId="11" borderId="28" xfId="0" applyFont="1" applyFill="1" applyBorder="1" applyAlignment="1">
      <alignment horizontal="center"/>
    </xf>
    <xf numFmtId="0" fontId="76" fillId="11" borderId="29" xfId="0" applyFont="1" applyFill="1" applyBorder="1" applyAlignment="1">
      <alignment horizontal="centerContinuous"/>
    </xf>
    <xf numFmtId="0" fontId="76" fillId="11" borderId="29" xfId="0" applyFont="1" applyFill="1" applyBorder="1" applyAlignment="1">
      <alignment horizontal="center"/>
    </xf>
    <xf numFmtId="0" fontId="76" fillId="11" borderId="31" xfId="0" applyFont="1" applyFill="1" applyBorder="1" applyAlignment="1">
      <alignment horizontal="center"/>
    </xf>
    <xf numFmtId="169" fontId="32" fillId="4" borderId="0" xfId="20" applyNumberFormat="1" applyFont="1" applyFill="1" applyAlignment="1">
      <alignment horizontal="center"/>
    </xf>
    <xf numFmtId="167" fontId="10" fillId="0" borderId="8" xfId="32" applyNumberFormat="1" applyFont="1" applyFill="1" applyBorder="1" applyAlignment="1">
      <alignment horizontal="right"/>
    </xf>
    <xf numFmtId="167" fontId="10" fillId="0" borderId="18" xfId="30" applyNumberFormat="1" applyFont="1" applyFill="1" applyBorder="1" applyAlignment="1">
      <alignment horizontal="right"/>
    </xf>
    <xf numFmtId="167" fontId="10" fillId="0" borderId="0" xfId="30" applyNumberFormat="1" applyFont="1" applyFill="1" applyBorder="1" applyAlignment="1">
      <alignment horizontal="right"/>
    </xf>
    <xf numFmtId="167" fontId="10" fillId="0" borderId="19" xfId="30" applyNumberFormat="1" applyFont="1" applyFill="1" applyBorder="1" applyAlignment="1">
      <alignment horizontal="right"/>
    </xf>
    <xf numFmtId="167" fontId="30" fillId="0" borderId="0" xfId="3" applyNumberFormat="1" applyFont="1" applyFill="1"/>
    <xf numFmtId="174" fontId="10" fillId="0" borderId="59" xfId="3" applyNumberFormat="1" applyFont="1" applyFill="1" applyBorder="1"/>
    <xf numFmtId="174" fontId="10" fillId="0" borderId="35" xfId="4" applyNumberFormat="1" applyFont="1" applyFill="1" applyBorder="1"/>
    <xf numFmtId="0" fontId="11" fillId="0" borderId="4" xfId="3" applyFont="1" applyFill="1" applyBorder="1" applyAlignment="1">
      <alignment horizontal="center" wrapText="1"/>
    </xf>
    <xf numFmtId="0" fontId="11" fillId="0" borderId="0" xfId="3" applyFont="1" applyFill="1" applyBorder="1" applyAlignment="1">
      <alignment horizontal="center" wrapText="1"/>
    </xf>
    <xf numFmtId="0" fontId="11" fillId="0" borderId="4" xfId="4" applyFont="1" applyFill="1" applyBorder="1" applyAlignment="1">
      <alignment horizontal="center" wrapText="1"/>
    </xf>
    <xf numFmtId="0" fontId="84" fillId="0" borderId="0" xfId="4" applyFont="1" applyFill="1" applyAlignment="1">
      <alignment wrapText="1"/>
    </xf>
    <xf numFmtId="0" fontId="2" fillId="7" borderId="0" xfId="114" applyFont="1" applyFill="1" applyAlignment="1">
      <alignment vertical="top"/>
    </xf>
    <xf numFmtId="0" fontId="2" fillId="7" borderId="0" xfId="24" applyFill="1" applyAlignment="1">
      <alignment vertical="top"/>
    </xf>
    <xf numFmtId="0" fontId="2" fillId="7" borderId="0" xfId="24" applyFill="1"/>
    <xf numFmtId="0" fontId="34" fillId="7" borderId="0" xfId="114" applyFont="1" applyFill="1" applyAlignment="1">
      <alignment horizontal="left" vertical="top"/>
    </xf>
    <xf numFmtId="0" fontId="2" fillId="7" borderId="0" xfId="24" applyFont="1" applyFill="1" applyAlignment="1">
      <alignment vertical="top"/>
    </xf>
    <xf numFmtId="0" fontId="47" fillId="7" borderId="0" xfId="114" applyFont="1" applyFill="1" applyAlignment="1">
      <alignment vertical="top"/>
    </xf>
    <xf numFmtId="0" fontId="0" fillId="7" borderId="0" xfId="0" applyFill="1" applyAlignment="1">
      <alignment vertical="top"/>
    </xf>
    <xf numFmtId="0" fontId="86" fillId="7" borderId="0" xfId="0" applyFont="1" applyFill="1" applyAlignment="1">
      <alignment vertical="top"/>
    </xf>
    <xf numFmtId="0" fontId="87" fillId="7" borderId="0" xfId="0" applyFont="1" applyFill="1" applyAlignment="1">
      <alignment vertical="top"/>
    </xf>
    <xf numFmtId="0" fontId="87" fillId="7" borderId="0" xfId="0" applyFont="1" applyFill="1" applyAlignment="1">
      <alignment vertical="top"/>
    </xf>
    <xf numFmtId="0" fontId="86" fillId="7" borderId="0" xfId="0" applyFont="1" applyFill="1" applyAlignment="1">
      <alignment vertical="top"/>
    </xf>
    <xf numFmtId="0" fontId="0" fillId="7" borderId="0" xfId="0" applyFill="1" applyAlignment="1">
      <alignment vertical="top"/>
    </xf>
    <xf numFmtId="0" fontId="0" fillId="7" borderId="66" xfId="0" applyFill="1" applyBorder="1" applyAlignment="1">
      <alignment vertical="top"/>
    </xf>
    <xf numFmtId="0" fontId="86" fillId="7" borderId="62" xfId="0" applyFont="1" applyFill="1" applyBorder="1" applyAlignment="1">
      <alignment vertical="top"/>
    </xf>
    <xf numFmtId="0" fontId="86" fillId="7" borderId="63" xfId="0" applyFont="1" applyFill="1" applyBorder="1" applyAlignment="1">
      <alignment vertical="top"/>
    </xf>
    <xf numFmtId="0" fontId="86" fillId="7" borderId="64" xfId="0" applyFont="1" applyFill="1" applyBorder="1" applyAlignment="1">
      <alignment vertical="top"/>
    </xf>
    <xf numFmtId="0" fontId="86" fillId="7" borderId="65" xfId="0" applyFont="1" applyFill="1" applyBorder="1" applyAlignment="1">
      <alignment vertical="top"/>
    </xf>
    <xf numFmtId="9" fontId="86" fillId="7" borderId="62" xfId="0" applyNumberFormat="1" applyFont="1" applyFill="1" applyBorder="1" applyAlignment="1">
      <alignment vertical="top"/>
    </xf>
    <xf numFmtId="3" fontId="86" fillId="7" borderId="62" xfId="0" applyNumberFormat="1" applyFont="1" applyFill="1" applyBorder="1" applyAlignment="1">
      <alignment vertical="top"/>
    </xf>
    <xf numFmtId="0" fontId="0" fillId="7" borderId="67" xfId="0" applyFill="1" applyBorder="1" applyAlignment="1">
      <alignment vertical="top"/>
    </xf>
    <xf numFmtId="2" fontId="2" fillId="0" borderId="0" xfId="24" applyNumberFormat="1" applyAlignment="1">
      <alignment horizontal="left"/>
    </xf>
    <xf numFmtId="0" fontId="2" fillId="0" borderId="0" xfId="24" applyNumberFormat="1" applyAlignment="1">
      <alignment horizontal="left"/>
    </xf>
    <xf numFmtId="1" fontId="2" fillId="0" borderId="0" xfId="24" applyNumberFormat="1" applyAlignment="1">
      <alignment horizontal="left"/>
    </xf>
    <xf numFmtId="0" fontId="2" fillId="0" borderId="0" xfId="24" applyFont="1"/>
    <xf numFmtId="208" fontId="2" fillId="0" borderId="0" xfId="24" applyNumberFormat="1" applyAlignment="1">
      <alignment horizontal="left"/>
    </xf>
    <xf numFmtId="49" fontId="2" fillId="0" borderId="0" xfId="24" applyNumberFormat="1"/>
    <xf numFmtId="0" fontId="88" fillId="0" borderId="0" xfId="24" applyFont="1" applyAlignment="1">
      <alignment wrapText="1"/>
    </xf>
    <xf numFmtId="0" fontId="88" fillId="0" borderId="0" xfId="24" applyFont="1" applyAlignment="1">
      <alignment horizontal="left" wrapText="1" indent="3"/>
    </xf>
    <xf numFmtId="0" fontId="88" fillId="0" borderId="0" xfId="24" applyFont="1" applyAlignment="1">
      <alignment horizontal="left" wrapText="1" indent="1"/>
    </xf>
    <xf numFmtId="0" fontId="90" fillId="0" borderId="0" xfId="24" applyFont="1" applyAlignment="1">
      <alignment wrapText="1"/>
    </xf>
    <xf numFmtId="49" fontId="0" fillId="0" borderId="0" xfId="0" applyNumberFormat="1"/>
  </cellXfs>
  <cellStyles count="115">
    <cellStyle name="_x000a_386grabber=M" xfId="1"/>
    <cellStyle name="_x000a_386grabber=M 2" xfId="64"/>
    <cellStyle name="%" xfId="2"/>
    <cellStyle name="% 2" xfId="65"/>
    <cellStyle name="%_Drivers" xfId="66"/>
    <cellStyle name="******************************************" xfId="3"/>
    <cellStyle name="****************************************** 2" xfId="4"/>
    <cellStyle name="_RRS1" xfId="67"/>
    <cellStyle name="_RRS1 2" xfId="68"/>
    <cellStyle name="_RRS1_Drivers" xfId="69"/>
    <cellStyle name="_RRS15" xfId="70"/>
    <cellStyle name="_RRS15 2" xfId="71"/>
    <cellStyle name="_RRS15_Drivers" xfId="72"/>
    <cellStyle name="_RRS3" xfId="73"/>
    <cellStyle name="_RRS7" xfId="74"/>
    <cellStyle name="_RRS7 2" xfId="75"/>
    <cellStyle name="_RRS7_Drivers" xfId="76"/>
    <cellStyle name="_SUMMARY " xfId="5"/>
    <cellStyle name="_SUMMARY  2" xfId="77"/>
    <cellStyle name="_SUMMARY _Drivers" xfId="78"/>
    <cellStyle name="_SUMMARY _RRST6" xfId="6"/>
    <cellStyle name="=C:\WINNT35\SYSTEM32\COMMAND.COM" xfId="7"/>
    <cellStyle name="=C:\WINNT35\SYSTEM32\COMMAND.COM 2" xfId="79"/>
    <cellStyle name="0_Capex &amp; Depreciation " xfId="8"/>
    <cellStyle name="0_Capex &amp; Depreciation _RRST6" xfId="9"/>
    <cellStyle name="0_Pension_UTX Example_Acute Care " xfId="10"/>
    <cellStyle name="0_Quarterly " xfId="11"/>
    <cellStyle name="0_TPP.N Ver 15_Acute Care " xfId="12"/>
    <cellStyle name="0_Valuing BP " xfId="13"/>
    <cellStyle name="0_Valuing BP _RRST6" xfId="14"/>
    <cellStyle name="AFE" xfId="15"/>
    <cellStyle name="c_HardInc " xfId="16"/>
    <cellStyle name="c_HardInc _RRST6" xfId="17"/>
    <cellStyle name="Comma" xfId="18" builtinId="3"/>
    <cellStyle name="Comma 2" xfId="19"/>
    <cellStyle name="Comma 2 2" xfId="63"/>
    <cellStyle name="Comma 3" xfId="80"/>
    <cellStyle name="Comma 4" xfId="81"/>
    <cellStyle name="Comma 4 2" xfId="82"/>
    <cellStyle name="Comma 5" xfId="83"/>
    <cellStyle name="Currency" xfId="20" builtinId="4"/>
    <cellStyle name="Currency 2" xfId="21"/>
    <cellStyle name="Currency 2 2" xfId="84"/>
    <cellStyle name="Currency 3" xfId="22"/>
    <cellStyle name="Currency 4" xfId="61"/>
    <cellStyle name="Currency 5" xfId="85"/>
    <cellStyle name="Currency 6" xfId="86"/>
    <cellStyle name="Fail" xfId="87"/>
    <cellStyle name="FiscalPeriod" xfId="88"/>
    <cellStyle name="Hidden" xfId="89"/>
    <cellStyle name="Hyperlink" xfId="23" builtinId="8"/>
    <cellStyle name="Hyperlink 2" xfId="90"/>
    <cellStyle name="MetricLabel" xfId="91"/>
    <cellStyle name="MetricLabelBlue" xfId="92"/>
    <cellStyle name="MetricValue" xfId="93"/>
    <cellStyle name="Normal" xfId="0" builtinId="0"/>
    <cellStyle name="Normal 2" xfId="24"/>
    <cellStyle name="Normal 2 2" xfId="62"/>
    <cellStyle name="Normal 3" xfId="25"/>
    <cellStyle name="Normal 4" xfId="26"/>
    <cellStyle name="Normal 4 2" xfId="94"/>
    <cellStyle name="Normal 5" xfId="95"/>
    <cellStyle name="Normal_AET" xfId="27"/>
    <cellStyle name="Normal_AGNwk-old" xfId="28"/>
    <cellStyle name="Normal_Copy of WLP Model 2008 " xfId="29"/>
    <cellStyle name="Normal_DisclaimerSheet Samples" xfId="114"/>
    <cellStyle name="Normal_MCK" xfId="30"/>
    <cellStyle name="p " xfId="31"/>
    <cellStyle name="Pass" xfId="96"/>
    <cellStyle name="Percent" xfId="32" builtinId="5"/>
    <cellStyle name="Percent 2" xfId="33"/>
    <cellStyle name="Percent 2 2" xfId="97"/>
    <cellStyle name="Percent 2 3" xfId="60"/>
    <cellStyle name="Percent 3" xfId="34"/>
    <cellStyle name="Percent 3 2" xfId="98"/>
    <cellStyle name="Percent 4" xfId="99"/>
    <cellStyle name="RRSInstruction" xfId="35"/>
    <cellStyle name="RRSInstruction 2" xfId="36"/>
    <cellStyle name="RRSInstruction 2 2" xfId="100"/>
    <cellStyle name="s_HardInc " xfId="37"/>
    <cellStyle name="s_HardInc _RRST6" xfId="38"/>
    <cellStyle name="s_Valuation " xfId="39"/>
    <cellStyle name="s_Valuation _RRST6" xfId="40"/>
    <cellStyle name="ssp " xfId="41"/>
    <cellStyle name="Style 1" xfId="42"/>
    <cellStyle name="Style 1 2" xfId="101"/>
    <cellStyle name="Style 10" xfId="43"/>
    <cellStyle name="Style 10 2" xfId="102"/>
    <cellStyle name="Style 11" xfId="44"/>
    <cellStyle name="Style 11 2" xfId="103"/>
    <cellStyle name="Style 12" xfId="45"/>
    <cellStyle name="Style 12 2" xfId="104"/>
    <cellStyle name="Style 13" xfId="46"/>
    <cellStyle name="Style 13 2" xfId="105"/>
    <cellStyle name="Style 14" xfId="47"/>
    <cellStyle name="Style 15" xfId="48"/>
    <cellStyle name="Style 16" xfId="49"/>
    <cellStyle name="Style 17" xfId="50"/>
    <cellStyle name="Style 18" xfId="51"/>
    <cellStyle name="Style 2" xfId="52"/>
    <cellStyle name="Style 2 2" xfId="106"/>
    <cellStyle name="Style 3" xfId="53"/>
    <cellStyle name="Style 3 2" xfId="107"/>
    <cellStyle name="Style 4" xfId="54"/>
    <cellStyle name="Style 4 2" xfId="108"/>
    <cellStyle name="Style 5" xfId="55"/>
    <cellStyle name="Style 5 2" xfId="109"/>
    <cellStyle name="Style 6" xfId="56"/>
    <cellStyle name="Style 6 2" xfId="110"/>
    <cellStyle name="Style 7" xfId="57"/>
    <cellStyle name="Style 7 2" xfId="111"/>
    <cellStyle name="Style 8" xfId="58"/>
    <cellStyle name="Style 8 2" xfId="112"/>
    <cellStyle name="Style 9" xfId="59"/>
    <cellStyle name="Style 9 2" xfId="113"/>
  </cellStyles>
  <dxfs count="37">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FFFFFF"/>
      <color rgb="FF002060"/>
      <color rgb="FF2270AB"/>
      <color rgb="FF0000FF"/>
      <color rgb="FF008000"/>
      <color rgb="FFDCE6F1"/>
      <color rgb="FFCBCBCB"/>
      <color rgb="FFA3A3A3"/>
      <color rgb="FFCCFFFF"/>
      <color rgb="FF003366"/>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$22.90</v>
        <stp/>
        <stp>ae05f05a-d409-4207-9fad-73e61d6939d0</stp>
        <tr r="EG125" s="4"/>
      </tp>
      <tp t="s">
        <v>$16.75</v>
        <stp/>
        <stp>eec15e71-61c7-478f-9589-0be2a8fd8838</stp>
        <tr r="DW125" s="4"/>
      </tp>
      <tp t="s">
        <v>Manual Calculation</v>
        <stp/>
        <stp>c8a4026f-ac45-4609-a631-78a7beaa1617</stp>
        <tr r="DL125" s="4"/>
      </tp>
      <tp t="s">
        <v>Manual Calculation</v>
        <stp/>
        <stp>f85fdcf5-6de7-4aaf-9cda-e238cf38b064</stp>
        <tr r="DO125" s="4"/>
      </tp>
      <tp t="s">
        <v>$24.82</v>
        <stp/>
        <stp>e9f0e4f4-b954-43c1-8c65-120644c26e52</stp>
        <tr r="DR125" s="4"/>
      </tp>
      <tp t="s">
        <v>Manual Calculation</v>
        <stp/>
        <stp>2589f6d8-1ea4-4886-a576-d9b6532ee2da</stp>
        <tr r="DQ125" s="4"/>
      </tp>
      <tp t="s">
        <v>Manual Calculation</v>
        <stp/>
        <stp>e65d71f5-17c0-4f17-9e9a-a63a02ca903b</stp>
        <tr r="DH125" s="4"/>
      </tp>
      <tp t="s">
        <v>Manual Calculation</v>
        <stp/>
        <stp>03147e23-4ebe-4b06-b697-31f1bfefc778</stp>
        <tr r="DM125" s="4"/>
      </tp>
      <tp t="s">
        <v>Manual Calculation</v>
        <stp/>
        <stp>e05e2e79-6fc4-4df9-afa9-9426426e126b</stp>
        <tr r="DK125" s="4"/>
      </tp>
      <tp t="s">
        <v>Manual Calculation</v>
        <stp/>
        <stp>9a92c765-188c-41cd-8930-8aad08e23f38</stp>
        <tr r="DV125" s="4"/>
      </tp>
      <tp t="s">
        <v>Manual Calculation</v>
        <stp/>
        <stp>c3f686e8-a53a-4e42-8e62-85a675855a25</stp>
        <tr r="DG125" s="4"/>
      </tp>
      <tp t="s">
        <v>Manual Calculation</v>
        <stp/>
        <stp>55144af4-28d5-4941-b6fb-39b5339269ec</stp>
        <tr r="EJ125" s="4"/>
      </tp>
      <tp t="s">
        <v>Manual Calculation</v>
        <stp/>
        <stp>de143783-def5-4180-a65d-eb7fcdecd7ad</stp>
        <tr r="DT125" s="4"/>
      </tp>
      <tp t="s">
        <v>Manual Calculation</v>
        <stp/>
        <stp>49067187-71f5-4b0a-b9e3-c900d423346d</stp>
        <tr r="DJ125" s="4"/>
      </tp>
      <tp t="s">
        <v>Manual Calculation</v>
        <stp/>
        <stp>18bba229-6dd8-4c01-827b-79878d83bd48</stp>
        <tr r="DU125" s="4"/>
      </tp>
      <tp t="s">
        <v>Manual Calculation</v>
        <stp/>
        <stp>8dd34d05-b955-4f00-ae08-7ce7ede8df5a</stp>
        <tr r="EI125" s="4"/>
      </tp>
      <tp t="s">
        <v>Manual Calculation</v>
        <stp/>
        <stp>bfe02f2e-f6fc-4de2-837c-27518033aa12</stp>
        <tr r="DE125" s="4"/>
      </tp>
      <tp t="s">
        <v>$22.90</v>
        <stp/>
        <stp>c78fd2ae-39de-482d-b97f-04ff1a7e6663</stp>
        <tr r="EC125" s="4"/>
      </tp>
      <tp t="s">
        <v>Manual Calculation</v>
        <stp/>
        <stp>331c4606-0850-472b-ae70-7e46b8027eee</stp>
        <tr r="DN125" s="4"/>
      </tp>
      <tp t="s">
        <v>Manual Calculation</v>
        <stp/>
        <stp>4e63751c-5eb7-46dc-b580-3f45dd5b7e3f</stp>
        <tr r="DB125" s="4"/>
      </tp>
      <tp t="s">
        <v>$20.25</v>
        <stp/>
        <stp>b9da0513-4dfd-4965-89e0-51c10cb91ce4</stp>
        <tr r="EB125" s="4"/>
      </tp>
      <tp t="s">
        <v>$19.89</v>
        <stp/>
        <stp>49763d22-0fc3-4a19-b889-b584e34800fd</stp>
        <tr r="DX125" s="4"/>
      </tp>
      <tp t="s">
        <v>$2,541</v>
        <stp/>
        <stp>c51d982e-fffb-4597-8a51-7ba53f1906a4</stp>
        <tr r="I9" s="19"/>
      </tp>
      <tp t="s">
        <v>$22.90</v>
        <stp/>
        <stp>b32a8d6e-337a-43bb-bffd-1597c9d60034</stp>
        <tr r="DZ125" s="4"/>
      </tp>
      <tp t="s">
        <v>$22.90</v>
        <stp/>
        <stp>b6bc6456-6eb2-4d08-81c8-ba1a4de76720</stp>
        <tr r="EF125" s="4"/>
      </tp>
      <tp t="s">
        <v>$18.11</v>
        <stp/>
        <stp>b39d4911-b054-489b-9958-581a3c303975</stp>
        <tr r="I8" s="19"/>
      </tp>
      <tp t="s">
        <v>Manual Calculation</v>
        <stp/>
        <stp>39049681-e932-4423-800b-1f83f4e7feb8</stp>
        <tr r="DC125" s="4"/>
      </tp>
      <tp t="s">
        <v>$22.90</v>
        <stp/>
        <stp>329a98fd-b68f-4342-8739-47dd4ba75ba4</stp>
        <tr r="EA125" s="4"/>
      </tp>
      <tp t="s">
        <v>Manual Calculation</v>
        <stp/>
        <stp>11343d02-b262-4699-8675-14c40fa234f2</stp>
        <tr r="DF125" s="4"/>
      </tp>
      <tp t="s">
        <v>Manual Calculation</v>
        <stp/>
        <stp>e9d376f6-3d9a-47b9-b632-d4d11d6da96c</stp>
        <tr r="DS125" s="4"/>
      </tp>
      <tp t="s">
        <v xml:space="preserve">$96 </v>
        <stp/>
        <stp>8d2a8e44-a3be-484a-bdb1-7388c756f799</stp>
        <tr r="I11" s="19"/>
      </tp>
      <tp t="s">
        <v>Manual Calculation</v>
        <stp/>
        <stp>fecd51ce-db7c-4466-b962-e432a202ffdf</stp>
        <tr r="EK125" s="4"/>
      </tp>
      <tp t="s">
        <v>$22.90</v>
        <stp/>
        <stp>533df105-df47-4cbb-ace7-84d971a504ab</stp>
        <tr r="ED125" s="4"/>
      </tp>
      <tp t="s">
        <v>Manual Calculation</v>
        <stp/>
        <stp>1ef79a9a-24f3-4ff4-9202-2ce1a79db5a0</stp>
        <tr r="DI125" s="4"/>
      </tp>
      <tp t="s">
        <v>Manual Calculation</v>
        <stp/>
        <stp>9b98f8a9-08d9-41ab-9c4e-99c507071ae0</stp>
        <tr r="CX125" s="4"/>
      </tp>
      <tp t="s">
        <v>$23.60</v>
        <stp/>
        <stp>2a709947-2936-4ad5-8e11-0072458bd863</stp>
        <tr r="DY125" s="4"/>
      </tp>
      <tp t="s">
        <v>$22.90</v>
        <stp/>
        <stp>0d49c98e-373c-46b2-bd9f-9f9416049fec</stp>
        <tr r="EL125" s="4"/>
      </tp>
      <tp t="s">
        <v>Manual Calculation</v>
        <stp/>
        <stp>f4b22e11-4e92-4a29-a67f-d9227d203b0e</stp>
        <tr r="EH125" s="4"/>
      </tp>
      <tp t="s">
        <v>Manual Calculation</v>
        <stp/>
        <stp>f915bf69-925d-4c7e-94fa-e89ee90d8235</stp>
        <tr r="DP125" s="4"/>
      </tp>
      <tp t="s">
        <v>$22.90</v>
        <stp/>
        <stp>c96ed6b3-c9a7-4336-9283-2ec090281a43</stp>
        <tr r="EE125" s="4"/>
      </tp>
      <tp t="s">
        <v>Manual Calculation</v>
        <stp/>
        <stp>ebeb6210-a3ba-4eba-9120-577df12cb328</stp>
        <tr r="DD125" s="4"/>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externalLinks/externalLink1.xml" Type="http://schemas.openxmlformats.org/officeDocument/2006/relationships/externalLink"/>
<Relationship Id="rId15" Target="externalLinks/externalLink2.xml" Type="http://schemas.openxmlformats.org/officeDocument/2006/relationships/externalLink"/>
<Relationship Id="rId16" Target="externalLinks/externalLink3.xml" Type="http://schemas.openxmlformats.org/officeDocument/2006/relationships/externalLink"/>
<Relationship Id="rId17" Target="externalLinks/externalLink4.xml" Type="http://schemas.openxmlformats.org/officeDocument/2006/relationships/externalLink"/>
<Relationship Id="rId18" Target="externalLinks/externalLink5.xml" Type="http://schemas.openxmlformats.org/officeDocument/2006/relationships/externalLink"/>
<Relationship Id="rId19" Target="externalLinks/externalLink6.xml" Type="http://schemas.openxmlformats.org/officeDocument/2006/relationships/externalLink"/>
<Relationship Id="rId2" Target="worksheets/sheet2.xml" Type="http://schemas.openxmlformats.org/officeDocument/2006/relationships/worksheet"/>
<Relationship Id="rId20" Target="externalLinks/externalLink7.xml" Type="http://schemas.openxmlformats.org/officeDocument/2006/relationships/externalLink"/>
<Relationship Id="rId21" Target="externalLinks/externalLink8.xml" Type="http://schemas.openxmlformats.org/officeDocument/2006/relationships/externalLink"/>
<Relationship Id="rId22" Target="externalLinks/externalLink9.xml" Type="http://schemas.openxmlformats.org/officeDocument/2006/relationships/externalLink"/>
<Relationship Id="rId23" Target="externalLinks/externalLink10.xml" Type="http://schemas.openxmlformats.org/officeDocument/2006/relationships/externalLink"/>
<Relationship Id="rId24" Target="externalLinks/externalLink11.xml" Type="http://schemas.openxmlformats.org/officeDocument/2006/relationships/externalLink"/>
<Relationship Id="rId25" Target="externalLinks/externalLink12.xml" Type="http://schemas.openxmlformats.org/officeDocument/2006/relationships/externalLink"/>
<Relationship Id="rId26" Target="externalLinks/externalLink13.xml" Type="http://schemas.openxmlformats.org/officeDocument/2006/relationships/externalLink"/>
<Relationship Id="rId27" Target="externalLinks/externalLink14.xml" Type="http://schemas.openxmlformats.org/officeDocument/2006/relationships/externalLink"/>
<Relationship Id="rId28" Target="externalLinks/externalLink15.xml" Type="http://schemas.openxmlformats.org/officeDocument/2006/relationships/externalLink"/>
<Relationship Id="rId29" Target="theme/theme1.xml" Type="http://schemas.openxmlformats.org/officeDocument/2006/relationships/theme"/>
<Relationship Id="rId3" Target="worksheets/sheet3.xml" Type="http://schemas.openxmlformats.org/officeDocument/2006/relationships/worksheet"/>
<Relationship Id="rId30" Target="styles.xml" Type="http://schemas.openxmlformats.org/officeDocument/2006/relationships/styles"/>
<Relationship Id="rId31" Target="sharedStrings.xml" Type="http://schemas.openxmlformats.org/officeDocument/2006/relationships/sharedStrings"/>
<Relationship Id="rId32" Target="calcChain.xml" Type="http://schemas.openxmlformats.org/officeDocument/2006/relationships/calcChain"/>
<Relationship Id="rId33" Target="../customXml/item1.xml" Type="http://schemas.openxmlformats.org/officeDocument/2006/relationships/customXml"/>
<Relationship Id="rId34" Target="../customXml/item2.xml" Type="http://schemas.openxmlformats.org/officeDocument/2006/relationships/customXml"/>
<Relationship Id="rId35" Target="volatileDependencies.xml" Type="http://schemas.openxmlformats.org/officeDocument/2006/relationships/volatileDependencies"/>
<Relationship Id="rId36"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2958337" name="Picture 1" descr="C:\Users\mutoko\AppData\Local\Temp\MercuryPriceRatingHistoryChart\THC.N_2018_04_12_18_38_2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2959361" name="Button 1" hidden="1">
              <a:extLst>
                <a:ext uri="{63B3BB69-23CF-44E3-9099-C40C66FF867C}">
                  <a14:compatExt spid="_x0000_s2959361"/>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2959362" name="Button 2" hidden="1">
              <a:extLst>
                <a:ext uri="{63B3BB69-23CF-44E3-9099-C40C66FF867C}">
                  <a14:compatExt spid="_x0000_s295936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1447800</xdr:colOff>
      <xdr:row>0</xdr:row>
      <xdr:rowOff>123825</xdr:rowOff>
    </xdr:from>
    <xdr:to>
      <xdr:col>5</xdr:col>
      <xdr:colOff>1085850</xdr:colOff>
      <xdr:row>0</xdr:row>
      <xdr:rowOff>723900</xdr:rowOff>
    </xdr:to>
    <xdr:pic>
      <xdr:nvPicPr>
        <xdr:cNvPr id="6034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14800" y="123825"/>
          <a:ext cx="19050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HEALTH/Schenker/Models/HMA%20V2.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Schenker/Models/CYH%20V2.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Schenker/MCOs/Models/CI.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HEALTH/MMcGinnis/Managed%20Care/Companies/WLP/WLP_SG&amp;A.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HEALTH/Goldwasser/Models/Clients/CTRX.O.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Lieberman/CYH/CYH.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EALTH/Schenker/Models/THC%20V2.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NA/NY/LIB/ER/HEALTH/DVeal/KTD/XRAY/XRAY%20initiation%20charts.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NA/NY/LIB/ER/HEALTH/Goldwasser/Companies/PBMs/Comps.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HEALTH/MMcGinnis/Managed%20Care/Models/CI.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Documents%20and%20Settings/cornem/Desktop/WLP_CLM.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HEALTH/Schenker/Models/published/HCA.N.xls"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HEALTH/Goldwasser/Models/Clients/ESRX_Model.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Cache"/>
      <sheetName val="Cover"/>
      <sheetName val="Income Statement"/>
      <sheetName val="Balance Sheet &amp; Cash Flow"/>
      <sheetName val="Drivers"/>
      <sheetName val="Revenue Build"/>
      <sheetName val="Guidance"/>
      <sheetName val="Expense Assumptions"/>
      <sheetName val="Scenarios"/>
      <sheetName val="Valuation"/>
      <sheetName val="Debt "/>
      <sheetName val="MWA RR"/>
      <sheetName val="mwareSettings"/>
      <sheetName val="mwareDates"/>
      <sheetName val="Charts"/>
      <sheetName val="Facilities"/>
      <sheetName val="M&amp;A"/>
      <sheetName val="One Pager"/>
      <sheetName val="Comps Table"/>
      <sheetName val="Preview Page"/>
      <sheetName val="What Changed"/>
      <sheetName val="Notes"/>
      <sheetName val="Model_Template"/>
      <sheetName val="#REF"/>
    </sheetNames>
    <sheetDataSet>
      <sheetData sheetId="0" refreshError="1"/>
      <sheetData sheetId="1" refreshError="1"/>
      <sheetData sheetId="2" refreshError="1"/>
      <sheetData sheetId="3" refreshError="1">
        <row r="1">
          <cell r="A1" t="str">
            <v>Health Management Associates</v>
          </cell>
        </row>
        <row r="2">
          <cell r="A2" t="str">
            <v>Andrew Schenker (212) 761-6857</v>
          </cell>
        </row>
        <row r="3">
          <cell r="A3" t="str">
            <v>Income Statement</v>
          </cell>
        </row>
        <row r="4">
          <cell r="B4" t="str">
            <v>Fiscal Year ends December 31</v>
          </cell>
          <cell r="C4" t="str">
            <v>HMA</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C5" t="str">
            <v>HMA.N</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 of days in period</v>
          </cell>
          <cell r="N7">
            <v>90</v>
          </cell>
          <cell r="O7">
            <v>91</v>
          </cell>
          <cell r="P7">
            <v>92</v>
          </cell>
          <cell r="Q7">
            <v>273</v>
          </cell>
          <cell r="R7">
            <v>92</v>
          </cell>
          <cell r="S7">
            <v>91</v>
          </cell>
          <cell r="T7">
            <v>91</v>
          </cell>
          <cell r="U7">
            <v>92</v>
          </cell>
          <cell r="V7">
            <v>366</v>
          </cell>
          <cell r="W7">
            <v>90</v>
          </cell>
          <cell r="X7">
            <v>91</v>
          </cell>
          <cell r="Y7">
            <v>92</v>
          </cell>
          <cell r="Z7">
            <v>92</v>
          </cell>
          <cell r="AA7">
            <v>365</v>
          </cell>
          <cell r="AB7">
            <v>90</v>
          </cell>
          <cell r="AC7">
            <v>91</v>
          </cell>
          <cell r="AD7">
            <v>92</v>
          </cell>
          <cell r="AE7">
            <v>92</v>
          </cell>
          <cell r="AF7">
            <v>365</v>
          </cell>
          <cell r="AG7">
            <v>90</v>
          </cell>
          <cell r="AH7">
            <v>91</v>
          </cell>
          <cell r="AI7">
            <v>92</v>
          </cell>
          <cell r="AJ7">
            <v>92</v>
          </cell>
          <cell r="AK7">
            <v>365</v>
          </cell>
          <cell r="AL7">
            <v>91</v>
          </cell>
          <cell r="AM7">
            <v>91</v>
          </cell>
          <cell r="AN7">
            <v>92</v>
          </cell>
          <cell r="AO7">
            <v>92</v>
          </cell>
          <cell r="AP7">
            <v>366</v>
          </cell>
          <cell r="AQ7">
            <v>90</v>
          </cell>
          <cell r="AR7">
            <v>91</v>
          </cell>
          <cell r="AS7">
            <v>92</v>
          </cell>
          <cell r="AT7">
            <v>92</v>
          </cell>
          <cell r="AU7">
            <v>365</v>
          </cell>
          <cell r="AW7">
            <v>91</v>
          </cell>
          <cell r="AX7">
            <v>91</v>
          </cell>
          <cell r="AY7">
            <v>92</v>
          </cell>
          <cell r="AZ7">
            <v>92</v>
          </cell>
          <cell r="BA7">
            <v>366</v>
          </cell>
          <cell r="BB7">
            <v>90</v>
          </cell>
          <cell r="BC7">
            <v>91</v>
          </cell>
          <cell r="BD7">
            <v>92</v>
          </cell>
          <cell r="BE7">
            <v>92</v>
          </cell>
          <cell r="BF7">
            <v>365</v>
          </cell>
          <cell r="BG7">
            <v>90</v>
          </cell>
          <cell r="BH7">
            <v>91</v>
          </cell>
          <cell r="BI7">
            <v>92</v>
          </cell>
          <cell r="BJ7">
            <v>92</v>
          </cell>
          <cell r="BK7">
            <v>365</v>
          </cell>
          <cell r="BL7">
            <v>90</v>
          </cell>
          <cell r="BM7">
            <v>91</v>
          </cell>
          <cell r="BN7">
            <v>92</v>
          </cell>
          <cell r="BO7">
            <v>92</v>
          </cell>
          <cell r="BP7">
            <v>365</v>
          </cell>
          <cell r="BQ7">
            <v>91</v>
          </cell>
          <cell r="BR7">
            <v>91</v>
          </cell>
          <cell r="BS7">
            <v>92</v>
          </cell>
          <cell r="BT7">
            <v>92</v>
          </cell>
          <cell r="BU7">
            <v>366</v>
          </cell>
          <cell r="BV7">
            <v>90</v>
          </cell>
          <cell r="BW7">
            <v>91</v>
          </cell>
          <cell r="BX7">
            <v>92</v>
          </cell>
          <cell r="BY7">
            <v>92</v>
          </cell>
          <cell r="BZ7">
            <v>365</v>
          </cell>
          <cell r="CA7">
            <v>90</v>
          </cell>
          <cell r="CB7">
            <v>91</v>
          </cell>
          <cell r="CC7">
            <v>92</v>
          </cell>
          <cell r="CD7">
            <v>92</v>
          </cell>
          <cell r="CE7">
            <v>365</v>
          </cell>
          <cell r="CF7">
            <v>90</v>
          </cell>
          <cell r="CG7">
            <v>91</v>
          </cell>
          <cell r="CH7">
            <v>92</v>
          </cell>
          <cell r="CI7">
            <v>92</v>
          </cell>
          <cell r="CJ7">
            <v>365</v>
          </cell>
          <cell r="CK7">
            <v>91</v>
          </cell>
          <cell r="CL7">
            <v>91</v>
          </cell>
          <cell r="CM7">
            <v>92</v>
          </cell>
          <cell r="CN7">
            <v>92</v>
          </cell>
          <cell r="CO7">
            <v>366</v>
          </cell>
          <cell r="CP7">
            <v>90</v>
          </cell>
          <cell r="CQ7">
            <v>91</v>
          </cell>
          <cell r="CR7">
            <v>92</v>
          </cell>
          <cell r="CS7">
            <v>92</v>
          </cell>
          <cell r="CT7">
            <v>365</v>
          </cell>
          <cell r="CU7">
            <v>90</v>
          </cell>
          <cell r="CV7">
            <v>91</v>
          </cell>
          <cell r="CW7">
            <v>92</v>
          </cell>
          <cell r="CX7">
            <v>92</v>
          </cell>
          <cell r="CY7">
            <v>365</v>
          </cell>
          <cell r="CZ7">
            <v>90</v>
          </cell>
          <cell r="DA7">
            <v>91</v>
          </cell>
          <cell r="DB7">
            <v>92</v>
          </cell>
          <cell r="DC7">
            <v>92</v>
          </cell>
          <cell r="DD7">
            <v>365</v>
          </cell>
          <cell r="DE7">
            <v>91</v>
          </cell>
          <cell r="DF7">
            <v>91</v>
          </cell>
          <cell r="DG7">
            <v>92</v>
          </cell>
          <cell r="DH7">
            <v>92</v>
          </cell>
          <cell r="DI7">
            <v>366</v>
          </cell>
        </row>
        <row r="9">
          <cell r="B9" t="str">
            <v>Gross Revenue</v>
          </cell>
          <cell r="D9">
            <v>211.79300000000001</v>
          </cell>
          <cell r="E9">
            <v>245.24700000000001</v>
          </cell>
          <cell r="F9">
            <v>301.88299999999998</v>
          </cell>
          <cell r="G9">
            <v>346.767</v>
          </cell>
          <cell r="H9">
            <v>438.36599999999999</v>
          </cell>
          <cell r="I9">
            <v>531.09400000000005</v>
          </cell>
          <cell r="J9">
            <v>714.31700000000001</v>
          </cell>
          <cell r="K9">
            <v>895.48199999999997</v>
          </cell>
          <cell r="L9">
            <v>1138.8019999999999</v>
          </cell>
          <cell r="M9">
            <v>305.49599999999998</v>
          </cell>
          <cell r="N9">
            <v>339.74799999999999</v>
          </cell>
          <cell r="O9">
            <v>352.47300000000001</v>
          </cell>
          <cell r="P9">
            <v>357.99</v>
          </cell>
          <cell r="Q9">
            <v>1355.7069999999999</v>
          </cell>
          <cell r="R9">
            <v>370.09399999999999</v>
          </cell>
          <cell r="S9">
            <v>408.65499999999997</v>
          </cell>
          <cell r="T9">
            <v>391.09899999999999</v>
          </cell>
          <cell r="U9">
            <v>407.91899999999998</v>
          </cell>
          <cell r="V9">
            <v>1577.7669999999998</v>
          </cell>
          <cell r="W9">
            <v>434.23700000000002</v>
          </cell>
          <cell r="X9">
            <v>481.14400000000001</v>
          </cell>
          <cell r="Y9">
            <v>473.20299999999997</v>
          </cell>
          <cell r="Z9">
            <v>491.21699999999998</v>
          </cell>
          <cell r="AA9">
            <v>1879.8009999999999</v>
          </cell>
          <cell r="AB9">
            <v>495.82100000000003</v>
          </cell>
          <cell r="AC9">
            <v>579.94799999999998</v>
          </cell>
          <cell r="AD9">
            <v>592.476</v>
          </cell>
          <cell r="AE9">
            <v>594.35599999999999</v>
          </cell>
          <cell r="AF9">
            <v>2262.6009999999997</v>
          </cell>
          <cell r="AG9">
            <v>609.41899999999998</v>
          </cell>
          <cell r="AH9">
            <v>646.47199999999998</v>
          </cell>
          <cell r="AI9">
            <v>647.12699999999995</v>
          </cell>
          <cell r="AJ9">
            <v>657.55799999999999</v>
          </cell>
          <cell r="AK9">
            <v>2560.576</v>
          </cell>
          <cell r="AL9">
            <v>756.553</v>
          </cell>
          <cell r="AM9">
            <v>833.90700000000004</v>
          </cell>
          <cell r="AN9">
            <v>817.34100000000001</v>
          </cell>
          <cell r="AO9">
            <v>798.08399999999995</v>
          </cell>
          <cell r="AP9">
            <v>3205.8849999999998</v>
          </cell>
          <cell r="AQ9">
            <v>822.18100000000004</v>
          </cell>
          <cell r="AR9">
            <v>917.44799999999998</v>
          </cell>
          <cell r="AS9">
            <v>934.26400000000001</v>
          </cell>
          <cell r="AT9">
            <v>905.59199999999998</v>
          </cell>
          <cell r="AU9">
            <v>3579.4850000000001</v>
          </cell>
          <cell r="AW9">
            <v>833.90700000000004</v>
          </cell>
          <cell r="AX9">
            <v>817.34100000000001</v>
          </cell>
          <cell r="AY9">
            <v>798.08399999999995</v>
          </cell>
          <cell r="AZ9">
            <v>822.18100000000004</v>
          </cell>
          <cell r="BA9">
            <v>3271.5129999999999</v>
          </cell>
          <cell r="BB9">
            <v>917.44799999999998</v>
          </cell>
          <cell r="BC9">
            <v>934.26400000000001</v>
          </cell>
          <cell r="BD9">
            <v>905.59199999999998</v>
          </cell>
          <cell r="BE9">
            <v>936.50300000000004</v>
          </cell>
          <cell r="BF9">
            <v>3693.8070000000002</v>
          </cell>
          <cell r="BG9">
            <v>1032.6600000000001</v>
          </cell>
          <cell r="BH9">
            <v>1022.006</v>
          </cell>
          <cell r="BI9">
            <v>994.11099999999999</v>
          </cell>
          <cell r="BJ9">
            <v>1052.7329999999999</v>
          </cell>
          <cell r="BK9">
            <v>4101.51</v>
          </cell>
          <cell r="BL9">
            <v>1143.5329999999999</v>
          </cell>
          <cell r="BM9">
            <v>1099.1610000000001</v>
          </cell>
          <cell r="BN9">
            <v>1070.1890000000001</v>
          </cell>
          <cell r="BO9">
            <v>1096.278</v>
          </cell>
          <cell r="BP9">
            <v>4409.1610000000001</v>
          </cell>
          <cell r="BQ9">
            <v>1152.5719999999999</v>
          </cell>
          <cell r="BR9">
            <v>1105.299</v>
          </cell>
          <cell r="BS9">
            <v>1081.914</v>
          </cell>
          <cell r="BT9">
            <v>1111.826</v>
          </cell>
          <cell r="BU9">
            <v>4451.6109999999999</v>
          </cell>
          <cell r="BV9">
            <v>1188.0229999999999</v>
          </cell>
          <cell r="BW9">
            <v>1155.453</v>
          </cell>
          <cell r="BX9">
            <v>1121.903</v>
          </cell>
          <cell r="BY9">
            <v>1198.77</v>
          </cell>
          <cell r="BZ9">
            <v>4664.1489999999994</v>
          </cell>
          <cell r="CA9">
            <v>1285.019</v>
          </cell>
          <cell r="CB9">
            <v>1247.787</v>
          </cell>
          <cell r="CC9">
            <v>1270.6590000000001</v>
          </cell>
          <cell r="CD9">
            <v>1352.059</v>
          </cell>
          <cell r="CE9">
            <v>5155.5240000000003</v>
          </cell>
          <cell r="CF9">
            <v>1433.6410000000001</v>
          </cell>
          <cell r="CG9">
            <v>1395.3530000000001</v>
          </cell>
          <cell r="CH9">
            <v>1400.2439999999999</v>
          </cell>
          <cell r="CI9">
            <v>1583.7739999999999</v>
          </cell>
          <cell r="CJ9">
            <v>5813.0120000000006</v>
          </cell>
          <cell r="CK9">
            <v>1686.518</v>
          </cell>
          <cell r="CL9">
            <v>1686.5409999999999</v>
          </cell>
          <cell r="CM9">
            <v>1664.1869999999999</v>
          </cell>
          <cell r="CN9">
            <v>1714.7561297917275</v>
          </cell>
          <cell r="CO9">
            <v>6752.0021297917274</v>
          </cell>
          <cell r="CP9">
            <v>1773.696240270453</v>
          </cell>
          <cell r="CQ9">
            <v>1748.3017764068638</v>
          </cell>
          <cell r="CR9">
            <v>1727.0014888007336</v>
          </cell>
          <cell r="CS9">
            <v>1774.4609769352023</v>
          </cell>
          <cell r="CT9">
            <v>7023.460482413253</v>
          </cell>
          <cell r="CU9">
            <v>1808.7387179919394</v>
          </cell>
          <cell r="CV9">
            <v>1781.0200924392448</v>
          </cell>
          <cell r="CW9">
            <v>1761.1587791980387</v>
          </cell>
          <cell r="CX9">
            <v>1806.0845996925368</v>
          </cell>
          <cell r="CY9">
            <v>7157.0021893217599</v>
          </cell>
          <cell r="CZ9">
            <v>1881.1170686709002</v>
          </cell>
          <cell r="DA9">
            <v>1849.8988829022953</v>
          </cell>
          <cell r="DB9">
            <v>1830.7465494006099</v>
          </cell>
          <cell r="DC9">
            <v>1881.3219862595788</v>
          </cell>
          <cell r="DD9">
            <v>7443.0844872333846</v>
          </cell>
          <cell r="DE9">
            <v>1964.9563156098177</v>
          </cell>
          <cell r="DF9">
            <v>1927.8969063987906</v>
          </cell>
          <cell r="DG9">
            <v>1909.0801770309545</v>
          </cell>
          <cell r="DH9">
            <v>1957.1362860311051</v>
          </cell>
          <cell r="DI9">
            <v>7759.0696850706681</v>
          </cell>
        </row>
        <row r="10">
          <cell r="B10" t="str">
            <v>Provision for doubtful accounts</v>
          </cell>
          <cell r="D10">
            <v>20.132000000000001</v>
          </cell>
          <cell r="E10">
            <v>19.106999999999999</v>
          </cell>
          <cell r="F10">
            <v>23.922000000000001</v>
          </cell>
          <cell r="G10">
            <v>30.15</v>
          </cell>
          <cell r="H10">
            <v>40.002000000000002</v>
          </cell>
          <cell r="I10">
            <v>48.338000000000001</v>
          </cell>
          <cell r="J10">
            <v>64.763000000000005</v>
          </cell>
          <cell r="K10">
            <v>76.894000000000005</v>
          </cell>
          <cell r="L10">
            <v>98.257999999999996</v>
          </cell>
          <cell r="M10">
            <v>29.094999999999999</v>
          </cell>
          <cell r="N10">
            <v>29.876999999999999</v>
          </cell>
          <cell r="O10">
            <v>35.957999999999998</v>
          </cell>
          <cell r="P10">
            <v>35.082999999999998</v>
          </cell>
          <cell r="Q10">
            <v>130.01299999999998</v>
          </cell>
          <cell r="R10">
            <v>34.173000000000002</v>
          </cell>
          <cell r="S10">
            <v>32.884999999999998</v>
          </cell>
          <cell r="T10">
            <v>34.353000000000002</v>
          </cell>
          <cell r="U10">
            <v>34.451000000000001</v>
          </cell>
          <cell r="V10">
            <v>135.86199999999999</v>
          </cell>
          <cell r="W10">
            <v>35.905000000000001</v>
          </cell>
          <cell r="X10">
            <v>33.051000000000002</v>
          </cell>
          <cell r="Y10">
            <v>36.158000000000001</v>
          </cell>
          <cell r="Z10">
            <v>38.808999999999997</v>
          </cell>
          <cell r="AA10">
            <v>143.923</v>
          </cell>
          <cell r="AB10">
            <v>36.878</v>
          </cell>
          <cell r="AC10">
            <v>43.713000000000001</v>
          </cell>
          <cell r="AD10">
            <v>45.484999999999999</v>
          </cell>
          <cell r="AE10">
            <v>46.353999999999999</v>
          </cell>
          <cell r="AF10">
            <v>172.43</v>
          </cell>
          <cell r="AG10">
            <v>46.307000000000002</v>
          </cell>
          <cell r="AH10">
            <v>45.017000000000003</v>
          </cell>
          <cell r="AI10">
            <v>46.448</v>
          </cell>
          <cell r="AJ10">
            <v>49.054000000000002</v>
          </cell>
          <cell r="AK10">
            <v>186.82600000000002</v>
          </cell>
          <cell r="AL10">
            <v>58.087000000000003</v>
          </cell>
          <cell r="AM10">
            <v>59.578000000000003</v>
          </cell>
          <cell r="AN10">
            <v>62.514000000000003</v>
          </cell>
          <cell r="AO10">
            <v>59.895000000000003</v>
          </cell>
          <cell r="AP10">
            <v>240.07400000000001</v>
          </cell>
          <cell r="AQ10">
            <v>62.085999999999999</v>
          </cell>
          <cell r="AR10">
            <v>64.572999999999993</v>
          </cell>
          <cell r="AS10">
            <v>105.41200000000001</v>
          </cell>
          <cell r="AT10">
            <v>75.754999999999995</v>
          </cell>
          <cell r="AU10">
            <v>307.82600000000002</v>
          </cell>
          <cell r="AW10">
            <v>59.578000000000003</v>
          </cell>
          <cell r="AX10">
            <v>62.514000000000003</v>
          </cell>
          <cell r="AY10">
            <v>59.895000000000003</v>
          </cell>
          <cell r="AZ10">
            <v>62.085999999999999</v>
          </cell>
          <cell r="BA10">
            <v>244.07300000000004</v>
          </cell>
          <cell r="BB10">
            <v>64.572999999999993</v>
          </cell>
          <cell r="BC10">
            <v>105.41200000000001</v>
          </cell>
          <cell r="BD10">
            <v>75.754999999999995</v>
          </cell>
          <cell r="BE10">
            <v>81.106999999999999</v>
          </cell>
          <cell r="BF10">
            <v>326.84699999999998</v>
          </cell>
          <cell r="BG10">
            <v>83.775999999999996</v>
          </cell>
          <cell r="BH10">
            <v>91.206000000000003</v>
          </cell>
          <cell r="BI10">
            <v>94.072999999999993</v>
          </cell>
          <cell r="BJ10">
            <v>302.81900000000002</v>
          </cell>
          <cell r="BK10">
            <v>571.87400000000002</v>
          </cell>
          <cell r="BL10">
            <v>121.46899999999999</v>
          </cell>
          <cell r="BM10">
            <v>150.62899999999999</v>
          </cell>
          <cell r="BN10">
            <v>126.486</v>
          </cell>
          <cell r="BO10">
            <v>135.22</v>
          </cell>
          <cell r="BP10">
            <v>533.80399999999997</v>
          </cell>
          <cell r="BQ10">
            <v>128.97</v>
          </cell>
          <cell r="BR10">
            <v>124.837</v>
          </cell>
          <cell r="BS10">
            <v>124.194</v>
          </cell>
          <cell r="BT10">
            <v>130.22900000000001</v>
          </cell>
          <cell r="BU10">
            <v>508.23</v>
          </cell>
          <cell r="BV10">
            <v>143.983</v>
          </cell>
          <cell r="BW10">
            <v>141.505</v>
          </cell>
          <cell r="BX10">
            <v>143.745</v>
          </cell>
          <cell r="BY10">
            <v>147.16399999999999</v>
          </cell>
          <cell r="BZ10">
            <v>576.39699999999993</v>
          </cell>
          <cell r="CA10">
            <v>158.80500000000001</v>
          </cell>
          <cell r="CB10">
            <v>149.73099999999999</v>
          </cell>
          <cell r="CC10">
            <v>159.922</v>
          </cell>
          <cell r="CD10">
            <v>164.553</v>
          </cell>
          <cell r="CE10">
            <v>633.01099999999997</v>
          </cell>
          <cell r="CF10">
            <v>172.80199999999999</v>
          </cell>
          <cell r="CG10">
            <v>170.78700000000001</v>
          </cell>
          <cell r="CH10">
            <v>178.87299999999999</v>
          </cell>
          <cell r="CI10">
            <v>195.12700000000001</v>
          </cell>
          <cell r="CJ10">
            <v>717.58899999999994</v>
          </cell>
          <cell r="CK10">
            <v>201.261</v>
          </cell>
          <cell r="CL10">
            <v>214.56299999999999</v>
          </cell>
          <cell r="CM10">
            <v>224.078</v>
          </cell>
          <cell r="CN10">
            <v>231.49207752188323</v>
          </cell>
          <cell r="CO10">
            <v>871.39407752188322</v>
          </cell>
          <cell r="CP10">
            <v>235.56444688548012</v>
          </cell>
          <cell r="CQ10">
            <v>241.42522828460378</v>
          </cell>
          <cell r="CR10">
            <v>254.002584369668</v>
          </cell>
          <cell r="CS10">
            <v>257.02973061024016</v>
          </cell>
          <cell r="CT10">
            <v>988.02199014999201</v>
          </cell>
          <cell r="CU10">
            <v>189.48801670731294</v>
          </cell>
          <cell r="CV10">
            <v>194.77399794157026</v>
          </cell>
          <cell r="CW10">
            <v>204.69666651038935</v>
          </cell>
          <cell r="CX10">
            <v>207.56875740520627</v>
          </cell>
          <cell r="CY10">
            <v>796.52743856447887</v>
          </cell>
          <cell r="CZ10">
            <v>172.64500807231349</v>
          </cell>
          <cell r="DA10">
            <v>176.50685420070937</v>
          </cell>
          <cell r="DB10">
            <v>185.37446677882798</v>
          </cell>
          <cell r="DC10">
            <v>188.28177216036485</v>
          </cell>
          <cell r="DD10">
            <v>722.80810121221566</v>
          </cell>
          <cell r="DE10">
            <v>161.64526418738677</v>
          </cell>
          <cell r="DF10">
            <v>164.28377525814815</v>
          </cell>
          <cell r="DG10">
            <v>172.42250458134649</v>
          </cell>
          <cell r="DH10">
            <v>175.27856747258164</v>
          </cell>
          <cell r="DI10">
            <v>673.63011149946306</v>
          </cell>
        </row>
        <row r="11">
          <cell r="B11" t="str">
            <v>Net Revenue</v>
          </cell>
          <cell r="D11">
            <v>191.661</v>
          </cell>
          <cell r="E11">
            <v>226.14000000000001</v>
          </cell>
          <cell r="F11">
            <v>277.96099999999996</v>
          </cell>
          <cell r="G11">
            <v>316.61700000000002</v>
          </cell>
          <cell r="H11">
            <v>398.36399999999998</v>
          </cell>
          <cell r="I11">
            <v>482.75600000000003</v>
          </cell>
          <cell r="J11">
            <v>649.55399999999997</v>
          </cell>
          <cell r="K11">
            <v>818.58799999999997</v>
          </cell>
          <cell r="L11">
            <v>1040.5439999999999</v>
          </cell>
          <cell r="M11">
            <v>276.40099999999995</v>
          </cell>
          <cell r="N11">
            <v>309.87099999999998</v>
          </cell>
          <cell r="O11">
            <v>316.51499999999999</v>
          </cell>
          <cell r="P11">
            <v>322.90700000000004</v>
          </cell>
          <cell r="Q11">
            <v>1225.694</v>
          </cell>
          <cell r="R11">
            <v>335.92099999999999</v>
          </cell>
          <cell r="S11">
            <v>375.77</v>
          </cell>
          <cell r="T11">
            <v>356.74599999999998</v>
          </cell>
          <cell r="U11">
            <v>373.46799999999996</v>
          </cell>
          <cell r="V11">
            <v>1441.9049999999997</v>
          </cell>
          <cell r="W11">
            <v>398.33199999999999</v>
          </cell>
          <cell r="X11">
            <v>448.09300000000002</v>
          </cell>
          <cell r="Y11">
            <v>437.04499999999996</v>
          </cell>
          <cell r="Z11">
            <v>452.40800000000002</v>
          </cell>
          <cell r="AA11">
            <v>1735.8779999999999</v>
          </cell>
          <cell r="AB11">
            <v>458.94300000000004</v>
          </cell>
          <cell r="AC11">
            <v>536.23500000000001</v>
          </cell>
          <cell r="AD11">
            <v>546.99099999999999</v>
          </cell>
          <cell r="AE11">
            <v>548.00199999999995</v>
          </cell>
          <cell r="AF11">
            <v>2090.1709999999998</v>
          </cell>
          <cell r="AG11">
            <v>563.11199999999997</v>
          </cell>
          <cell r="AH11">
            <v>601.45499999999993</v>
          </cell>
          <cell r="AI11">
            <v>600.67899999999997</v>
          </cell>
          <cell r="AJ11">
            <v>608.50400000000002</v>
          </cell>
          <cell r="AK11">
            <v>2373.75</v>
          </cell>
          <cell r="AL11">
            <v>698.46600000000001</v>
          </cell>
          <cell r="AM11">
            <v>774.32900000000006</v>
          </cell>
          <cell r="AN11">
            <v>754.827</v>
          </cell>
          <cell r="AO11">
            <v>738.18899999999996</v>
          </cell>
          <cell r="AP11">
            <v>2965.8109999999997</v>
          </cell>
          <cell r="AQ11">
            <v>760.09500000000003</v>
          </cell>
          <cell r="AR11">
            <v>852.875</v>
          </cell>
          <cell r="AS11">
            <v>828.85199999999998</v>
          </cell>
          <cell r="AT11">
            <v>829.83699999999999</v>
          </cell>
          <cell r="AU11">
            <v>3271.6590000000001</v>
          </cell>
          <cell r="AW11">
            <v>774.32900000000006</v>
          </cell>
          <cell r="AX11">
            <v>754.827</v>
          </cell>
          <cell r="AY11">
            <v>738.18899999999996</v>
          </cell>
          <cell r="AZ11">
            <v>760.09500000000003</v>
          </cell>
          <cell r="BA11">
            <v>3027.44</v>
          </cell>
          <cell r="BB11">
            <v>852.875</v>
          </cell>
          <cell r="BC11">
            <v>828.85199999999998</v>
          </cell>
          <cell r="BD11">
            <v>829.83699999999999</v>
          </cell>
          <cell r="BE11">
            <v>855.39600000000007</v>
          </cell>
          <cell r="BF11">
            <v>3366.96</v>
          </cell>
          <cell r="BG11">
            <v>948.88400000000013</v>
          </cell>
          <cell r="BH11">
            <v>930.8</v>
          </cell>
          <cell r="BI11">
            <v>900.03800000000001</v>
          </cell>
          <cell r="BJ11">
            <v>749.91399999999999</v>
          </cell>
          <cell r="BK11">
            <v>3529.6360000000004</v>
          </cell>
          <cell r="BL11">
            <v>1022.0639999999999</v>
          </cell>
          <cell r="BM11">
            <v>948.53200000000004</v>
          </cell>
          <cell r="BN11">
            <v>943.70300000000009</v>
          </cell>
          <cell r="BO11">
            <v>961.05799999999999</v>
          </cell>
          <cell r="BP11">
            <v>3875.357</v>
          </cell>
          <cell r="BQ11">
            <v>1023.6019999999999</v>
          </cell>
          <cell r="BR11">
            <v>980.46199999999999</v>
          </cell>
          <cell r="BS11">
            <v>957.72</v>
          </cell>
          <cell r="BT11">
            <v>981.59699999999998</v>
          </cell>
          <cell r="BU11">
            <v>3943.3809999999999</v>
          </cell>
          <cell r="BV11">
            <v>1044.04</v>
          </cell>
          <cell r="BW11">
            <v>1013.948</v>
          </cell>
          <cell r="BX11">
            <v>978.15800000000002</v>
          </cell>
          <cell r="BY11">
            <v>1051.606</v>
          </cell>
          <cell r="BZ11">
            <v>4087.7519999999995</v>
          </cell>
          <cell r="CA11">
            <v>1126.2139999999999</v>
          </cell>
          <cell r="CB11">
            <v>1098.056</v>
          </cell>
          <cell r="CC11">
            <v>1110.7370000000001</v>
          </cell>
          <cell r="CD11">
            <v>1187.5059999999999</v>
          </cell>
          <cell r="CE11">
            <v>4522.5130000000008</v>
          </cell>
          <cell r="CF11">
            <v>1260.8390000000002</v>
          </cell>
          <cell r="CG11">
            <v>1224.566</v>
          </cell>
          <cell r="CH11">
            <v>1221.3709999999999</v>
          </cell>
          <cell r="CI11">
            <v>1388.6469999999999</v>
          </cell>
          <cell r="CJ11">
            <v>5095.4230000000007</v>
          </cell>
          <cell r="CK11">
            <v>1485.2570000000001</v>
          </cell>
          <cell r="CL11">
            <v>1471.9780000000001</v>
          </cell>
          <cell r="CM11">
            <v>1440.1089999999999</v>
          </cell>
          <cell r="CN11">
            <v>1483.2640522698443</v>
          </cell>
          <cell r="CO11">
            <v>5880.6080522698439</v>
          </cell>
          <cell r="CP11">
            <v>1538.131793384973</v>
          </cell>
          <cell r="CQ11">
            <v>1506.8765481222601</v>
          </cell>
          <cell r="CR11">
            <v>1472.9989044310655</v>
          </cell>
          <cell r="CS11">
            <v>1517.4312463249621</v>
          </cell>
          <cell r="CT11">
            <v>6035.4384922632607</v>
          </cell>
          <cell r="CU11">
            <v>1619.2507012846265</v>
          </cell>
          <cell r="CV11">
            <v>1586.2460944976744</v>
          </cell>
          <cell r="CW11">
            <v>1556.4621126876493</v>
          </cell>
          <cell r="CX11">
            <v>1598.5158422873305</v>
          </cell>
          <cell r="CY11">
            <v>6360.4747507572811</v>
          </cell>
          <cell r="CZ11">
            <v>1708.4720605985867</v>
          </cell>
          <cell r="DA11">
            <v>1673.392028701586</v>
          </cell>
          <cell r="DB11">
            <v>1645.3720826217818</v>
          </cell>
          <cell r="DC11">
            <v>1693.0402140992139</v>
          </cell>
          <cell r="DD11">
            <v>6720.2763860211689</v>
          </cell>
          <cell r="DE11">
            <v>1803.3110514224309</v>
          </cell>
          <cell r="DF11">
            <v>1763.6131311406425</v>
          </cell>
          <cell r="DG11">
            <v>1736.6576724496081</v>
          </cell>
          <cell r="DH11">
            <v>1781.8577185585234</v>
          </cell>
          <cell r="DI11">
            <v>7085.4395735712051</v>
          </cell>
          <cell r="DK11" t="str">
            <v>mstag:revenueNet</v>
          </cell>
          <cell r="DL11">
            <v>6</v>
          </cell>
          <cell r="DM11" t="str">
            <v>ISO4217:USD</v>
          </cell>
          <cell r="DN11" t="b">
            <v>0</v>
          </cell>
          <cell r="DO11" t="b">
            <v>0</v>
          </cell>
        </row>
        <row r="12">
          <cell r="B12" t="str">
            <v>Salaries &amp; benefits</v>
          </cell>
          <cell r="D12">
            <v>78.134</v>
          </cell>
          <cell r="E12">
            <v>90.876999999999995</v>
          </cell>
          <cell r="F12">
            <v>112.114</v>
          </cell>
          <cell r="G12">
            <v>123.188</v>
          </cell>
          <cell r="H12">
            <v>149.36799999999999</v>
          </cell>
          <cell r="I12">
            <v>179.483</v>
          </cell>
          <cell r="J12">
            <v>247.917</v>
          </cell>
          <cell r="K12">
            <v>310.99200000000002</v>
          </cell>
          <cell r="L12">
            <v>402.13299999999998</v>
          </cell>
          <cell r="M12">
            <v>113.643</v>
          </cell>
          <cell r="N12">
            <v>114.673</v>
          </cell>
          <cell r="O12">
            <v>124.38200000000001</v>
          </cell>
          <cell r="P12">
            <v>133.30500000000001</v>
          </cell>
          <cell r="Q12">
            <v>486.00299999999999</v>
          </cell>
          <cell r="R12">
            <v>136.428</v>
          </cell>
          <cell r="S12">
            <v>143.179</v>
          </cell>
          <cell r="T12">
            <v>134.57900000000001</v>
          </cell>
          <cell r="U12">
            <v>154.92599999999999</v>
          </cell>
          <cell r="V12">
            <v>569.11199999999997</v>
          </cell>
          <cell r="W12">
            <v>169.15299999999999</v>
          </cell>
          <cell r="X12">
            <v>177.52</v>
          </cell>
          <cell r="Y12">
            <v>176.279</v>
          </cell>
          <cell r="Z12">
            <v>187.583</v>
          </cell>
          <cell r="AA12">
            <v>710.53499999999997</v>
          </cell>
          <cell r="AB12">
            <v>195.74799999999999</v>
          </cell>
          <cell r="AC12">
            <v>219.04400000000001</v>
          </cell>
          <cell r="AD12">
            <v>226.58699999999999</v>
          </cell>
          <cell r="AE12">
            <v>233.35</v>
          </cell>
          <cell r="AF12">
            <v>874.72900000000004</v>
          </cell>
          <cell r="AG12">
            <v>242.511</v>
          </cell>
          <cell r="AH12">
            <v>245.946</v>
          </cell>
          <cell r="AI12">
            <v>245.477</v>
          </cell>
          <cell r="AJ12">
            <v>255.14099999999999</v>
          </cell>
          <cell r="AK12">
            <v>989.07499999999993</v>
          </cell>
          <cell r="AL12">
            <v>302.762</v>
          </cell>
          <cell r="AM12">
            <v>325.38400000000001</v>
          </cell>
          <cell r="AN12">
            <v>315.77600000000001</v>
          </cell>
          <cell r="AO12">
            <v>315.93700000000001</v>
          </cell>
          <cell r="AP12">
            <v>1259.8589999999999</v>
          </cell>
          <cell r="AQ12">
            <v>327.25</v>
          </cell>
          <cell r="AR12">
            <v>358.286</v>
          </cell>
          <cell r="AS12">
            <v>356.072</v>
          </cell>
          <cell r="AT12">
            <v>365.62700000000001</v>
          </cell>
          <cell r="AU12">
            <v>1407.2350000000001</v>
          </cell>
          <cell r="AW12">
            <v>325.38400000000001</v>
          </cell>
          <cell r="AX12">
            <v>315.77600000000001</v>
          </cell>
          <cell r="AY12">
            <v>315.93700000000001</v>
          </cell>
          <cell r="AZ12">
            <v>327.25</v>
          </cell>
          <cell r="BA12">
            <v>1284.3470000000002</v>
          </cell>
          <cell r="BB12">
            <v>358.286</v>
          </cell>
          <cell r="BC12">
            <v>356.072</v>
          </cell>
          <cell r="BD12">
            <v>365.62700000000001</v>
          </cell>
          <cell r="BE12">
            <v>376.66</v>
          </cell>
          <cell r="BF12">
            <v>1456.645</v>
          </cell>
          <cell r="BG12">
            <v>405.78300000000002</v>
          </cell>
          <cell r="BH12">
            <v>408.06099999999998</v>
          </cell>
          <cell r="BI12">
            <v>404.39299999999997</v>
          </cell>
          <cell r="BJ12">
            <v>433.10700000000003</v>
          </cell>
          <cell r="BK12">
            <v>1651.3440000000001</v>
          </cell>
          <cell r="BL12">
            <v>455.50700000000001</v>
          </cell>
          <cell r="BM12">
            <v>444.34300000000002</v>
          </cell>
          <cell r="BN12">
            <v>438.86399999999998</v>
          </cell>
          <cell r="BO12">
            <v>453.54</v>
          </cell>
          <cell r="BP12">
            <v>1792.2539999999999</v>
          </cell>
          <cell r="BQ12">
            <v>467.803</v>
          </cell>
          <cell r="BR12">
            <v>448.61700000000002</v>
          </cell>
          <cell r="BS12">
            <v>449.42099999999999</v>
          </cell>
          <cell r="BT12">
            <v>462.41699999999997</v>
          </cell>
          <cell r="BU12">
            <v>1828.258</v>
          </cell>
          <cell r="BV12">
            <v>464.21300000000002</v>
          </cell>
          <cell r="BW12">
            <v>448.11500000000001</v>
          </cell>
          <cell r="BX12">
            <v>438.202</v>
          </cell>
          <cell r="BY12">
            <v>478.28500000000003</v>
          </cell>
          <cell r="BZ12">
            <v>1828.8150000000001</v>
          </cell>
          <cell r="CA12">
            <v>507.767</v>
          </cell>
          <cell r="CB12">
            <v>490.60700000000003</v>
          </cell>
          <cell r="CC12">
            <v>501.84100000000001</v>
          </cell>
          <cell r="CD12">
            <v>541.37</v>
          </cell>
          <cell r="CE12">
            <v>2041.585</v>
          </cell>
          <cell r="CF12">
            <v>571.39300000000003</v>
          </cell>
          <cell r="CG12">
            <v>546.19799999999998</v>
          </cell>
          <cell r="CH12">
            <v>549.85699999999997</v>
          </cell>
          <cell r="CI12">
            <v>637.75099999999998</v>
          </cell>
          <cell r="CJ12">
            <v>2305.1989999999996</v>
          </cell>
          <cell r="CK12">
            <v>659.08399999999995</v>
          </cell>
          <cell r="CL12">
            <v>645.93299999999999</v>
          </cell>
          <cell r="CM12">
            <v>637.30499999999995</v>
          </cell>
          <cell r="CN12">
            <v>674.17092842825696</v>
          </cell>
          <cell r="CO12">
            <v>2616.4929284282566</v>
          </cell>
          <cell r="CP12">
            <v>680.44696543148223</v>
          </cell>
          <cell r="CQ12">
            <v>658.50434709383501</v>
          </cell>
          <cell r="CR12">
            <v>649.43383541914125</v>
          </cell>
          <cell r="CS12">
            <v>690.07470675437355</v>
          </cell>
          <cell r="CT12">
            <v>2678.4598546988318</v>
          </cell>
          <cell r="CU12">
            <v>710.86056533681824</v>
          </cell>
          <cell r="CV12">
            <v>688.48447042693351</v>
          </cell>
          <cell r="CW12">
            <v>679.09121532191921</v>
          </cell>
          <cell r="CX12">
            <v>721.13953852404018</v>
          </cell>
          <cell r="CY12">
            <v>2799.5757896097111</v>
          </cell>
          <cell r="CZ12">
            <v>743.92486515494795</v>
          </cell>
          <cell r="DA12">
            <v>720.66780311956302</v>
          </cell>
          <cell r="DB12">
            <v>710.86984094605657</v>
          </cell>
          <cell r="DC12">
            <v>754.84673517912404</v>
          </cell>
          <cell r="DD12">
            <v>2930.3092443996916</v>
          </cell>
          <cell r="DE12">
            <v>778.67402680465921</v>
          </cell>
          <cell r="DF12">
            <v>754.08473983272324</v>
          </cell>
          <cell r="DG12">
            <v>743.8621045807638</v>
          </cell>
          <cell r="DH12">
            <v>789.44356666780379</v>
          </cell>
          <cell r="DI12">
            <v>3066.0644378859497</v>
          </cell>
          <cell r="DK12" t="str">
            <v>mstag:employeeExpenses</v>
          </cell>
          <cell r="DL12">
            <v>6</v>
          </cell>
          <cell r="DM12" t="str">
            <v>ISO4217:USD</v>
          </cell>
          <cell r="DN12" t="b">
            <v>0</v>
          </cell>
          <cell r="DO12" t="b">
            <v>0</v>
          </cell>
        </row>
        <row r="13">
          <cell r="B13" t="str">
            <v>Supplies &amp; other</v>
          </cell>
          <cell r="D13">
            <v>69.774000000000001</v>
          </cell>
          <cell r="E13">
            <v>80.132999999999996</v>
          </cell>
          <cell r="F13">
            <v>98.403999999999996</v>
          </cell>
          <cell r="G13">
            <v>109.167</v>
          </cell>
          <cell r="H13">
            <v>135.042</v>
          </cell>
          <cell r="I13">
            <v>162.18299999999999</v>
          </cell>
          <cell r="J13">
            <v>216.45099999999999</v>
          </cell>
          <cell r="K13">
            <v>269.57</v>
          </cell>
          <cell r="L13">
            <v>331.00599999999997</v>
          </cell>
          <cell r="M13">
            <v>88.361000000000004</v>
          </cell>
          <cell r="N13">
            <v>93.745000000000005</v>
          </cell>
          <cell r="O13">
            <v>101.371</v>
          </cell>
          <cell r="P13">
            <v>106.752</v>
          </cell>
          <cell r="Q13">
            <v>390.22899999999998</v>
          </cell>
          <cell r="R13">
            <v>109.946</v>
          </cell>
          <cell r="S13">
            <v>115.18300000000001</v>
          </cell>
          <cell r="T13">
            <v>114.508</v>
          </cell>
          <cell r="U13">
            <v>119.18</v>
          </cell>
          <cell r="V13">
            <v>458.81700000000001</v>
          </cell>
          <cell r="W13">
            <v>126.069</v>
          </cell>
          <cell r="X13">
            <v>135.666</v>
          </cell>
          <cell r="Y13">
            <v>133.995</v>
          </cell>
          <cell r="Z13">
            <v>140.196</v>
          </cell>
          <cell r="AA13">
            <v>535.92600000000004</v>
          </cell>
          <cell r="AB13">
            <v>143.43299999999999</v>
          </cell>
          <cell r="AC13">
            <v>163.678</v>
          </cell>
          <cell r="AD13">
            <v>170.16300000000001</v>
          </cell>
          <cell r="AE13">
            <v>173.578</v>
          </cell>
          <cell r="AF13">
            <v>650.85199999999998</v>
          </cell>
          <cell r="AG13">
            <v>179.94200000000001</v>
          </cell>
          <cell r="AH13">
            <v>183.52600000000001</v>
          </cell>
          <cell r="AI13">
            <v>185.328</v>
          </cell>
          <cell r="AJ13">
            <v>192.691</v>
          </cell>
          <cell r="AK13">
            <v>741.48700000000008</v>
          </cell>
          <cell r="AL13">
            <v>228.136</v>
          </cell>
          <cell r="AM13">
            <v>244.172</v>
          </cell>
          <cell r="AN13">
            <v>239.08699999999999</v>
          </cell>
          <cell r="AO13">
            <v>245.49600000000001</v>
          </cell>
          <cell r="AP13">
            <v>956.89099999999996</v>
          </cell>
          <cell r="AQ13">
            <v>247.816</v>
          </cell>
          <cell r="AR13">
            <v>273.21499999999997</v>
          </cell>
          <cell r="AS13">
            <v>288.76400000000001</v>
          </cell>
          <cell r="AT13">
            <v>280.47199999999998</v>
          </cell>
          <cell r="AU13">
            <v>1090.2669999999998</v>
          </cell>
          <cell r="AW13">
            <v>244.172</v>
          </cell>
          <cell r="AX13">
            <v>239.08699999999999</v>
          </cell>
          <cell r="AY13">
            <v>245.49600000000001</v>
          </cell>
          <cell r="AZ13">
            <v>247.816</v>
          </cell>
          <cell r="BA13">
            <v>976.57100000000003</v>
          </cell>
          <cell r="BB13">
            <v>273.21499999999997</v>
          </cell>
          <cell r="BC13">
            <v>288.76400000000001</v>
          </cell>
          <cell r="BD13">
            <v>280.47199999999998</v>
          </cell>
          <cell r="BE13">
            <v>289.24599999999998</v>
          </cell>
          <cell r="BF13">
            <v>1131.6970000000001</v>
          </cell>
          <cell r="BG13">
            <v>150.059</v>
          </cell>
          <cell r="BH13">
            <v>142.24799999999999</v>
          </cell>
          <cell r="BI13">
            <v>133.45599999999999</v>
          </cell>
          <cell r="BJ13">
            <v>132.23599999999999</v>
          </cell>
          <cell r="BK13">
            <v>557.99900000000002</v>
          </cell>
          <cell r="BL13">
            <v>158.51400000000001</v>
          </cell>
          <cell r="BM13">
            <v>149.86199999999999</v>
          </cell>
          <cell r="BN13">
            <v>139.08000000000001</v>
          </cell>
          <cell r="BO13">
            <v>140.53700000000001</v>
          </cell>
          <cell r="BP13">
            <v>587.99300000000005</v>
          </cell>
          <cell r="BQ13">
            <v>156.87299999999999</v>
          </cell>
          <cell r="BR13">
            <v>149.24799999999999</v>
          </cell>
          <cell r="BS13">
            <v>146.93299999999999</v>
          </cell>
          <cell r="BT13">
            <v>150.56700000000001</v>
          </cell>
          <cell r="BU13">
            <v>603.62099999999998</v>
          </cell>
          <cell r="BV13">
            <v>165.43799999999999</v>
          </cell>
          <cell r="BW13">
            <v>164.756</v>
          </cell>
          <cell r="BX13">
            <v>154.262</v>
          </cell>
          <cell r="BY13">
            <v>167.102</v>
          </cell>
          <cell r="BZ13">
            <v>651.55799999999999</v>
          </cell>
          <cell r="CA13">
            <v>180.66200000000001</v>
          </cell>
          <cell r="CB13">
            <v>176.98400000000001</v>
          </cell>
          <cell r="CC13">
            <v>173.43700000000001</v>
          </cell>
          <cell r="CD13">
            <v>179.03800000000001</v>
          </cell>
          <cell r="CE13">
            <v>710.12100000000009</v>
          </cell>
          <cell r="CF13">
            <v>195.00299999999999</v>
          </cell>
          <cell r="CG13">
            <v>185.78899999999999</v>
          </cell>
          <cell r="CH13">
            <v>179.99299999999999</v>
          </cell>
          <cell r="CI13">
            <v>216.35</v>
          </cell>
          <cell r="CJ13">
            <v>777.13499999999999</v>
          </cell>
          <cell r="CK13">
            <v>234.44300000000001</v>
          </cell>
          <cell r="CL13">
            <v>226.154</v>
          </cell>
          <cell r="CM13">
            <v>216.81899999999999</v>
          </cell>
          <cell r="CN13">
            <v>233.76241948081793</v>
          </cell>
          <cell r="CO13">
            <v>911.17841948081787</v>
          </cell>
          <cell r="CP13">
            <v>242.04202790031766</v>
          </cell>
          <cell r="CQ13">
            <v>230.55547883860885</v>
          </cell>
          <cell r="CR13">
            <v>220.94537899709371</v>
          </cell>
          <cell r="CS13">
            <v>239.2769048192275</v>
          </cell>
          <cell r="CT13">
            <v>932.81979055524778</v>
          </cell>
          <cell r="CU13">
            <v>253.00203318982847</v>
          </cell>
          <cell r="CV13">
            <v>241.56723875276717</v>
          </cell>
          <cell r="CW13">
            <v>231.59942237504632</v>
          </cell>
          <cell r="CX13">
            <v>250.33412049016346</v>
          </cell>
          <cell r="CY13">
            <v>976.50281480780541</v>
          </cell>
          <cell r="CZ13">
            <v>265.75465039196968</v>
          </cell>
          <cell r="DA13">
            <v>253.89645237672258</v>
          </cell>
          <cell r="DB13">
            <v>243.46431402349461</v>
          </cell>
          <cell r="DC13">
            <v>263.11603804934305</v>
          </cell>
          <cell r="DD13">
            <v>1026.2314548415297</v>
          </cell>
          <cell r="DE13">
            <v>279.42286899101225</v>
          </cell>
          <cell r="DF13">
            <v>266.66038310455809</v>
          </cell>
          <cell r="DG13">
            <v>255.7426553248485</v>
          </cell>
          <cell r="DH13">
            <v>275.9097976754889</v>
          </cell>
          <cell r="DI13">
            <v>1077.7357050959076</v>
          </cell>
          <cell r="DK13" t="str">
            <v>mstag:hospitalSuppliesExpense</v>
          </cell>
          <cell r="DL13">
            <v>6</v>
          </cell>
          <cell r="DM13" t="str">
            <v>ISO4217:USD</v>
          </cell>
          <cell r="DN13" t="b">
            <v>0</v>
          </cell>
          <cell r="DO13" t="b">
            <v>0</v>
          </cell>
        </row>
        <row r="14">
          <cell r="B14" t="str">
            <v>Rent expense</v>
          </cell>
          <cell r="D14">
            <v>7.1</v>
          </cell>
          <cell r="E14">
            <v>8.1210000000000004</v>
          </cell>
          <cell r="F14">
            <v>9.09</v>
          </cell>
          <cell r="G14">
            <v>9.9250000000000007</v>
          </cell>
          <cell r="H14">
            <v>11.317</v>
          </cell>
          <cell r="I14">
            <v>12.657999999999999</v>
          </cell>
          <cell r="J14">
            <v>16.087</v>
          </cell>
          <cell r="K14">
            <v>19.443999999999999</v>
          </cell>
          <cell r="L14">
            <v>26.93</v>
          </cell>
          <cell r="M14">
            <v>7.577</v>
          </cell>
          <cell r="N14">
            <v>7.8929999999999998</v>
          </cell>
          <cell r="O14">
            <v>8.6029999999999998</v>
          </cell>
          <cell r="P14">
            <v>9.0730000000000004</v>
          </cell>
          <cell r="Q14">
            <v>33.146000000000001</v>
          </cell>
          <cell r="R14">
            <v>9.2729999999999997</v>
          </cell>
          <cell r="S14">
            <v>9.2680000000000007</v>
          </cell>
          <cell r="T14">
            <v>9.66</v>
          </cell>
          <cell r="U14">
            <v>9.9160000000000004</v>
          </cell>
          <cell r="V14">
            <v>38.117000000000004</v>
          </cell>
          <cell r="W14">
            <v>9.5220000000000002</v>
          </cell>
          <cell r="X14">
            <v>10.254</v>
          </cell>
          <cell r="Y14">
            <v>10.239000000000001</v>
          </cell>
          <cell r="Z14">
            <v>10.835000000000001</v>
          </cell>
          <cell r="AA14">
            <v>40.85</v>
          </cell>
          <cell r="AB14">
            <v>10.926</v>
          </cell>
          <cell r="AC14">
            <v>11.569000000000001</v>
          </cell>
          <cell r="AD14">
            <v>12.367000000000001</v>
          </cell>
          <cell r="AE14">
            <v>12.186</v>
          </cell>
          <cell r="AF14">
            <v>47.048000000000002</v>
          </cell>
          <cell r="AG14">
            <v>12.105</v>
          </cell>
          <cell r="AH14">
            <v>12.106</v>
          </cell>
          <cell r="AI14">
            <v>12.465999999999999</v>
          </cell>
          <cell r="AJ14">
            <v>13.724</v>
          </cell>
          <cell r="AK14">
            <v>50.400999999999996</v>
          </cell>
          <cell r="AL14">
            <v>15.422000000000001</v>
          </cell>
          <cell r="AM14">
            <v>17.423999999999999</v>
          </cell>
          <cell r="AN14">
            <v>16.54</v>
          </cell>
          <cell r="AO14">
            <v>16.38</v>
          </cell>
          <cell r="AP14">
            <v>65.766000000000005</v>
          </cell>
          <cell r="AQ14">
            <v>17.013999999999999</v>
          </cell>
          <cell r="AR14">
            <v>17.762</v>
          </cell>
          <cell r="AS14">
            <v>19.689</v>
          </cell>
          <cell r="AT14">
            <v>18.600000000000001</v>
          </cell>
          <cell r="AU14">
            <v>73.064999999999998</v>
          </cell>
          <cell r="AW14">
            <v>17.423999999999999</v>
          </cell>
          <cell r="AX14">
            <v>16.54</v>
          </cell>
          <cell r="AY14">
            <v>16.38</v>
          </cell>
          <cell r="AZ14">
            <v>17.013999999999999</v>
          </cell>
          <cell r="BA14">
            <v>67.35799999999999</v>
          </cell>
          <cell r="BB14">
            <v>17.762</v>
          </cell>
          <cell r="BC14">
            <v>19.689</v>
          </cell>
          <cell r="BD14">
            <v>18.600000000000001</v>
          </cell>
          <cell r="BE14">
            <v>19.178999999999998</v>
          </cell>
          <cell r="BF14">
            <v>75.23</v>
          </cell>
          <cell r="BG14">
            <v>20.391999999999999</v>
          </cell>
          <cell r="BH14">
            <v>21.283999999999999</v>
          </cell>
          <cell r="BI14">
            <v>21.04</v>
          </cell>
          <cell r="BJ14">
            <v>16.946999999999999</v>
          </cell>
          <cell r="BK14">
            <v>79.662999999999997</v>
          </cell>
          <cell r="BL14">
            <v>21.146000000000001</v>
          </cell>
          <cell r="BM14">
            <v>21.058</v>
          </cell>
          <cell r="BN14">
            <v>20.692</v>
          </cell>
          <cell r="BO14">
            <v>22.835000000000001</v>
          </cell>
          <cell r="BP14">
            <v>85.730999999999995</v>
          </cell>
          <cell r="BQ14">
            <v>22.135000000000002</v>
          </cell>
          <cell r="BR14">
            <v>22.681000000000001</v>
          </cell>
          <cell r="BS14">
            <v>23.443999999999999</v>
          </cell>
          <cell r="BT14">
            <v>23.498999999999999</v>
          </cell>
          <cell r="BU14">
            <v>91.759</v>
          </cell>
          <cell r="BV14">
            <v>25.31</v>
          </cell>
          <cell r="BW14">
            <v>25.411999999999999</v>
          </cell>
          <cell r="BX14">
            <v>25.532</v>
          </cell>
          <cell r="BY14">
            <v>28.007000000000001</v>
          </cell>
          <cell r="BZ14">
            <v>104.261</v>
          </cell>
          <cell r="CA14">
            <v>29.977</v>
          </cell>
          <cell r="CB14">
            <v>30.555</v>
          </cell>
          <cell r="CC14">
            <v>30.184000000000001</v>
          </cell>
          <cell r="CD14">
            <v>33.893999999999998</v>
          </cell>
          <cell r="CE14">
            <v>124.60999999999999</v>
          </cell>
          <cell r="CF14">
            <v>36.018000000000001</v>
          </cell>
          <cell r="CG14">
            <v>36.774000000000001</v>
          </cell>
          <cell r="CH14">
            <v>38.116999999999997</v>
          </cell>
          <cell r="CI14">
            <v>43.540999999999997</v>
          </cell>
          <cell r="CJ14">
            <v>154.44999999999999</v>
          </cell>
          <cell r="CK14">
            <v>45.024999999999999</v>
          </cell>
          <cell r="CL14">
            <v>43.838999999999999</v>
          </cell>
          <cell r="CM14">
            <v>41.881999999999998</v>
          </cell>
          <cell r="CN14">
            <v>43.105589999999999</v>
          </cell>
          <cell r="CO14">
            <v>173.85159000000002</v>
          </cell>
          <cell r="CP14">
            <v>43.133949999999999</v>
          </cell>
          <cell r="CQ14">
            <v>43.071817500000002</v>
          </cell>
          <cell r="CR14">
            <v>43.138460000000002</v>
          </cell>
          <cell r="CS14">
            <v>44.398757699999997</v>
          </cell>
          <cell r="CT14">
            <v>173.74298520000002</v>
          </cell>
          <cell r="CU14">
            <v>44.427968499999999</v>
          </cell>
          <cell r="CV14">
            <v>44.363972025000002</v>
          </cell>
          <cell r="CW14">
            <v>44.432613800000006</v>
          </cell>
          <cell r="CX14">
            <v>45.730720431000002</v>
          </cell>
          <cell r="CY14">
            <v>178.95527475600002</v>
          </cell>
          <cell r="CZ14">
            <v>45.760807555</v>
          </cell>
          <cell r="DA14">
            <v>45.694891185750002</v>
          </cell>
          <cell r="DB14">
            <v>45.765592214000009</v>
          </cell>
          <cell r="DC14">
            <v>47.102642043930004</v>
          </cell>
          <cell r="DD14">
            <v>184.32393299867999</v>
          </cell>
          <cell r="DE14">
            <v>47.133631781650003</v>
          </cell>
          <cell r="DF14">
            <v>47.065737921322501</v>
          </cell>
          <cell r="DG14">
            <v>47.138559980420013</v>
          </cell>
          <cell r="DH14">
            <v>48.515721305247908</v>
          </cell>
          <cell r="DI14">
            <v>189.85365098864042</v>
          </cell>
          <cell r="DK14" t="str">
            <v>mstag:otherOperatingExpense</v>
          </cell>
          <cell r="DL14">
            <v>6</v>
          </cell>
          <cell r="DM14" t="str">
            <v>ISO4217:USD</v>
          </cell>
          <cell r="DN14" t="b">
            <v>0</v>
          </cell>
          <cell r="DO14" t="b">
            <v>0</v>
          </cell>
        </row>
        <row r="15">
          <cell r="B15" t="str">
            <v>Other operating expenses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W15">
            <v>0</v>
          </cell>
          <cell r="AX15">
            <v>0</v>
          </cell>
          <cell r="AY15">
            <v>0</v>
          </cell>
          <cell r="AZ15">
            <v>0</v>
          </cell>
          <cell r="BA15">
            <v>0</v>
          </cell>
          <cell r="BB15">
            <v>0</v>
          </cell>
          <cell r="BC15">
            <v>0</v>
          </cell>
          <cell r="BD15">
            <v>0</v>
          </cell>
          <cell r="BE15">
            <v>0</v>
          </cell>
          <cell r="BF15">
            <v>0</v>
          </cell>
          <cell r="BG15">
            <v>174.155</v>
          </cell>
          <cell r="BH15">
            <v>175.72900000000001</v>
          </cell>
          <cell r="BI15">
            <v>175.589</v>
          </cell>
          <cell r="BJ15">
            <v>176.733</v>
          </cell>
          <cell r="BK15">
            <v>702.2059999999999</v>
          </cell>
          <cell r="BL15">
            <v>193.489</v>
          </cell>
          <cell r="BM15">
            <v>198.684</v>
          </cell>
          <cell r="BN15">
            <v>193.78700000000001</v>
          </cell>
          <cell r="BO15">
            <v>193.39</v>
          </cell>
          <cell r="BP15">
            <v>779.35</v>
          </cell>
          <cell r="BQ15">
            <v>195.173</v>
          </cell>
          <cell r="BR15">
            <v>196.637</v>
          </cell>
          <cell r="BS15">
            <v>195.994</v>
          </cell>
          <cell r="BT15">
            <v>198.369</v>
          </cell>
          <cell r="BU15">
            <v>786.173</v>
          </cell>
          <cell r="BV15">
            <v>205.68600000000001</v>
          </cell>
          <cell r="BW15">
            <v>202.96199999999999</v>
          </cell>
          <cell r="BX15">
            <v>202.14699999999999</v>
          </cell>
          <cell r="BY15">
            <v>207.441</v>
          </cell>
          <cell r="BZ15">
            <v>818.2360000000001</v>
          </cell>
          <cell r="CA15">
            <v>211.46600000000001</v>
          </cell>
          <cell r="CB15">
            <v>217.42500000000001</v>
          </cell>
          <cell r="CC15">
            <v>234.06100000000001</v>
          </cell>
          <cell r="CD15">
            <v>246.679</v>
          </cell>
          <cell r="CE15">
            <v>909.63099999999997</v>
          </cell>
          <cell r="CF15">
            <v>243.99600000000001</v>
          </cell>
          <cell r="CG15">
            <v>252.03700000000001</v>
          </cell>
          <cell r="CH15">
            <v>267.14</v>
          </cell>
          <cell r="CI15">
            <v>305.86500000000001</v>
          </cell>
          <cell r="CJ15">
            <v>1069.038</v>
          </cell>
          <cell r="CK15">
            <v>311.77999999999997</v>
          </cell>
          <cell r="CL15">
            <v>325.63499999999999</v>
          </cell>
          <cell r="CM15">
            <v>331.935</v>
          </cell>
          <cell r="CN15">
            <v>338.42609772600883</v>
          </cell>
          <cell r="CO15">
            <v>1307.7760977260086</v>
          </cell>
          <cell r="CP15">
            <v>322.67603650015025</v>
          </cell>
          <cell r="CQ15">
            <v>332.78953591838632</v>
          </cell>
          <cell r="CR15">
            <v>339.08361619414814</v>
          </cell>
          <cell r="CS15">
            <v>347.27251629337229</v>
          </cell>
          <cell r="CT15">
            <v>1341.821704906057</v>
          </cell>
          <cell r="CU15">
            <v>339.98357413783106</v>
          </cell>
          <cell r="CV15">
            <v>350.87826187284924</v>
          </cell>
          <cell r="CW15">
            <v>357.55402368817028</v>
          </cell>
          <cell r="CX15">
            <v>365.99595883407432</v>
          </cell>
          <cell r="CY15">
            <v>1414.4118185329248</v>
          </cell>
          <cell r="CZ15">
            <v>358.75993597764455</v>
          </cell>
          <cell r="DA15">
            <v>370.32813853804339</v>
          </cell>
          <cell r="DB15">
            <v>377.38850986937234</v>
          </cell>
          <cell r="DC15">
            <v>386.28184671340921</v>
          </cell>
          <cell r="DD15">
            <v>1492.7584310984694</v>
          </cell>
          <cell r="DE15">
            <v>378.62293599027436</v>
          </cell>
          <cell r="DF15">
            <v>390.72640142599539</v>
          </cell>
          <cell r="DG15">
            <v>398.18828556812048</v>
          </cell>
          <cell r="DH15">
            <v>407.3813267991344</v>
          </cell>
          <cell r="DI15">
            <v>1574.9189497835246</v>
          </cell>
          <cell r="DK15" t="str">
            <v>mstag:otherOperatingExpense</v>
          </cell>
          <cell r="DL15">
            <v>6</v>
          </cell>
          <cell r="DM15" t="str">
            <v>ISO4217:USD</v>
          </cell>
          <cell r="DN15" t="b">
            <v>0</v>
          </cell>
          <cell r="DO15" t="b">
            <v>0</v>
          </cell>
        </row>
        <row r="16">
          <cell r="B16" t="str">
            <v>Electronic health record incentive income</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38.232999999999997</v>
          </cell>
          <cell r="CJ16">
            <v>38.232999999999997</v>
          </cell>
          <cell r="CK16">
            <v>4.59</v>
          </cell>
          <cell r="CL16">
            <v>2.871</v>
          </cell>
          <cell r="CM16">
            <v>24.224</v>
          </cell>
          <cell r="CN16">
            <v>61.8</v>
          </cell>
          <cell r="CO16">
            <v>93.484999999999999</v>
          </cell>
          <cell r="CP16">
            <v>20</v>
          </cell>
          <cell r="CQ16">
            <v>20</v>
          </cell>
          <cell r="CR16">
            <v>20</v>
          </cell>
          <cell r="CS16">
            <v>20</v>
          </cell>
          <cell r="CT16">
            <v>80</v>
          </cell>
          <cell r="CU16">
            <v>13.333333333333334</v>
          </cell>
          <cell r="CV16">
            <v>13.333333333333334</v>
          </cell>
          <cell r="CW16">
            <v>13.333333333333334</v>
          </cell>
          <cell r="CX16">
            <v>13.333333333333334</v>
          </cell>
          <cell r="CY16">
            <v>53.333333333333336</v>
          </cell>
          <cell r="CZ16">
            <v>6.666666666666667</v>
          </cell>
          <cell r="DA16">
            <v>6.666666666666667</v>
          </cell>
          <cell r="DB16">
            <v>6.666666666666667</v>
          </cell>
          <cell r="DC16">
            <v>6.666666666666667</v>
          </cell>
          <cell r="DD16">
            <v>26.666666666666668</v>
          </cell>
          <cell r="DE16">
            <v>3.3333333333333335</v>
          </cell>
          <cell r="DF16">
            <v>3.3333333333333335</v>
          </cell>
          <cell r="DG16">
            <v>3.3333333333333335</v>
          </cell>
          <cell r="DH16">
            <v>3.3333333333333335</v>
          </cell>
          <cell r="DI16">
            <v>13.333333333333334</v>
          </cell>
          <cell r="DK16" t="str">
            <v>mstag:otherOperatingExpense</v>
          </cell>
          <cell r="DL16">
            <v>6</v>
          </cell>
          <cell r="DM16" t="str">
            <v>ISO4217:USD</v>
          </cell>
          <cell r="DN16" t="b">
            <v>1</v>
          </cell>
        </row>
        <row r="17">
          <cell r="B17" t="str">
            <v>EBITDA</v>
          </cell>
          <cell r="D17">
            <v>36.652999999999984</v>
          </cell>
          <cell r="E17">
            <v>47.009000000000007</v>
          </cell>
          <cell r="F17">
            <v>58.35299999999998</v>
          </cell>
          <cell r="G17">
            <v>74.337000000000003</v>
          </cell>
          <cell r="H17">
            <v>102.63699999999997</v>
          </cell>
          <cell r="I17">
            <v>128.43200000000007</v>
          </cell>
          <cell r="J17">
            <v>169.09899999999999</v>
          </cell>
          <cell r="K17">
            <v>218.58200000000002</v>
          </cell>
          <cell r="L17">
            <v>280.47499999999991</v>
          </cell>
          <cell r="M17">
            <v>66.819999999999979</v>
          </cell>
          <cell r="N17">
            <v>93.559999999999988</v>
          </cell>
          <cell r="O17">
            <v>82.15900000000002</v>
          </cell>
          <cell r="P17">
            <v>73.777000000000015</v>
          </cell>
          <cell r="Q17">
            <v>316.31599999999997</v>
          </cell>
          <cell r="R17">
            <v>80.274000000000001</v>
          </cell>
          <cell r="S17">
            <v>108.14000000000001</v>
          </cell>
          <cell r="T17">
            <v>97.998999999999995</v>
          </cell>
          <cell r="U17">
            <v>89.445999999999998</v>
          </cell>
          <cell r="V17">
            <v>375.85899999999987</v>
          </cell>
          <cell r="W17">
            <v>93.588000000000036</v>
          </cell>
          <cell r="X17">
            <v>124.65300000000003</v>
          </cell>
          <cell r="Y17">
            <v>116.53199999999997</v>
          </cell>
          <cell r="Z17">
            <v>113.79400000000001</v>
          </cell>
          <cell r="AA17">
            <v>448.56700000000001</v>
          </cell>
          <cell r="AB17">
            <v>108.83600000000004</v>
          </cell>
          <cell r="AC17">
            <v>141.94400000000002</v>
          </cell>
          <cell r="AD17">
            <v>137.874</v>
          </cell>
          <cell r="AE17">
            <v>128.88799999999995</v>
          </cell>
          <cell r="AF17">
            <v>517.54199999999969</v>
          </cell>
          <cell r="AG17">
            <v>128.554</v>
          </cell>
          <cell r="AH17">
            <v>159.87699999999995</v>
          </cell>
          <cell r="AI17">
            <v>157.40799999999996</v>
          </cell>
          <cell r="AJ17">
            <v>146.94800000000004</v>
          </cell>
          <cell r="AK17">
            <v>592.78700000000015</v>
          </cell>
          <cell r="AL17">
            <v>152.14599999999999</v>
          </cell>
          <cell r="AM17">
            <v>187.34899999999999</v>
          </cell>
          <cell r="AN17">
            <v>183.42400000000001</v>
          </cell>
          <cell r="AO17">
            <v>160.37599999999992</v>
          </cell>
          <cell r="AP17">
            <v>683.29499999999996</v>
          </cell>
          <cell r="AQ17">
            <v>168.01500000000004</v>
          </cell>
          <cell r="AR17">
            <v>203.61200000000008</v>
          </cell>
          <cell r="AS17">
            <v>164.327</v>
          </cell>
          <cell r="AT17">
            <v>165.13799999999995</v>
          </cell>
          <cell r="AU17">
            <v>701.0920000000001</v>
          </cell>
          <cell r="AW17">
            <v>187.34899999999999</v>
          </cell>
          <cell r="AX17">
            <v>183.42400000000001</v>
          </cell>
          <cell r="AY17">
            <v>160.37599999999992</v>
          </cell>
          <cell r="AZ17">
            <v>168.01500000000004</v>
          </cell>
          <cell r="BA17">
            <v>699.16399999999976</v>
          </cell>
          <cell r="BB17">
            <v>203.61200000000008</v>
          </cell>
          <cell r="BC17">
            <v>164.327</v>
          </cell>
          <cell r="BD17">
            <v>165.13799999999995</v>
          </cell>
          <cell r="BE17">
            <v>170.31100000000009</v>
          </cell>
          <cell r="BF17">
            <v>703.38800000000015</v>
          </cell>
          <cell r="BG17">
            <v>198.49500000000012</v>
          </cell>
          <cell r="BH17">
            <v>183.47799999999995</v>
          </cell>
          <cell r="BI17">
            <v>165.56000000000009</v>
          </cell>
          <cell r="BJ17">
            <v>-9.1090000000000337</v>
          </cell>
          <cell r="BK17">
            <v>538.42400000000021</v>
          </cell>
          <cell r="BL17">
            <v>193.40799999999979</v>
          </cell>
          <cell r="BM17">
            <v>134.58500000000006</v>
          </cell>
          <cell r="BN17">
            <v>151.27999999999997</v>
          </cell>
          <cell r="BO17">
            <v>150.75600000000003</v>
          </cell>
          <cell r="BP17">
            <v>630.02900000000034</v>
          </cell>
          <cell r="BQ17">
            <v>181.61799999999997</v>
          </cell>
          <cell r="BR17">
            <v>163.27900000000002</v>
          </cell>
          <cell r="BS17">
            <v>141.92799999999991</v>
          </cell>
          <cell r="BT17">
            <v>146.74500000000006</v>
          </cell>
          <cell r="BU17">
            <v>633.56999999999994</v>
          </cell>
          <cell r="BV17">
            <v>183.39299999999992</v>
          </cell>
          <cell r="BW17">
            <v>172.703</v>
          </cell>
          <cell r="BX17">
            <v>158.01500000000007</v>
          </cell>
          <cell r="BY17">
            <v>170.7709999999999</v>
          </cell>
          <cell r="BZ17">
            <v>684.88199999999938</v>
          </cell>
          <cell r="CA17">
            <v>196.3419999999999</v>
          </cell>
          <cell r="CB17">
            <v>182.48500000000001</v>
          </cell>
          <cell r="CC17">
            <v>171.21400000000006</v>
          </cell>
          <cell r="CD17">
            <v>186.52499999999998</v>
          </cell>
          <cell r="CE17">
            <v>736.56600000000037</v>
          </cell>
          <cell r="CF17">
            <v>214.42900000000014</v>
          </cell>
          <cell r="CG17">
            <v>203.76800000000006</v>
          </cell>
          <cell r="CH17">
            <v>186.26400000000004</v>
          </cell>
          <cell r="CI17">
            <v>223.37299999999988</v>
          </cell>
          <cell r="CJ17">
            <v>827.83400000000074</v>
          </cell>
          <cell r="CK17">
            <v>239.51500000000027</v>
          </cell>
          <cell r="CL17">
            <v>233.28799999999998</v>
          </cell>
          <cell r="CM17">
            <v>236.39200000000008</v>
          </cell>
          <cell r="CN17">
            <v>255.59901663476057</v>
          </cell>
          <cell r="CO17">
            <v>964.79401663476153</v>
          </cell>
          <cell r="CP17">
            <v>269.83281355302279</v>
          </cell>
          <cell r="CQ17">
            <v>261.95536877142973</v>
          </cell>
          <cell r="CR17">
            <v>240.39761382068235</v>
          </cell>
          <cell r="CS17">
            <v>216.4083607579889</v>
          </cell>
          <cell r="CT17">
            <v>988.59415690312449</v>
          </cell>
          <cell r="CU17">
            <v>284.30989345348195</v>
          </cell>
          <cell r="CV17">
            <v>274.28548475345792</v>
          </cell>
          <cell r="CW17">
            <v>257.11817083584691</v>
          </cell>
          <cell r="CX17">
            <v>228.64883734138576</v>
          </cell>
          <cell r="CY17">
            <v>1044.3623863841731</v>
          </cell>
          <cell r="CZ17">
            <v>300.93846818569131</v>
          </cell>
          <cell r="DA17">
            <v>289.47141014817356</v>
          </cell>
          <cell r="DB17">
            <v>274.55049223552516</v>
          </cell>
          <cell r="DC17">
            <v>248.35961878007416</v>
          </cell>
          <cell r="DD17">
            <v>1113.3199893494655</v>
          </cell>
          <cell r="DE17">
            <v>322.79092118816834</v>
          </cell>
          <cell r="DF17">
            <v>308.40920218937651</v>
          </cell>
          <cell r="DG17">
            <v>295.0594003287884</v>
          </cell>
          <cell r="DH17">
            <v>263.9406394441819</v>
          </cell>
          <cell r="DI17">
            <v>1190.2001631505161</v>
          </cell>
        </row>
        <row r="18">
          <cell r="B18" t="str">
            <v>EBITDA (excluding HITECH)</v>
          </cell>
          <cell r="D18">
            <v>36.652999999999984</v>
          </cell>
          <cell r="E18">
            <v>47.009000000000007</v>
          </cell>
          <cell r="F18">
            <v>58.35299999999998</v>
          </cell>
          <cell r="G18">
            <v>74.337000000000003</v>
          </cell>
          <cell r="H18">
            <v>102.63699999999997</v>
          </cell>
          <cell r="I18">
            <v>128.43200000000007</v>
          </cell>
          <cell r="J18">
            <v>169.09899999999999</v>
          </cell>
          <cell r="K18">
            <v>218.58200000000002</v>
          </cell>
          <cell r="L18">
            <v>280.47499999999991</v>
          </cell>
          <cell r="M18">
            <v>66.819999999999979</v>
          </cell>
          <cell r="N18">
            <v>93.559999999999988</v>
          </cell>
          <cell r="O18">
            <v>82.15900000000002</v>
          </cell>
          <cell r="P18">
            <v>73.777000000000015</v>
          </cell>
          <cell r="Q18">
            <v>316.31599999999997</v>
          </cell>
          <cell r="R18">
            <v>80.274000000000001</v>
          </cell>
          <cell r="S18">
            <v>108.14000000000001</v>
          </cell>
          <cell r="T18">
            <v>97.998999999999995</v>
          </cell>
          <cell r="U18">
            <v>89.445999999999998</v>
          </cell>
          <cell r="V18">
            <v>375.85899999999987</v>
          </cell>
          <cell r="W18">
            <v>93.588000000000036</v>
          </cell>
          <cell r="X18">
            <v>124.65300000000003</v>
          </cell>
          <cell r="Y18">
            <v>116.53199999999997</v>
          </cell>
          <cell r="Z18">
            <v>113.79400000000001</v>
          </cell>
          <cell r="AA18">
            <v>448.56700000000001</v>
          </cell>
          <cell r="AB18">
            <v>108.83600000000004</v>
          </cell>
          <cell r="AC18">
            <v>141.94400000000002</v>
          </cell>
          <cell r="AD18">
            <v>137.874</v>
          </cell>
          <cell r="AE18">
            <v>128.88799999999995</v>
          </cell>
          <cell r="AF18">
            <v>517.54199999999969</v>
          </cell>
          <cell r="AG18">
            <v>128.554</v>
          </cell>
          <cell r="AH18">
            <v>159.87699999999995</v>
          </cell>
          <cell r="AI18">
            <v>157.40799999999996</v>
          </cell>
          <cell r="AJ18">
            <v>146.94800000000004</v>
          </cell>
          <cell r="AK18">
            <v>592.78700000000015</v>
          </cell>
          <cell r="AL18">
            <v>152.14599999999999</v>
          </cell>
          <cell r="AM18">
            <v>187.34899999999999</v>
          </cell>
          <cell r="AN18">
            <v>183.42400000000001</v>
          </cell>
          <cell r="AO18">
            <v>160.37599999999992</v>
          </cell>
          <cell r="AP18">
            <v>683.29499999999996</v>
          </cell>
          <cell r="AQ18">
            <v>168.01500000000004</v>
          </cell>
          <cell r="AR18">
            <v>203.61200000000008</v>
          </cell>
          <cell r="AS18">
            <v>164.327</v>
          </cell>
          <cell r="AT18">
            <v>165.13799999999995</v>
          </cell>
          <cell r="AU18">
            <v>701.0920000000001</v>
          </cell>
          <cell r="AW18">
            <v>187.34899999999999</v>
          </cell>
          <cell r="AX18">
            <v>183.42400000000001</v>
          </cell>
          <cell r="AY18">
            <v>160.37599999999992</v>
          </cell>
          <cell r="AZ18">
            <v>168.01500000000004</v>
          </cell>
          <cell r="BA18">
            <v>699.16399999999976</v>
          </cell>
          <cell r="BB18">
            <v>203.61200000000008</v>
          </cell>
          <cell r="BC18">
            <v>164.327</v>
          </cell>
          <cell r="BD18">
            <v>165.13799999999995</v>
          </cell>
          <cell r="BE18">
            <v>170.31100000000009</v>
          </cell>
          <cell r="BF18">
            <v>703.38800000000015</v>
          </cell>
          <cell r="BG18">
            <v>198.49500000000012</v>
          </cell>
          <cell r="BH18">
            <v>183.47799999999995</v>
          </cell>
          <cell r="BI18">
            <v>165.56000000000009</v>
          </cell>
          <cell r="BJ18">
            <v>-9.1090000000000337</v>
          </cell>
          <cell r="BK18">
            <v>538.42400000000021</v>
          </cell>
          <cell r="BL18">
            <v>193.40799999999979</v>
          </cell>
          <cell r="BM18">
            <v>134.58500000000006</v>
          </cell>
          <cell r="BN18">
            <v>151.27999999999997</v>
          </cell>
          <cell r="BO18">
            <v>150.75600000000003</v>
          </cell>
          <cell r="BP18">
            <v>630.02900000000034</v>
          </cell>
          <cell r="BQ18">
            <v>181.61799999999997</v>
          </cell>
          <cell r="BR18">
            <v>163.27900000000002</v>
          </cell>
          <cell r="BS18">
            <v>141.92799999999991</v>
          </cell>
          <cell r="BT18">
            <v>146.74500000000006</v>
          </cell>
          <cell r="BU18">
            <v>633.56999999999994</v>
          </cell>
          <cell r="BV18">
            <v>183.39299999999992</v>
          </cell>
          <cell r="BW18">
            <v>172.703</v>
          </cell>
          <cell r="BX18">
            <v>158.01500000000007</v>
          </cell>
          <cell r="BY18">
            <v>170.7709999999999</v>
          </cell>
          <cell r="BZ18">
            <v>684.88199999999938</v>
          </cell>
          <cell r="CA18">
            <v>196.3419999999999</v>
          </cell>
          <cell r="CB18">
            <v>182.48500000000001</v>
          </cell>
          <cell r="CC18">
            <v>171.21400000000006</v>
          </cell>
          <cell r="CD18">
            <v>186.52499999999998</v>
          </cell>
          <cell r="CE18">
            <v>736.56600000000037</v>
          </cell>
          <cell r="CF18">
            <v>214.42900000000014</v>
          </cell>
          <cell r="CG18">
            <v>203.76800000000006</v>
          </cell>
          <cell r="CH18">
            <v>186.26400000000004</v>
          </cell>
          <cell r="CI18">
            <v>185.13999999999987</v>
          </cell>
          <cell r="CJ18">
            <v>789.60100000000079</v>
          </cell>
          <cell r="CK18">
            <v>234.92500000000027</v>
          </cell>
          <cell r="CL18">
            <v>230.41699999999997</v>
          </cell>
          <cell r="CM18">
            <v>212.16800000000009</v>
          </cell>
          <cell r="CN18">
            <v>193.79901663476056</v>
          </cell>
          <cell r="CO18">
            <v>871.30901663476152</v>
          </cell>
          <cell r="CP18">
            <v>249.83281355302282</v>
          </cell>
          <cell r="CQ18">
            <v>241.95536877142973</v>
          </cell>
          <cell r="CR18">
            <v>220.39761382068235</v>
          </cell>
          <cell r="CS18">
            <v>196.4083607579889</v>
          </cell>
          <cell r="CT18">
            <v>908.59415690312449</v>
          </cell>
          <cell r="CU18">
            <v>270.97656012014863</v>
          </cell>
          <cell r="CV18">
            <v>260.95215142012461</v>
          </cell>
          <cell r="CW18">
            <v>243.7848375025136</v>
          </cell>
          <cell r="CX18">
            <v>215.31550400805241</v>
          </cell>
          <cell r="CY18">
            <v>991.02905305083971</v>
          </cell>
          <cell r="CZ18">
            <v>294.27180151902462</v>
          </cell>
          <cell r="DA18">
            <v>282.80474348150688</v>
          </cell>
          <cell r="DB18">
            <v>267.88382556885847</v>
          </cell>
          <cell r="DC18">
            <v>241.6929521134075</v>
          </cell>
          <cell r="DD18">
            <v>1086.6533226827987</v>
          </cell>
          <cell r="DE18">
            <v>319.45758785483503</v>
          </cell>
          <cell r="DF18">
            <v>305.0758688560432</v>
          </cell>
          <cell r="DG18">
            <v>291.72606699545508</v>
          </cell>
          <cell r="DH18">
            <v>260.60730611084858</v>
          </cell>
          <cell r="DI18">
            <v>1176.8668298171829</v>
          </cell>
        </row>
        <row r="19">
          <cell r="B19" t="str">
            <v>Depreciation &amp; amortizaton</v>
          </cell>
          <cell r="D19">
            <v>9.8620000000000001</v>
          </cell>
          <cell r="E19">
            <v>11.109</v>
          </cell>
          <cell r="F19">
            <v>12.779</v>
          </cell>
          <cell r="G19">
            <v>13.084</v>
          </cell>
          <cell r="H19">
            <v>16.61</v>
          </cell>
          <cell r="I19">
            <v>20.562000000000001</v>
          </cell>
          <cell r="J19">
            <v>27.172999999999998</v>
          </cell>
          <cell r="K19">
            <v>36.561</v>
          </cell>
          <cell r="L19">
            <v>50.436999999999998</v>
          </cell>
          <cell r="M19">
            <v>14.507</v>
          </cell>
          <cell r="N19">
            <v>14.343999999999999</v>
          </cell>
          <cell r="O19">
            <v>15.957000000000001</v>
          </cell>
          <cell r="P19">
            <v>16.47</v>
          </cell>
          <cell r="Q19">
            <v>61.277999999999999</v>
          </cell>
          <cell r="R19">
            <v>18.132000000000001</v>
          </cell>
          <cell r="S19">
            <v>18.533999999999999</v>
          </cell>
          <cell r="T19">
            <v>19.094000000000001</v>
          </cell>
          <cell r="U19">
            <v>18.739000000000001</v>
          </cell>
          <cell r="V19">
            <v>74.498999999999995</v>
          </cell>
          <cell r="W19">
            <v>21.43</v>
          </cell>
          <cell r="X19">
            <v>22.116</v>
          </cell>
          <cell r="Y19">
            <v>22.876000000000001</v>
          </cell>
          <cell r="Z19">
            <v>24.224</v>
          </cell>
          <cell r="AA19">
            <v>90.646000000000001</v>
          </cell>
          <cell r="AB19">
            <v>21.648</v>
          </cell>
          <cell r="AC19">
            <v>23.893000000000001</v>
          </cell>
          <cell r="AD19">
            <v>24.292999999999999</v>
          </cell>
          <cell r="AE19">
            <v>25.494</v>
          </cell>
          <cell r="AF19">
            <v>95.328000000000003</v>
          </cell>
          <cell r="AG19">
            <v>26.087</v>
          </cell>
          <cell r="AH19">
            <v>27.113</v>
          </cell>
          <cell r="AI19">
            <v>28.003</v>
          </cell>
          <cell r="AJ19">
            <v>28.661000000000001</v>
          </cell>
          <cell r="AK19">
            <v>109.864</v>
          </cell>
          <cell r="AL19">
            <v>31.003</v>
          </cell>
          <cell r="AM19">
            <v>34.380000000000003</v>
          </cell>
          <cell r="AN19">
            <v>34.03</v>
          </cell>
          <cell r="AO19">
            <v>35.502000000000002</v>
          </cell>
          <cell r="AP19">
            <v>134.91500000000002</v>
          </cell>
          <cell r="AQ19">
            <v>36.594999999999999</v>
          </cell>
          <cell r="AR19">
            <v>37.341999999999999</v>
          </cell>
          <cell r="AS19">
            <v>39.113</v>
          </cell>
          <cell r="AT19">
            <v>43.06</v>
          </cell>
          <cell r="AU19">
            <v>156.11000000000001</v>
          </cell>
          <cell r="AW19">
            <v>34.380000000000003</v>
          </cell>
          <cell r="AX19">
            <v>34.03</v>
          </cell>
          <cell r="AY19">
            <v>35.502000000000002</v>
          </cell>
          <cell r="AZ19">
            <v>36.594999999999999</v>
          </cell>
          <cell r="BA19">
            <v>140.50700000000001</v>
          </cell>
          <cell r="BB19">
            <v>37.341999999999999</v>
          </cell>
          <cell r="BC19">
            <v>39.113</v>
          </cell>
          <cell r="BD19">
            <v>43.06</v>
          </cell>
          <cell r="BE19">
            <v>41.527999999999999</v>
          </cell>
          <cell r="BF19">
            <v>161.04300000000001</v>
          </cell>
          <cell r="BG19">
            <v>43.777999999999999</v>
          </cell>
          <cell r="BH19">
            <v>45.390999999999998</v>
          </cell>
          <cell r="BI19">
            <v>47.661000000000001</v>
          </cell>
          <cell r="BJ19">
            <v>53.158000000000001</v>
          </cell>
          <cell r="BK19">
            <v>189.988</v>
          </cell>
          <cell r="BL19">
            <v>52.651000000000003</v>
          </cell>
          <cell r="BM19">
            <v>53.936999999999998</v>
          </cell>
          <cell r="BN19">
            <v>56.71</v>
          </cell>
          <cell r="BO19">
            <v>59.201000000000001</v>
          </cell>
          <cell r="BP19">
            <v>222.499</v>
          </cell>
          <cell r="BQ19">
            <v>57.457999999999998</v>
          </cell>
          <cell r="BR19">
            <v>59.625999999999998</v>
          </cell>
          <cell r="BS19">
            <v>59.831000000000003</v>
          </cell>
          <cell r="BT19">
            <v>60.454999999999998</v>
          </cell>
          <cell r="BU19">
            <v>237.37</v>
          </cell>
          <cell r="BV19">
            <v>60.915999999999997</v>
          </cell>
          <cell r="BW19">
            <v>60.561</v>
          </cell>
          <cell r="BX19">
            <v>60.423999999999999</v>
          </cell>
          <cell r="BY19">
            <v>61.911999999999999</v>
          </cell>
          <cell r="BZ19">
            <v>243.81300000000002</v>
          </cell>
          <cell r="CA19">
            <v>62.115000000000002</v>
          </cell>
          <cell r="CB19">
            <v>61.883000000000003</v>
          </cell>
          <cell r="CC19">
            <v>61.546999999999997</v>
          </cell>
          <cell r="CD19">
            <v>61.981999999999999</v>
          </cell>
          <cell r="CE19">
            <v>247.52700000000002</v>
          </cell>
          <cell r="CF19">
            <v>65.372</v>
          </cell>
          <cell r="CG19">
            <v>64.200999999999993</v>
          </cell>
          <cell r="CH19">
            <v>65.605000000000004</v>
          </cell>
          <cell r="CI19">
            <v>73.465999999999994</v>
          </cell>
          <cell r="CJ19">
            <v>268.64400000000001</v>
          </cell>
          <cell r="CK19">
            <v>78.394000000000005</v>
          </cell>
          <cell r="CL19">
            <v>85.712000000000003</v>
          </cell>
          <cell r="CM19">
            <v>91.61</v>
          </cell>
          <cell r="CN19">
            <v>91.645666666666671</v>
          </cell>
          <cell r="CO19">
            <v>347.36166666666668</v>
          </cell>
          <cell r="CP19">
            <v>91.16339669877182</v>
          </cell>
          <cell r="CQ19">
            <v>91.734322373558129</v>
          </cell>
          <cell r="CR19">
            <v>92.295732620431338</v>
          </cell>
          <cell r="CS19">
            <v>92.847786029856664</v>
          </cell>
          <cell r="CT19">
            <v>368.04123772261795</v>
          </cell>
          <cell r="CU19">
            <v>93.184425760600661</v>
          </cell>
          <cell r="CV19">
            <v>93.486581260881536</v>
          </cell>
          <cell r="CW19">
            <v>93.763011968198128</v>
          </cell>
          <cell r="CX19">
            <v>94.081633226741218</v>
          </cell>
          <cell r="CY19">
            <v>374.51565221642159</v>
          </cell>
          <cell r="CZ19">
            <v>94.473102952827716</v>
          </cell>
          <cell r="DA19">
            <v>94.825529239970479</v>
          </cell>
          <cell r="DB19">
            <v>95.152131408263273</v>
          </cell>
          <cell r="DC19">
            <v>95.525972953812612</v>
          </cell>
          <cell r="DD19">
            <v>379.97673655487404</v>
          </cell>
          <cell r="DE19">
            <v>95.980702900009291</v>
          </cell>
          <cell r="DF19">
            <v>96.389250462507874</v>
          </cell>
          <cell r="DG19">
            <v>96.77138813920665</v>
          </cell>
          <cell r="DH19">
            <v>97.197215301502268</v>
          </cell>
          <cell r="DI19">
            <v>386.33855680322608</v>
          </cell>
          <cell r="DK19" t="str">
            <v>mstag:depreciationInIncomeStatement</v>
          </cell>
          <cell r="DL19">
            <v>6</v>
          </cell>
          <cell r="DM19" t="str">
            <v>ISO4217:USD</v>
          </cell>
          <cell r="DN19" t="b">
            <v>0</v>
          </cell>
          <cell r="DO19" t="b">
            <v>0</v>
          </cell>
        </row>
        <row r="20">
          <cell r="B20" t="str">
            <v>Operating income</v>
          </cell>
          <cell r="D20">
            <v>26.790999999999983</v>
          </cell>
          <cell r="E20">
            <v>35.900000000000006</v>
          </cell>
          <cell r="F20">
            <v>45.573999999999984</v>
          </cell>
          <cell r="G20">
            <v>61.253</v>
          </cell>
          <cell r="H20">
            <v>86.026999999999973</v>
          </cell>
          <cell r="I20">
            <v>107.87000000000008</v>
          </cell>
          <cell r="J20">
            <v>141.92599999999999</v>
          </cell>
          <cell r="K20">
            <v>182.02100000000002</v>
          </cell>
          <cell r="L20">
            <v>230.0379999999999</v>
          </cell>
          <cell r="M20">
            <v>52.312999999999981</v>
          </cell>
          <cell r="N20">
            <v>79.215999999999994</v>
          </cell>
          <cell r="O20">
            <v>66.202000000000027</v>
          </cell>
          <cell r="P20">
            <v>57.307000000000016</v>
          </cell>
          <cell r="Q20">
            <v>255.03799999999998</v>
          </cell>
          <cell r="R20">
            <v>62.141999999999996</v>
          </cell>
          <cell r="S20">
            <v>89.606000000000023</v>
          </cell>
          <cell r="T20">
            <v>78.905000000000001</v>
          </cell>
          <cell r="U20">
            <v>70.706999999999994</v>
          </cell>
          <cell r="V20">
            <v>301.3599999999999</v>
          </cell>
          <cell r="W20">
            <v>72.158000000000044</v>
          </cell>
          <cell r="X20">
            <v>102.53700000000003</v>
          </cell>
          <cell r="Y20">
            <v>93.655999999999963</v>
          </cell>
          <cell r="Z20">
            <v>89.570000000000007</v>
          </cell>
          <cell r="AA20">
            <v>357.92099999999999</v>
          </cell>
          <cell r="AB20">
            <v>87.188000000000045</v>
          </cell>
          <cell r="AC20">
            <v>118.05100000000002</v>
          </cell>
          <cell r="AD20">
            <v>113.58099999999999</v>
          </cell>
          <cell r="AE20">
            <v>103.39399999999995</v>
          </cell>
          <cell r="AF20">
            <v>422.21399999999971</v>
          </cell>
          <cell r="AG20">
            <v>102.467</v>
          </cell>
          <cell r="AH20">
            <v>132.76399999999995</v>
          </cell>
          <cell r="AI20">
            <v>129.40499999999997</v>
          </cell>
          <cell r="AJ20">
            <v>118.28700000000003</v>
          </cell>
          <cell r="AK20">
            <v>482.92300000000012</v>
          </cell>
          <cell r="AL20">
            <v>121.14299999999999</v>
          </cell>
          <cell r="AM20">
            <v>152.96899999999999</v>
          </cell>
          <cell r="AN20">
            <v>149.39400000000001</v>
          </cell>
          <cell r="AO20">
            <v>124.87399999999991</v>
          </cell>
          <cell r="AP20">
            <v>548.37999999999988</v>
          </cell>
          <cell r="AQ20">
            <v>131.42000000000004</v>
          </cell>
          <cell r="AR20">
            <v>166.2700000000001</v>
          </cell>
          <cell r="AS20">
            <v>125.214</v>
          </cell>
          <cell r="AT20">
            <v>122.07799999999995</v>
          </cell>
          <cell r="AU20">
            <v>544.98200000000008</v>
          </cell>
          <cell r="AW20">
            <v>152.96899999999999</v>
          </cell>
          <cell r="AX20">
            <v>149.39400000000001</v>
          </cell>
          <cell r="AY20">
            <v>124.87399999999991</v>
          </cell>
          <cell r="AZ20">
            <v>131.42000000000004</v>
          </cell>
          <cell r="BA20">
            <v>558.6569999999997</v>
          </cell>
          <cell r="BB20">
            <v>166.2700000000001</v>
          </cell>
          <cell r="BC20">
            <v>125.214</v>
          </cell>
          <cell r="BD20">
            <v>122.07799999999995</v>
          </cell>
          <cell r="BE20">
            <v>128.7830000000001</v>
          </cell>
          <cell r="BF20">
            <v>542.34500000000014</v>
          </cell>
          <cell r="BG20">
            <v>154.71700000000013</v>
          </cell>
          <cell r="BH20">
            <v>138.08699999999996</v>
          </cell>
          <cell r="BI20">
            <v>117.89900000000009</v>
          </cell>
          <cell r="BJ20">
            <v>-62.267000000000039</v>
          </cell>
          <cell r="BK20">
            <v>348.43600000000021</v>
          </cell>
          <cell r="BL20">
            <v>140.75699999999978</v>
          </cell>
          <cell r="BM20">
            <v>80.648000000000067</v>
          </cell>
          <cell r="BN20">
            <v>94.569999999999965</v>
          </cell>
          <cell r="BO20">
            <v>91.555000000000035</v>
          </cell>
          <cell r="BP20">
            <v>407.53000000000031</v>
          </cell>
          <cell r="BQ20">
            <v>124.15999999999997</v>
          </cell>
          <cell r="BR20">
            <v>103.65300000000002</v>
          </cell>
          <cell r="BS20">
            <v>82.096999999999909</v>
          </cell>
          <cell r="BT20">
            <v>86.290000000000063</v>
          </cell>
          <cell r="BU20">
            <v>396.19999999999993</v>
          </cell>
          <cell r="BV20">
            <v>122.47699999999992</v>
          </cell>
          <cell r="BW20">
            <v>112.142</v>
          </cell>
          <cell r="BX20">
            <v>97.591000000000065</v>
          </cell>
          <cell r="BY20">
            <v>108.8589999999999</v>
          </cell>
          <cell r="BZ20">
            <v>441.06899999999939</v>
          </cell>
          <cell r="CA20">
            <v>134.22699999999989</v>
          </cell>
          <cell r="CB20">
            <v>120.602</v>
          </cell>
          <cell r="CC20">
            <v>109.66700000000006</v>
          </cell>
          <cell r="CD20">
            <v>124.54299999999998</v>
          </cell>
          <cell r="CE20">
            <v>489.03900000000033</v>
          </cell>
          <cell r="CF20">
            <v>149.05700000000013</v>
          </cell>
          <cell r="CG20">
            <v>139.56700000000006</v>
          </cell>
          <cell r="CH20">
            <v>120.65900000000003</v>
          </cell>
          <cell r="CI20">
            <v>149.90699999999987</v>
          </cell>
          <cell r="CJ20">
            <v>559.19000000000074</v>
          </cell>
          <cell r="CK20">
            <v>161.12100000000027</v>
          </cell>
          <cell r="CL20">
            <v>147.57599999999996</v>
          </cell>
          <cell r="CM20">
            <v>144.7820000000001</v>
          </cell>
          <cell r="CN20">
            <v>163.9533499680939</v>
          </cell>
          <cell r="CO20">
            <v>617.43234996809485</v>
          </cell>
          <cell r="CP20">
            <v>178.66941685425098</v>
          </cell>
          <cell r="CQ20">
            <v>170.22104639787159</v>
          </cell>
          <cell r="CR20">
            <v>148.101881200251</v>
          </cell>
          <cell r="CS20">
            <v>123.56057472813224</v>
          </cell>
          <cell r="CT20">
            <v>620.55291918050648</v>
          </cell>
          <cell r="CU20">
            <v>191.12546769288127</v>
          </cell>
          <cell r="CV20">
            <v>180.79890349257639</v>
          </cell>
          <cell r="CW20">
            <v>163.35515886764878</v>
          </cell>
          <cell r="CX20">
            <v>134.56720411464454</v>
          </cell>
          <cell r="CY20">
            <v>669.84673416775149</v>
          </cell>
          <cell r="CZ20">
            <v>206.46536523286358</v>
          </cell>
          <cell r="DA20">
            <v>194.64588090820308</v>
          </cell>
          <cell r="DB20">
            <v>179.39836082726188</v>
          </cell>
          <cell r="DC20">
            <v>152.83364582626155</v>
          </cell>
          <cell r="DD20">
            <v>733.34325279459142</v>
          </cell>
          <cell r="DE20">
            <v>226.81021828815904</v>
          </cell>
          <cell r="DF20">
            <v>212.01995172686864</v>
          </cell>
          <cell r="DG20">
            <v>198.28801218958176</v>
          </cell>
          <cell r="DH20">
            <v>166.74342414267963</v>
          </cell>
          <cell r="DI20">
            <v>803.86160634729004</v>
          </cell>
        </row>
        <row r="21">
          <cell r="B21" t="str">
            <v>Interest expense</v>
          </cell>
          <cell r="D21">
            <v>-17.635999999999999</v>
          </cell>
          <cell r="E21">
            <v>-14.097</v>
          </cell>
          <cell r="F21">
            <v>-7.1550000000000002</v>
          </cell>
          <cell r="G21">
            <v>-4.8140000000000001</v>
          </cell>
          <cell r="H21">
            <v>-4.2969999999999997</v>
          </cell>
          <cell r="I21">
            <v>-3.621</v>
          </cell>
          <cell r="J21">
            <v>-3.5150000000000001</v>
          </cell>
          <cell r="K21">
            <v>-3.7120000000000002</v>
          </cell>
          <cell r="L21">
            <v>-4.7590000000000003</v>
          </cell>
          <cell r="M21">
            <v>-1.36</v>
          </cell>
          <cell r="N21">
            <v>-0.68200000000000005</v>
          </cell>
          <cell r="O21">
            <v>-2.4060000000000001</v>
          </cell>
          <cell r="P21">
            <v>-3.9369999999999998</v>
          </cell>
          <cell r="Q21">
            <v>-8.3849999999999998</v>
          </cell>
          <cell r="R21">
            <v>-5.6909999999999998</v>
          </cell>
          <cell r="S21">
            <v>-6.5030000000000001</v>
          </cell>
          <cell r="T21">
            <v>-6.7670000000000003</v>
          </cell>
          <cell r="U21">
            <v>-6.4039999999999999</v>
          </cell>
          <cell r="V21">
            <v>-25.364999999999998</v>
          </cell>
          <cell r="W21">
            <v>-6.0359999999999996</v>
          </cell>
          <cell r="X21">
            <v>-5.2720000000000002</v>
          </cell>
          <cell r="Y21">
            <v>-4.5</v>
          </cell>
          <cell r="Z21">
            <v>-4.1619999999999999</v>
          </cell>
          <cell r="AA21">
            <v>-19.97</v>
          </cell>
          <cell r="AB21">
            <v>-4.1159999999999997</v>
          </cell>
          <cell r="AC21">
            <v>-4.0860000000000003</v>
          </cell>
          <cell r="AD21">
            <v>-3.5569999999999999</v>
          </cell>
          <cell r="AE21">
            <v>-3.7839999999999998</v>
          </cell>
          <cell r="AF21">
            <v>-15.542999999999999</v>
          </cell>
          <cell r="AG21">
            <v>-3.7610000000000001</v>
          </cell>
          <cell r="AH21">
            <v>-3.7120000000000002</v>
          </cell>
          <cell r="AI21">
            <v>-3.802</v>
          </cell>
          <cell r="AJ21">
            <v>-3.64</v>
          </cell>
          <cell r="AK21">
            <v>-14.915000000000001</v>
          </cell>
          <cell r="AL21">
            <v>-4.4539999999999997</v>
          </cell>
          <cell r="AM21">
            <v>-4.7080000000000002</v>
          </cell>
          <cell r="AN21">
            <v>-3.64</v>
          </cell>
          <cell r="AO21">
            <v>-3.3820000000000001</v>
          </cell>
          <cell r="AP21">
            <v>-16.184000000000001</v>
          </cell>
          <cell r="AQ21">
            <v>-3.218</v>
          </cell>
          <cell r="AR21">
            <v>-3.8149999999999999</v>
          </cell>
          <cell r="AS21">
            <v>-2.8519999999999999</v>
          </cell>
          <cell r="AT21">
            <v>-3.0409999999999999</v>
          </cell>
          <cell r="AU21">
            <v>-12.926</v>
          </cell>
          <cell r="AW21">
            <v>-4.7080000000000002</v>
          </cell>
          <cell r="AX21">
            <v>-3.64</v>
          </cell>
          <cell r="AY21">
            <v>-3.3820000000000001</v>
          </cell>
          <cell r="AZ21">
            <v>-3.218</v>
          </cell>
          <cell r="BA21">
            <v>-14.948</v>
          </cell>
          <cell r="BB21">
            <v>-3.8149999999999999</v>
          </cell>
          <cell r="BC21">
            <v>-2.8519999999999999</v>
          </cell>
          <cell r="BD21">
            <v>-3.0409999999999999</v>
          </cell>
          <cell r="BE21">
            <v>-4.2290000000000001</v>
          </cell>
          <cell r="BF21">
            <v>-13.937000000000001</v>
          </cell>
          <cell r="BG21">
            <v>-8.4019999999999992</v>
          </cell>
          <cell r="BH21">
            <v>-11.305</v>
          </cell>
          <cell r="BI21">
            <v>-10.746</v>
          </cell>
          <cell r="BJ21">
            <v>-20.846</v>
          </cell>
          <cell r="BK21">
            <v>-51.299000000000007</v>
          </cell>
          <cell r="BL21">
            <v>-33.287999999999997</v>
          </cell>
          <cell r="BM21">
            <v>-61.642000000000003</v>
          </cell>
          <cell r="BN21">
            <v>-63.695</v>
          </cell>
          <cell r="BO21">
            <v>-63.335000000000001</v>
          </cell>
          <cell r="BP21">
            <v>-221.96</v>
          </cell>
          <cell r="BQ21">
            <v>-62.204000000000001</v>
          </cell>
          <cell r="BR21">
            <v>-58.655999999999999</v>
          </cell>
          <cell r="BS21">
            <v>-56.225999999999999</v>
          </cell>
          <cell r="BT21">
            <v>-56.462000000000003</v>
          </cell>
          <cell r="BU21">
            <v>-233.548</v>
          </cell>
          <cell r="BV21">
            <v>-55.011000000000003</v>
          </cell>
          <cell r="BW21">
            <v>-54.281999999999996</v>
          </cell>
          <cell r="BX21">
            <v>-54.3</v>
          </cell>
          <cell r="BY21">
            <v>-54.456000000000003</v>
          </cell>
          <cell r="BZ21">
            <v>-218.04900000000004</v>
          </cell>
          <cell r="CA21">
            <v>-53.573999999999998</v>
          </cell>
          <cell r="CB21">
            <v>-52.53</v>
          </cell>
          <cell r="CC21">
            <v>-52.826999999999998</v>
          </cell>
          <cell r="CD21">
            <v>-52.741999999999997</v>
          </cell>
          <cell r="CE21">
            <v>-211.67299999999997</v>
          </cell>
          <cell r="CF21">
            <v>-51.036999999999999</v>
          </cell>
          <cell r="CG21">
            <v>-51.033000000000001</v>
          </cell>
          <cell r="CH21">
            <v>-50.018000000000001</v>
          </cell>
          <cell r="CI21">
            <v>-70.659000000000006</v>
          </cell>
          <cell r="CJ21">
            <v>-222.74700000000001</v>
          </cell>
          <cell r="CK21">
            <v>-88.763000000000005</v>
          </cell>
          <cell r="CL21">
            <v>-75.165999999999997</v>
          </cell>
          <cell r="CM21">
            <v>-76.813999999999993</v>
          </cell>
          <cell r="CN21">
            <v>-71.839736562499994</v>
          </cell>
          <cell r="CO21">
            <v>-312.58273656249997</v>
          </cell>
          <cell r="CP21">
            <v>-71.648933312499992</v>
          </cell>
          <cell r="CQ21">
            <v>-71.600630062499988</v>
          </cell>
          <cell r="CR21">
            <v>-71.481076812499992</v>
          </cell>
          <cell r="CS21">
            <v>-71.361523562499997</v>
          </cell>
          <cell r="CT21">
            <v>-286.09216374999994</v>
          </cell>
          <cell r="CU21">
            <v>-72.170720312499981</v>
          </cell>
          <cell r="CV21">
            <v>-52.122417062499999</v>
          </cell>
          <cell r="CW21">
            <v>-52.002863812500003</v>
          </cell>
          <cell r="CX21">
            <v>-51.883310562499993</v>
          </cell>
          <cell r="CY21">
            <v>-228.17931174999998</v>
          </cell>
          <cell r="CZ21">
            <v>-51.686882312499996</v>
          </cell>
          <cell r="DA21">
            <v>-51.635766562499995</v>
          </cell>
          <cell r="DB21">
            <v>-51.510588312499998</v>
          </cell>
          <cell r="DC21">
            <v>-51.385410062499993</v>
          </cell>
          <cell r="DD21">
            <v>-206.21864725</v>
          </cell>
          <cell r="DE21">
            <v>-51.186169312499992</v>
          </cell>
          <cell r="DF21">
            <v>-51.135053562499991</v>
          </cell>
          <cell r="DG21">
            <v>-51.009875312499993</v>
          </cell>
          <cell r="DH21">
            <v>-50.884697062499988</v>
          </cell>
          <cell r="DI21">
            <v>-204.21579524999996</v>
          </cell>
        </row>
        <row r="22">
          <cell r="B22" t="str">
            <v>Interest income</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-4.7839999999999998</v>
          </cell>
          <cell r="BU22">
            <v>-4.7839999999999998</v>
          </cell>
          <cell r="BV22">
            <v>0.248</v>
          </cell>
          <cell r="BW22">
            <v>0.309</v>
          </cell>
          <cell r="BX22">
            <v>0.94199999999999995</v>
          </cell>
          <cell r="BY22">
            <v>2.2530000000000001</v>
          </cell>
          <cell r="BZ22">
            <v>3.7519999999999998</v>
          </cell>
          <cell r="CA22">
            <v>1.2709999999999999</v>
          </cell>
          <cell r="CB22">
            <v>2.6509999999999998</v>
          </cell>
          <cell r="CC22">
            <v>3.3420000000000001</v>
          </cell>
          <cell r="CD22">
            <v>0.82199999999999995</v>
          </cell>
          <cell r="CE22">
            <v>8.0859999999999985</v>
          </cell>
          <cell r="CF22">
            <v>0.13400000000000001</v>
          </cell>
          <cell r="CG22">
            <v>0.99299999999999999</v>
          </cell>
          <cell r="CH22">
            <v>1.752</v>
          </cell>
          <cell r="CI22">
            <v>0</v>
          </cell>
          <cell r="CJ22">
            <v>2.879</v>
          </cell>
          <cell r="CK22">
            <v>0</v>
          </cell>
          <cell r="CL22">
            <v>0</v>
          </cell>
          <cell r="CM22">
            <v>0</v>
          </cell>
          <cell r="CN22">
            <v>4.2832744849908407E-2</v>
          </cell>
          <cell r="CO22">
            <v>4.2832744849908407E-2</v>
          </cell>
          <cell r="CP22">
            <v>5.767447260081017E-2</v>
          </cell>
          <cell r="CQ22">
            <v>0.10906598732477636</v>
          </cell>
          <cell r="CR22">
            <v>0.17764299702976438</v>
          </cell>
          <cell r="CS22">
            <v>0.19071452565092337</v>
          </cell>
          <cell r="CT22">
            <v>0.53509798260627428</v>
          </cell>
          <cell r="CU22">
            <v>0.17845023691000683</v>
          </cell>
          <cell r="CV22">
            <v>0.23354653717198876</v>
          </cell>
          <cell r="CW22">
            <v>0.32560247190084668</v>
          </cell>
          <cell r="CX22">
            <v>0.36100845258497005</v>
          </cell>
          <cell r="CY22">
            <v>1.0986076985678124</v>
          </cell>
          <cell r="CZ22">
            <v>0.35890702017203724</v>
          </cell>
          <cell r="DA22">
            <v>0.41787200954884834</v>
          </cell>
          <cell r="DB22">
            <v>0.51692382068661569</v>
          </cell>
          <cell r="DC22">
            <v>0.5578891136371843</v>
          </cell>
          <cell r="DD22">
            <v>1.8515919640446858</v>
          </cell>
          <cell r="DE22">
            <v>0.55895154499228628</v>
          </cell>
          <cell r="DF22">
            <v>0.62235467277540812</v>
          </cell>
          <cell r="DG22">
            <v>0.72906241680581407</v>
          </cell>
          <cell r="DH22">
            <v>0.77677626174980197</v>
          </cell>
          <cell r="DI22">
            <v>2.6871448963233107</v>
          </cell>
        </row>
        <row r="23">
          <cell r="B23" t="str">
            <v>Interest expense, net</v>
          </cell>
          <cell r="D23">
            <v>-17.635999999999999</v>
          </cell>
          <cell r="E23">
            <v>-14.097</v>
          </cell>
          <cell r="F23">
            <v>-7.1550000000000002</v>
          </cell>
          <cell r="G23">
            <v>-4.8140000000000001</v>
          </cell>
          <cell r="H23">
            <v>-4.2969999999999997</v>
          </cell>
          <cell r="I23">
            <v>-3.621</v>
          </cell>
          <cell r="J23">
            <v>-3.5150000000000001</v>
          </cell>
          <cell r="K23">
            <v>-3.7120000000000002</v>
          </cell>
          <cell r="L23">
            <v>-4.7590000000000003</v>
          </cell>
          <cell r="M23">
            <v>-1.36</v>
          </cell>
          <cell r="N23">
            <v>-0.68200000000000005</v>
          </cell>
          <cell r="O23">
            <v>-2.4060000000000001</v>
          </cell>
          <cell r="P23">
            <v>-3.9369999999999998</v>
          </cell>
          <cell r="Q23">
            <v>-8.3849999999999998</v>
          </cell>
          <cell r="R23">
            <v>-5.6909999999999998</v>
          </cell>
          <cell r="S23">
            <v>-6.5030000000000001</v>
          </cell>
          <cell r="T23">
            <v>-6.7670000000000003</v>
          </cell>
          <cell r="U23">
            <v>-6.4039999999999999</v>
          </cell>
          <cell r="V23">
            <v>-25.364999999999998</v>
          </cell>
          <cell r="W23">
            <v>-6.0359999999999996</v>
          </cell>
          <cell r="X23">
            <v>-5.2720000000000002</v>
          </cell>
          <cell r="Y23">
            <v>-4.5</v>
          </cell>
          <cell r="Z23">
            <v>-4.1619999999999999</v>
          </cell>
          <cell r="AA23">
            <v>-19.97</v>
          </cell>
          <cell r="AB23">
            <v>-4.1159999999999997</v>
          </cell>
          <cell r="AC23">
            <v>-4.0860000000000003</v>
          </cell>
          <cell r="AD23">
            <v>-3.5569999999999999</v>
          </cell>
          <cell r="AE23">
            <v>-3.7839999999999998</v>
          </cell>
          <cell r="AF23">
            <v>-15.542999999999999</v>
          </cell>
          <cell r="AG23">
            <v>-3.7610000000000001</v>
          </cell>
          <cell r="AH23">
            <v>-3.7120000000000002</v>
          </cell>
          <cell r="AI23">
            <v>-3.802</v>
          </cell>
          <cell r="AJ23">
            <v>-3.64</v>
          </cell>
          <cell r="AK23">
            <v>-14.915000000000001</v>
          </cell>
          <cell r="AL23">
            <v>-4.4539999999999997</v>
          </cell>
          <cell r="AM23">
            <v>-4.7080000000000002</v>
          </cell>
          <cell r="AN23">
            <v>-3.64</v>
          </cell>
          <cell r="AO23">
            <v>-3.3820000000000001</v>
          </cell>
          <cell r="AP23">
            <v>-16.184000000000001</v>
          </cell>
          <cell r="AQ23">
            <v>-3.218</v>
          </cell>
          <cell r="AR23">
            <v>-3.8149999999999999</v>
          </cell>
          <cell r="AS23">
            <v>-2.8519999999999999</v>
          </cell>
          <cell r="AT23">
            <v>-3.0409999999999999</v>
          </cell>
          <cell r="AU23">
            <v>-12.926</v>
          </cell>
          <cell r="AW23">
            <v>-4.7080000000000002</v>
          </cell>
          <cell r="AX23">
            <v>-3.64</v>
          </cell>
          <cell r="AY23">
            <v>-3.3820000000000001</v>
          </cell>
          <cell r="AZ23">
            <v>-3.218</v>
          </cell>
          <cell r="BA23">
            <v>-14.948</v>
          </cell>
          <cell r="BB23">
            <v>-3.8149999999999999</v>
          </cell>
          <cell r="BC23">
            <v>-2.8519999999999999</v>
          </cell>
          <cell r="BD23">
            <v>-3.0409999999999999</v>
          </cell>
          <cell r="BE23">
            <v>-4.2290000000000001</v>
          </cell>
          <cell r="BF23">
            <v>-13.937000000000001</v>
          </cell>
          <cell r="BG23">
            <v>-8.4019999999999992</v>
          </cell>
          <cell r="BH23">
            <v>-11.305</v>
          </cell>
          <cell r="BI23">
            <v>-10.746</v>
          </cell>
          <cell r="BJ23">
            <v>-20.846</v>
          </cell>
          <cell r="BK23">
            <v>-51.299000000000007</v>
          </cell>
          <cell r="BL23">
            <v>-33.287999999999997</v>
          </cell>
          <cell r="BM23">
            <v>-61.642000000000003</v>
          </cell>
          <cell r="BN23">
            <v>-63.695</v>
          </cell>
          <cell r="BO23">
            <v>-63.335000000000001</v>
          </cell>
          <cell r="BP23">
            <v>-221.96</v>
          </cell>
          <cell r="BQ23">
            <v>-62.204000000000001</v>
          </cell>
          <cell r="BR23">
            <v>-58.655999999999999</v>
          </cell>
          <cell r="BS23">
            <v>-56.225999999999999</v>
          </cell>
          <cell r="BT23">
            <v>-61.246000000000002</v>
          </cell>
          <cell r="BU23">
            <v>-238.33199999999999</v>
          </cell>
          <cell r="BV23">
            <v>-54.763000000000005</v>
          </cell>
          <cell r="BW23">
            <v>-53.972999999999999</v>
          </cell>
          <cell r="BX23">
            <v>-53.357999999999997</v>
          </cell>
          <cell r="BY23">
            <v>-52.203000000000003</v>
          </cell>
          <cell r="BZ23">
            <v>-214.29700000000003</v>
          </cell>
          <cell r="CA23">
            <v>-52.302999999999997</v>
          </cell>
          <cell r="CB23">
            <v>-49.879000000000005</v>
          </cell>
          <cell r="CC23">
            <v>-49.484999999999999</v>
          </cell>
          <cell r="CD23">
            <v>-51.919999999999995</v>
          </cell>
          <cell r="CE23">
            <v>-203.58699999999999</v>
          </cell>
          <cell r="CF23">
            <v>-50.902999999999999</v>
          </cell>
          <cell r="CG23">
            <v>-50.04</v>
          </cell>
          <cell r="CH23">
            <v>-48.265999999999998</v>
          </cell>
          <cell r="CI23">
            <v>-70.659000000000006</v>
          </cell>
          <cell r="CJ23">
            <v>-219.86800000000002</v>
          </cell>
          <cell r="CK23">
            <v>-88.763000000000005</v>
          </cell>
          <cell r="CL23">
            <v>-75.165999999999997</v>
          </cell>
          <cell r="CM23">
            <v>-76.813999999999993</v>
          </cell>
          <cell r="CN23">
            <v>-71.79690381765009</v>
          </cell>
          <cell r="CO23">
            <v>-312.53990381765004</v>
          </cell>
          <cell r="CP23">
            <v>-71.591258839899183</v>
          </cell>
          <cell r="CQ23">
            <v>-71.491564075175205</v>
          </cell>
          <cell r="CR23">
            <v>-71.303433815470228</v>
          </cell>
          <cell r="CS23">
            <v>-71.170809036849079</v>
          </cell>
          <cell r="CT23">
            <v>-285.55706576739374</v>
          </cell>
          <cell r="CU23">
            <v>-71.992270075589971</v>
          </cell>
          <cell r="CV23">
            <v>-51.888870525328009</v>
          </cell>
          <cell r="CW23">
            <v>-51.677261340599159</v>
          </cell>
          <cell r="CX23">
            <v>-51.522302109915024</v>
          </cell>
          <cell r="CY23">
            <v>-227.08070405143215</v>
          </cell>
          <cell r="CZ23">
            <v>-51.327975292327956</v>
          </cell>
          <cell r="DA23">
            <v>-51.217894552951144</v>
          </cell>
          <cell r="DB23">
            <v>-50.993664491813384</v>
          </cell>
          <cell r="DC23">
            <v>-50.827520948862812</v>
          </cell>
          <cell r="DD23">
            <v>-204.3670552859553</v>
          </cell>
          <cell r="DE23">
            <v>-50.627217767507709</v>
          </cell>
          <cell r="DF23">
            <v>-50.512698889724582</v>
          </cell>
          <cell r="DG23">
            <v>-50.280812895694176</v>
          </cell>
          <cell r="DH23">
            <v>-50.107920800750186</v>
          </cell>
          <cell r="DI23">
            <v>-201.52865035367665</v>
          </cell>
          <cell r="DK23" t="str">
            <v>mstag:otherInterestIncomeExpense</v>
          </cell>
          <cell r="DL23">
            <v>6</v>
          </cell>
          <cell r="DM23" t="str">
            <v>ISO4217:USD</v>
          </cell>
          <cell r="DN23" t="b">
            <v>0</v>
          </cell>
          <cell r="DO23" t="b">
            <v>0</v>
          </cell>
        </row>
        <row r="24">
          <cell r="B24" t="str">
            <v>Gain (loss) on asset sales</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19.039000000000001</v>
          </cell>
          <cell r="AT24">
            <v>15.25</v>
          </cell>
          <cell r="AU24">
            <v>34.289000000000001</v>
          </cell>
          <cell r="AW24">
            <v>0</v>
          </cell>
          <cell r="AX24">
            <v>0</v>
          </cell>
          <cell r="AY24">
            <v>0</v>
          </cell>
          <cell r="AZ24">
            <v>0</v>
          </cell>
          <cell r="BA24">
            <v>0</v>
          </cell>
          <cell r="BB24">
            <v>0</v>
          </cell>
          <cell r="BC24">
            <v>19.039000000000001</v>
          </cell>
          <cell r="BD24">
            <v>15.25</v>
          </cell>
          <cell r="BE24">
            <v>0</v>
          </cell>
          <cell r="BF24">
            <v>34.289000000000001</v>
          </cell>
          <cell r="BG24">
            <v>0</v>
          </cell>
          <cell r="BH24">
            <v>0</v>
          </cell>
          <cell r="BI24">
            <v>0</v>
          </cell>
          <cell r="BJ24">
            <v>14.702</v>
          </cell>
          <cell r="BK24">
            <v>14.702</v>
          </cell>
          <cell r="BL24">
            <v>0.66800000000000004</v>
          </cell>
          <cell r="BM24">
            <v>2.585</v>
          </cell>
          <cell r="BN24">
            <v>-8.0000000000000002E-3</v>
          </cell>
          <cell r="BO24">
            <v>-0.73699999999999999</v>
          </cell>
          <cell r="BP24">
            <v>2.508</v>
          </cell>
          <cell r="BQ24">
            <v>203.32</v>
          </cell>
          <cell r="BR24">
            <v>6.1840000000000002</v>
          </cell>
          <cell r="BS24">
            <v>1.2010000000000001</v>
          </cell>
          <cell r="BT24">
            <v>0.34699999999999998</v>
          </cell>
          <cell r="BU24">
            <v>211.05199999999999</v>
          </cell>
          <cell r="BV24">
            <v>-0.112</v>
          </cell>
          <cell r="BW24">
            <v>1.9990000000000001</v>
          </cell>
          <cell r="BX24">
            <v>0.09</v>
          </cell>
          <cell r="BY24">
            <v>-0.69199999999999995</v>
          </cell>
          <cell r="BZ24">
            <v>1.2850000000000001</v>
          </cell>
          <cell r="CA24">
            <v>1.1950000000000001</v>
          </cell>
          <cell r="CB24">
            <v>8.4000000000000005E-2</v>
          </cell>
          <cell r="CC24">
            <v>-0.435</v>
          </cell>
          <cell r="CD24">
            <v>-0.13300000000000001</v>
          </cell>
          <cell r="CE24">
            <v>0.71100000000000008</v>
          </cell>
          <cell r="CF24">
            <v>0.06</v>
          </cell>
          <cell r="CG24">
            <v>-0.85399999999999998</v>
          </cell>
          <cell r="CH24">
            <v>-0.30199999999999999</v>
          </cell>
          <cell r="CI24">
            <v>0</v>
          </cell>
          <cell r="CJ24">
            <v>-1.0960000000000001</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K24" t="str">
            <v>mstag:gainsLossesFromSaleOfOperatingAssetsOneTimeGrossOfTax</v>
          </cell>
          <cell r="DL24">
            <v>6</v>
          </cell>
          <cell r="DM24" t="str">
            <v>ISO4217:USD</v>
          </cell>
          <cell r="DN24" t="b">
            <v>0</v>
          </cell>
          <cell r="DO24" t="b">
            <v>0</v>
          </cell>
        </row>
        <row r="25">
          <cell r="B25" t="str">
            <v>Gains/(loss) Early debt extinguishment, Write-offs of deferred financing costs &amp; other</v>
          </cell>
          <cell r="D25">
            <v>0</v>
          </cell>
          <cell r="E25">
            <v>0</v>
          </cell>
          <cell r="F25">
            <v>1.2261538461538461</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-17</v>
          </cell>
          <cell r="Y25">
            <v>0</v>
          </cell>
          <cell r="Z25">
            <v>0</v>
          </cell>
          <cell r="AA25">
            <v>-17</v>
          </cell>
          <cell r="AB25">
            <v>0</v>
          </cell>
          <cell r="AC25">
            <v>0</v>
          </cell>
          <cell r="AD25">
            <v>0</v>
          </cell>
          <cell r="AE25">
            <v>0</v>
          </cell>
          <cell r="AF25">
            <v>0</v>
          </cell>
          <cell r="AG25">
            <v>0</v>
          </cell>
          <cell r="AH25">
            <v>0</v>
          </cell>
          <cell r="AI25">
            <v>0</v>
          </cell>
          <cell r="AJ25">
            <v>-4.931</v>
          </cell>
          <cell r="AK25">
            <v>-4.931</v>
          </cell>
          <cell r="AL25">
            <v>0</v>
          </cell>
          <cell r="AM25">
            <v>0</v>
          </cell>
          <cell r="AN25">
            <v>0</v>
          </cell>
          <cell r="AO25">
            <v>0</v>
          </cell>
          <cell r="AP25">
            <v>0</v>
          </cell>
          <cell r="AQ25">
            <v>0</v>
          </cell>
          <cell r="AR25">
            <v>0</v>
          </cell>
          <cell r="AS25">
            <v>0</v>
          </cell>
          <cell r="AT25">
            <v>0</v>
          </cell>
          <cell r="AU25">
            <v>0</v>
          </cell>
          <cell r="AW25">
            <v>0</v>
          </cell>
          <cell r="AX25">
            <v>0</v>
          </cell>
          <cell r="AY25">
            <v>0</v>
          </cell>
          <cell r="AZ25">
            <v>0</v>
          </cell>
          <cell r="BA25">
            <v>0</v>
          </cell>
          <cell r="BB25">
            <v>0</v>
          </cell>
          <cell r="BC25">
            <v>0</v>
          </cell>
          <cell r="BD25">
            <v>0</v>
          </cell>
          <cell r="BE25">
            <v>0</v>
          </cell>
          <cell r="BF25">
            <v>0</v>
          </cell>
          <cell r="BG25">
            <v>-4.6280000000000001</v>
          </cell>
          <cell r="BH25">
            <v>0</v>
          </cell>
          <cell r="BI25">
            <v>-2.9740000000000002</v>
          </cell>
          <cell r="BJ25">
            <v>0</v>
          </cell>
          <cell r="BK25">
            <v>-7.6020000000000003</v>
          </cell>
          <cell r="BL25">
            <v>-0.76100000000000001</v>
          </cell>
          <cell r="BM25">
            <v>0</v>
          </cell>
          <cell r="BN25">
            <v>0</v>
          </cell>
          <cell r="BO25">
            <v>0</v>
          </cell>
          <cell r="BP25">
            <v>-0.76100000000000001</v>
          </cell>
          <cell r="BQ25">
            <v>-0.629</v>
          </cell>
          <cell r="BR25">
            <v>-10.834</v>
          </cell>
          <cell r="BS25">
            <v>-9.4949999999999992</v>
          </cell>
          <cell r="BT25">
            <v>26.404</v>
          </cell>
          <cell r="BU25">
            <v>5.4460000000000015</v>
          </cell>
          <cell r="BV25">
            <v>16.541</v>
          </cell>
          <cell r="BW25">
            <v>-0.25</v>
          </cell>
          <cell r="BX25">
            <v>-0.53300000000000003</v>
          </cell>
          <cell r="BY25">
            <v>0</v>
          </cell>
          <cell r="BZ25">
            <v>15.758000000000001</v>
          </cell>
          <cell r="CA25">
            <v>0</v>
          </cell>
          <cell r="CB25">
            <v>0</v>
          </cell>
          <cell r="CC25">
            <v>0</v>
          </cell>
          <cell r="CD25">
            <v>0</v>
          </cell>
          <cell r="CE25">
            <v>0</v>
          </cell>
          <cell r="CF25">
            <v>0</v>
          </cell>
          <cell r="CG25">
            <v>0</v>
          </cell>
          <cell r="CH25">
            <v>0</v>
          </cell>
          <cell r="CI25">
            <v>-24.594999999999999</v>
          </cell>
          <cell r="CJ25">
            <v>-24.594999999999999</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K25" t="str">
            <v>mstag:incomeLossFromExtraordinaryItemsPretax</v>
          </cell>
          <cell r="DL25">
            <v>6</v>
          </cell>
          <cell r="DM25" t="str">
            <v>ISO4217:USD</v>
          </cell>
          <cell r="DN25" t="b">
            <v>0</v>
          </cell>
          <cell r="DO25" t="b">
            <v>0</v>
          </cell>
        </row>
        <row r="26">
          <cell r="B26" t="str">
            <v>Other non-operating expenses</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-1.2E-2</v>
          </cell>
          <cell r="CJ26">
            <v>-1.2E-2</v>
          </cell>
          <cell r="CK26">
            <v>-1.64</v>
          </cell>
          <cell r="CL26">
            <v>1.022</v>
          </cell>
          <cell r="CM26">
            <v>2.363</v>
          </cell>
          <cell r="CN26">
            <v>0</v>
          </cell>
          <cell r="CO26">
            <v>1.7450000000000001</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K26" t="str">
            <v>mstag:otherNonOperatingIncomeExpense</v>
          </cell>
          <cell r="DL26">
            <v>6</v>
          </cell>
          <cell r="DM26" t="str">
            <v>ISO4217:USD</v>
          </cell>
          <cell r="DN26" t="b">
            <v>0</v>
          </cell>
        </row>
        <row r="27">
          <cell r="B27" t="str">
            <v>Other</v>
          </cell>
          <cell r="D27">
            <v>0</v>
          </cell>
          <cell r="E27">
            <v>0</v>
          </cell>
          <cell r="F27">
            <v>1.2261538461538461</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-17</v>
          </cell>
          <cell r="Y27">
            <v>0</v>
          </cell>
          <cell r="Z27">
            <v>0</v>
          </cell>
          <cell r="AA27">
            <v>-17</v>
          </cell>
          <cell r="AB27">
            <v>0</v>
          </cell>
          <cell r="AC27">
            <v>0</v>
          </cell>
          <cell r="AD27">
            <v>0</v>
          </cell>
          <cell r="AE27">
            <v>0</v>
          </cell>
          <cell r="AF27">
            <v>0</v>
          </cell>
          <cell r="AG27">
            <v>0</v>
          </cell>
          <cell r="AH27">
            <v>0</v>
          </cell>
          <cell r="AI27">
            <v>0</v>
          </cell>
          <cell r="AJ27">
            <v>-4.931</v>
          </cell>
          <cell r="AK27">
            <v>-4.931</v>
          </cell>
          <cell r="AL27">
            <v>0</v>
          </cell>
          <cell r="AM27">
            <v>0</v>
          </cell>
          <cell r="AN27">
            <v>0</v>
          </cell>
          <cell r="AO27">
            <v>0</v>
          </cell>
          <cell r="AP27">
            <v>0</v>
          </cell>
          <cell r="AQ27">
            <v>0</v>
          </cell>
          <cell r="AR27">
            <v>0</v>
          </cell>
          <cell r="AS27">
            <v>19.039000000000001</v>
          </cell>
          <cell r="AT27">
            <v>15.25</v>
          </cell>
          <cell r="AU27">
            <v>34.289000000000001</v>
          </cell>
          <cell r="AW27">
            <v>0</v>
          </cell>
          <cell r="AX27">
            <v>0</v>
          </cell>
          <cell r="AY27">
            <v>0</v>
          </cell>
          <cell r="AZ27">
            <v>0</v>
          </cell>
          <cell r="BA27">
            <v>0</v>
          </cell>
          <cell r="BB27">
            <v>0</v>
          </cell>
          <cell r="BC27">
            <v>19.039000000000001</v>
          </cell>
          <cell r="BD27">
            <v>15.25</v>
          </cell>
          <cell r="BE27">
            <v>0</v>
          </cell>
          <cell r="BF27">
            <v>34.289000000000001</v>
          </cell>
          <cell r="BG27">
            <v>-4.6280000000000001</v>
          </cell>
          <cell r="BH27">
            <v>0</v>
          </cell>
          <cell r="BI27">
            <v>-2.9740000000000002</v>
          </cell>
          <cell r="BJ27">
            <v>14.702</v>
          </cell>
          <cell r="BK27">
            <v>7.1</v>
          </cell>
          <cell r="BL27">
            <v>-9.2999999999999972E-2</v>
          </cell>
          <cell r="BM27">
            <v>2.585</v>
          </cell>
          <cell r="BN27">
            <v>-8.0000000000000002E-3</v>
          </cell>
          <cell r="BO27">
            <v>-0.73699999999999999</v>
          </cell>
          <cell r="BP27">
            <v>1.7469999999999999</v>
          </cell>
          <cell r="BQ27">
            <v>202.691</v>
          </cell>
          <cell r="BR27">
            <v>-4.6499999999999995</v>
          </cell>
          <cell r="BS27">
            <v>-8.2939999999999987</v>
          </cell>
          <cell r="BT27">
            <v>26.751000000000001</v>
          </cell>
          <cell r="BU27">
            <v>216.49799999999999</v>
          </cell>
          <cell r="BV27">
            <v>16.429000000000002</v>
          </cell>
          <cell r="BW27">
            <v>1.7490000000000001</v>
          </cell>
          <cell r="BX27">
            <v>-0.44300000000000006</v>
          </cell>
          <cell r="BY27">
            <v>-0.69199999999999995</v>
          </cell>
          <cell r="BZ27">
            <v>17.042999999999999</v>
          </cell>
          <cell r="CA27">
            <v>1.1950000000000001</v>
          </cell>
          <cell r="CB27">
            <v>8.4000000000000005E-2</v>
          </cell>
          <cell r="CC27">
            <v>-0.435</v>
          </cell>
          <cell r="CD27">
            <v>-0.13300000000000001</v>
          </cell>
          <cell r="CE27">
            <v>0.71100000000000008</v>
          </cell>
          <cell r="CF27">
            <v>0.06</v>
          </cell>
          <cell r="CG27">
            <v>-0.85399999999999998</v>
          </cell>
          <cell r="CH27">
            <v>-0.30199999999999999</v>
          </cell>
          <cell r="CI27">
            <v>-24.606999999999999</v>
          </cell>
          <cell r="CJ27">
            <v>-25.702999999999999</v>
          </cell>
          <cell r="CK27">
            <v>-1.64</v>
          </cell>
          <cell r="CL27">
            <v>1.022</v>
          </cell>
          <cell r="CM27">
            <v>2.363</v>
          </cell>
          <cell r="CN27">
            <v>0</v>
          </cell>
          <cell r="CO27">
            <v>1.7450000000000001</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row>
        <row r="28">
          <cell r="B28" t="str">
            <v>Pretax income</v>
          </cell>
          <cell r="D28">
            <v>9.1549999999999834</v>
          </cell>
          <cell r="E28">
            <v>21.803000000000004</v>
          </cell>
          <cell r="F28">
            <v>39.645153846153832</v>
          </cell>
          <cell r="G28">
            <v>56.439</v>
          </cell>
          <cell r="H28">
            <v>81.729999999999976</v>
          </cell>
          <cell r="I28">
            <v>104.24900000000008</v>
          </cell>
          <cell r="J28">
            <v>138.411</v>
          </cell>
          <cell r="K28">
            <v>178.30900000000003</v>
          </cell>
          <cell r="L28">
            <v>225.27899999999988</v>
          </cell>
          <cell r="M28">
            <v>50.952999999999982</v>
          </cell>
          <cell r="N28">
            <v>78.533999999999992</v>
          </cell>
          <cell r="O28">
            <v>63.796000000000028</v>
          </cell>
          <cell r="P28">
            <v>53.370000000000019</v>
          </cell>
          <cell r="Q28">
            <v>246.65299999999999</v>
          </cell>
          <cell r="R28">
            <v>56.450999999999993</v>
          </cell>
          <cell r="S28">
            <v>83.103000000000023</v>
          </cell>
          <cell r="T28">
            <v>72.138000000000005</v>
          </cell>
          <cell r="U28">
            <v>64.302999999999997</v>
          </cell>
          <cell r="V28">
            <v>275.99499999999989</v>
          </cell>
          <cell r="W28">
            <v>66.122000000000043</v>
          </cell>
          <cell r="X28">
            <v>80.265000000000043</v>
          </cell>
          <cell r="Y28">
            <v>89.155999999999963</v>
          </cell>
          <cell r="Z28">
            <v>85.408000000000001</v>
          </cell>
          <cell r="AA28">
            <v>320.95100000000002</v>
          </cell>
          <cell r="AB28">
            <v>83.072000000000045</v>
          </cell>
          <cell r="AC28">
            <v>113.96500000000002</v>
          </cell>
          <cell r="AD28">
            <v>110.02399999999999</v>
          </cell>
          <cell r="AE28">
            <v>99.609999999999943</v>
          </cell>
          <cell r="AF28">
            <v>406.67099999999971</v>
          </cell>
          <cell r="AG28">
            <v>98.706000000000003</v>
          </cell>
          <cell r="AH28">
            <v>129.05199999999996</v>
          </cell>
          <cell r="AI28">
            <v>125.60299999999997</v>
          </cell>
          <cell r="AJ28">
            <v>109.71600000000004</v>
          </cell>
          <cell r="AK28">
            <v>463.07700000000011</v>
          </cell>
          <cell r="AL28">
            <v>116.68899999999999</v>
          </cell>
          <cell r="AM28">
            <v>148.261</v>
          </cell>
          <cell r="AN28">
            <v>145.75400000000002</v>
          </cell>
          <cell r="AO28">
            <v>121.4919999999999</v>
          </cell>
          <cell r="AP28">
            <v>532.19599999999991</v>
          </cell>
          <cell r="AQ28">
            <v>128.20200000000006</v>
          </cell>
          <cell r="AR28">
            <v>162.4550000000001</v>
          </cell>
          <cell r="AS28">
            <v>141.40100000000001</v>
          </cell>
          <cell r="AT28">
            <v>134.28699999999995</v>
          </cell>
          <cell r="AU28">
            <v>566.34500000000003</v>
          </cell>
          <cell r="AW28">
            <v>148.261</v>
          </cell>
          <cell r="AX28">
            <v>145.75400000000002</v>
          </cell>
          <cell r="AY28">
            <v>121.4919999999999</v>
          </cell>
          <cell r="AZ28">
            <v>128.20200000000006</v>
          </cell>
          <cell r="BA28">
            <v>543.70899999999972</v>
          </cell>
          <cell r="BB28">
            <v>162.4550000000001</v>
          </cell>
          <cell r="BC28">
            <v>141.40100000000001</v>
          </cell>
          <cell r="BD28">
            <v>134.28699999999995</v>
          </cell>
          <cell r="BE28">
            <v>124.5540000000001</v>
          </cell>
          <cell r="BF28">
            <v>562.69700000000012</v>
          </cell>
          <cell r="BG28">
            <v>141.68700000000013</v>
          </cell>
          <cell r="BH28">
            <v>126.78199999999995</v>
          </cell>
          <cell r="BI28">
            <v>104.17900000000009</v>
          </cell>
          <cell r="BJ28">
            <v>-68.411000000000044</v>
          </cell>
          <cell r="BK28">
            <v>304.23700000000019</v>
          </cell>
          <cell r="BL28">
            <v>107.37599999999978</v>
          </cell>
          <cell r="BM28">
            <v>21.591000000000065</v>
          </cell>
          <cell r="BN28">
            <v>30.866999999999962</v>
          </cell>
          <cell r="BO28">
            <v>27.483000000000033</v>
          </cell>
          <cell r="BP28">
            <v>187.31700000000032</v>
          </cell>
          <cell r="BQ28">
            <v>264.64699999999993</v>
          </cell>
          <cell r="BR28">
            <v>40.347000000000023</v>
          </cell>
          <cell r="BS28">
            <v>17.576999999999913</v>
          </cell>
          <cell r="BT28">
            <v>51.795000000000059</v>
          </cell>
          <cell r="BU28">
            <v>374.36599999999993</v>
          </cell>
          <cell r="BV28">
            <v>84.142999999999915</v>
          </cell>
          <cell r="BW28">
            <v>59.917999999999999</v>
          </cell>
          <cell r="BX28">
            <v>43.79000000000007</v>
          </cell>
          <cell r="BY28">
            <v>55.963999999999892</v>
          </cell>
          <cell r="BZ28">
            <v>243.81499999999937</v>
          </cell>
          <cell r="CA28">
            <v>83.118999999999886</v>
          </cell>
          <cell r="CB28">
            <v>70.807000000000002</v>
          </cell>
          <cell r="CC28">
            <v>59.747000000000057</v>
          </cell>
          <cell r="CD28">
            <v>72.489999999999981</v>
          </cell>
          <cell r="CE28">
            <v>286.16300000000035</v>
          </cell>
          <cell r="CF28">
            <v>98.214000000000141</v>
          </cell>
          <cell r="CG28">
            <v>88.673000000000059</v>
          </cell>
          <cell r="CH28">
            <v>72.091000000000037</v>
          </cell>
          <cell r="CI28">
            <v>54.640999999999863</v>
          </cell>
          <cell r="CJ28">
            <v>313.61900000000071</v>
          </cell>
          <cell r="CK28">
            <v>70.718000000000259</v>
          </cell>
          <cell r="CL28">
            <v>73.431999999999974</v>
          </cell>
          <cell r="CM28">
            <v>70.331000000000103</v>
          </cell>
          <cell r="CN28">
            <v>92.156446150443813</v>
          </cell>
          <cell r="CO28">
            <v>306.63744615044482</v>
          </cell>
          <cell r="CP28">
            <v>107.0781580143518</v>
          </cell>
          <cell r="CQ28">
            <v>98.729482322696384</v>
          </cell>
          <cell r="CR28">
            <v>76.798447384780772</v>
          </cell>
          <cell r="CS28">
            <v>52.389765691283159</v>
          </cell>
          <cell r="CT28">
            <v>334.99585341311274</v>
          </cell>
          <cell r="CU28">
            <v>119.1331976172913</v>
          </cell>
          <cell r="CV28">
            <v>128.91003296724838</v>
          </cell>
          <cell r="CW28">
            <v>111.67789752704962</v>
          </cell>
          <cell r="CX28">
            <v>83.044902004729522</v>
          </cell>
          <cell r="CY28">
            <v>442.76603011631937</v>
          </cell>
          <cell r="CZ28">
            <v>155.13738994053563</v>
          </cell>
          <cell r="DA28">
            <v>143.42798635525193</v>
          </cell>
          <cell r="DB28">
            <v>128.40469633544851</v>
          </cell>
          <cell r="DC28">
            <v>102.00612487739873</v>
          </cell>
          <cell r="DD28">
            <v>528.97619750863612</v>
          </cell>
          <cell r="DE28">
            <v>176.18300052065132</v>
          </cell>
          <cell r="DF28">
            <v>161.50725283714405</v>
          </cell>
          <cell r="DG28">
            <v>148.0071992938876</v>
          </cell>
          <cell r="DH28">
            <v>116.63550334192945</v>
          </cell>
          <cell r="DI28">
            <v>602.33295599361338</v>
          </cell>
        </row>
        <row r="29">
          <cell r="B29" t="str">
            <v>Income tax expense (benefit)</v>
          </cell>
          <cell r="D29">
            <v>4.5110000000000001</v>
          </cell>
          <cell r="E29">
            <v>9.8119999999999994</v>
          </cell>
          <cell r="F29">
            <v>16.967153846153845</v>
          </cell>
          <cell r="G29">
            <v>24.193999999999999</v>
          </cell>
          <cell r="H29">
            <v>32.643999999999998</v>
          </cell>
          <cell r="I29">
            <v>40.917999999999999</v>
          </cell>
          <cell r="J29">
            <v>54.325000000000003</v>
          </cell>
          <cell r="K29">
            <v>69.986999999999995</v>
          </cell>
          <cell r="L29">
            <v>88.435000000000002</v>
          </cell>
          <cell r="M29">
            <v>19.998000000000001</v>
          </cell>
          <cell r="N29">
            <v>30.827000000000002</v>
          </cell>
          <cell r="O29">
            <v>25.039000000000001</v>
          </cell>
          <cell r="P29">
            <v>20.943999999999999</v>
          </cell>
          <cell r="Q29">
            <v>96.808000000000007</v>
          </cell>
          <cell r="R29">
            <v>22.158999999999999</v>
          </cell>
          <cell r="S29">
            <v>32.616</v>
          </cell>
          <cell r="T29">
            <v>28.315000000000001</v>
          </cell>
          <cell r="U29">
            <v>25.238</v>
          </cell>
          <cell r="V29">
            <v>108.328</v>
          </cell>
          <cell r="W29">
            <v>25.943999999999999</v>
          </cell>
          <cell r="X29">
            <v>31.524999999999999</v>
          </cell>
          <cell r="Y29">
            <v>35.018000000000001</v>
          </cell>
          <cell r="Z29">
            <v>33.485999999999997</v>
          </cell>
          <cell r="AA29">
            <v>125.97299999999998</v>
          </cell>
          <cell r="AB29">
            <v>32.606000000000002</v>
          </cell>
          <cell r="AC29">
            <v>44.728999999999999</v>
          </cell>
          <cell r="AD29">
            <v>43.048999999999999</v>
          </cell>
          <cell r="AE29">
            <v>38.841999999999999</v>
          </cell>
          <cell r="AF29">
            <v>159.226</v>
          </cell>
          <cell r="AG29">
            <v>38.128</v>
          </cell>
          <cell r="AH29">
            <v>49.923999999999999</v>
          </cell>
          <cell r="AI29">
            <v>48.561</v>
          </cell>
          <cell r="AJ29">
            <v>38.698999999999998</v>
          </cell>
          <cell r="AK29">
            <v>175.31200000000001</v>
          </cell>
          <cell r="AL29">
            <v>44.238</v>
          </cell>
          <cell r="AM29">
            <v>56.390999999999998</v>
          </cell>
          <cell r="AN29">
            <v>54.890999999999998</v>
          </cell>
          <cell r="AO29">
            <v>45.860999999999997</v>
          </cell>
          <cell r="AP29">
            <v>201.38099999999997</v>
          </cell>
          <cell r="AQ29">
            <v>48.787999999999997</v>
          </cell>
          <cell r="AR29">
            <v>61.792999999999999</v>
          </cell>
          <cell r="AS29">
            <v>53.790999999999997</v>
          </cell>
          <cell r="AT29">
            <v>46.408999999999999</v>
          </cell>
          <cell r="AU29">
            <v>210.78099999999998</v>
          </cell>
          <cell r="AW29">
            <v>56.390999999999998</v>
          </cell>
          <cell r="AX29">
            <v>54.890999999999998</v>
          </cell>
          <cell r="AY29">
            <v>45.860999999999997</v>
          </cell>
          <cell r="AZ29">
            <v>48.787999999999997</v>
          </cell>
          <cell r="BA29">
            <v>205.93099999999998</v>
          </cell>
          <cell r="BB29">
            <v>61.792999999999999</v>
          </cell>
          <cell r="BC29">
            <v>53.790999999999997</v>
          </cell>
          <cell r="BD29">
            <v>46.408999999999999</v>
          </cell>
          <cell r="BE29">
            <v>48.283999999999999</v>
          </cell>
          <cell r="BF29">
            <v>210.27699999999999</v>
          </cell>
          <cell r="BG29">
            <v>54.265999999999998</v>
          </cell>
          <cell r="BH29">
            <v>48.56</v>
          </cell>
          <cell r="BI29">
            <v>40.345999999999997</v>
          </cell>
          <cell r="BJ29">
            <v>-26.056999999999999</v>
          </cell>
          <cell r="BK29">
            <v>117.11499999999999</v>
          </cell>
          <cell r="BL29">
            <v>41.542000000000002</v>
          </cell>
          <cell r="BM29">
            <v>8.2910000000000004</v>
          </cell>
          <cell r="BN29">
            <v>11.061999999999999</v>
          </cell>
          <cell r="BO29">
            <v>8.5050000000000008</v>
          </cell>
          <cell r="BP29">
            <v>69.399999999999991</v>
          </cell>
          <cell r="BQ29">
            <v>102.239</v>
          </cell>
          <cell r="BR29">
            <v>13.039</v>
          </cell>
          <cell r="BS29">
            <v>2.5619999999999998</v>
          </cell>
          <cell r="BT29">
            <v>17.498000000000001</v>
          </cell>
          <cell r="BU29">
            <v>135.33799999999999</v>
          </cell>
          <cell r="BV29">
            <v>30.065999999999999</v>
          </cell>
          <cell r="BW29">
            <v>20.62</v>
          </cell>
          <cell r="BX29">
            <v>12.494999999999999</v>
          </cell>
          <cell r="BY29">
            <v>19.355</v>
          </cell>
          <cell r="BZ29">
            <v>82.536000000000001</v>
          </cell>
          <cell r="CA29">
            <v>29.7</v>
          </cell>
          <cell r="CB29">
            <v>25.094000000000001</v>
          </cell>
          <cell r="CC29">
            <v>19.867000000000001</v>
          </cell>
          <cell r="CD29">
            <v>26.132999999999999</v>
          </cell>
          <cell r="CE29">
            <v>100.794</v>
          </cell>
          <cell r="CF29">
            <v>35.503999999999998</v>
          </cell>
          <cell r="CG29">
            <v>31.757000000000001</v>
          </cell>
          <cell r="CH29">
            <v>22.387</v>
          </cell>
          <cell r="CI29">
            <v>16.893000000000001</v>
          </cell>
          <cell r="CJ29">
            <v>106.541</v>
          </cell>
          <cell r="CK29">
            <v>24.727</v>
          </cell>
          <cell r="CL29">
            <v>25.291</v>
          </cell>
          <cell r="CM29">
            <v>20.913</v>
          </cell>
          <cell r="CN29">
            <v>32.254756152655332</v>
          </cell>
          <cell r="CO29">
            <v>103.18575615265533</v>
          </cell>
          <cell r="CP29">
            <v>36.406573724879614</v>
          </cell>
          <cell r="CQ29">
            <v>33.568023989716771</v>
          </cell>
          <cell r="CR29">
            <v>26.111472110825463</v>
          </cell>
          <cell r="CS29">
            <v>17.812520335036275</v>
          </cell>
          <cell r="CT29">
            <v>113.89859016045813</v>
          </cell>
          <cell r="CU29">
            <v>40.505287189879049</v>
          </cell>
          <cell r="CV29">
            <v>43.829411208864457</v>
          </cell>
          <cell r="CW29">
            <v>37.970485159196876</v>
          </cell>
          <cell r="CX29">
            <v>28.235266681608039</v>
          </cell>
          <cell r="CY29">
            <v>150.54045023954842</v>
          </cell>
          <cell r="CZ29">
            <v>52.74671257978212</v>
          </cell>
          <cell r="DA29">
            <v>48.765515360785663</v>
          </cell>
          <cell r="DB29">
            <v>43.657596754052499</v>
          </cell>
          <cell r="DC29">
            <v>34.68208245831557</v>
          </cell>
          <cell r="DD29">
            <v>179.85190715293584</v>
          </cell>
          <cell r="DE29">
            <v>59.902220177021455</v>
          </cell>
          <cell r="DF29">
            <v>54.912465964628979</v>
          </cell>
          <cell r="DG29">
            <v>50.322447759921786</v>
          </cell>
          <cell r="DH29">
            <v>39.656071136256017</v>
          </cell>
          <cell r="DI29">
            <v>204.79320503782822</v>
          </cell>
          <cell r="DK29" t="str">
            <v>mstag:taxExpenseIncome</v>
          </cell>
          <cell r="DL29">
            <v>6</v>
          </cell>
          <cell r="DM29" t="str">
            <v>ISO4217:USD</v>
          </cell>
          <cell r="DN29" t="b">
            <v>0</v>
          </cell>
        </row>
        <row r="30">
          <cell r="B30" t="str">
            <v>Net income from continuing ops</v>
          </cell>
          <cell r="D30">
            <v>4.6439999999999833</v>
          </cell>
          <cell r="E30">
            <v>11.991000000000005</v>
          </cell>
          <cell r="F30">
            <v>22.677999999999987</v>
          </cell>
          <cell r="G30">
            <v>32.245000000000005</v>
          </cell>
          <cell r="H30">
            <v>49.085999999999977</v>
          </cell>
          <cell r="I30">
            <v>63.331000000000081</v>
          </cell>
          <cell r="J30">
            <v>84.085999999999999</v>
          </cell>
          <cell r="K30">
            <v>108.32200000000003</v>
          </cell>
          <cell r="L30">
            <v>136.84399999999988</v>
          </cell>
          <cell r="M30">
            <v>30.954999999999981</v>
          </cell>
          <cell r="N30">
            <v>47.706999999999994</v>
          </cell>
          <cell r="O30">
            <v>38.757000000000026</v>
          </cell>
          <cell r="P30">
            <v>32.426000000000016</v>
          </cell>
          <cell r="Q30">
            <v>149.84499999999997</v>
          </cell>
          <cell r="R30">
            <v>34.291999999999994</v>
          </cell>
          <cell r="S30">
            <v>50.487000000000023</v>
          </cell>
          <cell r="T30">
            <v>43.823000000000008</v>
          </cell>
          <cell r="U30">
            <v>39.064999999999998</v>
          </cell>
          <cell r="V30">
            <v>167.66699999999989</v>
          </cell>
          <cell r="W30">
            <v>40.17800000000004</v>
          </cell>
          <cell r="X30">
            <v>48.740000000000045</v>
          </cell>
          <cell r="Y30">
            <v>54.137999999999963</v>
          </cell>
          <cell r="Z30">
            <v>51.922000000000004</v>
          </cell>
          <cell r="AA30">
            <v>194.97800000000004</v>
          </cell>
          <cell r="AB30">
            <v>50.466000000000044</v>
          </cell>
          <cell r="AC30">
            <v>69.236000000000018</v>
          </cell>
          <cell r="AD30">
            <v>66.974999999999994</v>
          </cell>
          <cell r="AE30">
            <v>60.767999999999944</v>
          </cell>
          <cell r="AF30">
            <v>247.44499999999971</v>
          </cell>
          <cell r="AG30">
            <v>60.578000000000003</v>
          </cell>
          <cell r="AH30">
            <v>79.127999999999957</v>
          </cell>
          <cell r="AI30">
            <v>77.041999999999973</v>
          </cell>
          <cell r="AJ30">
            <v>71.017000000000039</v>
          </cell>
          <cell r="AK30">
            <v>287.7650000000001</v>
          </cell>
          <cell r="AL30">
            <v>72.450999999999993</v>
          </cell>
          <cell r="AM30">
            <v>91.87</v>
          </cell>
          <cell r="AN30">
            <v>90.863000000000028</v>
          </cell>
          <cell r="AO30">
            <v>75.630999999999915</v>
          </cell>
          <cell r="AP30">
            <v>330.81499999999994</v>
          </cell>
          <cell r="AQ30">
            <v>79.414000000000058</v>
          </cell>
          <cell r="AR30">
            <v>100.66200000000009</v>
          </cell>
          <cell r="AS30">
            <v>87.610000000000014</v>
          </cell>
          <cell r="AT30">
            <v>87.877999999999957</v>
          </cell>
          <cell r="AU30">
            <v>355.56400000000008</v>
          </cell>
          <cell r="AW30">
            <v>91.87</v>
          </cell>
          <cell r="AX30">
            <v>90.863000000000028</v>
          </cell>
          <cell r="AY30">
            <v>75.630999999999915</v>
          </cell>
          <cell r="AZ30">
            <v>79.414000000000058</v>
          </cell>
          <cell r="BA30">
            <v>337.77799999999974</v>
          </cell>
          <cell r="BB30">
            <v>100.66200000000009</v>
          </cell>
          <cell r="BC30">
            <v>87.610000000000014</v>
          </cell>
          <cell r="BD30">
            <v>87.877999999999957</v>
          </cell>
          <cell r="BE30">
            <v>76.270000000000095</v>
          </cell>
          <cell r="BF30">
            <v>352.42000000000013</v>
          </cell>
          <cell r="BG30">
            <v>87.421000000000134</v>
          </cell>
          <cell r="BH30">
            <v>78.221999999999952</v>
          </cell>
          <cell r="BI30">
            <v>63.833000000000091</v>
          </cell>
          <cell r="BJ30">
            <v>-42.354000000000042</v>
          </cell>
          <cell r="BK30">
            <v>187.12200000000018</v>
          </cell>
          <cell r="BL30">
            <v>65.833999999999776</v>
          </cell>
          <cell r="BM30">
            <v>13.300000000000065</v>
          </cell>
          <cell r="BN30">
            <v>19.804999999999964</v>
          </cell>
          <cell r="BO30">
            <v>18.97800000000003</v>
          </cell>
          <cell r="BP30">
            <v>117.91700000000033</v>
          </cell>
          <cell r="BQ30">
            <v>162.40799999999993</v>
          </cell>
          <cell r="BR30">
            <v>27.308000000000021</v>
          </cell>
          <cell r="BS30">
            <v>15.014999999999914</v>
          </cell>
          <cell r="BT30">
            <v>34.297000000000054</v>
          </cell>
          <cell r="BU30">
            <v>239.02799999999993</v>
          </cell>
          <cell r="BV30">
            <v>54.076999999999913</v>
          </cell>
          <cell r="BW30">
            <v>39.298000000000002</v>
          </cell>
          <cell r="BX30">
            <v>31.295000000000073</v>
          </cell>
          <cell r="BY30">
            <v>36.608999999999895</v>
          </cell>
          <cell r="BZ30">
            <v>161.27899999999937</v>
          </cell>
          <cell r="CA30">
            <v>53.418999999999883</v>
          </cell>
          <cell r="CB30">
            <v>45.713000000000001</v>
          </cell>
          <cell r="CC30">
            <v>39.880000000000052</v>
          </cell>
          <cell r="CD30">
            <v>46.356999999999985</v>
          </cell>
          <cell r="CE30">
            <v>185.36900000000037</v>
          </cell>
          <cell r="CF30">
            <v>62.710000000000143</v>
          </cell>
          <cell r="CG30">
            <v>56.916000000000054</v>
          </cell>
          <cell r="CH30">
            <v>49.704000000000036</v>
          </cell>
          <cell r="CI30">
            <v>37.747999999999863</v>
          </cell>
          <cell r="CJ30">
            <v>207.07800000000071</v>
          </cell>
          <cell r="CK30">
            <v>45.991000000000255</v>
          </cell>
          <cell r="CL30">
            <v>48.140999999999977</v>
          </cell>
          <cell r="CM30">
            <v>49.418000000000106</v>
          </cell>
          <cell r="CN30">
            <v>59.90168999778848</v>
          </cell>
          <cell r="CO30">
            <v>203.45168999778949</v>
          </cell>
          <cell r="CP30">
            <v>70.671584289472179</v>
          </cell>
          <cell r="CQ30">
            <v>65.161458332979606</v>
          </cell>
          <cell r="CR30">
            <v>50.686975273955312</v>
          </cell>
          <cell r="CS30">
            <v>34.577245356246884</v>
          </cell>
          <cell r="CT30">
            <v>221.09726325265461</v>
          </cell>
          <cell r="CU30">
            <v>78.627910427412246</v>
          </cell>
          <cell r="CV30">
            <v>85.080621758383927</v>
          </cell>
          <cell r="CW30">
            <v>73.707412367852754</v>
          </cell>
          <cell r="CX30">
            <v>54.809635323121483</v>
          </cell>
          <cell r="CY30">
            <v>292.22557987677095</v>
          </cell>
          <cell r="CZ30">
            <v>102.3906773607535</v>
          </cell>
          <cell r="DA30">
            <v>94.662470994466275</v>
          </cell>
          <cell r="DB30">
            <v>84.747099581396014</v>
          </cell>
          <cell r="DC30">
            <v>67.324042419083156</v>
          </cell>
          <cell r="DD30">
            <v>349.12429035570028</v>
          </cell>
          <cell r="DE30">
            <v>116.28078034362986</v>
          </cell>
          <cell r="DF30">
            <v>106.59478687251507</v>
          </cell>
          <cell r="DG30">
            <v>97.684751533965809</v>
          </cell>
          <cell r="DH30">
            <v>76.979432205673433</v>
          </cell>
          <cell r="DI30">
            <v>397.53975095578517</v>
          </cell>
        </row>
        <row r="31">
          <cell r="B31" t="str">
            <v>Discontinued operations:</v>
          </cell>
        </row>
        <row r="32">
          <cell r="B32" t="str">
            <v>Income (loss) discontinued ops, net</v>
          </cell>
          <cell r="D32">
            <v>0</v>
          </cell>
          <cell r="E32">
            <v>0</v>
          </cell>
          <cell r="F32">
            <v>0</v>
          </cell>
          <cell r="G32">
            <v>0</v>
          </cell>
          <cell r="H32">
            <v>-2.5499999999999998</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0.63800000000000001</v>
          </cell>
          <cell r="AU32">
            <v>0.63800000000000001</v>
          </cell>
          <cell r="AW32">
            <v>0</v>
          </cell>
          <cell r="AX32">
            <v>0</v>
          </cell>
          <cell r="AY32">
            <v>0</v>
          </cell>
          <cell r="AZ32">
            <v>0</v>
          </cell>
          <cell r="BA32">
            <v>0</v>
          </cell>
          <cell r="BB32">
            <v>0</v>
          </cell>
          <cell r="BC32">
            <v>0</v>
          </cell>
          <cell r="BD32">
            <v>0.63800000000000001</v>
          </cell>
          <cell r="BE32">
            <v>-0.32800000000000001</v>
          </cell>
          <cell r="BF32">
            <v>0.31</v>
          </cell>
          <cell r="BG32">
            <v>0.45</v>
          </cell>
          <cell r="BH32">
            <v>0.16</v>
          </cell>
          <cell r="BI32">
            <v>11.039</v>
          </cell>
          <cell r="BJ32">
            <v>-13.984</v>
          </cell>
          <cell r="BK32">
            <v>-2.3350000000000009</v>
          </cell>
          <cell r="BL32">
            <v>-0.624</v>
          </cell>
          <cell r="BM32">
            <v>-1.177</v>
          </cell>
          <cell r="BN32">
            <v>10.387</v>
          </cell>
          <cell r="BO32">
            <v>-6.298</v>
          </cell>
          <cell r="BP32">
            <v>2.2880000000000003</v>
          </cell>
          <cell r="BQ32">
            <v>-27.731999999999999</v>
          </cell>
          <cell r="BR32">
            <v>-9.5259999999999998</v>
          </cell>
          <cell r="BS32">
            <v>-4.0430000000000001</v>
          </cell>
          <cell r="BT32">
            <v>-14.494</v>
          </cell>
          <cell r="BU32">
            <v>-55.794999999999995</v>
          </cell>
          <cell r="BV32">
            <v>-1.508</v>
          </cell>
          <cell r="BW32">
            <v>0</v>
          </cell>
          <cell r="BX32">
            <v>0.626</v>
          </cell>
          <cell r="BY32">
            <v>3.544</v>
          </cell>
          <cell r="BZ32">
            <v>2.6619999999999999</v>
          </cell>
          <cell r="CA32">
            <v>0</v>
          </cell>
          <cell r="CB32">
            <v>0</v>
          </cell>
          <cell r="CC32">
            <v>0</v>
          </cell>
          <cell r="CD32">
            <v>-13.121</v>
          </cell>
          <cell r="CE32">
            <v>-13.121</v>
          </cell>
          <cell r="CF32">
            <v>-0.59799999999999998</v>
          </cell>
          <cell r="CG32">
            <v>-1.583</v>
          </cell>
          <cell r="CH32">
            <v>0.255</v>
          </cell>
          <cell r="CI32">
            <v>-1.2270000000000001</v>
          </cell>
          <cell r="CJ32">
            <v>-3.1530000000000005</v>
          </cell>
          <cell r="CK32">
            <v>-1.395</v>
          </cell>
          <cell r="CL32">
            <v>-3.0209999999999999</v>
          </cell>
          <cell r="CM32">
            <v>-1.389</v>
          </cell>
          <cell r="CN32">
            <v>0</v>
          </cell>
          <cell r="CO32">
            <v>-5.8050000000000006</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K32" t="str">
            <v>mstag:incomeLossFromDiscontinuedOperationsNetOfTax</v>
          </cell>
          <cell r="DL32">
            <v>6</v>
          </cell>
          <cell r="DM32" t="str">
            <v>ISO4217:USD</v>
          </cell>
          <cell r="DN32" t="b">
            <v>0</v>
          </cell>
          <cell r="DO32" t="b">
            <v>0</v>
          </cell>
        </row>
        <row r="33">
          <cell r="B33" t="str">
            <v>Net income as reported</v>
          </cell>
          <cell r="D33">
            <v>4.6439999999999833</v>
          </cell>
          <cell r="E33">
            <v>11.991000000000005</v>
          </cell>
          <cell r="F33">
            <v>22.677999999999987</v>
          </cell>
          <cell r="G33">
            <v>32.245000000000005</v>
          </cell>
          <cell r="H33">
            <v>46.53599999999998</v>
          </cell>
          <cell r="I33">
            <v>63.331000000000081</v>
          </cell>
          <cell r="J33">
            <v>84.085999999999999</v>
          </cell>
          <cell r="K33">
            <v>108.32200000000003</v>
          </cell>
          <cell r="L33">
            <v>136.84399999999988</v>
          </cell>
          <cell r="M33">
            <v>30.954999999999981</v>
          </cell>
          <cell r="N33">
            <v>47.706999999999994</v>
          </cell>
          <cell r="O33">
            <v>38.757000000000026</v>
          </cell>
          <cell r="P33">
            <v>32.426000000000016</v>
          </cell>
          <cell r="Q33">
            <v>149.84499999999997</v>
          </cell>
          <cell r="R33">
            <v>34.291999999999994</v>
          </cell>
          <cell r="S33">
            <v>50.487000000000023</v>
          </cell>
          <cell r="T33">
            <v>43.823000000000008</v>
          </cell>
          <cell r="U33">
            <v>39.064999999999998</v>
          </cell>
          <cell r="V33">
            <v>167.66699999999989</v>
          </cell>
          <cell r="W33">
            <v>40.17800000000004</v>
          </cell>
          <cell r="X33">
            <v>48.740000000000045</v>
          </cell>
          <cell r="Y33">
            <v>54.137999999999963</v>
          </cell>
          <cell r="Z33">
            <v>51.922000000000004</v>
          </cell>
          <cell r="AA33">
            <v>194.97800000000004</v>
          </cell>
          <cell r="AB33">
            <v>50.466000000000044</v>
          </cell>
          <cell r="AC33">
            <v>69.236000000000018</v>
          </cell>
          <cell r="AD33">
            <v>66.974999999999994</v>
          </cell>
          <cell r="AE33">
            <v>60.767999999999944</v>
          </cell>
          <cell r="AF33">
            <v>247.44499999999971</v>
          </cell>
          <cell r="AG33">
            <v>60.578000000000003</v>
          </cell>
          <cell r="AH33">
            <v>79.127999999999957</v>
          </cell>
          <cell r="AI33">
            <v>77.041999999999973</v>
          </cell>
          <cell r="AJ33">
            <v>71.017000000000039</v>
          </cell>
          <cell r="AK33">
            <v>287.7650000000001</v>
          </cell>
          <cell r="AL33">
            <v>72.450999999999993</v>
          </cell>
          <cell r="AM33">
            <v>91.87</v>
          </cell>
          <cell r="AN33">
            <v>90.863000000000028</v>
          </cell>
          <cell r="AO33">
            <v>75.630999999999915</v>
          </cell>
          <cell r="AP33">
            <v>330.81499999999994</v>
          </cell>
          <cell r="AQ33">
            <v>79.414000000000058</v>
          </cell>
          <cell r="AR33">
            <v>100.66200000000009</v>
          </cell>
          <cell r="AS33">
            <v>87.610000000000014</v>
          </cell>
          <cell r="AT33">
            <v>88.515999999999963</v>
          </cell>
          <cell r="AU33">
            <v>356.20200000000006</v>
          </cell>
          <cell r="AW33">
            <v>91.87</v>
          </cell>
          <cell r="AX33">
            <v>90.863000000000028</v>
          </cell>
          <cell r="AY33">
            <v>75.630999999999915</v>
          </cell>
          <cell r="AZ33">
            <v>79.414000000000058</v>
          </cell>
          <cell r="BA33">
            <v>337.77799999999974</v>
          </cell>
          <cell r="BB33">
            <v>100.66200000000009</v>
          </cell>
          <cell r="BC33">
            <v>87.610000000000014</v>
          </cell>
          <cell r="BD33">
            <v>88.515999999999963</v>
          </cell>
          <cell r="BE33">
            <v>75.942000000000093</v>
          </cell>
          <cell r="BF33">
            <v>352.73000000000013</v>
          </cell>
          <cell r="BG33">
            <v>87.871000000000137</v>
          </cell>
          <cell r="BH33">
            <v>78.381999999999948</v>
          </cell>
          <cell r="BI33">
            <v>74.872000000000085</v>
          </cell>
          <cell r="BJ33">
            <v>-56.338000000000044</v>
          </cell>
          <cell r="BK33">
            <v>184.78700000000018</v>
          </cell>
          <cell r="BL33">
            <v>65.209999999999781</v>
          </cell>
          <cell r="BM33">
            <v>12.123000000000065</v>
          </cell>
          <cell r="BN33">
            <v>30.191999999999965</v>
          </cell>
          <cell r="BO33">
            <v>12.68000000000003</v>
          </cell>
          <cell r="BP33">
            <v>120.20500000000033</v>
          </cell>
          <cell r="BQ33">
            <v>134.67599999999993</v>
          </cell>
          <cell r="BR33">
            <v>17.782000000000021</v>
          </cell>
          <cell r="BS33">
            <v>10.971999999999912</v>
          </cell>
          <cell r="BT33">
            <v>19.803000000000054</v>
          </cell>
          <cell r="BU33">
            <v>183.23299999999995</v>
          </cell>
          <cell r="BV33">
            <v>52.56899999999991</v>
          </cell>
          <cell r="BW33">
            <v>39.298000000000002</v>
          </cell>
          <cell r="BX33">
            <v>31.921000000000074</v>
          </cell>
          <cell r="BY33">
            <v>40.152999999999892</v>
          </cell>
          <cell r="BZ33">
            <v>163.94099999999938</v>
          </cell>
          <cell r="CA33">
            <v>53.418999999999883</v>
          </cell>
          <cell r="CB33">
            <v>45.713000000000001</v>
          </cell>
          <cell r="CC33">
            <v>39.880000000000052</v>
          </cell>
          <cell r="CD33">
            <v>33.235999999999983</v>
          </cell>
          <cell r="CE33">
            <v>172.24800000000036</v>
          </cell>
          <cell r="CF33">
            <v>62.112000000000144</v>
          </cell>
          <cell r="CG33">
            <v>55.333000000000055</v>
          </cell>
          <cell r="CH33">
            <v>49.959000000000039</v>
          </cell>
          <cell r="CI33">
            <v>36.520999999999866</v>
          </cell>
          <cell r="CJ33">
            <v>203.92500000000072</v>
          </cell>
          <cell r="CK33">
            <v>44.596000000000252</v>
          </cell>
          <cell r="CL33">
            <v>45.119999999999976</v>
          </cell>
          <cell r="CM33">
            <v>48.029000000000103</v>
          </cell>
          <cell r="CN33">
            <v>59.90168999778848</v>
          </cell>
          <cell r="CO33">
            <v>197.64668999778948</v>
          </cell>
          <cell r="CP33">
            <v>70.671584289472179</v>
          </cell>
          <cell r="CQ33">
            <v>65.161458332979606</v>
          </cell>
          <cell r="CR33">
            <v>50.686975273955312</v>
          </cell>
          <cell r="CS33">
            <v>34.577245356246884</v>
          </cell>
          <cell r="CT33">
            <v>221.09726325265461</v>
          </cell>
          <cell r="CU33">
            <v>78.627910427412246</v>
          </cell>
          <cell r="CV33">
            <v>85.080621758383927</v>
          </cell>
          <cell r="CW33">
            <v>73.707412367852754</v>
          </cell>
          <cell r="CX33">
            <v>54.809635323121483</v>
          </cell>
          <cell r="CY33">
            <v>292.22557987677095</v>
          </cell>
          <cell r="CZ33">
            <v>102.3906773607535</v>
          </cell>
          <cell r="DA33">
            <v>94.662470994466275</v>
          </cell>
          <cell r="DB33">
            <v>84.747099581396014</v>
          </cell>
          <cell r="DC33">
            <v>67.324042419083156</v>
          </cell>
          <cell r="DD33">
            <v>349.12429035570028</v>
          </cell>
          <cell r="DE33">
            <v>116.28078034362986</v>
          </cell>
          <cell r="DF33">
            <v>106.59478687251507</v>
          </cell>
          <cell r="DG33">
            <v>97.684751533965809</v>
          </cell>
          <cell r="DH33">
            <v>76.979432205673433</v>
          </cell>
          <cell r="DI33">
            <v>397.53975095578517</v>
          </cell>
          <cell r="DK33" t="str">
            <v>mstag:netIncomeAsReported</v>
          </cell>
          <cell r="DL33">
            <v>6</v>
          </cell>
          <cell r="DM33" t="str">
            <v>ISO4217:USD</v>
          </cell>
          <cell r="DN33" t="b">
            <v>0</v>
          </cell>
        </row>
        <row r="34">
          <cell r="B34" t="str">
            <v>Minority interests</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-0.35899999999999999</v>
          </cell>
          <cell r="AE34">
            <v>-0.65</v>
          </cell>
          <cell r="AF34">
            <v>-1.0089999999999999</v>
          </cell>
          <cell r="AG34">
            <v>-0.92200000000000004</v>
          </cell>
          <cell r="AH34">
            <v>-1.0629999999999999</v>
          </cell>
          <cell r="AI34">
            <v>-1.121</v>
          </cell>
          <cell r="AJ34">
            <v>-1.2350000000000001</v>
          </cell>
          <cell r="AK34">
            <v>-4.3410000000000002</v>
          </cell>
          <cell r="AL34">
            <v>-1.1399999999999999</v>
          </cell>
          <cell r="AM34">
            <v>-1.395</v>
          </cell>
          <cell r="AN34">
            <v>-1.58</v>
          </cell>
          <cell r="AO34">
            <v>-1.601</v>
          </cell>
          <cell r="AP34">
            <v>-5.7160000000000002</v>
          </cell>
          <cell r="AQ34">
            <v>-0.66200000000000003</v>
          </cell>
          <cell r="AR34">
            <v>-0.89900000000000002</v>
          </cell>
          <cell r="AS34">
            <v>-0.83799999999999997</v>
          </cell>
          <cell r="AT34">
            <v>-0.72699999999999998</v>
          </cell>
          <cell r="AU34">
            <v>-3.1259999999999999</v>
          </cell>
          <cell r="AW34">
            <v>-1.395</v>
          </cell>
          <cell r="AX34">
            <v>-1.58</v>
          </cell>
          <cell r="AY34">
            <v>-1.601</v>
          </cell>
          <cell r="AZ34">
            <v>-0.66200000000000003</v>
          </cell>
          <cell r="BA34">
            <v>-5.2380000000000004</v>
          </cell>
          <cell r="BB34">
            <v>-0.89900000000000002</v>
          </cell>
          <cell r="BC34">
            <v>-0.83799999999999997</v>
          </cell>
          <cell r="BD34">
            <v>-0.72699999999999998</v>
          </cell>
          <cell r="BE34">
            <v>-0.40100000000000002</v>
          </cell>
          <cell r="BF34">
            <v>-2.8650000000000002</v>
          </cell>
          <cell r="BG34">
            <v>-0.65800000000000003</v>
          </cell>
          <cell r="BH34">
            <v>-1.077</v>
          </cell>
          <cell r="BI34">
            <v>-0.436</v>
          </cell>
          <cell r="BJ34">
            <v>0.13300000000000001</v>
          </cell>
          <cell r="BK34">
            <v>-2.0379999999999998</v>
          </cell>
          <cell r="BL34">
            <v>-0.17100000000000001</v>
          </cell>
          <cell r="BM34">
            <v>-0.217</v>
          </cell>
          <cell r="BN34">
            <v>0.28199999999999997</v>
          </cell>
          <cell r="BO34">
            <v>-0.22</v>
          </cell>
          <cell r="BP34">
            <v>-0.32600000000000007</v>
          </cell>
          <cell r="BQ34">
            <v>-0.8</v>
          </cell>
          <cell r="BR34">
            <v>-5.3849999999999998</v>
          </cell>
          <cell r="BS34">
            <v>-4.569</v>
          </cell>
          <cell r="BT34">
            <v>-5.2539999999999996</v>
          </cell>
          <cell r="BU34">
            <v>-16.007999999999999</v>
          </cell>
          <cell r="BV34">
            <v>-6.5529999999999999</v>
          </cell>
          <cell r="BW34">
            <v>-6.7050000000000001</v>
          </cell>
          <cell r="BX34">
            <v>-6.476</v>
          </cell>
          <cell r="BY34">
            <v>-6.0250000000000004</v>
          </cell>
          <cell r="BZ34">
            <v>-25.759</v>
          </cell>
          <cell r="CA34">
            <v>-6.4790000000000001</v>
          </cell>
          <cell r="CB34">
            <v>-6.056</v>
          </cell>
          <cell r="CC34">
            <v>-4.5869999999999997</v>
          </cell>
          <cell r="CD34">
            <v>-5.0570000000000004</v>
          </cell>
          <cell r="CE34">
            <v>-22.179000000000002</v>
          </cell>
          <cell r="CF34">
            <v>-6.5880000000000001</v>
          </cell>
          <cell r="CG34">
            <v>-6.7220000000000004</v>
          </cell>
          <cell r="CH34">
            <v>-6.2309999999999999</v>
          </cell>
          <cell r="CI34">
            <v>-5.6740000000000004</v>
          </cell>
          <cell r="CJ34">
            <v>-25.215</v>
          </cell>
          <cell r="CK34">
            <v>-6.9059999999999997</v>
          </cell>
          <cell r="CL34">
            <v>-8.1660000000000004</v>
          </cell>
          <cell r="CM34">
            <v>-6.6849999999999996</v>
          </cell>
          <cell r="CN34">
            <v>-5</v>
          </cell>
          <cell r="CO34">
            <v>-26.756999999999998</v>
          </cell>
          <cell r="CP34">
            <v>-7.25</v>
          </cell>
          <cell r="CQ34">
            <v>-7.25</v>
          </cell>
          <cell r="CR34">
            <v>-7.25</v>
          </cell>
          <cell r="CS34">
            <v>-7.25</v>
          </cell>
          <cell r="CT34">
            <v>-29</v>
          </cell>
          <cell r="CU34">
            <v>-7.8635789788042727</v>
          </cell>
          <cell r="CV34">
            <v>-7.8192234683709181</v>
          </cell>
          <cell r="CW34">
            <v>-8.0193248976426315</v>
          </cell>
          <cell r="CX34">
            <v>-7.9479172782357468</v>
          </cell>
          <cell r="CY34">
            <v>-31.650044623053571</v>
          </cell>
          <cell r="CZ34">
            <v>-8.539593060941673</v>
          </cell>
          <cell r="DA34">
            <v>-8.4740189922292384</v>
          </cell>
          <cell r="DB34">
            <v>-8.8120633508962705</v>
          </cell>
          <cell r="DC34">
            <v>-8.921585089655764</v>
          </cell>
          <cell r="DD34">
            <v>-34.747260493722948</v>
          </cell>
          <cell r="DE34">
            <v>-9.2704696353107661</v>
          </cell>
          <cell r="DF34">
            <v>-9.1413555336139503</v>
          </cell>
          <cell r="DG34">
            <v>-9.5963560995621577</v>
          </cell>
          <cell r="DH34">
            <v>-9.6197685374083566</v>
          </cell>
          <cell r="DI34">
            <v>-37.627949805895227</v>
          </cell>
          <cell r="DK34" t="str">
            <v>mstag:netIncomeAttributableToNoncontrollingInterest</v>
          </cell>
          <cell r="DL34">
            <v>6</v>
          </cell>
          <cell r="DM34" t="str">
            <v>ISO4217:USD</v>
          </cell>
          <cell r="DN34" t="b">
            <v>1</v>
          </cell>
          <cell r="DO34" t="b">
            <v>0</v>
          </cell>
        </row>
        <row r="35">
          <cell r="B35" t="str">
            <v>Net income attributable to HMA</v>
          </cell>
          <cell r="D35">
            <v>4.6439999999999833</v>
          </cell>
          <cell r="E35">
            <v>11.991000000000005</v>
          </cell>
          <cell r="F35">
            <v>22.677999999999987</v>
          </cell>
          <cell r="G35">
            <v>32.245000000000005</v>
          </cell>
          <cell r="H35">
            <v>46.53599999999998</v>
          </cell>
          <cell r="I35">
            <v>63.331000000000081</v>
          </cell>
          <cell r="J35">
            <v>84.085999999999999</v>
          </cell>
          <cell r="K35">
            <v>108.32200000000003</v>
          </cell>
          <cell r="L35">
            <v>136.84399999999988</v>
          </cell>
          <cell r="M35">
            <v>30.954999999999981</v>
          </cell>
          <cell r="N35">
            <v>47.706999999999994</v>
          </cell>
          <cell r="O35">
            <v>38.757000000000026</v>
          </cell>
          <cell r="P35">
            <v>32.426000000000016</v>
          </cell>
          <cell r="Q35">
            <v>149.84499999999997</v>
          </cell>
          <cell r="R35">
            <v>34.291999999999994</v>
          </cell>
          <cell r="S35">
            <v>50.487000000000023</v>
          </cell>
          <cell r="T35">
            <v>43.823000000000008</v>
          </cell>
          <cell r="U35">
            <v>39.064999999999998</v>
          </cell>
          <cell r="V35">
            <v>167.66699999999989</v>
          </cell>
          <cell r="W35">
            <v>40.17800000000004</v>
          </cell>
          <cell r="X35">
            <v>48.740000000000045</v>
          </cell>
          <cell r="Y35">
            <v>54.137999999999963</v>
          </cell>
          <cell r="Z35">
            <v>51.922000000000004</v>
          </cell>
          <cell r="AA35">
            <v>194.97800000000004</v>
          </cell>
          <cell r="AB35">
            <v>50.466000000000044</v>
          </cell>
          <cell r="AC35">
            <v>69.236000000000018</v>
          </cell>
          <cell r="AD35">
            <v>66.616</v>
          </cell>
          <cell r="AE35">
            <v>60.117999999999945</v>
          </cell>
          <cell r="AF35">
            <v>246.43599999999972</v>
          </cell>
          <cell r="AG35">
            <v>59.656000000000006</v>
          </cell>
          <cell r="AH35">
            <v>78.064999999999955</v>
          </cell>
          <cell r="AI35">
            <v>75.920999999999978</v>
          </cell>
          <cell r="AJ35">
            <v>69.782000000000039</v>
          </cell>
          <cell r="AK35">
            <v>283.42400000000009</v>
          </cell>
          <cell r="AL35">
            <v>71.310999999999993</v>
          </cell>
          <cell r="AM35">
            <v>90.475000000000009</v>
          </cell>
          <cell r="AN35">
            <v>89.28300000000003</v>
          </cell>
          <cell r="AO35">
            <v>74.029999999999916</v>
          </cell>
          <cell r="AP35">
            <v>325.09899999999993</v>
          </cell>
          <cell r="AQ35">
            <v>78.752000000000052</v>
          </cell>
          <cell r="AR35">
            <v>99.76300000000009</v>
          </cell>
          <cell r="AS35">
            <v>86.77200000000002</v>
          </cell>
          <cell r="AT35">
            <v>87.788999999999959</v>
          </cell>
          <cell r="AU35">
            <v>353.07600000000008</v>
          </cell>
          <cell r="AW35">
            <v>90.475000000000009</v>
          </cell>
          <cell r="AX35">
            <v>89.28300000000003</v>
          </cell>
          <cell r="AY35">
            <v>74.029999999999916</v>
          </cell>
          <cell r="AZ35">
            <v>78.752000000000052</v>
          </cell>
          <cell r="BA35">
            <v>332.53999999999974</v>
          </cell>
          <cell r="BB35">
            <v>99.76300000000009</v>
          </cell>
          <cell r="BC35">
            <v>86.77200000000002</v>
          </cell>
          <cell r="BD35">
            <v>87.788999999999959</v>
          </cell>
          <cell r="BE35">
            <v>75.541000000000096</v>
          </cell>
          <cell r="BF35">
            <v>349.86500000000012</v>
          </cell>
          <cell r="BG35">
            <v>87.213000000000136</v>
          </cell>
          <cell r="BH35">
            <v>77.30499999999995</v>
          </cell>
          <cell r="BI35">
            <v>74.436000000000078</v>
          </cell>
          <cell r="BJ35">
            <v>-56.205000000000041</v>
          </cell>
          <cell r="BK35">
            <v>182.74900000000017</v>
          </cell>
          <cell r="BL35">
            <v>65.038999999999774</v>
          </cell>
          <cell r="BM35">
            <v>11.906000000000065</v>
          </cell>
          <cell r="BN35">
            <v>30.473999999999965</v>
          </cell>
          <cell r="BO35">
            <v>12.460000000000029</v>
          </cell>
          <cell r="BP35">
            <v>119.87900000000033</v>
          </cell>
          <cell r="BQ35">
            <v>133.87599999999992</v>
          </cell>
          <cell r="BR35">
            <v>12.397000000000022</v>
          </cell>
          <cell r="BS35">
            <v>6.4029999999999125</v>
          </cell>
          <cell r="BT35">
            <v>14.549000000000055</v>
          </cell>
          <cell r="BU35">
            <v>167.22499999999994</v>
          </cell>
          <cell r="BV35">
            <v>46.015999999999913</v>
          </cell>
          <cell r="BW35">
            <v>32.593000000000004</v>
          </cell>
          <cell r="BX35">
            <v>25.445000000000075</v>
          </cell>
          <cell r="BY35">
            <v>34.127999999999894</v>
          </cell>
          <cell r="BZ35">
            <v>138.18199999999939</v>
          </cell>
          <cell r="CA35">
            <v>46.939999999999884</v>
          </cell>
          <cell r="CB35">
            <v>39.657000000000004</v>
          </cell>
          <cell r="CC35">
            <v>35.293000000000049</v>
          </cell>
          <cell r="CD35">
            <v>28.178999999999981</v>
          </cell>
          <cell r="CE35">
            <v>150.06900000000036</v>
          </cell>
          <cell r="CF35">
            <v>55.524000000000143</v>
          </cell>
          <cell r="CG35">
            <v>48.611000000000054</v>
          </cell>
          <cell r="CH35">
            <v>43.728000000000037</v>
          </cell>
          <cell r="CI35">
            <v>30.846999999999866</v>
          </cell>
          <cell r="CJ35">
            <v>178.71000000000072</v>
          </cell>
          <cell r="CK35">
            <v>37.690000000000254</v>
          </cell>
          <cell r="CL35">
            <v>36.953999999999979</v>
          </cell>
          <cell r="CM35">
            <v>41.344000000000101</v>
          </cell>
          <cell r="CN35">
            <v>54.90168999778848</v>
          </cell>
          <cell r="CO35">
            <v>170.88968999778947</v>
          </cell>
          <cell r="CP35">
            <v>63.421584289472179</v>
          </cell>
          <cell r="CQ35">
            <v>57.911458332979606</v>
          </cell>
          <cell r="CR35">
            <v>43.436975273955312</v>
          </cell>
          <cell r="CS35">
            <v>27.327245356246884</v>
          </cell>
          <cell r="CT35">
            <v>192.09726325265399</v>
          </cell>
          <cell r="CU35">
            <v>70.764331448607976</v>
          </cell>
          <cell r="CV35">
            <v>77.261398290013005</v>
          </cell>
          <cell r="CW35">
            <v>65.688087470210121</v>
          </cell>
          <cell r="CX35">
            <v>46.861718044885734</v>
          </cell>
          <cell r="CY35">
            <v>260.57553525371685</v>
          </cell>
          <cell r="CZ35">
            <v>93.851084299811831</v>
          </cell>
          <cell r="DA35">
            <v>86.188452002237042</v>
          </cell>
          <cell r="DB35">
            <v>75.935036230499747</v>
          </cell>
          <cell r="DC35">
            <v>58.402457329427392</v>
          </cell>
          <cell r="DD35">
            <v>314.37702986197598</v>
          </cell>
          <cell r="DE35">
            <v>107.0103107083191</v>
          </cell>
          <cell r="DF35">
            <v>97.453431338901126</v>
          </cell>
          <cell r="DG35">
            <v>88.088395434403651</v>
          </cell>
          <cell r="DH35">
            <v>67.359663668265071</v>
          </cell>
          <cell r="DI35">
            <v>359.9118011498889</v>
          </cell>
        </row>
        <row r="36">
          <cell r="B36" t="str">
            <v>Operating EPS from Continuing Operations</v>
          </cell>
        </row>
        <row r="37">
          <cell r="B37" t="str">
            <v>(Gain)/loss on asset sales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-11.79628708424976</v>
          </cell>
          <cell r="AT37">
            <v>-9.9510000000000005</v>
          </cell>
          <cell r="AU37">
            <v>-21.747287084249763</v>
          </cell>
          <cell r="AW37">
            <v>0</v>
          </cell>
          <cell r="AX37">
            <v>0</v>
          </cell>
          <cell r="AY37">
            <v>0</v>
          </cell>
          <cell r="AZ37">
            <v>0</v>
          </cell>
          <cell r="BA37">
            <v>0</v>
          </cell>
          <cell r="BB37">
            <v>0</v>
          </cell>
          <cell r="BC37">
            <v>-11.79628708424976</v>
          </cell>
          <cell r="BD37">
            <v>-9.9510000000000005</v>
          </cell>
          <cell r="BE37">
            <v>0</v>
          </cell>
          <cell r="BF37">
            <v>-21.747287084249763</v>
          </cell>
          <cell r="BG37">
            <v>0</v>
          </cell>
          <cell r="BH37">
            <v>0</v>
          </cell>
          <cell r="BI37">
            <v>0</v>
          </cell>
          <cell r="BJ37">
            <v>-9.1021693587288635</v>
          </cell>
          <cell r="BK37">
            <v>-9.1021693587288635</v>
          </cell>
          <cell r="BL37">
            <v>-0.40956183877216462</v>
          </cell>
          <cell r="BM37">
            <v>-1.5923532953545487</v>
          </cell>
          <cell r="BN37">
            <v>5.1329899245148511E-3</v>
          </cell>
          <cell r="BO37">
            <v>0.50892500818687936</v>
          </cell>
          <cell r="BP37">
            <v>-1.487857136015319</v>
          </cell>
          <cell r="BQ37">
            <v>-124.53400000000001</v>
          </cell>
          <cell r="BR37">
            <v>-3.8769999999999998</v>
          </cell>
          <cell r="BS37">
            <v>-1.0259438470728786</v>
          </cell>
          <cell r="BT37">
            <v>-0.22977235254368192</v>
          </cell>
          <cell r="BU37">
            <v>-129.66671619961656</v>
          </cell>
          <cell r="BV37">
            <v>7.1980129065994769E-2</v>
          </cell>
          <cell r="BW37">
            <v>-1.224</v>
          </cell>
          <cell r="BX37">
            <v>-5.5E-2</v>
          </cell>
          <cell r="BY37">
            <v>0.42399999999999999</v>
          </cell>
          <cell r="BZ37">
            <v>-0.78301987093400527</v>
          </cell>
          <cell r="CA37">
            <v>-0.73199999999999998</v>
          </cell>
          <cell r="CB37">
            <v>-5.4230400949058719E-2</v>
          </cell>
          <cell r="CC37">
            <v>0.29035432741392886</v>
          </cell>
          <cell r="CD37">
            <v>8.5052848668781905E-2</v>
          </cell>
          <cell r="CE37">
            <v>-0.41082322486634792</v>
          </cell>
          <cell r="CF37">
            <v>-3.8310220538823422E-2</v>
          </cell>
          <cell r="CG37">
            <v>0.54815179366887345</v>
          </cell>
          <cell r="CH37">
            <v>0.20821750287830662</v>
          </cell>
          <cell r="CI37">
            <v>0</v>
          </cell>
          <cell r="CJ37">
            <v>0.71805907600835672</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row>
        <row r="38">
          <cell r="B38" t="str">
            <v>Early extinguishment of debt &amp; related charges</v>
          </cell>
          <cell r="D38">
            <v>0</v>
          </cell>
          <cell r="E38">
            <v>0</v>
          </cell>
          <cell r="F38">
            <v>-0.79700000000000004</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10.323054880707659</v>
          </cell>
          <cell r="Y38">
            <v>0</v>
          </cell>
          <cell r="Z38">
            <v>0</v>
          </cell>
          <cell r="AA38">
            <v>10.323054880707659</v>
          </cell>
          <cell r="AB38">
            <v>0</v>
          </cell>
          <cell r="AC38">
            <v>0</v>
          </cell>
          <cell r="AD38">
            <v>0</v>
          </cell>
          <cell r="AE38">
            <v>0</v>
          </cell>
          <cell r="AF38">
            <v>0</v>
          </cell>
          <cell r="AG38">
            <v>0</v>
          </cell>
          <cell r="AH38">
            <v>0</v>
          </cell>
          <cell r="AI38">
            <v>0</v>
          </cell>
          <cell r="AJ38">
            <v>3.1917389168398413</v>
          </cell>
          <cell r="AK38">
            <v>3.1917389168398413</v>
          </cell>
          <cell r="AL38">
            <v>0</v>
          </cell>
          <cell r="AM38">
            <v>0</v>
          </cell>
          <cell r="AN38">
            <v>0</v>
          </cell>
          <cell r="AO38">
            <v>0</v>
          </cell>
          <cell r="AP38">
            <v>0</v>
          </cell>
          <cell r="AQ38">
            <v>0</v>
          </cell>
          <cell r="AR38">
            <v>0</v>
          </cell>
          <cell r="AS38">
            <v>0</v>
          </cell>
          <cell r="AT38">
            <v>0</v>
          </cell>
          <cell r="AU38">
            <v>0</v>
          </cell>
          <cell r="AW38">
            <v>0</v>
          </cell>
          <cell r="AX38">
            <v>0</v>
          </cell>
          <cell r="AY38">
            <v>0</v>
          </cell>
          <cell r="AZ38">
            <v>0</v>
          </cell>
          <cell r="BA38">
            <v>0</v>
          </cell>
          <cell r="BB38">
            <v>0</v>
          </cell>
          <cell r="BC38">
            <v>0</v>
          </cell>
          <cell r="BD38">
            <v>0</v>
          </cell>
          <cell r="BE38">
            <v>0</v>
          </cell>
          <cell r="BF38">
            <v>0</v>
          </cell>
          <cell r="BG38">
            <v>2.8</v>
          </cell>
          <cell r="BH38">
            <v>0</v>
          </cell>
          <cell r="BI38">
            <v>2.4324000000000003</v>
          </cell>
          <cell r="BJ38">
            <v>0</v>
          </cell>
          <cell r="BK38">
            <v>5.2324000000000002</v>
          </cell>
          <cell r="BL38">
            <v>0.46658167560721148</v>
          </cell>
          <cell r="BM38">
            <v>0</v>
          </cell>
          <cell r="BN38">
            <v>0</v>
          </cell>
          <cell r="BO38">
            <v>0</v>
          </cell>
          <cell r="BP38">
            <v>0.46658167560721148</v>
          </cell>
          <cell r="BQ38">
            <v>0.38600336297029625</v>
          </cell>
          <cell r="BR38">
            <v>6.7930000000000001</v>
          </cell>
          <cell r="BS38">
            <v>6.2160000000000002</v>
          </cell>
          <cell r="BT38">
            <v>-16.635000000000002</v>
          </cell>
          <cell r="BU38">
            <v>-3.2399966370297051</v>
          </cell>
          <cell r="BV38">
            <v>-10.25</v>
          </cell>
          <cell r="BW38">
            <v>0.16396575319603457</v>
          </cell>
          <cell r="BX38">
            <v>0.32600000000000001</v>
          </cell>
          <cell r="BY38">
            <v>0</v>
          </cell>
          <cell r="BZ38">
            <v>-9.7600342468039649</v>
          </cell>
          <cell r="CA38">
            <v>0</v>
          </cell>
          <cell r="CB38">
            <v>0</v>
          </cell>
          <cell r="CC38">
            <v>0</v>
          </cell>
          <cell r="CD38">
            <v>0</v>
          </cell>
          <cell r="CE38">
            <v>0</v>
          </cell>
          <cell r="CF38">
            <v>0</v>
          </cell>
          <cell r="CG38">
            <v>0</v>
          </cell>
          <cell r="CH38">
            <v>0</v>
          </cell>
          <cell r="CI38">
            <v>15.064</v>
          </cell>
          <cell r="CJ38">
            <v>15.064</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row>
        <row r="39">
          <cell r="B39" t="str">
            <v>Other one-time items</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21.84128708424976</v>
          </cell>
          <cell r="AT39">
            <v>0</v>
          </cell>
          <cell r="AU39">
            <v>21.84128708424976</v>
          </cell>
          <cell r="AW39">
            <v>0</v>
          </cell>
          <cell r="AX39">
            <v>0</v>
          </cell>
          <cell r="AY39">
            <v>0</v>
          </cell>
          <cell r="AZ39">
            <v>0</v>
          </cell>
          <cell r="BA39">
            <v>0</v>
          </cell>
          <cell r="BB39">
            <v>0</v>
          </cell>
          <cell r="BC39">
            <v>21.84128708424976</v>
          </cell>
          <cell r="BD39">
            <v>0</v>
          </cell>
          <cell r="BE39">
            <v>-3.0617242320599916</v>
          </cell>
          <cell r="BF39">
            <v>18.77956285218977</v>
          </cell>
          <cell r="BG39">
            <v>0</v>
          </cell>
          <cell r="BH39">
            <v>0</v>
          </cell>
          <cell r="BI39">
            <v>0</v>
          </cell>
          <cell r="BJ39">
            <v>0</v>
          </cell>
          <cell r="BK39">
            <v>0</v>
          </cell>
          <cell r="BL39">
            <v>0</v>
          </cell>
          <cell r="BM39">
            <v>0</v>
          </cell>
          <cell r="BN39">
            <v>0</v>
          </cell>
          <cell r="BO39">
            <v>0</v>
          </cell>
          <cell r="BP39">
            <v>0</v>
          </cell>
          <cell r="BQ39">
            <v>-0.38600336297029969</v>
          </cell>
          <cell r="BR39">
            <v>0</v>
          </cell>
          <cell r="BS39">
            <v>1.0259438470728786</v>
          </cell>
          <cell r="BT39">
            <v>4.298772352543681</v>
          </cell>
          <cell r="BU39">
            <v>4.9387128366462596</v>
          </cell>
          <cell r="BV39">
            <v>-7.1980129065994769E-2</v>
          </cell>
          <cell r="BW39">
            <v>-0.16396575319603457</v>
          </cell>
          <cell r="BX39">
            <v>0.18200000000000038</v>
          </cell>
          <cell r="BY39">
            <v>0</v>
          </cell>
          <cell r="BZ39">
            <v>-5.3945882262028955E-2</v>
          </cell>
          <cell r="CA39">
            <v>0</v>
          </cell>
          <cell r="CB39">
            <v>0</v>
          </cell>
          <cell r="CC39">
            <v>0</v>
          </cell>
          <cell r="CD39">
            <v>0</v>
          </cell>
          <cell r="CE39">
            <v>0</v>
          </cell>
          <cell r="CF39">
            <v>0</v>
          </cell>
          <cell r="CG39">
            <v>0</v>
          </cell>
          <cell r="CH39">
            <v>0</v>
          </cell>
          <cell r="CI39">
            <v>17.903999999999996</v>
          </cell>
          <cell r="CJ39">
            <v>17.903999999999996</v>
          </cell>
          <cell r="CK39">
            <v>22.492000000000001</v>
          </cell>
          <cell r="CL39">
            <v>13.634</v>
          </cell>
          <cell r="CM39">
            <v>2.4239999999999995</v>
          </cell>
          <cell r="CN39">
            <v>-27.82</v>
          </cell>
          <cell r="CO39">
            <v>10.730000000000004</v>
          </cell>
          <cell r="CP39">
            <v>0</v>
          </cell>
          <cell r="CQ39">
            <v>0</v>
          </cell>
          <cell r="CR39">
            <v>0</v>
          </cell>
          <cell r="CS39">
            <v>0</v>
          </cell>
          <cell r="CT39">
            <v>0</v>
          </cell>
          <cell r="CU39">
            <v>4.4000000000000004</v>
          </cell>
          <cell r="CV39">
            <v>-8.7999999999999989</v>
          </cell>
          <cell r="CW39">
            <v>-8.7999999999999989</v>
          </cell>
          <cell r="CX39">
            <v>-8.7999999999999989</v>
          </cell>
          <cell r="CY39">
            <v>-21.999999999999996</v>
          </cell>
          <cell r="CZ39">
            <v>-4.3999999999999995</v>
          </cell>
          <cell r="DA39">
            <v>-4.3999999999999995</v>
          </cell>
          <cell r="DB39">
            <v>-4.3999999999999995</v>
          </cell>
          <cell r="DC39">
            <v>-4.3999999999999995</v>
          </cell>
          <cell r="DD39">
            <v>-17.599999999999998</v>
          </cell>
          <cell r="DE39">
            <v>-2.1999999999999997</v>
          </cell>
          <cell r="DF39">
            <v>-2.1999999999999997</v>
          </cell>
          <cell r="DG39">
            <v>-2.1999999999999997</v>
          </cell>
          <cell r="DH39">
            <v>-2.1999999999999997</v>
          </cell>
          <cell r="DI39">
            <v>-8.7999999999999989</v>
          </cell>
        </row>
        <row r="40">
          <cell r="B40" t="str">
            <v>Operating net income</v>
          </cell>
          <cell r="D40">
            <v>4.6439999999999833</v>
          </cell>
          <cell r="E40">
            <v>11.991000000000005</v>
          </cell>
          <cell r="F40">
            <v>21.880999999999986</v>
          </cell>
          <cell r="G40">
            <v>32.245000000000005</v>
          </cell>
          <cell r="H40">
            <v>49.085999999999977</v>
          </cell>
          <cell r="I40">
            <v>63.331000000000081</v>
          </cell>
          <cell r="J40">
            <v>84.085999999999999</v>
          </cell>
          <cell r="K40">
            <v>108.32200000000003</v>
          </cell>
          <cell r="L40">
            <v>136.84399999999988</v>
          </cell>
          <cell r="M40">
            <v>30.954999999999981</v>
          </cell>
          <cell r="N40">
            <v>47.706999999999994</v>
          </cell>
          <cell r="O40">
            <v>38.757000000000026</v>
          </cell>
          <cell r="P40">
            <v>32.426000000000016</v>
          </cell>
          <cell r="Q40">
            <v>149.84499999999997</v>
          </cell>
          <cell r="R40">
            <v>34.291999999999994</v>
          </cell>
          <cell r="S40">
            <v>50.487000000000023</v>
          </cell>
          <cell r="T40">
            <v>43.823000000000008</v>
          </cell>
          <cell r="U40">
            <v>39.064999999999998</v>
          </cell>
          <cell r="V40">
            <v>167.66699999999989</v>
          </cell>
          <cell r="W40">
            <v>40.17800000000004</v>
          </cell>
          <cell r="X40">
            <v>59.063054880707703</v>
          </cell>
          <cell r="Y40">
            <v>54.137999999999963</v>
          </cell>
          <cell r="Z40">
            <v>51.922000000000004</v>
          </cell>
          <cell r="AA40">
            <v>205.30105488070768</v>
          </cell>
          <cell r="AB40">
            <v>50.466000000000044</v>
          </cell>
          <cell r="AC40">
            <v>69.236000000000018</v>
          </cell>
          <cell r="AD40">
            <v>66.616</v>
          </cell>
          <cell r="AE40">
            <v>60.117999999999945</v>
          </cell>
          <cell r="AF40">
            <v>246.43599999999972</v>
          </cell>
          <cell r="AG40">
            <v>59.656000000000006</v>
          </cell>
          <cell r="AH40">
            <v>78.064999999999955</v>
          </cell>
          <cell r="AI40">
            <v>75.920999999999978</v>
          </cell>
          <cell r="AJ40">
            <v>72.973738916839878</v>
          </cell>
          <cell r="AK40">
            <v>286.61573891683992</v>
          </cell>
          <cell r="AL40">
            <v>71.310999999999993</v>
          </cell>
          <cell r="AM40">
            <v>90.475000000000009</v>
          </cell>
          <cell r="AN40">
            <v>89.28300000000003</v>
          </cell>
          <cell r="AO40">
            <v>74.029999999999916</v>
          </cell>
          <cell r="AP40">
            <v>325.09899999999993</v>
          </cell>
          <cell r="AQ40">
            <v>78.752000000000052</v>
          </cell>
          <cell r="AR40">
            <v>99.76300000000009</v>
          </cell>
          <cell r="AS40">
            <v>96.817000000000021</v>
          </cell>
          <cell r="AT40">
            <v>77.19999999999996</v>
          </cell>
          <cell r="AU40">
            <v>352.5320000000001</v>
          </cell>
          <cell r="AW40">
            <v>90.475000000000009</v>
          </cell>
          <cell r="AX40">
            <v>89.28300000000003</v>
          </cell>
          <cell r="AY40">
            <v>74.029999999999916</v>
          </cell>
          <cell r="AZ40">
            <v>78.752000000000052</v>
          </cell>
          <cell r="BA40">
            <v>332.53999999999974</v>
          </cell>
          <cell r="BB40">
            <v>99.76300000000009</v>
          </cell>
          <cell r="BC40">
            <v>96.817000000000021</v>
          </cell>
          <cell r="BD40">
            <v>77.19999999999996</v>
          </cell>
          <cell r="BE40">
            <v>72.807275767940112</v>
          </cell>
          <cell r="BF40">
            <v>346.58727576794013</v>
          </cell>
          <cell r="BG40">
            <v>89.56300000000013</v>
          </cell>
          <cell r="BH40">
            <v>77.144999999999953</v>
          </cell>
          <cell r="BI40">
            <v>65.829400000000078</v>
          </cell>
          <cell r="BJ40">
            <v>-51.323169358728897</v>
          </cell>
          <cell r="BK40">
            <v>181.21423064127131</v>
          </cell>
          <cell r="BL40">
            <v>65.720019836834823</v>
          </cell>
          <cell r="BM40">
            <v>11.490646704645515</v>
          </cell>
          <cell r="BN40">
            <v>20.09213298992448</v>
          </cell>
          <cell r="BO40">
            <v>19.266925008186909</v>
          </cell>
          <cell r="BP40">
            <v>116.56972453959223</v>
          </cell>
          <cell r="BQ40">
            <v>37.073999999999913</v>
          </cell>
          <cell r="BR40">
            <v>24.83900000000002</v>
          </cell>
          <cell r="BS40">
            <v>16.661999999999914</v>
          </cell>
          <cell r="BT40">
            <v>16.477000000000054</v>
          </cell>
          <cell r="BU40">
            <v>95.051999999999936</v>
          </cell>
          <cell r="BV40">
            <v>37.273999999999916</v>
          </cell>
          <cell r="BW40">
            <v>31.369000000000003</v>
          </cell>
          <cell r="BX40">
            <v>25.272000000000073</v>
          </cell>
          <cell r="BY40">
            <v>31.007999999999893</v>
          </cell>
          <cell r="BZ40">
            <v>124.92299999999939</v>
          </cell>
          <cell r="CA40">
            <v>46.207999999999885</v>
          </cell>
          <cell r="CB40">
            <v>39.602769599050944</v>
          </cell>
          <cell r="CC40">
            <v>35.583354327413979</v>
          </cell>
          <cell r="CD40">
            <v>41.385052848668764</v>
          </cell>
          <cell r="CE40">
            <v>162.77917677513403</v>
          </cell>
          <cell r="CF40">
            <v>56.083689779461317</v>
          </cell>
          <cell r="CG40">
            <v>50.742151793668924</v>
          </cell>
          <cell r="CH40">
            <v>43.68121750287834</v>
          </cell>
          <cell r="CI40">
            <v>65.041999999999859</v>
          </cell>
          <cell r="CJ40">
            <v>215.54905907600906</v>
          </cell>
          <cell r="CK40">
            <v>61.577000000000261</v>
          </cell>
          <cell r="CL40">
            <v>53.60899999999998</v>
          </cell>
          <cell r="CM40">
            <v>45.157000000000103</v>
          </cell>
          <cell r="CN40">
            <v>27.08168999778848</v>
          </cell>
          <cell r="CO40">
            <v>187.42468999778947</v>
          </cell>
          <cell r="CP40">
            <v>63.421584289472179</v>
          </cell>
          <cell r="CQ40">
            <v>57.911458332979606</v>
          </cell>
          <cell r="CR40">
            <v>43.436975273955312</v>
          </cell>
          <cell r="CS40">
            <v>27.327245356246884</v>
          </cell>
          <cell r="CT40">
            <v>192.09726325265399</v>
          </cell>
          <cell r="CU40">
            <v>75.164331448607982</v>
          </cell>
          <cell r="CV40">
            <v>68.461398290013008</v>
          </cell>
          <cell r="CW40">
            <v>56.888087470210124</v>
          </cell>
          <cell r="CX40">
            <v>38.061718044885737</v>
          </cell>
          <cell r="CY40">
            <v>238.57553525371685</v>
          </cell>
          <cell r="CZ40">
            <v>89.451084299811825</v>
          </cell>
          <cell r="DA40">
            <v>81.788452002237037</v>
          </cell>
          <cell r="DB40">
            <v>71.535036230499742</v>
          </cell>
          <cell r="DC40">
            <v>54.002457329427394</v>
          </cell>
          <cell r="DD40">
            <v>296.77702986197596</v>
          </cell>
          <cell r="DE40">
            <v>104.81031070831909</v>
          </cell>
          <cell r="DF40">
            <v>95.253431338901123</v>
          </cell>
          <cell r="DG40">
            <v>85.888395434403648</v>
          </cell>
          <cell r="DH40">
            <v>65.159663668265068</v>
          </cell>
          <cell r="DI40">
            <v>351.11180114988889</v>
          </cell>
          <cell r="DK40" t="str">
            <v>mstag:netIncomeAdjustedForConsensus</v>
          </cell>
          <cell r="DL40">
            <v>6</v>
          </cell>
          <cell r="DM40" t="str">
            <v>ISO4217:USD</v>
          </cell>
          <cell r="DN40" t="b">
            <v>0</v>
          </cell>
        </row>
        <row r="42">
          <cell r="B42" t="str">
            <v>Operating EPS - Fully Diluted</v>
          </cell>
          <cell r="E42">
            <v>6.9396342590727564E-2</v>
          </cell>
          <cell r="F42">
            <v>0.10164915369071789</v>
          </cell>
          <cell r="G42">
            <v>0.14057189207908502</v>
          </cell>
          <cell r="H42">
            <v>0.20351363264278055</v>
          </cell>
          <cell r="I42">
            <v>0.26041885118159158</v>
          </cell>
          <cell r="J42">
            <v>0.3383602889619241</v>
          </cell>
          <cell r="K42">
            <v>0.43036667103700094</v>
          </cell>
          <cell r="L42">
            <v>0.53543578206006015</v>
          </cell>
          <cell r="M42">
            <v>0.11992762887716274</v>
          </cell>
          <cell r="N42">
            <v>0.1859943781018881</v>
          </cell>
          <cell r="O42">
            <v>0.15109175753275675</v>
          </cell>
          <cell r="P42">
            <v>0.12712738221722142</v>
          </cell>
          <cell r="Q42">
            <v>0.58747309530437086</v>
          </cell>
          <cell r="R42">
            <v>0.13995877803399789</v>
          </cell>
          <cell r="S42">
            <v>0.2060870523595901</v>
          </cell>
          <cell r="T42">
            <v>0.17820240162331197</v>
          </cell>
          <cell r="U42">
            <v>0.15332354741981569</v>
          </cell>
          <cell r="V42">
            <v>0.67805335716625448</v>
          </cell>
          <cell r="W42">
            <v>0.15201837326946593</v>
          </cell>
          <cell r="X42">
            <v>0.22448899612583695</v>
          </cell>
          <cell r="Y42">
            <v>0.20483153932010353</v>
          </cell>
          <cell r="Z42">
            <v>0.19551301361609835</v>
          </cell>
          <cell r="AA42">
            <v>0.77662295539153503</v>
          </cell>
          <cell r="AB42">
            <v>0.19161999506388488</v>
          </cell>
          <cell r="AC42">
            <v>0.2656170274801371</v>
          </cell>
          <cell r="AD42">
            <v>0.25540888195352368</v>
          </cell>
          <cell r="AE42">
            <v>0.2332505625824472</v>
          </cell>
          <cell r="AF42">
            <v>0.94549974869648179</v>
          </cell>
          <cell r="AG42">
            <v>0.23189442382072264</v>
          </cell>
          <cell r="AH42">
            <v>0.30376313751736411</v>
          </cell>
          <cell r="AI42">
            <v>0.29497744571235407</v>
          </cell>
          <cell r="AJ42">
            <v>0.28973584415670378</v>
          </cell>
          <cell r="AK42">
            <v>1.1201002755812788</v>
          </cell>
          <cell r="AL42">
            <v>0.28970193335039585</v>
          </cell>
          <cell r="AM42">
            <v>0.36605398057152572</v>
          </cell>
          <cell r="AN42">
            <v>0.36127071733782223</v>
          </cell>
          <cell r="AO42">
            <v>0.30008715215144172</v>
          </cell>
          <cell r="AP42">
            <v>1.3171181318013496</v>
          </cell>
          <cell r="AQ42">
            <v>0.31834553458458503</v>
          </cell>
          <cell r="AR42">
            <v>0.40083491369612068</v>
          </cell>
          <cell r="AS42">
            <v>0.38625755024854991</v>
          </cell>
          <cell r="AT42">
            <v>0.30896189603352142</v>
          </cell>
          <cell r="AU42">
            <v>1.4159276396118505</v>
          </cell>
          <cell r="AW42">
            <v>0.36605398057152572</v>
          </cell>
          <cell r="AX42">
            <v>0.36127071733782223</v>
          </cell>
          <cell r="AY42">
            <v>0.30008715215144172</v>
          </cell>
          <cell r="AZ42">
            <v>0.31834553458458503</v>
          </cell>
          <cell r="BA42">
            <v>1.3458077061999862</v>
          </cell>
          <cell r="BB42">
            <v>0.40083491369612068</v>
          </cell>
          <cell r="BC42">
            <v>0.38625755024854991</v>
          </cell>
          <cell r="BD42">
            <v>0.30896189603352142</v>
          </cell>
          <cell r="BE42">
            <v>0.2975405328546738</v>
          </cell>
          <cell r="BF42">
            <v>1.394565885267758</v>
          </cell>
          <cell r="BG42">
            <v>0.36793607756141705</v>
          </cell>
          <cell r="BH42">
            <v>0.31673790138815305</v>
          </cell>
          <cell r="BI42">
            <v>0.27063558625226147</v>
          </cell>
          <cell r="BJ42">
            <v>-0.21317238133872005</v>
          </cell>
          <cell r="BK42">
            <v>0.74469561371443782</v>
          </cell>
          <cell r="BL42">
            <v>0.26890351815398861</v>
          </cell>
          <cell r="BM42">
            <v>4.6559668001027232E-2</v>
          </cell>
          <cell r="BN42">
            <v>8.1962873780475731E-2</v>
          </cell>
          <cell r="BO42">
            <v>7.8924638937673208E-2</v>
          </cell>
          <cell r="BP42">
            <v>0.47556380590485531</v>
          </cell>
          <cell r="BQ42">
            <v>0.15210844609287139</v>
          </cell>
          <cell r="BR42">
            <v>0.10106274768286837</v>
          </cell>
          <cell r="BS42">
            <v>6.8062335328117937E-2</v>
          </cell>
          <cell r="BT42">
            <v>6.7427547203784702E-2</v>
          </cell>
          <cell r="BU42">
            <v>0.38848903221060094</v>
          </cell>
          <cell r="BV42">
            <v>0.15199670512051966</v>
          </cell>
          <cell r="BW42">
            <v>0.12756085460770841</v>
          </cell>
          <cell r="BX42">
            <v>0.10210331536801988</v>
          </cell>
          <cell r="BY42">
            <v>0.12444465848754427</v>
          </cell>
          <cell r="BZ42">
            <v>0.50583281031724892</v>
          </cell>
          <cell r="CA42">
            <v>0.18493038296373626</v>
          </cell>
          <cell r="CB42">
            <v>0.1576555927955276</v>
          </cell>
          <cell r="CC42">
            <v>0.14178216823954057</v>
          </cell>
          <cell r="CD42">
            <v>0.16398432808975941</v>
          </cell>
          <cell r="CE42">
            <v>0.64824885416968947</v>
          </cell>
          <cell r="CF42">
            <v>0.22103950221876786</v>
          </cell>
          <cell r="CG42">
            <v>0.1988056175433186</v>
          </cell>
          <cell r="CH42">
            <v>0.17121563436947657</v>
          </cell>
          <cell r="CI42">
            <v>0.25403855768028943</v>
          </cell>
          <cell r="CJ42">
            <v>0.84516779555911126</v>
          </cell>
          <cell r="CK42">
            <v>0.24081830589873351</v>
          </cell>
          <cell r="CL42">
            <v>0.20938561887278828</v>
          </cell>
          <cell r="CM42">
            <v>0.1758559723347253</v>
          </cell>
          <cell r="CN42">
            <v>0.10470298821636553</v>
          </cell>
          <cell r="CO42">
            <v>0.72987143516202768</v>
          </cell>
          <cell r="CP42">
            <v>0.24519996326175006</v>
          </cell>
          <cell r="CQ42">
            <v>0.22389676345625623</v>
          </cell>
          <cell r="CR42">
            <v>0.16793564621096013</v>
          </cell>
          <cell r="CS42">
            <v>0.10565235215211827</v>
          </cell>
          <cell r="CT42">
            <v>0.74268472508108474</v>
          </cell>
          <cell r="CU42">
            <v>0.29059966754649585</v>
          </cell>
          <cell r="CV42">
            <v>0.26468484717979179</v>
          </cell>
          <cell r="CW42">
            <v>0.21994021615827464</v>
          </cell>
          <cell r="CX42">
            <v>0.14715387467597971</v>
          </cell>
          <cell r="CY42">
            <v>0.92237860556054196</v>
          </cell>
          <cell r="CZ42">
            <v>0.3458349839374551</v>
          </cell>
          <cell r="DA42">
            <v>0.31620978332313482</v>
          </cell>
          <cell r="DB42">
            <v>0.27656811875887111</v>
          </cell>
          <cell r="DC42">
            <v>0.20878381865679538</v>
          </cell>
          <cell r="DD42">
            <v>1.1473967046762563</v>
          </cell>
          <cell r="DE42">
            <v>0.40521668802585398</v>
          </cell>
          <cell r="DF42">
            <v>0.36826796628496156</v>
          </cell>
          <cell r="DG42">
            <v>0.33206094803630304</v>
          </cell>
          <cell r="DH42">
            <v>0.25191971024695375</v>
          </cell>
          <cell r="DI42">
            <v>1.3574653125940721</v>
          </cell>
          <cell r="DK42" t="str">
            <v>mstag:adjEpsForConsensus</v>
          </cell>
          <cell r="DL42">
            <v>0</v>
          </cell>
          <cell r="DM42" t="str">
            <v>ISO4217:USD</v>
          </cell>
          <cell r="DN42" t="b">
            <v>0</v>
          </cell>
          <cell r="DO42" t="b">
            <v>0</v>
          </cell>
        </row>
        <row r="43">
          <cell r="B43" t="str">
            <v>Operating EPS - Ex-Swaps</v>
          </cell>
          <cell r="E43">
            <v>6.9396342590727564E-2</v>
          </cell>
          <cell r="F43">
            <v>0.10164915369071789</v>
          </cell>
          <cell r="G43">
            <v>0.14057189207908502</v>
          </cell>
          <cell r="H43">
            <v>0.20351363264278055</v>
          </cell>
          <cell r="I43">
            <v>0.26041885118159158</v>
          </cell>
          <cell r="J43">
            <v>0.3383602889619241</v>
          </cell>
          <cell r="K43">
            <v>0.43036667103700094</v>
          </cell>
          <cell r="L43">
            <v>0.53543578206006015</v>
          </cell>
          <cell r="M43">
            <v>0.11992762887716274</v>
          </cell>
          <cell r="N43">
            <v>0.1859943781018881</v>
          </cell>
          <cell r="O43">
            <v>0.15109175753275675</v>
          </cell>
          <cell r="P43">
            <v>0.12712738221722142</v>
          </cell>
          <cell r="Q43">
            <v>0.58747309530437086</v>
          </cell>
          <cell r="R43">
            <v>0.13995877803399789</v>
          </cell>
          <cell r="S43">
            <v>0.2060870523595901</v>
          </cell>
          <cell r="T43">
            <v>0.17820240162331197</v>
          </cell>
          <cell r="U43">
            <v>0.15332354741981569</v>
          </cell>
          <cell r="V43">
            <v>0.67805335716625448</v>
          </cell>
          <cell r="W43">
            <v>0.15201837326946593</v>
          </cell>
          <cell r="X43">
            <v>0.22448899612583695</v>
          </cell>
          <cell r="Y43">
            <v>0.20483153932010353</v>
          </cell>
          <cell r="Z43">
            <v>0.19551301361609835</v>
          </cell>
          <cell r="AA43">
            <v>0.77662295539153503</v>
          </cell>
          <cell r="AB43">
            <v>0.19161999506388488</v>
          </cell>
          <cell r="AC43">
            <v>0.2656170274801371</v>
          </cell>
          <cell r="AD43">
            <v>0.25540888195352368</v>
          </cell>
          <cell r="AE43">
            <v>0.2332505625824472</v>
          </cell>
          <cell r="AF43">
            <v>0.94549974869648179</v>
          </cell>
          <cell r="AG43">
            <v>0.23189442382072264</v>
          </cell>
          <cell r="AH43">
            <v>0.30376313751736411</v>
          </cell>
          <cell r="AI43">
            <v>0.29497744571235407</v>
          </cell>
          <cell r="AJ43">
            <v>0.28973584415670378</v>
          </cell>
          <cell r="AK43">
            <v>1.1201002755812788</v>
          </cell>
          <cell r="AL43">
            <v>0.28970193335039585</v>
          </cell>
          <cell r="AM43">
            <v>0.36605398057152572</v>
          </cell>
          <cell r="AN43">
            <v>0.36127071733782223</v>
          </cell>
          <cell r="AO43">
            <v>0.30008715215144172</v>
          </cell>
          <cell r="AP43">
            <v>1.3171181318013496</v>
          </cell>
          <cell r="AQ43">
            <v>0.31834553458458503</v>
          </cell>
          <cell r="AR43">
            <v>0.40083491369612068</v>
          </cell>
          <cell r="AS43">
            <v>0.38625755024854991</v>
          </cell>
          <cell r="AT43">
            <v>0.30896189603352142</v>
          </cell>
          <cell r="AU43">
            <v>1.4159276396118505</v>
          </cell>
          <cell r="AW43">
            <v>0.36605398057152572</v>
          </cell>
          <cell r="AX43">
            <v>0.36127071733782223</v>
          </cell>
          <cell r="AY43">
            <v>0.30008715215144172</v>
          </cell>
          <cell r="AZ43">
            <v>0.31834553458458503</v>
          </cell>
          <cell r="BA43">
            <v>1.3458077061999862</v>
          </cell>
          <cell r="BB43">
            <v>0.40083491369612068</v>
          </cell>
          <cell r="BC43">
            <v>0.38625755024854991</v>
          </cell>
          <cell r="BD43">
            <v>0.30896189603352142</v>
          </cell>
          <cell r="BE43">
            <v>0.2975405328546738</v>
          </cell>
          <cell r="BF43">
            <v>1.394565885267758</v>
          </cell>
          <cell r="BG43">
            <v>0.36793607756141705</v>
          </cell>
          <cell r="BH43">
            <v>0.31673790138815305</v>
          </cell>
          <cell r="BI43">
            <v>0.27063558625226147</v>
          </cell>
          <cell r="BJ43">
            <v>-0.21317238133872005</v>
          </cell>
          <cell r="BK43">
            <v>0.74469561371443782</v>
          </cell>
          <cell r="BL43">
            <v>0.26890351815398861</v>
          </cell>
          <cell r="BM43">
            <v>4.6559668001027232E-2</v>
          </cell>
          <cell r="BN43">
            <v>8.1962873780475731E-2</v>
          </cell>
          <cell r="BO43">
            <v>7.8924638937673208E-2</v>
          </cell>
          <cell r="BP43">
            <v>0.47556380590485531</v>
          </cell>
          <cell r="BQ43">
            <v>0.15210844609287139</v>
          </cell>
          <cell r="BR43">
            <v>0.10106274768286837</v>
          </cell>
          <cell r="BS43">
            <v>6.8062335328117937E-2</v>
          </cell>
          <cell r="BT43">
            <v>6.7427547203784702E-2</v>
          </cell>
          <cell r="BU43">
            <v>0.38848903221060094</v>
          </cell>
          <cell r="BV43">
            <v>0.15199670512051966</v>
          </cell>
          <cell r="BW43">
            <v>0.12756085460770841</v>
          </cell>
          <cell r="BX43">
            <v>0.10210331536801988</v>
          </cell>
          <cell r="BY43">
            <v>0.12444465848754427</v>
          </cell>
          <cell r="BZ43">
            <v>0.50583281031724892</v>
          </cell>
          <cell r="CA43">
            <v>0.18493038296373626</v>
          </cell>
          <cell r="CB43">
            <v>0.1576555927955276</v>
          </cell>
          <cell r="CC43">
            <v>0.14178216823954057</v>
          </cell>
          <cell r="CD43">
            <v>0.16398432808975941</v>
          </cell>
          <cell r="CE43">
            <v>0.64824885416968947</v>
          </cell>
          <cell r="CF43">
            <v>0.22103950221876786</v>
          </cell>
          <cell r="CG43">
            <v>0.1988056175433186</v>
          </cell>
          <cell r="CH43">
            <v>0.17121563436947657</v>
          </cell>
          <cell r="CI43">
            <v>0.29645340376351931</v>
          </cell>
          <cell r="CJ43">
            <v>0.88622534603022129</v>
          </cell>
          <cell r="CK43">
            <v>0.3330609265722182</v>
          </cell>
          <cell r="CL43">
            <v>0.26651074165170596</v>
          </cell>
          <cell r="CM43">
            <v>0.24243100405741078</v>
          </cell>
          <cell r="CN43">
            <v>0.1527554932828134</v>
          </cell>
          <cell r="CO43">
            <v>0.99241455586850746</v>
          </cell>
          <cell r="CP43">
            <v>0.29489451231455888</v>
          </cell>
          <cell r="CQ43">
            <v>0.27381702351460058</v>
          </cell>
          <cell r="CR43">
            <v>0.21954784436186317</v>
          </cell>
          <cell r="CS43">
            <v>0.15510055735313144</v>
          </cell>
          <cell r="CT43">
            <v>0.94303822255790826</v>
          </cell>
          <cell r="CU43">
            <v>0.33997121181337081</v>
          </cell>
          <cell r="CV43">
            <v>0.26468484717979179</v>
          </cell>
          <cell r="CW43">
            <v>0.21994021615827464</v>
          </cell>
          <cell r="CX43">
            <v>0.14715387467597971</v>
          </cell>
          <cell r="CY43">
            <v>0.97343438443993446</v>
          </cell>
          <cell r="CZ43">
            <v>0.3458349839374551</v>
          </cell>
          <cell r="DA43">
            <v>0.31620978332313482</v>
          </cell>
          <cell r="DB43">
            <v>0.27656811875887111</v>
          </cell>
          <cell r="DC43">
            <v>0.20878381865679538</v>
          </cell>
          <cell r="DD43">
            <v>1.1473967046762563</v>
          </cell>
          <cell r="DE43">
            <v>0.40521668802585398</v>
          </cell>
          <cell r="DF43">
            <v>0.36826796628496156</v>
          </cell>
          <cell r="DG43">
            <v>0.33206094803630304</v>
          </cell>
          <cell r="DH43">
            <v>0.25191971024695375</v>
          </cell>
          <cell r="DI43">
            <v>1.3574653125940721</v>
          </cell>
        </row>
        <row r="44">
          <cell r="B44" t="str">
            <v>Reported EPS - Fully Diluted</v>
          </cell>
          <cell r="E44">
            <v>6.9396342590727564E-2</v>
          </cell>
          <cell r="F44">
            <v>0.10535165245638227</v>
          </cell>
          <cell r="G44">
            <v>0.14057189207908502</v>
          </cell>
          <cell r="H44">
            <v>0.19294117281229753</v>
          </cell>
          <cell r="I44">
            <v>0.26041885118159158</v>
          </cell>
          <cell r="J44">
            <v>0.3383602889619241</v>
          </cell>
          <cell r="K44">
            <v>0.43036667103700094</v>
          </cell>
          <cell r="L44">
            <v>0.53543578206006015</v>
          </cell>
          <cell r="M44">
            <v>0.11992762887716274</v>
          </cell>
          <cell r="N44">
            <v>0.1859943781018881</v>
          </cell>
          <cell r="O44">
            <v>0.15109175753275675</v>
          </cell>
          <cell r="P44">
            <v>0.12712738221722142</v>
          </cell>
          <cell r="Q44">
            <v>0.58747309530437086</v>
          </cell>
          <cell r="R44">
            <v>0.13995877803399789</v>
          </cell>
          <cell r="S44">
            <v>0.2060870523595901</v>
          </cell>
          <cell r="T44">
            <v>0.17820240162331197</v>
          </cell>
          <cell r="U44">
            <v>0.15332354741981569</v>
          </cell>
          <cell r="V44">
            <v>0.67805335716625448</v>
          </cell>
          <cell r="W44">
            <v>0.15201837326946593</v>
          </cell>
          <cell r="X44">
            <v>0.18525275560623353</v>
          </cell>
          <cell r="Y44">
            <v>0.20483153932010353</v>
          </cell>
          <cell r="Z44">
            <v>0.19551301361609835</v>
          </cell>
          <cell r="AA44">
            <v>0.73757239427881882</v>
          </cell>
          <cell r="AB44">
            <v>0.19161999506388488</v>
          </cell>
          <cell r="AC44">
            <v>0.2656170274801371</v>
          </cell>
          <cell r="AD44">
            <v>0.25540888195352368</v>
          </cell>
          <cell r="AE44">
            <v>0.2332505625824472</v>
          </cell>
          <cell r="AF44">
            <v>0.94549974869648179</v>
          </cell>
          <cell r="AG44">
            <v>0.23189442382072264</v>
          </cell>
          <cell r="AH44">
            <v>0.30376313751736411</v>
          </cell>
          <cell r="AI44">
            <v>0.29497744571235407</v>
          </cell>
          <cell r="AJ44">
            <v>0.27706332410874179</v>
          </cell>
          <cell r="AK44">
            <v>1.1076268934360887</v>
          </cell>
          <cell r="AL44">
            <v>0.28970193335039585</v>
          </cell>
          <cell r="AM44">
            <v>0.36605398057152572</v>
          </cell>
          <cell r="AN44">
            <v>0.36127071733782223</v>
          </cell>
          <cell r="AO44">
            <v>0.30008715215144172</v>
          </cell>
          <cell r="AP44">
            <v>1.3171181318013496</v>
          </cell>
          <cell r="AQ44">
            <v>0.31834553458458503</v>
          </cell>
          <cell r="AR44">
            <v>0.40083491369612068</v>
          </cell>
          <cell r="AS44">
            <v>0.34618238687593267</v>
          </cell>
          <cell r="AT44">
            <v>0.35134010221355977</v>
          </cell>
          <cell r="AU44">
            <v>1.4181125891652211</v>
          </cell>
          <cell r="AW44">
            <v>0.36605398057152572</v>
          </cell>
          <cell r="AX44">
            <v>0.36127071733782223</v>
          </cell>
          <cell r="AY44">
            <v>0.30008715215144172</v>
          </cell>
          <cell r="AZ44">
            <v>0.31834553458458503</v>
          </cell>
          <cell r="BA44">
            <v>1.3458077061999862</v>
          </cell>
          <cell r="BB44">
            <v>0.40083491369612068</v>
          </cell>
          <cell r="BC44">
            <v>0.34618238687593267</v>
          </cell>
          <cell r="BD44">
            <v>0.35134010221355977</v>
          </cell>
          <cell r="BE44">
            <v>0.30871240758979512</v>
          </cell>
          <cell r="BF44">
            <v>1.4077544894518508</v>
          </cell>
          <cell r="BG44">
            <v>0.35828198175992171</v>
          </cell>
          <cell r="BH44">
            <v>0.3173948210099316</v>
          </cell>
          <cell r="BI44">
            <v>0.30601874691662584</v>
          </cell>
          <cell r="BJ44">
            <v>-0.23344921685170666</v>
          </cell>
          <cell r="BK44">
            <v>0.75100271225445947</v>
          </cell>
          <cell r="BL44">
            <v>0.26611702127659481</v>
          </cell>
          <cell r="BM44">
            <v>4.8242663922137753E-2</v>
          </cell>
          <cell r="BN44">
            <v>0.12431415902128183</v>
          </cell>
          <cell r="BO44">
            <v>5.1040890061363885E-2</v>
          </cell>
          <cell r="BP44">
            <v>0.48906449520437145</v>
          </cell>
          <cell r="BQ44">
            <v>0.54927092650184184</v>
          </cell>
          <cell r="BR44">
            <v>5.0439827812090672E-2</v>
          </cell>
          <cell r="BS44">
            <v>2.6155511529584414E-2</v>
          </cell>
          <cell r="BT44">
            <v>5.9537742566478369E-2</v>
          </cell>
          <cell r="BU44">
            <v>0.68346882139689602</v>
          </cell>
          <cell r="BV44">
            <v>0.18764501751424142</v>
          </cell>
          <cell r="BW44">
            <v>0.13253820441292485</v>
          </cell>
          <cell r="BX44">
            <v>0.10280226573042363</v>
          </cell>
          <cell r="BY44">
            <v>0.1369661798523901</v>
          </cell>
          <cell r="BZ44">
            <v>0.55952057983924597</v>
          </cell>
          <cell r="CA44">
            <v>0.18785994148887161</v>
          </cell>
          <cell r="CB44">
            <v>0.1578714798684703</v>
          </cell>
          <cell r="CC44">
            <v>0.14062524903176468</v>
          </cell>
          <cell r="CD44">
            <v>0.111656602158718</v>
          </cell>
          <cell r="CE44">
            <v>0.5976320756971174</v>
          </cell>
          <cell r="CF44">
            <v>0.21883362826975505</v>
          </cell>
          <cell r="CG44">
            <v>0.1904558544086824</v>
          </cell>
          <cell r="CH44">
            <v>0.17139900597356594</v>
          </cell>
          <cell r="CI44">
            <v>0.12048103362079689</v>
          </cell>
          <cell r="CJ44">
            <v>0.70072185604441983</v>
          </cell>
          <cell r="CK44">
            <v>0.14739987250634634</v>
          </cell>
          <cell r="CL44">
            <v>0.14433464828340423</v>
          </cell>
          <cell r="CM44">
            <v>0.16100691631877415</v>
          </cell>
          <cell r="CN44">
            <v>0.21226042397525482</v>
          </cell>
          <cell r="CO44">
            <v>0.66548064342297519</v>
          </cell>
          <cell r="CP44">
            <v>0.24519996326175006</v>
          </cell>
          <cell r="CQ44">
            <v>0.22389676345625623</v>
          </cell>
          <cell r="CR44">
            <v>0.16793564621096013</v>
          </cell>
          <cell r="CS44">
            <v>0.10565235215211827</v>
          </cell>
          <cell r="CT44">
            <v>0.74268472508108474</v>
          </cell>
          <cell r="CU44">
            <v>0.27358842680820999</v>
          </cell>
          <cell r="CV44">
            <v>0.29870732865636351</v>
          </cell>
          <cell r="CW44">
            <v>0.25396269763484636</v>
          </cell>
          <cell r="CX44">
            <v>0.18117635615255143</v>
          </cell>
          <cell r="CY44">
            <v>1.0074348092519714</v>
          </cell>
          <cell r="CZ44">
            <v>0.36284622467574101</v>
          </cell>
          <cell r="DA44">
            <v>0.33322102406142073</v>
          </cell>
          <cell r="DB44">
            <v>0.29357935949715702</v>
          </cell>
          <cell r="DC44">
            <v>0.22579505939508124</v>
          </cell>
          <cell r="DD44">
            <v>1.2154416676293998</v>
          </cell>
          <cell r="DE44">
            <v>0.41372230839499691</v>
          </cell>
          <cell r="DF44">
            <v>0.37677358665410449</v>
          </cell>
          <cell r="DG44">
            <v>0.34056656840544602</v>
          </cell>
          <cell r="DH44">
            <v>0.26042533061609668</v>
          </cell>
          <cell r="DI44">
            <v>1.3914877940706438</v>
          </cell>
        </row>
        <row r="45">
          <cell r="B45" t="str">
            <v>Reported EPS Continuing operations- Fully Diluted</v>
          </cell>
          <cell r="E45">
            <v>6.9396342590727564E-2</v>
          </cell>
          <cell r="F45">
            <v>0.10535165245638227</v>
          </cell>
          <cell r="G45">
            <v>0.14057189207908502</v>
          </cell>
          <cell r="H45">
            <v>0.20351363264278055</v>
          </cell>
          <cell r="I45">
            <v>0.26041885118159158</v>
          </cell>
          <cell r="J45">
            <v>0.3383602889619241</v>
          </cell>
          <cell r="K45">
            <v>0.43036667103700094</v>
          </cell>
          <cell r="L45">
            <v>0.53543578206006015</v>
          </cell>
          <cell r="M45">
            <v>0.11992762887716274</v>
          </cell>
          <cell r="N45">
            <v>0.1859943781018881</v>
          </cell>
          <cell r="O45">
            <v>0.15109175753275675</v>
          </cell>
          <cell r="P45">
            <v>0.12712738221722142</v>
          </cell>
          <cell r="Q45">
            <v>0.58747309530437086</v>
          </cell>
          <cell r="R45">
            <v>0.13995877803399789</v>
          </cell>
          <cell r="S45">
            <v>0.2060870523595901</v>
          </cell>
          <cell r="T45">
            <v>0.17820240162331197</v>
          </cell>
          <cell r="U45">
            <v>0.15332354741981569</v>
          </cell>
          <cell r="V45">
            <v>0.67805335716625448</v>
          </cell>
          <cell r="W45">
            <v>0.15201837326946593</v>
          </cell>
          <cell r="X45">
            <v>0.18525275560623353</v>
          </cell>
          <cell r="Y45">
            <v>0.20483153932010353</v>
          </cell>
          <cell r="Z45">
            <v>0.19551301361609835</v>
          </cell>
          <cell r="AA45">
            <v>0.73757239427881882</v>
          </cell>
          <cell r="AB45">
            <v>0.19161999506388488</v>
          </cell>
          <cell r="AC45">
            <v>0.2656170274801371</v>
          </cell>
          <cell r="AD45">
            <v>0.25540888195352368</v>
          </cell>
          <cell r="AE45">
            <v>0.2332505625824472</v>
          </cell>
          <cell r="AF45">
            <v>0.94549974869648179</v>
          </cell>
          <cell r="AG45">
            <v>0.23189442382072264</v>
          </cell>
          <cell r="AH45">
            <v>0.30376313751736411</v>
          </cell>
          <cell r="AI45">
            <v>0.29497744571235407</v>
          </cell>
          <cell r="AJ45">
            <v>0.27706332410874179</v>
          </cell>
          <cell r="AK45">
            <v>1.1076268934360887</v>
          </cell>
          <cell r="AL45">
            <v>0.28970193335039585</v>
          </cell>
          <cell r="AM45">
            <v>0.36605398057152572</v>
          </cell>
          <cell r="AN45">
            <v>0.36127071733782223</v>
          </cell>
          <cell r="AO45">
            <v>0.30008715215144172</v>
          </cell>
          <cell r="AP45">
            <v>1.3171181318013496</v>
          </cell>
          <cell r="AQ45">
            <v>0.31834553458458503</v>
          </cell>
          <cell r="AR45">
            <v>0.40083491369612068</v>
          </cell>
          <cell r="AS45">
            <v>0.34618238687593267</v>
          </cell>
          <cell r="AT45">
            <v>0.34878676426447441</v>
          </cell>
          <cell r="AU45">
            <v>1.4155500931816725</v>
          </cell>
          <cell r="AW45">
            <v>0.36605398057152572</v>
          </cell>
          <cell r="AX45">
            <v>0.36127071733782223</v>
          </cell>
          <cell r="AY45">
            <v>0.30008715215144172</v>
          </cell>
          <cell r="AZ45">
            <v>0.31834553458458503</v>
          </cell>
          <cell r="BA45">
            <v>1.3458077061999862</v>
          </cell>
          <cell r="BB45">
            <v>0.40083491369612068</v>
          </cell>
          <cell r="BC45">
            <v>0.34618238687593267</v>
          </cell>
          <cell r="BD45">
            <v>0.34878676426447441</v>
          </cell>
          <cell r="BE45">
            <v>0.31005284086032969</v>
          </cell>
          <cell r="BF45">
            <v>1.4065071400692886</v>
          </cell>
          <cell r="BG45">
            <v>0.35643332511708214</v>
          </cell>
          <cell r="BH45">
            <v>0.31673790138815305</v>
          </cell>
          <cell r="BI45">
            <v>0.26063558625226152</v>
          </cell>
          <cell r="BJ45">
            <v>-0.17536623760690168</v>
          </cell>
          <cell r="BK45">
            <v>0.76059833977151381</v>
          </cell>
          <cell r="BL45">
            <v>0.26867021276595648</v>
          </cell>
          <cell r="BM45">
            <v>5.3011823626182418E-2</v>
          </cell>
          <cell r="BN45">
            <v>8.1941934510090131E-2</v>
          </cell>
          <cell r="BO45">
            <v>7.6839888906184844E-2</v>
          </cell>
          <cell r="BP45">
            <v>0.47973025346872472</v>
          </cell>
          <cell r="BQ45">
            <v>0.66305070281536393</v>
          </cell>
          <cell r="BR45">
            <v>8.9198382279943783E-2</v>
          </cell>
          <cell r="BS45">
            <v>4.2670697085434986E-2</v>
          </cell>
          <cell r="BT45">
            <v>0.11885041290523254</v>
          </cell>
          <cell r="BU45">
            <v>0.91150974165307674</v>
          </cell>
          <cell r="BV45">
            <v>0.19379437179126413</v>
          </cell>
          <cell r="BW45">
            <v>0.13253820441292485</v>
          </cell>
          <cell r="BX45">
            <v>0.10027311586415344</v>
          </cell>
          <cell r="BY45">
            <v>0.12274301584052677</v>
          </cell>
          <cell r="BZ45">
            <v>0.54874172453586278</v>
          </cell>
          <cell r="CA45">
            <v>0.18785994148887161</v>
          </cell>
          <cell r="CB45">
            <v>0.1578714798684703</v>
          </cell>
          <cell r="CC45">
            <v>0.14062524903176468</v>
          </cell>
          <cell r="CD45">
            <v>0.16364731428209145</v>
          </cell>
          <cell r="CE45">
            <v>0.64988490916186936</v>
          </cell>
          <cell r="CF45">
            <v>0.22119049214313077</v>
          </cell>
          <cell r="CG45">
            <v>0.19665798185985484</v>
          </cell>
          <cell r="CH45">
            <v>0.17039949201172777</v>
          </cell>
          <cell r="CI45">
            <v>0.12527340332458389</v>
          </cell>
          <cell r="CJ45">
            <v>0.71308476809247567</v>
          </cell>
          <cell r="CK45">
            <v>0.15285550588778313</v>
          </cell>
          <cell r="CL45">
            <v>0.15613404679139156</v>
          </cell>
          <cell r="CM45">
            <v>0.16641613184622137</v>
          </cell>
          <cell r="CN45">
            <v>0.21226042397525482</v>
          </cell>
          <cell r="CO45">
            <v>0.68808654279069215</v>
          </cell>
          <cell r="CP45">
            <v>0.24519996326175006</v>
          </cell>
          <cell r="CQ45">
            <v>0.22389676345625623</v>
          </cell>
          <cell r="CR45">
            <v>0.16793564621096013</v>
          </cell>
          <cell r="CS45">
            <v>0.10565235215211827</v>
          </cell>
          <cell r="CT45">
            <v>0.74268472508108707</v>
          </cell>
          <cell r="CU45">
            <v>0.27358842680820999</v>
          </cell>
          <cell r="CV45">
            <v>0.29870732865636351</v>
          </cell>
          <cell r="CW45">
            <v>0.25396269763484636</v>
          </cell>
          <cell r="CX45">
            <v>0.18117635615255143</v>
          </cell>
          <cell r="CY45">
            <v>1.0074348092519734</v>
          </cell>
          <cell r="CZ45">
            <v>0.36284622467574101</v>
          </cell>
          <cell r="DA45">
            <v>0.33322102406142073</v>
          </cell>
          <cell r="DB45">
            <v>0.29357935949715702</v>
          </cell>
          <cell r="DC45">
            <v>0.22579505939508124</v>
          </cell>
          <cell r="DD45">
            <v>1.2154416676294051</v>
          </cell>
          <cell r="DE45">
            <v>0.41372230839499691</v>
          </cell>
          <cell r="DF45">
            <v>0.37677358665410449</v>
          </cell>
          <cell r="DG45">
            <v>0.34056656840544602</v>
          </cell>
          <cell r="DH45">
            <v>0.26042533061609668</v>
          </cell>
          <cell r="DI45">
            <v>1.3914877940706478</v>
          </cell>
        </row>
        <row r="46">
          <cell r="B46" t="str">
            <v>EBITDA (excluding HITECH)</v>
          </cell>
          <cell r="D46">
            <v>-4.6439999999999833</v>
          </cell>
          <cell r="E46">
            <v>-12.060396342590732</v>
          </cell>
          <cell r="F46">
            <v>-21.982649153690705</v>
          </cell>
          <cell r="G46">
            <v>-32.385571892079092</v>
          </cell>
          <cell r="H46">
            <v>-49.289513632642759</v>
          </cell>
          <cell r="I46">
            <v>-63.591418851181672</v>
          </cell>
          <cell r="J46">
            <v>-84.424360288961921</v>
          </cell>
          <cell r="K46">
            <v>-108.75236667103704</v>
          </cell>
          <cell r="L46">
            <v>-137.37943578205994</v>
          </cell>
          <cell r="M46">
            <v>-31.074927628877145</v>
          </cell>
          <cell r="N46">
            <v>-47.892994378101882</v>
          </cell>
          <cell r="O46">
            <v>-38.90809175753278</v>
          </cell>
          <cell r="P46">
            <v>-32.553127382217241</v>
          </cell>
          <cell r="Q46">
            <v>316.31599999999997</v>
          </cell>
          <cell r="R46">
            <v>80.274000000000001</v>
          </cell>
          <cell r="S46">
            <v>108.14000000000001</v>
          </cell>
          <cell r="T46">
            <v>97.998999999999995</v>
          </cell>
          <cell r="U46">
            <v>89.445999999999998</v>
          </cell>
          <cell r="V46">
            <v>375.85899999999987</v>
          </cell>
          <cell r="W46">
            <v>93.588000000000036</v>
          </cell>
          <cell r="X46">
            <v>124.65300000000003</v>
          </cell>
          <cell r="Y46">
            <v>116.53199999999997</v>
          </cell>
          <cell r="Z46">
            <v>113.79400000000001</v>
          </cell>
          <cell r="AA46">
            <v>448.56700000000001</v>
          </cell>
          <cell r="AB46">
            <v>108.83600000000004</v>
          </cell>
          <cell r="AC46">
            <v>141.94400000000002</v>
          </cell>
          <cell r="AD46">
            <v>137.874</v>
          </cell>
          <cell r="AE46">
            <v>128.88799999999995</v>
          </cell>
          <cell r="AF46">
            <v>517.54199999999969</v>
          </cell>
          <cell r="AG46">
            <v>128.554</v>
          </cell>
          <cell r="AH46">
            <v>159.87699999999995</v>
          </cell>
          <cell r="AI46">
            <v>157.40799999999996</v>
          </cell>
          <cell r="AJ46">
            <v>146.94800000000004</v>
          </cell>
          <cell r="AK46">
            <v>592.78700000000015</v>
          </cell>
          <cell r="AL46">
            <v>152.14599999999999</v>
          </cell>
          <cell r="AM46">
            <v>187.34899999999999</v>
          </cell>
          <cell r="AN46">
            <v>183.42400000000001</v>
          </cell>
          <cell r="AO46">
            <v>160.37599999999992</v>
          </cell>
          <cell r="AP46">
            <v>683.29499999999996</v>
          </cell>
          <cell r="AQ46">
            <v>168.01500000000004</v>
          </cell>
          <cell r="AR46">
            <v>203.61200000000008</v>
          </cell>
          <cell r="AS46">
            <v>164.327</v>
          </cell>
          <cell r="AT46">
            <v>165.13799999999995</v>
          </cell>
          <cell r="AU46">
            <v>701.0920000000001</v>
          </cell>
          <cell r="AW46">
            <v>187.34899999999999</v>
          </cell>
          <cell r="AX46">
            <v>183.42400000000001</v>
          </cell>
          <cell r="AY46">
            <v>160.37599999999992</v>
          </cell>
          <cell r="AZ46">
            <v>168.01500000000004</v>
          </cell>
          <cell r="BA46">
            <v>699.16399999999976</v>
          </cell>
          <cell r="BB46">
            <v>203.61200000000008</v>
          </cell>
          <cell r="BC46">
            <v>164.327</v>
          </cell>
          <cell r="BD46">
            <v>165.13799999999995</v>
          </cell>
          <cell r="BE46">
            <v>170.31100000000009</v>
          </cell>
          <cell r="BF46">
            <v>703.38800000000015</v>
          </cell>
          <cell r="BG46">
            <v>198.49500000000012</v>
          </cell>
          <cell r="BH46">
            <v>183.47799999999995</v>
          </cell>
          <cell r="BI46">
            <v>165.56000000000009</v>
          </cell>
          <cell r="BJ46">
            <v>-9.1090000000000337</v>
          </cell>
          <cell r="BK46">
            <v>538.42400000000021</v>
          </cell>
          <cell r="BL46">
            <v>193.40799999999979</v>
          </cell>
          <cell r="BM46">
            <v>134.58500000000006</v>
          </cell>
          <cell r="BN46">
            <v>151.27999999999997</v>
          </cell>
          <cell r="BO46">
            <v>150.75600000000003</v>
          </cell>
          <cell r="BP46">
            <v>630.02900000000034</v>
          </cell>
          <cell r="BQ46">
            <v>181.61799999999997</v>
          </cell>
          <cell r="BR46">
            <v>163.27900000000002</v>
          </cell>
          <cell r="BS46">
            <v>141.92799999999991</v>
          </cell>
          <cell r="BT46">
            <v>146.74500000000006</v>
          </cell>
          <cell r="BU46">
            <v>633.56999999999994</v>
          </cell>
          <cell r="BV46">
            <v>183.39299999999992</v>
          </cell>
          <cell r="BW46">
            <v>172.703</v>
          </cell>
          <cell r="BX46">
            <v>158.01500000000007</v>
          </cell>
          <cell r="BY46">
            <v>170.7709999999999</v>
          </cell>
          <cell r="BZ46">
            <v>684.88199999999938</v>
          </cell>
          <cell r="CA46">
            <v>196.3419999999999</v>
          </cell>
          <cell r="CB46">
            <v>182.48500000000001</v>
          </cell>
          <cell r="CC46">
            <v>171.21400000000006</v>
          </cell>
          <cell r="CD46">
            <v>186.52499999999998</v>
          </cell>
          <cell r="CE46">
            <v>736.56600000000037</v>
          </cell>
          <cell r="CF46">
            <v>214.42900000000014</v>
          </cell>
          <cell r="CG46">
            <v>203.76800000000006</v>
          </cell>
          <cell r="CH46">
            <v>186.26400000000004</v>
          </cell>
          <cell r="CI46">
            <v>185.13999999999987</v>
          </cell>
          <cell r="CJ46">
            <v>789.60100000000079</v>
          </cell>
          <cell r="CK46">
            <v>234.92500000000027</v>
          </cell>
          <cell r="CL46">
            <v>230.41699999999997</v>
          </cell>
          <cell r="CM46">
            <v>212.16800000000009</v>
          </cell>
          <cell r="CN46">
            <v>226.39942303617448</v>
          </cell>
          <cell r="CO46">
            <v>903.90942303617544</v>
          </cell>
          <cell r="CP46">
            <v>253.61408162738894</v>
          </cell>
          <cell r="CQ46">
            <v>243.73665764900881</v>
          </cell>
          <cell r="CR46">
            <v>224.95473397307569</v>
          </cell>
          <cell r="CS46">
            <v>229.62937468288922</v>
          </cell>
          <cell r="CT46">
            <v>951.93484793236212</v>
          </cell>
          <cell r="CU46">
            <v>274.19143121009415</v>
          </cell>
          <cell r="CV46">
            <v>262.31262996473714</v>
          </cell>
          <cell r="CW46">
            <v>247.65786393787346</v>
          </cell>
          <cell r="CX46">
            <v>248.63506149116881</v>
          </cell>
          <cell r="CY46">
            <v>1032.7969866038734</v>
          </cell>
          <cell r="CZ46">
            <v>297.19103999899204</v>
          </cell>
          <cell r="DA46">
            <v>283.89366115971615</v>
          </cell>
          <cell r="DB46">
            <v>271.34125379363672</v>
          </cell>
          <cell r="DC46">
            <v>275.28455308658312</v>
          </cell>
          <cell r="DD46">
            <v>1127.7105080389274</v>
          </cell>
          <cell r="DE46">
            <v>322.04749836472195</v>
          </cell>
          <cell r="DF46">
            <v>305.90203688489868</v>
          </cell>
          <cell r="DG46">
            <v>294.79976985133044</v>
          </cell>
          <cell r="DH46">
            <v>294.52091726178298</v>
          </cell>
          <cell r="DI46">
            <v>1217.2702223627348</v>
          </cell>
        </row>
        <row r="47">
          <cell r="B47" t="str">
            <v>EBITDA (excluding HITECH)</v>
          </cell>
          <cell r="D47">
            <v>36.652999999999984</v>
          </cell>
          <cell r="E47">
            <v>47.009000000000007</v>
          </cell>
          <cell r="F47">
            <v>58.35299999999998</v>
          </cell>
          <cell r="G47">
            <v>74.337000000000003</v>
          </cell>
          <cell r="H47">
            <v>102.63699999999997</v>
          </cell>
          <cell r="I47">
            <v>128.43200000000007</v>
          </cell>
          <cell r="J47">
            <v>169.09899999999999</v>
          </cell>
          <cell r="K47">
            <v>218.58200000000002</v>
          </cell>
          <cell r="L47">
            <v>280.47499999999991</v>
          </cell>
          <cell r="M47">
            <v>66.819999999999979</v>
          </cell>
          <cell r="N47">
            <v>93.559999999999988</v>
          </cell>
          <cell r="O47">
            <v>82.15900000000002</v>
          </cell>
          <cell r="P47">
            <v>73.777000000000015</v>
          </cell>
          <cell r="Q47">
            <v>316.31599999999997</v>
          </cell>
          <cell r="R47">
            <v>80.274000000000001</v>
          </cell>
          <cell r="S47">
            <v>108.14000000000001</v>
          </cell>
          <cell r="T47">
            <v>97.998999999999995</v>
          </cell>
          <cell r="U47">
            <v>89.445999999999998</v>
          </cell>
          <cell r="V47">
            <v>375.85899999999987</v>
          </cell>
          <cell r="W47">
            <v>93.588000000000036</v>
          </cell>
          <cell r="X47">
            <v>124.65300000000003</v>
          </cell>
          <cell r="Y47">
            <v>116.53199999999997</v>
          </cell>
          <cell r="Z47">
            <v>113.79400000000001</v>
          </cell>
          <cell r="AA47">
            <v>448.56700000000001</v>
          </cell>
          <cell r="AB47">
            <v>108.83600000000004</v>
          </cell>
          <cell r="AC47">
            <v>141.94400000000002</v>
          </cell>
          <cell r="AD47">
            <v>137.874</v>
          </cell>
          <cell r="AE47">
            <v>128.88799999999995</v>
          </cell>
          <cell r="AF47">
            <v>517.54199999999969</v>
          </cell>
          <cell r="AG47">
            <v>128.554</v>
          </cell>
          <cell r="AH47">
            <v>159.87699999999995</v>
          </cell>
          <cell r="AI47">
            <v>157.40799999999996</v>
          </cell>
          <cell r="AJ47">
            <v>146.94800000000004</v>
          </cell>
          <cell r="AK47">
            <v>592.78700000000015</v>
          </cell>
          <cell r="AL47">
            <v>152.14599999999999</v>
          </cell>
          <cell r="AM47">
            <v>187.34899999999999</v>
          </cell>
          <cell r="AN47">
            <v>183.42400000000001</v>
          </cell>
          <cell r="AO47">
            <v>160.37599999999992</v>
          </cell>
          <cell r="AP47">
            <v>683.29499999999996</v>
          </cell>
          <cell r="AQ47">
            <v>168.01500000000004</v>
          </cell>
          <cell r="AR47">
            <v>203.61200000000008</v>
          </cell>
          <cell r="AS47">
            <v>164.327</v>
          </cell>
          <cell r="AT47">
            <v>165.13799999999995</v>
          </cell>
          <cell r="AU47">
            <v>701.0920000000001</v>
          </cell>
          <cell r="AW47">
            <v>187.34899999999999</v>
          </cell>
          <cell r="AX47">
            <v>183.42400000000001</v>
          </cell>
          <cell r="AY47">
            <v>160.37599999999992</v>
          </cell>
          <cell r="AZ47">
            <v>168.01500000000004</v>
          </cell>
          <cell r="BA47">
            <v>699.16399999999976</v>
          </cell>
          <cell r="BB47">
            <v>203.61200000000008</v>
          </cell>
          <cell r="BC47">
            <v>164.327</v>
          </cell>
          <cell r="BD47">
            <v>165.13799999999995</v>
          </cell>
          <cell r="BE47">
            <v>170.31100000000009</v>
          </cell>
          <cell r="BF47">
            <v>703.38800000000015</v>
          </cell>
          <cell r="BG47">
            <v>198.49500000000012</v>
          </cell>
          <cell r="BH47">
            <v>183.47799999999995</v>
          </cell>
          <cell r="BI47">
            <v>165.56000000000009</v>
          </cell>
          <cell r="BJ47">
            <v>-9.1090000000000337</v>
          </cell>
          <cell r="BK47">
            <v>538.42400000000021</v>
          </cell>
          <cell r="BL47">
            <v>193.40799999999979</v>
          </cell>
          <cell r="BM47">
            <v>134.58500000000006</v>
          </cell>
          <cell r="BN47">
            <v>151.27999999999997</v>
          </cell>
          <cell r="BO47">
            <v>150.75600000000003</v>
          </cell>
          <cell r="BP47">
            <v>630.02900000000034</v>
          </cell>
          <cell r="BQ47">
            <v>181.61799999999997</v>
          </cell>
          <cell r="BR47">
            <v>163.27900000000002</v>
          </cell>
          <cell r="BS47">
            <v>141.92799999999991</v>
          </cell>
          <cell r="BT47">
            <v>146.74500000000006</v>
          </cell>
          <cell r="BU47">
            <v>633.56999999999994</v>
          </cell>
          <cell r="BV47">
            <v>183.39299999999992</v>
          </cell>
          <cell r="BW47">
            <v>172.703</v>
          </cell>
          <cell r="BX47">
            <v>158.01500000000007</v>
          </cell>
          <cell r="BY47">
            <v>170.7709999999999</v>
          </cell>
          <cell r="BZ47">
            <v>684.88199999999938</v>
          </cell>
          <cell r="CA47">
            <v>196.3419999999999</v>
          </cell>
          <cell r="CB47">
            <v>182.48500000000001</v>
          </cell>
          <cell r="CC47">
            <v>171.21400000000006</v>
          </cell>
          <cell r="CD47">
            <v>186.52499999999998</v>
          </cell>
          <cell r="CE47">
            <v>736.56600000000037</v>
          </cell>
          <cell r="CF47">
            <v>214.42900000000014</v>
          </cell>
          <cell r="CG47">
            <v>203.76800000000006</v>
          </cell>
          <cell r="CH47">
            <v>186.26400000000004</v>
          </cell>
          <cell r="CI47">
            <v>185.13999999999987</v>
          </cell>
          <cell r="CJ47">
            <v>789.60100000000079</v>
          </cell>
          <cell r="CK47">
            <v>234.92500000000027</v>
          </cell>
          <cell r="CL47">
            <v>230.41699999999997</v>
          </cell>
          <cell r="CM47">
            <v>212.16800000000009</v>
          </cell>
          <cell r="CN47">
            <v>193.79901663476056</v>
          </cell>
          <cell r="CO47">
            <v>871.30901663476152</v>
          </cell>
          <cell r="CP47">
            <v>249.83281355302279</v>
          </cell>
          <cell r="CQ47">
            <v>241.95536877142973</v>
          </cell>
          <cell r="CR47">
            <v>220.39761382068235</v>
          </cell>
          <cell r="CS47">
            <v>196.4083607579889</v>
          </cell>
          <cell r="CT47">
            <v>908.59415690312449</v>
          </cell>
          <cell r="CU47">
            <v>270.97656012014863</v>
          </cell>
          <cell r="CV47">
            <v>260.95215142012461</v>
          </cell>
          <cell r="CW47">
            <v>243.78483750251357</v>
          </cell>
          <cell r="CX47">
            <v>215.31550400805241</v>
          </cell>
          <cell r="CY47">
            <v>991.02905305083971</v>
          </cell>
          <cell r="CZ47">
            <v>294.27180151902462</v>
          </cell>
          <cell r="DA47">
            <v>282.80474348150688</v>
          </cell>
          <cell r="DB47">
            <v>267.88382556885847</v>
          </cell>
          <cell r="DC47">
            <v>241.6929521134075</v>
          </cell>
          <cell r="DD47">
            <v>1086.6533226827987</v>
          </cell>
          <cell r="DE47">
            <v>319.45758785483503</v>
          </cell>
          <cell r="DF47">
            <v>305.0758688560432</v>
          </cell>
          <cell r="DG47">
            <v>291.72606699545508</v>
          </cell>
          <cell r="DH47">
            <v>260.60730611084858</v>
          </cell>
          <cell r="DI47">
            <v>1176.8668298171829</v>
          </cell>
          <cell r="DK47" t="str">
            <v>mstag:averageDilutedSharesOutstanding</v>
          </cell>
          <cell r="DL47">
            <v>6</v>
          </cell>
          <cell r="DM47" t="str">
            <v>ms_eqr_gcim_Decimal:ms_eqr_gcim_decimal</v>
          </cell>
          <cell r="DN47" t="b">
            <v>0</v>
          </cell>
          <cell r="DO47" t="b">
            <v>0</v>
          </cell>
        </row>
        <row r="48">
          <cell r="B48" t="str">
            <v>Wtd. Avg Shares Outstanding - Diluted</v>
          </cell>
          <cell r="E48">
            <v>172.79008593749998</v>
          </cell>
          <cell r="F48">
            <v>215.26003125</v>
          </cell>
          <cell r="G48">
            <v>229.38440625000007</v>
          </cell>
          <cell r="H48">
            <v>241.19268750000003</v>
          </cell>
          <cell r="I48">
            <v>243.18900000000002</v>
          </cell>
          <cell r="J48">
            <v>248.51024999999998</v>
          </cell>
          <cell r="K48">
            <v>251.697</v>
          </cell>
          <cell r="L48">
            <v>255.57499999999999</v>
          </cell>
          <cell r="M48">
            <v>258.11399999999998</v>
          </cell>
          <cell r="N48">
            <v>256.49700000000001</v>
          </cell>
          <cell r="O48">
            <v>256.51299999999998</v>
          </cell>
          <cell r="P48">
            <v>255.06700000000001</v>
          </cell>
          <cell r="Q48">
            <v>255.06700000000001</v>
          </cell>
          <cell r="R48">
            <v>245.01499999999999</v>
          </cell>
          <cell r="S48">
            <v>244.97900000000001</v>
          </cell>
          <cell r="T48">
            <v>245.917</v>
          </cell>
          <cell r="U48">
            <v>254.78800000000001</v>
          </cell>
          <cell r="V48">
            <v>247.27699999999999</v>
          </cell>
          <cell r="W48">
            <v>264.29700000000003</v>
          </cell>
          <cell r="X48">
            <v>263.10000000000002</v>
          </cell>
          <cell r="Y48">
            <v>264.30500000000001</v>
          </cell>
          <cell r="Z48">
            <v>265.56799999999998</v>
          </cell>
          <cell r="AA48">
            <v>264.351</v>
          </cell>
          <cell r="AB48">
            <v>263.36500000000001</v>
          </cell>
          <cell r="AC48">
            <v>260.661</v>
          </cell>
          <cell r="AD48">
            <v>260.82100000000003</v>
          </cell>
          <cell r="AE48">
            <v>257.74</v>
          </cell>
          <cell r="AF48">
            <v>260.64100000000002</v>
          </cell>
          <cell r="AG48">
            <v>257.255</v>
          </cell>
          <cell r="AH48">
            <v>256.99299999999999</v>
          </cell>
          <cell r="AI48">
            <v>257.37900000000002</v>
          </cell>
          <cell r="AJ48">
            <v>251.863</v>
          </cell>
          <cell r="AK48">
            <v>255.88399999999999</v>
          </cell>
          <cell r="AL48">
            <v>246.15299999999999</v>
          </cell>
          <cell r="AM48">
            <v>247.16300000000001</v>
          </cell>
          <cell r="AN48">
            <v>247.136</v>
          </cell>
          <cell r="AO48">
            <v>246.69499999999999</v>
          </cell>
          <cell r="AP48">
            <v>246.82599999999999</v>
          </cell>
          <cell r="AQ48">
            <v>247.37899999999999</v>
          </cell>
          <cell r="AR48">
            <v>248.88800000000001</v>
          </cell>
          <cell r="AS48">
            <v>250.654</v>
          </cell>
          <cell r="AT48">
            <v>249.869</v>
          </cell>
          <cell r="AU48">
            <v>248.976</v>
          </cell>
          <cell r="AW48">
            <v>247.16300000000001</v>
          </cell>
          <cell r="AX48">
            <v>247.136</v>
          </cell>
          <cell r="AY48">
            <v>246.69499999999999</v>
          </cell>
          <cell r="AZ48">
            <v>247.37899999999999</v>
          </cell>
          <cell r="BA48">
            <v>247.09324999999998</v>
          </cell>
          <cell r="BB48">
            <v>248.88800000000001</v>
          </cell>
          <cell r="BC48">
            <v>250.654</v>
          </cell>
          <cell r="BD48">
            <v>249.869</v>
          </cell>
          <cell r="BE48">
            <v>244.697</v>
          </cell>
          <cell r="BF48">
            <v>248.52700000000002</v>
          </cell>
          <cell r="BG48">
            <v>243.42</v>
          </cell>
          <cell r="BH48">
            <v>243.56100000000001</v>
          </cell>
          <cell r="BI48">
            <v>243.24</v>
          </cell>
          <cell r="BJ48">
            <v>240.75899999999999</v>
          </cell>
          <cell r="BK48">
            <v>243.34</v>
          </cell>
          <cell r="BL48">
            <v>244.4</v>
          </cell>
          <cell r="BM48">
            <v>246.79400000000001</v>
          </cell>
          <cell r="BN48">
            <v>245.137</v>
          </cell>
          <cell r="BO48">
            <v>244.11799999999999</v>
          </cell>
          <cell r="BP48">
            <v>245.119</v>
          </cell>
          <cell r="BQ48">
            <v>243.73400000000001</v>
          </cell>
          <cell r="BR48">
            <v>245.77799999999999</v>
          </cell>
          <cell r="BS48">
            <v>244.80500000000001</v>
          </cell>
          <cell r="BT48">
            <v>244.36600000000001</v>
          </cell>
          <cell r="BU48">
            <v>244.67099999999999</v>
          </cell>
          <cell r="BV48">
            <v>245.22900000000001</v>
          </cell>
          <cell r="BW48">
            <v>245.91399999999999</v>
          </cell>
          <cell r="BX48">
            <v>247.51400000000001</v>
          </cell>
          <cell r="BY48">
            <v>249.17099999999999</v>
          </cell>
          <cell r="BZ48">
            <v>246.965</v>
          </cell>
          <cell r="CA48">
            <v>249.86699999999999</v>
          </cell>
          <cell r="CB48">
            <v>251.19800000000001</v>
          </cell>
          <cell r="CC48">
            <v>250.97200000000001</v>
          </cell>
          <cell r="CD48">
            <v>252.37200000000001</v>
          </cell>
          <cell r="CE48">
            <v>251.10599999999999</v>
          </cell>
          <cell r="CF48">
            <v>253.727</v>
          </cell>
          <cell r="CG48">
            <v>255.23500000000001</v>
          </cell>
          <cell r="CH48">
            <v>255.124</v>
          </cell>
          <cell r="CI48">
            <v>256.03199999999998</v>
          </cell>
          <cell r="CJ48">
            <v>255.03700000000001</v>
          </cell>
          <cell r="CK48">
            <v>255.69900000000001</v>
          </cell>
          <cell r="CL48">
            <v>256.02999999999997</v>
          </cell>
          <cell r="CM48">
            <v>256.78399999999999</v>
          </cell>
          <cell r="CN48">
            <v>258.65250322965943</v>
          </cell>
          <cell r="CO48">
            <v>256.79137580741485</v>
          </cell>
          <cell r="CP48">
            <v>258.65250322965943</v>
          </cell>
          <cell r="CQ48">
            <v>258.65250322965943</v>
          </cell>
          <cell r="CR48">
            <v>258.65250322965943</v>
          </cell>
          <cell r="CS48">
            <v>258.65250322965943</v>
          </cell>
          <cell r="CT48">
            <v>258.65250322965943</v>
          </cell>
          <cell r="CU48">
            <v>258.65250322965943</v>
          </cell>
          <cell r="CV48">
            <v>258.65250322965943</v>
          </cell>
          <cell r="CW48">
            <v>258.65250322965943</v>
          </cell>
          <cell r="CX48">
            <v>258.65250322965943</v>
          </cell>
          <cell r="CY48">
            <v>258.65250322965943</v>
          </cell>
          <cell r="CZ48">
            <v>258.65250322965943</v>
          </cell>
          <cell r="DA48">
            <v>258.65250322965943</v>
          </cell>
          <cell r="DB48">
            <v>258.65250322965943</v>
          </cell>
          <cell r="DC48">
            <v>258.65250322965943</v>
          </cell>
          <cell r="DD48">
            <v>258.65250322965943</v>
          </cell>
          <cell r="DE48">
            <v>258.65250322965943</v>
          </cell>
          <cell r="DF48">
            <v>258.65250322965943</v>
          </cell>
          <cell r="DG48">
            <v>258.65250322965943</v>
          </cell>
          <cell r="DH48">
            <v>258.65250322965943</v>
          </cell>
          <cell r="DI48">
            <v>258.65250322965943</v>
          </cell>
          <cell r="DK48" t="str">
            <v>mstag:averageDilutedSharesOutstanding</v>
          </cell>
          <cell r="DL48">
            <v>6</v>
          </cell>
          <cell r="DM48" t="str">
            <v>ms_eqr_gcim_Decimal:ms_eqr_gcim_decimal</v>
          </cell>
          <cell r="DN48" t="b">
            <v>0</v>
          </cell>
          <cell r="DO48" t="b">
            <v>0</v>
          </cell>
        </row>
        <row r="49">
          <cell r="B49" t="str">
            <v>Wtd. Avg Shares Outstanding - Basic</v>
          </cell>
          <cell r="E49">
            <v>172.6363125</v>
          </cell>
          <cell r="F49">
            <v>215.26003125</v>
          </cell>
          <cell r="G49">
            <v>225.23821875000002</v>
          </cell>
          <cell r="H49">
            <v>239.85618749999998</v>
          </cell>
          <cell r="I49">
            <v>243.18900000000002</v>
          </cell>
          <cell r="J49">
            <v>248.51024999999998</v>
          </cell>
          <cell r="K49">
            <v>251.697</v>
          </cell>
          <cell r="L49">
            <v>249.04900000000001</v>
          </cell>
          <cell r="M49">
            <v>251.65299999999999</v>
          </cell>
          <cell r="N49">
            <v>251.905</v>
          </cell>
          <cell r="O49">
            <v>251.97200000000001</v>
          </cell>
          <cell r="P49">
            <v>250.46700000000001</v>
          </cell>
          <cell r="Q49">
            <v>250.46700000000001</v>
          </cell>
          <cell r="R49">
            <v>241.916</v>
          </cell>
          <cell r="S49">
            <v>241.06399999999999</v>
          </cell>
          <cell r="T49">
            <v>242.078</v>
          </cell>
          <cell r="U49">
            <v>242.816</v>
          </cell>
          <cell r="V49">
            <v>241.946</v>
          </cell>
          <cell r="W49">
            <v>243.23400000000001</v>
          </cell>
          <cell r="X49">
            <v>244.11699999999999</v>
          </cell>
          <cell r="Y49">
            <v>245.048</v>
          </cell>
          <cell r="Z49">
            <v>245.297</v>
          </cell>
          <cell r="AA49">
            <v>244.42500000000001</v>
          </cell>
          <cell r="AB49">
            <v>243.649</v>
          </cell>
          <cell r="AC49">
            <v>241.25899999999999</v>
          </cell>
          <cell r="AD49">
            <v>241.227</v>
          </cell>
          <cell r="AE49">
            <v>239.05199999999999</v>
          </cell>
          <cell r="AF49">
            <v>241.298</v>
          </cell>
          <cell r="AG49">
            <v>238.589</v>
          </cell>
          <cell r="AH49">
            <v>238.673</v>
          </cell>
          <cell r="AI49">
            <v>239.108</v>
          </cell>
          <cell r="AJ49">
            <v>239.965</v>
          </cell>
          <cell r="AK49">
            <v>239.08600000000001</v>
          </cell>
          <cell r="AL49">
            <v>241.322</v>
          </cell>
          <cell r="AM49">
            <v>242.90100000000001</v>
          </cell>
          <cell r="AN49">
            <v>243.17500000000001</v>
          </cell>
          <cell r="AO49">
            <v>243.43199999999999</v>
          </cell>
          <cell r="AP49">
            <v>242.72499999999999</v>
          </cell>
          <cell r="AQ49">
            <v>243.714</v>
          </cell>
          <cell r="AR49">
            <v>245.03</v>
          </cell>
          <cell r="AS49">
            <v>246.785</v>
          </cell>
          <cell r="AT49">
            <v>246.626</v>
          </cell>
          <cell r="AU49">
            <v>245.53800000000001</v>
          </cell>
          <cell r="AW49">
            <v>242.90100000000001</v>
          </cell>
          <cell r="AX49">
            <v>243.17500000000001</v>
          </cell>
          <cell r="AY49">
            <v>243.43199999999999</v>
          </cell>
          <cell r="AZ49">
            <v>243.714</v>
          </cell>
          <cell r="BA49">
            <v>243.30549999999999</v>
          </cell>
          <cell r="BB49">
            <v>245.03</v>
          </cell>
          <cell r="BC49">
            <v>246.785</v>
          </cell>
          <cell r="BD49">
            <v>246.626</v>
          </cell>
          <cell r="BE49">
            <v>240.964</v>
          </cell>
          <cell r="BF49">
            <v>244.85124999999999</v>
          </cell>
          <cell r="BG49">
            <v>240.68600000000001</v>
          </cell>
          <cell r="BH49">
            <v>240.84200000000001</v>
          </cell>
          <cell r="BI49">
            <v>240.60499999999999</v>
          </cell>
          <cell r="BJ49">
            <v>240.75899999999999</v>
          </cell>
          <cell r="BK49">
            <v>240.72300000000001</v>
          </cell>
          <cell r="BL49">
            <v>241.65199999999999</v>
          </cell>
          <cell r="BM49">
            <v>242.35499999999999</v>
          </cell>
          <cell r="BN49">
            <v>242.46299999999999</v>
          </cell>
          <cell r="BO49">
            <v>242.733</v>
          </cell>
          <cell r="BP49">
            <v>242.30799999999999</v>
          </cell>
          <cell r="BQ49">
            <v>243.18700000000001</v>
          </cell>
          <cell r="BR49">
            <v>243.268</v>
          </cell>
          <cell r="BS49">
            <v>243.286</v>
          </cell>
          <cell r="BT49">
            <v>243.48500000000001</v>
          </cell>
          <cell r="BU49">
            <v>243.30699999999999</v>
          </cell>
          <cell r="BV49">
            <v>244.774</v>
          </cell>
          <cell r="BW49">
            <v>244.834</v>
          </cell>
          <cell r="BX49">
            <v>245.23400000000001</v>
          </cell>
          <cell r="BY49">
            <v>246.648</v>
          </cell>
          <cell r="BZ49">
            <v>245.381</v>
          </cell>
          <cell r="CA49">
            <v>247.55500000000001</v>
          </cell>
          <cell r="CB49">
            <v>248.39</v>
          </cell>
          <cell r="CC49">
            <v>248.52600000000001</v>
          </cell>
          <cell r="CD49">
            <v>248.6</v>
          </cell>
          <cell r="CE49">
            <v>248.27199999999999</v>
          </cell>
          <cell r="CF49">
            <v>250.03800000000001</v>
          </cell>
          <cell r="CG49">
            <v>251.76499999999999</v>
          </cell>
          <cell r="CH49">
            <v>252.15700000000001</v>
          </cell>
          <cell r="CI49">
            <v>252.17500000000001</v>
          </cell>
          <cell r="CJ49">
            <v>251.541</v>
          </cell>
          <cell r="CK49">
            <v>253.316</v>
          </cell>
          <cell r="CL49">
            <v>254.49600000000001</v>
          </cell>
          <cell r="CM49">
            <v>254.51599999999999</v>
          </cell>
          <cell r="CN49">
            <v>256.36799999999999</v>
          </cell>
          <cell r="CO49">
            <v>254.67399999999998</v>
          </cell>
          <cell r="CP49">
            <v>256.36799999999999</v>
          </cell>
          <cell r="CQ49">
            <v>256.36799999999999</v>
          </cell>
          <cell r="CR49">
            <v>256.36799999999999</v>
          </cell>
          <cell r="CS49">
            <v>256.36799999999999</v>
          </cell>
          <cell r="CT49">
            <v>256.36799999999999</v>
          </cell>
          <cell r="CU49">
            <v>256.36799999999999</v>
          </cell>
          <cell r="CV49">
            <v>256.36799999999999</v>
          </cell>
          <cell r="CW49">
            <v>256.36799999999999</v>
          </cell>
          <cell r="CX49">
            <v>256.36799999999999</v>
          </cell>
          <cell r="CY49">
            <v>256.36799999999999</v>
          </cell>
          <cell r="CZ49">
            <v>256.36799999999999</v>
          </cell>
          <cell r="DA49">
            <v>256.36799999999999</v>
          </cell>
          <cell r="DB49">
            <v>256.36799999999999</v>
          </cell>
          <cell r="DC49">
            <v>256.36799999999999</v>
          </cell>
          <cell r="DD49">
            <v>256.36799999999999</v>
          </cell>
          <cell r="DE49">
            <v>256.36799999999999</v>
          </cell>
          <cell r="DF49">
            <v>256.36799999999999</v>
          </cell>
          <cell r="DG49">
            <v>256.36799999999999</v>
          </cell>
          <cell r="DH49">
            <v>256.36799999999999</v>
          </cell>
          <cell r="DI49">
            <v>256.36799999999999</v>
          </cell>
          <cell r="DK49" t="str">
            <v>mstag:averageBasicSharesOutstanding</v>
          </cell>
          <cell r="DL49">
            <v>6</v>
          </cell>
          <cell r="DM49" t="str">
            <v>ms_eqr_gcim_Decimal:ms_eqr_gcim_decimal</v>
          </cell>
          <cell r="DN49" t="b">
            <v>0</v>
          </cell>
        </row>
        <row r="50">
          <cell r="B50" t="str">
            <v>Total Shares Outstanding - Period End</v>
          </cell>
          <cell r="E50">
            <v>190.78157812500004</v>
          </cell>
          <cell r="F50">
            <v>214.77023437499997</v>
          </cell>
          <cell r="G50">
            <v>227.05312499999997</v>
          </cell>
          <cell r="H50">
            <v>248.73075</v>
          </cell>
          <cell r="I50">
            <v>235.74037500000003</v>
          </cell>
          <cell r="J50">
            <v>237.82274999999998</v>
          </cell>
          <cell r="K50">
            <v>244.0575</v>
          </cell>
          <cell r="L50">
            <v>251.55799999999999</v>
          </cell>
          <cell r="M50">
            <v>251.37200000000001</v>
          </cell>
          <cell r="N50">
            <v>251.447</v>
          </cell>
          <cell r="O50">
            <v>251.49800000000002</v>
          </cell>
          <cell r="P50">
            <v>253.405</v>
          </cell>
          <cell r="Q50">
            <v>253.405</v>
          </cell>
          <cell r="R50">
            <v>241.1</v>
          </cell>
          <cell r="S50">
            <v>241.1</v>
          </cell>
          <cell r="T50">
            <v>242.76400000000001</v>
          </cell>
          <cell r="U50">
            <v>242.857</v>
          </cell>
          <cell r="V50">
            <v>242.857</v>
          </cell>
          <cell r="W50">
            <v>243.57299999999998</v>
          </cell>
          <cell r="X50">
            <v>244.971</v>
          </cell>
          <cell r="Y50">
            <v>245.10599999999999</v>
          </cell>
          <cell r="Z50">
            <v>245.435</v>
          </cell>
          <cell r="AA50">
            <v>245.435</v>
          </cell>
          <cell r="AB50">
            <v>242.01900000000001</v>
          </cell>
          <cell r="AC50">
            <v>239.89499999999998</v>
          </cell>
          <cell r="AD50">
            <v>241.39500000000001</v>
          </cell>
          <cell r="AE50">
            <v>238.56700000000001</v>
          </cell>
          <cell r="AF50">
            <v>238.56700000000001</v>
          </cell>
          <cell r="AG50">
            <v>238.66000000000003</v>
          </cell>
          <cell r="AH50">
            <v>238.678</v>
          </cell>
          <cell r="AI50">
            <v>239.738</v>
          </cell>
          <cell r="AJ50">
            <v>240.20499999999998</v>
          </cell>
          <cell r="AK50">
            <v>240.20499999999998</v>
          </cell>
          <cell r="AL50">
            <v>242.786</v>
          </cell>
          <cell r="AM50">
            <v>242.97500000000002</v>
          </cell>
          <cell r="AN50">
            <v>243.38099999999997</v>
          </cell>
          <cell r="AO50">
            <v>243.48099999999999</v>
          </cell>
          <cell r="AP50">
            <v>243.48099999999999</v>
          </cell>
          <cell r="AQ50">
            <v>243.98899999999998</v>
          </cell>
          <cell r="AR50">
            <v>246.49599999999998</v>
          </cell>
          <cell r="AS50">
            <v>247.178</v>
          </cell>
          <cell r="AT50">
            <v>244.785</v>
          </cell>
          <cell r="AU50">
            <v>244.785</v>
          </cell>
          <cell r="AW50">
            <v>242.97500000000002</v>
          </cell>
          <cell r="AX50">
            <v>243.38099999999997</v>
          </cell>
          <cell r="AY50">
            <v>243.48099999999999</v>
          </cell>
          <cell r="AZ50">
            <v>247.09324999999998</v>
          </cell>
          <cell r="BA50">
            <v>247.09324999999998</v>
          </cell>
          <cell r="BB50">
            <v>248.88800000000001</v>
          </cell>
          <cell r="BC50">
            <v>250.654</v>
          </cell>
          <cell r="BD50">
            <v>249.869</v>
          </cell>
          <cell r="BE50">
            <v>248.52700000000002</v>
          </cell>
          <cell r="BF50">
            <v>248.52700000000002</v>
          </cell>
          <cell r="BG50">
            <v>240.75400000000002</v>
          </cell>
          <cell r="BH50">
            <v>240.476</v>
          </cell>
          <cell r="BI50">
            <v>241.035</v>
          </cell>
          <cell r="BJ50">
            <v>240.70699999999999</v>
          </cell>
          <cell r="BK50">
            <v>240.70699999999999</v>
          </cell>
          <cell r="BL50">
            <v>242.23099999999999</v>
          </cell>
          <cell r="BM50">
            <v>242.45800000000003</v>
          </cell>
          <cell r="BN50">
            <v>242.46500000000003</v>
          </cell>
          <cell r="BO50">
            <v>242.86600000000004</v>
          </cell>
          <cell r="BP50">
            <v>242.86600000000004</v>
          </cell>
          <cell r="BQ50">
            <v>243.267</v>
          </cell>
          <cell r="BR50">
            <v>244.346</v>
          </cell>
          <cell r="BS50">
            <v>243.85599999999999</v>
          </cell>
          <cell r="BT50">
            <v>244.221</v>
          </cell>
          <cell r="BU50">
            <v>244.221</v>
          </cell>
          <cell r="BV50">
            <v>246.61199999999999</v>
          </cell>
          <cell r="BW50">
            <v>246.62200000000001</v>
          </cell>
          <cell r="BX50">
            <v>248.03700000000001</v>
          </cell>
          <cell r="BY50">
            <v>248.517</v>
          </cell>
          <cell r="BZ50">
            <v>248.517</v>
          </cell>
          <cell r="CA50">
            <v>250.33099999999999</v>
          </cell>
          <cell r="CB50">
            <v>250.608</v>
          </cell>
          <cell r="CC50">
            <v>250.62100000000001</v>
          </cell>
          <cell r="CD50">
            <v>250.88</v>
          </cell>
          <cell r="CE50">
            <v>250.88</v>
          </cell>
          <cell r="CF50">
            <v>253.155</v>
          </cell>
          <cell r="CG50">
            <v>254.095</v>
          </cell>
          <cell r="CH50">
            <v>254.10300000000001</v>
          </cell>
          <cell r="CI50">
            <v>254.15600000000001</v>
          </cell>
          <cell r="CJ50">
            <v>254.15600000000001</v>
          </cell>
          <cell r="CK50">
            <v>256.33300000000003</v>
          </cell>
          <cell r="CL50">
            <v>256.34199999999998</v>
          </cell>
          <cell r="CM50">
            <v>256.36799999999999</v>
          </cell>
          <cell r="CN50">
            <v>256.36799999999999</v>
          </cell>
          <cell r="CO50">
            <v>256.36799999999999</v>
          </cell>
          <cell r="CP50">
            <v>256.36799999999999</v>
          </cell>
          <cell r="CQ50">
            <v>256.36799999999999</v>
          </cell>
          <cell r="CR50">
            <v>256.36799999999999</v>
          </cell>
          <cell r="CS50">
            <v>256.36799999999999</v>
          </cell>
          <cell r="CT50">
            <v>256.36799999999999</v>
          </cell>
          <cell r="CU50">
            <v>256.36799999999999</v>
          </cell>
          <cell r="CV50">
            <v>256.36799999999999</v>
          </cell>
          <cell r="CW50">
            <v>256.36799999999999</v>
          </cell>
          <cell r="CX50">
            <v>256.36799999999999</v>
          </cell>
          <cell r="CY50">
            <v>256.36799999999999</v>
          </cell>
          <cell r="CZ50">
            <v>256.36799999999999</v>
          </cell>
          <cell r="DA50">
            <v>256.36799999999999</v>
          </cell>
          <cell r="DB50">
            <v>256.36799999999999</v>
          </cell>
          <cell r="DC50">
            <v>256.36799999999999</v>
          </cell>
          <cell r="DD50">
            <v>256.36799999999999</v>
          </cell>
          <cell r="DE50">
            <v>256.36799999999999</v>
          </cell>
          <cell r="DF50">
            <v>256.36799999999999</v>
          </cell>
          <cell r="DG50">
            <v>256.36799999999999</v>
          </cell>
          <cell r="DH50">
            <v>256.36799999999999</v>
          </cell>
          <cell r="DI50">
            <v>256.36799999999999</v>
          </cell>
          <cell r="DK50" t="str">
            <v>mstag:periodEndBasicSharesOutstanding</v>
          </cell>
          <cell r="DL50">
            <v>6</v>
          </cell>
          <cell r="DM50" t="str">
            <v>ms_eqr_gcim_Decimal:ms_eqr_gcim_decimal</v>
          </cell>
          <cell r="DN50" t="b">
            <v>0</v>
          </cell>
        </row>
        <row r="51">
          <cell r="B51" t="str">
            <v>Share repurchase</v>
          </cell>
        </row>
        <row r="52">
          <cell r="B52" t="str">
            <v>Share repurchase</v>
          </cell>
        </row>
        <row r="53">
          <cell r="B53" t="str">
            <v>Authorization</v>
          </cell>
        </row>
        <row r="54">
          <cell r="B54" t="str">
            <v>Number of shares repurchased</v>
          </cell>
        </row>
        <row r="55">
          <cell r="B55" t="str">
            <v>Average repurchase price</v>
          </cell>
        </row>
        <row r="56">
          <cell r="B56" t="str">
            <v>Amount repurchased ($)</v>
          </cell>
        </row>
        <row r="57">
          <cell r="B57" t="str">
            <v xml:space="preserve">EBITDAR </v>
          </cell>
          <cell r="D57">
            <v>43.752999999999986</v>
          </cell>
          <cell r="E57">
            <v>55.13000000000001</v>
          </cell>
          <cell r="F57">
            <v>67.442999999999984</v>
          </cell>
          <cell r="G57">
            <v>84.262</v>
          </cell>
          <cell r="H57">
            <v>113.95399999999998</v>
          </cell>
          <cell r="I57">
            <v>141.09000000000006</v>
          </cell>
          <cell r="J57">
            <v>185.18599999999998</v>
          </cell>
          <cell r="K57">
            <v>238.02600000000001</v>
          </cell>
          <cell r="L57">
            <v>307.40499999999992</v>
          </cell>
          <cell r="M57">
            <v>74.396999999999977</v>
          </cell>
          <cell r="N57">
            <v>101.45299999999999</v>
          </cell>
          <cell r="O57">
            <v>90.762000000000015</v>
          </cell>
          <cell r="P57">
            <v>82.850000000000009</v>
          </cell>
          <cell r="Q57">
            <v>349.46199999999999</v>
          </cell>
          <cell r="R57">
            <v>89.546999999999997</v>
          </cell>
          <cell r="S57">
            <v>117.40800000000002</v>
          </cell>
          <cell r="T57">
            <v>107.65899999999999</v>
          </cell>
          <cell r="U57">
            <v>99.361999999999995</v>
          </cell>
          <cell r="V57">
            <v>413.97599999999989</v>
          </cell>
          <cell r="W57">
            <v>103.11000000000004</v>
          </cell>
          <cell r="X57">
            <v>134.90700000000004</v>
          </cell>
          <cell r="Y57">
            <v>126.77099999999997</v>
          </cell>
          <cell r="Z57">
            <v>124.62900000000002</v>
          </cell>
          <cell r="AA57">
            <v>489.41700000000003</v>
          </cell>
          <cell r="AB57">
            <v>119.76200000000004</v>
          </cell>
          <cell r="AC57">
            <v>153.51300000000001</v>
          </cell>
          <cell r="AD57">
            <v>150.24099999999999</v>
          </cell>
          <cell r="AE57">
            <v>141.07399999999996</v>
          </cell>
          <cell r="AF57">
            <v>564.58999999999969</v>
          </cell>
          <cell r="AG57">
            <v>140.65899999999999</v>
          </cell>
          <cell r="AH57">
            <v>171.98299999999995</v>
          </cell>
          <cell r="AI57">
            <v>169.87399999999997</v>
          </cell>
          <cell r="AJ57">
            <v>160.67200000000003</v>
          </cell>
          <cell r="AK57">
            <v>643.1880000000001</v>
          </cell>
          <cell r="AL57">
            <v>167.56799999999998</v>
          </cell>
          <cell r="AM57">
            <v>204.773</v>
          </cell>
          <cell r="AN57">
            <v>199.964</v>
          </cell>
          <cell r="AO57">
            <v>176.75599999999991</v>
          </cell>
          <cell r="AP57">
            <v>749.06099999999992</v>
          </cell>
          <cell r="AQ57">
            <v>185.02900000000005</v>
          </cell>
          <cell r="AR57">
            <v>221.37400000000008</v>
          </cell>
          <cell r="AS57">
            <v>184.01599999999999</v>
          </cell>
          <cell r="AT57">
            <v>183.73799999999994</v>
          </cell>
          <cell r="AU57">
            <v>774.15700000000015</v>
          </cell>
          <cell r="AW57">
            <v>204.773</v>
          </cell>
          <cell r="AX57">
            <v>199.964</v>
          </cell>
          <cell r="AY57">
            <v>176.75599999999991</v>
          </cell>
          <cell r="AZ57">
            <v>185.02900000000005</v>
          </cell>
          <cell r="BA57">
            <v>766.52199999999971</v>
          </cell>
          <cell r="BB57">
            <v>221.37400000000008</v>
          </cell>
          <cell r="BC57">
            <v>184.01599999999999</v>
          </cell>
          <cell r="BD57">
            <v>183.73799999999994</v>
          </cell>
          <cell r="BE57">
            <v>189.49000000000009</v>
          </cell>
          <cell r="BF57">
            <v>778.61800000000017</v>
          </cell>
          <cell r="BG57">
            <v>218.88700000000011</v>
          </cell>
          <cell r="BH57">
            <v>204.76199999999994</v>
          </cell>
          <cell r="BI57">
            <v>186.60000000000008</v>
          </cell>
          <cell r="BJ57">
            <v>7.8379999999999654</v>
          </cell>
          <cell r="BK57">
            <v>618.08700000000022</v>
          </cell>
          <cell r="BL57">
            <v>214.5539999999998</v>
          </cell>
          <cell r="BM57">
            <v>155.64300000000006</v>
          </cell>
          <cell r="BN57">
            <v>171.97199999999998</v>
          </cell>
          <cell r="BO57">
            <v>173.59100000000004</v>
          </cell>
          <cell r="BP57">
            <v>715.76000000000033</v>
          </cell>
          <cell r="BQ57">
            <v>203.75299999999996</v>
          </cell>
          <cell r="BR57">
            <v>185.96000000000004</v>
          </cell>
          <cell r="BS57">
            <v>165.3719999999999</v>
          </cell>
          <cell r="BT57">
            <v>170.24400000000006</v>
          </cell>
          <cell r="BU57">
            <v>725.32899999999995</v>
          </cell>
          <cell r="BV57">
            <v>208.70299999999992</v>
          </cell>
          <cell r="BW57">
            <v>198.11500000000001</v>
          </cell>
          <cell r="BX57">
            <v>183.54700000000008</v>
          </cell>
          <cell r="BY57">
            <v>198.77799999999991</v>
          </cell>
          <cell r="BZ57">
            <v>789.14299999999935</v>
          </cell>
          <cell r="CA57">
            <v>226.3189999999999</v>
          </cell>
          <cell r="CB57">
            <v>213.04000000000002</v>
          </cell>
          <cell r="CC57">
            <v>201.39800000000005</v>
          </cell>
          <cell r="CD57">
            <v>220.41899999999998</v>
          </cell>
          <cell r="CE57">
            <v>861.17600000000039</v>
          </cell>
          <cell r="CF57">
            <v>250.44700000000014</v>
          </cell>
          <cell r="CG57">
            <v>240.54200000000006</v>
          </cell>
          <cell r="CH57">
            <v>224.38100000000003</v>
          </cell>
          <cell r="CI57">
            <v>266.91399999999987</v>
          </cell>
          <cell r="CJ57">
            <v>982.28400000000079</v>
          </cell>
          <cell r="CK57">
            <v>284.54000000000025</v>
          </cell>
          <cell r="CL57">
            <v>277.12699999999995</v>
          </cell>
          <cell r="CM57">
            <v>278.27400000000006</v>
          </cell>
          <cell r="CN57">
            <v>333.50501303617449</v>
          </cell>
          <cell r="CO57">
            <v>1173.4460130361754</v>
          </cell>
          <cell r="CP57">
            <v>315.49803162738897</v>
          </cell>
          <cell r="CQ57">
            <v>305.55847514900881</v>
          </cell>
          <cell r="CR57">
            <v>286.8431939730757</v>
          </cell>
          <cell r="CS57">
            <v>292.77813238288923</v>
          </cell>
          <cell r="CT57">
            <v>1200.6778331323621</v>
          </cell>
          <cell r="CU57">
            <v>331.11939971009417</v>
          </cell>
          <cell r="CV57">
            <v>319.17660198973715</v>
          </cell>
          <cell r="CW57">
            <v>304.59047773787347</v>
          </cell>
          <cell r="CX57">
            <v>306.86578192216882</v>
          </cell>
          <cell r="CY57">
            <v>1261.7522613598735</v>
          </cell>
          <cell r="CZ57">
            <v>349.20184755399202</v>
          </cell>
          <cell r="DA57">
            <v>335.83855234546616</v>
          </cell>
          <cell r="DB57">
            <v>323.3568460076367</v>
          </cell>
          <cell r="DC57">
            <v>328.63719513051313</v>
          </cell>
          <cell r="DD57">
            <v>1337.0344410376074</v>
          </cell>
          <cell r="DE57">
            <v>372.30613014637197</v>
          </cell>
          <cell r="DF57">
            <v>356.0927748062212</v>
          </cell>
          <cell r="DG57">
            <v>345.06332983175048</v>
          </cell>
          <cell r="DH57">
            <v>346.16163856703088</v>
          </cell>
          <cell r="DI57">
            <v>1419.6238733513751</v>
          </cell>
        </row>
        <row r="58">
          <cell r="B58" t="str">
            <v xml:space="preserve">EBITDAR </v>
          </cell>
          <cell r="D58">
            <v>43.752999999999986</v>
          </cell>
          <cell r="E58">
            <v>55.13000000000001</v>
          </cell>
          <cell r="F58">
            <v>67.442999999999984</v>
          </cell>
          <cell r="G58">
            <v>84.262</v>
          </cell>
          <cell r="H58">
            <v>113.95399999999998</v>
          </cell>
          <cell r="I58">
            <v>141.09000000000006</v>
          </cell>
          <cell r="J58">
            <v>185.18599999999998</v>
          </cell>
          <cell r="K58">
            <v>238.02600000000001</v>
          </cell>
          <cell r="L58">
            <v>307.40499999999992</v>
          </cell>
          <cell r="M58">
            <v>74.396999999999977</v>
          </cell>
          <cell r="N58">
            <v>101.45299999999999</v>
          </cell>
          <cell r="O58">
            <v>90.762000000000015</v>
          </cell>
          <cell r="P58">
            <v>82.850000000000009</v>
          </cell>
          <cell r="Q58">
            <v>349.46199999999999</v>
          </cell>
          <cell r="R58">
            <v>89.546999999999997</v>
          </cell>
          <cell r="S58">
            <v>117.40800000000002</v>
          </cell>
          <cell r="T58">
            <v>107.65899999999999</v>
          </cell>
          <cell r="U58">
            <v>99.361999999999995</v>
          </cell>
          <cell r="V58">
            <v>413.97599999999989</v>
          </cell>
          <cell r="W58">
            <v>103.11000000000004</v>
          </cell>
          <cell r="X58">
            <v>134.90700000000004</v>
          </cell>
          <cell r="Y58">
            <v>126.77099999999997</v>
          </cell>
          <cell r="Z58">
            <v>124.62900000000002</v>
          </cell>
          <cell r="AA58">
            <v>489.41700000000003</v>
          </cell>
          <cell r="AB58">
            <v>119.76200000000004</v>
          </cell>
          <cell r="AC58">
            <v>153.51300000000001</v>
          </cell>
          <cell r="AD58">
            <v>150.24099999999999</v>
          </cell>
          <cell r="AE58">
            <v>141.07399999999996</v>
          </cell>
          <cell r="AF58">
            <v>564.58999999999969</v>
          </cell>
          <cell r="AG58">
            <v>140.65899999999999</v>
          </cell>
          <cell r="AH58">
            <v>171.98299999999995</v>
          </cell>
          <cell r="AI58">
            <v>169.87399999999997</v>
          </cell>
          <cell r="AJ58">
            <v>160.67200000000003</v>
          </cell>
          <cell r="AK58">
            <v>643.1880000000001</v>
          </cell>
          <cell r="AL58">
            <v>167.56799999999998</v>
          </cell>
          <cell r="AM58">
            <v>204.773</v>
          </cell>
          <cell r="AN58">
            <v>199.964</v>
          </cell>
          <cell r="AO58">
            <v>176.75599999999991</v>
          </cell>
          <cell r="AP58">
            <v>749.06099999999992</v>
          </cell>
          <cell r="AQ58">
            <v>185.02900000000005</v>
          </cell>
          <cell r="AR58">
            <v>221.37400000000008</v>
          </cell>
          <cell r="AS58">
            <v>184.01599999999999</v>
          </cell>
          <cell r="AT58">
            <v>183.73799999999994</v>
          </cell>
          <cell r="AU58">
            <v>774.15700000000015</v>
          </cell>
          <cell r="AW58">
            <v>204.773</v>
          </cell>
          <cell r="AX58">
            <v>199.964</v>
          </cell>
          <cell r="AY58">
            <v>176.75599999999991</v>
          </cell>
          <cell r="AZ58">
            <v>185.02900000000005</v>
          </cell>
          <cell r="BA58">
            <v>766.52199999999971</v>
          </cell>
          <cell r="BB58">
            <v>221.37400000000008</v>
          </cell>
          <cell r="BC58">
            <v>184.01599999999999</v>
          </cell>
          <cell r="BD58">
            <v>183.73799999999994</v>
          </cell>
          <cell r="BE58">
            <v>189.49000000000009</v>
          </cell>
          <cell r="BF58">
            <v>778.61800000000017</v>
          </cell>
          <cell r="BG58">
            <v>218.88700000000011</v>
          </cell>
          <cell r="BH58">
            <v>204.76199999999994</v>
          </cell>
          <cell r="BI58">
            <v>186.60000000000008</v>
          </cell>
          <cell r="BJ58">
            <v>7.8379999999999654</v>
          </cell>
          <cell r="BK58">
            <v>618.08700000000022</v>
          </cell>
          <cell r="BL58">
            <v>214.5539999999998</v>
          </cell>
          <cell r="BM58">
            <v>155.64300000000006</v>
          </cell>
          <cell r="BN58">
            <v>171.97199999999998</v>
          </cell>
          <cell r="BO58">
            <v>173.59100000000004</v>
          </cell>
          <cell r="BP58">
            <v>715.76000000000033</v>
          </cell>
          <cell r="BQ58">
            <v>203.75299999999996</v>
          </cell>
          <cell r="BR58">
            <v>185.96000000000004</v>
          </cell>
          <cell r="BS58">
            <v>165.3719999999999</v>
          </cell>
          <cell r="BT58">
            <v>170.24400000000006</v>
          </cell>
          <cell r="BU58">
            <v>725.32899999999995</v>
          </cell>
          <cell r="BV58">
            <v>208.70299999999992</v>
          </cell>
          <cell r="BW58">
            <v>198.11500000000001</v>
          </cell>
          <cell r="BX58">
            <v>183.54700000000008</v>
          </cell>
          <cell r="BY58">
            <v>198.77799999999991</v>
          </cell>
          <cell r="BZ58">
            <v>789.14299999999935</v>
          </cell>
          <cell r="CA58">
            <v>226.3189999999999</v>
          </cell>
          <cell r="CB58">
            <v>213.04000000000002</v>
          </cell>
          <cell r="CC58">
            <v>201.39800000000005</v>
          </cell>
          <cell r="CD58">
            <v>220.41899999999998</v>
          </cell>
          <cell r="CE58">
            <v>861.17600000000039</v>
          </cell>
          <cell r="CF58">
            <v>250.44700000000014</v>
          </cell>
          <cell r="CG58">
            <v>240.54200000000006</v>
          </cell>
          <cell r="CH58">
            <v>224.38100000000003</v>
          </cell>
          <cell r="CI58">
            <v>266.91399999999987</v>
          </cell>
          <cell r="CJ58">
            <v>982.28400000000079</v>
          </cell>
          <cell r="CK58">
            <v>284.54000000000025</v>
          </cell>
          <cell r="CL58">
            <v>277.12699999999995</v>
          </cell>
          <cell r="CM58">
            <v>278.27400000000006</v>
          </cell>
          <cell r="CN58">
            <v>298.70460663476058</v>
          </cell>
          <cell r="CO58">
            <v>1138.6456066347616</v>
          </cell>
          <cell r="CP58">
            <v>312.96676355302282</v>
          </cell>
          <cell r="CQ58">
            <v>305.02718627142974</v>
          </cell>
          <cell r="CR58">
            <v>283.53607382068236</v>
          </cell>
          <cell r="CS58">
            <v>260.80711845798891</v>
          </cell>
          <cell r="CT58">
            <v>1162.3371421031245</v>
          </cell>
          <cell r="CU58">
            <v>328.73786195348197</v>
          </cell>
          <cell r="CV58">
            <v>318.64945677845793</v>
          </cell>
          <cell r="CW58">
            <v>301.55078463584692</v>
          </cell>
          <cell r="CX58">
            <v>274.37955777238574</v>
          </cell>
          <cell r="CY58">
            <v>1223.3176611401732</v>
          </cell>
          <cell r="CZ58">
            <v>346.69927574069129</v>
          </cell>
          <cell r="DA58">
            <v>335.16630133392357</v>
          </cell>
          <cell r="DB58">
            <v>320.31608444952519</v>
          </cell>
          <cell r="DC58">
            <v>295.46226082400415</v>
          </cell>
          <cell r="DD58">
            <v>1297.6439223481455</v>
          </cell>
          <cell r="DE58">
            <v>369.92455296981836</v>
          </cell>
          <cell r="DF58">
            <v>355.47494011069904</v>
          </cell>
          <cell r="DG58">
            <v>342.19796030920838</v>
          </cell>
          <cell r="DH58">
            <v>312.45636074942979</v>
          </cell>
          <cell r="DI58">
            <v>1380.0538141391567</v>
          </cell>
        </row>
        <row r="59">
          <cell r="B59" t="str">
            <v>Seasonality</v>
          </cell>
          <cell r="M59">
            <v>0.21124445175078083</v>
          </cell>
          <cell r="N59">
            <v>0.29578016919789069</v>
          </cell>
          <cell r="O59">
            <v>0.25973709834469338</v>
          </cell>
          <cell r="P59">
            <v>0.23323828070663521</v>
          </cell>
          <cell r="R59">
            <v>0.21357477139033529</v>
          </cell>
          <cell r="S59">
            <v>0.28771427583216058</v>
          </cell>
          <cell r="T59">
            <v>0.26073341332787037</v>
          </cell>
          <cell r="U59">
            <v>0.23797753944963412</v>
          </cell>
          <cell r="W59">
            <v>0.20863772858904028</v>
          </cell>
          <cell r="X59">
            <v>0.27789159701895155</v>
          </cell>
          <cell r="Y59">
            <v>0.25978727815465685</v>
          </cell>
          <cell r="Z59">
            <v>0.25368339623735142</v>
          </cell>
          <cell r="AB59">
            <v>0.21029404376842867</v>
          </cell>
          <cell r="AC59">
            <v>0.27426566346306214</v>
          </cell>
          <cell r="AD59">
            <v>0.26640156740902204</v>
          </cell>
          <cell r="AE59">
            <v>0.24903872535948779</v>
          </cell>
          <cell r="AG59">
            <v>0.21686373014253008</v>
          </cell>
          <cell r="AH59">
            <v>0.26970395774536199</v>
          </cell>
          <cell r="AI59">
            <v>0.26553888664899855</v>
          </cell>
          <cell r="AJ59">
            <v>0.247893425463109</v>
          </cell>
          <cell r="AL59">
            <v>0.22266517389999926</v>
          </cell>
          <cell r="AM59">
            <v>0.27418464938277026</v>
          </cell>
          <cell r="AN59">
            <v>0.26844042470675189</v>
          </cell>
          <cell r="AO59">
            <v>0.23470975201047853</v>
          </cell>
          <cell r="AQ59">
            <v>0.23964757834920383</v>
          </cell>
          <cell r="AR59">
            <v>0.29042122859767344</v>
          </cell>
          <cell r="AS59">
            <v>0.23438721309043603</v>
          </cell>
          <cell r="AT59">
            <v>0.23554397996268667</v>
          </cell>
          <cell r="AW59">
            <v>0.26796145110446196</v>
          </cell>
          <cell r="AX59">
            <v>0.26234760370957327</v>
          </cell>
          <cell r="AY59">
            <v>0.22938251969494994</v>
          </cell>
          <cell r="AZ59">
            <v>0.24030842549101514</v>
          </cell>
          <cell r="BB59">
            <v>0.28947323525564844</v>
          </cell>
          <cell r="BC59">
            <v>0.23362212605276172</v>
          </cell>
          <cell r="BD59">
            <v>0.23477511700512366</v>
          </cell>
          <cell r="BE59">
            <v>0.24212952168646615</v>
          </cell>
          <cell r="BG59">
            <v>0.3686592722464081</v>
          </cell>
          <cell r="BH59">
            <v>0.34076861358334676</v>
          </cell>
          <cell r="BI59">
            <v>0.30749000787483477</v>
          </cell>
          <cell r="BJ59">
            <v>-1.6917893704589747E-2</v>
          </cell>
          <cell r="BL59">
            <v>0.30698269444739795</v>
          </cell>
          <cell r="BM59">
            <v>0.21361715095654327</v>
          </cell>
          <cell r="BN59">
            <v>0.2401159311714221</v>
          </cell>
          <cell r="BO59">
            <v>0.23928422342463593</v>
          </cell>
          <cell r="BQ59">
            <v>0.28665814353583657</v>
          </cell>
          <cell r="BR59">
            <v>0.25771264422242224</v>
          </cell>
          <cell r="BS59">
            <v>0.2240131319349084</v>
          </cell>
          <cell r="BT59">
            <v>0.23161608030683284</v>
          </cell>
          <cell r="BV59">
            <v>0.26777313464217206</v>
          </cell>
          <cell r="BW59">
            <v>0.25216460645775501</v>
          </cell>
          <cell r="BX59">
            <v>0.23071857633869808</v>
          </cell>
          <cell r="BY59">
            <v>0.24934368256137562</v>
          </cell>
          <cell r="CA59">
            <v>0.26656402820656916</v>
          </cell>
          <cell r="CB59">
            <v>0.24775105014350365</v>
          </cell>
          <cell r="CC59">
            <v>0.23244895908852697</v>
          </cell>
          <cell r="CD59">
            <v>0.25323596256139963</v>
          </cell>
          <cell r="CF59">
            <v>0.25902415218509983</v>
          </cell>
          <cell r="CG59">
            <v>0.24614596646187506</v>
          </cell>
          <cell r="CH59">
            <v>0.22500163076172261</v>
          </cell>
          <cell r="CI59">
            <v>0.26982825059130172</v>
          </cell>
          <cell r="CK59">
            <v>0.23961218118093902</v>
          </cell>
          <cell r="CL59">
            <v>0.2724745910447442</v>
          </cell>
          <cell r="CM59">
            <v>0.23648791405016176</v>
          </cell>
          <cell r="CN59">
            <v>0.29051725014042512</v>
          </cell>
          <cell r="CP59">
            <v>0.26522041020982851</v>
          </cell>
          <cell r="CQ59">
            <v>0.25560205516202056</v>
          </cell>
          <cell r="CR59">
            <v>0.23731275110953001</v>
          </cell>
          <cell r="CS59">
            <v>0.24186478351862148</v>
          </cell>
          <cell r="CU59">
            <v>0.26476932865253378</v>
          </cell>
          <cell r="CV59">
            <v>0.25379884998264557</v>
          </cell>
          <cell r="CW59">
            <v>0.24026467302411203</v>
          </cell>
          <cell r="CX59">
            <v>0.24116714834070879</v>
          </cell>
          <cell r="CZ59">
            <v>0.26324132371728559</v>
          </cell>
          <cell r="DA59">
            <v>0.25170557493514051</v>
          </cell>
          <cell r="DB59">
            <v>0.2408161041803068</v>
          </cell>
          <cell r="DC59">
            <v>0.2442369971672676</v>
          </cell>
          <cell r="DE59">
            <v>0.26441728092909422</v>
          </cell>
          <cell r="DF59">
            <v>0.2512884368684507</v>
          </cell>
          <cell r="DG59">
            <v>0.24226051699229884</v>
          </cell>
          <cell r="DH59">
            <v>0.2420337652101556</v>
          </cell>
        </row>
        <row r="60">
          <cell r="B60" t="str">
            <v>EBITDA</v>
          </cell>
          <cell r="M60">
            <v>0.21124445175078083</v>
          </cell>
          <cell r="N60">
            <v>0.29578016919789069</v>
          </cell>
          <cell r="O60">
            <v>0.25973709834469338</v>
          </cell>
          <cell r="P60">
            <v>0.23323828070663521</v>
          </cell>
          <cell r="R60">
            <v>0.21357477139033529</v>
          </cell>
          <cell r="S60">
            <v>0.28771427583216058</v>
          </cell>
          <cell r="T60">
            <v>0.26073341332787037</v>
          </cell>
          <cell r="U60">
            <v>0.23797753944963412</v>
          </cell>
          <cell r="W60">
            <v>0.20863772858904028</v>
          </cell>
          <cell r="X60">
            <v>0.27789159701895155</v>
          </cell>
          <cell r="Y60">
            <v>0.25978727815465685</v>
          </cell>
          <cell r="Z60">
            <v>0.25368339623735142</v>
          </cell>
          <cell r="AB60">
            <v>0.21029404376842867</v>
          </cell>
          <cell r="AC60">
            <v>0.27426566346306214</v>
          </cell>
          <cell r="AD60">
            <v>0.26640156740902204</v>
          </cell>
          <cell r="AE60">
            <v>0.24903872535948779</v>
          </cell>
          <cell r="AG60">
            <v>0.21686373014253008</v>
          </cell>
          <cell r="AH60">
            <v>0.26970395774536199</v>
          </cell>
          <cell r="AI60">
            <v>0.26553888664899855</v>
          </cell>
          <cell r="AJ60">
            <v>0.247893425463109</v>
          </cell>
          <cell r="AL60">
            <v>0.22266517389999926</v>
          </cell>
          <cell r="AM60">
            <v>0.27418464938277026</v>
          </cell>
          <cell r="AN60">
            <v>0.26844042470675189</v>
          </cell>
          <cell r="AO60">
            <v>0.23470975201047853</v>
          </cell>
          <cell r="AQ60">
            <v>0.23964757834920383</v>
          </cell>
          <cell r="AR60">
            <v>0.29042122859767344</v>
          </cell>
          <cell r="AS60">
            <v>0.23438721309043603</v>
          </cell>
          <cell r="AT60">
            <v>0.23554397996268667</v>
          </cell>
          <cell r="AW60">
            <v>0.26796145110446196</v>
          </cell>
          <cell r="AX60">
            <v>0.26234760370957327</v>
          </cell>
          <cell r="AY60">
            <v>0.22938251969494994</v>
          </cell>
          <cell r="AZ60">
            <v>0.24030842549101514</v>
          </cell>
          <cell r="BB60">
            <v>0.28947323525564844</v>
          </cell>
          <cell r="BC60">
            <v>0.23362212605276172</v>
          </cell>
          <cell r="BD60">
            <v>0.23477511700512366</v>
          </cell>
          <cell r="BE60">
            <v>0.24212952168646615</v>
          </cell>
          <cell r="BG60">
            <v>0.3686592722464081</v>
          </cell>
          <cell r="BH60">
            <v>0.34076861358334676</v>
          </cell>
          <cell r="BI60">
            <v>0.30749000787483477</v>
          </cell>
          <cell r="BJ60">
            <v>-1.6917893704589747E-2</v>
          </cell>
          <cell r="BL60">
            <v>0.30698269444739795</v>
          </cell>
          <cell r="BM60">
            <v>0.21361715095654327</v>
          </cell>
          <cell r="BN60">
            <v>0.2401159311714221</v>
          </cell>
          <cell r="BO60">
            <v>0.23928422342463593</v>
          </cell>
          <cell r="BQ60">
            <v>0.28665814353583657</v>
          </cell>
          <cell r="BR60">
            <v>0.25771264422242224</v>
          </cell>
          <cell r="BS60">
            <v>0.2240131319349084</v>
          </cell>
          <cell r="BT60">
            <v>0.23161608030683284</v>
          </cell>
          <cell r="BV60">
            <v>0.26777313464217206</v>
          </cell>
          <cell r="BW60">
            <v>0.25216460645775501</v>
          </cell>
          <cell r="BX60">
            <v>0.23071857633869808</v>
          </cell>
          <cell r="BY60">
            <v>0.24934368256137562</v>
          </cell>
          <cell r="CA60">
            <v>0.26656402820656916</v>
          </cell>
          <cell r="CB60">
            <v>0.24775105014350365</v>
          </cell>
          <cell r="CC60">
            <v>0.23244895908852697</v>
          </cell>
          <cell r="CD60">
            <v>0.25323596256139963</v>
          </cell>
          <cell r="CF60">
            <v>0.25902415218509983</v>
          </cell>
          <cell r="CG60">
            <v>0.24614596646187506</v>
          </cell>
          <cell r="CH60">
            <v>0.22500163076172261</v>
          </cell>
          <cell r="CI60">
            <v>0.26982825059130172</v>
          </cell>
          <cell r="CK60">
            <v>0.24825506364087721</v>
          </cell>
          <cell r="CL60">
            <v>0.27967919462665197</v>
          </cell>
          <cell r="CM60">
            <v>0.24501810326782958</v>
          </cell>
          <cell r="CN60">
            <v>0.26492599687371582</v>
          </cell>
          <cell r="CP60">
            <v>0.27294599271990699</v>
          </cell>
          <cell r="CQ60">
            <v>0.26497766241309029</v>
          </cell>
          <cell r="CR60">
            <v>0.24317118621634712</v>
          </cell>
          <cell r="CS60">
            <v>0.21890515865065491</v>
          </cell>
          <cell r="CU60">
            <v>0.27223298843405241</v>
          </cell>
          <cell r="CV60">
            <v>0.26263439619182233</v>
          </cell>
          <cell r="CW60">
            <v>0.24619631479265561</v>
          </cell>
          <cell r="CX60">
            <v>0.21893630058146918</v>
          </cell>
          <cell r="CZ60">
            <v>0.27030725313890708</v>
          </cell>
          <cell r="DA60">
            <v>0.260007376960255</v>
          </cell>
          <cell r="DB60">
            <v>0.24660519424963379</v>
          </cell>
          <cell r="DC60">
            <v>0.22308017565120294</v>
          </cell>
          <cell r="DE60">
            <v>0.27120725671363166</v>
          </cell>
          <cell r="DF60">
            <v>0.25912381105124599</v>
          </cell>
          <cell r="DG60">
            <v>0.24790737681278099</v>
          </cell>
          <cell r="DH60">
            <v>0.22176155542234052</v>
          </cell>
        </row>
        <row r="61">
          <cell r="B61" t="str">
            <v>Operating EPS</v>
          </cell>
          <cell r="M61">
            <v>0.20658013280389728</v>
          </cell>
          <cell r="N61">
            <v>0.31837565484333813</v>
          </cell>
          <cell r="O61">
            <v>0.25864726884447287</v>
          </cell>
          <cell r="P61">
            <v>0.21639694350829206</v>
          </cell>
          <cell r="R61">
            <v>0.20452444428539915</v>
          </cell>
          <cell r="S61">
            <v>0.30111470951350033</v>
          </cell>
          <cell r="T61">
            <v>0.26136926169132885</v>
          </cell>
          <cell r="U61">
            <v>0.23299158450977248</v>
          </cell>
          <cell r="W61">
            <v>0.1957028424590701</v>
          </cell>
          <cell r="X61">
            <v>0.28768997273310121</v>
          </cell>
          <cell r="Y61">
            <v>0.26370054470230275</v>
          </cell>
          <cell r="Z61">
            <v>0.2529066401055261</v>
          </cell>
          <cell r="AB61">
            <v>0.20478339203687815</v>
          </cell>
          <cell r="AC61">
            <v>0.2809492119657846</v>
          </cell>
          <cell r="AD61">
            <v>0.27031764839552691</v>
          </cell>
          <cell r="AE61">
            <v>0.24394974760181148</v>
          </cell>
          <cell r="AG61">
            <v>0.20813930255696422</v>
          </cell>
          <cell r="AH61">
            <v>0.27236815499043515</v>
          </cell>
          <cell r="AI61">
            <v>0.26488775629320227</v>
          </cell>
          <cell r="AJ61">
            <v>0.25460478615939802</v>
          </cell>
          <cell r="AL61">
            <v>0.21935164365316415</v>
          </cell>
          <cell r="AM61">
            <v>0.27829984097151955</v>
          </cell>
          <cell r="AN61">
            <v>0.27463326555910678</v>
          </cell>
          <cell r="AO61">
            <v>0.22771524981620961</v>
          </cell>
          <cell r="AQ61">
            <v>0.22338964973392494</v>
          </cell>
          <cell r="AR61">
            <v>0.28298991297243958</v>
          </cell>
          <cell r="AS61">
            <v>0.27463322478526769</v>
          </cell>
          <cell r="AT61">
            <v>0.21898721250836786</v>
          </cell>
          <cell r="AW61">
            <v>0.27207253262765407</v>
          </cell>
          <cell r="AX61">
            <v>0.26848800144343565</v>
          </cell>
          <cell r="AY61">
            <v>0.22261983520779446</v>
          </cell>
          <cell r="AZ61">
            <v>0.23681963072111661</v>
          </cell>
          <cell r="BB61">
            <v>0.28784380436054174</v>
          </cell>
          <cell r="BC61">
            <v>0.27934378082830863</v>
          </cell>
          <cell r="BD61">
            <v>0.22274331863149455</v>
          </cell>
          <cell r="BE61">
            <v>0.21006909617965525</v>
          </cell>
          <cell r="BG61">
            <v>0.49423822667270301</v>
          </cell>
          <cell r="BH61">
            <v>0.42571159961887828</v>
          </cell>
          <cell r="BI61">
            <v>0.36326838001103162</v>
          </cell>
          <cell r="BJ61">
            <v>-0.28321820630261313</v>
          </cell>
          <cell r="BL61">
            <v>0.56378292130658159</v>
          </cell>
          <cell r="BM61">
            <v>9.8573165116666153E-2</v>
          </cell>
          <cell r="BN61">
            <v>0.17236150354889362</v>
          </cell>
          <cell r="BO61">
            <v>0.16528241002785427</v>
          </cell>
          <cell r="BQ61">
            <v>0.39003913647266691</v>
          </cell>
          <cell r="BR61">
            <v>0.26132011951352985</v>
          </cell>
          <cell r="BS61">
            <v>0.17529352354500616</v>
          </cell>
          <cell r="BT61">
            <v>0.17334722046879672</v>
          </cell>
          <cell r="BV61">
            <v>0.29837579949248816</v>
          </cell>
          <cell r="BW61">
            <v>0.25110668171593825</v>
          </cell>
          <cell r="BX61">
            <v>0.20230061718018458</v>
          </cell>
          <cell r="BY61">
            <v>0.24821690161139298</v>
          </cell>
          <cell r="CA61">
            <v>0.28386923263429703</v>
          </cell>
          <cell r="CB61">
            <v>0.24329137414031093</v>
          </cell>
          <cell r="CC61">
            <v>0.21859893281417339</v>
          </cell>
          <cell r="CD61">
            <v>0.25424046041121579</v>
          </cell>
          <cell r="CF61">
            <v>0.26018990767055272</v>
          </cell>
          <cell r="CG61">
            <v>0.23540882994889678</v>
          </cell>
          <cell r="CH61">
            <v>0.20265093102296974</v>
          </cell>
          <cell r="CI61">
            <v>0.30175033135757784</v>
          </cell>
          <cell r="CK61">
            <v>0.3285426269117826</v>
          </cell>
          <cell r="CL61">
            <v>0.33838436275508943</v>
          </cell>
          <cell r="CM61">
            <v>0.24093410532269091</v>
          </cell>
          <cell r="CN61">
            <v>0.14449371637273556</v>
          </cell>
          <cell r="CP61">
            <v>0.33015350253094228</v>
          </cell>
          <cell r="CQ61">
            <v>0.30146946058680774</v>
          </cell>
          <cell r="CR61">
            <v>0.2261196986280084</v>
          </cell>
          <cell r="CS61">
            <v>0.14225733825424156</v>
          </cell>
          <cell r="CU61">
            <v>0.3150546487034947</v>
          </cell>
          <cell r="CV61">
            <v>0.28695900531966395</v>
          </cell>
          <cell r="CW61">
            <v>0.23844895667827637</v>
          </cell>
          <cell r="CX61">
            <v>0.15953738929856498</v>
          </cell>
          <cell r="CZ61">
            <v>0.30140838171139267</v>
          </cell>
          <cell r="DA61">
            <v>0.27558888920842334</v>
          </cell>
          <cell r="DB61">
            <v>0.24103966625641146</v>
          </cell>
          <cell r="DC61">
            <v>0.18196306282377267</v>
          </cell>
          <cell r="DE61">
            <v>0.29850979193825444</v>
          </cell>
          <cell r="DF61">
            <v>0.2712908852022255</v>
          </cell>
          <cell r="DG61">
            <v>0.24461836700765882</v>
          </cell>
          <cell r="DH61">
            <v>0.18558095585186141</v>
          </cell>
        </row>
        <row r="62">
          <cell r="B62" t="str">
            <v>Margin Analysis-:</v>
          </cell>
        </row>
        <row r="63">
          <cell r="B63" t="str">
            <v>Margin Analysis-:</v>
          </cell>
          <cell r="D63">
            <v>9.5055077363274523E-2</v>
          </cell>
          <cell r="E63">
            <v>7.7909209898592027E-2</v>
          </cell>
          <cell r="F63">
            <v>7.9242620485419857E-2</v>
          </cell>
          <cell r="G63">
            <v>8.6945989670297347E-2</v>
          </cell>
          <cell r="H63">
            <v>9.1252515021694208E-2</v>
          </cell>
          <cell r="I63">
            <v>9.1015903022817049E-2</v>
          </cell>
          <cell r="J63">
            <v>9.0664228906773892E-2</v>
          </cell>
          <cell r="K63">
            <v>8.5868839351321419E-2</v>
          </cell>
          <cell r="L63">
            <v>8.6281899750790744E-2</v>
          </cell>
          <cell r="M63">
            <v>9.5238562861706871E-2</v>
          </cell>
          <cell r="N63">
            <v>8.7938707512627001E-2</v>
          </cell>
          <cell r="O63">
            <v>0.10201632465465439</v>
          </cell>
          <cell r="P63">
            <v>9.7999944132517655E-2</v>
          </cell>
          <cell r="Q63">
            <v>9.5900515376847642E-2</v>
          </cell>
          <cell r="R63">
            <v>9.2336001124038766E-2</v>
          </cell>
          <cell r="S63">
            <v>8.047130219867614E-2</v>
          </cell>
          <cell r="T63">
            <v>8.7837094955497214E-2</v>
          </cell>
          <cell r="U63">
            <v>8.4455492389420447E-2</v>
          </cell>
          <cell r="V63">
            <v>8.6110306528150229E-2</v>
          </cell>
          <cell r="W63">
            <v>8.2685261734951193E-2</v>
          </cell>
          <cell r="X63">
            <v>6.869253279683421E-2</v>
          </cell>
          <cell r="Y63">
            <v>7.6411180825142699E-2</v>
          </cell>
          <cell r="Z63">
            <v>7.9005816166785758E-2</v>
          </cell>
          <cell r="AA63">
            <v>7.6562891497557461E-2</v>
          </cell>
          <cell r="AB63">
            <v>7.4377648385203526E-2</v>
          </cell>
          <cell r="AC63">
            <v>7.5373999048190532E-2</v>
          </cell>
          <cell r="AD63">
            <v>7.6771042202553347E-2</v>
          </cell>
          <cell r="AE63">
            <v>7.799029537852735E-2</v>
          </cell>
          <cell r="AF63">
            <v>7.6208752670046565E-2</v>
          </cell>
          <cell r="AG63">
            <v>7.5985487817084807E-2</v>
          </cell>
          <cell r="AH63">
            <v>6.9634879778242523E-2</v>
          </cell>
          <cell r="AI63">
            <v>7.1775710177445856E-2</v>
          </cell>
          <cell r="AJ63">
            <v>7.4600263398818062E-2</v>
          </cell>
          <cell r="AK63">
            <v>7.2962489689819804E-2</v>
          </cell>
          <cell r="AL63">
            <v>7.6778494038091186E-2</v>
          </cell>
          <cell r="AM63">
            <v>7.1444417662880871E-2</v>
          </cell>
          <cell r="AN63">
            <v>7.6484600674626632E-2</v>
          </cell>
          <cell r="AO63">
            <v>7.5048491136271378E-2</v>
          </cell>
          <cell r="AP63">
            <v>7.4885406057921614E-2</v>
          </cell>
          <cell r="AQ63">
            <v>7.5513785893860347E-2</v>
          </cell>
          <cell r="AR63">
            <v>7.0383280578299803E-2</v>
          </cell>
          <cell r="AS63">
            <v>0.11282892201775944</v>
          </cell>
          <cell r="AT63">
            <v>8.3652461594183686E-2</v>
          </cell>
          <cell r="AU63">
            <v>8.5997287319265203E-2</v>
          </cell>
          <cell r="AW63">
            <v>7.1444417662880871E-2</v>
          </cell>
          <cell r="AX63">
            <v>7.6484600674626632E-2</v>
          </cell>
          <cell r="AY63">
            <v>7.5048491136271378E-2</v>
          </cell>
          <cell r="AZ63">
            <v>7.5513785893860347E-2</v>
          </cell>
          <cell r="BA63">
            <v>7.4605541839509751E-2</v>
          </cell>
          <cell r="BB63">
            <v>7.0383280578299803E-2</v>
          </cell>
          <cell r="BC63">
            <v>0.11282892201775944</v>
          </cell>
          <cell r="BD63">
            <v>8.3652461594183686E-2</v>
          </cell>
          <cell r="BE63">
            <v>8.6606236178634763E-2</v>
          </cell>
          <cell r="BF63">
            <v>8.8485132006084766E-2</v>
          </cell>
          <cell r="BG63">
            <v>8.1126411403559723E-2</v>
          </cell>
          <cell r="BH63">
            <v>8.9242137521697532E-2</v>
          </cell>
          <cell r="BI63">
            <v>9.4630277705407134E-2</v>
          </cell>
          <cell r="BJ63">
            <v>0.28765033489023334</v>
          </cell>
          <cell r="BK63">
            <v>0.13943011232448538</v>
          </cell>
          <cell r="BL63">
            <v>0.10622255763497862</v>
          </cell>
          <cell r="BM63">
            <v>0.13703997867464365</v>
          </cell>
          <cell r="BN63">
            <v>0.11819033834210592</v>
          </cell>
          <cell r="BO63">
            <v>0.12334462608936785</v>
          </cell>
          <cell r="BP63">
            <v>0.12106702386236293</v>
          </cell>
          <cell r="BQ63">
            <v>0.11189756475083554</v>
          </cell>
          <cell r="BR63">
            <v>0.11294409928897069</v>
          </cell>
          <cell r="BS63">
            <v>0.11479100926691031</v>
          </cell>
          <cell r="BT63">
            <v>0.11713073808311733</v>
          </cell>
          <cell r="BU63">
            <v>0.11416765750646228</v>
          </cell>
          <cell r="BV63">
            <v>0.12119546507096245</v>
          </cell>
          <cell r="BW63">
            <v>0.12246711895680741</v>
          </cell>
          <cell r="BX63">
            <v>0.12812605011306683</v>
          </cell>
          <cell r="BY63">
            <v>0.12276249822734969</v>
          </cell>
          <cell r="BZ63">
            <v>0.1235803144367815</v>
          </cell>
          <cell r="CA63">
            <v>0.12358183030756745</v>
          </cell>
          <cell r="CB63">
            <v>0.11999724311921825</v>
          </cell>
          <cell r="CC63">
            <v>0.12585752747196532</v>
          </cell>
          <cell r="CD63">
            <v>0.12170548770430877</v>
          </cell>
          <cell r="CE63">
            <v>0.12278305755147292</v>
          </cell>
          <cell r="CF63">
            <v>0.12053366219297577</v>
          </cell>
          <cell r="CG63">
            <v>0.12239698484899519</v>
          </cell>
          <cell r="CH63">
            <v>0.12774416458845744</v>
          </cell>
          <cell r="CI63">
            <v>0.12320381569592632</v>
          </cell>
          <cell r="CJ63">
            <v>0.12344529823781542</v>
          </cell>
          <cell r="CK63">
            <v>0.11933522203735744</v>
          </cell>
          <cell r="CL63">
            <v>0.12722074352179993</v>
          </cell>
          <cell r="CM63">
            <v>0.13464712799703399</v>
          </cell>
          <cell r="CN63">
            <v>0.129</v>
          </cell>
          <cell r="CO63">
            <v>0.12752839488969564</v>
          </cell>
          <cell r="CP63">
            <v>0.11952264249868212</v>
          </cell>
          <cell r="CQ63">
            <v>0.12748036197794807</v>
          </cell>
          <cell r="CR63">
            <v>0.13487133629000658</v>
          </cell>
          <cell r="CS63">
            <v>0.12976674030226171</v>
          </cell>
          <cell r="CT63">
            <v>0.12786203513896155</v>
          </cell>
          <cell r="CU63">
            <v>9.3323579899984702E-2</v>
          </cell>
          <cell r="CV63">
            <v>0.10053394490382549</v>
          </cell>
          <cell r="CW63">
            <v>0.1062233774677645</v>
          </cell>
          <cell r="CX63">
            <v>0.10233744956074385</v>
          </cell>
          <cell r="CY63">
            <v>0.10056378142065263</v>
          </cell>
          <cell r="CZ63">
            <v>8.119617377680817E-2</v>
          </cell>
          <cell r="DA63">
            <v>8.7465379507270083E-2</v>
          </cell>
          <cell r="DB63">
            <v>9.234194920665989E-2</v>
          </cell>
          <cell r="DC63">
            <v>8.8764807067232693E-2</v>
          </cell>
          <cell r="DD63">
            <v>8.7406888777636652E-2</v>
          </cell>
          <cell r="DE63">
            <v>7.2336695654006036E-2</v>
          </cell>
          <cell r="DF63">
            <v>7.7932628909236523E-2</v>
          </cell>
          <cell r="DG63">
            <v>8.2231276121315963E-2</v>
          </cell>
          <cell r="DH63">
            <v>7.9178735016042834E-2</v>
          </cell>
          <cell r="DI63">
            <v>7.7885508532465259E-2</v>
          </cell>
        </row>
        <row r="64">
          <cell r="B64" t="str">
            <v>Bad Debt</v>
          </cell>
          <cell r="D64">
            <v>9.5055077363274523E-2</v>
          </cell>
          <cell r="E64">
            <v>7.7909209898592027E-2</v>
          </cell>
          <cell r="F64">
            <v>7.9242620485419857E-2</v>
          </cell>
          <cell r="G64">
            <v>8.6945989670297347E-2</v>
          </cell>
          <cell r="H64">
            <v>9.1252515021694208E-2</v>
          </cell>
          <cell r="I64">
            <v>9.1015903022817049E-2</v>
          </cell>
          <cell r="J64">
            <v>9.0664228906773892E-2</v>
          </cell>
          <cell r="K64">
            <v>8.5868839351321419E-2</v>
          </cell>
          <cell r="L64">
            <v>8.6281899750790744E-2</v>
          </cell>
          <cell r="M64">
            <v>9.5238562861706871E-2</v>
          </cell>
          <cell r="N64">
            <v>8.7938707512627001E-2</v>
          </cell>
          <cell r="O64">
            <v>0.10201632465465439</v>
          </cell>
          <cell r="P64">
            <v>9.7999944132517655E-2</v>
          </cell>
          <cell r="Q64">
            <v>9.5900515376847642E-2</v>
          </cell>
          <cell r="R64">
            <v>9.2336001124038766E-2</v>
          </cell>
          <cell r="S64">
            <v>8.047130219867614E-2</v>
          </cell>
          <cell r="T64">
            <v>8.7837094955497214E-2</v>
          </cell>
          <cell r="U64">
            <v>8.4455492389420447E-2</v>
          </cell>
          <cell r="V64">
            <v>8.6110306528150229E-2</v>
          </cell>
          <cell r="W64">
            <v>8.2685261734951193E-2</v>
          </cell>
          <cell r="X64">
            <v>6.869253279683421E-2</v>
          </cell>
          <cell r="Y64">
            <v>7.6411180825142699E-2</v>
          </cell>
          <cell r="Z64">
            <v>7.9005816166785758E-2</v>
          </cell>
          <cell r="AA64">
            <v>7.6562891497557461E-2</v>
          </cell>
          <cell r="AB64">
            <v>7.4377648385203526E-2</v>
          </cell>
          <cell r="AC64">
            <v>7.5373999048190532E-2</v>
          </cell>
          <cell r="AD64">
            <v>7.6771042202553347E-2</v>
          </cell>
          <cell r="AE64">
            <v>7.799029537852735E-2</v>
          </cell>
          <cell r="AF64">
            <v>7.6208752670046565E-2</v>
          </cell>
          <cell r="AG64">
            <v>7.5985487817084807E-2</v>
          </cell>
          <cell r="AH64">
            <v>6.9634879778242523E-2</v>
          </cell>
          <cell r="AI64">
            <v>7.1775710177445856E-2</v>
          </cell>
          <cell r="AJ64">
            <v>7.4600263398818062E-2</v>
          </cell>
          <cell r="AK64">
            <v>7.2962489689819804E-2</v>
          </cell>
          <cell r="AL64">
            <v>7.6778494038091186E-2</v>
          </cell>
          <cell r="AM64">
            <v>7.1444417662880871E-2</v>
          </cell>
          <cell r="AN64">
            <v>7.6484600674626632E-2</v>
          </cell>
          <cell r="AO64">
            <v>7.5048491136271378E-2</v>
          </cell>
          <cell r="AP64">
            <v>7.4885406057921614E-2</v>
          </cell>
          <cell r="AQ64">
            <v>7.5513785893860347E-2</v>
          </cell>
          <cell r="AR64">
            <v>7.0383280578299803E-2</v>
          </cell>
          <cell r="AS64">
            <v>0.11282892201775944</v>
          </cell>
          <cell r="AT64">
            <v>8.3652461594183686E-2</v>
          </cell>
          <cell r="AU64">
            <v>8.5997287319265203E-2</v>
          </cell>
          <cell r="AW64">
            <v>7.1444417662880871E-2</v>
          </cell>
          <cell r="AX64">
            <v>7.6484600674626632E-2</v>
          </cell>
          <cell r="AY64">
            <v>7.5048491136271378E-2</v>
          </cell>
          <cell r="AZ64">
            <v>7.5513785893860347E-2</v>
          </cell>
          <cell r="BA64">
            <v>7.4605541839509751E-2</v>
          </cell>
          <cell r="BB64">
            <v>7.0383280578299803E-2</v>
          </cell>
          <cell r="BC64">
            <v>0.11282892201775944</v>
          </cell>
          <cell r="BD64">
            <v>8.3652461594183686E-2</v>
          </cell>
          <cell r="BE64">
            <v>8.6606236178634763E-2</v>
          </cell>
          <cell r="BF64">
            <v>8.8485132006084766E-2</v>
          </cell>
          <cell r="BG64">
            <v>8.1126411403559723E-2</v>
          </cell>
          <cell r="BH64">
            <v>8.9242137521697532E-2</v>
          </cell>
          <cell r="BI64">
            <v>9.4630277705407134E-2</v>
          </cell>
          <cell r="BJ64">
            <v>0.28765033489023334</v>
          </cell>
          <cell r="BK64">
            <v>0.13943011232448538</v>
          </cell>
          <cell r="BL64">
            <v>0.10622255763497862</v>
          </cell>
          <cell r="BM64">
            <v>0.13703997867464365</v>
          </cell>
          <cell r="BN64">
            <v>0.11819033834210592</v>
          </cell>
          <cell r="BO64">
            <v>0.12334462608936785</v>
          </cell>
          <cell r="BP64">
            <v>0.12106702386236293</v>
          </cell>
          <cell r="BQ64">
            <v>0.11189756475083554</v>
          </cell>
          <cell r="BR64">
            <v>0.11294409928897069</v>
          </cell>
          <cell r="BS64">
            <v>0.11479100926691031</v>
          </cell>
          <cell r="BT64">
            <v>0.11713073808311733</v>
          </cell>
          <cell r="BU64">
            <v>0.11416765750646228</v>
          </cell>
          <cell r="BV64">
            <v>0.12119546507096245</v>
          </cell>
          <cell r="BW64">
            <v>0.12246711895680741</v>
          </cell>
          <cell r="BX64">
            <v>0.12812605011306683</v>
          </cell>
          <cell r="BY64">
            <v>0.12276249822734969</v>
          </cell>
          <cell r="BZ64">
            <v>0.1235803144367815</v>
          </cell>
          <cell r="CA64">
            <v>0.12358183030756745</v>
          </cell>
          <cell r="CB64">
            <v>0.11999724311921825</v>
          </cell>
          <cell r="CC64">
            <v>0.12585752747196532</v>
          </cell>
          <cell r="CD64">
            <v>0.12170548770430877</v>
          </cell>
          <cell r="CE64">
            <v>0.12278305755147292</v>
          </cell>
          <cell r="CF64">
            <v>0.12053366219297577</v>
          </cell>
          <cell r="CG64">
            <v>0.12239698484899519</v>
          </cell>
          <cell r="CH64">
            <v>0.12774416458845744</v>
          </cell>
          <cell r="CI64">
            <v>0.12320381569592632</v>
          </cell>
          <cell r="CJ64">
            <v>0.12344529823781542</v>
          </cell>
          <cell r="CK64">
            <v>0.11933522203735744</v>
          </cell>
          <cell r="CL64">
            <v>0.12722074352179993</v>
          </cell>
          <cell r="CM64">
            <v>0.13464712799703399</v>
          </cell>
          <cell r="CN64">
            <v>0.13500000000000001</v>
          </cell>
          <cell r="CO64">
            <v>0.12905713901911378</v>
          </cell>
          <cell r="CP64">
            <v>0.13280991498835296</v>
          </cell>
          <cell r="CQ64">
            <v>0.13809127894429332</v>
          </cell>
          <cell r="CR64">
            <v>0.14707722374116353</v>
          </cell>
          <cell r="CS64">
            <v>0.14484946919158204</v>
          </cell>
          <cell r="CT64">
            <v>0.14067452826480611</v>
          </cell>
          <cell r="CU64">
            <v>0.10476251479687591</v>
          </cell>
          <cell r="CV64">
            <v>0.10936092117569106</v>
          </cell>
          <cell r="CW64">
            <v>0.11622839969238891</v>
          </cell>
          <cell r="CX64">
            <v>0.11492748315363646</v>
          </cell>
          <cell r="CY64">
            <v>0.11129344626342255</v>
          </cell>
          <cell r="CZ64">
            <v>9.1777917997573386E-2</v>
          </cell>
          <cell r="DA64">
            <v>9.5414325524532898E-2</v>
          </cell>
          <cell r="DB64">
            <v>0.10125621530709424</v>
          </cell>
          <cell r="DC64">
            <v>0.10007950448434633</v>
          </cell>
          <cell r="DD64">
            <v>9.7111365919868187E-2</v>
          </cell>
          <cell r="DE64">
            <v>8.2264049792486457E-2</v>
          </cell>
          <cell r="DF64">
            <v>8.5213983544909333E-2</v>
          </cell>
          <cell r="DG64">
            <v>9.0317057741127429E-2</v>
          </cell>
          <cell r="DH64">
            <v>8.9558692832797396E-2</v>
          </cell>
          <cell r="DI64">
            <v>8.6818412366575851E-2</v>
          </cell>
        </row>
        <row r="65">
          <cell r="B65" t="str">
            <v>Salaries &amp; benefits</v>
          </cell>
          <cell r="D65">
            <v>0.36891681972492008</v>
          </cell>
          <cell r="E65">
            <v>0.37055295273744426</v>
          </cell>
          <cell r="F65">
            <v>0.3713822904900243</v>
          </cell>
          <cell r="G65">
            <v>0.3552471832671506</v>
          </cell>
          <cell r="H65">
            <v>0.34073810468877602</v>
          </cell>
          <cell r="I65">
            <v>0.33794959084455856</v>
          </cell>
          <cell r="J65">
            <v>0.34706859839539028</v>
          </cell>
          <cell r="K65">
            <v>0.3472900627818315</v>
          </cell>
          <cell r="L65">
            <v>0.35311933066503221</v>
          </cell>
          <cell r="M65">
            <v>0.37199505067169458</v>
          </cell>
          <cell r="N65">
            <v>0.33752369403204729</v>
          </cell>
          <cell r="O65">
            <v>0.35288376698357038</v>
          </cell>
          <cell r="P65">
            <v>0.37237073661275455</v>
          </cell>
          <cell r="Q65">
            <v>0.35848675266853386</v>
          </cell>
          <cell r="R65">
            <v>0.36863067220760132</v>
          </cell>
          <cell r="S65">
            <v>0.35036644602415246</v>
          </cell>
          <cell r="T65">
            <v>0.34410468960544521</v>
          </cell>
          <cell r="U65">
            <v>0.3797959889095629</v>
          </cell>
          <cell r="V65">
            <v>0.3607072527185573</v>
          </cell>
          <cell r="W65">
            <v>0.38954073466793476</v>
          </cell>
          <cell r="X65">
            <v>0.3689539929833896</v>
          </cell>
          <cell r="Y65">
            <v>0.3725229975296015</v>
          </cell>
          <cell r="Z65">
            <v>0.38187399866046984</v>
          </cell>
          <cell r="AA65">
            <v>0.37798415896150711</v>
          </cell>
          <cell r="AB65">
            <v>0.39479570248133899</v>
          </cell>
          <cell r="AC65">
            <v>0.3776959313593633</v>
          </cell>
          <cell r="AD65">
            <v>0.38244080772892064</v>
          </cell>
          <cell r="AE65">
            <v>0.39260981633902914</v>
          </cell>
          <cell r="AF65">
            <v>0.38660329417338724</v>
          </cell>
          <cell r="AG65">
            <v>0.39793803606385753</v>
          </cell>
          <cell r="AH65">
            <v>0.38044339120642501</v>
          </cell>
          <cell r="AI65">
            <v>0.37933357748942637</v>
          </cell>
          <cell r="AJ65">
            <v>0.38801292053324571</v>
          </cell>
          <cell r="AK65">
            <v>0.38627051101002269</v>
          </cell>
          <cell r="AL65">
            <v>0.4001861072522348</v>
          </cell>
          <cell r="AM65">
            <v>0.390192191695237</v>
          </cell>
          <cell r="AN65">
            <v>0.38634547881483983</v>
          </cell>
          <cell r="AO65">
            <v>0.39586935711027915</v>
          </cell>
          <cell r="AP65">
            <v>0.39298321680284853</v>
          </cell>
          <cell r="AQ65">
            <v>0.3980267118797442</v>
          </cell>
          <cell r="AR65">
            <v>0.39052458558959202</v>
          </cell>
          <cell r="AS65">
            <v>0.38112567753868287</v>
          </cell>
          <cell r="AT65">
            <v>0.4037436284772834</v>
          </cell>
          <cell r="AU65">
            <v>0.39313895714048253</v>
          </cell>
          <cell r="AW65">
            <v>0.390192191695237</v>
          </cell>
          <cell r="AX65">
            <v>0.38634547881483983</v>
          </cell>
          <cell r="AY65">
            <v>0.39586935711027915</v>
          </cell>
          <cell r="AZ65">
            <v>0.3980267118797442</v>
          </cell>
          <cell r="BA65">
            <v>0.39258502105906357</v>
          </cell>
          <cell r="BB65">
            <v>0.39052458558959202</v>
          </cell>
          <cell r="BC65">
            <v>0.38112567753868287</v>
          </cell>
          <cell r="BD65">
            <v>0.4037436284772834</v>
          </cell>
          <cell r="BE65">
            <v>0.40219839124914708</v>
          </cell>
          <cell r="BF65">
            <v>0.39434789094286732</v>
          </cell>
          <cell r="BG65">
            <v>0.39294927662541396</v>
          </cell>
          <cell r="BH65">
            <v>0.39927456394580851</v>
          </cell>
          <cell r="BI65">
            <v>0.40678857793546191</v>
          </cell>
          <cell r="BJ65">
            <v>0.41141201045279291</v>
          </cell>
          <cell r="BK65">
            <v>0.40261854780312617</v>
          </cell>
          <cell r="BL65">
            <v>0.39833306078617764</v>
          </cell>
          <cell r="BM65">
            <v>0.40425651929062256</v>
          </cell>
          <cell r="BN65">
            <v>0.41008083618874791</v>
          </cell>
          <cell r="BO65">
            <v>0.41370893149365401</v>
          </cell>
          <cell r="BP65">
            <v>0.4064841360975478</v>
          </cell>
          <cell r="BQ65">
            <v>0.40587746362049404</v>
          </cell>
          <cell r="BR65">
            <v>0.40587840937158182</v>
          </cell>
          <cell r="BS65">
            <v>0.41539438439654169</v>
          </cell>
          <cell r="BT65">
            <v>0.41590770498261415</v>
          </cell>
          <cell r="BU65">
            <v>0.41069581326849991</v>
          </cell>
          <cell r="BV65">
            <v>0.39074411859029667</v>
          </cell>
          <cell r="BW65">
            <v>0.38782624650245401</v>
          </cell>
          <cell r="BX65">
            <v>0.39058813462482939</v>
          </cell>
          <cell r="BY65">
            <v>0.3989797876156394</v>
          </cell>
          <cell r="BZ65">
            <v>0.39210046677325278</v>
          </cell>
          <cell r="CA65">
            <v>0.395143573752606</v>
          </cell>
          <cell r="CB65">
            <v>0.39318168886196125</v>
          </cell>
          <cell r="CC65">
            <v>0.39494545743586595</v>
          </cell>
          <cell r="CD65">
            <v>0.40040412437622913</v>
          </cell>
          <cell r="CE65">
            <v>0.39599951430737201</v>
          </cell>
          <cell r="CF65">
            <v>0.39856072754615696</v>
          </cell>
          <cell r="CG65">
            <v>0.39144073220181558</v>
          </cell>
          <cell r="CH65">
            <v>0.39268656034234034</v>
          </cell>
          <cell r="CI65">
            <v>0.40267803360833049</v>
          </cell>
          <cell r="CJ65">
            <v>0.39655844508836374</v>
          </cell>
          <cell r="CK65">
            <v>0.39079571045194889</v>
          </cell>
          <cell r="CL65">
            <v>0.38299276448067376</v>
          </cell>
          <cell r="CM65">
            <v>0.38295275711203125</v>
          </cell>
          <cell r="CN65">
            <v>0.39315848867100484</v>
          </cell>
          <cell r="CO65">
            <v>0.38751364086269402</v>
          </cell>
          <cell r="CP65">
            <v>0.38363218570488017</v>
          </cell>
          <cell r="CQ65">
            <v>0.37665370817571497</v>
          </cell>
          <cell r="CR65">
            <v>0.37604706170237401</v>
          </cell>
          <cell r="CS65">
            <v>0.38889257961944623</v>
          </cell>
          <cell r="CT65">
            <v>0.38135899837490311</v>
          </cell>
          <cell r="CU65">
            <v>0.39301451241449353</v>
          </cell>
          <cell r="CV65">
            <v>0.38656749205114288</v>
          </cell>
          <cell r="CW65">
            <v>0.3855934077852709</v>
          </cell>
          <cell r="CX65">
            <v>0.39928336615394711</v>
          </cell>
          <cell r="CY65">
            <v>0.39116598200663893</v>
          </cell>
          <cell r="CZ65">
            <v>0.39546973314136513</v>
          </cell>
          <cell r="DA65">
            <v>0.38957145700251011</v>
          </cell>
          <cell r="DB65">
            <v>0.38829505983709039</v>
          </cell>
          <cell r="DC65">
            <v>0.40123208078798944</v>
          </cell>
          <cell r="DD65">
            <v>0.39369555047048721</v>
          </cell>
          <cell r="DE65">
            <v>0.3962805791756242</v>
          </cell>
          <cell r="DF65">
            <v>0.3911437055217406</v>
          </cell>
          <cell r="DG65">
            <v>0.38964424518703833</v>
          </cell>
          <cell r="DH65">
            <v>0.40336668033922346</v>
          </cell>
          <cell r="DI65">
            <v>0.39515877061723087</v>
          </cell>
        </row>
        <row r="66">
          <cell r="B66" t="str">
            <v>Supplies &amp; other</v>
          </cell>
          <cell r="D66">
            <v>0.32944431591223505</v>
          </cell>
          <cell r="E66">
            <v>0.32674405803129086</v>
          </cell>
          <cell r="F66">
            <v>0.32596734496477114</v>
          </cell>
          <cell r="G66">
            <v>0.31481369334452242</v>
          </cell>
          <cell r="H66">
            <v>0.30805765045646788</v>
          </cell>
          <cell r="I66">
            <v>0.30537531962326814</v>
          </cell>
          <cell r="J66">
            <v>0.30301812780600207</v>
          </cell>
          <cell r="K66">
            <v>0.30103340994012162</v>
          </cell>
          <cell r="L66">
            <v>0.29066158998667019</v>
          </cell>
          <cell r="M66">
            <v>0.28923782962788386</v>
          </cell>
          <cell r="N66">
            <v>0.27592509742515042</v>
          </cell>
          <cell r="O66">
            <v>0.28759933384968489</v>
          </cell>
          <cell r="P66">
            <v>0.2981982736947959</v>
          </cell>
          <cell r="Q66">
            <v>0.28784169440741991</v>
          </cell>
          <cell r="R66">
            <v>0.29707587802017865</v>
          </cell>
          <cell r="S66">
            <v>0.28185878063403119</v>
          </cell>
          <cell r="T66">
            <v>0.29278520272360709</v>
          </cell>
          <cell r="U66">
            <v>0.29216584665092826</v>
          </cell>
          <cell r="V66">
            <v>0.29080149350315987</v>
          </cell>
          <cell r="W66">
            <v>0.29032302636578644</v>
          </cell>
          <cell r="X66">
            <v>0.28196548226726303</v>
          </cell>
          <cell r="Y66">
            <v>0.28316599852494601</v>
          </cell>
          <cell r="Z66">
            <v>0.28540543181526701</v>
          </cell>
          <cell r="AA66">
            <v>0.28509719911841735</v>
          </cell>
          <cell r="AB66">
            <v>0.28928383428697046</v>
          </cell>
          <cell r="AC66">
            <v>0.28222875154324184</v>
          </cell>
          <cell r="AD66">
            <v>0.28720657039272479</v>
          </cell>
          <cell r="AE66">
            <v>0.29204382558601244</v>
          </cell>
          <cell r="AF66">
            <v>0.28765655102247373</v>
          </cell>
          <cell r="AG66">
            <v>0.29526811602526343</v>
          </cell>
          <cell r="AH66">
            <v>0.28388855201772084</v>
          </cell>
          <cell r="AI66">
            <v>0.28638582534803836</v>
          </cell>
          <cell r="AJ66">
            <v>0.29304030975214357</v>
          </cell>
          <cell r="AK66">
            <v>0.28957820427903724</v>
          </cell>
          <cell r="AL66">
            <v>0.30154661999886329</v>
          </cell>
          <cell r="AM66">
            <v>0.29280483315285755</v>
          </cell>
          <cell r="AN66">
            <v>0.2925180554994794</v>
          </cell>
          <cell r="AO66">
            <v>0.30760671808982515</v>
          </cell>
          <cell r="AP66">
            <v>0.29847951501691422</v>
          </cell>
          <cell r="AQ66">
            <v>0.3014129492167783</v>
          </cell>
          <cell r="AR66">
            <v>0.29779889432425594</v>
          </cell>
          <cell r="AS66">
            <v>0.30908180128957125</v>
          </cell>
          <cell r="AT66">
            <v>0.30971121653018135</v>
          </cell>
          <cell r="AU66">
            <v>0.30458767113146157</v>
          </cell>
          <cell r="AW66">
            <v>0.29280483315285755</v>
          </cell>
          <cell r="AX66">
            <v>0.2925180554994794</v>
          </cell>
          <cell r="AY66">
            <v>0.30760671808982515</v>
          </cell>
          <cell r="AZ66">
            <v>0.3014129492167783</v>
          </cell>
          <cell r="BA66">
            <v>0.29850744899989701</v>
          </cell>
          <cell r="BB66">
            <v>0.29779889432425594</v>
          </cell>
          <cell r="BC66">
            <v>0.30908180128957125</v>
          </cell>
          <cell r="BD66">
            <v>0.30971121653018135</v>
          </cell>
          <cell r="BE66">
            <v>0.30885752635068969</v>
          </cell>
          <cell r="BF66">
            <v>0.30637686267853192</v>
          </cell>
          <cell r="BG66">
            <v>0.14531307497143298</v>
          </cell>
          <cell r="BH66">
            <v>0.13918509284681302</v>
          </cell>
          <cell r="BI66">
            <v>0.13424657809842158</v>
          </cell>
          <cell r="BJ66">
            <v>0.1256120972744276</v>
          </cell>
          <cell r="BK66">
            <v>0.13604721188050253</v>
          </cell>
          <cell r="BL66">
            <v>0.13861777491336064</v>
          </cell>
          <cell r="BM66">
            <v>0.13634217371249524</v>
          </cell>
          <cell r="BN66">
            <v>0.12995835315070517</v>
          </cell>
          <cell r="BO66">
            <v>0.12819467324893868</v>
          </cell>
          <cell r="BP66">
            <v>0.13335711714768411</v>
          </cell>
          <cell r="BQ66">
            <v>0.13610689831090814</v>
          </cell>
          <cell r="BR66">
            <v>0.1350295259472776</v>
          </cell>
          <cell r="BS66">
            <v>0.13580839142482673</v>
          </cell>
          <cell r="BT66">
            <v>0.13542316873323704</v>
          </cell>
          <cell r="BU66">
            <v>0.13559607971136742</v>
          </cell>
          <cell r="BV66">
            <v>0.13925487974559414</v>
          </cell>
          <cell r="BW66">
            <v>0.14258996255148415</v>
          </cell>
          <cell r="BX66">
            <v>0.13750030082814646</v>
          </cell>
          <cell r="BY66">
            <v>0.13939454607639498</v>
          </cell>
          <cell r="BZ66">
            <v>0.13969493684700041</v>
          </cell>
          <cell r="CA66">
            <v>0.14059091733273982</v>
          </cell>
          <cell r="CB66">
            <v>0.14183831054498885</v>
          </cell>
          <cell r="CC66">
            <v>0.13649374064953698</v>
          </cell>
          <cell r="CD66">
            <v>0.13241877758293094</v>
          </cell>
          <cell r="CE66">
            <v>0.13773983013171892</v>
          </cell>
          <cell r="CF66">
            <v>0.13601940792708911</v>
          </cell>
          <cell r="CG66">
            <v>0.13314838610731478</v>
          </cell>
          <cell r="CH66">
            <v>0.1285440251841822</v>
          </cell>
          <cell r="CI66">
            <v>0.13660408618906486</v>
          </cell>
          <cell r="CJ66">
            <v>0.13368886904069696</v>
          </cell>
          <cell r="CK66">
            <v>0.13901007875397714</v>
          </cell>
          <cell r="CL66">
            <v>0.13409338996205844</v>
          </cell>
          <cell r="CM66">
            <v>0.13028523837765829</v>
          </cell>
          <cell r="CN66">
            <v>0.13632400282436108</v>
          </cell>
          <cell r="CO66">
            <v>0.13494936790088424</v>
          </cell>
          <cell r="CP66">
            <v>0.13646193886243516</v>
          </cell>
          <cell r="CQ66">
            <v>0.1318739601766292</v>
          </cell>
          <cell r="CR66">
            <v>0.12793583585763024</v>
          </cell>
          <cell r="CS66">
            <v>0.13484483904092365</v>
          </cell>
          <cell r="CT66">
            <v>0.13281484147181133</v>
          </cell>
          <cell r="CU66">
            <v>0.13987760126609727</v>
          </cell>
          <cell r="CV66">
            <v>0.13563420187018899</v>
          </cell>
          <cell r="CW66">
            <v>0.13150399902075124</v>
          </cell>
          <cell r="CX66">
            <v>0.13860597700283792</v>
          </cell>
          <cell r="CY66">
            <v>0.13644020065618348</v>
          </cell>
          <cell r="CZ66">
            <v>0.14127491309179291</v>
          </cell>
          <cell r="DA66">
            <v>0.137248827340436</v>
          </cell>
          <cell r="DB66">
            <v>0.13298635690626062</v>
          </cell>
          <cell r="DC66">
            <v>0.13985699416210359</v>
          </cell>
          <cell r="DD66">
            <v>0.13787717398637012</v>
          </cell>
          <cell r="DE66">
            <v>0.14220309468014525</v>
          </cell>
          <cell r="DF66">
            <v>0.13831672337846404</v>
          </cell>
          <cell r="DG66">
            <v>0.13396119157372707</v>
          </cell>
          <cell r="DH66">
            <v>0.14097628235947174</v>
          </cell>
          <cell r="DI66">
            <v>0.13890011932353097</v>
          </cell>
        </row>
        <row r="67">
          <cell r="B67" t="str">
            <v>Rent expense</v>
          </cell>
          <cell r="D67">
            <v>3.3523298692591345E-2</v>
          </cell>
          <cell r="E67">
            <v>3.311355490587041E-2</v>
          </cell>
          <cell r="F67">
            <v>3.0111003269478576E-2</v>
          </cell>
          <cell r="G67">
            <v>2.862152396277616E-2</v>
          </cell>
          <cell r="H67">
            <v>2.5816326996163024E-2</v>
          </cell>
          <cell r="I67">
            <v>2.383382226121929E-2</v>
          </cell>
          <cell r="J67">
            <v>2.252081358836483E-2</v>
          </cell>
          <cell r="K67">
            <v>2.17134459430787E-2</v>
          </cell>
          <cell r="L67">
            <v>2.3647657801795223E-2</v>
          </cell>
          <cell r="M67">
            <v>2.4802288737004741E-2</v>
          </cell>
          <cell r="N67">
            <v>2.3231924838409645E-2</v>
          </cell>
          <cell r="O67">
            <v>2.4407543272818057E-2</v>
          </cell>
          <cell r="P67">
            <v>2.5344283359870389E-2</v>
          </cell>
          <cell r="Q67">
            <v>2.4449235712436391E-2</v>
          </cell>
          <cell r="R67">
            <v>2.5055796635449372E-2</v>
          </cell>
          <cell r="S67">
            <v>2.2679277140864547E-2</v>
          </cell>
          <cell r="T67">
            <v>2.4699628482813814E-2</v>
          </cell>
          <cell r="U67">
            <v>2.4308747569983257E-2</v>
          </cell>
          <cell r="V67">
            <v>2.4158827000437966E-2</v>
          </cell>
          <cell r="W67">
            <v>2.1928117594769675E-2</v>
          </cell>
          <cell r="X67">
            <v>2.1311707098082902E-2</v>
          </cell>
          <cell r="Y67">
            <v>2.1637648112966319E-2</v>
          </cell>
          <cell r="Z67">
            <v>2.2057461366361508E-2</v>
          </cell>
          <cell r="AA67">
            <v>2.1731023656227443E-2</v>
          </cell>
          <cell r="AB67">
            <v>2.2036178378890769E-2</v>
          </cell>
          <cell r="AC67">
            <v>1.9948340196017576E-2</v>
          </cell>
          <cell r="AD67">
            <v>2.0873419345256182E-2</v>
          </cell>
          <cell r="AE67">
            <v>2.0502863603631495E-2</v>
          </cell>
          <cell r="AF67">
            <v>2.0793767880417275E-2</v>
          </cell>
          <cell r="AG67">
            <v>1.9863181161073089E-2</v>
          </cell>
          <cell r="AH67">
            <v>1.8726255738840972E-2</v>
          </cell>
          <cell r="AI67">
            <v>1.9263606679987083E-2</v>
          </cell>
          <cell r="AJ67">
            <v>2.0871162695914276E-2</v>
          </cell>
          <cell r="AK67">
            <v>1.9683461846084629E-2</v>
          </cell>
          <cell r="AL67">
            <v>2.0384559971343714E-2</v>
          </cell>
          <cell r="AM67">
            <v>2.0894416283830208E-2</v>
          </cell>
          <cell r="AN67">
            <v>2.0236351779734527E-2</v>
          </cell>
          <cell r="AO67">
            <v>2.0524155352068203E-2</v>
          </cell>
          <cell r="AP67">
            <v>2.0514148199327179E-2</v>
          </cell>
          <cell r="AQ67">
            <v>2.0693740186163385E-2</v>
          </cell>
          <cell r="AR67">
            <v>1.9360225320672126E-2</v>
          </cell>
          <cell r="AS67">
            <v>2.1074343012253496E-2</v>
          </cell>
          <cell r="AT67">
            <v>2.0539050698327725E-2</v>
          </cell>
          <cell r="AU67">
            <v>2.0412154262414842E-2</v>
          </cell>
          <cell r="AW67">
            <v>2.0894416283830208E-2</v>
          </cell>
          <cell r="AX67">
            <v>2.0236351779734527E-2</v>
          </cell>
          <cell r="AY67">
            <v>2.0524155352068203E-2</v>
          </cell>
          <cell r="AZ67">
            <v>2.0693740186163385E-2</v>
          </cell>
          <cell r="BA67">
            <v>2.0589250294894133E-2</v>
          </cell>
          <cell r="BB67">
            <v>1.9360225320672126E-2</v>
          </cell>
          <cell r="BC67">
            <v>2.1074343012253496E-2</v>
          </cell>
          <cell r="BD67">
            <v>2.0539050698327725E-2</v>
          </cell>
          <cell r="BE67">
            <v>2.0479379137066295E-2</v>
          </cell>
          <cell r="BF67">
            <v>2.0366521585995154E-2</v>
          </cell>
          <cell r="BG67">
            <v>1.9747060988127747E-2</v>
          </cell>
          <cell r="BH67">
            <v>2.082570943810506E-2</v>
          </cell>
          <cell r="BI67">
            <v>2.1164638556458986E-2</v>
          </cell>
          <cell r="BJ67">
            <v>1.6098098948166346E-2</v>
          </cell>
          <cell r="BK67">
            <v>1.9422846707675953E-2</v>
          </cell>
          <cell r="BL67">
            <v>1.8491814403257277E-2</v>
          </cell>
          <cell r="BM67">
            <v>1.9158248882556784E-2</v>
          </cell>
          <cell r="BN67">
            <v>1.9334902526563065E-2</v>
          </cell>
          <cell r="BO67">
            <v>2.0829570601617473E-2</v>
          </cell>
          <cell r="BP67">
            <v>1.9443835233052272E-2</v>
          </cell>
          <cell r="BQ67">
            <v>1.920487396882798E-2</v>
          </cell>
          <cell r="BR67">
            <v>2.0520239319858247E-2</v>
          </cell>
          <cell r="BS67">
            <v>2.1669005115009139E-2</v>
          </cell>
          <cell r="BT67">
            <v>2.1135501418387409E-2</v>
          </cell>
          <cell r="BU67">
            <v>2.0612537798113988E-2</v>
          </cell>
          <cell r="BV67">
            <v>2.1304301347701182E-2</v>
          </cell>
          <cell r="BW67">
            <v>2.1993105734287765E-2</v>
          </cell>
          <cell r="BX67">
            <v>2.2757760697671724E-2</v>
          </cell>
          <cell r="BY67">
            <v>2.33631138583715E-2</v>
          </cell>
          <cell r="BZ67">
            <v>2.2353702679738578E-2</v>
          </cell>
          <cell r="CA67">
            <v>2.3328059740750914E-2</v>
          </cell>
          <cell r="CB67">
            <v>2.4487352408704369E-2</v>
          </cell>
          <cell r="CC67">
            <v>2.3754602926512935E-2</v>
          </cell>
          <cell r="CD67">
            <v>2.5068432664550881E-2</v>
          </cell>
          <cell r="CE67">
            <v>2.4170191041686544E-2</v>
          </cell>
          <cell r="CF67">
            <v>2.5123444432741528E-2</v>
          </cell>
          <cell r="CG67">
            <v>2.6354621375379562E-2</v>
          </cell>
          <cell r="CH67">
            <v>2.7221684220750098E-2</v>
          </cell>
          <cell r="CI67">
            <v>2.7491927509859362E-2</v>
          </cell>
          <cell r="CJ67">
            <v>2.6569702591358831E-2</v>
          </cell>
          <cell r="CK67">
            <v>2.6697017167916379E-2</v>
          </cell>
          <cell r="CL67">
            <v>2.5993438641574679E-2</v>
          </cell>
          <cell r="CM67">
            <v>2.5166642931353268E-2</v>
          </cell>
          <cell r="CN67">
            <v>2.5138029397355505E-2</v>
          </cell>
          <cell r="CO67">
            <v>2.574815390429426E-2</v>
          </cell>
          <cell r="CP67">
            <v>2.4318679275896159E-2</v>
          </cell>
          <cell r="CQ67">
            <v>2.4636374612924006E-2</v>
          </cell>
          <cell r="CR67">
            <v>2.497882038883259E-2</v>
          </cell>
          <cell r="CS67">
            <v>2.5020982865841462E-2</v>
          </cell>
          <cell r="CT67">
            <v>2.4737518725285422E-2</v>
          </cell>
          <cell r="CU67">
            <v>2.4562955421954975E-2</v>
          </cell>
          <cell r="CV67">
            <v>2.4909304624542508E-2</v>
          </cell>
          <cell r="CW67">
            <v>2.5229192463971272E-2</v>
          </cell>
          <cell r="CX67">
            <v>2.5320364527101933E-2</v>
          </cell>
          <cell r="CY67">
            <v>2.5004222441485504E-2</v>
          </cell>
          <cell r="CZ67">
            <v>2.4326400688784465E-2</v>
          </cell>
          <cell r="DA67">
            <v>2.4701291301965415E-2</v>
          </cell>
          <cell r="DB67">
            <v>2.4998322257651532E-2</v>
          </cell>
          <cell r="DC67">
            <v>2.5036991215724266E-2</v>
          </cell>
          <cell r="DD67">
            <v>2.4764455289314299E-2</v>
          </cell>
          <cell r="DE67">
            <v>2.3987114322703014E-2</v>
          </cell>
          <cell r="DF67">
            <v>2.4412995199644159E-2</v>
          </cell>
          <cell r="DG67">
            <v>2.469176546253337E-2</v>
          </cell>
          <cell r="DH67">
            <v>2.4789137911102446E-2</v>
          </cell>
          <cell r="DI67">
            <v>2.4468610116228293E-2</v>
          </cell>
        </row>
        <row r="68">
          <cell r="B68" t="str">
            <v>Other operating expenses</v>
          </cell>
          <cell r="AW68">
            <v>0</v>
          </cell>
          <cell r="AX68">
            <v>0</v>
          </cell>
          <cell r="AY68">
            <v>0</v>
          </cell>
          <cell r="AZ68">
            <v>0</v>
          </cell>
          <cell r="BA68">
            <v>0</v>
          </cell>
          <cell r="BB68">
            <v>0</v>
          </cell>
          <cell r="BC68">
            <v>0</v>
          </cell>
          <cell r="BD68">
            <v>0</v>
          </cell>
          <cell r="BE68">
            <v>0</v>
          </cell>
          <cell r="BF68">
            <v>0</v>
          </cell>
          <cell r="BG68">
            <v>0.1686469893285302</v>
          </cell>
          <cell r="BH68">
            <v>0.17194517449016936</v>
          </cell>
          <cell r="BI68">
            <v>0.17662916917728502</v>
          </cell>
          <cell r="BJ68">
            <v>0.16788017474516331</v>
          </cell>
          <cell r="BK68">
            <v>0.17120670192197504</v>
          </cell>
          <cell r="BL68">
            <v>0.16920281268664744</v>
          </cell>
          <cell r="BM68">
            <v>0.18075968852606669</v>
          </cell>
          <cell r="BN68">
            <v>0.18107736110163719</v>
          </cell>
          <cell r="BO68">
            <v>0.17640598461339185</v>
          </cell>
          <cell r="BP68">
            <v>0.17675698392505967</v>
          </cell>
          <cell r="BQ68">
            <v>0.16933692645665521</v>
          </cell>
          <cell r="BR68">
            <v>0.17790389749741925</v>
          </cell>
          <cell r="BS68">
            <v>0.1811548792233024</v>
          </cell>
          <cell r="BT68">
            <v>0.17841730630512329</v>
          </cell>
          <cell r="BU68">
            <v>0.17660415521481998</v>
          </cell>
          <cell r="BV68">
            <v>0.17313301173462131</v>
          </cell>
          <cell r="BW68">
            <v>0.17565578175832336</v>
          </cell>
          <cell r="BX68">
            <v>0.18018224391948323</v>
          </cell>
          <cell r="BY68">
            <v>0.17304487099276758</v>
          </cell>
          <cell r="BZ68">
            <v>0.17543093070139917</v>
          </cell>
          <cell r="CA68">
            <v>0.164562547324203</v>
          </cell>
          <cell r="CB68">
            <v>0.17424848952585659</v>
          </cell>
          <cell r="CC68">
            <v>0.18420441676327007</v>
          </cell>
          <cell r="CD68">
            <v>0.18244691984595349</v>
          </cell>
          <cell r="CE68">
            <v>0.17643812733681385</v>
          </cell>
          <cell r="CF68">
            <v>0.17019323526601149</v>
          </cell>
          <cell r="CG68">
            <v>0.18062597779916623</v>
          </cell>
          <cell r="CH68">
            <v>0.19078103530527538</v>
          </cell>
          <cell r="CI68">
            <v>0.19312414523789381</v>
          </cell>
          <cell r="CJ68">
            <v>0.18390431672943389</v>
          </cell>
          <cell r="CK68">
            <v>0.18486609689312533</v>
          </cell>
          <cell r="CL68">
            <v>0.19307861475054564</v>
          </cell>
          <cell r="CM68">
            <v>0.19945775324527834</v>
          </cell>
          <cell r="CN68">
            <v>0.19736106601182624</v>
          </cell>
          <cell r="CO68">
            <v>0.19368715717012791</v>
          </cell>
          <cell r="CP68">
            <v>0.18192294101663578</v>
          </cell>
          <cell r="CQ68">
            <v>0.19035016746499017</v>
          </cell>
          <cell r="CR68">
            <v>0.19634239946695992</v>
          </cell>
          <cell r="CS68">
            <v>0.19570591904093115</v>
          </cell>
          <cell r="CT68">
            <v>0.19104851636397455</v>
          </cell>
          <cell r="CU68">
            <v>0.18796721204446853</v>
          </cell>
          <cell r="CV68">
            <v>0.1970097155907401</v>
          </cell>
          <cell r="CW68">
            <v>0.20302202612928863</v>
          </cell>
          <cell r="CX68">
            <v>0.20264607698685905</v>
          </cell>
          <cell r="CY68">
            <v>0.19762629395911402</v>
          </cell>
          <cell r="CZ68">
            <v>0.19071643224795454</v>
          </cell>
          <cell r="DA68">
            <v>0.20018831405370535</v>
          </cell>
          <cell r="DB68">
            <v>0.20613913487529451</v>
          </cell>
          <cell r="DC68">
            <v>0.20532468632943052</v>
          </cell>
          <cell r="DD68">
            <v>0.2005564270644645</v>
          </cell>
          <cell r="DE68">
            <v>0.19268771167198695</v>
          </cell>
          <cell r="DF68">
            <v>0.20266975901520151</v>
          </cell>
          <cell r="DG68">
            <v>0.20857598877140512</v>
          </cell>
          <cell r="DH68">
            <v>0.20815174176003184</v>
          </cell>
          <cell r="DI68">
            <v>0.20297780709636462</v>
          </cell>
        </row>
        <row r="69">
          <cell r="B69" t="str">
            <v>Electronic health record incentive income</v>
          </cell>
          <cell r="D69">
            <v>0.1730604883069789</v>
          </cell>
          <cell r="E69">
            <v>0.19168022442680238</v>
          </cell>
          <cell r="F69">
            <v>0.19329674079030612</v>
          </cell>
          <cell r="G69">
            <v>0.21437160975525354</v>
          </cell>
          <cell r="H69">
            <v>0.23413540283689879</v>
          </cell>
          <cell r="I69">
            <v>0.24182536424813697</v>
          </cell>
          <cell r="J69">
            <v>0.2367282313034689</v>
          </cell>
          <cell r="K69">
            <v>0.24409424198364682</v>
          </cell>
          <cell r="L69">
            <v>0.24628952179571156</v>
          </cell>
          <cell r="M69">
            <v>0.21872626810170995</v>
          </cell>
          <cell r="N69">
            <v>0.27538057619176565</v>
          </cell>
          <cell r="O69">
            <v>0.23309303123927227</v>
          </cell>
          <cell r="P69">
            <v>0.2060867622000615</v>
          </cell>
          <cell r="Q69">
            <v>0.23332180183476223</v>
          </cell>
          <cell r="R69">
            <v>0.2169016520127319</v>
          </cell>
          <cell r="S69">
            <v>0.26462419400227583</v>
          </cell>
          <cell r="T69">
            <v>0.25057338423263675</v>
          </cell>
          <cell r="U69">
            <v>0.21927392448010513</v>
          </cell>
          <cell r="V69">
            <v>0.23822212024969461</v>
          </cell>
          <cell r="W69">
            <v>0.21552285963655798</v>
          </cell>
          <cell r="X69">
            <v>0.25907628485443035</v>
          </cell>
          <cell r="Y69">
            <v>0.24626217500734351</v>
          </cell>
          <cell r="Z69">
            <v>0.23165729199111598</v>
          </cell>
          <cell r="AA69">
            <v>0.23862472676629071</v>
          </cell>
          <cell r="AB69">
            <v>0.21950663646759624</v>
          </cell>
          <cell r="AC69">
            <v>0.24475297785318686</v>
          </cell>
          <cell r="AD69">
            <v>0.23270816033054503</v>
          </cell>
          <cell r="AE69">
            <v>0.21685319909279951</v>
          </cell>
          <cell r="AF69">
            <v>0.22873763425367521</v>
          </cell>
          <cell r="AG69">
            <v>0.21094517893272116</v>
          </cell>
          <cell r="AH69">
            <v>0.24730692125877063</v>
          </cell>
          <cell r="AI69">
            <v>0.24324128030510236</v>
          </cell>
          <cell r="AJ69">
            <v>0.22347534361987845</v>
          </cell>
          <cell r="AK69">
            <v>0.23150533317503566</v>
          </cell>
          <cell r="AL69">
            <v>0.20110421873946702</v>
          </cell>
          <cell r="AM69">
            <v>0.22466414120519432</v>
          </cell>
          <cell r="AN69">
            <v>0.22441551323131961</v>
          </cell>
          <cell r="AO69">
            <v>0.2009512783115561</v>
          </cell>
          <cell r="AP69">
            <v>0.2131377139229885</v>
          </cell>
          <cell r="AQ69">
            <v>0.20435281282345377</v>
          </cell>
          <cell r="AR69">
            <v>0.22193301418718017</v>
          </cell>
          <cell r="AS69">
            <v>0.17588925614173295</v>
          </cell>
          <cell r="AT69">
            <v>0.1823536427000238</v>
          </cell>
          <cell r="AU69">
            <v>0.19586393014637582</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2.4140439229334489E-2</v>
          </cell>
          <cell r="CJ69">
            <v>6.5771410759172689E-3</v>
          </cell>
          <cell r="CK69">
            <v>2.72158376014961E-3</v>
          </cell>
          <cell r="CL69">
            <v>1.7023007445416388E-3</v>
          </cell>
          <cell r="CM69">
            <v>1.4556056500861983E-2</v>
          </cell>
          <cell r="CN69">
            <v>3.6040110267753445E-2</v>
          </cell>
          <cell r="CO69">
            <v>1.3845522883874393E-2</v>
          </cell>
          <cell r="CP69">
            <v>1.1275887914691866E-2</v>
          </cell>
          <cell r="CQ69">
            <v>1.1439672641129668E-2</v>
          </cell>
          <cell r="CR69">
            <v>1.1580765928516033E-2</v>
          </cell>
          <cell r="CS69">
            <v>1.127102836295866E-2</v>
          </cell>
          <cell r="CT69">
            <v>1.1390396543174126E-2</v>
          </cell>
          <cell r="CU69">
            <v>7.3716193503813483E-3</v>
          </cell>
          <cell r="CV69">
            <v>7.4863463865094881E-3</v>
          </cell>
          <cell r="CW69">
            <v>7.570772999470724E-3</v>
          </cell>
          <cell r="CX69">
            <v>7.3824522592148599E-3</v>
          </cell>
          <cell r="CY69">
            <v>7.4519096016075854E-3</v>
          </cell>
          <cell r="CZ69">
            <v>3.5439935013598001E-3</v>
          </cell>
          <cell r="DA69">
            <v>3.60380057974162E-3</v>
          </cell>
          <cell r="DB69">
            <v>3.6415016971351644E-3</v>
          </cell>
          <cell r="DC69">
            <v>3.5436074820564085E-3</v>
          </cell>
          <cell r="DD69">
            <v>3.5827440508577032E-3</v>
          </cell>
          <cell r="DE69">
            <v>1.6963905542596476E-3</v>
          </cell>
          <cell r="DF69">
            <v>1.7289997832715151E-3</v>
          </cell>
          <cell r="DG69">
            <v>1.7460415615007906E-3</v>
          </cell>
          <cell r="DH69">
            <v>1.7031687354246705E-3</v>
          </cell>
          <cell r="DI69">
            <v>1.7184190727128257E-3</v>
          </cell>
        </row>
        <row r="70">
          <cell r="B70" t="str">
            <v>EBITDA Margin</v>
          </cell>
          <cell r="D70">
            <v>0.1730604883069789</v>
          </cell>
          <cell r="E70">
            <v>0.19168022442680238</v>
          </cell>
          <cell r="F70">
            <v>0.19329674079030612</v>
          </cell>
          <cell r="G70">
            <v>0.21437160975525354</v>
          </cell>
          <cell r="H70">
            <v>0.23413540283689879</v>
          </cell>
          <cell r="I70">
            <v>0.24182536424813697</v>
          </cell>
          <cell r="J70">
            <v>0.2367282313034689</v>
          </cell>
          <cell r="K70">
            <v>0.24409424198364682</v>
          </cell>
          <cell r="L70">
            <v>0.24628952179571156</v>
          </cell>
          <cell r="M70">
            <v>0.21872626810170995</v>
          </cell>
          <cell r="N70">
            <v>0.27538057619176565</v>
          </cell>
          <cell r="O70">
            <v>0.23309303123927227</v>
          </cell>
          <cell r="P70">
            <v>0.2060867622000615</v>
          </cell>
          <cell r="Q70">
            <v>0.23332180183476223</v>
          </cell>
          <cell r="R70">
            <v>0.2169016520127319</v>
          </cell>
          <cell r="S70">
            <v>0.26462419400227583</v>
          </cell>
          <cell r="T70">
            <v>0.25057338423263675</v>
          </cell>
          <cell r="U70">
            <v>0.21927392448010513</v>
          </cell>
          <cell r="V70">
            <v>0.23822212024969461</v>
          </cell>
          <cell r="W70">
            <v>0.21552285963655798</v>
          </cell>
          <cell r="X70">
            <v>0.25907628485443035</v>
          </cell>
          <cell r="Y70">
            <v>0.24626217500734351</v>
          </cell>
          <cell r="Z70">
            <v>0.23165729199111598</v>
          </cell>
          <cell r="AA70">
            <v>0.23862472676629071</v>
          </cell>
          <cell r="AB70">
            <v>0.21950663646759624</v>
          </cell>
          <cell r="AC70">
            <v>0.24475297785318686</v>
          </cell>
          <cell r="AD70">
            <v>0.23270816033054503</v>
          </cell>
          <cell r="AE70">
            <v>0.21685319909279951</v>
          </cell>
          <cell r="AF70">
            <v>0.22873763425367521</v>
          </cell>
          <cell r="AG70">
            <v>0.21094517893272116</v>
          </cell>
          <cell r="AH70">
            <v>0.24730692125877063</v>
          </cell>
          <cell r="AI70">
            <v>0.24324128030510236</v>
          </cell>
          <cell r="AJ70">
            <v>0.22347534361987845</v>
          </cell>
          <cell r="AK70">
            <v>0.23150533317503566</v>
          </cell>
          <cell r="AL70">
            <v>0.20110421873946702</v>
          </cell>
          <cell r="AM70">
            <v>0.22466414120519432</v>
          </cell>
          <cell r="AN70">
            <v>0.22441551323131961</v>
          </cell>
          <cell r="AO70">
            <v>0.2009512783115561</v>
          </cell>
          <cell r="AP70">
            <v>0.2131377139229885</v>
          </cell>
          <cell r="AQ70">
            <v>0.20435281282345377</v>
          </cell>
          <cell r="AR70">
            <v>0.22193301418718017</v>
          </cell>
          <cell r="AS70">
            <v>0.17588925614173295</v>
          </cell>
          <cell r="AT70">
            <v>0.1823536427000238</v>
          </cell>
          <cell r="AU70">
            <v>0.19586393014637582</v>
          </cell>
          <cell r="AW70">
            <v>0.22466414120519432</v>
          </cell>
          <cell r="AX70">
            <v>0.22441551323131961</v>
          </cell>
          <cell r="AY70">
            <v>0.2009512783115561</v>
          </cell>
          <cell r="AZ70">
            <v>0.20435281282345377</v>
          </cell>
          <cell r="BA70">
            <v>0.21371273780663558</v>
          </cell>
          <cell r="BB70">
            <v>0.22193301418718017</v>
          </cell>
          <cell r="BC70">
            <v>0.17588925614173295</v>
          </cell>
          <cell r="BD70">
            <v>0.1823536427000238</v>
          </cell>
          <cell r="BE70">
            <v>0.18185846708446218</v>
          </cell>
          <cell r="BF70">
            <v>0.19042359278652082</v>
          </cell>
          <cell r="BG70">
            <v>0.19221718668293544</v>
          </cell>
          <cell r="BH70">
            <v>0.17952732175740646</v>
          </cell>
          <cell r="BI70">
            <v>0.1665407585269654</v>
          </cell>
          <cell r="BJ70">
            <v>-8.6527163107834888E-3</v>
          </cell>
          <cell r="BK70">
            <v>0.13127457936223494</v>
          </cell>
          <cell r="BL70">
            <v>0.16913197957557832</v>
          </cell>
          <cell r="BM70">
            <v>0.12244339091361507</v>
          </cell>
          <cell r="BN70">
            <v>0.14135820869024066</v>
          </cell>
          <cell r="BO70">
            <v>0.13751621395303018</v>
          </cell>
          <cell r="BP70">
            <v>0.14289090373429328</v>
          </cell>
          <cell r="BQ70">
            <v>0.15757627289227916</v>
          </cell>
          <cell r="BR70">
            <v>0.14772382857489244</v>
          </cell>
          <cell r="BS70">
            <v>0.13118233057340964</v>
          </cell>
          <cell r="BT70">
            <v>0.13198558047752082</v>
          </cell>
          <cell r="BU70">
            <v>0.14232375650073648</v>
          </cell>
          <cell r="BV70">
            <v>0.15436822351082422</v>
          </cell>
          <cell r="BW70">
            <v>0.1494677844966433</v>
          </cell>
          <cell r="BX70">
            <v>0.14084550981680241</v>
          </cell>
          <cell r="BY70">
            <v>0.14245518322947681</v>
          </cell>
          <cell r="BZ70">
            <v>0.14683964856182757</v>
          </cell>
          <cell r="CA70">
            <v>0.15279307154213276</v>
          </cell>
          <cell r="CB70">
            <v>0.14624691553927074</v>
          </cell>
          <cell r="CC70">
            <v>0.13474425475284876</v>
          </cell>
          <cell r="CD70">
            <v>0.1379562578260268</v>
          </cell>
          <cell r="CE70">
            <v>0.14286927963093574</v>
          </cell>
          <cell r="CF70">
            <v>0.14956952263502518</v>
          </cell>
          <cell r="CG70">
            <v>0.14603329766732867</v>
          </cell>
          <cell r="CH70">
            <v>0.13302253035899461</v>
          </cell>
          <cell r="CI70">
            <v>0.14103843098825963</v>
          </cell>
          <cell r="CJ70">
            <v>0.1424105093882484</v>
          </cell>
          <cell r="CK70">
            <v>0.14201745845582453</v>
          </cell>
          <cell r="CL70">
            <v>0.13832334938788918</v>
          </cell>
          <cell r="CM70">
            <v>0.1420465368375069</v>
          </cell>
          <cell r="CN70">
            <v>0.1490585233632058</v>
          </cell>
          <cell r="CO70">
            <v>0.14289006402676024</v>
          </cell>
          <cell r="CP70">
            <v>0.15213022806649165</v>
          </cell>
          <cell r="CQ70">
            <v>0.14983418326657791</v>
          </cell>
          <cell r="CR70">
            <v>0.13919942477155567</v>
          </cell>
          <cell r="CS70">
            <v>0.12195723860423414</v>
          </cell>
          <cell r="CT70">
            <v>0.14075599334239361</v>
          </cell>
          <cell r="CU70">
            <v>0.15718682340649101</v>
          </cell>
          <cell r="CV70">
            <v>0.15400471107420396</v>
          </cell>
          <cell r="CW70">
            <v>0.14599374790779979</v>
          </cell>
          <cell r="CX70">
            <v>0.12659918443483231</v>
          </cell>
          <cell r="CY70">
            <v>0.14592176427476308</v>
          </cell>
          <cell r="CZ70">
            <v>0.15997859633388944</v>
          </cell>
          <cell r="DA70">
            <v>0.15647958535659182</v>
          </cell>
          <cell r="DB70">
            <v>0.14996641251374393</v>
          </cell>
          <cell r="DC70">
            <v>0.13201335050246221</v>
          </cell>
          <cell r="DD70">
            <v>0.14957777132035346</v>
          </cell>
          <cell r="DE70">
            <v>0.16427384091131372</v>
          </cell>
          <cell r="DF70">
            <v>0.15997183312331187</v>
          </cell>
          <cell r="DG70">
            <v>0.15455579282566936</v>
          </cell>
          <cell r="DH70">
            <v>0.13486063353279784</v>
          </cell>
          <cell r="DI70">
            <v>0.15339469955278229</v>
          </cell>
        </row>
        <row r="71">
          <cell r="B71" t="str">
            <v>EBITDA Margin (excluding HITECH)</v>
          </cell>
          <cell r="D71">
            <v>0.1730604883069789</v>
          </cell>
          <cell r="E71">
            <v>0.19168022442680238</v>
          </cell>
          <cell r="F71">
            <v>0.19329674079030612</v>
          </cell>
          <cell r="G71">
            <v>0.21437160975525354</v>
          </cell>
          <cell r="H71">
            <v>0.23413540283689879</v>
          </cell>
          <cell r="I71">
            <v>0.24182536424813697</v>
          </cell>
          <cell r="J71">
            <v>0.2367282313034689</v>
          </cell>
          <cell r="K71">
            <v>0.24409424198364682</v>
          </cell>
          <cell r="L71">
            <v>0.24628952179571156</v>
          </cell>
          <cell r="M71">
            <v>0.21872626810170995</v>
          </cell>
          <cell r="N71">
            <v>0.27538057619176565</v>
          </cell>
          <cell r="O71">
            <v>0.23309303123927227</v>
          </cell>
          <cell r="P71">
            <v>0.2060867622000615</v>
          </cell>
          <cell r="Q71">
            <v>0.23332180183476223</v>
          </cell>
          <cell r="R71">
            <v>0.2169016520127319</v>
          </cell>
          <cell r="S71">
            <v>0.26462419400227583</v>
          </cell>
          <cell r="T71">
            <v>0.25057338423263675</v>
          </cell>
          <cell r="U71">
            <v>0.21927392448010513</v>
          </cell>
          <cell r="V71">
            <v>0.23822212024969461</v>
          </cell>
          <cell r="W71">
            <v>0.21552285963655798</v>
          </cell>
          <cell r="X71">
            <v>0.25907628485443035</v>
          </cell>
          <cell r="Y71">
            <v>0.24626217500734351</v>
          </cell>
          <cell r="Z71">
            <v>0.23165729199111598</v>
          </cell>
          <cell r="AA71">
            <v>0.23862472676629071</v>
          </cell>
          <cell r="AB71">
            <v>0.21950663646759624</v>
          </cell>
          <cell r="AC71">
            <v>0.24475297785318686</v>
          </cell>
          <cell r="AD71">
            <v>0.23270816033054503</v>
          </cell>
          <cell r="AE71">
            <v>0.21685319909279951</v>
          </cell>
          <cell r="AF71">
            <v>0.22873763425367521</v>
          </cell>
          <cell r="AG71">
            <v>0.21094517893272116</v>
          </cell>
          <cell r="AH71">
            <v>0.24730692125877063</v>
          </cell>
          <cell r="AI71">
            <v>0.24324128030510236</v>
          </cell>
          <cell r="AJ71">
            <v>0.22347534361987845</v>
          </cell>
          <cell r="AK71">
            <v>0.23150533317503566</v>
          </cell>
          <cell r="AL71">
            <v>0.20110421873946702</v>
          </cell>
          <cell r="AM71">
            <v>0.22466414120519432</v>
          </cell>
          <cell r="AN71">
            <v>0.22441551323131961</v>
          </cell>
          <cell r="AO71">
            <v>0.2009512783115561</v>
          </cell>
          <cell r="AP71">
            <v>0.2131377139229885</v>
          </cell>
          <cell r="AQ71">
            <v>0.20435281282345377</v>
          </cell>
          <cell r="AR71">
            <v>0.22193301418718017</v>
          </cell>
          <cell r="AS71">
            <v>0.17588925614173295</v>
          </cell>
          <cell r="AT71">
            <v>0.1823536427000238</v>
          </cell>
          <cell r="AU71">
            <v>0.19586393014637582</v>
          </cell>
          <cell r="AW71">
            <v>0.22466414120519432</v>
          </cell>
          <cell r="AX71">
            <v>0.22441551323131961</v>
          </cell>
          <cell r="AY71">
            <v>0.2009512783115561</v>
          </cell>
          <cell r="AZ71">
            <v>0.20435281282345377</v>
          </cell>
          <cell r="BA71">
            <v>0.21371273780663558</v>
          </cell>
          <cell r="BB71">
            <v>0.22193301418718017</v>
          </cell>
          <cell r="BC71">
            <v>0.17588925614173295</v>
          </cell>
          <cell r="BD71">
            <v>0.1823536427000238</v>
          </cell>
          <cell r="BE71">
            <v>0.18185846708446218</v>
          </cell>
          <cell r="BF71">
            <v>0.19042359278652082</v>
          </cell>
          <cell r="BG71">
            <v>0.19221718668293544</v>
          </cell>
          <cell r="BH71">
            <v>0.17952732175740646</v>
          </cell>
          <cell r="BI71">
            <v>0.1665407585269654</v>
          </cell>
          <cell r="BJ71">
            <v>-8.6527163107834888E-3</v>
          </cell>
          <cell r="BK71">
            <v>0.13127457936223494</v>
          </cell>
          <cell r="BL71">
            <v>0.16913197957557832</v>
          </cell>
          <cell r="BM71">
            <v>0.12244339091361507</v>
          </cell>
          <cell r="BN71">
            <v>0.14135820869024066</v>
          </cell>
          <cell r="BO71">
            <v>0.13751621395303018</v>
          </cell>
          <cell r="BP71">
            <v>0.14289090373429328</v>
          </cell>
          <cell r="BQ71">
            <v>0.15757627289227916</v>
          </cell>
          <cell r="BR71">
            <v>0.14772382857489244</v>
          </cell>
          <cell r="BS71">
            <v>0.13118233057340964</v>
          </cell>
          <cell r="BT71">
            <v>0.13198558047752082</v>
          </cell>
          <cell r="BU71">
            <v>0.14232375650073648</v>
          </cell>
          <cell r="BV71">
            <v>0.15436822351082422</v>
          </cell>
          <cell r="BW71">
            <v>0.1494677844966433</v>
          </cell>
          <cell r="BX71">
            <v>0.14084550981680241</v>
          </cell>
          <cell r="BY71">
            <v>0.14245518322947681</v>
          </cell>
          <cell r="BZ71">
            <v>0.14683964856182757</v>
          </cell>
          <cell r="CA71">
            <v>0.15279307154213276</v>
          </cell>
          <cell r="CB71">
            <v>0.14624691553927074</v>
          </cell>
          <cell r="CC71">
            <v>0.13474425475284876</v>
          </cell>
          <cell r="CD71">
            <v>0.1379562578260268</v>
          </cell>
          <cell r="CE71">
            <v>0.14286927963093574</v>
          </cell>
          <cell r="CF71">
            <v>0.14956952263502518</v>
          </cell>
          <cell r="CG71">
            <v>0.14603329766732867</v>
          </cell>
          <cell r="CH71">
            <v>0.13302253035899461</v>
          </cell>
          <cell r="CI71">
            <v>0.11689799175892512</v>
          </cell>
          <cell r="CJ71">
            <v>0.13583336831233114</v>
          </cell>
          <cell r="CK71">
            <v>0.13929587469567492</v>
          </cell>
          <cell r="CL71">
            <v>0.13662104864334754</v>
          </cell>
          <cell r="CM71">
            <v>0.12749048033664492</v>
          </cell>
          <cell r="CN71">
            <v>0.11301841309545235</v>
          </cell>
          <cell r="CO71">
            <v>0.12904454114288585</v>
          </cell>
          <cell r="CP71">
            <v>0.14085434015179979</v>
          </cell>
          <cell r="CQ71">
            <v>0.13839451062544822</v>
          </cell>
          <cell r="CR71">
            <v>0.12761865884303963</v>
          </cell>
          <cell r="CS71">
            <v>0.11068621024127549</v>
          </cell>
          <cell r="CT71">
            <v>0.1293655967992195</v>
          </cell>
          <cell r="CU71">
            <v>0.14981520405610968</v>
          </cell>
          <cell r="CV71">
            <v>0.1465183646876945</v>
          </cell>
          <cell r="CW71">
            <v>0.13842297490832908</v>
          </cell>
          <cell r="CX71">
            <v>0.11921673217561744</v>
          </cell>
          <cell r="CY71">
            <v>0.13846985467315548</v>
          </cell>
          <cell r="CZ71">
            <v>0.15643460283252963</v>
          </cell>
          <cell r="DA71">
            <v>0.15287578477685018</v>
          </cell>
          <cell r="DB71">
            <v>0.14632491081660876</v>
          </cell>
          <cell r="DC71">
            <v>0.12846974302040581</v>
          </cell>
          <cell r="DD71">
            <v>0.14599502726949573</v>
          </cell>
          <cell r="DE71">
            <v>0.16257745035705409</v>
          </cell>
          <cell r="DF71">
            <v>0.15824283334004036</v>
          </cell>
          <cell r="DG71">
            <v>0.1528097512641686</v>
          </cell>
          <cell r="DH71">
            <v>0.1331574647973732</v>
          </cell>
          <cell r="DI71">
            <v>0.15167628048006945</v>
          </cell>
        </row>
        <row r="72">
          <cell r="B72" t="str">
            <v>Depreciation and Amortization</v>
          </cell>
          <cell r="D72">
            <v>0.12649615426383298</v>
          </cell>
          <cell r="E72">
            <v>0.146383034247106</v>
          </cell>
          <cell r="F72">
            <v>0.15096577150750451</v>
          </cell>
          <cell r="G72">
            <v>0.17664022239717159</v>
          </cell>
          <cell r="H72">
            <v>0.19624469050975663</v>
          </cell>
          <cell r="I72">
            <v>0.20310905414107497</v>
          </cell>
          <cell r="J72">
            <v>0.1986876974788504</v>
          </cell>
          <cell r="K72">
            <v>0.20326595062770667</v>
          </cell>
          <cell r="L72">
            <v>0.20199999648753683</v>
          </cell>
          <cell r="M72">
            <v>0.17123955796475235</v>
          </cell>
          <cell r="N72">
            <v>0.23316104877732907</v>
          </cell>
          <cell r="O72">
            <v>0.18782147852459627</v>
          </cell>
          <cell r="P72">
            <v>0.16007989049973467</v>
          </cell>
          <cell r="Q72">
            <v>0.18812176967442079</v>
          </cell>
          <cell r="R72">
            <v>0.16790869346706511</v>
          </cell>
          <cell r="S72">
            <v>0.21927053382437514</v>
          </cell>
          <cell r="T72">
            <v>0.2017519860700232</v>
          </cell>
          <cell r="U72">
            <v>0.17333588285909701</v>
          </cell>
          <cell r="V72">
            <v>0.1910041216478732</v>
          </cell>
          <cell r="W72">
            <v>0.16617192915389531</v>
          </cell>
          <cell r="X72">
            <v>0.2131108358412451</v>
          </cell>
          <cell r="Y72">
            <v>0.19791928622599597</v>
          </cell>
          <cell r="Z72">
            <v>0.18234303780203048</v>
          </cell>
          <cell r="AA72">
            <v>0.19040366506880249</v>
          </cell>
          <cell r="AB72">
            <v>0.17584571851535138</v>
          </cell>
          <cell r="AC72">
            <v>0.20355445660645441</v>
          </cell>
          <cell r="AD72">
            <v>0.19170565558773686</v>
          </cell>
          <cell r="AE72">
            <v>0.17395971437993382</v>
          </cell>
          <cell r="AF72">
            <v>0.18660559241333305</v>
          </cell>
          <cell r="AG72">
            <v>0.16813883387291831</v>
          </cell>
          <cell r="AH72">
            <v>0.20536697645064281</v>
          </cell>
          <cell r="AI72">
            <v>0.19996847604875084</v>
          </cell>
          <cell r="AJ72">
            <v>0.17988831403465555</v>
          </cell>
          <cell r="AK72">
            <v>0.18859936201854588</v>
          </cell>
          <cell r="AL72">
            <v>0.1601249350673383</v>
          </cell>
          <cell r="AM72">
            <v>0.18343652229805002</v>
          </cell>
          <cell r="AN72">
            <v>0.18278050409804475</v>
          </cell>
          <cell r="AO72">
            <v>0.15646723903749471</v>
          </cell>
          <cell r="AP72">
            <v>0.17105417068921683</v>
          </cell>
          <cell r="AQ72">
            <v>0.15984314889300535</v>
          </cell>
          <cell r="AR72">
            <v>0.1812309798484493</v>
          </cell>
          <cell r="AS72">
            <v>0.13402421585333482</v>
          </cell>
          <cell r="AT72">
            <v>0.13480463608335758</v>
          </cell>
          <cell r="AU72">
            <v>0.15225151104139284</v>
          </cell>
          <cell r="AW72">
            <v>0.18343652229805002</v>
          </cell>
          <cell r="AX72">
            <v>0.18278050409804475</v>
          </cell>
          <cell r="AY72">
            <v>0.15646723903749471</v>
          </cell>
          <cell r="AZ72">
            <v>0.15984314889300535</v>
          </cell>
          <cell r="BA72">
            <v>0.1707641082275998</v>
          </cell>
          <cell r="BB72">
            <v>0.1812309798484493</v>
          </cell>
          <cell r="BC72">
            <v>0.13402421585333482</v>
          </cell>
          <cell r="BD72">
            <v>0.13480463608335758</v>
          </cell>
          <cell r="BE72">
            <v>0.13751477571347887</v>
          </cell>
          <cell r="BF72">
            <v>0.14682548384363345</v>
          </cell>
          <cell r="BG72">
            <v>0.14982375612495896</v>
          </cell>
          <cell r="BH72">
            <v>0.13511368817795585</v>
          </cell>
          <cell r="BI72">
            <v>0.11859742020760267</v>
          </cell>
          <cell r="BJ72">
            <v>-5.9147951094912048E-2</v>
          </cell>
          <cell r="BK72">
            <v>8.4953102637809044E-2</v>
          </cell>
          <cell r="BL72">
            <v>0.12308958289791357</v>
          </cell>
          <cell r="BM72">
            <v>7.3372326711009642E-2</v>
          </cell>
          <cell r="BN72">
            <v>8.836756871917012E-2</v>
          </cell>
          <cell r="BO72">
            <v>8.3514400544387496E-2</v>
          </cell>
          <cell r="BP72">
            <v>5.0462888517792841E-2</v>
          </cell>
          <cell r="BQ72">
            <v>4.9851983216666729E-2</v>
          </cell>
          <cell r="BR72">
            <v>5.3945583955110787E-2</v>
          </cell>
          <cell r="BS72">
            <v>5.5301068291934485E-2</v>
          </cell>
          <cell r="BT72">
            <v>5.4374515436767981E-2</v>
          </cell>
          <cell r="BU72">
            <v>5.3322269174013635E-2</v>
          </cell>
          <cell r="BV72">
            <v>5.1275101576316283E-2</v>
          </cell>
          <cell r="BW72">
            <v>5.2413209364638808E-2</v>
          </cell>
          <cell r="BX72">
            <v>5.3858488657219025E-2</v>
          </cell>
          <cell r="BY72">
            <v>5.1646270760863221E-2</v>
          </cell>
          <cell r="BZ72">
            <v>5.227384459630257E-2</v>
          </cell>
          <cell r="CA72">
            <v>4.8337806678344836E-2</v>
          </cell>
          <cell r="CB72">
            <v>4.9594201574467436E-2</v>
          </cell>
          <cell r="CC72">
            <v>4.843707084276741E-2</v>
          </cell>
          <cell r="CD72">
            <v>4.5842674025319899E-2</v>
          </cell>
          <cell r="CE72">
            <v>4.8011996452736912E-2</v>
          </cell>
          <cell r="CF72">
            <v>4.5598584303880814E-2</v>
          </cell>
          <cell r="CG72">
            <v>4.6010579401771445E-2</v>
          </cell>
          <cell r="CH72">
            <v>4.6852548555823131E-2</v>
          </cell>
          <cell r="CI72">
            <v>4.6386668805018898E-2</v>
          </cell>
          <cell r="CJ72">
            <v>4.6214251751071557E-2</v>
          </cell>
          <cell r="CK72">
            <v>4.6482753222912537E-2</v>
          </cell>
          <cell r="CL72">
            <v>5.0821177783404024E-2</v>
          </cell>
          <cell r="CM72">
            <v>5.5047900266015783E-2</v>
          </cell>
          <cell r="CN72">
            <v>5.3445306346738566E-2</v>
          </cell>
          <cell r="CO72">
            <v>5.1445728243184281E-2</v>
          </cell>
          <cell r="CP72">
            <v>5.1397412154897071E-2</v>
          </cell>
          <cell r="CQ72">
            <v>5.2470530895468111E-2</v>
          </cell>
          <cell r="CR72">
            <v>5.3442763783905854E-2</v>
          </cell>
          <cell r="CS72">
            <v>5.2324501489021569E-2</v>
          </cell>
          <cell r="CT72">
            <v>5.2401695523765432E-2</v>
          </cell>
          <cell r="CU72">
            <v>5.1519008706826352E-2</v>
          </cell>
          <cell r="CV72">
            <v>5.2490469735714453E-2</v>
          </cell>
          <cell r="CW72">
            <v>5.3239385951841356E-2</v>
          </cell>
          <cell r="CX72">
            <v>5.2091487432403459E-2</v>
          </cell>
          <cell r="CY72">
            <v>5.2328564713197738E-2</v>
          </cell>
          <cell r="CZ72">
            <v>5.0221809437717514E-2</v>
          </cell>
          <cell r="DA72">
            <v>5.1259844587396727E-2</v>
          </cell>
          <cell r="DB72">
            <v>5.1974497201382829E-2</v>
          </cell>
          <cell r="DC72">
            <v>5.0775982873477267E-2</v>
          </cell>
          <cell r="DD72">
            <v>5.1050977213361236E-2</v>
          </cell>
          <cell r="DE72">
            <v>4.8846227337233192E-2</v>
          </cell>
          <cell r="DF72">
            <v>4.999709794781397E-2</v>
          </cell>
          <cell r="DG72">
            <v>5.0690059696553838E-2</v>
          </cell>
          <cell r="DH72">
            <v>4.9662977481557714E-2</v>
          </cell>
          <cell r="DI72">
            <v>4.9791865840125828E-2</v>
          </cell>
        </row>
        <row r="73">
          <cell r="B73" t="str">
            <v>Operating margin</v>
          </cell>
          <cell r="D73">
            <v>0.12649615426383298</v>
          </cell>
          <cell r="E73">
            <v>0.146383034247106</v>
          </cell>
          <cell r="F73">
            <v>0.15096577150750451</v>
          </cell>
          <cell r="G73">
            <v>0.17664022239717159</v>
          </cell>
          <cell r="H73">
            <v>0.19624469050975663</v>
          </cell>
          <cell r="I73">
            <v>0.20310905414107497</v>
          </cell>
          <cell r="J73">
            <v>0.1986876974788504</v>
          </cell>
          <cell r="K73">
            <v>0.20326595062770667</v>
          </cell>
          <cell r="L73">
            <v>0.20199999648753683</v>
          </cell>
          <cell r="M73">
            <v>0.17123955796475235</v>
          </cell>
          <cell r="N73">
            <v>0.23316104877732907</v>
          </cell>
          <cell r="O73">
            <v>0.18782147852459627</v>
          </cell>
          <cell r="P73">
            <v>0.16007989049973467</v>
          </cell>
          <cell r="Q73">
            <v>0.18812176967442079</v>
          </cell>
          <cell r="R73">
            <v>0.16790869346706511</v>
          </cell>
          <cell r="S73">
            <v>0.21927053382437514</v>
          </cell>
          <cell r="T73">
            <v>0.2017519860700232</v>
          </cell>
          <cell r="U73">
            <v>0.17333588285909701</v>
          </cell>
          <cell r="V73">
            <v>0.1910041216478732</v>
          </cell>
          <cell r="W73">
            <v>0.16617192915389531</v>
          </cell>
          <cell r="X73">
            <v>0.2131108358412451</v>
          </cell>
          <cell r="Y73">
            <v>0.19791928622599597</v>
          </cell>
          <cell r="Z73">
            <v>0.18234303780203048</v>
          </cell>
          <cell r="AA73">
            <v>0.19040366506880249</v>
          </cell>
          <cell r="AB73">
            <v>0.17584571851535138</v>
          </cell>
          <cell r="AC73">
            <v>0.20355445660645441</v>
          </cell>
          <cell r="AD73">
            <v>0.19170565558773686</v>
          </cell>
          <cell r="AE73">
            <v>0.17395971437993382</v>
          </cell>
          <cell r="AF73">
            <v>0.18660559241333305</v>
          </cell>
          <cell r="AG73">
            <v>0.16813883387291831</v>
          </cell>
          <cell r="AH73">
            <v>0.20536697645064281</v>
          </cell>
          <cell r="AI73">
            <v>0.19996847604875084</v>
          </cell>
          <cell r="AJ73">
            <v>0.17988831403465555</v>
          </cell>
          <cell r="AK73">
            <v>0.18859936201854588</v>
          </cell>
          <cell r="AL73">
            <v>0.1601249350673383</v>
          </cell>
          <cell r="AM73">
            <v>0.18343652229805002</v>
          </cell>
          <cell r="AN73">
            <v>0.18278050409804475</v>
          </cell>
          <cell r="AO73">
            <v>0.15646723903749471</v>
          </cell>
          <cell r="AP73">
            <v>0.17105417068921683</v>
          </cell>
          <cell r="AQ73">
            <v>0.15984314889300535</v>
          </cell>
          <cell r="AR73">
            <v>0.1812309798484493</v>
          </cell>
          <cell r="AS73">
            <v>0.13402421585333482</v>
          </cell>
          <cell r="AT73">
            <v>0.13480463608335758</v>
          </cell>
          <cell r="AU73">
            <v>0.15225151104139284</v>
          </cell>
          <cell r="AW73">
            <v>0.18343652229805002</v>
          </cell>
          <cell r="AX73">
            <v>0.18278050409804475</v>
          </cell>
          <cell r="AY73">
            <v>0.15646723903749471</v>
          </cell>
          <cell r="AZ73">
            <v>0.15984314889300535</v>
          </cell>
          <cell r="BA73">
            <v>0.1707641082275998</v>
          </cell>
          <cell r="BB73">
            <v>0.1812309798484493</v>
          </cell>
          <cell r="BC73">
            <v>0.13402421585333482</v>
          </cell>
          <cell r="BD73">
            <v>0.13480463608335758</v>
          </cell>
          <cell r="BE73">
            <v>0.13751477571347887</v>
          </cell>
          <cell r="BF73">
            <v>0.14682548384363345</v>
          </cell>
          <cell r="BG73">
            <v>0.14982375612495896</v>
          </cell>
          <cell r="BH73">
            <v>0.13511368817795585</v>
          </cell>
          <cell r="BI73">
            <v>0.11859742020760267</v>
          </cell>
          <cell r="BJ73">
            <v>-5.9147951094912048E-2</v>
          </cell>
          <cell r="BK73">
            <v>8.4953102637809044E-2</v>
          </cell>
          <cell r="BL73">
            <v>0.12308958289791357</v>
          </cell>
          <cell r="BM73">
            <v>7.3372326711009642E-2</v>
          </cell>
          <cell r="BN73">
            <v>8.836756871917012E-2</v>
          </cell>
          <cell r="BO73">
            <v>8.3514400544387496E-2</v>
          </cell>
          <cell r="BP73">
            <v>9.2428015216500445E-2</v>
          </cell>
          <cell r="BQ73">
            <v>0.10772428967561244</v>
          </cell>
          <cell r="BR73">
            <v>9.3778244619781639E-2</v>
          </cell>
          <cell r="BS73">
            <v>7.5881262281475154E-2</v>
          </cell>
          <cell r="BT73">
            <v>7.7611065040752839E-2</v>
          </cell>
          <cell r="BU73">
            <v>8.9001487326722833E-2</v>
          </cell>
          <cell r="BV73">
            <v>0.10309312193450794</v>
          </cell>
          <cell r="BW73">
            <v>9.7054575132004509E-2</v>
          </cell>
          <cell r="BX73">
            <v>8.6987021159583372E-2</v>
          </cell>
          <cell r="BY73">
            <v>9.080891246861357E-2</v>
          </cell>
          <cell r="BZ73">
            <v>9.4565803965524997E-2</v>
          </cell>
          <cell r="CA73">
            <v>0.10445526486378792</v>
          </cell>
          <cell r="CB73">
            <v>9.6652713964803294E-2</v>
          </cell>
          <cell r="CC73">
            <v>8.6307183910081339E-2</v>
          </cell>
          <cell r="CD73">
            <v>9.2113583800706902E-2</v>
          </cell>
          <cell r="CE73">
            <v>9.4857283178198817E-2</v>
          </cell>
          <cell r="CF73">
            <v>0.10397093833114435</v>
          </cell>
          <cell r="CG73">
            <v>0.10002271826555721</v>
          </cell>
          <cell r="CH73">
            <v>8.616998180317148E-2</v>
          </cell>
          <cell r="CI73">
            <v>9.4651762183240715E-2</v>
          </cell>
          <cell r="CJ73">
            <v>9.6196257637176846E-2</v>
          </cell>
          <cell r="CK73">
            <v>9.5534705232911993E-2</v>
          </cell>
          <cell r="CL73">
            <v>8.7502171604485132E-2</v>
          </cell>
          <cell r="CM73">
            <v>8.6998636571491123E-2</v>
          </cell>
          <cell r="CN73">
            <v>9.5613217016467231E-2</v>
          </cell>
          <cell r="CO73">
            <v>9.144433578357597E-2</v>
          </cell>
          <cell r="CP73">
            <v>0.10073281591159458</v>
          </cell>
          <cell r="CQ73">
            <v>9.7363652371109777E-2</v>
          </cell>
          <cell r="CR73">
            <v>8.5756660987649808E-2</v>
          </cell>
          <cell r="CS73">
            <v>6.9632737115212576E-2</v>
          </cell>
          <cell r="CT73">
            <v>8.8354297818628177E-2</v>
          </cell>
          <cell r="CU73">
            <v>0.10566781469966466</v>
          </cell>
          <cell r="CV73">
            <v>0.10151424133848951</v>
          </cell>
          <cell r="CW73">
            <v>9.2754361955958445E-2</v>
          </cell>
          <cell r="CX73">
            <v>7.4507697002428847E-2</v>
          </cell>
          <cell r="CY73">
            <v>9.3593199561565338E-2</v>
          </cell>
          <cell r="CZ73">
            <v>0.10975678689617191</v>
          </cell>
          <cell r="DA73">
            <v>0.10521974076919509</v>
          </cell>
          <cell r="DB73">
            <v>9.7991915312361108E-2</v>
          </cell>
          <cell r="DC73">
            <v>8.1237367628984938E-2</v>
          </cell>
          <cell r="DD73">
            <v>9.8526794106992222E-2</v>
          </cell>
          <cell r="DE73">
            <v>0.11542761357408052</v>
          </cell>
          <cell r="DF73">
            <v>0.10997473517549788</v>
          </cell>
          <cell r="DG73">
            <v>0.10386573312911554</v>
          </cell>
          <cell r="DH73">
            <v>8.5197656051240134E-2</v>
          </cell>
          <cell r="DI73">
            <v>0.10360283371265644</v>
          </cell>
        </row>
        <row r="74">
          <cell r="B74" t="str">
            <v>Pretax margin</v>
          </cell>
          <cell r="D74">
            <v>0.49273620972146459</v>
          </cell>
          <cell r="E74">
            <v>0.45002981241113599</v>
          </cell>
          <cell r="F74">
            <v>0.42797548250149903</v>
          </cell>
          <cell r="G74">
            <v>0.42867520686050425</v>
          </cell>
          <cell r="H74">
            <v>0.39941270035482695</v>
          </cell>
          <cell r="I74">
            <v>0.39250256597185551</v>
          </cell>
          <cell r="J74">
            <v>0.39249048124787772</v>
          </cell>
          <cell r="K74">
            <v>0.39250402391354328</v>
          </cell>
          <cell r="L74">
            <v>0.39255767293001143</v>
          </cell>
          <cell r="M74">
            <v>0.39247934370890836</v>
          </cell>
          <cell r="N74">
            <v>0.39253062367891622</v>
          </cell>
          <cell r="O74">
            <v>0.39248542228352862</v>
          </cell>
          <cell r="P74">
            <v>0.39243020423458858</v>
          </cell>
          <cell r="Q74">
            <v>0.39248661074464941</v>
          </cell>
          <cell r="R74">
            <v>0.39253511895272009</v>
          </cell>
          <cell r="S74">
            <v>0.39247680589148393</v>
          </cell>
          <cell r="T74">
            <v>0.39251157503673512</v>
          </cell>
          <cell r="U74">
            <v>0.39248557610064849</v>
          </cell>
          <cell r="V74">
            <v>0.3924998641279735</v>
          </cell>
          <cell r="W74">
            <v>0.39236562717401141</v>
          </cell>
          <cell r="X74">
            <v>0.39276147760543179</v>
          </cell>
          <cell r="Y74">
            <v>0.39277221948046137</v>
          </cell>
          <cell r="Z74">
            <v>0.39207100037467213</v>
          </cell>
          <cell r="AA74">
            <v>0.3924991665394405</v>
          </cell>
          <cell r="AB74">
            <v>0.39250288906009223</v>
          </cell>
          <cell r="AC74">
            <v>0.39248014741367959</v>
          </cell>
          <cell r="AD74">
            <v>0.39126917763397079</v>
          </cell>
          <cell r="AE74">
            <v>0.38994076899909669</v>
          </cell>
          <cell r="AF74">
            <v>0.39153517216619849</v>
          </cell>
          <cell r="AG74">
            <v>0.38627844305310721</v>
          </cell>
          <cell r="AH74">
            <v>0.38685181167281418</v>
          </cell>
          <cell r="AI74">
            <v>0.38662293098094802</v>
          </cell>
          <cell r="AJ74">
            <v>0.35271974917058574</v>
          </cell>
          <cell r="AK74">
            <v>0.37858066800985574</v>
          </cell>
          <cell r="AL74">
            <v>0.37911028460266177</v>
          </cell>
          <cell r="AM74">
            <v>0.38034951875408907</v>
          </cell>
          <cell r="AN74">
            <v>0.37660029913415749</v>
          </cell>
          <cell r="AO74">
            <v>0.37748164488196778</v>
          </cell>
          <cell r="AP74">
            <v>0.37838543684321901</v>
          </cell>
          <cell r="AQ74">
            <v>0.38055568555872743</v>
          </cell>
          <cell r="AR74">
            <v>0.38036994860115086</v>
          </cell>
          <cell r="AS74">
            <v>0.38041456566785237</v>
          </cell>
          <cell r="AT74">
            <v>0.3455956272759092</v>
          </cell>
          <cell r="AU74">
            <v>0.37217773618554056</v>
          </cell>
          <cell r="AW74">
            <v>0.17779080880721709</v>
          </cell>
          <cell r="AX74">
            <v>0.17832703853104154</v>
          </cell>
          <cell r="AY74">
            <v>0.15222958986773311</v>
          </cell>
          <cell r="AZ74">
            <v>0.15592916888130479</v>
          </cell>
          <cell r="BA74">
            <v>0.16619496850539789</v>
          </cell>
          <cell r="BB74">
            <v>0.17707270602802569</v>
          </cell>
          <cell r="BC74">
            <v>0.15135015370387814</v>
          </cell>
          <cell r="BD74">
            <v>0.1482864247917384</v>
          </cell>
          <cell r="BE74">
            <v>0.13299904004578747</v>
          </cell>
          <cell r="BF74">
            <v>0.15233524653562031</v>
          </cell>
          <cell r="BG74">
            <v>0.13720585671953994</v>
          </cell>
          <cell r="BH74">
            <v>0.12405210928311572</v>
          </cell>
          <cell r="BI74">
            <v>0.10479614449493073</v>
          </cell>
          <cell r="BJ74">
            <v>-6.4984188773411722E-2</v>
          </cell>
          <cell r="BK74">
            <v>7.4176827558630892E-2</v>
          </cell>
          <cell r="BL74">
            <v>9.389847079183529E-2</v>
          </cell>
          <cell r="BM74">
            <v>1.9643164195236242E-2</v>
          </cell>
          <cell r="BN74">
            <v>2.8842568929413365E-2</v>
          </cell>
          <cell r="BO74">
            <v>2.5069371090179711E-2</v>
          </cell>
          <cell r="BP74">
            <v>4.2483592683506072E-2</v>
          </cell>
          <cell r="BQ74">
            <v>0.2296142887385777</v>
          </cell>
          <cell r="BR74">
            <v>3.6503244823346465E-2</v>
          </cell>
          <cell r="BS74">
            <v>1.6246208108962368E-2</v>
          </cell>
          <cell r="BT74">
            <v>4.6585526872010598E-2</v>
          </cell>
          <cell r="BU74">
            <v>8.4096746099333458E-2</v>
          </cell>
          <cell r="BV74">
            <v>7.0826069865650682E-2</v>
          </cell>
          <cell r="BW74">
            <v>5.1856717668308447E-2</v>
          </cell>
          <cell r="BX74">
            <v>3.9031894914266271E-2</v>
          </cell>
          <cell r="BY74">
            <v>4.6684518297921945E-2</v>
          </cell>
          <cell r="BZ74">
            <v>5.2274273399070099E-2</v>
          </cell>
          <cell r="CA74">
            <v>6.4683090288937276E-2</v>
          </cell>
          <cell r="CB74">
            <v>5.6746063230343001E-2</v>
          </cell>
          <cell r="CC74">
            <v>4.7020483072169682E-2</v>
          </cell>
          <cell r="CD74">
            <v>5.3614524218247861E-2</v>
          </cell>
          <cell r="CE74">
            <v>5.5506094045920516E-2</v>
          </cell>
          <cell r="CF74">
            <v>6.8506690308103732E-2</v>
          </cell>
          <cell r="CG74">
            <v>6.3548793746098703E-2</v>
          </cell>
          <cell r="CH74">
            <v>5.1484598398564854E-2</v>
          </cell>
          <cell r="CI74">
            <v>3.4500503228364572E-2</v>
          </cell>
          <cell r="CJ74">
            <v>5.3951204642275069E-2</v>
          </cell>
          <cell r="CK74">
            <v>4.1931363910732204E-2</v>
          </cell>
          <cell r="CL74">
            <v>4.3540002881637611E-2</v>
          </cell>
          <cell r="CM74">
            <v>4.2261476624922627E-2</v>
          </cell>
          <cell r="CN74">
            <v>5.3743179306574074E-2</v>
          </cell>
          <cell r="CO74">
            <v>4.5414299382026908E-2</v>
          </cell>
          <cell r="CP74">
            <v>6.0370065394074766E-2</v>
          </cell>
          <cell r="CQ74">
            <v>5.6471647889992253E-2</v>
          </cell>
          <cell r="CR74">
            <v>4.4469242141830026E-2</v>
          </cell>
          <cell r="CS74">
            <v>2.9524326751760553E-2</v>
          </cell>
          <cell r="CT74">
            <v>4.7696695133679821E-2</v>
          </cell>
          <cell r="CU74">
            <v>6.5865343862132233E-2</v>
          </cell>
          <cell r="CV74">
            <v>7.2379886961688414E-2</v>
          </cell>
          <cell r="CW74">
            <v>6.3411600842658414E-2</v>
          </cell>
          <cell r="CX74">
            <v>4.5980626831581904E-2</v>
          </cell>
          <cell r="CY74">
            <v>6.1864733082927628E-2</v>
          </cell>
          <cell r="CZ74">
            <v>8.2470885265076913E-2</v>
          </cell>
          <cell r="DA74">
            <v>7.7532879056734505E-2</v>
          </cell>
          <cell r="DB74">
            <v>7.0137887943849175E-2</v>
          </cell>
          <cell r="DC74">
            <v>5.4220450099669568E-2</v>
          </cell>
          <cell r="DD74">
            <v>7.1069487175102322E-2</v>
          </cell>
          <cell r="DE74">
            <v>8.966255337130663E-2</v>
          </cell>
          <cell r="DF74">
            <v>8.3773801545659957E-2</v>
          </cell>
          <cell r="DG74">
            <v>7.7528016410537456E-2</v>
          </cell>
          <cell r="DH74">
            <v>5.959498281974817E-2</v>
          </cell>
          <cell r="DI74">
            <v>7.7629532977719018E-2</v>
          </cell>
        </row>
        <row r="75">
          <cell r="B75" t="str">
            <v>effective tax rate</v>
          </cell>
          <cell r="D75">
            <v>0.49273620972146459</v>
          </cell>
          <cell r="E75">
            <v>0.45002981241113599</v>
          </cell>
          <cell r="F75">
            <v>0.42797548250149903</v>
          </cell>
          <cell r="G75">
            <v>0.42867520686050425</v>
          </cell>
          <cell r="H75">
            <v>0.39941270035482695</v>
          </cell>
          <cell r="I75">
            <v>0.39250256597185551</v>
          </cell>
          <cell r="J75">
            <v>0.39249048124787772</v>
          </cell>
          <cell r="K75">
            <v>0.39250402391354328</v>
          </cell>
          <cell r="L75">
            <v>0.39255767293001143</v>
          </cell>
          <cell r="M75">
            <v>0.39247934370890836</v>
          </cell>
          <cell r="N75">
            <v>0.39253062367891622</v>
          </cell>
          <cell r="O75">
            <v>0.39248542228352862</v>
          </cell>
          <cell r="P75">
            <v>0.39243020423458858</v>
          </cell>
          <cell r="Q75">
            <v>0.39248661074464941</v>
          </cell>
          <cell r="R75">
            <v>0.39253511895272009</v>
          </cell>
          <cell r="S75">
            <v>0.39247680589148393</v>
          </cell>
          <cell r="T75">
            <v>0.39251157503673512</v>
          </cell>
          <cell r="U75">
            <v>0.39248557610064849</v>
          </cell>
          <cell r="V75">
            <v>0.3924998641279735</v>
          </cell>
          <cell r="W75">
            <v>0.39236562717401141</v>
          </cell>
          <cell r="X75">
            <v>0.39276147760543179</v>
          </cell>
          <cell r="Y75">
            <v>0.39277221948046137</v>
          </cell>
          <cell r="Z75">
            <v>0.39207100037467213</v>
          </cell>
          <cell r="AA75">
            <v>0.3924991665394405</v>
          </cell>
          <cell r="AB75">
            <v>0.39250288906009223</v>
          </cell>
          <cell r="AC75">
            <v>0.39248014741367959</v>
          </cell>
          <cell r="AD75">
            <v>0.39126917763397079</v>
          </cell>
          <cell r="AE75">
            <v>0.38994076899909669</v>
          </cell>
          <cell r="AF75">
            <v>0.39153517216619849</v>
          </cell>
          <cell r="AG75">
            <v>0.38627844305310721</v>
          </cell>
          <cell r="AH75">
            <v>0.38685181167281418</v>
          </cell>
          <cell r="AI75">
            <v>0.38662293098094802</v>
          </cell>
          <cell r="AJ75">
            <v>0.35271974917058574</v>
          </cell>
          <cell r="AK75">
            <v>0.37858066800985574</v>
          </cell>
          <cell r="AL75">
            <v>0.37911028460266177</v>
          </cell>
          <cell r="AM75">
            <v>0.38034951875408907</v>
          </cell>
          <cell r="AN75">
            <v>0.37660029913415749</v>
          </cell>
          <cell r="AO75">
            <v>0.37748164488196778</v>
          </cell>
          <cell r="AP75">
            <v>0.37838543684321901</v>
          </cell>
          <cell r="AQ75">
            <v>0.38055568555872743</v>
          </cell>
          <cell r="AR75">
            <v>0.38036994860115086</v>
          </cell>
          <cell r="AS75">
            <v>0.38041456566785237</v>
          </cell>
          <cell r="AT75">
            <v>0.3455956272759092</v>
          </cell>
          <cell r="AU75">
            <v>0.37217773618554056</v>
          </cell>
          <cell r="AW75">
            <v>0.38034951875408907</v>
          </cell>
          <cell r="AX75">
            <v>0.37660029913415749</v>
          </cell>
          <cell r="AY75">
            <v>0.37748164488196778</v>
          </cell>
          <cell r="AZ75">
            <v>0.38055568555872743</v>
          </cell>
          <cell r="BA75">
            <v>0.37875223695028054</v>
          </cell>
          <cell r="BB75">
            <v>0.38036994860115086</v>
          </cell>
          <cell r="BC75">
            <v>0.38041456566785237</v>
          </cell>
          <cell r="BD75">
            <v>0.3455956272759092</v>
          </cell>
          <cell r="BE75">
            <v>0.38765515358800168</v>
          </cell>
          <cell r="BF75">
            <v>0.37369490151893459</v>
          </cell>
          <cell r="BG75">
            <v>0.38299914600492602</v>
          </cell>
          <cell r="BH75">
            <v>0.38301967156220929</v>
          </cell>
          <cell r="BI75">
            <v>0.38727574655160796</v>
          </cell>
          <cell r="BJ75">
            <v>0.38088903831255183</v>
          </cell>
          <cell r="BK75">
            <v>0.38494660412770282</v>
          </cell>
          <cell r="BL75">
            <v>0.38688347489196923</v>
          </cell>
          <cell r="BM75">
            <v>0.38400259367328865</v>
          </cell>
          <cell r="BN75">
            <v>0.35837625943564366</v>
          </cell>
          <cell r="BO75">
            <v>0.30946403231088276</v>
          </cell>
          <cell r="BP75">
            <v>0.37049493639125053</v>
          </cell>
          <cell r="BQ75">
            <v>0.38632215743991061</v>
          </cell>
          <cell r="BR75">
            <v>0.32317148734726231</v>
          </cell>
          <cell r="BS75">
            <v>0.14575866188769485</v>
          </cell>
          <cell r="BT75">
            <v>0.33783183704990793</v>
          </cell>
          <cell r="BU75">
            <v>0.36151253051826293</v>
          </cell>
          <cell r="BV75">
            <v>0.35732027619647538</v>
          </cell>
          <cell r="BW75">
            <v>0.34413698721586172</v>
          </cell>
          <cell r="BX75">
            <v>0.2853391185202096</v>
          </cell>
          <cell r="BY75">
            <v>0.34584733042670357</v>
          </cell>
          <cell r="BZ75">
            <v>0.33851895904681917</v>
          </cell>
          <cell r="CA75">
            <v>0.35731902453109443</v>
          </cell>
          <cell r="CB75">
            <v>0.35439998870168204</v>
          </cell>
          <cell r="CC75">
            <v>0.33251878755418651</v>
          </cell>
          <cell r="CD75">
            <v>0.36050489722720386</v>
          </cell>
          <cell r="CE75">
            <v>0.35222582933502888</v>
          </cell>
          <cell r="CF75">
            <v>0.36149632435294304</v>
          </cell>
          <cell r="CG75">
            <v>0.35813607298726763</v>
          </cell>
          <cell r="CH75">
            <v>0.31053806993938204</v>
          </cell>
          <cell r="CI75">
            <v>0.30916344869237466</v>
          </cell>
          <cell r="CJ75">
            <v>0.33971474942525726</v>
          </cell>
          <cell r="CK75">
            <v>0.34965638168500113</v>
          </cell>
          <cell r="CL75">
            <v>0.34441387950757174</v>
          </cell>
          <cell r="CM75">
            <v>0.29735109695582274</v>
          </cell>
          <cell r="CN75">
            <v>0.35</v>
          </cell>
          <cell r="CO75">
            <v>0.33650735566728385</v>
          </cell>
          <cell r="CP75">
            <v>0.34</v>
          </cell>
          <cell r="CQ75">
            <v>0.34</v>
          </cell>
          <cell r="CR75">
            <v>0.34</v>
          </cell>
          <cell r="CS75">
            <v>0.34</v>
          </cell>
          <cell r="CT75">
            <v>0.33999999999999941</v>
          </cell>
          <cell r="CU75">
            <v>0.34</v>
          </cell>
          <cell r="CV75">
            <v>0.34</v>
          </cell>
          <cell r="CW75">
            <v>0.34</v>
          </cell>
          <cell r="CX75">
            <v>0.34</v>
          </cell>
          <cell r="CY75">
            <v>0.33999999999999964</v>
          </cell>
          <cell r="CZ75">
            <v>0.34</v>
          </cell>
          <cell r="DA75">
            <v>0.34</v>
          </cell>
          <cell r="DB75">
            <v>0.34</v>
          </cell>
          <cell r="DC75">
            <v>0.34</v>
          </cell>
          <cell r="DD75">
            <v>0.33999999999999914</v>
          </cell>
          <cell r="DE75">
            <v>0.34</v>
          </cell>
          <cell r="DF75">
            <v>0.34</v>
          </cell>
          <cell r="DG75">
            <v>0.34</v>
          </cell>
          <cell r="DH75">
            <v>0.34</v>
          </cell>
          <cell r="DI75">
            <v>0.33999999999999947</v>
          </cell>
        </row>
        <row r="76">
          <cell r="B76" t="str">
            <v>Net Income - Continuing Operations</v>
          </cell>
          <cell r="AP76">
            <v>0.10318991479731805</v>
          </cell>
          <cell r="AU76">
            <v>9.9333842717597667E-2</v>
          </cell>
          <cell r="AW76">
            <v>0.11016816023849182</v>
          </cell>
          <cell r="AX76">
            <v>0.11116902247654287</v>
          </cell>
          <cell r="AY76">
            <v>9.4765713884753883E-2</v>
          </cell>
          <cell r="AZ76">
            <v>9.6589437119077248E-2</v>
          </cell>
          <cell r="BA76">
            <v>0.10324825241409701</v>
          </cell>
          <cell r="BB76">
            <v>0.10971956993747885</v>
          </cell>
          <cell r="BC76">
            <v>9.3774350718854635E-2</v>
          </cell>
          <cell r="BD76">
            <v>9.7039284799335643E-2</v>
          </cell>
          <cell r="BE76">
            <v>8.1441276749780939E-2</v>
          </cell>
          <cell r="BF76">
            <v>9.5408341583629055E-2</v>
          </cell>
          <cell r="BG76">
            <v>8.4656130769081905E-2</v>
          </cell>
          <cell r="BH76">
            <v>7.6537711128897443E-2</v>
          </cell>
          <cell r="BI76">
            <v>6.4211139399926259E-2</v>
          </cell>
          <cell r="BJ76">
            <v>-4.0232423605985605E-2</v>
          </cell>
          <cell r="BK76">
            <v>4.5622709684969724E-2</v>
          </cell>
          <cell r="BL76">
            <v>5.7570704124847979E-2</v>
          </cell>
          <cell r="BM76">
            <v>1.2100138196315247E-2</v>
          </cell>
          <cell r="BN76">
            <v>1.8506076963975486E-2</v>
          </cell>
          <cell r="BO76">
            <v>1.7311302425114826E-2</v>
          </cell>
          <cell r="BP76">
            <v>2.6743636714558695E-2</v>
          </cell>
          <cell r="BQ76">
            <v>0.14090920133405976</v>
          </cell>
          <cell r="BR76">
            <v>2.4706436900784331E-2</v>
          </cell>
          <cell r="BS76">
            <v>1.3878182554250997E-2</v>
          </cell>
          <cell r="BT76">
            <v>3.0847452748901404E-2</v>
          </cell>
          <cell r="BU76">
            <v>5.3694718608611566E-2</v>
          </cell>
          <cell r="BV76">
            <v>4.5518479019345512E-2</v>
          </cell>
          <cell r="BW76">
            <v>3.4010903083033235E-2</v>
          </cell>
          <cell r="BX76">
            <v>2.7894568425256082E-2</v>
          </cell>
          <cell r="BY76">
            <v>3.0538802272329052E-2</v>
          </cell>
          <cell r="BZ76">
            <v>3.4578440783088062E-2</v>
          </cell>
          <cell r="CA76">
            <v>4.1570591563237495E-2</v>
          </cell>
          <cell r="CB76">
            <v>3.6635259062644504E-2</v>
          </cell>
          <cell r="CC76">
            <v>3.138528905079966E-2</v>
          </cell>
          <cell r="CD76">
            <v>3.4286225675062988E-2</v>
          </cell>
          <cell r="CE76">
            <v>3.5955414037448057E-2</v>
          </cell>
          <cell r="CF76">
            <v>4.3741773568138846E-2</v>
          </cell>
          <cell r="CG76">
            <v>4.0789678310793075E-2</v>
          </cell>
          <cell r="CH76">
            <v>3.5496670580270326E-2</v>
          </cell>
          <cell r="CI76">
            <v>2.3834208668660973E-2</v>
          </cell>
          <cell r="CJ76">
            <v>3.5623184676033814E-2</v>
          </cell>
          <cell r="CK76">
            <v>2.7269794926588542E-2</v>
          </cell>
          <cell r="CL76">
            <v>2.854422157540195E-2</v>
          </cell>
          <cell r="CM76">
            <v>2.9694980191529021E-2</v>
          </cell>
          <cell r="CN76">
            <v>3.4933066549273147E-2</v>
          </cell>
          <cell r="CO76">
            <v>3.013205358749867E-2</v>
          </cell>
          <cell r="CP76">
            <v>3.9844243160089339E-2</v>
          </cell>
          <cell r="CQ76">
            <v>3.7271287607394885E-2</v>
          </cell>
          <cell r="CR76">
            <v>2.9349699813607816E-2</v>
          </cell>
          <cell r="CS76">
            <v>1.9486055656161964E-2</v>
          </cell>
          <cell r="CT76">
            <v>3.1479818788228711E-2</v>
          </cell>
          <cell r="CU76">
            <v>4.347112694900726E-2</v>
          </cell>
          <cell r="CV76">
            <v>4.7770725394714351E-2</v>
          </cell>
          <cell r="CW76">
            <v>4.1851656556154561E-2</v>
          </cell>
          <cell r="CX76">
            <v>3.0347213708844058E-2</v>
          </cell>
          <cell r="CY76">
            <v>4.0830723834732262E-2</v>
          </cell>
          <cell r="CZ76">
            <v>5.4430784274950759E-2</v>
          </cell>
          <cell r="DA76">
            <v>5.1171700177444775E-2</v>
          </cell>
          <cell r="DB76">
            <v>4.6291006042940452E-2</v>
          </cell>
          <cell r="DC76">
            <v>3.5785497065781914E-2</v>
          </cell>
          <cell r="DD76">
            <v>4.6905861535567597E-2</v>
          </cell>
          <cell r="DE76">
            <v>5.9177285225062368E-2</v>
          </cell>
          <cell r="DF76">
            <v>5.5290709020135567E-2</v>
          </cell>
          <cell r="DG76">
            <v>5.1168490830954719E-2</v>
          </cell>
          <cell r="DH76">
            <v>3.9332688661033788E-2</v>
          </cell>
          <cell r="DI76">
            <v>5.12354917652946E-2</v>
          </cell>
        </row>
        <row r="77">
          <cell r="B77" t="str">
            <v>YOY % Change</v>
          </cell>
          <cell r="D77">
            <v>0.38011859768017731</v>
          </cell>
          <cell r="E77">
            <v>0.15795611752985228</v>
          </cell>
          <cell r="F77">
            <v>0.23093452723172958</v>
          </cell>
          <cell r="G77">
            <v>0.14868011779397983</v>
          </cell>
          <cell r="H77">
            <v>0.26415143309484468</v>
          </cell>
          <cell r="I77">
            <v>0.21153100377310308</v>
          </cell>
          <cell r="J77">
            <v>0.34499165872708026</v>
          </cell>
          <cell r="K77">
            <v>0.25361989144875441</v>
          </cell>
          <cell r="L77">
            <v>0.27171958788674688</v>
          </cell>
          <cell r="M77" t="str">
            <v>NA</v>
          </cell>
          <cell r="N77" t="str">
            <v>NA</v>
          </cell>
          <cell r="O77" t="str">
            <v>NA</v>
          </cell>
          <cell r="P77" t="str">
            <v>NA</v>
          </cell>
          <cell r="Q77">
            <v>0.19046770202370555</v>
          </cell>
          <cell r="R77">
            <v>0.21145285044648698</v>
          </cell>
          <cell r="S77">
            <v>0.20281797096671639</v>
          </cell>
          <cell r="T77">
            <v>0.10958569876274193</v>
          </cell>
          <cell r="U77">
            <v>0.13947037626749337</v>
          </cell>
          <cell r="V77">
            <v>0.16379645454364389</v>
          </cell>
          <cell r="W77">
            <v>0.173315427972353</v>
          </cell>
          <cell r="X77">
            <v>0.17738434620890486</v>
          </cell>
          <cell r="Y77">
            <v>0.20993150071976663</v>
          </cell>
          <cell r="Z77">
            <v>0.20420230486934909</v>
          </cell>
          <cell r="AA77">
            <v>0.19143130766456662</v>
          </cell>
          <cell r="AB77">
            <v>0.14182117138797468</v>
          </cell>
          <cell r="AC77">
            <v>0.20535224381889816</v>
          </cell>
          <cell r="AD77">
            <v>0.25205461503836624</v>
          </cell>
          <cell r="AE77">
            <v>0.20996626745409874</v>
          </cell>
          <cell r="AF77">
            <v>0.20363857663656937</v>
          </cell>
          <cell r="AG77">
            <v>0.22911090897723163</v>
          </cell>
          <cell r="AH77">
            <v>0.11470683578527741</v>
          </cell>
          <cell r="AI77">
            <v>9.2241711056650244E-2</v>
          </cell>
          <cell r="AJ77">
            <v>0.10633694284233686</v>
          </cell>
          <cell r="AK77">
            <v>0.13169577844259783</v>
          </cell>
          <cell r="AL77">
            <v>0.24143323394905636</v>
          </cell>
          <cell r="AM77">
            <v>0.28993521761189966</v>
          </cell>
          <cell r="AN77">
            <v>0.26303028617257529</v>
          </cell>
          <cell r="AO77">
            <v>0.21370890476581517</v>
          </cell>
          <cell r="AP77">
            <v>0.2520171242720386</v>
          </cell>
          <cell r="AQ77">
            <v>8.6746070665240982E-2</v>
          </cell>
          <cell r="AR77">
            <v>0.10018023592558878</v>
          </cell>
          <cell r="AS77">
            <v>0.14305289958536282</v>
          </cell>
          <cell r="AT77">
            <v>0.13470762476130327</v>
          </cell>
          <cell r="AU77">
            <v>0.11653568359438982</v>
          </cell>
          <cell r="AW77">
            <v>0.28993521761189966</v>
          </cell>
          <cell r="AX77">
            <v>0.26303028617257529</v>
          </cell>
          <cell r="AY77">
            <v>0.21370890476581517</v>
          </cell>
          <cell r="AZ77">
            <v>8.6746070665240982E-2</v>
          </cell>
          <cell r="BA77">
            <v>0.10018023592558878</v>
          </cell>
          <cell r="BB77">
            <v>0.10018023592558878</v>
          </cell>
          <cell r="BC77">
            <v>0.14305289958536282</v>
          </cell>
          <cell r="BD77">
            <v>0.13470762476130327</v>
          </cell>
          <cell r="BE77">
            <v>0.13904724142250924</v>
          </cell>
          <cell r="BF77">
            <v>0.1290821708487786</v>
          </cell>
          <cell r="BG77">
            <v>0.12557877939676154</v>
          </cell>
          <cell r="BH77">
            <v>9.3915638406274926E-2</v>
          </cell>
          <cell r="BI77">
            <v>9.7747109073401672E-2</v>
          </cell>
          <cell r="BJ77">
            <v>0.12411065421039758</v>
          </cell>
          <cell r="BK77">
            <v>0.11037474345573539</v>
          </cell>
          <cell r="BL77">
            <v>0.10736641295295635</v>
          </cell>
          <cell r="BM77">
            <v>7.5493685947049416E-2</v>
          </cell>
          <cell r="BN77">
            <v>7.6528677381097365E-2</v>
          </cell>
          <cell r="BO77">
            <v>4.1363764601280772E-2</v>
          </cell>
          <cell r="BP77">
            <v>7.5009203927334012E-2</v>
          </cell>
          <cell r="BQ77">
            <v>7.9044505055823056E-3</v>
          </cell>
          <cell r="BR77">
            <v>5.5842592668406965E-3</v>
          </cell>
          <cell r="BS77">
            <v>1.0956008705004461E-2</v>
          </cell>
          <cell r="BT77">
            <v>1.4182533992290303E-2</v>
          </cell>
          <cell r="BU77">
            <v>9.6276820011789166E-3</v>
          </cell>
          <cell r="BV77">
            <v>3.0758165216576483E-2</v>
          </cell>
          <cell r="BW77">
            <v>4.5375957093962915E-2</v>
          </cell>
          <cell r="BX77">
            <v>3.6961348129333826E-2</v>
          </cell>
          <cell r="BY77">
            <v>7.8199286579015093E-2</v>
          </cell>
          <cell r="BZ77">
            <v>4.7744063890577948E-2</v>
          </cell>
          <cell r="CA77">
            <v>8.1644883979518967E-2</v>
          </cell>
          <cell r="CB77">
            <v>7.9911515223899166E-2</v>
          </cell>
          <cell r="CC77">
            <v>0.13259256816320142</v>
          </cell>
          <cell r="CD77">
            <v>0.1278719020329171</v>
          </cell>
          <cell r="CE77">
            <v>0.10535147998059258</v>
          </cell>
          <cell r="CF77">
            <v>0.11565743385895466</v>
          </cell>
          <cell r="CG77">
            <v>0.11826217134815487</v>
          </cell>
          <cell r="CH77">
            <v>0.10198251458495133</v>
          </cell>
          <cell r="CI77">
            <v>0.1713793554867058</v>
          </cell>
          <cell r="CJ77">
            <v>0.12753078057632949</v>
          </cell>
          <cell r="CK77">
            <v>0.17638795207447333</v>
          </cell>
          <cell r="CL77">
            <v>0.20868411075906956</v>
          </cell>
          <cell r="CM77">
            <v>0.18849786180122896</v>
          </cell>
          <cell r="CN77">
            <v>6.8309015178412702E-2</v>
          </cell>
          <cell r="CO77">
            <v>0.15761089813769091</v>
          </cell>
          <cell r="CP77">
            <v>4.266983854277262E-2</v>
          </cell>
          <cell r="CQ77">
            <v>2.8976157830795879E-2</v>
          </cell>
          <cell r="CR77">
            <v>3.010553168862562E-2</v>
          </cell>
          <cell r="CS77">
            <v>2.742413455954007E-2</v>
          </cell>
          <cell r="CT77">
            <v>3.2297228221513263E-2</v>
          </cell>
          <cell r="CU77">
            <v>2.1748509124186688E-2</v>
          </cell>
          <cell r="CV77">
            <v>2.0729592439884925E-2</v>
          </cell>
          <cell r="CW77">
            <v>2.2069809759070136E-2</v>
          </cell>
          <cell r="CX77">
            <v>2.0085750698083604E-2</v>
          </cell>
          <cell r="CY77">
            <v>2.1157148524977076E-2</v>
          </cell>
          <cell r="CZ77">
            <v>4.0840913676080781E-2</v>
          </cell>
          <cell r="DA77">
            <v>3.9572344045485597E-2</v>
          </cell>
          <cell r="DB77">
            <v>4.0496822400799326E-2</v>
          </cell>
          <cell r="DC77">
            <v>4.2367990114464682E-2</v>
          </cell>
          <cell r="DD77">
            <v>4.0820883299931943E-2</v>
          </cell>
          <cell r="DE77">
            <v>4.51124941697576E-2</v>
          </cell>
          <cell r="DF77">
            <v>4.2798688468062895E-2</v>
          </cell>
          <cell r="DG77">
            <v>4.346717825318458E-2</v>
          </cell>
          <cell r="DH77">
            <v>4.0600250997633536E-2</v>
          </cell>
          <cell r="DI77">
            <v>4.2999439938272266E-2</v>
          </cell>
        </row>
        <row r="78">
          <cell r="B78" t="str">
            <v>Gross Revenue</v>
          </cell>
          <cell r="D78">
            <v>0.38011859768017731</v>
          </cell>
          <cell r="E78">
            <v>0.15795611752985228</v>
          </cell>
          <cell r="F78">
            <v>0.23093452723172958</v>
          </cell>
          <cell r="G78">
            <v>0.14868011779397983</v>
          </cell>
          <cell r="H78">
            <v>0.26415143309484468</v>
          </cell>
          <cell r="I78">
            <v>0.21153100377310308</v>
          </cell>
          <cell r="J78">
            <v>0.34499165872708026</v>
          </cell>
          <cell r="K78">
            <v>0.25361989144875441</v>
          </cell>
          <cell r="L78">
            <v>0.27171958788674688</v>
          </cell>
          <cell r="M78" t="str">
            <v>NA</v>
          </cell>
          <cell r="N78" t="str">
            <v>NA</v>
          </cell>
          <cell r="O78" t="str">
            <v>NA</v>
          </cell>
          <cell r="P78" t="str">
            <v>NA</v>
          </cell>
          <cell r="Q78">
            <v>0.19046770202370555</v>
          </cell>
          <cell r="R78">
            <v>0.21145285044648698</v>
          </cell>
          <cell r="S78">
            <v>0.20281797096671639</v>
          </cell>
          <cell r="T78">
            <v>0.10958569876274193</v>
          </cell>
          <cell r="U78">
            <v>0.13947037626749337</v>
          </cell>
          <cell r="V78">
            <v>0.16379645454364389</v>
          </cell>
          <cell r="W78">
            <v>0.173315427972353</v>
          </cell>
          <cell r="X78">
            <v>0.17738434620890486</v>
          </cell>
          <cell r="Y78">
            <v>0.20993150071976663</v>
          </cell>
          <cell r="Z78">
            <v>0.20420230486934909</v>
          </cell>
          <cell r="AA78">
            <v>0.19143130766456662</v>
          </cell>
          <cell r="AB78">
            <v>0.14182117138797468</v>
          </cell>
          <cell r="AC78">
            <v>0.20535224381889816</v>
          </cell>
          <cell r="AD78">
            <v>0.25205461503836624</v>
          </cell>
          <cell r="AE78">
            <v>0.20996626745409874</v>
          </cell>
          <cell r="AF78">
            <v>0.20363857663656937</v>
          </cell>
          <cell r="AG78">
            <v>0.22911090897723163</v>
          </cell>
          <cell r="AH78">
            <v>0.11470683578527741</v>
          </cell>
          <cell r="AI78">
            <v>9.2241711056650244E-2</v>
          </cell>
          <cell r="AJ78">
            <v>0.10633694284233686</v>
          </cell>
          <cell r="AK78">
            <v>0.13169577844259783</v>
          </cell>
          <cell r="AL78">
            <v>0.24143323394905636</v>
          </cell>
          <cell r="AM78">
            <v>0.28993521761189966</v>
          </cell>
          <cell r="AN78">
            <v>0.26303028617257529</v>
          </cell>
          <cell r="AO78">
            <v>0.21370890476581517</v>
          </cell>
          <cell r="AP78">
            <v>0.2520171242720386</v>
          </cell>
          <cell r="AQ78">
            <v>8.6746070665240982E-2</v>
          </cell>
          <cell r="AR78">
            <v>0.10018023592558878</v>
          </cell>
          <cell r="AS78">
            <v>0.14305289958536282</v>
          </cell>
          <cell r="AT78">
            <v>0.13470762476130327</v>
          </cell>
          <cell r="AU78">
            <v>0.11653568359438982</v>
          </cell>
          <cell r="AW78">
            <v>0.28993521761189966</v>
          </cell>
          <cell r="AX78">
            <v>0.26303028617257529</v>
          </cell>
          <cell r="AY78">
            <v>0.21370890476581517</v>
          </cell>
          <cell r="AZ78">
            <v>8.6746070665240982E-2</v>
          </cell>
          <cell r="BA78">
            <v>0.10018023592558878</v>
          </cell>
          <cell r="BB78">
            <v>0.10018023592558878</v>
          </cell>
          <cell r="BC78">
            <v>0.14305289958536282</v>
          </cell>
          <cell r="BD78">
            <v>0.13470762476130327</v>
          </cell>
          <cell r="BE78">
            <v>0.13904724142250924</v>
          </cell>
          <cell r="BF78">
            <v>0.1290821708487786</v>
          </cell>
          <cell r="BG78">
            <v>0.12557877939676154</v>
          </cell>
          <cell r="BH78">
            <v>9.3915638406274926E-2</v>
          </cell>
          <cell r="BI78">
            <v>9.7747109073401672E-2</v>
          </cell>
          <cell r="BJ78">
            <v>0.12411065421039758</v>
          </cell>
          <cell r="BK78">
            <v>0.11037474345573539</v>
          </cell>
          <cell r="BL78">
            <v>0.10736641295295635</v>
          </cell>
          <cell r="BM78">
            <v>7.5493685947049416E-2</v>
          </cell>
          <cell r="BN78">
            <v>7.6528677381097365E-2</v>
          </cell>
          <cell r="BO78">
            <v>4.1363764601280772E-2</v>
          </cell>
          <cell r="BP78">
            <v>7.5009203927334012E-2</v>
          </cell>
          <cell r="BQ78">
            <v>7.9044505055823056E-3</v>
          </cell>
          <cell r="BR78">
            <v>5.5842592668406965E-3</v>
          </cell>
          <cell r="BS78">
            <v>1.0956008705004461E-2</v>
          </cell>
          <cell r="BT78">
            <v>1.4182533992290303E-2</v>
          </cell>
          <cell r="BU78">
            <v>9.6276820011789166E-3</v>
          </cell>
          <cell r="BV78">
            <v>3.0758165216576483E-2</v>
          </cell>
          <cell r="BW78">
            <v>4.5375957093962915E-2</v>
          </cell>
          <cell r="BX78">
            <v>3.6961348129333826E-2</v>
          </cell>
          <cell r="BY78">
            <v>7.8199286579015093E-2</v>
          </cell>
          <cell r="BZ78">
            <v>4.7744063890577948E-2</v>
          </cell>
          <cell r="CA78">
            <v>8.1644883979518967E-2</v>
          </cell>
          <cell r="CB78">
            <v>7.9911515223899166E-2</v>
          </cell>
          <cell r="CC78">
            <v>0.13259256816320142</v>
          </cell>
          <cell r="CD78">
            <v>0.1278719020329171</v>
          </cell>
          <cell r="CE78">
            <v>0.10535147998059258</v>
          </cell>
          <cell r="CF78">
            <v>0.11565743385895466</v>
          </cell>
          <cell r="CG78">
            <v>0.11826217134815487</v>
          </cell>
          <cell r="CH78">
            <v>0.10198251458495133</v>
          </cell>
          <cell r="CI78">
            <v>0.1713793554867058</v>
          </cell>
          <cell r="CJ78">
            <v>0.12753078057632949</v>
          </cell>
          <cell r="CK78">
            <v>0.17638795207447333</v>
          </cell>
          <cell r="CL78">
            <v>0.20868411075906956</v>
          </cell>
          <cell r="CM78">
            <v>0.18849786180122896</v>
          </cell>
          <cell r="CN78">
            <v>8.2702538235712719E-2</v>
          </cell>
          <cell r="CO78">
            <v>0.16153246024465906</v>
          </cell>
          <cell r="CP78">
            <v>5.1691259903809517E-2</v>
          </cell>
          <cell r="CQ78">
            <v>3.6619789502220224E-2</v>
          </cell>
          <cell r="CR78">
            <v>3.7744850068371916E-2</v>
          </cell>
          <cell r="CS78">
            <v>3.4818273051297588E-2</v>
          </cell>
          <cell r="CT78">
            <v>4.0204127220839547E-2</v>
          </cell>
          <cell r="CU78">
            <v>1.9756752552028356E-2</v>
          </cell>
          <cell r="CV78">
            <v>1.8714341238973198E-2</v>
          </cell>
          <cell r="CW78">
            <v>1.9778379242177069E-2</v>
          </cell>
          <cell r="CX78">
            <v>1.7821537451871095E-2</v>
          </cell>
          <cell r="CY78">
            <v>1.9013662459252956E-2</v>
          </cell>
          <cell r="CZ78">
            <v>4.0015923781028473E-2</v>
          </cell>
          <cell r="DA78">
            <v>3.8673786306765212E-2</v>
          </cell>
          <cell r="DB78">
            <v>3.9512490880724949E-2</v>
          </cell>
          <cell r="DC78">
            <v>4.1657731082946015E-2</v>
          </cell>
          <cell r="DD78">
            <v>3.9972364174829966E-2</v>
          </cell>
          <cell r="DE78">
            <v>4.4568861946563398E-2</v>
          </cell>
          <cell r="DF78">
            <v>4.2163398344305492E-2</v>
          </cell>
          <cell r="DG78">
            <v>4.2787805693798031E-2</v>
          </cell>
          <cell r="DH78">
            <v>4.0298417987587154E-2</v>
          </cell>
          <cell r="DI78">
            <v>4.2453528289148279E-2</v>
          </cell>
        </row>
        <row r="79">
          <cell r="B79" t="str">
            <v>Provision for doubtful accounts</v>
          </cell>
          <cell r="D79">
            <v>-0.86881271992701681</v>
          </cell>
          <cell r="E79">
            <v>-5.0913967812438066E-2</v>
          </cell>
          <cell r="F79">
            <v>0.25200188412623659</v>
          </cell>
          <cell r="G79">
            <v>0.26034612490594422</v>
          </cell>
          <cell r="H79">
            <v>0.32676616915422896</v>
          </cell>
          <cell r="I79">
            <v>0.20838958052097389</v>
          </cell>
          <cell r="J79">
            <v>0.33979477843518557</v>
          </cell>
          <cell r="K79">
            <v>0.18731374395874179</v>
          </cell>
          <cell r="L79">
            <v>0.27783702239446506</v>
          </cell>
          <cell r="M79" t="str">
            <v>NA</v>
          </cell>
          <cell r="N79" t="str">
            <v>NA</v>
          </cell>
          <cell r="O79" t="str">
            <v>NA</v>
          </cell>
          <cell r="P79" t="str">
            <v>NA</v>
          </cell>
          <cell r="Q79">
            <v>0.32317979197622559</v>
          </cell>
          <cell r="R79">
            <v>0.17453170647877658</v>
          </cell>
          <cell r="S79">
            <v>0.10067945242159526</v>
          </cell>
          <cell r="T79">
            <v>-4.4635407975971875E-2</v>
          </cell>
          <cell r="U79">
            <v>-1.8014422939885311E-2</v>
          </cell>
          <cell r="V79">
            <v>4.4987808911416627E-2</v>
          </cell>
          <cell r="W79">
            <v>5.0683287975887392E-2</v>
          </cell>
          <cell r="X79">
            <v>5.047894176676504E-3</v>
          </cell>
          <cell r="Y79">
            <v>5.2542718248770104E-2</v>
          </cell>
          <cell r="Z79">
            <v>0.12649850512321836</v>
          </cell>
          <cell r="AA79">
            <v>5.933226362043853E-2</v>
          </cell>
          <cell r="AB79">
            <v>2.7099289792507975E-2</v>
          </cell>
          <cell r="AC79">
            <v>0.32259235726604341</v>
          </cell>
          <cell r="AD79">
            <v>0.25795121411582489</v>
          </cell>
          <cell r="AE79">
            <v>0.19441366693292794</v>
          </cell>
          <cell r="AF79">
            <v>0.19807119084510472</v>
          </cell>
          <cell r="AG79">
            <v>0.25568089375779612</v>
          </cell>
          <cell r="AH79">
            <v>2.9830942740145971E-2</v>
          </cell>
          <cell r="AI79">
            <v>2.117181488402764E-2</v>
          </cell>
          <cell r="AJ79">
            <v>5.8247400440091468E-2</v>
          </cell>
          <cell r="AK79">
            <v>8.3488952038508479E-2</v>
          </cell>
          <cell r="AL79">
            <v>0.25438918522037701</v>
          </cell>
          <cell r="AM79">
            <v>0.32345558344625358</v>
          </cell>
          <cell r="AN79">
            <v>0.34589218050292803</v>
          </cell>
          <cell r="AO79">
            <v>0.22100134545602801</v>
          </cell>
          <cell r="AP79">
            <v>0.28501386316679689</v>
          </cell>
          <cell r="AQ79">
            <v>6.8845008349544656E-2</v>
          </cell>
          <cell r="AR79">
            <v>8.3839672362281181E-2</v>
          </cell>
          <cell r="AS79">
            <v>0.68621428799948814</v>
          </cell>
          <cell r="AT79">
            <v>0.26479672760664474</v>
          </cell>
          <cell r="AU79">
            <v>0.28221298432983155</v>
          </cell>
          <cell r="AW79">
            <v>0.32345558344625358</v>
          </cell>
          <cell r="AX79">
            <v>0.34589218050292803</v>
          </cell>
          <cell r="AY79">
            <v>0.22100134545602801</v>
          </cell>
          <cell r="AZ79">
            <v>6.8845008349544656E-2</v>
          </cell>
          <cell r="BA79">
            <v>8.3839672362281181E-2</v>
          </cell>
          <cell r="BB79">
            <v>8.3839672362281181E-2</v>
          </cell>
          <cell r="BC79">
            <v>0.68621428799948814</v>
          </cell>
          <cell r="BD79">
            <v>0.26479672760664474</v>
          </cell>
          <cell r="BE79">
            <v>0.30636536417227722</v>
          </cell>
          <cell r="BF79">
            <v>0.33913624202595094</v>
          </cell>
          <cell r="BG79">
            <v>0.29738435569045896</v>
          </cell>
          <cell r="BH79">
            <v>-0.13476644025348161</v>
          </cell>
          <cell r="BI79">
            <v>0.2418058213979275</v>
          </cell>
          <cell r="BJ79">
            <v>2.7335741674578027</v>
          </cell>
          <cell r="BK79">
            <v>0.74966880528198221</v>
          </cell>
          <cell r="BL79">
            <v>0.44992599312452253</v>
          </cell>
          <cell r="BM79">
            <v>0.65152511896147169</v>
          </cell>
          <cell r="BN79">
            <v>0.34455157165180239</v>
          </cell>
          <cell r="BO79">
            <v>-0.55346262949154446</v>
          </cell>
          <cell r="BP79">
            <v>-6.6570608210899662E-2</v>
          </cell>
          <cell r="BQ79">
            <v>6.1752381266002132E-2</v>
          </cell>
          <cell r="BR79">
            <v>-0.17122864786993197</v>
          </cell>
          <cell r="BS79">
            <v>-1.812058251506099E-2</v>
          </cell>
          <cell r="BT79">
            <v>-3.69102203816003E-2</v>
          </cell>
          <cell r="BU79">
            <v>-4.7908970333680467E-2</v>
          </cell>
          <cell r="BV79">
            <v>0.11640691633713263</v>
          </cell>
          <cell r="BW79">
            <v>0.13351810761232641</v>
          </cell>
          <cell r="BX79">
            <v>0.15742306391613115</v>
          </cell>
          <cell r="BY79">
            <v>0.13004016002580054</v>
          </cell>
          <cell r="BZ79">
            <v>0.13412628140802374</v>
          </cell>
          <cell r="CA79">
            <v>0.10294270851419962</v>
          </cell>
          <cell r="CB79">
            <v>5.8132221476272949E-2</v>
          </cell>
          <cell r="CC79">
            <v>0.11253956659362063</v>
          </cell>
          <cell r="CD79">
            <v>0.11816069147345831</v>
          </cell>
          <cell r="CE79">
            <v>9.8220497330832712E-2</v>
          </cell>
          <cell r="CF79">
            <v>8.8139542205849741E-2</v>
          </cell>
          <cell r="CG79">
            <v>0.14062552176903931</v>
          </cell>
          <cell r="CH79">
            <v>0.11850151949075172</v>
          </cell>
          <cell r="CI79">
            <v>0.18580031965385024</v>
          </cell>
          <cell r="CJ79">
            <v>0.13361221211005803</v>
          </cell>
          <cell r="CK79">
            <v>0.16469138088679536</v>
          </cell>
          <cell r="CL79">
            <v>0.25631927488626172</v>
          </cell>
          <cell r="CM79">
            <v>0.25272120442995871</v>
          </cell>
          <cell r="CN79">
            <v>0.18636620007422455</v>
          </cell>
          <cell r="CO79">
            <v>0.21433589077018089</v>
          </cell>
          <cell r="CP79">
            <v>0.17044259387303118</v>
          </cell>
          <cell r="CQ79">
            <v>0.12519506291673665</v>
          </cell>
          <cell r="CR79">
            <v>0.13354539209412786</v>
          </cell>
          <cell r="CS79">
            <v>0.11031761156466713</v>
          </cell>
          <cell r="CT79">
            <v>0.13384060740897108</v>
          </cell>
          <cell r="CU79">
            <v>-0.19560010344246592</v>
          </cell>
          <cell r="CV79">
            <v>-0.19323262392461649</v>
          </cell>
          <cell r="CW79">
            <v>-0.19411581178056148</v>
          </cell>
          <cell r="CX79">
            <v>-0.19243288738467579</v>
          </cell>
          <cell r="CY79">
            <v>-0.19381608253116134</v>
          </cell>
          <cell r="CZ79">
            <v>-8.8886932945292818E-2</v>
          </cell>
          <cell r="DA79">
            <v>-9.3786357182752855E-2</v>
          </cell>
          <cell r="DB79">
            <v>-9.4394305784069377E-2</v>
          </cell>
          <cell r="DC79">
            <v>-9.2918536902883875E-2</v>
          </cell>
          <cell r="DD79">
            <v>-9.255090758093909E-2</v>
          </cell>
          <cell r="DE79">
            <v>-6.3713072319585451E-2</v>
          </cell>
          <cell r="DF79">
            <v>-6.9249882662698825E-2</v>
          </cell>
          <cell r="DG79">
            <v>-6.9869181136658964E-2</v>
          </cell>
          <cell r="DH79">
            <v>-6.906247237097396E-2</v>
          </cell>
          <cell r="DI79">
            <v>-6.8037408034409941E-2</v>
          </cell>
        </row>
        <row r="80">
          <cell r="B80" t="str">
            <v>Net Revenue</v>
          </cell>
          <cell r="D80">
            <v>0.24893131760719389</v>
          </cell>
          <cell r="E80">
            <v>0.17989575343966702</v>
          </cell>
          <cell r="F80">
            <v>0.22915450605819387</v>
          </cell>
          <cell r="G80">
            <v>0.13906986951406886</v>
          </cell>
          <cell r="H80">
            <v>0.25818891594576399</v>
          </cell>
          <cell r="I80">
            <v>0.21184645198863361</v>
          </cell>
          <cell r="J80">
            <v>0.34551201849381452</v>
          </cell>
          <cell r="K80">
            <v>0.26023086610197144</v>
          </cell>
          <cell r="L80">
            <v>0.27114494715290216</v>
          </cell>
          <cell r="M80" t="str">
            <v>NA</v>
          </cell>
          <cell r="N80" t="str">
            <v>NA</v>
          </cell>
          <cell r="O80" t="str">
            <v>NA</v>
          </cell>
          <cell r="P80" t="str">
            <v>NA</v>
          </cell>
          <cell r="Q80">
            <v>0.17793577205769306</v>
          </cell>
          <cell r="R80">
            <v>0.21533930774490706</v>
          </cell>
          <cell r="S80">
            <v>0.21266591581658179</v>
          </cell>
          <cell r="T80">
            <v>0.12710614030930611</v>
          </cell>
          <cell r="U80">
            <v>0.1565806873186395</v>
          </cell>
          <cell r="V80">
            <v>0.17639884016728469</v>
          </cell>
          <cell r="W80">
            <v>0.1857907067435498</v>
          </cell>
          <cell r="X80">
            <v>0.19246613620033548</v>
          </cell>
          <cell r="Y80">
            <v>0.22508731702668006</v>
          </cell>
          <cell r="Z80">
            <v>0.21137018432636823</v>
          </cell>
          <cell r="AA80">
            <v>0.20387820279422031</v>
          </cell>
          <cell r="AB80">
            <v>0.15216201560507336</v>
          </cell>
          <cell r="AC80">
            <v>0.19670470192571621</v>
          </cell>
          <cell r="AD80">
            <v>0.2515667723003352</v>
          </cell>
          <cell r="AE80">
            <v>0.21130041909073216</v>
          </cell>
          <cell r="AF80">
            <v>0.20410017293842064</v>
          </cell>
          <cell r="AG80">
            <v>0.22697589896784542</v>
          </cell>
          <cell r="AH80">
            <v>0.12162577974209055</v>
          </cell>
          <cell r="AI80">
            <v>9.81515235168402E-2</v>
          </cell>
          <cell r="AJ80">
            <v>0.11040470655216605</v>
          </cell>
          <cell r="AK80">
            <v>0.13567263156937881</v>
          </cell>
          <cell r="AL80">
            <v>0.24036781315262346</v>
          </cell>
          <cell r="AM80">
            <v>0.28742632449642969</v>
          </cell>
          <cell r="AN80">
            <v>0.25662292172691248</v>
          </cell>
          <cell r="AO80">
            <v>0.21312103125041082</v>
          </cell>
          <cell r="AP80">
            <v>0.24942011585044743</v>
          </cell>
          <cell r="AQ80">
            <v>8.8234788808617681E-2</v>
          </cell>
          <cell r="AR80">
            <v>0.1014375026635963</v>
          </cell>
          <cell r="AS80">
            <v>9.8068829016450199E-2</v>
          </cell>
          <cell r="AT80">
            <v>0.12415248669378709</v>
          </cell>
          <cell r="AU80">
            <v>0.10312457536909814</v>
          </cell>
          <cell r="AW80">
            <v>0.28742632449642969</v>
          </cell>
          <cell r="AX80">
            <v>0.25662292172691248</v>
          </cell>
          <cell r="AY80">
            <v>0.21312103125041082</v>
          </cell>
          <cell r="AZ80">
            <v>8.8234788808617681E-2</v>
          </cell>
          <cell r="BA80">
            <v>0.1014375026635963</v>
          </cell>
          <cell r="BB80">
            <v>0.1014375026635963</v>
          </cell>
          <cell r="BC80">
            <v>9.8068829016450199E-2</v>
          </cell>
          <cell r="BD80">
            <v>0.12415248669378709</v>
          </cell>
          <cell r="BE80">
            <v>0.12538038008406849</v>
          </cell>
          <cell r="BF80">
            <v>0.11214755701186507</v>
          </cell>
          <cell r="BG80">
            <v>0.11257100981972745</v>
          </cell>
          <cell r="BH80">
            <v>0.12299903963554404</v>
          </cell>
          <cell r="BI80">
            <v>8.4596131529445007E-2</v>
          </cell>
          <cell r="BJ80">
            <v>-0.12331364654499211</v>
          </cell>
          <cell r="BK80">
            <v>4.8315394302278714E-2</v>
          </cell>
          <cell r="BL80">
            <v>7.7122177210280363E-2</v>
          </cell>
          <cell r="BM80">
            <v>1.905027932960901E-2</v>
          </cell>
          <cell r="BN80">
            <v>4.8514618271673138E-2</v>
          </cell>
          <cell r="BO80">
            <v>0.28155761860693351</v>
          </cell>
          <cell r="BP80">
            <v>9.794806036656456E-2</v>
          </cell>
          <cell r="BQ80">
            <v>1.504798133971974E-3</v>
          </cell>
          <cell r="BR80">
            <v>3.3662543804531486E-2</v>
          </cell>
          <cell r="BS80">
            <v>1.48531900396629E-2</v>
          </cell>
          <cell r="BT80">
            <v>2.1371238780593771E-2</v>
          </cell>
          <cell r="BU80">
            <v>1.7552963507620145E-2</v>
          </cell>
          <cell r="BV80">
            <v>1.9966744887172982E-2</v>
          </cell>
          <cell r="BW80">
            <v>3.4153286919839765E-2</v>
          </cell>
          <cell r="BX80">
            <v>2.1340266466190583E-2</v>
          </cell>
          <cell r="BY80">
            <v>7.1321530118775955E-2</v>
          </cell>
          <cell r="BZ80">
            <v>3.6610969115081549E-2</v>
          </cell>
          <cell r="CA80">
            <v>7.8707712348185854E-2</v>
          </cell>
          <cell r="CB80">
            <v>8.2950999459538322E-2</v>
          </cell>
          <cell r="CC80">
            <v>0.13553945272645129</v>
          </cell>
          <cell r="CD80">
            <v>0.1292309096752966</v>
          </cell>
          <cell r="CE80">
            <v>0.10635699034579438</v>
          </cell>
          <cell r="CF80">
            <v>0.11953767223636036</v>
          </cell>
          <cell r="CG80">
            <v>0.11521270317725141</v>
          </cell>
          <cell r="CH80">
            <v>9.9604136712831082E-2</v>
          </cell>
          <cell r="CI80">
            <v>0.16938103891685619</v>
          </cell>
          <cell r="CJ80">
            <v>0.1266795695225198</v>
          </cell>
          <cell r="CK80">
            <v>0.17799100440262383</v>
          </cell>
          <cell r="CL80">
            <v>0.20204055967583612</v>
          </cell>
          <cell r="CM80">
            <v>0.17909218411113415</v>
          </cell>
          <cell r="CN80">
            <v>6.8136144225166229E-2</v>
          </cell>
          <cell r="CO80">
            <v>0.15409614712455544</v>
          </cell>
          <cell r="CP80">
            <v>3.5599760435381267E-2</v>
          </cell>
          <cell r="CQ80">
            <v>2.3708607141044391E-2</v>
          </cell>
          <cell r="CR80">
            <v>2.2838482664204962E-2</v>
          </cell>
          <cell r="CS80">
            <v>2.3035139294875773E-2</v>
          </cell>
          <cell r="CT80">
            <v>2.6328984794974364E-2</v>
          </cell>
          <cell r="CU80">
            <v>5.2738593824352975E-2</v>
          </cell>
          <cell r="CV80">
            <v>5.2671565215025584E-2</v>
          </cell>
          <cell r="CW80">
            <v>5.6662097986298843E-2</v>
          </cell>
          <cell r="CX80">
            <v>5.3435433176129532E-2</v>
          </cell>
          <cell r="CY80">
            <v>5.3854621981597406E-2</v>
          </cell>
          <cell r="CZ80">
            <v>5.510039874812267E-2</v>
          </cell>
          <cell r="DA80">
            <v>5.4938470459407807E-2</v>
          </cell>
          <cell r="DB80">
            <v>5.7123118647973703E-2</v>
          </cell>
          <cell r="DC80">
            <v>5.913258368251606E-2</v>
          </cell>
          <cell r="DD80">
            <v>5.6568361539529599E-2</v>
          </cell>
          <cell r="DE80">
            <v>5.551099898620282E-2</v>
          </cell>
          <cell r="DF80">
            <v>5.3915102314106678E-2</v>
          </cell>
          <cell r="DG80">
            <v>5.5480210702474775E-2</v>
          </cell>
          <cell r="DH80">
            <v>5.2460363150065525E-2</v>
          </cell>
          <cell r="DI80">
            <v>5.4337525210958804E-2</v>
          </cell>
        </row>
        <row r="81">
          <cell r="B81" t="str">
            <v>Salaries &amp; benefits</v>
          </cell>
          <cell r="D81">
            <v>-0.49085103610061254</v>
          </cell>
          <cell r="E81">
            <v>0.16309161184631527</v>
          </cell>
          <cell r="F81">
            <v>0.23368949239081416</v>
          </cell>
          <cell r="G81">
            <v>9.8774461708617922E-2</v>
          </cell>
          <cell r="H81">
            <v>0.21252070006818835</v>
          </cell>
          <cell r="I81">
            <v>0.20161614268116335</v>
          </cell>
          <cell r="J81">
            <v>0.38128402132792516</v>
          </cell>
          <cell r="K81">
            <v>0.25441982599015001</v>
          </cell>
          <cell r="L81">
            <v>0.29306541647373563</v>
          </cell>
          <cell r="M81" t="str">
            <v>NA</v>
          </cell>
          <cell r="N81" t="str">
            <v>NA</v>
          </cell>
          <cell r="O81" t="str">
            <v>NA</v>
          </cell>
          <cell r="P81" t="str">
            <v>NA</v>
          </cell>
          <cell r="Q81">
            <v>0.20856283866283043</v>
          </cell>
          <cell r="R81">
            <v>0.2004962910166046</v>
          </cell>
          <cell r="S81">
            <v>0.24858510721791527</v>
          </cell>
          <cell r="T81">
            <v>8.1981315624447326E-2</v>
          </cell>
          <cell r="U81">
            <v>0.16219196579273087</v>
          </cell>
          <cell r="V81">
            <v>0.17100511725236256</v>
          </cell>
          <cell r="W81">
            <v>0.23987011463922348</v>
          </cell>
          <cell r="X81">
            <v>0.23984662555262992</v>
          </cell>
          <cell r="Y81">
            <v>0.3098551779995391</v>
          </cell>
          <cell r="Z81">
            <v>0.21079095826394556</v>
          </cell>
          <cell r="AA81">
            <v>0.24849765951166036</v>
          </cell>
          <cell r="AB81">
            <v>0.15722452454286939</v>
          </cell>
          <cell r="AC81">
            <v>0.23391167192429019</v>
          </cell>
          <cell r="AD81">
            <v>0.28538850345191435</v>
          </cell>
          <cell r="AE81">
            <v>0.24398266367421351</v>
          </cell>
          <cell r="AF81">
            <v>0.23108502747929394</v>
          </cell>
          <cell r="AG81">
            <v>0.23889388397327171</v>
          </cell>
          <cell r="AH81">
            <v>0.12281550738664371</v>
          </cell>
          <cell r="AI81">
            <v>8.3367536531222086E-2</v>
          </cell>
          <cell r="AJ81">
            <v>9.3383329762159795E-2</v>
          </cell>
          <cell r="AK81">
            <v>0.13072162921316188</v>
          </cell>
          <cell r="AL81">
            <v>0.24844646222233213</v>
          </cell>
          <cell r="AM81">
            <v>0.32298959934294524</v>
          </cell>
          <cell r="AN81">
            <v>0.2863771351287494</v>
          </cell>
          <cell r="AO81">
            <v>0.23828392927832076</v>
          </cell>
          <cell r="AP81">
            <v>0.27377499178525389</v>
          </cell>
          <cell r="AQ81">
            <v>8.0882012934252012E-2</v>
          </cell>
          <cell r="AR81">
            <v>0.10111744892188912</v>
          </cell>
          <cell r="AS81">
            <v>0.12760944466963919</v>
          </cell>
          <cell r="AT81">
            <v>0.15727819153818645</v>
          </cell>
          <cell r="AU81">
            <v>0.11697816977931685</v>
          </cell>
          <cell r="AW81">
            <v>0.32298959934294524</v>
          </cell>
          <cell r="AX81">
            <v>0.2863771351287494</v>
          </cell>
          <cell r="AY81">
            <v>0.23828392927832076</v>
          </cell>
          <cell r="AZ81">
            <v>8.0882012934252012E-2</v>
          </cell>
          <cell r="BA81">
            <v>0.10111744892188912</v>
          </cell>
          <cell r="BB81">
            <v>0.10111744892188912</v>
          </cell>
          <cell r="BC81">
            <v>0.12760944466963919</v>
          </cell>
          <cell r="BD81">
            <v>0.15727819153818645</v>
          </cell>
          <cell r="BE81">
            <v>0.15098548510313226</v>
          </cell>
          <cell r="BF81">
            <v>0.13415221898754748</v>
          </cell>
          <cell r="BG81">
            <v>0.1325672786544827</v>
          </cell>
          <cell r="BH81">
            <v>0.1460069873508727</v>
          </cell>
          <cell r="BI81">
            <v>0.10602608669491032</v>
          </cell>
          <cell r="BJ81">
            <v>0.14986194445919399</v>
          </cell>
          <cell r="BK81">
            <v>0.13366262884917068</v>
          </cell>
          <cell r="BL81">
            <v>0.12253840106657998</v>
          </cell>
          <cell r="BM81">
            <v>8.8913177196546789E-2</v>
          </cell>
          <cell r="BN81">
            <v>8.5241337016219276E-2</v>
          </cell>
          <cell r="BO81">
            <v>4.717771820820249E-2</v>
          </cell>
          <cell r="BP81">
            <v>8.5330494433624837E-2</v>
          </cell>
          <cell r="BQ81">
            <v>2.6994096687866564E-2</v>
          </cell>
          <cell r="BR81">
            <v>9.6186954672403679E-3</v>
          </cell>
          <cell r="BS81">
            <v>2.4055288198622016E-2</v>
          </cell>
          <cell r="BT81">
            <v>1.9572694800899404E-2</v>
          </cell>
          <cell r="BU81">
            <v>2.0088670467467207E-2</v>
          </cell>
          <cell r="BV81">
            <v>-7.6741705375980018E-3</v>
          </cell>
          <cell r="BW81">
            <v>-1.1189945989563688E-3</v>
          </cell>
          <cell r="BX81">
            <v>-2.4963230467646147E-2</v>
          </cell>
          <cell r="BY81">
            <v>3.4315347402885443E-2</v>
          </cell>
          <cell r="BZ81">
            <v>3.0466159590170072E-4</v>
          </cell>
          <cell r="CA81">
            <v>9.3823309558327628E-2</v>
          </cell>
          <cell r="CB81">
            <v>9.4823873336085551E-2</v>
          </cell>
          <cell r="CC81">
            <v>0.1452275434616912</v>
          </cell>
          <cell r="CD81">
            <v>0.13189834512895016</v>
          </cell>
          <cell r="CE81">
            <v>0.11634309648597596</v>
          </cell>
          <cell r="CF81">
            <v>0.12530550429626186</v>
          </cell>
          <cell r="CG81">
            <v>0.11331065394501083</v>
          </cell>
          <cell r="CH81">
            <v>9.5679707317656293E-2</v>
          </cell>
          <cell r="CI81">
            <v>0.17803166041708995</v>
          </cell>
          <cell r="CJ81">
            <v>0.12912222611353408</v>
          </cell>
          <cell r="CK81">
            <v>0.15346880343301361</v>
          </cell>
          <cell r="CL81">
            <v>0.18259861808355216</v>
          </cell>
          <cell r="CM81">
            <v>0.15903771344185857</v>
          </cell>
          <cell r="CN81">
            <v>5.7106815086541474E-2</v>
          </cell>
          <cell r="CO81">
            <v>0.13503993730183694</v>
          </cell>
          <cell r="CP81">
            <v>3.2413114916281183E-2</v>
          </cell>
          <cell r="CQ81">
            <v>1.9462308155544061E-2</v>
          </cell>
          <cell r="CR81">
            <v>1.9031445570239169E-2</v>
          </cell>
          <cell r="CS81">
            <v>2.3590127748750911E-2</v>
          </cell>
          <cell r="CT81">
            <v>2.3683200362325962E-2</v>
          </cell>
          <cell r="CU81">
            <v>4.4696503108144992E-2</v>
          </cell>
          <cell r="CV81">
            <v>4.5527601245776372E-2</v>
          </cell>
          <cell r="CW81">
            <v>4.5666514870813968E-2</v>
          </cell>
          <cell r="CX81">
            <v>4.5016621339120988E-2</v>
          </cell>
          <cell r="CY81">
            <v>4.5218499242542398E-2</v>
          </cell>
          <cell r="CZ81">
            <v>4.6513059565293613E-2</v>
          </cell>
          <cell r="DA81">
            <v>4.674518318862364E-2</v>
          </cell>
          <cell r="DB81">
            <v>4.6795813150186216E-2</v>
          </cell>
          <cell r="DC81">
            <v>4.6741573377147683E-2</v>
          </cell>
          <cell r="DD81">
            <v>4.6697594426692079E-2</v>
          </cell>
          <cell r="DE81">
            <v>4.671057962617442E-2</v>
          </cell>
          <cell r="DF81">
            <v>4.6369404278237436E-2</v>
          </cell>
          <cell r="DG81">
            <v>4.6411117386552458E-2</v>
          </cell>
          <cell r="DH81">
            <v>4.583292193808064E-2</v>
          </cell>
          <cell r="DI81">
            <v>4.6327940897606279E-2</v>
          </cell>
        </row>
        <row r="82">
          <cell r="B82" t="str">
            <v>Supplies &amp; other</v>
          </cell>
          <cell r="D82">
            <v>-0.54532777270950095</v>
          </cell>
          <cell r="E82">
            <v>0.14846504428583707</v>
          </cell>
          <cell r="F82">
            <v>0.22800843597519127</v>
          </cell>
          <cell r="G82">
            <v>0.10937563513678317</v>
          </cell>
          <cell r="H82">
            <v>0.23702217703152062</v>
          </cell>
          <cell r="I82">
            <v>0.20098191673701504</v>
          </cell>
          <cell r="J82">
            <v>0.33460966932415848</v>
          </cell>
          <cell r="K82">
            <v>0.24540889161981227</v>
          </cell>
          <cell r="L82">
            <v>0.2279036984827687</v>
          </cell>
          <cell r="M82" t="str">
            <v>NA</v>
          </cell>
          <cell r="N82" t="str">
            <v>NA</v>
          </cell>
          <cell r="O82" t="str">
            <v>NA</v>
          </cell>
          <cell r="P82" t="str">
            <v>NA</v>
          </cell>
          <cell r="Q82">
            <v>0.17891820692072047</v>
          </cell>
          <cell r="R82">
            <v>0.24428197960638731</v>
          </cell>
          <cell r="S82">
            <v>0.22868419649047955</v>
          </cell>
          <cell r="T82">
            <v>0.1295932761835239</v>
          </cell>
          <cell r="U82">
            <v>0.1164193645083933</v>
          </cell>
          <cell r="V82">
            <v>0.17576346196720394</v>
          </cell>
          <cell r="W82">
            <v>0.14664471649718958</v>
          </cell>
          <cell r="X82">
            <v>0.17783006172785898</v>
          </cell>
          <cell r="Y82">
            <v>0.17018024941488807</v>
          </cell>
          <cell r="Z82">
            <v>0.17633831179728143</v>
          </cell>
          <cell r="AA82">
            <v>0.16806046855282175</v>
          </cell>
          <cell r="AB82">
            <v>0.13773409799395564</v>
          </cell>
          <cell r="AC82">
            <v>0.20647767310895881</v>
          </cell>
          <cell r="AD82">
            <v>0.26992051942236661</v>
          </cell>
          <cell r="AE82">
            <v>0.23810950383748475</v>
          </cell>
          <cell r="AF82">
            <v>0.21444378514944207</v>
          </cell>
          <cell r="AG82">
            <v>0.25453696150816074</v>
          </cell>
          <cell r="AH82">
            <v>0.12126247876929108</v>
          </cell>
          <cell r="AI82">
            <v>8.9120431586184878E-2</v>
          </cell>
          <cell r="AJ82">
            <v>0.11011188053785625</v>
          </cell>
          <cell r="AK82">
            <v>0.13925592915132801</v>
          </cell>
          <cell r="AL82">
            <v>0.26783074546242669</v>
          </cell>
          <cell r="AM82">
            <v>0.33044909168183256</v>
          </cell>
          <cell r="AN82">
            <v>0.29007489424156074</v>
          </cell>
          <cell r="AO82">
            <v>0.2740397839027251</v>
          </cell>
          <cell r="AP82">
            <v>0.29050273302161722</v>
          </cell>
          <cell r="AQ82">
            <v>8.6264333555423178E-2</v>
          </cell>
          <cell r="AR82">
            <v>0.11894484216044421</v>
          </cell>
          <cell r="AS82">
            <v>0.20777792184434962</v>
          </cell>
          <cell r="AT82">
            <v>0.14247075308762658</v>
          </cell>
          <cell r="AU82">
            <v>0.13938473661054385</v>
          </cell>
          <cell r="AW82">
            <v>0.33044909168183256</v>
          </cell>
          <cell r="AX82">
            <v>0.29007489424156074</v>
          </cell>
          <cell r="AY82">
            <v>0.2740397839027251</v>
          </cell>
          <cell r="AZ82">
            <v>8.6264333555423178E-2</v>
          </cell>
          <cell r="BA82">
            <v>0.11894484216044421</v>
          </cell>
          <cell r="BB82">
            <v>0.11894484216044421</v>
          </cell>
          <cell r="BC82">
            <v>0.20777792184434962</v>
          </cell>
          <cell r="BD82">
            <v>0.14247075308762658</v>
          </cell>
          <cell r="BE82">
            <v>0.16718048874971747</v>
          </cell>
          <cell r="BF82">
            <v>0.15884764139012941</v>
          </cell>
          <cell r="BG82">
            <v>-0.45076588035063958</v>
          </cell>
          <cell r="BH82">
            <v>-0.50739011788173038</v>
          </cell>
          <cell r="BI82">
            <v>-0.5241735360392481</v>
          </cell>
          <cell r="BJ82">
            <v>-0.54282513846345326</v>
          </cell>
          <cell r="BK82">
            <v>-0.50693604383505475</v>
          </cell>
          <cell r="BL82">
            <v>5.6344504494898695E-2</v>
          </cell>
          <cell r="BM82">
            <v>5.3526235869748584E-2</v>
          </cell>
          <cell r="BN82">
            <v>4.2141230068337254E-2</v>
          </cell>
          <cell r="BO82">
            <v>6.2774131098944475E-2</v>
          </cell>
          <cell r="BP82">
            <v>5.3752784503197981E-2</v>
          </cell>
          <cell r="BQ82">
            <v>-1.0352397895454168E-2</v>
          </cell>
          <cell r="BR82">
            <v>-4.0971026677877331E-3</v>
          </cell>
          <cell r="BS82">
            <v>5.6463905665803615E-2</v>
          </cell>
          <cell r="BT82">
            <v>7.136910564477672E-2</v>
          </cell>
          <cell r="BU82">
            <v>2.6578547703798971E-2</v>
          </cell>
          <cell r="BV82">
            <v>5.4598305635769062E-2</v>
          </cell>
          <cell r="BW82">
            <v>0.10390759005145811</v>
          </cell>
          <cell r="BX82">
            <v>4.9879877222952063E-2</v>
          </cell>
          <cell r="BY82">
            <v>0.10981822045999445</v>
          </cell>
          <cell r="BZ82">
            <v>7.9415726093028605E-2</v>
          </cell>
          <cell r="CA82">
            <v>9.2022389052092146E-2</v>
          </cell>
          <cell r="CB82">
            <v>7.421884483721386E-2</v>
          </cell>
          <cell r="CC82">
            <v>0.1243015130103331</v>
          </cell>
          <cell r="CD82">
            <v>7.1429426338404101E-2</v>
          </cell>
          <cell r="CE82">
            <v>8.9881484073559337E-2</v>
          </cell>
          <cell r="CF82">
            <v>7.9380279195403469E-2</v>
          </cell>
          <cell r="CG82">
            <v>4.9750259910500194E-2</v>
          </cell>
          <cell r="CH82">
            <v>3.7800469334686282E-2</v>
          </cell>
          <cell r="CI82">
            <v>0.20840268546342111</v>
          </cell>
          <cell r="CJ82">
            <v>9.4369832746813431E-2</v>
          </cell>
          <cell r="CK82">
            <v>0.2022532986672001</v>
          </cell>
          <cell r="CL82">
            <v>0.21726259358734912</v>
          </cell>
          <cell r="CM82">
            <v>0.20459684543287793</v>
          </cell>
          <cell r="CN82">
            <v>8.0482641464376892E-2</v>
          </cell>
          <cell r="CO82">
            <v>0.17248408510853053</v>
          </cell>
          <cell r="CP82">
            <v>3.2413114916280961E-2</v>
          </cell>
          <cell r="CQ82">
            <v>1.9462308155543839E-2</v>
          </cell>
          <cell r="CR82">
            <v>1.9031445570239391E-2</v>
          </cell>
          <cell r="CS82">
            <v>2.3590127748750911E-2</v>
          </cell>
          <cell r="CT82">
            <v>2.3750969746145767E-2</v>
          </cell>
          <cell r="CU82">
            <v>4.5281414077494642E-2</v>
          </cell>
          <cell r="CV82">
            <v>4.7761866122759455E-2</v>
          </cell>
          <cell r="CW82">
            <v>4.8220258899792423E-2</v>
          </cell>
          <cell r="CX82">
            <v>4.6210960808313883E-2</v>
          </cell>
          <cell r="CY82">
            <v>4.6829006732968192E-2</v>
          </cell>
          <cell r="CZ82">
            <v>5.0405196517029127E-2</v>
          </cell>
          <cell r="DA82">
            <v>5.1038434216544415E-2</v>
          </cell>
          <cell r="DB82">
            <v>5.1230229880429468E-2</v>
          </cell>
          <cell r="DC82">
            <v>5.105943022929571E-2</v>
          </cell>
          <cell r="DD82">
            <v>5.0925239824845647E-2</v>
          </cell>
          <cell r="DE82">
            <v>5.1431719365523376E-2</v>
          </cell>
          <cell r="DF82">
            <v>5.0272190132443662E-2</v>
          </cell>
          <cell r="DG82">
            <v>5.0431790591573211E-2</v>
          </cell>
          <cell r="DH82">
            <v>4.8624020492991082E-2</v>
          </cell>
          <cell r="DI82">
            <v>5.018775249130436E-2</v>
          </cell>
        </row>
        <row r="83">
          <cell r="B83" t="str">
            <v>Rent expense</v>
          </cell>
          <cell r="D83">
            <v>-0.95373387201876714</v>
          </cell>
          <cell r="E83">
            <v>0.1438028169014085</v>
          </cell>
          <cell r="F83">
            <v>0.11932028075360179</v>
          </cell>
          <cell r="G83">
            <v>9.185918591859199E-2</v>
          </cell>
          <cell r="H83">
            <v>0.14025188916876563</v>
          </cell>
          <cell r="I83">
            <v>0.11849430060970212</v>
          </cell>
          <cell r="J83">
            <v>0.27089587612577026</v>
          </cell>
          <cell r="K83">
            <v>0.20867781438428534</v>
          </cell>
          <cell r="L83">
            <v>0.3850030857848179</v>
          </cell>
          <cell r="M83" t="str">
            <v>NA</v>
          </cell>
          <cell r="N83" t="str">
            <v>NA</v>
          </cell>
          <cell r="O83" t="str">
            <v>NA</v>
          </cell>
          <cell r="P83" t="str">
            <v>NA</v>
          </cell>
          <cell r="Q83">
            <v>0.23082064611956921</v>
          </cell>
          <cell r="R83">
            <v>0.22383529101227406</v>
          </cell>
          <cell r="S83">
            <v>0.17420499176485515</v>
          </cell>
          <cell r="T83">
            <v>0.12286411716842971</v>
          </cell>
          <cell r="U83">
            <v>9.2913038686211813E-2</v>
          </cell>
          <cell r="V83">
            <v>0.14997284740240158</v>
          </cell>
          <cell r="W83">
            <v>2.6852151407311675E-2</v>
          </cell>
          <cell r="X83">
            <v>0.10638757013379352</v>
          </cell>
          <cell r="Y83">
            <v>5.9937888198757783E-2</v>
          </cell>
          <cell r="Z83">
            <v>9.2678499394917457E-2</v>
          </cell>
          <cell r="AA83">
            <v>7.1700291208647071E-2</v>
          </cell>
          <cell r="AB83">
            <v>0.14744801512287342</v>
          </cell>
          <cell r="AC83">
            <v>0.12824263701969985</v>
          </cell>
          <cell r="AD83">
            <v>0.20783279617150119</v>
          </cell>
          <cell r="AE83">
            <v>0.12468850946008292</v>
          </cell>
          <cell r="AF83">
            <v>0.15172582619339048</v>
          </cell>
          <cell r="AG83">
            <v>0.1079077429983526</v>
          </cell>
          <cell r="AH83">
            <v>4.6417149278243475E-2</v>
          </cell>
          <cell r="AI83">
            <v>8.0051750626666252E-3</v>
          </cell>
          <cell r="AJ83">
            <v>0.1262104053832267</v>
          </cell>
          <cell r="AK83">
            <v>7.1267641557558159E-2</v>
          </cell>
          <cell r="AL83">
            <v>0.27401900041305249</v>
          </cell>
          <cell r="AM83">
            <v>0.43928630431191151</v>
          </cell>
          <cell r="AN83">
            <v>0.3268089202631157</v>
          </cell>
          <cell r="AO83">
            <v>0.19352958321189151</v>
          </cell>
          <cell r="AP83">
            <v>0.30485506239955584</v>
          </cell>
          <cell r="AQ83">
            <v>0.10322915315782644</v>
          </cell>
          <cell r="AR83">
            <v>1.9398530762167132E-2</v>
          </cell>
          <cell r="AS83">
            <v>0.19038694074969786</v>
          </cell>
          <cell r="AT83">
            <v>0.13553113553113572</v>
          </cell>
          <cell r="AU83">
            <v>0.11098439923364634</v>
          </cell>
          <cell r="AW83">
            <v>0.43928630431191151</v>
          </cell>
          <cell r="AX83">
            <v>0.3268089202631157</v>
          </cell>
          <cell r="AY83">
            <v>0.19352958321189151</v>
          </cell>
          <cell r="AZ83">
            <v>0.10322915315782644</v>
          </cell>
          <cell r="BA83">
            <v>1.9398530762167132E-2</v>
          </cell>
          <cell r="BB83">
            <v>1.9398530762167132E-2</v>
          </cell>
          <cell r="BC83">
            <v>0.19038694074969786</v>
          </cell>
          <cell r="BD83">
            <v>0.13553113553113572</v>
          </cell>
          <cell r="BE83">
            <v>0.12724814858351952</v>
          </cell>
          <cell r="BF83">
            <v>0.11686807803082067</v>
          </cell>
          <cell r="BG83">
            <v>0.14806891115865328</v>
          </cell>
          <cell r="BH83">
            <v>8.100970084818937E-2</v>
          </cell>
          <cell r="BI83">
            <v>0.13118279569892466</v>
          </cell>
          <cell r="BJ83">
            <v>-0.11637728765837629</v>
          </cell>
          <cell r="BK83">
            <v>5.8925960388142906E-2</v>
          </cell>
          <cell r="BL83">
            <v>3.6975284425264876E-2</v>
          </cell>
          <cell r="BM83">
            <v>-1.0618304829919101E-2</v>
          </cell>
          <cell r="BN83">
            <v>-1.6539923954372537E-2</v>
          </cell>
          <cell r="BO83">
            <v>0.34743612438779747</v>
          </cell>
          <cell r="BP83">
            <v>7.6170869788986018E-2</v>
          </cell>
          <cell r="BQ83">
            <v>4.6770074718623045E-2</v>
          </cell>
          <cell r="BR83">
            <v>7.70728464241619E-2</v>
          </cell>
          <cell r="BS83">
            <v>0.13299826019717753</v>
          </cell>
          <cell r="BT83">
            <v>2.9078169476680404E-2</v>
          </cell>
          <cell r="BU83">
            <v>7.031295564031681E-2</v>
          </cell>
          <cell r="BV83">
            <v>0.14343799412694813</v>
          </cell>
          <cell r="BW83">
            <v>0.12040915303558042</v>
          </cell>
          <cell r="BX83">
            <v>8.9063299778194827E-2</v>
          </cell>
          <cell r="BY83">
            <v>0.19183795055108743</v>
          </cell>
          <cell r="BZ83">
            <v>0.13624821543390842</v>
          </cell>
          <cell r="CA83">
            <v>0.18439352034768874</v>
          </cell>
          <cell r="CB83">
            <v>0.20238470014166543</v>
          </cell>
          <cell r="CC83">
            <v>0.18220272599091336</v>
          </cell>
          <cell r="CD83">
            <v>0.21019745063734052</v>
          </cell>
          <cell r="CE83">
            <v>0.19517365074188797</v>
          </cell>
          <cell r="CF83">
            <v>0.20152116622744098</v>
          </cell>
          <cell r="CG83">
            <v>0.20353460972017667</v>
          </cell>
          <cell r="CH83">
            <v>0.26282136231115816</v>
          </cell>
          <cell r="CI83">
            <v>0.28462264707617857</v>
          </cell>
          <cell r="CJ83">
            <v>0.23946713746890302</v>
          </cell>
          <cell r="CK83">
            <v>0.25006940973957459</v>
          </cell>
          <cell r="CL83">
            <v>0.19211943220753791</v>
          </cell>
          <cell r="CM83">
            <v>9.8774824881286527E-2</v>
          </cell>
          <cell r="CN83">
            <v>-9.9999999999998979E-3</v>
          </cell>
          <cell r="CO83">
            <v>0.1256172871479444</v>
          </cell>
          <cell r="CP83">
            <v>-4.2000000000000037E-2</v>
          </cell>
          <cell r="CQ83">
            <v>-1.749999999999996E-2</v>
          </cell>
          <cell r="CR83">
            <v>3.0000000000000027E-2</v>
          </cell>
          <cell r="CS83">
            <v>3.0000000000000027E-2</v>
          </cell>
          <cell r="CT83">
            <v>-6.2469834184430972E-4</v>
          </cell>
          <cell r="CU83">
            <v>3.0000000000000027E-2</v>
          </cell>
          <cell r="CV83">
            <v>3.0000000000000027E-2</v>
          </cell>
          <cell r="CW83">
            <v>3.0000000000000027E-2</v>
          </cell>
          <cell r="CX83">
            <v>3.0000000000000027E-2</v>
          </cell>
          <cell r="CY83">
            <v>3.0000000000000027E-2</v>
          </cell>
          <cell r="CZ83">
            <v>3.0000000000000027E-2</v>
          </cell>
          <cell r="DA83">
            <v>3.0000000000000027E-2</v>
          </cell>
          <cell r="DB83">
            <v>3.0000000000000027E-2</v>
          </cell>
          <cell r="DC83">
            <v>3.0000000000000027E-2</v>
          </cell>
          <cell r="DD83">
            <v>2.9999999999999805E-2</v>
          </cell>
          <cell r="DE83">
            <v>3.0000000000000027E-2</v>
          </cell>
          <cell r="DF83">
            <v>3.0000000000000027E-2</v>
          </cell>
          <cell r="DG83">
            <v>3.0000000000000027E-2</v>
          </cell>
          <cell r="DH83">
            <v>3.0000000000000027E-2</v>
          </cell>
          <cell r="DI83">
            <v>3.0000000000000249E-2</v>
          </cell>
        </row>
        <row r="84">
          <cell r="B84" t="str">
            <v>Other operating expenses</v>
          </cell>
          <cell r="D84">
            <v>-1</v>
          </cell>
          <cell r="E84" t="str">
            <v>NM</v>
          </cell>
          <cell r="F84" t="str">
            <v>NM</v>
          </cell>
          <cell r="G84" t="str">
            <v>NM</v>
          </cell>
          <cell r="H84" t="str">
            <v>NM</v>
          </cell>
          <cell r="I84" t="str">
            <v>NM</v>
          </cell>
          <cell r="J84" t="str">
            <v>NM</v>
          </cell>
          <cell r="K84" t="str">
            <v>NM</v>
          </cell>
          <cell r="L84" t="str">
            <v>NM</v>
          </cell>
          <cell r="M84" t="str">
            <v>NA</v>
          </cell>
          <cell r="N84" t="str">
            <v>NA</v>
          </cell>
          <cell r="O84" t="str">
            <v>NA</v>
          </cell>
          <cell r="P84" t="str">
            <v>NA</v>
          </cell>
          <cell r="Q84" t="str">
            <v>NM</v>
          </cell>
          <cell r="R84" t="str">
            <v>NM</v>
          </cell>
          <cell r="S84" t="str">
            <v>NM</v>
          </cell>
          <cell r="T84" t="str">
            <v>NM</v>
          </cell>
          <cell r="U84" t="str">
            <v>NM</v>
          </cell>
          <cell r="V84" t="str">
            <v>NM</v>
          </cell>
          <cell r="W84" t="str">
            <v>NM</v>
          </cell>
          <cell r="X84" t="str">
            <v>NM</v>
          </cell>
          <cell r="Y84" t="str">
            <v>NM</v>
          </cell>
          <cell r="Z84" t="str">
            <v>NM</v>
          </cell>
          <cell r="AA84" t="str">
            <v>NM</v>
          </cell>
          <cell r="AB84" t="str">
            <v>NM</v>
          </cell>
          <cell r="AC84" t="str">
            <v>NM</v>
          </cell>
          <cell r="AD84" t="str">
            <v>NM</v>
          </cell>
          <cell r="AE84" t="str">
            <v>NM</v>
          </cell>
          <cell r="AF84" t="str">
            <v>NM</v>
          </cell>
          <cell r="AG84" t="str">
            <v>NM</v>
          </cell>
          <cell r="AH84" t="str">
            <v>NM</v>
          </cell>
          <cell r="AI84" t="str">
            <v>NM</v>
          </cell>
          <cell r="AJ84" t="str">
            <v>NM</v>
          </cell>
          <cell r="AK84" t="str">
            <v>NM</v>
          </cell>
          <cell r="AL84" t="str">
            <v>NM</v>
          </cell>
          <cell r="AM84" t="str">
            <v>NM</v>
          </cell>
          <cell r="AN84" t="str">
            <v>NM</v>
          </cell>
          <cell r="AO84" t="str">
            <v>NM</v>
          </cell>
          <cell r="AP84" t="str">
            <v>NM</v>
          </cell>
          <cell r="AQ84" t="str">
            <v>NM</v>
          </cell>
          <cell r="AR84" t="str">
            <v>NM</v>
          </cell>
          <cell r="AS84" t="str">
            <v>NM</v>
          </cell>
          <cell r="AT84" t="str">
            <v>NM</v>
          </cell>
          <cell r="AU84" t="str">
            <v>NM</v>
          </cell>
          <cell r="AW84" t="str">
            <v>NM</v>
          </cell>
          <cell r="AX84" t="str">
            <v>NM</v>
          </cell>
          <cell r="AY84" t="str">
            <v>NM</v>
          </cell>
          <cell r="AZ84" t="str">
            <v>NM</v>
          </cell>
          <cell r="BA84" t="str">
            <v>NM</v>
          </cell>
          <cell r="BB84" t="str">
            <v>NM</v>
          </cell>
          <cell r="BC84" t="str">
            <v>NM</v>
          </cell>
          <cell r="BD84" t="str">
            <v>NM</v>
          </cell>
          <cell r="BE84" t="str">
            <v>NM</v>
          </cell>
          <cell r="BF84" t="str">
            <v>NM</v>
          </cell>
          <cell r="BG84" t="str">
            <v>NM</v>
          </cell>
          <cell r="BH84" t="str">
            <v>NM</v>
          </cell>
          <cell r="BI84" t="str">
            <v>NM</v>
          </cell>
          <cell r="BJ84" t="str">
            <v>NM</v>
          </cell>
          <cell r="BK84" t="str">
            <v>NM</v>
          </cell>
          <cell r="BL84">
            <v>0.11101604892193739</v>
          </cell>
          <cell r="BM84">
            <v>0.13062727267553997</v>
          </cell>
          <cell r="BN84">
            <v>0.10363974964263134</v>
          </cell>
          <cell r="BO84">
            <v>9.4249517633944846E-2</v>
          </cell>
          <cell r="BP84">
            <v>0.10985949991882737</v>
          </cell>
          <cell r="BQ84">
            <v>8.7033371406126658E-3</v>
          </cell>
          <cell r="BR84">
            <v>-1.0302792373819702E-2</v>
          </cell>
          <cell r="BS84">
            <v>1.1388792849881479E-2</v>
          </cell>
          <cell r="BT84">
            <v>2.5745902063188497E-2</v>
          </cell>
          <cell r="BU84">
            <v>8.7547315070251042E-3</v>
          </cell>
          <cell r="BV84">
            <v>5.3865032560856285E-2</v>
          </cell>
          <cell r="BW84">
            <v>3.2165869088726984E-2</v>
          </cell>
          <cell r="BX84">
            <v>3.1393818178107491E-2</v>
          </cell>
          <cell r="BY84">
            <v>4.5732952225398193E-2</v>
          </cell>
          <cell r="BZ84">
            <v>4.0783644312384348E-2</v>
          </cell>
          <cell r="CA84">
            <v>2.8101086121564034E-2</v>
          </cell>
          <cell r="CB84">
            <v>7.125964466254775E-2</v>
          </cell>
          <cell r="CC84">
            <v>0.15787520962467916</v>
          </cell>
          <cell r="CD84">
            <v>0.1891525783234751</v>
          </cell>
          <cell r="CE84">
            <v>0.11169760313650312</v>
          </cell>
          <cell r="CF84">
            <v>0.15383087588548516</v>
          </cell>
          <cell r="CG84">
            <v>0.15919052546855239</v>
          </cell>
          <cell r="CH84">
            <v>0.14132640636415283</v>
          </cell>
          <cell r="CI84">
            <v>0.23993124668090915</v>
          </cell>
          <cell r="CJ84">
            <v>0.17524358778449733</v>
          </cell>
          <cell r="CK84">
            <v>0.27780783291529354</v>
          </cell>
          <cell r="CL84">
            <v>0.29201268067783692</v>
          </cell>
          <cell r="CM84">
            <v>0.24255072246761999</v>
          </cell>
          <cell r="CN84">
            <v>0.10645578188419336</v>
          </cell>
          <cell r="CO84">
            <v>0.22332049723771141</v>
          </cell>
          <cell r="CP84">
            <v>3.4947836616044281E-2</v>
          </cell>
          <cell r="CQ84">
            <v>2.1971028662110426E-2</v>
          </cell>
          <cell r="CR84">
            <v>2.1536192911709051E-2</v>
          </cell>
          <cell r="CS84">
            <v>2.6139882907391998E-2</v>
          </cell>
          <cell r="CT84">
            <v>2.6033208008043207E-2</v>
          </cell>
          <cell r="CU84">
            <v>5.363750536111711E-2</v>
          </cell>
          <cell r="CV84">
            <v>5.4354851947325145E-2</v>
          </cell>
          <cell r="CW84">
            <v>5.4471542156276254E-2</v>
          </cell>
          <cell r="CX84">
            <v>5.3915704993149127E-2</v>
          </cell>
          <cell r="CY84">
            <v>5.409818112306497E-2</v>
          </cell>
          <cell r="CZ84">
            <v>5.522726175059689E-2</v>
          </cell>
          <cell r="DA84">
            <v>5.5431979631278328E-2</v>
          </cell>
          <cell r="DB84">
            <v>5.5472697458720521E-2</v>
          </cell>
          <cell r="DC84">
            <v>5.5426535156175349E-2</v>
          </cell>
          <cell r="DD84">
            <v>5.5391655767418779E-2</v>
          </cell>
          <cell r="DE84">
            <v>5.5365714007339806E-2</v>
          </cell>
          <cell r="DF84">
            <v>5.5081590528008206E-2</v>
          </cell>
          <cell r="DG84">
            <v>5.511502113815725E-2</v>
          </cell>
          <cell r="DH84">
            <v>5.4621982019722903E-2</v>
          </cell>
          <cell r="DI84">
            <v>5.5039393496907563E-2</v>
          </cell>
        </row>
        <row r="85">
          <cell r="B85" t="str">
            <v>EBITDA</v>
          </cell>
          <cell r="D85">
            <v>-0.7611560015639256</v>
          </cell>
          <cell r="E85">
            <v>0.2825416746241789</v>
          </cell>
          <cell r="F85">
            <v>0.24131549277797815</v>
          </cell>
          <cell r="G85">
            <v>0.27391907871060672</v>
          </cell>
          <cell r="H85">
            <v>0.38069870992910615</v>
          </cell>
          <cell r="I85">
            <v>0.2513226224460976</v>
          </cell>
          <cell r="J85">
            <v>0.31664226983929145</v>
          </cell>
          <cell r="K85">
            <v>0.29262739578590069</v>
          </cell>
          <cell r="L85">
            <v>0.28315689306530212</v>
          </cell>
          <cell r="M85" t="str">
            <v>NA</v>
          </cell>
          <cell r="N85" t="str">
            <v>NA</v>
          </cell>
          <cell r="O85" t="str">
            <v>NA</v>
          </cell>
          <cell r="P85" t="str">
            <v>NA</v>
          </cell>
          <cell r="Q85">
            <v>0.12778679026651241</v>
          </cell>
          <cell r="R85">
            <v>0.20134690212511264</v>
          </cell>
          <cell r="S85">
            <v>0.15583582727661427</v>
          </cell>
          <cell r="T85">
            <v>0.19279689382782128</v>
          </cell>
          <cell r="U85">
            <v>0.2123832630765683</v>
          </cell>
          <cell r="V85">
            <v>0.18823897621365937</v>
          </cell>
          <cell r="W85">
            <v>0.16585693998056694</v>
          </cell>
          <cell r="X85">
            <v>0.15270020343998536</v>
          </cell>
          <cell r="Y85">
            <v>0.1891141746344347</v>
          </cell>
          <cell r="Z85">
            <v>0.2722089305279165</v>
          </cell>
          <cell r="AA85">
            <v>0.19344488225637857</v>
          </cell>
          <cell r="AB85">
            <v>0.16292687096636316</v>
          </cell>
          <cell r="AC85">
            <v>0.1387130674753112</v>
          </cell>
          <cell r="AD85">
            <v>0.18314282772114132</v>
          </cell>
          <cell r="AE85">
            <v>0.13264319735662622</v>
          </cell>
          <cell r="AF85">
            <v>0.15376744165308565</v>
          </cell>
          <cell r="AG85">
            <v>0.18117167113822585</v>
          </cell>
          <cell r="AH85">
            <v>0.12633855605027278</v>
          </cell>
          <cell r="AI85">
            <v>0.14168008471502946</v>
          </cell>
          <cell r="AJ85">
            <v>0.14012165601142157</v>
          </cell>
          <cell r="AK85">
            <v>0.14538916648310773</v>
          </cell>
          <cell r="AL85">
            <v>0.18351821024627779</v>
          </cell>
          <cell r="AM85">
            <v>0.1718320959237416</v>
          </cell>
          <cell r="AN85">
            <v>0.16527749542589998</v>
          </cell>
          <cell r="AO85">
            <v>9.1379263412907141E-2</v>
          </cell>
          <cell r="AP85">
            <v>0.15268216070865215</v>
          </cell>
          <cell r="AQ85">
            <v>0.10430113180760614</v>
          </cell>
          <cell r="AR85">
            <v>8.6805907690994388E-2</v>
          </cell>
          <cell r="AS85">
            <v>-0.10411396545708307</v>
          </cell>
          <cell r="AT85">
            <v>2.9692722103058067E-2</v>
          </cell>
          <cell r="AU85">
            <v>2.604585135263715E-2</v>
          </cell>
          <cell r="AW85">
            <v>0.1718320959237416</v>
          </cell>
          <cell r="AX85">
            <v>0.16527749542589998</v>
          </cell>
          <cell r="AY85">
            <v>9.1379263412907141E-2</v>
          </cell>
          <cell r="AZ85">
            <v>0.10430113180760614</v>
          </cell>
          <cell r="BA85">
            <v>8.6805907690994388E-2</v>
          </cell>
          <cell r="BB85">
            <v>8.6805907690994388E-2</v>
          </cell>
          <cell r="BC85">
            <v>-0.10411396545708307</v>
          </cell>
          <cell r="BD85">
            <v>2.9692722103058067E-2</v>
          </cell>
          <cell r="BE85">
            <v>1.3665446537511894E-2</v>
          </cell>
          <cell r="BF85">
            <v>6.041500992614246E-3</v>
          </cell>
          <cell r="BG85">
            <v>-2.5131131760406822E-2</v>
          </cell>
          <cell r="BH85">
            <v>0.11654201683229148</v>
          </cell>
          <cell r="BI85">
            <v>2.5554384817554343E-3</v>
          </cell>
          <cell r="BJ85">
            <v>-1.0534845077534629</v>
          </cell>
          <cell r="BK85">
            <v>-0.23452774286737887</v>
          </cell>
          <cell r="BL85">
            <v>-2.5627849568000793E-2</v>
          </cell>
          <cell r="BM85">
            <v>-0.26647881489878844</v>
          </cell>
          <cell r="BN85">
            <v>-8.6252718047838295E-2</v>
          </cell>
          <cell r="BO85">
            <v>-17.550225052146171</v>
          </cell>
          <cell r="BP85">
            <v>0.17013543229870898</v>
          </cell>
          <cell r="BQ85">
            <v>-6.095921575115737E-2</v>
          </cell>
          <cell r="BR85">
            <v>0.21320355165880267</v>
          </cell>
          <cell r="BS85">
            <v>-6.1819143310418156E-2</v>
          </cell>
          <cell r="BT85">
            <v>-2.6605906232587517E-2</v>
          </cell>
          <cell r="BU85">
            <v>5.6203762049042982E-3</v>
          </cell>
          <cell r="BV85">
            <v>9.7732603596556444E-3</v>
          </cell>
          <cell r="BW85">
            <v>5.7717158973290994E-2</v>
          </cell>
          <cell r="BX85">
            <v>0.11334620370892412</v>
          </cell>
          <cell r="BY85">
            <v>0.1637261916930719</v>
          </cell>
          <cell r="BZ85">
            <v>8.0988683176285825E-2</v>
          </cell>
          <cell r="CA85">
            <v>7.060792941933447E-2</v>
          </cell>
          <cell r="CB85">
            <v>5.664059107253494E-2</v>
          </cell>
          <cell r="CC85">
            <v>8.3530044616017429E-2</v>
          </cell>
          <cell r="CD85">
            <v>9.225219738714463E-2</v>
          </cell>
          <cell r="CE85">
            <v>7.5464094544755111E-2</v>
          </cell>
          <cell r="CF85">
            <v>9.2119872467430586E-2</v>
          </cell>
          <cell r="CG85">
            <v>0.11662876400800082</v>
          </cell>
          <cell r="CH85">
            <v>8.7901690282336631E-2</v>
          </cell>
          <cell r="CI85">
            <v>0.19754992628333956</v>
          </cell>
          <cell r="CJ85">
            <v>0.12391014518726129</v>
          </cell>
          <cell r="CK85">
            <v>0.11698977283856249</v>
          </cell>
          <cell r="CL85">
            <v>0.14487063719524129</v>
          </cell>
          <cell r="CM85">
            <v>0.26912339475153568</v>
          </cell>
          <cell r="CN85">
            <v>0.14426997280226672</v>
          </cell>
          <cell r="CO85">
            <v>0.16544381679752296</v>
          </cell>
          <cell r="CP85">
            <v>0.12658002026187298</v>
          </cell>
          <cell r="CQ85">
            <v>0.12288402648841679</v>
          </cell>
          <cell r="CR85">
            <v>1.6944794327567125E-2</v>
          </cell>
          <cell r="CS85">
            <v>-0.15332866453384419</v>
          </cell>
          <cell r="CT85">
            <v>2.4668623413916624E-2</v>
          </cell>
          <cell r="CU85">
            <v>5.3652036273247328E-2</v>
          </cell>
          <cell r="CV85">
            <v>4.706952959145827E-2</v>
          </cell>
          <cell r="CW85">
            <v>6.9553756168464931E-2</v>
          </cell>
          <cell r="CX85">
            <v>5.6561939384058624E-2</v>
          </cell>
          <cell r="CY85">
            <v>5.6411651931818518E-2</v>
          </cell>
          <cell r="CZ85">
            <v>5.8487499433184764E-2</v>
          </cell>
          <cell r="DA85">
            <v>5.5365399333346277E-2</v>
          </cell>
          <cell r="DB85">
            <v>6.779886984653305E-2</v>
          </cell>
          <cell r="DC85">
            <v>8.6205474157994955E-2</v>
          </cell>
          <cell r="DD85">
            <v>6.6028424485910175E-2</v>
          </cell>
          <cell r="DE85">
            <v>7.2614355799117014E-2</v>
          </cell>
          <cell r="DF85">
            <v>6.5421977360420991E-2</v>
          </cell>
          <cell r="DG85">
            <v>7.4699950185008301E-2</v>
          </cell>
          <cell r="DH85">
            <v>6.2735724674730431E-2</v>
          </cell>
          <cell r="DI85">
            <v>6.9054875989402964E-2</v>
          </cell>
        </row>
        <row r="86">
          <cell r="B86" t="str">
            <v>EBITDA (excluding HITECH)</v>
          </cell>
          <cell r="D86">
            <v>-0.7611560015639256</v>
          </cell>
          <cell r="E86">
            <v>0.2825416746241789</v>
          </cell>
          <cell r="F86">
            <v>0.24131549277797815</v>
          </cell>
          <cell r="G86">
            <v>0.27391907871060672</v>
          </cell>
          <cell r="H86">
            <v>0.38069870992910615</v>
          </cell>
          <cell r="I86">
            <v>0.2513226224460976</v>
          </cell>
          <cell r="J86">
            <v>0.31664226983929145</v>
          </cell>
          <cell r="K86">
            <v>0.29262739578590069</v>
          </cell>
          <cell r="L86">
            <v>0.28315689306530212</v>
          </cell>
          <cell r="M86" t="str">
            <v>NA</v>
          </cell>
          <cell r="N86" t="str">
            <v>NA</v>
          </cell>
          <cell r="O86" t="str">
            <v>NA</v>
          </cell>
          <cell r="P86" t="str">
            <v>NA</v>
          </cell>
          <cell r="Q86">
            <v>0.12778679026651241</v>
          </cell>
          <cell r="R86">
            <v>0.20134690212511264</v>
          </cell>
          <cell r="S86">
            <v>0.15583582727661427</v>
          </cell>
          <cell r="T86">
            <v>0.19279689382782128</v>
          </cell>
          <cell r="U86">
            <v>0.2123832630765683</v>
          </cell>
          <cell r="V86">
            <v>0.18823897621365937</v>
          </cell>
          <cell r="W86">
            <v>0.16585693998056694</v>
          </cell>
          <cell r="X86">
            <v>0.15270020343998536</v>
          </cell>
          <cell r="Y86">
            <v>0.1891141746344347</v>
          </cell>
          <cell r="Z86">
            <v>0.2722089305279165</v>
          </cell>
          <cell r="AA86">
            <v>0.19344488225637857</v>
          </cell>
          <cell r="AB86">
            <v>0.16292687096636316</v>
          </cell>
          <cell r="AC86">
            <v>0.1387130674753112</v>
          </cell>
          <cell r="AD86">
            <v>0.18314282772114132</v>
          </cell>
          <cell r="AE86">
            <v>0.13264319735662622</v>
          </cell>
          <cell r="AF86">
            <v>0.15376744165308565</v>
          </cell>
          <cell r="AG86">
            <v>0.18117167113822585</v>
          </cell>
          <cell r="AH86">
            <v>0.12633855605027278</v>
          </cell>
          <cell r="AI86">
            <v>0.14168008471502946</v>
          </cell>
          <cell r="AJ86">
            <v>0.14012165601142157</v>
          </cell>
          <cell r="AK86">
            <v>0.14538916648310773</v>
          </cell>
          <cell r="AL86">
            <v>0.18351821024627779</v>
          </cell>
          <cell r="AM86">
            <v>0.1718320959237416</v>
          </cell>
          <cell r="AN86">
            <v>0.16527749542589998</v>
          </cell>
          <cell r="AO86">
            <v>9.1379263412907141E-2</v>
          </cell>
          <cell r="AP86">
            <v>0.15268216070865215</v>
          </cell>
          <cell r="AQ86">
            <v>0.10430113180760614</v>
          </cell>
          <cell r="AR86">
            <v>8.6805907690994388E-2</v>
          </cell>
          <cell r="AS86">
            <v>-0.10411396545708307</v>
          </cell>
          <cell r="AT86">
            <v>2.9692722103058067E-2</v>
          </cell>
          <cell r="AU86">
            <v>2.604585135263715E-2</v>
          </cell>
          <cell r="AW86">
            <v>0.1718320959237416</v>
          </cell>
          <cell r="AX86">
            <v>0.16527749542589998</v>
          </cell>
          <cell r="AY86">
            <v>9.1379263412907141E-2</v>
          </cell>
          <cell r="AZ86">
            <v>0.10430113180760614</v>
          </cell>
          <cell r="BA86">
            <v>8.6805907690994388E-2</v>
          </cell>
          <cell r="BB86">
            <v>8.6805907690994388E-2</v>
          </cell>
          <cell r="BC86">
            <v>-0.10411396545708307</v>
          </cell>
          <cell r="BD86">
            <v>2.9692722103058067E-2</v>
          </cell>
          <cell r="BE86">
            <v>1.3665446537511894E-2</v>
          </cell>
          <cell r="BF86">
            <v>6.041500992614246E-3</v>
          </cell>
          <cell r="BG86">
            <v>-2.5131131760406822E-2</v>
          </cell>
          <cell r="BH86">
            <v>0.11654201683229148</v>
          </cell>
          <cell r="BI86">
            <v>2.5554384817554343E-3</v>
          </cell>
          <cell r="BJ86">
            <v>-1.0534845077534629</v>
          </cell>
          <cell r="BK86">
            <v>-0.23452774286737887</v>
          </cell>
          <cell r="BL86">
            <v>-2.5627849568000793E-2</v>
          </cell>
          <cell r="BM86">
            <v>-0.26647881489878844</v>
          </cell>
          <cell r="BN86">
            <v>-8.6252718047838295E-2</v>
          </cell>
          <cell r="BO86">
            <v>-17.550225052146171</v>
          </cell>
          <cell r="BP86">
            <v>0.17013543229870898</v>
          </cell>
          <cell r="BQ86">
            <v>-6.095921575115737E-2</v>
          </cell>
          <cell r="BR86">
            <v>0.21320355165880267</v>
          </cell>
          <cell r="BS86">
            <v>-6.1819143310418156E-2</v>
          </cell>
          <cell r="BT86">
            <v>-2.6605906232587517E-2</v>
          </cell>
          <cell r="BU86">
            <v>5.6203762049042982E-3</v>
          </cell>
          <cell r="BV86">
            <v>9.7732603596556444E-3</v>
          </cell>
          <cell r="BW86">
            <v>5.7717158973290994E-2</v>
          </cell>
          <cell r="BX86">
            <v>0.11334620370892412</v>
          </cell>
          <cell r="BY86">
            <v>0.1637261916930719</v>
          </cell>
          <cell r="BZ86">
            <v>8.0988683176285825E-2</v>
          </cell>
          <cell r="CA86">
            <v>7.060792941933447E-2</v>
          </cell>
          <cell r="CB86">
            <v>5.664059107253494E-2</v>
          </cell>
          <cell r="CC86">
            <v>8.3530044616017429E-2</v>
          </cell>
          <cell r="CD86">
            <v>9.225219738714463E-2</v>
          </cell>
          <cell r="CE86">
            <v>7.5464094544755111E-2</v>
          </cell>
          <cell r="CF86">
            <v>9.2119872467430586E-2</v>
          </cell>
          <cell r="CG86">
            <v>0.11662876400800082</v>
          </cell>
          <cell r="CH86">
            <v>8.7901690282336631E-2</v>
          </cell>
          <cell r="CI86">
            <v>-7.4252781128540946E-3</v>
          </cell>
          <cell r="CJ86">
            <v>7.2003052000771728E-2</v>
          </cell>
          <cell r="CK86">
            <v>9.5584086107756372E-2</v>
          </cell>
          <cell r="CL86">
            <v>0.13078108437045999</v>
          </cell>
          <cell r="CM86">
            <v>0.13907142550358653</v>
          </cell>
          <cell r="CN86">
            <v>4.67701017325306E-2</v>
          </cell>
          <cell r="CO86">
            <v>0.10348013317455362</v>
          </cell>
          <cell r="CP86">
            <v>6.3457756956571298E-2</v>
          </cell>
          <cell r="CQ86">
            <v>5.0076030724424569E-2</v>
          </cell>
          <cell r="CR86">
            <v>3.8788195301281414E-2</v>
          </cell>
          <cell r="CS86">
            <v>1.3464176281895224E-2</v>
          </cell>
          <cell r="CT86">
            <v>4.2792097357569725E-2</v>
          </cell>
          <cell r="CU86">
            <v>8.4631583283347966E-2</v>
          </cell>
          <cell r="CV86">
            <v>7.8513581844264602E-2</v>
          </cell>
          <cell r="CW86">
            <v>0.10611377898519048</v>
          </cell>
          <cell r="CX86">
            <v>9.6264452170447878E-2</v>
          </cell>
          <cell r="CY86">
            <v>9.0727962007469243E-2</v>
          </cell>
          <cell r="CZ86">
            <v>8.5967736060075017E-2</v>
          </cell>
          <cell r="DA86">
            <v>8.3741758565539781E-2</v>
          </cell>
          <cell r="DB86">
            <v>9.8853514899573725E-2</v>
          </cell>
          <cell r="DC86">
            <v>0.12250603237734614</v>
          </cell>
          <cell r="DD86">
            <v>9.6489875183360052E-2</v>
          </cell>
          <cell r="DE86">
            <v>8.5586815338071665E-2</v>
          </cell>
          <cell r="DF86">
            <v>7.8750890456661171E-2</v>
          </cell>
          <cell r="DG86">
            <v>8.9002168667581927E-2</v>
          </cell>
          <cell r="DH86">
            <v>7.8257780510563091E-2</v>
          </cell>
          <cell r="DI86">
            <v>8.3019584306482708E-2</v>
          </cell>
        </row>
        <row r="87">
          <cell r="B87" t="str">
            <v>Depreciation &amp; amortizaton</v>
          </cell>
          <cell r="D87">
            <v>-0.93573569659846212</v>
          </cell>
          <cell r="E87">
            <v>0.12644494017440677</v>
          </cell>
          <cell r="F87">
            <v>0.1503285624268611</v>
          </cell>
          <cell r="G87">
            <v>2.3867282259957712E-2</v>
          </cell>
          <cell r="H87">
            <v>0.26948945276673797</v>
          </cell>
          <cell r="I87">
            <v>0.23792895845875983</v>
          </cell>
          <cell r="J87">
            <v>0.32151541678824991</v>
          </cell>
          <cell r="K87">
            <v>0.34549000846428446</v>
          </cell>
          <cell r="L87">
            <v>0.37953010038018653</v>
          </cell>
          <cell r="M87" t="str">
            <v>NA</v>
          </cell>
          <cell r="N87" t="str">
            <v>NA</v>
          </cell>
          <cell r="O87" t="str">
            <v>NA</v>
          </cell>
          <cell r="P87" t="str">
            <v>NA</v>
          </cell>
          <cell r="Q87">
            <v>0.21494141205860773</v>
          </cell>
          <cell r="R87">
            <v>0.24987936858068527</v>
          </cell>
          <cell r="S87">
            <v>0.29210819854991632</v>
          </cell>
          <cell r="T87">
            <v>0.19659083787679399</v>
          </cell>
          <cell r="U87">
            <v>0.13776563448694601</v>
          </cell>
          <cell r="V87">
            <v>0.21575443062763133</v>
          </cell>
          <cell r="W87">
            <v>0.18188837414515757</v>
          </cell>
          <cell r="X87">
            <v>0.19326642926513449</v>
          </cell>
          <cell r="Y87">
            <v>0.19807269299256314</v>
          </cell>
          <cell r="Z87">
            <v>0.29270505363146371</v>
          </cell>
          <cell r="AA87">
            <v>0.21674116431093049</v>
          </cell>
          <cell r="AB87">
            <v>1.0172655156322818E-2</v>
          </cell>
          <cell r="AC87">
            <v>8.0349068547657776E-2</v>
          </cell>
          <cell r="AD87">
            <v>6.1942647315964328E-2</v>
          </cell>
          <cell r="AE87">
            <v>5.2427344782034258E-2</v>
          </cell>
          <cell r="AF87">
            <v>5.1651479381329635E-2</v>
          </cell>
          <cell r="AG87">
            <v>0.20505358462675538</v>
          </cell>
          <cell r="AH87">
            <v>0.13476750512702451</v>
          </cell>
          <cell r="AI87">
            <v>0.15271889021528851</v>
          </cell>
          <cell r="AJ87">
            <v>0.12422530791558795</v>
          </cell>
          <cell r="AK87">
            <v>0.152484055052031</v>
          </cell>
          <cell r="AL87">
            <v>0.18844635258941245</v>
          </cell>
          <cell r="AM87">
            <v>0.26802640799616428</v>
          </cell>
          <cell r="AN87">
            <v>0.2152269399707174</v>
          </cell>
          <cell r="AO87">
            <v>0.2386867171417606</v>
          </cell>
          <cell r="AP87">
            <v>0.22801827714264933</v>
          </cell>
          <cell r="AQ87">
            <v>0.1803696416475824</v>
          </cell>
          <cell r="AR87">
            <v>8.6154741128563028E-2</v>
          </cell>
          <cell r="AS87">
            <v>0.14936820452541877</v>
          </cell>
          <cell r="AT87">
            <v>0.21288941468086309</v>
          </cell>
          <cell r="AU87">
            <v>0.15709891413111943</v>
          </cell>
          <cell r="AW87">
            <v>0.26802640799616428</v>
          </cell>
          <cell r="AX87">
            <v>0.2152269399707174</v>
          </cell>
          <cell r="AY87">
            <v>0.2386867171417606</v>
          </cell>
          <cell r="AZ87">
            <v>0.1803696416475824</v>
          </cell>
          <cell r="BA87">
            <v>8.6154741128563028E-2</v>
          </cell>
          <cell r="BB87">
            <v>8.6154741128563028E-2</v>
          </cell>
          <cell r="BC87">
            <v>0.14936820452541877</v>
          </cell>
          <cell r="BD87">
            <v>0.21288941468086309</v>
          </cell>
          <cell r="BE87">
            <v>0.13479983604317525</v>
          </cell>
          <cell r="BF87">
            <v>0.14615641925313327</v>
          </cell>
          <cell r="BG87">
            <v>0.17235284666059658</v>
          </cell>
          <cell r="BH87">
            <v>0.16050929358525301</v>
          </cell>
          <cell r="BI87">
            <v>0.10685090571295874</v>
          </cell>
          <cell r="BJ87">
            <v>0.2800520130995956</v>
          </cell>
          <cell r="BK87">
            <v>0.17973460504337346</v>
          </cell>
          <cell r="BL87">
            <v>0.20268171227557241</v>
          </cell>
          <cell r="BM87">
            <v>0.18827520874182113</v>
          </cell>
          <cell r="BN87">
            <v>0.18986173181427168</v>
          </cell>
          <cell r="BO87">
            <v>0.11367997291094478</v>
          </cell>
          <cell r="BP87">
            <v>0.1711213339789881</v>
          </cell>
          <cell r="BQ87">
            <v>9.1299310554405322E-2</v>
          </cell>
          <cell r="BR87">
            <v>0.10547490590874542</v>
          </cell>
          <cell r="BS87">
            <v>5.5034385469934888E-2</v>
          </cell>
          <cell r="BT87">
            <v>2.1182074627117853E-2</v>
          </cell>
          <cell r="BU87">
            <v>6.6836255443844639E-2</v>
          </cell>
          <cell r="BV87">
            <v>6.0183090257231342E-2</v>
          </cell>
          <cell r="BW87">
            <v>1.5681078724046671E-2</v>
          </cell>
          <cell r="BX87">
            <v>9.911250020892215E-3</v>
          </cell>
          <cell r="BY87">
            <v>2.4100570672400901E-2</v>
          </cell>
          <cell r="BZ87">
            <v>2.7143278426085882E-2</v>
          </cell>
          <cell r="CA87">
            <v>1.9682841946286667E-2</v>
          </cell>
          <cell r="CB87">
            <v>2.1829230032529123E-2</v>
          </cell>
          <cell r="CC87">
            <v>1.8585330332318239E-2</v>
          </cell>
          <cell r="CD87">
            <v>1.1306370332084814E-3</v>
          </cell>
          <cell r="CE87">
            <v>1.52329859359428E-2</v>
          </cell>
          <cell r="CF87">
            <v>5.2434999597520626E-2</v>
          </cell>
          <cell r="CG87">
            <v>3.7457783236106712E-2</v>
          </cell>
          <cell r="CH87">
            <v>6.593335174744519E-2</v>
          </cell>
          <cell r="CI87">
            <v>0.18527959730244259</v>
          </cell>
          <cell r="CJ87">
            <v>8.5311905367899232E-2</v>
          </cell>
          <cell r="CK87">
            <v>0.19919843358012623</v>
          </cell>
          <cell r="CL87">
            <v>0.33505708633821918</v>
          </cell>
          <cell r="CM87">
            <v>0.39638747046718992</v>
          </cell>
          <cell r="CN87">
            <v>0.24745687347435119</v>
          </cell>
          <cell r="CO87">
            <v>0.29301851769131892</v>
          </cell>
          <cell r="CP87">
            <v>0.16288742376676546</v>
          </cell>
          <cell r="CQ87">
            <v>7.0262301352880918E-2</v>
          </cell>
          <cell r="CR87">
            <v>7.4853468009097313E-3</v>
          </cell>
          <cell r="CS87">
            <v>1.3117034409955597E-2</v>
          </cell>
          <cell r="CT87">
            <v>5.9533256085495756E-2</v>
          </cell>
          <cell r="CU87">
            <v>2.2169304073946128E-2</v>
          </cell>
          <cell r="CV87">
            <v>1.9101453436238369E-2</v>
          </cell>
          <cell r="CW87">
            <v>1.5897586010839904E-2</v>
          </cell>
          <cell r="CX87">
            <v>1.3288924266732449E-2</v>
          </cell>
          <cell r="CY87">
            <v>1.7591546354605025E-2</v>
          </cell>
          <cell r="CZ87">
            <v>1.3829319456641676E-2</v>
          </cell>
          <cell r="DA87">
            <v>1.4322354727599906E-2</v>
          </cell>
          <cell r="DB87">
            <v>1.4815217759176713E-2</v>
          </cell>
          <cell r="DC87">
            <v>1.5351983990227636E-2</v>
          </cell>
          <cell r="DD87">
            <v>1.4581725239340981E-2</v>
          </cell>
          <cell r="DE87">
            <v>1.5957980632163027E-2</v>
          </cell>
          <cell r="DF87">
            <v>1.6490508780395707E-2</v>
          </cell>
          <cell r="DG87">
            <v>1.701755606498967E-2</v>
          </cell>
          <cell r="DH87">
            <v>1.7495161745148646E-2</v>
          </cell>
          <cell r="DI87">
            <v>1.6742657211156198E-2</v>
          </cell>
        </row>
        <row r="88">
          <cell r="B88" t="str">
            <v>Operating income</v>
          </cell>
          <cell r="D88">
            <v>-0.82542030496546337</v>
          </cell>
          <cell r="E88">
            <v>0.34000223955806153</v>
          </cell>
          <cell r="F88">
            <v>0.26947075208913573</v>
          </cell>
          <cell r="G88">
            <v>0.34403387896607773</v>
          </cell>
          <cell r="H88">
            <v>0.40445365941259981</v>
          </cell>
          <cell r="I88">
            <v>0.25390865658456185</v>
          </cell>
          <cell r="J88">
            <v>0.31571335867247519</v>
          </cell>
          <cell r="K88">
            <v>0.28250637656243427</v>
          </cell>
          <cell r="L88">
            <v>0.26379923195675148</v>
          </cell>
          <cell r="M88" t="str">
            <v>NA</v>
          </cell>
          <cell r="N88" t="str">
            <v>NA</v>
          </cell>
          <cell r="O88" t="str">
            <v>NA</v>
          </cell>
          <cell r="P88" t="str">
            <v>NA</v>
          </cell>
          <cell r="Q88">
            <v>0.10867769672836713</v>
          </cell>
          <cell r="R88">
            <v>0.18788828780609057</v>
          </cell>
          <cell r="S88">
            <v>0.13116037164209282</v>
          </cell>
          <cell r="T88">
            <v>0.19188242047068016</v>
          </cell>
          <cell r="U88">
            <v>0.23382832812745336</v>
          </cell>
          <cell r="V88">
            <v>0.18162783585191189</v>
          </cell>
          <cell r="W88">
            <v>0.16117923465611095</v>
          </cell>
          <cell r="X88">
            <v>0.1443095328437829</v>
          </cell>
          <cell r="Y88">
            <v>0.18694632786261911</v>
          </cell>
          <cell r="Z88">
            <v>0.26677698106269565</v>
          </cell>
          <cell r="AA88">
            <v>0.18768582426333991</v>
          </cell>
          <cell r="AB88">
            <v>0.20829291277474415</v>
          </cell>
          <cell r="AC88">
            <v>0.15130148141646416</v>
          </cell>
          <cell r="AD88">
            <v>0.21274664730503146</v>
          </cell>
          <cell r="AE88">
            <v>0.15433738975103206</v>
          </cell>
          <cell r="AF88">
            <v>0.17962902428189387</v>
          </cell>
          <cell r="AG88">
            <v>0.17524200578061144</v>
          </cell>
          <cell r="AH88">
            <v>0.12463257405697492</v>
          </cell>
          <cell r="AI88">
            <v>0.1393190762539509</v>
          </cell>
          <cell r="AJ88">
            <v>0.1440412403040805</v>
          </cell>
          <cell r="AK88">
            <v>0.14378727375217415</v>
          </cell>
          <cell r="AL88">
            <v>0.18226355802355876</v>
          </cell>
          <cell r="AM88">
            <v>0.15218733994155076</v>
          </cell>
          <cell r="AN88">
            <v>0.15446852903674535</v>
          </cell>
          <cell r="AO88">
            <v>5.5686592778579902E-2</v>
          </cell>
          <cell r="AP88">
            <v>0.13554334749017904</v>
          </cell>
          <cell r="AQ88">
            <v>8.4833626375441007E-2</v>
          </cell>
          <cell r="AR88">
            <v>8.6952258300702079E-2</v>
          </cell>
          <cell r="AS88">
            <v>-0.16185388971444636</v>
          </cell>
          <cell r="AT88">
            <v>-2.2390569694251572E-2</v>
          </cell>
          <cell r="AU88">
            <v>-6.1964331303107079E-3</v>
          </cell>
          <cell r="AW88">
            <v>0.15218733994155076</v>
          </cell>
          <cell r="AX88">
            <v>0.15446852903674535</v>
          </cell>
          <cell r="AY88">
            <v>5.5686592778579902E-2</v>
          </cell>
          <cell r="AZ88">
            <v>8.4833626375441007E-2</v>
          </cell>
          <cell r="BA88">
            <v>8.6952258300702079E-2</v>
          </cell>
          <cell r="BB88">
            <v>8.6952258300702079E-2</v>
          </cell>
          <cell r="BC88">
            <v>-0.16185388971444636</v>
          </cell>
          <cell r="BD88">
            <v>-2.2390569694251572E-2</v>
          </cell>
          <cell r="BE88">
            <v>-2.0065439050372391E-2</v>
          </cell>
          <cell r="BF88">
            <v>-2.9198595918425441E-2</v>
          </cell>
          <cell r="BG88">
            <v>-6.9483370421603241E-2</v>
          </cell>
          <cell r="BH88">
            <v>0.10280799271646912</v>
          </cell>
          <cell r="BI88">
            <v>-3.4232212192203848E-2</v>
          </cell>
          <cell r="BJ88">
            <v>-1.4835032574175162</v>
          </cell>
          <cell r="BK88">
            <v>-0.35753809844287288</v>
          </cell>
          <cell r="BL88">
            <v>-9.0229257289117126E-2</v>
          </cell>
          <cell r="BM88">
            <v>-0.41596240051561628</v>
          </cell>
          <cell r="BN88">
            <v>-0.19787275549411021</v>
          </cell>
          <cell r="BO88">
            <v>-2.4703615077007077</v>
          </cell>
          <cell r="BP88">
            <v>0.16959786015222322</v>
          </cell>
          <cell r="BQ88">
            <v>-0.11791243064287982</v>
          </cell>
          <cell r="BR88">
            <v>0.28525195913103785</v>
          </cell>
          <cell r="BS88">
            <v>-0.13189172041873809</v>
          </cell>
          <cell r="BT88">
            <v>-5.7506416907869284E-2</v>
          </cell>
          <cell r="BU88">
            <v>-2.7801634235517292E-2</v>
          </cell>
          <cell r="BV88">
            <v>-1.3555090206185949E-2</v>
          </cell>
          <cell r="BW88">
            <v>8.1898256683356818E-2</v>
          </cell>
          <cell r="BX88">
            <v>0.18872796813525672</v>
          </cell>
          <cell r="BY88">
            <v>0.26154826747015658</v>
          </cell>
          <cell r="BZ88">
            <v>0.11324835941443578</v>
          </cell>
          <cell r="CA88">
            <v>9.5936379891734536E-2</v>
          </cell>
          <cell r="CB88">
            <v>7.5440067057837457E-2</v>
          </cell>
          <cell r="CC88">
            <v>0.12374091873226001</v>
          </cell>
          <cell r="CD88">
            <v>0.14407628216316604</v>
          </cell>
          <cell r="CE88">
            <v>0.10875849356903577</v>
          </cell>
          <cell r="CF88">
            <v>0.11048447778763038</v>
          </cell>
          <cell r="CG88">
            <v>0.15725278187758129</v>
          </cell>
          <cell r="CH88">
            <v>0.10023069838693477</v>
          </cell>
          <cell r="CI88">
            <v>0.20365656841412116</v>
          </cell>
          <cell r="CJ88">
            <v>0.14344663718026651</v>
          </cell>
          <cell r="CK88">
            <v>8.0935481057582859E-2</v>
          </cell>
          <cell r="CL88">
            <v>5.7384625305408221E-2</v>
          </cell>
          <cell r="CM88">
            <v>0.19992706718935227</v>
          </cell>
          <cell r="CN88">
            <v>9.3700427385606133E-2</v>
          </cell>
          <cell r="CO88">
            <v>0.10415484892092852</v>
          </cell>
          <cell r="CP88">
            <v>0.10891452296256032</v>
          </cell>
          <cell r="CQ88">
            <v>0.15344667424155434</v>
          </cell>
          <cell r="CR88">
            <v>2.2930206795395147E-2</v>
          </cell>
          <cell r="CS88">
            <v>-0.24636748958055621</v>
          </cell>
          <cell r="CT88">
            <v>5.0541070816467748E-3</v>
          </cell>
          <cell r="CU88">
            <v>6.9715629333425788E-2</v>
          </cell>
          <cell r="CV88">
            <v>6.2141887378487359E-2</v>
          </cell>
          <cell r="CW88">
            <v>0.10299178878608273</v>
          </cell>
          <cell r="CX88">
            <v>8.907881345429125E-2</v>
          </cell>
          <cell r="CY88">
            <v>7.9435312386156642E-2</v>
          </cell>
          <cell r="CZ88">
            <v>8.0260876403096315E-2</v>
          </cell>
          <cell r="DA88">
            <v>7.6587728952655088E-2</v>
          </cell>
          <cell r="DB88">
            <v>9.8210562009929392E-2</v>
          </cell>
          <cell r="DC88">
            <v>0.13574215078478491</v>
          </cell>
          <cell r="DD88">
            <v>9.479260760408259E-2</v>
          </cell>
          <cell r="DE88">
            <v>9.8538818035409204E-2</v>
          </cell>
          <cell r="DF88">
            <v>8.9259894622991443E-2</v>
          </cell>
          <cell r="DG88">
            <v>0.10529444792702569</v>
          </cell>
          <cell r="DH88">
            <v>9.1012540080542603E-2</v>
          </cell>
          <cell r="DI88">
            <v>9.6160090495099659E-2</v>
          </cell>
        </row>
        <row r="89">
          <cell r="B89" t="str">
            <v>Interest expense, net</v>
          </cell>
          <cell r="D89">
            <v>-1.1149224553629611</v>
          </cell>
          <cell r="E89">
            <v>-0.20066908596053523</v>
          </cell>
          <cell r="F89">
            <v>-0.49244520110661838</v>
          </cell>
          <cell r="G89">
            <v>-0.32718378756114608</v>
          </cell>
          <cell r="H89">
            <v>-0.10739509763190702</v>
          </cell>
          <cell r="I89">
            <v>-0.15731905980916916</v>
          </cell>
          <cell r="J89">
            <v>-2.9273681303507271E-2</v>
          </cell>
          <cell r="K89">
            <v>5.604551920341394E-2</v>
          </cell>
          <cell r="L89">
            <v>0.28205818965517238</v>
          </cell>
          <cell r="M89" t="str">
            <v>NA</v>
          </cell>
          <cell r="N89" t="str">
            <v>NA</v>
          </cell>
          <cell r="O89" t="str">
            <v>NA</v>
          </cell>
          <cell r="P89" t="str">
            <v>NA</v>
          </cell>
          <cell r="Q89">
            <v>0.76192477411220838</v>
          </cell>
          <cell r="R89">
            <v>3.1845588235294118</v>
          </cell>
          <cell r="S89">
            <v>8.5351906158357771</v>
          </cell>
          <cell r="T89">
            <v>1.812551953449709</v>
          </cell>
          <cell r="U89">
            <v>0.62661925323850642</v>
          </cell>
          <cell r="V89">
            <v>2.0250447227191413</v>
          </cell>
          <cell r="W89">
            <v>6.0622034791776525E-2</v>
          </cell>
          <cell r="X89">
            <v>-0.18929724742426568</v>
          </cell>
          <cell r="Y89">
            <v>-0.33500812767843957</v>
          </cell>
          <cell r="Z89">
            <v>-0.35009369144284819</v>
          </cell>
          <cell r="AA89">
            <v>-0.2126946579932979</v>
          </cell>
          <cell r="AB89">
            <v>-0.31809145129224659</v>
          </cell>
          <cell r="AC89">
            <v>-0.22496206373292871</v>
          </cell>
          <cell r="AD89">
            <v>-0.20955555555555561</v>
          </cell>
          <cell r="AE89">
            <v>-9.0821720326766053E-2</v>
          </cell>
          <cell r="AF89">
            <v>-0.22168252378567854</v>
          </cell>
          <cell r="AG89">
            <v>-8.6248785228376978E-2</v>
          </cell>
          <cell r="AH89">
            <v>-9.1532060695056261E-2</v>
          </cell>
          <cell r="AI89">
            <v>6.8878268203542259E-2</v>
          </cell>
          <cell r="AJ89">
            <v>-3.8054968287526303E-2</v>
          </cell>
          <cell r="AK89">
            <v>-4.0404040404040331E-2</v>
          </cell>
          <cell r="AL89">
            <v>0.18425950545067793</v>
          </cell>
          <cell r="AM89">
            <v>0.26831896551724133</v>
          </cell>
          <cell r="AN89">
            <v>-4.2609153077327711E-2</v>
          </cell>
          <cell r="AO89">
            <v>-7.0879120879120849E-2</v>
          </cell>
          <cell r="AP89">
            <v>8.5082132081796935E-2</v>
          </cell>
          <cell r="AQ89">
            <v>-0.27750336775931739</v>
          </cell>
          <cell r="AR89">
            <v>-0.18967714528462198</v>
          </cell>
          <cell r="AS89">
            <v>-0.21648351648351649</v>
          </cell>
          <cell r="AT89">
            <v>-0.10082791247782386</v>
          </cell>
          <cell r="AU89">
            <v>-0.20130993573900158</v>
          </cell>
          <cell r="AW89">
            <v>0.26831896551724133</v>
          </cell>
          <cell r="AX89">
            <v>-4.2609153077327711E-2</v>
          </cell>
          <cell r="AY89">
            <v>-7.0879120879120849E-2</v>
          </cell>
          <cell r="AZ89">
            <v>-0.27750336775931739</v>
          </cell>
          <cell r="BA89">
            <v>-0.18967714528462198</v>
          </cell>
          <cell r="BB89">
            <v>-0.18967714528462198</v>
          </cell>
          <cell r="BC89">
            <v>-0.21648351648351649</v>
          </cell>
          <cell r="BD89">
            <v>-0.10082791247782386</v>
          </cell>
          <cell r="BE89">
            <v>0.31417029210689873</v>
          </cell>
          <cell r="BF89">
            <v>-6.7634466149317563E-2</v>
          </cell>
          <cell r="BG89">
            <v>1.2023591087811272</v>
          </cell>
          <cell r="BH89">
            <v>2.9638849929873774</v>
          </cell>
          <cell r="BI89">
            <v>2.533706017757317</v>
          </cell>
          <cell r="BJ89">
            <v>3.929297706313549</v>
          </cell>
          <cell r="BK89">
            <v>2.6807777857501618</v>
          </cell>
          <cell r="BL89">
            <v>2.9619138300404666</v>
          </cell>
          <cell r="BM89">
            <v>4.4526315789473685</v>
          </cell>
          <cell r="BN89">
            <v>4.9273217941559651</v>
          </cell>
          <cell r="BO89">
            <v>2.0382327544852732</v>
          </cell>
          <cell r="BP89">
            <v>3.3267899959063527</v>
          </cell>
          <cell r="BQ89">
            <v>0.86866137947608779</v>
          </cell>
          <cell r="BR89">
            <v>-4.8440998020830017E-2</v>
          </cell>
          <cell r="BS89">
            <v>-0.11726195148755791</v>
          </cell>
          <cell r="BT89">
            <v>-3.2983342543617233E-2</v>
          </cell>
          <cell r="BU89">
            <v>7.3761038024869219E-2</v>
          </cell>
          <cell r="BV89">
            <v>-0.11962253231303444</v>
          </cell>
          <cell r="BW89">
            <v>-7.9838379705400975E-2</v>
          </cell>
          <cell r="BX89">
            <v>-5.1008430263579152E-2</v>
          </cell>
          <cell r="BY89">
            <v>-0.14765045880547301</v>
          </cell>
          <cell r="BZ89">
            <v>-0.10084671802359724</v>
          </cell>
          <cell r="CA89">
            <v>-4.492084071362068E-2</v>
          </cell>
          <cell r="CB89">
            <v>-7.5852741185407413E-2</v>
          </cell>
          <cell r="CC89">
            <v>-7.2585179354548446E-2</v>
          </cell>
          <cell r="CD89">
            <v>-5.4211443786756908E-3</v>
          </cell>
          <cell r="CE89">
            <v>-4.9977367858626276E-2</v>
          </cell>
          <cell r="CF89">
            <v>-2.6767107049308847E-2</v>
          </cell>
          <cell r="CG89">
            <v>3.2278113033539224E-3</v>
          </cell>
          <cell r="CH89">
            <v>-2.4633727392139093E-2</v>
          </cell>
          <cell r="CI89">
            <v>0.36092064714946104</v>
          </cell>
          <cell r="CJ89">
            <v>7.9970725046294877E-2</v>
          </cell>
          <cell r="CK89">
            <v>0.74376755790424931</v>
          </cell>
          <cell r="CL89">
            <v>0.50211830535571544</v>
          </cell>
          <cell r="CM89">
            <v>0.59147225790411451</v>
          </cell>
          <cell r="CN89">
            <v>1.61041596633138E-2</v>
          </cell>
          <cell r="CO89">
            <v>0.42148881973570518</v>
          </cell>
          <cell r="CP89">
            <v>-0.19345607021056999</v>
          </cell>
          <cell r="CQ89">
            <v>-4.888428178730797E-2</v>
          </cell>
          <cell r="CR89">
            <v>-7.1739086423435405E-2</v>
          </cell>
          <cell r="CS89">
            <v>-8.7203590615991811E-3</v>
          </cell>
          <cell r="CT89">
            <v>-8.6334057573650869E-2</v>
          </cell>
          <cell r="CU89">
            <v>5.6013994192722905E-3</v>
          </cell>
          <cell r="CV89">
            <v>-0.27419589714437442</v>
          </cell>
          <cell r="CW89">
            <v>-0.27524863004021149</v>
          </cell>
          <cell r="CX89">
            <v>-0.27607536281849676</v>
          </cell>
          <cell r="CY89">
            <v>-0.20477995023101503</v>
          </cell>
          <cell r="CZ89">
            <v>-0.28703491029752293</v>
          </cell>
          <cell r="DA89">
            <v>-1.2931019033250113E-2</v>
          </cell>
          <cell r="DB89">
            <v>-1.3228194200932242E-2</v>
          </cell>
          <cell r="DC89">
            <v>-1.3485056618200097E-2</v>
          </cell>
          <cell r="DD89">
            <v>-0.10002456554094696</v>
          </cell>
          <cell r="DE89">
            <v>-1.365254563090057E-2</v>
          </cell>
          <cell r="DF89">
            <v>-1.3768540651305061E-2</v>
          </cell>
          <cell r="DG89">
            <v>-1.3979218854405895E-2</v>
          </cell>
          <cell r="DH89">
            <v>-1.4157687305595967E-2</v>
          </cell>
          <cell r="DI89">
            <v>-1.3888759752921476E-2</v>
          </cell>
        </row>
        <row r="90">
          <cell r="B90" t="str">
            <v>Pretax income</v>
          </cell>
          <cell r="D90">
            <v>-0.94034276032842445</v>
          </cell>
          <cell r="E90">
            <v>1.3815401419989124</v>
          </cell>
          <cell r="F90">
            <v>0.81833480925348923</v>
          </cell>
          <cell r="G90">
            <v>0.42360401019040106</v>
          </cell>
          <cell r="H90">
            <v>0.44811212105104592</v>
          </cell>
          <cell r="I90">
            <v>0.27552918145112093</v>
          </cell>
          <cell r="J90">
            <v>0.32769618893226693</v>
          </cell>
          <cell r="K90">
            <v>0.28825743618643052</v>
          </cell>
          <cell r="L90">
            <v>0.26341912073983842</v>
          </cell>
          <cell r="M90" t="str">
            <v>NA</v>
          </cell>
          <cell r="N90" t="str">
            <v>NA</v>
          </cell>
          <cell r="O90" t="str">
            <v>NA</v>
          </cell>
          <cell r="P90" t="str">
            <v>NA</v>
          </cell>
          <cell r="Q90">
            <v>9.4877906950936897E-2</v>
          </cell>
          <cell r="R90">
            <v>0.1079033619217713</v>
          </cell>
          <cell r="S90">
            <v>5.8178623271449625E-2</v>
          </cell>
          <cell r="T90">
            <v>0.13076054925073621</v>
          </cell>
          <cell r="U90">
            <v>0.2048529136218844</v>
          </cell>
          <cell r="V90">
            <v>0.11896064511682369</v>
          </cell>
          <cell r="W90">
            <v>0.17131671715292995</v>
          </cell>
          <cell r="X90">
            <v>-3.415039168261047E-2</v>
          </cell>
          <cell r="Y90">
            <v>0.23590895228589592</v>
          </cell>
          <cell r="Z90">
            <v>0.3282117475078925</v>
          </cell>
          <cell r="AA90">
            <v>0.16288700882262419</v>
          </cell>
          <cell r="AB90">
            <v>0.25634433320226235</v>
          </cell>
          <cell r="AC90">
            <v>0.41985921634585388</v>
          </cell>
          <cell r="AD90">
            <v>0.23406164475750413</v>
          </cell>
          <cell r="AE90">
            <v>0.16628418883476881</v>
          </cell>
          <cell r="AF90">
            <v>0.26708126785708619</v>
          </cell>
          <cell r="AG90">
            <v>0.18819818952234146</v>
          </cell>
          <cell r="AH90">
            <v>0.13238274908963232</v>
          </cell>
          <cell r="AI90">
            <v>0.14159637897186061</v>
          </cell>
          <cell r="AJ90">
            <v>0.10145567714085035</v>
          </cell>
          <cell r="AK90">
            <v>0.13870180071851812</v>
          </cell>
          <cell r="AL90">
            <v>0.18218750633193515</v>
          </cell>
          <cell r="AM90">
            <v>0.14884697641260924</v>
          </cell>
          <cell r="AN90">
            <v>0.16043406606530142</v>
          </cell>
          <cell r="AO90">
            <v>0.10733165627620278</v>
          </cell>
          <cell r="AP90">
            <v>0.14926027420925636</v>
          </cell>
          <cell r="AQ90">
            <v>9.8663970040021365E-2</v>
          </cell>
          <cell r="AR90">
            <v>9.5736572665772623E-2</v>
          </cell>
          <cell r="AS90">
            <v>-2.9865389629101124E-2</v>
          </cell>
          <cell r="AT90">
            <v>0.1053155763342446</v>
          </cell>
          <cell r="AU90">
            <v>6.4166209441634425E-2</v>
          </cell>
          <cell r="AW90">
            <v>0.14884697641260924</v>
          </cell>
          <cell r="AX90">
            <v>0.16043406606530142</v>
          </cell>
          <cell r="AY90">
            <v>0.10733165627620278</v>
          </cell>
          <cell r="AZ90">
            <v>9.8663970040021365E-2</v>
          </cell>
          <cell r="BA90">
            <v>9.5736572665772623E-2</v>
          </cell>
          <cell r="BB90">
            <v>9.5736572665772623E-2</v>
          </cell>
          <cell r="BC90">
            <v>-2.9865389629101124E-2</v>
          </cell>
          <cell r="BD90">
            <v>0.1053155763342446</v>
          </cell>
          <cell r="BE90">
            <v>-2.8455094304300599E-2</v>
          </cell>
          <cell r="BF90">
            <v>3.4923093051614229E-2</v>
          </cell>
          <cell r="BG90">
            <v>-0.12783847834784989</v>
          </cell>
          <cell r="BH90">
            <v>-0.10338682187537607</v>
          </cell>
          <cell r="BI90">
            <v>-0.22420636398162053</v>
          </cell>
          <cell r="BJ90">
            <v>-1.5492477158501532</v>
          </cell>
          <cell r="BK90">
            <v>-0.45932357911984578</v>
          </cell>
          <cell r="BL90">
            <v>-0.24216053695822704</v>
          </cell>
          <cell r="BM90">
            <v>-0.82969979965610197</v>
          </cell>
          <cell r="BN90">
            <v>-0.70371188051334777</v>
          </cell>
          <cell r="BO90">
            <v>-1.401733639327009</v>
          </cell>
          <cell r="BP90">
            <v>-0.38430565644546788</v>
          </cell>
          <cell r="BQ90">
            <v>1.4646755327074996</v>
          </cell>
          <cell r="BR90">
            <v>0.86869528970403875</v>
          </cell>
          <cell r="BS90">
            <v>-0.43055690543298886</v>
          </cell>
          <cell r="BT90">
            <v>0.88461958301495458</v>
          </cell>
          <cell r="BU90">
            <v>0.99856927027445064</v>
          </cell>
          <cell r="BV90">
            <v>-0.68205571950560584</v>
          </cell>
          <cell r="BW90">
            <v>0.48506704339851692</v>
          </cell>
          <cell r="BX90">
            <v>1.4913238891733678</v>
          </cell>
          <cell r="BY90">
            <v>8.0490394825752043E-2</v>
          </cell>
          <cell r="BZ90">
            <v>-0.34872557871174359</v>
          </cell>
          <cell r="CA90">
            <v>-1.2169758625197979E-2</v>
          </cell>
          <cell r="CB90">
            <v>0.18173169998998628</v>
          </cell>
          <cell r="CC90">
            <v>0.36439826444393608</v>
          </cell>
          <cell r="CD90">
            <v>0.29529697662783438</v>
          </cell>
          <cell r="CE90">
            <v>0.17368906753071411</v>
          </cell>
          <cell r="CF90">
            <v>0.18160709344434212</v>
          </cell>
          <cell r="CG90">
            <v>0.25231968590676135</v>
          </cell>
          <cell r="CH90">
            <v>0.20660451570790106</v>
          </cell>
          <cell r="CI90">
            <v>-0.24622706580218134</v>
          </cell>
          <cell r="CJ90">
            <v>9.5945317878273206E-2</v>
          </cell>
          <cell r="CK90">
            <v>-0.27996008715661558</v>
          </cell>
          <cell r="CL90">
            <v>-0.17187870039358177</v>
          </cell>
          <cell r="CM90">
            <v>-2.4413588381350437E-2</v>
          </cell>
          <cell r="CN90">
            <v>0.68658051921531538</v>
          </cell>
          <cell r="CO90">
            <v>-2.226125920162958E-2</v>
          </cell>
          <cell r="CP90">
            <v>0.51415704649949667</v>
          </cell>
          <cell r="CQ90">
            <v>0.34450215604499967</v>
          </cell>
          <cell r="CR90">
            <v>9.1957278935045128E-2</v>
          </cell>
          <cell r="CS90">
            <v>-0.43151273861236172</v>
          </cell>
          <cell r="CT90">
            <v>9.248187923126161E-2</v>
          </cell>
          <cell r="CU90">
            <v>0.11258168637271249</v>
          </cell>
          <cell r="CV90">
            <v>0.30568934359350886</v>
          </cell>
          <cell r="CW90">
            <v>0.45416868869123705</v>
          </cell>
          <cell r="CX90">
            <v>0.58513596899989384</v>
          </cell>
          <cell r="CY90">
            <v>0.3217060020450635</v>
          </cell>
          <cell r="CZ90">
            <v>0.30221796311474636</v>
          </cell>
          <cell r="DA90">
            <v>0.11262081820809144</v>
          </cell>
          <cell r="DB90">
            <v>0.14977716431622001</v>
          </cell>
          <cell r="DC90">
            <v>0.22832494728682251</v>
          </cell>
          <cell r="DD90">
            <v>0.19470817887647884</v>
          </cell>
          <cell r="DE90">
            <v>0.13565788742599394</v>
          </cell>
          <cell r="DF90">
            <v>0.12605117690986889</v>
          </cell>
          <cell r="DG90">
            <v>0.15266188478985909</v>
          </cell>
          <cell r="DH90">
            <v>0.14341666720614854</v>
          </cell>
          <cell r="DI90">
            <v>0.13867686075568586</v>
          </cell>
        </row>
        <row r="91">
          <cell r="B91" t="str">
            <v>Net income from continuing ops</v>
          </cell>
          <cell r="D91">
            <v>-0.96973804248664153</v>
          </cell>
          <cell r="E91">
            <v>1.5820413436692609</v>
          </cell>
          <cell r="F91">
            <v>0.89125177216245333</v>
          </cell>
          <cell r="G91">
            <v>0.42186259811270932</v>
          </cell>
          <cell r="H91">
            <v>0.52228252442239009</v>
          </cell>
          <cell r="I91">
            <v>0.29020494642057026</v>
          </cell>
          <cell r="J91">
            <v>0.32772260030632538</v>
          </cell>
          <cell r="K91">
            <v>0.28822871821706397</v>
          </cell>
          <cell r="L91">
            <v>0.26330754602019746</v>
          </cell>
          <cell r="M91" t="str">
            <v>NA</v>
          </cell>
          <cell r="N91" t="str">
            <v>NA</v>
          </cell>
          <cell r="O91" t="str">
            <v>NA</v>
          </cell>
          <cell r="P91" t="str">
            <v>NA</v>
          </cell>
          <cell r="Q91">
            <v>9.5005992224723723E-2</v>
          </cell>
          <cell r="R91">
            <v>0.10780164755289978</v>
          </cell>
          <cell r="S91">
            <v>5.8272370930891215E-2</v>
          </cell>
          <cell r="T91">
            <v>0.13071187140387486</v>
          </cell>
          <cell r="U91">
            <v>0.20474310738296353</v>
          </cell>
          <cell r="V91">
            <v>0.11893623410857823</v>
          </cell>
          <cell r="W91">
            <v>0.17164353201913118</v>
          </cell>
          <cell r="X91">
            <v>-3.4602967100441306E-2</v>
          </cell>
          <cell r="Y91">
            <v>0.23537868242703497</v>
          </cell>
          <cell r="Z91">
            <v>0.32911813643926813</v>
          </cell>
          <cell r="AA91">
            <v>0.16288834415836262</v>
          </cell>
          <cell r="AB91">
            <v>0.25606053063865786</v>
          </cell>
          <cell r="AC91">
            <v>0.42051702913418043</v>
          </cell>
          <cell r="AD91">
            <v>0.237116258450627</v>
          </cell>
          <cell r="AE91">
            <v>0.17037094102692385</v>
          </cell>
          <cell r="AF91">
            <v>0.26909189754741392</v>
          </cell>
          <cell r="AG91">
            <v>0.20037252803867855</v>
          </cell>
          <cell r="AH91">
            <v>0.14287364954647774</v>
          </cell>
          <cell r="AI91">
            <v>0.15030981709593094</v>
          </cell>
          <cell r="AJ91">
            <v>0.16865784623486224</v>
          </cell>
          <cell r="AK91">
            <v>0.16294530097597626</v>
          </cell>
          <cell r="AL91">
            <v>0.19599524579880478</v>
          </cell>
          <cell r="AM91">
            <v>0.16103022950156776</v>
          </cell>
          <cell r="AN91">
            <v>0.17939565431842452</v>
          </cell>
          <cell r="AO91">
            <v>6.4970359209764794E-2</v>
          </cell>
          <cell r="AP91">
            <v>0.14960123712056661</v>
          </cell>
          <cell r="AQ91">
            <v>9.61063339360404E-2</v>
          </cell>
          <cell r="AR91">
            <v>9.5700446282791951E-2</v>
          </cell>
          <cell r="AS91">
            <v>-3.5801151183650237E-2</v>
          </cell>
          <cell r="AT91">
            <v>0.16193095423834225</v>
          </cell>
          <cell r="AU91">
            <v>7.481220621797724E-2</v>
          </cell>
          <cell r="AW91">
            <v>0.16103022950156776</v>
          </cell>
          <cell r="AX91">
            <v>0.17939565431842452</v>
          </cell>
          <cell r="AY91">
            <v>6.4970359209764794E-2</v>
          </cell>
          <cell r="AZ91">
            <v>9.61063339360404E-2</v>
          </cell>
          <cell r="BA91">
            <v>9.5700446282791951E-2</v>
          </cell>
          <cell r="BB91">
            <v>9.5700446282791951E-2</v>
          </cell>
          <cell r="BC91">
            <v>-3.5801151183650237E-2</v>
          </cell>
          <cell r="BD91">
            <v>0.16193095423834225</v>
          </cell>
          <cell r="BE91">
            <v>-3.9589996726017596E-2</v>
          </cell>
          <cell r="BF91">
            <v>4.3347997797370308E-2</v>
          </cell>
          <cell r="BG91">
            <v>-0.13153921042697292</v>
          </cell>
          <cell r="BH91">
            <v>-0.10715671726971876</v>
          </cell>
          <cell r="BI91">
            <v>-0.27361797036800883</v>
          </cell>
          <cell r="BJ91">
            <v>-1.5553166382588173</v>
          </cell>
          <cell r="BK91">
            <v>-0.46903694455479228</v>
          </cell>
          <cell r="BL91">
            <v>-0.24693151531097024</v>
          </cell>
          <cell r="BM91">
            <v>-0.82997110787246464</v>
          </cell>
          <cell r="BN91">
            <v>-0.6897372832234121</v>
          </cell>
          <cell r="BO91">
            <v>-1.4480804646550505</v>
          </cell>
          <cell r="BP91">
            <v>-0.36983892861341683</v>
          </cell>
          <cell r="BQ91">
            <v>1.4669319804356484</v>
          </cell>
          <cell r="BR91">
            <v>1.0532330827067584</v>
          </cell>
          <cell r="BS91">
            <v>-0.24185811663721579</v>
          </cell>
          <cell r="BT91">
            <v>0.80719780798819674</v>
          </cell>
          <cell r="BU91">
            <v>1.0270868492244483</v>
          </cell>
          <cell r="BV91">
            <v>-0.66702994926358339</v>
          </cell>
          <cell r="BW91">
            <v>0.43906547531858697</v>
          </cell>
          <cell r="BX91">
            <v>1.0842490842491013</v>
          </cell>
          <cell r="BY91">
            <v>6.7411143831817233E-2</v>
          </cell>
          <cell r="BZ91">
            <v>-0.32527151630771534</v>
          </cell>
          <cell r="CA91">
            <v>-1.21678347541474E-2</v>
          </cell>
          <cell r="CB91">
            <v>0.16323985953483633</v>
          </cell>
          <cell r="CC91">
            <v>0.27432497204026074</v>
          </cell>
          <cell r="CD91">
            <v>0.26627332076812027</v>
          </cell>
          <cell r="CE91">
            <v>0.14936848566770067</v>
          </cell>
          <cell r="CF91">
            <v>0.17392687994908695</v>
          </cell>
          <cell r="CG91">
            <v>0.24507251766456051</v>
          </cell>
          <cell r="CH91">
            <v>0.2463390170511528</v>
          </cell>
          <cell r="CI91">
            <v>-0.18571089587333356</v>
          </cell>
          <cell r="CJ91">
            <v>0.11711235427714617</v>
          </cell>
          <cell r="CK91">
            <v>-0.26660819645989231</v>
          </cell>
          <cell r="CL91">
            <v>-0.15417457305502968</v>
          </cell>
          <cell r="CM91">
            <v>-5.7540640592292913E-3</v>
          </cell>
          <cell r="CN91">
            <v>0.58688380835511023</v>
          </cell>
          <cell r="CO91">
            <v>-1.7511807155811909E-2</v>
          </cell>
          <cell r="CP91">
            <v>0.53663943574768513</v>
          </cell>
          <cell r="CQ91">
            <v>0.3535543161334338</v>
          </cell>
          <cell r="CR91">
            <v>2.5678402079307272E-2</v>
          </cell>
          <cell r="CS91">
            <v>-0.42276678074485963</v>
          </cell>
          <cell r="CT91">
            <v>8.6731023247124783E-2</v>
          </cell>
          <cell r="CU91">
            <v>0.11258168637271249</v>
          </cell>
          <cell r="CV91">
            <v>0.30568934359350886</v>
          </cell>
          <cell r="CW91">
            <v>0.45416868869123705</v>
          </cell>
          <cell r="CX91">
            <v>0.58513596899989384</v>
          </cell>
          <cell r="CY91">
            <v>0.32170600204506306</v>
          </cell>
          <cell r="CZ91">
            <v>0.30221796311474636</v>
          </cell>
          <cell r="DA91">
            <v>0.11262081820809144</v>
          </cell>
          <cell r="DB91">
            <v>0.14977716431621979</v>
          </cell>
          <cell r="DC91">
            <v>0.22832494728682251</v>
          </cell>
          <cell r="DD91">
            <v>0.19470817887647973</v>
          </cell>
          <cell r="DE91">
            <v>0.13565788742599394</v>
          </cell>
          <cell r="DF91">
            <v>0.12605117690986889</v>
          </cell>
          <cell r="DG91">
            <v>0.15266188478985909</v>
          </cell>
          <cell r="DH91">
            <v>0.14341666720614854</v>
          </cell>
          <cell r="DI91">
            <v>0.13867686075568519</v>
          </cell>
        </row>
        <row r="92">
          <cell r="B92" t="str">
            <v>Net income as reported</v>
          </cell>
          <cell r="D92">
            <v>-0.96973804248664153</v>
          </cell>
          <cell r="E92">
            <v>1.5820413436692609</v>
          </cell>
          <cell r="F92">
            <v>0.89125177216245333</v>
          </cell>
          <cell r="G92">
            <v>0.42186259811270932</v>
          </cell>
          <cell r="H92">
            <v>0.44320049620096058</v>
          </cell>
          <cell r="I92">
            <v>0.36090338662541055</v>
          </cell>
          <cell r="J92">
            <v>0.32772260030632538</v>
          </cell>
          <cell r="K92">
            <v>0.28822871821706397</v>
          </cell>
          <cell r="L92">
            <v>0.26330754602019746</v>
          </cell>
          <cell r="M92" t="str">
            <v>NA</v>
          </cell>
          <cell r="N92" t="str">
            <v>NA</v>
          </cell>
          <cell r="O92" t="str">
            <v>NA</v>
          </cell>
          <cell r="P92" t="str">
            <v>NA</v>
          </cell>
          <cell r="Q92">
            <v>9.5005992224723723E-2</v>
          </cell>
          <cell r="R92">
            <v>0.10780164755289978</v>
          </cell>
          <cell r="S92">
            <v>5.8272370930891215E-2</v>
          </cell>
          <cell r="T92">
            <v>0.13071187140387486</v>
          </cell>
          <cell r="U92">
            <v>0.20474310738296353</v>
          </cell>
          <cell r="V92">
            <v>0.11893623410857823</v>
          </cell>
          <cell r="W92">
            <v>0.17164353201913118</v>
          </cell>
          <cell r="X92">
            <v>-3.4602967100441306E-2</v>
          </cell>
          <cell r="Y92">
            <v>0.23537868242703497</v>
          </cell>
          <cell r="Z92">
            <v>0.32911813643926813</v>
          </cell>
          <cell r="AA92">
            <v>0.16288834415836262</v>
          </cell>
          <cell r="AB92">
            <v>0.25606053063865786</v>
          </cell>
          <cell r="AC92">
            <v>0.42051702913418043</v>
          </cell>
          <cell r="AD92">
            <v>0.237116258450627</v>
          </cell>
          <cell r="AE92">
            <v>0.17037094102692385</v>
          </cell>
          <cell r="AF92">
            <v>0.26909189754741392</v>
          </cell>
          <cell r="AG92">
            <v>0.20037252803867855</v>
          </cell>
          <cell r="AH92">
            <v>0.14287364954647774</v>
          </cell>
          <cell r="AI92">
            <v>0.15030981709593094</v>
          </cell>
          <cell r="AJ92">
            <v>0.16865784623486224</v>
          </cell>
          <cell r="AK92">
            <v>0.16294530097597626</v>
          </cell>
          <cell r="AL92">
            <v>0.19599524579880478</v>
          </cell>
          <cell r="AM92">
            <v>0.16103022950156776</v>
          </cell>
          <cell r="AN92">
            <v>0.17939565431842452</v>
          </cell>
          <cell r="AO92">
            <v>6.4970359209764794E-2</v>
          </cell>
          <cell r="AP92">
            <v>0.14960123712056661</v>
          </cell>
          <cell r="AQ92">
            <v>9.61063339360404E-2</v>
          </cell>
          <cell r="AR92">
            <v>9.5700446282791951E-2</v>
          </cell>
          <cell r="AS92">
            <v>-3.5801151183650237E-2</v>
          </cell>
          <cell r="AT92">
            <v>0.17036664859647588</v>
          </cell>
          <cell r="AU92">
            <v>7.6740776566963875E-2</v>
          </cell>
          <cell r="AW92">
            <v>0.16103022950156776</v>
          </cell>
          <cell r="AX92">
            <v>0.17939565431842452</v>
          </cell>
          <cell r="AY92">
            <v>6.4970359209764794E-2</v>
          </cell>
          <cell r="AZ92">
            <v>9.61063339360404E-2</v>
          </cell>
          <cell r="BA92">
            <v>9.5700446282791951E-2</v>
          </cell>
          <cell r="BB92">
            <v>9.5700446282791951E-2</v>
          </cell>
          <cell r="BC92">
            <v>-3.5801151183650237E-2</v>
          </cell>
          <cell r="BD92">
            <v>0.17036664859647588</v>
          </cell>
          <cell r="BE92">
            <v>-4.3720250837383401E-2</v>
          </cell>
          <cell r="BF92">
            <v>4.4265760351474004E-2</v>
          </cell>
          <cell r="BG92">
            <v>-0.12706880451411595</v>
          </cell>
          <cell r="BH92">
            <v>-0.10533044173039685</v>
          </cell>
          <cell r="BI92">
            <v>-0.15414162411315335</v>
          </cell>
          <cell r="BJ92">
            <v>-1.7418556266624527</v>
          </cell>
          <cell r="BK92">
            <v>-0.47612338048932579</v>
          </cell>
          <cell r="BL92">
            <v>-0.25788940606116151</v>
          </cell>
          <cell r="BM92">
            <v>-0.84533438799724336</v>
          </cell>
          <cell r="BN92">
            <v>-0.59675178972112497</v>
          </cell>
          <cell r="BO92">
            <v>-1.2250701125350567</v>
          </cell>
          <cell r="BP92">
            <v>-0.34949428260645932</v>
          </cell>
          <cell r="BQ92">
            <v>1.0652660634872011</v>
          </cell>
          <cell r="BR92">
            <v>0.46679864719953201</v>
          </cell>
          <cell r="BS92">
            <v>-0.63659247482777137</v>
          </cell>
          <cell r="BT92">
            <v>0.56175078864353378</v>
          </cell>
          <cell r="BU92">
            <v>0.52433758995049673</v>
          </cell>
          <cell r="BV92">
            <v>-0.60966319165998439</v>
          </cell>
          <cell r="BW92">
            <v>1.2099876279383621</v>
          </cell>
          <cell r="BX92">
            <v>1.909314619030289</v>
          </cell>
          <cell r="BY92">
            <v>1.0276220774629996</v>
          </cell>
          <cell r="BZ92">
            <v>-0.10528671145481749</v>
          </cell>
          <cell r="CA92">
            <v>1.6169225208772842E-2</v>
          </cell>
          <cell r="CB92">
            <v>0.16323985953483633</v>
          </cell>
          <cell r="CC92">
            <v>0.24933429403840601</v>
          </cell>
          <cell r="CD92">
            <v>-0.17226608223544759</v>
          </cell>
          <cell r="CE92">
            <v>5.0670668106215233E-2</v>
          </cell>
          <cell r="CF92">
            <v>0.16273236114491629</v>
          </cell>
          <cell r="CG92">
            <v>0.2104434187211528</v>
          </cell>
          <cell r="CH92">
            <v>0.25273319959879581</v>
          </cell>
          <cell r="CI92">
            <v>9.8838608737510159E-2</v>
          </cell>
          <cell r="CJ92">
            <v>0.18390344154939564</v>
          </cell>
          <cell r="CK92">
            <v>-0.28200669757856534</v>
          </cell>
          <cell r="CL92">
            <v>-0.18457340104458586</v>
          </cell>
          <cell r="CM92">
            <v>-3.8631677975938916E-2</v>
          </cell>
          <cell r="CN92">
            <v>0.64019851586179732</v>
          </cell>
          <cell r="CO92">
            <v>-3.078734830065577E-2</v>
          </cell>
          <cell r="CP92">
            <v>0.58470679633760381</v>
          </cell>
          <cell r="CQ92">
            <v>0.44418125737986802</v>
          </cell>
          <cell r="CR92">
            <v>5.5341049656565833E-2</v>
          </cell>
          <cell r="CS92">
            <v>-0.42276678074485963</v>
          </cell>
          <cell r="CT92">
            <v>0.11864895513872464</v>
          </cell>
          <cell r="CU92">
            <v>0.11258168637271249</v>
          </cell>
          <cell r="CV92">
            <v>0.30568934359350886</v>
          </cell>
          <cell r="CW92">
            <v>0.45416868869123705</v>
          </cell>
          <cell r="CX92">
            <v>0.58513596899989384</v>
          </cell>
          <cell r="CY92">
            <v>0.32170600204506306</v>
          </cell>
          <cell r="CZ92">
            <v>0.30221796311474636</v>
          </cell>
          <cell r="DA92">
            <v>0.11262081820809144</v>
          </cell>
          <cell r="DB92">
            <v>0.14977716431621979</v>
          </cell>
          <cell r="DC92">
            <v>0.22832494728682251</v>
          </cell>
          <cell r="DD92">
            <v>0.19470817887647973</v>
          </cell>
          <cell r="DE92">
            <v>0.13565788742599394</v>
          </cell>
          <cell r="DF92">
            <v>0.12605117690986889</v>
          </cell>
          <cell r="DG92">
            <v>0.15266188478985909</v>
          </cell>
          <cell r="DH92">
            <v>0.14341666720614854</v>
          </cell>
          <cell r="DI92">
            <v>0.13867686075568519</v>
          </cell>
        </row>
        <row r="93">
          <cell r="B93" t="str">
            <v>Operating net income</v>
          </cell>
          <cell r="D93">
            <v>-0.96973804248664153</v>
          </cell>
          <cell r="E93">
            <v>1.5820413436692609</v>
          </cell>
          <cell r="F93">
            <v>0.82478525560837102</v>
          </cell>
          <cell r="G93">
            <v>0.47365294090763799</v>
          </cell>
          <cell r="H93">
            <v>0.52228252442239009</v>
          </cell>
          <cell r="I93">
            <v>0.29020494642057026</v>
          </cell>
          <cell r="J93">
            <v>0.32772260030632538</v>
          </cell>
          <cell r="K93">
            <v>0.28822871821706397</v>
          </cell>
          <cell r="L93">
            <v>0.26330754602019746</v>
          </cell>
          <cell r="M93" t="str">
            <v>NA</v>
          </cell>
          <cell r="N93" t="str">
            <v>NA</v>
          </cell>
          <cell r="O93" t="str">
            <v>NA</v>
          </cell>
          <cell r="P93" t="str">
            <v>NA</v>
          </cell>
          <cell r="Q93">
            <v>9.5005992224723723E-2</v>
          </cell>
          <cell r="R93">
            <v>0.10780164755289978</v>
          </cell>
          <cell r="S93">
            <v>5.8272370930891215E-2</v>
          </cell>
          <cell r="T93">
            <v>0.13071187140387486</v>
          </cell>
          <cell r="U93">
            <v>0.20474310738296353</v>
          </cell>
          <cell r="V93">
            <v>0.11893623410857823</v>
          </cell>
          <cell r="W93">
            <v>0.17164353201913118</v>
          </cell>
          <cell r="X93">
            <v>0.16986659695976547</v>
          </cell>
          <cell r="Y93">
            <v>0.23537868242703497</v>
          </cell>
          <cell r="Z93">
            <v>0.32911813643926813</v>
          </cell>
          <cell r="AA93">
            <v>0.22445713754470353</v>
          </cell>
          <cell r="AB93">
            <v>0.25606053063865786</v>
          </cell>
          <cell r="AC93">
            <v>0.17223872249478234</v>
          </cell>
          <cell r="AD93">
            <v>0.23048505670693498</v>
          </cell>
          <cell r="AE93">
            <v>0.15785216285967296</v>
          </cell>
          <cell r="AF93">
            <v>0.20036402220726002</v>
          </cell>
          <cell r="AG93">
            <v>0.1821028018864177</v>
          </cell>
          <cell r="AH93">
            <v>0.12752036512796705</v>
          </cell>
          <cell r="AI93">
            <v>0.13968115767983624</v>
          </cell>
          <cell r="AJ93">
            <v>0.21384175981968712</v>
          </cell>
          <cell r="AK93">
            <v>0.16304330096593134</v>
          </cell>
          <cell r="AL93">
            <v>0.19537012203298887</v>
          </cell>
          <cell r="AM93">
            <v>0.15897008902837451</v>
          </cell>
          <cell r="AN93">
            <v>0.17599873552772038</v>
          </cell>
          <cell r="AO93">
            <v>1.4474536988761777E-2</v>
          </cell>
          <cell r="AP93">
            <v>0.13426778734689693</v>
          </cell>
          <cell r="AQ93">
            <v>0.10434575310961924</v>
          </cell>
          <cell r="AR93">
            <v>0.10265819287095979</v>
          </cell>
          <cell r="AS93">
            <v>8.4383365254303566E-2</v>
          </cell>
          <cell r="AT93">
            <v>4.2820478184520505E-2</v>
          </cell>
          <cell r="AU93">
            <v>8.4383526248927865E-2</v>
          </cell>
          <cell r="AW93">
            <v>0.15897008902837451</v>
          </cell>
          <cell r="AX93">
            <v>0.17599873552772038</v>
          </cell>
          <cell r="AY93">
            <v>1.4474536988761777E-2</v>
          </cell>
          <cell r="AZ93">
            <v>0.10434575310961924</v>
          </cell>
          <cell r="BA93">
            <v>0.10265819287095979</v>
          </cell>
          <cell r="BB93">
            <v>0.10265819287095979</v>
          </cell>
          <cell r="BC93">
            <v>8.4383365254303566E-2</v>
          </cell>
          <cell r="BD93">
            <v>4.2820478184520505E-2</v>
          </cell>
          <cell r="BE93">
            <v>-7.5486644555819993E-2</v>
          </cell>
          <cell r="BF93">
            <v>4.2242364130450794E-2</v>
          </cell>
          <cell r="BG93">
            <v>-0.10224231428485464</v>
          </cell>
          <cell r="BH93">
            <v>-0.20318745674829897</v>
          </cell>
          <cell r="BI93">
            <v>-0.14728756476683791</v>
          </cell>
          <cell r="BJ93">
            <v>-1.7049181392572925</v>
          </cell>
          <cell r="BK93">
            <v>-0.4771469026387325</v>
          </cell>
          <cell r="BL93">
            <v>-0.26621462169830479</v>
          </cell>
          <cell r="BM93">
            <v>-0.85105130981080401</v>
          </cell>
          <cell r="BN93">
            <v>-0.69478480754914285</v>
          </cell>
          <cell r="BO93">
            <v>-1.3754040377654513</v>
          </cell>
          <cell r="BP93">
            <v>-0.35672974397716195</v>
          </cell>
          <cell r="BQ93">
            <v>-0.43587965901342229</v>
          </cell>
          <cell r="BR93">
            <v>1.1616711955783954</v>
          </cell>
          <cell r="BS93">
            <v>-0.17072020136660759</v>
          </cell>
          <cell r="BT93">
            <v>-0.14480385463696777</v>
          </cell>
          <cell r="BU93">
            <v>-0.18459102159312324</v>
          </cell>
          <cell r="BV93">
            <v>5.3946161730593634E-3</v>
          </cell>
          <cell r="BW93">
            <v>0.26289303112041451</v>
          </cell>
          <cell r="BX93">
            <v>0.51674468851279576</v>
          </cell>
          <cell r="BY93">
            <v>0.88189597620924864</v>
          </cell>
          <cell r="BZ93">
            <v>0.31425956318646087</v>
          </cell>
          <cell r="CA93">
            <v>0.23968449857809704</v>
          </cell>
          <cell r="CB93">
            <v>0.26248109914408935</v>
          </cell>
          <cell r="CC93">
            <v>0.40801497022055533</v>
          </cell>
          <cell r="CD93">
            <v>0.3346572771113554</v>
          </cell>
          <cell r="CE93">
            <v>0.30303608442908692</v>
          </cell>
          <cell r="CF93">
            <v>0.21372251080898241</v>
          </cell>
          <cell r="CG93">
            <v>0.2812778577709607</v>
          </cell>
          <cell r="CH93">
            <v>0.22757447487814941</v>
          </cell>
          <cell r="CI93">
            <v>0.57163022692846632</v>
          </cell>
          <cell r="CJ93">
            <v>0.32418079109573239</v>
          </cell>
          <cell r="CK93">
            <v>9.7948445299165687E-2</v>
          </cell>
          <cell r="CL93">
            <v>5.6498356987074949E-2</v>
          </cell>
          <cell r="CM93">
            <v>3.3785287624469751E-2</v>
          </cell>
          <cell r="CN93">
            <v>-0.583627656010139</v>
          </cell>
          <cell r="CO93">
            <v>-0.1304778095473017</v>
          </cell>
          <cell r="CP93">
            <v>2.9955734924921762E-2</v>
          </cell>
          <cell r="CQ93">
            <v>8.0256269152187754E-2</v>
          </cell>
          <cell r="CR93">
            <v>-3.8089880329623016E-2</v>
          </cell>
          <cell r="CS93">
            <v>9.0672095603507863E-3</v>
          </cell>
          <cell r="CT93">
            <v>2.4930404072801782E-2</v>
          </cell>
          <cell r="CU93">
            <v>0.18515379725518888</v>
          </cell>
          <cell r="CV93">
            <v>0.18217361918902641</v>
          </cell>
          <cell r="CW93">
            <v>0.30966963310449613</v>
          </cell>
          <cell r="CX93">
            <v>0.39281210194078353</v>
          </cell>
          <cell r="CY93">
            <v>0.24195176554875109</v>
          </cell>
          <cell r="CZ93">
            <v>0.19007357048032958</v>
          </cell>
          <cell r="DA93">
            <v>0.19466522807157083</v>
          </cell>
          <cell r="DB93">
            <v>0.2574695232628379</v>
          </cell>
          <cell r="DC93">
            <v>0.41881292026132222</v>
          </cell>
          <cell r="DD93">
            <v>0.2439541612947187</v>
          </cell>
          <cell r="DE93">
            <v>0.17170531278333057</v>
          </cell>
          <cell r="DF93">
            <v>0.16463179100511405</v>
          </cell>
          <cell r="DG93">
            <v>0.2006479616177812</v>
          </cell>
          <cell r="DH93">
            <v>0.20660553038866647</v>
          </cell>
          <cell r="DI93">
            <v>0.18308280567799584</v>
          </cell>
        </row>
        <row r="94">
          <cell r="B94" t="str">
            <v>Operating EPS - Fully Diluted</v>
          </cell>
          <cell r="D94">
            <v>-1</v>
          </cell>
          <cell r="E94" t="str">
            <v>NM</v>
          </cell>
          <cell r="F94">
            <v>0.46476240527839874</v>
          </cell>
          <cell r="G94">
            <v>0.38291256715028976</v>
          </cell>
          <cell r="H94">
            <v>0.44775480811117507</v>
          </cell>
          <cell r="I94">
            <v>0.27961379196004277</v>
          </cell>
          <cell r="J94">
            <v>0.29929261044924704</v>
          </cell>
          <cell r="K94">
            <v>0.27191838131285673</v>
          </cell>
          <cell r="L94">
            <v>0.24413858714915659</v>
          </cell>
          <cell r="M94" t="str">
            <v>NA</v>
          </cell>
          <cell r="N94" t="str">
            <v>NA</v>
          </cell>
          <cell r="O94" t="str">
            <v>NA</v>
          </cell>
          <cell r="P94" t="str">
            <v>NA</v>
          </cell>
          <cell r="Q94">
            <v>9.7186842919051886E-2</v>
          </cell>
          <cell r="R94">
            <v>0.16702697572176883</v>
          </cell>
          <cell r="S94">
            <v>0.10802839560395316</v>
          </cell>
          <cell r="T94">
            <v>0.17943165486494284</v>
          </cell>
          <cell r="U94">
            <v>0.206062334846423</v>
          </cell>
          <cell r="V94">
            <v>0.15418623011995769</v>
          </cell>
          <cell r="W94">
            <v>8.6165336714633112E-2</v>
          </cell>
          <cell r="X94">
            <v>8.9292090675052727E-2</v>
          </cell>
          <cell r="Y94">
            <v>0.14943197989598822</v>
          </cell>
          <cell r="Z94">
            <v>0.27516625401813566</v>
          </cell>
          <cell r="AA94">
            <v>0.14537144781234668</v>
          </cell>
          <cell r="AB94">
            <v>0.26050549642589327</v>
          </cell>
          <cell r="AC94">
            <v>0.1832073378387149</v>
          </cell>
          <cell r="AD94">
            <v>0.2469216547476103</v>
          </cell>
          <cell r="AE94">
            <v>0.19301809259842329</v>
          </cell>
          <cell r="AF94">
            <v>0.21745016952249041</v>
          </cell>
          <cell r="AG94">
            <v>0.21017863372457835</v>
          </cell>
          <cell r="AH94">
            <v>0.14361319528010896</v>
          </cell>
          <cell r="AI94">
            <v>0.15492242656631894</v>
          </cell>
          <cell r="AJ94">
            <v>0.2421656820411342</v>
          </cell>
          <cell r="AK94">
            <v>0.18466480517367767</v>
          </cell>
          <cell r="AL94">
            <v>0.24928374118372121</v>
          </cell>
          <cell r="AM94">
            <v>0.2050638650998291</v>
          </cell>
          <cell r="AN94">
            <v>0.22474013721752062</v>
          </cell>
          <cell r="AO94">
            <v>3.5726708322424194E-2</v>
          </cell>
          <cell r="AP94">
            <v>0.17589305218037543</v>
          </cell>
          <cell r="AQ94">
            <v>9.8872661645459603E-2</v>
          </cell>
          <cell r="AR94">
            <v>9.5015858235692363E-2</v>
          </cell>
          <cell r="AS94">
            <v>6.9163737085734089E-2</v>
          </cell>
          <cell r="AT94">
            <v>2.9573888180327579E-2</v>
          </cell>
          <cell r="AU94">
            <v>7.5019472760096795E-2</v>
          </cell>
          <cell r="AW94">
            <v>0.2050638650998291</v>
          </cell>
          <cell r="AX94">
            <v>0.22474013721752062</v>
          </cell>
          <cell r="AY94">
            <v>3.5726708322424194E-2</v>
          </cell>
          <cell r="AZ94">
            <v>9.8872661645459603E-2</v>
          </cell>
          <cell r="BA94">
            <v>9.5015858235692363E-2</v>
          </cell>
          <cell r="BB94">
            <v>9.5015858235692363E-2</v>
          </cell>
          <cell r="BC94">
            <v>6.9163737085734089E-2</v>
          </cell>
          <cell r="BD94">
            <v>2.9573888180327579E-2</v>
          </cell>
          <cell r="BE94">
            <v>-6.5353521471755771E-2</v>
          </cell>
          <cell r="BF94">
            <v>3.6268424887926809E-2</v>
          </cell>
          <cell r="BG94">
            <v>-8.2075774865371987E-2</v>
          </cell>
          <cell r="BH94">
            <v>-0.17998262769404039</v>
          </cell>
          <cell r="BI94">
            <v>-0.12404866190069486</v>
          </cell>
          <cell r="BJ94">
            <v>-1.7164482072190101</v>
          </cell>
          <cell r="BK94">
            <v>-0.46562977695717678</v>
          </cell>
          <cell r="BL94">
            <v>-0.26915696895990748</v>
          </cell>
          <cell r="BM94">
            <v>-0.85300253680733418</v>
          </cell>
          <cell r="BN94">
            <v>-0.69714672443675785</v>
          </cell>
          <cell r="BO94">
            <v>-1.37023857613274</v>
          </cell>
          <cell r="BP94">
            <v>-0.36139840607787466</v>
          </cell>
          <cell r="BQ94">
            <v>-0.43433820748389795</v>
          </cell>
          <cell r="BR94">
            <v>1.170607137504474</v>
          </cell>
          <cell r="BS94">
            <v>-0.16959554748639161</v>
          </cell>
          <cell r="BT94">
            <v>-0.14567176852044594</v>
          </cell>
          <cell r="BU94">
            <v>-0.1830979830951962</v>
          </cell>
          <cell r="BV94">
            <v>-7.3461385755990705E-4</v>
          </cell>
          <cell r="BW94">
            <v>0.26219460218903068</v>
          </cell>
          <cell r="BX94">
            <v>0.50014416748699064</v>
          </cell>
          <cell r="BY94">
            <v>0.84560559664788171</v>
          </cell>
          <cell r="BZ94">
            <v>0.30205171414732668</v>
          </cell>
          <cell r="CA94">
            <v>0.21667362997838113</v>
          </cell>
          <cell r="CB94">
            <v>0.23592455757975594</v>
          </cell>
          <cell r="CC94">
            <v>0.38861473526596813</v>
          </cell>
          <cell r="CD94">
            <v>0.31772894138459695</v>
          </cell>
          <cell r="CE94">
            <v>0.28154765951840854</v>
          </cell>
          <cell r="CF94">
            <v>0.19525790557689149</v>
          </cell>
          <cell r="CG94">
            <v>0.26101214690912222</v>
          </cell>
          <cell r="CH94">
            <v>0.20759638885059406</v>
          </cell>
          <cell r="CI94">
            <v>0.54916363435192062</v>
          </cell>
          <cell r="CJ94">
            <v>0.30377059692862196</v>
          </cell>
          <cell r="CK94">
            <v>8.9480855147737959E-2</v>
          </cell>
          <cell r="CL94">
            <v>5.3217818793094951E-2</v>
          </cell>
          <cell r="CM94">
            <v>2.7102302791081945E-2</v>
          </cell>
          <cell r="CN94">
            <v>-0.58784607670409028</v>
          </cell>
          <cell r="CO94">
            <v>-0.13641830770517061</v>
          </cell>
          <cell r="CP94">
            <v>1.8194868312291224E-2</v>
          </cell>
          <cell r="CQ94">
            <v>6.9303444341534126E-2</v>
          </cell>
          <cell r="CR94">
            <v>-4.5038709909092978E-2</v>
          </cell>
          <cell r="CS94">
            <v>9.0672095603507863E-3</v>
          </cell>
          <cell r="CT94">
            <v>1.7555543759857573E-2</v>
          </cell>
          <cell r="CU94">
            <v>0.18515379725518866</v>
          </cell>
          <cell r="CV94">
            <v>0.18217361918902641</v>
          </cell>
          <cell r="CW94">
            <v>0.30966963310449613</v>
          </cell>
          <cell r="CX94">
            <v>0.39281210194078353</v>
          </cell>
          <cell r="CY94">
            <v>0.24195176554875109</v>
          </cell>
          <cell r="CZ94">
            <v>0.19007357048032958</v>
          </cell>
          <cell r="DA94">
            <v>0.19466522807157083</v>
          </cell>
          <cell r="DB94">
            <v>0.2574695232628379</v>
          </cell>
          <cell r="DC94">
            <v>0.418812920261322</v>
          </cell>
          <cell r="DD94">
            <v>0.24395416129471892</v>
          </cell>
          <cell r="DE94">
            <v>0.17170531278333079</v>
          </cell>
          <cell r="DF94">
            <v>0.16463179100511405</v>
          </cell>
          <cell r="DG94">
            <v>0.2006479616177812</v>
          </cell>
          <cell r="DH94">
            <v>0.20660553038866647</v>
          </cell>
          <cell r="DI94">
            <v>0.18308280567799584</v>
          </cell>
        </row>
        <row r="95">
          <cell r="B95" t="str">
            <v>Reported EPS - Fully Diluted</v>
          </cell>
          <cell r="D95">
            <v>-1</v>
          </cell>
          <cell r="E95" t="str">
            <v>NM</v>
          </cell>
          <cell r="F95">
            <v>0.51811534330713993</v>
          </cell>
          <cell r="G95">
            <v>0.33431122152815451</v>
          </cell>
          <cell r="H95">
            <v>0.37254446787804363</v>
          </cell>
          <cell r="I95">
            <v>0.34973187622809565</v>
          </cell>
          <cell r="J95">
            <v>0.29929261044924704</v>
          </cell>
          <cell r="K95">
            <v>0.27191838131285673</v>
          </cell>
          <cell r="L95">
            <v>0.24413858714915659</v>
          </cell>
          <cell r="M95" t="str">
            <v>NA</v>
          </cell>
          <cell r="N95" t="str">
            <v>NA</v>
          </cell>
          <cell r="O95" t="str">
            <v>NA</v>
          </cell>
          <cell r="P95" t="str">
            <v>NA</v>
          </cell>
          <cell r="Q95">
            <v>9.7186842919051886E-2</v>
          </cell>
          <cell r="R95">
            <v>0.16702697572176883</v>
          </cell>
          <cell r="S95">
            <v>0.10802839560395316</v>
          </cell>
          <cell r="T95">
            <v>0.17943165486494284</v>
          </cell>
          <cell r="U95">
            <v>0.206062334846423</v>
          </cell>
          <cell r="V95">
            <v>0.15418623011995769</v>
          </cell>
          <cell r="W95">
            <v>8.6165336714633112E-2</v>
          </cell>
          <cell r="X95">
            <v>-0.10109464187494877</v>
          </cell>
          <cell r="Y95">
            <v>0.14943197989598822</v>
          </cell>
          <cell r="Z95">
            <v>0.27516625401813566</v>
          </cell>
          <cell r="AA95">
            <v>8.7779282387611124E-2</v>
          </cell>
          <cell r="AB95">
            <v>0.26050549642589327</v>
          </cell>
          <cell r="AC95">
            <v>0.43380877985277011</v>
          </cell>
          <cell r="AD95">
            <v>0.2469216547476103</v>
          </cell>
          <cell r="AE95">
            <v>0.19301809259842329</v>
          </cell>
          <cell r="AF95">
            <v>0.2819077232696181</v>
          </cell>
          <cell r="AG95">
            <v>0.21017863372457835</v>
          </cell>
          <cell r="AH95">
            <v>0.14361319528010896</v>
          </cell>
          <cell r="AI95">
            <v>0.15492242656631894</v>
          </cell>
          <cell r="AJ95">
            <v>0.1878356092316309</v>
          </cell>
          <cell r="AK95">
            <v>0.17147243556978653</v>
          </cell>
          <cell r="AL95">
            <v>0.24928374118372121</v>
          </cell>
          <cell r="AM95">
            <v>0.2050638650998291</v>
          </cell>
          <cell r="AN95">
            <v>0.22474013721752062</v>
          </cell>
          <cell r="AO95">
            <v>8.309951566762952E-2</v>
          </cell>
          <cell r="AP95">
            <v>0.18913520392717764</v>
          </cell>
          <cell r="AQ95">
            <v>9.8872661645459603E-2</v>
          </cell>
          <cell r="AR95">
            <v>9.5015858235692363E-2</v>
          </cell>
          <cell r="AS95">
            <v>-4.1764609578862077E-2</v>
          </cell>
          <cell r="AT95">
            <v>0.17079355012257502</v>
          </cell>
          <cell r="AU95">
            <v>7.6678359309917843E-2</v>
          </cell>
          <cell r="AW95">
            <v>0.2050638650998291</v>
          </cell>
          <cell r="AX95">
            <v>0.22474013721752062</v>
          </cell>
          <cell r="AY95">
            <v>8.309951566762952E-2</v>
          </cell>
          <cell r="AZ95">
            <v>9.8872661645459603E-2</v>
          </cell>
          <cell r="BA95">
            <v>9.5015858235692363E-2</v>
          </cell>
          <cell r="BB95">
            <v>9.5015858235692363E-2</v>
          </cell>
          <cell r="BC95">
            <v>-4.1764609578862077E-2</v>
          </cell>
          <cell r="BD95">
            <v>0.17079355012257502</v>
          </cell>
          <cell r="BE95">
            <v>-3.0259972100316612E-2</v>
          </cell>
          <cell r="BF95">
            <v>4.606855998996684E-2</v>
          </cell>
          <cell r="BG95">
            <v>-0.10616074219637217</v>
          </cell>
          <cell r="BH95">
            <v>-8.3157222774358441E-2</v>
          </cell>
          <cell r="BI95">
            <v>-0.12899567971715808</v>
          </cell>
          <cell r="BJ95">
            <v>-1.7562028966516459</v>
          </cell>
          <cell r="BK95">
            <v>-0.46626478180631925</v>
          </cell>
          <cell r="BL95">
            <v>-0.25724140530484441</v>
          </cell>
          <cell r="BM95">
            <v>-0.84800424982161826</v>
          </cell>
          <cell r="BN95">
            <v>-0.59376946584533608</v>
          </cell>
          <cell r="BO95">
            <v>-1.2186380864742263</v>
          </cell>
          <cell r="BP95">
            <v>-0.34878464854509938</v>
          </cell>
          <cell r="BQ95">
            <v>1.0640202714840421</v>
          </cell>
          <cell r="BR95">
            <v>4.55440000887819E-2</v>
          </cell>
          <cell r="BS95">
            <v>-0.78960150850470101</v>
          </cell>
          <cell r="BT95">
            <v>0.16647147992323696</v>
          </cell>
          <cell r="BU95">
            <v>0.39750243188536194</v>
          </cell>
          <cell r="BV95">
            <v>-0.65837438600782705</v>
          </cell>
          <cell r="BW95">
            <v>1.6276498188432513</v>
          </cell>
          <cell r="BX95">
            <v>2.9304245919313918</v>
          </cell>
          <cell r="BY95">
            <v>1.3004933332743858</v>
          </cell>
          <cell r="BZ95">
            <v>-0.18135171302228614</v>
          </cell>
          <cell r="CA95">
            <v>1.1453753341139628E-3</v>
          </cell>
          <cell r="CB95">
            <v>0.1911394195187619</v>
          </cell>
          <cell r="CC95">
            <v>0.36791974410878758</v>
          </cell>
          <cell r="CD95">
            <v>-0.18478705999501843</v>
          </cell>
          <cell r="CE95">
            <v>6.8114555980802516E-2</v>
          </cell>
          <cell r="CF95">
            <v>0.16487648476521133</v>
          </cell>
          <cell r="CG95">
            <v>0.20639810665840064</v>
          </cell>
          <cell r="CH95">
            <v>0.21883521738581968</v>
          </cell>
          <cell r="CI95">
            <v>7.9031882499299932E-2</v>
          </cell>
          <cell r="CJ95">
            <v>0.17249706724166658</v>
          </cell>
          <cell r="CK95">
            <v>-0.32642951784061591</v>
          </cell>
          <cell r="CL95">
            <v>-0.24216218644721077</v>
          </cell>
          <cell r="CM95">
            <v>-6.0630979717551714E-2</v>
          </cell>
          <cell r="CN95">
            <v>0.76177459303117567</v>
          </cell>
          <cell r="CO95">
            <v>-5.0292726446955038E-2</v>
          </cell>
          <cell r="CP95">
            <v>0.66350186803040079</v>
          </cell>
          <cell r="CQ95">
            <v>0.55123365123411006</v>
          </cell>
          <cell r="CR95">
            <v>4.3033740727435266E-2</v>
          </cell>
          <cell r="CS95">
            <v>-0.50225129030913862</v>
          </cell>
          <cell r="CT95">
            <v>0.11601251279226044</v>
          </cell>
          <cell r="CU95">
            <v>0.11577678548081738</v>
          </cell>
          <cell r="CV95">
            <v>0.33412973035103022</v>
          </cell>
          <cell r="CW95">
            <v>0.51226200848281711</v>
          </cell>
          <cell r="CX95">
            <v>0.7148350459031303</v>
          </cell>
          <cell r="CY95">
            <v>0.35647708271094691</v>
          </cell>
          <cell r="CZ95">
            <v>0.32624844153258792</v>
          </cell>
          <cell r="DA95">
            <v>0.11554351732950674</v>
          </cell>
          <cell r="DB95">
            <v>0.1559940189297897</v>
          </cell>
          <cell r="DC95">
            <v>0.24627221890344586</v>
          </cell>
          <cell r="DD95">
            <v>0.20647178007664357</v>
          </cell>
          <cell r="DE95">
            <v>0.14021389850403287</v>
          </cell>
          <cell r="DF95">
            <v>0.13070172482470954</v>
          </cell>
          <cell r="DG95">
            <v>0.16004942918592358</v>
          </cell>
          <cell r="DH95">
            <v>0.15337036741987209</v>
          </cell>
          <cell r="DI95">
            <v>0.14484127961863025</v>
          </cell>
        </row>
        <row r="96">
          <cell r="B96" t="str">
            <v>Reported EPS Continuing operations- Fully Diluted</v>
          </cell>
          <cell r="D96">
            <v>-1</v>
          </cell>
          <cell r="E96" t="str">
            <v>NM</v>
          </cell>
          <cell r="F96">
            <v>0.51811534330713993</v>
          </cell>
          <cell r="G96">
            <v>0.33431122152815451</v>
          </cell>
          <cell r="H96">
            <v>0.44775480811117507</v>
          </cell>
          <cell r="I96">
            <v>0.27961379196004277</v>
          </cell>
          <cell r="J96">
            <v>0.29929261044924704</v>
          </cell>
          <cell r="K96">
            <v>0.27191838131285673</v>
          </cell>
          <cell r="L96">
            <v>0.24413858714915659</v>
          </cell>
          <cell r="M96" t="str">
            <v>NA</v>
          </cell>
          <cell r="N96" t="str">
            <v>NA</v>
          </cell>
          <cell r="O96" t="str">
            <v>NA</v>
          </cell>
          <cell r="P96" t="str">
            <v>NA</v>
          </cell>
          <cell r="Q96">
            <v>9.7186842919051886E-2</v>
          </cell>
          <cell r="R96">
            <v>0.16702697572176883</v>
          </cell>
          <cell r="S96">
            <v>0.10802839560395316</v>
          </cell>
          <cell r="T96">
            <v>0.17943165486494284</v>
          </cell>
          <cell r="U96">
            <v>0.206062334846423</v>
          </cell>
          <cell r="V96">
            <v>0.15418623011995769</v>
          </cell>
          <cell r="W96">
            <v>8.6165336714633112E-2</v>
          </cell>
          <cell r="X96">
            <v>-0.10109464187494877</v>
          </cell>
          <cell r="Y96">
            <v>0.14943197989598822</v>
          </cell>
          <cell r="Z96">
            <v>0.27516625401813566</v>
          </cell>
          <cell r="AA96">
            <v>8.7779282387611124E-2</v>
          </cell>
          <cell r="AB96">
            <v>0.26050549642589327</v>
          </cell>
          <cell r="AC96">
            <v>0.43380877985277011</v>
          </cell>
          <cell r="AD96">
            <v>0.2469216547476103</v>
          </cell>
          <cell r="AE96">
            <v>0.19301809259842329</v>
          </cell>
          <cell r="AF96">
            <v>0.2819077232696181</v>
          </cell>
          <cell r="AG96">
            <v>0.21017863372457835</v>
          </cell>
          <cell r="AH96">
            <v>0.14361319528010896</v>
          </cell>
          <cell r="AI96">
            <v>0.15492242656631894</v>
          </cell>
          <cell r="AJ96">
            <v>0.1878356092316309</v>
          </cell>
          <cell r="AK96">
            <v>0.17147243556978653</v>
          </cell>
          <cell r="AL96">
            <v>0.24928374118372121</v>
          </cell>
          <cell r="AM96">
            <v>0.2050638650998291</v>
          </cell>
          <cell r="AN96">
            <v>0.22474013721752062</v>
          </cell>
          <cell r="AO96">
            <v>8.309951566762952E-2</v>
          </cell>
          <cell r="AP96">
            <v>0.18913520392717764</v>
          </cell>
          <cell r="AQ96">
            <v>9.8872661645459603E-2</v>
          </cell>
          <cell r="AR96">
            <v>9.5015858235692363E-2</v>
          </cell>
          <cell r="AS96">
            <v>-4.1764609578862077E-2</v>
          </cell>
          <cell r="AT96">
            <v>0.16228489545082558</v>
          </cell>
          <cell r="AU96">
            <v>7.4732826922443873E-2</v>
          </cell>
          <cell r="AW96">
            <v>0.2050638650998291</v>
          </cell>
          <cell r="AX96">
            <v>0.22474013721752062</v>
          </cell>
          <cell r="AY96">
            <v>8.309951566762952E-2</v>
          </cell>
          <cell r="AZ96">
            <v>9.8872661645459603E-2</v>
          </cell>
          <cell r="BA96">
            <v>9.5015858235692363E-2</v>
          </cell>
          <cell r="BB96">
            <v>9.5015858235692363E-2</v>
          </cell>
          <cell r="BC96">
            <v>-4.1764609578862077E-2</v>
          </cell>
          <cell r="BD96">
            <v>0.16228489545082558</v>
          </cell>
          <cell r="BE96">
            <v>-2.6049348344328482E-2</v>
          </cell>
          <cell r="BF96">
            <v>4.5141684613473121E-2</v>
          </cell>
          <cell r="BG96">
            <v>-0.11077275721720214</v>
          </cell>
          <cell r="BH96">
            <v>-8.5054834110702915E-2</v>
          </cell>
          <cell r="BI96">
            <v>-0.2527365916482156</v>
          </cell>
          <cell r="BJ96">
            <v>-1.5656011314726168</v>
          </cell>
          <cell r="BK96">
            <v>-0.45897883583358068</v>
          </cell>
          <cell r="BL96">
            <v>-0.24622588901387654</v>
          </cell>
          <cell r="BM96">
            <v>-0.83263189092985124</v>
          </cell>
          <cell r="BN96">
            <v>-0.68560726611299749</v>
          </cell>
          <cell r="BO96">
            <v>-1.4381680872827298</v>
          </cell>
          <cell r="BP96">
            <v>-0.3692725471727466</v>
          </cell>
          <cell r="BQ96">
            <v>1.4678980821478689</v>
          </cell>
          <cell r="BR96">
            <v>0.68261297534176713</v>
          </cell>
          <cell r="BS96">
            <v>-0.47925689891809153</v>
          </cell>
          <cell r="BT96">
            <v>0.54672806789633799</v>
          </cell>
          <cell r="BU96">
            <v>0.90004640120638379</v>
          </cell>
          <cell r="BV96">
            <v>-0.70772314851881091</v>
          </cell>
          <cell r="BW96">
            <v>0.48588125731878895</v>
          </cell>
          <cell r="BX96">
            <v>1.3499291718480078</v>
          </cell>
          <cell r="BY96">
            <v>3.2752119577388994E-2</v>
          </cell>
          <cell r="BZ96">
            <v>-0.39798589147200203</v>
          </cell>
          <cell r="CA96">
            <v>-3.0622304701317549E-2</v>
          </cell>
          <cell r="CB96">
            <v>0.1911394195187619</v>
          </cell>
          <cell r="CC96">
            <v>0.40242225266320553</v>
          </cell>
          <cell r="CD96">
            <v>0.33325153501775917</v>
          </cell>
          <cell r="CE96">
            <v>0.18431837803395679</v>
          </cell>
          <cell r="CF96">
            <v>0.17742234129373236</v>
          </cell>
          <cell r="CG96">
            <v>0.24568403377037629</v>
          </cell>
          <cell r="CH96">
            <v>0.21172757513295237</v>
          </cell>
          <cell r="CI96">
            <v>-0.23449154131157635</v>
          </cell>
          <cell r="CJ96">
            <v>9.7247771166301789E-2</v>
          </cell>
          <cell r="CK96">
            <v>-0.30894178856082366</v>
          </cell>
          <cell r="CL96">
            <v>-0.20606300687730039</v>
          </cell>
          <cell r="CM96">
            <v>-2.3376596482061363E-2</v>
          </cell>
          <cell r="CN96">
            <v>0.69437740447816543</v>
          </cell>
          <cell r="CO96">
            <v>-3.5056456708021599E-2</v>
          </cell>
          <cell r="CP96">
            <v>0.60412908804057341</v>
          </cell>
          <cell r="CQ96">
            <v>0.43400346085566754</v>
          </cell>
          <cell r="CR96">
            <v>9.1308117060604488E-3</v>
          </cell>
          <cell r="CS96">
            <v>-0.50225129030913862</v>
          </cell>
          <cell r="CT96">
            <v>7.9347842015569103E-2</v>
          </cell>
          <cell r="CU96">
            <v>0.11577678548081738</v>
          </cell>
          <cell r="CV96">
            <v>0.33412973035103022</v>
          </cell>
          <cell r="CW96">
            <v>0.51226200848281711</v>
          </cell>
          <cell r="CX96">
            <v>0.7148350459031303</v>
          </cell>
          <cell r="CY96">
            <v>0.35647708271094514</v>
          </cell>
          <cell r="CZ96">
            <v>0.32624844153258792</v>
          </cell>
          <cell r="DA96">
            <v>0.11554351732950674</v>
          </cell>
          <cell r="DB96">
            <v>0.1559940189297897</v>
          </cell>
          <cell r="DC96">
            <v>0.24627221890344586</v>
          </cell>
          <cell r="DD96">
            <v>0.20647178007664646</v>
          </cell>
          <cell r="DE96">
            <v>0.14021389850403287</v>
          </cell>
          <cell r="DF96">
            <v>0.13070172482470954</v>
          </cell>
          <cell r="DG96">
            <v>0.16004942918592358</v>
          </cell>
          <cell r="DH96">
            <v>0.15337036741987209</v>
          </cell>
          <cell r="DI96">
            <v>0.14484127961862847</v>
          </cell>
        </row>
        <row r="99">
          <cell r="B99" t="str">
            <v>Statutory tax rate</v>
          </cell>
          <cell r="E99">
            <v>0.39599999999999996</v>
          </cell>
          <cell r="F99">
            <v>0.38999999999999996</v>
          </cell>
          <cell r="G99">
            <v>0.38399999999999995</v>
          </cell>
          <cell r="H99">
            <v>0.38300000000000001</v>
          </cell>
          <cell r="I99">
            <v>0.38500000000000001</v>
          </cell>
          <cell r="J99">
            <v>0.38100000000000001</v>
          </cell>
          <cell r="K99">
            <v>0.372</v>
          </cell>
          <cell r="L99">
            <v>0.38599999999999995</v>
          </cell>
          <cell r="M99">
            <v>0.38799999999999996</v>
          </cell>
          <cell r="N99">
            <v>0.38799999999999996</v>
          </cell>
          <cell r="O99">
            <v>0.38799999999999996</v>
          </cell>
          <cell r="P99">
            <v>0.38799999999999996</v>
          </cell>
          <cell r="Q99">
            <v>0.38799999999999996</v>
          </cell>
          <cell r="R99">
            <v>0.38899999999999996</v>
          </cell>
          <cell r="S99">
            <v>0.38899999999999996</v>
          </cell>
          <cell r="T99">
            <v>0.38899999999999996</v>
          </cell>
          <cell r="U99">
            <v>0.38899999999999996</v>
          </cell>
          <cell r="V99">
            <v>0.38899999999999996</v>
          </cell>
          <cell r="W99">
            <v>0.38899999999999996</v>
          </cell>
          <cell r="X99">
            <v>0.38899999999999996</v>
          </cell>
          <cell r="Y99">
            <v>0.38899999999999996</v>
          </cell>
          <cell r="Z99">
            <v>0.38899999999999996</v>
          </cell>
          <cell r="AA99">
            <v>0.38899999999999996</v>
          </cell>
          <cell r="AB99">
            <v>0.38899999999999996</v>
          </cell>
          <cell r="AC99">
            <v>0.38899999999999996</v>
          </cell>
          <cell r="AD99">
            <v>0.38899999999999996</v>
          </cell>
          <cell r="AE99">
            <v>0.38899999999999996</v>
          </cell>
          <cell r="AF99">
            <v>0.38899999999999996</v>
          </cell>
          <cell r="AG99">
            <v>0.38500000000000001</v>
          </cell>
          <cell r="AH99">
            <v>0.38500000000000001</v>
          </cell>
          <cell r="AI99">
            <v>0.38500000000000001</v>
          </cell>
          <cell r="AJ99">
            <v>0.38500000000000001</v>
          </cell>
          <cell r="AK99">
            <v>0.38500000000000001</v>
          </cell>
          <cell r="AL99">
            <v>0.38300000000000001</v>
          </cell>
          <cell r="AM99">
            <v>0.38300000000000001</v>
          </cell>
          <cell r="AN99">
            <v>0.38300000000000001</v>
          </cell>
          <cell r="AO99">
            <v>0.38300000000000001</v>
          </cell>
          <cell r="AP99">
            <v>0.38300000000000001</v>
          </cell>
          <cell r="AQ99">
            <v>0.377</v>
          </cell>
          <cell r="AR99">
            <v>0.377</v>
          </cell>
          <cell r="AS99">
            <v>0.377</v>
          </cell>
          <cell r="AT99">
            <v>0.377</v>
          </cell>
          <cell r="AU99">
            <v>0.377</v>
          </cell>
          <cell r="AW99">
            <v>0.38300000000000001</v>
          </cell>
          <cell r="AX99">
            <v>0.38300000000000001</v>
          </cell>
          <cell r="AY99">
            <v>0.38300000000000001</v>
          </cell>
          <cell r="AZ99">
            <v>0.38300000000000001</v>
          </cell>
          <cell r="BA99">
            <v>0.38300000000000001</v>
          </cell>
          <cell r="BB99">
            <v>0.377</v>
          </cell>
          <cell r="BC99">
            <v>0.377</v>
          </cell>
          <cell r="BD99">
            <v>0.377</v>
          </cell>
          <cell r="BE99">
            <v>0.377</v>
          </cell>
          <cell r="BF99">
            <v>0.377</v>
          </cell>
          <cell r="BG99">
            <v>0.38899999999999996</v>
          </cell>
          <cell r="BH99">
            <v>0.38899999999999996</v>
          </cell>
          <cell r="BI99">
            <v>0.38899999999999996</v>
          </cell>
          <cell r="BJ99">
            <v>0.38899999999999996</v>
          </cell>
          <cell r="BK99">
            <v>0.38899999999999996</v>
          </cell>
          <cell r="BL99">
            <v>0.374</v>
          </cell>
          <cell r="BM99">
            <v>0.374</v>
          </cell>
          <cell r="BN99">
            <v>0.374</v>
          </cell>
          <cell r="BO99">
            <v>0.374</v>
          </cell>
          <cell r="BP99">
            <v>0.374</v>
          </cell>
          <cell r="BQ99">
            <v>0.38400000000000001</v>
          </cell>
          <cell r="BR99">
            <v>0.38400000000000001</v>
          </cell>
          <cell r="BS99">
            <v>0.38400000000000001</v>
          </cell>
          <cell r="BT99">
            <v>0.38400000000000001</v>
          </cell>
          <cell r="BU99">
            <v>0.38400000000000001</v>
          </cell>
          <cell r="BV99">
            <v>0.38500000000000001</v>
          </cell>
          <cell r="BW99">
            <v>0.38500000000000001</v>
          </cell>
          <cell r="BX99">
            <v>0.38500000000000001</v>
          </cell>
          <cell r="BY99">
            <v>0.38500000000000001</v>
          </cell>
          <cell r="BZ99">
            <v>0.38500000000000001</v>
          </cell>
          <cell r="CA99">
            <v>0.39299999999999996</v>
          </cell>
          <cell r="CB99">
            <v>0.39299999999999996</v>
          </cell>
          <cell r="CC99">
            <v>0.39299999999999996</v>
          </cell>
          <cell r="CD99">
            <v>0.39299999999999996</v>
          </cell>
          <cell r="CE99">
            <v>0.39299999999999996</v>
          </cell>
          <cell r="CF99">
            <v>0.35499999999999998</v>
          </cell>
          <cell r="CG99">
            <v>0.35499999999999998</v>
          </cell>
          <cell r="CH99">
            <v>0.35499999999999998</v>
          </cell>
          <cell r="CI99">
            <v>0.35499999999999998</v>
          </cell>
          <cell r="CJ99">
            <v>0.35499999999999998</v>
          </cell>
          <cell r="CK99">
            <v>0.38899999999999996</v>
          </cell>
          <cell r="CL99">
            <v>0.38899999999999996</v>
          </cell>
          <cell r="CM99">
            <v>0.38899999999999996</v>
          </cell>
          <cell r="CN99">
            <v>0.38899999999999996</v>
          </cell>
          <cell r="CO99">
            <v>0.38899999999999996</v>
          </cell>
          <cell r="CP99">
            <v>0.38899999999999996</v>
          </cell>
          <cell r="CQ99">
            <v>0.38899999999999996</v>
          </cell>
          <cell r="CR99">
            <v>0.38899999999999996</v>
          </cell>
          <cell r="CS99">
            <v>0.38899999999999996</v>
          </cell>
          <cell r="CT99">
            <v>0.38899999999999996</v>
          </cell>
          <cell r="CU99">
            <v>0.38899999999999996</v>
          </cell>
          <cell r="CV99">
            <v>0.38899999999999996</v>
          </cell>
          <cell r="CW99">
            <v>0.38899999999999996</v>
          </cell>
          <cell r="CX99">
            <v>0.38899999999999996</v>
          </cell>
          <cell r="CY99">
            <v>0.38899999999999996</v>
          </cell>
          <cell r="CZ99">
            <v>0.38899999999999996</v>
          </cell>
          <cell r="DA99">
            <v>0.38899999999999996</v>
          </cell>
          <cell r="DB99">
            <v>0.38899999999999996</v>
          </cell>
          <cell r="DC99">
            <v>0.38899999999999996</v>
          </cell>
          <cell r="DD99">
            <v>0.38899999999999996</v>
          </cell>
          <cell r="DE99">
            <v>0.38899999999999996</v>
          </cell>
          <cell r="DF99">
            <v>0.38899999999999996</v>
          </cell>
          <cell r="DG99">
            <v>0.38899999999999996</v>
          </cell>
          <cell r="DH99">
            <v>0.38899999999999996</v>
          </cell>
          <cell r="DI99">
            <v>0.38899999999999996</v>
          </cell>
          <cell r="DK99" t="str">
            <v>mstag:statutoryTaxRate</v>
          </cell>
          <cell r="DL99">
            <v>0</v>
          </cell>
          <cell r="DM99" t="str">
            <v>ms_eqr_gcim_Decimal:ms_eqr_gcim_decimal</v>
          </cell>
          <cell r="DN99" t="b">
            <v>0</v>
          </cell>
          <cell r="DO99" t="b">
            <v>0</v>
          </cell>
        </row>
        <row r="100">
          <cell r="B100" t="str">
            <v>Statutory tax rate</v>
          </cell>
          <cell r="E100">
            <v>0.39599999999999996</v>
          </cell>
          <cell r="F100">
            <v>0.38999999999999996</v>
          </cell>
          <cell r="G100">
            <v>0.38399999999999995</v>
          </cell>
          <cell r="H100">
            <v>0.38300000000000001</v>
          </cell>
          <cell r="I100">
            <v>0.38500000000000001</v>
          </cell>
          <cell r="J100">
            <v>0.38100000000000001</v>
          </cell>
          <cell r="K100">
            <v>0.372</v>
          </cell>
          <cell r="L100">
            <v>0.38599999999999995</v>
          </cell>
          <cell r="M100">
            <v>0.38799999999999996</v>
          </cell>
          <cell r="N100">
            <v>0.38799999999999996</v>
          </cell>
          <cell r="O100">
            <v>0.38799999999999996</v>
          </cell>
          <cell r="P100">
            <v>0.38799999999999996</v>
          </cell>
          <cell r="Q100">
            <v>0.38799999999999996</v>
          </cell>
          <cell r="R100">
            <v>0.38899999999999996</v>
          </cell>
          <cell r="S100">
            <v>0.38899999999999996</v>
          </cell>
          <cell r="T100">
            <v>0.38899999999999996</v>
          </cell>
          <cell r="U100">
            <v>0.38899999999999996</v>
          </cell>
          <cell r="V100">
            <v>0.38899999999999996</v>
          </cell>
          <cell r="W100">
            <v>0.38899999999999996</v>
          </cell>
          <cell r="X100">
            <v>0.38899999999999996</v>
          </cell>
          <cell r="Y100">
            <v>0.38899999999999996</v>
          </cell>
          <cell r="Z100">
            <v>0.38899999999999996</v>
          </cell>
          <cell r="AA100">
            <v>0.38899999999999996</v>
          </cell>
          <cell r="AB100">
            <v>0.38899999999999996</v>
          </cell>
          <cell r="AC100">
            <v>0.38899999999999996</v>
          </cell>
          <cell r="AD100">
            <v>0.38899999999999996</v>
          </cell>
          <cell r="AE100">
            <v>0.38899999999999996</v>
          </cell>
          <cell r="AF100">
            <v>0.38899999999999996</v>
          </cell>
          <cell r="AG100">
            <v>0.38500000000000001</v>
          </cell>
          <cell r="AH100">
            <v>0.38500000000000001</v>
          </cell>
          <cell r="AI100">
            <v>0.38500000000000001</v>
          </cell>
          <cell r="AJ100">
            <v>0.38500000000000001</v>
          </cell>
          <cell r="AK100">
            <v>0.38500000000000001</v>
          </cell>
          <cell r="AL100">
            <v>0.38300000000000001</v>
          </cell>
          <cell r="AM100">
            <v>0.38300000000000001</v>
          </cell>
          <cell r="AN100">
            <v>0.38300000000000001</v>
          </cell>
          <cell r="AO100">
            <v>0.38300000000000001</v>
          </cell>
          <cell r="AP100">
            <v>0.38300000000000001</v>
          </cell>
          <cell r="AQ100">
            <v>0.377</v>
          </cell>
          <cell r="AR100">
            <v>0.377</v>
          </cell>
          <cell r="AS100">
            <v>0.377</v>
          </cell>
          <cell r="AT100">
            <v>0.377</v>
          </cell>
          <cell r="AU100">
            <v>0.377</v>
          </cell>
          <cell r="AW100">
            <v>0.38300000000000001</v>
          </cell>
          <cell r="AX100">
            <v>0.38300000000000001</v>
          </cell>
          <cell r="AY100">
            <v>0.38300000000000001</v>
          </cell>
          <cell r="AZ100">
            <v>0.38300000000000001</v>
          </cell>
          <cell r="BA100">
            <v>0.38300000000000001</v>
          </cell>
          <cell r="BB100">
            <v>0.377</v>
          </cell>
          <cell r="BC100">
            <v>0.377</v>
          </cell>
          <cell r="BD100">
            <v>0.377</v>
          </cell>
          <cell r="BE100">
            <v>0.377</v>
          </cell>
          <cell r="BF100">
            <v>0.377</v>
          </cell>
          <cell r="BG100">
            <v>0.38899999999999996</v>
          </cell>
          <cell r="BH100">
            <v>0.38899999999999996</v>
          </cell>
          <cell r="BI100">
            <v>0.38899999999999996</v>
          </cell>
          <cell r="BJ100">
            <v>0.38899999999999996</v>
          </cell>
          <cell r="BK100">
            <v>0.38899999999999996</v>
          </cell>
          <cell r="BL100">
            <v>0.374</v>
          </cell>
          <cell r="BM100">
            <v>0.374</v>
          </cell>
          <cell r="BN100">
            <v>0.374</v>
          </cell>
          <cell r="BO100">
            <v>0.374</v>
          </cell>
          <cell r="BP100">
            <v>0.374</v>
          </cell>
          <cell r="BQ100">
            <v>0.38400000000000001</v>
          </cell>
          <cell r="BR100">
            <v>0.38400000000000001</v>
          </cell>
          <cell r="BS100">
            <v>0.38400000000000001</v>
          </cell>
          <cell r="BT100">
            <v>0.38400000000000001</v>
          </cell>
          <cell r="BU100">
            <v>0.38400000000000001</v>
          </cell>
          <cell r="BV100">
            <v>0.38500000000000001</v>
          </cell>
          <cell r="BW100">
            <v>0.38500000000000001</v>
          </cell>
          <cell r="BX100">
            <v>0.38500000000000001</v>
          </cell>
          <cell r="BY100">
            <v>0.38500000000000001</v>
          </cell>
          <cell r="BZ100">
            <v>0.38500000000000001</v>
          </cell>
          <cell r="CA100">
            <v>0.39299999999999996</v>
          </cell>
          <cell r="CB100">
            <v>0.39299999999999996</v>
          </cell>
          <cell r="CC100">
            <v>0.39299999999999996</v>
          </cell>
          <cell r="CD100">
            <v>0.39299999999999996</v>
          </cell>
          <cell r="CE100">
            <v>0.39299999999999996</v>
          </cell>
          <cell r="CF100">
            <v>0.35499999999999998</v>
          </cell>
          <cell r="CG100">
            <v>0.35499999999999998</v>
          </cell>
          <cell r="CH100">
            <v>0.35499999999999998</v>
          </cell>
          <cell r="CI100">
            <v>0.35499999999999998</v>
          </cell>
          <cell r="CJ100">
            <v>0.35499999999999998</v>
          </cell>
          <cell r="CK100">
            <v>0.38899999999999996</v>
          </cell>
          <cell r="CL100">
            <v>0.38899999999999996</v>
          </cell>
          <cell r="CM100">
            <v>0.38899999999999996</v>
          </cell>
          <cell r="CN100">
            <v>0.38899999999999996</v>
          </cell>
          <cell r="CO100">
            <v>0.38899999999999996</v>
          </cell>
          <cell r="CP100">
            <v>0.38899999999999996</v>
          </cell>
          <cell r="CQ100">
            <v>0.38899999999999996</v>
          </cell>
          <cell r="CR100">
            <v>0.38899999999999996</v>
          </cell>
          <cell r="CS100">
            <v>0.38899999999999996</v>
          </cell>
          <cell r="CT100">
            <v>0.38899999999999996</v>
          </cell>
          <cell r="CU100">
            <v>0.38899999999999996</v>
          </cell>
          <cell r="CV100">
            <v>0.38899999999999996</v>
          </cell>
          <cell r="CW100">
            <v>0.38899999999999996</v>
          </cell>
          <cell r="CX100">
            <v>0.38899999999999996</v>
          </cell>
          <cell r="CY100">
            <v>0.38899999999999996</v>
          </cell>
          <cell r="CZ100">
            <v>0.38899999999999996</v>
          </cell>
          <cell r="DA100">
            <v>0.38899999999999996</v>
          </cell>
          <cell r="DB100">
            <v>0.38899999999999996</v>
          </cell>
          <cell r="DC100">
            <v>0.38899999999999996</v>
          </cell>
          <cell r="DD100">
            <v>0.38899999999999996</v>
          </cell>
          <cell r="DE100">
            <v>0.38899999999999996</v>
          </cell>
          <cell r="DF100">
            <v>0.38899999999999996</v>
          </cell>
          <cell r="DG100">
            <v>0.38899999999999996</v>
          </cell>
          <cell r="DH100">
            <v>0.38899999999999996</v>
          </cell>
          <cell r="DI100">
            <v>0.38899999999999996</v>
          </cell>
          <cell r="DK100" t="str">
            <v>mstag:statutoryTaxRate</v>
          </cell>
          <cell r="DL100">
            <v>0</v>
          </cell>
          <cell r="DM100" t="str">
            <v>ms_eqr_gcim_Decimal:ms_eqr_gcim_decimal</v>
          </cell>
          <cell r="DN100" t="b">
            <v>0</v>
          </cell>
          <cell r="DO100" t="b">
            <v>0</v>
          </cell>
        </row>
        <row r="101">
          <cell r="B101" t="str">
            <v>Unrecorded Goodwill from Poolings</v>
          </cell>
          <cell r="AW101" t="str">
            <v>ND</v>
          </cell>
          <cell r="AX101" t="str">
            <v>ND</v>
          </cell>
          <cell r="AY101" t="str">
            <v>ND</v>
          </cell>
          <cell r="AZ101" t="str">
            <v>ND</v>
          </cell>
          <cell r="BA101" t="str">
            <v>ND</v>
          </cell>
          <cell r="BB101" t="str">
            <v>ND</v>
          </cell>
          <cell r="BC101" t="str">
            <v>ND</v>
          </cell>
          <cell r="BD101" t="str">
            <v>ND</v>
          </cell>
          <cell r="BE101" t="str">
            <v>ND</v>
          </cell>
          <cell r="BF101" t="str">
            <v>ND</v>
          </cell>
          <cell r="BG101" t="str">
            <v>ND</v>
          </cell>
          <cell r="BH101" t="str">
            <v>ND</v>
          </cell>
          <cell r="BI101" t="str">
            <v>ND</v>
          </cell>
          <cell r="BJ101" t="str">
            <v>ND</v>
          </cell>
          <cell r="BK101" t="str">
            <v>ND</v>
          </cell>
          <cell r="BL101" t="str">
            <v>ND</v>
          </cell>
          <cell r="BM101" t="str">
            <v>ND</v>
          </cell>
          <cell r="BN101" t="str">
            <v>ND</v>
          </cell>
          <cell r="BO101" t="str">
            <v>ND</v>
          </cell>
          <cell r="BP101" t="str">
            <v>ND</v>
          </cell>
          <cell r="BQ101" t="str">
            <v>ND</v>
          </cell>
          <cell r="BR101" t="str">
            <v>ND</v>
          </cell>
          <cell r="BS101" t="str">
            <v>ND</v>
          </cell>
          <cell r="BT101" t="str">
            <v>ND</v>
          </cell>
          <cell r="BU101" t="str">
            <v>ND</v>
          </cell>
          <cell r="BV101" t="str">
            <v>ND</v>
          </cell>
          <cell r="BW101" t="str">
            <v>ND</v>
          </cell>
          <cell r="BX101" t="str">
            <v>ND</v>
          </cell>
          <cell r="BY101" t="str">
            <v>ND</v>
          </cell>
          <cell r="BZ101" t="str">
            <v>ND</v>
          </cell>
          <cell r="CA101" t="str">
            <v>ND</v>
          </cell>
          <cell r="CB101" t="str">
            <v>ND</v>
          </cell>
          <cell r="CC101" t="str">
            <v>ND</v>
          </cell>
          <cell r="CD101" t="str">
            <v>ND</v>
          </cell>
          <cell r="CE101" t="str">
            <v>ND</v>
          </cell>
          <cell r="CF101" t="str">
            <v>ND</v>
          </cell>
          <cell r="CG101" t="str">
            <v>ND</v>
          </cell>
          <cell r="CH101" t="str">
            <v>ND</v>
          </cell>
          <cell r="CI101" t="str">
            <v>ND</v>
          </cell>
          <cell r="CJ101" t="str">
            <v>ND</v>
          </cell>
          <cell r="CK101" t="str">
            <v>ND</v>
          </cell>
          <cell r="CL101" t="str">
            <v>ND</v>
          </cell>
          <cell r="CM101" t="str">
            <v>ND</v>
          </cell>
          <cell r="CN101" t="str">
            <v>ND</v>
          </cell>
          <cell r="CO101" t="str">
            <v>ND</v>
          </cell>
          <cell r="CP101" t="str">
            <v>ND</v>
          </cell>
          <cell r="CQ101" t="str">
            <v>ND</v>
          </cell>
          <cell r="CR101" t="str">
            <v>ND</v>
          </cell>
          <cell r="CS101" t="str">
            <v>ND</v>
          </cell>
          <cell r="CT101" t="str">
            <v>ND</v>
          </cell>
          <cell r="CU101" t="str">
            <v>ND</v>
          </cell>
          <cell r="CV101" t="str">
            <v>ND</v>
          </cell>
          <cell r="CW101" t="str">
            <v>ND</v>
          </cell>
          <cell r="CX101" t="str">
            <v>ND</v>
          </cell>
          <cell r="CY101" t="str">
            <v>ND</v>
          </cell>
          <cell r="CZ101" t="str">
            <v>ND</v>
          </cell>
          <cell r="DA101" t="str">
            <v>ND</v>
          </cell>
          <cell r="DB101" t="str">
            <v>ND</v>
          </cell>
          <cell r="DC101" t="str">
            <v>ND</v>
          </cell>
          <cell r="DD101" t="str">
            <v>ND</v>
          </cell>
          <cell r="DE101" t="str">
            <v>ND</v>
          </cell>
          <cell r="DF101" t="str">
            <v>ND</v>
          </cell>
          <cell r="DG101" t="str">
            <v>ND</v>
          </cell>
          <cell r="DH101" t="str">
            <v>ND</v>
          </cell>
          <cell r="DI101" t="str">
            <v>ND</v>
          </cell>
          <cell r="DK101" t="str">
            <v>mstag:unrecordedGoodwillFromPoolingAndAmortizedOrWrittenOffGoodwill</v>
          </cell>
          <cell r="DL101">
            <v>6</v>
          </cell>
          <cell r="DM101" t="str">
            <v>ISO4217:USD</v>
          </cell>
          <cell r="DN101" t="b">
            <v>0</v>
          </cell>
        </row>
        <row r="102">
          <cell r="AW102" t="str">
            <v>2004-Q1</v>
          </cell>
          <cell r="AX102" t="str">
            <v>2004-Q2</v>
          </cell>
          <cell r="AY102" t="str">
            <v>2004-Q3</v>
          </cell>
          <cell r="AZ102" t="str">
            <v>2004-Q4</v>
          </cell>
          <cell r="BA102" t="str">
            <v>2004-FY</v>
          </cell>
          <cell r="BB102" t="str">
            <v>2005-Q1</v>
          </cell>
          <cell r="BC102" t="str">
            <v>2005-Q2</v>
          </cell>
          <cell r="BD102" t="str">
            <v>2005-Q3</v>
          </cell>
          <cell r="BE102" t="str">
            <v>2005-Q4</v>
          </cell>
          <cell r="BF102" t="str">
            <v>2005-FY</v>
          </cell>
          <cell r="BG102" t="str">
            <v>2006-Q1</v>
          </cell>
          <cell r="BH102" t="str">
            <v>2006-Q2</v>
          </cell>
          <cell r="BI102" t="str">
            <v>2006-Q3</v>
          </cell>
          <cell r="BJ102" t="str">
            <v>2006-Q4</v>
          </cell>
          <cell r="BK102" t="str">
            <v>2006-FY</v>
          </cell>
          <cell r="BL102" t="str">
            <v>2007-Q1</v>
          </cell>
          <cell r="BM102" t="str">
            <v>2007-Q2</v>
          </cell>
          <cell r="BN102" t="str">
            <v>2007-Q3</v>
          </cell>
          <cell r="BO102" t="str">
            <v>2007-Q4</v>
          </cell>
          <cell r="BP102" t="str">
            <v>2007-FY</v>
          </cell>
          <cell r="BQ102" t="str">
            <v>2008-Q1</v>
          </cell>
          <cell r="BR102" t="str">
            <v>2008-Q2</v>
          </cell>
          <cell r="BS102" t="str">
            <v>2008-Q3</v>
          </cell>
          <cell r="BT102" t="str">
            <v>2008-Q4</v>
          </cell>
          <cell r="BU102" t="str">
            <v>2008-FY</v>
          </cell>
          <cell r="BV102" t="str">
            <v>2009-Q1</v>
          </cell>
          <cell r="BW102" t="str">
            <v>2009-Q2</v>
          </cell>
          <cell r="BX102" t="str">
            <v>2009-Q3</v>
          </cell>
          <cell r="BY102" t="str">
            <v>2009-Q4</v>
          </cell>
          <cell r="BZ102" t="str">
            <v>2009-FY</v>
          </cell>
          <cell r="CA102" t="str">
            <v>2010-Q1</v>
          </cell>
          <cell r="CB102" t="str">
            <v>2010-Q2</v>
          </cell>
          <cell r="CC102" t="str">
            <v>2010-Q3</v>
          </cell>
          <cell r="CD102" t="str">
            <v>2010-Q4</v>
          </cell>
          <cell r="CE102" t="str">
            <v>2010-FY</v>
          </cell>
          <cell r="CF102" t="str">
            <v>2011-Q1</v>
          </cell>
          <cell r="CG102" t="str">
            <v>2011-Q2</v>
          </cell>
          <cell r="CH102" t="str">
            <v>2011-Q3</v>
          </cell>
          <cell r="CI102" t="str">
            <v>2011-Q4</v>
          </cell>
          <cell r="CJ102" t="str">
            <v>2011-FY</v>
          </cell>
          <cell r="CK102" t="str">
            <v>2012-Q1</v>
          </cell>
          <cell r="CL102" t="str">
            <v>2012-Q2</v>
          </cell>
          <cell r="CM102" t="str">
            <v>2012-Q3</v>
          </cell>
          <cell r="CN102" t="str">
            <v>2012-Q4</v>
          </cell>
          <cell r="CO102" t="str">
            <v>2012-FY</v>
          </cell>
          <cell r="CP102" t="str">
            <v>2013-Q1</v>
          </cell>
          <cell r="CQ102" t="str">
            <v>2013-Q2</v>
          </cell>
          <cell r="CR102" t="str">
            <v>2013-Q3</v>
          </cell>
          <cell r="CS102" t="str">
            <v>2013-Q4</v>
          </cell>
          <cell r="CT102" t="str">
            <v>2013-FY</v>
          </cell>
          <cell r="CU102" t="str">
            <v>2014-Q1</v>
          </cell>
          <cell r="CV102" t="str">
            <v>2014-Q2</v>
          </cell>
          <cell r="CW102" t="str">
            <v>2014-Q3</v>
          </cell>
          <cell r="CX102" t="str">
            <v>2014-Q4</v>
          </cell>
          <cell r="CY102" t="str">
            <v>2014-FY</v>
          </cell>
          <cell r="CZ102" t="str">
            <v>2015-Q1</v>
          </cell>
          <cell r="DA102" t="str">
            <v>2015-Q2</v>
          </cell>
          <cell r="DB102" t="str">
            <v>2015-Q3</v>
          </cell>
          <cell r="DC102" t="str">
            <v>2015-Q4</v>
          </cell>
          <cell r="DD102" t="str">
            <v>2015-FY</v>
          </cell>
          <cell r="DE102" t="str">
            <v>2016-Q1</v>
          </cell>
          <cell r="DF102" t="str">
            <v>2016-Q2</v>
          </cell>
          <cell r="DG102" t="str">
            <v>2016-Q3</v>
          </cell>
          <cell r="DH102" t="str">
            <v>2016-Q4</v>
          </cell>
          <cell r="DI102" t="str">
            <v>2016-FY</v>
          </cell>
        </row>
        <row r="103">
          <cell r="AW103" t="str">
            <v>2004-Q1</v>
          </cell>
          <cell r="AX103" t="str">
            <v>2004-Q2</v>
          </cell>
          <cell r="AY103" t="str">
            <v>2004-Q3</v>
          </cell>
          <cell r="AZ103" t="str">
            <v>2004-Q4</v>
          </cell>
          <cell r="BA103" t="str">
            <v>2004-FY</v>
          </cell>
          <cell r="BB103" t="str">
            <v>2005-Q1</v>
          </cell>
          <cell r="BC103" t="str">
            <v>2005-Q2</v>
          </cell>
          <cell r="BD103" t="str">
            <v>2005-Q3</v>
          </cell>
          <cell r="BE103" t="str">
            <v>2005-Q4</v>
          </cell>
          <cell r="BF103" t="str">
            <v>2005-FY</v>
          </cell>
          <cell r="BG103" t="str">
            <v>2006-Q1</v>
          </cell>
          <cell r="BH103" t="str">
            <v>2006-Q2</v>
          </cell>
          <cell r="BI103" t="str">
            <v>2006-Q3</v>
          </cell>
          <cell r="BJ103" t="str">
            <v>2006-Q4</v>
          </cell>
          <cell r="BK103" t="str">
            <v>2006-FY</v>
          </cell>
          <cell r="BL103" t="str">
            <v>2007-Q1</v>
          </cell>
          <cell r="BM103" t="str">
            <v>2007-Q2</v>
          </cell>
          <cell r="BN103" t="str">
            <v>2007-Q3</v>
          </cell>
          <cell r="BO103" t="str">
            <v>2007-Q4</v>
          </cell>
          <cell r="BP103" t="str">
            <v>2007-FY</v>
          </cell>
          <cell r="BQ103" t="str">
            <v>2008-Q1</v>
          </cell>
          <cell r="BR103" t="str">
            <v>2008-Q2</v>
          </cell>
          <cell r="BS103" t="str">
            <v>2008-Q3</v>
          </cell>
          <cell r="BT103" t="str">
            <v>2008-Q4</v>
          </cell>
          <cell r="BU103" t="str">
            <v>2008-FY</v>
          </cell>
          <cell r="BV103" t="str">
            <v>2009-Q1</v>
          </cell>
          <cell r="BW103" t="str">
            <v>2009-Q2</v>
          </cell>
          <cell r="BX103" t="str">
            <v>2009-Q3</v>
          </cell>
          <cell r="BY103" t="str">
            <v>2009-Q4</v>
          </cell>
          <cell r="BZ103" t="str">
            <v>2009-FY</v>
          </cell>
          <cell r="CA103" t="str">
            <v>2010-Q1</v>
          </cell>
          <cell r="CB103" t="str">
            <v>2010-Q2</v>
          </cell>
          <cell r="CC103" t="str">
            <v>2010-Q3</v>
          </cell>
          <cell r="CD103" t="str">
            <v>2010-Q4</v>
          </cell>
          <cell r="CE103" t="str">
            <v>2010-FY</v>
          </cell>
          <cell r="CF103" t="str">
            <v>2011-Q1</v>
          </cell>
          <cell r="CG103" t="str">
            <v>2011-Q2</v>
          </cell>
          <cell r="CH103" t="str">
            <v>2011-Q3</v>
          </cell>
          <cell r="CI103" t="str">
            <v>2011-Q4</v>
          </cell>
          <cell r="CJ103" t="str">
            <v>2011-FY</v>
          </cell>
          <cell r="CK103" t="str">
            <v>2012-Q1</v>
          </cell>
          <cell r="CL103" t="str">
            <v>2012-Q2</v>
          </cell>
          <cell r="CM103" t="str">
            <v>2012-Q3</v>
          </cell>
          <cell r="CN103" t="str">
            <v>2012-Q4</v>
          </cell>
          <cell r="CO103" t="str">
            <v>2012-FY</v>
          </cell>
          <cell r="CP103" t="str">
            <v>2013-Q1</v>
          </cell>
          <cell r="CQ103" t="str">
            <v>2013-Q2</v>
          </cell>
          <cell r="CR103" t="str">
            <v>2013-Q3</v>
          </cell>
          <cell r="CS103" t="str">
            <v>2013-Q4</v>
          </cell>
          <cell r="CT103" t="str">
            <v>2013-FY</v>
          </cell>
          <cell r="CU103" t="str">
            <v>2014-Q1</v>
          </cell>
          <cell r="CV103" t="str">
            <v>2014-Q2</v>
          </cell>
          <cell r="CW103" t="str">
            <v>2014-Q3</v>
          </cell>
          <cell r="CX103" t="str">
            <v>2014-Q4</v>
          </cell>
          <cell r="CY103" t="str">
            <v>2014-FY</v>
          </cell>
          <cell r="CZ103" t="str">
            <v>2015-Q1</v>
          </cell>
          <cell r="DA103" t="str">
            <v>2015-Q2</v>
          </cell>
          <cell r="DB103" t="str">
            <v>2015-Q3</v>
          </cell>
          <cell r="DC103" t="str">
            <v>2015-Q4</v>
          </cell>
          <cell r="DD103" t="str">
            <v>2015-FY</v>
          </cell>
          <cell r="DE103" t="str">
            <v>2016-Q1</v>
          </cell>
          <cell r="DF103" t="str">
            <v>2016-Q2</v>
          </cell>
          <cell r="DG103" t="str">
            <v>2016-Q3</v>
          </cell>
          <cell r="DH103" t="str">
            <v>2016-Q4</v>
          </cell>
          <cell r="DI103" t="str">
            <v>2016-FY</v>
          </cell>
        </row>
        <row r="104">
          <cell r="B104" t="str">
            <v>Net Revenue</v>
          </cell>
          <cell r="D104">
            <v>211.79300000000001</v>
          </cell>
          <cell r="E104">
            <v>245.24700000000001</v>
          </cell>
          <cell r="F104">
            <v>301.88299999999998</v>
          </cell>
          <cell r="G104">
            <v>346.767</v>
          </cell>
          <cell r="H104">
            <v>438.36599999999999</v>
          </cell>
          <cell r="I104">
            <v>531.09400000000005</v>
          </cell>
          <cell r="J104">
            <v>714.31700000000001</v>
          </cell>
          <cell r="K104">
            <v>895.48199999999997</v>
          </cell>
          <cell r="L104">
            <v>1138.8019999999999</v>
          </cell>
          <cell r="Q104">
            <v>1355.7070000000001</v>
          </cell>
          <cell r="V104">
            <v>1577.7670000000001</v>
          </cell>
          <cell r="AA104">
            <v>1879.8009999999999</v>
          </cell>
          <cell r="AF104">
            <v>2262.6010000000001</v>
          </cell>
          <cell r="AK104">
            <v>2560.576</v>
          </cell>
          <cell r="AP104">
            <v>3205.8850000000002</v>
          </cell>
          <cell r="AU104">
            <v>3588.8220000000001</v>
          </cell>
          <cell r="BK104">
            <v>4056.5990000000002</v>
          </cell>
          <cell r="BP104">
            <v>4392.0860000000002</v>
          </cell>
          <cell r="BU104">
            <v>4451.6109999999999</v>
          </cell>
          <cell r="BZ104">
            <v>4617.143</v>
          </cell>
          <cell r="CE104">
            <v>5114.9970000000003</v>
          </cell>
          <cell r="CJ104">
            <v>5804.451</v>
          </cell>
        </row>
        <row r="105">
          <cell r="B105" t="str">
            <v>Net Revenue</v>
          </cell>
          <cell r="D105">
            <v>211.79300000000001</v>
          </cell>
          <cell r="E105">
            <v>245.24700000000001</v>
          </cell>
          <cell r="F105">
            <v>301.88299999999998</v>
          </cell>
          <cell r="G105">
            <v>346.767</v>
          </cell>
          <cell r="H105">
            <v>438.36599999999999</v>
          </cell>
          <cell r="I105">
            <v>531.09400000000005</v>
          </cell>
          <cell r="J105">
            <v>714.31700000000001</v>
          </cell>
          <cell r="K105">
            <v>895.48199999999997</v>
          </cell>
          <cell r="L105">
            <v>1138.8019999999999</v>
          </cell>
          <cell r="Q105">
            <v>1355.7070000000001</v>
          </cell>
          <cell r="V105">
            <v>1577.7670000000001</v>
          </cell>
          <cell r="AA105">
            <v>1879.8009999999999</v>
          </cell>
          <cell r="AF105">
            <v>2262.6010000000001</v>
          </cell>
          <cell r="AK105">
            <v>2560.576</v>
          </cell>
          <cell r="AP105">
            <v>3205.8850000000002</v>
          </cell>
          <cell r="AU105">
            <v>3588.8220000000001</v>
          </cell>
          <cell r="BK105">
            <v>4056.5990000000002</v>
          </cell>
          <cell r="BP105">
            <v>4392.0860000000002</v>
          </cell>
          <cell r="BU105">
            <v>4451.6109999999999</v>
          </cell>
          <cell r="BZ105">
            <v>4617.143</v>
          </cell>
          <cell r="CE105">
            <v>5114.9970000000003</v>
          </cell>
          <cell r="CJ105">
            <v>5804.451</v>
          </cell>
        </row>
        <row r="106">
          <cell r="B106" t="str">
            <v>Diluted EPS</v>
          </cell>
          <cell r="E106">
            <v>6.9647919524462698E-2</v>
          </cell>
          <cell r="F106">
            <v>0.10534979423868308</v>
          </cell>
          <cell r="G106">
            <v>0.14353909465020576</v>
          </cell>
          <cell r="H106">
            <v>0.19358024691358022</v>
          </cell>
          <cell r="I106">
            <v>0.26074074074074072</v>
          </cell>
          <cell r="J106">
            <v>0.33777777777777773</v>
          </cell>
          <cell r="K106">
            <v>0.43333333333333335</v>
          </cell>
          <cell r="L106">
            <v>0.54</v>
          </cell>
          <cell r="Q106">
            <v>0.59</v>
          </cell>
          <cell r="V106">
            <v>0.68</v>
          </cell>
          <cell r="AA106">
            <v>0.76</v>
          </cell>
          <cell r="AF106">
            <v>0.97</v>
          </cell>
          <cell r="AK106">
            <v>1.1299999999999999</v>
          </cell>
          <cell r="AP106">
            <v>1.32</v>
          </cell>
          <cell r="AU106">
            <v>1.42</v>
          </cell>
          <cell r="BK106">
            <v>0.75</v>
          </cell>
          <cell r="BP106">
            <v>0.49</v>
          </cell>
          <cell r="BU106">
            <v>0.68</v>
          </cell>
          <cell r="BZ106">
            <v>0.56000000000000005</v>
          </cell>
          <cell r="CE106">
            <v>0.6</v>
          </cell>
          <cell r="CJ106">
            <v>0.7</v>
          </cell>
        </row>
        <row r="107">
          <cell r="B107" t="str">
            <v>Check</v>
          </cell>
        </row>
        <row r="108">
          <cell r="B108" t="str">
            <v>Check</v>
          </cell>
          <cell r="D108">
            <v>0</v>
          </cell>
          <cell r="E108">
            <v>0</v>
          </cell>
          <cell r="F108">
            <v>0</v>
          </cell>
          <cell r="G108">
            <v>0</v>
          </cell>
          <cell r="H108">
            <v>0</v>
          </cell>
          <cell r="I108">
            <v>0</v>
          </cell>
          <cell r="J108">
            <v>0</v>
          </cell>
          <cell r="K108">
            <v>0</v>
          </cell>
          <cell r="L108">
            <v>0</v>
          </cell>
          <cell r="Q108">
            <v>0</v>
          </cell>
          <cell r="V108">
            <v>0</v>
          </cell>
          <cell r="AA108">
            <v>0</v>
          </cell>
          <cell r="AF108">
            <v>0</v>
          </cell>
          <cell r="AK108">
            <v>0</v>
          </cell>
          <cell r="AP108">
            <v>0</v>
          </cell>
          <cell r="AU108">
            <v>9.3369999999999891</v>
          </cell>
          <cell r="BK108">
            <v>-44.911000000000058</v>
          </cell>
          <cell r="BP108">
            <v>-17.074999999999818</v>
          </cell>
          <cell r="BU108">
            <v>0</v>
          </cell>
          <cell r="BZ108">
            <v>-47.005999999999403</v>
          </cell>
          <cell r="CE108">
            <v>-40.527000000000044</v>
          </cell>
          <cell r="CJ108">
            <v>-8.5610000000006039</v>
          </cell>
        </row>
        <row r="109">
          <cell r="B109" t="str">
            <v>Net Revenue</v>
          </cell>
          <cell r="D109">
            <v>0</v>
          </cell>
          <cell r="E109">
            <v>0</v>
          </cell>
          <cell r="F109">
            <v>0</v>
          </cell>
          <cell r="G109">
            <v>0</v>
          </cell>
          <cell r="H109">
            <v>0</v>
          </cell>
          <cell r="I109">
            <v>0</v>
          </cell>
          <cell r="J109">
            <v>0</v>
          </cell>
          <cell r="K109">
            <v>0</v>
          </cell>
          <cell r="L109">
            <v>0</v>
          </cell>
          <cell r="Q109">
            <v>0</v>
          </cell>
          <cell r="V109">
            <v>0</v>
          </cell>
          <cell r="AA109">
            <v>0</v>
          </cell>
          <cell r="AF109">
            <v>0</v>
          </cell>
          <cell r="AK109">
            <v>0</v>
          </cell>
          <cell r="AP109">
            <v>0</v>
          </cell>
          <cell r="AU109">
            <v>9.3369999999999891</v>
          </cell>
          <cell r="BK109">
            <v>-44.911000000000058</v>
          </cell>
          <cell r="BP109">
            <v>-17.074999999999818</v>
          </cell>
          <cell r="BU109">
            <v>0</v>
          </cell>
          <cell r="BZ109">
            <v>-47.005999999999403</v>
          </cell>
          <cell r="CE109">
            <v>-40.527000000000044</v>
          </cell>
          <cell r="CJ109">
            <v>-8.5610000000006039</v>
          </cell>
        </row>
        <row r="110">
          <cell r="B110" t="str">
            <v>Diluted EPS</v>
          </cell>
          <cell r="E110">
            <v>2.5157693373513423E-4</v>
          </cell>
          <cell r="F110">
            <v>-1.8582176991854826E-6</v>
          </cell>
          <cell r="G110">
            <v>2.9672025711207362E-3</v>
          </cell>
          <cell r="H110">
            <v>6.3907410128269393E-4</v>
          </cell>
          <cell r="I110">
            <v>3.2188955914913553E-4</v>
          </cell>
          <cell r="J110">
            <v>-5.825111841463726E-4</v>
          </cell>
          <cell r="K110">
            <v>2.9666622963324119E-3</v>
          </cell>
          <cell r="L110">
            <v>4.5642179399398852E-3</v>
          </cell>
          <cell r="Q110">
            <v>2.5269046956291064E-3</v>
          </cell>
          <cell r="V110">
            <v>1.946642833745571E-3</v>
          </cell>
          <cell r="AA110">
            <v>2.2427605721181187E-2</v>
          </cell>
          <cell r="AF110">
            <v>2.4500251303518183E-2</v>
          </cell>
          <cell r="AK110">
            <v>2.2373106563911227E-2</v>
          </cell>
          <cell r="AP110">
            <v>2.8818681986504391E-3</v>
          </cell>
          <cell r="AU110">
            <v>1.8874108347788354E-3</v>
          </cell>
          <cell r="BK110">
            <v>-1.0027122544594702E-3</v>
          </cell>
          <cell r="BP110">
            <v>9.3550479562853894E-4</v>
          </cell>
          <cell r="BU110">
            <v>-3.4688213968959714E-3</v>
          </cell>
          <cell r="BZ110">
            <v>4.7942016075408489E-4</v>
          </cell>
          <cell r="CE110">
            <v>2.3679243028825736E-3</v>
          </cell>
          <cell r="CJ110">
            <v>-7.2185604441987739E-4</v>
          </cell>
        </row>
      </sheetData>
      <sheetData sheetId="4" refreshError="1">
        <row r="1">
          <cell r="A1" t="str">
            <v>Health Management Associates</v>
          </cell>
        </row>
        <row r="2">
          <cell r="A2" t="str">
            <v>Andrew Schenker (212) 761-6857</v>
          </cell>
        </row>
        <row r="3">
          <cell r="A3" t="str">
            <v>Balance Sheet &amp; Cash Flow Statement</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Cash &amp; equivalents</v>
          </cell>
          <cell r="D7">
            <v>3.0379999999999998</v>
          </cell>
          <cell r="E7">
            <v>0.156</v>
          </cell>
          <cell r="F7">
            <v>25.248999999999999</v>
          </cell>
          <cell r="G7">
            <v>74.376000000000005</v>
          </cell>
          <cell r="H7">
            <v>109.384</v>
          </cell>
          <cell r="I7">
            <v>75.325999999999993</v>
          </cell>
          <cell r="J7">
            <v>31.172000000000001</v>
          </cell>
          <cell r="K7">
            <v>67.381</v>
          </cell>
          <cell r="L7">
            <v>12.685</v>
          </cell>
          <cell r="M7">
            <v>8.5739999999999998</v>
          </cell>
          <cell r="N7">
            <v>20.184999999999999</v>
          </cell>
          <cell r="O7">
            <v>11.722</v>
          </cell>
          <cell r="P7">
            <v>12.926</v>
          </cell>
          <cell r="Q7">
            <v>12.926</v>
          </cell>
          <cell r="R7">
            <v>24.673999999999999</v>
          </cell>
          <cell r="S7">
            <v>24.4</v>
          </cell>
          <cell r="T7">
            <v>23.34</v>
          </cell>
          <cell r="U7">
            <v>16.471</v>
          </cell>
          <cell r="V7">
            <v>16.471</v>
          </cell>
          <cell r="W7">
            <v>34.051000000000002</v>
          </cell>
          <cell r="X7">
            <v>41.548000000000002</v>
          </cell>
          <cell r="Y7">
            <v>49.649000000000001</v>
          </cell>
          <cell r="Z7">
            <v>70.263000000000005</v>
          </cell>
          <cell r="AA7">
            <v>70.263000000000005</v>
          </cell>
          <cell r="AB7">
            <v>118.16</v>
          </cell>
          <cell r="AC7">
            <v>113.015</v>
          </cell>
          <cell r="AD7">
            <v>149.62</v>
          </cell>
          <cell r="AE7">
            <v>123.736</v>
          </cell>
          <cell r="AF7">
            <v>123.736</v>
          </cell>
          <cell r="AG7">
            <v>189.30099999999999</v>
          </cell>
          <cell r="AH7">
            <v>160.66</v>
          </cell>
          <cell r="AI7">
            <v>248.274</v>
          </cell>
          <cell r="AJ7">
            <v>395.33800000000002</v>
          </cell>
          <cell r="AK7">
            <v>395.33800000000002</v>
          </cell>
          <cell r="AL7">
            <v>119.35</v>
          </cell>
          <cell r="AM7">
            <v>102.794</v>
          </cell>
          <cell r="AN7">
            <v>115.61199999999999</v>
          </cell>
          <cell r="AO7">
            <v>112.946</v>
          </cell>
          <cell r="AP7">
            <v>112.946</v>
          </cell>
          <cell r="AQ7">
            <v>192.44300000000001</v>
          </cell>
          <cell r="AR7">
            <v>88.611999999999995</v>
          </cell>
          <cell r="AS7">
            <v>109.211</v>
          </cell>
          <cell r="AT7">
            <v>78.575000000000003</v>
          </cell>
          <cell r="AU7">
            <v>78.575000000000003</v>
          </cell>
          <cell r="AW7">
            <v>102.79400000000001</v>
          </cell>
          <cell r="AX7">
            <v>115.61200000000001</v>
          </cell>
          <cell r="AY7">
            <v>112.94599999999996</v>
          </cell>
          <cell r="AZ7">
            <v>192.44299999999998</v>
          </cell>
          <cell r="BA7">
            <v>192.44299999999998</v>
          </cell>
          <cell r="BB7">
            <v>88.611999999999995</v>
          </cell>
          <cell r="BC7">
            <v>109.211</v>
          </cell>
          <cell r="BD7">
            <v>78.575000000000003</v>
          </cell>
          <cell r="BE7">
            <v>137.25899999999999</v>
          </cell>
          <cell r="BF7">
            <v>137.25899999999999</v>
          </cell>
          <cell r="BG7">
            <v>134.62299999999999</v>
          </cell>
          <cell r="BH7">
            <v>156.458</v>
          </cell>
          <cell r="BI7">
            <v>55.896000000000001</v>
          </cell>
          <cell r="BJ7">
            <v>66.813999999999993</v>
          </cell>
          <cell r="BK7">
            <v>66.813999999999993</v>
          </cell>
          <cell r="BL7">
            <v>98.575000000000003</v>
          </cell>
          <cell r="BM7">
            <v>110.41200000000001</v>
          </cell>
          <cell r="BN7">
            <v>114.621</v>
          </cell>
          <cell r="BO7">
            <v>123.98699999999999</v>
          </cell>
          <cell r="BP7">
            <v>123.98699999999999</v>
          </cell>
          <cell r="BQ7">
            <v>454.86799999999999</v>
          </cell>
          <cell r="BR7">
            <v>414.48599999999999</v>
          </cell>
          <cell r="BS7">
            <v>180.03200000000001</v>
          </cell>
          <cell r="BT7">
            <v>143.614</v>
          </cell>
          <cell r="BU7">
            <v>143.614</v>
          </cell>
          <cell r="BV7">
            <v>102.887</v>
          </cell>
          <cell r="BW7">
            <v>164.60900000000001</v>
          </cell>
          <cell r="BX7">
            <v>222.346</v>
          </cell>
          <cell r="BY7">
            <v>106.018</v>
          </cell>
          <cell r="BZ7">
            <v>106.018</v>
          </cell>
          <cell r="CA7">
            <v>107.25700000000001</v>
          </cell>
          <cell r="CB7">
            <v>112.637</v>
          </cell>
          <cell r="CC7">
            <v>245.75399999999999</v>
          </cell>
          <cell r="CD7">
            <v>101.812</v>
          </cell>
          <cell r="CE7">
            <v>101.812</v>
          </cell>
          <cell r="CF7">
            <v>95.796000000000006</v>
          </cell>
          <cell r="CG7">
            <v>90.307000000000002</v>
          </cell>
          <cell r="CH7">
            <v>88.350999999999999</v>
          </cell>
          <cell r="CI7">
            <v>64.143000000000001</v>
          </cell>
          <cell r="CJ7">
            <v>64.143000000000001</v>
          </cell>
          <cell r="CK7">
            <v>8.3960000000000008</v>
          </cell>
          <cell r="CL7">
            <v>36.299999999999997</v>
          </cell>
          <cell r="CM7">
            <v>35.218000000000004</v>
          </cell>
          <cell r="CN7">
            <v>101.84678351970692</v>
          </cell>
          <cell r="CO7">
            <v>101.84678351970692</v>
          </cell>
          <cell r="CP7">
            <v>82.711528802885624</v>
          </cell>
          <cell r="CQ7">
            <v>266.29963063639877</v>
          </cell>
          <cell r="CR7">
            <v>302.15795985884716</v>
          </cell>
          <cell r="CS7">
            <v>308.12852222410754</v>
          </cell>
          <cell r="CT7">
            <v>308.12852222410754</v>
          </cell>
          <cell r="CU7">
            <v>262.91223588791439</v>
          </cell>
          <cell r="CV7">
            <v>484.43668306244962</v>
          </cell>
          <cell r="CW7">
            <v>557.49122702025977</v>
          </cell>
          <cell r="CX7">
            <v>597.73582125164444</v>
          </cell>
          <cell r="CY7">
            <v>597.73582125164444</v>
          </cell>
          <cell r="CZ7">
            <v>550.76664329887467</v>
          </cell>
          <cell r="DA7">
            <v>786.42378725743993</v>
          </cell>
          <cell r="DB7">
            <v>867.73243893973017</v>
          </cell>
          <cell r="DC7">
            <v>917.51272469925948</v>
          </cell>
          <cell r="DD7">
            <v>917.51272469925948</v>
          </cell>
          <cell r="DE7">
            <v>871.13221927605673</v>
          </cell>
          <cell r="DF7">
            <v>1120.4027336052493</v>
          </cell>
          <cell r="DG7">
            <v>1212.5970001733556</v>
          </cell>
          <cell r="DH7">
            <v>1273.0870374260107</v>
          </cell>
          <cell r="DI7">
            <v>1273.0870374260107</v>
          </cell>
          <cell r="DU7" t="str">
            <v>mstag:cashAndCashEquivalents</v>
          </cell>
          <cell r="DV7">
            <v>6</v>
          </cell>
          <cell r="DW7" t="str">
            <v>ISO4217:USD</v>
          </cell>
          <cell r="DX7" t="b">
            <v>0</v>
          </cell>
        </row>
        <row r="8">
          <cell r="B8" t="str">
            <v>Available for sale securities</v>
          </cell>
          <cell r="D8">
            <v>0.69</v>
          </cell>
          <cell r="E8">
            <v>0.504</v>
          </cell>
          <cell r="F8">
            <v>1.0149999999999999</v>
          </cell>
          <cell r="G8">
            <v>0.96699999999999997</v>
          </cell>
          <cell r="H8">
            <v>3.1749999999999998</v>
          </cell>
          <cell r="I8">
            <v>8.16</v>
          </cell>
          <cell r="J8">
            <v>11.435</v>
          </cell>
          <cell r="K8">
            <v>13.547000000000001</v>
          </cell>
          <cell r="L8">
            <v>24.38</v>
          </cell>
          <cell r="M8">
            <v>0</v>
          </cell>
          <cell r="N8">
            <v>0</v>
          </cell>
          <cell r="O8">
            <v>0</v>
          </cell>
          <cell r="P8">
            <v>26.917000000000002</v>
          </cell>
          <cell r="Q8">
            <v>26.917000000000002</v>
          </cell>
          <cell r="R8">
            <v>0</v>
          </cell>
          <cell r="S8">
            <v>0</v>
          </cell>
          <cell r="T8">
            <v>0</v>
          </cell>
          <cell r="U8">
            <v>29.07</v>
          </cell>
          <cell r="V8">
            <v>29.07</v>
          </cell>
          <cell r="W8">
            <v>0</v>
          </cell>
          <cell r="X8">
            <v>0</v>
          </cell>
          <cell r="Y8">
            <v>0</v>
          </cell>
          <cell r="Z8">
            <v>29.195</v>
          </cell>
          <cell r="AA8">
            <v>29.195</v>
          </cell>
          <cell r="AB8">
            <v>0</v>
          </cell>
          <cell r="AC8">
            <v>0</v>
          </cell>
          <cell r="AD8">
            <v>0</v>
          </cell>
          <cell r="AE8">
            <v>36.162999999999997</v>
          </cell>
          <cell r="AF8">
            <v>36.162999999999997</v>
          </cell>
          <cell r="AG8">
            <v>0</v>
          </cell>
          <cell r="AH8">
            <v>0</v>
          </cell>
          <cell r="AI8">
            <v>0</v>
          </cell>
          <cell r="AJ8">
            <v>34.466999999999999</v>
          </cell>
          <cell r="AK8">
            <v>34.466999999999999</v>
          </cell>
          <cell r="AL8">
            <v>0</v>
          </cell>
          <cell r="AM8">
            <v>0</v>
          </cell>
          <cell r="AN8">
            <v>0</v>
          </cell>
          <cell r="AO8">
            <v>38.103000000000002</v>
          </cell>
          <cell r="AP8">
            <v>38.103000000000002</v>
          </cell>
          <cell r="AQ8">
            <v>0</v>
          </cell>
          <cell r="AR8">
            <v>0</v>
          </cell>
          <cell r="AS8">
            <v>0</v>
          </cell>
          <cell r="AT8">
            <v>47.16</v>
          </cell>
          <cell r="AU8">
            <v>47.16</v>
          </cell>
          <cell r="AW8">
            <v>0</v>
          </cell>
          <cell r="AX8">
            <v>0</v>
          </cell>
          <cell r="AY8">
            <v>38.103000000000002</v>
          </cell>
          <cell r="AZ8">
            <v>0</v>
          </cell>
          <cell r="BA8">
            <v>0</v>
          </cell>
          <cell r="BB8">
            <v>0</v>
          </cell>
          <cell r="BC8">
            <v>0</v>
          </cell>
          <cell r="BD8">
            <v>47.16</v>
          </cell>
          <cell r="BE8">
            <v>0</v>
          </cell>
          <cell r="BF8">
            <v>0</v>
          </cell>
          <cell r="BG8">
            <v>0</v>
          </cell>
          <cell r="BH8">
            <v>0</v>
          </cell>
          <cell r="BI8">
            <v>0</v>
          </cell>
          <cell r="BJ8">
            <v>51.75</v>
          </cell>
          <cell r="BK8">
            <v>51.75</v>
          </cell>
          <cell r="BL8">
            <v>0</v>
          </cell>
          <cell r="BM8">
            <v>0</v>
          </cell>
          <cell r="BN8">
            <v>0</v>
          </cell>
          <cell r="BO8">
            <v>36.993000000000002</v>
          </cell>
          <cell r="BP8">
            <v>36.993000000000002</v>
          </cell>
          <cell r="BR8">
            <v>0</v>
          </cell>
          <cell r="BS8">
            <v>0</v>
          </cell>
          <cell r="BT8">
            <v>26.824999999999999</v>
          </cell>
          <cell r="BU8">
            <v>26.824999999999999</v>
          </cell>
          <cell r="BV8">
            <v>0</v>
          </cell>
          <cell r="BW8">
            <v>0</v>
          </cell>
          <cell r="BX8">
            <v>0</v>
          </cell>
          <cell r="BY8">
            <v>36.585000000000001</v>
          </cell>
          <cell r="BZ8">
            <v>36.585000000000001</v>
          </cell>
          <cell r="CA8">
            <v>72.215999999999994</v>
          </cell>
          <cell r="CB8">
            <v>140.39500000000001</v>
          </cell>
          <cell r="CC8">
            <v>33.845999999999997</v>
          </cell>
          <cell r="CD8">
            <v>57.326999999999998</v>
          </cell>
          <cell r="CE8">
            <v>57.326999999999998</v>
          </cell>
          <cell r="CF8">
            <v>131.874</v>
          </cell>
          <cell r="CG8">
            <v>140.43</v>
          </cell>
          <cell r="CH8">
            <v>37.484999999999999</v>
          </cell>
          <cell r="CI8">
            <v>122.277</v>
          </cell>
          <cell r="CJ8">
            <v>122.277</v>
          </cell>
          <cell r="CK8">
            <v>43.040999999999997</v>
          </cell>
          <cell r="CL8">
            <v>120.01600000000001</v>
          </cell>
          <cell r="CM8">
            <v>146.56899999999999</v>
          </cell>
          <cell r="CN8">
            <v>146.56899999999999</v>
          </cell>
          <cell r="CO8">
            <v>146.56899999999999</v>
          </cell>
          <cell r="CP8">
            <v>146.56899999999999</v>
          </cell>
          <cell r="CQ8">
            <v>146.56899999999999</v>
          </cell>
          <cell r="CR8">
            <v>146.56899999999999</v>
          </cell>
          <cell r="CS8">
            <v>146.56899999999999</v>
          </cell>
          <cell r="CT8">
            <v>146.56899999999999</v>
          </cell>
          <cell r="CU8">
            <v>146.56899999999999</v>
          </cell>
          <cell r="CV8">
            <v>146.56899999999999</v>
          </cell>
          <cell r="CW8">
            <v>146.56899999999999</v>
          </cell>
          <cell r="CX8">
            <v>146.56899999999999</v>
          </cell>
          <cell r="CY8">
            <v>146.56899999999999</v>
          </cell>
          <cell r="CZ8">
            <v>146.56899999999999</v>
          </cell>
          <cell r="DA8">
            <v>146.56899999999999</v>
          </cell>
          <cell r="DB8">
            <v>146.56899999999999</v>
          </cell>
          <cell r="DC8">
            <v>146.56899999999999</v>
          </cell>
          <cell r="DD8">
            <v>146.56899999999999</v>
          </cell>
          <cell r="DE8">
            <v>146.56899999999999</v>
          </cell>
          <cell r="DF8">
            <v>146.56899999999999</v>
          </cell>
          <cell r="DG8">
            <v>146.56899999999999</v>
          </cell>
          <cell r="DH8">
            <v>146.56899999999999</v>
          </cell>
          <cell r="DI8">
            <v>146.56899999999999</v>
          </cell>
          <cell r="DU8" t="str">
            <v>mstag:shortTermInvestments</v>
          </cell>
          <cell r="DV8">
            <v>6</v>
          </cell>
          <cell r="DW8" t="str">
            <v>ISO4217:USD</v>
          </cell>
          <cell r="DX8" t="b">
            <v>0</v>
          </cell>
        </row>
        <row r="9">
          <cell r="B9" t="str">
            <v>Accounts receivable, net</v>
          </cell>
          <cell r="D9">
            <v>31.44</v>
          </cell>
          <cell r="E9">
            <v>33.055</v>
          </cell>
          <cell r="F9">
            <v>24.466999999999999</v>
          </cell>
          <cell r="G9">
            <v>34.048999999999999</v>
          </cell>
          <cell r="H9">
            <v>52.198999999999998</v>
          </cell>
          <cell r="I9">
            <v>68.89</v>
          </cell>
          <cell r="J9">
            <v>103.11199999999999</v>
          </cell>
          <cell r="K9">
            <v>119.349</v>
          </cell>
          <cell r="L9">
            <v>219.16200000000001</v>
          </cell>
          <cell r="M9">
            <v>253.28200000000001</v>
          </cell>
          <cell r="N9">
            <v>257.99599999999998</v>
          </cell>
          <cell r="O9">
            <v>298.97899999999998</v>
          </cell>
          <cell r="P9">
            <v>311.988</v>
          </cell>
          <cell r="Q9">
            <v>311.988</v>
          </cell>
          <cell r="R9">
            <v>346.25299999999999</v>
          </cell>
          <cell r="S9">
            <v>351.74099999999999</v>
          </cell>
          <cell r="T9">
            <v>333.82100000000003</v>
          </cell>
          <cell r="U9">
            <v>343.58300000000003</v>
          </cell>
          <cell r="V9">
            <v>343.58300000000003</v>
          </cell>
          <cell r="W9">
            <v>398.56900000000002</v>
          </cell>
          <cell r="X9">
            <v>392.505</v>
          </cell>
          <cell r="Y9">
            <v>375.589</v>
          </cell>
          <cell r="Z9">
            <v>350.94099999999997</v>
          </cell>
          <cell r="AA9">
            <v>350.94099999999997</v>
          </cell>
          <cell r="AB9">
            <v>381.71300000000002</v>
          </cell>
          <cell r="AC9">
            <v>440.99900000000002</v>
          </cell>
          <cell r="AD9">
            <v>445.315</v>
          </cell>
          <cell r="AE9">
            <v>418.26400000000001</v>
          </cell>
          <cell r="AF9">
            <v>418.26400000000001</v>
          </cell>
          <cell r="AG9">
            <v>463.44200000000001</v>
          </cell>
          <cell r="AH9">
            <v>495.30700000000002</v>
          </cell>
          <cell r="AI9">
            <v>481.964</v>
          </cell>
          <cell r="AJ9">
            <v>492.78699999999998</v>
          </cell>
          <cell r="AK9">
            <v>492.78699999999998</v>
          </cell>
          <cell r="AL9">
            <v>627.02499999999998</v>
          </cell>
          <cell r="AM9">
            <v>664.42700000000002</v>
          </cell>
          <cell r="AN9">
            <v>632.31399999999996</v>
          </cell>
          <cell r="AO9">
            <v>588.04600000000005</v>
          </cell>
          <cell r="AP9">
            <v>588.04600000000005</v>
          </cell>
          <cell r="AQ9">
            <v>638.24</v>
          </cell>
          <cell r="AR9">
            <v>726.14400000000001</v>
          </cell>
          <cell r="AS9">
            <v>668.48099999999999</v>
          </cell>
          <cell r="AT9">
            <v>634.28</v>
          </cell>
          <cell r="AU9">
            <v>634.28</v>
          </cell>
          <cell r="AW9">
            <v>664.42700000000002</v>
          </cell>
          <cell r="AX9">
            <v>632.31399999999996</v>
          </cell>
          <cell r="AY9">
            <v>588.04600000000005</v>
          </cell>
          <cell r="AZ9">
            <v>638.24</v>
          </cell>
          <cell r="BA9">
            <v>638.24</v>
          </cell>
          <cell r="BB9">
            <v>726.14400000000001</v>
          </cell>
          <cell r="BC9">
            <v>668.48099999999999</v>
          </cell>
          <cell r="BD9">
            <v>634.28</v>
          </cell>
          <cell r="BE9">
            <v>706.21500000000003</v>
          </cell>
          <cell r="BF9">
            <v>706.21500000000003</v>
          </cell>
          <cell r="BG9">
            <v>766.02099999999996</v>
          </cell>
          <cell r="BH9">
            <v>776.21199999999999</v>
          </cell>
          <cell r="BI9">
            <v>815.101</v>
          </cell>
          <cell r="BJ9">
            <v>581.80499999999995</v>
          </cell>
          <cell r="BK9">
            <v>581.80499999999995</v>
          </cell>
          <cell r="BL9">
            <v>668.81600000000003</v>
          </cell>
          <cell r="BM9">
            <v>642.03300000000002</v>
          </cell>
          <cell r="BN9">
            <v>649.58900000000006</v>
          </cell>
          <cell r="BO9">
            <v>590.88599999999997</v>
          </cell>
          <cell r="BP9">
            <v>590.88599999999997</v>
          </cell>
          <cell r="BQ9">
            <v>657.79899999999998</v>
          </cell>
          <cell r="BR9">
            <v>624.12199999999996</v>
          </cell>
          <cell r="BS9">
            <v>639.17600000000004</v>
          </cell>
          <cell r="BT9">
            <v>604.91899999999998</v>
          </cell>
          <cell r="BU9">
            <v>604.91899999999998</v>
          </cell>
          <cell r="BV9">
            <v>674.85199999999998</v>
          </cell>
          <cell r="BW9">
            <v>623.74800000000005</v>
          </cell>
          <cell r="BX9">
            <v>618.14300000000003</v>
          </cell>
          <cell r="BY9">
            <v>656.17100000000005</v>
          </cell>
          <cell r="BZ9">
            <v>656.17100000000005</v>
          </cell>
          <cell r="CA9">
            <v>741.53399999999999</v>
          </cell>
          <cell r="CB9">
            <v>655.48</v>
          </cell>
          <cell r="CC9">
            <v>676.63199999999995</v>
          </cell>
          <cell r="CD9">
            <v>759.13099999999997</v>
          </cell>
          <cell r="CE9">
            <v>759.13099999999997</v>
          </cell>
          <cell r="CF9">
            <v>808.95</v>
          </cell>
          <cell r="CG9">
            <v>761.77599999999995</v>
          </cell>
          <cell r="CH9">
            <v>799.13900000000001</v>
          </cell>
          <cell r="CI9">
            <v>903.51700000000005</v>
          </cell>
          <cell r="CJ9">
            <v>903.51700000000005</v>
          </cell>
          <cell r="CK9">
            <v>994.71900000000005</v>
          </cell>
          <cell r="CL9">
            <v>924.02700000000004</v>
          </cell>
          <cell r="CM9">
            <v>972.10400000000004</v>
          </cell>
          <cell r="CN9">
            <v>969.2099864040199</v>
          </cell>
          <cell r="CO9">
            <v>969.2099864040199</v>
          </cell>
          <cell r="CP9">
            <v>1038.0532898945885</v>
          </cell>
          <cell r="CQ9">
            <v>938.65256680132563</v>
          </cell>
          <cell r="CR9">
            <v>990.02416441781315</v>
          </cell>
          <cell r="CS9">
            <v>983.66858504016648</v>
          </cell>
          <cell r="CT9">
            <v>983.66858504016648</v>
          </cell>
          <cell r="CU9">
            <v>1038.4647550122779</v>
          </cell>
          <cell r="CV9">
            <v>936.64718187381936</v>
          </cell>
          <cell r="CW9">
            <v>990.46220759191374</v>
          </cell>
          <cell r="CX9">
            <v>981.56771722420478</v>
          </cell>
          <cell r="CY9">
            <v>981.56771722420478</v>
          </cell>
          <cell r="CZ9">
            <v>1059.1185807351237</v>
          </cell>
          <cell r="DA9">
            <v>952.54231567766885</v>
          </cell>
          <cell r="DB9">
            <v>1009.6984175218678</v>
          </cell>
          <cell r="DC9">
            <v>1002.0084492034713</v>
          </cell>
          <cell r="DD9">
            <v>1002.0084492034713</v>
          </cell>
          <cell r="DE9">
            <v>1072.5719761915987</v>
          </cell>
          <cell r="DF9">
            <v>971.51905648329705</v>
          </cell>
          <cell r="DG9">
            <v>1032.150325730662</v>
          </cell>
          <cell r="DH9">
            <v>1021.1145840162287</v>
          </cell>
          <cell r="DI9">
            <v>1021.1145840162287</v>
          </cell>
          <cell r="DU9" t="str">
            <v>mstag:tradeReceivablesCurrent</v>
          </cell>
          <cell r="DV9">
            <v>6</v>
          </cell>
          <cell r="DW9" t="str">
            <v>ISO4217:USD</v>
          </cell>
          <cell r="DX9" t="b">
            <v>0</v>
          </cell>
        </row>
        <row r="10">
          <cell r="B10" t="str">
            <v>Accounts receivable, gross</v>
          </cell>
          <cell r="P10">
            <v>426.78</v>
          </cell>
          <cell r="Q10">
            <v>426.78</v>
          </cell>
          <cell r="U10">
            <v>462.185</v>
          </cell>
          <cell r="V10">
            <v>462.185</v>
          </cell>
          <cell r="Z10">
            <v>467.726</v>
          </cell>
          <cell r="AA10">
            <v>467.726</v>
          </cell>
          <cell r="AE10">
            <v>556.88</v>
          </cell>
          <cell r="AF10">
            <v>556.88</v>
          </cell>
          <cell r="AJ10">
            <v>643.80199999999991</v>
          </cell>
          <cell r="AK10">
            <v>643.80199999999991</v>
          </cell>
          <cell r="AO10">
            <v>774.48500000000001</v>
          </cell>
          <cell r="AP10">
            <v>774.48500000000001</v>
          </cell>
          <cell r="AT10">
            <v>921.10899999999992</v>
          </cell>
          <cell r="AU10">
            <v>921.10899999999992</v>
          </cell>
          <cell r="BA10">
            <v>0</v>
          </cell>
          <cell r="BF10">
            <v>0</v>
          </cell>
          <cell r="BJ10">
            <v>1108.6859999999999</v>
          </cell>
          <cell r="BK10">
            <v>1108.6859999999999</v>
          </cell>
          <cell r="BO10">
            <v>1076.653</v>
          </cell>
          <cell r="BP10">
            <v>1076.653</v>
          </cell>
          <cell r="BT10">
            <v>1053.95</v>
          </cell>
          <cell r="BU10">
            <v>1053.95</v>
          </cell>
          <cell r="BY10">
            <v>1111.876</v>
          </cell>
          <cell r="BZ10">
            <v>1111.876</v>
          </cell>
          <cell r="CB10">
            <v>1119.17</v>
          </cell>
          <cell r="CC10">
            <v>1159.3689999999999</v>
          </cell>
          <cell r="CD10">
            <v>1254.617</v>
          </cell>
          <cell r="CE10">
            <v>1254.617</v>
          </cell>
          <cell r="CF10">
            <v>1322.904</v>
          </cell>
          <cell r="CG10">
            <v>1296.24</v>
          </cell>
          <cell r="CH10">
            <v>1353.855</v>
          </cell>
          <cell r="CI10">
            <v>1482.489</v>
          </cell>
          <cell r="CJ10">
            <v>1482.489</v>
          </cell>
          <cell r="CK10">
            <v>1595.64</v>
          </cell>
          <cell r="CL10">
            <v>1545.6759999999999</v>
          </cell>
          <cell r="CM10">
            <v>1687.6109999999999</v>
          </cell>
          <cell r="CN10">
            <v>1727.585889648813</v>
          </cell>
          <cell r="CO10">
            <v>1727.585889648813</v>
          </cell>
          <cell r="CP10">
            <v>1854.6240159978165</v>
          </cell>
          <cell r="CQ10">
            <v>1821.8183435484711</v>
          </cell>
          <cell r="CR10">
            <v>1954.4923766545533</v>
          </cell>
          <cell r="CS10">
            <v>2027.7204301936267</v>
          </cell>
          <cell r="CT10">
            <v>2027.7204301936267</v>
          </cell>
          <cell r="CU10">
            <v>2091.1307450738568</v>
          </cell>
          <cell r="CV10">
            <v>2005.9851606330442</v>
          </cell>
          <cell r="CW10">
            <v>2088.3809749417242</v>
          </cell>
          <cell r="CX10">
            <v>2106.4467820099676</v>
          </cell>
          <cell r="CY10">
            <v>2106.4467820099676</v>
          </cell>
          <cell r="CZ10">
            <v>2168.5309467261104</v>
          </cell>
          <cell r="DA10">
            <v>2053.4716475791352</v>
          </cell>
          <cell r="DB10">
            <v>2112.9275612621009</v>
          </cell>
          <cell r="DC10">
            <v>2105.3871664781113</v>
          </cell>
          <cell r="DD10">
            <v>2105.3871664781113</v>
          </cell>
          <cell r="DE10">
            <v>2141.1003260926436</v>
          </cell>
          <cell r="DF10">
            <v>2011.5414910026111</v>
          </cell>
          <cell r="DG10">
            <v>2053.6872471282272</v>
          </cell>
          <cell r="DH10">
            <v>2022.216444283265</v>
          </cell>
          <cell r="DI10">
            <v>2022.216444283265</v>
          </cell>
        </row>
        <row r="11">
          <cell r="B11" t="str">
            <v>Allowance for doubtful accounts</v>
          </cell>
          <cell r="P11">
            <v>-114.792</v>
          </cell>
          <cell r="Q11">
            <v>-114.792</v>
          </cell>
          <cell r="U11">
            <v>-118.602</v>
          </cell>
          <cell r="V11">
            <v>-118.602</v>
          </cell>
          <cell r="Z11">
            <v>-116.785</v>
          </cell>
          <cell r="AA11">
            <v>-116.785</v>
          </cell>
          <cell r="AE11">
            <v>-138.61600000000001</v>
          </cell>
          <cell r="AF11">
            <v>-138.61600000000001</v>
          </cell>
          <cell r="AJ11">
            <v>-151.01499999999999</v>
          </cell>
          <cell r="AK11">
            <v>-151.01499999999999</v>
          </cell>
          <cell r="AO11">
            <v>-186.43899999999999</v>
          </cell>
          <cell r="AP11">
            <v>-186.43899999999999</v>
          </cell>
          <cell r="AT11">
            <v>-286.82900000000001</v>
          </cell>
          <cell r="AU11">
            <v>-286.82900000000001</v>
          </cell>
          <cell r="BA11">
            <v>0</v>
          </cell>
          <cell r="BF11">
            <v>0</v>
          </cell>
          <cell r="BJ11">
            <v>-526.88099999999997</v>
          </cell>
          <cell r="BK11">
            <v>-526.88099999999997</v>
          </cell>
          <cell r="BO11">
            <v>-485.767</v>
          </cell>
          <cell r="BP11">
            <v>-485.767</v>
          </cell>
          <cell r="BT11">
            <v>-449.03100000000001</v>
          </cell>
          <cell r="BU11">
            <v>-449.03100000000001</v>
          </cell>
          <cell r="BY11">
            <v>-455.70499999999998</v>
          </cell>
          <cell r="BZ11">
            <v>-455.70499999999998</v>
          </cell>
          <cell r="CB11">
            <v>-463.69</v>
          </cell>
          <cell r="CC11">
            <v>-482.73700000000002</v>
          </cell>
          <cell r="CD11">
            <v>-495.48599999999999</v>
          </cell>
          <cell r="CE11">
            <v>-495.48599999999999</v>
          </cell>
          <cell r="CF11">
            <v>-513.95399999999995</v>
          </cell>
          <cell r="CG11">
            <v>-534.46400000000006</v>
          </cell>
          <cell r="CH11">
            <v>-554.71600000000001</v>
          </cell>
          <cell r="CI11">
            <v>-578.97199999999998</v>
          </cell>
          <cell r="CJ11">
            <v>-578.97199999999998</v>
          </cell>
          <cell r="CK11">
            <v>-600.92100000000005</v>
          </cell>
          <cell r="CL11">
            <v>-621.649</v>
          </cell>
          <cell r="CM11">
            <v>-715.50699999999995</v>
          </cell>
          <cell r="CN11">
            <v>-758.37590324479322</v>
          </cell>
          <cell r="CO11">
            <v>-758.37590324479322</v>
          </cell>
          <cell r="CP11">
            <v>-816.57072610322814</v>
          </cell>
          <cell r="CQ11">
            <v>-883.16577674714551</v>
          </cell>
          <cell r="CR11">
            <v>-964.4682122367401</v>
          </cell>
          <cell r="CS11">
            <v>-1044.0518451534601</v>
          </cell>
          <cell r="CT11">
            <v>-1044.0518451534601</v>
          </cell>
          <cell r="CU11">
            <v>-1052.6659900615791</v>
          </cell>
          <cell r="CV11">
            <v>-1069.3379787592248</v>
          </cell>
          <cell r="CW11">
            <v>-1097.9187673498104</v>
          </cell>
          <cell r="CX11">
            <v>-1124.8790647857629</v>
          </cell>
          <cell r="CY11">
            <v>-1124.8790647857629</v>
          </cell>
          <cell r="CZ11">
            <v>-1109.4123659909865</v>
          </cell>
          <cell r="DA11">
            <v>-1100.9293319014662</v>
          </cell>
          <cell r="DB11">
            <v>-1103.2291437402332</v>
          </cell>
          <cell r="DC11">
            <v>-1103.3787172746402</v>
          </cell>
          <cell r="DD11">
            <v>-1103.3787172746402</v>
          </cell>
          <cell r="DE11">
            <v>-1068.5283499010452</v>
          </cell>
          <cell r="DF11">
            <v>-1040.0224345193142</v>
          </cell>
          <cell r="DG11">
            <v>-1021.5369213975652</v>
          </cell>
          <cell r="DH11">
            <v>-1001.1018602670363</v>
          </cell>
          <cell r="DI11">
            <v>-1001.1018602670363</v>
          </cell>
        </row>
        <row r="12">
          <cell r="B12" t="str">
            <v>Supplies, at cost</v>
          </cell>
          <cell r="D12">
            <v>3.3130000000000002</v>
          </cell>
          <cell r="E12">
            <v>4.5570000000000004</v>
          </cell>
          <cell r="F12">
            <v>5.1040000000000001</v>
          </cell>
          <cell r="G12">
            <v>6.7320000000000002</v>
          </cell>
          <cell r="H12">
            <v>6.9880000000000004</v>
          </cell>
          <cell r="I12">
            <v>9.1129999999999995</v>
          </cell>
          <cell r="J12">
            <v>12.372</v>
          </cell>
          <cell r="K12">
            <v>15.597</v>
          </cell>
          <cell r="L12">
            <v>24.425000000000001</v>
          </cell>
          <cell r="M12">
            <v>35.933999999999997</v>
          </cell>
          <cell r="N12">
            <v>38.585999999999999</v>
          </cell>
          <cell r="O12">
            <v>42.115000000000002</v>
          </cell>
          <cell r="P12">
            <v>32.037999999999997</v>
          </cell>
          <cell r="Q12">
            <v>32.037999999999997</v>
          </cell>
          <cell r="R12">
            <v>44.466000000000001</v>
          </cell>
          <cell r="S12">
            <v>50.494999999999997</v>
          </cell>
          <cell r="T12">
            <v>52.768999999999998</v>
          </cell>
          <cell r="U12">
            <v>39.207000000000001</v>
          </cell>
          <cell r="V12">
            <v>39.207000000000001</v>
          </cell>
          <cell r="W12">
            <v>63.612000000000002</v>
          </cell>
          <cell r="X12">
            <v>66.554000000000002</v>
          </cell>
          <cell r="Y12">
            <v>66.802999999999997</v>
          </cell>
          <cell r="Z12">
            <v>50.113</v>
          </cell>
          <cell r="AA12">
            <v>50.113</v>
          </cell>
          <cell r="AB12">
            <v>79.876000000000005</v>
          </cell>
          <cell r="AC12">
            <v>83.816000000000003</v>
          </cell>
          <cell r="AD12">
            <v>83.551000000000002</v>
          </cell>
          <cell r="AE12">
            <v>59.411999999999999</v>
          </cell>
          <cell r="AF12">
            <v>59.411999999999999</v>
          </cell>
          <cell r="AG12">
            <v>86.724000000000004</v>
          </cell>
          <cell r="AH12">
            <v>88.596000000000004</v>
          </cell>
          <cell r="AI12">
            <v>88.409000000000006</v>
          </cell>
          <cell r="AJ12">
            <v>65.341999999999999</v>
          </cell>
          <cell r="AK12">
            <v>65.341999999999999</v>
          </cell>
          <cell r="AL12">
            <v>105.548</v>
          </cell>
          <cell r="AM12">
            <v>103.764</v>
          </cell>
          <cell r="AN12">
            <v>107.14700000000001</v>
          </cell>
          <cell r="AO12">
            <v>78.927000000000007</v>
          </cell>
          <cell r="AP12">
            <v>78.927000000000007</v>
          </cell>
          <cell r="AQ12">
            <v>143.53200000000001</v>
          </cell>
          <cell r="AR12">
            <v>150.96700000000001</v>
          </cell>
          <cell r="AS12">
            <v>156.624</v>
          </cell>
          <cell r="AT12">
            <v>91.864999999999995</v>
          </cell>
          <cell r="AU12">
            <v>91.864999999999995</v>
          </cell>
          <cell r="AW12">
            <v>103.764</v>
          </cell>
          <cell r="AX12">
            <v>107.14700000000001</v>
          </cell>
          <cell r="AY12">
            <v>78.927000000000007</v>
          </cell>
          <cell r="AZ12">
            <v>143.53200000000001</v>
          </cell>
          <cell r="BA12">
            <v>143.53200000000001</v>
          </cell>
          <cell r="BB12">
            <v>150.96700000000001</v>
          </cell>
          <cell r="BC12">
            <v>156.624</v>
          </cell>
          <cell r="BD12">
            <v>91.864999999999995</v>
          </cell>
          <cell r="BE12">
            <v>183.27799999999999</v>
          </cell>
          <cell r="BF12">
            <v>183.27799999999999</v>
          </cell>
          <cell r="BG12">
            <v>143.56800000000001</v>
          </cell>
          <cell r="BH12">
            <v>153.93199999999999</v>
          </cell>
          <cell r="BI12">
            <v>136.76300000000001</v>
          </cell>
          <cell r="BJ12">
            <v>107.627</v>
          </cell>
          <cell r="BK12">
            <v>107.627</v>
          </cell>
          <cell r="BL12">
            <v>148.59200000000001</v>
          </cell>
          <cell r="BM12">
            <v>149.756</v>
          </cell>
          <cell r="BN12">
            <v>145.57599999999999</v>
          </cell>
          <cell r="BO12">
            <v>113.66</v>
          </cell>
          <cell r="BP12">
            <v>113.66</v>
          </cell>
          <cell r="BQ12">
            <v>153.392</v>
          </cell>
          <cell r="BR12">
            <v>156.637</v>
          </cell>
          <cell r="BS12">
            <v>153.78</v>
          </cell>
          <cell r="BT12">
            <v>117.63200000000001</v>
          </cell>
          <cell r="BU12">
            <v>117.63200000000001</v>
          </cell>
          <cell r="BV12">
            <v>160.36000000000001</v>
          </cell>
          <cell r="BW12">
            <v>160.68600000000001</v>
          </cell>
          <cell r="BX12">
            <v>156.68899999999999</v>
          </cell>
          <cell r="BY12">
            <v>117.41800000000001</v>
          </cell>
          <cell r="BZ12">
            <v>117.41800000000001</v>
          </cell>
          <cell r="CA12">
            <v>165.1</v>
          </cell>
          <cell r="CB12">
            <v>166.792</v>
          </cell>
          <cell r="CC12">
            <v>168.84299999999999</v>
          </cell>
          <cell r="CD12">
            <v>137.92500000000001</v>
          </cell>
          <cell r="CE12">
            <v>137.92500000000001</v>
          </cell>
          <cell r="CF12">
            <v>190.70400000000001</v>
          </cell>
          <cell r="CG12">
            <v>191.047</v>
          </cell>
          <cell r="CH12">
            <v>214.495</v>
          </cell>
          <cell r="CI12">
            <v>156.529</v>
          </cell>
          <cell r="CJ12">
            <v>156.529</v>
          </cell>
          <cell r="CK12">
            <v>221.41900000000001</v>
          </cell>
          <cell r="CL12">
            <v>219.626</v>
          </cell>
          <cell r="CM12">
            <v>218.97499999999999</v>
          </cell>
          <cell r="CN12">
            <v>236.08690108252557</v>
          </cell>
          <cell r="CO12">
            <v>236.08690108252557</v>
          </cell>
          <cell r="CP12">
            <v>228.59524857252222</v>
          </cell>
          <cell r="CQ12">
            <v>215.35401869540385</v>
          </cell>
          <cell r="CR12">
            <v>204.13431755166269</v>
          </cell>
          <cell r="CS12">
            <v>221.07105336559064</v>
          </cell>
          <cell r="CT12">
            <v>221.07105336559064</v>
          </cell>
          <cell r="CU12">
            <v>233.32409727506405</v>
          </cell>
          <cell r="CV12">
            <v>220.33055842285358</v>
          </cell>
          <cell r="CW12">
            <v>208.94295714270484</v>
          </cell>
          <cell r="CX12">
            <v>225.84491305090833</v>
          </cell>
          <cell r="CY12">
            <v>225.84491305090833</v>
          </cell>
          <cell r="CZ12">
            <v>239.17918535277272</v>
          </cell>
          <cell r="DA12">
            <v>225.99574332433551</v>
          </cell>
          <cell r="DB12">
            <v>214.35445039025072</v>
          </cell>
          <cell r="DC12">
            <v>231.65651176083466</v>
          </cell>
          <cell r="DD12">
            <v>231.65651176083466</v>
          </cell>
          <cell r="DE12">
            <v>248.71705921178011</v>
          </cell>
          <cell r="DF12">
            <v>237.35704430185942</v>
          </cell>
          <cell r="DG12">
            <v>225.16472914470359</v>
          </cell>
          <cell r="DH12">
            <v>242.92058273602825</v>
          </cell>
          <cell r="DI12">
            <v>242.92058273602825</v>
          </cell>
          <cell r="DU12" t="str">
            <v>mstag:inventories</v>
          </cell>
          <cell r="DV12">
            <v>6</v>
          </cell>
          <cell r="DW12" t="str">
            <v>ISO4217:USD</v>
          </cell>
          <cell r="DX12" t="b">
            <v>0</v>
          </cell>
        </row>
        <row r="13">
          <cell r="B13" t="str">
            <v>Prepaid expenses &amp; other assets</v>
          </cell>
          <cell r="D13">
            <v>1.3859999999999999</v>
          </cell>
          <cell r="E13">
            <v>1.45</v>
          </cell>
          <cell r="F13">
            <v>1.7390000000000001</v>
          </cell>
          <cell r="G13">
            <v>2.1890000000000001</v>
          </cell>
          <cell r="H13">
            <v>2.335</v>
          </cell>
          <cell r="I13">
            <v>4.9640000000000004</v>
          </cell>
          <cell r="J13">
            <v>5.0970000000000004</v>
          </cell>
          <cell r="K13">
            <v>5.992</v>
          </cell>
          <cell r="L13">
            <v>8.5579999999999998</v>
          </cell>
          <cell r="M13">
            <v>0</v>
          </cell>
          <cell r="N13">
            <v>0</v>
          </cell>
          <cell r="O13">
            <v>0</v>
          </cell>
          <cell r="P13">
            <v>9.3239999999999998</v>
          </cell>
          <cell r="Q13">
            <v>9.3239999999999998</v>
          </cell>
          <cell r="R13">
            <v>0</v>
          </cell>
          <cell r="S13">
            <v>0</v>
          </cell>
          <cell r="T13">
            <v>0</v>
          </cell>
          <cell r="U13">
            <v>18.658999999999999</v>
          </cell>
          <cell r="V13">
            <v>18.658999999999999</v>
          </cell>
          <cell r="W13">
            <v>0</v>
          </cell>
          <cell r="X13">
            <v>0</v>
          </cell>
          <cell r="Y13">
            <v>0</v>
          </cell>
          <cell r="Z13">
            <v>19.026</v>
          </cell>
          <cell r="AA13">
            <v>19.026</v>
          </cell>
          <cell r="AB13">
            <v>0</v>
          </cell>
          <cell r="AC13">
            <v>0</v>
          </cell>
          <cell r="AD13">
            <v>0</v>
          </cell>
          <cell r="AE13">
            <v>19.622</v>
          </cell>
          <cell r="AF13">
            <v>19.622</v>
          </cell>
          <cell r="AG13">
            <v>0</v>
          </cell>
          <cell r="AH13">
            <v>0</v>
          </cell>
          <cell r="AI13">
            <v>0</v>
          </cell>
          <cell r="AJ13">
            <v>57.905000000000001</v>
          </cell>
          <cell r="AK13">
            <v>57.905000000000001</v>
          </cell>
          <cell r="AL13">
            <v>0</v>
          </cell>
          <cell r="AM13">
            <v>0</v>
          </cell>
          <cell r="AN13">
            <v>0</v>
          </cell>
          <cell r="AO13">
            <v>80.215000000000003</v>
          </cell>
          <cell r="AP13">
            <v>80.215000000000003</v>
          </cell>
          <cell r="AQ13">
            <v>0</v>
          </cell>
          <cell r="AR13">
            <v>0</v>
          </cell>
          <cell r="AS13">
            <v>0</v>
          </cell>
          <cell r="AT13">
            <v>107.70099999999999</v>
          </cell>
          <cell r="AU13">
            <v>107.70099999999999</v>
          </cell>
          <cell r="AW13">
            <v>0</v>
          </cell>
          <cell r="AX13">
            <v>0</v>
          </cell>
          <cell r="AY13">
            <v>80.215000000000003</v>
          </cell>
          <cell r="AZ13">
            <v>0</v>
          </cell>
          <cell r="BA13">
            <v>0</v>
          </cell>
          <cell r="BB13">
            <v>0</v>
          </cell>
          <cell r="BC13">
            <v>0</v>
          </cell>
          <cell r="BD13">
            <v>107.70099999999999</v>
          </cell>
          <cell r="BE13">
            <v>0</v>
          </cell>
          <cell r="BF13">
            <v>0</v>
          </cell>
          <cell r="BG13">
            <v>0</v>
          </cell>
          <cell r="BH13">
            <v>0</v>
          </cell>
          <cell r="BI13">
            <v>0</v>
          </cell>
          <cell r="BJ13">
            <v>43.164000000000001</v>
          </cell>
          <cell r="BK13">
            <v>43.164000000000001</v>
          </cell>
          <cell r="BL13">
            <v>0</v>
          </cell>
          <cell r="BM13">
            <v>0</v>
          </cell>
          <cell r="BN13">
            <v>0</v>
          </cell>
          <cell r="BO13">
            <v>36.347000000000001</v>
          </cell>
          <cell r="BP13">
            <v>36.347000000000001</v>
          </cell>
          <cell r="BQ13">
            <v>0</v>
          </cell>
          <cell r="BR13">
            <v>0</v>
          </cell>
          <cell r="BS13">
            <v>0</v>
          </cell>
          <cell r="BT13">
            <v>39.965000000000003</v>
          </cell>
          <cell r="BU13">
            <v>39.965000000000003</v>
          </cell>
          <cell r="BV13">
            <v>0</v>
          </cell>
          <cell r="BW13">
            <v>0</v>
          </cell>
          <cell r="BY13">
            <v>39.692999999999998</v>
          </cell>
          <cell r="BZ13">
            <v>39.692999999999998</v>
          </cell>
          <cell r="CA13">
            <v>0</v>
          </cell>
          <cell r="CB13">
            <v>0</v>
          </cell>
          <cell r="CC13">
            <v>0</v>
          </cell>
          <cell r="CD13">
            <v>47.238</v>
          </cell>
          <cell r="CE13">
            <v>47.238</v>
          </cell>
          <cell r="CF13">
            <v>0</v>
          </cell>
          <cell r="CG13">
            <v>0</v>
          </cell>
          <cell r="CH13">
            <v>0</v>
          </cell>
          <cell r="CI13">
            <v>59.066000000000003</v>
          </cell>
          <cell r="CJ13">
            <v>59.066000000000003</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U13" t="str">
            <v>mstag:prepaidExpensesCurrent</v>
          </cell>
          <cell r="DV13">
            <v>6</v>
          </cell>
          <cell r="DW13" t="str">
            <v>ISO4217:USD</v>
          </cell>
          <cell r="DX13" t="b">
            <v>0</v>
          </cell>
        </row>
        <row r="14">
          <cell r="B14" t="str">
            <v>Prepaid &amp; recoverable income taxes</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84.155000000000001</v>
          </cell>
          <cell r="BP14">
            <v>84.155000000000001</v>
          </cell>
          <cell r="BQ14">
            <v>26.542999999999999</v>
          </cell>
          <cell r="BR14">
            <v>6.1619999999999999</v>
          </cell>
          <cell r="BS14">
            <v>20.757999999999999</v>
          </cell>
          <cell r="BT14">
            <v>59.277999999999999</v>
          </cell>
          <cell r="BU14">
            <v>59.277999999999999</v>
          </cell>
          <cell r="BV14">
            <v>29.41</v>
          </cell>
          <cell r="BW14">
            <v>3.214</v>
          </cell>
          <cell r="BX14">
            <v>16.739000000000001</v>
          </cell>
          <cell r="BY14">
            <v>58.851999999999997</v>
          </cell>
          <cell r="BZ14">
            <v>58.851999999999997</v>
          </cell>
          <cell r="CA14">
            <v>36.569000000000003</v>
          </cell>
          <cell r="CB14">
            <v>50.113999999999997</v>
          </cell>
          <cell r="CC14">
            <v>31.634</v>
          </cell>
          <cell r="CD14">
            <v>44.960999999999999</v>
          </cell>
          <cell r="CE14">
            <v>44.960999999999999</v>
          </cell>
          <cell r="CF14">
            <v>26.254999999999999</v>
          </cell>
          <cell r="CG14">
            <v>45.34</v>
          </cell>
          <cell r="CH14">
            <v>44.994999999999997</v>
          </cell>
          <cell r="CI14">
            <v>61.756</v>
          </cell>
          <cell r="CJ14">
            <v>61.756</v>
          </cell>
          <cell r="CK14">
            <v>33.331000000000003</v>
          </cell>
          <cell r="CL14">
            <v>14.340999999999999</v>
          </cell>
          <cell r="CM14">
            <v>14.625999999999999</v>
          </cell>
          <cell r="CN14">
            <v>14.625999999999999</v>
          </cell>
          <cell r="CO14">
            <v>14.625999999999999</v>
          </cell>
          <cell r="CP14">
            <v>14.625999999999999</v>
          </cell>
          <cell r="CQ14">
            <v>14.625999999999999</v>
          </cell>
          <cell r="CR14">
            <v>14.625999999999999</v>
          </cell>
          <cell r="CS14">
            <v>14.625999999999999</v>
          </cell>
          <cell r="CT14">
            <v>14.625999999999999</v>
          </cell>
          <cell r="CU14">
            <v>14.625999999999999</v>
          </cell>
          <cell r="CV14">
            <v>14.625999999999999</v>
          </cell>
          <cell r="CW14">
            <v>14.625999999999999</v>
          </cell>
          <cell r="CX14">
            <v>14.625999999999999</v>
          </cell>
          <cell r="CY14">
            <v>14.625999999999999</v>
          </cell>
          <cell r="CZ14">
            <v>14.625999999999999</v>
          </cell>
          <cell r="DA14">
            <v>14.625999999999999</v>
          </cell>
          <cell r="DB14">
            <v>14.625999999999999</v>
          </cell>
          <cell r="DC14">
            <v>14.625999999999999</v>
          </cell>
          <cell r="DD14">
            <v>14.625999999999999</v>
          </cell>
          <cell r="DE14">
            <v>14.625999999999999</v>
          </cell>
          <cell r="DF14">
            <v>14.625999999999999</v>
          </cell>
          <cell r="DG14">
            <v>14.625999999999999</v>
          </cell>
          <cell r="DH14">
            <v>14.625999999999999</v>
          </cell>
          <cell r="DI14">
            <v>14.625999999999999</v>
          </cell>
          <cell r="DU14" t="str">
            <v>mstag:prepaidExpensesCurrent</v>
          </cell>
          <cell r="DV14">
            <v>6</v>
          </cell>
          <cell r="DW14" t="str">
            <v>ISO4217:USD</v>
          </cell>
          <cell r="DX14" t="b">
            <v>0</v>
          </cell>
        </row>
        <row r="15">
          <cell r="B15" t="str">
            <v>Restricted Funds</v>
          </cell>
          <cell r="D15">
            <v>0.84</v>
          </cell>
          <cell r="E15">
            <v>1.577</v>
          </cell>
          <cell r="F15">
            <v>0.28000000000000003</v>
          </cell>
          <cell r="G15">
            <v>0.216</v>
          </cell>
          <cell r="H15">
            <v>1.0249999999999999</v>
          </cell>
          <cell r="I15">
            <v>1.4790000000000001</v>
          </cell>
          <cell r="J15">
            <v>2.2759999999999998</v>
          </cell>
          <cell r="K15">
            <v>1.2250000000000001</v>
          </cell>
          <cell r="L15">
            <v>1.458</v>
          </cell>
          <cell r="M15">
            <v>1.7529999999999999</v>
          </cell>
          <cell r="N15">
            <v>1.8240000000000001</v>
          </cell>
          <cell r="O15">
            <v>2.089</v>
          </cell>
          <cell r="P15">
            <v>1.764</v>
          </cell>
          <cell r="Q15">
            <v>1.764</v>
          </cell>
          <cell r="R15">
            <v>2.0190000000000001</v>
          </cell>
          <cell r="S15">
            <v>1.917</v>
          </cell>
          <cell r="T15">
            <v>1.9219999999999999</v>
          </cell>
          <cell r="U15">
            <v>2.5619999999999998</v>
          </cell>
          <cell r="V15">
            <v>2.5619999999999998</v>
          </cell>
          <cell r="W15">
            <v>2.4950000000000001</v>
          </cell>
          <cell r="X15">
            <v>2.8180000000000001</v>
          </cell>
          <cell r="Y15">
            <v>3.0409999999999999</v>
          </cell>
          <cell r="Z15">
            <v>1.8919999999999999</v>
          </cell>
          <cell r="AA15">
            <v>1.8919999999999999</v>
          </cell>
          <cell r="AB15">
            <v>2.9729999999999999</v>
          </cell>
          <cell r="AC15">
            <v>4.4020000000000001</v>
          </cell>
          <cell r="AD15">
            <v>2.5270000000000001</v>
          </cell>
          <cell r="AE15">
            <v>2.6280000000000001</v>
          </cell>
          <cell r="AF15">
            <v>2.6280000000000001</v>
          </cell>
          <cell r="AG15">
            <v>3.605</v>
          </cell>
          <cell r="AH15">
            <v>4.2279999999999998</v>
          </cell>
          <cell r="AI15">
            <v>3.08</v>
          </cell>
          <cell r="AJ15">
            <v>17.47</v>
          </cell>
          <cell r="AK15">
            <v>17.47</v>
          </cell>
          <cell r="AL15">
            <v>12.587999999999999</v>
          </cell>
          <cell r="AM15">
            <v>12.471</v>
          </cell>
          <cell r="AN15">
            <v>12.541</v>
          </cell>
          <cell r="AO15">
            <v>16.852</v>
          </cell>
          <cell r="AP15">
            <v>16.852</v>
          </cell>
          <cell r="AQ15">
            <v>17.02</v>
          </cell>
          <cell r="AR15">
            <v>20.867000000000001</v>
          </cell>
          <cell r="AS15">
            <v>17.305</v>
          </cell>
          <cell r="AT15">
            <v>10.577999999999999</v>
          </cell>
          <cell r="AU15">
            <v>10.577999999999999</v>
          </cell>
          <cell r="AW15">
            <v>12.471</v>
          </cell>
          <cell r="AX15">
            <v>12.541</v>
          </cell>
          <cell r="AY15">
            <v>16.852</v>
          </cell>
          <cell r="AZ15">
            <v>17.02</v>
          </cell>
          <cell r="BA15">
            <v>17.02</v>
          </cell>
          <cell r="BB15">
            <v>20.867000000000001</v>
          </cell>
          <cell r="BC15">
            <v>17.305</v>
          </cell>
          <cell r="BD15">
            <v>10.577999999999999</v>
          </cell>
          <cell r="BE15">
            <v>15.907999999999999</v>
          </cell>
          <cell r="BF15">
            <v>15.907999999999999</v>
          </cell>
          <cell r="BG15">
            <v>14.628</v>
          </cell>
          <cell r="BH15">
            <v>25.957000000000001</v>
          </cell>
          <cell r="BI15">
            <v>22.187999999999999</v>
          </cell>
          <cell r="BJ15">
            <v>20.609000000000002</v>
          </cell>
          <cell r="BK15">
            <v>20.609000000000002</v>
          </cell>
          <cell r="BL15">
            <v>20.481999999999999</v>
          </cell>
          <cell r="BM15">
            <v>33.036999999999999</v>
          </cell>
          <cell r="BN15">
            <v>18.974</v>
          </cell>
          <cell r="BO15">
            <v>15.016</v>
          </cell>
          <cell r="BP15">
            <v>15.016</v>
          </cell>
          <cell r="BQ15">
            <v>17.454999999999998</v>
          </cell>
          <cell r="BR15">
            <v>22.087</v>
          </cell>
          <cell r="BS15">
            <v>27.748000000000001</v>
          </cell>
          <cell r="BT15">
            <v>31.471</v>
          </cell>
          <cell r="BU15">
            <v>31.471</v>
          </cell>
          <cell r="BV15">
            <v>35.856000000000002</v>
          </cell>
          <cell r="BW15">
            <v>38.268000000000001</v>
          </cell>
          <cell r="BX15">
            <v>34.475999999999999</v>
          </cell>
          <cell r="BY15">
            <v>45.430999999999997</v>
          </cell>
          <cell r="BZ15">
            <v>45.430999999999997</v>
          </cell>
          <cell r="CA15">
            <v>50.01</v>
          </cell>
          <cell r="CB15">
            <v>44.484999999999999</v>
          </cell>
          <cell r="CC15">
            <v>42.728000000000002</v>
          </cell>
          <cell r="CD15">
            <v>39.683999999999997</v>
          </cell>
          <cell r="CE15">
            <v>39.683999999999997</v>
          </cell>
          <cell r="CF15">
            <v>38.094999999999999</v>
          </cell>
          <cell r="CG15">
            <v>33.58</v>
          </cell>
          <cell r="CH15">
            <v>35.481000000000002</v>
          </cell>
          <cell r="CI15">
            <v>28.289000000000001</v>
          </cell>
          <cell r="CJ15">
            <v>28.289000000000001</v>
          </cell>
          <cell r="CK15">
            <v>27.248000000000001</v>
          </cell>
          <cell r="CL15">
            <v>24.966999999999999</v>
          </cell>
          <cell r="CM15">
            <v>28.609000000000002</v>
          </cell>
          <cell r="CN15">
            <v>28.609000000000002</v>
          </cell>
          <cell r="CO15">
            <v>28.609000000000002</v>
          </cell>
          <cell r="CP15">
            <v>28.609000000000002</v>
          </cell>
          <cell r="CQ15">
            <v>28.609000000000002</v>
          </cell>
          <cell r="CR15">
            <v>28.609000000000002</v>
          </cell>
          <cell r="CS15">
            <v>28.609000000000002</v>
          </cell>
          <cell r="CT15">
            <v>28.609000000000002</v>
          </cell>
          <cell r="CU15">
            <v>28.609000000000002</v>
          </cell>
          <cell r="CV15">
            <v>28.609000000000002</v>
          </cell>
          <cell r="CW15">
            <v>28.609000000000002</v>
          </cell>
          <cell r="CX15">
            <v>28.609000000000002</v>
          </cell>
          <cell r="CY15">
            <v>28.609000000000002</v>
          </cell>
          <cell r="CZ15">
            <v>28.609000000000002</v>
          </cell>
          <cell r="DA15">
            <v>28.609000000000002</v>
          </cell>
          <cell r="DB15">
            <v>28.609000000000002</v>
          </cell>
          <cell r="DC15">
            <v>28.609000000000002</v>
          </cell>
          <cell r="DD15">
            <v>28.609000000000002</v>
          </cell>
          <cell r="DE15">
            <v>28.609000000000002</v>
          </cell>
          <cell r="DF15">
            <v>28.609000000000002</v>
          </cell>
          <cell r="DG15">
            <v>28.609000000000002</v>
          </cell>
          <cell r="DH15">
            <v>28.609000000000002</v>
          </cell>
          <cell r="DI15">
            <v>28.609000000000002</v>
          </cell>
          <cell r="DU15" t="str">
            <v>mstag:shortTermInvestments</v>
          </cell>
          <cell r="DV15">
            <v>6</v>
          </cell>
          <cell r="DW15" t="str">
            <v>ISO4217:USD</v>
          </cell>
          <cell r="DX15" t="b">
            <v>0</v>
          </cell>
        </row>
        <row r="16">
          <cell r="B16" t="str">
            <v>Assets of discontinued operations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17.995999999999999</v>
          </cell>
          <cell r="AU16">
            <v>17.995999999999999</v>
          </cell>
          <cell r="AW16">
            <v>0</v>
          </cell>
          <cell r="AX16">
            <v>0</v>
          </cell>
          <cell r="AY16">
            <v>0</v>
          </cell>
          <cell r="AZ16">
            <v>0</v>
          </cell>
          <cell r="BA16">
            <v>0</v>
          </cell>
          <cell r="BB16">
            <v>0</v>
          </cell>
          <cell r="BC16">
            <v>0</v>
          </cell>
          <cell r="BD16">
            <v>17.995999999999999</v>
          </cell>
          <cell r="BE16">
            <v>18.082999999999998</v>
          </cell>
          <cell r="BF16">
            <v>18.082999999999998</v>
          </cell>
          <cell r="BG16">
            <v>18.388000000000002</v>
          </cell>
          <cell r="BH16">
            <v>18.440000000000001</v>
          </cell>
          <cell r="BI16">
            <v>61.027000000000001</v>
          </cell>
          <cell r="BJ16">
            <v>46.029000000000003</v>
          </cell>
          <cell r="BK16">
            <v>46.029000000000003</v>
          </cell>
          <cell r="BL16">
            <v>46.319000000000003</v>
          </cell>
          <cell r="BM16">
            <v>88.525000000000006</v>
          </cell>
          <cell r="BN16">
            <v>28.143999999999998</v>
          </cell>
          <cell r="BO16">
            <v>28.745000000000001</v>
          </cell>
          <cell r="BP16">
            <v>28.745000000000001</v>
          </cell>
          <cell r="BQ16">
            <v>51.134999999999998</v>
          </cell>
          <cell r="BR16">
            <v>48.128999999999998</v>
          </cell>
          <cell r="BS16">
            <v>33.594000000000001</v>
          </cell>
          <cell r="BT16">
            <v>18.085000000000001</v>
          </cell>
          <cell r="BU16">
            <v>18.085000000000001</v>
          </cell>
          <cell r="BV16">
            <v>18.085000000000001</v>
          </cell>
          <cell r="BW16">
            <v>18.010999999999999</v>
          </cell>
          <cell r="BX16">
            <v>99.119</v>
          </cell>
          <cell r="BY16">
            <v>12.754</v>
          </cell>
          <cell r="BZ16">
            <v>12.754</v>
          </cell>
          <cell r="CA16">
            <v>13.404</v>
          </cell>
          <cell r="CB16">
            <v>13.404</v>
          </cell>
          <cell r="CC16">
            <v>13.404</v>
          </cell>
          <cell r="CD16">
            <v>4.9939999999999998</v>
          </cell>
          <cell r="CE16">
            <v>4.9939999999999998</v>
          </cell>
          <cell r="CF16">
            <v>4.9939999999999998</v>
          </cell>
          <cell r="CG16">
            <v>6.53</v>
          </cell>
          <cell r="CH16">
            <v>13.802</v>
          </cell>
          <cell r="CI16">
            <v>14.561</v>
          </cell>
          <cell r="CJ16">
            <v>14.561</v>
          </cell>
          <cell r="CK16">
            <v>12.95</v>
          </cell>
          <cell r="CL16">
            <v>9.6189999999999998</v>
          </cell>
          <cell r="CM16">
            <v>8.1</v>
          </cell>
          <cell r="CN16">
            <v>8.1</v>
          </cell>
          <cell r="CO16">
            <v>8.1</v>
          </cell>
          <cell r="CP16">
            <v>8.1</v>
          </cell>
          <cell r="CQ16">
            <v>8.1</v>
          </cell>
          <cell r="CR16">
            <v>8.1</v>
          </cell>
          <cell r="CS16">
            <v>8.1</v>
          </cell>
          <cell r="CT16">
            <v>8.1</v>
          </cell>
          <cell r="CU16">
            <v>8.1</v>
          </cell>
          <cell r="CV16">
            <v>8.1</v>
          </cell>
          <cell r="CW16">
            <v>8.1</v>
          </cell>
          <cell r="CX16">
            <v>8.1</v>
          </cell>
          <cell r="CY16">
            <v>8.1</v>
          </cell>
          <cell r="CZ16">
            <v>8.1</v>
          </cell>
          <cell r="DA16">
            <v>8.1</v>
          </cell>
          <cell r="DB16">
            <v>8.1</v>
          </cell>
          <cell r="DC16">
            <v>8.1</v>
          </cell>
          <cell r="DD16">
            <v>8.1</v>
          </cell>
          <cell r="DE16">
            <v>8.1</v>
          </cell>
          <cell r="DF16">
            <v>8.1</v>
          </cell>
          <cell r="DG16">
            <v>8.1</v>
          </cell>
          <cell r="DH16">
            <v>8.1</v>
          </cell>
          <cell r="DI16">
            <v>8.1</v>
          </cell>
          <cell r="DU16" t="str">
            <v>mstag:assetsOfDiscontinuedOperations</v>
          </cell>
          <cell r="DV16">
            <v>6</v>
          </cell>
          <cell r="DW16" t="str">
            <v>ISO4217:USD</v>
          </cell>
          <cell r="DX16" t="b">
            <v>0</v>
          </cell>
        </row>
        <row r="17">
          <cell r="B17" t="str">
            <v>Deferred income taxes</v>
          </cell>
          <cell r="D17">
            <v>0</v>
          </cell>
          <cell r="E17">
            <v>0</v>
          </cell>
          <cell r="F17">
            <v>0</v>
          </cell>
          <cell r="G17">
            <v>0</v>
          </cell>
          <cell r="H17">
            <v>2.4580000000000002</v>
          </cell>
          <cell r="I17">
            <v>5.4459999999999997</v>
          </cell>
          <cell r="J17">
            <v>12.339</v>
          </cell>
          <cell r="K17">
            <v>13.039</v>
          </cell>
          <cell r="L17">
            <v>18.039000000000001</v>
          </cell>
          <cell r="M17">
            <v>18.039000000000001</v>
          </cell>
          <cell r="N17">
            <v>18.039000000000001</v>
          </cell>
          <cell r="O17">
            <v>18.039000000000001</v>
          </cell>
          <cell r="P17">
            <v>30.515000000000001</v>
          </cell>
          <cell r="Q17">
            <v>30.515000000000001</v>
          </cell>
          <cell r="R17">
            <v>30.515000000000001</v>
          </cell>
          <cell r="S17">
            <v>30.515000000000001</v>
          </cell>
          <cell r="T17">
            <v>30.515000000000001</v>
          </cell>
          <cell r="U17">
            <v>37.411000000000001</v>
          </cell>
          <cell r="V17">
            <v>37.411000000000001</v>
          </cell>
          <cell r="W17">
            <v>37.411000000000001</v>
          </cell>
          <cell r="X17">
            <v>37.411000000000001</v>
          </cell>
          <cell r="Y17">
            <v>37.411000000000001</v>
          </cell>
          <cell r="Z17">
            <v>43.801000000000002</v>
          </cell>
          <cell r="AA17">
            <v>43.801000000000002</v>
          </cell>
          <cell r="AB17">
            <v>43.801000000000002</v>
          </cell>
          <cell r="AC17">
            <v>43.801000000000002</v>
          </cell>
          <cell r="AD17">
            <v>43.801000000000002</v>
          </cell>
          <cell r="AE17">
            <v>35.960999999999999</v>
          </cell>
          <cell r="AF17">
            <v>35.960999999999999</v>
          </cell>
          <cell r="AG17">
            <v>35.960999999999999</v>
          </cell>
          <cell r="AH17">
            <v>48.185000000000002</v>
          </cell>
          <cell r="AI17">
            <v>44.247999999999998</v>
          </cell>
          <cell r="AJ17">
            <v>30.027000000000001</v>
          </cell>
          <cell r="AK17">
            <v>30.027000000000001</v>
          </cell>
          <cell r="AL17">
            <v>30.027000000000001</v>
          </cell>
          <cell r="AM17">
            <v>30.027000000000001</v>
          </cell>
          <cell r="AN17">
            <v>30.027000000000001</v>
          </cell>
          <cell r="AO17">
            <v>26.504999999999999</v>
          </cell>
          <cell r="AP17">
            <v>26.504999999999999</v>
          </cell>
          <cell r="AQ17">
            <v>26.504999999999999</v>
          </cell>
          <cell r="AR17">
            <v>26.504999999999999</v>
          </cell>
          <cell r="AS17">
            <v>45.573999999999998</v>
          </cell>
          <cell r="AT17">
            <v>0</v>
          </cell>
          <cell r="AU17">
            <v>0</v>
          </cell>
          <cell r="AW17">
            <v>30.027000000000001</v>
          </cell>
          <cell r="AX17">
            <v>30.027000000000001</v>
          </cell>
          <cell r="AY17">
            <v>26.504999999999999</v>
          </cell>
          <cell r="AZ17">
            <v>26.504999999999999</v>
          </cell>
          <cell r="BA17">
            <v>26.504999999999999</v>
          </cell>
          <cell r="BB17">
            <v>26.504999999999999</v>
          </cell>
          <cell r="BC17">
            <v>45.573999999999998</v>
          </cell>
          <cell r="BD17">
            <v>0</v>
          </cell>
          <cell r="BE17">
            <v>0</v>
          </cell>
          <cell r="BF17">
            <v>0</v>
          </cell>
          <cell r="BG17">
            <v>2.738</v>
          </cell>
          <cell r="BH17">
            <v>32.787999999999997</v>
          </cell>
          <cell r="BI17">
            <v>36.566000000000003</v>
          </cell>
          <cell r="BJ17">
            <v>94.206000000000003</v>
          </cell>
          <cell r="BK17">
            <v>94.206000000000003</v>
          </cell>
          <cell r="BL17">
            <v>97.085999999999999</v>
          </cell>
          <cell r="BM17">
            <v>148.28899999999999</v>
          </cell>
          <cell r="BN17">
            <v>105.825</v>
          </cell>
          <cell r="BO17">
            <v>36.317999999999998</v>
          </cell>
          <cell r="BP17">
            <v>36.317999999999998</v>
          </cell>
          <cell r="BQ17">
            <v>36.795999999999999</v>
          </cell>
          <cell r="BR17">
            <v>35.662999999999997</v>
          </cell>
          <cell r="BS17">
            <v>10.507999999999999</v>
          </cell>
          <cell r="BT17">
            <v>9.2919999999999998</v>
          </cell>
          <cell r="BU17">
            <v>9.2919999999999998</v>
          </cell>
          <cell r="BV17">
            <v>8.141</v>
          </cell>
          <cell r="BW17">
            <v>13.792</v>
          </cell>
          <cell r="BX17">
            <v>16.742999999999999</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U17" t="str">
            <v>mstag:deferredTaxAssetsCurrent</v>
          </cell>
          <cell r="DV17">
            <v>6</v>
          </cell>
          <cell r="DW17" t="str">
            <v>ISO4217:USD</v>
          </cell>
          <cell r="DX17" t="b">
            <v>0</v>
          </cell>
        </row>
        <row r="18">
          <cell r="B18" t="str">
            <v>Current Assets</v>
          </cell>
          <cell r="D18">
            <v>40.707000000000001</v>
          </cell>
          <cell r="E18">
            <v>41.298999999999999</v>
          </cell>
          <cell r="F18">
            <v>57.853999999999999</v>
          </cell>
          <cell r="G18">
            <v>118.529</v>
          </cell>
          <cell r="H18">
            <v>177.56399999999999</v>
          </cell>
          <cell r="I18">
            <v>173.37799999999999</v>
          </cell>
          <cell r="J18">
            <v>177.803</v>
          </cell>
          <cell r="K18">
            <v>236.13</v>
          </cell>
          <cell r="L18">
            <v>308.70699999999999</v>
          </cell>
          <cell r="M18">
            <v>317.58199999999999</v>
          </cell>
          <cell r="N18">
            <v>336.63</v>
          </cell>
          <cell r="O18">
            <v>372.94399999999996</v>
          </cell>
          <cell r="P18">
            <v>425.47199999999998</v>
          </cell>
          <cell r="Q18">
            <v>425.47199999999998</v>
          </cell>
          <cell r="R18">
            <v>447.92700000000002</v>
          </cell>
          <cell r="S18">
            <v>459.06799999999998</v>
          </cell>
          <cell r="T18">
            <v>442.36700000000002</v>
          </cell>
          <cell r="U18">
            <v>486.96300000000002</v>
          </cell>
          <cell r="V18">
            <v>486.96300000000002</v>
          </cell>
          <cell r="W18">
            <v>536.13800000000003</v>
          </cell>
          <cell r="X18">
            <v>540.83600000000001</v>
          </cell>
          <cell r="Y18">
            <v>532.49299999999994</v>
          </cell>
          <cell r="Z18">
            <v>565.23099999999999</v>
          </cell>
          <cell r="AA18">
            <v>565.23099999999999</v>
          </cell>
          <cell r="AB18">
            <v>626.52300000000002</v>
          </cell>
          <cell r="AC18">
            <v>686.03300000000002</v>
          </cell>
          <cell r="AD18">
            <v>724.81400000000008</v>
          </cell>
          <cell r="AE18">
            <v>695.78600000000006</v>
          </cell>
          <cell r="AF18">
            <v>695.78600000000006</v>
          </cell>
          <cell r="AG18">
            <v>779.03300000000002</v>
          </cell>
          <cell r="AH18">
            <v>796.976</v>
          </cell>
          <cell r="AI18">
            <v>865.97499999999991</v>
          </cell>
          <cell r="AJ18">
            <v>1093.336</v>
          </cell>
          <cell r="AK18">
            <v>1093.336</v>
          </cell>
          <cell r="AL18">
            <v>894.53800000000001</v>
          </cell>
          <cell r="AM18">
            <v>913.48299999999995</v>
          </cell>
          <cell r="AN18">
            <v>897.64099999999996</v>
          </cell>
          <cell r="AO18">
            <v>941.59400000000005</v>
          </cell>
          <cell r="AP18">
            <v>941.59400000000005</v>
          </cell>
          <cell r="AQ18">
            <v>1017.74</v>
          </cell>
          <cell r="AR18">
            <v>1013.095</v>
          </cell>
          <cell r="AS18">
            <v>997.19499999999994</v>
          </cell>
          <cell r="AT18">
            <v>988.15499999999997</v>
          </cell>
          <cell r="AU18">
            <v>988.15499999999997</v>
          </cell>
          <cell r="AW18">
            <v>913.48300000000006</v>
          </cell>
          <cell r="AX18">
            <v>897.64099999999996</v>
          </cell>
          <cell r="AY18">
            <v>941.59400000000005</v>
          </cell>
          <cell r="AZ18">
            <v>1017.74</v>
          </cell>
          <cell r="BA18">
            <v>1017.74</v>
          </cell>
          <cell r="BB18">
            <v>1013.095</v>
          </cell>
          <cell r="BC18">
            <v>997.19499999999994</v>
          </cell>
          <cell r="BD18">
            <v>988.15499999999997</v>
          </cell>
          <cell r="BE18">
            <v>1060.7429999999999</v>
          </cell>
          <cell r="BF18">
            <v>1060.7429999999999</v>
          </cell>
          <cell r="BG18">
            <v>1079.9659999999999</v>
          </cell>
          <cell r="BH18">
            <v>1163.7869999999998</v>
          </cell>
          <cell r="BI18">
            <v>1127.5409999999999</v>
          </cell>
          <cell r="BJ18">
            <v>1012.0039999999999</v>
          </cell>
          <cell r="BK18">
            <v>1012.0039999999999</v>
          </cell>
          <cell r="BL18">
            <v>1079.8700000000001</v>
          </cell>
          <cell r="BM18">
            <v>1172.0520000000001</v>
          </cell>
          <cell r="BN18">
            <v>1062.729</v>
          </cell>
          <cell r="BO18">
            <v>1066.107</v>
          </cell>
          <cell r="BP18">
            <v>1066.107</v>
          </cell>
          <cell r="BQ18">
            <v>1397.9879999999998</v>
          </cell>
          <cell r="BR18">
            <v>1307.2860000000001</v>
          </cell>
          <cell r="BS18">
            <v>1065.596</v>
          </cell>
          <cell r="BT18">
            <v>1051.0809999999999</v>
          </cell>
          <cell r="BU18">
            <v>1051.0809999999999</v>
          </cell>
          <cell r="BV18">
            <v>1029.5909999999999</v>
          </cell>
          <cell r="BW18">
            <v>1022.3280000000001</v>
          </cell>
          <cell r="BX18">
            <v>1164.2550000000001</v>
          </cell>
          <cell r="BY18">
            <v>1072.922</v>
          </cell>
          <cell r="BZ18">
            <v>1072.922</v>
          </cell>
          <cell r="CA18">
            <v>1186.0899999999999</v>
          </cell>
          <cell r="CB18">
            <v>1183.307</v>
          </cell>
          <cell r="CC18">
            <v>1212.8409999999999</v>
          </cell>
          <cell r="CD18">
            <v>1193.0720000000001</v>
          </cell>
          <cell r="CE18">
            <v>1193.0720000000001</v>
          </cell>
          <cell r="CF18">
            <v>1296.6680000000001</v>
          </cell>
          <cell r="CG18">
            <v>1269.01</v>
          </cell>
          <cell r="CH18">
            <v>1233.748</v>
          </cell>
          <cell r="CI18">
            <v>1410.1379999999999</v>
          </cell>
          <cell r="CJ18">
            <v>1410.1379999999999</v>
          </cell>
          <cell r="CK18">
            <v>1341.104</v>
          </cell>
          <cell r="CL18">
            <v>1348.8960000000002</v>
          </cell>
          <cell r="CM18">
            <v>1424.201</v>
          </cell>
          <cell r="CN18">
            <v>1505.0476710062524</v>
          </cell>
          <cell r="CO18">
            <v>1505.0476710062524</v>
          </cell>
          <cell r="CP18">
            <v>1547.2640672699963</v>
          </cell>
          <cell r="CQ18">
            <v>1618.2102161331281</v>
          </cell>
          <cell r="CR18">
            <v>1694.2204418283229</v>
          </cell>
          <cell r="CS18">
            <v>1710.7721606298646</v>
          </cell>
          <cell r="CT18">
            <v>1710.7721606298646</v>
          </cell>
          <cell r="CU18">
            <v>1732.6050881752562</v>
          </cell>
          <cell r="CV18">
            <v>1839.3184233591226</v>
          </cell>
          <cell r="CW18">
            <v>1954.8003917548783</v>
          </cell>
          <cell r="CX18">
            <v>2003.0524515267575</v>
          </cell>
          <cell r="CY18">
            <v>2003.0524515267575</v>
          </cell>
          <cell r="CZ18">
            <v>2046.9684093867711</v>
          </cell>
          <cell r="DA18">
            <v>2162.8658462594444</v>
          </cell>
          <cell r="DB18">
            <v>2289.6893068518484</v>
          </cell>
          <cell r="DC18">
            <v>2349.0816856635652</v>
          </cell>
          <cell r="DD18">
            <v>2349.0816856635652</v>
          </cell>
          <cell r="DE18">
            <v>2390.3252546794356</v>
          </cell>
          <cell r="DF18">
            <v>2527.1828343904058</v>
          </cell>
          <cell r="DG18">
            <v>2667.816055048721</v>
          </cell>
          <cell r="DH18">
            <v>2735.026204178268</v>
          </cell>
          <cell r="DI18">
            <v>2735.026204178268</v>
          </cell>
        </row>
        <row r="20">
          <cell r="B20" t="str">
            <v>Property &amp; equipment, net</v>
          </cell>
          <cell r="D20">
            <v>170.012</v>
          </cell>
          <cell r="E20">
            <v>181.863</v>
          </cell>
          <cell r="F20">
            <v>180.386</v>
          </cell>
          <cell r="G20">
            <v>201.709</v>
          </cell>
          <cell r="H20">
            <v>214.255</v>
          </cell>
          <cell r="I20">
            <v>283.279</v>
          </cell>
          <cell r="J20">
            <v>397.74400000000003</v>
          </cell>
          <cell r="K20">
            <v>472.71899999999999</v>
          </cell>
          <cell r="L20">
            <v>737.755</v>
          </cell>
          <cell r="M20">
            <v>779.11599999999999</v>
          </cell>
          <cell r="N20">
            <v>806.34</v>
          </cell>
          <cell r="O20">
            <v>965.83399999999995</v>
          </cell>
          <cell r="P20">
            <v>912.48900000000003</v>
          </cell>
          <cell r="Q20">
            <v>912.48900000000003</v>
          </cell>
          <cell r="R20">
            <v>924.91399999999999</v>
          </cell>
          <cell r="S20">
            <v>930.61400000000003</v>
          </cell>
          <cell r="T20">
            <v>1000.272</v>
          </cell>
          <cell r="U20">
            <v>1065.33</v>
          </cell>
          <cell r="V20">
            <v>1065.33</v>
          </cell>
          <cell r="W20">
            <v>1062.0050000000001</v>
          </cell>
          <cell r="X20">
            <v>1069.0340000000001</v>
          </cell>
          <cell r="Y20">
            <v>1094.4179999999999</v>
          </cell>
          <cell r="Z20">
            <v>1089.413</v>
          </cell>
          <cell r="AA20">
            <v>1089.413</v>
          </cell>
          <cell r="AB20">
            <v>1185.145</v>
          </cell>
          <cell r="AC20">
            <v>1204.395</v>
          </cell>
          <cell r="AD20">
            <v>1245.8599999999999</v>
          </cell>
          <cell r="AE20">
            <v>1281.7819999999999</v>
          </cell>
          <cell r="AF20">
            <v>1281.7819999999999</v>
          </cell>
          <cell r="AG20">
            <v>1292.5820000000001</v>
          </cell>
          <cell r="AH20">
            <v>1318.665</v>
          </cell>
          <cell r="AI20">
            <v>1329.7270000000001</v>
          </cell>
          <cell r="AJ20">
            <v>1427.7149999999999</v>
          </cell>
          <cell r="AK20">
            <v>1427.7149999999999</v>
          </cell>
          <cell r="AL20">
            <v>1652.585</v>
          </cell>
          <cell r="AM20">
            <v>1684.961</v>
          </cell>
          <cell r="AN20">
            <v>1703.462</v>
          </cell>
          <cell r="AO20">
            <v>1692.701</v>
          </cell>
          <cell r="AP20">
            <v>1692.701</v>
          </cell>
          <cell r="AQ20">
            <v>1712.9929999999999</v>
          </cell>
          <cell r="AR20">
            <v>1924.779</v>
          </cell>
          <cell r="AS20">
            <v>1984.829</v>
          </cell>
          <cell r="AT20">
            <v>2032.752</v>
          </cell>
          <cell r="AU20">
            <v>2032.752</v>
          </cell>
          <cell r="AW20">
            <v>1684.961</v>
          </cell>
          <cell r="AX20">
            <v>1703.462</v>
          </cell>
          <cell r="AY20">
            <v>1692.701</v>
          </cell>
          <cell r="AZ20">
            <v>1712.9929999999999</v>
          </cell>
          <cell r="BA20">
            <v>1712.9929999999999</v>
          </cell>
          <cell r="BB20">
            <v>1924.779</v>
          </cell>
          <cell r="BC20">
            <v>1984.829</v>
          </cell>
          <cell r="BD20">
            <v>2032.752</v>
          </cell>
          <cell r="BE20">
            <v>2084.9630000000002</v>
          </cell>
          <cell r="BF20">
            <v>2084.9630000000002</v>
          </cell>
          <cell r="BG20">
            <v>2174.029</v>
          </cell>
          <cell r="BH20">
            <v>2344.4140000000002</v>
          </cell>
          <cell r="BI20">
            <v>2377.9870000000001</v>
          </cell>
          <cell r="BJ20">
            <v>2427.9859999999999</v>
          </cell>
          <cell r="BK20">
            <v>2427.9859999999999</v>
          </cell>
          <cell r="BL20">
            <v>2439.346</v>
          </cell>
          <cell r="BM20">
            <v>2442.0720000000001</v>
          </cell>
          <cell r="BN20">
            <v>2459.6</v>
          </cell>
          <cell r="BO20">
            <v>2443.1889999999999</v>
          </cell>
          <cell r="BP20">
            <v>2443.1889999999999</v>
          </cell>
          <cell r="BQ20">
            <v>2405.3519999999999</v>
          </cell>
          <cell r="BR20">
            <v>2405.9270000000001</v>
          </cell>
          <cell r="BS20">
            <v>2413.145</v>
          </cell>
          <cell r="BT20">
            <v>2430.1689999999999</v>
          </cell>
          <cell r="BU20">
            <v>2430.1689999999999</v>
          </cell>
          <cell r="BV20">
            <v>2436.652</v>
          </cell>
          <cell r="BW20">
            <v>2434.067</v>
          </cell>
          <cell r="BX20">
            <v>2385.7779999999998</v>
          </cell>
          <cell r="BY20">
            <v>2498.9160000000002</v>
          </cell>
          <cell r="BZ20">
            <v>2498.9160000000002</v>
          </cell>
          <cell r="CA20">
            <v>2481.4949999999999</v>
          </cell>
          <cell r="CB20">
            <v>2488.4929999999999</v>
          </cell>
          <cell r="CC20">
            <v>2525.721</v>
          </cell>
          <cell r="CD20">
            <v>2664.6410000000001</v>
          </cell>
          <cell r="CE20">
            <v>2664.6410000000001</v>
          </cell>
          <cell r="CF20">
            <v>2677.9859999999999</v>
          </cell>
          <cell r="CG20">
            <v>2741.5459999999998</v>
          </cell>
          <cell r="CH20">
            <v>3179.72</v>
          </cell>
          <cell r="CI20">
            <v>3263.172</v>
          </cell>
          <cell r="CJ20">
            <v>3263.172</v>
          </cell>
          <cell r="CK20">
            <v>3286.029</v>
          </cell>
          <cell r="CL20">
            <v>3377.6950000000002</v>
          </cell>
          <cell r="CM20">
            <v>3415.431</v>
          </cell>
          <cell r="CN20">
            <v>3398.7853333333333</v>
          </cell>
          <cell r="CO20">
            <v>3398.7853333333333</v>
          </cell>
          <cell r="CP20">
            <v>3357.7895115089418</v>
          </cell>
          <cell r="CQ20">
            <v>3366.3903388841445</v>
          </cell>
          <cell r="CR20">
            <v>3374.4297560124737</v>
          </cell>
          <cell r="CS20">
            <v>3381.9171197313776</v>
          </cell>
          <cell r="CT20">
            <v>3381.9171197313776</v>
          </cell>
          <cell r="CU20">
            <v>3379.1696298703737</v>
          </cell>
          <cell r="CV20">
            <v>3374.7340532314547</v>
          </cell>
          <cell r="CW20">
            <v>3369.0289802231587</v>
          </cell>
          <cell r="CX20">
            <v>3365.2515769810443</v>
          </cell>
          <cell r="CY20">
            <v>3365.2515769810443</v>
          </cell>
          <cell r="CZ20">
            <v>3364.8343274617619</v>
          </cell>
          <cell r="DA20">
            <v>3362.5037423669064</v>
          </cell>
          <cell r="DB20">
            <v>3358.8889384286736</v>
          </cell>
          <cell r="DC20">
            <v>3357.4290647878402</v>
          </cell>
          <cell r="DD20">
            <v>3357.4290647878402</v>
          </cell>
          <cell r="DE20">
            <v>3359.6961776683215</v>
          </cell>
          <cell r="DF20">
            <v>3359.7017725257533</v>
          </cell>
          <cell r="DG20">
            <v>3358.3843932380946</v>
          </cell>
          <cell r="DH20">
            <v>3359.0439922381479</v>
          </cell>
          <cell r="DI20">
            <v>3359.0439922381479</v>
          </cell>
          <cell r="DU20" t="str">
            <v>mstag:propertyPlantAndEquipmentNet</v>
          </cell>
          <cell r="DV20">
            <v>6</v>
          </cell>
          <cell r="DW20" t="str">
            <v>ISO4217:USD</v>
          </cell>
          <cell r="DX20" t="b">
            <v>0</v>
          </cell>
        </row>
        <row r="21">
          <cell r="B21" t="str">
            <v>Restricted funds</v>
          </cell>
          <cell r="D21">
            <v>1.762</v>
          </cell>
          <cell r="E21">
            <v>2.1040000000000001</v>
          </cell>
          <cell r="F21">
            <v>0.95399999999999996</v>
          </cell>
          <cell r="G21">
            <v>0.98299999999999998</v>
          </cell>
          <cell r="H21">
            <v>0.34300000000000003</v>
          </cell>
          <cell r="I21">
            <v>7.1999999999999995E-2</v>
          </cell>
          <cell r="J21">
            <v>0.13600000000000001</v>
          </cell>
          <cell r="K21">
            <v>0.94399999999999995</v>
          </cell>
          <cell r="L21">
            <v>3.9319999999999999</v>
          </cell>
          <cell r="M21">
            <v>4.1100000000000003</v>
          </cell>
          <cell r="N21">
            <v>4.4939999999999998</v>
          </cell>
          <cell r="O21">
            <v>4.5549999999999997</v>
          </cell>
          <cell r="P21">
            <v>4.1310000000000002</v>
          </cell>
          <cell r="Q21">
            <v>4.1310000000000002</v>
          </cell>
          <cell r="R21">
            <v>4.1840000000000002</v>
          </cell>
          <cell r="S21">
            <v>3.2149999999999999</v>
          </cell>
          <cell r="T21">
            <v>3.0870000000000002</v>
          </cell>
          <cell r="U21">
            <v>2.0049999999999999</v>
          </cell>
          <cell r="V21">
            <v>2.0049999999999999</v>
          </cell>
          <cell r="W21">
            <v>1.9390000000000001</v>
          </cell>
          <cell r="X21">
            <v>1.944</v>
          </cell>
          <cell r="Y21">
            <v>1.9419999999999999</v>
          </cell>
          <cell r="Z21">
            <v>1.7909999999999999</v>
          </cell>
          <cell r="AA21">
            <v>1.7909999999999999</v>
          </cell>
          <cell r="AB21">
            <v>1.744</v>
          </cell>
          <cell r="AC21">
            <v>1.5109999999999999</v>
          </cell>
          <cell r="AD21">
            <v>1.46</v>
          </cell>
          <cell r="AE21">
            <v>1.45</v>
          </cell>
          <cell r="AF21">
            <v>1.45</v>
          </cell>
          <cell r="AG21">
            <v>1.226</v>
          </cell>
          <cell r="AH21">
            <v>1.038</v>
          </cell>
          <cell r="AI21">
            <v>0.98299999999999998</v>
          </cell>
          <cell r="AJ21">
            <v>15.923999999999999</v>
          </cell>
          <cell r="AK21">
            <v>15.923999999999999</v>
          </cell>
          <cell r="AL21">
            <v>22.129000000000001</v>
          </cell>
          <cell r="AM21">
            <v>42.154000000000003</v>
          </cell>
          <cell r="AN21">
            <v>52.16</v>
          </cell>
          <cell r="AO21">
            <v>55.942</v>
          </cell>
          <cell r="AP21">
            <v>55.942</v>
          </cell>
          <cell r="AQ21">
            <v>66.676000000000002</v>
          </cell>
          <cell r="AR21">
            <v>70.186000000000007</v>
          </cell>
          <cell r="AS21">
            <v>76.959999999999994</v>
          </cell>
          <cell r="AT21">
            <v>70.912999999999997</v>
          </cell>
          <cell r="AU21">
            <v>70.912999999999997</v>
          </cell>
          <cell r="AW21">
            <v>42.154000000000003</v>
          </cell>
          <cell r="AX21">
            <v>52.16</v>
          </cell>
          <cell r="AY21">
            <v>55.942</v>
          </cell>
          <cell r="AZ21">
            <v>66.676000000000002</v>
          </cell>
          <cell r="BA21">
            <v>66.676000000000002</v>
          </cell>
          <cell r="BB21">
            <v>70.186000000000007</v>
          </cell>
          <cell r="BC21">
            <v>76.959999999999994</v>
          </cell>
          <cell r="BD21">
            <v>70.912999999999997</v>
          </cell>
          <cell r="BE21">
            <v>45.7</v>
          </cell>
          <cell r="BF21">
            <v>45.7</v>
          </cell>
          <cell r="BG21">
            <v>48.253999999999998</v>
          </cell>
          <cell r="BH21">
            <v>54.305999999999997</v>
          </cell>
          <cell r="BI21">
            <v>60.427999999999997</v>
          </cell>
          <cell r="BJ21">
            <v>58.985999999999997</v>
          </cell>
          <cell r="BK21">
            <v>58.985999999999997</v>
          </cell>
          <cell r="BL21">
            <v>63.326000000000001</v>
          </cell>
          <cell r="BM21">
            <v>61.210999999999999</v>
          </cell>
          <cell r="BN21">
            <v>70.503</v>
          </cell>
          <cell r="BO21">
            <v>76.179000000000002</v>
          </cell>
          <cell r="BP21">
            <v>76.179000000000002</v>
          </cell>
          <cell r="BQ21">
            <v>74.75</v>
          </cell>
          <cell r="BR21">
            <v>63.831000000000003</v>
          </cell>
          <cell r="BS21">
            <v>53.734999999999999</v>
          </cell>
          <cell r="BT21">
            <v>37.116999999999997</v>
          </cell>
          <cell r="BU21">
            <v>37.116999999999997</v>
          </cell>
          <cell r="BV21">
            <v>27.635999999999999</v>
          </cell>
          <cell r="BW21">
            <v>23.33</v>
          </cell>
          <cell r="BX21">
            <v>32.658999999999999</v>
          </cell>
          <cell r="BY21">
            <v>38.847999999999999</v>
          </cell>
          <cell r="BZ21">
            <v>38.847999999999999</v>
          </cell>
          <cell r="CA21">
            <v>29.61</v>
          </cell>
          <cell r="CB21">
            <v>46.923000000000002</v>
          </cell>
          <cell r="CC21">
            <v>50.673999999999999</v>
          </cell>
          <cell r="CD21">
            <v>51.067</v>
          </cell>
          <cell r="CE21">
            <v>51.067</v>
          </cell>
          <cell r="CF21">
            <v>47.667999999999999</v>
          </cell>
          <cell r="CG21">
            <v>69.709999999999994</v>
          </cell>
          <cell r="CH21">
            <v>79.257000000000005</v>
          </cell>
          <cell r="CI21">
            <v>96.244</v>
          </cell>
          <cell r="CJ21">
            <v>96.244</v>
          </cell>
          <cell r="CK21">
            <v>99.953999999999994</v>
          </cell>
          <cell r="CL21">
            <v>104.497</v>
          </cell>
          <cell r="CM21">
            <v>120.161</v>
          </cell>
          <cell r="CN21">
            <v>120.161</v>
          </cell>
          <cell r="CO21">
            <v>120.161</v>
          </cell>
          <cell r="CP21">
            <v>120.161</v>
          </cell>
          <cell r="CQ21">
            <v>120.161</v>
          </cell>
          <cell r="CR21">
            <v>120.161</v>
          </cell>
          <cell r="CS21">
            <v>120.161</v>
          </cell>
          <cell r="CT21">
            <v>120.161</v>
          </cell>
          <cell r="CU21">
            <v>120.161</v>
          </cell>
          <cell r="CV21">
            <v>120.161</v>
          </cell>
          <cell r="CW21">
            <v>120.161</v>
          </cell>
          <cell r="CX21">
            <v>120.161</v>
          </cell>
          <cell r="CY21">
            <v>120.161</v>
          </cell>
          <cell r="CZ21">
            <v>120.161</v>
          </cell>
          <cell r="DA21">
            <v>120.161</v>
          </cell>
          <cell r="DB21">
            <v>120.161</v>
          </cell>
          <cell r="DC21">
            <v>120.161</v>
          </cell>
          <cell r="DD21">
            <v>120.161</v>
          </cell>
          <cell r="DE21">
            <v>120.161</v>
          </cell>
          <cell r="DF21">
            <v>120.161</v>
          </cell>
          <cell r="DG21">
            <v>120.161</v>
          </cell>
          <cell r="DH21">
            <v>120.161</v>
          </cell>
          <cell r="DI21">
            <v>120.161</v>
          </cell>
          <cell r="DU21" t="str">
            <v>mstag:longTermInvestmentsNonOperating</v>
          </cell>
          <cell r="DV21">
            <v>6</v>
          </cell>
          <cell r="DW21" t="str">
            <v>ISO4217:USD</v>
          </cell>
          <cell r="DX21" t="b">
            <v>0</v>
          </cell>
        </row>
        <row r="22">
          <cell r="B22" t="str">
            <v>Goodwill</v>
          </cell>
          <cell r="D22">
            <v>0</v>
          </cell>
          <cell r="E22">
            <v>0</v>
          </cell>
          <cell r="F22">
            <v>0</v>
          </cell>
          <cell r="G22">
            <v>0</v>
          </cell>
          <cell r="H22">
            <v>0</v>
          </cell>
          <cell r="I22">
            <v>0</v>
          </cell>
          <cell r="J22">
            <v>0</v>
          </cell>
          <cell r="K22">
            <v>0</v>
          </cell>
          <cell r="L22">
            <v>46.673999999999999</v>
          </cell>
          <cell r="M22">
            <v>45.737000000000002</v>
          </cell>
          <cell r="N22">
            <v>44.737000000000002</v>
          </cell>
          <cell r="O22">
            <v>94.616</v>
          </cell>
          <cell r="P22">
            <v>158.499</v>
          </cell>
          <cell r="Q22">
            <v>158.499</v>
          </cell>
          <cell r="R22">
            <v>156.614</v>
          </cell>
          <cell r="S22">
            <v>159.279</v>
          </cell>
          <cell r="T22">
            <v>157.23699999999999</v>
          </cell>
          <cell r="U22">
            <v>195.00399999999999</v>
          </cell>
          <cell r="V22">
            <v>195.00399999999999</v>
          </cell>
          <cell r="W22">
            <v>207.43199999999999</v>
          </cell>
          <cell r="X22">
            <v>206.833</v>
          </cell>
          <cell r="Y22">
            <v>229.96199999999999</v>
          </cell>
          <cell r="Z22">
            <v>251.315</v>
          </cell>
          <cell r="AA22">
            <v>251.315</v>
          </cell>
          <cell r="AB22">
            <v>302.28100000000001</v>
          </cell>
          <cell r="AC22">
            <v>304.11799999999999</v>
          </cell>
          <cell r="AD22">
            <v>337.13799999999998</v>
          </cell>
          <cell r="AE22">
            <v>335.31299999999999</v>
          </cell>
          <cell r="AF22">
            <v>335.31299999999999</v>
          </cell>
          <cell r="AG22">
            <v>338.29599999999999</v>
          </cell>
          <cell r="AH22">
            <v>352.43900000000002</v>
          </cell>
          <cell r="AI22">
            <v>354.44600000000003</v>
          </cell>
          <cell r="AJ22">
            <v>397.82499999999999</v>
          </cell>
          <cell r="AK22">
            <v>397.82499999999999</v>
          </cell>
          <cell r="AL22">
            <v>730.23</v>
          </cell>
          <cell r="AM22">
            <v>717.33100000000002</v>
          </cell>
          <cell r="AN22">
            <v>722.572</v>
          </cell>
          <cell r="AO22">
            <v>748.15599999999995</v>
          </cell>
          <cell r="AP22">
            <v>748.15599999999995</v>
          </cell>
          <cell r="AQ22">
            <v>754.25300000000004</v>
          </cell>
          <cell r="AR22">
            <v>824.85299999999995</v>
          </cell>
          <cell r="AS22">
            <v>858.89499999999998</v>
          </cell>
          <cell r="AT22">
            <v>848.52300000000002</v>
          </cell>
          <cell r="AU22">
            <v>848.52300000000002</v>
          </cell>
          <cell r="AW22">
            <v>717.33100000000002</v>
          </cell>
          <cell r="AX22">
            <v>722.572</v>
          </cell>
          <cell r="AY22">
            <v>748.15599999999995</v>
          </cell>
          <cell r="AZ22">
            <v>754.25300000000004</v>
          </cell>
          <cell r="BA22">
            <v>754.25300000000004</v>
          </cell>
          <cell r="BB22">
            <v>824.85299999999995</v>
          </cell>
          <cell r="BC22">
            <v>858.89499999999998</v>
          </cell>
          <cell r="BD22">
            <v>848.52300000000002</v>
          </cell>
          <cell r="BE22">
            <v>867.27800000000002</v>
          </cell>
          <cell r="BF22">
            <v>867.27800000000002</v>
          </cell>
          <cell r="BG22">
            <v>906.43899999999996</v>
          </cell>
          <cell r="BH22">
            <v>921.40200000000004</v>
          </cell>
          <cell r="BI22">
            <v>908.81700000000001</v>
          </cell>
          <cell r="BJ22">
            <v>915.32600000000002</v>
          </cell>
          <cell r="BK22">
            <v>915.32600000000002</v>
          </cell>
          <cell r="BL22">
            <v>916.55499999999995</v>
          </cell>
          <cell r="BM22">
            <v>899.29</v>
          </cell>
          <cell r="BN22">
            <v>909.58900000000006</v>
          </cell>
          <cell r="BO22">
            <v>910.14400000000001</v>
          </cell>
          <cell r="BP22">
            <v>910.14400000000001</v>
          </cell>
          <cell r="BQ22">
            <v>897.202</v>
          </cell>
          <cell r="BR22">
            <v>899.55</v>
          </cell>
          <cell r="BS22">
            <v>898.17</v>
          </cell>
          <cell r="BT22">
            <v>898.03099999999995</v>
          </cell>
          <cell r="BU22">
            <v>898.03099999999995</v>
          </cell>
          <cell r="BV22">
            <v>897.94899999999996</v>
          </cell>
          <cell r="BW22">
            <v>897.84699999999998</v>
          </cell>
          <cell r="BX22">
            <v>877.65200000000004</v>
          </cell>
          <cell r="BY22">
            <v>890.85199999999998</v>
          </cell>
          <cell r="BZ22">
            <v>890.85199999999998</v>
          </cell>
          <cell r="CA22">
            <v>908.70799999999997</v>
          </cell>
          <cell r="CB22">
            <v>908.70799999999997</v>
          </cell>
          <cell r="CC22">
            <v>917.50699999999995</v>
          </cell>
          <cell r="CD22">
            <v>913.08399999999995</v>
          </cell>
          <cell r="CE22">
            <v>913.08399999999995</v>
          </cell>
          <cell r="CF22">
            <v>914.94</v>
          </cell>
          <cell r="CG22">
            <v>911.63199999999995</v>
          </cell>
          <cell r="CH22">
            <v>1006.006</v>
          </cell>
          <cell r="CI22">
            <v>999.38</v>
          </cell>
          <cell r="CJ22">
            <v>999.38</v>
          </cell>
          <cell r="CK22">
            <v>1003.918</v>
          </cell>
          <cell r="CL22">
            <v>1019.34</v>
          </cell>
          <cell r="CM22">
            <v>1022.313</v>
          </cell>
          <cell r="CN22">
            <v>1022.313</v>
          </cell>
          <cell r="CO22">
            <v>1022.313</v>
          </cell>
          <cell r="CP22">
            <v>1022.313</v>
          </cell>
          <cell r="CQ22">
            <v>1022.313</v>
          </cell>
          <cell r="CR22">
            <v>1022.313</v>
          </cell>
          <cell r="CS22">
            <v>1022.313</v>
          </cell>
          <cell r="CT22">
            <v>1022.313</v>
          </cell>
          <cell r="CU22">
            <v>1022.313</v>
          </cell>
          <cell r="CV22">
            <v>1022.313</v>
          </cell>
          <cell r="CW22">
            <v>1022.313</v>
          </cell>
          <cell r="CX22">
            <v>1022.313</v>
          </cell>
          <cell r="CY22">
            <v>1022.313</v>
          </cell>
          <cell r="CZ22">
            <v>1022.313</v>
          </cell>
          <cell r="DA22">
            <v>1022.313</v>
          </cell>
          <cell r="DB22">
            <v>1022.313</v>
          </cell>
          <cell r="DC22">
            <v>1022.313</v>
          </cell>
          <cell r="DD22">
            <v>1022.313</v>
          </cell>
          <cell r="DE22">
            <v>1022.313</v>
          </cell>
          <cell r="DF22">
            <v>1022.313</v>
          </cell>
          <cell r="DG22">
            <v>1022.313</v>
          </cell>
          <cell r="DH22">
            <v>1022.313</v>
          </cell>
          <cell r="DI22">
            <v>1022.313</v>
          </cell>
          <cell r="DU22" t="str">
            <v>mstag:goodwill</v>
          </cell>
          <cell r="DV22">
            <v>6</v>
          </cell>
          <cell r="DW22" t="str">
            <v>ISO4217:USD</v>
          </cell>
          <cell r="DX22" t="b">
            <v>0</v>
          </cell>
        </row>
        <row r="23">
          <cell r="B23" t="str">
            <v>Deferred charges and other assets</v>
          </cell>
          <cell r="D23">
            <v>3.6190000000000002</v>
          </cell>
          <cell r="E23">
            <v>4.056</v>
          </cell>
          <cell r="F23">
            <v>3.5990000000000002</v>
          </cell>
          <cell r="G23">
            <v>4.5659999999999998</v>
          </cell>
          <cell r="H23">
            <v>6.6509999999999998</v>
          </cell>
          <cell r="I23">
            <v>10.269</v>
          </cell>
          <cell r="J23">
            <v>16.024000000000001</v>
          </cell>
          <cell r="K23">
            <v>17.768000000000001</v>
          </cell>
          <cell r="L23">
            <v>15.037000000000001</v>
          </cell>
          <cell r="M23">
            <v>14.855</v>
          </cell>
          <cell r="N23">
            <v>15.297000000000001</v>
          </cell>
          <cell r="O23">
            <v>16.585000000000001</v>
          </cell>
          <cell r="P23">
            <v>16.709</v>
          </cell>
          <cell r="Q23">
            <v>16.709</v>
          </cell>
          <cell r="R23">
            <v>19.791</v>
          </cell>
          <cell r="S23">
            <v>20.042000000000002</v>
          </cell>
          <cell r="T23">
            <v>26.539000000000001</v>
          </cell>
          <cell r="U23">
            <v>22.763000000000002</v>
          </cell>
          <cell r="V23">
            <v>22.763000000000002</v>
          </cell>
          <cell r="W23">
            <v>17.809999999999999</v>
          </cell>
          <cell r="X23">
            <v>19.931999999999999</v>
          </cell>
          <cell r="Y23">
            <v>22.321999999999999</v>
          </cell>
          <cell r="Z23">
            <v>33.826999999999998</v>
          </cell>
          <cell r="AA23">
            <v>33.826999999999998</v>
          </cell>
          <cell r="AB23">
            <v>34.97</v>
          </cell>
          <cell r="AC23">
            <v>44.079000000000001</v>
          </cell>
          <cell r="AD23">
            <v>46.183</v>
          </cell>
          <cell r="AE23">
            <v>49.985999999999997</v>
          </cell>
          <cell r="AF23">
            <v>49.985999999999997</v>
          </cell>
          <cell r="AG23">
            <v>40.753999999999998</v>
          </cell>
          <cell r="AH23">
            <v>40.942999999999998</v>
          </cell>
          <cell r="AI23">
            <v>40.344000000000001</v>
          </cell>
          <cell r="AJ23">
            <v>44.686999999999998</v>
          </cell>
          <cell r="AK23">
            <v>44.686999999999998</v>
          </cell>
          <cell r="AL23">
            <v>44.844999999999999</v>
          </cell>
          <cell r="AM23">
            <v>43.075000000000003</v>
          </cell>
          <cell r="AN23">
            <v>43.837000000000003</v>
          </cell>
          <cell r="AO23">
            <v>68.894999999999996</v>
          </cell>
          <cell r="AP23">
            <v>68.894999999999996</v>
          </cell>
          <cell r="AQ23">
            <v>80.537000000000006</v>
          </cell>
          <cell r="AR23">
            <v>116.042</v>
          </cell>
          <cell r="AS23">
            <v>72.167000000000002</v>
          </cell>
          <cell r="AT23">
            <v>47.828000000000003</v>
          </cell>
          <cell r="AU23">
            <v>47.828000000000003</v>
          </cell>
          <cell r="AW23">
            <v>43.075000000000003</v>
          </cell>
          <cell r="AX23">
            <v>43.837000000000003</v>
          </cell>
          <cell r="AY23">
            <v>68.894999999999996</v>
          </cell>
          <cell r="AZ23">
            <v>80.537000000000006</v>
          </cell>
          <cell r="BA23">
            <v>80.537000000000006</v>
          </cell>
          <cell r="BB23">
            <v>116.042</v>
          </cell>
          <cell r="BC23">
            <v>72.167000000000002</v>
          </cell>
          <cell r="BD23">
            <v>47.828000000000003</v>
          </cell>
          <cell r="BE23">
            <v>96.853999999999999</v>
          </cell>
          <cell r="BF23">
            <v>96.853999999999999</v>
          </cell>
          <cell r="BG23">
            <v>69.983999999999995</v>
          </cell>
          <cell r="BH23">
            <v>67.156000000000006</v>
          </cell>
          <cell r="BI23">
            <v>76.183000000000007</v>
          </cell>
          <cell r="BJ23">
            <v>76.650000000000006</v>
          </cell>
          <cell r="BK23">
            <v>76.650000000000006</v>
          </cell>
          <cell r="BL23">
            <v>130.74100000000001</v>
          </cell>
          <cell r="BM23">
            <v>189.453</v>
          </cell>
          <cell r="BN23">
            <v>139.57400000000001</v>
          </cell>
          <cell r="BO23">
            <v>148.30000000000001</v>
          </cell>
          <cell r="BP23">
            <v>148.30000000000001</v>
          </cell>
          <cell r="BQ23">
            <v>146.05099999999999</v>
          </cell>
          <cell r="BR23">
            <v>139.28899999999999</v>
          </cell>
          <cell r="BS23">
            <v>137.459</v>
          </cell>
          <cell r="BT23">
            <v>139.131</v>
          </cell>
          <cell r="BU23">
            <v>139.131</v>
          </cell>
          <cell r="BV23">
            <v>132.18199999999999</v>
          </cell>
          <cell r="BW23">
            <v>136.27000000000001</v>
          </cell>
          <cell r="BX23">
            <v>126.941</v>
          </cell>
          <cell r="BY23">
            <v>102.56100000000001</v>
          </cell>
          <cell r="BZ23">
            <v>102.56100000000001</v>
          </cell>
          <cell r="CA23">
            <v>95.641000000000005</v>
          </cell>
          <cell r="CB23">
            <v>92.731999999999999</v>
          </cell>
          <cell r="CC23">
            <v>93.081000000000003</v>
          </cell>
          <cell r="CD23">
            <v>88.221000000000004</v>
          </cell>
          <cell r="CE23">
            <v>88.221000000000004</v>
          </cell>
          <cell r="CF23">
            <v>107.246</v>
          </cell>
          <cell r="CG23">
            <v>110.163</v>
          </cell>
          <cell r="CH23">
            <v>185.97900000000001</v>
          </cell>
          <cell r="CI23">
            <v>235.255</v>
          </cell>
          <cell r="CJ23">
            <v>235.255</v>
          </cell>
          <cell r="CK23">
            <v>330.36799999999999</v>
          </cell>
          <cell r="CL23">
            <v>325.17899999999997</v>
          </cell>
          <cell r="CM23">
            <v>324.62200000000001</v>
          </cell>
          <cell r="CN23">
            <v>324.62200000000001</v>
          </cell>
          <cell r="CO23">
            <v>324.62200000000001</v>
          </cell>
          <cell r="CP23">
            <v>324.62200000000001</v>
          </cell>
          <cell r="CQ23">
            <v>324.62200000000001</v>
          </cell>
          <cell r="CR23">
            <v>324.62200000000001</v>
          </cell>
          <cell r="CS23">
            <v>324.62200000000001</v>
          </cell>
          <cell r="CT23">
            <v>324.62200000000001</v>
          </cell>
          <cell r="CU23">
            <v>324.62200000000001</v>
          </cell>
          <cell r="CV23">
            <v>324.62200000000001</v>
          </cell>
          <cell r="CW23">
            <v>324.62200000000001</v>
          </cell>
          <cell r="CX23">
            <v>324.62200000000001</v>
          </cell>
          <cell r="CY23">
            <v>324.62200000000001</v>
          </cell>
          <cell r="CZ23">
            <v>324.62200000000001</v>
          </cell>
          <cell r="DA23">
            <v>324.62200000000001</v>
          </cell>
          <cell r="DB23">
            <v>324.62200000000001</v>
          </cell>
          <cell r="DC23">
            <v>324.62200000000001</v>
          </cell>
          <cell r="DD23">
            <v>324.62200000000001</v>
          </cell>
          <cell r="DE23">
            <v>324.62200000000001</v>
          </cell>
          <cell r="DF23">
            <v>324.62200000000001</v>
          </cell>
          <cell r="DG23">
            <v>324.62200000000001</v>
          </cell>
          <cell r="DH23">
            <v>324.62200000000001</v>
          </cell>
          <cell r="DI23">
            <v>324.62200000000001</v>
          </cell>
          <cell r="DU23" t="str">
            <v>mstag:otherAssetsOperatingNonCurrent</v>
          </cell>
          <cell r="DV23">
            <v>6</v>
          </cell>
          <cell r="DW23" t="str">
            <v>ISO4217:USD</v>
          </cell>
          <cell r="DX23" t="b">
            <v>0</v>
          </cell>
        </row>
        <row r="24">
          <cell r="B24" t="str">
            <v>TOTAL ASSETS</v>
          </cell>
          <cell r="D24">
            <v>216.1</v>
          </cell>
          <cell r="E24">
            <v>229.32200000000003</v>
          </cell>
          <cell r="F24">
            <v>242.79300000000001</v>
          </cell>
          <cell r="G24">
            <v>325.78699999999998</v>
          </cell>
          <cell r="H24">
            <v>398.81300000000005</v>
          </cell>
          <cell r="I24">
            <v>466.99799999999999</v>
          </cell>
          <cell r="J24">
            <v>591.70699999999999</v>
          </cell>
          <cell r="K24">
            <v>727.56099999999992</v>
          </cell>
          <cell r="L24">
            <v>1112.105</v>
          </cell>
          <cell r="M24">
            <v>1161.3999999999999</v>
          </cell>
          <cell r="N24">
            <v>1207.498</v>
          </cell>
          <cell r="O24">
            <v>1454.5339999999999</v>
          </cell>
          <cell r="P24">
            <v>1517.3000000000002</v>
          </cell>
          <cell r="Q24">
            <v>1517.3000000000002</v>
          </cell>
          <cell r="R24">
            <v>1553.4299999999998</v>
          </cell>
          <cell r="S24">
            <v>1572.2179999999998</v>
          </cell>
          <cell r="T24">
            <v>1629.5020000000002</v>
          </cell>
          <cell r="U24">
            <v>1772.0649999999998</v>
          </cell>
          <cell r="V24">
            <v>1772.0649999999998</v>
          </cell>
          <cell r="W24">
            <v>1825.3240000000001</v>
          </cell>
          <cell r="X24">
            <v>1838.5790000000002</v>
          </cell>
          <cell r="Y24">
            <v>1881.1369999999997</v>
          </cell>
          <cell r="Z24">
            <v>1941.577</v>
          </cell>
          <cell r="AA24">
            <v>1941.577</v>
          </cell>
          <cell r="AB24">
            <v>2150.663</v>
          </cell>
          <cell r="AC24">
            <v>2240.136</v>
          </cell>
          <cell r="AD24">
            <v>2355.4549999999999</v>
          </cell>
          <cell r="AE24">
            <v>2364.317</v>
          </cell>
          <cell r="AF24">
            <v>2364.317</v>
          </cell>
          <cell r="AG24">
            <v>2451.8910000000001</v>
          </cell>
          <cell r="AH24">
            <v>2510.0610000000001</v>
          </cell>
          <cell r="AI24">
            <v>2591.4750000000004</v>
          </cell>
          <cell r="AJ24">
            <v>2979.4869999999996</v>
          </cell>
          <cell r="AK24">
            <v>2979.4869999999996</v>
          </cell>
          <cell r="AL24">
            <v>3344.3269999999998</v>
          </cell>
          <cell r="AM24">
            <v>3401.0039999999999</v>
          </cell>
          <cell r="AN24">
            <v>3419.672</v>
          </cell>
          <cell r="AO24">
            <v>3507.288</v>
          </cell>
          <cell r="AP24">
            <v>3507.288</v>
          </cell>
          <cell r="AQ24">
            <v>3632.1990000000001</v>
          </cell>
          <cell r="AR24">
            <v>3948.9549999999999</v>
          </cell>
          <cell r="AS24">
            <v>3990.0459999999998</v>
          </cell>
          <cell r="AT24">
            <v>3988.1710000000003</v>
          </cell>
          <cell r="AU24">
            <v>3988.1710000000003</v>
          </cell>
          <cell r="AW24">
            <v>3401.0039999999999</v>
          </cell>
          <cell r="AX24">
            <v>3419.672</v>
          </cell>
          <cell r="AY24">
            <v>3507.288</v>
          </cell>
          <cell r="AZ24">
            <v>3632.1990000000001</v>
          </cell>
          <cell r="BA24">
            <v>3632.1990000000001</v>
          </cell>
          <cell r="BB24">
            <v>3948.9549999999999</v>
          </cell>
          <cell r="BC24">
            <v>3990.0459999999998</v>
          </cell>
          <cell r="BD24">
            <v>3988.1710000000003</v>
          </cell>
          <cell r="BE24">
            <v>4155.5380000000005</v>
          </cell>
          <cell r="BF24">
            <v>4155.5380000000005</v>
          </cell>
          <cell r="BG24">
            <v>4278.6720000000005</v>
          </cell>
          <cell r="BH24">
            <v>4551.0649999999996</v>
          </cell>
          <cell r="BI24">
            <v>4550.9560000000001</v>
          </cell>
          <cell r="BJ24">
            <v>4490.9519999999993</v>
          </cell>
          <cell r="BK24">
            <v>4490.9519999999993</v>
          </cell>
          <cell r="BL24">
            <v>4629.8380000000006</v>
          </cell>
          <cell r="BM24">
            <v>4764.0780000000004</v>
          </cell>
          <cell r="BN24">
            <v>4641.9949999999999</v>
          </cell>
          <cell r="BO24">
            <v>4643.9189999999999</v>
          </cell>
          <cell r="BP24">
            <v>4643.9189999999999</v>
          </cell>
          <cell r="BQ24">
            <v>4921.3429999999998</v>
          </cell>
          <cell r="BR24">
            <v>4815.8829999999998</v>
          </cell>
          <cell r="BS24">
            <v>4568.1049999999996</v>
          </cell>
          <cell r="BT24">
            <v>4555.5290000000005</v>
          </cell>
          <cell r="BU24">
            <v>4555.5290000000005</v>
          </cell>
          <cell r="BV24">
            <v>4524.0099999999993</v>
          </cell>
          <cell r="BW24">
            <v>4513.8420000000006</v>
          </cell>
          <cell r="BX24">
            <v>4587.2849999999999</v>
          </cell>
          <cell r="BY24">
            <v>4604.0990000000002</v>
          </cell>
          <cell r="BZ24">
            <v>4604.0990000000002</v>
          </cell>
          <cell r="CA24">
            <v>4701.5439999999999</v>
          </cell>
          <cell r="CB24">
            <v>4720.1629999999996</v>
          </cell>
          <cell r="CC24">
            <v>4799.8239999999996</v>
          </cell>
          <cell r="CD24">
            <v>4910.0850000000009</v>
          </cell>
          <cell r="CE24">
            <v>4910.0850000000009</v>
          </cell>
          <cell r="CF24">
            <v>5044.5080000000007</v>
          </cell>
          <cell r="CG24">
            <v>5102.0609999999988</v>
          </cell>
          <cell r="CH24">
            <v>5684.71</v>
          </cell>
          <cell r="CI24">
            <v>6004.1889999999994</v>
          </cell>
          <cell r="CJ24">
            <v>6004.1889999999994</v>
          </cell>
          <cell r="CK24">
            <v>6061.3729999999996</v>
          </cell>
          <cell r="CL24">
            <v>6175.6070000000009</v>
          </cell>
          <cell r="CM24">
            <v>6306.7280000000001</v>
          </cell>
          <cell r="CN24">
            <v>6370.9290043395858</v>
          </cell>
          <cell r="CO24">
            <v>6370.9290043395858</v>
          </cell>
          <cell r="CP24">
            <v>6372.1495787789381</v>
          </cell>
          <cell r="CQ24">
            <v>6451.6965550172727</v>
          </cell>
          <cell r="CR24">
            <v>6535.7461978407973</v>
          </cell>
          <cell r="CS24">
            <v>6559.7852803612432</v>
          </cell>
          <cell r="CT24">
            <v>6559.7852803612432</v>
          </cell>
          <cell r="CU24">
            <v>6578.8707180456304</v>
          </cell>
          <cell r="CV24">
            <v>6681.148476590578</v>
          </cell>
          <cell r="CW24">
            <v>6790.9253719780372</v>
          </cell>
          <cell r="CX24">
            <v>6835.4000285078027</v>
          </cell>
          <cell r="CY24">
            <v>6835.4000285078027</v>
          </cell>
          <cell r="CZ24">
            <v>6878.8987368485332</v>
          </cell>
          <cell r="DA24">
            <v>6992.4655886263508</v>
          </cell>
          <cell r="DB24">
            <v>7115.674245280522</v>
          </cell>
          <cell r="DC24">
            <v>7173.6067504514058</v>
          </cell>
          <cell r="DD24">
            <v>7173.6067504514058</v>
          </cell>
          <cell r="DE24">
            <v>7217.117432347758</v>
          </cell>
          <cell r="DF24">
            <v>7353.9806069161596</v>
          </cell>
          <cell r="DG24">
            <v>7493.2964482868165</v>
          </cell>
          <cell r="DH24">
            <v>7561.1661964164168</v>
          </cell>
          <cell r="DI24">
            <v>7561.1661964164168</v>
          </cell>
        </row>
        <row r="26">
          <cell r="B26" t="str">
            <v>Accounts payable</v>
          </cell>
          <cell r="D26">
            <v>12.286</v>
          </cell>
          <cell r="E26">
            <v>11.481</v>
          </cell>
          <cell r="F26">
            <v>12.526</v>
          </cell>
          <cell r="G26">
            <v>14.327999999999999</v>
          </cell>
          <cell r="H26">
            <v>15.217000000000001</v>
          </cell>
          <cell r="I26">
            <v>21.545000000000002</v>
          </cell>
          <cell r="J26">
            <v>28.754000000000001</v>
          </cell>
          <cell r="K26">
            <v>33.942999999999998</v>
          </cell>
          <cell r="L26">
            <v>44.3</v>
          </cell>
          <cell r="M26">
            <v>49.814999999999998</v>
          </cell>
          <cell r="N26">
            <v>57.055</v>
          </cell>
          <cell r="O26">
            <v>63.609000000000002</v>
          </cell>
          <cell r="P26">
            <v>73.594999999999999</v>
          </cell>
          <cell r="Q26">
            <v>73.594999999999999</v>
          </cell>
          <cell r="R26">
            <v>81.274000000000001</v>
          </cell>
          <cell r="S26">
            <v>76.468000000000004</v>
          </cell>
          <cell r="T26">
            <v>71.561999999999998</v>
          </cell>
          <cell r="U26">
            <v>78.227000000000004</v>
          </cell>
          <cell r="V26">
            <v>78.227000000000004</v>
          </cell>
          <cell r="W26">
            <v>86.215999999999994</v>
          </cell>
          <cell r="X26">
            <v>87.34</v>
          </cell>
          <cell r="Y26">
            <v>90.18</v>
          </cell>
          <cell r="Z26">
            <v>91.861999999999995</v>
          </cell>
          <cell r="AA26">
            <v>91.861999999999995</v>
          </cell>
          <cell r="AB26">
            <v>122.81</v>
          </cell>
          <cell r="AC26">
            <v>136.02500000000001</v>
          </cell>
          <cell r="AD26">
            <v>138.52600000000001</v>
          </cell>
          <cell r="AE26">
            <v>132.22800000000001</v>
          </cell>
          <cell r="AF26">
            <v>132.22800000000001</v>
          </cell>
          <cell r="AG26">
            <v>135.18199999999999</v>
          </cell>
          <cell r="AH26">
            <v>146.63499999999999</v>
          </cell>
          <cell r="AI26">
            <v>126.247</v>
          </cell>
          <cell r="AJ26">
            <v>136.136</v>
          </cell>
          <cell r="AK26">
            <v>136.136</v>
          </cell>
          <cell r="AL26">
            <v>142.184</v>
          </cell>
          <cell r="AM26">
            <v>151.31899999999999</v>
          </cell>
          <cell r="AN26">
            <v>145.40100000000001</v>
          </cell>
          <cell r="AO26">
            <v>140.69499999999999</v>
          </cell>
          <cell r="AP26">
            <v>140.69499999999999</v>
          </cell>
          <cell r="AQ26">
            <v>140.88999999999999</v>
          </cell>
          <cell r="AR26">
            <v>161.41</v>
          </cell>
          <cell r="AS26">
            <v>166.155</v>
          </cell>
          <cell r="AT26">
            <v>181.77600000000001</v>
          </cell>
          <cell r="AU26">
            <v>181.77600000000001</v>
          </cell>
          <cell r="AW26">
            <v>151.31899999999999</v>
          </cell>
          <cell r="AX26">
            <v>145.40100000000001</v>
          </cell>
          <cell r="AY26">
            <v>140.69499999999999</v>
          </cell>
          <cell r="AZ26">
            <v>140.88999999999999</v>
          </cell>
          <cell r="BA26">
            <v>140.88999999999999</v>
          </cell>
          <cell r="BB26">
            <v>161.41</v>
          </cell>
          <cell r="BC26">
            <v>166.155</v>
          </cell>
          <cell r="BD26">
            <v>181.77600000000001</v>
          </cell>
          <cell r="BE26">
            <v>195.52199999999999</v>
          </cell>
          <cell r="BF26">
            <v>195.52199999999999</v>
          </cell>
          <cell r="BG26">
            <v>190.38499999999999</v>
          </cell>
          <cell r="BH26">
            <v>221.10900000000001</v>
          </cell>
          <cell r="BI26">
            <v>126.145</v>
          </cell>
          <cell r="BJ26">
            <v>154.22900000000001</v>
          </cell>
          <cell r="BK26">
            <v>154.22900000000001</v>
          </cell>
          <cell r="BL26">
            <v>151.96899999999999</v>
          </cell>
          <cell r="BM26">
            <v>200.833</v>
          </cell>
          <cell r="BN26">
            <v>171.095</v>
          </cell>
          <cell r="BO26">
            <v>162.13800000000001</v>
          </cell>
          <cell r="BP26">
            <v>162.13800000000001</v>
          </cell>
          <cell r="BQ26">
            <v>168.28800000000001</v>
          </cell>
          <cell r="BR26">
            <v>174.07599999999999</v>
          </cell>
          <cell r="BS26">
            <v>189.96799999999999</v>
          </cell>
          <cell r="BT26">
            <v>172.84800000000001</v>
          </cell>
          <cell r="BU26">
            <v>172.84800000000001</v>
          </cell>
          <cell r="BV26">
            <v>177.71100000000001</v>
          </cell>
          <cell r="BW26">
            <v>126.70099999999999</v>
          </cell>
          <cell r="BX26">
            <v>108.684</v>
          </cell>
          <cell r="BY26">
            <v>141.143</v>
          </cell>
          <cell r="BZ26">
            <v>141.143</v>
          </cell>
          <cell r="CA26">
            <v>157.142</v>
          </cell>
          <cell r="CB26">
            <v>156.33500000000001</v>
          </cell>
          <cell r="CC26">
            <v>116.479</v>
          </cell>
          <cell r="CD26">
            <v>172.501</v>
          </cell>
          <cell r="CE26">
            <v>172.501</v>
          </cell>
          <cell r="CF26">
            <v>188.03</v>
          </cell>
          <cell r="CG26">
            <v>169.38300000000001</v>
          </cell>
          <cell r="CH26">
            <v>169.471</v>
          </cell>
          <cell r="CI26">
            <v>198.12</v>
          </cell>
          <cell r="CJ26">
            <v>198.12</v>
          </cell>
          <cell r="CK26">
            <v>185.40100000000001</v>
          </cell>
          <cell r="CL26">
            <v>181.18600000000001</v>
          </cell>
          <cell r="CM26">
            <v>187.708</v>
          </cell>
          <cell r="CN26">
            <v>185.48539806630117</v>
          </cell>
          <cell r="CO26">
            <v>185.48539806630117</v>
          </cell>
          <cell r="CP26">
            <v>199.01233405137231</v>
          </cell>
          <cell r="CQ26">
            <v>187.48467509952809</v>
          </cell>
          <cell r="CR26">
            <v>177.71693528027103</v>
          </cell>
          <cell r="CS26">
            <v>192.46185822416123</v>
          </cell>
          <cell r="CT26">
            <v>192.46185822416123</v>
          </cell>
          <cell r="CU26">
            <v>210.83502765819037</v>
          </cell>
          <cell r="CV26">
            <v>199.09387809293997</v>
          </cell>
          <cell r="CW26">
            <v>188.80387693617905</v>
          </cell>
          <cell r="CX26">
            <v>204.07672866045937</v>
          </cell>
          <cell r="CY26">
            <v>204.07672866045937</v>
          </cell>
          <cell r="CZ26">
            <v>224.41503810877438</v>
          </cell>
          <cell r="DA26">
            <v>212.04538879814191</v>
          </cell>
          <cell r="DB26">
            <v>201.12269419332165</v>
          </cell>
          <cell r="DC26">
            <v>217.35672708423991</v>
          </cell>
          <cell r="DD26">
            <v>217.35672708423991</v>
          </cell>
          <cell r="DE26">
            <v>233.3641543221641</v>
          </cell>
          <cell r="DF26">
            <v>222.70537490051004</v>
          </cell>
          <cell r="DG26">
            <v>211.26567179009223</v>
          </cell>
          <cell r="DH26">
            <v>227.92548503627344</v>
          </cell>
          <cell r="DI26">
            <v>227.92548503627344</v>
          </cell>
          <cell r="DU26" t="str">
            <v>mstag:tradeAndOtherPayablesCurrent</v>
          </cell>
          <cell r="DV26">
            <v>6</v>
          </cell>
          <cell r="DW26" t="str">
            <v>ISO4217:USD</v>
          </cell>
          <cell r="DX26" t="b">
            <v>0</v>
          </cell>
        </row>
        <row r="27">
          <cell r="B27" t="str">
            <v>Accrued interest</v>
          </cell>
          <cell r="D27">
            <v>2.6339999999999999</v>
          </cell>
          <cell r="E27">
            <v>3.617</v>
          </cell>
          <cell r="F27">
            <v>1.4450000000000001</v>
          </cell>
          <cell r="G27">
            <v>1.3740000000000001</v>
          </cell>
          <cell r="H27">
            <v>1.454</v>
          </cell>
          <cell r="I27">
            <v>1.399</v>
          </cell>
          <cell r="J27">
            <v>1.94</v>
          </cell>
          <cell r="K27">
            <v>1.512</v>
          </cell>
          <cell r="L27">
            <v>1.6479999999999999</v>
          </cell>
          <cell r="M27">
            <v>0</v>
          </cell>
          <cell r="N27">
            <v>0</v>
          </cell>
          <cell r="O27">
            <v>0</v>
          </cell>
          <cell r="P27">
            <v>0.98899999999999999</v>
          </cell>
          <cell r="Q27">
            <v>0.98899999999999999</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U27" t="str">
            <v>mstag:otherAccruedExpenses</v>
          </cell>
          <cell r="DV27">
            <v>6</v>
          </cell>
          <cell r="DW27" t="str">
            <v>ISO4217:USD</v>
          </cell>
          <cell r="DX27" t="b">
            <v>0</v>
          </cell>
        </row>
        <row r="28">
          <cell r="B28" t="str">
            <v>Accrued payroll and related taxes</v>
          </cell>
          <cell r="D28">
            <v>3.7189999999999999</v>
          </cell>
          <cell r="E28">
            <v>5.1980000000000004</v>
          </cell>
          <cell r="F28">
            <v>5.6769999999999996</v>
          </cell>
          <cell r="G28">
            <v>7.51</v>
          </cell>
          <cell r="H28">
            <v>7.3129999999999997</v>
          </cell>
          <cell r="I28">
            <v>7.5990000000000002</v>
          </cell>
          <cell r="J28">
            <v>12.131</v>
          </cell>
          <cell r="K28">
            <v>16.866</v>
          </cell>
          <cell r="L28">
            <v>20.968</v>
          </cell>
          <cell r="M28">
            <v>0</v>
          </cell>
          <cell r="N28">
            <v>0</v>
          </cell>
          <cell r="O28">
            <v>0</v>
          </cell>
          <cell r="P28">
            <v>29.402000000000001</v>
          </cell>
          <cell r="Q28">
            <v>29.402000000000001</v>
          </cell>
          <cell r="R28">
            <v>0</v>
          </cell>
          <cell r="S28">
            <v>0</v>
          </cell>
          <cell r="T28">
            <v>0</v>
          </cell>
          <cell r="U28">
            <v>27.029</v>
          </cell>
          <cell r="V28">
            <v>27.029</v>
          </cell>
          <cell r="W28">
            <v>0</v>
          </cell>
          <cell r="X28">
            <v>0</v>
          </cell>
          <cell r="Y28">
            <v>0</v>
          </cell>
          <cell r="Z28">
            <v>31.942</v>
          </cell>
          <cell r="AA28">
            <v>31.942</v>
          </cell>
          <cell r="AB28">
            <v>0</v>
          </cell>
          <cell r="AC28">
            <v>0</v>
          </cell>
          <cell r="AD28">
            <v>0</v>
          </cell>
          <cell r="AE28">
            <v>39.396999999999998</v>
          </cell>
          <cell r="AF28">
            <v>39.396999999999998</v>
          </cell>
          <cell r="AG28">
            <v>0</v>
          </cell>
          <cell r="AH28">
            <v>0</v>
          </cell>
          <cell r="AI28">
            <v>0</v>
          </cell>
          <cell r="AJ28">
            <v>48.56</v>
          </cell>
          <cell r="AK28">
            <v>48.56</v>
          </cell>
          <cell r="AL28">
            <v>0</v>
          </cell>
          <cell r="AM28">
            <v>0</v>
          </cell>
          <cell r="AN28">
            <v>0</v>
          </cell>
          <cell r="AO28">
            <v>62.119</v>
          </cell>
          <cell r="AP28">
            <v>62.119</v>
          </cell>
          <cell r="AQ28">
            <v>0</v>
          </cell>
          <cell r="AR28">
            <v>0</v>
          </cell>
          <cell r="AS28">
            <v>0</v>
          </cell>
          <cell r="AT28">
            <v>75.766000000000005</v>
          </cell>
          <cell r="AU28">
            <v>75.766000000000005</v>
          </cell>
          <cell r="AW28">
            <v>0</v>
          </cell>
          <cell r="AX28">
            <v>0</v>
          </cell>
          <cell r="AY28">
            <v>62.119</v>
          </cell>
          <cell r="AZ28">
            <v>0</v>
          </cell>
          <cell r="BA28">
            <v>0</v>
          </cell>
          <cell r="BB28">
            <v>0</v>
          </cell>
          <cell r="BC28">
            <v>0</v>
          </cell>
          <cell r="BD28">
            <v>75.766000000000005</v>
          </cell>
          <cell r="BE28">
            <v>0</v>
          </cell>
          <cell r="BF28">
            <v>0</v>
          </cell>
          <cell r="BG28">
            <v>0</v>
          </cell>
          <cell r="BH28">
            <v>0</v>
          </cell>
          <cell r="BI28">
            <v>0</v>
          </cell>
          <cell r="BJ28">
            <v>84.266000000000005</v>
          </cell>
          <cell r="BK28">
            <v>84.266000000000005</v>
          </cell>
          <cell r="BL28">
            <v>0</v>
          </cell>
          <cell r="BM28">
            <v>0</v>
          </cell>
          <cell r="BN28">
            <v>0</v>
          </cell>
          <cell r="BO28">
            <v>81.031999999999996</v>
          </cell>
          <cell r="BP28">
            <v>81.031999999999996</v>
          </cell>
          <cell r="BQ28">
            <v>0</v>
          </cell>
          <cell r="BR28">
            <v>0</v>
          </cell>
          <cell r="BS28">
            <v>0</v>
          </cell>
          <cell r="BT28">
            <v>69.430999999999997</v>
          </cell>
          <cell r="BU28">
            <v>69.430999999999997</v>
          </cell>
          <cell r="BV28">
            <v>0</v>
          </cell>
          <cell r="BW28">
            <v>0</v>
          </cell>
          <cell r="BX28">
            <v>0</v>
          </cell>
          <cell r="BY28">
            <v>80.277000000000001</v>
          </cell>
          <cell r="BZ28">
            <v>80.277000000000001</v>
          </cell>
          <cell r="CA28">
            <v>0</v>
          </cell>
          <cell r="CB28">
            <v>0</v>
          </cell>
          <cell r="CC28">
            <v>0</v>
          </cell>
          <cell r="CD28">
            <v>83.286000000000001</v>
          </cell>
          <cell r="CE28">
            <v>83.286000000000001</v>
          </cell>
          <cell r="CF28">
            <v>0</v>
          </cell>
          <cell r="CG28">
            <v>0</v>
          </cell>
          <cell r="CH28">
            <v>0</v>
          </cell>
          <cell r="CI28">
            <v>80.281000000000006</v>
          </cell>
          <cell r="CJ28">
            <v>80.281000000000006</v>
          </cell>
          <cell r="CK28">
            <v>0</v>
          </cell>
          <cell r="CL28">
            <v>0</v>
          </cell>
          <cell r="CM28">
            <v>0</v>
          </cell>
          <cell r="CN28">
            <v>26.96683713713028</v>
          </cell>
          <cell r="CO28">
            <v>26.96683713713028</v>
          </cell>
          <cell r="CP28">
            <v>34.02234827157411</v>
          </cell>
          <cell r="CQ28">
            <v>32.925217354691753</v>
          </cell>
          <cell r="CR28">
            <v>32.471691770957065</v>
          </cell>
          <cell r="CS28">
            <v>34.50373533771868</v>
          </cell>
          <cell r="CT28">
            <v>34.50373533771868</v>
          </cell>
          <cell r="CU28">
            <v>35.543028266840913</v>
          </cell>
          <cell r="CV28">
            <v>34.424223521346676</v>
          </cell>
          <cell r="CW28">
            <v>33.954560766095959</v>
          </cell>
          <cell r="CX28">
            <v>36.056976926202012</v>
          </cell>
          <cell r="CY28">
            <v>36.056976926202012</v>
          </cell>
          <cell r="CZ28">
            <v>37.196243257747398</v>
          </cell>
          <cell r="DA28">
            <v>36.033390155978154</v>
          </cell>
          <cell r="DB28">
            <v>35.543492047302827</v>
          </cell>
          <cell r="DC28">
            <v>37.742336758956206</v>
          </cell>
          <cell r="DD28">
            <v>37.742336758956206</v>
          </cell>
          <cell r="DE28">
            <v>38.933701340232965</v>
          </cell>
          <cell r="DF28">
            <v>37.704236991636165</v>
          </cell>
          <cell r="DG28">
            <v>37.193105229038188</v>
          </cell>
          <cell r="DH28">
            <v>39.47217833339019</v>
          </cell>
          <cell r="DI28">
            <v>39.47217833339019</v>
          </cell>
          <cell r="DU28" t="str">
            <v>mstag:payrollAndBenefitsRelatedLiabilities</v>
          </cell>
          <cell r="DV28">
            <v>6</v>
          </cell>
          <cell r="DW28" t="str">
            <v>ISO4217:USD</v>
          </cell>
          <cell r="DX28" t="b">
            <v>0</v>
          </cell>
        </row>
        <row r="29">
          <cell r="B29" t="str">
            <v>Accrued expenses and other liabilities</v>
          </cell>
          <cell r="D29">
            <v>5.9969999999999999</v>
          </cell>
          <cell r="E29">
            <v>7.9969999999999999</v>
          </cell>
          <cell r="F29">
            <v>7.7279999999999998</v>
          </cell>
          <cell r="G29">
            <v>8.8119999999999994</v>
          </cell>
          <cell r="H29">
            <v>8.4749999999999996</v>
          </cell>
          <cell r="I29">
            <v>13.516999999999999</v>
          </cell>
          <cell r="J29">
            <v>15.653</v>
          </cell>
          <cell r="K29">
            <v>19.074999999999999</v>
          </cell>
          <cell r="L29">
            <v>20.056000000000001</v>
          </cell>
          <cell r="M29">
            <v>43.792000000000002</v>
          </cell>
          <cell r="N29">
            <v>42.055</v>
          </cell>
          <cell r="O29">
            <v>53.244999999999997</v>
          </cell>
          <cell r="P29">
            <v>29.614999999999998</v>
          </cell>
          <cell r="Q29">
            <v>29.614999999999998</v>
          </cell>
          <cell r="R29">
            <v>55.703000000000003</v>
          </cell>
          <cell r="S29">
            <v>57.226999999999997</v>
          </cell>
          <cell r="T29">
            <v>54.908000000000001</v>
          </cell>
          <cell r="U29">
            <v>32.908999999999999</v>
          </cell>
          <cell r="V29">
            <v>32.908999999999999</v>
          </cell>
          <cell r="W29">
            <v>88.194999999999993</v>
          </cell>
          <cell r="X29">
            <v>77.599999999999994</v>
          </cell>
          <cell r="Y29">
            <v>77.751000000000005</v>
          </cell>
          <cell r="Z29">
            <v>41.674999999999997</v>
          </cell>
          <cell r="AA29">
            <v>41.674999999999997</v>
          </cell>
          <cell r="AB29">
            <v>98.763999999999996</v>
          </cell>
          <cell r="AC29">
            <v>121.715</v>
          </cell>
          <cell r="AD29">
            <v>132.792</v>
          </cell>
          <cell r="AE29">
            <v>61.381</v>
          </cell>
          <cell r="AF29">
            <v>61.381</v>
          </cell>
          <cell r="AG29">
            <v>128.02199999999999</v>
          </cell>
          <cell r="AH29">
            <v>128.852</v>
          </cell>
          <cell r="AI29">
            <v>134.387</v>
          </cell>
          <cell r="AJ29">
            <v>63.40100000000001</v>
          </cell>
          <cell r="AK29">
            <v>63.40100000000001</v>
          </cell>
          <cell r="AL29">
            <v>149.34</v>
          </cell>
          <cell r="AM29">
            <v>130.21199999999999</v>
          </cell>
          <cell r="AN29">
            <v>137.05000000000001</v>
          </cell>
          <cell r="AO29">
            <v>91.537999999999997</v>
          </cell>
          <cell r="AP29">
            <v>91.537999999999997</v>
          </cell>
          <cell r="AQ29">
            <v>150.10300000000001</v>
          </cell>
          <cell r="AR29">
            <v>151.542</v>
          </cell>
          <cell r="AS29">
            <v>152.489</v>
          </cell>
          <cell r="AT29">
            <v>150.43600000000001</v>
          </cell>
          <cell r="AU29">
            <v>150.43600000000001</v>
          </cell>
          <cell r="AW29">
            <v>130.21199999999999</v>
          </cell>
          <cell r="AX29">
            <v>137.05000000000001</v>
          </cell>
          <cell r="AY29">
            <v>91.537999999999997</v>
          </cell>
          <cell r="AZ29">
            <v>150.10300000000001</v>
          </cell>
          <cell r="BA29">
            <v>150.10300000000001</v>
          </cell>
          <cell r="BB29">
            <v>151.542</v>
          </cell>
          <cell r="BC29">
            <v>152.489</v>
          </cell>
          <cell r="BD29">
            <v>150.43600000000001</v>
          </cell>
          <cell r="BE29">
            <v>211</v>
          </cell>
          <cell r="BF29">
            <v>211</v>
          </cell>
          <cell r="BG29">
            <v>243.34200000000001</v>
          </cell>
          <cell r="BH29">
            <v>253.68299999999999</v>
          </cell>
          <cell r="BI29">
            <v>315.673</v>
          </cell>
          <cell r="BJ29">
            <v>165.971</v>
          </cell>
          <cell r="BK29">
            <v>165.971</v>
          </cell>
          <cell r="BL29">
            <v>287.09699999999998</v>
          </cell>
          <cell r="BM29">
            <v>276.721</v>
          </cell>
          <cell r="BN29">
            <v>251.959</v>
          </cell>
          <cell r="BO29">
            <v>143.74700000000001</v>
          </cell>
          <cell r="BP29">
            <v>143.74700000000001</v>
          </cell>
          <cell r="BQ29">
            <v>250.84800000000001</v>
          </cell>
          <cell r="BR29">
            <v>253.87</v>
          </cell>
          <cell r="BS29">
            <v>267.33600000000001</v>
          </cell>
          <cell r="BT29">
            <v>171.416</v>
          </cell>
          <cell r="BU29">
            <v>171.416</v>
          </cell>
          <cell r="BV29">
            <v>277.18299999999999</v>
          </cell>
          <cell r="BW29">
            <v>299.86500000000001</v>
          </cell>
          <cell r="BX29">
            <v>306.18200000000002</v>
          </cell>
          <cell r="BY29">
            <v>213.52500000000001</v>
          </cell>
          <cell r="BZ29">
            <v>213.52500000000001</v>
          </cell>
          <cell r="CA29">
            <v>320.04899999999998</v>
          </cell>
          <cell r="CB29">
            <v>300.08</v>
          </cell>
          <cell r="CC29">
            <v>351.73399999999998</v>
          </cell>
          <cell r="CD29">
            <v>226.125</v>
          </cell>
          <cell r="CE29">
            <v>226.125</v>
          </cell>
          <cell r="CF29">
            <v>338.202</v>
          </cell>
          <cell r="CG29">
            <v>338.24200000000002</v>
          </cell>
          <cell r="CH29">
            <v>421.98700000000002</v>
          </cell>
          <cell r="CI29">
            <v>368.79</v>
          </cell>
          <cell r="CJ29">
            <v>368.79</v>
          </cell>
          <cell r="CK29">
            <v>497.59800000000001</v>
          </cell>
          <cell r="CL29">
            <v>553.39700000000005</v>
          </cell>
          <cell r="CM29">
            <v>613.26300000000003</v>
          </cell>
          <cell r="CN29">
            <v>601.91814835450441</v>
          </cell>
          <cell r="CO29">
            <v>601.91814835450441</v>
          </cell>
          <cell r="CP29">
            <v>530.7639982964489</v>
          </cell>
          <cell r="CQ29">
            <v>576.74872886024491</v>
          </cell>
          <cell r="CR29">
            <v>639.38686559616781</v>
          </cell>
          <cell r="CS29">
            <v>630.94817881259974</v>
          </cell>
          <cell r="CT29">
            <v>630.94817881259974</v>
          </cell>
          <cell r="CU29">
            <v>570.74129775681183</v>
          </cell>
          <cell r="CV29">
            <v>619.65026401387615</v>
          </cell>
          <cell r="CW29">
            <v>685.40567736863875</v>
          </cell>
          <cell r="CX29">
            <v>676.45342583687341</v>
          </cell>
          <cell r="CY29">
            <v>676.45342583687341</v>
          </cell>
          <cell r="CZ29">
            <v>615.06083937061862</v>
          </cell>
          <cell r="DA29">
            <v>666.59160973807752</v>
          </cell>
          <cell r="DB29">
            <v>735.63138245031757</v>
          </cell>
          <cell r="DC29">
            <v>726.78315840697269</v>
          </cell>
          <cell r="DD29">
            <v>726.78315840697269</v>
          </cell>
          <cell r="DE29">
            <v>655.47720355803915</v>
          </cell>
          <cell r="DF29">
            <v>716.4355777923804</v>
          </cell>
          <cell r="DG29">
            <v>788.88972400719433</v>
          </cell>
          <cell r="DH29">
            <v>779.53337920029753</v>
          </cell>
          <cell r="DI29">
            <v>779.53337920029753</v>
          </cell>
          <cell r="DU29" t="str">
            <v>mstag:otherAccruedExpenses</v>
          </cell>
          <cell r="DV29">
            <v>6</v>
          </cell>
          <cell r="DW29" t="str">
            <v>ISO4217:USD</v>
          </cell>
          <cell r="DX29" t="b">
            <v>0</v>
          </cell>
        </row>
        <row r="30">
          <cell r="B30" t="str">
            <v>Due to third party payors</v>
          </cell>
          <cell r="D30">
            <v>0</v>
          </cell>
          <cell r="E30">
            <v>0</v>
          </cell>
          <cell r="F30">
            <v>0</v>
          </cell>
          <cell r="G30">
            <v>0</v>
          </cell>
          <cell r="H30">
            <v>0</v>
          </cell>
          <cell r="I30">
            <v>0</v>
          </cell>
          <cell r="J30">
            <v>0</v>
          </cell>
          <cell r="K30">
            <v>0</v>
          </cell>
          <cell r="L30">
            <v>14.843999999999999</v>
          </cell>
          <cell r="M30">
            <v>14.843999999999999</v>
          </cell>
          <cell r="N30">
            <v>0</v>
          </cell>
          <cell r="O30">
            <v>0</v>
          </cell>
          <cell r="P30">
            <v>11.991</v>
          </cell>
          <cell r="Q30">
            <v>11.991</v>
          </cell>
          <cell r="R30">
            <v>0</v>
          </cell>
          <cell r="S30">
            <v>0</v>
          </cell>
          <cell r="T30">
            <v>0</v>
          </cell>
          <cell r="U30">
            <v>22.972000000000001</v>
          </cell>
          <cell r="V30">
            <v>22.972000000000001</v>
          </cell>
          <cell r="W30">
            <v>0</v>
          </cell>
          <cell r="X30">
            <v>0</v>
          </cell>
          <cell r="Y30">
            <v>0</v>
          </cell>
          <cell r="Z30">
            <v>14.5</v>
          </cell>
          <cell r="AA30">
            <v>14.5</v>
          </cell>
          <cell r="AB30">
            <v>0</v>
          </cell>
          <cell r="AC30">
            <v>0</v>
          </cell>
          <cell r="AD30">
            <v>0</v>
          </cell>
          <cell r="AE30">
            <v>21.9</v>
          </cell>
          <cell r="AF30">
            <v>21.9</v>
          </cell>
          <cell r="AG30">
            <v>0</v>
          </cell>
          <cell r="AH30">
            <v>0</v>
          </cell>
          <cell r="AI30">
            <v>0</v>
          </cell>
          <cell r="AJ30">
            <v>10.019</v>
          </cell>
          <cell r="AK30">
            <v>10.019</v>
          </cell>
          <cell r="AL30">
            <v>0</v>
          </cell>
          <cell r="AM30">
            <v>0</v>
          </cell>
          <cell r="AN30">
            <v>0</v>
          </cell>
          <cell r="AO30">
            <v>9.5730000000000004</v>
          </cell>
          <cell r="AP30">
            <v>9.5730000000000004</v>
          </cell>
          <cell r="AQ30">
            <v>0</v>
          </cell>
          <cell r="AR30">
            <v>0</v>
          </cell>
          <cell r="AS30">
            <v>0</v>
          </cell>
          <cell r="AT30">
            <v>12.574999999999999</v>
          </cell>
          <cell r="AU30">
            <v>12.574999999999999</v>
          </cell>
          <cell r="AW30">
            <v>0</v>
          </cell>
          <cell r="AX30">
            <v>0</v>
          </cell>
          <cell r="AY30">
            <v>9.5730000000000004</v>
          </cell>
          <cell r="AZ30">
            <v>0</v>
          </cell>
          <cell r="BA30">
            <v>0</v>
          </cell>
          <cell r="BB30">
            <v>0</v>
          </cell>
          <cell r="BC30">
            <v>0</v>
          </cell>
          <cell r="BD30">
            <v>12.574999999999999</v>
          </cell>
          <cell r="BE30">
            <v>0</v>
          </cell>
          <cell r="BF30">
            <v>0</v>
          </cell>
          <cell r="BG30">
            <v>0</v>
          </cell>
          <cell r="BH30">
            <v>0</v>
          </cell>
          <cell r="BI30">
            <v>0</v>
          </cell>
          <cell r="BJ30">
            <v>21.859000000000002</v>
          </cell>
          <cell r="BK30">
            <v>21.859000000000002</v>
          </cell>
          <cell r="BL30">
            <v>0</v>
          </cell>
          <cell r="BM30">
            <v>0</v>
          </cell>
          <cell r="BN30">
            <v>0</v>
          </cell>
          <cell r="BO30">
            <v>12.506</v>
          </cell>
          <cell r="BP30">
            <v>12.506</v>
          </cell>
          <cell r="BQ30">
            <v>0</v>
          </cell>
          <cell r="BR30">
            <v>0</v>
          </cell>
          <cell r="BS30">
            <v>0</v>
          </cell>
          <cell r="BT30">
            <v>13.442</v>
          </cell>
          <cell r="BU30">
            <v>13.442</v>
          </cell>
          <cell r="BV30">
            <v>0</v>
          </cell>
          <cell r="BW30">
            <v>0</v>
          </cell>
          <cell r="BX30">
            <v>0</v>
          </cell>
          <cell r="BY30">
            <v>11.986000000000001</v>
          </cell>
          <cell r="BZ30">
            <v>11.986000000000001</v>
          </cell>
          <cell r="CA30">
            <v>0</v>
          </cell>
          <cell r="CB30">
            <v>0</v>
          </cell>
          <cell r="CC30">
            <v>0</v>
          </cell>
          <cell r="CD30">
            <v>11.920999999999999</v>
          </cell>
          <cell r="CE30">
            <v>11.920999999999999</v>
          </cell>
          <cell r="CF30">
            <v>0</v>
          </cell>
          <cell r="CG30">
            <v>0</v>
          </cell>
          <cell r="CH30">
            <v>0</v>
          </cell>
          <cell r="CI30">
            <v>20.658000000000001</v>
          </cell>
          <cell r="CJ30">
            <v>20.658000000000001</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U30" t="str">
            <v>mstag:otherLiabilitiesOperatingCurrent</v>
          </cell>
          <cell r="DV30">
            <v>6</v>
          </cell>
          <cell r="DW30" t="str">
            <v>ISO4217:USD</v>
          </cell>
          <cell r="DX30" t="b">
            <v>0</v>
          </cell>
        </row>
        <row r="31">
          <cell r="B31" t="str">
            <v>Current maturities of L/T debt &amp; leases</v>
          </cell>
          <cell r="D31">
            <v>3.4550000000000001</v>
          </cell>
          <cell r="E31">
            <v>2.3679999999999999</v>
          </cell>
          <cell r="F31">
            <v>4.5090000000000003</v>
          </cell>
          <cell r="G31">
            <v>6.1109999999999998</v>
          </cell>
          <cell r="H31">
            <v>7.1040000000000001</v>
          </cell>
          <cell r="I31">
            <v>6.5709999999999997</v>
          </cell>
          <cell r="J31">
            <v>8.4380000000000006</v>
          </cell>
          <cell r="K31">
            <v>8.2629999999999999</v>
          </cell>
          <cell r="L31">
            <v>8.5440000000000005</v>
          </cell>
          <cell r="M31">
            <v>6.8890000000000002</v>
          </cell>
          <cell r="N31">
            <v>8.1549999999999994</v>
          </cell>
          <cell r="O31">
            <v>10.223000000000001</v>
          </cell>
          <cell r="P31">
            <v>9.3510000000000009</v>
          </cell>
          <cell r="Q31">
            <v>9.3510000000000009</v>
          </cell>
          <cell r="R31">
            <v>17.888000000000002</v>
          </cell>
          <cell r="S31">
            <v>16.88</v>
          </cell>
          <cell r="T31">
            <v>6.0069999999999997</v>
          </cell>
          <cell r="U31">
            <v>6.5229999999999997</v>
          </cell>
          <cell r="V31">
            <v>6.5229999999999997</v>
          </cell>
          <cell r="W31">
            <v>6.6449999999999996</v>
          </cell>
          <cell r="X31">
            <v>6.6189999999999998</v>
          </cell>
          <cell r="Y31">
            <v>6.6689999999999996</v>
          </cell>
          <cell r="Z31">
            <v>6.7519999999999998</v>
          </cell>
          <cell r="AA31">
            <v>6.7519999999999998</v>
          </cell>
          <cell r="AB31">
            <v>7.3220000000000001</v>
          </cell>
          <cell r="AC31">
            <v>7.2450000000000001</v>
          </cell>
          <cell r="AD31">
            <v>5.4729999999999999</v>
          </cell>
          <cell r="AE31">
            <v>7.609</v>
          </cell>
          <cell r="AF31">
            <v>7.609</v>
          </cell>
          <cell r="AG31">
            <v>7.5190000000000001</v>
          </cell>
          <cell r="AH31">
            <v>7.7290000000000001</v>
          </cell>
          <cell r="AI31">
            <v>7.7770000000000001</v>
          </cell>
          <cell r="AJ31">
            <v>9.4469999999999992</v>
          </cell>
          <cell r="AK31">
            <v>9.4469999999999992</v>
          </cell>
          <cell r="AL31">
            <v>208.90600000000001</v>
          </cell>
          <cell r="AM31">
            <v>8.8559999999999999</v>
          </cell>
          <cell r="AN31">
            <v>8.7899999999999991</v>
          </cell>
          <cell r="AO31">
            <v>9.7420000000000009</v>
          </cell>
          <cell r="AP31">
            <v>9.7420000000000009</v>
          </cell>
          <cell r="AQ31">
            <v>10.319000000000001</v>
          </cell>
          <cell r="AR31">
            <v>10.327999999999999</v>
          </cell>
          <cell r="AS31">
            <v>10.036</v>
          </cell>
          <cell r="AT31">
            <v>633.33799999999997</v>
          </cell>
          <cell r="AU31">
            <v>633.33799999999997</v>
          </cell>
          <cell r="AW31">
            <v>8.8559999999999999</v>
          </cell>
          <cell r="AX31">
            <v>8.7899999999999991</v>
          </cell>
          <cell r="AY31">
            <v>9.7420000000000009</v>
          </cell>
          <cell r="AZ31">
            <v>10.319000000000001</v>
          </cell>
          <cell r="BA31">
            <v>10.319000000000001</v>
          </cell>
          <cell r="BB31">
            <v>10.327999999999999</v>
          </cell>
          <cell r="BC31">
            <v>10.036</v>
          </cell>
          <cell r="BD31">
            <v>633.33799999999997</v>
          </cell>
          <cell r="BE31">
            <v>584.36699999999996</v>
          </cell>
          <cell r="BF31">
            <v>584.36699999999996</v>
          </cell>
          <cell r="BG31">
            <v>12.337999999999999</v>
          </cell>
          <cell r="BH31">
            <v>27.355</v>
          </cell>
          <cell r="BI31">
            <v>29.9</v>
          </cell>
          <cell r="BJ31">
            <v>44.656999999999996</v>
          </cell>
          <cell r="BK31">
            <v>44.656999999999996</v>
          </cell>
          <cell r="BL31">
            <v>49.84</v>
          </cell>
          <cell r="BM31">
            <v>50.290999999999997</v>
          </cell>
          <cell r="BN31">
            <v>376.71699999999998</v>
          </cell>
          <cell r="BO31">
            <v>197.727</v>
          </cell>
          <cell r="BP31">
            <v>197.727</v>
          </cell>
          <cell r="BQ31">
            <v>150.07300000000001</v>
          </cell>
          <cell r="BR31">
            <v>320.10300000000001</v>
          </cell>
          <cell r="BS31">
            <v>42.244999999999997</v>
          </cell>
          <cell r="BT31">
            <v>63.134</v>
          </cell>
          <cell r="BU31">
            <v>63.134</v>
          </cell>
          <cell r="BV31">
            <v>40.744</v>
          </cell>
          <cell r="BW31">
            <v>37.552999999999997</v>
          </cell>
          <cell r="BX31">
            <v>36.427999999999997</v>
          </cell>
          <cell r="BY31">
            <v>35.988999999999997</v>
          </cell>
          <cell r="BZ31">
            <v>35.988999999999997</v>
          </cell>
          <cell r="CA31">
            <v>35.936</v>
          </cell>
          <cell r="CB31">
            <v>35.643999999999998</v>
          </cell>
          <cell r="CC31">
            <v>35.338999999999999</v>
          </cell>
          <cell r="CD31">
            <v>34.744999999999997</v>
          </cell>
          <cell r="CE31">
            <v>34.744999999999997</v>
          </cell>
          <cell r="CF31">
            <v>33.667000000000002</v>
          </cell>
          <cell r="CG31">
            <v>35.659999999999997</v>
          </cell>
          <cell r="CH31">
            <v>69.86</v>
          </cell>
          <cell r="CI31">
            <v>85.509</v>
          </cell>
          <cell r="CJ31">
            <v>85.509</v>
          </cell>
          <cell r="CK31">
            <v>86.094999999999999</v>
          </cell>
          <cell r="CL31">
            <v>92.522000000000006</v>
          </cell>
          <cell r="CM31">
            <v>92.721000000000004</v>
          </cell>
          <cell r="CN31">
            <v>62.091000000000065</v>
          </cell>
          <cell r="CO31">
            <v>62.091000000000065</v>
          </cell>
          <cell r="CP31">
            <v>62.091000000000065</v>
          </cell>
          <cell r="CQ31">
            <v>62.091000000000065</v>
          </cell>
          <cell r="CR31">
            <v>46.568250000000049</v>
          </cell>
          <cell r="CS31">
            <v>46.568250000000049</v>
          </cell>
          <cell r="CT31">
            <v>46.568250000000049</v>
          </cell>
          <cell r="CU31">
            <v>62.091000000000065</v>
          </cell>
          <cell r="CV31">
            <v>62.591000000000065</v>
          </cell>
          <cell r="CW31">
            <v>47.068250000000049</v>
          </cell>
          <cell r="CX31">
            <v>47.568250000000049</v>
          </cell>
          <cell r="CY31">
            <v>47.568250000000049</v>
          </cell>
          <cell r="CZ31">
            <v>64.091000000000065</v>
          </cell>
          <cell r="DA31">
            <v>64.091000000000065</v>
          </cell>
          <cell r="DB31">
            <v>48.068250000000049</v>
          </cell>
          <cell r="DC31">
            <v>48.068250000000049</v>
          </cell>
          <cell r="DD31">
            <v>48.068250000000049</v>
          </cell>
          <cell r="DE31">
            <v>64.091000000000065</v>
          </cell>
          <cell r="DF31">
            <v>48.068250000000049</v>
          </cell>
          <cell r="DG31">
            <v>32.045500000000033</v>
          </cell>
          <cell r="DH31">
            <v>16.022750000000016</v>
          </cell>
          <cell r="DI31">
            <v>16.022750000000016</v>
          </cell>
          <cell r="DU31" t="str">
            <v>mstag:shortTermBorrowings</v>
          </cell>
          <cell r="DV31">
            <v>6</v>
          </cell>
          <cell r="DW31" t="str">
            <v>ISO4217:USD</v>
          </cell>
          <cell r="DX31" t="b">
            <v>0</v>
          </cell>
        </row>
        <row r="32">
          <cell r="B32" t="str">
            <v>Liabilities of discontinued operations</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BA32">
            <v>0</v>
          </cell>
          <cell r="BB32">
            <v>0</v>
          </cell>
          <cell r="BC32">
            <v>0</v>
          </cell>
          <cell r="BD32">
            <v>0</v>
          </cell>
          <cell r="BE32">
            <v>0</v>
          </cell>
          <cell r="BF32">
            <v>0</v>
          </cell>
          <cell r="BG32">
            <v>0</v>
          </cell>
          <cell r="BH32">
            <v>0</v>
          </cell>
          <cell r="BI32">
            <v>0.96699999999999997</v>
          </cell>
          <cell r="BJ32">
            <v>1.0389999999999999</v>
          </cell>
          <cell r="BK32">
            <v>1.0389999999999999</v>
          </cell>
          <cell r="BL32">
            <v>1.04</v>
          </cell>
          <cell r="BM32">
            <v>0.97799999999999998</v>
          </cell>
          <cell r="BN32">
            <v>0.17499999999999999</v>
          </cell>
          <cell r="BO32">
            <v>0.496</v>
          </cell>
          <cell r="BP32">
            <v>0.496</v>
          </cell>
          <cell r="BQ32">
            <v>0</v>
          </cell>
          <cell r="BR32">
            <v>0</v>
          </cell>
          <cell r="BS32">
            <v>0</v>
          </cell>
          <cell r="BT32">
            <v>0</v>
          </cell>
          <cell r="BU32">
            <v>0</v>
          </cell>
          <cell r="BV32">
            <v>0</v>
          </cell>
          <cell r="BW32">
            <v>0</v>
          </cell>
          <cell r="BX32">
            <v>8.5020000000000007</v>
          </cell>
          <cell r="BY32">
            <v>0</v>
          </cell>
          <cell r="BZ32">
            <v>0</v>
          </cell>
          <cell r="CA32">
            <v>0</v>
          </cell>
          <cell r="CB32">
            <v>0</v>
          </cell>
          <cell r="CC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U32" t="str">
            <v>mstag:liabilitiesOfDiscontinuedOperations</v>
          </cell>
          <cell r="DV32">
            <v>6</v>
          </cell>
          <cell r="DW32" t="str">
            <v>ISO4217:USD</v>
          </cell>
          <cell r="DX32" t="b">
            <v>0</v>
          </cell>
        </row>
        <row r="33">
          <cell r="B33" t="str">
            <v>Income taxes (currently payable and deferred)</v>
          </cell>
          <cell r="D33">
            <v>1.661</v>
          </cell>
          <cell r="E33">
            <v>2.012</v>
          </cell>
          <cell r="F33">
            <v>3.379</v>
          </cell>
          <cell r="G33">
            <v>5.0990000000000002</v>
          </cell>
          <cell r="H33">
            <v>0</v>
          </cell>
          <cell r="I33">
            <v>0</v>
          </cell>
          <cell r="J33">
            <v>3.98</v>
          </cell>
          <cell r="K33">
            <v>3.2210000000000001</v>
          </cell>
          <cell r="L33">
            <v>10.186</v>
          </cell>
          <cell r="M33">
            <v>27.832000000000001</v>
          </cell>
          <cell r="N33">
            <v>36.142000000000003</v>
          </cell>
          <cell r="O33">
            <v>51.988</v>
          </cell>
          <cell r="P33">
            <v>20.277999999999999</v>
          </cell>
          <cell r="Q33">
            <v>20.277999999999999</v>
          </cell>
          <cell r="R33">
            <v>27.667000000000002</v>
          </cell>
          <cell r="S33">
            <v>7.7670000000000003</v>
          </cell>
          <cell r="T33">
            <v>2.17</v>
          </cell>
          <cell r="U33">
            <v>2.1219999999999999</v>
          </cell>
          <cell r="V33">
            <v>2.1219999999999999</v>
          </cell>
          <cell r="W33">
            <v>24.013999999999999</v>
          </cell>
          <cell r="X33">
            <v>4.2850000000000001</v>
          </cell>
          <cell r="Y33">
            <v>1.931</v>
          </cell>
          <cell r="Z33">
            <v>1.3560000000000001</v>
          </cell>
          <cell r="AA33">
            <v>1.3560000000000001</v>
          </cell>
          <cell r="AB33">
            <v>29.725999999999999</v>
          </cell>
          <cell r="AC33">
            <v>18.023</v>
          </cell>
          <cell r="AD33">
            <v>21.823</v>
          </cell>
          <cell r="AE33">
            <v>11.228</v>
          </cell>
          <cell r="AF33">
            <v>11.228</v>
          </cell>
          <cell r="AG33">
            <v>34.462000000000003</v>
          </cell>
          <cell r="AH33">
            <v>2.1890000000000001</v>
          </cell>
          <cell r="AI33">
            <v>16.486999999999998</v>
          </cell>
          <cell r="AJ33">
            <v>5.4</v>
          </cell>
          <cell r="AK33">
            <v>5.4</v>
          </cell>
          <cell r="AL33">
            <v>29.082000000000001</v>
          </cell>
          <cell r="AM33">
            <v>9.141</v>
          </cell>
          <cell r="AN33">
            <v>11.028</v>
          </cell>
          <cell r="AO33">
            <v>6.4640000000000004</v>
          </cell>
          <cell r="AP33">
            <v>6.4640000000000004</v>
          </cell>
          <cell r="AQ33">
            <v>42.091999999999999</v>
          </cell>
          <cell r="AR33">
            <v>7.532</v>
          </cell>
          <cell r="AS33">
            <v>20.393999999999998</v>
          </cell>
          <cell r="AT33">
            <v>14.965999999999999</v>
          </cell>
          <cell r="AU33">
            <v>14.965999999999999</v>
          </cell>
          <cell r="AW33">
            <v>9.141</v>
          </cell>
          <cell r="AX33">
            <v>11.028</v>
          </cell>
          <cell r="AY33">
            <v>6.4640000000000004</v>
          </cell>
          <cell r="AZ33">
            <v>42.091999999999999</v>
          </cell>
          <cell r="BA33">
            <v>42.091999999999999</v>
          </cell>
          <cell r="BB33">
            <v>7.532</v>
          </cell>
          <cell r="BC33">
            <v>20.393999999999998</v>
          </cell>
          <cell r="BD33">
            <v>14.965999999999999</v>
          </cell>
          <cell r="BE33">
            <v>14.965999999999999</v>
          </cell>
          <cell r="BF33">
            <v>14.965999999999999</v>
          </cell>
          <cell r="BG33">
            <v>0</v>
          </cell>
          <cell r="BH33">
            <v>0</v>
          </cell>
          <cell r="BI33">
            <v>0</v>
          </cell>
          <cell r="BJ33">
            <v>0</v>
          </cell>
          <cell r="BK33">
            <v>0</v>
          </cell>
          <cell r="BL33">
            <v>0</v>
          </cell>
          <cell r="BM33">
            <v>73.290999999999997</v>
          </cell>
          <cell r="BN33">
            <v>21.31</v>
          </cell>
          <cell r="BO33">
            <v>0</v>
          </cell>
          <cell r="BP33">
            <v>0</v>
          </cell>
          <cell r="BQ33">
            <v>0</v>
          </cell>
          <cell r="BR33">
            <v>0</v>
          </cell>
          <cell r="BS33">
            <v>0</v>
          </cell>
          <cell r="BT33">
            <v>0</v>
          </cell>
          <cell r="BU33">
            <v>0</v>
          </cell>
          <cell r="BV33">
            <v>0</v>
          </cell>
          <cell r="BW33">
            <v>0</v>
          </cell>
          <cell r="BX33">
            <v>0</v>
          </cell>
          <cell r="BY33">
            <v>42.976999999999997</v>
          </cell>
          <cell r="BZ33">
            <v>42.976999999999997</v>
          </cell>
          <cell r="CA33">
            <v>28.952999999999999</v>
          </cell>
          <cell r="CB33">
            <v>22.843</v>
          </cell>
          <cell r="CC33">
            <v>16.513000000000002</v>
          </cell>
          <cell r="CD33">
            <v>27.052</v>
          </cell>
          <cell r="CE33">
            <v>27.052</v>
          </cell>
          <cell r="CF33">
            <v>20.434999999999999</v>
          </cell>
          <cell r="CG33">
            <v>13.818</v>
          </cell>
          <cell r="CH33">
            <v>9.5489999999999995</v>
          </cell>
          <cell r="CI33">
            <v>50.466000000000001</v>
          </cell>
          <cell r="CJ33">
            <v>50.466000000000001</v>
          </cell>
          <cell r="CK33">
            <v>31.353000000000002</v>
          </cell>
          <cell r="CL33">
            <v>20.765999999999998</v>
          </cell>
          <cell r="CM33">
            <v>8.9860000000000007</v>
          </cell>
          <cell r="CN33">
            <v>8.9860000000000007</v>
          </cell>
          <cell r="CO33">
            <v>8.9860000000000007</v>
          </cell>
          <cell r="CP33">
            <v>8.9860000000000007</v>
          </cell>
          <cell r="CQ33">
            <v>8.9860000000000007</v>
          </cell>
          <cell r="CR33">
            <v>8.9860000000000007</v>
          </cell>
          <cell r="CS33">
            <v>8.9860000000000007</v>
          </cell>
          <cell r="CT33">
            <v>8.9860000000000007</v>
          </cell>
          <cell r="CU33">
            <v>8.9860000000000007</v>
          </cell>
          <cell r="CV33">
            <v>8.9860000000000007</v>
          </cell>
          <cell r="CW33">
            <v>8.9860000000000007</v>
          </cell>
          <cell r="CX33">
            <v>8.9860000000000007</v>
          </cell>
          <cell r="CY33">
            <v>8.9860000000000007</v>
          </cell>
          <cell r="CZ33">
            <v>8.9860000000000007</v>
          </cell>
          <cell r="DA33">
            <v>8.9860000000000007</v>
          </cell>
          <cell r="DB33">
            <v>8.9860000000000007</v>
          </cell>
          <cell r="DC33">
            <v>8.9860000000000007</v>
          </cell>
          <cell r="DD33">
            <v>8.9860000000000007</v>
          </cell>
          <cell r="DE33">
            <v>8.9860000000000007</v>
          </cell>
          <cell r="DF33">
            <v>8.9860000000000007</v>
          </cell>
          <cell r="DG33">
            <v>8.9860000000000007</v>
          </cell>
          <cell r="DH33">
            <v>8.9860000000000007</v>
          </cell>
          <cell r="DI33">
            <v>8.9860000000000007</v>
          </cell>
          <cell r="DU33" t="str">
            <v>mstag:incomeTaxPayable</v>
          </cell>
          <cell r="DV33">
            <v>6</v>
          </cell>
          <cell r="DW33" t="str">
            <v>ISO4217:USD</v>
          </cell>
          <cell r="DX33" t="b">
            <v>0</v>
          </cell>
        </row>
        <row r="34">
          <cell r="B34" t="str">
            <v>Current Liabilities</v>
          </cell>
          <cell r="D34">
            <v>29.752000000000002</v>
          </cell>
          <cell r="E34">
            <v>32.672999999999995</v>
          </cell>
          <cell r="F34">
            <v>35.263999999999996</v>
          </cell>
          <cell r="G34">
            <v>43.233999999999995</v>
          </cell>
          <cell r="H34">
            <v>39.562999999999995</v>
          </cell>
          <cell r="I34">
            <v>50.631</v>
          </cell>
          <cell r="J34">
            <v>70.896000000000001</v>
          </cell>
          <cell r="K34">
            <v>82.88000000000001</v>
          </cell>
          <cell r="L34">
            <v>120.54599999999999</v>
          </cell>
          <cell r="M34">
            <v>143.172</v>
          </cell>
          <cell r="N34">
            <v>143.40700000000001</v>
          </cell>
          <cell r="O34">
            <v>179.065</v>
          </cell>
          <cell r="P34">
            <v>175.22099999999998</v>
          </cell>
          <cell r="Q34">
            <v>175.22099999999998</v>
          </cell>
          <cell r="R34">
            <v>182.53200000000001</v>
          </cell>
          <cell r="S34">
            <v>158.34199999999998</v>
          </cell>
          <cell r="T34">
            <v>134.64699999999999</v>
          </cell>
          <cell r="U34">
            <v>169.78199999999998</v>
          </cell>
          <cell r="V34">
            <v>169.78199999999998</v>
          </cell>
          <cell r="W34">
            <v>205.07000000000002</v>
          </cell>
          <cell r="X34">
            <v>175.84399999999999</v>
          </cell>
          <cell r="Y34">
            <v>176.53100000000003</v>
          </cell>
          <cell r="Z34">
            <v>188.08699999999999</v>
          </cell>
          <cell r="AA34">
            <v>188.08699999999999</v>
          </cell>
          <cell r="AB34">
            <v>258.62200000000001</v>
          </cell>
          <cell r="AC34">
            <v>283.00800000000004</v>
          </cell>
          <cell r="AD34">
            <v>298.61399999999998</v>
          </cell>
          <cell r="AE34">
            <v>273.74299999999999</v>
          </cell>
          <cell r="AF34">
            <v>273.74299999999999</v>
          </cell>
          <cell r="AG34">
            <v>305.18499999999995</v>
          </cell>
          <cell r="AH34">
            <v>285.40499999999997</v>
          </cell>
          <cell r="AI34">
            <v>284.89800000000002</v>
          </cell>
          <cell r="AJ34">
            <v>272.96299999999997</v>
          </cell>
          <cell r="AK34">
            <v>272.96299999999997</v>
          </cell>
          <cell r="AL34">
            <v>529.51200000000006</v>
          </cell>
          <cell r="AM34">
            <v>299.52799999999996</v>
          </cell>
          <cell r="AN34">
            <v>302.26900000000006</v>
          </cell>
          <cell r="AO34">
            <v>320.13099999999997</v>
          </cell>
          <cell r="AP34">
            <v>320.13099999999997</v>
          </cell>
          <cell r="AQ34">
            <v>343.404</v>
          </cell>
          <cell r="AR34">
            <v>330.81199999999995</v>
          </cell>
          <cell r="AS34">
            <v>349.07400000000001</v>
          </cell>
          <cell r="AT34">
            <v>1068.857</v>
          </cell>
          <cell r="AU34">
            <v>1068.857</v>
          </cell>
          <cell r="AW34">
            <v>299.52799999999996</v>
          </cell>
          <cell r="AX34">
            <v>302.26900000000006</v>
          </cell>
          <cell r="AY34">
            <v>320.13099999999997</v>
          </cell>
          <cell r="AZ34">
            <v>343.404</v>
          </cell>
          <cell r="BA34">
            <v>343.404</v>
          </cell>
          <cell r="BB34">
            <v>330.81199999999995</v>
          </cell>
          <cell r="BC34">
            <v>349.07400000000001</v>
          </cell>
          <cell r="BD34">
            <v>1068.857</v>
          </cell>
          <cell r="BE34">
            <v>1005.8549999999999</v>
          </cell>
          <cell r="BF34">
            <v>1005.8549999999999</v>
          </cell>
          <cell r="BG34">
            <v>446.065</v>
          </cell>
          <cell r="BH34">
            <v>502.14700000000005</v>
          </cell>
          <cell r="BI34">
            <v>472.68499999999995</v>
          </cell>
          <cell r="BJ34">
            <v>472.02099999999996</v>
          </cell>
          <cell r="BK34">
            <v>472.02099999999996</v>
          </cell>
          <cell r="BL34">
            <v>489.94599999999997</v>
          </cell>
          <cell r="BM34">
            <v>602.11400000000003</v>
          </cell>
          <cell r="BN34">
            <v>821.25599999999986</v>
          </cell>
          <cell r="BO34">
            <v>597.64599999999996</v>
          </cell>
          <cell r="BP34">
            <v>597.64599999999996</v>
          </cell>
          <cell r="BQ34">
            <v>569.20900000000006</v>
          </cell>
          <cell r="BR34">
            <v>748.04899999999998</v>
          </cell>
          <cell r="BS34">
            <v>499.54899999999998</v>
          </cell>
          <cell r="BT34">
            <v>490.27100000000002</v>
          </cell>
          <cell r="BU34">
            <v>490.27100000000002</v>
          </cell>
          <cell r="BV34">
            <v>495.63800000000003</v>
          </cell>
          <cell r="BW34">
            <v>464.11900000000003</v>
          </cell>
          <cell r="BX34">
            <v>459.79599999999999</v>
          </cell>
          <cell r="BY34">
            <v>525.89700000000005</v>
          </cell>
          <cell r="BZ34">
            <v>525.89700000000005</v>
          </cell>
          <cell r="CA34">
            <v>542.07999999999993</v>
          </cell>
          <cell r="CB34">
            <v>514.90199999999993</v>
          </cell>
          <cell r="CC34">
            <v>520.06499999999994</v>
          </cell>
          <cell r="CD34">
            <v>555.63</v>
          </cell>
          <cell r="CE34">
            <v>555.63</v>
          </cell>
          <cell r="CF34">
            <v>580.33399999999995</v>
          </cell>
          <cell r="CG34">
            <v>557.10299999999995</v>
          </cell>
          <cell r="CH34">
            <v>670.86700000000008</v>
          </cell>
          <cell r="CI34">
            <v>803.82400000000007</v>
          </cell>
          <cell r="CJ34">
            <v>803.82400000000007</v>
          </cell>
          <cell r="CK34">
            <v>800.447</v>
          </cell>
          <cell r="CL34">
            <v>847.87100000000009</v>
          </cell>
          <cell r="CM34">
            <v>902.678</v>
          </cell>
          <cell r="CN34">
            <v>885.44738355793595</v>
          </cell>
          <cell r="CO34">
            <v>885.44738355793595</v>
          </cell>
          <cell r="CP34">
            <v>834.87568061939544</v>
          </cell>
          <cell r="CQ34">
            <v>868.23562131446477</v>
          </cell>
          <cell r="CR34">
            <v>905.12974264739591</v>
          </cell>
          <cell r="CS34">
            <v>913.46802237447969</v>
          </cell>
          <cell r="CT34">
            <v>913.46802237447969</v>
          </cell>
          <cell r="CU34">
            <v>888.19635368184311</v>
          </cell>
          <cell r="CV34">
            <v>924.74536562816286</v>
          </cell>
          <cell r="CW34">
            <v>964.21836507091382</v>
          </cell>
          <cell r="CX34">
            <v>973.14138142353488</v>
          </cell>
          <cell r="CY34">
            <v>973.14138142353488</v>
          </cell>
          <cell r="CZ34">
            <v>949.74912073714052</v>
          </cell>
          <cell r="DA34">
            <v>987.74738869219766</v>
          </cell>
          <cell r="DB34">
            <v>1029.3518186909421</v>
          </cell>
          <cell r="DC34">
            <v>1038.9364722501689</v>
          </cell>
          <cell r="DD34">
            <v>1038.9364722501689</v>
          </cell>
          <cell r="DE34">
            <v>1000.8520592204362</v>
          </cell>
          <cell r="DF34">
            <v>1033.8994396845267</v>
          </cell>
          <cell r="DG34">
            <v>1078.3800010263249</v>
          </cell>
          <cell r="DH34">
            <v>1071.9397925699614</v>
          </cell>
          <cell r="DI34">
            <v>1071.9397925699614</v>
          </cell>
        </row>
        <row r="35">
          <cell r="BY35">
            <v>0</v>
          </cell>
        </row>
        <row r="36">
          <cell r="B36" t="str">
            <v>Deferred income taxes</v>
          </cell>
          <cell r="D36">
            <v>4.5489999999999995</v>
          </cell>
          <cell r="E36">
            <v>4.0990000000000002</v>
          </cell>
          <cell r="F36">
            <v>3.9990000000000001</v>
          </cell>
          <cell r="G36">
            <v>3.4990000000000001</v>
          </cell>
          <cell r="H36">
            <v>19.298999999999999</v>
          </cell>
          <cell r="I36">
            <v>18.399000000000001</v>
          </cell>
          <cell r="J36">
            <v>19.099</v>
          </cell>
          <cell r="K36">
            <v>18.699000000000002</v>
          </cell>
          <cell r="L36">
            <v>39.603000000000002</v>
          </cell>
          <cell r="M36">
            <v>39.603000000000002</v>
          </cell>
          <cell r="N36">
            <v>39.603000000000002</v>
          </cell>
          <cell r="O36">
            <v>39.603000000000002</v>
          </cell>
          <cell r="P36">
            <v>32.579000000000001</v>
          </cell>
          <cell r="Q36">
            <v>32.579000000000001</v>
          </cell>
          <cell r="R36">
            <v>32.579000000000001</v>
          </cell>
          <cell r="S36">
            <v>32.579000000000001</v>
          </cell>
          <cell r="T36">
            <v>32.579000000000001</v>
          </cell>
          <cell r="U36">
            <v>34.496000000000002</v>
          </cell>
          <cell r="V36">
            <v>34.496000000000002</v>
          </cell>
          <cell r="W36">
            <v>34.496000000000002</v>
          </cell>
          <cell r="X36">
            <v>27.896000000000001</v>
          </cell>
          <cell r="Y36">
            <v>27.896000000000001</v>
          </cell>
          <cell r="Z36">
            <v>34.286000000000001</v>
          </cell>
          <cell r="AA36">
            <v>34.286000000000001</v>
          </cell>
          <cell r="AB36">
            <v>34.286000000000001</v>
          </cell>
          <cell r="AC36">
            <v>34.286000000000001</v>
          </cell>
          <cell r="AD36">
            <v>34.286000000000001</v>
          </cell>
          <cell r="AE36">
            <v>17.861000000000001</v>
          </cell>
          <cell r="AF36">
            <v>17.861000000000001</v>
          </cell>
          <cell r="AG36">
            <v>17.861000000000001</v>
          </cell>
          <cell r="AH36">
            <v>21.401</v>
          </cell>
          <cell r="AI36">
            <v>17.405999999999999</v>
          </cell>
          <cell r="AJ36">
            <v>48.984000000000002</v>
          </cell>
          <cell r="AK36">
            <v>48.984000000000002</v>
          </cell>
          <cell r="AL36">
            <v>48.984000000000002</v>
          </cell>
          <cell r="AM36">
            <v>48.984000000000002</v>
          </cell>
          <cell r="AN36">
            <v>48.984000000000002</v>
          </cell>
          <cell r="AO36">
            <v>143.76</v>
          </cell>
          <cell r="AP36">
            <v>143.76</v>
          </cell>
          <cell r="AQ36">
            <v>152.33699999999999</v>
          </cell>
          <cell r="AR36">
            <v>168.018</v>
          </cell>
          <cell r="AS36">
            <v>182.38</v>
          </cell>
          <cell r="AT36">
            <v>121.491</v>
          </cell>
          <cell r="AU36">
            <v>121.491</v>
          </cell>
          <cell r="AW36">
            <v>48.984000000000002</v>
          </cell>
          <cell r="AX36">
            <v>48.984000000000002</v>
          </cell>
          <cell r="AY36">
            <v>143.76</v>
          </cell>
          <cell r="AZ36">
            <v>152.33699999999999</v>
          </cell>
          <cell r="BA36">
            <v>152.33699999999999</v>
          </cell>
          <cell r="BB36">
            <v>168.018</v>
          </cell>
          <cell r="BC36">
            <v>182.38</v>
          </cell>
          <cell r="BD36">
            <v>121.491</v>
          </cell>
          <cell r="BE36">
            <v>131.11199999999999</v>
          </cell>
          <cell r="BF36">
            <v>131.11199999999999</v>
          </cell>
          <cell r="BG36">
            <v>143.28700000000001</v>
          </cell>
          <cell r="BH36">
            <v>161.05099999999999</v>
          </cell>
          <cell r="BI36">
            <v>112.9</v>
          </cell>
          <cell r="BJ36">
            <v>109.79</v>
          </cell>
          <cell r="BK36">
            <v>109.79</v>
          </cell>
          <cell r="BL36">
            <v>102.501</v>
          </cell>
          <cell r="BM36">
            <v>131.54599999999999</v>
          </cell>
          <cell r="BN36">
            <v>101.227</v>
          </cell>
          <cell r="BO36">
            <v>70.456999999999994</v>
          </cell>
          <cell r="BP36">
            <v>70.456999999999994</v>
          </cell>
          <cell r="BQ36">
            <v>95.876000000000005</v>
          </cell>
          <cell r="BR36">
            <v>129.22399999999999</v>
          </cell>
          <cell r="BS36">
            <v>117.884</v>
          </cell>
          <cell r="BT36">
            <v>77.474000000000004</v>
          </cell>
          <cell r="BU36">
            <v>77.474000000000004</v>
          </cell>
          <cell r="BV36">
            <v>108.017</v>
          </cell>
          <cell r="BW36">
            <v>134.88900000000001</v>
          </cell>
          <cell r="BX36">
            <v>155.53700000000001</v>
          </cell>
          <cell r="BY36">
            <v>133.45099999999999</v>
          </cell>
          <cell r="BZ36">
            <v>133.45099999999999</v>
          </cell>
          <cell r="CA36">
            <v>146.489</v>
          </cell>
          <cell r="CB36">
            <v>133.738</v>
          </cell>
          <cell r="CC36">
            <v>136.553</v>
          </cell>
          <cell r="CD36">
            <v>157.17699999999999</v>
          </cell>
          <cell r="CE36">
            <v>157.17699999999999</v>
          </cell>
          <cell r="CF36">
            <v>184.05600000000001</v>
          </cell>
          <cell r="CG36">
            <v>189.03800000000001</v>
          </cell>
          <cell r="CH36">
            <v>231.386</v>
          </cell>
          <cell r="CI36">
            <v>234.08</v>
          </cell>
          <cell r="CJ36">
            <v>234.08</v>
          </cell>
          <cell r="CK36">
            <v>253.566</v>
          </cell>
          <cell r="CL36">
            <v>259.06400000000002</v>
          </cell>
          <cell r="CM36">
            <v>281.64400000000001</v>
          </cell>
          <cell r="CN36">
            <v>281.64400000000001</v>
          </cell>
          <cell r="CO36">
            <v>281.64400000000001</v>
          </cell>
          <cell r="CP36">
            <v>281.64400000000001</v>
          </cell>
          <cell r="CQ36">
            <v>281.64400000000001</v>
          </cell>
          <cell r="CR36">
            <v>281.64400000000001</v>
          </cell>
          <cell r="CS36">
            <v>281.64400000000001</v>
          </cell>
          <cell r="CT36">
            <v>281.64400000000001</v>
          </cell>
          <cell r="CU36">
            <v>281.64400000000001</v>
          </cell>
          <cell r="CV36">
            <v>281.64400000000001</v>
          </cell>
          <cell r="CW36">
            <v>281.64400000000001</v>
          </cell>
          <cell r="CX36">
            <v>281.64400000000001</v>
          </cell>
          <cell r="CY36">
            <v>281.64400000000001</v>
          </cell>
          <cell r="CZ36">
            <v>281.64400000000001</v>
          </cell>
          <cell r="DA36">
            <v>281.64400000000001</v>
          </cell>
          <cell r="DB36">
            <v>281.64400000000001</v>
          </cell>
          <cell r="DC36">
            <v>281.64400000000001</v>
          </cell>
          <cell r="DD36">
            <v>281.64400000000001</v>
          </cell>
          <cell r="DE36">
            <v>281.64400000000001</v>
          </cell>
          <cell r="DF36">
            <v>281.64400000000001</v>
          </cell>
          <cell r="DG36">
            <v>281.64400000000001</v>
          </cell>
          <cell r="DH36">
            <v>281.64400000000001</v>
          </cell>
          <cell r="DI36">
            <v>281.64400000000001</v>
          </cell>
          <cell r="DU36" t="str">
            <v>mstag:deferredTaxLiabilitiesNonCurrent</v>
          </cell>
          <cell r="DV36">
            <v>6</v>
          </cell>
          <cell r="DW36" t="str">
            <v>ISO4217:USD</v>
          </cell>
          <cell r="DX36" t="b">
            <v>0</v>
          </cell>
        </row>
        <row r="37">
          <cell r="B37" t="str">
            <v>Long-term debt</v>
          </cell>
          <cell r="D37">
            <v>159.32499999999999</v>
          </cell>
          <cell r="E37">
            <v>112.44200000000001</v>
          </cell>
          <cell r="F37">
            <v>63.134999999999998</v>
          </cell>
          <cell r="G37">
            <v>77.873999999999995</v>
          </cell>
          <cell r="H37">
            <v>75.769000000000005</v>
          </cell>
          <cell r="I37">
            <v>67.721000000000004</v>
          </cell>
          <cell r="J37">
            <v>68.701999999999998</v>
          </cell>
          <cell r="K37">
            <v>49.65</v>
          </cell>
          <cell r="L37">
            <v>134.21700000000001</v>
          </cell>
          <cell r="M37">
            <v>138.32</v>
          </cell>
          <cell r="N37">
            <v>135.94399999999999</v>
          </cell>
          <cell r="O37">
            <v>308.12200000000001</v>
          </cell>
          <cell r="P37">
            <v>401.52199999999999</v>
          </cell>
          <cell r="Q37">
            <v>401.52199999999999</v>
          </cell>
          <cell r="R37">
            <v>438.108</v>
          </cell>
          <cell r="S37">
            <v>430.35399999999998</v>
          </cell>
          <cell r="T37">
            <v>457.36599999999999</v>
          </cell>
          <cell r="U37">
            <v>520.15099999999995</v>
          </cell>
          <cell r="V37">
            <v>520.15099999999995</v>
          </cell>
          <cell r="W37">
            <v>492.63600000000002</v>
          </cell>
          <cell r="X37">
            <v>464.94</v>
          </cell>
          <cell r="Y37">
            <v>448.05700000000002</v>
          </cell>
          <cell r="Z37">
            <v>428.99</v>
          </cell>
          <cell r="AA37">
            <v>428.99</v>
          </cell>
          <cell r="AB37">
            <v>600.03800000000001</v>
          </cell>
          <cell r="AC37">
            <v>632.02</v>
          </cell>
          <cell r="AD37">
            <v>631.29100000000005</v>
          </cell>
          <cell r="AE37">
            <v>650.15899999999999</v>
          </cell>
          <cell r="AF37">
            <v>650.15899999999999</v>
          </cell>
          <cell r="AG37">
            <v>652.09400000000005</v>
          </cell>
          <cell r="AH37">
            <v>653.03300000000002</v>
          </cell>
          <cell r="AI37">
            <v>652.803</v>
          </cell>
          <cell r="AJ37">
            <v>924.71299999999997</v>
          </cell>
          <cell r="AK37">
            <v>924.71299999999997</v>
          </cell>
          <cell r="AL37">
            <v>926.20500000000004</v>
          </cell>
          <cell r="AM37">
            <v>1103.491</v>
          </cell>
          <cell r="AN37">
            <v>1024.1500000000001</v>
          </cell>
          <cell r="AO37">
            <v>925.51800000000003</v>
          </cell>
          <cell r="AP37">
            <v>925.51800000000003</v>
          </cell>
          <cell r="AQ37">
            <v>927.21199999999999</v>
          </cell>
          <cell r="AR37">
            <v>1093.9159999999999</v>
          </cell>
          <cell r="AS37">
            <v>1004.2859999999999</v>
          </cell>
          <cell r="AT37">
            <v>366.649</v>
          </cell>
          <cell r="AU37">
            <v>366.649</v>
          </cell>
          <cell r="AW37">
            <v>1103.491</v>
          </cell>
          <cell r="AX37">
            <v>1024.1500000000001</v>
          </cell>
          <cell r="AY37">
            <v>925.51800000000003</v>
          </cell>
          <cell r="AZ37">
            <v>927.21199999999999</v>
          </cell>
          <cell r="BA37">
            <v>927.21199999999999</v>
          </cell>
          <cell r="BB37">
            <v>1093.9159999999999</v>
          </cell>
          <cell r="BC37">
            <v>1004.2859999999999</v>
          </cell>
          <cell r="BD37">
            <v>366.649</v>
          </cell>
          <cell r="BE37">
            <v>611.24099999999999</v>
          </cell>
          <cell r="BF37">
            <v>611.24099999999999</v>
          </cell>
          <cell r="BG37">
            <v>1192.6030000000001</v>
          </cell>
          <cell r="BH37">
            <v>1318.9</v>
          </cell>
          <cell r="BI37">
            <v>1285.01</v>
          </cell>
          <cell r="BJ37">
            <v>1297.047</v>
          </cell>
          <cell r="BK37">
            <v>1297.047</v>
          </cell>
          <cell r="BL37">
            <v>3746.0250000000001</v>
          </cell>
          <cell r="BM37">
            <v>3736.4270000000001</v>
          </cell>
          <cell r="BN37">
            <v>3405.2579999999998</v>
          </cell>
          <cell r="BO37">
            <v>3566.355</v>
          </cell>
          <cell r="BP37">
            <v>3566.355</v>
          </cell>
          <cell r="BQ37">
            <v>3554.5590000000002</v>
          </cell>
          <cell r="BR37">
            <v>3266.58</v>
          </cell>
          <cell r="BS37">
            <v>3256.7579999999998</v>
          </cell>
          <cell r="BT37">
            <v>3186.893</v>
          </cell>
          <cell r="BU37">
            <v>3186.893</v>
          </cell>
          <cell r="BV37">
            <v>3061.931</v>
          </cell>
          <cell r="BW37">
            <v>3031.904</v>
          </cell>
          <cell r="BX37">
            <v>3011.355</v>
          </cell>
          <cell r="BY37">
            <v>3004.672</v>
          </cell>
          <cell r="BZ37">
            <v>3004.672</v>
          </cell>
          <cell r="CA37">
            <v>3002.0650000000001</v>
          </cell>
          <cell r="CB37">
            <v>2993.34</v>
          </cell>
          <cell r="CC37">
            <v>2990.9520000000002</v>
          </cell>
          <cell r="CD37">
            <v>2983.7190000000001</v>
          </cell>
          <cell r="CE37">
            <v>2983.7190000000001</v>
          </cell>
          <cell r="CF37">
            <v>2977.1</v>
          </cell>
          <cell r="CG37">
            <v>2984.915</v>
          </cell>
          <cell r="CH37">
            <v>3338.6849999999999</v>
          </cell>
          <cell r="CI37">
            <v>3489.489</v>
          </cell>
          <cell r="CJ37">
            <v>3489.489</v>
          </cell>
          <cell r="CK37">
            <v>3476.5360000000001</v>
          </cell>
          <cell r="CL37">
            <v>3483.444</v>
          </cell>
          <cell r="CM37">
            <v>3476.3679999999999</v>
          </cell>
          <cell r="CN37">
            <v>3491.4752500000004</v>
          </cell>
          <cell r="CO37">
            <v>3491.4752500000004</v>
          </cell>
          <cell r="CP37">
            <v>3475.9525000000003</v>
          </cell>
          <cell r="CQ37">
            <v>3460.4297500000002</v>
          </cell>
          <cell r="CR37">
            <v>3460.4297499999998</v>
          </cell>
          <cell r="CS37">
            <v>3444.9069999999997</v>
          </cell>
          <cell r="CT37">
            <v>3444.9069999999997</v>
          </cell>
          <cell r="CU37">
            <v>3413.8615000000004</v>
          </cell>
          <cell r="CV37">
            <v>3397.8387500000003</v>
          </cell>
          <cell r="CW37">
            <v>3397.8387499999999</v>
          </cell>
          <cell r="CX37">
            <v>3381.8159999999998</v>
          </cell>
          <cell r="CY37">
            <v>3381.8159999999998</v>
          </cell>
          <cell r="CZ37">
            <v>3349.2705000000001</v>
          </cell>
          <cell r="DA37">
            <v>3333.2477500000005</v>
          </cell>
          <cell r="DB37">
            <v>3333.2477499999995</v>
          </cell>
          <cell r="DC37">
            <v>3317.2249999999995</v>
          </cell>
          <cell r="DD37">
            <v>3317.2249999999995</v>
          </cell>
          <cell r="DE37">
            <v>3285.1795000000002</v>
          </cell>
          <cell r="DF37">
            <v>3285.1794999999997</v>
          </cell>
          <cell r="DG37">
            <v>3285.1795000000002</v>
          </cell>
          <cell r="DH37">
            <v>3285.1794999999997</v>
          </cell>
          <cell r="DI37">
            <v>3285.1794999999997</v>
          </cell>
          <cell r="DU37" t="str">
            <v>mstag:longTermDebt</v>
          </cell>
          <cell r="DV37">
            <v>6</v>
          </cell>
          <cell r="DW37" t="str">
            <v>ISO4217:USD</v>
          </cell>
          <cell r="DX37" t="b">
            <v>0</v>
          </cell>
        </row>
        <row r="38">
          <cell r="B38" t="str">
            <v>Other long-term liabilities</v>
          </cell>
          <cell r="D38">
            <v>1.4379999999999999</v>
          </cell>
          <cell r="E38">
            <v>4.2480000000000002</v>
          </cell>
          <cell r="F38">
            <v>5.0570000000000004</v>
          </cell>
          <cell r="G38">
            <v>8.5269999999999992</v>
          </cell>
          <cell r="H38">
            <v>11.254</v>
          </cell>
          <cell r="I38">
            <v>12.297000000000001</v>
          </cell>
          <cell r="J38">
            <v>15.271000000000001</v>
          </cell>
          <cell r="K38">
            <v>16.111999999999998</v>
          </cell>
          <cell r="L38">
            <v>60.914000000000001</v>
          </cell>
          <cell r="M38">
            <v>17.116</v>
          </cell>
          <cell r="N38">
            <v>17.364000000000001</v>
          </cell>
          <cell r="O38">
            <v>17.521000000000001</v>
          </cell>
          <cell r="P38">
            <v>17.454999999999998</v>
          </cell>
          <cell r="Q38">
            <v>17.454999999999998</v>
          </cell>
          <cell r="R38">
            <v>17.741</v>
          </cell>
          <cell r="S38">
            <v>17.931999999999999</v>
          </cell>
          <cell r="T38">
            <v>18.271000000000001</v>
          </cell>
          <cell r="U38">
            <v>17.57</v>
          </cell>
          <cell r="V38">
            <v>17.57</v>
          </cell>
          <cell r="W38">
            <v>17.765000000000001</v>
          </cell>
          <cell r="X38">
            <v>31.747</v>
          </cell>
          <cell r="Y38">
            <v>35.124000000000002</v>
          </cell>
          <cell r="Z38">
            <v>36.564999999999998</v>
          </cell>
          <cell r="AA38">
            <v>36.564999999999998</v>
          </cell>
          <cell r="AB38">
            <v>36.893999999999998</v>
          </cell>
          <cell r="AC38">
            <v>40.231999999999999</v>
          </cell>
          <cell r="AD38">
            <v>40.469000000000001</v>
          </cell>
          <cell r="AE38">
            <v>42.792999999999999</v>
          </cell>
          <cell r="AF38">
            <v>42.792999999999999</v>
          </cell>
          <cell r="AG38">
            <v>38.872999999999998</v>
          </cell>
          <cell r="AH38">
            <v>38.088000000000001</v>
          </cell>
          <cell r="AI38">
            <v>38.116</v>
          </cell>
          <cell r="AJ38">
            <v>58.402000000000001</v>
          </cell>
          <cell r="AK38">
            <v>58.402000000000001</v>
          </cell>
          <cell r="AL38">
            <v>64.013000000000005</v>
          </cell>
          <cell r="AM38">
            <v>83.478999999999999</v>
          </cell>
          <cell r="AN38">
            <v>87.491</v>
          </cell>
          <cell r="AO38">
            <v>96.802999999999997</v>
          </cell>
          <cell r="AP38">
            <v>96.802999999999997</v>
          </cell>
          <cell r="AQ38">
            <v>102.553</v>
          </cell>
          <cell r="AR38">
            <v>117.86</v>
          </cell>
          <cell r="AS38">
            <v>123.301</v>
          </cell>
          <cell r="AT38">
            <v>95.887</v>
          </cell>
          <cell r="AU38">
            <v>95.887</v>
          </cell>
          <cell r="AW38">
            <v>83.478999999999999</v>
          </cell>
          <cell r="AX38">
            <v>87.491</v>
          </cell>
          <cell r="AY38">
            <v>96.802999999999997</v>
          </cell>
          <cell r="AZ38">
            <v>102.553</v>
          </cell>
          <cell r="BA38">
            <v>102.553</v>
          </cell>
          <cell r="BB38">
            <v>117.86</v>
          </cell>
          <cell r="BC38">
            <v>123.301</v>
          </cell>
          <cell r="BD38">
            <v>95.887</v>
          </cell>
          <cell r="BE38">
            <v>86.052999999999997</v>
          </cell>
          <cell r="BF38">
            <v>86.052999999999997</v>
          </cell>
          <cell r="BG38">
            <v>87.352000000000004</v>
          </cell>
          <cell r="BH38">
            <v>97.376999999999995</v>
          </cell>
          <cell r="BI38">
            <v>138.00899999999999</v>
          </cell>
          <cell r="BJ38">
            <v>149.88200000000001</v>
          </cell>
          <cell r="BK38">
            <v>149.88200000000001</v>
          </cell>
          <cell r="BL38">
            <v>156.52799999999999</v>
          </cell>
          <cell r="BM38">
            <v>152.88900000000001</v>
          </cell>
          <cell r="BN38">
            <v>180.762</v>
          </cell>
          <cell r="BO38">
            <v>308.20999999999998</v>
          </cell>
          <cell r="BP38">
            <v>308.20999999999998</v>
          </cell>
          <cell r="BQ38">
            <v>425.59500000000003</v>
          </cell>
          <cell r="BR38">
            <v>310.21300000000002</v>
          </cell>
          <cell r="BS38">
            <v>309.65800000000002</v>
          </cell>
          <cell r="BT38">
            <v>491.036</v>
          </cell>
          <cell r="BU38">
            <v>491.036</v>
          </cell>
          <cell r="BV38">
            <v>470.233</v>
          </cell>
          <cell r="BW38">
            <v>408.71800000000002</v>
          </cell>
          <cell r="BX38">
            <v>434.70799999999997</v>
          </cell>
          <cell r="BY38">
            <v>395.98599999999999</v>
          </cell>
          <cell r="BZ38">
            <v>395.98599999999999</v>
          </cell>
          <cell r="CA38">
            <v>410.12699999999995</v>
          </cell>
          <cell r="CB38">
            <v>444.315</v>
          </cell>
          <cell r="CC38">
            <v>476.30399999999997</v>
          </cell>
          <cell r="CD38">
            <v>478.58600000000001</v>
          </cell>
          <cell r="CE38">
            <v>478.58600000000001</v>
          </cell>
          <cell r="CF38">
            <v>487.47</v>
          </cell>
          <cell r="CG38">
            <v>494.56299999999999</v>
          </cell>
          <cell r="CH38">
            <v>516.93299999999999</v>
          </cell>
          <cell r="CI38">
            <v>491.03699999999998</v>
          </cell>
          <cell r="CJ38">
            <v>491.03699999999998</v>
          </cell>
          <cell r="CK38">
            <v>499.06099999999998</v>
          </cell>
          <cell r="CL38">
            <v>478.24</v>
          </cell>
          <cell r="CM38">
            <v>477.98099999999999</v>
          </cell>
          <cell r="CN38">
            <v>477.98099999999999</v>
          </cell>
          <cell r="CO38">
            <v>477.98099999999999</v>
          </cell>
          <cell r="CP38">
            <v>477.98099999999999</v>
          </cell>
          <cell r="CQ38">
            <v>477.98099999999999</v>
          </cell>
          <cell r="CR38">
            <v>477.98099999999999</v>
          </cell>
          <cell r="CS38">
            <v>477.98099999999999</v>
          </cell>
          <cell r="CT38">
            <v>477.98099999999999</v>
          </cell>
          <cell r="CU38">
            <v>477.98099999999999</v>
          </cell>
          <cell r="CV38">
            <v>477.98099999999999</v>
          </cell>
          <cell r="CW38">
            <v>477.98099999999999</v>
          </cell>
          <cell r="CX38">
            <v>477.98099999999999</v>
          </cell>
          <cell r="CY38">
            <v>477.98099999999999</v>
          </cell>
          <cell r="CZ38">
            <v>477.98099999999999</v>
          </cell>
          <cell r="DA38">
            <v>477.98099999999999</v>
          </cell>
          <cell r="DB38">
            <v>477.98099999999999</v>
          </cell>
          <cell r="DC38">
            <v>477.98099999999999</v>
          </cell>
          <cell r="DD38">
            <v>477.98099999999999</v>
          </cell>
          <cell r="DE38">
            <v>477.98099999999999</v>
          </cell>
          <cell r="DF38">
            <v>477.98099999999999</v>
          </cell>
          <cell r="DG38">
            <v>477.98099999999999</v>
          </cell>
          <cell r="DH38">
            <v>477.98099999999999</v>
          </cell>
          <cell r="DI38">
            <v>477.98099999999999</v>
          </cell>
          <cell r="DU38" t="str">
            <v>mstag:otherLiabilitiesOperatingNonCurrent</v>
          </cell>
          <cell r="DV38">
            <v>6</v>
          </cell>
          <cell r="DW38" t="str">
            <v>ISO4217:USD</v>
          </cell>
          <cell r="DX38" t="b">
            <v>0</v>
          </cell>
        </row>
        <row r="39">
          <cell r="B39" t="str">
            <v>TOTAL LIABILITIES</v>
          </cell>
          <cell r="D39">
            <v>195.06399999999999</v>
          </cell>
          <cell r="E39">
            <v>153.46200000000002</v>
          </cell>
          <cell r="F39">
            <v>107.455</v>
          </cell>
          <cell r="G39">
            <v>133.13399999999999</v>
          </cell>
          <cell r="H39">
            <v>145.88500000000002</v>
          </cell>
          <cell r="I39">
            <v>149.048</v>
          </cell>
          <cell r="J39">
            <v>173.96800000000002</v>
          </cell>
          <cell r="K39">
            <v>167.34100000000001</v>
          </cell>
          <cell r="L39">
            <v>355.28000000000003</v>
          </cell>
          <cell r="M39">
            <v>338.21100000000001</v>
          </cell>
          <cell r="N39">
            <v>336.31799999999998</v>
          </cell>
          <cell r="O39">
            <v>544.31100000000004</v>
          </cell>
          <cell r="P39">
            <v>626.77699999999993</v>
          </cell>
          <cell r="Q39">
            <v>626.77699999999993</v>
          </cell>
          <cell r="R39">
            <v>670.96</v>
          </cell>
          <cell r="S39">
            <v>639.20699999999999</v>
          </cell>
          <cell r="T39">
            <v>642.86300000000006</v>
          </cell>
          <cell r="U39">
            <v>741.99900000000002</v>
          </cell>
          <cell r="V39">
            <v>741.99900000000002</v>
          </cell>
          <cell r="W39">
            <v>749.9670000000001</v>
          </cell>
          <cell r="X39">
            <v>700.42699999999991</v>
          </cell>
          <cell r="Y39">
            <v>687.60800000000006</v>
          </cell>
          <cell r="Z39">
            <v>687.928</v>
          </cell>
          <cell r="AA39">
            <v>687.928</v>
          </cell>
          <cell r="AB39">
            <v>929.84000000000015</v>
          </cell>
          <cell r="AC39">
            <v>989.54600000000005</v>
          </cell>
          <cell r="AD39">
            <v>1004.6600000000001</v>
          </cell>
          <cell r="AE39">
            <v>984.55600000000004</v>
          </cell>
          <cell r="AF39">
            <v>984.55600000000004</v>
          </cell>
          <cell r="AG39">
            <v>1014.013</v>
          </cell>
          <cell r="AH39">
            <v>997.92699999999991</v>
          </cell>
          <cell r="AI39">
            <v>993.22299999999996</v>
          </cell>
          <cell r="AJ39">
            <v>1305.0619999999999</v>
          </cell>
          <cell r="AK39">
            <v>1305.0619999999999</v>
          </cell>
          <cell r="AL39">
            <v>1568.7139999999999</v>
          </cell>
          <cell r="AM39">
            <v>1535.482</v>
          </cell>
          <cell r="AN39">
            <v>1462.894</v>
          </cell>
          <cell r="AO39">
            <v>1486.212</v>
          </cell>
          <cell r="AP39">
            <v>1486.212</v>
          </cell>
          <cell r="AQ39">
            <v>1525.5059999999999</v>
          </cell>
          <cell r="AR39">
            <v>1710.6059999999998</v>
          </cell>
          <cell r="AS39">
            <v>1659.0409999999999</v>
          </cell>
          <cell r="AT39">
            <v>1652.884</v>
          </cell>
          <cell r="AU39">
            <v>1652.884</v>
          </cell>
          <cell r="AW39">
            <v>1535.482</v>
          </cell>
          <cell r="AX39">
            <v>1462.894</v>
          </cell>
          <cell r="AY39">
            <v>1486.212</v>
          </cell>
          <cell r="AZ39">
            <v>1525.5059999999999</v>
          </cell>
          <cell r="BA39">
            <v>1525.5059999999999</v>
          </cell>
          <cell r="BB39">
            <v>1710.6059999999998</v>
          </cell>
          <cell r="BC39">
            <v>1659.0409999999999</v>
          </cell>
          <cell r="BD39">
            <v>1652.884</v>
          </cell>
          <cell r="BE39">
            <v>1834.261</v>
          </cell>
          <cell r="BF39">
            <v>1834.261</v>
          </cell>
          <cell r="BG39">
            <v>1869.3070000000002</v>
          </cell>
          <cell r="BH39">
            <v>2079.4749999999999</v>
          </cell>
          <cell r="BI39">
            <v>2008.604</v>
          </cell>
          <cell r="BJ39">
            <v>2028.74</v>
          </cell>
          <cell r="BK39">
            <v>2028.74</v>
          </cell>
          <cell r="BL39">
            <v>4495</v>
          </cell>
          <cell r="BM39">
            <v>4622.9760000000006</v>
          </cell>
          <cell r="BN39">
            <v>4508.5029999999997</v>
          </cell>
          <cell r="BO39">
            <v>4542.6679999999997</v>
          </cell>
          <cell r="BP39">
            <v>4542.6679999999997</v>
          </cell>
          <cell r="BQ39">
            <v>4645.2390000000005</v>
          </cell>
          <cell r="BR39">
            <v>4454.0660000000007</v>
          </cell>
          <cell r="BS39">
            <v>4183.8490000000002</v>
          </cell>
          <cell r="BT39">
            <v>4245.674</v>
          </cell>
          <cell r="BU39">
            <v>4245.674</v>
          </cell>
          <cell r="BV39">
            <v>4135.8190000000004</v>
          </cell>
          <cell r="BW39">
            <v>4039.63</v>
          </cell>
          <cell r="BX39">
            <v>4061.3959999999997</v>
          </cell>
          <cell r="BY39">
            <v>4060.0059999999999</v>
          </cell>
          <cell r="BZ39">
            <v>4060.0059999999999</v>
          </cell>
          <cell r="CA39">
            <v>4100.7610000000004</v>
          </cell>
          <cell r="CB39">
            <v>4086.2950000000001</v>
          </cell>
          <cell r="CC39">
            <v>4123.8739999999998</v>
          </cell>
          <cell r="CD39">
            <v>4175.1120000000001</v>
          </cell>
          <cell r="CE39">
            <v>4175.1120000000001</v>
          </cell>
          <cell r="CF39">
            <v>4228.96</v>
          </cell>
          <cell r="CG39">
            <v>4225.6189999999997</v>
          </cell>
          <cell r="CH39">
            <v>4757.8710000000001</v>
          </cell>
          <cell r="CI39">
            <v>5018.43</v>
          </cell>
          <cell r="CJ39">
            <v>5018.43</v>
          </cell>
          <cell r="CK39">
            <v>5029.6099999999997</v>
          </cell>
          <cell r="CL39">
            <v>5068.6189999999997</v>
          </cell>
          <cell r="CM39">
            <v>5138.6709999999994</v>
          </cell>
          <cell r="CN39">
            <v>5136.547633557936</v>
          </cell>
          <cell r="CO39">
            <v>5136.547633557936</v>
          </cell>
          <cell r="CP39">
            <v>5070.4531806193954</v>
          </cell>
          <cell r="CQ39">
            <v>5088.2903713144651</v>
          </cell>
          <cell r="CR39">
            <v>5125.184492647395</v>
          </cell>
          <cell r="CS39">
            <v>5118.0000223744792</v>
          </cell>
          <cell r="CT39">
            <v>5118.0000223744792</v>
          </cell>
          <cell r="CU39">
            <v>5061.682853681843</v>
          </cell>
          <cell r="CV39">
            <v>5082.2091156281631</v>
          </cell>
          <cell r="CW39">
            <v>5121.6821150709138</v>
          </cell>
          <cell r="CX39">
            <v>5114.5823814235346</v>
          </cell>
          <cell r="CY39">
            <v>5114.5823814235346</v>
          </cell>
          <cell r="CZ39">
            <v>5058.64462073714</v>
          </cell>
          <cell r="DA39">
            <v>5080.6201386921985</v>
          </cell>
          <cell r="DB39">
            <v>5122.2245686909419</v>
          </cell>
          <cell r="DC39">
            <v>5115.7864722501681</v>
          </cell>
          <cell r="DD39">
            <v>5115.7864722501681</v>
          </cell>
          <cell r="DE39">
            <v>5045.6565592204361</v>
          </cell>
          <cell r="DF39">
            <v>5078.7039396845257</v>
          </cell>
          <cell r="DG39">
            <v>5123.1845010263251</v>
          </cell>
          <cell r="DH39">
            <v>5116.7442925699606</v>
          </cell>
          <cell r="DI39">
            <v>5116.7442925699606</v>
          </cell>
        </row>
        <row r="41">
          <cell r="B41" t="str">
            <v xml:space="preserve">Redeemable Equity </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155.55799999999999</v>
          </cell>
          <cell r="BU41">
            <v>155.55799999999999</v>
          </cell>
          <cell r="BV41">
            <v>51.497999999999998</v>
          </cell>
          <cell r="BW41">
            <v>58.896000000000001</v>
          </cell>
          <cell r="BX41">
            <v>79.671000000000006</v>
          </cell>
          <cell r="BY41">
            <v>182.47300000000001</v>
          </cell>
          <cell r="BZ41">
            <v>182.47300000000001</v>
          </cell>
          <cell r="CA41">
            <v>187.82</v>
          </cell>
          <cell r="CB41">
            <v>187.82</v>
          </cell>
          <cell r="CC41">
            <v>201.816</v>
          </cell>
          <cell r="CD41">
            <v>201.48699999999999</v>
          </cell>
          <cell r="CE41">
            <v>201.48699999999999</v>
          </cell>
          <cell r="CF41">
            <v>201.49799999999999</v>
          </cell>
          <cell r="CG41">
            <v>203.434</v>
          </cell>
          <cell r="CH41">
            <v>204.28</v>
          </cell>
          <cell r="CI41">
            <v>200.643</v>
          </cell>
          <cell r="CJ41">
            <v>200.643</v>
          </cell>
          <cell r="CK41">
            <v>198.173</v>
          </cell>
          <cell r="CL41">
            <v>197.75200000000001</v>
          </cell>
          <cell r="CM41">
            <v>212.66300000000001</v>
          </cell>
          <cell r="CN41">
            <v>212.66300000000001</v>
          </cell>
          <cell r="CO41">
            <v>212.66300000000001</v>
          </cell>
          <cell r="CP41">
            <v>212.66300000000001</v>
          </cell>
          <cell r="CQ41">
            <v>212.66300000000001</v>
          </cell>
          <cell r="CR41">
            <v>212.66300000000001</v>
          </cell>
          <cell r="CS41">
            <v>212.66300000000001</v>
          </cell>
          <cell r="CT41">
            <v>212.66300000000001</v>
          </cell>
          <cell r="CU41">
            <v>212.66300000000001</v>
          </cell>
          <cell r="CV41">
            <v>212.66300000000001</v>
          </cell>
          <cell r="CW41">
            <v>212.66300000000001</v>
          </cell>
          <cell r="CX41">
            <v>212.66300000000001</v>
          </cell>
          <cell r="CY41">
            <v>212.66300000000001</v>
          </cell>
          <cell r="CZ41">
            <v>212.66300000000001</v>
          </cell>
          <cell r="DA41">
            <v>212.66300000000001</v>
          </cell>
          <cell r="DB41">
            <v>212.66300000000001</v>
          </cell>
          <cell r="DC41">
            <v>212.66300000000001</v>
          </cell>
          <cell r="DD41">
            <v>212.66300000000001</v>
          </cell>
          <cell r="DE41">
            <v>212.66300000000001</v>
          </cell>
          <cell r="DF41">
            <v>212.66300000000001</v>
          </cell>
          <cell r="DG41">
            <v>212.66300000000001</v>
          </cell>
          <cell r="DH41">
            <v>212.66300000000001</v>
          </cell>
          <cell r="DI41">
            <v>212.66300000000001</v>
          </cell>
          <cell r="DU41" t="str">
            <v>mstag:minorityInterestsInEquity</v>
          </cell>
          <cell r="DV41">
            <v>6</v>
          </cell>
          <cell r="DW41" t="str">
            <v>ISO4217:USD</v>
          </cell>
          <cell r="DX41" t="b">
            <v>0</v>
          </cell>
        </row>
        <row r="43">
          <cell r="B43" t="str">
            <v>Common Stock</v>
          </cell>
          <cell r="E43">
            <v>0.16800000000000001</v>
          </cell>
          <cell r="F43">
            <v>0.189</v>
          </cell>
          <cell r="G43">
            <v>0.29900000000000004</v>
          </cell>
          <cell r="H43">
            <v>0.68900000000000006</v>
          </cell>
          <cell r="I43">
            <v>0.69199999999999995</v>
          </cell>
          <cell r="J43">
            <v>1.0569999999999999</v>
          </cell>
          <cell r="K43">
            <v>1.627</v>
          </cell>
          <cell r="L43">
            <v>2.4910000000000001</v>
          </cell>
          <cell r="M43">
            <v>2.5190000000000001</v>
          </cell>
          <cell r="N43">
            <v>2.5190000000000001</v>
          </cell>
          <cell r="O43">
            <v>2.516</v>
          </cell>
          <cell r="P43">
            <v>2.5339999999999998</v>
          </cell>
          <cell r="Q43">
            <v>2.5339999999999998</v>
          </cell>
          <cell r="R43">
            <v>2.536</v>
          </cell>
          <cell r="S43">
            <v>2.536</v>
          </cell>
          <cell r="T43">
            <v>2.5529999999999999</v>
          </cell>
          <cell r="U43">
            <v>2.5539999999999998</v>
          </cell>
          <cell r="V43">
            <v>2.5539999999999998</v>
          </cell>
          <cell r="W43">
            <v>2.5609999999999999</v>
          </cell>
          <cell r="X43">
            <v>2.5750000000000002</v>
          </cell>
          <cell r="Y43">
            <v>2.5760000000000001</v>
          </cell>
          <cell r="Z43">
            <v>2.581</v>
          </cell>
          <cell r="AA43">
            <v>2.581</v>
          </cell>
          <cell r="AB43">
            <v>2.5910000000000002</v>
          </cell>
          <cell r="AC43">
            <v>2.5920000000000001</v>
          </cell>
          <cell r="AD43">
            <v>2.6080000000000001</v>
          </cell>
          <cell r="AE43">
            <v>2.6110000000000002</v>
          </cell>
          <cell r="AF43">
            <v>2.6110000000000002</v>
          </cell>
          <cell r="AG43">
            <v>2.6120000000000001</v>
          </cell>
          <cell r="AH43">
            <v>2.6120000000000001</v>
          </cell>
          <cell r="AI43">
            <v>2.6219999999999999</v>
          </cell>
          <cell r="AJ43">
            <v>2.6269999999999998</v>
          </cell>
          <cell r="AK43">
            <v>2.6269999999999998</v>
          </cell>
          <cell r="AL43">
            <v>2.653</v>
          </cell>
          <cell r="AM43">
            <v>2.6549999999999998</v>
          </cell>
          <cell r="AN43">
            <v>2.6589999999999998</v>
          </cell>
          <cell r="AO43">
            <v>2.66</v>
          </cell>
          <cell r="AP43">
            <v>2.66</v>
          </cell>
          <cell r="AQ43">
            <v>2.665</v>
          </cell>
          <cell r="AR43">
            <v>2.69</v>
          </cell>
          <cell r="AS43">
            <v>2.6970000000000001</v>
          </cell>
          <cell r="AT43">
            <v>2.706</v>
          </cell>
          <cell r="AU43">
            <v>2.706</v>
          </cell>
          <cell r="AW43">
            <v>2.6549999999999998</v>
          </cell>
          <cell r="AX43">
            <v>2.6589999999999998</v>
          </cell>
          <cell r="AY43">
            <v>2.66</v>
          </cell>
          <cell r="AZ43">
            <v>2.665</v>
          </cell>
          <cell r="BA43">
            <v>2.665</v>
          </cell>
          <cell r="BB43">
            <v>2.69</v>
          </cell>
          <cell r="BC43">
            <v>2.6970000000000001</v>
          </cell>
          <cell r="BD43">
            <v>2.706</v>
          </cell>
          <cell r="BE43">
            <v>2.7309999999999999</v>
          </cell>
          <cell r="BF43">
            <v>2.7309999999999999</v>
          </cell>
          <cell r="BG43">
            <v>2.7330000000000001</v>
          </cell>
          <cell r="BH43">
            <v>2.7349999999999999</v>
          </cell>
          <cell r="BI43">
            <v>2.7469999999999999</v>
          </cell>
          <cell r="BJ43">
            <v>2.75</v>
          </cell>
          <cell r="BK43">
            <v>2.75</v>
          </cell>
          <cell r="BL43">
            <v>2.7650000000000001</v>
          </cell>
          <cell r="BM43">
            <v>2.7679999999999998</v>
          </cell>
          <cell r="BN43">
            <v>2.7679999999999998</v>
          </cell>
          <cell r="BO43">
            <v>2.7719999999999998</v>
          </cell>
          <cell r="BP43">
            <v>2.7719999999999998</v>
          </cell>
          <cell r="BQ43">
            <v>2.7759999999999998</v>
          </cell>
          <cell r="BR43">
            <v>2.7869999999999999</v>
          </cell>
          <cell r="BS43">
            <v>2.4390000000000001</v>
          </cell>
          <cell r="BT43">
            <v>2.4420000000000002</v>
          </cell>
          <cell r="BU43">
            <v>2.4420000000000002</v>
          </cell>
          <cell r="BV43">
            <v>2.4660000000000002</v>
          </cell>
          <cell r="BW43">
            <v>2.4660000000000002</v>
          </cell>
          <cell r="BX43">
            <v>2.48</v>
          </cell>
          <cell r="BY43">
            <v>2.4849999999999999</v>
          </cell>
          <cell r="BZ43">
            <v>2.4849999999999999</v>
          </cell>
          <cell r="CA43">
            <v>2.5030000000000001</v>
          </cell>
          <cell r="CB43">
            <v>2.5059999999999998</v>
          </cell>
          <cell r="CC43">
            <v>2.5059999999999998</v>
          </cell>
          <cell r="CD43">
            <v>2.5089999999999999</v>
          </cell>
          <cell r="CE43">
            <v>2.5089999999999999</v>
          </cell>
          <cell r="CF43">
            <v>2.532</v>
          </cell>
          <cell r="CG43">
            <v>2.5409999999999999</v>
          </cell>
          <cell r="CH43">
            <v>2.5409999999999999</v>
          </cell>
          <cell r="CI43">
            <v>2.5419999999999998</v>
          </cell>
          <cell r="CJ43">
            <v>2.5419999999999998</v>
          </cell>
          <cell r="CK43">
            <v>2.5630000000000002</v>
          </cell>
          <cell r="CL43">
            <v>2.5630000000000002</v>
          </cell>
          <cell r="CM43">
            <v>2.5640000000000001</v>
          </cell>
          <cell r="CN43">
            <v>2.5640000000000001</v>
          </cell>
          <cell r="CO43">
            <v>2.5640000000000001</v>
          </cell>
          <cell r="CP43">
            <v>2.5640000000000001</v>
          </cell>
          <cell r="CQ43">
            <v>2.5640000000000001</v>
          </cell>
          <cell r="CR43">
            <v>2.5640000000000001</v>
          </cell>
          <cell r="CS43">
            <v>2.5640000000000001</v>
          </cell>
          <cell r="CT43">
            <v>2.5640000000000001</v>
          </cell>
          <cell r="CU43">
            <v>2.5640000000000001</v>
          </cell>
          <cell r="CV43">
            <v>2.5640000000000001</v>
          </cell>
          <cell r="CW43">
            <v>2.5640000000000001</v>
          </cell>
          <cell r="CX43">
            <v>2.5640000000000001</v>
          </cell>
          <cell r="CY43">
            <v>2.5640000000000001</v>
          </cell>
          <cell r="CZ43">
            <v>2.5640000000000001</v>
          </cell>
          <cell r="DA43">
            <v>2.5640000000000001</v>
          </cell>
          <cell r="DB43">
            <v>2.5640000000000001</v>
          </cell>
          <cell r="DC43">
            <v>2.5640000000000001</v>
          </cell>
          <cell r="DD43">
            <v>2.5640000000000001</v>
          </cell>
          <cell r="DE43">
            <v>2.5640000000000001</v>
          </cell>
          <cell r="DF43">
            <v>2.5640000000000001</v>
          </cell>
          <cell r="DG43">
            <v>2.5640000000000001</v>
          </cell>
          <cell r="DH43">
            <v>2.5640000000000001</v>
          </cell>
          <cell r="DI43">
            <v>2.5640000000000001</v>
          </cell>
          <cell r="DU43" t="str">
            <v>mstag:commonStock</v>
          </cell>
          <cell r="DV43">
            <v>6</v>
          </cell>
          <cell r="DW43" t="str">
            <v>ISO4217:USD</v>
          </cell>
          <cell r="DX43" t="b">
            <v>0</v>
          </cell>
        </row>
        <row r="44">
          <cell r="B44" t="str">
            <v>Accumulated and other comprehensive income</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M44">
            <v>0</v>
          </cell>
          <cell r="AN44">
            <v>0</v>
          </cell>
          <cell r="AO44">
            <v>0</v>
          </cell>
          <cell r="AP44">
            <v>0</v>
          </cell>
          <cell r="AQ44">
            <v>0</v>
          </cell>
          <cell r="AR44">
            <v>0</v>
          </cell>
          <cell r="AS44">
            <v>0</v>
          </cell>
          <cell r="AT44">
            <v>0.128</v>
          </cell>
          <cell r="AU44">
            <v>0.128</v>
          </cell>
          <cell r="AW44">
            <v>0</v>
          </cell>
          <cell r="AX44">
            <v>0</v>
          </cell>
          <cell r="AY44">
            <v>0</v>
          </cell>
          <cell r="AZ44">
            <v>0</v>
          </cell>
          <cell r="BA44">
            <v>0</v>
          </cell>
          <cell r="BB44">
            <v>0</v>
          </cell>
          <cell r="BC44">
            <v>0</v>
          </cell>
          <cell r="BD44">
            <v>0.128</v>
          </cell>
          <cell r="BE44">
            <v>-8.7999999999999995E-2</v>
          </cell>
          <cell r="BF44">
            <v>-8.7999999999999995E-2</v>
          </cell>
          <cell r="BG44">
            <v>0.13100000000000001</v>
          </cell>
          <cell r="BH44">
            <v>-1.2E-2</v>
          </cell>
          <cell r="BI44">
            <v>0.61799999999999999</v>
          </cell>
          <cell r="BJ44">
            <v>0.65400000000000003</v>
          </cell>
          <cell r="BK44">
            <v>0.65400000000000003</v>
          </cell>
          <cell r="BL44">
            <v>0.25</v>
          </cell>
          <cell r="BM44">
            <v>36.74</v>
          </cell>
          <cell r="BN44">
            <v>-10.307</v>
          </cell>
          <cell r="BO44">
            <v>-57.86</v>
          </cell>
          <cell r="BP44">
            <v>-57.86</v>
          </cell>
          <cell r="BQ44">
            <v>-121.11799999999999</v>
          </cell>
          <cell r="BR44">
            <v>-55.390999999999998</v>
          </cell>
          <cell r="BS44">
            <v>-67.718999999999994</v>
          </cell>
          <cell r="BT44">
            <v>-169.91399999999999</v>
          </cell>
          <cell r="BU44">
            <v>-169.91399999999999</v>
          </cell>
          <cell r="BV44">
            <v>-161.13300000000001</v>
          </cell>
          <cell r="BW44">
            <v>-122.188</v>
          </cell>
          <cell r="BX44">
            <v>-131.22900000000001</v>
          </cell>
          <cell r="BY44">
            <v>-120.242</v>
          </cell>
          <cell r="BZ44">
            <v>-120.242</v>
          </cell>
          <cell r="CA44">
            <v>-129.85499999999999</v>
          </cell>
          <cell r="CB44">
            <v>-143.61000000000001</v>
          </cell>
          <cell r="CC44">
            <v>-155.77199999999999</v>
          </cell>
          <cell r="CD44">
            <v>-131.124</v>
          </cell>
          <cell r="CE44">
            <v>-131.124</v>
          </cell>
          <cell r="CF44">
            <v>-114.798</v>
          </cell>
          <cell r="CG44">
            <v>-114.82899999999999</v>
          </cell>
          <cell r="CH44">
            <v>-116.867</v>
          </cell>
          <cell r="CI44">
            <v>-95.44</v>
          </cell>
          <cell r="CJ44">
            <v>-95.44</v>
          </cell>
          <cell r="CK44">
            <v>-79.427999999999997</v>
          </cell>
          <cell r="CL44">
            <v>-67.596999999999994</v>
          </cell>
          <cell r="CM44">
            <v>-53.255000000000003</v>
          </cell>
          <cell r="CN44">
            <v>-53.255000000000003</v>
          </cell>
          <cell r="CO44">
            <v>-53.255000000000003</v>
          </cell>
          <cell r="CP44">
            <v>-53.255000000000003</v>
          </cell>
          <cell r="CQ44">
            <v>-53.255000000000003</v>
          </cell>
          <cell r="CR44">
            <v>-53.255000000000003</v>
          </cell>
          <cell r="CS44">
            <v>-53.255000000000003</v>
          </cell>
          <cell r="CT44">
            <v>-53.255000000000003</v>
          </cell>
          <cell r="CU44">
            <v>-53.255000000000003</v>
          </cell>
          <cell r="CV44">
            <v>-53.255000000000003</v>
          </cell>
          <cell r="CW44">
            <v>-53.255000000000003</v>
          </cell>
          <cell r="CX44">
            <v>-53.255000000000003</v>
          </cell>
          <cell r="CY44">
            <v>-53.255000000000003</v>
          </cell>
          <cell r="CZ44">
            <v>-53.255000000000003</v>
          </cell>
          <cell r="DA44">
            <v>-53.255000000000003</v>
          </cell>
          <cell r="DB44">
            <v>-53.255000000000003</v>
          </cell>
          <cell r="DC44">
            <v>-53.255000000000003</v>
          </cell>
          <cell r="DD44">
            <v>-53.255000000000003</v>
          </cell>
          <cell r="DE44">
            <v>-53.255000000000003</v>
          </cell>
          <cell r="DF44">
            <v>-53.255000000000003</v>
          </cell>
          <cell r="DG44">
            <v>-53.255000000000003</v>
          </cell>
          <cell r="DH44">
            <v>-53.255000000000003</v>
          </cell>
          <cell r="DI44">
            <v>-53.255000000000003</v>
          </cell>
          <cell r="DU44" t="str">
            <v>mstag:accumulatedOtherComprehensiveIncomeLossAndReserves</v>
          </cell>
          <cell r="DV44">
            <v>6</v>
          </cell>
          <cell r="DW44" t="str">
            <v>ISO4217:USD</v>
          </cell>
          <cell r="DX44" t="b">
            <v>0</v>
          </cell>
        </row>
        <row r="45">
          <cell r="B45" t="str">
            <v>Additional paid in capital</v>
          </cell>
          <cell r="E45">
            <v>57.076999999999998</v>
          </cell>
          <cell r="F45">
            <v>93.855999999999995</v>
          </cell>
          <cell r="G45">
            <v>118.816</v>
          </cell>
          <cell r="H45">
            <v>132.16499999999999</v>
          </cell>
          <cell r="I45">
            <v>133.85300000000001</v>
          </cell>
          <cell r="J45">
            <v>149.191</v>
          </cell>
          <cell r="K45">
            <v>182.78</v>
          </cell>
          <cell r="L45">
            <v>241.67699999999999</v>
          </cell>
          <cell r="M45">
            <v>285.15899999999999</v>
          </cell>
          <cell r="N45">
            <v>285.44299999999998</v>
          </cell>
          <cell r="O45">
            <v>285.73200000000003</v>
          </cell>
          <cell r="P45">
            <v>294.57900000000001</v>
          </cell>
          <cell r="Q45">
            <v>294.57900000000001</v>
          </cell>
          <cell r="R45">
            <v>294.63099999999997</v>
          </cell>
          <cell r="S45">
            <v>294.685</v>
          </cell>
          <cell r="T45">
            <v>304.47300000000001</v>
          </cell>
          <cell r="U45">
            <v>308.834</v>
          </cell>
          <cell r="V45">
            <v>308.834</v>
          </cell>
          <cell r="W45">
            <v>313.94</v>
          </cell>
          <cell r="X45">
            <v>327.98099999999999</v>
          </cell>
          <cell r="Y45">
            <v>329.21899999999999</v>
          </cell>
          <cell r="Z45">
            <v>340.19200000000001</v>
          </cell>
          <cell r="AA45">
            <v>340.19200000000001</v>
          </cell>
          <cell r="AB45">
            <v>343.19299999999998</v>
          </cell>
          <cell r="AC45">
            <v>344.30799999999999</v>
          </cell>
          <cell r="AD45">
            <v>345.58699999999999</v>
          </cell>
          <cell r="AE45">
            <v>373.214</v>
          </cell>
          <cell r="AF45">
            <v>373.214</v>
          </cell>
          <cell r="AG45">
            <v>375.61500000000001</v>
          </cell>
          <cell r="AH45">
            <v>375.61500000000001</v>
          </cell>
          <cell r="AI45">
            <v>389.73399999999998</v>
          </cell>
          <cell r="AJ45">
            <v>399.78199999999998</v>
          </cell>
          <cell r="AK45">
            <v>399.78199999999998</v>
          </cell>
          <cell r="AL45">
            <v>433.39699999999999</v>
          </cell>
          <cell r="AM45">
            <v>436.54599999999999</v>
          </cell>
          <cell r="AN45">
            <v>442.012</v>
          </cell>
          <cell r="AO45">
            <v>445.27</v>
          </cell>
          <cell r="AP45">
            <v>445.27</v>
          </cell>
          <cell r="AQ45">
            <v>451.66899999999998</v>
          </cell>
          <cell r="AR45">
            <v>491.96600000000001</v>
          </cell>
          <cell r="AS45">
            <v>506.87400000000002</v>
          </cell>
          <cell r="AT45">
            <v>525.14400000000001</v>
          </cell>
          <cell r="AU45">
            <v>525.14400000000001</v>
          </cell>
          <cell r="AW45">
            <v>436.54599999999999</v>
          </cell>
          <cell r="AX45">
            <v>442.012</v>
          </cell>
          <cell r="AY45">
            <v>445.27</v>
          </cell>
          <cell r="AZ45">
            <v>451.66899999999998</v>
          </cell>
          <cell r="BA45">
            <v>451.66899999999998</v>
          </cell>
          <cell r="BB45">
            <v>491.96600000000001</v>
          </cell>
          <cell r="BC45">
            <v>506.87400000000002</v>
          </cell>
          <cell r="BD45">
            <v>525.14400000000001</v>
          </cell>
          <cell r="BE45">
            <v>589.83400000000074</v>
          </cell>
          <cell r="BF45">
            <v>589.83400000000074</v>
          </cell>
          <cell r="BG45">
            <v>585.38300000000004</v>
          </cell>
          <cell r="BH45">
            <v>593.62</v>
          </cell>
          <cell r="BI45">
            <v>629.32000000000005</v>
          </cell>
          <cell r="BJ45">
            <v>632.03700000000003</v>
          </cell>
          <cell r="BK45">
            <v>632.03700000000003</v>
          </cell>
          <cell r="BL45">
            <v>610.19600000000003</v>
          </cell>
          <cell r="BM45">
            <v>612.19100000000003</v>
          </cell>
          <cell r="BN45">
            <v>621.9</v>
          </cell>
          <cell r="BO45">
            <v>623.48500000000001</v>
          </cell>
          <cell r="BP45">
            <v>623.48500000000001</v>
          </cell>
          <cell r="BQ45">
            <v>629.88400000000001</v>
          </cell>
          <cell r="BR45">
            <v>632.50099999999998</v>
          </cell>
          <cell r="BS45">
            <v>78.626000000000005</v>
          </cell>
          <cell r="BT45">
            <v>83.550000000000182</v>
          </cell>
          <cell r="BU45">
            <v>83.550000000000182</v>
          </cell>
          <cell r="BV45">
            <v>110.577</v>
          </cell>
          <cell r="BW45">
            <v>113.14</v>
          </cell>
          <cell r="BX45">
            <v>124.154</v>
          </cell>
          <cell r="BY45">
            <v>96.531000000000006</v>
          </cell>
          <cell r="BZ45">
            <v>96.531000000000006</v>
          </cell>
          <cell r="CA45">
            <v>105.56</v>
          </cell>
          <cell r="CB45">
            <v>111.143</v>
          </cell>
          <cell r="CC45">
            <v>116.252</v>
          </cell>
          <cell r="CD45">
            <v>123.04</v>
          </cell>
          <cell r="CE45">
            <v>123.04</v>
          </cell>
          <cell r="CF45">
            <v>129.542</v>
          </cell>
          <cell r="CG45">
            <v>144.81800000000001</v>
          </cell>
          <cell r="CH45">
            <v>150.959</v>
          </cell>
          <cell r="CI45">
            <v>156.85900000000001</v>
          </cell>
          <cell r="CJ45">
            <v>156.85900000000001</v>
          </cell>
          <cell r="CK45">
            <v>156.392</v>
          </cell>
          <cell r="CL45">
            <v>163.03700000000001</v>
          </cell>
          <cell r="CM45">
            <v>169.02</v>
          </cell>
          <cell r="CN45">
            <v>175.44268078386139</v>
          </cell>
          <cell r="CO45">
            <v>175.44268078386139</v>
          </cell>
          <cell r="CP45">
            <v>182.08612387228229</v>
          </cell>
          <cell r="CQ45">
            <v>188.63445108256781</v>
          </cell>
          <cell r="CR45">
            <v>195.10299729920544</v>
          </cell>
          <cell r="CS45">
            <v>201.74930473632062</v>
          </cell>
          <cell r="CT45">
            <v>201.74930473632062</v>
          </cell>
          <cell r="CU45">
            <v>208.52400068593292</v>
          </cell>
          <cell r="CV45">
            <v>215.19487552617619</v>
          </cell>
          <cell r="CW45">
            <v>221.79135910303202</v>
          </cell>
          <cell r="CX45">
            <v>228.55611395705441</v>
          </cell>
          <cell r="CY45">
            <v>228.55611395705441</v>
          </cell>
          <cell r="CZ45">
            <v>235.60190562342603</v>
          </cell>
          <cell r="DA45">
            <v>242.53076845172004</v>
          </cell>
          <cell r="DB45">
            <v>249.38789552575125</v>
          </cell>
          <cell r="DC45">
            <v>256.43445471832456</v>
          </cell>
          <cell r="DD45">
            <v>256.43445471832456</v>
          </cell>
          <cell r="DE45">
            <v>263.79426930077898</v>
          </cell>
          <cell r="DF45">
            <v>271.0152765325754</v>
          </cell>
          <cell r="DG45">
            <v>278.16580502746791</v>
          </cell>
          <cell r="DH45">
            <v>285.4963294077578</v>
          </cell>
          <cell r="DI45">
            <v>285.4963294077578</v>
          </cell>
          <cell r="DU45" t="str">
            <v>mstag:additionalPaidInCapital</v>
          </cell>
          <cell r="DV45">
            <v>6</v>
          </cell>
          <cell r="DW45" t="str">
            <v>ISO4217:USD</v>
          </cell>
          <cell r="DX45" t="b">
            <v>0</v>
          </cell>
        </row>
        <row r="46">
          <cell r="B46" t="str">
            <v>Retained earnings</v>
          </cell>
          <cell r="E46">
            <v>18.614999999999998</v>
          </cell>
          <cell r="F46">
            <v>41.292999999999999</v>
          </cell>
          <cell r="G46">
            <v>73.537999999999997</v>
          </cell>
          <cell r="H46">
            <v>120.074</v>
          </cell>
          <cell r="I46">
            <v>183.405</v>
          </cell>
          <cell r="J46">
            <v>267.49099999999999</v>
          </cell>
          <cell r="K46">
            <v>375.81299999999999</v>
          </cell>
          <cell r="L46">
            <v>512.65700000000004</v>
          </cell>
          <cell r="M46">
            <v>543.61199999999997</v>
          </cell>
          <cell r="N46">
            <v>591.31899999999996</v>
          </cell>
          <cell r="O46">
            <v>630.07600000000002</v>
          </cell>
          <cell r="P46">
            <v>662.50199999999995</v>
          </cell>
          <cell r="Q46">
            <v>662.50199999999995</v>
          </cell>
          <cell r="R46">
            <v>696.79399999999998</v>
          </cell>
          <cell r="S46">
            <v>747.28099999999995</v>
          </cell>
          <cell r="T46">
            <v>791.10400000000004</v>
          </cell>
          <cell r="U46">
            <v>830.16899999999998</v>
          </cell>
          <cell r="V46">
            <v>830.16899999999998</v>
          </cell>
          <cell r="W46">
            <v>870.34699999999998</v>
          </cell>
          <cell r="X46">
            <v>919.08699999999999</v>
          </cell>
          <cell r="Y46">
            <v>973.22500000000002</v>
          </cell>
          <cell r="Z46">
            <v>1025.1469999999999</v>
          </cell>
          <cell r="AA46">
            <v>1025.1469999999999</v>
          </cell>
          <cell r="AB46">
            <v>1075.6130000000001</v>
          </cell>
          <cell r="AC46">
            <v>1144.854</v>
          </cell>
          <cell r="AD46">
            <v>1211.405</v>
          </cell>
          <cell r="AE46">
            <v>1271.5830000000001</v>
          </cell>
          <cell r="AF46">
            <v>1271.5830000000001</v>
          </cell>
          <cell r="AG46">
            <v>1326.376</v>
          </cell>
          <cell r="AH46">
            <v>1399.569</v>
          </cell>
          <cell r="AI46">
            <v>1470.4369999999999</v>
          </cell>
          <cell r="AJ46">
            <v>1535.3219999999999</v>
          </cell>
          <cell r="AK46">
            <v>1535.3219999999999</v>
          </cell>
          <cell r="AL46">
            <v>1601.729</v>
          </cell>
          <cell r="AM46">
            <v>1687.088</v>
          </cell>
          <cell r="AN46">
            <v>1771.4110000000001</v>
          </cell>
          <cell r="AO46">
            <v>1830.7360000000001</v>
          </cell>
          <cell r="AP46">
            <v>1830.7360000000001</v>
          </cell>
          <cell r="AQ46">
            <v>1909.287</v>
          </cell>
          <cell r="AR46">
            <v>2000.085</v>
          </cell>
          <cell r="AS46">
            <v>2076.989</v>
          </cell>
          <cell r="AT46">
            <v>2140.393</v>
          </cell>
          <cell r="AU46">
            <v>2140.393</v>
          </cell>
          <cell r="AW46">
            <v>1687.088</v>
          </cell>
          <cell r="AX46">
            <v>1771.4110000000001</v>
          </cell>
          <cell r="AY46">
            <v>1830.7360000000001</v>
          </cell>
          <cell r="AZ46">
            <v>1909.287</v>
          </cell>
          <cell r="BA46">
            <v>1909.287</v>
          </cell>
          <cell r="BB46">
            <v>2000.085</v>
          </cell>
          <cell r="BC46">
            <v>2076.989</v>
          </cell>
          <cell r="BD46">
            <v>2140.393</v>
          </cell>
          <cell r="BE46">
            <v>2204.884</v>
          </cell>
          <cell r="BF46">
            <v>2204.884</v>
          </cell>
          <cell r="BG46">
            <v>2288.84</v>
          </cell>
          <cell r="BH46">
            <v>2351.7020000000002</v>
          </cell>
          <cell r="BI46">
            <v>2400.5010000000002</v>
          </cell>
          <cell r="BJ46">
            <v>2329.7559999999999</v>
          </cell>
          <cell r="BK46">
            <v>2329.7559999999999</v>
          </cell>
          <cell r="BL46">
            <v>16.866</v>
          </cell>
          <cell r="BM46">
            <v>28.771999999999998</v>
          </cell>
          <cell r="BN46">
            <v>59.246000000000002</v>
          </cell>
          <cell r="BO46">
            <v>71.706000000000003</v>
          </cell>
          <cell r="BP46">
            <v>71.706000000000003</v>
          </cell>
          <cell r="BQ46">
            <v>205.58199999999999</v>
          </cell>
          <cell r="BR46">
            <v>217.97900000000001</v>
          </cell>
          <cell r="BS46">
            <v>224.38200000000001</v>
          </cell>
          <cell r="BT46">
            <v>238.21899999999999</v>
          </cell>
          <cell r="BU46">
            <v>238.21899999999999</v>
          </cell>
          <cell r="BV46">
            <v>284.23500000000001</v>
          </cell>
          <cell r="BW46">
            <v>316.82799999999997</v>
          </cell>
          <cell r="BX46">
            <v>342.27300000000002</v>
          </cell>
          <cell r="BY46">
            <v>376.40100000000001</v>
          </cell>
          <cell r="BZ46">
            <v>376.40100000000001</v>
          </cell>
          <cell r="CA46">
            <v>423.34100000000001</v>
          </cell>
          <cell r="CB46">
            <v>462.99799999999999</v>
          </cell>
          <cell r="CC46">
            <v>498.291</v>
          </cell>
          <cell r="CD46">
            <v>526.47</v>
          </cell>
          <cell r="CE46">
            <v>526.47</v>
          </cell>
          <cell r="CF46">
            <v>581.99400000000003</v>
          </cell>
          <cell r="CG46">
            <v>630.60500000000002</v>
          </cell>
          <cell r="CH46">
            <v>674.33299999999997</v>
          </cell>
          <cell r="CI46">
            <v>705.18</v>
          </cell>
          <cell r="CJ46">
            <v>705.18</v>
          </cell>
          <cell r="CK46">
            <v>742.87</v>
          </cell>
          <cell r="CL46">
            <v>779.82399999999996</v>
          </cell>
          <cell r="CM46">
            <v>821.16800000000001</v>
          </cell>
          <cell r="CN46">
            <v>876.06968999778849</v>
          </cell>
          <cell r="CO46">
            <v>876.06968999778849</v>
          </cell>
          <cell r="CP46">
            <v>929.49127428726069</v>
          </cell>
          <cell r="CQ46">
            <v>977.40273262024027</v>
          </cell>
          <cell r="CR46">
            <v>1010.8397078941956</v>
          </cell>
          <cell r="CS46">
            <v>1028.1669532504425</v>
          </cell>
          <cell r="CT46">
            <v>1028.1669532504425</v>
          </cell>
          <cell r="CU46">
            <v>1088.9312846990504</v>
          </cell>
          <cell r="CV46">
            <v>1156.1926829890633</v>
          </cell>
          <cell r="CW46">
            <v>1211.8807704592734</v>
          </cell>
          <cell r="CX46">
            <v>1248.7424885041592</v>
          </cell>
          <cell r="CY46">
            <v>1248.7424885041592</v>
          </cell>
          <cell r="CZ46">
            <v>1332.593572803971</v>
          </cell>
          <cell r="DA46">
            <v>1408.782024806208</v>
          </cell>
          <cell r="DB46">
            <v>1474.7170610367077</v>
          </cell>
          <cell r="DC46">
            <v>1523.119518366135</v>
          </cell>
          <cell r="DD46">
            <v>1523.119518366135</v>
          </cell>
          <cell r="DE46">
            <v>1620.1298290744542</v>
          </cell>
          <cell r="DF46">
            <v>1707.5832604133552</v>
          </cell>
          <cell r="DG46">
            <v>1785.6716558477588</v>
          </cell>
          <cell r="DH46">
            <v>1843.0313195160238</v>
          </cell>
          <cell r="DI46">
            <v>1843.0313195160238</v>
          </cell>
          <cell r="DU46" t="str">
            <v>mstag:retainedEarnings</v>
          </cell>
          <cell r="DV46">
            <v>6</v>
          </cell>
          <cell r="DW46" t="str">
            <v>ISO4217:USD</v>
          </cell>
          <cell r="DX46" t="b">
            <v>0</v>
          </cell>
        </row>
        <row r="47">
          <cell r="B47" t="str">
            <v>Treasury stock</v>
          </cell>
          <cell r="E47">
            <v>0</v>
          </cell>
          <cell r="F47">
            <v>0</v>
          </cell>
          <cell r="G47">
            <v>0</v>
          </cell>
          <cell r="H47">
            <v>0</v>
          </cell>
          <cell r="I47">
            <v>0</v>
          </cell>
          <cell r="J47">
            <v>0</v>
          </cell>
          <cell r="K47">
            <v>0</v>
          </cell>
          <cell r="L47">
            <v>0</v>
          </cell>
          <cell r="M47">
            <v>-8.1010000000000009</v>
          </cell>
          <cell r="N47">
            <v>-8.1010000000000009</v>
          </cell>
          <cell r="O47">
            <v>-8.1010000000000009</v>
          </cell>
          <cell r="P47">
            <v>-69.091999999999999</v>
          </cell>
          <cell r="Q47">
            <v>-69.091999999999999</v>
          </cell>
          <cell r="R47">
            <v>-111.491</v>
          </cell>
          <cell r="S47">
            <v>-111.491</v>
          </cell>
          <cell r="T47">
            <v>-111.491</v>
          </cell>
          <cell r="U47">
            <v>-111.491</v>
          </cell>
          <cell r="V47">
            <v>-111.491</v>
          </cell>
          <cell r="W47">
            <v>-111.491</v>
          </cell>
          <cell r="X47">
            <v>-111.491</v>
          </cell>
          <cell r="Y47">
            <v>-111.491</v>
          </cell>
          <cell r="Z47">
            <v>-114.271</v>
          </cell>
          <cell r="AA47">
            <v>-114.271</v>
          </cell>
          <cell r="AB47">
            <v>-200.57400000000001</v>
          </cell>
          <cell r="AC47">
            <v>-241.16399999999999</v>
          </cell>
          <cell r="AD47">
            <v>-241.16399999999999</v>
          </cell>
          <cell r="AE47">
            <v>-300.65600000000001</v>
          </cell>
          <cell r="AF47">
            <v>-300.65600000000001</v>
          </cell>
          <cell r="AG47">
            <v>-300.65600000000001</v>
          </cell>
          <cell r="AH47">
            <v>-300.65600000000001</v>
          </cell>
          <cell r="AI47">
            <v>-300.65600000000001</v>
          </cell>
          <cell r="AJ47">
            <v>-300.65600000000001</v>
          </cell>
          <cell r="AK47">
            <v>-300.65600000000001</v>
          </cell>
          <cell r="AL47">
            <v>-300.65600000000001</v>
          </cell>
          <cell r="AM47">
            <v>-300.65600000000001</v>
          </cell>
          <cell r="AN47">
            <v>-300.65600000000001</v>
          </cell>
          <cell r="AO47">
            <v>-300.65600000000001</v>
          </cell>
          <cell r="AP47">
            <v>-300.65600000000001</v>
          </cell>
          <cell r="AQ47">
            <v>-300.65599999999898</v>
          </cell>
          <cell r="AR47">
            <v>-300.65600000000001</v>
          </cell>
          <cell r="AS47">
            <v>-300.65600000000001</v>
          </cell>
          <cell r="AT47">
            <v>-378.91199999999998</v>
          </cell>
          <cell r="AU47">
            <v>-378.91199999999998</v>
          </cell>
          <cell r="AW47">
            <v>-300.65600000000001</v>
          </cell>
          <cell r="AX47">
            <v>-300.65600000000001</v>
          </cell>
          <cell r="AY47">
            <v>-300.65600000000001</v>
          </cell>
          <cell r="AZ47">
            <v>-300.65599999999898</v>
          </cell>
          <cell r="BA47">
            <v>-300.65599999999898</v>
          </cell>
          <cell r="BB47">
            <v>-300.65600000000001</v>
          </cell>
          <cell r="BC47">
            <v>-300.65600000000001</v>
          </cell>
          <cell r="BD47">
            <v>-378.91199999999998</v>
          </cell>
          <cell r="BE47">
            <v>-522.31299999999999</v>
          </cell>
          <cell r="BF47">
            <v>-522.31299999999999</v>
          </cell>
          <cell r="BG47">
            <v>-522.31299999999999</v>
          </cell>
          <cell r="BH47">
            <v>-532.12300000000005</v>
          </cell>
          <cell r="BI47">
            <v>-546.93700000000001</v>
          </cell>
          <cell r="BJ47">
            <v>-559.07500000000005</v>
          </cell>
          <cell r="BK47">
            <v>-559.07500000000005</v>
          </cell>
          <cell r="BL47">
            <v>-559.07500000000005</v>
          </cell>
          <cell r="BM47">
            <v>-559.07500000000005</v>
          </cell>
          <cell r="BN47">
            <v>-559.07500000000005</v>
          </cell>
          <cell r="BO47">
            <v>-559.07500000000005</v>
          </cell>
          <cell r="BP47">
            <v>-559.07500000000005</v>
          </cell>
          <cell r="BQ47">
            <v>-559.07500000000005</v>
          </cell>
          <cell r="BR47">
            <v>-559.07500000000005</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U47" t="str">
            <v>mstag:treasuryStockAndInvestmentInOwnShares</v>
          </cell>
          <cell r="DV47">
            <v>6</v>
          </cell>
          <cell r="DW47" t="str">
            <v>ISO4217:USD</v>
          </cell>
          <cell r="DX47" t="b">
            <v>1</v>
          </cell>
        </row>
        <row r="48">
          <cell r="B48" t="str">
            <v>SHAREHOLDERS' EQUITY</v>
          </cell>
          <cell r="D48">
            <v>0</v>
          </cell>
          <cell r="E48">
            <v>75.86</v>
          </cell>
          <cell r="F48">
            <v>135.33799999999999</v>
          </cell>
          <cell r="G48">
            <v>192.65300000000002</v>
          </cell>
          <cell r="H48">
            <v>252.928</v>
          </cell>
          <cell r="I48">
            <v>317.95000000000005</v>
          </cell>
          <cell r="J48">
            <v>417.73899999999998</v>
          </cell>
          <cell r="K48">
            <v>560.22</v>
          </cell>
          <cell r="L48">
            <v>756.82500000000005</v>
          </cell>
          <cell r="M48">
            <v>831.29</v>
          </cell>
          <cell r="N48">
            <v>879.28099999999995</v>
          </cell>
          <cell r="O48">
            <v>918.32400000000007</v>
          </cell>
          <cell r="P48">
            <v>959.61500000000001</v>
          </cell>
          <cell r="Q48">
            <v>959.61500000000001</v>
          </cell>
          <cell r="R48">
            <v>993.96100000000001</v>
          </cell>
          <cell r="S48">
            <v>1044.502</v>
          </cell>
          <cell r="T48">
            <v>1098.1300000000001</v>
          </cell>
          <cell r="U48">
            <v>1141.557</v>
          </cell>
          <cell r="V48">
            <v>1141.557</v>
          </cell>
          <cell r="W48">
            <v>1186.848</v>
          </cell>
          <cell r="X48">
            <v>1249.643</v>
          </cell>
          <cell r="Y48">
            <v>1305.02</v>
          </cell>
          <cell r="Z48">
            <v>1367.92</v>
          </cell>
          <cell r="AA48">
            <v>1367.92</v>
          </cell>
          <cell r="AB48">
            <v>1421.3969999999999</v>
          </cell>
          <cell r="AC48">
            <v>1491.7539999999999</v>
          </cell>
          <cell r="AD48">
            <v>1559.6</v>
          </cell>
          <cell r="AE48">
            <v>1647.4080000000001</v>
          </cell>
          <cell r="AF48">
            <v>1647.4080000000001</v>
          </cell>
          <cell r="AG48">
            <v>1704.6030000000001</v>
          </cell>
          <cell r="AH48">
            <v>1777.796</v>
          </cell>
          <cell r="AI48">
            <v>1862.7929999999999</v>
          </cell>
          <cell r="AJ48">
            <v>1937.7309999999998</v>
          </cell>
          <cell r="AK48">
            <v>1937.7309999999998</v>
          </cell>
          <cell r="AL48">
            <v>2037.779</v>
          </cell>
          <cell r="AM48">
            <v>2126.2889999999998</v>
          </cell>
          <cell r="AN48">
            <v>2216.0819999999999</v>
          </cell>
          <cell r="AO48">
            <v>2278.6660000000002</v>
          </cell>
          <cell r="AP48">
            <v>2278.6660000000002</v>
          </cell>
          <cell r="AQ48">
            <v>2363.6210000000001</v>
          </cell>
          <cell r="AR48">
            <v>2494.741</v>
          </cell>
          <cell r="AS48">
            <v>2586.56</v>
          </cell>
          <cell r="AT48">
            <v>2668.3710000000001</v>
          </cell>
          <cell r="AU48">
            <v>2668.3710000000001</v>
          </cell>
          <cell r="AW48">
            <v>2126.2889999999998</v>
          </cell>
          <cell r="AX48">
            <v>2216.0819999999999</v>
          </cell>
          <cell r="AY48">
            <v>2278.6660000000002</v>
          </cell>
          <cell r="AZ48">
            <v>2363.6210000000001</v>
          </cell>
          <cell r="BA48">
            <v>2363.6210000000001</v>
          </cell>
          <cell r="BB48">
            <v>2494.741</v>
          </cell>
          <cell r="BC48">
            <v>2586.56</v>
          </cell>
          <cell r="BD48">
            <v>2668.3710000000001</v>
          </cell>
          <cell r="BE48">
            <v>2797.3610000000008</v>
          </cell>
          <cell r="BF48">
            <v>2797.3610000000008</v>
          </cell>
          <cell r="BG48">
            <v>2877.0870000000004</v>
          </cell>
          <cell r="BH48">
            <v>2948.0450000000001</v>
          </cell>
          <cell r="BI48">
            <v>3033.1860000000001</v>
          </cell>
          <cell r="BJ48">
            <v>2965.1970000000001</v>
          </cell>
          <cell r="BK48">
            <v>2965.1970000000001</v>
          </cell>
          <cell r="BL48">
            <v>630.077</v>
          </cell>
          <cell r="BM48">
            <v>680.47100000000012</v>
          </cell>
          <cell r="BN48">
            <v>673.60699999999997</v>
          </cell>
          <cell r="BO48">
            <v>640.10300000000007</v>
          </cell>
          <cell r="BP48">
            <v>640.10300000000007</v>
          </cell>
          <cell r="BQ48">
            <v>717.12400000000002</v>
          </cell>
          <cell r="BR48">
            <v>797.87599999999998</v>
          </cell>
          <cell r="BS48">
            <v>237.72800000000001</v>
          </cell>
          <cell r="BT48">
            <v>154.2970000000002</v>
          </cell>
          <cell r="BU48">
            <v>154.2970000000002</v>
          </cell>
          <cell r="BV48">
            <v>236.14500000000001</v>
          </cell>
          <cell r="BW48">
            <v>310.24599999999998</v>
          </cell>
          <cell r="BX48">
            <v>337.678</v>
          </cell>
          <cell r="BY48">
            <v>355.17500000000001</v>
          </cell>
          <cell r="BZ48">
            <v>355.17500000000001</v>
          </cell>
          <cell r="CA48">
            <v>401.54900000000004</v>
          </cell>
          <cell r="CB48">
            <v>433.03699999999998</v>
          </cell>
          <cell r="CC48">
            <v>461.27699999999999</v>
          </cell>
          <cell r="CD48">
            <v>520.89499999999998</v>
          </cell>
          <cell r="CE48">
            <v>520.89499999999998</v>
          </cell>
          <cell r="CF48">
            <v>599.27</v>
          </cell>
          <cell r="CG48">
            <v>663.13499999999999</v>
          </cell>
          <cell r="CH48">
            <v>710.96600000000001</v>
          </cell>
          <cell r="CI48">
            <v>769.14099999999996</v>
          </cell>
          <cell r="CJ48">
            <v>769.14099999999996</v>
          </cell>
          <cell r="CK48">
            <v>822.39700000000005</v>
          </cell>
          <cell r="CL48">
            <v>877.827</v>
          </cell>
          <cell r="CM48">
            <v>939.49700000000007</v>
          </cell>
          <cell r="CN48">
            <v>1000.8213707816499</v>
          </cell>
          <cell r="CO48">
            <v>1000.8213707816499</v>
          </cell>
          <cell r="CP48">
            <v>1060.886398159543</v>
          </cell>
          <cell r="CQ48">
            <v>1115.346183702808</v>
          </cell>
          <cell r="CR48">
            <v>1155.251705193401</v>
          </cell>
          <cell r="CS48">
            <v>1179.2252579867632</v>
          </cell>
          <cell r="CT48">
            <v>1179.2252579867632</v>
          </cell>
          <cell r="CU48">
            <v>1246.7642853849834</v>
          </cell>
          <cell r="CV48">
            <v>1320.6965585152395</v>
          </cell>
          <cell r="CW48">
            <v>1382.9811295623053</v>
          </cell>
          <cell r="CX48">
            <v>1426.6076024612134</v>
          </cell>
          <cell r="CY48">
            <v>1426.6076024612134</v>
          </cell>
          <cell r="CZ48">
            <v>1517.5044784273971</v>
          </cell>
          <cell r="DA48">
            <v>1600.6217932579279</v>
          </cell>
          <cell r="DB48">
            <v>1673.4139565624589</v>
          </cell>
          <cell r="DC48">
            <v>1728.8629730844596</v>
          </cell>
          <cell r="DD48">
            <v>1728.8629730844596</v>
          </cell>
          <cell r="DE48">
            <v>1833.2330983752331</v>
          </cell>
          <cell r="DF48">
            <v>1927.9075369459306</v>
          </cell>
          <cell r="DG48">
            <v>2013.1464608752267</v>
          </cell>
          <cell r="DH48">
            <v>2077.8366489237815</v>
          </cell>
          <cell r="DI48">
            <v>2077.8366489237815</v>
          </cell>
        </row>
        <row r="49">
          <cell r="B49" t="str">
            <v>Noncontrolling interests</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32.359000000000002</v>
          </cell>
          <cell r="AE49">
            <v>33.009</v>
          </cell>
          <cell r="AF49">
            <v>33.009</v>
          </cell>
          <cell r="AG49">
            <v>33.930999999999997</v>
          </cell>
          <cell r="AH49">
            <v>34.994</v>
          </cell>
          <cell r="AI49">
            <v>36.115000000000002</v>
          </cell>
          <cell r="AJ49">
            <v>37.35</v>
          </cell>
          <cell r="AK49">
            <v>37.35</v>
          </cell>
          <cell r="AL49">
            <v>38.49</v>
          </cell>
          <cell r="AM49">
            <v>39.889000000000003</v>
          </cell>
          <cell r="AN49">
            <v>41.351999999999997</v>
          </cell>
          <cell r="AO49">
            <v>43.066000000000003</v>
          </cell>
          <cell r="AP49">
            <v>43.066000000000003</v>
          </cell>
          <cell r="AQ49">
            <v>43.728000000000002</v>
          </cell>
          <cell r="AR49">
            <v>44.264000000000003</v>
          </cell>
          <cell r="AS49">
            <v>45.100999999999999</v>
          </cell>
          <cell r="AT49">
            <v>45.828000000000003</v>
          </cell>
          <cell r="AU49">
            <v>45.828000000000003</v>
          </cell>
          <cell r="AW49">
            <v>39.889000000000003</v>
          </cell>
          <cell r="AX49">
            <v>41.351999999999997</v>
          </cell>
          <cell r="AY49">
            <v>43.066000000000003</v>
          </cell>
          <cell r="AZ49">
            <v>43.728000000000002</v>
          </cell>
          <cell r="BA49">
            <v>43.728000000000002</v>
          </cell>
          <cell r="BB49">
            <v>44.264000000000003</v>
          </cell>
          <cell r="BC49">
            <v>45.100999999999999</v>
          </cell>
          <cell r="BD49">
            <v>45.828000000000003</v>
          </cell>
          <cell r="BE49">
            <v>46.228999999999999</v>
          </cell>
          <cell r="BF49">
            <v>46.228999999999999</v>
          </cell>
          <cell r="BG49">
            <v>54.591000000000001</v>
          </cell>
          <cell r="BH49">
            <v>55.667999999999999</v>
          </cell>
          <cell r="BI49">
            <v>56.103000000000002</v>
          </cell>
          <cell r="BJ49">
            <v>56.09</v>
          </cell>
          <cell r="BK49">
            <v>56.09</v>
          </cell>
          <cell r="BL49">
            <v>63.835999999999999</v>
          </cell>
          <cell r="BM49">
            <v>19.706</v>
          </cell>
          <cell r="BN49">
            <v>18.96</v>
          </cell>
          <cell r="BO49">
            <v>20.222999999999999</v>
          </cell>
          <cell r="BP49">
            <v>20.222999999999999</v>
          </cell>
          <cell r="BQ49">
            <v>118.05500000000001</v>
          </cell>
          <cell r="BR49">
            <v>123.01600000000001</v>
          </cell>
          <cell r="BS49">
            <v>146.52799999999999</v>
          </cell>
          <cell r="BT49">
            <v>0</v>
          </cell>
          <cell r="BU49">
            <v>0</v>
          </cell>
          <cell r="BV49">
            <v>100.548</v>
          </cell>
          <cell r="BW49">
            <v>105.07</v>
          </cell>
          <cell r="BX49">
            <v>108.54</v>
          </cell>
          <cell r="BY49">
            <v>6.4450000000000003</v>
          </cell>
          <cell r="BZ49">
            <v>6.4450000000000003</v>
          </cell>
          <cell r="CA49">
            <v>11.414</v>
          </cell>
          <cell r="CB49">
            <v>13.010999999999999</v>
          </cell>
          <cell r="CC49">
            <v>12.856999999999999</v>
          </cell>
          <cell r="CD49">
            <v>12.590999999999999</v>
          </cell>
          <cell r="CE49">
            <v>12.590999999999999</v>
          </cell>
          <cell r="CF49">
            <v>14.78</v>
          </cell>
          <cell r="CG49">
            <v>9.8729999999999993</v>
          </cell>
          <cell r="CH49">
            <v>11.593</v>
          </cell>
          <cell r="CI49">
            <v>15.975</v>
          </cell>
          <cell r="CJ49">
            <v>15.975</v>
          </cell>
          <cell r="CK49">
            <v>11.193</v>
          </cell>
          <cell r="CL49">
            <v>31.408999999999999</v>
          </cell>
          <cell r="CM49">
            <v>15.897</v>
          </cell>
          <cell r="CN49">
            <v>20.896999999999998</v>
          </cell>
          <cell r="CO49">
            <v>20.896999999999998</v>
          </cell>
          <cell r="CP49">
            <v>28.146999999999998</v>
          </cell>
          <cell r="CQ49">
            <v>35.396999999999998</v>
          </cell>
          <cell r="CR49">
            <v>42.646999999999998</v>
          </cell>
          <cell r="CS49">
            <v>49.896999999999998</v>
          </cell>
          <cell r="CT49">
            <v>49.896999999999998</v>
          </cell>
          <cell r="CU49">
            <v>57.760578978804269</v>
          </cell>
          <cell r="CV49">
            <v>65.579802447175183</v>
          </cell>
          <cell r="CW49">
            <v>73.599127344817816</v>
          </cell>
          <cell r="CX49">
            <v>81.547044623053566</v>
          </cell>
          <cell r="CY49">
            <v>81.547044623053566</v>
          </cell>
          <cell r="CZ49">
            <v>90.086637683995235</v>
          </cell>
          <cell r="DA49">
            <v>98.560656676224468</v>
          </cell>
          <cell r="DB49">
            <v>107.37272002712074</v>
          </cell>
          <cell r="DC49">
            <v>116.2943051167765</v>
          </cell>
          <cell r="DD49">
            <v>116.2943051167765</v>
          </cell>
          <cell r="DE49">
            <v>125.56477475208726</v>
          </cell>
          <cell r="DF49">
            <v>134.70613028570122</v>
          </cell>
          <cell r="DG49">
            <v>144.30248638526336</v>
          </cell>
          <cell r="DH49">
            <v>153.92225492267173</v>
          </cell>
          <cell r="DI49">
            <v>153.92225492267173</v>
          </cell>
          <cell r="DU49" t="str">
            <v>mstag:minorityInterestsInEquity</v>
          </cell>
          <cell r="DV49">
            <v>6</v>
          </cell>
          <cell r="DW49" t="str">
            <v>ISO4217:USD</v>
          </cell>
          <cell r="DX49" t="b">
            <v>0</v>
          </cell>
        </row>
        <row r="50">
          <cell r="B50" t="str">
            <v>LIABILITIES &amp; EQUITY</v>
          </cell>
          <cell r="D50">
            <v>195.06399999999999</v>
          </cell>
          <cell r="E50">
            <v>229.322</v>
          </cell>
          <cell r="F50">
            <v>242.79300000000001</v>
          </cell>
          <cell r="G50">
            <v>325.78700000000003</v>
          </cell>
          <cell r="H50">
            <v>398.81299999999999</v>
          </cell>
          <cell r="I50">
            <v>466.99800000000005</v>
          </cell>
          <cell r="J50">
            <v>591.70699999999999</v>
          </cell>
          <cell r="K50">
            <v>727.56100000000004</v>
          </cell>
          <cell r="L50">
            <v>1112.105</v>
          </cell>
          <cell r="M50">
            <v>1169.501</v>
          </cell>
          <cell r="N50">
            <v>1215.5989999999999</v>
          </cell>
          <cell r="O50">
            <v>1462.6350000000002</v>
          </cell>
          <cell r="P50">
            <v>1586.3919999999998</v>
          </cell>
          <cell r="Q50">
            <v>1586.3919999999998</v>
          </cell>
          <cell r="R50">
            <v>1664.921</v>
          </cell>
          <cell r="S50">
            <v>1683.7089999999998</v>
          </cell>
          <cell r="T50">
            <v>1740.9930000000002</v>
          </cell>
          <cell r="U50">
            <v>1883.556</v>
          </cell>
          <cell r="V50">
            <v>1883.556</v>
          </cell>
          <cell r="W50">
            <v>1936.8150000000001</v>
          </cell>
          <cell r="X50">
            <v>1950.07</v>
          </cell>
          <cell r="Y50">
            <v>1992.6280000000002</v>
          </cell>
          <cell r="Z50">
            <v>2055.848</v>
          </cell>
          <cell r="AA50">
            <v>2055.848</v>
          </cell>
          <cell r="AB50">
            <v>2351.2370000000001</v>
          </cell>
          <cell r="AC50">
            <v>2481.3000000000002</v>
          </cell>
          <cell r="AD50">
            <v>2596.6190000000001</v>
          </cell>
          <cell r="AE50">
            <v>2664.973</v>
          </cell>
          <cell r="AF50">
            <v>2664.973</v>
          </cell>
          <cell r="AG50">
            <v>2752.547</v>
          </cell>
          <cell r="AH50">
            <v>2810.7170000000001</v>
          </cell>
          <cell r="AI50">
            <v>2892.1309999999994</v>
          </cell>
          <cell r="AJ50">
            <v>3280.1429999999996</v>
          </cell>
          <cell r="AK50">
            <v>3280.1429999999996</v>
          </cell>
          <cell r="AL50">
            <v>3644.9829999999997</v>
          </cell>
          <cell r="AM50">
            <v>3701.66</v>
          </cell>
          <cell r="AN50">
            <v>3720.3279999999995</v>
          </cell>
          <cell r="AO50">
            <v>3807.944</v>
          </cell>
          <cell r="AP50">
            <v>3807.944</v>
          </cell>
          <cell r="AQ50">
            <v>3932.855</v>
          </cell>
          <cell r="AR50">
            <v>4249.6109999999999</v>
          </cell>
          <cell r="AS50">
            <v>4290.7019999999993</v>
          </cell>
          <cell r="AT50">
            <v>4367.0830000000005</v>
          </cell>
          <cell r="AU50">
            <v>4367.0830000000005</v>
          </cell>
          <cell r="AW50">
            <v>3701.66</v>
          </cell>
          <cell r="AX50">
            <v>3720.3279999999995</v>
          </cell>
          <cell r="AY50">
            <v>3807.944</v>
          </cell>
          <cell r="AZ50">
            <v>3932.855</v>
          </cell>
          <cell r="BA50">
            <v>3932.855</v>
          </cell>
          <cell r="BB50">
            <v>4249.6109999999999</v>
          </cell>
          <cell r="BC50">
            <v>4290.7019999999993</v>
          </cell>
          <cell r="BD50">
            <v>4367.0830000000005</v>
          </cell>
          <cell r="BE50">
            <v>4677.8510000000015</v>
          </cell>
          <cell r="BF50">
            <v>4677.8510000000015</v>
          </cell>
          <cell r="BG50">
            <v>4800.9850000000006</v>
          </cell>
          <cell r="BH50">
            <v>5083.1880000000001</v>
          </cell>
          <cell r="BI50">
            <v>5097.893</v>
          </cell>
          <cell r="BJ50">
            <v>5050.027</v>
          </cell>
          <cell r="BK50">
            <v>5050.027</v>
          </cell>
          <cell r="BL50">
            <v>5188.9130000000005</v>
          </cell>
          <cell r="BM50">
            <v>5323.1530000000012</v>
          </cell>
          <cell r="BN50">
            <v>5201.07</v>
          </cell>
          <cell r="BO50">
            <v>5202.9939999999997</v>
          </cell>
          <cell r="BP50">
            <v>5202.9939999999997</v>
          </cell>
          <cell r="BQ50">
            <v>5480.4180000000006</v>
          </cell>
          <cell r="BR50">
            <v>5374.9580000000005</v>
          </cell>
          <cell r="BS50">
            <v>4568.1050000000005</v>
          </cell>
          <cell r="BT50">
            <v>4555.5290000000005</v>
          </cell>
          <cell r="BU50">
            <v>4555.5290000000005</v>
          </cell>
          <cell r="BV50">
            <v>4524.01</v>
          </cell>
          <cell r="BW50">
            <v>4513.8419999999996</v>
          </cell>
          <cell r="BX50">
            <v>4587.2849999999999</v>
          </cell>
          <cell r="BY50">
            <v>4604.0989999999993</v>
          </cell>
          <cell r="BZ50">
            <v>4604.0989999999993</v>
          </cell>
          <cell r="CA50">
            <v>4701.5439999999999</v>
          </cell>
          <cell r="CB50">
            <v>4720.1630000000005</v>
          </cell>
          <cell r="CC50">
            <v>4799.8239999999996</v>
          </cell>
          <cell r="CD50">
            <v>4910.085</v>
          </cell>
          <cell r="CE50">
            <v>4910.085</v>
          </cell>
          <cell r="CF50">
            <v>5044.5079999999989</v>
          </cell>
          <cell r="CG50">
            <v>5102.0609999999997</v>
          </cell>
          <cell r="CH50">
            <v>5684.71</v>
          </cell>
          <cell r="CI50">
            <v>6004.1890000000003</v>
          </cell>
          <cell r="CJ50">
            <v>6004.1890000000003</v>
          </cell>
          <cell r="CK50">
            <v>6061.3729999999996</v>
          </cell>
          <cell r="CL50">
            <v>6175.607</v>
          </cell>
          <cell r="CM50">
            <v>6306.7279999999992</v>
          </cell>
          <cell r="CN50">
            <v>6370.9290043395849</v>
          </cell>
          <cell r="CO50">
            <v>6370.9290043395849</v>
          </cell>
          <cell r="CP50">
            <v>6372.149578778939</v>
          </cell>
          <cell r="CQ50">
            <v>6451.6965550172736</v>
          </cell>
          <cell r="CR50">
            <v>6535.7461978407955</v>
          </cell>
          <cell r="CS50">
            <v>6559.7852803612423</v>
          </cell>
          <cell r="CT50">
            <v>6559.7852803612423</v>
          </cell>
          <cell r="CU50">
            <v>6578.8707180456295</v>
          </cell>
          <cell r="CV50">
            <v>6681.148476590577</v>
          </cell>
          <cell r="CW50">
            <v>6790.9253719780372</v>
          </cell>
          <cell r="CX50">
            <v>6835.4000285078018</v>
          </cell>
          <cell r="CY50">
            <v>6835.4000285078018</v>
          </cell>
          <cell r="CZ50">
            <v>6878.8987368485323</v>
          </cell>
          <cell r="DA50">
            <v>6992.4655886263499</v>
          </cell>
          <cell r="DB50">
            <v>7115.6742452805211</v>
          </cell>
          <cell r="DC50">
            <v>7173.6067504514049</v>
          </cell>
          <cell r="DD50">
            <v>7173.6067504514049</v>
          </cell>
          <cell r="DE50">
            <v>7217.1174323477571</v>
          </cell>
          <cell r="DF50">
            <v>7353.9806069161568</v>
          </cell>
          <cell r="DG50">
            <v>7493.2964482868156</v>
          </cell>
          <cell r="DH50">
            <v>7561.1661964164141</v>
          </cell>
          <cell r="DI50">
            <v>7561.1661964164141</v>
          </cell>
        </row>
        <row r="52">
          <cell r="B52" t="str">
            <v>A = L + SE?</v>
          </cell>
          <cell r="D52">
            <v>21.036000000000001</v>
          </cell>
          <cell r="E52" t="str">
            <v>ok</v>
          </cell>
          <cell r="F52" t="str">
            <v>ok</v>
          </cell>
          <cell r="G52" t="str">
            <v>ok</v>
          </cell>
          <cell r="H52" t="str">
            <v>ok</v>
          </cell>
          <cell r="I52" t="str">
            <v>ok</v>
          </cell>
          <cell r="J52" t="str">
            <v>ok</v>
          </cell>
          <cell r="K52" t="str">
            <v>ok</v>
          </cell>
          <cell r="L52" t="str">
            <v>ok</v>
          </cell>
          <cell r="M52" t="str">
            <v>ok</v>
          </cell>
          <cell r="N52" t="str">
            <v>ok</v>
          </cell>
          <cell r="O52" t="str">
            <v>ok</v>
          </cell>
          <cell r="P52" t="str">
            <v>ok</v>
          </cell>
          <cell r="Q52" t="str">
            <v>ok</v>
          </cell>
          <cell r="R52" t="str">
            <v>ok</v>
          </cell>
          <cell r="S52" t="str">
            <v>ok</v>
          </cell>
          <cell r="T52" t="str">
            <v>ok</v>
          </cell>
          <cell r="U52" t="str">
            <v>ok</v>
          </cell>
          <cell r="V52" t="str">
            <v>ok</v>
          </cell>
          <cell r="W52" t="str">
            <v>ok</v>
          </cell>
          <cell r="X52" t="str">
            <v>ok</v>
          </cell>
          <cell r="Y52" t="str">
            <v>ok</v>
          </cell>
          <cell r="Z52" t="str">
            <v>ok</v>
          </cell>
          <cell r="AA52" t="str">
            <v>ok</v>
          </cell>
          <cell r="AB52" t="str">
            <v>ok</v>
          </cell>
          <cell r="AC52" t="str">
            <v>ok</v>
          </cell>
          <cell r="AD52" t="str">
            <v>ok</v>
          </cell>
          <cell r="AE52" t="str">
            <v>ok</v>
          </cell>
          <cell r="AF52" t="str">
            <v>ok</v>
          </cell>
          <cell r="AG52" t="str">
            <v>ok</v>
          </cell>
          <cell r="AH52" t="str">
            <v>ok</v>
          </cell>
          <cell r="AI52" t="str">
            <v>ok</v>
          </cell>
          <cell r="AJ52" t="str">
            <v>ok</v>
          </cell>
          <cell r="AK52" t="str">
            <v>ok</v>
          </cell>
          <cell r="AL52" t="str">
            <v>ok</v>
          </cell>
          <cell r="AM52" t="str">
            <v>ok</v>
          </cell>
          <cell r="AN52" t="str">
            <v>ok</v>
          </cell>
          <cell r="AO52" t="str">
            <v>ok</v>
          </cell>
          <cell r="AP52" t="str">
            <v>ok</v>
          </cell>
          <cell r="AQ52" t="str">
            <v>ok</v>
          </cell>
          <cell r="AR52" t="str">
            <v>ok</v>
          </cell>
          <cell r="AS52" t="str">
            <v>ok</v>
          </cell>
          <cell r="AT52" t="str">
            <v>ok</v>
          </cell>
          <cell r="AU52" t="str">
            <v>ok</v>
          </cell>
          <cell r="AW52" t="str">
            <v>ok</v>
          </cell>
          <cell r="AX52" t="str">
            <v>ok</v>
          </cell>
          <cell r="AY52" t="str">
            <v>ok</v>
          </cell>
          <cell r="AZ52" t="str">
            <v>ok</v>
          </cell>
          <cell r="BA52" t="str">
            <v>ok</v>
          </cell>
          <cell r="BB52" t="str">
            <v>ok</v>
          </cell>
          <cell r="BC52" t="str">
            <v>ok</v>
          </cell>
          <cell r="BD52" t="str">
            <v>ok</v>
          </cell>
          <cell r="BE52" t="str">
            <v>ok</v>
          </cell>
          <cell r="BF52" t="str">
            <v>ok</v>
          </cell>
          <cell r="BG52" t="str">
            <v>ok</v>
          </cell>
          <cell r="BH52" t="str">
            <v>ok</v>
          </cell>
          <cell r="BI52" t="str">
            <v>ok</v>
          </cell>
          <cell r="BJ52" t="str">
            <v>ok</v>
          </cell>
          <cell r="BK52" t="str">
            <v>ok</v>
          </cell>
          <cell r="BL52" t="str">
            <v>ok</v>
          </cell>
          <cell r="BM52" t="str">
            <v>ok</v>
          </cell>
          <cell r="BN52" t="str">
            <v>ok</v>
          </cell>
          <cell r="BO52" t="str">
            <v>ok</v>
          </cell>
          <cell r="BP52" t="str">
            <v>ok</v>
          </cell>
          <cell r="BQ52" t="str">
            <v>ok</v>
          </cell>
          <cell r="BR52" t="str">
            <v>ok</v>
          </cell>
          <cell r="BS52" t="str">
            <v>ok</v>
          </cell>
          <cell r="BT52" t="str">
            <v>ok</v>
          </cell>
          <cell r="BU52" t="str">
            <v>ok</v>
          </cell>
          <cell r="BV52" t="str">
            <v>ok</v>
          </cell>
          <cell r="BW52" t="str">
            <v>ok</v>
          </cell>
          <cell r="BX52" t="str">
            <v>ok</v>
          </cell>
          <cell r="BY52" t="str">
            <v>ok</v>
          </cell>
          <cell r="BZ52" t="str">
            <v>ok</v>
          </cell>
          <cell r="CA52" t="str">
            <v>ok</v>
          </cell>
          <cell r="CB52" t="str">
            <v>ok</v>
          </cell>
          <cell r="CC52" t="str">
            <v>ok</v>
          </cell>
          <cell r="CD52" t="str">
            <v>ok</v>
          </cell>
          <cell r="CE52" t="str">
            <v>ok</v>
          </cell>
          <cell r="CF52" t="str">
            <v>ok</v>
          </cell>
          <cell r="CG52" t="str">
            <v>ok</v>
          </cell>
          <cell r="CH52" t="str">
            <v>ok</v>
          </cell>
          <cell r="CI52" t="str">
            <v>ok</v>
          </cell>
          <cell r="CJ52" t="str">
            <v>ok</v>
          </cell>
          <cell r="CK52" t="str">
            <v>ok</v>
          </cell>
          <cell r="CL52" t="str">
            <v>ok</v>
          </cell>
          <cell r="CM52" t="str">
            <v>ok</v>
          </cell>
          <cell r="CN52" t="str">
            <v>ok</v>
          </cell>
          <cell r="CO52" t="str">
            <v>ok</v>
          </cell>
          <cell r="CP52" t="str">
            <v>ok</v>
          </cell>
          <cell r="CQ52" t="str">
            <v>ok</v>
          </cell>
          <cell r="CR52" t="str">
            <v>ok</v>
          </cell>
          <cell r="CS52" t="str">
            <v>ok</v>
          </cell>
          <cell r="CT52" t="str">
            <v>ok</v>
          </cell>
          <cell r="CU52" t="str">
            <v>ok</v>
          </cell>
          <cell r="CV52" t="str">
            <v>ok</v>
          </cell>
          <cell r="CW52" t="str">
            <v>ok</v>
          </cell>
          <cell r="CX52" t="str">
            <v>ok</v>
          </cell>
          <cell r="CY52" t="str">
            <v>ok</v>
          </cell>
          <cell r="CZ52" t="str">
            <v>ok</v>
          </cell>
          <cell r="DA52" t="str">
            <v>ok</v>
          </cell>
          <cell r="DB52" t="str">
            <v>ok</v>
          </cell>
          <cell r="DC52" t="str">
            <v>ok</v>
          </cell>
          <cell r="DD52" t="str">
            <v>ok</v>
          </cell>
          <cell r="DE52" t="str">
            <v>ok</v>
          </cell>
          <cell r="DF52" t="str">
            <v>ok</v>
          </cell>
          <cell r="DG52" t="str">
            <v>ok</v>
          </cell>
          <cell r="DH52" t="str">
            <v>ok</v>
          </cell>
          <cell r="DI52" t="str">
            <v>ok</v>
          </cell>
        </row>
        <row r="54">
          <cell r="B54" t="str">
            <v>Net Issuance</v>
          </cell>
          <cell r="AW54">
            <v>3.1480000000000032</v>
          </cell>
          <cell r="AX54">
            <v>5.472999999999999</v>
          </cell>
          <cell r="AY54">
            <v>1.1269999999999989</v>
          </cell>
          <cell r="AZ54">
            <v>6.4039999999999999</v>
          </cell>
          <cell r="BA54">
            <v>16.152000000000001</v>
          </cell>
          <cell r="BB54">
            <v>31.122000000000003</v>
          </cell>
          <cell r="BC54">
            <v>12.131999999999998</v>
          </cell>
          <cell r="BD54">
            <v>-48.725000000000001</v>
          </cell>
          <cell r="BE54">
            <v>-123.05300000000001</v>
          </cell>
          <cell r="BF54">
            <v>-128.52399999999997</v>
          </cell>
          <cell r="BG54">
            <v>6.5220000000000002</v>
          </cell>
          <cell r="BH54">
            <v>7.1310000000000002</v>
          </cell>
          <cell r="BI54">
            <v>-2.6999999999999975</v>
          </cell>
          <cell r="BJ54">
            <v>-6.9340000000000028</v>
          </cell>
          <cell r="BK54">
            <v>4.0189999999999984</v>
          </cell>
          <cell r="BL54">
            <v>27.839999999999996</v>
          </cell>
          <cell r="BM54">
            <v>6.7390000000000025</v>
          </cell>
          <cell r="BN54">
            <v>4.7099999999999991</v>
          </cell>
          <cell r="BO54">
            <v>3.9060000000000006</v>
          </cell>
          <cell r="BP54">
            <v>43.195</v>
          </cell>
          <cell r="BQ54">
            <v>4.3</v>
          </cell>
          <cell r="BR54">
            <v>4.4319999999999995</v>
          </cell>
          <cell r="BS54">
            <v>4.8030000000000017</v>
          </cell>
          <cell r="BT54">
            <v>4.6909999999999998</v>
          </cell>
          <cell r="BU54">
            <v>18.225999999999999</v>
          </cell>
          <cell r="BV54">
            <v>2.7589999999999999</v>
          </cell>
          <cell r="BW54">
            <v>2.637</v>
          </cell>
          <cell r="BX54">
            <v>11.053999999999998</v>
          </cell>
          <cell r="BY54">
            <v>4.1160000000000014</v>
          </cell>
          <cell r="BZ54">
            <v>20.566000000000003</v>
          </cell>
          <cell r="CA54">
            <v>8.0279999999999987</v>
          </cell>
          <cell r="CB54">
            <v>6.3679999999999994</v>
          </cell>
          <cell r="CC54">
            <v>4.8280000000000021</v>
          </cell>
          <cell r="CD54">
            <v>6.6109999999999998</v>
          </cell>
          <cell r="CE54">
            <v>25.835000000000001</v>
          </cell>
          <cell r="CF54">
            <v>12.04</v>
          </cell>
          <cell r="CG54">
            <v>14.972000000000001</v>
          </cell>
          <cell r="CH54">
            <v>6.355999999999999</v>
          </cell>
          <cell r="CI54">
            <v>5.868000000000003</v>
          </cell>
          <cell r="CJ54">
            <v>39.236000000000004</v>
          </cell>
          <cell r="CK54">
            <v>6.8869999999999996</v>
          </cell>
          <cell r="CL54">
            <v>6.3170000000000011</v>
          </cell>
          <cell r="CM54">
            <v>6.2880000000000003</v>
          </cell>
          <cell r="CN54">
            <v>6.4226807838613738</v>
          </cell>
          <cell r="CO54">
            <v>25.914680783861375</v>
          </cell>
          <cell r="CP54">
            <v>6.6434430884208888</v>
          </cell>
          <cell r="CQ54">
            <v>6.5483272102855263</v>
          </cell>
          <cell r="CR54">
            <v>6.4685462166376251</v>
          </cell>
          <cell r="CS54">
            <v>6.6463074371151816</v>
          </cell>
          <cell r="CT54">
            <v>26.306623952459226</v>
          </cell>
          <cell r="CU54">
            <v>6.7746959496123038</v>
          </cell>
          <cell r="CV54">
            <v>6.670874840243262</v>
          </cell>
          <cell r="CW54">
            <v>6.5964835768558325</v>
          </cell>
          <cell r="CX54">
            <v>6.7647548540223799</v>
          </cell>
          <cell r="CY54">
            <v>26.806809220733776</v>
          </cell>
          <cell r="CZ54">
            <v>7.045791666371632</v>
          </cell>
          <cell r="DA54">
            <v>6.9288628282940063</v>
          </cell>
          <cell r="DB54">
            <v>6.8571270740312009</v>
          </cell>
          <cell r="DC54">
            <v>7.046559192573298</v>
          </cell>
          <cell r="DD54">
            <v>27.878340761270138</v>
          </cell>
          <cell r="DE54">
            <v>7.3598145824543968</v>
          </cell>
          <cell r="DF54">
            <v>7.2210072317964187</v>
          </cell>
          <cell r="DG54">
            <v>7.1505284948925301</v>
          </cell>
          <cell r="DH54">
            <v>7.3305243802898916</v>
          </cell>
          <cell r="DI54">
            <v>29.061874689433235</v>
          </cell>
          <cell r="DU54" t="str">
            <v>mstag:netIssuanceRepurchaseOfCommonStock</v>
          </cell>
          <cell r="DV54">
            <v>6</v>
          </cell>
          <cell r="DW54" t="str">
            <v>ISO4217:USD</v>
          </cell>
          <cell r="DX54" t="b">
            <v>0</v>
          </cell>
        </row>
        <row r="55">
          <cell r="B55" t="str">
            <v>Retained earnings adjustment</v>
          </cell>
          <cell r="AW55">
            <v>-4.9570000000000007</v>
          </cell>
          <cell r="AX55">
            <v>-4.9609999999999985</v>
          </cell>
          <cell r="AY55">
            <v>-4.9670000000000023</v>
          </cell>
          <cell r="AZ55">
            <v>-9.9390000000000001</v>
          </cell>
          <cell r="BA55">
            <v>-24.824000000000002</v>
          </cell>
          <cell r="BB55">
            <v>-8.9639999999999986</v>
          </cell>
          <cell r="BC55">
            <v>-9.8680000000000021</v>
          </cell>
          <cell r="BD55">
            <v>-9.8609999999999971</v>
          </cell>
          <cell r="BE55">
            <v>-14.726000000000001</v>
          </cell>
          <cell r="BF55">
            <v>-43.418999999999997</v>
          </cell>
          <cell r="BG55">
            <v>-14.436999999999999</v>
          </cell>
          <cell r="BH55">
            <v>-14.443</v>
          </cell>
          <cell r="BI55">
            <v>-14.457000000000006</v>
          </cell>
          <cell r="BJ55">
            <v>-14.539999999999997</v>
          </cell>
          <cell r="BK55">
            <v>-57.877000000000002</v>
          </cell>
          <cell r="BL55">
            <v>-2425.2170000000001</v>
          </cell>
          <cell r="BM55">
            <v>0</v>
          </cell>
          <cell r="BN55">
            <v>0</v>
          </cell>
          <cell r="BO55">
            <v>0</v>
          </cell>
          <cell r="BP55">
            <v>-2425.2170000000001</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U55" t="str">
            <v>mstag:commonDividends</v>
          </cell>
          <cell r="DV55">
            <v>6</v>
          </cell>
          <cell r="DW55" t="str">
            <v>ISO4217:USD</v>
          </cell>
          <cell r="DX55" t="b">
            <v>1</v>
          </cell>
        </row>
        <row r="57">
          <cell r="B57" t="str">
            <v>Leverage and Liquidty Ratios</v>
          </cell>
        </row>
        <row r="58">
          <cell r="B58" t="str">
            <v>Total Debt / Total Capitalization</v>
          </cell>
          <cell r="D58">
            <v>1</v>
          </cell>
          <cell r="E58">
            <v>0.60213982273037181</v>
          </cell>
          <cell r="F58">
            <v>0.33325122424648496</v>
          </cell>
          <cell r="G58">
            <v>0.30359169745298908</v>
          </cell>
          <cell r="H58">
            <v>0.24679199883264197</v>
          </cell>
          <cell r="I58">
            <v>0.18940348050438247</v>
          </cell>
          <cell r="J58">
            <v>0.15587648697964554</v>
          </cell>
          <cell r="K58">
            <v>9.3690192887291232E-2</v>
          </cell>
          <cell r="L58">
            <v>0.15869633364681088</v>
          </cell>
          <cell r="M58">
            <v>0.1487036853084335</v>
          </cell>
          <cell r="N58">
            <v>0.14080693388575113</v>
          </cell>
          <cell r="O58">
            <v>0.25742134718344195</v>
          </cell>
          <cell r="P58">
            <v>0.2998005090157666</v>
          </cell>
          <cell r="Q58">
            <v>0.2998005090157666</v>
          </cell>
          <cell r="R58">
            <v>0.31448932623519182</v>
          </cell>
          <cell r="S58">
            <v>0.29980774077986994</v>
          </cell>
          <cell r="T58">
            <v>0.29674806900787248</v>
          </cell>
          <cell r="U58">
            <v>0.31570807639949144</v>
          </cell>
          <cell r="V58">
            <v>0.31570807639949144</v>
          </cell>
          <cell r="W58">
            <v>0.29611079579320443</v>
          </cell>
          <cell r="X58">
            <v>0.27397074834911878</v>
          </cell>
          <cell r="Y58">
            <v>0.25840433789876494</v>
          </cell>
          <cell r="Z58">
            <v>0.24158739275984081</v>
          </cell>
          <cell r="AA58">
            <v>0.24158739275984081</v>
          </cell>
          <cell r="AB58">
            <v>0.29937543037436221</v>
          </cell>
          <cell r="AC58">
            <v>0.29998090115573822</v>
          </cell>
          <cell r="AD58">
            <v>0.2899173361064013</v>
          </cell>
          <cell r="AE58">
            <v>0.28534393903111949</v>
          </cell>
          <cell r="AF58">
            <v>0.28534393903111949</v>
          </cell>
          <cell r="AG58">
            <v>0.27899861941548487</v>
          </cell>
          <cell r="AH58">
            <v>0.2709642337807836</v>
          </cell>
          <cell r="AI58">
            <v>0.26178452412703157</v>
          </cell>
          <cell r="AJ58">
            <v>0.32527696907716902</v>
          </cell>
          <cell r="AK58">
            <v>0.32527696907716902</v>
          </cell>
          <cell r="AL58">
            <v>0.35775302642070794</v>
          </cell>
          <cell r="AM58">
            <v>0.34346156838866737</v>
          </cell>
          <cell r="AN58">
            <v>0.3179233627842471</v>
          </cell>
          <cell r="AO58">
            <v>0.29100234417345011</v>
          </cell>
          <cell r="AP58">
            <v>0.29100234417345011</v>
          </cell>
          <cell r="AQ58">
            <v>0.28400116080689408</v>
          </cell>
          <cell r="AR58">
            <v>0.30682095090699185</v>
          </cell>
          <cell r="AS58">
            <v>0.28168709777215695</v>
          </cell>
          <cell r="AT58">
            <v>0.27259798525661888</v>
          </cell>
          <cell r="AU58">
            <v>0.27259798525661888</v>
          </cell>
          <cell r="AW58">
            <v>0.34346156838866737</v>
          </cell>
          <cell r="AX58">
            <v>0.3179233627842471</v>
          </cell>
          <cell r="AY58">
            <v>0.29100234417345011</v>
          </cell>
          <cell r="AZ58">
            <v>0.28400116080689408</v>
          </cell>
          <cell r="BA58">
            <v>0.28400116080689408</v>
          </cell>
          <cell r="BB58">
            <v>0.30682095090699185</v>
          </cell>
          <cell r="BC58">
            <v>0.28168709777215695</v>
          </cell>
          <cell r="BD58">
            <v>0.27259798525661888</v>
          </cell>
          <cell r="BE58">
            <v>0.29942832012970794</v>
          </cell>
          <cell r="BF58">
            <v>0.29942832012970794</v>
          </cell>
          <cell r="BG58">
            <v>0.29518195367596695</v>
          </cell>
          <cell r="BH58">
            <v>0.31349812542207112</v>
          </cell>
          <cell r="BI58">
            <v>0.30241052635452392</v>
          </cell>
          <cell r="BJ58">
            <v>0.31152422588770906</v>
          </cell>
          <cell r="BK58">
            <v>0.31152422588770906</v>
          </cell>
          <cell r="BL58">
            <v>0.85764002329899491</v>
          </cell>
          <cell r="BM58">
            <v>0.84767355936809485</v>
          </cell>
          <cell r="BN58">
            <v>0.84881728133384138</v>
          </cell>
          <cell r="BO58">
            <v>0.85466028334413757</v>
          </cell>
          <cell r="BP58">
            <v>0.85466028334413757</v>
          </cell>
          <cell r="BQ58">
            <v>0.83781918314805248</v>
          </cell>
          <cell r="BR58">
            <v>0.81802594057920075</v>
          </cell>
          <cell r="BS58">
            <v>0.93278312656518125</v>
          </cell>
          <cell r="BT58">
            <v>0.95467617065825694</v>
          </cell>
          <cell r="BU58">
            <v>0.95467617065825694</v>
          </cell>
          <cell r="BV58">
            <v>0.92927291677898183</v>
          </cell>
          <cell r="BW58">
            <v>0.90820317643295878</v>
          </cell>
          <cell r="BX58">
            <v>0.90025642002669659</v>
          </cell>
          <cell r="BY58">
            <v>0.89540867109012323</v>
          </cell>
          <cell r="BZ58">
            <v>0.89540867109012323</v>
          </cell>
          <cell r="CA58">
            <v>0.88325536770798507</v>
          </cell>
          <cell r="CB58">
            <v>0.87491785867272331</v>
          </cell>
          <cell r="CC58">
            <v>0.86773677244429359</v>
          </cell>
          <cell r="CD58">
            <v>0.85282787080937539</v>
          </cell>
          <cell r="CE58">
            <v>0.85282787080937539</v>
          </cell>
          <cell r="CF58">
            <v>0.83399893131289238</v>
          </cell>
          <cell r="CG58">
            <v>0.81998175752162894</v>
          </cell>
          <cell r="CH58">
            <v>0.82741495289125333</v>
          </cell>
          <cell r="CI58">
            <v>0.82294742410406296</v>
          </cell>
          <cell r="CJ58">
            <v>0.82294742410406296</v>
          </cell>
          <cell r="CK58">
            <v>0.81245342104999096</v>
          </cell>
          <cell r="CL58">
            <v>0.80290350269983368</v>
          </cell>
          <cell r="CM58">
            <v>0.79162047701873706</v>
          </cell>
          <cell r="CN58">
            <v>0.78025116566387398</v>
          </cell>
          <cell r="CO58">
            <v>0.78025116566387398</v>
          </cell>
          <cell r="CP58">
            <v>0.76931885859271276</v>
          </cell>
          <cell r="CQ58">
            <v>0.7595131124617388</v>
          </cell>
          <cell r="CR58">
            <v>0.7522115334349132</v>
          </cell>
          <cell r="CS58">
            <v>0.74752710948382972</v>
          </cell>
          <cell r="CT58">
            <v>0.74752710948382972</v>
          </cell>
          <cell r="CU58">
            <v>0.73600697606021048</v>
          </cell>
          <cell r="CV58">
            <v>0.72376873705196532</v>
          </cell>
          <cell r="CW58">
            <v>0.71354325277464836</v>
          </cell>
          <cell r="CX58">
            <v>0.70621705188031758</v>
          </cell>
          <cell r="CY58">
            <v>0.70621705188031758</v>
          </cell>
          <cell r="CZ58">
            <v>0.69224381983479188</v>
          </cell>
          <cell r="DA58">
            <v>0.67974501210956739</v>
          </cell>
          <cell r="DB58">
            <v>0.66894097786769047</v>
          </cell>
          <cell r="DC58">
            <v>0.66061838361964276</v>
          </cell>
          <cell r="DD58">
            <v>0.66061838361964276</v>
          </cell>
          <cell r="DE58">
            <v>0.64626496372333053</v>
          </cell>
          <cell r="DF58">
            <v>0.63355813850819276</v>
          </cell>
          <cell r="DG58">
            <v>0.62232529652920743</v>
          </cell>
          <cell r="DH58">
            <v>0.61371600243688373</v>
          </cell>
          <cell r="DI58">
            <v>0.61371600243688373</v>
          </cell>
        </row>
        <row r="59">
          <cell r="B59" t="str">
            <v>Net Debt / Total Capitalization</v>
          </cell>
          <cell r="D59">
            <v>0.97709792357783509</v>
          </cell>
          <cell r="E59">
            <v>0.59867834478418203</v>
          </cell>
          <cell r="F59">
            <v>0.20386044082726551</v>
          </cell>
          <cell r="G59">
            <v>3.123938142988307E-2</v>
          </cell>
          <cell r="H59">
            <v>-8.8403548530230691E-2</v>
          </cell>
          <cell r="I59">
            <v>-2.3439611260395343E-2</v>
          </cell>
          <cell r="J59">
            <v>6.9780693866581534E-2</v>
          </cell>
          <cell r="K59">
            <v>-3.723308737763556E-2</v>
          </cell>
          <cell r="L59">
            <v>0.11749404726174043</v>
          </cell>
          <cell r="M59">
            <v>0.1399233383751545</v>
          </cell>
          <cell r="N59">
            <v>0.12108307764466768</v>
          </cell>
          <cell r="O59">
            <v>0.24794265886829864</v>
          </cell>
          <cell r="P59">
            <v>0.2707283828825936</v>
          </cell>
          <cell r="Q59">
            <v>0.2707283828825936</v>
          </cell>
          <cell r="R59">
            <v>0.29747226986731334</v>
          </cell>
          <cell r="S59">
            <v>0.28345095915094898</v>
          </cell>
          <cell r="T59">
            <v>0.28180093153839603</v>
          </cell>
          <cell r="U59">
            <v>0.28840909921947261</v>
          </cell>
          <cell r="V59">
            <v>0.28840909921947261</v>
          </cell>
          <cell r="W59">
            <v>0.27591601828804324</v>
          </cell>
          <cell r="X59">
            <v>0.2498318035884225</v>
          </cell>
          <cell r="Y59">
            <v>0.23019060705351793</v>
          </cell>
          <cell r="Z59">
            <v>0.18644513218108494</v>
          </cell>
          <cell r="AA59">
            <v>0.18644513218108494</v>
          </cell>
          <cell r="AB59">
            <v>0.24113287101412345</v>
          </cell>
          <cell r="AC59">
            <v>0.24694758704638486</v>
          </cell>
          <cell r="AD59">
            <v>0.22179565864310288</v>
          </cell>
          <cell r="AE59">
            <v>0.21597873654766489</v>
          </cell>
          <cell r="AF59">
            <v>0.21597873654766489</v>
          </cell>
          <cell r="AG59">
            <v>0.19892937024366639</v>
          </cell>
          <cell r="AH59">
            <v>0.20508103559562663</v>
          </cell>
          <cell r="AI59">
            <v>0.16339478943461788</v>
          </cell>
          <cell r="AJ59">
            <v>0.17561773758126614</v>
          </cell>
          <cell r="AK59">
            <v>0.17561773758126614</v>
          </cell>
          <cell r="AL59">
            <v>0.32013747718956537</v>
          </cell>
          <cell r="AM59">
            <v>0.31172166307050259</v>
          </cell>
          <cell r="AN59">
            <v>0.28233973177159161</v>
          </cell>
          <cell r="AO59">
            <v>0.24400406232128552</v>
          </cell>
          <cell r="AP59">
            <v>0.24400406232128552</v>
          </cell>
          <cell r="AQ59">
            <v>0.22570545070326964</v>
          </cell>
          <cell r="AR59">
            <v>0.28219956459946349</v>
          </cell>
          <cell r="AS59">
            <v>0.25135813947805008</v>
          </cell>
          <cell r="AT59">
            <v>0.23832243199818554</v>
          </cell>
          <cell r="AU59">
            <v>0.23832243199818554</v>
          </cell>
          <cell r="AW59">
            <v>0.31172166307050259</v>
          </cell>
          <cell r="AX59">
            <v>0.28233973177159161</v>
          </cell>
          <cell r="AY59">
            <v>0.24400406232128558</v>
          </cell>
          <cell r="AZ59">
            <v>0.22570545070326964</v>
          </cell>
          <cell r="BA59">
            <v>0.22570545070326964</v>
          </cell>
          <cell r="BB59">
            <v>0.28219956459946349</v>
          </cell>
          <cell r="BC59">
            <v>0.25135813947805008</v>
          </cell>
          <cell r="BD59">
            <v>0.23832243199818554</v>
          </cell>
          <cell r="BE59">
            <v>0.26505314716943701</v>
          </cell>
          <cell r="BF59">
            <v>0.26505314716943701</v>
          </cell>
          <cell r="BG59">
            <v>0.26220251306458453</v>
          </cell>
          <cell r="BH59">
            <v>0.27706424795659362</v>
          </cell>
          <cell r="BI59">
            <v>0.28955524441042702</v>
          </cell>
          <cell r="BJ59">
            <v>0.28399538322334317</v>
          </cell>
          <cell r="BK59">
            <v>0.28399538322334317</v>
          </cell>
          <cell r="BL59">
            <v>0.83536792845455277</v>
          </cell>
          <cell r="BM59">
            <v>0.8229573452119443</v>
          </cell>
          <cell r="BN59">
            <v>0.82309202254610048</v>
          </cell>
          <cell r="BO59">
            <v>0.81810868526185898</v>
          </cell>
          <cell r="BP59">
            <v>0.81810868526185898</v>
          </cell>
          <cell r="BQ59">
            <v>0.73494873982191689</v>
          </cell>
          <cell r="BR59">
            <v>0.72349283017972843</v>
          </cell>
          <cell r="BS59">
            <v>0.881879622736363</v>
          </cell>
          <cell r="BT59">
            <v>0.90461072447863367</v>
          </cell>
          <cell r="BU59">
            <v>0.90461072447863367</v>
          </cell>
          <cell r="BV59">
            <v>0.89845753889098545</v>
          </cell>
          <cell r="BW59">
            <v>0.85949800914459051</v>
          </cell>
          <cell r="BX59">
            <v>0.8345796923963974</v>
          </cell>
          <cell r="BY59">
            <v>0.85341518259421234</v>
          </cell>
          <cell r="BZ59">
            <v>0.85341518259421234</v>
          </cell>
          <cell r="CA59">
            <v>0.83107615821837166</v>
          </cell>
          <cell r="CB59">
            <v>0.80182991379890534</v>
          </cell>
          <cell r="CC59">
            <v>0.78756629261422284</v>
          </cell>
          <cell r="CD59">
            <v>0.80786520949132312</v>
          </cell>
          <cell r="CE59">
            <v>0.80786520949132312</v>
          </cell>
          <cell r="CF59">
            <v>0.77093309569957325</v>
          </cell>
          <cell r="CG59">
            <v>0.7573446335352132</v>
          </cell>
          <cell r="CH59">
            <v>0.79686860891984501</v>
          </cell>
          <cell r="CI59">
            <v>0.78003443259987759</v>
          </cell>
          <cell r="CJ59">
            <v>0.78003443259987759</v>
          </cell>
          <cell r="CK59">
            <v>0.80072327930403164</v>
          </cell>
          <cell r="CL59">
            <v>0.76780622718658009</v>
          </cell>
          <cell r="CM59">
            <v>0.75130029681146149</v>
          </cell>
          <cell r="CN59">
            <v>0.72570688788080018</v>
          </cell>
          <cell r="CO59">
            <v>0.72570688788080018</v>
          </cell>
          <cell r="CP59">
            <v>0.71946366751997159</v>
          </cell>
          <cell r="CQ59">
            <v>0.67049187995587856</v>
          </cell>
          <cell r="CR59">
            <v>0.65596465945066507</v>
          </cell>
          <cell r="CS59">
            <v>0.65017607585480808</v>
          </cell>
          <cell r="CT59">
            <v>0.65017607585480808</v>
          </cell>
          <cell r="CU59">
            <v>0.64930238323874312</v>
          </cell>
          <cell r="CV59">
            <v>0.5917902779306029</v>
          </cell>
          <cell r="CW59">
            <v>0.56771132624156817</v>
          </cell>
          <cell r="CX59">
            <v>0.55294150203061987</v>
          </cell>
          <cell r="CY59">
            <v>0.55294150203061987</v>
          </cell>
          <cell r="CZ59">
            <v>0.55082126924231445</v>
          </cell>
          <cell r="DA59">
            <v>0.4930703116627993</v>
          </cell>
          <cell r="DB59">
            <v>0.46827715454654906</v>
          </cell>
          <cell r="DC59">
            <v>0.45173556218646549</v>
          </cell>
          <cell r="DD59">
            <v>0.45173556218646549</v>
          </cell>
          <cell r="DE59">
            <v>0.44989245766368857</v>
          </cell>
          <cell r="DF59">
            <v>0.39274187962511409</v>
          </cell>
          <cell r="DG59">
            <v>0.36734006517158163</v>
          </cell>
          <cell r="DH59">
            <v>0.34979226734174423</v>
          </cell>
          <cell r="DI59">
            <v>0.34979226734174423</v>
          </cell>
        </row>
        <row r="61">
          <cell r="B61" t="str">
            <v>Debt-to-equity</v>
          </cell>
          <cell r="E61">
            <v>1.5134458212496704</v>
          </cell>
          <cell r="F61">
            <v>0.49981527730570874</v>
          </cell>
          <cell r="G61">
            <v>0.43593922752305952</v>
          </cell>
          <cell r="H61">
            <v>0.32765451037449395</v>
          </cell>
          <cell r="I61">
            <v>0.23365938040572415</v>
          </cell>
          <cell r="J61">
            <v>0.18466075707559026</v>
          </cell>
          <cell r="K61">
            <v>0.10337545964085537</v>
          </cell>
          <cell r="L61">
            <v>0.18863145377068677</v>
          </cell>
          <cell r="M61">
            <v>0.17467911318553092</v>
          </cell>
          <cell r="N61">
            <v>0.16388276330319887</v>
          </cell>
          <cell r="O61">
            <v>0.34665869562376678</v>
          </cell>
          <cell r="P61">
            <v>0.42816442010597999</v>
          </cell>
          <cell r="Q61">
            <v>0.42816442010597999</v>
          </cell>
          <cell r="R61">
            <v>0.45876649083817167</v>
          </cell>
          <cell r="S61">
            <v>0.42817917055209087</v>
          </cell>
          <cell r="T61">
            <v>0.42196552320763475</v>
          </cell>
          <cell r="U61">
            <v>0.4613646099143538</v>
          </cell>
          <cell r="V61">
            <v>0.4613646099143538</v>
          </cell>
          <cell r="W61">
            <v>0.42067813233034057</v>
          </cell>
          <cell r="X61">
            <v>0.37735497258016887</v>
          </cell>
          <cell r="Y61">
            <v>0.34844370201222968</v>
          </cell>
          <cell r="Z61">
            <v>0.31854348207497513</v>
          </cell>
          <cell r="AA61">
            <v>0.31854348207497513</v>
          </cell>
          <cell r="AB61">
            <v>0.42729793294906354</v>
          </cell>
          <cell r="AC61">
            <v>0.42853245240166948</v>
          </cell>
          <cell r="AD61">
            <v>0.40828674018979227</v>
          </cell>
          <cell r="AE61">
            <v>0.39927449666385012</v>
          </cell>
          <cell r="AF61">
            <v>0.39927449666385012</v>
          </cell>
          <cell r="AG61">
            <v>0.38695989623390314</v>
          </cell>
          <cell r="AH61">
            <v>0.37167481533314284</v>
          </cell>
          <cell r="AI61">
            <v>0.35461803861191238</v>
          </cell>
          <cell r="AJ61">
            <v>0.48208961925055649</v>
          </cell>
          <cell r="AK61">
            <v>0.48208961925055649</v>
          </cell>
          <cell r="AL61">
            <v>0.55703341726458078</v>
          </cell>
          <cell r="AM61">
            <v>0.52314008114607191</v>
          </cell>
          <cell r="AN61">
            <v>0.46611091105834535</v>
          </cell>
          <cell r="AO61">
            <v>0.41044189890049704</v>
          </cell>
          <cell r="AP61">
            <v>0.41044189890049704</v>
          </cell>
          <cell r="AQ61">
            <v>0.39665030899623921</v>
          </cell>
          <cell r="AR61">
            <v>0.44262871376227025</v>
          </cell>
          <cell r="AS61">
            <v>0.39215096498824692</v>
          </cell>
          <cell r="AT61">
            <v>0.37475560932119256</v>
          </cell>
          <cell r="AU61">
            <v>0.37475560932119256</v>
          </cell>
          <cell r="AW61">
            <v>0.52314008114607191</v>
          </cell>
          <cell r="AX61">
            <v>0.46611091105834535</v>
          </cell>
          <cell r="AY61">
            <v>0.41044189890049704</v>
          </cell>
          <cell r="AZ61">
            <v>0.39665030899623921</v>
          </cell>
          <cell r="BA61">
            <v>0.39665030899623921</v>
          </cell>
          <cell r="BB61">
            <v>0.44262871376227025</v>
          </cell>
          <cell r="BC61">
            <v>0.39215096498824692</v>
          </cell>
          <cell r="BD61">
            <v>0.37475560932119256</v>
          </cell>
          <cell r="BE61">
            <v>0.42740568700285719</v>
          </cell>
          <cell r="BF61">
            <v>0.42740568700285719</v>
          </cell>
          <cell r="BG61">
            <v>0.41880589638060994</v>
          </cell>
          <cell r="BH61">
            <v>0.45666026129180526</v>
          </cell>
          <cell r="BI61">
            <v>0.43350786928332125</v>
          </cell>
          <cell r="BJ61">
            <v>0.45248393277074</v>
          </cell>
          <cell r="BK61">
            <v>0.45248393277074</v>
          </cell>
          <cell r="BL61">
            <v>6.0244462184780598</v>
          </cell>
          <cell r="BM61">
            <v>5.5648484652542134</v>
          </cell>
          <cell r="BN61">
            <v>5.6145126164068957</v>
          </cell>
          <cell r="BO61">
            <v>5.8804317430163575</v>
          </cell>
          <cell r="BP61">
            <v>5.8804317430163575</v>
          </cell>
          <cell r="BQ61">
            <v>5.1659573518666226</v>
          </cell>
          <cell r="BR61">
            <v>4.495288741608972</v>
          </cell>
          <cell r="BS61">
            <v>13.877216819221966</v>
          </cell>
          <cell r="BT61">
            <v>21.063449062522253</v>
          </cell>
          <cell r="BU61">
            <v>21.063449062522253</v>
          </cell>
          <cell r="BV61">
            <v>13.13885536428889</v>
          </cell>
          <cell r="BW61">
            <v>9.8936231248750985</v>
          </cell>
          <cell r="BX61">
            <v>9.0257079229324972</v>
          </cell>
          <cell r="BY61">
            <v>8.5610220313929748</v>
          </cell>
          <cell r="BZ61">
            <v>8.5610220313929748</v>
          </cell>
          <cell r="CA61">
            <v>7.5657043100592949</v>
          </cell>
          <cell r="CB61">
            <v>6.9947464073508732</v>
          </cell>
          <cell r="CC61">
            <v>6.5606804588132519</v>
          </cell>
          <cell r="CD61">
            <v>5.7947647798500661</v>
          </cell>
          <cell r="CE61">
            <v>5.7947647798500661</v>
          </cell>
          <cell r="CF61">
            <v>5.0240576034174911</v>
          </cell>
          <cell r="CG61">
            <v>4.5549925731562952</v>
          </cell>
          <cell r="CH61">
            <v>4.7942447318155859</v>
          </cell>
          <cell r="CI61">
            <v>4.6480398262477234</v>
          </cell>
          <cell r="CJ61">
            <v>4.6480398262477234</v>
          </cell>
          <cell r="CK61">
            <v>4.3320087500319184</v>
          </cell>
          <cell r="CL61">
            <v>4.0736568822786268</v>
          </cell>
          <cell r="CM61">
            <v>3.7989360264056189</v>
          </cell>
          <cell r="CN61">
            <v>3.550649849957376</v>
          </cell>
          <cell r="CO61">
            <v>3.550649849957376</v>
          </cell>
          <cell r="CP61">
            <v>3.3349880874501761</v>
          </cell>
          <cell r="CQ61">
            <v>3.1582308716973215</v>
          </cell>
          <cell r="CR61">
            <v>3.0357003449848987</v>
          </cell>
          <cell r="CS61">
            <v>2.960821290379104</v>
          </cell>
          <cell r="CT61">
            <v>2.960821290379104</v>
          </cell>
          <cell r="CU61">
            <v>2.7879788832150214</v>
          </cell>
          <cell r="CV61">
            <v>2.6201550444640387</v>
          </cell>
          <cell r="CW61">
            <v>2.4909284200358295</v>
          </cell>
          <cell r="CX61">
            <v>2.4038735277195733</v>
          </cell>
          <cell r="CY61">
            <v>2.4038735277195733</v>
          </cell>
          <cell r="CZ61">
            <v>2.2493254870241279</v>
          </cell>
          <cell r="DA61">
            <v>2.1225118665197038</v>
          </cell>
          <cell r="DB61">
            <v>2.0206094174963902</v>
          </cell>
          <cell r="DC61">
            <v>1.9465355568324709</v>
          </cell>
          <cell r="DD61">
            <v>1.9465355568324709</v>
          </cell>
          <cell r="DE61">
            <v>1.8269747054907572</v>
          </cell>
          <cell r="DF61">
            <v>1.7289458576837771</v>
          </cell>
          <cell r="DG61">
            <v>1.647781254105982</v>
          </cell>
          <cell r="DH61">
            <v>1.5887689014003399</v>
          </cell>
          <cell r="DI61">
            <v>1.5887689014003399</v>
          </cell>
        </row>
        <row r="62">
          <cell r="B62" t="str">
            <v>Net debt-to-equity</v>
          </cell>
          <cell r="E62">
            <v>1.5047455839704718</v>
          </cell>
          <cell r="F62">
            <v>0.30575300359100926</v>
          </cell>
          <cell r="G62">
            <v>4.4857853238724509E-2</v>
          </cell>
          <cell r="H62">
            <v>-0.11736936993927125</v>
          </cell>
          <cell r="I62">
            <v>-2.8916496304450357E-2</v>
          </cell>
          <cell r="J62">
            <v>8.2666449625244484E-2</v>
          </cell>
          <cell r="K62">
            <v>-4.1082074899146767E-2</v>
          </cell>
          <cell r="L62">
            <v>0.13965712020612431</v>
          </cell>
          <cell r="M62">
            <v>0.16436502303648545</v>
          </cell>
          <cell r="N62">
            <v>0.14092650699833159</v>
          </cell>
          <cell r="O62">
            <v>0.33389413758107162</v>
          </cell>
          <cell r="P62">
            <v>0.38664464394574904</v>
          </cell>
          <cell r="Q62">
            <v>0.38664464394574904</v>
          </cell>
          <cell r="R62">
            <v>0.43394257923600627</v>
          </cell>
          <cell r="S62">
            <v>0.4048187557323969</v>
          </cell>
          <cell r="T62">
            <v>0.40071120905539415</v>
          </cell>
          <cell r="U62">
            <v>0.42147085077661472</v>
          </cell>
          <cell r="V62">
            <v>0.42147085077661472</v>
          </cell>
          <cell r="W62">
            <v>0.39198785354148136</v>
          </cell>
          <cell r="X62">
            <v>0.34410707698118581</v>
          </cell>
          <cell r="Y62">
            <v>0.31039907434368824</v>
          </cell>
          <cell r="Z62">
            <v>0.24583601380197675</v>
          </cell>
          <cell r="AA62">
            <v>0.24583601380197675</v>
          </cell>
          <cell r="AB62">
            <v>0.34416844836453159</v>
          </cell>
          <cell r="AC62">
            <v>0.35277264213804693</v>
          </cell>
          <cell r="AD62">
            <v>0.31235188509874329</v>
          </cell>
          <cell r="AE62">
            <v>0.30221353787282812</v>
          </cell>
          <cell r="AF62">
            <v>0.30221353787282812</v>
          </cell>
          <cell r="AG62">
            <v>0.27590705871103127</v>
          </cell>
          <cell r="AH62">
            <v>0.28130449162896087</v>
          </cell>
          <cell r="AI62">
            <v>0.2213375291833285</v>
          </cell>
          <cell r="AJ62">
            <v>0.26028122582546287</v>
          </cell>
          <cell r="AK62">
            <v>0.26028122582546287</v>
          </cell>
          <cell r="AL62">
            <v>0.49846475010293073</v>
          </cell>
          <cell r="AM62">
            <v>0.47479575918419376</v>
          </cell>
          <cell r="AN62">
            <v>0.41394136137561705</v>
          </cell>
          <cell r="AO62">
            <v>0.34415355299986922</v>
          </cell>
          <cell r="AP62">
            <v>0.34415355299986922</v>
          </cell>
          <cell r="AQ62">
            <v>0.31523158746685698</v>
          </cell>
          <cell r="AR62">
            <v>0.40710919490239666</v>
          </cell>
          <cell r="AS62">
            <v>0.3499284764320178</v>
          </cell>
          <cell r="AT62">
            <v>0.32763510021657405</v>
          </cell>
          <cell r="AU62">
            <v>0.32763510021657405</v>
          </cell>
          <cell r="AW62">
            <v>0.47479575918419376</v>
          </cell>
          <cell r="AX62">
            <v>0.41394136137561705</v>
          </cell>
          <cell r="AY62">
            <v>0.34415355299986927</v>
          </cell>
          <cell r="AZ62">
            <v>0.31523158746685698</v>
          </cell>
          <cell r="BA62">
            <v>0.31523158746685698</v>
          </cell>
          <cell r="BB62">
            <v>0.40710919490239666</v>
          </cell>
          <cell r="BC62">
            <v>0.3499284764320178</v>
          </cell>
          <cell r="BD62">
            <v>0.32763510021657405</v>
          </cell>
          <cell r="BE62">
            <v>0.37833836962765965</v>
          </cell>
          <cell r="BF62">
            <v>0.37833836962765965</v>
          </cell>
          <cell r="BG62">
            <v>0.37201447158184642</v>
          </cell>
          <cell r="BH62">
            <v>0.40358847982306917</v>
          </cell>
          <cell r="BI62">
            <v>0.41507972145460253</v>
          </cell>
          <cell r="BJ62">
            <v>0.41249873111297491</v>
          </cell>
          <cell r="BK62">
            <v>0.41249873111297491</v>
          </cell>
          <cell r="BL62">
            <v>5.8679970860704334</v>
          </cell>
          <cell r="BM62">
            <v>5.4025902646843145</v>
          </cell>
          <cell r="BN62">
            <v>5.4443525675950513</v>
          </cell>
          <cell r="BO62">
            <v>5.6289409673130724</v>
          </cell>
          <cell r="BP62">
            <v>5.6289409673130724</v>
          </cell>
          <cell r="BQ62">
            <v>4.5316625855500581</v>
          </cell>
          <cell r="BR62">
            <v>3.9758020043214737</v>
          </cell>
          <cell r="BS62">
            <v>13.119914355902541</v>
          </cell>
          <cell r="BT62">
            <v>19.958832640945683</v>
          </cell>
          <cell r="BU62">
            <v>19.958832640945683</v>
          </cell>
          <cell r="BV62">
            <v>12.703161193334603</v>
          </cell>
          <cell r="BW62">
            <v>9.3630473882016219</v>
          </cell>
          <cell r="BX62">
            <v>8.3672522343771281</v>
          </cell>
          <cell r="BY62">
            <v>8.1595213627085244</v>
          </cell>
          <cell r="BZ62">
            <v>8.1595213627085244</v>
          </cell>
          <cell r="CA62">
            <v>7.1187526304386264</v>
          </cell>
          <cell r="CB62">
            <v>6.4104268226502583</v>
          </cell>
          <cell r="CC62">
            <v>5.9545370785883547</v>
          </cell>
          <cell r="CD62">
            <v>5.4892540723178378</v>
          </cell>
          <cell r="CE62">
            <v>5.4892540723178378</v>
          </cell>
          <cell r="CF62">
            <v>4.6441453768751986</v>
          </cell>
          <cell r="CG62">
            <v>4.2070438146078857</v>
          </cell>
          <cell r="CH62">
            <v>4.6172517391830263</v>
          </cell>
          <cell r="CI62">
            <v>4.4056655411686547</v>
          </cell>
          <cell r="CJ62">
            <v>4.4056655411686547</v>
          </cell>
          <cell r="CK62">
            <v>4.2694635316033489</v>
          </cell>
          <cell r="CL62">
            <v>3.8955853488215784</v>
          </cell>
          <cell r="CM62">
            <v>3.6054420610177571</v>
          </cell>
          <cell r="CN62">
            <v>3.3024379404477973</v>
          </cell>
          <cell r="CO62">
            <v>3.3024379404477973</v>
          </cell>
          <cell r="CP62">
            <v>3.1188664280522911</v>
          </cell>
          <cell r="CQ62">
            <v>2.788060034454908</v>
          </cell>
          <cell r="CR62">
            <v>2.6472768024429505</v>
          </cell>
          <cell r="CS62">
            <v>2.5752312437408631</v>
          </cell>
          <cell r="CT62">
            <v>2.5752312437408631</v>
          </cell>
          <cell r="CU62">
            <v>2.4595437165295464</v>
          </cell>
          <cell r="CV62">
            <v>2.1423725599152474</v>
          </cell>
          <cell r="CW62">
            <v>1.9818396031529228</v>
          </cell>
          <cell r="CX62">
            <v>1.8821429411395256</v>
          </cell>
          <cell r="CY62">
            <v>1.8821429411395256</v>
          </cell>
          <cell r="CZ62">
            <v>1.7897975889440316</v>
          </cell>
          <cell r="DA62">
            <v>1.5396178991956597</v>
          </cell>
          <cell r="DB62">
            <v>1.4144823830217188</v>
          </cell>
          <cell r="DC62">
            <v>1.3310548962681266</v>
          </cell>
          <cell r="DD62">
            <v>1.3310548962681266</v>
          </cell>
          <cell r="DE62">
            <v>1.271834598006319</v>
          </cell>
          <cell r="DF62">
            <v>1.0717713255418955</v>
          </cell>
          <cell r="DG62">
            <v>0.97263613844338359</v>
          </cell>
          <cell r="DH62">
            <v>0.90553134364462129</v>
          </cell>
          <cell r="DI62">
            <v>0.90553134364462129</v>
          </cell>
        </row>
        <row r="64">
          <cell r="B64" t="str">
            <v xml:space="preserve">Total Debt /  LTM EBITDA </v>
          </cell>
          <cell r="E64">
            <v>2.4422982833074514</v>
          </cell>
          <cell r="F64">
            <v>1.1592206056243899</v>
          </cell>
          <cell r="G64">
            <v>1.1297873199079866</v>
          </cell>
          <cell r="H64">
            <v>0.80743786353849023</v>
          </cell>
          <cell r="I64">
            <v>0.57845396785847736</v>
          </cell>
          <cell r="J64">
            <v>0.45618247298919573</v>
          </cell>
          <cell r="K64">
            <v>0.26494862339991393</v>
          </cell>
          <cell r="L64">
            <v>0.50899723683037734</v>
          </cell>
          <cell r="M64">
            <v>2.1731367853935954</v>
          </cell>
          <cell r="N64">
            <v>1.5401774262505346</v>
          </cell>
          <cell r="O64">
            <v>3.8747428766172902</v>
          </cell>
          <cell r="P64">
            <v>5.5691204575951838</v>
          </cell>
          <cell r="Q64">
            <v>1.2989320805776503</v>
          </cell>
          <cell r="R64">
            <v>5.6804943069985301</v>
          </cell>
          <cell r="S64">
            <v>4.1356944701313108</v>
          </cell>
          <cell r="T64">
            <v>4.7283441667772124</v>
          </cell>
          <cell r="U64">
            <v>5.8881783422400105</v>
          </cell>
          <cell r="V64">
            <v>1.4012541937269034</v>
          </cell>
          <cell r="W64">
            <v>5.3348826772663145</v>
          </cell>
          <cell r="X64">
            <v>3.7829735345318594</v>
          </cell>
          <cell r="Y64">
            <v>3.9021556310712948</v>
          </cell>
          <cell r="Z64">
            <v>3.8292177091938062</v>
          </cell>
          <cell r="AA64">
            <v>0.97140895340049538</v>
          </cell>
          <cell r="AB64">
            <v>5.5805064500716659</v>
          </cell>
          <cell r="AC64">
            <v>4.5036422814631116</v>
          </cell>
          <cell r="AD64">
            <v>4.6184487285492555</v>
          </cell>
          <cell r="AE64">
            <v>5.1034076097076557</v>
          </cell>
          <cell r="AF64">
            <v>1.2709461261115047</v>
          </cell>
          <cell r="AG64">
            <v>5.1310188714470186</v>
          </cell>
          <cell r="AH64">
            <v>4.1329396973923718</v>
          </cell>
          <cell r="AI64">
            <v>4.1966100833502757</v>
          </cell>
          <cell r="AJ64">
            <v>6.3570786945041764</v>
          </cell>
          <cell r="AK64">
            <v>1.5758780135191894</v>
          </cell>
          <cell r="AL64">
            <v>7.4606693570649254</v>
          </cell>
          <cell r="AM64">
            <v>5.9372988379975347</v>
          </cell>
          <cell r="AN64">
            <v>5.63143318213538</v>
          </cell>
          <cell r="AO64">
            <v>5.8316705741507482</v>
          </cell>
          <cell r="AP64">
            <v>1.3687499542657271</v>
          </cell>
          <cell r="AQ64">
            <v>5.5800434485016197</v>
          </cell>
          <cell r="AR64">
            <v>5.4232756419071544</v>
          </cell>
          <cell r="AS64">
            <v>6.1725827161695879</v>
          </cell>
          <cell r="AT64">
            <v>6.0554627039203588</v>
          </cell>
          <cell r="AU64">
            <v>1.4263277857970136</v>
          </cell>
          <cell r="AW64">
            <v>5.9372988379975347</v>
          </cell>
          <cell r="AX64">
            <v>5.63143318213538</v>
          </cell>
          <cell r="AY64">
            <v>5.8316705741507482</v>
          </cell>
          <cell r="AZ64">
            <v>5.5800434485016197</v>
          </cell>
          <cell r="BA64">
            <v>1.3409314552808786</v>
          </cell>
          <cell r="BB64">
            <v>5.4232756419071544</v>
          </cell>
          <cell r="BC64">
            <v>6.1725827161695879</v>
          </cell>
          <cell r="BD64">
            <v>6.0554627039203588</v>
          </cell>
          <cell r="BE64">
            <v>7.0201454985291569</v>
          </cell>
          <cell r="BF64">
            <v>1.6997844717282633</v>
          </cell>
          <cell r="BG64">
            <v>6.0703846444494793</v>
          </cell>
          <cell r="BH64">
            <v>7.3374192001220884</v>
          </cell>
          <cell r="BI64">
            <v>7.9421961826528111</v>
          </cell>
          <cell r="BJ64">
            <v>-147.29432429465308</v>
          </cell>
          <cell r="BK64">
            <v>2.4919097217063122</v>
          </cell>
          <cell r="BL64">
            <v>19.626204707147608</v>
          </cell>
          <cell r="BM64">
            <v>28.136255897759767</v>
          </cell>
          <cell r="BN64">
            <v>24.999834743521951</v>
          </cell>
          <cell r="BO64">
            <v>24.968041072992115</v>
          </cell>
          <cell r="BP64">
            <v>5.9744583185853317</v>
          </cell>
          <cell r="BQ64">
            <v>5.071617501141982</v>
          </cell>
          <cell r="BR64">
            <v>5.4616387277976068</v>
          </cell>
          <cell r="BS64">
            <v>5.8428046946300514</v>
          </cell>
          <cell r="BT64">
            <v>5.5671176366869606</v>
          </cell>
          <cell r="BU64">
            <v>5.1297046893003149</v>
          </cell>
          <cell r="BV64">
            <v>4.8834491496745871</v>
          </cell>
          <cell r="BW64">
            <v>4.7605530042542377</v>
          </cell>
          <cell r="BX64">
            <v>4.6118715726270159</v>
          </cell>
          <cell r="BY64">
            <v>4.4396859605012295</v>
          </cell>
          <cell r="BZ64">
            <v>4.4396859605012295</v>
          </cell>
          <cell r="CA64">
            <v>4.3534910314961657</v>
          </cell>
          <cell r="CB64">
            <v>4.2805657894922797</v>
          </cell>
          <cell r="CC64">
            <v>4.1984470291837548</v>
          </cell>
          <cell r="CD64">
            <v>4.0980224446960607</v>
          </cell>
          <cell r="CE64">
            <v>4.0980224446960607</v>
          </cell>
          <cell r="CF64">
            <v>3.9896044937209538</v>
          </cell>
          <cell r="CG64">
            <v>3.8928146135763764</v>
          </cell>
          <cell r="CH64">
            <v>4.3092355616913567</v>
          </cell>
          <cell r="CI64">
            <v>4.3184962202567148</v>
          </cell>
          <cell r="CJ64">
            <v>4.3184962202567148</v>
          </cell>
          <cell r="CK64">
            <v>4.1769814285044298</v>
          </cell>
          <cell r="CL64">
            <v>4.0523616336521453</v>
          </cell>
          <cell r="CM64">
            <v>3.8271622015767206</v>
          </cell>
          <cell r="CN64">
            <v>3.6832382754559108</v>
          </cell>
          <cell r="CO64">
            <v>3.6832382754559108</v>
          </cell>
          <cell r="CP64">
            <v>3.555423011434153</v>
          </cell>
          <cell r="CQ64">
            <v>3.4407035751273707</v>
          </cell>
          <cell r="CR64">
            <v>3.4121909142775384</v>
          </cell>
          <cell r="CS64">
            <v>3.5317579267688721</v>
          </cell>
          <cell r="CT64">
            <v>3.5317579267688721</v>
          </cell>
          <cell r="CU64">
            <v>3.4653097132727835</v>
          </cell>
          <cell r="CV64">
            <v>3.4079428203505904</v>
          </cell>
          <cell r="CW64">
            <v>3.3376938976762442</v>
          </cell>
          <cell r="CX64">
            <v>3.2837109941055331</v>
          </cell>
          <cell r="CY64">
            <v>3.2837109941055331</v>
          </cell>
          <cell r="CZ64">
            <v>3.2171447496672712</v>
          </cell>
          <cell r="DA64">
            <v>3.1568590559624203</v>
          </cell>
          <cell r="DB64">
            <v>3.091886914942537</v>
          </cell>
          <cell r="DC64">
            <v>3.0227547175959772</v>
          </cell>
          <cell r="DD64">
            <v>3.0227547175959772</v>
          </cell>
          <cell r="DE64">
            <v>2.9504508522605719</v>
          </cell>
          <cell r="DF64">
            <v>2.8881537054843749</v>
          </cell>
          <cell r="DG64">
            <v>2.8240855950790769</v>
          </cell>
          <cell r="DH64">
            <v>2.7736529973761401</v>
          </cell>
          <cell r="DI64">
            <v>2.7736529973761401</v>
          </cell>
        </row>
        <row r="65">
          <cell r="B65" t="str">
            <v xml:space="preserve">Net Debt /  LTM EBITDA </v>
          </cell>
          <cell r="E65">
            <v>2.4282584186006928</v>
          </cell>
          <cell r="F65">
            <v>0.70913234966497052</v>
          </cell>
          <cell r="G65">
            <v>0.116254355166337</v>
          </cell>
          <cell r="H65">
            <v>-0.28923292769663966</v>
          </cell>
          <cell r="I65">
            <v>-7.1586520493334888E-2</v>
          </cell>
          <cell r="J65">
            <v>0.2042176476501931</v>
          </cell>
          <cell r="K65">
            <v>-0.10529229305249289</v>
          </cell>
          <cell r="L65">
            <v>0.37684642124966594</v>
          </cell>
          <cell r="M65">
            <v>0.18590402951933127</v>
          </cell>
          <cell r="N65">
            <v>0.18790877672924028</v>
          </cell>
          <cell r="O65">
            <v>0.58626155322802087</v>
          </cell>
          <cell r="P65">
            <v>1.1729725970232299</v>
          </cell>
          <cell r="Q65">
            <v>1.1729725970232299</v>
          </cell>
          <cell r="R65">
            <v>1.3079479637322984</v>
          </cell>
          <cell r="S65">
            <v>1.2279192681864382</v>
          </cell>
          <cell r="T65">
            <v>1.2216691190760431</v>
          </cell>
          <cell r="U65">
            <v>1.2800890759566756</v>
          </cell>
          <cell r="V65">
            <v>1.2800890759566756</v>
          </cell>
          <cell r="W65">
            <v>1.1954323655546504</v>
          </cell>
          <cell r="X65">
            <v>1.0599601662369418</v>
          </cell>
          <cell r="Y65">
            <v>0.95487707999877414</v>
          </cell>
          <cell r="Z65">
            <v>0.74968510835616542</v>
          </cell>
          <cell r="AA65">
            <v>0.74968510835616542</v>
          </cell>
          <cell r="AB65">
            <v>1.0547308733007772</v>
          </cell>
          <cell r="AC65">
            <v>1.093833791305866</v>
          </cell>
          <cell r="AD65">
            <v>0.96954112664395109</v>
          </cell>
          <cell r="AE65">
            <v>0.96198762612503008</v>
          </cell>
          <cell r="AF65">
            <v>0.96198762612503008</v>
          </cell>
          <cell r="AG65">
            <v>0.87538994155529948</v>
          </cell>
          <cell r="AH65">
            <v>0.90077144344399196</v>
          </cell>
          <cell r="AI65">
            <v>0.71739451948490351</v>
          </cell>
          <cell r="AJ65">
            <v>0.85081994038330766</v>
          </cell>
          <cell r="AK65">
            <v>0.85081994038330766</v>
          </cell>
          <cell r="AL65">
            <v>1.6479487458203479</v>
          </cell>
          <cell r="AM65">
            <v>1.5679916626672945</v>
          </cell>
          <cell r="AN65">
            <v>1.3694181083707662</v>
          </cell>
          <cell r="AO65">
            <v>1.1476902362815475</v>
          </cell>
          <cell r="AP65">
            <v>1.1476902362815475</v>
          </cell>
          <cell r="AQ65">
            <v>1.065684159939585</v>
          </cell>
          <cell r="AR65">
            <v>1.4196165366976641</v>
          </cell>
          <cell r="AS65">
            <v>1.2998305401174728</v>
          </cell>
          <cell r="AT65">
            <v>1.2469861302083034</v>
          </cell>
          <cell r="AU65">
            <v>1.2469861302083034</v>
          </cell>
          <cell r="AW65">
            <v>0.82892522082985065</v>
          </cell>
          <cell r="AX65">
            <v>0.74157297920861964</v>
          </cell>
          <cell r="AY65">
            <v>0.63641040997661991</v>
          </cell>
          <cell r="AZ65">
            <v>1.0656841599395852</v>
          </cell>
          <cell r="BA65">
            <v>1.0656841599395852</v>
          </cell>
          <cell r="BB65">
            <v>1.4196165366976641</v>
          </cell>
          <cell r="BC65">
            <v>1.2998305401174728</v>
          </cell>
          <cell r="BD65">
            <v>1.2469861302083034</v>
          </cell>
          <cell r="BE65">
            <v>1.5046446626897241</v>
          </cell>
          <cell r="BF65">
            <v>1.5046446626897241</v>
          </cell>
          <cell r="BG65">
            <v>1.532811759331262</v>
          </cell>
          <cell r="BH65">
            <v>1.6584339482201547</v>
          </cell>
          <cell r="BI65">
            <v>1.7538824591415403</v>
          </cell>
          <cell r="BJ65">
            <v>2.2717040845133192</v>
          </cell>
          <cell r="BK65">
            <v>2.2717040845133192</v>
          </cell>
          <cell r="BL65">
            <v>6.9323710899487603</v>
          </cell>
          <cell r="BM65">
            <v>7.5887120079926715</v>
          </cell>
          <cell r="BN65">
            <v>7.8001590934227245</v>
          </cell>
          <cell r="BO65">
            <v>5.7189462707272174</v>
          </cell>
          <cell r="BP65">
            <v>5.7189462707272174</v>
          </cell>
          <cell r="BQ65">
            <v>5.2564849516125642</v>
          </cell>
          <cell r="BR65">
            <v>4.9034397688786937</v>
          </cell>
          <cell r="BS65">
            <v>4.8918819726434757</v>
          </cell>
          <cell r="BT65">
            <v>4.8606910049402599</v>
          </cell>
          <cell r="BU65">
            <v>4.8606910049402599</v>
          </cell>
          <cell r="BV65">
            <v>4.7215103605127933</v>
          </cell>
          <cell r="BW65">
            <v>4.5052538195849996</v>
          </cell>
          <cell r="BX65">
            <v>4.2754200612538877</v>
          </cell>
          <cell r="BY65">
            <v>4.231470530689962</v>
          </cell>
          <cell r="BZ65">
            <v>4.231470530689962</v>
          </cell>
          <cell r="CA65">
            <v>4.0963041194787859</v>
          </cell>
          <cell r="CB65">
            <v>3.9229804992276858</v>
          </cell>
          <cell r="CC65">
            <v>3.8105511561960688</v>
          </cell>
          <cell r="CD65">
            <v>3.8819671285397348</v>
          </cell>
          <cell r="CE65">
            <v>3.8819671285397348</v>
          </cell>
          <cell r="CF65">
            <v>3.6879161680931491</v>
          </cell>
          <cell r="CG65">
            <v>3.5954485936984488</v>
          </cell>
          <cell r="CH65">
            <v>4.1501480430753501</v>
          </cell>
          <cell r="CI65">
            <v>4.093306145918139</v>
          </cell>
          <cell r="CJ65">
            <v>4.093306145918139</v>
          </cell>
          <cell r="CK65">
            <v>4.1166744829526785</v>
          </cell>
          <cell r="CL65">
            <v>3.8752209781968161</v>
          </cell>
          <cell r="CM65">
            <v>3.6322305719261214</v>
          </cell>
          <cell r="CN65">
            <v>3.4257576327108503</v>
          </cell>
          <cell r="CO65">
            <v>3.4257576327108503</v>
          </cell>
          <cell r="CP65">
            <v>3.3250162150848226</v>
          </cell>
          <cell r="CQ65">
            <v>3.0374245955816579</v>
          </cell>
          <cell r="CR65">
            <v>2.9755946985335489</v>
          </cell>
          <cell r="CS65">
            <v>3.0718143603932671</v>
          </cell>
          <cell r="CT65">
            <v>3.0718143603932671</v>
          </cell>
          <cell r="CU65">
            <v>3.0570822406231044</v>
          </cell>
          <cell r="CV65">
            <v>2.7865080730643337</v>
          </cell>
          <cell r="CW65">
            <v>2.65554557746845</v>
          </cell>
          <cell r="CX65">
            <v>2.5710227252100957</v>
          </cell>
          <cell r="CY65">
            <v>2.5710227252100957</v>
          </cell>
          <cell r="CZ65">
            <v>2.559895377283238</v>
          </cell>
          <cell r="DA65">
            <v>2.2899079079200684</v>
          </cell>
          <cell r="DB65">
            <v>2.164406210132594</v>
          </cell>
          <cell r="DC65">
            <v>2.0669812338907008</v>
          </cell>
          <cell r="DD65">
            <v>2.0669812338907008</v>
          </cell>
          <cell r="DE65">
            <v>2.0539340048576329</v>
          </cell>
          <cell r="DF65">
            <v>1.7903627875557684</v>
          </cell>
          <cell r="DG65">
            <v>1.6669735142251041</v>
          </cell>
          <cell r="DH65">
            <v>1.5808653626743314</v>
          </cell>
          <cell r="DI65">
            <v>1.5808653626743314</v>
          </cell>
        </row>
        <row r="66">
          <cell r="B66" t="str">
            <v>Interest Coverage (LTM EBITDA)</v>
          </cell>
          <cell r="E66">
            <v>3.3346811378307448</v>
          </cell>
          <cell r="F66">
            <v>8.1555555555555532</v>
          </cell>
          <cell r="G66">
            <v>15.441836310760284</v>
          </cell>
          <cell r="H66">
            <v>23.885734233185939</v>
          </cell>
          <cell r="I66">
            <v>35.46865506766089</v>
          </cell>
          <cell r="J66">
            <v>48.107823613086765</v>
          </cell>
          <cell r="K66">
            <v>58.885237068965523</v>
          </cell>
          <cell r="L66">
            <v>58.935700777474239</v>
          </cell>
          <cell r="M66">
            <v>49.13235294117645</v>
          </cell>
          <cell r="N66">
            <v>137.1847507331378</v>
          </cell>
          <cell r="O66">
            <v>34.147547797173736</v>
          </cell>
          <cell r="P66">
            <v>18.739395478790961</v>
          </cell>
          <cell r="Q66">
            <v>37.724031007751933</v>
          </cell>
          <cell r="R66">
            <v>14.105429625724829</v>
          </cell>
          <cell r="S66">
            <v>16.629248039366448</v>
          </cell>
          <cell r="T66">
            <v>14.48189744347569</v>
          </cell>
          <cell r="U66">
            <v>13.967207995003124</v>
          </cell>
          <cell r="V66">
            <v>14.81801695249359</v>
          </cell>
          <cell r="W66">
            <v>15.504970178926449</v>
          </cell>
          <cell r="X66">
            <v>23.644347496206379</v>
          </cell>
          <cell r="Y66">
            <v>25.895999999999994</v>
          </cell>
          <cell r="Z66">
            <v>27.341182123978861</v>
          </cell>
          <cell r="AA66">
            <v>22.462043064596898</v>
          </cell>
          <cell r="AB66">
            <v>26.442176870748312</v>
          </cell>
          <cell r="AC66">
            <v>34.739109153206073</v>
          </cell>
          <cell r="AD66">
            <v>38.761315715490582</v>
          </cell>
          <cell r="AE66">
            <v>34.061310782241002</v>
          </cell>
          <cell r="AF66">
            <v>33.29743292800616</v>
          </cell>
          <cell r="AG66">
            <v>34.1808029779314</v>
          </cell>
          <cell r="AH66">
            <v>43.070312499999986</v>
          </cell>
          <cell r="AI66">
            <v>41.401367701209878</v>
          </cell>
          <cell r="AJ66">
            <v>40.370329670329681</v>
          </cell>
          <cell r="AK66">
            <v>39.744351324170303</v>
          </cell>
          <cell r="AL66">
            <v>34.159407274360127</v>
          </cell>
          <cell r="AM66">
            <v>39.793755310110448</v>
          </cell>
          <cell r="AN66">
            <v>50.39120879120879</v>
          </cell>
          <cell r="AO66">
            <v>47.420461265523336</v>
          </cell>
          <cell r="AP66">
            <v>42.220402867029158</v>
          </cell>
          <cell r="AQ66">
            <v>52.211000621504056</v>
          </cell>
          <cell r="AR66">
            <v>53.371428571428595</v>
          </cell>
          <cell r="AS66">
            <v>57.618162692847129</v>
          </cell>
          <cell r="AT66">
            <v>54.303847418612285</v>
          </cell>
          <cell r="AU66">
            <v>54.238898344422104</v>
          </cell>
          <cell r="AW66">
            <v>39.793755310110448</v>
          </cell>
          <cell r="AX66">
            <v>50.39120879120879</v>
          </cell>
          <cell r="AY66">
            <v>47.420461265523336</v>
          </cell>
          <cell r="AZ66">
            <v>52.211000621504056</v>
          </cell>
          <cell r="BA66">
            <v>46.773080010703758</v>
          </cell>
          <cell r="BB66">
            <v>53.371428571428595</v>
          </cell>
          <cell r="BC66">
            <v>57.618162692847129</v>
          </cell>
          <cell r="BD66">
            <v>54.303847418612285</v>
          </cell>
          <cell r="BE66">
            <v>40.272168361314755</v>
          </cell>
          <cell r="BF66">
            <v>50.469110999497744</v>
          </cell>
          <cell r="BG66">
            <v>23.624732206617487</v>
          </cell>
          <cell r="BH66">
            <v>16.229809818664304</v>
          </cell>
          <cell r="BI66">
            <v>15.406662944351394</v>
          </cell>
          <cell r="BJ66">
            <v>-0.436966324474721</v>
          </cell>
          <cell r="BK66">
            <v>10.495799138384767</v>
          </cell>
          <cell r="BL66">
            <v>5.8101417928382544</v>
          </cell>
          <cell r="BM66">
            <v>2.1833327925764912</v>
          </cell>
          <cell r="BN66">
            <v>2.3750686867101023</v>
          </cell>
          <cell r="BO66">
            <v>2.3802952553880163</v>
          </cell>
          <cell r="BP66">
            <v>2.838479906289423</v>
          </cell>
          <cell r="BQ66">
            <v>2.9197157739052146</v>
          </cell>
          <cell r="BR66">
            <v>2.7836708947081292</v>
          </cell>
          <cell r="BS66">
            <v>2.524241454131539</v>
          </cell>
          <cell r="BT66">
            <v>2.5990046402890448</v>
          </cell>
          <cell r="BU66">
            <v>2.7128042201174916</v>
          </cell>
          <cell r="BV66">
            <v>2.8068520686532215</v>
          </cell>
          <cell r="BW66">
            <v>2.9046134579085594</v>
          </cell>
          <cell r="BX66">
            <v>3.0031401240598945</v>
          </cell>
          <cell r="BY66">
            <v>3.1409545560860139</v>
          </cell>
          <cell r="BZ66">
            <v>3.1409545560860139</v>
          </cell>
          <cell r="CA66">
            <v>3.2215712887559316</v>
          </cell>
          <cell r="CB66">
            <v>3.2933677743647021</v>
          </cell>
          <cell r="CC66">
            <v>3.3779564828222894</v>
          </cell>
          <cell r="CD66">
            <v>3.4797352520160838</v>
          </cell>
          <cell r="CE66">
            <v>3.4797352520160838</v>
          </cell>
          <cell r="CF66">
            <v>3.6084318338306187</v>
          </cell>
          <cell r="CG66">
            <v>3.7369472979546239</v>
          </cell>
          <cell r="CH66">
            <v>3.861670653712836</v>
          </cell>
          <cell r="CI66">
            <v>3.7164765406492597</v>
          </cell>
          <cell r="CJ66">
            <v>3.7164765406492597</v>
          </cell>
          <cell r="CK66">
            <v>3.2745044591953878</v>
          </cell>
          <cell r="CL66">
            <v>3.1005670997800476</v>
          </cell>
          <cell r="CM66">
            <v>3.0289497766798914</v>
          </cell>
          <cell r="CN66">
            <v>3.086523674482752</v>
          </cell>
          <cell r="CO66">
            <v>3.086523674482752</v>
          </cell>
          <cell r="CP66">
            <v>3.3679098044769762</v>
          </cell>
          <cell r="CQ66">
            <v>3.5072546256873993</v>
          </cell>
          <cell r="CR66">
            <v>3.5865005463440518</v>
          </cell>
          <cell r="CS66">
            <v>3.4555093853147341</v>
          </cell>
          <cell r="CT66">
            <v>3.4555093853147341</v>
          </cell>
          <cell r="CU66">
            <v>3.4997292845612926</v>
          </cell>
          <cell r="CV66">
            <v>3.8010689297434195</v>
          </cell>
          <cell r="CW66">
            <v>4.1675370487638528</v>
          </cell>
          <cell r="CX66">
            <v>4.5769372270191058</v>
          </cell>
          <cell r="CY66">
            <v>4.5769372270191058</v>
          </cell>
          <cell r="CZ66">
            <v>5.1083971256565812</v>
          </cell>
          <cell r="DA66">
            <v>5.1936827285229885</v>
          </cell>
          <cell r="DB66">
            <v>5.2903805709515375</v>
          </cell>
          <cell r="DC66">
            <v>5.3987357796978541</v>
          </cell>
          <cell r="DD66">
            <v>5.3987357796978541</v>
          </cell>
          <cell r="DE66">
            <v>5.5181015038407688</v>
          </cell>
          <cell r="DF66">
            <v>5.6238469040918488</v>
          </cell>
          <cell r="DG66">
            <v>5.7377841803161349</v>
          </cell>
          <cell r="DH66">
            <v>5.8281493931136863</v>
          </cell>
          <cell r="DI66">
            <v>5.8281493931136863</v>
          </cell>
        </row>
        <row r="68">
          <cell r="B68" t="str">
            <v>LTM EBITDA</v>
          </cell>
          <cell r="E68">
            <v>47.009000000000007</v>
          </cell>
          <cell r="F68">
            <v>58.35299999999998</v>
          </cell>
          <cell r="G68">
            <v>74.337000000000003</v>
          </cell>
          <cell r="H68">
            <v>102.63699999999997</v>
          </cell>
          <cell r="I68">
            <v>128.43200000000007</v>
          </cell>
          <cell r="J68">
            <v>169.09899999999999</v>
          </cell>
          <cell r="K68">
            <v>218.58200000000002</v>
          </cell>
          <cell r="L68">
            <v>280.47499999999991</v>
          </cell>
          <cell r="M68">
            <v>734.97599999999989</v>
          </cell>
          <cell r="N68">
            <v>659.43699999999978</v>
          </cell>
          <cell r="O68">
            <v>523.0139999999999</v>
          </cell>
          <cell r="P68">
            <v>316.31599999999997</v>
          </cell>
          <cell r="Q68">
            <v>316.31599999999997</v>
          </cell>
          <cell r="R68">
            <v>329.77</v>
          </cell>
          <cell r="S68">
            <v>344.35</v>
          </cell>
          <cell r="T68">
            <v>360.19000000000005</v>
          </cell>
          <cell r="U68">
            <v>375.85899999999987</v>
          </cell>
          <cell r="V68">
            <v>375.85899999999987</v>
          </cell>
          <cell r="W68">
            <v>389.17300000000006</v>
          </cell>
          <cell r="X68">
            <v>405.68600000000004</v>
          </cell>
          <cell r="Y68">
            <v>424.21900000000005</v>
          </cell>
          <cell r="Z68">
            <v>448.56700000000001</v>
          </cell>
          <cell r="AA68">
            <v>448.56700000000001</v>
          </cell>
          <cell r="AB68">
            <v>463.81500000000005</v>
          </cell>
          <cell r="AC68">
            <v>481.10600000000005</v>
          </cell>
          <cell r="AD68">
            <v>502.44800000000009</v>
          </cell>
          <cell r="AE68">
            <v>517.54199999999969</v>
          </cell>
          <cell r="AF68">
            <v>517.54199999999969</v>
          </cell>
          <cell r="AG68">
            <v>537.25999999999988</v>
          </cell>
          <cell r="AH68">
            <v>555.19299999999987</v>
          </cell>
          <cell r="AI68">
            <v>574.72699999999986</v>
          </cell>
          <cell r="AJ68">
            <v>592.78700000000015</v>
          </cell>
          <cell r="AK68">
            <v>592.78700000000015</v>
          </cell>
          <cell r="AL68">
            <v>616.37899999999991</v>
          </cell>
          <cell r="AM68">
            <v>643.85099999999989</v>
          </cell>
          <cell r="AN68">
            <v>669.86700000000008</v>
          </cell>
          <cell r="AO68">
            <v>683.29499999999996</v>
          </cell>
          <cell r="AP68">
            <v>683.29499999999996</v>
          </cell>
          <cell r="AQ68">
            <v>699.16399999999999</v>
          </cell>
          <cell r="AR68">
            <v>715.42700000000013</v>
          </cell>
          <cell r="AS68">
            <v>696.33</v>
          </cell>
          <cell r="AT68">
            <v>701.0920000000001</v>
          </cell>
          <cell r="AU68">
            <v>701.0920000000001</v>
          </cell>
          <cell r="AW68">
            <v>1217.9059999999999</v>
          </cell>
          <cell r="AX68">
            <v>1237.0029999999999</v>
          </cell>
          <cell r="AY68">
            <v>1232.241</v>
          </cell>
          <cell r="AZ68">
            <v>699.16399999999976</v>
          </cell>
          <cell r="BA68">
            <v>699.16399999999976</v>
          </cell>
          <cell r="BB68">
            <v>715.42700000000013</v>
          </cell>
          <cell r="BC68">
            <v>696.33</v>
          </cell>
          <cell r="BD68">
            <v>701.0920000000001</v>
          </cell>
          <cell r="BE68">
            <v>703.38800000000015</v>
          </cell>
          <cell r="BF68">
            <v>703.38800000000015</v>
          </cell>
          <cell r="BG68">
            <v>698.27100000000019</v>
          </cell>
          <cell r="BH68">
            <v>717.42200000000014</v>
          </cell>
          <cell r="BI68">
            <v>717.84400000000016</v>
          </cell>
          <cell r="BJ68">
            <v>538.42400000000021</v>
          </cell>
          <cell r="BK68">
            <v>538.42400000000021</v>
          </cell>
          <cell r="BL68">
            <v>533.33699999999976</v>
          </cell>
          <cell r="BM68">
            <v>484.44399999999985</v>
          </cell>
          <cell r="BN68">
            <v>470.16399999999976</v>
          </cell>
          <cell r="BO68">
            <v>630.02900000000034</v>
          </cell>
          <cell r="BP68">
            <v>630.02900000000034</v>
          </cell>
          <cell r="BQ68">
            <v>618.23900000000003</v>
          </cell>
          <cell r="BR68">
            <v>646.93299999999999</v>
          </cell>
          <cell r="BS68">
            <v>637.5809999999999</v>
          </cell>
          <cell r="BT68">
            <v>633.56999999999994</v>
          </cell>
          <cell r="BU68">
            <v>633.56999999999994</v>
          </cell>
          <cell r="BV68">
            <v>635.34499999999991</v>
          </cell>
          <cell r="BW68">
            <v>644.76899999999989</v>
          </cell>
          <cell r="BX68">
            <v>660.85600000000011</v>
          </cell>
          <cell r="BY68">
            <v>684.88199999999938</v>
          </cell>
          <cell r="BZ68">
            <v>684.88199999999938</v>
          </cell>
          <cell r="CA68">
            <v>697.8309999999999</v>
          </cell>
          <cell r="CB68">
            <v>707.61299999999983</v>
          </cell>
          <cell r="CC68">
            <v>720.8119999999999</v>
          </cell>
          <cell r="CD68">
            <v>736.56600000000037</v>
          </cell>
          <cell r="CE68">
            <v>736.56600000000037</v>
          </cell>
          <cell r="CF68">
            <v>754.65300000000025</v>
          </cell>
          <cell r="CG68">
            <v>775.93600000000015</v>
          </cell>
          <cell r="CH68">
            <v>790.98600000000022</v>
          </cell>
          <cell r="CI68">
            <v>827.83400000000074</v>
          </cell>
          <cell r="CJ68">
            <v>827.83400000000074</v>
          </cell>
          <cell r="CK68">
            <v>852.9200000000003</v>
          </cell>
          <cell r="CL68">
            <v>882.44000000000028</v>
          </cell>
          <cell r="CM68">
            <v>932.56800000000021</v>
          </cell>
          <cell r="CN68">
            <v>964.79401663476153</v>
          </cell>
          <cell r="CO68">
            <v>964.79401663476153</v>
          </cell>
          <cell r="CP68">
            <v>995.11183018778343</v>
          </cell>
          <cell r="CQ68">
            <v>1023.7791989592131</v>
          </cell>
          <cell r="CR68">
            <v>1027.7848127798954</v>
          </cell>
          <cell r="CS68">
            <v>988.59415690312449</v>
          </cell>
          <cell r="CT68">
            <v>988.59415690312449</v>
          </cell>
          <cell r="CU68">
            <v>1003.0712368035829</v>
          </cell>
          <cell r="CV68">
            <v>1015.4013527856112</v>
          </cell>
          <cell r="CW68">
            <v>1032.1219098007757</v>
          </cell>
          <cell r="CX68">
            <v>1044.3623863841731</v>
          </cell>
          <cell r="CY68">
            <v>1044.3623863841731</v>
          </cell>
          <cell r="CZ68">
            <v>1060.9909611163819</v>
          </cell>
          <cell r="DA68">
            <v>1076.1768865110976</v>
          </cell>
          <cell r="DB68">
            <v>1093.6092079107757</v>
          </cell>
          <cell r="DC68">
            <v>1113.3199893494655</v>
          </cell>
          <cell r="DD68">
            <v>1113.3199893494655</v>
          </cell>
          <cell r="DE68">
            <v>1135.1724423519413</v>
          </cell>
          <cell r="DF68">
            <v>1154.1102343931443</v>
          </cell>
          <cell r="DG68">
            <v>1174.6191424864073</v>
          </cell>
          <cell r="DH68">
            <v>1190.2001631505161</v>
          </cell>
          <cell r="DI68">
            <v>1190.2001631505161</v>
          </cell>
        </row>
        <row r="69">
          <cell r="B69" t="str">
            <v>LTM Interest Expense</v>
          </cell>
          <cell r="E69">
            <v>-14.097</v>
          </cell>
          <cell r="F69">
            <v>-7.1550000000000002</v>
          </cell>
          <cell r="G69">
            <v>-4.8140000000000001</v>
          </cell>
          <cell r="H69">
            <v>-4.2969999999999997</v>
          </cell>
          <cell r="I69">
            <v>-3.621</v>
          </cell>
          <cell r="J69">
            <v>-3.5150000000000001</v>
          </cell>
          <cell r="K69">
            <v>-3.7120000000000002</v>
          </cell>
          <cell r="L69">
            <v>-4.7590000000000003</v>
          </cell>
          <cell r="M69">
            <v>-13.346</v>
          </cell>
          <cell r="N69">
            <v>-10.513</v>
          </cell>
          <cell r="O69">
            <v>-9.2070000000000007</v>
          </cell>
          <cell r="P69">
            <v>-8.3849999999999998</v>
          </cell>
          <cell r="Q69">
            <v>-8.3849999999999998</v>
          </cell>
          <cell r="R69">
            <v>-12.716000000000001</v>
          </cell>
          <cell r="S69">
            <v>-18.536999999999999</v>
          </cell>
          <cell r="T69">
            <v>-22.898</v>
          </cell>
          <cell r="U69">
            <v>-25.364999999999998</v>
          </cell>
          <cell r="V69">
            <v>-25.364999999999998</v>
          </cell>
          <cell r="W69">
            <v>-25.71</v>
          </cell>
          <cell r="X69">
            <v>-24.478999999999999</v>
          </cell>
          <cell r="Y69">
            <v>-22.212</v>
          </cell>
          <cell r="Z69">
            <v>-19.97</v>
          </cell>
          <cell r="AA69">
            <v>-19.97</v>
          </cell>
          <cell r="AB69">
            <v>-18.05</v>
          </cell>
          <cell r="AC69">
            <v>-16.863999999999997</v>
          </cell>
          <cell r="AD69">
            <v>-15.920999999999999</v>
          </cell>
          <cell r="AE69">
            <v>-15.542999999999999</v>
          </cell>
          <cell r="AF69">
            <v>-15.542999999999999</v>
          </cell>
          <cell r="AG69">
            <v>-15.187999999999999</v>
          </cell>
          <cell r="AH69">
            <v>-14.814</v>
          </cell>
          <cell r="AI69">
            <v>-15.058999999999999</v>
          </cell>
          <cell r="AJ69">
            <v>-14.915000000000001</v>
          </cell>
          <cell r="AK69">
            <v>-14.915000000000001</v>
          </cell>
          <cell r="AL69">
            <v>-15.608000000000001</v>
          </cell>
          <cell r="AM69">
            <v>-16.603999999999999</v>
          </cell>
          <cell r="AN69">
            <v>-16.442</v>
          </cell>
          <cell r="AO69">
            <v>-16.184000000000001</v>
          </cell>
          <cell r="AP69">
            <v>-16.184000000000001</v>
          </cell>
          <cell r="AQ69">
            <v>-14.948</v>
          </cell>
          <cell r="AR69">
            <v>-14.055</v>
          </cell>
          <cell r="AS69">
            <v>-13.266999999999999</v>
          </cell>
          <cell r="AT69">
            <v>-12.926</v>
          </cell>
          <cell r="AU69">
            <v>-12.926</v>
          </cell>
          <cell r="AW69">
            <v>-23.527000000000001</v>
          </cell>
          <cell r="AX69">
            <v>-24.315000000000001</v>
          </cell>
          <cell r="AY69">
            <v>-24.656000000000002</v>
          </cell>
          <cell r="AZ69">
            <v>-14.948</v>
          </cell>
          <cell r="BA69">
            <v>-14.948</v>
          </cell>
          <cell r="BB69">
            <v>-14.055</v>
          </cell>
          <cell r="BC69">
            <v>-13.266999999999999</v>
          </cell>
          <cell r="BD69">
            <v>-12.926</v>
          </cell>
          <cell r="BE69">
            <v>-13.937000000000001</v>
          </cell>
          <cell r="BF69">
            <v>-13.937000000000001</v>
          </cell>
          <cell r="BG69">
            <v>-18.524000000000001</v>
          </cell>
          <cell r="BH69">
            <v>-26.976999999999997</v>
          </cell>
          <cell r="BI69">
            <v>-34.682000000000002</v>
          </cell>
          <cell r="BJ69">
            <v>-51.299000000000007</v>
          </cell>
          <cell r="BK69">
            <v>-51.299000000000007</v>
          </cell>
          <cell r="BL69">
            <v>-76.185000000000002</v>
          </cell>
          <cell r="BM69">
            <v>-126.52199999999999</v>
          </cell>
          <cell r="BN69">
            <v>-179.471</v>
          </cell>
          <cell r="BO69">
            <v>-221.96</v>
          </cell>
          <cell r="BP69">
            <v>-221.96</v>
          </cell>
          <cell r="BQ69">
            <v>-250.876</v>
          </cell>
          <cell r="BR69">
            <v>-247.89000000000001</v>
          </cell>
          <cell r="BS69">
            <v>-240.42099999999999</v>
          </cell>
          <cell r="BT69">
            <v>-233.548</v>
          </cell>
          <cell r="BU69">
            <v>-233.548</v>
          </cell>
          <cell r="BV69">
            <v>-226.35499999999999</v>
          </cell>
          <cell r="BW69">
            <v>-221.98099999999999</v>
          </cell>
          <cell r="BX69">
            <v>-220.05500000000001</v>
          </cell>
          <cell r="BY69">
            <v>-218.04900000000004</v>
          </cell>
          <cell r="BZ69">
            <v>-218.04900000000004</v>
          </cell>
          <cell r="CA69">
            <v>-216.61200000000002</v>
          </cell>
          <cell r="CB69">
            <v>-214.85999999999999</v>
          </cell>
          <cell r="CC69">
            <v>-213.387</v>
          </cell>
          <cell r="CD69">
            <v>-211.67299999999997</v>
          </cell>
          <cell r="CE69">
            <v>-211.67299999999997</v>
          </cell>
          <cell r="CF69">
            <v>-209.136</v>
          </cell>
          <cell r="CG69">
            <v>-207.63900000000001</v>
          </cell>
          <cell r="CH69">
            <v>-204.83</v>
          </cell>
          <cell r="CI69">
            <v>-222.74700000000001</v>
          </cell>
          <cell r="CJ69">
            <v>-222.74700000000001</v>
          </cell>
          <cell r="CK69">
            <v>-260.47300000000001</v>
          </cell>
          <cell r="CL69">
            <v>-284.60599999999999</v>
          </cell>
          <cell r="CM69">
            <v>-307.88493331250004</v>
          </cell>
          <cell r="CN69">
            <v>-312.58273656249997</v>
          </cell>
          <cell r="CO69">
            <v>-312.58273656249997</v>
          </cell>
          <cell r="CP69">
            <v>-295.46866987499999</v>
          </cell>
          <cell r="CQ69">
            <v>-291.90329993749998</v>
          </cell>
          <cell r="CR69">
            <v>-286.57037674999992</v>
          </cell>
          <cell r="CS69">
            <v>-286.09216374999994</v>
          </cell>
          <cell r="CT69">
            <v>-286.09216374999994</v>
          </cell>
          <cell r="CU69">
            <v>-286.61395074999996</v>
          </cell>
          <cell r="CV69">
            <v>-267.13573774999998</v>
          </cell>
          <cell r="CW69">
            <v>-247.65752474999999</v>
          </cell>
          <cell r="CX69">
            <v>-228.17931174999998</v>
          </cell>
          <cell r="CY69">
            <v>-228.17931174999998</v>
          </cell>
          <cell r="CZ69">
            <v>-207.69547374999999</v>
          </cell>
          <cell r="DA69">
            <v>-207.20882324999997</v>
          </cell>
          <cell r="DB69">
            <v>-206.71654774999999</v>
          </cell>
          <cell r="DC69">
            <v>-206.21864725</v>
          </cell>
          <cell r="DD69">
            <v>-206.21864725</v>
          </cell>
          <cell r="DE69">
            <v>-205.71793424999998</v>
          </cell>
          <cell r="DF69">
            <v>-205.21722124999997</v>
          </cell>
          <cell r="DG69">
            <v>-204.71650824999998</v>
          </cell>
          <cell r="DH69">
            <v>-204.21579524999996</v>
          </cell>
          <cell r="DI69">
            <v>-204.21579524999996</v>
          </cell>
        </row>
        <row r="71">
          <cell r="B71" t="str">
            <v>Balance Sheet Drivers</v>
          </cell>
        </row>
        <row r="72">
          <cell r="B72" t="str">
            <v>Inventory turnover</v>
          </cell>
          <cell r="W72">
            <v>9.9452403414414317</v>
          </cell>
          <cell r="X72">
            <v>8.3609365758314027</v>
          </cell>
          <cell r="Y72">
            <v>7.9727438053658526</v>
          </cell>
          <cell r="Z72">
            <v>9.5147352168111787</v>
          </cell>
          <cell r="AA72">
            <v>9.3598776061951394</v>
          </cell>
          <cell r="AB72">
            <v>8.9499957688727481</v>
          </cell>
          <cell r="AC72">
            <v>8.0212919304628123</v>
          </cell>
          <cell r="AD72">
            <v>8.0673395176078806</v>
          </cell>
          <cell r="AE72">
            <v>9.6339870851351321</v>
          </cell>
          <cell r="AF72">
            <v>9.1215019284240739</v>
          </cell>
          <cell r="AG72">
            <v>9.9874743769882546</v>
          </cell>
          <cell r="AH72">
            <v>8.3974534477614569</v>
          </cell>
          <cell r="AI72">
            <v>8.307886168776859</v>
          </cell>
          <cell r="AJ72">
            <v>9.944398382138484</v>
          </cell>
          <cell r="AK72">
            <v>9.5433648319231494</v>
          </cell>
          <cell r="AL72">
            <v>10.738580116121224</v>
          </cell>
          <cell r="AM72">
            <v>9.38364181301041</v>
          </cell>
          <cell r="AN72">
            <v>9.0194485495942747</v>
          </cell>
          <cell r="AO72">
            <v>10.497405660487576</v>
          </cell>
          <cell r="AP72">
            <v>10.384554444270806</v>
          </cell>
          <cell r="AQ72">
            <v>9.0356565079907352</v>
          </cell>
          <cell r="AR72">
            <v>7.4422144906255197</v>
          </cell>
          <cell r="AS72">
            <v>7.4491112068213674</v>
          </cell>
          <cell r="AT72">
            <v>8.9560678654833303</v>
          </cell>
          <cell r="AU72">
            <v>8.7654020243923991</v>
          </cell>
          <cell r="BG72">
            <v>5.1698157107211911</v>
          </cell>
          <cell r="BH72">
            <v>3.8356649736817801</v>
          </cell>
          <cell r="BI72">
            <v>3.6428020703007857</v>
          </cell>
          <cell r="BJ72">
            <v>4.2933995378021947</v>
          </cell>
          <cell r="BK72">
            <v>4.4023242420178148</v>
          </cell>
          <cell r="BL72">
            <v>5.0180691777997213</v>
          </cell>
          <cell r="BM72">
            <v>4.0294879480662518</v>
          </cell>
          <cell r="BN72">
            <v>3.7367084000968109</v>
          </cell>
          <cell r="BO72">
            <v>4.3016037258646982</v>
          </cell>
          <cell r="BP72">
            <v>4.4195976915595212</v>
          </cell>
          <cell r="BQ72">
            <v>4.7252202435612398</v>
          </cell>
          <cell r="BR72">
            <v>3.872361461825673</v>
          </cell>
          <cell r="BS72">
            <v>3.7661455677222961</v>
          </cell>
          <cell r="BT72">
            <v>4.4139154079246756</v>
          </cell>
          <cell r="BU72">
            <v>4.3419661315405964</v>
          </cell>
          <cell r="BV72">
            <v>4.8270669659558543</v>
          </cell>
          <cell r="BW72">
            <v>4.1167590033484638</v>
          </cell>
          <cell r="BX72">
            <v>3.8567481206226351</v>
          </cell>
          <cell r="BY72">
            <v>4.8372279565215814</v>
          </cell>
          <cell r="BZ72">
            <v>4.5705086386498026</v>
          </cell>
          <cell r="CA72">
            <v>5.1868183816803013</v>
          </cell>
          <cell r="CB72">
            <v>4.2777824058481624</v>
          </cell>
          <cell r="CC72">
            <v>4.1002424994543114</v>
          </cell>
          <cell r="CD72">
            <v>4.6309511053814356</v>
          </cell>
          <cell r="CE72">
            <v>4.6960829438232565</v>
          </cell>
          <cell r="CF72">
            <v>4.8129988528097023</v>
          </cell>
          <cell r="CG72">
            <v>3.904103131950603</v>
          </cell>
          <cell r="CH72">
            <v>3.5217198861941705</v>
          </cell>
          <cell r="CI72">
            <v>4.6268980373002941</v>
          </cell>
          <cell r="CJ72">
            <v>4.3624957898282242</v>
          </cell>
          <cell r="CK72">
            <v>4.9897054272365171</v>
          </cell>
          <cell r="CL72">
            <v>4.3745470278637155</v>
          </cell>
          <cell r="CM72">
            <v>1.0484247199766101</v>
          </cell>
          <cell r="CN72">
            <v>4.0872148777261756</v>
          </cell>
          <cell r="CO72">
            <v>4.3280797213156346</v>
          </cell>
          <cell r="CP72">
            <v>4.224887449013301</v>
          </cell>
          <cell r="CQ72">
            <v>4.1660413034846799</v>
          </cell>
          <cell r="CR72">
            <v>4.1792664998085955</v>
          </cell>
          <cell r="CS72">
            <v>4.4651604915677519</v>
          </cell>
          <cell r="CT72">
            <v>4.2199815941287468</v>
          </cell>
          <cell r="CU72">
            <v>4.5161740825059669</v>
          </cell>
          <cell r="CV72">
            <v>4.2716349446989943</v>
          </cell>
          <cell r="CW72">
            <v>4.280932790424675</v>
          </cell>
          <cell r="CX72">
            <v>4.5685424129793244</v>
          </cell>
          <cell r="CY72">
            <v>4.4005897406935128</v>
          </cell>
          <cell r="CZ72">
            <v>4.6353844994771372</v>
          </cell>
          <cell r="DA72">
            <v>4.3784641760820868</v>
          </cell>
          <cell r="DB72">
            <v>4.3870456566751628</v>
          </cell>
          <cell r="DC72">
            <v>4.6809803793019853</v>
          </cell>
          <cell r="DD72">
            <v>4.512768921213179</v>
          </cell>
          <cell r="DE72">
            <v>4.6789944569367794</v>
          </cell>
          <cell r="DF72">
            <v>4.4129164356877819</v>
          </cell>
          <cell r="DG72">
            <v>4.3994080139238889</v>
          </cell>
          <cell r="DH72">
            <v>4.6899192252447035</v>
          </cell>
          <cell r="DI72">
            <v>4.5442790926304015</v>
          </cell>
        </row>
        <row r="73">
          <cell r="B73" t="str">
            <v>Days of inventory in stock (DIOs)</v>
          </cell>
          <cell r="W73">
            <v>45.41227423077838</v>
          </cell>
          <cell r="X73">
            <v>44.642091607329768</v>
          </cell>
          <cell r="Y73">
            <v>45.866457703645658</v>
          </cell>
          <cell r="Z73">
            <v>32.885360495306571</v>
          </cell>
          <cell r="AA73">
            <v>42.201546009265094</v>
          </cell>
          <cell r="AB73">
            <v>50.119846897157558</v>
          </cell>
          <cell r="AC73">
            <v>46.599151993548311</v>
          </cell>
          <cell r="AD73">
            <v>45.17252281635843</v>
          </cell>
          <cell r="AE73">
            <v>31.489612738941567</v>
          </cell>
          <cell r="AF73">
            <v>43.345283611501465</v>
          </cell>
          <cell r="AG73">
            <v>43.375976703604501</v>
          </cell>
          <cell r="AH73">
            <v>43.929666641238846</v>
          </cell>
          <cell r="AI73">
            <v>43.887744971078305</v>
          </cell>
          <cell r="AJ73">
            <v>31.19743008235984</v>
          </cell>
          <cell r="AK73">
            <v>40.59770459957037</v>
          </cell>
          <cell r="AL73">
            <v>42.101500859136657</v>
          </cell>
          <cell r="AM73">
            <v>38.671608538243532</v>
          </cell>
          <cell r="AN73">
            <v>41.229861933103855</v>
          </cell>
          <cell r="AO73">
            <v>29.578013491054847</v>
          </cell>
          <cell r="AP73">
            <v>37.895246205384723</v>
          </cell>
          <cell r="AQ73">
            <v>52.126900603673697</v>
          </cell>
          <cell r="AR73">
            <v>50.282733378474838</v>
          </cell>
          <cell r="AS73">
            <v>49.900292280201128</v>
          </cell>
          <cell r="AT73">
            <v>30.133417952594201</v>
          </cell>
          <cell r="AU73">
            <v>45.610836053735966</v>
          </cell>
          <cell r="AW73">
            <v>38.671608538243532</v>
          </cell>
          <cell r="AX73">
            <v>40.781711259917941</v>
          </cell>
          <cell r="AY73">
            <v>29.578013491054847</v>
          </cell>
          <cell r="AZ73">
            <v>53.285276172644224</v>
          </cell>
          <cell r="BA73">
            <v>40.579152365465134</v>
          </cell>
          <cell r="BB73">
            <v>49.730175868821263</v>
          </cell>
          <cell r="BC73">
            <v>49.357897798894598</v>
          </cell>
          <cell r="BD73">
            <v>30.133417952594201</v>
          </cell>
          <cell r="BE73">
            <v>58.294932341328838</v>
          </cell>
          <cell r="BF73">
            <v>46.879105990409727</v>
          </cell>
          <cell r="BG73">
            <v>86.106931273699018</v>
          </cell>
          <cell r="BH73">
            <v>98.474579607446145</v>
          </cell>
          <cell r="BI73">
            <v>94.279732645965723</v>
          </cell>
          <cell r="BJ73">
            <v>74.878883208808489</v>
          </cell>
          <cell r="BK73">
            <v>88.435031683979844</v>
          </cell>
          <cell r="BL73">
            <v>84.366554373746169</v>
          </cell>
          <cell r="BM73">
            <v>90.93563411672072</v>
          </cell>
          <cell r="BN73">
            <v>96.297037676157601</v>
          </cell>
          <cell r="BO73">
            <v>74.405459060603249</v>
          </cell>
          <cell r="BP73">
            <v>86.501171306806924</v>
          </cell>
          <cell r="BQ73">
            <v>88.980716885633612</v>
          </cell>
          <cell r="BR73">
            <v>95.505246301457987</v>
          </cell>
          <cell r="BS73">
            <v>96.287151286640849</v>
          </cell>
          <cell r="BT73">
            <v>71.875935629985321</v>
          </cell>
          <cell r="BU73">
            <v>88.162262525929435</v>
          </cell>
          <cell r="BV73">
            <v>87.237514960287257</v>
          </cell>
          <cell r="BW73">
            <v>88.752009031537554</v>
          </cell>
          <cell r="BX73">
            <v>93.447433587014288</v>
          </cell>
          <cell r="BY73">
            <v>64.645880958935265</v>
          </cell>
          <cell r="BZ73">
            <v>83.520709634443591</v>
          </cell>
          <cell r="CA73">
            <v>82.247511928352395</v>
          </cell>
          <cell r="CB73">
            <v>85.75957148668806</v>
          </cell>
          <cell r="CC73">
            <v>89.563103605343713</v>
          </cell>
          <cell r="CD73">
            <v>70.873780985042274</v>
          </cell>
          <cell r="CE73">
            <v>82.110992001356621</v>
          </cell>
          <cell r="CF73">
            <v>88.015876678820334</v>
          </cell>
          <cell r="CG73">
            <v>93.575383903245083</v>
          </cell>
          <cell r="CH73">
            <v>109.63504136271968</v>
          </cell>
          <cell r="CI73">
            <v>66.561904321700951</v>
          </cell>
          <cell r="CJ73">
            <v>89.447051566621496</v>
          </cell>
          <cell r="CK73">
            <v>85.944681649697372</v>
          </cell>
          <cell r="CL73">
            <v>88.373258929755835</v>
          </cell>
          <cell r="CM73">
            <v>92.914827575074142</v>
          </cell>
          <cell r="CN73">
            <v>92.914827575074142</v>
          </cell>
          <cell r="CO73">
            <v>90.036898932400362</v>
          </cell>
          <cell r="CP73">
            <v>85</v>
          </cell>
          <cell r="CQ73">
            <v>85</v>
          </cell>
          <cell r="CR73">
            <v>85</v>
          </cell>
          <cell r="CS73">
            <v>85</v>
          </cell>
          <cell r="CT73">
            <v>85</v>
          </cell>
          <cell r="CU73">
            <v>83</v>
          </cell>
          <cell r="CV73">
            <v>83</v>
          </cell>
          <cell r="CW73">
            <v>83</v>
          </cell>
          <cell r="CX73">
            <v>83</v>
          </cell>
          <cell r="CY73">
            <v>83</v>
          </cell>
          <cell r="CZ73">
            <v>81</v>
          </cell>
          <cell r="DA73">
            <v>81</v>
          </cell>
          <cell r="DB73">
            <v>81</v>
          </cell>
          <cell r="DC73">
            <v>81</v>
          </cell>
          <cell r="DD73">
            <v>81</v>
          </cell>
          <cell r="DE73">
            <v>81</v>
          </cell>
          <cell r="DF73">
            <v>81</v>
          </cell>
          <cell r="DG73">
            <v>81</v>
          </cell>
          <cell r="DH73">
            <v>81</v>
          </cell>
          <cell r="DI73">
            <v>81</v>
          </cell>
        </row>
        <row r="74">
          <cell r="B74" t="str">
            <v>Payables payment period (DPOs)</v>
          </cell>
          <cell r="W74" t="str">
            <v>NM</v>
          </cell>
          <cell r="X74" t="str">
            <v>NM</v>
          </cell>
          <cell r="Y74" t="str">
            <v>NM</v>
          </cell>
          <cell r="Z74" t="str">
            <v>NM</v>
          </cell>
          <cell r="AA74" t="str">
            <v>NM</v>
          </cell>
          <cell r="AB74" t="str">
            <v>NM</v>
          </cell>
          <cell r="AC74" t="str">
            <v>NM</v>
          </cell>
          <cell r="AD74" t="str">
            <v>NM</v>
          </cell>
          <cell r="AE74" t="str">
            <v>NM</v>
          </cell>
          <cell r="AF74" t="str">
            <v>NM</v>
          </cell>
          <cell r="AG74" t="str">
            <v>NM</v>
          </cell>
          <cell r="AH74" t="str">
            <v>NM</v>
          </cell>
          <cell r="AI74" t="str">
            <v>NM</v>
          </cell>
          <cell r="AJ74" t="str">
            <v>NM</v>
          </cell>
          <cell r="AK74" t="str">
            <v>NM</v>
          </cell>
          <cell r="AL74" t="str">
            <v>NM</v>
          </cell>
          <cell r="AM74" t="str">
            <v>NM</v>
          </cell>
          <cell r="AN74" t="str">
            <v>NM</v>
          </cell>
          <cell r="AO74" t="str">
            <v>NM</v>
          </cell>
          <cell r="AP74" t="str">
            <v>NM</v>
          </cell>
          <cell r="AQ74" t="str">
            <v>NM</v>
          </cell>
          <cell r="AR74" t="str">
            <v>NM</v>
          </cell>
          <cell r="AS74" t="str">
            <v>NM</v>
          </cell>
          <cell r="AT74" t="str">
            <v>NM</v>
          </cell>
          <cell r="AU74" t="str">
            <v>NM</v>
          </cell>
          <cell r="AW74" t="str">
            <v>NM</v>
          </cell>
          <cell r="AX74" t="str">
            <v>NM</v>
          </cell>
          <cell r="AY74" t="str">
            <v>NM</v>
          </cell>
          <cell r="AZ74" t="str">
            <v>NM</v>
          </cell>
          <cell r="BA74" t="str">
            <v>NM</v>
          </cell>
          <cell r="BB74" t="str">
            <v>NM</v>
          </cell>
          <cell r="BC74" t="str">
            <v>NM</v>
          </cell>
          <cell r="BD74" t="str">
            <v>NM</v>
          </cell>
          <cell r="BE74" t="str">
            <v>NM</v>
          </cell>
          <cell r="BF74" t="str">
            <v>NM</v>
          </cell>
          <cell r="BG74">
            <v>99.714708162269233</v>
          </cell>
          <cell r="BH74">
            <v>106.54460561432661</v>
          </cell>
          <cell r="BI74">
            <v>90.972008497115425</v>
          </cell>
          <cell r="BJ74">
            <v>72.975641221503636</v>
          </cell>
          <cell r="BK74">
            <v>80.16676730190288</v>
          </cell>
          <cell r="BL74">
            <v>71.212885487030263</v>
          </cell>
          <cell r="BM74">
            <v>80.79408004670735</v>
          </cell>
          <cell r="BN74">
            <v>88.286046019598828</v>
          </cell>
          <cell r="BO74">
            <v>79.263240084802746</v>
          </cell>
          <cell r="BP74">
            <v>75.935548854814911</v>
          </cell>
          <cell r="BQ74">
            <v>77.031059624025872</v>
          </cell>
          <cell r="BR74">
            <v>79.219892492257316</v>
          </cell>
          <cell r="BS74">
            <v>85.441513515719862</v>
          </cell>
          <cell r="BT74">
            <v>84.133791066144411</v>
          </cell>
          <cell r="BU74">
            <v>104.80478313378759</v>
          </cell>
          <cell r="BV74">
            <v>84</v>
          </cell>
          <cell r="BW74">
            <v>84</v>
          </cell>
          <cell r="BX74">
            <v>84</v>
          </cell>
          <cell r="BY74">
            <v>80</v>
          </cell>
          <cell r="BZ74">
            <v>79.067703872870879</v>
          </cell>
          <cell r="CA74">
            <v>78.28309218319292</v>
          </cell>
          <cell r="CB74">
            <v>80.382887718663838</v>
          </cell>
          <cell r="CC74">
            <v>61.786516141307786</v>
          </cell>
          <cell r="CD74">
            <v>88.64091421932774</v>
          </cell>
          <cell r="CE74">
            <v>88.664981038442747</v>
          </cell>
          <cell r="CF74">
            <v>86.78174181935664</v>
          </cell>
          <cell r="CG74">
            <v>82.964292826808915</v>
          </cell>
          <cell r="CH74">
            <v>86.621879739767664</v>
          </cell>
          <cell r="CI74">
            <v>84.247931592327248</v>
          </cell>
          <cell r="CJ74">
            <v>93.051786369163665</v>
          </cell>
          <cell r="CK74">
            <v>71.964149068217012</v>
          </cell>
          <cell r="CL74">
            <v>72.905745642349899</v>
          </cell>
          <cell r="CM74">
            <v>79.647706151213683</v>
          </cell>
          <cell r="CN74">
            <v>73</v>
          </cell>
          <cell r="CO74">
            <v>74.505337528678595</v>
          </cell>
          <cell r="CP74">
            <v>74</v>
          </cell>
          <cell r="CQ74">
            <v>74</v>
          </cell>
          <cell r="CR74">
            <v>74</v>
          </cell>
          <cell r="CS74">
            <v>74</v>
          </cell>
          <cell r="CT74">
            <v>75.307770014189316</v>
          </cell>
          <cell r="CU74">
            <v>75</v>
          </cell>
          <cell r="CV74">
            <v>75</v>
          </cell>
          <cell r="CW74">
            <v>75</v>
          </cell>
          <cell r="CX74">
            <v>75</v>
          </cell>
          <cell r="CY74">
            <v>76.280380180704697</v>
          </cell>
          <cell r="CZ74">
            <v>76</v>
          </cell>
          <cell r="DA74">
            <v>76</v>
          </cell>
          <cell r="DB74">
            <v>76</v>
          </cell>
          <cell r="DC74">
            <v>76</v>
          </cell>
          <cell r="DD74">
            <v>77.307321863368998</v>
          </cell>
          <cell r="DE74">
            <v>76</v>
          </cell>
          <cell r="DF74">
            <v>76</v>
          </cell>
          <cell r="DG74">
            <v>76</v>
          </cell>
          <cell r="DH74">
            <v>76</v>
          </cell>
          <cell r="DI74">
            <v>77.403696591691258</v>
          </cell>
        </row>
        <row r="75">
          <cell r="B75" t="str">
            <v>Accounts Receivables DSOs</v>
          </cell>
          <cell r="W75">
            <v>82.607447085347403</v>
          </cell>
          <cell r="X75">
            <v>74.235478359908882</v>
          </cell>
          <cell r="Y75">
            <v>73.021912371645996</v>
          </cell>
          <cell r="Z75">
            <v>65.727717078195582</v>
          </cell>
          <cell r="AA75">
            <v>65.727717078195582</v>
          </cell>
          <cell r="AB75">
            <v>69.2874444608034</v>
          </cell>
          <cell r="AC75">
            <v>69.197426320980497</v>
          </cell>
          <cell r="AD75">
            <v>69.148758768287664</v>
          </cell>
          <cell r="AE75">
            <v>64.742827530974708</v>
          </cell>
          <cell r="AF75">
            <v>64.742827530974708</v>
          </cell>
          <cell r="AG75">
            <v>68.441876607063449</v>
          </cell>
          <cell r="AH75">
            <v>69.721406340877877</v>
          </cell>
          <cell r="AI75">
            <v>68.519298375743872</v>
          </cell>
          <cell r="AJ75">
            <v>68.946623719884784</v>
          </cell>
          <cell r="AK75">
            <v>68.946623719884784</v>
          </cell>
          <cell r="AL75">
            <v>75.420063101990209</v>
          </cell>
          <cell r="AM75">
            <v>72.505515603058853</v>
          </cell>
          <cell r="AN75">
            <v>71.173338912400084</v>
          </cell>
          <cell r="AO75">
            <v>67.787641401155781</v>
          </cell>
          <cell r="AP75">
            <v>67.787641401155781</v>
          </cell>
          <cell r="AQ75">
            <v>69.864908092013792</v>
          </cell>
          <cell r="AR75">
            <v>72.02490386376121</v>
          </cell>
          <cell r="AS75">
            <v>65.827487733659865</v>
          </cell>
          <cell r="AT75">
            <v>64.437141670862815</v>
          </cell>
          <cell r="AU75">
            <v>64.437141670862815</v>
          </cell>
          <cell r="AW75">
            <v>72.505515603058853</v>
          </cell>
          <cell r="AX75">
            <v>70.399715663352254</v>
          </cell>
          <cell r="AY75">
            <v>67.787641401155781</v>
          </cell>
          <cell r="AZ75">
            <v>71.417461605169663</v>
          </cell>
          <cell r="BA75">
            <v>71.417461605169663</v>
          </cell>
          <cell r="BB75">
            <v>71.233421403719888</v>
          </cell>
          <cell r="BC75">
            <v>65.111971562641813</v>
          </cell>
          <cell r="BD75">
            <v>64.437141670862815</v>
          </cell>
          <cell r="BE75">
            <v>69.377012139843643</v>
          </cell>
          <cell r="BF75">
            <v>69.377012139843643</v>
          </cell>
          <cell r="BG75">
            <v>66.761460693742364</v>
          </cell>
          <cell r="BH75">
            <v>69.114361363827612</v>
          </cell>
          <cell r="BI75">
            <v>75.433519999275731</v>
          </cell>
          <cell r="BJ75">
            <v>50.844858097922263</v>
          </cell>
          <cell r="BK75">
            <v>50.844858097922263</v>
          </cell>
          <cell r="BL75">
            <v>52.638131125205838</v>
          </cell>
          <cell r="BM75">
            <v>53.154181234596201</v>
          </cell>
          <cell r="BN75">
            <v>55.842648354636431</v>
          </cell>
          <cell r="BO75">
            <v>49.587341896854625</v>
          </cell>
          <cell r="BP75">
            <v>49.587341896854625</v>
          </cell>
          <cell r="BQ75">
            <v>51.935765401207043</v>
          </cell>
          <cell r="BR75">
            <v>51.384378344683199</v>
          </cell>
          <cell r="BS75">
            <v>54.352002099982073</v>
          </cell>
          <cell r="BT75">
            <v>50.055087756537439</v>
          </cell>
          <cell r="BU75">
            <v>50.055087756537439</v>
          </cell>
          <cell r="BV75">
            <v>51.124161737609462</v>
          </cell>
          <cell r="BW75">
            <v>49.124514800688566</v>
          </cell>
          <cell r="BX75">
            <v>50.689904563941802</v>
          </cell>
          <cell r="BY75">
            <v>50.358060345187155</v>
          </cell>
          <cell r="BZ75">
            <v>50.358060345187155</v>
          </cell>
          <cell r="CA75">
            <v>51.935465545645627</v>
          </cell>
          <cell r="CB75">
            <v>47.803575449976641</v>
          </cell>
          <cell r="CC75">
            <v>48.990440393528075</v>
          </cell>
          <cell r="CD75">
            <v>51.654589037904408</v>
          </cell>
          <cell r="CE75">
            <v>51.654589037904408</v>
          </cell>
          <cell r="CF75">
            <v>50.783634117606844</v>
          </cell>
          <cell r="CG75">
            <v>49.680343253642619</v>
          </cell>
          <cell r="CH75">
            <v>52.505697578422051</v>
          </cell>
          <cell r="CI75">
            <v>52.484485791533395</v>
          </cell>
          <cell r="CJ75">
            <v>52.484485791533395</v>
          </cell>
          <cell r="CK75">
            <v>53.672376458478354</v>
          </cell>
          <cell r="CL75">
            <v>49.857345300232851</v>
          </cell>
          <cell r="CM75">
            <v>53.740095313807885</v>
          </cell>
          <cell r="CN75">
            <v>52</v>
          </cell>
          <cell r="CO75">
            <v>52</v>
          </cell>
          <cell r="CP75">
            <v>52.672376458478354</v>
          </cell>
          <cell r="CQ75">
            <v>48.857345300232851</v>
          </cell>
          <cell r="CR75">
            <v>52.740095313807885</v>
          </cell>
          <cell r="CS75">
            <v>51</v>
          </cell>
          <cell r="CT75">
            <v>51</v>
          </cell>
          <cell r="CU75">
            <v>51.672376458478354</v>
          </cell>
          <cell r="CV75">
            <v>47.857345300232851</v>
          </cell>
          <cell r="CW75">
            <v>51.740095313807885</v>
          </cell>
          <cell r="CX75">
            <v>50</v>
          </cell>
          <cell r="CY75">
            <v>50</v>
          </cell>
          <cell r="CZ75">
            <v>50.672376458478354</v>
          </cell>
          <cell r="DA75">
            <v>46.857345300232851</v>
          </cell>
          <cell r="DB75">
            <v>50.740095313807885</v>
          </cell>
          <cell r="DC75">
            <v>49</v>
          </cell>
          <cell r="DD75">
            <v>49</v>
          </cell>
          <cell r="DE75">
            <v>49.672376458478354</v>
          </cell>
          <cell r="DF75">
            <v>45.857345300232851</v>
          </cell>
          <cell r="DG75">
            <v>49.740095313807885</v>
          </cell>
          <cell r="DH75">
            <v>48</v>
          </cell>
          <cell r="DI75">
            <v>48</v>
          </cell>
        </row>
        <row r="76">
          <cell r="B76" t="str">
            <v>Prepaid expenses and other assets (% of supplies &amp; rent)</v>
          </cell>
          <cell r="BK76">
            <v>7.735497733866907E-2</v>
          </cell>
          <cell r="BP76">
            <v>6.1815361747503794E-2</v>
          </cell>
          <cell r="BU76">
            <v>6.620876344593711E-2</v>
          </cell>
          <cell r="BZ76">
            <v>6.0920132973580246E-2</v>
          </cell>
          <cell r="CE76">
            <v>6.6521057678902595E-2</v>
          </cell>
          <cell r="CJ76">
            <v>7.6004812548656292E-2</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row>
        <row r="77">
          <cell r="B77" t="str">
            <v>Accrued payroll and related taxes (% of SW&amp;B)</v>
          </cell>
          <cell r="D77">
            <v>4.7597716743031204E-2</v>
          </cell>
          <cell r="E77">
            <v>5.7198190961409386E-2</v>
          </cell>
          <cell r="F77">
            <v>5.0635959826605056E-2</v>
          </cell>
          <cell r="G77">
            <v>6.0963730233464297E-2</v>
          </cell>
          <cell r="H77">
            <v>4.8959616517594132E-2</v>
          </cell>
          <cell r="I77">
            <v>4.2338271591181337E-2</v>
          </cell>
          <cell r="J77">
            <v>4.8931698915362802E-2</v>
          </cell>
          <cell r="K77">
            <v>5.4232906312702577E-2</v>
          </cell>
          <cell r="L77">
            <v>5.2141953035438525E-2</v>
          </cell>
          <cell r="M77">
            <v>0.22</v>
          </cell>
          <cell r="N77">
            <v>0.22</v>
          </cell>
          <cell r="O77">
            <v>0.22</v>
          </cell>
          <cell r="P77">
            <v>0.22056186939724692</v>
          </cell>
          <cell r="Q77">
            <v>6.0497568945047667E-2</v>
          </cell>
          <cell r="R77">
            <v>0.17399999999999999</v>
          </cell>
          <cell r="S77">
            <v>0.17399999999999999</v>
          </cell>
          <cell r="T77">
            <v>0.17399999999999999</v>
          </cell>
          <cell r="U77">
            <v>0.17446393762183238</v>
          </cell>
          <cell r="V77">
            <v>4.7493287788695375E-2</v>
          </cell>
          <cell r="W77">
            <v>0.17</v>
          </cell>
          <cell r="X77">
            <v>0.17</v>
          </cell>
          <cell r="Y77">
            <v>0.17</v>
          </cell>
          <cell r="Z77">
            <v>0.17028195518783684</v>
          </cell>
          <cell r="AA77">
            <v>4.4954857959143467E-2</v>
          </cell>
          <cell r="AB77">
            <v>0.17</v>
          </cell>
          <cell r="AC77">
            <v>0.17</v>
          </cell>
          <cell r="AD77">
            <v>0.17</v>
          </cell>
          <cell r="AE77">
            <v>0.16883222626955216</v>
          </cell>
          <cell r="AF77">
            <v>0.16883222626955216</v>
          </cell>
          <cell r="AG77">
            <v>0.18</v>
          </cell>
          <cell r="AH77">
            <v>0.18</v>
          </cell>
          <cell r="AI77">
            <v>0.19</v>
          </cell>
          <cell r="AJ77">
            <v>0.19032613339290824</v>
          </cell>
          <cell r="AK77">
            <v>0.19032613339290824</v>
          </cell>
          <cell r="AL77">
            <v>0.17</v>
          </cell>
          <cell r="AM77">
            <v>0.17</v>
          </cell>
          <cell r="AN77">
            <v>0.17</v>
          </cell>
          <cell r="AO77">
            <v>0.19661831314470923</v>
          </cell>
          <cell r="AP77">
            <v>0.19661831314470923</v>
          </cell>
          <cell r="AQ77">
            <v>0.19</v>
          </cell>
          <cell r="AR77">
            <v>0.19</v>
          </cell>
          <cell r="AS77">
            <v>0.19</v>
          </cell>
          <cell r="AT77">
            <v>0.20722211434057114</v>
          </cell>
          <cell r="AU77">
            <v>0.20722211434057114</v>
          </cell>
          <cell r="BK77">
            <v>5.1028737803873694E-2</v>
          </cell>
          <cell r="BP77">
            <v>4.5212341554266303E-2</v>
          </cell>
          <cell r="BU77">
            <v>3.7976587549459651E-2</v>
          </cell>
          <cell r="BZ77">
            <v>4.3895637338932585E-2</v>
          </cell>
          <cell r="CE77">
            <v>4.0794774648128786E-2</v>
          </cell>
          <cell r="CJ77">
            <v>3.4826060570041902E-2</v>
          </cell>
          <cell r="CK77">
            <v>0</v>
          </cell>
          <cell r="CL77">
            <v>0</v>
          </cell>
          <cell r="CM77">
            <v>0</v>
          </cell>
          <cell r="CN77">
            <v>0.04</v>
          </cell>
          <cell r="CO77">
            <v>0.04</v>
          </cell>
          <cell r="CP77">
            <v>0.05</v>
          </cell>
          <cell r="CQ77">
            <v>0.05</v>
          </cell>
          <cell r="CR77">
            <v>0.05</v>
          </cell>
          <cell r="CS77">
            <v>0.05</v>
          </cell>
          <cell r="CT77">
            <v>0.05</v>
          </cell>
          <cell r="CU77">
            <v>0.05</v>
          </cell>
          <cell r="CV77">
            <v>0.05</v>
          </cell>
          <cell r="CW77">
            <v>0.05</v>
          </cell>
          <cell r="CX77">
            <v>0.05</v>
          </cell>
          <cell r="CY77">
            <v>0.05</v>
          </cell>
          <cell r="CZ77">
            <v>0.05</v>
          </cell>
          <cell r="DA77">
            <v>0.05</v>
          </cell>
          <cell r="DB77">
            <v>0.05</v>
          </cell>
          <cell r="DC77">
            <v>0.05</v>
          </cell>
          <cell r="DD77">
            <v>0.05</v>
          </cell>
          <cell r="DE77">
            <v>0.05</v>
          </cell>
          <cell r="DF77">
            <v>0.05</v>
          </cell>
          <cell r="DG77">
            <v>0.05</v>
          </cell>
          <cell r="DH77">
            <v>0.05</v>
          </cell>
          <cell r="DI77">
            <v>0.05</v>
          </cell>
        </row>
        <row r="78">
          <cell r="B78" t="str">
            <v>Accrued expenses and other (% of supplies &amp; rent)</v>
          </cell>
          <cell r="D78">
            <v>7.8010770871816223E-2</v>
          </cell>
          <cell r="E78">
            <v>9.0613456613864538E-2</v>
          </cell>
          <cell r="F78">
            <v>7.1892384691238584E-2</v>
          </cell>
          <cell r="G78">
            <v>7.3993215329325221E-2</v>
          </cell>
          <cell r="H78">
            <v>5.7905560983608793E-2</v>
          </cell>
          <cell r="I78">
            <v>7.7310241876905314E-2</v>
          </cell>
          <cell r="J78">
            <v>6.7313729368963363E-2</v>
          </cell>
          <cell r="K78">
            <v>6.6000262963039846E-2</v>
          </cell>
          <cell r="L78">
            <v>5.6032363327522247E-2</v>
          </cell>
          <cell r="M78">
            <v>0.2</v>
          </cell>
          <cell r="N78">
            <v>0.2</v>
          </cell>
          <cell r="O78">
            <v>0.2</v>
          </cell>
          <cell r="P78">
            <v>0.25568745952946254</v>
          </cell>
          <cell r="Q78">
            <v>6.9949808089754942E-2</v>
          </cell>
          <cell r="R78">
            <v>0.24</v>
          </cell>
          <cell r="S78">
            <v>0.24</v>
          </cell>
          <cell r="T78">
            <v>0.24</v>
          </cell>
          <cell r="U78">
            <v>0.25491882010286915</v>
          </cell>
          <cell r="V78">
            <v>6.6224086095940299E-2</v>
          </cell>
          <cell r="W78">
            <v>0.27500000000000002</v>
          </cell>
          <cell r="X78">
            <v>0.27500000000000002</v>
          </cell>
          <cell r="Y78">
            <v>0.27500000000000002</v>
          </cell>
          <cell r="Z78">
            <v>0.27593672822135851</v>
          </cell>
          <cell r="AA78">
            <v>7.2255086896819545E-2</v>
          </cell>
          <cell r="AB78">
            <v>0.33</v>
          </cell>
          <cell r="AC78">
            <v>0.33</v>
          </cell>
          <cell r="AD78">
            <v>0.33</v>
          </cell>
          <cell r="AE78">
            <v>0.33042462479274776</v>
          </cell>
          <cell r="AF78">
            <v>0.33042462479274776</v>
          </cell>
          <cell r="AG78">
            <v>0.31</v>
          </cell>
          <cell r="AH78">
            <v>0.31</v>
          </cell>
          <cell r="AI78">
            <v>0.31</v>
          </cell>
          <cell r="AJ78">
            <v>0.30715306542644677</v>
          </cell>
          <cell r="AK78">
            <v>0.30715306542644677</v>
          </cell>
          <cell r="AL78">
            <v>0.24</v>
          </cell>
          <cell r="AM78">
            <v>0.24</v>
          </cell>
          <cell r="AN78">
            <v>0.24</v>
          </cell>
          <cell r="AO78">
            <v>0.34954711390123566</v>
          </cell>
          <cell r="AP78">
            <v>0.34954711390123566</v>
          </cell>
          <cell r="AQ78">
            <v>0.56679001623683123</v>
          </cell>
          <cell r="AR78">
            <v>0.5208040498046238</v>
          </cell>
          <cell r="AS78">
            <v>0.49436705105802176</v>
          </cell>
          <cell r="AT78">
            <v>0.50300930879520656</v>
          </cell>
          <cell r="AU78">
            <v>0.50300930879520656</v>
          </cell>
          <cell r="AW78">
            <v>45.296151317298424</v>
          </cell>
          <cell r="AX78">
            <v>48.788077941688485</v>
          </cell>
          <cell r="AY78">
            <v>32.15833447891368</v>
          </cell>
          <cell r="AZ78">
            <v>52.144681493788475</v>
          </cell>
          <cell r="BA78">
            <v>44.596811307922266</v>
          </cell>
          <cell r="BB78">
            <v>46.872364482416145</v>
          </cell>
          <cell r="BC78">
            <v>44.987401646279977</v>
          </cell>
          <cell r="BD78">
            <v>46.276856409159002</v>
          </cell>
          <cell r="BE78">
            <v>62.93912620572263</v>
          </cell>
          <cell r="BF78">
            <v>50.268937185894437</v>
          </cell>
          <cell r="BG78">
            <v>63.553101222845811</v>
          </cell>
          <cell r="BH78">
            <v>68.045407518105534</v>
          </cell>
          <cell r="BI78">
            <v>87.983143735704445</v>
          </cell>
          <cell r="BJ78">
            <v>46.850513629278709</v>
          </cell>
          <cell r="BK78">
            <v>66.608041526483618</v>
          </cell>
          <cell r="BL78">
            <v>69.245073683702756</v>
          </cell>
          <cell r="BM78">
            <v>68.131327041915142</v>
          </cell>
          <cell r="BN78">
            <v>65.562545430889884</v>
          </cell>
          <cell r="BO78">
            <v>37.068757322809049</v>
          </cell>
          <cell r="BP78">
            <v>60.001925869829208</v>
          </cell>
          <cell r="BQ78">
            <v>61.005684414761845</v>
          </cell>
          <cell r="BR78">
            <v>62.681229413456478</v>
          </cell>
          <cell r="BS78">
            <v>67.131164857480542</v>
          </cell>
          <cell r="BT78">
            <v>42.343689502866269</v>
          </cell>
          <cell r="BU78">
            <v>58.290442047141283</v>
          </cell>
          <cell r="BV78">
            <v>62.927170727031495</v>
          </cell>
          <cell r="BW78">
            <v>69.411428789458952</v>
          </cell>
          <cell r="BX78">
            <v>73.751558486781988</v>
          </cell>
          <cell r="BY78">
            <v>48.799652217115884</v>
          </cell>
          <cell r="BZ78">
            <v>63.722452555097078</v>
          </cell>
          <cell r="CA78">
            <v>68.239916608426796</v>
          </cell>
          <cell r="CB78">
            <v>64.257866548695873</v>
          </cell>
          <cell r="CC78">
            <v>73.933878934934484</v>
          </cell>
          <cell r="CD78">
            <v>45.263276988583826</v>
          </cell>
          <cell r="CE78">
            <v>62.923734770160252</v>
          </cell>
          <cell r="CF78">
            <v>64.078085626409163</v>
          </cell>
          <cell r="CG78">
            <v>64.854660766961644</v>
          </cell>
          <cell r="CH78">
            <v>80.005778464708925</v>
          </cell>
          <cell r="CI78">
            <v>59.970517325490142</v>
          </cell>
          <cell r="CJ78">
            <v>67.227260545892463</v>
          </cell>
          <cell r="CK78">
            <v>76.586166887668114</v>
          </cell>
          <cell r="CL78">
            <v>84.547951070131049</v>
          </cell>
          <cell r="CM78">
            <v>95.524478697539607</v>
          </cell>
          <cell r="CN78">
            <v>90</v>
          </cell>
          <cell r="CO78">
            <v>86.664649163834696</v>
          </cell>
          <cell r="CP78">
            <v>78.586166887668114</v>
          </cell>
          <cell r="CQ78">
            <v>86.547951070131049</v>
          </cell>
          <cell r="CR78">
            <v>97.524478697539607</v>
          </cell>
          <cell r="CS78">
            <v>92</v>
          </cell>
          <cell r="CT78">
            <v>88.664649163834696</v>
          </cell>
          <cell r="CU78">
            <v>80.586166887668114</v>
          </cell>
          <cell r="CV78">
            <v>88.547951070131049</v>
          </cell>
          <cell r="CW78">
            <v>99.524478697539607</v>
          </cell>
          <cell r="CX78">
            <v>94</v>
          </cell>
          <cell r="CY78">
            <v>90.664649163834696</v>
          </cell>
          <cell r="CZ78">
            <v>82.586166887668114</v>
          </cell>
          <cell r="DA78">
            <v>90.547951070131049</v>
          </cell>
          <cell r="DB78">
            <v>101.52447869753961</v>
          </cell>
          <cell r="DC78">
            <v>96</v>
          </cell>
          <cell r="DD78">
            <v>92.664649163834696</v>
          </cell>
          <cell r="DE78">
            <v>84.586166887668114</v>
          </cell>
          <cell r="DF78">
            <v>92.547951070131049</v>
          </cell>
          <cell r="DG78">
            <v>103.52447869753961</v>
          </cell>
          <cell r="DH78">
            <v>98</v>
          </cell>
          <cell r="DI78">
            <v>94.664649163834696</v>
          </cell>
        </row>
        <row r="80">
          <cell r="B80" t="str">
            <v>Fiscal Year ends December 31</v>
          </cell>
          <cell r="M80">
            <v>36160</v>
          </cell>
          <cell r="N80">
            <v>36250</v>
          </cell>
          <cell r="O80">
            <v>36341</v>
          </cell>
          <cell r="P80">
            <v>36433</v>
          </cell>
          <cell r="R80">
            <v>36525</v>
          </cell>
          <cell r="S80">
            <v>36616</v>
          </cell>
          <cell r="T80">
            <v>36707</v>
          </cell>
          <cell r="U80">
            <v>36799</v>
          </cell>
          <cell r="W80">
            <v>36891</v>
          </cell>
          <cell r="X80">
            <v>36981</v>
          </cell>
          <cell r="Y80">
            <v>37072</v>
          </cell>
          <cell r="Z80">
            <v>37164</v>
          </cell>
          <cell r="AB80">
            <v>37256</v>
          </cell>
          <cell r="AC80">
            <v>37346</v>
          </cell>
          <cell r="AD80">
            <v>37437</v>
          </cell>
          <cell r="AE80">
            <v>37529</v>
          </cell>
          <cell r="AG80">
            <v>37621</v>
          </cell>
          <cell r="AH80">
            <v>37711</v>
          </cell>
          <cell r="AI80">
            <v>37802</v>
          </cell>
          <cell r="AJ80">
            <v>37894</v>
          </cell>
          <cell r="AL80">
            <v>37986</v>
          </cell>
          <cell r="AM80">
            <v>38077</v>
          </cell>
          <cell r="AN80">
            <v>38168</v>
          </cell>
          <cell r="AO80">
            <v>38260</v>
          </cell>
          <cell r="AQ80">
            <v>38352</v>
          </cell>
          <cell r="AR80">
            <v>38442</v>
          </cell>
          <cell r="AS80">
            <v>38533</v>
          </cell>
          <cell r="AT80">
            <v>38625</v>
          </cell>
          <cell r="AW80">
            <v>38077</v>
          </cell>
          <cell r="AX80">
            <v>38168</v>
          </cell>
          <cell r="AY80">
            <v>38260</v>
          </cell>
          <cell r="AZ80">
            <v>38352</v>
          </cell>
          <cell r="BB80">
            <v>38442</v>
          </cell>
          <cell r="BC80">
            <v>38533</v>
          </cell>
          <cell r="BD80">
            <v>38625</v>
          </cell>
          <cell r="BE80">
            <v>38717</v>
          </cell>
          <cell r="BG80">
            <v>38807</v>
          </cell>
          <cell r="BH80">
            <v>38898</v>
          </cell>
          <cell r="BI80">
            <v>38990</v>
          </cell>
          <cell r="BJ80">
            <v>39082</v>
          </cell>
          <cell r="BL80">
            <v>39172</v>
          </cell>
          <cell r="BM80">
            <v>39263</v>
          </cell>
          <cell r="BN80">
            <v>39355</v>
          </cell>
          <cell r="BO80">
            <v>39447</v>
          </cell>
          <cell r="BQ80">
            <v>39538</v>
          </cell>
          <cell r="BR80">
            <v>39629</v>
          </cell>
          <cell r="BS80">
            <v>39721</v>
          </cell>
          <cell r="BT80">
            <v>39813</v>
          </cell>
          <cell r="BV80">
            <v>39903</v>
          </cell>
          <cell r="BW80">
            <v>39994</v>
          </cell>
          <cell r="BX80">
            <v>40086</v>
          </cell>
          <cell r="BY80">
            <v>40178</v>
          </cell>
          <cell r="CA80">
            <v>40268</v>
          </cell>
          <cell r="CB80">
            <v>40359</v>
          </cell>
          <cell r="CC80">
            <v>40451</v>
          </cell>
          <cell r="CD80">
            <v>40543</v>
          </cell>
          <cell r="CF80">
            <v>40633</v>
          </cell>
          <cell r="CG80">
            <v>40724</v>
          </cell>
          <cell r="CH80">
            <v>40816</v>
          </cell>
          <cell r="CI80">
            <v>40908</v>
          </cell>
          <cell r="CK80">
            <v>40999</v>
          </cell>
          <cell r="CL80">
            <v>41364</v>
          </cell>
          <cell r="CM80">
            <v>41182</v>
          </cell>
          <cell r="CN80">
            <v>41274</v>
          </cell>
          <cell r="CP80">
            <v>41364</v>
          </cell>
          <cell r="CQ80">
            <v>41455</v>
          </cell>
          <cell r="CR80">
            <v>41547</v>
          </cell>
          <cell r="CS80">
            <v>41639</v>
          </cell>
          <cell r="CU80">
            <v>41729</v>
          </cell>
          <cell r="CV80">
            <v>41820</v>
          </cell>
          <cell r="CW80">
            <v>41912</v>
          </cell>
          <cell r="CX80">
            <v>42004</v>
          </cell>
          <cell r="CZ80">
            <v>42094</v>
          </cell>
          <cell r="DA80">
            <v>42185</v>
          </cell>
          <cell r="DB80">
            <v>42277</v>
          </cell>
          <cell r="DC80">
            <v>42369</v>
          </cell>
          <cell r="DE80">
            <v>42460</v>
          </cell>
          <cell r="DF80">
            <v>42551</v>
          </cell>
          <cell r="DG80">
            <v>42643</v>
          </cell>
          <cell r="DH80">
            <v>42735</v>
          </cell>
        </row>
        <row r="81">
          <cell r="B81" t="str">
            <v>($ Million, except per share data)</v>
          </cell>
          <cell r="D81" t="str">
            <v>1990A</v>
          </cell>
          <cell r="E81" t="str">
            <v>F1991A</v>
          </cell>
          <cell r="F81" t="str">
            <v>F1992A</v>
          </cell>
          <cell r="G81" t="str">
            <v>F1993A</v>
          </cell>
          <cell r="H81" t="str">
            <v>F1994A</v>
          </cell>
          <cell r="I81" t="str">
            <v>F1995A</v>
          </cell>
          <cell r="J81" t="str">
            <v>F1996A</v>
          </cell>
          <cell r="K81" t="str">
            <v>F1997A</v>
          </cell>
          <cell r="L81" t="str">
            <v>F1998A</v>
          </cell>
          <cell r="M81" t="str">
            <v>F1Q99A</v>
          </cell>
          <cell r="N81" t="str">
            <v>F2Q99A</v>
          </cell>
          <cell r="O81" t="str">
            <v>F3Q99A</v>
          </cell>
          <cell r="P81" t="str">
            <v>F4Q99A</v>
          </cell>
          <cell r="Q81" t="str">
            <v>F1999A</v>
          </cell>
          <cell r="R81" t="str">
            <v>F1Q00A</v>
          </cell>
          <cell r="S81" t="str">
            <v>F2Q00A</v>
          </cell>
          <cell r="T81" t="str">
            <v>F3Q00A</v>
          </cell>
          <cell r="U81" t="str">
            <v>F4Q00A</v>
          </cell>
          <cell r="V81" t="str">
            <v>F2000A</v>
          </cell>
          <cell r="W81" t="str">
            <v>F1Q01A</v>
          </cell>
          <cell r="X81" t="str">
            <v>F2Q01A</v>
          </cell>
          <cell r="Y81" t="str">
            <v>F3Q01A</v>
          </cell>
          <cell r="Z81" t="str">
            <v>F4Q01A</v>
          </cell>
          <cell r="AA81" t="str">
            <v>F2001A</v>
          </cell>
          <cell r="AB81" t="str">
            <v>F1Q02A</v>
          </cell>
          <cell r="AC81" t="str">
            <v>F2Q02A</v>
          </cell>
          <cell r="AD81" t="str">
            <v>F3Q02A</v>
          </cell>
          <cell r="AE81" t="str">
            <v>F4Q02A</v>
          </cell>
          <cell r="AF81" t="str">
            <v>F2002A</v>
          </cell>
          <cell r="AG81" t="str">
            <v>F1Q03A</v>
          </cell>
          <cell r="AH81" t="str">
            <v>F2Q03A</v>
          </cell>
          <cell r="AI81" t="str">
            <v>F3Q03A</v>
          </cell>
          <cell r="AJ81" t="str">
            <v>F4Q03A</v>
          </cell>
          <cell r="AK81" t="str">
            <v>F2003A</v>
          </cell>
          <cell r="AL81" t="str">
            <v>F1Q04A</v>
          </cell>
          <cell r="AM81" t="str">
            <v>F2Q04A</v>
          </cell>
          <cell r="AN81" t="str">
            <v>F3Q04A</v>
          </cell>
          <cell r="AO81" t="str">
            <v>F4Q04A</v>
          </cell>
          <cell r="AP81" t="str">
            <v>F2004A</v>
          </cell>
          <cell r="AQ81" t="str">
            <v>F1Q05A</v>
          </cell>
          <cell r="AR81" t="str">
            <v>F2Q05A</v>
          </cell>
          <cell r="AS81" t="str">
            <v>F3Q05A</v>
          </cell>
          <cell r="AT81" t="str">
            <v>F4Q05A</v>
          </cell>
          <cell r="AU81" t="str">
            <v>F2005A</v>
          </cell>
          <cell r="AW81" t="str">
            <v>1Q04A</v>
          </cell>
          <cell r="AX81" t="str">
            <v>2Q04A</v>
          </cell>
          <cell r="AY81" t="str">
            <v>3Q04A</v>
          </cell>
          <cell r="AZ81" t="str">
            <v>4Q04A</v>
          </cell>
          <cell r="BA81" t="str">
            <v>2004A</v>
          </cell>
          <cell r="BB81" t="str">
            <v>1Q05A</v>
          </cell>
          <cell r="BC81" t="str">
            <v>2Q05A</v>
          </cell>
          <cell r="BD81" t="str">
            <v>3Q05A</v>
          </cell>
          <cell r="BE81" t="str">
            <v>4Q05A</v>
          </cell>
          <cell r="BF81" t="str">
            <v>2005A</v>
          </cell>
          <cell r="BG81" t="str">
            <v>1Q06A</v>
          </cell>
          <cell r="BH81" t="str">
            <v>2Q06A</v>
          </cell>
          <cell r="BI81" t="str">
            <v>3Q06A</v>
          </cell>
          <cell r="BJ81" t="str">
            <v>4Q06A</v>
          </cell>
          <cell r="BK81" t="str">
            <v>2006A</v>
          </cell>
          <cell r="BL81" t="str">
            <v>1Q07A</v>
          </cell>
          <cell r="BM81" t="str">
            <v>2Q07A</v>
          </cell>
          <cell r="BN81" t="str">
            <v>3Q07A</v>
          </cell>
          <cell r="BO81" t="str">
            <v>4Q07A</v>
          </cell>
          <cell r="BP81" t="str">
            <v>2007A</v>
          </cell>
          <cell r="BQ81" t="str">
            <v>1Q08A</v>
          </cell>
          <cell r="BR81" t="str">
            <v>2Q08A</v>
          </cell>
          <cell r="BS81" t="str">
            <v>3Q08A</v>
          </cell>
          <cell r="BT81" t="str">
            <v>4Q08A</v>
          </cell>
          <cell r="BU81" t="str">
            <v>2008A</v>
          </cell>
          <cell r="BV81" t="str">
            <v>1Q09A</v>
          </cell>
          <cell r="BW81" t="str">
            <v>2Q09A</v>
          </cell>
          <cell r="BX81" t="str">
            <v>3Q09A</v>
          </cell>
          <cell r="BY81" t="str">
            <v>4Q09A</v>
          </cell>
          <cell r="BZ81" t="str">
            <v>2009A</v>
          </cell>
          <cell r="CA81" t="str">
            <v>1Q10A</v>
          </cell>
          <cell r="CB81" t="str">
            <v>2Q10A</v>
          </cell>
          <cell r="CC81" t="str">
            <v>3Q10A</v>
          </cell>
          <cell r="CD81" t="str">
            <v>4Q10A</v>
          </cell>
          <cell r="CE81" t="str">
            <v>2010A</v>
          </cell>
          <cell r="CF81" t="str">
            <v>1Q11A</v>
          </cell>
          <cell r="CG81" t="str">
            <v>2Q11A</v>
          </cell>
          <cell r="CH81" t="str">
            <v>3Q11A</v>
          </cell>
          <cell r="CI81" t="str">
            <v>4Q11A</v>
          </cell>
          <cell r="CJ81" t="str">
            <v>2011A</v>
          </cell>
          <cell r="CK81" t="str">
            <v>1Q12A</v>
          </cell>
          <cell r="CL81" t="str">
            <v>2Q12A</v>
          </cell>
          <cell r="CM81" t="str">
            <v>3Q12A</v>
          </cell>
          <cell r="CN81" t="str">
            <v>4Q12E</v>
          </cell>
          <cell r="CO81" t="str">
            <v>2012E</v>
          </cell>
          <cell r="CP81" t="str">
            <v>1Q13E</v>
          </cell>
          <cell r="CQ81" t="str">
            <v>2Q13E</v>
          </cell>
          <cell r="CR81" t="str">
            <v>3Q13E</v>
          </cell>
          <cell r="CS81" t="str">
            <v>4Q13E</v>
          </cell>
          <cell r="CT81" t="str">
            <v>2013E</v>
          </cell>
          <cell r="CU81" t="str">
            <v>1Q14E</v>
          </cell>
          <cell r="CV81" t="str">
            <v>2Q14E</v>
          </cell>
          <cell r="CW81" t="str">
            <v>3Q14E</v>
          </cell>
          <cell r="CX81" t="str">
            <v>4Q14E</v>
          </cell>
          <cell r="CY81" t="str">
            <v>2014E</v>
          </cell>
          <cell r="CZ81" t="str">
            <v>1Q15E</v>
          </cell>
          <cell r="DA81" t="str">
            <v>2Q15E</v>
          </cell>
          <cell r="DB81" t="str">
            <v>3Q15E</v>
          </cell>
          <cell r="DC81" t="str">
            <v>4Q15E</v>
          </cell>
          <cell r="DD81" t="str">
            <v>2015E</v>
          </cell>
          <cell r="DE81" t="str">
            <v>1Q16E</v>
          </cell>
          <cell r="DF81" t="str">
            <v>2Q16E</v>
          </cell>
          <cell r="DG81" t="str">
            <v>3Q16E</v>
          </cell>
          <cell r="DH81" t="str">
            <v>4Q16E</v>
          </cell>
          <cell r="DI81" t="str">
            <v>2016E</v>
          </cell>
        </row>
        <row r="83">
          <cell r="B83" t="str">
            <v>Accounts Receivable</v>
          </cell>
        </row>
        <row r="84">
          <cell r="B84" t="str">
            <v>Y/Y increase in sales</v>
          </cell>
          <cell r="D84">
            <v>0.38011859768017731</v>
          </cell>
          <cell r="E84">
            <v>0.15795611752985228</v>
          </cell>
          <cell r="F84">
            <v>0.23093452723172958</v>
          </cell>
          <cell r="G84">
            <v>0.14868011779397983</v>
          </cell>
          <cell r="H84">
            <v>0.26415143309484468</v>
          </cell>
          <cell r="I84">
            <v>0.21153100377310308</v>
          </cell>
          <cell r="J84">
            <v>0.34499165872708026</v>
          </cell>
          <cell r="K84">
            <v>0.25361989144875441</v>
          </cell>
          <cell r="L84">
            <v>0.27171958788674688</v>
          </cell>
          <cell r="M84" t="str">
            <v>NA</v>
          </cell>
          <cell r="N84" t="str">
            <v>NA</v>
          </cell>
          <cell r="O84" t="str">
            <v>NA</v>
          </cell>
          <cell r="P84" t="str">
            <v>NA</v>
          </cell>
          <cell r="Q84">
            <v>0.19046770202370555</v>
          </cell>
          <cell r="R84">
            <v>0.21145285044648698</v>
          </cell>
          <cell r="S84">
            <v>0.20281797096671639</v>
          </cell>
          <cell r="T84">
            <v>0.10958569876274193</v>
          </cell>
          <cell r="U84">
            <v>0.13947037626749337</v>
          </cell>
          <cell r="V84">
            <v>0.16379645454364389</v>
          </cell>
          <cell r="W84">
            <v>0.173315427972353</v>
          </cell>
          <cell r="X84">
            <v>0.17738434620890486</v>
          </cell>
          <cell r="Y84">
            <v>0.20993150071976663</v>
          </cell>
          <cell r="Z84">
            <v>0.20420230486934909</v>
          </cell>
          <cell r="AA84">
            <v>0.19143130766456662</v>
          </cell>
          <cell r="AB84">
            <v>0.14182117138797468</v>
          </cell>
          <cell r="AC84">
            <v>0.20535224381889816</v>
          </cell>
          <cell r="AD84">
            <v>0.25205461503836624</v>
          </cell>
          <cell r="AE84">
            <v>0.20996626745409874</v>
          </cell>
          <cell r="AF84">
            <v>0.20363857663656937</v>
          </cell>
          <cell r="AG84">
            <v>0.22911090897723163</v>
          </cell>
          <cell r="AH84">
            <v>0.11470683578527741</v>
          </cell>
          <cell r="AI84">
            <v>9.2241711056650244E-2</v>
          </cell>
          <cell r="AJ84">
            <v>0.10633694284233686</v>
          </cell>
          <cell r="AK84">
            <v>0.13169577844259783</v>
          </cell>
          <cell r="AL84">
            <v>0.24143323394905636</v>
          </cell>
          <cell r="AM84">
            <v>0.28993521761189966</v>
          </cell>
          <cell r="AN84">
            <v>0.26303028617257529</v>
          </cell>
          <cell r="AO84">
            <v>0.21370890476581517</v>
          </cell>
          <cell r="AP84">
            <v>0.2520171242720386</v>
          </cell>
          <cell r="AQ84">
            <v>8.6746070665240982E-2</v>
          </cell>
          <cell r="AR84">
            <v>0.10018023592558878</v>
          </cell>
          <cell r="AS84">
            <v>0.14305289958536282</v>
          </cell>
          <cell r="AT84">
            <v>0.13470762476130327</v>
          </cell>
          <cell r="AU84">
            <v>0.11653568359438982</v>
          </cell>
          <cell r="AW84">
            <v>0.28993521761189966</v>
          </cell>
          <cell r="AX84">
            <v>0.26303028617257529</v>
          </cell>
          <cell r="AY84">
            <v>0.21370890476581517</v>
          </cell>
          <cell r="AZ84">
            <v>8.6746070665240982E-2</v>
          </cell>
          <cell r="BA84">
            <v>0.10018023592558878</v>
          </cell>
          <cell r="BB84">
            <v>0.10018023592558878</v>
          </cell>
          <cell r="BC84">
            <v>0.14305289958536282</v>
          </cell>
          <cell r="BD84">
            <v>0.13470762476130327</v>
          </cell>
          <cell r="BE84">
            <v>0.13904724142250924</v>
          </cell>
          <cell r="BF84">
            <v>0.1290821708487786</v>
          </cell>
          <cell r="BG84">
            <v>0.12557877939676154</v>
          </cell>
          <cell r="BH84">
            <v>9.3915638406274926E-2</v>
          </cell>
          <cell r="BI84">
            <v>9.7747109073401672E-2</v>
          </cell>
          <cell r="BJ84">
            <v>0.12411065421039758</v>
          </cell>
          <cell r="BK84">
            <v>0.11037474345573539</v>
          </cell>
          <cell r="BL84">
            <v>0.10736641295295635</v>
          </cell>
          <cell r="BM84">
            <v>7.5493685947049416E-2</v>
          </cell>
          <cell r="BN84">
            <v>7.6528677381097365E-2</v>
          </cell>
          <cell r="BO84">
            <v>4.1363764601280772E-2</v>
          </cell>
          <cell r="BP84">
            <v>7.5009203927334012E-2</v>
          </cell>
          <cell r="BQ84">
            <v>7.9044505055823056E-3</v>
          </cell>
          <cell r="BR84">
            <v>5.5842592668406965E-3</v>
          </cell>
          <cell r="BS84">
            <v>1.0956008705004461E-2</v>
          </cell>
          <cell r="BT84">
            <v>1.4182533992290303E-2</v>
          </cell>
          <cell r="BU84">
            <v>9.6276820011789166E-3</v>
          </cell>
          <cell r="BV84">
            <v>3.0758165216576483E-2</v>
          </cell>
          <cell r="BW84">
            <v>4.5375957093962915E-2</v>
          </cell>
          <cell r="BX84">
            <v>3.6961348129333826E-2</v>
          </cell>
          <cell r="BY84">
            <v>7.8199286579015093E-2</v>
          </cell>
          <cell r="BZ84">
            <v>4.7744063890577948E-2</v>
          </cell>
          <cell r="CA84">
            <v>8.1644883979518967E-2</v>
          </cell>
          <cell r="CB84">
            <v>7.9911515223899166E-2</v>
          </cell>
          <cell r="CC84">
            <v>0.13259256816320142</v>
          </cell>
          <cell r="CD84">
            <v>0.1278719020329171</v>
          </cell>
          <cell r="CE84">
            <v>0.10535147998059258</v>
          </cell>
          <cell r="CF84">
            <v>0.11565743385895466</v>
          </cell>
          <cell r="CG84">
            <v>0.11826217134815487</v>
          </cell>
          <cell r="CH84">
            <v>0.10198251458495133</v>
          </cell>
          <cell r="CI84">
            <v>0.1713793554867058</v>
          </cell>
          <cell r="CJ84">
            <v>0.12753078057632949</v>
          </cell>
          <cell r="CK84">
            <v>0.17638795207447333</v>
          </cell>
          <cell r="CL84">
            <v>0.20868411075906956</v>
          </cell>
          <cell r="CM84">
            <v>0.18849786180122896</v>
          </cell>
          <cell r="CN84">
            <v>8.2702538235712719E-2</v>
          </cell>
          <cell r="CO84">
            <v>0.16153246024465906</v>
          </cell>
          <cell r="CP84">
            <v>5.1691259903809517E-2</v>
          </cell>
          <cell r="CQ84">
            <v>3.6619789502220224E-2</v>
          </cell>
          <cell r="CR84">
            <v>3.7744850068371916E-2</v>
          </cell>
          <cell r="CS84">
            <v>3.4818273051297588E-2</v>
          </cell>
          <cell r="CT84">
            <v>4.0204127220839547E-2</v>
          </cell>
          <cell r="CU84">
            <v>1.9756752552028356E-2</v>
          </cell>
          <cell r="CV84">
            <v>1.8714341238973198E-2</v>
          </cell>
          <cell r="CW84">
            <v>1.9778379242177069E-2</v>
          </cell>
          <cell r="CX84">
            <v>1.7821537451871095E-2</v>
          </cell>
          <cell r="CY84">
            <v>1.9013662459252956E-2</v>
          </cell>
          <cell r="CZ84">
            <v>4.0015923781028473E-2</v>
          </cell>
          <cell r="DA84">
            <v>3.8673786306765212E-2</v>
          </cell>
          <cell r="DB84">
            <v>3.9512490880724949E-2</v>
          </cell>
          <cell r="DC84">
            <v>4.1657731082946015E-2</v>
          </cell>
          <cell r="DD84">
            <v>3.9972364174829966E-2</v>
          </cell>
          <cell r="DE84">
            <v>4.4568861946563398E-2</v>
          </cell>
          <cell r="DF84">
            <v>4.2163398344305492E-2</v>
          </cell>
          <cell r="DG84">
            <v>4.2787805693798031E-2</v>
          </cell>
          <cell r="DH84">
            <v>4.0298417987587154E-2</v>
          </cell>
          <cell r="DI84">
            <v>4.2453528289148279E-2</v>
          </cell>
        </row>
        <row r="85">
          <cell r="B85" t="str">
            <v>Y/Y increase in gross A/R</v>
          </cell>
          <cell r="D85" t="str">
            <v>NM</v>
          </cell>
          <cell r="E85" t="str">
            <v>NM</v>
          </cell>
          <cell r="F85" t="str">
            <v>NM</v>
          </cell>
          <cell r="G85" t="str">
            <v>NM</v>
          </cell>
          <cell r="H85" t="str">
            <v>NM</v>
          </cell>
          <cell r="I85" t="str">
            <v>NM</v>
          </cell>
          <cell r="J85" t="str">
            <v>NM</v>
          </cell>
          <cell r="K85" t="str">
            <v>NM</v>
          </cell>
          <cell r="L85" t="str">
            <v>NM</v>
          </cell>
          <cell r="M85" t="str">
            <v>NM</v>
          </cell>
          <cell r="N85" t="str">
            <v>NM</v>
          </cell>
          <cell r="O85" t="str">
            <v>NM</v>
          </cell>
          <cell r="P85" t="str">
            <v>NM</v>
          </cell>
          <cell r="Q85" t="str">
            <v>NM</v>
          </cell>
          <cell r="R85" t="str">
            <v>NM</v>
          </cell>
          <cell r="S85" t="str">
            <v>NM</v>
          </cell>
          <cell r="T85" t="str">
            <v>NM</v>
          </cell>
          <cell r="U85">
            <v>8.2958432916256708E-2</v>
          </cell>
          <cell r="V85">
            <v>8.2958432916256708E-2</v>
          </cell>
          <cell r="W85" t="str">
            <v>NM</v>
          </cell>
          <cell r="X85" t="str">
            <v>NM</v>
          </cell>
          <cell r="Y85" t="str">
            <v>NM</v>
          </cell>
          <cell r="Z85">
            <v>1.1988705821261991E-2</v>
          </cell>
          <cell r="AA85">
            <v>1.1988705821261991E-2</v>
          </cell>
          <cell r="AB85" t="str">
            <v>NM</v>
          </cell>
          <cell r="AC85" t="str">
            <v>NM</v>
          </cell>
          <cell r="AD85" t="str">
            <v>NM</v>
          </cell>
          <cell r="AE85">
            <v>0.19061159738821454</v>
          </cell>
          <cell r="AF85">
            <v>0.19061159738821454</v>
          </cell>
          <cell r="AG85" t="str">
            <v>NM</v>
          </cell>
          <cell r="AH85" t="str">
            <v>NM</v>
          </cell>
          <cell r="AI85" t="str">
            <v>NM</v>
          </cell>
          <cell r="AJ85">
            <v>0.1560874874299667</v>
          </cell>
          <cell r="AK85">
            <v>0.1560874874299667</v>
          </cell>
          <cell r="AL85" t="str">
            <v>NM</v>
          </cell>
          <cell r="AM85" t="str">
            <v>NM</v>
          </cell>
          <cell r="AN85" t="str">
            <v>NM</v>
          </cell>
          <cell r="AO85">
            <v>0.2029863218815724</v>
          </cell>
          <cell r="AP85">
            <v>0.2029863218815724</v>
          </cell>
          <cell r="AQ85" t="str">
            <v>NM</v>
          </cell>
          <cell r="AR85" t="str">
            <v>NM</v>
          </cell>
          <cell r="AS85" t="str">
            <v>NM</v>
          </cell>
          <cell r="AT85">
            <v>0.18931806297087728</v>
          </cell>
          <cell r="AU85">
            <v>0.18931806297087728</v>
          </cell>
          <cell r="AW85" t="str">
            <v>NM</v>
          </cell>
          <cell r="AX85" t="str">
            <v>NM</v>
          </cell>
          <cell r="BA85" t="str">
            <v>NM</v>
          </cell>
          <cell r="BB85" t="str">
            <v>NM</v>
          </cell>
          <cell r="BC85" t="str">
            <v>NM</v>
          </cell>
          <cell r="BD85" t="str">
            <v>NM</v>
          </cell>
          <cell r="BE85" t="str">
            <v>NM</v>
          </cell>
          <cell r="BF85" t="str">
            <v>NM</v>
          </cell>
          <cell r="BG85" t="str">
            <v>NM</v>
          </cell>
          <cell r="BH85" t="str">
            <v>NM</v>
          </cell>
          <cell r="BI85" t="str">
            <v>NM</v>
          </cell>
          <cell r="BJ85" t="str">
            <v>NM</v>
          </cell>
          <cell r="BK85" t="str">
            <v>NM</v>
          </cell>
          <cell r="BL85" t="str">
            <v>NM</v>
          </cell>
          <cell r="BM85" t="str">
            <v>NM</v>
          </cell>
          <cell r="BN85" t="str">
            <v>NM</v>
          </cell>
          <cell r="BO85">
            <v>-2.8892761340902573E-2</v>
          </cell>
          <cell r="BP85">
            <v>-2.8892761340902573E-2</v>
          </cell>
          <cell r="BQ85" t="str">
            <v>NM</v>
          </cell>
          <cell r="BR85" t="str">
            <v>NM</v>
          </cell>
          <cell r="BS85" t="str">
            <v>NM</v>
          </cell>
          <cell r="BT85">
            <v>-2.1086645372278667E-2</v>
          </cell>
          <cell r="BU85">
            <v>-2.1086645372278667E-2</v>
          </cell>
          <cell r="BV85" t="str">
            <v>NM</v>
          </cell>
          <cell r="BW85" t="str">
            <v>NM</v>
          </cell>
          <cell r="BX85" t="str">
            <v>NM</v>
          </cell>
          <cell r="BY85">
            <v>5.4960861520944926E-2</v>
          </cell>
          <cell r="BZ85">
            <v>5.4960861520944926E-2</v>
          </cell>
          <cell r="CA85" t="str">
            <v>NM</v>
          </cell>
          <cell r="CB85" t="str">
            <v>NM</v>
          </cell>
          <cell r="CC85" t="str">
            <v>NM</v>
          </cell>
          <cell r="CD85">
            <v>0.12837852422392415</v>
          </cell>
          <cell r="CE85">
            <v>0.12837852422392415</v>
          </cell>
          <cell r="CF85" t="str">
            <v>NM</v>
          </cell>
          <cell r="CG85">
            <v>0.1582154632450834</v>
          </cell>
          <cell r="CH85">
            <v>0.16775159591122413</v>
          </cell>
          <cell r="CI85">
            <v>0.1816267434603549</v>
          </cell>
          <cell r="CJ85">
            <v>0.1816267434603549</v>
          </cell>
          <cell r="CK85">
            <v>0.20616461965494093</v>
          </cell>
          <cell r="CL85">
            <v>0.19243041412084172</v>
          </cell>
          <cell r="CM85">
            <v>0.2465227073800369</v>
          </cell>
          <cell r="CN85">
            <v>0.16532796509708536</v>
          </cell>
          <cell r="CO85">
            <v>0.16532796509708536</v>
          </cell>
          <cell r="CP85">
            <v>0.16230729738400673</v>
          </cell>
          <cell r="CQ85">
            <v>-1.7688583867331964E-2</v>
          </cell>
          <cell r="CR85">
            <v>0.1581415247083322</v>
          </cell>
          <cell r="CS85">
            <v>0.17373060427451481</v>
          </cell>
          <cell r="CT85">
            <v>0.17373060427451481</v>
          </cell>
          <cell r="CU85">
            <v>0.12752273616428722</v>
          </cell>
          <cell r="CV85">
            <v>-4.0717484854255415E-2</v>
          </cell>
          <cell r="CW85">
            <v>6.8503003586201761E-2</v>
          </cell>
          <cell r="CX85">
            <v>3.8825052331707965E-2</v>
          </cell>
          <cell r="CY85">
            <v>3.8825052331707965E-2</v>
          </cell>
          <cell r="CZ85">
            <v>3.7013563993828491E-2</v>
          </cell>
          <cell r="DA85">
            <v>-5.3058638301050509E-2</v>
          </cell>
          <cell r="DB85">
            <v>1.1753883326322434E-2</v>
          </cell>
          <cell r="DC85">
            <v>-5.0303456080913467E-4</v>
          </cell>
          <cell r="DD85">
            <v>-5.0303456080913467E-4</v>
          </cell>
          <cell r="DE85">
            <v>-1.26494024329602E-2</v>
          </cell>
          <cell r="DF85">
            <v>-6.0510399027619677E-2</v>
          </cell>
          <cell r="DG85">
            <v>-2.8037077664171295E-2</v>
          </cell>
          <cell r="DH85">
            <v>-3.9503766109667215E-2</v>
          </cell>
          <cell r="DI85">
            <v>-3.9503766109667215E-2</v>
          </cell>
        </row>
        <row r="86">
          <cell r="B86" t="str">
            <v>Accounts receivable turnover</v>
          </cell>
          <cell r="M86">
            <v>3.092963573991149</v>
          </cell>
          <cell r="N86">
            <v>3.0097484017565961</v>
          </cell>
          <cell r="O86">
            <v>3.1603839159311486</v>
          </cell>
          <cell r="P86">
            <v>3.4133188077879271</v>
          </cell>
          <cell r="R86">
            <v>3.5571557496203665</v>
          </cell>
          <cell r="S86">
            <v>3.4160551076091079</v>
          </cell>
          <cell r="T86">
            <v>3.5058233337339142</v>
          </cell>
          <cell r="U86">
            <v>3.3212672123632387</v>
          </cell>
          <cell r="W86">
            <v>3.4181886849807825</v>
          </cell>
          <cell r="X86">
            <v>3.2883045408443214</v>
          </cell>
          <cell r="Y86">
            <v>3.2463614981308235</v>
          </cell>
          <cell r="Z86">
            <v>2.9580816624831794</v>
          </cell>
          <cell r="AB86">
            <v>2.9553165356045827</v>
          </cell>
          <cell r="AC86">
            <v>2.8371922999993102</v>
          </cell>
          <cell r="AD86">
            <v>2.9918984060113831</v>
          </cell>
          <cell r="AE86">
            <v>2.90593179845076</v>
          </cell>
          <cell r="AG86">
            <v>2.893595375267263</v>
          </cell>
          <cell r="AH86">
            <v>2.9660959794082342</v>
          </cell>
          <cell r="AI86">
            <v>3.0203375844308771</v>
          </cell>
          <cell r="AJ86">
            <v>2.9647605230261056</v>
          </cell>
          <cell r="AL86">
            <v>2.9603002036869852</v>
          </cell>
          <cell r="AM86">
            <v>3.0973525824822192</v>
          </cell>
          <cell r="AN86">
            <v>3.1730721938578879</v>
          </cell>
          <cell r="AO86">
            <v>3.0582244475518872</v>
          </cell>
          <cell r="AQ86">
            <v>2.9830073913165105</v>
          </cell>
          <cell r="AR86">
            <v>2.9743026307758043</v>
          </cell>
          <cell r="AS86">
            <v>2.9855051677042037</v>
          </cell>
          <cell r="AT86">
            <v>2.877147766323024</v>
          </cell>
          <cell r="AW86">
            <v>3.1870556309036857</v>
          </cell>
          <cell r="AX86">
            <v>3.1730721938578879</v>
          </cell>
          <cell r="AY86">
            <v>3.0582244475518872</v>
          </cell>
          <cell r="AZ86">
            <v>2.9830073913165105</v>
          </cell>
          <cell r="BB86">
            <v>2.9743026307758043</v>
          </cell>
          <cell r="BC86">
            <v>2.9855051677042037</v>
          </cell>
          <cell r="BD86">
            <v>2.877147766323024</v>
          </cell>
          <cell r="BE86">
            <v>2.8627671240775521</v>
          </cell>
          <cell r="BG86">
            <v>2.8513470067592426</v>
          </cell>
          <cell r="BH86">
            <v>3.0180507746529863</v>
          </cell>
          <cell r="BI86">
            <v>3.201479512851181</v>
          </cell>
          <cell r="BJ86">
            <v>2.6538657000398014</v>
          </cell>
          <cell r="BL86">
            <v>2.1872932394605145</v>
          </cell>
          <cell r="BM86">
            <v>2.3851810608273039</v>
          </cell>
          <cell r="BN86">
            <v>2.4138203625714709</v>
          </cell>
          <cell r="BO86">
            <v>2.2630664849609312</v>
          </cell>
          <cell r="BQ86">
            <v>2.1667800363014198</v>
          </cell>
          <cell r="BR86">
            <v>2.3195913503947798</v>
          </cell>
          <cell r="BS86">
            <v>2.3353020665228477</v>
          </cell>
          <cell r="BT86">
            <v>2.2379311151205314</v>
          </cell>
          <cell r="BU86">
            <v>0.1400347874061772</v>
          </cell>
          <cell r="BV86">
            <v>2.1544549221690152</v>
          </cell>
          <cell r="BW86">
            <v>2.2477764132335976</v>
          </cell>
          <cell r="BX86">
            <v>2.2139008452602411</v>
          </cell>
          <cell r="BY86">
            <v>2.1260358534164188</v>
          </cell>
          <cell r="CA86">
            <v>2.1753841771989362</v>
          </cell>
          <cell r="CB86">
            <v>2.2391866560558813</v>
          </cell>
          <cell r="CC86">
            <v>2.0967261869628278</v>
          </cell>
          <cell r="CD86">
            <v>2.1238170819468678</v>
          </cell>
          <cell r="CF86">
            <v>2.1875504397544434</v>
          </cell>
          <cell r="CG86">
            <v>2.25136721675447</v>
          </cell>
          <cell r="CH86">
            <v>2.2294900031708762</v>
          </cell>
          <cell r="CI86">
            <v>2.1501249546968193</v>
          </cell>
          <cell r="CK86">
            <v>2.2510711418437279</v>
          </cell>
          <cell r="CL86">
            <v>2.2753624133655812</v>
          </cell>
          <cell r="CM86">
            <v>2.2787475205610912</v>
          </cell>
          <cell r="CN86">
            <v>2.2642449881661131</v>
          </cell>
          <cell r="CP86">
            <v>2.2633675718820276</v>
          </cell>
          <cell r="CQ86">
            <v>2.261286790840503</v>
          </cell>
          <cell r="CR86">
            <v>2.2335553776024279</v>
          </cell>
          <cell r="CS86">
            <v>2.2245546958906748</v>
          </cell>
          <cell r="CU86">
            <v>2.2359595887872801</v>
          </cell>
          <cell r="CV86">
            <v>2.2179558167488485</v>
          </cell>
          <cell r="CW86">
            <v>2.1884561599190526</v>
          </cell>
          <cell r="CX86">
            <v>2.1837625160547098</v>
          </cell>
          <cell r="CZ86">
            <v>2.1696536934845545</v>
          </cell>
          <cell r="DA86">
            <v>2.1748874114207908</v>
          </cell>
          <cell r="DB86">
            <v>2.1436508880401584</v>
          </cell>
          <cell r="DC86">
            <v>2.1386098513896497</v>
          </cell>
          <cell r="DE86">
            <v>2.1115791826152948</v>
          </cell>
          <cell r="DF86">
            <v>2.1205397714892853</v>
          </cell>
          <cell r="DG86">
            <v>2.0990940101113114</v>
          </cell>
          <cell r="DH86">
            <v>2.0982339598952771</v>
          </cell>
        </row>
        <row r="87">
          <cell r="B87" t="str">
            <v>Average Days Sales Outstanding (DSOs)</v>
          </cell>
          <cell r="D87">
            <v>0</v>
          </cell>
          <cell r="E87">
            <v>0</v>
          </cell>
          <cell r="F87">
            <v>0</v>
          </cell>
          <cell r="G87">
            <v>0</v>
          </cell>
          <cell r="H87">
            <v>0</v>
          </cell>
          <cell r="I87">
            <v>0</v>
          </cell>
          <cell r="J87">
            <v>0</v>
          </cell>
          <cell r="K87">
            <v>0</v>
          </cell>
          <cell r="L87">
            <v>0</v>
          </cell>
          <cell r="M87">
            <v>0</v>
          </cell>
          <cell r="N87">
            <v>68.34371357594452</v>
          </cell>
          <cell r="O87">
            <v>77.189143565606443</v>
          </cell>
          <cell r="P87">
            <v>87.095337858599393</v>
          </cell>
          <cell r="Q87">
            <v>68.245620181941959</v>
          </cell>
          <cell r="R87">
            <v>86.073473225721031</v>
          </cell>
          <cell r="S87">
            <v>78.326292349292189</v>
          </cell>
          <cell r="T87">
            <v>77.672689012244987</v>
          </cell>
          <cell r="U87">
            <v>84.046283698479357</v>
          </cell>
          <cell r="V87">
            <v>86.445589240996952</v>
          </cell>
          <cell r="W87">
            <v>82.607447085347403</v>
          </cell>
          <cell r="X87">
            <v>74.235478359908882</v>
          </cell>
          <cell r="Y87">
            <v>73.02191237164601</v>
          </cell>
          <cell r="Z87">
            <v>71.195646730467388</v>
          </cell>
          <cell r="AA87">
            <v>73.810812953073224</v>
          </cell>
          <cell r="AB87">
            <v>69.2874444608034</v>
          </cell>
          <cell r="AC87">
            <v>69.197426320980497</v>
          </cell>
          <cell r="AD87">
            <v>69.148758768287664</v>
          </cell>
          <cell r="AE87">
            <v>70.340476078309976</v>
          </cell>
          <cell r="AF87">
            <v>73.307602621938216</v>
          </cell>
          <cell r="AG87">
            <v>68.441876607063449</v>
          </cell>
          <cell r="AH87">
            <v>69.721406340877877</v>
          </cell>
          <cell r="AI87">
            <v>68.519298375743872</v>
          </cell>
          <cell r="AJ87">
            <v>73.768957263085539</v>
          </cell>
          <cell r="AK87">
            <v>75.157976174110829</v>
          </cell>
          <cell r="AL87">
            <v>75.420063101990209</v>
          </cell>
          <cell r="AM87">
            <v>72.505515603058853</v>
          </cell>
          <cell r="AN87">
            <v>71.173338912400084</v>
          </cell>
          <cell r="AO87">
            <v>72.18000611464457</v>
          </cell>
          <cell r="AP87">
            <v>71.484327728536741</v>
          </cell>
          <cell r="AQ87">
            <v>69.864908092013792</v>
          </cell>
          <cell r="AR87">
            <v>72.024903863761224</v>
          </cell>
          <cell r="AS87">
            <v>65.827487733659865</v>
          </cell>
          <cell r="AT87">
            <v>69.228173393757899</v>
          </cell>
          <cell r="AU87">
            <v>69.486420532562633</v>
          </cell>
          <cell r="AW87">
            <v>72.505515603058853</v>
          </cell>
          <cell r="AX87">
            <v>71.173338912400084</v>
          </cell>
          <cell r="AY87">
            <v>72.18000611464457</v>
          </cell>
          <cell r="AZ87">
            <v>69.864908092013792</v>
          </cell>
          <cell r="BA87">
            <v>71.402999162772701</v>
          </cell>
          <cell r="BB87">
            <v>66.921809192455598</v>
          </cell>
          <cell r="BC87">
            <v>67.920242565270627</v>
          </cell>
          <cell r="BD87">
            <v>66.174398625429561</v>
          </cell>
          <cell r="BE87">
            <v>65.843643853783703</v>
          </cell>
          <cell r="BF87">
            <v>69.783958663785086</v>
          </cell>
          <cell r="BG87">
            <v>64.155307652082968</v>
          </cell>
          <cell r="BH87">
            <v>68.66065512335544</v>
          </cell>
          <cell r="BI87">
            <v>73.634028795577152</v>
          </cell>
          <cell r="BJ87">
            <v>86.461340149876563</v>
          </cell>
          <cell r="BK87">
            <v>56.381082820717239</v>
          </cell>
          <cell r="BL87">
            <v>72.109130213120238</v>
          </cell>
          <cell r="BM87">
            <v>54.262869133821169</v>
          </cell>
          <cell r="BN87">
            <v>55.517868339143831</v>
          </cell>
          <cell r="BO87">
            <v>76.844200102528731</v>
          </cell>
          <cell r="BP87">
            <v>97.077928204481537</v>
          </cell>
          <cell r="BQ87">
            <v>72.62060895111108</v>
          </cell>
          <cell r="BR87">
            <v>52.770703221481241</v>
          </cell>
          <cell r="BS87">
            <v>53.71194753002549</v>
          </cell>
          <cell r="BT87">
            <v>76.499959526040939</v>
          </cell>
          <cell r="BU87">
            <v>51.940365858562217</v>
          </cell>
          <cell r="BV87">
            <v>51.124161737609462</v>
          </cell>
          <cell r="BW87">
            <v>49.124514800688566</v>
          </cell>
          <cell r="BX87">
            <v>50.689904563941802</v>
          </cell>
          <cell r="BY87">
            <v>53.165788266306308</v>
          </cell>
          <cell r="BZ87">
            <v>54.212663446214961</v>
          </cell>
          <cell r="CA87">
            <v>56.993320721327855</v>
          </cell>
          <cell r="CB87">
            <v>58.042458368295229</v>
          </cell>
          <cell r="CC87">
            <v>51.44100502180364</v>
          </cell>
          <cell r="CD87">
            <v>55.555368515723053</v>
          </cell>
          <cell r="CE87">
            <v>57.803468667782354</v>
          </cell>
          <cell r="CF87">
            <v>59.062317553697191</v>
          </cell>
          <cell r="CG87">
            <v>58.838692431234236</v>
          </cell>
          <cell r="CH87">
            <v>54.968568335233002</v>
          </cell>
          <cell r="CI87">
            <v>59.587446188660763</v>
          </cell>
          <cell r="CJ87">
            <v>64.409777581742475</v>
          </cell>
          <cell r="CK87">
            <v>55.994753687775642</v>
          </cell>
          <cell r="CL87">
            <v>56.332999316352236</v>
          </cell>
          <cell r="CM87">
            <v>61.842759257222902</v>
          </cell>
          <cell r="CN87">
            <v>59.86371179302202</v>
          </cell>
          <cell r="CO87">
            <v>60.482076452850293</v>
          </cell>
          <cell r="CP87">
            <v>60.109506729436475</v>
          </cell>
          <cell r="CQ87">
            <v>56.48633657621955</v>
          </cell>
          <cell r="CR87">
            <v>60.548049208140547</v>
          </cell>
          <cell r="CS87">
            <v>58.599123438200245</v>
          </cell>
          <cell r="CT87">
            <v>58.736960159831874</v>
          </cell>
          <cell r="CU87">
            <v>58.965419875299155</v>
          </cell>
          <cell r="CV87">
            <v>55.346187821786252</v>
          </cell>
          <cell r="CW87">
            <v>59.396615645347914</v>
          </cell>
          <cell r="CX87">
            <v>57.466066651747951</v>
          </cell>
          <cell r="CY87">
            <v>57.533851589593617</v>
          </cell>
          <cell r="CZ87">
            <v>57.684810835739214</v>
          </cell>
          <cell r="DA87">
            <v>54.067349654132691</v>
          </cell>
          <cell r="DB87">
            <v>58.105586732822054</v>
          </cell>
          <cell r="DC87">
            <v>56.167485469517857</v>
          </cell>
          <cell r="DD87">
            <v>56.32487037844929</v>
          </cell>
          <cell r="DE87">
            <v>56.460201151599158</v>
          </cell>
          <cell r="DF87">
            <v>52.775650400329866</v>
          </cell>
          <cell r="DG87">
            <v>56.803364925129898</v>
          </cell>
          <cell r="DH87">
            <v>54.889835979355851</v>
          </cell>
          <cell r="DI87">
            <v>55.080339408763443</v>
          </cell>
        </row>
        <row r="89">
          <cell r="B89" t="str">
            <v>Allowance for Doubtful Accounts - Beginning</v>
          </cell>
          <cell r="V89">
            <v>-114.792</v>
          </cell>
          <cell r="AA89">
            <v>-118.602</v>
          </cell>
          <cell r="AF89">
            <v>-116.785</v>
          </cell>
          <cell r="AK89">
            <v>-138.61600000000001</v>
          </cell>
          <cell r="AP89">
            <v>-151.01499999999999</v>
          </cell>
          <cell r="AU89">
            <v>-186.43899999999999</v>
          </cell>
          <cell r="BK89">
            <v>0</v>
          </cell>
          <cell r="BP89">
            <v>-526.88099999999997</v>
          </cell>
          <cell r="BU89">
            <v>-485.767</v>
          </cell>
          <cell r="BZ89">
            <v>-449.03100000000001</v>
          </cell>
          <cell r="CB89">
            <v>-455.70499999999998</v>
          </cell>
          <cell r="CC89">
            <v>-463.69</v>
          </cell>
          <cell r="CD89">
            <v>-482.73700000000002</v>
          </cell>
          <cell r="CE89">
            <v>-455.70499999999998</v>
          </cell>
          <cell r="CF89">
            <v>-495.4860000000001</v>
          </cell>
          <cell r="CG89">
            <v>-513.95399999999995</v>
          </cell>
          <cell r="CH89">
            <v>-534.46400000000006</v>
          </cell>
          <cell r="CI89">
            <v>-554.71600000000001</v>
          </cell>
          <cell r="CJ89">
            <v>-495.4860000000001</v>
          </cell>
          <cell r="CK89">
            <v>-578.97199999999987</v>
          </cell>
          <cell r="CL89">
            <v>-600.92100000000005</v>
          </cell>
          <cell r="CM89">
            <v>-621.649</v>
          </cell>
          <cell r="CN89">
            <v>-715.50699999999995</v>
          </cell>
          <cell r="CO89">
            <v>-578.97199999999987</v>
          </cell>
          <cell r="CP89">
            <v>-758.37590324479334</v>
          </cell>
          <cell r="CQ89">
            <v>-816.57072610322814</v>
          </cell>
          <cell r="CR89">
            <v>-883.16577674714551</v>
          </cell>
          <cell r="CS89">
            <v>-964.4682122367401</v>
          </cell>
          <cell r="CT89">
            <v>-758.37590324479334</v>
          </cell>
          <cell r="CU89">
            <v>-1044.0518451534601</v>
          </cell>
          <cell r="CV89">
            <v>-1052.6659900615791</v>
          </cell>
          <cell r="CW89">
            <v>-1069.3379787592248</v>
          </cell>
          <cell r="CX89">
            <v>-1097.9187673498104</v>
          </cell>
          <cell r="CY89">
            <v>-1044.0518451534601</v>
          </cell>
          <cell r="CZ89">
            <v>-1124.8790647857631</v>
          </cell>
          <cell r="DA89">
            <v>-1109.4123659909865</v>
          </cell>
          <cell r="DB89">
            <v>-1100.9293319014662</v>
          </cell>
          <cell r="DC89">
            <v>-1103.2291437402332</v>
          </cell>
          <cell r="DD89">
            <v>-1124.8790647857631</v>
          </cell>
          <cell r="DE89">
            <v>-1103.3787172746402</v>
          </cell>
          <cell r="DF89">
            <v>-1068.5283499010452</v>
          </cell>
          <cell r="DG89">
            <v>-1040.0224345193142</v>
          </cell>
          <cell r="DH89">
            <v>-1021.5369213975652</v>
          </cell>
          <cell r="DI89">
            <v>-1103.3787172746402</v>
          </cell>
        </row>
        <row r="90">
          <cell r="B90" t="str">
            <v>Provision for bad debt</v>
          </cell>
          <cell r="V90">
            <v>-135.86199999999999</v>
          </cell>
          <cell r="AA90">
            <v>-143.923</v>
          </cell>
          <cell r="AF90">
            <v>-172.43</v>
          </cell>
          <cell r="AK90">
            <v>-186.82600000000002</v>
          </cell>
          <cell r="AP90">
            <v>-240.07400000000001</v>
          </cell>
          <cell r="AU90">
            <v>-307.82600000000002</v>
          </cell>
          <cell r="BK90">
            <v>-571.87400000000002</v>
          </cell>
          <cell r="BP90">
            <v>-533.80399999999997</v>
          </cell>
          <cell r="BU90">
            <v>-508.23</v>
          </cell>
          <cell r="BZ90">
            <v>-576.39699999999993</v>
          </cell>
          <cell r="CB90">
            <v>-149.73099999999999</v>
          </cell>
          <cell r="CC90">
            <v>-159.922</v>
          </cell>
          <cell r="CD90">
            <v>-164.553</v>
          </cell>
          <cell r="CE90">
            <v>-474.20600000000002</v>
          </cell>
          <cell r="CF90">
            <v>-172.80199999999999</v>
          </cell>
          <cell r="CG90">
            <v>-170.78700000000001</v>
          </cell>
          <cell r="CH90">
            <v>-178.87299999999999</v>
          </cell>
          <cell r="CI90">
            <v>-195.12700000000001</v>
          </cell>
          <cell r="CJ90">
            <v>-717.58899999999994</v>
          </cell>
          <cell r="CK90">
            <v>-201.261</v>
          </cell>
          <cell r="CL90">
            <v>-235.56444688548012</v>
          </cell>
          <cell r="CM90">
            <v>-224.078</v>
          </cell>
          <cell r="CN90">
            <v>-231.49207752188323</v>
          </cell>
          <cell r="CO90">
            <v>-892.39552440736338</v>
          </cell>
          <cell r="CP90">
            <v>-235.56444688548012</v>
          </cell>
          <cell r="CQ90">
            <v>-241.42522828460378</v>
          </cell>
          <cell r="CR90">
            <v>-254.002584369668</v>
          </cell>
          <cell r="CS90">
            <v>-257.02973061024016</v>
          </cell>
          <cell r="CT90">
            <v>-988.02199014999201</v>
          </cell>
          <cell r="CU90">
            <v>-189.48801670731294</v>
          </cell>
          <cell r="CV90">
            <v>-194.77399794157026</v>
          </cell>
          <cell r="CW90">
            <v>-204.69666651038935</v>
          </cell>
          <cell r="CX90">
            <v>-207.56875740520627</v>
          </cell>
          <cell r="CY90">
            <v>-796.52743856447887</v>
          </cell>
          <cell r="CZ90">
            <v>-172.64500807231349</v>
          </cell>
          <cell r="DA90">
            <v>-176.50685420070937</v>
          </cell>
          <cell r="DB90">
            <v>-185.37446677882798</v>
          </cell>
          <cell r="DC90">
            <v>-188.28177216036485</v>
          </cell>
          <cell r="DD90">
            <v>-722.80810121221566</v>
          </cell>
          <cell r="DE90">
            <v>-161.64526418738677</v>
          </cell>
          <cell r="DF90">
            <v>-164.28377525814815</v>
          </cell>
          <cell r="DG90">
            <v>-172.42250458134649</v>
          </cell>
          <cell r="DH90">
            <v>-175.27856747258164</v>
          </cell>
          <cell r="DI90">
            <v>-673.63011149946306</v>
          </cell>
        </row>
        <row r="91">
          <cell r="B91" t="str">
            <v>% of revenue</v>
          </cell>
          <cell r="V91">
            <v>8.6110306528150229E-2</v>
          </cell>
          <cell r="AA91">
            <v>7.6562891497557461E-2</v>
          </cell>
          <cell r="AF91">
            <v>7.6208752670046565E-2</v>
          </cell>
          <cell r="AK91">
            <v>7.2962489689819804E-2</v>
          </cell>
          <cell r="AP91">
            <v>7.4885406057921614E-2</v>
          </cell>
          <cell r="AU91">
            <v>8.5997287319265203E-2</v>
          </cell>
          <cell r="BK91">
            <v>0.13943011232448538</v>
          </cell>
          <cell r="BP91">
            <v>0.12106702386236293</v>
          </cell>
          <cell r="BU91">
            <v>0.11416765750646228</v>
          </cell>
          <cell r="BZ91">
            <v>0.1235803144367815</v>
          </cell>
          <cell r="CB91">
            <v>0.11999724311921825</v>
          </cell>
          <cell r="CC91">
            <v>0.12585752747196532</v>
          </cell>
          <cell r="CD91">
            <v>0.12170548770430877</v>
          </cell>
          <cell r="CE91">
            <v>9.1980175051071436E-2</v>
          </cell>
          <cell r="CF91">
            <v>0.12053366219297577</v>
          </cell>
          <cell r="CG91">
            <v>0.12239698484899519</v>
          </cell>
          <cell r="CH91">
            <v>0.12774416458845744</v>
          </cell>
          <cell r="CI91">
            <v>0.12320381569592632</v>
          </cell>
          <cell r="CJ91">
            <v>0.12344529823781542</v>
          </cell>
          <cell r="CK91">
            <v>0.11933522203735744</v>
          </cell>
          <cell r="CL91">
            <v>0.13280991498835296</v>
          </cell>
          <cell r="CM91">
            <v>0.13464712799703399</v>
          </cell>
          <cell r="CN91">
            <v>0.13500000000000001</v>
          </cell>
          <cell r="CO91">
            <v>0.13216754190136643</v>
          </cell>
          <cell r="CP91">
            <v>0.13280991498835296</v>
          </cell>
          <cell r="CQ91">
            <v>0.13809127894429332</v>
          </cell>
          <cell r="CR91">
            <v>0.14707722374116353</v>
          </cell>
          <cell r="CS91">
            <v>0.14484946919158204</v>
          </cell>
          <cell r="CT91">
            <v>0.14067452826480611</v>
          </cell>
          <cell r="CU91">
            <v>0.10476251479687591</v>
          </cell>
          <cell r="CV91">
            <v>0.10936092117569106</v>
          </cell>
          <cell r="CW91">
            <v>0.11622839969238891</v>
          </cell>
          <cell r="CX91">
            <v>0.11492748315363646</v>
          </cell>
          <cell r="CY91">
            <v>0.11129344626342255</v>
          </cell>
          <cell r="CZ91">
            <v>9.1777917997573386E-2</v>
          </cell>
          <cell r="DA91">
            <v>9.5414325524532898E-2</v>
          </cell>
          <cell r="DB91">
            <v>0.10125621530709424</v>
          </cell>
          <cell r="DC91">
            <v>0.10007950448434633</v>
          </cell>
          <cell r="DD91">
            <v>9.7111365919868187E-2</v>
          </cell>
          <cell r="DE91">
            <v>8.2264049792486457E-2</v>
          </cell>
          <cell r="DF91">
            <v>8.5213983544909333E-2</v>
          </cell>
          <cell r="DG91">
            <v>9.0317057741127429E-2</v>
          </cell>
          <cell r="DH91">
            <v>8.9558692832797396E-2</v>
          </cell>
          <cell r="DI91">
            <v>8.6818412366575851E-2</v>
          </cell>
        </row>
        <row r="93">
          <cell r="B93" t="str">
            <v>Acquisitions</v>
          </cell>
          <cell r="V93">
            <v>0</v>
          </cell>
          <cell r="AA93">
            <v>0</v>
          </cell>
          <cell r="AF93">
            <v>0</v>
          </cell>
          <cell r="AK93">
            <v>0</v>
          </cell>
          <cell r="AP93">
            <v>0</v>
          </cell>
          <cell r="AU93">
            <v>0</v>
          </cell>
          <cell r="BK93">
            <v>0</v>
          </cell>
          <cell r="BP93">
            <v>0</v>
          </cell>
          <cell r="BU93">
            <v>0</v>
          </cell>
          <cell r="BZ93">
            <v>0</v>
          </cell>
          <cell r="CE93">
            <v>0</v>
          </cell>
          <cell r="CJ93">
            <v>0</v>
          </cell>
          <cell r="CO93">
            <v>0</v>
          </cell>
          <cell r="CT93">
            <v>0</v>
          </cell>
          <cell r="CY93">
            <v>0</v>
          </cell>
          <cell r="DD93">
            <v>0</v>
          </cell>
          <cell r="DI93">
            <v>0</v>
          </cell>
        </row>
        <row r="95">
          <cell r="B95" t="str">
            <v>Write-offs</v>
          </cell>
          <cell r="V95">
            <v>132.05199999999999</v>
          </cell>
          <cell r="AA95">
            <v>145.74</v>
          </cell>
          <cell r="AF95">
            <v>150.59899999999999</v>
          </cell>
          <cell r="AK95">
            <v>174.42700000000005</v>
          </cell>
          <cell r="AP95">
            <v>204.65</v>
          </cell>
          <cell r="AU95">
            <v>207.43600000000001</v>
          </cell>
          <cell r="BK95">
            <v>44.993000000000052</v>
          </cell>
          <cell r="BP95">
            <v>574.91799999999989</v>
          </cell>
          <cell r="BU95">
            <v>544.96600000000001</v>
          </cell>
          <cell r="BZ95">
            <v>569.72299999999996</v>
          </cell>
          <cell r="CB95">
            <v>141.74599999999998</v>
          </cell>
          <cell r="CC95">
            <v>140.87499999999994</v>
          </cell>
          <cell r="CD95">
            <v>151.80400000000003</v>
          </cell>
          <cell r="CE95">
            <v>434.42499999999995</v>
          </cell>
          <cell r="CF95">
            <v>154.33400000000017</v>
          </cell>
          <cell r="CG95">
            <v>150.27699999999993</v>
          </cell>
          <cell r="CH95">
            <v>158.62100000000004</v>
          </cell>
          <cell r="CI95">
            <v>170.87100000000004</v>
          </cell>
          <cell r="CJ95">
            <v>634.10300000000018</v>
          </cell>
          <cell r="CK95">
            <v>179.31199999999978</v>
          </cell>
          <cell r="CL95">
            <v>214.8364468854802</v>
          </cell>
          <cell r="CM95">
            <v>130.22000000000003</v>
          </cell>
          <cell r="CN95">
            <v>188.62317427709002</v>
          </cell>
          <cell r="CO95">
            <v>712.99162116257003</v>
          </cell>
          <cell r="CP95">
            <v>177.36962402704532</v>
          </cell>
          <cell r="CQ95">
            <v>174.8301776406864</v>
          </cell>
          <cell r="CR95">
            <v>172.70014888007336</v>
          </cell>
          <cell r="CS95">
            <v>177.44609769352024</v>
          </cell>
          <cell r="CT95">
            <v>702.34604824132521</v>
          </cell>
          <cell r="CU95">
            <v>180.87387179919395</v>
          </cell>
          <cell r="CV95">
            <v>178.1020092439245</v>
          </cell>
          <cell r="CW95">
            <v>176.11587791980389</v>
          </cell>
          <cell r="CX95">
            <v>180.60845996925369</v>
          </cell>
          <cell r="CY95">
            <v>715.70021893217597</v>
          </cell>
          <cell r="CZ95">
            <v>188.11170686709002</v>
          </cell>
          <cell r="DA95">
            <v>184.98988829022954</v>
          </cell>
          <cell r="DB95">
            <v>183.07465494006101</v>
          </cell>
          <cell r="DC95">
            <v>188.1321986259579</v>
          </cell>
          <cell r="DD95">
            <v>744.30844872333853</v>
          </cell>
          <cell r="DE95">
            <v>196.49563156098179</v>
          </cell>
          <cell r="DF95">
            <v>192.78969063987907</v>
          </cell>
          <cell r="DG95">
            <v>190.90801770309545</v>
          </cell>
          <cell r="DH95">
            <v>195.71362860311052</v>
          </cell>
          <cell r="DI95">
            <v>775.90696850706672</v>
          </cell>
        </row>
        <row r="96">
          <cell r="B96" t="str">
            <v>% of gross receivables</v>
          </cell>
          <cell r="V96">
            <v>0.28571243116933692</v>
          </cell>
          <cell r="AA96">
            <v>0.31159268460594453</v>
          </cell>
          <cell r="AF96">
            <v>0.2704334865680218</v>
          </cell>
          <cell r="AK96">
            <v>0.27093267805940346</v>
          </cell>
          <cell r="AP96">
            <v>0.26424010794269742</v>
          </cell>
          <cell r="AU96">
            <v>0.22520244618172228</v>
          </cell>
          <cell r="BK96">
            <v>4.0582274873138161E-2</v>
          </cell>
          <cell r="BP96">
            <v>0.53398634471830742</v>
          </cell>
          <cell r="BU96">
            <v>0.51707006973765357</v>
          </cell>
          <cell r="BZ96">
            <v>0.51239796524072823</v>
          </cell>
          <cell r="CB96">
            <v>0.50661114933388129</v>
          </cell>
          <cell r="CC96">
            <v>0.48604025120561256</v>
          </cell>
          <cell r="CD96">
            <v>0.48398515244094426</v>
          </cell>
          <cell r="CE96">
            <v>0.3462610501850365</v>
          </cell>
          <cell r="CF96">
            <v>0.4666521531418763</v>
          </cell>
          <cell r="CG96">
            <v>0.46373202493365406</v>
          </cell>
          <cell r="CH96">
            <v>0.46864989234445353</v>
          </cell>
          <cell r="CI96">
            <v>0.46103815947369603</v>
          </cell>
          <cell r="CJ96">
            <v>0.42772863744688844</v>
          </cell>
          <cell r="CK96">
            <v>0.44950490085482886</v>
          </cell>
          <cell r="CL96">
            <v>0.55596760740408779</v>
          </cell>
          <cell r="CM96">
            <v>0.30864932736276318</v>
          </cell>
          <cell r="CN96">
            <v>0.43673237992337088</v>
          </cell>
          <cell r="CO96">
            <v>0.41270979662117313</v>
          </cell>
          <cell r="CP96">
            <v>0.3825457289392809</v>
          </cell>
          <cell r="CQ96">
            <v>0.3838586393858755</v>
          </cell>
          <cell r="CR96">
            <v>0.35344246095383414</v>
          </cell>
          <cell r="CS96">
            <v>0.35004055796109118</v>
          </cell>
          <cell r="CT96">
            <v>0.34637223050233718</v>
          </cell>
          <cell r="CU96">
            <v>0.34598290369989398</v>
          </cell>
          <cell r="CV96">
            <v>0.3551412298338627</v>
          </cell>
          <cell r="CW96">
            <v>0.33732519120409699</v>
          </cell>
          <cell r="CX96">
            <v>0.34296325264276067</v>
          </cell>
          <cell r="CY96">
            <v>0.33976657993194403</v>
          </cell>
          <cell r="CZ96">
            <v>0.3469845927743615</v>
          </cell>
          <cell r="DA96">
            <v>0.36034563907091988</v>
          </cell>
          <cell r="DB96">
            <v>0.34658008782980948</v>
          </cell>
          <cell r="DC96">
            <v>0.3574301232977784</v>
          </cell>
          <cell r="DD96">
            <v>0.35352568903914078</v>
          </cell>
          <cell r="DE96">
            <v>0.36709280581834741</v>
          </cell>
          <cell r="DF96">
            <v>0.38336706749963589</v>
          </cell>
          <cell r="DG96">
            <v>0.37183464613718881</v>
          </cell>
          <cell r="DH96">
            <v>0.38712696488328158</v>
          </cell>
          <cell r="DI96">
            <v>0.38369135544344352</v>
          </cell>
        </row>
        <row r="97">
          <cell r="B97" t="str">
            <v>% of revenue</v>
          </cell>
          <cell r="V97">
            <v>8.3695501300255368E-2</v>
          </cell>
          <cell r="AA97">
            <v>7.7529483174016825E-2</v>
          </cell>
          <cell r="AF97">
            <v>6.6560122619940501E-2</v>
          </cell>
          <cell r="AK97">
            <v>6.8120219825539272E-2</v>
          </cell>
          <cell r="AP97">
            <v>6.3835727108115234E-2</v>
          </cell>
          <cell r="AU97">
            <v>5.7951353337142075E-2</v>
          </cell>
          <cell r="BK97">
            <v>1.09698623189996E-2</v>
          </cell>
          <cell r="BP97">
            <v>0.13039170037111367</v>
          </cell>
          <cell r="BU97">
            <v>0.12241995088968916</v>
          </cell>
          <cell r="BZ97">
            <v>0.12214939960108478</v>
          </cell>
          <cell r="CB97">
            <v>0.11359791374649678</v>
          </cell>
          <cell r="CC97">
            <v>0.11086766787942315</v>
          </cell>
          <cell r="CD97">
            <v>0.11227616546319356</v>
          </cell>
          <cell r="CE97">
            <v>8.4263985581291043E-2</v>
          </cell>
          <cell r="CF97">
            <v>0.10765177614200498</v>
          </cell>
          <cell r="CG97">
            <v>0.10769819536705043</v>
          </cell>
          <cell r="CH97">
            <v>0.11328097103076325</v>
          </cell>
          <cell r="CI97">
            <v>0.10788849924294758</v>
          </cell>
          <cell r="CJ97">
            <v>0.10908338052630892</v>
          </cell>
          <cell r="CK97">
            <v>0.10632083381262446</v>
          </cell>
          <cell r="CL97">
            <v>0.12738287826117492</v>
          </cell>
          <cell r="CM97">
            <v>7.8248417996294908E-2</v>
          </cell>
          <cell r="CN97">
            <v>0.11</v>
          </cell>
          <cell r="CO97">
            <v>0.10559706698205129</v>
          </cell>
          <cell r="CP97">
            <v>0.1</v>
          </cell>
          <cell r="CQ97">
            <v>0.1</v>
          </cell>
          <cell r="CR97">
            <v>0.1</v>
          </cell>
          <cell r="CS97">
            <v>0.1</v>
          </cell>
          <cell r="CT97">
            <v>9.9999999999999992E-2</v>
          </cell>
          <cell r="CU97">
            <v>0.1</v>
          </cell>
          <cell r="CV97">
            <v>0.1</v>
          </cell>
          <cell r="CW97">
            <v>0.1</v>
          </cell>
          <cell r="CX97">
            <v>0.1</v>
          </cell>
          <cell r="CY97">
            <v>9.9999999999999992E-2</v>
          </cell>
          <cell r="CZ97">
            <v>0.1</v>
          </cell>
          <cell r="DA97">
            <v>0.1</v>
          </cell>
          <cell r="DB97">
            <v>0.1</v>
          </cell>
          <cell r="DC97">
            <v>0.1</v>
          </cell>
          <cell r="DD97">
            <v>0.1</v>
          </cell>
          <cell r="DE97">
            <v>0.1</v>
          </cell>
          <cell r="DF97">
            <v>0.1</v>
          </cell>
          <cell r="DG97">
            <v>0.1</v>
          </cell>
          <cell r="DH97">
            <v>0.1</v>
          </cell>
          <cell r="DI97">
            <v>9.9999999999999992E-2</v>
          </cell>
        </row>
        <row r="98">
          <cell r="B98" t="str">
            <v>Allowance for Doubtful Accounts - Ending</v>
          </cell>
          <cell r="V98">
            <v>-118.602</v>
          </cell>
          <cell r="AA98">
            <v>-116.785</v>
          </cell>
          <cell r="AF98">
            <v>-138.61600000000001</v>
          </cell>
          <cell r="AK98">
            <v>-151.01499999999999</v>
          </cell>
          <cell r="AP98">
            <v>-186.43899999999999</v>
          </cell>
          <cell r="AU98">
            <v>-286.82900000000001</v>
          </cell>
          <cell r="BK98">
            <v>-526.88099999999997</v>
          </cell>
          <cell r="BP98">
            <v>-485.767</v>
          </cell>
          <cell r="BU98">
            <v>-449.03100000000001</v>
          </cell>
          <cell r="BZ98">
            <v>-455.70499999999998</v>
          </cell>
          <cell r="CB98">
            <v>-463.69</v>
          </cell>
          <cell r="CC98">
            <v>-482.73700000000002</v>
          </cell>
          <cell r="CD98">
            <v>-495.48599999999999</v>
          </cell>
          <cell r="CE98">
            <v>-495.4860000000001</v>
          </cell>
          <cell r="CF98">
            <v>-513.95399999999995</v>
          </cell>
          <cell r="CG98">
            <v>-534.46400000000006</v>
          </cell>
          <cell r="CH98">
            <v>-554.71600000000001</v>
          </cell>
          <cell r="CI98">
            <v>-578.97199999999998</v>
          </cell>
          <cell r="CJ98">
            <v>-578.97199999999987</v>
          </cell>
          <cell r="CK98">
            <v>-600.92100000000005</v>
          </cell>
          <cell r="CL98">
            <v>-621.649</v>
          </cell>
          <cell r="CM98">
            <v>-715.50699999999995</v>
          </cell>
          <cell r="CN98">
            <v>-758.37590324479322</v>
          </cell>
          <cell r="CO98">
            <v>-758.37590324479334</v>
          </cell>
          <cell r="CP98">
            <v>-816.57072610322814</v>
          </cell>
          <cell r="CQ98">
            <v>-883.16577674714551</v>
          </cell>
          <cell r="CR98">
            <v>-964.4682122367401</v>
          </cell>
          <cell r="CS98">
            <v>-1044.0518451534601</v>
          </cell>
          <cell r="CT98">
            <v>-1044.0518451534601</v>
          </cell>
          <cell r="CU98">
            <v>-1052.6659900615791</v>
          </cell>
          <cell r="CV98">
            <v>-1069.3379787592248</v>
          </cell>
          <cell r="CW98">
            <v>-1097.9187673498104</v>
          </cell>
          <cell r="CX98">
            <v>-1124.8790647857629</v>
          </cell>
          <cell r="CY98">
            <v>-1124.8790647857631</v>
          </cell>
          <cell r="CZ98">
            <v>-1109.4123659909865</v>
          </cell>
          <cell r="DA98">
            <v>-1100.9293319014662</v>
          </cell>
          <cell r="DB98">
            <v>-1103.2291437402332</v>
          </cell>
          <cell r="DC98">
            <v>-1103.3787172746402</v>
          </cell>
          <cell r="DD98">
            <v>-1103.3787172746402</v>
          </cell>
          <cell r="DE98">
            <v>-1068.5283499010452</v>
          </cell>
          <cell r="DF98">
            <v>-1040.0224345193142</v>
          </cell>
          <cell r="DG98">
            <v>-1021.5369213975652</v>
          </cell>
          <cell r="DH98">
            <v>-1001.1018602670363</v>
          </cell>
          <cell r="DI98">
            <v>-1001.1018602670365</v>
          </cell>
        </row>
        <row r="99">
          <cell r="B99" t="str">
            <v>as a % of gross receivables</v>
          </cell>
          <cell r="V99">
            <v>0.25661153001503728</v>
          </cell>
          <cell r="AA99">
            <v>0.24968678243244977</v>
          </cell>
          <cell r="AF99">
            <v>0.2489153857204425</v>
          </cell>
          <cell r="AK99">
            <v>0.23456746018185717</v>
          </cell>
          <cell r="AP99">
            <v>0.2407264182004816</v>
          </cell>
          <cell r="AU99">
            <v>0.31139528546567241</v>
          </cell>
          <cell r="BK99">
            <v>0.47523013729766589</v>
          </cell>
          <cell r="BP99">
            <v>0.45118250727021614</v>
          </cell>
          <cell r="BU99">
            <v>0.42604582760092985</v>
          </cell>
          <cell r="BZ99">
            <v>0.40985235763700267</v>
          </cell>
          <cell r="CB99">
            <v>0.41431596629645179</v>
          </cell>
          <cell r="CC99">
            <v>0.41637908206964308</v>
          </cell>
          <cell r="CD99">
            <v>0.39493008623348802</v>
          </cell>
          <cell r="CE99">
            <v>0.39493008623348808</v>
          </cell>
          <cell r="CF99">
            <v>0.38850438127029624</v>
          </cell>
          <cell r="CG99">
            <v>0.41231870641239282</v>
          </cell>
          <cell r="CH99">
            <v>0.40973073187305881</v>
          </cell>
          <cell r="CI99">
            <v>0.39054050316730848</v>
          </cell>
          <cell r="CJ99">
            <v>0.39054050316730837</v>
          </cell>
          <cell r="CK99">
            <v>0.37660186508234939</v>
          </cell>
          <cell r="CL99">
            <v>0.4402890931313107</v>
          </cell>
          <cell r="CM99">
            <v>0.42397625993193927</v>
          </cell>
          <cell r="CN99">
            <v>0.43898014436721139</v>
          </cell>
          <cell r="CO99">
            <v>0.43898014436721144</v>
          </cell>
          <cell r="CP99">
            <v>0.4402890931313107</v>
          </cell>
          <cell r="CQ99">
            <v>0.48477159090787697</v>
          </cell>
          <cell r="CR99">
            <v>0.49346225329749904</v>
          </cell>
          <cell r="CS99">
            <v>0.51488944413000948</v>
          </cell>
          <cell r="CT99">
            <v>0.51488944413000948</v>
          </cell>
          <cell r="CU99">
            <v>0.50339558755060054</v>
          </cell>
          <cell r="CV99">
            <v>0.53307372344756809</v>
          </cell>
          <cell r="CW99">
            <v>0.52572724063455312</v>
          </cell>
          <cell r="CX99">
            <v>0.5340173197788578</v>
          </cell>
          <cell r="CY99">
            <v>0.53401731977885791</v>
          </cell>
          <cell r="CZ99">
            <v>0.51159628026793724</v>
          </cell>
          <cell r="DA99">
            <v>0.53613076820386896</v>
          </cell>
          <cell r="DB99">
            <v>0.52213297037085771</v>
          </cell>
          <cell r="DC99">
            <v>0.52407402060893649</v>
          </cell>
          <cell r="DD99">
            <v>0.52407402060893649</v>
          </cell>
          <cell r="DE99">
            <v>0.4990557130272516</v>
          </cell>
          <cell r="DF99">
            <v>0.51702758266295401</v>
          </cell>
          <cell r="DG99">
            <v>0.4974160125043533</v>
          </cell>
          <cell r="DH99">
            <v>0.49505178493485014</v>
          </cell>
          <cell r="DI99">
            <v>0.49505178493485025</v>
          </cell>
        </row>
        <row r="101">
          <cell r="B101" t="str">
            <v>Fiscal Year ends December 31</v>
          </cell>
          <cell r="M101">
            <v>36160</v>
          </cell>
          <cell r="N101">
            <v>36250</v>
          </cell>
          <cell r="O101">
            <v>36341</v>
          </cell>
          <cell r="P101">
            <v>36433</v>
          </cell>
          <cell r="R101">
            <v>36525</v>
          </cell>
          <cell r="S101">
            <v>36616</v>
          </cell>
          <cell r="T101">
            <v>36707</v>
          </cell>
          <cell r="U101">
            <v>36799</v>
          </cell>
          <cell r="W101">
            <v>36891</v>
          </cell>
          <cell r="X101">
            <v>36981</v>
          </cell>
          <cell r="Y101">
            <v>37072</v>
          </cell>
          <cell r="Z101">
            <v>37164</v>
          </cell>
          <cell r="AB101">
            <v>37256</v>
          </cell>
          <cell r="AC101">
            <v>37346</v>
          </cell>
          <cell r="AD101">
            <v>37437</v>
          </cell>
          <cell r="AE101">
            <v>37529</v>
          </cell>
          <cell r="AG101">
            <v>37621</v>
          </cell>
          <cell r="AH101">
            <v>37711</v>
          </cell>
          <cell r="AI101">
            <v>37802</v>
          </cell>
          <cell r="AJ101">
            <v>37894</v>
          </cell>
          <cell r="AL101">
            <v>37986</v>
          </cell>
          <cell r="AM101">
            <v>38077</v>
          </cell>
          <cell r="AN101">
            <v>38168</v>
          </cell>
          <cell r="AO101">
            <v>38260</v>
          </cell>
          <cell r="AQ101">
            <v>38352</v>
          </cell>
          <cell r="AR101">
            <v>38442</v>
          </cell>
          <cell r="AS101">
            <v>38533</v>
          </cell>
          <cell r="AT101">
            <v>38625</v>
          </cell>
          <cell r="AW101">
            <v>38077</v>
          </cell>
          <cell r="AX101">
            <v>38168</v>
          </cell>
          <cell r="AY101">
            <v>38260</v>
          </cell>
          <cell r="AZ101">
            <v>38352</v>
          </cell>
          <cell r="BB101">
            <v>38442</v>
          </cell>
          <cell r="BC101">
            <v>38533</v>
          </cell>
          <cell r="BD101">
            <v>38625</v>
          </cell>
          <cell r="BE101">
            <v>38717</v>
          </cell>
          <cell r="BG101">
            <v>38807</v>
          </cell>
          <cell r="BH101">
            <v>38898</v>
          </cell>
          <cell r="BI101">
            <v>38990</v>
          </cell>
          <cell r="BJ101">
            <v>39082</v>
          </cell>
          <cell r="BL101">
            <v>39172</v>
          </cell>
          <cell r="BM101">
            <v>39263</v>
          </cell>
          <cell r="BN101">
            <v>39355</v>
          </cell>
          <cell r="BO101">
            <v>39447</v>
          </cell>
          <cell r="BQ101">
            <v>39538</v>
          </cell>
          <cell r="BR101">
            <v>39629</v>
          </cell>
          <cell r="BS101">
            <v>39721</v>
          </cell>
          <cell r="BT101">
            <v>39813</v>
          </cell>
          <cell r="BU101">
            <v>0</v>
          </cell>
          <cell r="BV101">
            <v>39903</v>
          </cell>
          <cell r="BW101">
            <v>39994</v>
          </cell>
          <cell r="BX101">
            <v>40086</v>
          </cell>
          <cell r="BY101">
            <v>40178</v>
          </cell>
          <cell r="CA101">
            <v>40268</v>
          </cell>
          <cell r="CB101">
            <v>40359</v>
          </cell>
          <cell r="CC101">
            <v>40451</v>
          </cell>
          <cell r="CD101">
            <v>40543</v>
          </cell>
          <cell r="CF101">
            <v>40633</v>
          </cell>
          <cell r="CG101">
            <v>40724</v>
          </cell>
          <cell r="CH101">
            <v>40816</v>
          </cell>
          <cell r="CI101">
            <v>40908</v>
          </cell>
          <cell r="CK101">
            <v>40999</v>
          </cell>
          <cell r="CL101">
            <v>41090</v>
          </cell>
          <cell r="CM101">
            <v>41182</v>
          </cell>
          <cell r="CN101">
            <v>41274</v>
          </cell>
          <cell r="CP101">
            <v>41364</v>
          </cell>
          <cell r="CQ101">
            <v>41455</v>
          </cell>
          <cell r="CR101">
            <v>41547</v>
          </cell>
          <cell r="CS101">
            <v>41639</v>
          </cell>
          <cell r="CU101">
            <v>41729</v>
          </cell>
          <cell r="CV101">
            <v>41820</v>
          </cell>
          <cell r="CW101">
            <v>41912</v>
          </cell>
          <cell r="CX101">
            <v>42004</v>
          </cell>
          <cell r="CZ101">
            <v>42094</v>
          </cell>
          <cell r="DA101">
            <v>42185</v>
          </cell>
          <cell r="DB101">
            <v>42277</v>
          </cell>
          <cell r="DC101">
            <v>42369</v>
          </cell>
          <cell r="DE101">
            <v>42460</v>
          </cell>
          <cell r="DF101">
            <v>42551</v>
          </cell>
          <cell r="DG101">
            <v>42643</v>
          </cell>
          <cell r="DH101">
            <v>42735</v>
          </cell>
        </row>
        <row r="102">
          <cell r="B102" t="str">
            <v>($ Million, except per share data)</v>
          </cell>
          <cell r="D102" t="str">
            <v>1990A</v>
          </cell>
          <cell r="E102" t="str">
            <v>F1991A</v>
          </cell>
          <cell r="F102" t="str">
            <v>F1992A</v>
          </cell>
          <cell r="G102" t="str">
            <v>F1993A</v>
          </cell>
          <cell r="H102" t="str">
            <v>F1994A</v>
          </cell>
          <cell r="I102" t="str">
            <v>F1995A</v>
          </cell>
          <cell r="J102" t="str">
            <v>F1996A</v>
          </cell>
          <cell r="K102" t="str">
            <v>F1997A</v>
          </cell>
          <cell r="L102" t="str">
            <v>F1998A</v>
          </cell>
          <cell r="M102" t="str">
            <v>F1Q99A</v>
          </cell>
          <cell r="N102" t="str">
            <v>F2Q99A</v>
          </cell>
          <cell r="O102" t="str">
            <v>F3Q99A</v>
          </cell>
          <cell r="P102" t="str">
            <v>F4Q99A</v>
          </cell>
          <cell r="Q102" t="str">
            <v>F1999A</v>
          </cell>
          <cell r="R102" t="str">
            <v>F1Q00A</v>
          </cell>
          <cell r="S102" t="str">
            <v>F2Q00A</v>
          </cell>
          <cell r="T102" t="str">
            <v>F3Q00A</v>
          </cell>
          <cell r="U102" t="str">
            <v>F4Q00A</v>
          </cell>
          <cell r="V102" t="str">
            <v>F2000A</v>
          </cell>
          <cell r="W102" t="str">
            <v>F1Q01A</v>
          </cell>
          <cell r="X102" t="str">
            <v>F2Q01A</v>
          </cell>
          <cell r="Y102" t="str">
            <v>F3Q01A</v>
          </cell>
          <cell r="Z102" t="str">
            <v>F4Q01A</v>
          </cell>
          <cell r="AA102" t="str">
            <v>F2001A</v>
          </cell>
          <cell r="AB102" t="str">
            <v>F1Q02A</v>
          </cell>
          <cell r="AC102" t="str">
            <v>F2Q02A</v>
          </cell>
          <cell r="AD102" t="str">
            <v>F3Q02A</v>
          </cell>
          <cell r="AE102" t="str">
            <v>F4Q02A</v>
          </cell>
          <cell r="AF102" t="str">
            <v>F2002A</v>
          </cell>
          <cell r="AG102" t="str">
            <v>F1Q03A</v>
          </cell>
          <cell r="AH102" t="str">
            <v>F2Q03A</v>
          </cell>
          <cell r="AI102" t="str">
            <v>F3Q03A</v>
          </cell>
          <cell r="AJ102" t="str">
            <v>F4Q03A</v>
          </cell>
          <cell r="AK102" t="str">
            <v>F2003A</v>
          </cell>
          <cell r="AL102" t="str">
            <v>F1Q04A</v>
          </cell>
          <cell r="AM102" t="str">
            <v>F2Q04A</v>
          </cell>
          <cell r="AN102" t="str">
            <v>F3Q04A</v>
          </cell>
          <cell r="AO102" t="str">
            <v>F4Q04A</v>
          </cell>
          <cell r="AP102" t="str">
            <v>F2004A</v>
          </cell>
          <cell r="AQ102" t="str">
            <v>F1Q05A</v>
          </cell>
          <cell r="AR102" t="str">
            <v>F2Q05A</v>
          </cell>
          <cell r="AS102" t="str">
            <v>F3Q05A</v>
          </cell>
          <cell r="AT102" t="str">
            <v>F4Q05A</v>
          </cell>
          <cell r="AU102" t="str">
            <v>F2005A</v>
          </cell>
          <cell r="AW102" t="str">
            <v>1Q04A</v>
          </cell>
          <cell r="AX102" t="str">
            <v>2Q04A</v>
          </cell>
          <cell r="AY102" t="str">
            <v>3Q04A</v>
          </cell>
          <cell r="AZ102" t="str">
            <v>4Q04A</v>
          </cell>
          <cell r="BA102" t="str">
            <v>2004A</v>
          </cell>
          <cell r="BB102" t="str">
            <v>1Q05A</v>
          </cell>
          <cell r="BC102" t="str">
            <v>2Q05A</v>
          </cell>
          <cell r="BD102" t="str">
            <v>3Q05A</v>
          </cell>
          <cell r="BE102" t="str">
            <v>4Q05A</v>
          </cell>
          <cell r="BF102" t="str">
            <v>2005A</v>
          </cell>
          <cell r="BG102" t="str">
            <v>1Q06A</v>
          </cell>
          <cell r="BH102" t="str">
            <v>2Q06A</v>
          </cell>
          <cell r="BI102" t="str">
            <v>3Q06A</v>
          </cell>
          <cell r="BJ102" t="str">
            <v>4Q06A</v>
          </cell>
          <cell r="BK102" t="str">
            <v>2006A</v>
          </cell>
          <cell r="BL102" t="str">
            <v>1Q07A</v>
          </cell>
          <cell r="BM102" t="str">
            <v>2Q07A</v>
          </cell>
          <cell r="BN102" t="str">
            <v>3Q07A</v>
          </cell>
          <cell r="BO102" t="str">
            <v>4Q07A</v>
          </cell>
          <cell r="BP102" t="str">
            <v>2007A</v>
          </cell>
          <cell r="BQ102" t="str">
            <v>1Q08A</v>
          </cell>
          <cell r="BR102" t="str">
            <v>2Q08A</v>
          </cell>
          <cell r="BS102" t="str">
            <v>3Q08A</v>
          </cell>
          <cell r="BT102" t="str">
            <v>4Q08A</v>
          </cell>
          <cell r="BU102" t="str">
            <v>2008A</v>
          </cell>
          <cell r="BV102" t="str">
            <v>1Q09A</v>
          </cell>
          <cell r="BW102" t="str">
            <v>2Q09A</v>
          </cell>
          <cell r="BX102" t="str">
            <v>3Q09A</v>
          </cell>
          <cell r="BY102" t="str">
            <v>4Q09A</v>
          </cell>
          <cell r="BZ102" t="str">
            <v>2009A</v>
          </cell>
          <cell r="CA102" t="str">
            <v>1Q10A</v>
          </cell>
          <cell r="CB102" t="str">
            <v>2Q10A</v>
          </cell>
          <cell r="CC102" t="str">
            <v>3Q10A</v>
          </cell>
          <cell r="CD102" t="str">
            <v>4Q10A</v>
          </cell>
          <cell r="CE102" t="str">
            <v>2010A</v>
          </cell>
          <cell r="CF102" t="str">
            <v>1Q11A</v>
          </cell>
          <cell r="CG102" t="str">
            <v>2Q11A</v>
          </cell>
          <cell r="CH102" t="str">
            <v>3Q11A</v>
          </cell>
          <cell r="CI102" t="str">
            <v>4Q11A</v>
          </cell>
          <cell r="CJ102" t="str">
            <v>2011A</v>
          </cell>
          <cell r="CK102" t="str">
            <v>1Q12A</v>
          </cell>
          <cell r="CL102" t="str">
            <v>2Q12A</v>
          </cell>
          <cell r="CM102" t="str">
            <v>3Q12A</v>
          </cell>
          <cell r="CN102" t="str">
            <v>4Q12E</v>
          </cell>
          <cell r="CO102" t="str">
            <v>2012E</v>
          </cell>
          <cell r="CP102" t="str">
            <v>1Q13E</v>
          </cell>
          <cell r="CQ102" t="str">
            <v>2Q13E</v>
          </cell>
          <cell r="CR102" t="str">
            <v>3Q13E</v>
          </cell>
          <cell r="CS102" t="str">
            <v>4Q13E</v>
          </cell>
          <cell r="CT102" t="str">
            <v>2013E</v>
          </cell>
          <cell r="CU102" t="str">
            <v>1Q14E</v>
          </cell>
          <cell r="CV102" t="str">
            <v>2Q14E</v>
          </cell>
          <cell r="CW102" t="str">
            <v>3Q14E</v>
          </cell>
          <cell r="CX102" t="str">
            <v>4Q14E</v>
          </cell>
          <cell r="CY102" t="str">
            <v>2014E</v>
          </cell>
          <cell r="CZ102" t="str">
            <v>1Q15E</v>
          </cell>
          <cell r="DA102" t="str">
            <v>2Q15E</v>
          </cell>
          <cell r="DB102" t="str">
            <v>3Q15E</v>
          </cell>
          <cell r="DC102" t="str">
            <v>4Q15E</v>
          </cell>
          <cell r="DD102" t="str">
            <v>2015E</v>
          </cell>
          <cell r="DE102" t="str">
            <v>1Q16E</v>
          </cell>
          <cell r="DF102" t="str">
            <v>2Q16E</v>
          </cell>
          <cell r="DG102" t="str">
            <v>3Q16E</v>
          </cell>
          <cell r="DH102" t="str">
            <v>4Q16E</v>
          </cell>
          <cell r="DI102" t="str">
            <v>2016E</v>
          </cell>
        </row>
        <row r="103">
          <cell r="B103" t="str">
            <v>CASH FLOW STATEMENT</v>
          </cell>
        </row>
        <row r="105">
          <cell r="B105" t="str">
            <v>Net Income</v>
          </cell>
          <cell r="F105">
            <v>22.677999999999987</v>
          </cell>
          <cell r="G105">
            <v>32.245000000000005</v>
          </cell>
          <cell r="H105">
            <v>46.53599999999998</v>
          </cell>
          <cell r="I105">
            <v>63.331000000000081</v>
          </cell>
          <cell r="J105">
            <v>84.085999999999999</v>
          </cell>
          <cell r="K105">
            <v>108.32200000000003</v>
          </cell>
          <cell r="L105">
            <v>136.84399999999988</v>
          </cell>
          <cell r="M105">
            <v>30.954999999999981</v>
          </cell>
          <cell r="N105">
            <v>47.706999999999994</v>
          </cell>
          <cell r="O105">
            <v>38.757000000000026</v>
          </cell>
          <cell r="P105">
            <v>32.426000000000016</v>
          </cell>
          <cell r="Q105">
            <v>149.84500000000003</v>
          </cell>
          <cell r="R105">
            <v>34.291999999999994</v>
          </cell>
          <cell r="S105">
            <v>50.487000000000023</v>
          </cell>
          <cell r="T105">
            <v>43.823000000000008</v>
          </cell>
          <cell r="U105">
            <v>39.064999999999998</v>
          </cell>
          <cell r="V105">
            <v>167.66700000000003</v>
          </cell>
          <cell r="W105">
            <v>40.17800000000004</v>
          </cell>
          <cell r="X105">
            <v>48.740000000000045</v>
          </cell>
          <cell r="Y105">
            <v>54.137999999999963</v>
          </cell>
          <cell r="Z105">
            <v>51.922000000000004</v>
          </cell>
          <cell r="AA105">
            <v>194.97800000000004</v>
          </cell>
          <cell r="AB105">
            <v>50.466000000000044</v>
          </cell>
          <cell r="AC105">
            <v>69.236000000000018</v>
          </cell>
          <cell r="AD105">
            <v>66.616</v>
          </cell>
          <cell r="AE105">
            <v>60.117999999999945</v>
          </cell>
          <cell r="AF105">
            <v>246.43599999999998</v>
          </cell>
          <cell r="AG105">
            <v>59.656000000000006</v>
          </cell>
          <cell r="AH105">
            <v>78.064999999999955</v>
          </cell>
          <cell r="AI105">
            <v>75.920999999999978</v>
          </cell>
          <cell r="AJ105">
            <v>69.782000000000039</v>
          </cell>
          <cell r="AK105">
            <v>283.42399999999998</v>
          </cell>
          <cell r="AL105">
            <v>71.310999999999993</v>
          </cell>
          <cell r="AM105">
            <v>90.475000000000009</v>
          </cell>
          <cell r="AN105">
            <v>89.28300000000003</v>
          </cell>
          <cell r="AO105">
            <v>74.029999999999916</v>
          </cell>
          <cell r="AP105">
            <v>325.09899999999993</v>
          </cell>
          <cell r="AQ105">
            <v>78.752000000000052</v>
          </cell>
          <cell r="AR105">
            <v>99.76300000000009</v>
          </cell>
          <cell r="AS105">
            <v>86.77200000000002</v>
          </cell>
          <cell r="AT105">
            <v>87.788999999999959</v>
          </cell>
          <cell r="AU105">
            <v>353.07600000000014</v>
          </cell>
          <cell r="AW105">
            <v>90.475000000000009</v>
          </cell>
          <cell r="AX105">
            <v>89.28300000000003</v>
          </cell>
          <cell r="AY105">
            <v>74.029999999999916</v>
          </cell>
          <cell r="AZ105">
            <v>78.752000000000052</v>
          </cell>
          <cell r="BA105">
            <v>332.53999999999968</v>
          </cell>
          <cell r="BB105">
            <v>99.76300000000009</v>
          </cell>
          <cell r="BC105">
            <v>86.77200000000002</v>
          </cell>
          <cell r="BD105">
            <v>87.788999999999959</v>
          </cell>
          <cell r="BE105">
            <v>75.942000000000093</v>
          </cell>
          <cell r="BF105">
            <v>350.26600000000019</v>
          </cell>
          <cell r="BG105">
            <v>87.213000000000136</v>
          </cell>
          <cell r="BH105">
            <v>77.30499999999995</v>
          </cell>
          <cell r="BI105">
            <v>74.436000000000078</v>
          </cell>
          <cell r="BJ105">
            <v>-56.205000000000041</v>
          </cell>
          <cell r="BK105">
            <v>182.74900000000014</v>
          </cell>
          <cell r="BL105">
            <v>65.038999999999774</v>
          </cell>
          <cell r="BM105">
            <v>11.906000000000065</v>
          </cell>
          <cell r="BN105">
            <v>30.473999999999965</v>
          </cell>
          <cell r="BO105">
            <v>12.460000000000029</v>
          </cell>
          <cell r="BP105">
            <v>119.87899999999982</v>
          </cell>
          <cell r="BQ105">
            <v>134.67599999999993</v>
          </cell>
          <cell r="BR105">
            <v>17.782000000000021</v>
          </cell>
          <cell r="BS105">
            <v>10.971999999999912</v>
          </cell>
          <cell r="BT105">
            <v>19.803000000000054</v>
          </cell>
          <cell r="BU105">
            <v>183.23299999999992</v>
          </cell>
          <cell r="BV105">
            <v>52.56899999999991</v>
          </cell>
          <cell r="BW105">
            <v>39.298000000000002</v>
          </cell>
          <cell r="BX105">
            <v>31.921000000000074</v>
          </cell>
          <cell r="BY105">
            <v>40.152999999999892</v>
          </cell>
          <cell r="BZ105">
            <v>163.94099999999986</v>
          </cell>
          <cell r="CA105">
            <v>53.418999999999883</v>
          </cell>
          <cell r="CB105">
            <v>45.713000000000001</v>
          </cell>
          <cell r="CC105">
            <v>39.880000000000052</v>
          </cell>
          <cell r="CD105">
            <v>33.235999999999983</v>
          </cell>
          <cell r="CE105">
            <v>172.24799999999993</v>
          </cell>
          <cell r="CF105">
            <v>62.112000000000144</v>
          </cell>
          <cell r="CG105">
            <v>55.333000000000055</v>
          </cell>
          <cell r="CH105">
            <v>49.959000000000039</v>
          </cell>
          <cell r="CI105">
            <v>36.520999999999866</v>
          </cell>
          <cell r="CJ105">
            <v>203.9250000000001</v>
          </cell>
          <cell r="CK105">
            <v>44.596000000000252</v>
          </cell>
          <cell r="CL105">
            <v>45.119999999999976</v>
          </cell>
          <cell r="CM105">
            <v>48.029000000000103</v>
          </cell>
          <cell r="CN105">
            <v>59.90168999778848</v>
          </cell>
          <cell r="CO105">
            <v>197.64668999778883</v>
          </cell>
          <cell r="CP105">
            <v>70.671584289472179</v>
          </cell>
          <cell r="CQ105">
            <v>65.161458332979606</v>
          </cell>
          <cell r="CR105">
            <v>50.686975273955312</v>
          </cell>
          <cell r="CS105">
            <v>34.577245356246884</v>
          </cell>
          <cell r="CT105">
            <v>221.09726325265399</v>
          </cell>
          <cell r="CU105">
            <v>78.627910427412246</v>
          </cell>
          <cell r="CV105">
            <v>85.080621758383927</v>
          </cell>
          <cell r="CW105">
            <v>73.707412367852754</v>
          </cell>
          <cell r="CX105">
            <v>54.809635323121483</v>
          </cell>
          <cell r="CY105">
            <v>292.22557987677044</v>
          </cell>
          <cell r="CZ105">
            <v>102.3906773607535</v>
          </cell>
          <cell r="DA105">
            <v>94.662470994466275</v>
          </cell>
          <cell r="DB105">
            <v>84.747099581396014</v>
          </cell>
          <cell r="DC105">
            <v>67.324042419083156</v>
          </cell>
          <cell r="DD105">
            <v>349.12429035569892</v>
          </cell>
          <cell r="DE105">
            <v>116.28078034362986</v>
          </cell>
          <cell r="DF105">
            <v>106.59478687251507</v>
          </cell>
          <cell r="DG105">
            <v>97.684751533965809</v>
          </cell>
          <cell r="DH105">
            <v>76.979432205673433</v>
          </cell>
          <cell r="DI105">
            <v>397.5397509557842</v>
          </cell>
          <cell r="DU105" t="str">
            <v>mstag:netIncomeReported</v>
          </cell>
          <cell r="DV105">
            <v>6</v>
          </cell>
          <cell r="DW105" t="str">
            <v>ISO4217:USD</v>
          </cell>
          <cell r="DX105" t="b">
            <v>0</v>
          </cell>
        </row>
        <row r="106">
          <cell r="G106">
            <v>0</v>
          </cell>
          <cell r="H106">
            <v>0</v>
          </cell>
          <cell r="I106">
            <v>0</v>
          </cell>
          <cell r="J106">
            <v>0</v>
          </cell>
          <cell r="K106">
            <v>0</v>
          </cell>
          <cell r="L106">
            <v>0</v>
          </cell>
          <cell r="CF106" t="str">
            <v>.</v>
          </cell>
        </row>
        <row r="107">
          <cell r="B107" t="str">
            <v>Depreciation and amortization</v>
          </cell>
          <cell r="F107">
            <v>12.779</v>
          </cell>
          <cell r="G107">
            <v>13.081</v>
          </cell>
          <cell r="H107">
            <v>16.61</v>
          </cell>
          <cell r="I107">
            <v>20.562000000000001</v>
          </cell>
          <cell r="J107">
            <v>27.172999999999998</v>
          </cell>
          <cell r="K107">
            <v>36.561</v>
          </cell>
          <cell r="L107">
            <v>50.436999999999998</v>
          </cell>
          <cell r="M107">
            <v>14.507</v>
          </cell>
          <cell r="N107">
            <v>14.343999999999999</v>
          </cell>
          <cell r="O107">
            <v>15.956999999999999</v>
          </cell>
          <cell r="P107">
            <v>16.47</v>
          </cell>
          <cell r="Q107">
            <v>61.277999999999999</v>
          </cell>
          <cell r="R107">
            <v>18.132000000000001</v>
          </cell>
          <cell r="S107">
            <v>18.533999999999995</v>
          </cell>
          <cell r="T107">
            <v>19.093999999999998</v>
          </cell>
          <cell r="U107">
            <v>18.739000000000008</v>
          </cell>
          <cell r="V107">
            <v>74.498999999999995</v>
          </cell>
          <cell r="W107">
            <v>21.43</v>
          </cell>
          <cell r="X107">
            <v>22.116</v>
          </cell>
          <cell r="Y107">
            <v>22.875999999999998</v>
          </cell>
          <cell r="Z107">
            <v>24.224000000000011</v>
          </cell>
          <cell r="AA107">
            <v>90.646000000000015</v>
          </cell>
          <cell r="AB107">
            <v>21.648</v>
          </cell>
          <cell r="AC107">
            <v>23.892999999999997</v>
          </cell>
          <cell r="AD107">
            <v>24.293000000000003</v>
          </cell>
          <cell r="AE107">
            <v>25.493999999999996</v>
          </cell>
          <cell r="AF107">
            <v>95.328000000000003</v>
          </cell>
          <cell r="AG107">
            <v>26.087</v>
          </cell>
          <cell r="AH107">
            <v>27.113000000000003</v>
          </cell>
          <cell r="AI107">
            <v>28.003000000000004</v>
          </cell>
          <cell r="AJ107">
            <v>28.661000000000005</v>
          </cell>
          <cell r="AK107">
            <v>109.864</v>
          </cell>
          <cell r="AL107">
            <v>31.003</v>
          </cell>
          <cell r="AM107">
            <v>34.379999999999995</v>
          </cell>
          <cell r="AN107">
            <v>34.03</v>
          </cell>
          <cell r="AO107">
            <v>35.501999999999995</v>
          </cell>
          <cell r="AP107">
            <v>134.91499999999999</v>
          </cell>
          <cell r="AQ107">
            <v>36.594999999999999</v>
          </cell>
          <cell r="AR107">
            <v>37.341999999999999</v>
          </cell>
          <cell r="AS107">
            <v>39.113</v>
          </cell>
          <cell r="AT107">
            <v>42.123000000000005</v>
          </cell>
          <cell r="AU107">
            <v>155.173</v>
          </cell>
          <cell r="AW107">
            <v>34.379999999999995</v>
          </cell>
          <cell r="AX107">
            <v>34.03</v>
          </cell>
          <cell r="AY107">
            <v>35.501999999999995</v>
          </cell>
          <cell r="AZ107">
            <v>36.594999999999999</v>
          </cell>
          <cell r="BA107">
            <v>140.50700000000001</v>
          </cell>
          <cell r="BB107">
            <v>37.341999999999999</v>
          </cell>
          <cell r="BC107">
            <v>39.113</v>
          </cell>
          <cell r="BD107">
            <v>42.123000000000005</v>
          </cell>
          <cell r="BE107">
            <v>41.527999999999999</v>
          </cell>
          <cell r="BF107">
            <v>160.10599999999999</v>
          </cell>
          <cell r="BG107">
            <v>43.777999999999999</v>
          </cell>
          <cell r="BH107">
            <v>45.390999999999998</v>
          </cell>
          <cell r="BI107">
            <v>45.886000000000017</v>
          </cell>
          <cell r="BJ107">
            <v>53.158999999999985</v>
          </cell>
          <cell r="BK107">
            <v>188.214</v>
          </cell>
          <cell r="BL107">
            <v>52.651000000000003</v>
          </cell>
          <cell r="BM107">
            <v>55.541999999999994</v>
          </cell>
          <cell r="BN107">
            <v>58.518000000000008</v>
          </cell>
          <cell r="BO107">
            <v>60.387999999999984</v>
          </cell>
          <cell r="BP107">
            <v>227.09899999999999</v>
          </cell>
          <cell r="BQ107">
            <v>59.250999999999998</v>
          </cell>
          <cell r="BR107">
            <v>61.384999999999998</v>
          </cell>
          <cell r="BS107">
            <v>61.560000000000009</v>
          </cell>
          <cell r="BT107">
            <v>62.199999999999996</v>
          </cell>
          <cell r="BU107">
            <v>244.39599999999999</v>
          </cell>
          <cell r="BV107">
            <v>62.634</v>
          </cell>
          <cell r="BW107">
            <v>62.265000000000001</v>
          </cell>
          <cell r="BX107">
            <v>59.413000000000011</v>
          </cell>
          <cell r="BY107">
            <v>63.597999999999985</v>
          </cell>
          <cell r="BZ107">
            <v>247.91</v>
          </cell>
          <cell r="CA107">
            <v>63.798000000000002</v>
          </cell>
          <cell r="CB107">
            <v>63.563000000000002</v>
          </cell>
          <cell r="CC107">
            <v>63.222999999999999</v>
          </cell>
          <cell r="CD107">
            <v>60.879999999999995</v>
          </cell>
          <cell r="CE107">
            <v>251.464</v>
          </cell>
          <cell r="CF107">
            <v>67.040000000000006</v>
          </cell>
          <cell r="CG107">
            <v>65.122</v>
          </cell>
          <cell r="CH107">
            <v>67.265999999999977</v>
          </cell>
          <cell r="CI107">
            <v>75.098000000000027</v>
          </cell>
          <cell r="CJ107">
            <v>274.52600000000001</v>
          </cell>
          <cell r="CK107">
            <v>81.156000000000006</v>
          </cell>
          <cell r="CL107">
            <v>88.455999999999989</v>
          </cell>
          <cell r="CM107">
            <v>94.347999999999985</v>
          </cell>
          <cell r="CN107">
            <v>91.645666666666671</v>
          </cell>
          <cell r="CO107">
            <v>355.60566666666665</v>
          </cell>
          <cell r="CP107">
            <v>91.16339669877182</v>
          </cell>
          <cell r="CQ107">
            <v>91.734322373558129</v>
          </cell>
          <cell r="CR107">
            <v>92.295732620431338</v>
          </cell>
          <cell r="CS107">
            <v>92.847786029856664</v>
          </cell>
          <cell r="CT107">
            <v>368.04123772261795</v>
          </cell>
          <cell r="CU107">
            <v>93.184425760600661</v>
          </cell>
          <cell r="CV107">
            <v>93.486581260881536</v>
          </cell>
          <cell r="CW107">
            <v>93.763011968198128</v>
          </cell>
          <cell r="CX107">
            <v>94.081633226741218</v>
          </cell>
          <cell r="CY107">
            <v>374.51565221642159</v>
          </cell>
          <cell r="CZ107">
            <v>94.473102952827716</v>
          </cell>
          <cell r="DA107">
            <v>94.825529239970479</v>
          </cell>
          <cell r="DB107">
            <v>95.152131408263273</v>
          </cell>
          <cell r="DC107">
            <v>95.525972953812612</v>
          </cell>
          <cell r="DD107">
            <v>379.97673655487404</v>
          </cell>
          <cell r="DE107">
            <v>95.980702900009291</v>
          </cell>
          <cell r="DF107">
            <v>96.389250462507874</v>
          </cell>
          <cell r="DG107">
            <v>96.77138813920665</v>
          </cell>
          <cell r="DH107">
            <v>97.197215301502268</v>
          </cell>
          <cell r="DI107">
            <v>386.33855680322608</v>
          </cell>
          <cell r="DU107" t="str">
            <v>mstag:depreciation</v>
          </cell>
          <cell r="DV107">
            <v>6</v>
          </cell>
          <cell r="DW107" t="str">
            <v>ISO4217:USD</v>
          </cell>
          <cell r="DX107" t="b">
            <v>0</v>
          </cell>
        </row>
        <row r="108">
          <cell r="B108" t="str">
            <v xml:space="preserve">Other &amp; writedowns </v>
          </cell>
          <cell r="F108">
            <v>0</v>
          </cell>
          <cell r="G108">
            <v>0</v>
          </cell>
          <cell r="H108">
            <v>2.5499999999999998</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17</v>
          </cell>
          <cell r="Y108">
            <v>0</v>
          </cell>
          <cell r="Z108">
            <v>0</v>
          </cell>
          <cell r="AA108">
            <v>17</v>
          </cell>
          <cell r="AB108">
            <v>0</v>
          </cell>
          <cell r="AC108">
            <v>0</v>
          </cell>
          <cell r="AD108">
            <v>0</v>
          </cell>
          <cell r="AE108">
            <v>0</v>
          </cell>
          <cell r="AF108">
            <v>0</v>
          </cell>
          <cell r="AG108">
            <v>0</v>
          </cell>
          <cell r="AH108">
            <v>0</v>
          </cell>
          <cell r="AI108">
            <v>0</v>
          </cell>
          <cell r="AJ108">
            <v>4.931</v>
          </cell>
          <cell r="AK108">
            <v>4.931</v>
          </cell>
          <cell r="AL108">
            <v>0</v>
          </cell>
          <cell r="AM108">
            <v>0</v>
          </cell>
          <cell r="AN108">
            <v>0</v>
          </cell>
          <cell r="AO108">
            <v>0</v>
          </cell>
          <cell r="AP108">
            <v>0</v>
          </cell>
          <cell r="AQ108">
            <v>2.54</v>
          </cell>
          <cell r="AR108">
            <v>-4.0000000000000036E-2</v>
          </cell>
          <cell r="AS108">
            <v>0</v>
          </cell>
          <cell r="AT108">
            <v>0.13200000000000012</v>
          </cell>
          <cell r="AU108">
            <v>2.6320000000000001</v>
          </cell>
          <cell r="AW108">
            <v>0</v>
          </cell>
          <cell r="AX108">
            <v>0</v>
          </cell>
          <cell r="AY108">
            <v>0</v>
          </cell>
          <cell r="AZ108">
            <v>2.54</v>
          </cell>
          <cell r="BA108">
            <v>2.54</v>
          </cell>
          <cell r="BB108">
            <v>-4.0000000000000036E-2</v>
          </cell>
          <cell r="BC108">
            <v>0</v>
          </cell>
          <cell r="BD108">
            <v>0.13200000000000012</v>
          </cell>
          <cell r="BE108">
            <v>-7.2999999999999995E-2</v>
          </cell>
          <cell r="BF108">
            <v>1.9000000000000086E-2</v>
          </cell>
          <cell r="BG108">
            <v>0</v>
          </cell>
          <cell r="BH108">
            <v>0</v>
          </cell>
          <cell r="BI108">
            <v>0</v>
          </cell>
          <cell r="BJ108">
            <v>0</v>
          </cell>
          <cell r="BK108">
            <v>0</v>
          </cell>
          <cell r="BL108">
            <v>0</v>
          </cell>
          <cell r="BM108">
            <v>0</v>
          </cell>
          <cell r="BN108">
            <v>0</v>
          </cell>
          <cell r="BO108">
            <v>0</v>
          </cell>
          <cell r="BP108">
            <v>0</v>
          </cell>
          <cell r="BQ108">
            <v>0.92100000000000004</v>
          </cell>
          <cell r="BR108">
            <v>0</v>
          </cell>
          <cell r="BS108">
            <v>0</v>
          </cell>
          <cell r="BT108">
            <v>6.165</v>
          </cell>
          <cell r="BU108">
            <v>7.0860000000000003</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40.408000000000001</v>
          </cell>
          <cell r="CJ108">
            <v>40.408000000000001</v>
          </cell>
          <cell r="CK108">
            <v>36.721000000000004</v>
          </cell>
          <cell r="CL108">
            <v>22.259999999999998</v>
          </cell>
          <cell r="CM108">
            <v>23.920999999999999</v>
          </cell>
          <cell r="CN108">
            <v>0</v>
          </cell>
          <cell r="CO108">
            <v>82.902000000000001</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U108" t="str">
            <v>mstag:restructuringCostsOneTimeCashFlowStatement</v>
          </cell>
          <cell r="DV108">
            <v>6</v>
          </cell>
          <cell r="DW108" t="str">
            <v>ISO4217:USD</v>
          </cell>
          <cell r="DX108" t="b">
            <v>0</v>
          </cell>
        </row>
        <row r="109">
          <cell r="B109" t="str">
            <v>Provisions for doubtful accounts</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68.956000000000003</v>
          </cell>
          <cell r="Y109">
            <v>36.158000000000001</v>
          </cell>
          <cell r="Z109">
            <v>38.808999999999997</v>
          </cell>
          <cell r="AA109">
            <v>143.923</v>
          </cell>
          <cell r="AB109">
            <v>36.878</v>
          </cell>
          <cell r="AC109">
            <v>43.712999999999994</v>
          </cell>
          <cell r="AD109">
            <v>45.484999999999999</v>
          </cell>
          <cell r="AE109">
            <v>46.354000000000013</v>
          </cell>
          <cell r="AF109">
            <v>172.43</v>
          </cell>
          <cell r="AG109">
            <v>46.307000000000002</v>
          </cell>
          <cell r="AH109">
            <v>45.016999999999996</v>
          </cell>
          <cell r="AI109">
            <v>46.447999999999993</v>
          </cell>
          <cell r="AJ109">
            <v>49.053999999999988</v>
          </cell>
          <cell r="AK109">
            <v>186.82599999999996</v>
          </cell>
          <cell r="AL109">
            <v>58.087000000000003</v>
          </cell>
          <cell r="AM109">
            <v>59.578000000000003</v>
          </cell>
          <cell r="AN109">
            <v>62.513999999999996</v>
          </cell>
          <cell r="AO109">
            <v>59.894999999999996</v>
          </cell>
          <cell r="AP109">
            <v>240.07400000000001</v>
          </cell>
          <cell r="AQ109">
            <v>62.085999999999999</v>
          </cell>
          <cell r="AR109">
            <v>64.573000000000008</v>
          </cell>
          <cell r="AS109">
            <v>105.41199999999999</v>
          </cell>
          <cell r="AT109">
            <v>73.488000000000042</v>
          </cell>
          <cell r="AU109">
            <v>305.55900000000003</v>
          </cell>
          <cell r="AW109">
            <v>59.578000000000003</v>
          </cell>
          <cell r="AX109">
            <v>62.513999999999996</v>
          </cell>
          <cell r="AY109">
            <v>59.894999999999996</v>
          </cell>
          <cell r="AZ109">
            <v>62.085999999999999</v>
          </cell>
          <cell r="BA109">
            <v>244.07299999999998</v>
          </cell>
          <cell r="BB109">
            <v>64.573000000000008</v>
          </cell>
          <cell r="BC109">
            <v>105.41199999999999</v>
          </cell>
          <cell r="BD109">
            <v>73.488000000000042</v>
          </cell>
          <cell r="BE109">
            <v>81.106999999999999</v>
          </cell>
          <cell r="BF109">
            <v>324.58000000000004</v>
          </cell>
          <cell r="BG109">
            <v>83.775999999999996</v>
          </cell>
          <cell r="BH109">
            <v>91.206000000000003</v>
          </cell>
          <cell r="BI109">
            <v>91.739999999999966</v>
          </cell>
          <cell r="BJ109">
            <v>302.81900000000007</v>
          </cell>
          <cell r="BK109">
            <v>569.54100000000005</v>
          </cell>
          <cell r="BL109">
            <v>121.46899999999999</v>
          </cell>
          <cell r="BM109">
            <v>150.36599999999999</v>
          </cell>
          <cell r="BN109">
            <v>126.48600000000005</v>
          </cell>
          <cell r="BO109">
            <v>130.39800000000002</v>
          </cell>
          <cell r="BP109">
            <v>528.71900000000005</v>
          </cell>
          <cell r="BQ109">
            <v>128.97</v>
          </cell>
          <cell r="BR109">
            <v>124.83699999999999</v>
          </cell>
          <cell r="BS109">
            <v>124.19399999999999</v>
          </cell>
          <cell r="BT109">
            <v>130.22900000000007</v>
          </cell>
          <cell r="BU109">
            <v>508.23</v>
          </cell>
          <cell r="BV109">
            <v>143.983</v>
          </cell>
          <cell r="BW109">
            <v>141.505</v>
          </cell>
          <cell r="BX109">
            <v>134.38400000000001</v>
          </cell>
          <cell r="BY109">
            <v>147.16399999999993</v>
          </cell>
          <cell r="BZ109">
            <v>567.03599999999994</v>
          </cell>
          <cell r="CA109">
            <v>158.80500000000001</v>
          </cell>
          <cell r="CB109">
            <v>149.73099999999999</v>
          </cell>
          <cell r="CC109">
            <v>159.92200000000003</v>
          </cell>
          <cell r="CD109">
            <v>159.24399999999997</v>
          </cell>
          <cell r="CE109">
            <v>627.702</v>
          </cell>
          <cell r="CF109">
            <v>172.80199999999999</v>
          </cell>
          <cell r="CG109">
            <v>170.054</v>
          </cell>
          <cell r="CH109">
            <v>178.87300000000008</v>
          </cell>
          <cell r="CI109">
            <v>195.12699999999998</v>
          </cell>
          <cell r="CJ109">
            <v>716.85599999999999</v>
          </cell>
          <cell r="CK109">
            <v>201.261</v>
          </cell>
          <cell r="CL109">
            <v>214.56300000000002</v>
          </cell>
          <cell r="CM109">
            <v>224.07800000000003</v>
          </cell>
          <cell r="CN109">
            <v>231.49207752188323</v>
          </cell>
          <cell r="CO109">
            <v>871.39407752188322</v>
          </cell>
          <cell r="CP109">
            <v>235.56444688548012</v>
          </cell>
          <cell r="CQ109">
            <v>241.42522828460378</v>
          </cell>
          <cell r="CR109">
            <v>254.002584369668</v>
          </cell>
          <cell r="CS109">
            <v>257.02973061024016</v>
          </cell>
          <cell r="CT109">
            <v>988.02199014999201</v>
          </cell>
          <cell r="CU109">
            <v>189.48801670731294</v>
          </cell>
          <cell r="CV109">
            <v>194.77399794157026</v>
          </cell>
          <cell r="CW109">
            <v>204.69666651038935</v>
          </cell>
          <cell r="CX109">
            <v>207.56875740520627</v>
          </cell>
          <cell r="CY109">
            <v>796.52743856447887</v>
          </cell>
          <cell r="CZ109">
            <v>172.64500807231349</v>
          </cell>
          <cell r="DA109">
            <v>176.50685420070937</v>
          </cell>
          <cell r="DB109">
            <v>185.37446677882798</v>
          </cell>
          <cell r="DC109">
            <v>188.28177216036485</v>
          </cell>
          <cell r="DD109">
            <v>722.80810121221566</v>
          </cell>
          <cell r="DE109">
            <v>161.64526418738677</v>
          </cell>
          <cell r="DF109">
            <v>164.28377525814815</v>
          </cell>
          <cell r="DG109">
            <v>172.42250458134649</v>
          </cell>
          <cell r="DH109">
            <v>175.27856747258164</v>
          </cell>
          <cell r="DI109">
            <v>673.63011149946306</v>
          </cell>
          <cell r="DU109" t="str">
            <v>mstag:provisionForDoubtfulAccountsRecurringCashFlowStatement</v>
          </cell>
          <cell r="DV109">
            <v>6</v>
          </cell>
          <cell r="DW109" t="str">
            <v>ISO4217:USD</v>
          </cell>
          <cell r="DX109" t="b">
            <v>0</v>
          </cell>
        </row>
        <row r="110">
          <cell r="B110" t="str">
            <v>Stock-based compensation</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W110">
            <v>0</v>
          </cell>
          <cell r="AX110">
            <v>0</v>
          </cell>
          <cell r="AY110">
            <v>0</v>
          </cell>
          <cell r="AZ110">
            <v>0</v>
          </cell>
          <cell r="BA110">
            <v>0</v>
          </cell>
          <cell r="BB110">
            <v>0</v>
          </cell>
          <cell r="BC110">
            <v>0</v>
          </cell>
          <cell r="BD110">
            <v>0</v>
          </cell>
          <cell r="BE110">
            <v>5.1929999999999996</v>
          </cell>
          <cell r="BF110">
            <v>5.1929999999999996</v>
          </cell>
          <cell r="BG110">
            <v>4.8140000000000001</v>
          </cell>
          <cell r="BH110">
            <v>4.82</v>
          </cell>
          <cell r="BI110">
            <v>3.923</v>
          </cell>
          <cell r="BJ110">
            <v>4.7729999999999979</v>
          </cell>
          <cell r="BK110">
            <v>18.329999999999998</v>
          </cell>
          <cell r="BL110">
            <v>4.8209999999999997</v>
          </cell>
          <cell r="BM110">
            <v>5.0389999999999997</v>
          </cell>
          <cell r="BN110">
            <v>4.636000000000001</v>
          </cell>
          <cell r="BO110">
            <v>3.9060000000000006</v>
          </cell>
          <cell r="BP110">
            <v>18.402000000000001</v>
          </cell>
          <cell r="BQ110">
            <v>4.3</v>
          </cell>
          <cell r="BR110">
            <v>4.4319999999999995</v>
          </cell>
          <cell r="BS110">
            <v>4.8030000000000017</v>
          </cell>
          <cell r="BT110">
            <v>4.6909999999999998</v>
          </cell>
          <cell r="BU110">
            <v>18.225999999999999</v>
          </cell>
          <cell r="BV110">
            <v>2.7589999999999999</v>
          </cell>
          <cell r="BW110">
            <v>2.637</v>
          </cell>
          <cell r="BX110">
            <v>2.5589999999999997</v>
          </cell>
          <cell r="BY110">
            <v>2.9120000000000013</v>
          </cell>
          <cell r="BZ110">
            <v>10.867000000000001</v>
          </cell>
          <cell r="CA110">
            <v>4.4669999999999996</v>
          </cell>
          <cell r="CB110">
            <v>4.4669999999999996</v>
          </cell>
          <cell r="CC110">
            <v>4.8280000000000021</v>
          </cell>
          <cell r="CD110">
            <v>4.6039999999999992</v>
          </cell>
          <cell r="CE110">
            <v>18.366</v>
          </cell>
          <cell r="CF110">
            <v>6.4829999999999997</v>
          </cell>
          <cell r="CG110">
            <v>6.4620000000000006</v>
          </cell>
          <cell r="CH110">
            <v>6.355999999999999</v>
          </cell>
          <cell r="CI110">
            <v>5.868000000000003</v>
          </cell>
          <cell r="CJ110">
            <v>25.169</v>
          </cell>
          <cell r="CK110">
            <v>6.8869999999999996</v>
          </cell>
          <cell r="CL110">
            <v>6.3170000000000011</v>
          </cell>
          <cell r="CM110">
            <v>6.2880000000000003</v>
          </cell>
          <cell r="CN110">
            <v>6.4226807838613738</v>
          </cell>
          <cell r="CO110">
            <v>25.914680783861375</v>
          </cell>
          <cell r="CP110">
            <v>6.6434430884208888</v>
          </cell>
          <cell r="CQ110">
            <v>6.5483272102855263</v>
          </cell>
          <cell r="CR110">
            <v>6.4685462166376251</v>
          </cell>
          <cell r="CS110">
            <v>6.6463074371151816</v>
          </cell>
          <cell r="CT110">
            <v>26.306623952459226</v>
          </cell>
          <cell r="CU110">
            <v>6.7746959496123038</v>
          </cell>
          <cell r="CV110">
            <v>6.670874840243262</v>
          </cell>
          <cell r="CW110">
            <v>6.5964835768558325</v>
          </cell>
          <cell r="CX110">
            <v>6.7647548540223799</v>
          </cell>
          <cell r="CY110">
            <v>26.806809220733776</v>
          </cell>
          <cell r="CZ110">
            <v>7.045791666371632</v>
          </cell>
          <cell r="DA110">
            <v>6.9288628282940063</v>
          </cell>
          <cell r="DB110">
            <v>6.8571270740312009</v>
          </cell>
          <cell r="DC110">
            <v>7.046559192573298</v>
          </cell>
          <cell r="DD110">
            <v>27.878340761270138</v>
          </cell>
          <cell r="DE110">
            <v>7.3598145824543968</v>
          </cell>
          <cell r="DF110">
            <v>7.2210072317964187</v>
          </cell>
          <cell r="DG110">
            <v>7.1505284948925301</v>
          </cell>
          <cell r="DH110">
            <v>7.3305243802898916</v>
          </cell>
          <cell r="DI110">
            <v>29.061874689433235</v>
          </cell>
          <cell r="DU110" t="str">
            <v>mstag:stockBasedCompensationChargePreTax</v>
          </cell>
          <cell r="DV110">
            <v>6</v>
          </cell>
          <cell r="DW110" t="str">
            <v>ISO4217:USD</v>
          </cell>
          <cell r="DX110" t="b">
            <v>0</v>
          </cell>
        </row>
        <row r="111">
          <cell r="B111" t="str">
            <v>Loss/(Gain) on sale of fixed assets &amp; other</v>
          </cell>
          <cell r="F111">
            <v>0.443</v>
          </cell>
          <cell r="G111">
            <v>-0.161</v>
          </cell>
          <cell r="H111">
            <v>-4.9000000000000002E-2</v>
          </cell>
          <cell r="I111">
            <v>0.11600000000000001</v>
          </cell>
          <cell r="J111">
            <v>0.21099999999999999</v>
          </cell>
          <cell r="K111">
            <v>-9.1999999999999998E-2</v>
          </cell>
          <cell r="L111">
            <v>1.4E-2</v>
          </cell>
          <cell r="M111">
            <v>7.0000000000000007E-2</v>
          </cell>
          <cell r="N111">
            <v>-5.6000000000000008E-2</v>
          </cell>
          <cell r="O111">
            <v>6.3</v>
          </cell>
          <cell r="P111">
            <v>-6.1429999999999998</v>
          </cell>
          <cell r="Q111">
            <v>0.17100000000000026</v>
          </cell>
          <cell r="R111">
            <v>3.0000000000000001E-3</v>
          </cell>
          <cell r="S111">
            <v>1.3000000000000001E-2</v>
          </cell>
          <cell r="T111">
            <v>1.4999999999999999E-2</v>
          </cell>
          <cell r="U111">
            <v>5.4000000000000006E-2</v>
          </cell>
          <cell r="V111">
            <v>8.5000000000000006E-2</v>
          </cell>
          <cell r="W111">
            <v>4.0000000000000001E-3</v>
          </cell>
          <cell r="X111">
            <v>6.0000000000000001E-3</v>
          </cell>
          <cell r="Y111">
            <v>0</v>
          </cell>
          <cell r="Z111">
            <v>-1.6E-2</v>
          </cell>
          <cell r="AA111">
            <v>-6.0000000000000001E-3</v>
          </cell>
          <cell r="AB111">
            <v>0</v>
          </cell>
          <cell r="AC111">
            <v>5.6000000000000001E-2</v>
          </cell>
          <cell r="AD111">
            <v>0.48600000000000004</v>
          </cell>
          <cell r="AE111">
            <v>-0.48000000000000004</v>
          </cell>
          <cell r="AF111">
            <v>6.2E-2</v>
          </cell>
          <cell r="AG111">
            <v>0.01</v>
          </cell>
          <cell r="AH111">
            <v>-0.35200000000000004</v>
          </cell>
          <cell r="AI111">
            <v>-2.0999999999999956E-2</v>
          </cell>
          <cell r="AJ111">
            <v>-0.46300000000000002</v>
          </cell>
          <cell r="AK111">
            <v>-0.82600000000000007</v>
          </cell>
          <cell r="AL111">
            <v>0</v>
          </cell>
          <cell r="AM111">
            <v>-0.78900000000000003</v>
          </cell>
          <cell r="AN111">
            <v>-1.88</v>
          </cell>
          <cell r="AO111">
            <v>0.32299999999999984</v>
          </cell>
          <cell r="AP111">
            <v>-2.3460000000000001</v>
          </cell>
          <cell r="AQ111">
            <v>-0.108</v>
          </cell>
          <cell r="AR111">
            <v>-7.5999999999999998E-2</v>
          </cell>
          <cell r="AS111">
            <v>-19.076000000000001</v>
          </cell>
          <cell r="AT111">
            <v>-15.303000000000001</v>
          </cell>
          <cell r="AU111">
            <v>-34.563000000000002</v>
          </cell>
          <cell r="AW111">
            <v>-0.78900000000000003</v>
          </cell>
          <cell r="AX111">
            <v>-1.88</v>
          </cell>
          <cell r="AY111">
            <v>0.32299999999999984</v>
          </cell>
          <cell r="AZ111">
            <v>-0.108</v>
          </cell>
          <cell r="BA111">
            <v>-2.4540000000000002</v>
          </cell>
          <cell r="BB111">
            <v>-7.5999999999999998E-2</v>
          </cell>
          <cell r="BC111">
            <v>-19.076000000000001</v>
          </cell>
          <cell r="BD111">
            <v>-15.303000000000001</v>
          </cell>
          <cell r="BE111">
            <v>8.0000000000000002E-3</v>
          </cell>
          <cell r="BF111">
            <v>-34.446999999999996</v>
          </cell>
          <cell r="BG111">
            <v>-1.629</v>
          </cell>
          <cell r="BH111">
            <v>-0.38300000000000001</v>
          </cell>
          <cell r="BI111">
            <v>5.2999999999999936E-2</v>
          </cell>
          <cell r="BJ111">
            <v>-14.581000000000001</v>
          </cell>
          <cell r="BK111">
            <v>-16.540000000000003</v>
          </cell>
          <cell r="BL111">
            <v>-0.66800000000000004</v>
          </cell>
          <cell r="BM111">
            <v>-2.5919999999999996</v>
          </cell>
          <cell r="BN111">
            <v>7.9999999999998961E-3</v>
          </cell>
          <cell r="BO111">
            <v>0.73799999999999988</v>
          </cell>
          <cell r="BP111">
            <v>-2.5139999999999998</v>
          </cell>
          <cell r="BQ111">
            <v>-203.32</v>
          </cell>
          <cell r="BR111">
            <v>-6.1839999999999975</v>
          </cell>
          <cell r="BS111">
            <v>-1.6500000000000057</v>
          </cell>
          <cell r="BT111">
            <v>-0.34700000000000841</v>
          </cell>
          <cell r="BU111">
            <v>-211.501</v>
          </cell>
          <cell r="BV111">
            <v>0.112</v>
          </cell>
          <cell r="BW111">
            <v>-1.9990000000000001</v>
          </cell>
          <cell r="BX111">
            <v>-4.8999999999999835E-2</v>
          </cell>
          <cell r="BY111">
            <v>-0.69200000000000006</v>
          </cell>
          <cell r="BZ111">
            <v>-2.6280000000000001</v>
          </cell>
          <cell r="CA111">
            <v>-2.1270000000000002</v>
          </cell>
          <cell r="CB111">
            <v>-1.9059999999999993</v>
          </cell>
          <cell r="CC111">
            <v>-1.2650000000000006</v>
          </cell>
          <cell r="CD111">
            <v>0.25899999999999945</v>
          </cell>
          <cell r="CE111">
            <v>-5.0390000000000006</v>
          </cell>
          <cell r="CF111">
            <v>0.14300000000000002</v>
          </cell>
          <cell r="CG111">
            <v>0.64400000000000002</v>
          </cell>
          <cell r="CH111">
            <v>-0.39699999999999991</v>
          </cell>
          <cell r="CI111">
            <v>0.4169999999999997</v>
          </cell>
          <cell r="CJ111">
            <v>0.80699999999999983</v>
          </cell>
          <cell r="CK111">
            <v>2.02</v>
          </cell>
          <cell r="CL111">
            <v>-0.41200000000000014</v>
          </cell>
          <cell r="CM111">
            <v>-1.8440000000000001</v>
          </cell>
          <cell r="CN111">
            <v>0</v>
          </cell>
          <cell r="CO111">
            <v>-0.23600000000000021</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U111" t="str">
            <v>mstag:gainsLossesFromSaleOfOperatingAssetsOneTime</v>
          </cell>
          <cell r="DV111">
            <v>6</v>
          </cell>
          <cell r="DW111" t="str">
            <v>ISO4217:USD</v>
          </cell>
          <cell r="DX111" t="b">
            <v>1</v>
          </cell>
        </row>
        <row r="112">
          <cell r="B112" t="str">
            <v>Deferred income tax expense (benefit)</v>
          </cell>
          <cell r="F112">
            <v>-0.1</v>
          </cell>
          <cell r="G112">
            <v>-0.5</v>
          </cell>
          <cell r="H112">
            <v>-1.2</v>
          </cell>
          <cell r="I112">
            <v>-0.9</v>
          </cell>
          <cell r="J112">
            <v>0.7</v>
          </cell>
          <cell r="K112">
            <v>-0.4</v>
          </cell>
          <cell r="L112">
            <v>-2.9140000000000001</v>
          </cell>
          <cell r="M112">
            <v>0</v>
          </cell>
          <cell r="N112">
            <v>0</v>
          </cell>
          <cell r="O112">
            <v>0</v>
          </cell>
          <cell r="P112">
            <v>-5</v>
          </cell>
          <cell r="Q112">
            <v>-5</v>
          </cell>
          <cell r="R112">
            <v>0</v>
          </cell>
          <cell r="S112">
            <v>0</v>
          </cell>
          <cell r="T112">
            <v>0</v>
          </cell>
          <cell r="U112">
            <v>-4.9790000000000001</v>
          </cell>
          <cell r="V112">
            <v>-4.9790000000000001</v>
          </cell>
          <cell r="W112">
            <v>0</v>
          </cell>
          <cell r="X112">
            <v>0</v>
          </cell>
          <cell r="Y112">
            <v>0</v>
          </cell>
          <cell r="Z112">
            <v>-6.6</v>
          </cell>
          <cell r="AA112">
            <v>-6.6</v>
          </cell>
          <cell r="AB112">
            <v>0</v>
          </cell>
          <cell r="AC112">
            <v>0</v>
          </cell>
          <cell r="AD112">
            <v>0</v>
          </cell>
          <cell r="AE112">
            <v>-8.5850000000000009</v>
          </cell>
          <cell r="AF112">
            <v>-8.5850000000000009</v>
          </cell>
          <cell r="AG112">
            <v>0</v>
          </cell>
          <cell r="AH112">
            <v>0</v>
          </cell>
          <cell r="AI112">
            <v>0</v>
          </cell>
          <cell r="AJ112">
            <v>37.057000000000002</v>
          </cell>
          <cell r="AK112">
            <v>37.057000000000002</v>
          </cell>
          <cell r="AL112">
            <v>0</v>
          </cell>
          <cell r="AM112">
            <v>0</v>
          </cell>
          <cell r="AN112">
            <v>0</v>
          </cell>
          <cell r="AO112">
            <v>79.12</v>
          </cell>
          <cell r="AP112">
            <v>79.12</v>
          </cell>
          <cell r="AQ112">
            <v>8.577</v>
          </cell>
          <cell r="AR112">
            <v>15.680000000000001</v>
          </cell>
          <cell r="AS112">
            <v>0.75099999999999767</v>
          </cell>
          <cell r="AT112">
            <v>13.372000000000005</v>
          </cell>
          <cell r="AU112">
            <v>38.380000000000003</v>
          </cell>
          <cell r="AW112">
            <v>0</v>
          </cell>
          <cell r="AX112">
            <v>0</v>
          </cell>
          <cell r="AY112">
            <v>79.12</v>
          </cell>
          <cell r="AZ112">
            <v>8.577</v>
          </cell>
          <cell r="BA112">
            <v>87.697000000000003</v>
          </cell>
          <cell r="BB112">
            <v>15.680000000000001</v>
          </cell>
          <cell r="BC112">
            <v>0.75099999999999767</v>
          </cell>
          <cell r="BD112">
            <v>13.372000000000005</v>
          </cell>
          <cell r="BE112">
            <v>9.6210000000000004</v>
          </cell>
          <cell r="BF112">
            <v>39.424000000000007</v>
          </cell>
          <cell r="BG112">
            <v>-5.5289999999999999</v>
          </cell>
          <cell r="BH112">
            <v>-12.286000000000001</v>
          </cell>
          <cell r="BI112">
            <v>-35.283999999999992</v>
          </cell>
          <cell r="BJ112">
            <v>-51.399000000000015</v>
          </cell>
          <cell r="BK112">
            <v>-104.498</v>
          </cell>
          <cell r="BL112">
            <v>-1.1719999999999999</v>
          </cell>
          <cell r="BM112">
            <v>-40.499000000000002</v>
          </cell>
          <cell r="BN112">
            <v>38.283999999999999</v>
          </cell>
          <cell r="BO112">
            <v>68.28</v>
          </cell>
          <cell r="BP112">
            <v>64.893000000000001</v>
          </cell>
          <cell r="BQ112">
            <v>66.465999999999994</v>
          </cell>
          <cell r="BR112">
            <v>-9.7789999999999964</v>
          </cell>
          <cell r="BS112">
            <v>17.799999999999997</v>
          </cell>
          <cell r="BT112">
            <v>36.091999999999999</v>
          </cell>
          <cell r="BU112">
            <v>110.57899999999999</v>
          </cell>
          <cell r="BV112">
            <v>8.6470000000000002</v>
          </cell>
          <cell r="BW112">
            <v>-3.9580000000000002</v>
          </cell>
          <cell r="BX112">
            <v>25.17</v>
          </cell>
          <cell r="BY112">
            <v>60.607999999999997</v>
          </cell>
          <cell r="BZ112">
            <v>90.466999999999999</v>
          </cell>
          <cell r="CA112">
            <v>2.665</v>
          </cell>
          <cell r="CB112">
            <v>-11.363</v>
          </cell>
          <cell r="CC112">
            <v>4.702</v>
          </cell>
          <cell r="CD112">
            <v>24.307000000000002</v>
          </cell>
          <cell r="CE112">
            <v>20.311</v>
          </cell>
          <cell r="CF112">
            <v>11.695</v>
          </cell>
          <cell r="CG112">
            <v>1.92</v>
          </cell>
          <cell r="CH112">
            <v>34.76</v>
          </cell>
          <cell r="CI112">
            <v>30.784000000000006</v>
          </cell>
          <cell r="CJ112">
            <v>79.159000000000006</v>
          </cell>
          <cell r="CK112">
            <v>-9.4510000000000005</v>
          </cell>
          <cell r="CL112">
            <v>-12.640999999999998</v>
          </cell>
          <cell r="CM112">
            <v>1.9358000000000004</v>
          </cell>
          <cell r="CN112">
            <v>0</v>
          </cell>
          <cell r="CO112">
            <v>-20.156199999999998</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U112" t="str">
            <v>mstag:deferredTax</v>
          </cell>
          <cell r="DV112">
            <v>6</v>
          </cell>
          <cell r="DW112" t="str">
            <v>ISO4217:USD</v>
          </cell>
          <cell r="DX112" t="b">
            <v>0</v>
          </cell>
        </row>
        <row r="113">
          <cell r="B113" t="str">
            <v>Minority interest</v>
          </cell>
          <cell r="F113">
            <v>0</v>
          </cell>
          <cell r="G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4.3410000000000002</v>
          </cell>
          <cell r="AK113">
            <v>4.3410000000000002</v>
          </cell>
          <cell r="AL113">
            <v>0</v>
          </cell>
          <cell r="AM113">
            <v>0</v>
          </cell>
          <cell r="AN113">
            <v>0</v>
          </cell>
          <cell r="AO113">
            <v>5.7160000000000002</v>
          </cell>
          <cell r="AP113">
            <v>5.7160000000000002</v>
          </cell>
          <cell r="AQ113">
            <v>0.66200000000000003</v>
          </cell>
          <cell r="AR113">
            <v>0.89899999999999991</v>
          </cell>
          <cell r="AS113">
            <v>0.83799999999999997</v>
          </cell>
          <cell r="AT113">
            <v>0.72699999999999976</v>
          </cell>
          <cell r="AU113">
            <v>3.1259999999999999</v>
          </cell>
          <cell r="AW113">
            <v>0</v>
          </cell>
          <cell r="AX113">
            <v>0</v>
          </cell>
          <cell r="AY113">
            <v>5.7160000000000002</v>
          </cell>
          <cell r="AZ113">
            <v>0.66200000000000003</v>
          </cell>
          <cell r="BA113">
            <v>6.3780000000000001</v>
          </cell>
          <cell r="BB113">
            <v>0.89899999999999991</v>
          </cell>
          <cell r="BC113">
            <v>0.83799999999999997</v>
          </cell>
          <cell r="BD113">
            <v>0.72699999999999976</v>
          </cell>
          <cell r="BE113">
            <v>0.40100000000000002</v>
          </cell>
          <cell r="BF113">
            <v>2.8649999999999993</v>
          </cell>
          <cell r="BG113">
            <v>0.65800000000000003</v>
          </cell>
          <cell r="BH113">
            <v>1.077</v>
          </cell>
          <cell r="BI113">
            <v>0.43499999999999994</v>
          </cell>
          <cell r="BJ113">
            <v>-0.13300000000000012</v>
          </cell>
          <cell r="BK113">
            <v>2.0369999999999999</v>
          </cell>
          <cell r="BL113">
            <v>0.17100000000000001</v>
          </cell>
          <cell r="BM113">
            <v>0.217</v>
          </cell>
          <cell r="BN113">
            <v>-0.28200000000000003</v>
          </cell>
          <cell r="BO113">
            <v>0.22000000000000011</v>
          </cell>
          <cell r="BP113">
            <v>0.32600000000000007</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U113" t="str">
            <v>mstag:minorityInterestCashFlowStatement</v>
          </cell>
          <cell r="DV113">
            <v>6</v>
          </cell>
          <cell r="DW113" t="str">
            <v>ISO4217:USD</v>
          </cell>
          <cell r="DX113" t="b">
            <v>0</v>
          </cell>
        </row>
        <row r="114">
          <cell r="B114" t="str">
            <v>Losses on early extinguishment of debt</v>
          </cell>
          <cell r="F114">
            <v>-0.79700000000000004</v>
          </cell>
          <cell r="G114">
            <v>0</v>
          </cell>
          <cell r="H114">
            <v>0</v>
          </cell>
          <cell r="AW114">
            <v>0</v>
          </cell>
          <cell r="AX114">
            <v>0</v>
          </cell>
          <cell r="AY114">
            <v>0</v>
          </cell>
          <cell r="AZ114">
            <v>0</v>
          </cell>
          <cell r="BG114">
            <v>0</v>
          </cell>
          <cell r="BH114">
            <v>0</v>
          </cell>
          <cell r="BI114">
            <v>0</v>
          </cell>
          <cell r="BJ114">
            <v>0</v>
          </cell>
          <cell r="BL114">
            <v>0</v>
          </cell>
          <cell r="BM114">
            <v>0</v>
          </cell>
          <cell r="BN114">
            <v>0</v>
          </cell>
          <cell r="BO114">
            <v>0</v>
          </cell>
          <cell r="BP114">
            <v>0</v>
          </cell>
          <cell r="BQ114">
            <v>0</v>
          </cell>
          <cell r="BR114">
            <v>9.9659999999999993</v>
          </cell>
          <cell r="BS114">
            <v>9.4949999999999992</v>
          </cell>
          <cell r="BT114">
            <v>-26.405000000000001</v>
          </cell>
          <cell r="BU114">
            <v>-6.9440000000000026</v>
          </cell>
          <cell r="BV114">
            <v>-16.734999999999999</v>
          </cell>
          <cell r="BW114">
            <v>0</v>
          </cell>
          <cell r="BX114">
            <v>0.5329999999999977</v>
          </cell>
          <cell r="BY114">
            <v>0</v>
          </cell>
          <cell r="BZ114">
            <v>-16.202000000000002</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U114" t="str">
            <v>mstag:gainLossOnRedemptionAndExtinguishmentOfDebtCashFlowStatement</v>
          </cell>
          <cell r="DV114">
            <v>6</v>
          </cell>
          <cell r="DW114" t="str">
            <v>ISO4217:USD</v>
          </cell>
          <cell r="DX114" t="b">
            <v>1</v>
          </cell>
        </row>
        <row r="115">
          <cell r="B115" t="str">
            <v>Write-off of deferred financing costs</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W115">
            <v>0</v>
          </cell>
          <cell r="AX115">
            <v>0</v>
          </cell>
          <cell r="AY115">
            <v>0</v>
          </cell>
          <cell r="AZ115">
            <v>0</v>
          </cell>
          <cell r="BA115">
            <v>0</v>
          </cell>
          <cell r="BB115">
            <v>0</v>
          </cell>
          <cell r="BC115">
            <v>0</v>
          </cell>
          <cell r="BD115">
            <v>0</v>
          </cell>
          <cell r="BE115">
            <v>0</v>
          </cell>
          <cell r="BF115">
            <v>0</v>
          </cell>
          <cell r="BG115">
            <v>4.6280000000000001</v>
          </cell>
          <cell r="BH115">
            <v>0</v>
          </cell>
          <cell r="BI115">
            <v>2.9740000000000002</v>
          </cell>
          <cell r="BJ115">
            <v>0</v>
          </cell>
          <cell r="BK115">
            <v>7.6020000000000003</v>
          </cell>
          <cell r="BL115">
            <v>0.76100000000000001</v>
          </cell>
          <cell r="BM115">
            <v>0</v>
          </cell>
          <cell r="BN115">
            <v>0</v>
          </cell>
          <cell r="BO115">
            <v>0</v>
          </cell>
          <cell r="BP115">
            <v>0.76100000000000001</v>
          </cell>
          <cell r="BQ115">
            <v>0.629</v>
          </cell>
          <cell r="BR115">
            <v>0.8680000000000001</v>
          </cell>
          <cell r="BS115">
            <v>0</v>
          </cell>
          <cell r="BT115">
            <v>0</v>
          </cell>
          <cell r="BU115">
            <v>1.4970000000000001</v>
          </cell>
          <cell r="BV115">
            <v>0.19400000000000001</v>
          </cell>
          <cell r="BW115">
            <v>0.25</v>
          </cell>
          <cell r="BX115">
            <v>0</v>
          </cell>
          <cell r="BY115">
            <v>0</v>
          </cell>
          <cell r="BZ115">
            <v>0.44400000000000001</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U115" t="str">
            <v>mstag:otherCashFlow</v>
          </cell>
          <cell r="DV115">
            <v>6</v>
          </cell>
          <cell r="DW115" t="str">
            <v>ISO4217:USD</v>
          </cell>
          <cell r="DX115" t="b">
            <v>0</v>
          </cell>
        </row>
        <row r="116">
          <cell r="B116" t="str">
            <v>Equity comp excess tax benefit</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W116">
            <v>0</v>
          </cell>
          <cell r="AX116">
            <v>0</v>
          </cell>
          <cell r="AY116">
            <v>0</v>
          </cell>
          <cell r="AZ116">
            <v>0</v>
          </cell>
          <cell r="BA116">
            <v>0</v>
          </cell>
          <cell r="BB116">
            <v>0</v>
          </cell>
          <cell r="BC116">
            <v>0</v>
          </cell>
          <cell r="BD116">
            <v>0</v>
          </cell>
          <cell r="BE116">
            <v>-0.80800000000000005</v>
          </cell>
          <cell r="BF116">
            <v>-0.80800000000000005</v>
          </cell>
          <cell r="BG116">
            <v>-1.9E-2</v>
          </cell>
          <cell r="BH116">
            <v>-1.9E-2</v>
          </cell>
          <cell r="BI116">
            <v>-1.3100000000000003</v>
          </cell>
          <cell r="BJ116">
            <v>-2.0999999999999717E-2</v>
          </cell>
          <cell r="BK116">
            <v>-1.369</v>
          </cell>
          <cell r="BL116">
            <v>-0.23100000000000001</v>
          </cell>
          <cell r="BM116">
            <v>-4.200000000000001E-2</v>
          </cell>
          <cell r="BN116">
            <v>0</v>
          </cell>
          <cell r="BO116">
            <v>0</v>
          </cell>
          <cell r="BP116">
            <v>-0.27300000000000002</v>
          </cell>
          <cell r="BQ116">
            <v>1.1879999999999999</v>
          </cell>
          <cell r="BR116">
            <v>-1.1879999999999999</v>
          </cell>
          <cell r="BS116">
            <v>0</v>
          </cell>
          <cell r="BT116">
            <v>0</v>
          </cell>
          <cell r="BU116">
            <v>0</v>
          </cell>
          <cell r="BV116">
            <v>-0.14399999999999999</v>
          </cell>
          <cell r="BW116">
            <v>0</v>
          </cell>
          <cell r="BX116">
            <v>-5.0000000000000044E-3</v>
          </cell>
          <cell r="BY116">
            <v>-6.9000000000000006E-2</v>
          </cell>
          <cell r="BZ116">
            <v>-0.218</v>
          </cell>
          <cell r="CA116">
            <v>0</v>
          </cell>
          <cell r="CB116">
            <v>-1.1120000000000001</v>
          </cell>
          <cell r="CC116">
            <v>0</v>
          </cell>
          <cell r="CD116">
            <v>-0.16599999999999993</v>
          </cell>
          <cell r="CE116">
            <v>-1.278</v>
          </cell>
          <cell r="CF116">
            <v>-2.8969999999999998</v>
          </cell>
          <cell r="CG116">
            <v>-2.2000000000000242E-2</v>
          </cell>
          <cell r="CH116">
            <v>0</v>
          </cell>
          <cell r="CI116">
            <v>-8.0000000000000071E-2</v>
          </cell>
          <cell r="CJ116">
            <v>-2.9990000000000001</v>
          </cell>
          <cell r="CK116">
            <v>-1.4</v>
          </cell>
          <cell r="CL116">
            <v>-7.0000000000001172E-3</v>
          </cell>
          <cell r="CM116">
            <v>-3.6999999999999922E-2</v>
          </cell>
          <cell r="CN116">
            <v>0</v>
          </cell>
          <cell r="CO116">
            <v>-1.444</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U116" t="str">
            <v>mstag:taxBenefitFromExerciseOfEsosCashFlowStatement</v>
          </cell>
          <cell r="DV116">
            <v>6</v>
          </cell>
          <cell r="DW116" t="str">
            <v>ISO4217:USD</v>
          </cell>
          <cell r="DX116" t="b">
            <v>0</v>
          </cell>
        </row>
        <row r="117">
          <cell r="AW117">
            <v>0</v>
          </cell>
          <cell r="AX117">
            <v>0</v>
          </cell>
          <cell r="AY117">
            <v>0</v>
          </cell>
          <cell r="AZ117">
            <v>0</v>
          </cell>
        </row>
        <row r="118">
          <cell r="B118" t="str">
            <v>Accounts receivable</v>
          </cell>
          <cell r="F118">
            <v>-6.2249999999999996</v>
          </cell>
          <cell r="G118">
            <v>-10.021000000000001</v>
          </cell>
          <cell r="H118">
            <v>-21.491</v>
          </cell>
          <cell r="I118">
            <v>-11.912000000000001</v>
          </cell>
          <cell r="J118">
            <v>-19.898</v>
          </cell>
          <cell r="K118">
            <v>-12.648</v>
          </cell>
          <cell r="L118">
            <v>-63.381999999999998</v>
          </cell>
          <cell r="M118">
            <v>-11.829000000000001</v>
          </cell>
          <cell r="N118">
            <v>-19.558</v>
          </cell>
          <cell r="O118">
            <v>-8.5240000000000009</v>
          </cell>
          <cell r="P118">
            <v>-25.144000000000005</v>
          </cell>
          <cell r="Q118">
            <v>-65.055000000000007</v>
          </cell>
          <cell r="R118">
            <v>-19.338999999999999</v>
          </cell>
          <cell r="S118">
            <v>-7.0980000000000025</v>
          </cell>
          <cell r="T118">
            <v>17.920000000000002</v>
          </cell>
          <cell r="U118">
            <v>-15.86</v>
          </cell>
          <cell r="V118">
            <v>-24.376999999999999</v>
          </cell>
          <cell r="W118">
            <v>-25.934000000000001</v>
          </cell>
          <cell r="X118">
            <v>-62.893000000000001</v>
          </cell>
          <cell r="Y118">
            <v>-15.740999999999996</v>
          </cell>
          <cell r="Z118">
            <v>-44.720000000000027</v>
          </cell>
          <cell r="AA118">
            <v>-149.28800000000001</v>
          </cell>
          <cell r="AB118">
            <v>-23.69</v>
          </cell>
          <cell r="AC118">
            <v>-101.02800000000001</v>
          </cell>
          <cell r="AD118">
            <v>-32.534000000000006</v>
          </cell>
          <cell r="AE118">
            <v>-52.719999999999985</v>
          </cell>
          <cell r="AF118">
            <v>-209.97199999999998</v>
          </cell>
          <cell r="AG118">
            <v>-52.822000000000003</v>
          </cell>
          <cell r="AH118">
            <v>-77.99799999999999</v>
          </cell>
          <cell r="AI118">
            <v>-33.165999999999997</v>
          </cell>
          <cell r="AJ118">
            <v>-101.84399999999999</v>
          </cell>
          <cell r="AK118">
            <v>-265.83</v>
          </cell>
          <cell r="AL118">
            <v>-158.71700000000001</v>
          </cell>
          <cell r="AM118">
            <v>-96.978999999999985</v>
          </cell>
          <cell r="AN118">
            <v>-30.402999999999992</v>
          </cell>
          <cell r="AO118">
            <v>-57.769000000000034</v>
          </cell>
          <cell r="AP118">
            <v>-343.86800000000005</v>
          </cell>
          <cell r="AQ118">
            <v>-70.278000000000006</v>
          </cell>
          <cell r="AR118">
            <v>-123.61</v>
          </cell>
          <cell r="AS118">
            <v>-58.053000000000011</v>
          </cell>
          <cell r="AT118">
            <v>-76.524999999999991</v>
          </cell>
          <cell r="AU118">
            <v>-328.46600000000001</v>
          </cell>
          <cell r="AW118">
            <v>-96.978999999999985</v>
          </cell>
          <cell r="AX118">
            <v>-30.402999999999992</v>
          </cell>
          <cell r="AY118">
            <v>-57.769000000000034</v>
          </cell>
          <cell r="AZ118">
            <v>-70.278000000000006</v>
          </cell>
          <cell r="BA118">
            <v>-255.42900000000003</v>
          </cell>
          <cell r="BB118">
            <v>-123.61</v>
          </cell>
          <cell r="BC118">
            <v>-58.053000000000011</v>
          </cell>
          <cell r="BD118">
            <v>-76.524999999999991</v>
          </cell>
          <cell r="BE118">
            <v>-107.514</v>
          </cell>
          <cell r="BF118">
            <v>-365.702</v>
          </cell>
          <cell r="BG118">
            <v>-141.67099999999999</v>
          </cell>
          <cell r="BH118">
            <v>-102.864</v>
          </cell>
          <cell r="BI118">
            <v>-132.26299999999998</v>
          </cell>
          <cell r="BJ118">
            <v>-122.42400000000004</v>
          </cell>
          <cell r="BK118">
            <v>-499.22200000000004</v>
          </cell>
          <cell r="BL118">
            <v>-173.02500000000001</v>
          </cell>
          <cell r="BM118">
            <v>-120.88899999999998</v>
          </cell>
          <cell r="BN118">
            <v>-138.489</v>
          </cell>
          <cell r="BO118">
            <v>-115.71199999999996</v>
          </cell>
          <cell r="BP118">
            <v>-548.11500000000001</v>
          </cell>
          <cell r="BQ118">
            <v>-170.75299999999999</v>
          </cell>
          <cell r="BR118">
            <v>-90.187999999999988</v>
          </cell>
          <cell r="BS118">
            <v>-142.988</v>
          </cell>
          <cell r="BT118">
            <v>-128.68500000000006</v>
          </cell>
          <cell r="BU118">
            <v>-532.61400000000003</v>
          </cell>
          <cell r="BV118">
            <v>-190.791</v>
          </cell>
          <cell r="BW118">
            <v>-90.475000000000023</v>
          </cell>
          <cell r="BX118">
            <v>-139.03100000000001</v>
          </cell>
          <cell r="BY118">
            <v>-185.80200000000002</v>
          </cell>
          <cell r="BZ118">
            <v>-606.09900000000005</v>
          </cell>
          <cell r="CA118">
            <v>-245.691</v>
          </cell>
          <cell r="CB118">
            <v>-64.539000000000016</v>
          </cell>
          <cell r="CC118">
            <v>-181.13</v>
          </cell>
          <cell r="CD118">
            <v>-243.97399999999993</v>
          </cell>
          <cell r="CE118">
            <v>-735.33399999999995</v>
          </cell>
          <cell r="CF118">
            <v>-236.41200000000001</v>
          </cell>
          <cell r="CG118">
            <v>-118.75800000000001</v>
          </cell>
          <cell r="CH118">
            <v>-218.732</v>
          </cell>
          <cell r="CI118">
            <v>-296.99599999999998</v>
          </cell>
          <cell r="CJ118">
            <v>-870.89800000000002</v>
          </cell>
          <cell r="CK118">
            <v>-297.78199999999998</v>
          </cell>
          <cell r="CL118">
            <v>-149.19400000000002</v>
          </cell>
          <cell r="CM118">
            <v>-272.51900000000001</v>
          </cell>
          <cell r="CN118">
            <v>-228.59806392590306</v>
          </cell>
          <cell r="CO118">
            <v>-948.09306392590304</v>
          </cell>
          <cell r="CP118">
            <v>-304.40775037604868</v>
          </cell>
          <cell r="CQ118">
            <v>-142.02450519134101</v>
          </cell>
          <cell r="CR118">
            <v>-305.37418198615546</v>
          </cell>
          <cell r="CS118">
            <v>-250.67415123259357</v>
          </cell>
          <cell r="CT118">
            <v>-1002.4805887861387</v>
          </cell>
          <cell r="CU118">
            <v>-244.28418667942435</v>
          </cell>
          <cell r="CV118">
            <v>-92.956424803111673</v>
          </cell>
          <cell r="CW118">
            <v>-258.5116922284837</v>
          </cell>
          <cell r="CX118">
            <v>-198.6742670374974</v>
          </cell>
          <cell r="CY118">
            <v>-794.42657074851718</v>
          </cell>
          <cell r="CZ118">
            <v>-250.19587158323239</v>
          </cell>
          <cell r="DA118">
            <v>-69.930589143254593</v>
          </cell>
          <cell r="DB118">
            <v>-242.53056862302699</v>
          </cell>
          <cell r="DC118">
            <v>-180.59180384196844</v>
          </cell>
          <cell r="DD118">
            <v>-743.24883319148239</v>
          </cell>
          <cell r="DE118">
            <v>-232.20879117551411</v>
          </cell>
          <cell r="DF118">
            <v>-63.230855549846638</v>
          </cell>
          <cell r="DG118">
            <v>-233.05377382871137</v>
          </cell>
          <cell r="DH118">
            <v>-164.24282575814837</v>
          </cell>
          <cell r="DI118">
            <v>-692.73624631222049</v>
          </cell>
          <cell r="DU118" t="str">
            <v>mstag:netDecreaseInTradeReceivables</v>
          </cell>
          <cell r="DV118">
            <v>6</v>
          </cell>
          <cell r="DW118" t="str">
            <v>ISO4217:USD</v>
          </cell>
          <cell r="DX118" t="b">
            <v>0</v>
          </cell>
        </row>
        <row r="119">
          <cell r="B119" t="str">
            <v>Supplies, prepaid expenses and other current assets</v>
          </cell>
          <cell r="F119">
            <v>-0.83600000000000008</v>
          </cell>
          <cell r="G119">
            <v>-0.65299999999999991</v>
          </cell>
          <cell r="H119">
            <v>-0.59800000000000009</v>
          </cell>
          <cell r="I119">
            <v>-0.76900000000000002</v>
          </cell>
          <cell r="J119">
            <v>-1.071</v>
          </cell>
          <cell r="K119">
            <v>-2.8499999999999996</v>
          </cell>
          <cell r="L119">
            <v>-3.5960000000000001</v>
          </cell>
          <cell r="M119">
            <v>-2.8839999999999999</v>
          </cell>
          <cell r="N119">
            <v>-2.653</v>
          </cell>
          <cell r="O119">
            <v>0.20099999999999962</v>
          </cell>
          <cell r="P119">
            <v>1.0609999999999999</v>
          </cell>
          <cell r="Q119">
            <v>-4.2750000000000004</v>
          </cell>
          <cell r="R119">
            <v>-3.1040000000000001</v>
          </cell>
          <cell r="S119">
            <v>-6.028999999999999</v>
          </cell>
          <cell r="T119">
            <v>-2.2740000000000009</v>
          </cell>
          <cell r="U119">
            <v>-2.5410000000000004</v>
          </cell>
          <cell r="V119">
            <v>-13.948</v>
          </cell>
          <cell r="W119">
            <v>-5.7460000000000004</v>
          </cell>
          <cell r="X119">
            <v>-2.9420000000000002</v>
          </cell>
          <cell r="Y119">
            <v>0.35100000000000087</v>
          </cell>
          <cell r="Z119">
            <v>-1.9130000000000003</v>
          </cell>
          <cell r="AA119">
            <v>-10.25</v>
          </cell>
          <cell r="AB119">
            <v>-7.1470000000000002</v>
          </cell>
          <cell r="AC119">
            <v>-4.1400000000000006</v>
          </cell>
          <cell r="AD119">
            <v>2.5710000000000015</v>
          </cell>
          <cell r="AE119">
            <v>4.0599999999999996</v>
          </cell>
          <cell r="AF119">
            <v>-4.6559999999999997</v>
          </cell>
          <cell r="AG119">
            <v>-7.5149999999999997</v>
          </cell>
          <cell r="AH119">
            <v>-1.8709999999999996</v>
          </cell>
          <cell r="AI119">
            <v>8.6999999999999744E-2</v>
          </cell>
          <cell r="AJ119">
            <v>-33.056999999999995</v>
          </cell>
          <cell r="AK119">
            <v>-42.355999999999995</v>
          </cell>
          <cell r="AL119">
            <v>26.724</v>
          </cell>
          <cell r="AM119">
            <v>1.7830000000000013</v>
          </cell>
          <cell r="AN119">
            <v>-3.3830000000000027</v>
          </cell>
          <cell r="AO119">
            <v>-53.646999999999998</v>
          </cell>
          <cell r="AP119">
            <v>-28.523</v>
          </cell>
          <cell r="AQ119">
            <v>16.565999999999999</v>
          </cell>
          <cell r="AR119">
            <v>-1.4829999999999988</v>
          </cell>
          <cell r="AS119">
            <v>-4.6050000000000004</v>
          </cell>
          <cell r="AT119">
            <v>-17.033999999999999</v>
          </cell>
          <cell r="AU119">
            <v>-6.5559999999999992</v>
          </cell>
          <cell r="AW119">
            <v>1.7830000000000013</v>
          </cell>
          <cell r="AX119">
            <v>-3.3830000000000027</v>
          </cell>
          <cell r="AY119">
            <v>-53.646999999999998</v>
          </cell>
          <cell r="AZ119">
            <v>16.565999999999999</v>
          </cell>
          <cell r="BA119">
            <v>-38.680999999999997</v>
          </cell>
          <cell r="BB119">
            <v>-1.4829999999999988</v>
          </cell>
          <cell r="BC119">
            <v>-4.6050000000000004</v>
          </cell>
          <cell r="BD119">
            <v>-17.033999999999999</v>
          </cell>
          <cell r="BE119">
            <v>26.106000000000002</v>
          </cell>
          <cell r="BF119">
            <v>2.9840000000000018</v>
          </cell>
          <cell r="BG119">
            <v>39.99</v>
          </cell>
          <cell r="BH119">
            <v>-8.9380000000000024</v>
          </cell>
          <cell r="BI119">
            <v>-26.481000000000002</v>
          </cell>
          <cell r="BJ119">
            <v>-18.245999999999999</v>
          </cell>
          <cell r="BK119">
            <v>-13.675000000000001</v>
          </cell>
          <cell r="BL119">
            <v>2.0459999999999998</v>
          </cell>
          <cell r="BM119">
            <v>-4.57</v>
          </cell>
          <cell r="BN119">
            <v>3.06</v>
          </cell>
          <cell r="BO119">
            <v>1.8900000000000006</v>
          </cell>
          <cell r="BP119">
            <v>2.4260000000000002</v>
          </cell>
          <cell r="BQ119">
            <v>-3.2810000000000001</v>
          </cell>
          <cell r="BR119">
            <v>-4.0120000000000005</v>
          </cell>
          <cell r="BS119">
            <v>0.75700000000000101</v>
          </cell>
          <cell r="BT119">
            <v>-4.0560000000000009</v>
          </cell>
          <cell r="BU119">
            <v>-10.592000000000001</v>
          </cell>
          <cell r="BV119">
            <v>-2.7709999999999999</v>
          </cell>
          <cell r="BW119">
            <v>-0.32600000000000007</v>
          </cell>
          <cell r="BX119">
            <v>-0.371</v>
          </cell>
          <cell r="BY119">
            <v>-0.42200000000000015</v>
          </cell>
          <cell r="BZ119">
            <v>-3.89</v>
          </cell>
          <cell r="CA119">
            <v>-7.6479999999999997</v>
          </cell>
          <cell r="CB119">
            <v>-1.6920000000000002</v>
          </cell>
          <cell r="CC119">
            <v>-0.47000000000000064</v>
          </cell>
          <cell r="CD119">
            <v>-10.775999999999998</v>
          </cell>
          <cell r="CE119">
            <v>-20.585999999999999</v>
          </cell>
          <cell r="CF119">
            <v>-5.5259999999999998</v>
          </cell>
          <cell r="CG119">
            <v>-1.1960000000000006</v>
          </cell>
          <cell r="CH119">
            <v>-5.5289999999999999</v>
          </cell>
          <cell r="CI119">
            <v>0.871999999999999</v>
          </cell>
          <cell r="CJ119">
            <v>-11.379000000000001</v>
          </cell>
          <cell r="CK119">
            <v>-5.516</v>
          </cell>
          <cell r="CL119">
            <v>2.843</v>
          </cell>
          <cell r="CM119">
            <v>0.71100000000000008</v>
          </cell>
          <cell r="CN119">
            <v>-17.111901082525577</v>
          </cell>
          <cell r="CO119">
            <v>-19.073901082525577</v>
          </cell>
          <cell r="CP119">
            <v>7.4916525100033482</v>
          </cell>
          <cell r="CQ119">
            <v>13.241229877118371</v>
          </cell>
          <cell r="CR119">
            <v>11.219701143741162</v>
          </cell>
          <cell r="CS119">
            <v>-16.936735813927953</v>
          </cell>
          <cell r="CT119">
            <v>15.015847716934928</v>
          </cell>
          <cell r="CU119">
            <v>-12.253043909473405</v>
          </cell>
          <cell r="CV119">
            <v>12.993538852210463</v>
          </cell>
          <cell r="CW119">
            <v>11.387601280148743</v>
          </cell>
          <cell r="CX119">
            <v>-16.90195590820349</v>
          </cell>
          <cell r="CY119">
            <v>-4.7738596853176887</v>
          </cell>
          <cell r="CZ119">
            <v>-13.334272301864388</v>
          </cell>
          <cell r="DA119">
            <v>13.183442028437213</v>
          </cell>
          <cell r="DB119">
            <v>11.641292934084788</v>
          </cell>
          <cell r="DC119">
            <v>-17.302061370583942</v>
          </cell>
          <cell r="DD119">
            <v>-5.8115987099263293</v>
          </cell>
          <cell r="DE119">
            <v>-17.06054745094545</v>
          </cell>
          <cell r="DF119">
            <v>11.360014909920693</v>
          </cell>
          <cell r="DG119">
            <v>12.192315157155832</v>
          </cell>
          <cell r="DH119">
            <v>-17.755853591324666</v>
          </cell>
          <cell r="DI119">
            <v>-11.26407097519359</v>
          </cell>
          <cell r="DU119" t="str">
            <v>mstag:netDecreaseInInventories</v>
          </cell>
          <cell r="DV119">
            <v>6</v>
          </cell>
          <cell r="DW119" t="str">
            <v>ISO4217:USD</v>
          </cell>
          <cell r="DX119" t="b">
            <v>0</v>
          </cell>
        </row>
        <row r="120">
          <cell r="B120" t="str">
            <v>Prepaid and recoverable tax items</v>
          </cell>
          <cell r="F120">
            <v>14.302</v>
          </cell>
          <cell r="G120">
            <v>1.617</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0.47899999999999998</v>
          </cell>
          <cell r="AF120">
            <v>0.47899999999999998</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-9.3320000000000007</v>
          </cell>
          <cell r="AU120">
            <v>-9.3320000000000007</v>
          </cell>
          <cell r="AW120">
            <v>0</v>
          </cell>
          <cell r="AX120">
            <v>0</v>
          </cell>
          <cell r="AY120">
            <v>0</v>
          </cell>
          <cell r="AZ120">
            <v>0</v>
          </cell>
          <cell r="BA120">
            <v>0</v>
          </cell>
          <cell r="BB120">
            <v>0</v>
          </cell>
          <cell r="BC120">
            <v>0</v>
          </cell>
          <cell r="BD120">
            <v>-9.3320000000000007</v>
          </cell>
          <cell r="BE120">
            <v>0</v>
          </cell>
          <cell r="BF120">
            <v>-9.3320000000000007</v>
          </cell>
          <cell r="BG120">
            <v>0</v>
          </cell>
          <cell r="BH120">
            <v>0</v>
          </cell>
          <cell r="BI120">
            <v>0</v>
          </cell>
          <cell r="BJ120">
            <v>6.7519999999999998</v>
          </cell>
          <cell r="BK120">
            <v>6.7519999999999998</v>
          </cell>
          <cell r="BL120">
            <v>0</v>
          </cell>
          <cell r="BM120">
            <v>0</v>
          </cell>
          <cell r="BN120">
            <v>0</v>
          </cell>
          <cell r="BO120">
            <v>0</v>
          </cell>
          <cell r="BP120">
            <v>0</v>
          </cell>
          <cell r="BQ120">
            <v>77.427000000000007</v>
          </cell>
          <cell r="BR120">
            <v>23.345999999999989</v>
          </cell>
          <cell r="BS120">
            <v>-19.573999999999998</v>
          </cell>
          <cell r="BT120">
            <v>-28.903999999999996</v>
          </cell>
          <cell r="BU120">
            <v>52.295000000000002</v>
          </cell>
          <cell r="BV120">
            <v>33.213999999999999</v>
          </cell>
          <cell r="BW120">
            <v>26.810000000000002</v>
          </cell>
          <cell r="BX120">
            <v>-12.258000000000003</v>
          </cell>
          <cell r="BY120">
            <v>-48.074999999999996</v>
          </cell>
          <cell r="BZ120">
            <v>-0.3089999999999975</v>
          </cell>
          <cell r="CA120">
            <v>26.335000000000001</v>
          </cell>
          <cell r="CB120">
            <v>-12.008000000000001</v>
          </cell>
          <cell r="CC120">
            <v>14.327</v>
          </cell>
          <cell r="CD120">
            <v>2.5399999999999991</v>
          </cell>
          <cell r="CE120">
            <v>31.193999999999999</v>
          </cell>
          <cell r="CF120">
            <v>22.478999999999999</v>
          </cell>
          <cell r="CG120">
            <v>-12.030999999999999</v>
          </cell>
          <cell r="CH120">
            <v>-10.456</v>
          </cell>
          <cell r="CI120">
            <v>-18.978999999999999</v>
          </cell>
          <cell r="CJ120">
            <v>-18.986999999999998</v>
          </cell>
          <cell r="CK120">
            <v>31.38</v>
          </cell>
          <cell r="CL120">
            <v>22.550999999999998</v>
          </cell>
          <cell r="CM120">
            <v>-1.2894999999999968</v>
          </cell>
          <cell r="CN120">
            <v>0</v>
          </cell>
          <cell r="CO120">
            <v>52.641500000000001</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U120" t="str">
            <v>mstag:netDecreaseInPrepaidExpenses</v>
          </cell>
          <cell r="DV120">
            <v>6</v>
          </cell>
          <cell r="DW120" t="str">
            <v>ISO4217:USD</v>
          </cell>
          <cell r="DX120" t="b">
            <v>0</v>
          </cell>
        </row>
        <row r="121">
          <cell r="B121" t="str">
            <v>Deferred charges and other assets</v>
          </cell>
          <cell r="F121">
            <v>0.185</v>
          </cell>
          <cell r="G121">
            <v>-1.401</v>
          </cell>
          <cell r="H121">
            <v>-2.6139999999999999</v>
          </cell>
          <cell r="I121">
            <v>-3.3279999999999998</v>
          </cell>
          <cell r="J121">
            <v>-7.0339999999999998</v>
          </cell>
          <cell r="K121">
            <v>-3.302</v>
          </cell>
          <cell r="L121">
            <v>-3.706</v>
          </cell>
          <cell r="M121">
            <v>-4.0000000000000001E-3</v>
          </cell>
          <cell r="N121">
            <v>-0.66</v>
          </cell>
          <cell r="O121">
            <v>-36.925000000000004</v>
          </cell>
          <cell r="P121">
            <v>33.634999999999998</v>
          </cell>
          <cell r="Q121">
            <v>-3.9540000000000077</v>
          </cell>
          <cell r="R121">
            <v>-3.2429999999999999</v>
          </cell>
          <cell r="S121">
            <v>-3.6999999999999997</v>
          </cell>
          <cell r="T121">
            <v>-6.5850000000000009</v>
          </cell>
          <cell r="U121">
            <v>3.1020000000000003</v>
          </cell>
          <cell r="V121">
            <v>-10.426</v>
          </cell>
          <cell r="W121">
            <v>-9.98</v>
          </cell>
          <cell r="X121">
            <v>4.4110000000000005</v>
          </cell>
          <cell r="Y121">
            <v>-0.29400000000000048</v>
          </cell>
          <cell r="Z121">
            <v>-0.15499999999999936</v>
          </cell>
          <cell r="AA121">
            <v>-6.0179999999999998</v>
          </cell>
          <cell r="AB121">
            <v>0.89800000000000002</v>
          </cell>
          <cell r="AC121">
            <v>-7.01</v>
          </cell>
          <cell r="AD121">
            <v>-0.58700000000000008</v>
          </cell>
          <cell r="AE121">
            <v>5.6640000000000006</v>
          </cell>
          <cell r="AF121">
            <v>-1.0349999999999993</v>
          </cell>
          <cell r="AG121">
            <v>8.7289999999999992</v>
          </cell>
          <cell r="AH121">
            <v>-4.4939999999999989</v>
          </cell>
          <cell r="AI121">
            <v>-2.7230000000000008</v>
          </cell>
          <cell r="AJ121">
            <v>0.65600000000000058</v>
          </cell>
          <cell r="AK121">
            <v>2.1680000000000001</v>
          </cell>
          <cell r="AL121">
            <v>-2.3940000000000001</v>
          </cell>
          <cell r="AM121">
            <v>0.31700000000000017</v>
          </cell>
          <cell r="AN121">
            <v>-2.7530000000000001</v>
          </cell>
          <cell r="AO121">
            <v>0.20199999999999996</v>
          </cell>
          <cell r="AP121">
            <v>-4.6280000000000001</v>
          </cell>
          <cell r="AQ121">
            <v>-13.125999999999999</v>
          </cell>
          <cell r="AR121">
            <v>6.9329999999999998</v>
          </cell>
          <cell r="AS121">
            <v>7.1189999999999998</v>
          </cell>
          <cell r="AT121">
            <v>7.5229999999999997</v>
          </cell>
          <cell r="AU121">
            <v>8.4489999999999998</v>
          </cell>
          <cell r="AW121">
            <v>0.31700000000000017</v>
          </cell>
          <cell r="AX121">
            <v>-2.7530000000000001</v>
          </cell>
          <cell r="AY121">
            <v>0.20199999999999996</v>
          </cell>
          <cell r="AZ121">
            <v>-13.125999999999999</v>
          </cell>
          <cell r="BA121">
            <v>-15.36</v>
          </cell>
          <cell r="BB121">
            <v>6.9329999999999998</v>
          </cell>
          <cell r="BC121">
            <v>7.1189999999999998</v>
          </cell>
          <cell r="BD121">
            <v>7.5229999999999997</v>
          </cell>
          <cell r="BE121">
            <v>-7.9489999999999998</v>
          </cell>
          <cell r="BF121">
            <v>13.625999999999999</v>
          </cell>
          <cell r="BG121">
            <v>-6.9059999999999997</v>
          </cell>
          <cell r="BH121">
            <v>17.986999999999998</v>
          </cell>
          <cell r="BI121">
            <v>-9.2010000000000005</v>
          </cell>
          <cell r="BJ121">
            <v>1.3790000000000022</v>
          </cell>
          <cell r="BK121">
            <v>3.2590000000000012</v>
          </cell>
          <cell r="BL121">
            <v>-0.75800000000000001</v>
          </cell>
          <cell r="BM121">
            <v>0.75800000000000001</v>
          </cell>
          <cell r="BN121">
            <v>0</v>
          </cell>
          <cell r="BO121">
            <v>-13.878</v>
          </cell>
          <cell r="BP121">
            <v>-13.878</v>
          </cell>
          <cell r="BQ121">
            <v>-0.46300000000000002</v>
          </cell>
          <cell r="BR121">
            <v>1.4279999999999999</v>
          </cell>
          <cell r="BS121">
            <v>0.66500000000000004</v>
          </cell>
          <cell r="BT121">
            <v>-6.7439999999999998</v>
          </cell>
          <cell r="BU121">
            <v>-5.1139999999999999</v>
          </cell>
          <cell r="BV121">
            <v>-1.2529999999999999</v>
          </cell>
          <cell r="BW121">
            <v>-8.59</v>
          </cell>
          <cell r="BX121">
            <v>6.2170000000000005</v>
          </cell>
          <cell r="BY121">
            <v>-7.6560000000000024</v>
          </cell>
          <cell r="BZ121">
            <v>-11.282000000000002</v>
          </cell>
          <cell r="CA121">
            <v>-3.9129999999999998</v>
          </cell>
          <cell r="CB121">
            <v>-3.7349999999999999</v>
          </cell>
          <cell r="CC121">
            <v>-5.7119999999999997</v>
          </cell>
          <cell r="CD121">
            <v>18.981000000000002</v>
          </cell>
          <cell r="CE121">
            <v>5.6210000000000022</v>
          </cell>
          <cell r="CF121">
            <v>-4.43</v>
          </cell>
          <cell r="CG121">
            <v>1.0969999999999995</v>
          </cell>
          <cell r="CH121">
            <v>1.7490000000000001</v>
          </cell>
          <cell r="CI121">
            <v>-4.2010000000000005</v>
          </cell>
          <cell r="CJ121">
            <v>-5.7850000000000001</v>
          </cell>
          <cell r="CK121">
            <v>-6.4249999999999998</v>
          </cell>
          <cell r="CL121">
            <v>6.4429999999999996</v>
          </cell>
          <cell r="CM121">
            <v>-1.8569999999999998</v>
          </cell>
          <cell r="CN121">
            <v>0</v>
          </cell>
          <cell r="CO121">
            <v>-1.839</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U121" t="str">
            <v>mstag:netDecreaseInOtherAssets</v>
          </cell>
          <cell r="DV121">
            <v>6</v>
          </cell>
          <cell r="DW121" t="str">
            <v>ISO4217:USD</v>
          </cell>
          <cell r="DX121" t="b">
            <v>0</v>
          </cell>
        </row>
        <row r="122">
          <cell r="B122" t="str">
            <v>Accounts payable</v>
          </cell>
          <cell r="F122">
            <v>1.0449999999999999</v>
          </cell>
          <cell r="G122">
            <v>1.181</v>
          </cell>
          <cell r="H122">
            <v>0.88700000000000001</v>
          </cell>
          <cell r="I122">
            <v>5.6189999999999998</v>
          </cell>
          <cell r="J122">
            <v>3.37</v>
          </cell>
          <cell r="K122">
            <v>2.4249999999999998</v>
          </cell>
          <cell r="L122">
            <v>5.1820000000000004</v>
          </cell>
          <cell r="M122">
            <v>5.5149999999999997</v>
          </cell>
          <cell r="N122">
            <v>7.2400000000000011</v>
          </cell>
          <cell r="O122">
            <v>1.4919999999999991</v>
          </cell>
          <cell r="P122">
            <v>8.6310000000000002</v>
          </cell>
          <cell r="Q122">
            <v>22.878</v>
          </cell>
          <cell r="R122">
            <v>7.6790000000000003</v>
          </cell>
          <cell r="S122">
            <v>-4.806</v>
          </cell>
          <cell r="T122">
            <v>-4.9060000000000006</v>
          </cell>
          <cell r="U122">
            <v>6.6650000000000009</v>
          </cell>
          <cell r="V122">
            <v>4.6320000000000006</v>
          </cell>
          <cell r="W122">
            <v>7.9889999999999999</v>
          </cell>
          <cell r="X122">
            <v>1.1239999999999997</v>
          </cell>
          <cell r="Y122">
            <v>2.8400000000000007</v>
          </cell>
          <cell r="Z122">
            <v>1.3619999999999992</v>
          </cell>
          <cell r="AA122">
            <v>13.314999999999998</v>
          </cell>
          <cell r="AB122">
            <v>21.974</v>
          </cell>
          <cell r="AC122">
            <v>11.156000000000002</v>
          </cell>
          <cell r="AD122">
            <v>2.9139999999999944</v>
          </cell>
          <cell r="AE122">
            <v>-6.2979999999999983</v>
          </cell>
          <cell r="AF122">
            <v>29.745999999999999</v>
          </cell>
          <cell r="AG122">
            <v>2.5539999999999998</v>
          </cell>
          <cell r="AH122">
            <v>11.56</v>
          </cell>
          <cell r="AI122">
            <v>-18.335000000000001</v>
          </cell>
          <cell r="AJ122">
            <v>9.8870000000000005</v>
          </cell>
          <cell r="AK122">
            <v>5.6660000000000004</v>
          </cell>
          <cell r="AL122">
            <v>2.5099999999999998</v>
          </cell>
          <cell r="AM122">
            <v>8.798</v>
          </cell>
          <cell r="AN122">
            <v>-5.9180000000000001</v>
          </cell>
          <cell r="AO122">
            <v>-5.1779999999999999</v>
          </cell>
          <cell r="AP122">
            <v>0.21199999999999974</v>
          </cell>
          <cell r="AQ122">
            <v>0.32800000000000001</v>
          </cell>
          <cell r="AR122">
            <v>20.528000000000002</v>
          </cell>
          <cell r="AS122">
            <v>4.7449999999999966</v>
          </cell>
          <cell r="AT122">
            <v>3.6889999999999996</v>
          </cell>
          <cell r="AU122">
            <v>29.29</v>
          </cell>
          <cell r="AW122">
            <v>8.798</v>
          </cell>
          <cell r="AX122">
            <v>-5.9180000000000001</v>
          </cell>
          <cell r="AY122">
            <v>-5.1779999999999999</v>
          </cell>
          <cell r="AZ122">
            <v>0.32800000000000001</v>
          </cell>
          <cell r="BA122">
            <v>-1.97</v>
          </cell>
          <cell r="BB122">
            <v>20.528000000000002</v>
          </cell>
          <cell r="BC122">
            <v>4.7449999999999966</v>
          </cell>
          <cell r="BD122">
            <v>3.6889999999999996</v>
          </cell>
          <cell r="BE122">
            <v>13.487</v>
          </cell>
          <cell r="BF122">
            <v>42.448999999999998</v>
          </cell>
          <cell r="BG122">
            <v>3.9590000000000001</v>
          </cell>
          <cell r="BH122">
            <v>25.132999999999999</v>
          </cell>
          <cell r="BI122">
            <v>-26.869</v>
          </cell>
          <cell r="BJ122">
            <v>25.6</v>
          </cell>
          <cell r="BK122">
            <v>27.823</v>
          </cell>
          <cell r="BL122">
            <v>5.548</v>
          </cell>
          <cell r="BM122">
            <v>42.233999999999995</v>
          </cell>
          <cell r="BN122">
            <v>-28.887999999999998</v>
          </cell>
          <cell r="BO122">
            <v>-4.8109999999999982</v>
          </cell>
          <cell r="BP122">
            <v>14.083</v>
          </cell>
          <cell r="BQ122">
            <v>9.5259999999999998</v>
          </cell>
          <cell r="BR122">
            <v>3.5000000000000142E-2</v>
          </cell>
          <cell r="BS122">
            <v>16.920999999999999</v>
          </cell>
          <cell r="BT122">
            <v>3.1780000000000008</v>
          </cell>
          <cell r="BU122">
            <v>29.66</v>
          </cell>
          <cell r="BV122">
            <v>7.516</v>
          </cell>
          <cell r="BW122">
            <v>-50.564</v>
          </cell>
          <cell r="BX122">
            <v>-14.119000000000002</v>
          </cell>
          <cell r="BY122">
            <v>36.126000000000005</v>
          </cell>
          <cell r="BZ122">
            <v>-21.040999999999997</v>
          </cell>
          <cell r="CA122">
            <v>30.64</v>
          </cell>
          <cell r="CB122">
            <v>-18.613</v>
          </cell>
          <cell r="CC122">
            <v>-41.213000000000001</v>
          </cell>
          <cell r="CD122">
            <v>60.843000000000004</v>
          </cell>
          <cell r="CE122">
            <v>31.657000000000004</v>
          </cell>
          <cell r="CF122">
            <v>-6.6920000000000002</v>
          </cell>
          <cell r="CG122">
            <v>0.20399999999999974</v>
          </cell>
          <cell r="CH122">
            <v>0.64500000000000046</v>
          </cell>
          <cell r="CI122">
            <v>29.222999999999999</v>
          </cell>
          <cell r="CJ122">
            <v>23.38</v>
          </cell>
          <cell r="CK122">
            <v>-13.292999999999999</v>
          </cell>
          <cell r="CL122">
            <v>-3.9649999999999999</v>
          </cell>
          <cell r="CM122">
            <v>6.734</v>
          </cell>
          <cell r="CN122">
            <v>-2.2226019336988259</v>
          </cell>
          <cell r="CO122">
            <v>-12.746601933698825</v>
          </cell>
          <cell r="CP122">
            <v>13.526935985071134</v>
          </cell>
          <cell r="CQ122">
            <v>-11.527658951844217</v>
          </cell>
          <cell r="CR122">
            <v>-9.7677398192570593</v>
          </cell>
          <cell r="CS122">
            <v>14.744922943890202</v>
          </cell>
          <cell r="CT122">
            <v>6.9764601578600605</v>
          </cell>
          <cell r="CU122">
            <v>18.373169434029137</v>
          </cell>
          <cell r="CV122">
            <v>-11.741149565250396</v>
          </cell>
          <cell r="CW122">
            <v>-10.290001156760923</v>
          </cell>
          <cell r="CX122">
            <v>15.272851724280315</v>
          </cell>
          <cell r="CY122">
            <v>11.614870436298133</v>
          </cell>
          <cell r="CZ122">
            <v>20.338309448315016</v>
          </cell>
          <cell r="DA122">
            <v>-12.369649310632468</v>
          </cell>
          <cell r="DB122">
            <v>-10.922694604820265</v>
          </cell>
          <cell r="DC122">
            <v>16.234032890918257</v>
          </cell>
          <cell r="DD122">
            <v>13.27999842378054</v>
          </cell>
          <cell r="DE122">
            <v>16.00742723792419</v>
          </cell>
          <cell r="DF122">
            <v>-10.65877942165406</v>
          </cell>
          <cell r="DG122">
            <v>-11.43970311041781</v>
          </cell>
          <cell r="DH122">
            <v>16.659813246181216</v>
          </cell>
          <cell r="DI122">
            <v>10.568757952033536</v>
          </cell>
          <cell r="DU122" t="str">
            <v>mstag:netIncreaseInTradeAndOtherPayables</v>
          </cell>
          <cell r="DV122">
            <v>6</v>
          </cell>
          <cell r="DW122" t="str">
            <v>ISO4217:USD</v>
          </cell>
          <cell r="DX122" t="b">
            <v>0</v>
          </cell>
        </row>
        <row r="123">
          <cell r="B123" t="str">
            <v>Accrued expenses and other liabilities</v>
          </cell>
          <cell r="F123">
            <v>-1.863</v>
          </cell>
          <cell r="G123">
            <v>1.25</v>
          </cell>
          <cell r="H123">
            <v>0.128</v>
          </cell>
          <cell r="I123">
            <v>3.448</v>
          </cell>
          <cell r="J123">
            <v>0.73699999999999999</v>
          </cell>
          <cell r="K123">
            <v>4.9379999999999997</v>
          </cell>
          <cell r="L123">
            <v>-4.6580000000000004</v>
          </cell>
          <cell r="M123">
            <v>1.0109999999999999</v>
          </cell>
          <cell r="N123">
            <v>-1.7359999999999998</v>
          </cell>
          <cell r="O123">
            <v>-0.79</v>
          </cell>
          <cell r="P123">
            <v>4.8859999999999992</v>
          </cell>
          <cell r="Q123">
            <v>3.3709999999999996</v>
          </cell>
          <cell r="R123">
            <v>-4.3029999999999999</v>
          </cell>
          <cell r="S123">
            <v>7.4510000000000005</v>
          </cell>
          <cell r="T123">
            <v>-2.3190000000000008</v>
          </cell>
          <cell r="U123">
            <v>0.95600000000000041</v>
          </cell>
          <cell r="V123">
            <v>1.7850000000000001</v>
          </cell>
          <cell r="W123">
            <v>5.3760000000000003</v>
          </cell>
          <cell r="X123">
            <v>-10.595000000000001</v>
          </cell>
          <cell r="Y123">
            <v>-0.80899999999999928</v>
          </cell>
          <cell r="Z123">
            <v>8.0809999999999995</v>
          </cell>
          <cell r="AA123">
            <v>2.0529999999999999</v>
          </cell>
          <cell r="AB123">
            <v>1.216</v>
          </cell>
          <cell r="AC123">
            <v>15.199</v>
          </cell>
          <cell r="AD123">
            <v>1.1030000000000009</v>
          </cell>
          <cell r="AE123">
            <v>-9.6029999999999998</v>
          </cell>
          <cell r="AF123">
            <v>7.9150000000000009</v>
          </cell>
          <cell r="AG123">
            <v>5.1509999999999998</v>
          </cell>
          <cell r="AH123">
            <v>0.41500000000000004</v>
          </cell>
          <cell r="AI123">
            <v>4.8320000000000007</v>
          </cell>
          <cell r="AJ123">
            <v>-16.902000000000001</v>
          </cell>
          <cell r="AK123">
            <v>-6.5040000000000013</v>
          </cell>
          <cell r="AL123">
            <v>18.259</v>
          </cell>
          <cell r="AM123">
            <v>-14.969000000000001</v>
          </cell>
          <cell r="AN123">
            <v>3.1910000000000025</v>
          </cell>
          <cell r="AO123">
            <v>-3.2730000000000015</v>
          </cell>
          <cell r="AP123">
            <v>3.2080000000000002</v>
          </cell>
          <cell r="AQ123">
            <v>-7.2619999999999996</v>
          </cell>
          <cell r="AR123">
            <v>-4.0390000000000006</v>
          </cell>
          <cell r="AS123">
            <v>-2.3140000000000009</v>
          </cell>
          <cell r="AT123">
            <v>61.170999999999999</v>
          </cell>
          <cell r="AU123">
            <v>47.555999999999997</v>
          </cell>
          <cell r="AW123">
            <v>-14.969000000000001</v>
          </cell>
          <cell r="AX123">
            <v>3.1910000000000025</v>
          </cell>
          <cell r="AY123">
            <v>-3.2730000000000015</v>
          </cell>
          <cell r="AZ123">
            <v>-7.2619999999999996</v>
          </cell>
          <cell r="BA123">
            <v>-22.312999999999999</v>
          </cell>
          <cell r="BB123">
            <v>-4.0390000000000006</v>
          </cell>
          <cell r="BC123">
            <v>-2.3140000000000009</v>
          </cell>
          <cell r="BD123">
            <v>61.170999999999999</v>
          </cell>
          <cell r="BE123">
            <v>5.4089999999999998</v>
          </cell>
          <cell r="BF123">
            <v>60.226999999999997</v>
          </cell>
          <cell r="BG123">
            <v>26.440999999999999</v>
          </cell>
          <cell r="BH123">
            <v>-9.3129999999999988</v>
          </cell>
          <cell r="BI123">
            <v>87.492999999999995</v>
          </cell>
          <cell r="BJ123">
            <v>-62.730000000000004</v>
          </cell>
          <cell r="BK123">
            <v>41.890999999999991</v>
          </cell>
          <cell r="BL123">
            <v>-6.4539999999999997</v>
          </cell>
          <cell r="BM123">
            <v>15.925000000000001</v>
          </cell>
          <cell r="BN123">
            <v>-18.853000000000002</v>
          </cell>
          <cell r="BO123">
            <v>-33.520999999999994</v>
          </cell>
          <cell r="BP123">
            <v>-42.902999999999992</v>
          </cell>
          <cell r="BQ123">
            <v>11.859</v>
          </cell>
          <cell r="BR123">
            <v>0.18800000000000061</v>
          </cell>
          <cell r="BS123">
            <v>10.321999999999997</v>
          </cell>
          <cell r="BT123">
            <v>-36.218000000000004</v>
          </cell>
          <cell r="BU123">
            <v>-13.849000000000004</v>
          </cell>
          <cell r="BV123">
            <v>15.294</v>
          </cell>
          <cell r="BW123">
            <v>21.636999999999997</v>
          </cell>
          <cell r="BX123">
            <v>10.391000000000005</v>
          </cell>
          <cell r="BY123">
            <v>-19.451000000000004</v>
          </cell>
          <cell r="BZ123">
            <v>27.870999999999999</v>
          </cell>
          <cell r="CA123">
            <v>-1.1000000000000001</v>
          </cell>
          <cell r="CB123">
            <v>9.1719999999999988</v>
          </cell>
          <cell r="CC123">
            <v>65.650999999999996</v>
          </cell>
          <cell r="CD123">
            <v>-46.724000000000004</v>
          </cell>
          <cell r="CE123">
            <v>26.998999999999995</v>
          </cell>
          <cell r="CF123">
            <v>29.431000000000001</v>
          </cell>
          <cell r="CG123">
            <v>-14.997000000000002</v>
          </cell>
          <cell r="CH123">
            <v>71.215000000000003</v>
          </cell>
          <cell r="CI123">
            <v>1.7819999999999929</v>
          </cell>
          <cell r="CJ123">
            <v>87.430999999999997</v>
          </cell>
          <cell r="CK123">
            <v>-9.4619999999999997</v>
          </cell>
          <cell r="CL123">
            <v>-16.440999999999999</v>
          </cell>
          <cell r="CM123">
            <v>37.257999999999996</v>
          </cell>
          <cell r="CN123">
            <v>15.621985491634632</v>
          </cell>
          <cell r="CO123">
            <v>26.976985491634629</v>
          </cell>
          <cell r="CP123">
            <v>-64.098638923611702</v>
          </cell>
          <cell r="CQ123">
            <v>44.887599646913714</v>
          </cell>
          <cell r="CR123">
            <v>62.184611152188154</v>
          </cell>
          <cell r="CS123">
            <v>-6.4066432168064011</v>
          </cell>
          <cell r="CT123">
            <v>36.566928658683764</v>
          </cell>
          <cell r="CU123">
            <v>-59.167588126665692</v>
          </cell>
          <cell r="CV123">
            <v>47.790161511570091</v>
          </cell>
          <cell r="CW123">
            <v>65.285750599511857</v>
          </cell>
          <cell r="CX123">
            <v>-6.8498353716593101</v>
          </cell>
          <cell r="CY123">
            <v>47.058488612756946</v>
          </cell>
          <cell r="CZ123">
            <v>-60.253320134709384</v>
          </cell>
          <cell r="DA123">
            <v>50.367917265689698</v>
          </cell>
          <cell r="DB123">
            <v>68.549874603564717</v>
          </cell>
          <cell r="DC123">
            <v>-6.6493793316915344</v>
          </cell>
          <cell r="DD123">
            <v>52.015092402853497</v>
          </cell>
          <cell r="DE123">
            <v>-70.114590267656808</v>
          </cell>
          <cell r="DF123">
            <v>59.728909885744542</v>
          </cell>
          <cell r="DG123">
            <v>71.943014452215948</v>
          </cell>
          <cell r="DH123">
            <v>-7.0772717025448628</v>
          </cell>
          <cell r="DI123">
            <v>54.480062367758819</v>
          </cell>
          <cell r="DU123" t="str">
            <v>mstag:netIncreaseInAccruedExpenses</v>
          </cell>
          <cell r="DV123">
            <v>6</v>
          </cell>
          <cell r="DW123" t="str">
            <v>ISO4217:USD</v>
          </cell>
          <cell r="DX123" t="b">
            <v>0</v>
          </cell>
        </row>
        <row r="124">
          <cell r="B124" t="str">
            <v>Income taxes - currently payable</v>
          </cell>
          <cell r="F124">
            <v>2.117</v>
          </cell>
          <cell r="G124">
            <v>1.72</v>
          </cell>
          <cell r="H124">
            <v>2.7959999999999998</v>
          </cell>
          <cell r="I124">
            <v>-2.988</v>
          </cell>
          <cell r="J124">
            <v>3.3210000000000002</v>
          </cell>
          <cell r="K124">
            <v>-1.4590000000000001</v>
          </cell>
          <cell r="L124">
            <v>1.9650000000000001</v>
          </cell>
          <cell r="M124">
            <v>17.646000000000001</v>
          </cell>
          <cell r="N124">
            <v>8.3099999999999987</v>
          </cell>
          <cell r="O124">
            <v>15.846000000000004</v>
          </cell>
          <cell r="P124">
            <v>-31.71</v>
          </cell>
          <cell r="Q124">
            <v>10.092000000000006</v>
          </cell>
          <cell r="R124">
            <v>7.3890000000000002</v>
          </cell>
          <cell r="S124">
            <v>-19.899999999999999</v>
          </cell>
          <cell r="T124">
            <v>-5.5970000000000022</v>
          </cell>
          <cell r="U124">
            <v>-4.7999999999999154E-2</v>
          </cell>
          <cell r="V124">
            <v>-18.155999999999999</v>
          </cell>
          <cell r="W124">
            <v>21.891999999999999</v>
          </cell>
          <cell r="X124">
            <v>-19.728999999999999</v>
          </cell>
          <cell r="Y124">
            <v>-2.3539999999999992</v>
          </cell>
          <cell r="Z124">
            <v>-0.57499999999999929</v>
          </cell>
          <cell r="AA124">
            <v>-0.76599999999999824</v>
          </cell>
          <cell r="AB124">
            <v>28.37</v>
          </cell>
          <cell r="AC124">
            <v>-11.702999999999999</v>
          </cell>
          <cell r="AD124">
            <v>3.8000000000000007</v>
          </cell>
          <cell r="AE124">
            <v>7.7929999999999957</v>
          </cell>
          <cell r="AF124">
            <v>28.259999999999998</v>
          </cell>
          <cell r="AG124">
            <v>23.864999999999998</v>
          </cell>
          <cell r="AH124">
            <v>-44.497</v>
          </cell>
          <cell r="AI124">
            <v>20.27</v>
          </cell>
          <cell r="AJ124">
            <v>-0.14699999999999847</v>
          </cell>
          <cell r="AK124">
            <v>-0.50900000000000034</v>
          </cell>
          <cell r="AL124">
            <v>39.682000000000002</v>
          </cell>
          <cell r="AM124">
            <v>-19.941000000000003</v>
          </cell>
          <cell r="AN124">
            <v>1.8870000000000005</v>
          </cell>
          <cell r="AO124">
            <v>-5.3960000000000008</v>
          </cell>
          <cell r="AP124">
            <v>16.231999999999999</v>
          </cell>
          <cell r="AQ124">
            <v>35.628999999999998</v>
          </cell>
          <cell r="AR124">
            <v>-25.36</v>
          </cell>
          <cell r="AS124">
            <v>11.942</v>
          </cell>
          <cell r="AT124">
            <v>-22.210999999999999</v>
          </cell>
          <cell r="AU124">
            <v>0</v>
          </cell>
          <cell r="AW124">
            <v>-19.941000000000003</v>
          </cell>
          <cell r="AX124">
            <v>1.8870000000000005</v>
          </cell>
          <cell r="AY124">
            <v>-5.3960000000000008</v>
          </cell>
          <cell r="AZ124">
            <v>35.628999999999998</v>
          </cell>
          <cell r="BA124">
            <v>12.178999999999995</v>
          </cell>
          <cell r="BB124">
            <v>-25.36</v>
          </cell>
          <cell r="BC124">
            <v>11.942</v>
          </cell>
          <cell r="BD124">
            <v>-22.210999999999999</v>
          </cell>
          <cell r="BE124">
            <v>0</v>
          </cell>
          <cell r="BF124">
            <v>-35.628999999999998</v>
          </cell>
          <cell r="BG124">
            <v>0</v>
          </cell>
          <cell r="BH124">
            <v>0</v>
          </cell>
          <cell r="BI124">
            <v>0</v>
          </cell>
          <cell r="BJ124">
            <v>0</v>
          </cell>
          <cell r="BK124">
            <v>0</v>
          </cell>
          <cell r="BL124">
            <v>0</v>
          </cell>
          <cell r="BM124">
            <v>38.957999999999998</v>
          </cell>
          <cell r="BN124">
            <v>-46.955999999999996</v>
          </cell>
          <cell r="BO124">
            <v>-55.885000000000005</v>
          </cell>
          <cell r="BP124">
            <v>-63.883000000000003</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U124" t="str">
            <v>mstag:netIncreaseInIncomeTaxPayableReceivable</v>
          </cell>
          <cell r="DV124">
            <v>6</v>
          </cell>
          <cell r="DW124" t="str">
            <v>ISO4217:USD</v>
          </cell>
          <cell r="DX124" t="b">
            <v>0</v>
          </cell>
        </row>
        <row r="125">
          <cell r="B125" t="str">
            <v>Other long-term liabilities</v>
          </cell>
          <cell r="F125">
            <v>0.80900000000000005</v>
          </cell>
          <cell r="G125">
            <v>3.4159999999999999</v>
          </cell>
          <cell r="H125">
            <v>2.6110000000000002</v>
          </cell>
          <cell r="I125">
            <v>1.0429999999999999</v>
          </cell>
          <cell r="J125">
            <v>2.9740000000000002</v>
          </cell>
          <cell r="K125">
            <v>0.84099999999999997</v>
          </cell>
          <cell r="L125">
            <v>1.7649999999999999</v>
          </cell>
          <cell r="M125">
            <v>-0.76200000000000001</v>
          </cell>
          <cell r="N125">
            <v>0.248</v>
          </cell>
          <cell r="O125">
            <v>0.15700000000000003</v>
          </cell>
          <cell r="P125">
            <v>-0.64500000000000002</v>
          </cell>
          <cell r="Q125">
            <v>-1.002</v>
          </cell>
          <cell r="R125">
            <v>0.28599999999999998</v>
          </cell>
          <cell r="S125">
            <v>0.191</v>
          </cell>
          <cell r="T125">
            <v>0.33900000000000002</v>
          </cell>
          <cell r="U125">
            <v>-0.70100000000000007</v>
          </cell>
          <cell r="V125">
            <v>0.11499999999999999</v>
          </cell>
          <cell r="W125">
            <v>-0.17799999999999999</v>
          </cell>
          <cell r="X125">
            <v>-6.1850000000000005</v>
          </cell>
          <cell r="Y125">
            <v>0.37700000000000072</v>
          </cell>
          <cell r="Z125">
            <v>7.0409999999999995</v>
          </cell>
          <cell r="AA125">
            <v>1.0549999999999997</v>
          </cell>
          <cell r="AB125">
            <v>-2.1709999999999998</v>
          </cell>
          <cell r="AC125">
            <v>3.5369999999999999</v>
          </cell>
          <cell r="AD125">
            <v>-1.9499999999999997</v>
          </cell>
          <cell r="AE125">
            <v>-1.6880000000000002</v>
          </cell>
          <cell r="AF125">
            <v>-2.2719999999999998</v>
          </cell>
          <cell r="AG125">
            <v>-1.548</v>
          </cell>
          <cell r="AH125">
            <v>4.1970000000000001</v>
          </cell>
          <cell r="AI125">
            <v>-3.2240000000000002</v>
          </cell>
          <cell r="AJ125">
            <v>16.185000000000002</v>
          </cell>
          <cell r="AK125">
            <v>15.610000000000003</v>
          </cell>
          <cell r="AL125">
            <v>6.7510000000000003</v>
          </cell>
          <cell r="AM125">
            <v>20.864999999999998</v>
          </cell>
          <cell r="AN125">
            <v>5.4750000000000023</v>
          </cell>
          <cell r="AO125">
            <v>-0.30000000000000338</v>
          </cell>
          <cell r="AP125">
            <v>32.790999999999997</v>
          </cell>
          <cell r="AQ125">
            <v>5.4470000000000001</v>
          </cell>
          <cell r="AR125">
            <v>10.248000000000001</v>
          </cell>
          <cell r="AS125">
            <v>11.108999999999998</v>
          </cell>
          <cell r="AT125">
            <v>-27.413</v>
          </cell>
          <cell r="AU125">
            <v>-0.60900000000000176</v>
          </cell>
          <cell r="AW125">
            <v>20.864999999999998</v>
          </cell>
          <cell r="AX125">
            <v>5.4750000000000023</v>
          </cell>
          <cell r="AY125">
            <v>-0.30000000000000338</v>
          </cell>
          <cell r="AZ125">
            <v>5.4470000000000001</v>
          </cell>
          <cell r="BA125">
            <v>31.486999999999995</v>
          </cell>
          <cell r="BB125">
            <v>10.248000000000001</v>
          </cell>
          <cell r="BC125">
            <v>11.108999999999998</v>
          </cell>
          <cell r="BD125">
            <v>-27.413</v>
          </cell>
          <cell r="BE125">
            <v>-3.931</v>
          </cell>
          <cell r="BF125">
            <v>-9.9870000000000019</v>
          </cell>
          <cell r="BG125">
            <v>0.25600000000000001</v>
          </cell>
          <cell r="BH125">
            <v>6.9289999999999994</v>
          </cell>
          <cell r="BI125">
            <v>13.431000000000001</v>
          </cell>
          <cell r="BJ125">
            <v>11.872999999999998</v>
          </cell>
          <cell r="BK125">
            <v>32.488999999999997</v>
          </cell>
          <cell r="BL125">
            <v>5.306</v>
          </cell>
          <cell r="BM125">
            <v>-5.306</v>
          </cell>
          <cell r="BN125">
            <v>0</v>
          </cell>
          <cell r="BO125">
            <v>19.402999999999999</v>
          </cell>
          <cell r="BP125">
            <v>19.402999999999999</v>
          </cell>
          <cell r="BQ125">
            <v>0</v>
          </cell>
          <cell r="BR125">
            <v>-1.321</v>
          </cell>
          <cell r="BS125">
            <v>-7.8010000000000002</v>
          </cell>
          <cell r="BT125">
            <v>4.0220000000000002</v>
          </cell>
          <cell r="BU125">
            <v>-5.0999999999999996</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U125" t="str">
            <v>mstag:netIncreaseInOtherLiabilitiesOperating</v>
          </cell>
          <cell r="DV125">
            <v>6</v>
          </cell>
          <cell r="DW125" t="str">
            <v>ISO4217:USD</v>
          </cell>
          <cell r="DX125" t="b">
            <v>0</v>
          </cell>
        </row>
        <row r="126">
          <cell r="B126" t="str">
            <v>Total Change in Working Capital</v>
          </cell>
          <cell r="F126">
            <v>9.5340000000000007</v>
          </cell>
          <cell r="G126">
            <v>-2.8910000000000013</v>
          </cell>
          <cell r="H126">
            <v>-18.280999999999999</v>
          </cell>
          <cell r="I126">
            <v>-8.8870000000000005</v>
          </cell>
          <cell r="J126">
            <v>-17.600999999999999</v>
          </cell>
          <cell r="K126">
            <v>-12.055000000000001</v>
          </cell>
          <cell r="L126">
            <v>-66.429999999999993</v>
          </cell>
          <cell r="M126">
            <v>8.6929999999999978</v>
          </cell>
          <cell r="N126">
            <v>-8.8089999999999993</v>
          </cell>
          <cell r="O126">
            <v>-28.543000000000003</v>
          </cell>
          <cell r="P126">
            <v>-9.2860000000000085</v>
          </cell>
          <cell r="Q126">
            <v>-37.945000000000014</v>
          </cell>
          <cell r="R126">
            <v>-14.635</v>
          </cell>
          <cell r="S126">
            <v>-33.890999999999998</v>
          </cell>
          <cell r="T126">
            <v>-3.4220000000000037</v>
          </cell>
          <cell r="U126">
            <v>-8.4269999999999978</v>
          </cell>
          <cell r="V126">
            <v>-60.375</v>
          </cell>
          <cell r="W126">
            <v>-6.5809999999999986</v>
          </cell>
          <cell r="X126">
            <v>-96.809000000000012</v>
          </cell>
          <cell r="Y126">
            <v>-15.62999999999999</v>
          </cell>
          <cell r="Z126">
            <v>-30.87900000000003</v>
          </cell>
          <cell r="AA126">
            <v>-149.899</v>
          </cell>
          <cell r="AB126">
            <v>19.45</v>
          </cell>
          <cell r="AC126">
            <v>-93.989000000000004</v>
          </cell>
          <cell r="AD126">
            <v>-24.683000000000007</v>
          </cell>
          <cell r="AE126">
            <v>-52.312999999999988</v>
          </cell>
          <cell r="AF126">
            <v>-151.53499999999997</v>
          </cell>
          <cell r="AG126">
            <v>-21.586000000000006</v>
          </cell>
          <cell r="AH126">
            <v>-112.68799999999997</v>
          </cell>
          <cell r="AI126">
            <v>-32.258999999999993</v>
          </cell>
          <cell r="AJ126">
            <v>-125.22199999999998</v>
          </cell>
          <cell r="AK126">
            <v>-291.755</v>
          </cell>
          <cell r="AL126">
            <v>-67.185000000000031</v>
          </cell>
          <cell r="AM126">
            <v>-100.12599999999999</v>
          </cell>
          <cell r="AN126">
            <v>-31.903999999999989</v>
          </cell>
          <cell r="AO126">
            <v>-125.36100000000002</v>
          </cell>
          <cell r="AP126">
            <v>-324.57600000000008</v>
          </cell>
          <cell r="AQ126">
            <v>-32.696000000000005</v>
          </cell>
          <cell r="AR126">
            <v>-116.78299999999999</v>
          </cell>
          <cell r="AS126">
            <v>-30.05700000000002</v>
          </cell>
          <cell r="AT126">
            <v>-80.132000000000005</v>
          </cell>
          <cell r="AU126">
            <v>-259.66799999999995</v>
          </cell>
          <cell r="AW126">
            <v>-100.12599999999999</v>
          </cell>
          <cell r="AX126">
            <v>-31.903999999999989</v>
          </cell>
          <cell r="AY126">
            <v>-125.36100000000002</v>
          </cell>
          <cell r="AZ126">
            <v>-32.696000000000005</v>
          </cell>
          <cell r="BA126">
            <v>-290.0870000000001</v>
          </cell>
          <cell r="BB126">
            <v>-116.78299999999999</v>
          </cell>
          <cell r="BC126">
            <v>-30.05700000000002</v>
          </cell>
          <cell r="BD126">
            <v>-80.132000000000005</v>
          </cell>
          <cell r="BE126">
            <v>-74.391999999999982</v>
          </cell>
          <cell r="BF126">
            <v>-301.36400000000003</v>
          </cell>
          <cell r="BG126">
            <v>-77.930999999999983</v>
          </cell>
          <cell r="BH126">
            <v>-71.066000000000017</v>
          </cell>
          <cell r="BI126">
            <v>-93.889999999999972</v>
          </cell>
          <cell r="BJ126">
            <v>-157.79600000000005</v>
          </cell>
          <cell r="BK126">
            <v>-400.68300000000005</v>
          </cell>
          <cell r="BL126">
            <v>-167.33700000000002</v>
          </cell>
          <cell r="BM126">
            <v>-32.889999999999986</v>
          </cell>
          <cell r="BN126">
            <v>-230.126</v>
          </cell>
          <cell r="BO126">
            <v>-202.51399999999998</v>
          </cell>
          <cell r="BP126">
            <v>-632.86700000000008</v>
          </cell>
          <cell r="BQ126">
            <v>-75.684999999999988</v>
          </cell>
          <cell r="BR126">
            <v>-70.524000000000001</v>
          </cell>
          <cell r="BS126">
            <v>-141.69800000000001</v>
          </cell>
          <cell r="BT126">
            <v>-197.4070000000001</v>
          </cell>
          <cell r="BU126">
            <v>-485.31399999999996</v>
          </cell>
          <cell r="BV126">
            <v>-138.79099999999997</v>
          </cell>
          <cell r="BW126">
            <v>-101.50800000000001</v>
          </cell>
          <cell r="BX126">
            <v>-149.17099999999999</v>
          </cell>
          <cell r="BY126">
            <v>-225.28</v>
          </cell>
          <cell r="BZ126">
            <v>-614.75000000000011</v>
          </cell>
          <cell r="CA126">
            <v>-201.37699999999998</v>
          </cell>
          <cell r="CB126">
            <v>-91.41500000000002</v>
          </cell>
          <cell r="CC126">
            <v>-148.54699999999997</v>
          </cell>
          <cell r="CD126">
            <v>-219.10999999999996</v>
          </cell>
          <cell r="CE126">
            <v>-660.44899999999996</v>
          </cell>
          <cell r="CF126">
            <v>-201.15</v>
          </cell>
          <cell r="CG126">
            <v>-145.68100000000001</v>
          </cell>
          <cell r="CH126">
            <v>-161.10799999999998</v>
          </cell>
          <cell r="CI126">
            <v>-288.29899999999998</v>
          </cell>
          <cell r="CJ126">
            <v>-796.23799999999994</v>
          </cell>
          <cell r="CK126">
            <v>-301.09800000000001</v>
          </cell>
          <cell r="CL126">
            <v>-137.76300000000003</v>
          </cell>
          <cell r="CM126">
            <v>-230.96250000000003</v>
          </cell>
          <cell r="CN126">
            <v>-232.31058145049283</v>
          </cell>
          <cell r="CO126">
            <v>-902.13408145049289</v>
          </cell>
          <cell r="CP126">
            <v>-347.4878008045859</v>
          </cell>
          <cell r="CQ126">
            <v>-95.423334619153138</v>
          </cell>
          <cell r="CR126">
            <v>-241.73760950948315</v>
          </cell>
          <cell r="CS126">
            <v>-259.27260731943772</v>
          </cell>
          <cell r="CT126">
            <v>-943.92135225265997</v>
          </cell>
          <cell r="CU126">
            <v>-297.33164928153428</v>
          </cell>
          <cell r="CV126">
            <v>-43.913874004581515</v>
          </cell>
          <cell r="CW126">
            <v>-192.12834150558399</v>
          </cell>
          <cell r="CX126">
            <v>-207.15320659307989</v>
          </cell>
          <cell r="CY126">
            <v>-740.52707138477979</v>
          </cell>
          <cell r="CZ126">
            <v>-303.44515457149112</v>
          </cell>
          <cell r="DA126">
            <v>-18.748879159760151</v>
          </cell>
          <cell r="DB126">
            <v>-173.26209569019775</v>
          </cell>
          <cell r="DC126">
            <v>-188.30921165332566</v>
          </cell>
          <cell r="DD126">
            <v>-683.76534107477471</v>
          </cell>
          <cell r="DE126">
            <v>-303.3765016561922</v>
          </cell>
          <cell r="DF126">
            <v>-2.8007101758354622</v>
          </cell>
          <cell r="DG126">
            <v>-160.3581473297574</v>
          </cell>
          <cell r="DH126">
            <v>-172.41613780583668</v>
          </cell>
          <cell r="DI126">
            <v>-638.95149696762178</v>
          </cell>
        </row>
        <row r="128">
          <cell r="B128" t="str">
            <v>Discontinued operations</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W128">
            <v>0</v>
          </cell>
          <cell r="AX128">
            <v>0</v>
          </cell>
          <cell r="AY128">
            <v>0</v>
          </cell>
          <cell r="AZ128">
            <v>0</v>
          </cell>
          <cell r="BA128">
            <v>0</v>
          </cell>
          <cell r="BB128">
            <v>0</v>
          </cell>
          <cell r="BC128">
            <v>0</v>
          </cell>
          <cell r="BD128">
            <v>0</v>
          </cell>
          <cell r="BE128">
            <v>0</v>
          </cell>
          <cell r="BF128">
            <v>0</v>
          </cell>
          <cell r="BG128">
            <v>-0.45</v>
          </cell>
          <cell r="BH128">
            <v>-0.15999999999999998</v>
          </cell>
          <cell r="BI128">
            <v>-11.057</v>
          </cell>
          <cell r="BJ128">
            <v>13.984</v>
          </cell>
          <cell r="BK128">
            <v>2.3170000000000002</v>
          </cell>
          <cell r="BL128">
            <v>0.624</v>
          </cell>
          <cell r="BM128">
            <v>0.45299999999999996</v>
          </cell>
          <cell r="BN128">
            <v>-10.387</v>
          </cell>
          <cell r="BO128">
            <v>7.34</v>
          </cell>
          <cell r="BP128">
            <v>-1.9700000000000006</v>
          </cell>
          <cell r="BQ128">
            <v>27.731999999999999</v>
          </cell>
          <cell r="BR128">
            <v>9.5260000000000034</v>
          </cell>
          <cell r="BS128">
            <v>4.3249999999999957</v>
          </cell>
          <cell r="BT128">
            <v>14.494</v>
          </cell>
          <cell r="BU128">
            <v>56.076999999999998</v>
          </cell>
          <cell r="BV128">
            <v>1.508</v>
          </cell>
          <cell r="BW128">
            <v>0</v>
          </cell>
          <cell r="BX128">
            <v>-2.5499999999999998</v>
          </cell>
          <cell r="BY128">
            <v>-3.5440000000000005</v>
          </cell>
          <cell r="BZ128">
            <v>-4.5860000000000003</v>
          </cell>
          <cell r="CA128">
            <v>0</v>
          </cell>
          <cell r="CB128">
            <v>0</v>
          </cell>
          <cell r="CC128">
            <v>0</v>
          </cell>
          <cell r="CD128">
            <v>13.8</v>
          </cell>
          <cell r="CE128">
            <v>13.8</v>
          </cell>
          <cell r="CF128">
            <v>0.59799999999999998</v>
          </cell>
          <cell r="CG128">
            <v>0.83900000000000008</v>
          </cell>
          <cell r="CH128">
            <v>-0.25500000000000012</v>
          </cell>
          <cell r="CI128">
            <v>1.2269999999999999</v>
          </cell>
          <cell r="CJ128">
            <v>2.4089999999999998</v>
          </cell>
          <cell r="CK128">
            <v>1.395</v>
          </cell>
          <cell r="CL128">
            <v>3.0210000000000004</v>
          </cell>
          <cell r="CM128">
            <v>1.3889999999999993</v>
          </cell>
          <cell r="CN128">
            <v>0</v>
          </cell>
          <cell r="CO128">
            <v>5.8049999999999997</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U128" t="str">
            <v>mstag:netCashFlowFromDiscontinuedOperations</v>
          </cell>
          <cell r="DV128">
            <v>6</v>
          </cell>
          <cell r="DW128" t="str">
            <v>ISO4217:USD</v>
          </cell>
          <cell r="DX128" t="b">
            <v>0</v>
          </cell>
        </row>
        <row r="129">
          <cell r="B129" t="str">
            <v>Cash Flow from Operations</v>
          </cell>
          <cell r="F129">
            <v>44.536999999999985</v>
          </cell>
          <cell r="G129">
            <v>41.774000000000008</v>
          </cell>
          <cell r="H129">
            <v>46.165999999999976</v>
          </cell>
          <cell r="I129">
            <v>74.222000000000079</v>
          </cell>
          <cell r="J129">
            <v>94.568999999999988</v>
          </cell>
          <cell r="K129">
            <v>132.33600000000001</v>
          </cell>
          <cell r="L129">
            <v>117.95099999999989</v>
          </cell>
          <cell r="M129">
            <v>54.22499999999998</v>
          </cell>
          <cell r="N129">
            <v>53.185999999999993</v>
          </cell>
          <cell r="O129">
            <v>32.471000000000018</v>
          </cell>
          <cell r="P129">
            <v>28.467000000000006</v>
          </cell>
          <cell r="Q129">
            <v>168.34900000000002</v>
          </cell>
          <cell r="R129">
            <v>37.791999999999994</v>
          </cell>
          <cell r="S129">
            <v>35.143000000000022</v>
          </cell>
          <cell r="T129">
            <v>59.51</v>
          </cell>
          <cell r="U129">
            <v>44.452000000000005</v>
          </cell>
          <cell r="V129">
            <v>176.89700000000002</v>
          </cell>
          <cell r="W129">
            <v>55.031000000000041</v>
          </cell>
          <cell r="X129">
            <v>60.009000000000029</v>
          </cell>
          <cell r="Y129">
            <v>97.541999999999973</v>
          </cell>
          <cell r="Z129">
            <v>77.45999999999998</v>
          </cell>
          <cell r="AA129">
            <v>290.04200000000003</v>
          </cell>
          <cell r="AB129">
            <v>128.44200000000004</v>
          </cell>
          <cell r="AC129">
            <v>42.90900000000002</v>
          </cell>
          <cell r="AD129">
            <v>112.19699999999999</v>
          </cell>
          <cell r="AE129">
            <v>70.587999999999965</v>
          </cell>
          <cell r="AF129">
            <v>354.13600000000008</v>
          </cell>
          <cell r="AG129">
            <v>110.47399999999999</v>
          </cell>
          <cell r="AH129">
            <v>37.154999999999987</v>
          </cell>
          <cell r="AI129">
            <v>118.09199999999998</v>
          </cell>
          <cell r="AJ129">
            <v>68.141000000000048</v>
          </cell>
          <cell r="AK129">
            <v>333.86199999999997</v>
          </cell>
          <cell r="AL129">
            <v>93.21599999999998</v>
          </cell>
          <cell r="AM129">
            <v>83.518000000000015</v>
          </cell>
          <cell r="AN129">
            <v>152.04300000000003</v>
          </cell>
          <cell r="AO129">
            <v>129.22499999999988</v>
          </cell>
          <cell r="AP129">
            <v>458.0019999999999</v>
          </cell>
          <cell r="AQ129">
            <v>156.40800000000004</v>
          </cell>
          <cell r="AR129">
            <v>101.35800000000012</v>
          </cell>
          <cell r="AS129">
            <v>183.75299999999999</v>
          </cell>
          <cell r="AT129">
            <v>122.19600000000003</v>
          </cell>
          <cell r="AU129">
            <v>563.71500000000015</v>
          </cell>
          <cell r="AW129">
            <v>83.518000000000015</v>
          </cell>
          <cell r="AX129">
            <v>152.04300000000003</v>
          </cell>
          <cell r="AY129">
            <v>129.22499999999988</v>
          </cell>
          <cell r="AZ129">
            <v>156.40800000000004</v>
          </cell>
          <cell r="BA129">
            <v>521.19399999999962</v>
          </cell>
          <cell r="BB129">
            <v>101.35800000000012</v>
          </cell>
          <cell r="BC129">
            <v>183.75299999999999</v>
          </cell>
          <cell r="BD129">
            <v>122.19600000000003</v>
          </cell>
          <cell r="BE129">
            <v>138.5270000000001</v>
          </cell>
          <cell r="BF129">
            <v>545.83400000000017</v>
          </cell>
          <cell r="BG129">
            <v>139.30900000000017</v>
          </cell>
          <cell r="BH129">
            <v>135.88499999999991</v>
          </cell>
          <cell r="BI129">
            <v>77.906000000000091</v>
          </cell>
          <cell r="BJ129">
            <v>94.59999999999998</v>
          </cell>
          <cell r="BK129">
            <v>447.70000000000022</v>
          </cell>
          <cell r="BL129">
            <v>76.127999999999759</v>
          </cell>
          <cell r="BM129">
            <v>147.50000000000006</v>
          </cell>
          <cell r="BN129">
            <v>17.611000000000018</v>
          </cell>
          <cell r="BO129">
            <v>81.216000000000122</v>
          </cell>
          <cell r="BP129">
            <v>322.4549999999997</v>
          </cell>
          <cell r="BQ129">
            <v>145.12799999999993</v>
          </cell>
          <cell r="BR129">
            <v>141.12100000000001</v>
          </cell>
          <cell r="BS129">
            <v>89.800999999999902</v>
          </cell>
          <cell r="BT129">
            <v>49.514999999999986</v>
          </cell>
          <cell r="BU129">
            <v>425.56499999999994</v>
          </cell>
          <cell r="BV129">
            <v>116.73599999999989</v>
          </cell>
          <cell r="BW129">
            <v>138.48999999999998</v>
          </cell>
          <cell r="BX129">
            <v>102.20500000000011</v>
          </cell>
          <cell r="BY129">
            <v>84.84999999999981</v>
          </cell>
          <cell r="BZ129">
            <v>442.28099999999961</v>
          </cell>
          <cell r="CA129">
            <v>79.649999999999892</v>
          </cell>
          <cell r="CB129">
            <v>157.67799999999997</v>
          </cell>
          <cell r="CC129">
            <v>122.74300000000011</v>
          </cell>
          <cell r="CD129">
            <v>77.053999999999959</v>
          </cell>
          <cell r="CE129">
            <v>437.12499999999994</v>
          </cell>
          <cell r="CF129">
            <v>116.82600000000015</v>
          </cell>
          <cell r="CG129">
            <v>154.67100000000002</v>
          </cell>
          <cell r="CH129">
            <v>175.45400000000015</v>
          </cell>
          <cell r="CI129">
            <v>97.070999999999884</v>
          </cell>
          <cell r="CJ129">
            <v>544.02200000000039</v>
          </cell>
          <cell r="CK129">
            <v>62.087000000000238</v>
          </cell>
          <cell r="CL129">
            <v>228.9139999999999</v>
          </cell>
          <cell r="CM129">
            <v>167.14530000000013</v>
          </cell>
          <cell r="CN129">
            <v>157.15153351970693</v>
          </cell>
          <cell r="CO129">
            <v>615.29783351970707</v>
          </cell>
          <cell r="CP129">
            <v>56.555070157559101</v>
          </cell>
          <cell r="CQ129">
            <v>309.44600158227388</v>
          </cell>
          <cell r="CR129">
            <v>161.71622897120915</v>
          </cell>
          <cell r="CS129">
            <v>131.82846211402114</v>
          </cell>
          <cell r="CT129">
            <v>659.54576282506309</v>
          </cell>
          <cell r="CU129">
            <v>70.743399563403841</v>
          </cell>
          <cell r="CV129">
            <v>336.09820179649751</v>
          </cell>
          <cell r="CW129">
            <v>186.63523291771207</v>
          </cell>
          <cell r="CX129">
            <v>156.0715742160115</v>
          </cell>
          <cell r="CY129">
            <v>749.54840849362483</v>
          </cell>
          <cell r="CZ129">
            <v>73.109425480775258</v>
          </cell>
          <cell r="DA129">
            <v>354.17483810368003</v>
          </cell>
          <cell r="DB129">
            <v>198.86872915232075</v>
          </cell>
          <cell r="DC129">
            <v>169.86913507250821</v>
          </cell>
          <cell r="DD129">
            <v>796.02212780928414</v>
          </cell>
          <cell r="DE129">
            <v>77.890060357288121</v>
          </cell>
          <cell r="DF129">
            <v>371.68810964913212</v>
          </cell>
          <cell r="DG129">
            <v>213.67102541965409</v>
          </cell>
          <cell r="DH129">
            <v>184.36960155421053</v>
          </cell>
          <cell r="DI129">
            <v>847.61879698028474</v>
          </cell>
        </row>
        <row r="130">
          <cell r="B130" t="str">
            <v>% of net income + D&amp;A</v>
          </cell>
          <cell r="F130">
            <v>1.2560848351524383</v>
          </cell>
          <cell r="G130">
            <v>0.92163438203238757</v>
          </cell>
          <cell r="H130">
            <v>0.73109935704557671</v>
          </cell>
          <cell r="I130">
            <v>0.8847222056667422</v>
          </cell>
          <cell r="J130">
            <v>0.84998966375753859</v>
          </cell>
          <cell r="K130">
            <v>0.91339908753960075</v>
          </cell>
          <cell r="L130">
            <v>0.629807615294664</v>
          </cell>
          <cell r="M130">
            <v>1.192754388280322</v>
          </cell>
          <cell r="N130">
            <v>0.85713364812815263</v>
          </cell>
          <cell r="O130">
            <v>0.5934678510070549</v>
          </cell>
          <cell r="P130">
            <v>0.58219486256544495</v>
          </cell>
          <cell r="Q130">
            <v>0.79739772549651156</v>
          </cell>
          <cell r="R130">
            <v>0.72089119487257747</v>
          </cell>
          <cell r="S130">
            <v>0.50916387766042237</v>
          </cell>
          <cell r="T130">
            <v>0.94584929351367675</v>
          </cell>
          <cell r="U130">
            <v>0.76901252508476925</v>
          </cell>
          <cell r="V130">
            <v>0.73047826697389395</v>
          </cell>
          <cell r="W130">
            <v>0.89324438384625382</v>
          </cell>
          <cell r="X130">
            <v>0.84691486959467066</v>
          </cell>
          <cell r="Y130">
            <v>1.2665489391539204</v>
          </cell>
          <cell r="Z130">
            <v>1.0172563233787719</v>
          </cell>
          <cell r="AA130">
            <v>1.0154678878525614</v>
          </cell>
          <cell r="AB130">
            <v>1.7810965970546628</v>
          </cell>
          <cell r="AC130">
            <v>0.46074799471700556</v>
          </cell>
          <cell r="AD130">
            <v>1.2341682341682341</v>
          </cell>
          <cell r="AE130">
            <v>0.82451058262860366</v>
          </cell>
          <cell r="AF130">
            <v>1.0362004190025869</v>
          </cell>
          <cell r="AG130">
            <v>1.2884317087109149</v>
          </cell>
          <cell r="AH130">
            <v>0.3532582859533363</v>
          </cell>
          <cell r="AI130">
            <v>1.136330395288865</v>
          </cell>
          <cell r="AJ130">
            <v>0.69218735715083879</v>
          </cell>
          <cell r="AK130">
            <v>0.84889953418360076</v>
          </cell>
          <cell r="AL130">
            <v>0.91107766288093506</v>
          </cell>
          <cell r="AM130">
            <v>0.66891994713868097</v>
          </cell>
          <cell r="AN130">
            <v>1.2329843568804586</v>
          </cell>
          <cell r="AO130">
            <v>1.1797922068436619</v>
          </cell>
          <cell r="AP130">
            <v>0.99562622007156298</v>
          </cell>
          <cell r="AQ130">
            <v>1.3559780488439228</v>
          </cell>
          <cell r="AR130">
            <v>0.73927282010138262</v>
          </cell>
          <cell r="AS130">
            <v>1.4596893990546924</v>
          </cell>
          <cell r="AT130">
            <v>0.94060594864215819</v>
          </cell>
          <cell r="AU130">
            <v>1.1091315477256227</v>
          </cell>
          <cell r="AW130">
            <v>0.66891994713868097</v>
          </cell>
          <cell r="AX130">
            <v>1.2329843568804586</v>
          </cell>
          <cell r="AY130">
            <v>1.1797922068436619</v>
          </cell>
          <cell r="AZ130">
            <v>1.3559780488439228</v>
          </cell>
          <cell r="BA130">
            <v>1.1017805841702832</v>
          </cell>
          <cell r="BB130">
            <v>0.73927282010138262</v>
          </cell>
          <cell r="BC130">
            <v>1.4596893990546924</v>
          </cell>
          <cell r="BD130">
            <v>0.94060594864215819</v>
          </cell>
          <cell r="BE130">
            <v>1.1792542776879202</v>
          </cell>
          <cell r="BF130">
            <v>1.0694826518696166</v>
          </cell>
          <cell r="BG130">
            <v>1.0635005458390274</v>
          </cell>
          <cell r="BH130">
            <v>1.1074933168155439</v>
          </cell>
          <cell r="BI130">
            <v>0.64747926397500066</v>
          </cell>
          <cell r="BJ130">
            <v>-31.057124097176047</v>
          </cell>
          <cell r="BK130">
            <v>1.2068589050660041</v>
          </cell>
          <cell r="BL130">
            <v>0.64685189905684348</v>
          </cell>
          <cell r="BM130">
            <v>2.1868698849484036</v>
          </cell>
          <cell r="BN130">
            <v>0.197894192736426</v>
          </cell>
          <cell r="BO130">
            <v>1.1148693169338912</v>
          </cell>
          <cell r="BP130">
            <v>0.92932404936335977</v>
          </cell>
          <cell r="BQ130">
            <v>0.74836407514167691</v>
          </cell>
          <cell r="BR130">
            <v>1.7825735470587489</v>
          </cell>
          <cell r="BS130">
            <v>1.2380880163238295</v>
          </cell>
          <cell r="BT130">
            <v>0.60381937246198258</v>
          </cell>
          <cell r="BU130">
            <v>0.99517338627642193</v>
          </cell>
          <cell r="BV130">
            <v>1.013306945131637</v>
          </cell>
          <cell r="BW130">
            <v>1.3635871331094984</v>
          </cell>
          <cell r="BX130">
            <v>1.1190246786519809</v>
          </cell>
          <cell r="BY130">
            <v>0.81782344266561202</v>
          </cell>
          <cell r="BZ130">
            <v>1.0738859441885529</v>
          </cell>
          <cell r="CA130">
            <v>0.67950894494825809</v>
          </cell>
          <cell r="CB130">
            <v>1.4429334895127928</v>
          </cell>
          <cell r="CC130">
            <v>1.1904891225279579</v>
          </cell>
          <cell r="CD130">
            <v>0.81871307747885558</v>
          </cell>
          <cell r="CE130">
            <v>1.0316559361075448</v>
          </cell>
          <cell r="CF130">
            <v>0.90456206640237868</v>
          </cell>
          <cell r="CG130">
            <v>1.2840562865800502</v>
          </cell>
          <cell r="CH130">
            <v>1.496728513542334</v>
          </cell>
          <cell r="CI130">
            <v>0.86966376692140213</v>
          </cell>
          <cell r="CJ130">
            <v>1.1370485169850209</v>
          </cell>
          <cell r="CK130">
            <v>0.49372574591259072</v>
          </cell>
          <cell r="CL130">
            <v>1.7137360004791278</v>
          </cell>
          <cell r="CM130">
            <v>1.1739627889336059</v>
          </cell>
          <cell r="CN130">
            <v>1.0369797070605469</v>
          </cell>
          <cell r="CO130">
            <v>1.1121467917991752</v>
          </cell>
          <cell r="CP130">
            <v>0.34946134520612304</v>
          </cell>
          <cell r="CQ130">
            <v>1.972302889145696</v>
          </cell>
          <cell r="CR130">
            <v>1.1310194872701664</v>
          </cell>
          <cell r="CS130">
            <v>1.0345570307499081</v>
          </cell>
          <cell r="CT130">
            <v>1.1195088450903099</v>
          </cell>
          <cell r="CU130">
            <v>0.41174808010287389</v>
          </cell>
          <cell r="CV130">
            <v>1.882194468601472</v>
          </cell>
          <cell r="CW130">
            <v>1.1144369739172844</v>
          </cell>
          <cell r="CX130">
            <v>1.0482251628055956</v>
          </cell>
          <cell r="CY130">
            <v>1.1241968734113907</v>
          </cell>
          <cell r="CZ130">
            <v>0.37137062675683868</v>
          </cell>
          <cell r="DA130">
            <v>1.8691148656669068</v>
          </cell>
          <cell r="DB130">
            <v>1.1054451320236707</v>
          </cell>
          <cell r="DC130">
            <v>1.0431017441634254</v>
          </cell>
          <cell r="DD130">
            <v>1.0917857723809232</v>
          </cell>
          <cell r="DE130">
            <v>0.36695334060152557</v>
          </cell>
          <cell r="DF130">
            <v>1.8311198975497021</v>
          </cell>
          <cell r="DG130">
            <v>1.0988134690875617</v>
          </cell>
          <cell r="DH130">
            <v>1.0585207844617339</v>
          </cell>
          <cell r="DI130">
            <v>1.0813142659904684</v>
          </cell>
        </row>
        <row r="132">
          <cell r="B132" t="str">
            <v>Acquisitions</v>
          </cell>
          <cell r="F132">
            <v>0</v>
          </cell>
          <cell r="G132">
            <v>-25.593</v>
          </cell>
          <cell r="H132">
            <v>-1.2949999999999999</v>
          </cell>
          <cell r="I132">
            <v>-73.959999999999994</v>
          </cell>
          <cell r="J132">
            <v>-99.638999999999996</v>
          </cell>
          <cell r="K132">
            <v>-51.466999999999999</v>
          </cell>
          <cell r="L132">
            <v>-169.48400000000001</v>
          </cell>
          <cell r="M132">
            <v>-7.0209999999999999</v>
          </cell>
          <cell r="N132">
            <v>-0.24399999999999977</v>
          </cell>
          <cell r="O132">
            <v>-160.79100000000003</v>
          </cell>
          <cell r="P132">
            <v>-15.910999999999987</v>
          </cell>
          <cell r="Q132">
            <v>-183.96699999999998</v>
          </cell>
          <cell r="R132">
            <v>0</v>
          </cell>
          <cell r="S132">
            <v>0</v>
          </cell>
          <cell r="T132">
            <v>-55.603000000000002</v>
          </cell>
          <cell r="U132">
            <v>-74.798999999999978</v>
          </cell>
          <cell r="V132">
            <v>-130.40199999999999</v>
          </cell>
          <cell r="W132">
            <v>0</v>
          </cell>
          <cell r="X132">
            <v>0</v>
          </cell>
          <cell r="Y132">
            <v>-60.198</v>
          </cell>
          <cell r="Z132">
            <v>-40.696000000000005</v>
          </cell>
          <cell r="AA132">
            <v>-100.89400000000001</v>
          </cell>
          <cell r="AB132">
            <v>-186.52</v>
          </cell>
          <cell r="AC132">
            <v>-0.43599999999997863</v>
          </cell>
          <cell r="AD132">
            <v>-80.164000000000016</v>
          </cell>
          <cell r="AE132">
            <v>-33.058999999999969</v>
          </cell>
          <cell r="AF132">
            <v>-300.17899999999997</v>
          </cell>
          <cell r="AG132">
            <v>-9.5559999999999992</v>
          </cell>
          <cell r="AH132">
            <v>-9.8010000000000002</v>
          </cell>
          <cell r="AI132">
            <v>8.8000000000000966E-2</v>
          </cell>
          <cell r="AJ132">
            <v>-107.208</v>
          </cell>
          <cell r="AK132">
            <v>-126.477</v>
          </cell>
          <cell r="AL132">
            <v>-527.49800000000005</v>
          </cell>
          <cell r="AM132">
            <v>8.4820000000000846</v>
          </cell>
          <cell r="AN132">
            <v>1.2419999999999618</v>
          </cell>
          <cell r="AO132">
            <v>-0.16999999999995907</v>
          </cell>
          <cell r="AP132">
            <v>-517.94399999999996</v>
          </cell>
          <cell r="AQ132">
            <v>-20.108000000000001</v>
          </cell>
          <cell r="AR132">
            <v>-319.90999999999997</v>
          </cell>
          <cell r="AS132">
            <v>-1.8560000000000549</v>
          </cell>
          <cell r="AT132">
            <v>-0.115999999999989</v>
          </cell>
          <cell r="AU132">
            <v>-341.99</v>
          </cell>
          <cell r="AW132">
            <v>8.4820000000000846</v>
          </cell>
          <cell r="AX132">
            <v>1.2419999999999618</v>
          </cell>
          <cell r="AY132">
            <v>-0.16999999999995907</v>
          </cell>
          <cell r="AZ132">
            <v>-20.108000000000001</v>
          </cell>
          <cell r="BA132">
            <v>-10.553999999999913</v>
          </cell>
          <cell r="BB132">
            <v>-319.90999999999997</v>
          </cell>
          <cell r="BC132">
            <v>-1.8560000000000549</v>
          </cell>
          <cell r="BD132">
            <v>-0.115999999999989</v>
          </cell>
          <cell r="BE132">
            <v>-89.043999999999997</v>
          </cell>
          <cell r="BF132">
            <v>-410.92599999999999</v>
          </cell>
          <cell r="BG132">
            <v>-38.146999999999998</v>
          </cell>
          <cell r="BH132">
            <v>-144.41900000000001</v>
          </cell>
          <cell r="BI132">
            <v>-2.3039999999999949</v>
          </cell>
          <cell r="BJ132">
            <v>0</v>
          </cell>
          <cell r="BK132">
            <v>-184.87</v>
          </cell>
          <cell r="BL132">
            <v>0</v>
          </cell>
          <cell r="BM132">
            <v>-36.127000000000002</v>
          </cell>
          <cell r="BN132">
            <v>0</v>
          </cell>
          <cell r="BO132">
            <v>-2.4719999999999942</v>
          </cell>
          <cell r="BP132">
            <v>-38.598999999999997</v>
          </cell>
          <cell r="BQ132">
            <v>-2.42</v>
          </cell>
          <cell r="BR132">
            <v>0</v>
          </cell>
          <cell r="BS132">
            <v>0</v>
          </cell>
          <cell r="BT132">
            <v>-6.1059999999999999</v>
          </cell>
          <cell r="BU132">
            <v>-8.5259999999999998</v>
          </cell>
          <cell r="BV132">
            <v>0</v>
          </cell>
          <cell r="BW132">
            <v>0</v>
          </cell>
          <cell r="BX132">
            <v>-0.56899999999999995</v>
          </cell>
          <cell r="BY132">
            <v>-138.19500000000002</v>
          </cell>
          <cell r="BZ132">
            <v>-138.76400000000001</v>
          </cell>
          <cell r="CA132">
            <v>-10.959</v>
          </cell>
          <cell r="CB132">
            <v>0</v>
          </cell>
          <cell r="CC132">
            <v>-26.947999999999997</v>
          </cell>
          <cell r="CD132">
            <v>-153.54700000000003</v>
          </cell>
          <cell r="CE132">
            <v>-191.45400000000001</v>
          </cell>
          <cell r="CF132">
            <v>-3.6960000000000002</v>
          </cell>
          <cell r="CG132">
            <v>-39.195</v>
          </cell>
          <cell r="CH132">
            <v>-530.54799999999989</v>
          </cell>
          <cell r="CI132">
            <v>-8.6510000000001437</v>
          </cell>
          <cell r="CJ132">
            <v>-582.09</v>
          </cell>
          <cell r="CK132">
            <v>-81.617000000000004</v>
          </cell>
          <cell r="CL132">
            <v>14.944000000000003</v>
          </cell>
          <cell r="CM132">
            <v>-4.8019999999999925</v>
          </cell>
          <cell r="CN132">
            <v>0</v>
          </cell>
          <cell r="CO132">
            <v>-71.474999999999994</v>
          </cell>
          <cell r="CQ132">
            <v>0</v>
          </cell>
          <cell r="CR132">
            <v>0</v>
          </cell>
          <cell r="CS132">
            <v>0</v>
          </cell>
          <cell r="CT132">
            <v>0</v>
          </cell>
          <cell r="CV132">
            <v>0</v>
          </cell>
          <cell r="CW132">
            <v>0</v>
          </cell>
          <cell r="CX132">
            <v>0</v>
          </cell>
          <cell r="CY132">
            <v>0</v>
          </cell>
          <cell r="DA132">
            <v>0</v>
          </cell>
          <cell r="DB132">
            <v>0</v>
          </cell>
          <cell r="DC132">
            <v>0</v>
          </cell>
          <cell r="DD132">
            <v>0</v>
          </cell>
          <cell r="DF132">
            <v>0</v>
          </cell>
          <cell r="DG132">
            <v>0</v>
          </cell>
          <cell r="DH132">
            <v>0</v>
          </cell>
          <cell r="DI132">
            <v>0</v>
          </cell>
          <cell r="DU132" t="str">
            <v>mstag:netDisposalsAcquisitions</v>
          </cell>
          <cell r="DV132">
            <v>6</v>
          </cell>
          <cell r="DW132" t="str">
            <v>ISO4217:USD</v>
          </cell>
          <cell r="DX132" t="b">
            <v>0</v>
          </cell>
        </row>
        <row r="133">
          <cell r="B133" t="str">
            <v>Capital expenditures</v>
          </cell>
          <cell r="F133">
            <v>-14.347</v>
          </cell>
          <cell r="G133">
            <v>-7.492</v>
          </cell>
          <cell r="H133">
            <v>-22.536000000000001</v>
          </cell>
          <cell r="I133">
            <v>-22.937999999999999</v>
          </cell>
          <cell r="J133">
            <v>-41.238999999999997</v>
          </cell>
          <cell r="K133">
            <v>-59.348999999999997</v>
          </cell>
          <cell r="L133">
            <v>-67.930999999999997</v>
          </cell>
          <cell r="M133">
            <v>-38</v>
          </cell>
          <cell r="N133">
            <v>-39.320999999999998</v>
          </cell>
          <cell r="O133">
            <v>-31.748999999999995</v>
          </cell>
          <cell r="P133">
            <v>-50.322000000000003</v>
          </cell>
          <cell r="Q133">
            <v>-159.392</v>
          </cell>
          <cell r="R133">
            <v>-28.524999999999999</v>
          </cell>
          <cell r="S133">
            <v>-27.917000000000002</v>
          </cell>
          <cell r="T133">
            <v>-30.824000000000005</v>
          </cell>
          <cell r="U133">
            <v>-33.437999999999995</v>
          </cell>
          <cell r="V133">
            <v>-120.70400000000001</v>
          </cell>
          <cell r="W133">
            <v>-16.52</v>
          </cell>
          <cell r="X133">
            <v>-37.216999999999999</v>
          </cell>
          <cell r="Y133">
            <v>-13.440999999999999</v>
          </cell>
          <cell r="Z133">
            <v>-6.2949999999999982</v>
          </cell>
          <cell r="AA133">
            <v>-73.472999999999999</v>
          </cell>
          <cell r="AB133">
            <v>-20.582000000000001</v>
          </cell>
          <cell r="AC133">
            <v>-35.616999999999997</v>
          </cell>
          <cell r="AD133">
            <v>-25.713999999999999</v>
          </cell>
          <cell r="AE133">
            <v>-34.134</v>
          </cell>
          <cell r="AF133">
            <v>-116.047</v>
          </cell>
          <cell r="AG133">
            <v>-32.015000000000001</v>
          </cell>
          <cell r="AH133">
            <v>-52.194000000000003</v>
          </cell>
          <cell r="AI133">
            <v>-39.111999999999995</v>
          </cell>
          <cell r="AJ133">
            <v>-42.25</v>
          </cell>
          <cell r="AK133">
            <v>-165.571</v>
          </cell>
          <cell r="AL133">
            <v>-53.941000000000003</v>
          </cell>
          <cell r="AM133">
            <v>-64.465999999999994</v>
          </cell>
          <cell r="AN133">
            <v>-55.161999999999992</v>
          </cell>
          <cell r="AO133">
            <v>-28.090999999999994</v>
          </cell>
          <cell r="AP133">
            <v>-201.65999999999997</v>
          </cell>
          <cell r="AQ133">
            <v>-43.509</v>
          </cell>
          <cell r="AR133">
            <v>-66.879000000000005</v>
          </cell>
          <cell r="AS133">
            <v>-93.887000000000015</v>
          </cell>
          <cell r="AT133">
            <v>-69.066000000000003</v>
          </cell>
          <cell r="AU133">
            <v>-273.34100000000001</v>
          </cell>
          <cell r="AW133">
            <v>-64.465999999999994</v>
          </cell>
          <cell r="AX133">
            <v>-55.161999999999992</v>
          </cell>
          <cell r="AY133">
            <v>-28.090999999999994</v>
          </cell>
          <cell r="AZ133">
            <v>-43.509</v>
          </cell>
          <cell r="BA133">
            <v>-191.22800000000001</v>
          </cell>
          <cell r="BB133">
            <v>-66.879000000000005</v>
          </cell>
          <cell r="BC133">
            <v>-93.887000000000015</v>
          </cell>
          <cell r="BD133">
            <v>-69.066000000000003</v>
          </cell>
          <cell r="BE133">
            <v>-74.477000000000004</v>
          </cell>
          <cell r="BF133">
            <v>-304.30900000000003</v>
          </cell>
          <cell r="BG133">
            <v>-95.24</v>
          </cell>
          <cell r="BH133">
            <v>-82.367000000000004</v>
          </cell>
          <cell r="BI133">
            <v>-76.882999999999996</v>
          </cell>
          <cell r="BJ133">
            <v>-84.046000000000006</v>
          </cell>
          <cell r="BK133">
            <v>-338.536</v>
          </cell>
          <cell r="BL133">
            <v>-69.734999999999999</v>
          </cell>
          <cell r="BM133">
            <v>-76.341999999999999</v>
          </cell>
          <cell r="BN133">
            <v>-67.277999999999977</v>
          </cell>
          <cell r="BO133">
            <v>-57.243000000000052</v>
          </cell>
          <cell r="BP133">
            <v>-270.59800000000001</v>
          </cell>
          <cell r="BQ133">
            <v>-46.805</v>
          </cell>
          <cell r="BR133">
            <v>-46.707000000000001</v>
          </cell>
          <cell r="BS133">
            <v>-65.937999999999988</v>
          </cell>
          <cell r="BT133">
            <v>-58.729000000000021</v>
          </cell>
          <cell r="BU133">
            <v>-218.179</v>
          </cell>
          <cell r="BV133">
            <v>-65.171000000000006</v>
          </cell>
          <cell r="BW133">
            <v>-50.345999999999989</v>
          </cell>
          <cell r="BX133">
            <v>-43.229000000000013</v>
          </cell>
          <cell r="BY133">
            <v>-41.316999999999979</v>
          </cell>
          <cell r="BZ133">
            <v>-200.06299999999999</v>
          </cell>
          <cell r="CA133">
            <v>-32.898000000000003</v>
          </cell>
          <cell r="CB133">
            <v>-59.588000000000001</v>
          </cell>
          <cell r="CC133">
            <v>-55.430999999999997</v>
          </cell>
          <cell r="CD133">
            <v>-61.521999999999991</v>
          </cell>
          <cell r="CE133">
            <v>-209.43899999999999</v>
          </cell>
          <cell r="CF133">
            <v>-47.463000000000001</v>
          </cell>
          <cell r="CG133">
            <v>-85.570999999999998</v>
          </cell>
          <cell r="CH133">
            <v>-69.784999999999997</v>
          </cell>
          <cell r="CI133">
            <v>-99.227000000000004</v>
          </cell>
          <cell r="CJ133">
            <v>-302.04599999999999</v>
          </cell>
          <cell r="CK133">
            <v>-80.816999999999993</v>
          </cell>
          <cell r="CL133">
            <v>-113.35800000000002</v>
          </cell>
          <cell r="CM133">
            <v>-88.248999999999967</v>
          </cell>
          <cell r="CN133">
            <v>-75</v>
          </cell>
          <cell r="CO133">
            <v>-357.42399999999998</v>
          </cell>
          <cell r="CP133">
            <v>-50.167574874380378</v>
          </cell>
          <cell r="CQ133">
            <v>-100.33514974876076</v>
          </cell>
          <cell r="CR133">
            <v>-100.33514974876076</v>
          </cell>
          <cell r="CS133">
            <v>-100.33514974876076</v>
          </cell>
          <cell r="CT133">
            <v>-351.17302412066266</v>
          </cell>
          <cell r="CU133">
            <v>-90.436935899596975</v>
          </cell>
          <cell r="CV133">
            <v>-89.05100462196225</v>
          </cell>
          <cell r="CW133">
            <v>-88.057938959901946</v>
          </cell>
          <cell r="CX133">
            <v>-90.304229984626843</v>
          </cell>
          <cell r="CY133">
            <v>-357.85010946608799</v>
          </cell>
          <cell r="CZ133">
            <v>-94.05585343354501</v>
          </cell>
          <cell r="DA133">
            <v>-92.494944145114772</v>
          </cell>
          <cell r="DB133">
            <v>-91.537327470030505</v>
          </cell>
          <cell r="DC133">
            <v>-94.066099312978949</v>
          </cell>
          <cell r="DD133">
            <v>-372.15422436166926</v>
          </cell>
          <cell r="DE133">
            <v>-98.247815780490896</v>
          </cell>
          <cell r="DF133">
            <v>-96.394845319939535</v>
          </cell>
          <cell r="DG133">
            <v>-95.454008851547727</v>
          </cell>
          <cell r="DH133">
            <v>-97.856814301555261</v>
          </cell>
          <cell r="DI133">
            <v>-387.95348425353336</v>
          </cell>
          <cell r="DU133" t="str">
            <v>mstag:capitalExpenditures</v>
          </cell>
          <cell r="DV133">
            <v>6</v>
          </cell>
          <cell r="DW133" t="str">
            <v>ISO4217:USD</v>
          </cell>
          <cell r="DX133" t="b">
            <v>1</v>
          </cell>
        </row>
        <row r="134">
          <cell r="B134" t="str">
            <v>Proceeds from sale of assets</v>
          </cell>
          <cell r="F134">
            <v>2.7090000000000001</v>
          </cell>
          <cell r="G134">
            <v>2.5999999999999999E-2</v>
          </cell>
          <cell r="H134">
            <v>5.2190000000000003</v>
          </cell>
          <cell r="I134">
            <v>5.7000000000000002E-2</v>
          </cell>
          <cell r="J134">
            <v>2.7E-2</v>
          </cell>
          <cell r="K134">
            <v>0.38800000000000001</v>
          </cell>
          <cell r="L134">
            <v>4.0469999999999997</v>
          </cell>
          <cell r="M134">
            <v>1E-3</v>
          </cell>
          <cell r="N134">
            <v>6.9999999999999993E-2</v>
          </cell>
          <cell r="O134">
            <v>1.2000000000000011E-2</v>
          </cell>
          <cell r="P134">
            <v>2.7999999999999997E-2</v>
          </cell>
          <cell r="Q134">
            <v>0.111</v>
          </cell>
          <cell r="R134">
            <v>1.0999999999999999E-2</v>
          </cell>
          <cell r="S134">
            <v>0.13699999999999998</v>
          </cell>
          <cell r="T134">
            <v>1.0000000000000113E-3</v>
          </cell>
          <cell r="U134">
            <v>5.800000000000001E-2</v>
          </cell>
          <cell r="V134">
            <v>0.20700000000000002</v>
          </cell>
          <cell r="W134">
            <v>2.7919999999999998</v>
          </cell>
          <cell r="X134">
            <v>0.13700000000000001</v>
          </cell>
          <cell r="Y134">
            <v>0</v>
          </cell>
          <cell r="Z134">
            <v>0.42800000000000038</v>
          </cell>
          <cell r="AA134">
            <v>3.3570000000000002</v>
          </cell>
          <cell r="AB134">
            <v>40.052</v>
          </cell>
          <cell r="AC134">
            <v>0.68200000000000216</v>
          </cell>
          <cell r="AD134">
            <v>-0.32900000000000063</v>
          </cell>
          <cell r="AE134">
            <v>0.66899999999999693</v>
          </cell>
          <cell r="AF134">
            <v>41.073999999999998</v>
          </cell>
          <cell r="AG134">
            <v>0.12</v>
          </cell>
          <cell r="AH134">
            <v>0.35199999999999998</v>
          </cell>
          <cell r="AI134">
            <v>0.30200000000000005</v>
          </cell>
          <cell r="AJ134">
            <v>0.48599999999999999</v>
          </cell>
          <cell r="AK134">
            <v>1.26</v>
          </cell>
          <cell r="AL134">
            <v>5.3999999999999999E-2</v>
          </cell>
          <cell r="AM134">
            <v>0.78799999999999992</v>
          </cell>
          <cell r="AN134">
            <v>3.6670000000000007</v>
          </cell>
          <cell r="AO134">
            <v>5.794999999999999</v>
          </cell>
          <cell r="AP134">
            <v>10.303999999999998</v>
          </cell>
          <cell r="AQ134">
            <v>0.33700000000000002</v>
          </cell>
          <cell r="AR134">
            <v>7.5999999999999956E-2</v>
          </cell>
          <cell r="AS134">
            <v>26.161999999999999</v>
          </cell>
          <cell r="AT134">
            <v>13.637000000000004</v>
          </cell>
          <cell r="AU134">
            <v>40.212000000000003</v>
          </cell>
          <cell r="AW134">
            <v>0.78799999999999992</v>
          </cell>
          <cell r="AX134">
            <v>3.6670000000000007</v>
          </cell>
          <cell r="AY134">
            <v>5.794999999999999</v>
          </cell>
          <cell r="AZ134">
            <v>0.33700000000000002</v>
          </cell>
          <cell r="BA134">
            <v>10.587</v>
          </cell>
          <cell r="BB134">
            <v>7.5999999999999956E-2</v>
          </cell>
          <cell r="BC134">
            <v>26.161999999999999</v>
          </cell>
          <cell r="BD134">
            <v>13.637000000000004</v>
          </cell>
          <cell r="BE134">
            <v>11.259</v>
          </cell>
          <cell r="BF134">
            <v>51.134</v>
          </cell>
          <cell r="BG134">
            <v>3.7269999999999999</v>
          </cell>
          <cell r="BH134">
            <v>0.61100000000000021</v>
          </cell>
          <cell r="BI134">
            <v>1.0990000000000006</v>
          </cell>
          <cell r="BJ134">
            <v>0.61399999999999944</v>
          </cell>
          <cell r="BK134">
            <v>6.0510000000000002</v>
          </cell>
          <cell r="BL134">
            <v>18.585000000000001</v>
          </cell>
          <cell r="BM134">
            <v>3.3930000000000007</v>
          </cell>
          <cell r="BN134">
            <v>0.58299999999999841</v>
          </cell>
          <cell r="BO134">
            <v>9.7839999999999989</v>
          </cell>
          <cell r="BP134">
            <v>32.344999999999999</v>
          </cell>
          <cell r="BQ134">
            <v>3.6779999999999999</v>
          </cell>
          <cell r="BR134">
            <v>3.6559999999999997</v>
          </cell>
          <cell r="BS134">
            <v>7.105999999999999</v>
          </cell>
          <cell r="BT134">
            <v>3.272000000000002</v>
          </cell>
          <cell r="BU134">
            <v>17.712</v>
          </cell>
          <cell r="BV134">
            <v>0.71299999999999997</v>
          </cell>
          <cell r="BW134">
            <v>3.2880000000000003</v>
          </cell>
          <cell r="BX134">
            <v>0.65199999999999936</v>
          </cell>
          <cell r="BY134">
            <v>0.79500000000000093</v>
          </cell>
          <cell r="BZ134">
            <v>5.4480000000000004</v>
          </cell>
          <cell r="CA134">
            <v>2.1419999999999999</v>
          </cell>
          <cell r="CB134">
            <v>4.7000000000000153E-2</v>
          </cell>
          <cell r="CC134">
            <v>0.1160000000000001</v>
          </cell>
          <cell r="CD134">
            <v>0.84499999999999975</v>
          </cell>
          <cell r="CE134">
            <v>3.15</v>
          </cell>
          <cell r="CF134">
            <v>0.13700000000000001</v>
          </cell>
          <cell r="CG134">
            <v>1.1919999999999999</v>
          </cell>
          <cell r="CH134">
            <v>0.46300000000000008</v>
          </cell>
          <cell r="CI134">
            <v>0.97300000000000009</v>
          </cell>
          <cell r="CJ134">
            <v>2.7650000000000001</v>
          </cell>
          <cell r="CK134">
            <v>0.80800000000000005</v>
          </cell>
          <cell r="CL134">
            <v>0.55899999999999994</v>
          </cell>
          <cell r="CM134">
            <v>0.56499999999999995</v>
          </cell>
          <cell r="CN134">
            <v>0</v>
          </cell>
          <cell r="CO134">
            <v>1.9319999999999999</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U134" t="str">
            <v>mstag:proceedsFromSaleOfppeAndIntangibleAssetsOnetime</v>
          </cell>
          <cell r="DV134">
            <v>6</v>
          </cell>
          <cell r="DW134" t="str">
            <v>ISO4217:USD</v>
          </cell>
          <cell r="DX134" t="b">
            <v>0</v>
          </cell>
        </row>
        <row r="135">
          <cell r="B135" t="str">
            <v>Proceeds from sale of discontinued operations</v>
          </cell>
          <cell r="F135">
            <v>0</v>
          </cell>
          <cell r="G135">
            <v>0</v>
          </cell>
          <cell r="H135">
            <v>0</v>
          </cell>
          <cell r="AG135">
            <v>0</v>
          </cell>
          <cell r="AH135">
            <v>0</v>
          </cell>
          <cell r="AI135">
            <v>0</v>
          </cell>
          <cell r="AJ135">
            <v>0</v>
          </cell>
          <cell r="AL135">
            <v>0</v>
          </cell>
          <cell r="AM135">
            <v>0</v>
          </cell>
          <cell r="AN135">
            <v>0</v>
          </cell>
          <cell r="AO135">
            <v>0</v>
          </cell>
          <cell r="AW135">
            <v>0</v>
          </cell>
          <cell r="AX135">
            <v>0</v>
          </cell>
          <cell r="AY135">
            <v>0</v>
          </cell>
          <cell r="AZ135">
            <v>0</v>
          </cell>
          <cell r="BB135">
            <v>0</v>
          </cell>
          <cell r="BC135">
            <v>0</v>
          </cell>
          <cell r="BD135">
            <v>0</v>
          </cell>
          <cell r="BE135">
            <v>0</v>
          </cell>
          <cell r="BG135">
            <v>0</v>
          </cell>
          <cell r="BH135">
            <v>0</v>
          </cell>
          <cell r="BI135">
            <v>37.195999999999998</v>
          </cell>
          <cell r="BJ135">
            <v>0</v>
          </cell>
          <cell r="BK135">
            <v>37.195999999999998</v>
          </cell>
          <cell r="BL135">
            <v>0</v>
          </cell>
          <cell r="BM135">
            <v>0</v>
          </cell>
          <cell r="BN135">
            <v>70</v>
          </cell>
          <cell r="BO135">
            <v>0</v>
          </cell>
          <cell r="BP135">
            <v>70</v>
          </cell>
          <cell r="BQ135">
            <v>0</v>
          </cell>
          <cell r="BR135">
            <v>3.5</v>
          </cell>
          <cell r="BS135">
            <v>14.666</v>
          </cell>
          <cell r="BT135">
            <v>0</v>
          </cell>
          <cell r="BU135">
            <v>18.166</v>
          </cell>
          <cell r="BV135">
            <v>0</v>
          </cell>
          <cell r="BW135">
            <v>0</v>
          </cell>
          <cell r="BX135">
            <v>0</v>
          </cell>
          <cell r="BY135">
            <v>0</v>
          </cell>
          <cell r="BZ135">
            <v>0</v>
          </cell>
          <cell r="CA135">
            <v>0</v>
          </cell>
          <cell r="CB135">
            <v>0</v>
          </cell>
          <cell r="CC135">
            <v>0</v>
          </cell>
          <cell r="CD135">
            <v>26.36</v>
          </cell>
          <cell r="CE135">
            <v>26.36</v>
          </cell>
          <cell r="CF135">
            <v>0</v>
          </cell>
          <cell r="CG135">
            <v>0</v>
          </cell>
          <cell r="CH135">
            <v>4.851</v>
          </cell>
          <cell r="CI135">
            <v>0</v>
          </cell>
          <cell r="CJ135">
            <v>4.851</v>
          </cell>
          <cell r="CK135">
            <v>0</v>
          </cell>
          <cell r="CL135">
            <v>1.3919999999999999</v>
          </cell>
          <cell r="CM135">
            <v>0</v>
          </cell>
          <cell r="CN135">
            <v>0</v>
          </cell>
          <cell r="CO135">
            <v>1.3919999999999999</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U135" t="str">
            <v>mstag:proceedsFromSaleOfppeAndIntangibleAssetsOnetime</v>
          </cell>
          <cell r="DV135">
            <v>6</v>
          </cell>
          <cell r="DW135" t="str">
            <v>ISO4217:USD</v>
          </cell>
          <cell r="DX135" t="b">
            <v>0</v>
          </cell>
        </row>
        <row r="136">
          <cell r="B136" t="str">
            <v>Decrease (increase) in restricted funds, net</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-29.315999999999999</v>
          </cell>
          <cell r="AK136">
            <v>-29.315999999999999</v>
          </cell>
          <cell r="AL136">
            <v>-1.323</v>
          </cell>
          <cell r="AM136">
            <v>-19.908000000000001</v>
          </cell>
          <cell r="AN136">
            <v>-10.076999999999998</v>
          </cell>
          <cell r="AO136">
            <v>31.308</v>
          </cell>
          <cell r="AP136">
            <v>0</v>
          </cell>
          <cell r="AQ136">
            <v>0</v>
          </cell>
          <cell r="AR136">
            <v>0</v>
          </cell>
          <cell r="AS136">
            <v>0</v>
          </cell>
          <cell r="AT136" t="e">
            <v>#REF!</v>
          </cell>
          <cell r="AU136" t="e">
            <v>#REF!</v>
          </cell>
          <cell r="AW136">
            <v>-19.908000000000001</v>
          </cell>
          <cell r="AX136">
            <v>-10.076999999999998</v>
          </cell>
          <cell r="AY136">
            <v>31.308</v>
          </cell>
          <cell r="AZ136">
            <v>0</v>
          </cell>
          <cell r="BA136">
            <v>1.3230000000000004</v>
          </cell>
          <cell r="BB136">
            <v>0</v>
          </cell>
          <cell r="BC136">
            <v>0</v>
          </cell>
          <cell r="BD136" t="e">
            <v>#REF!</v>
          </cell>
          <cell r="BE136">
            <v>19.882999999999999</v>
          </cell>
          <cell r="BF136" t="e">
            <v>#REF!</v>
          </cell>
          <cell r="BG136">
            <v>-2.7040000000000002</v>
          </cell>
          <cell r="BH136">
            <v>-17.524000000000001</v>
          </cell>
          <cell r="BI136">
            <v>-1.3430000000000004</v>
          </cell>
          <cell r="BJ136">
            <v>3.0760000000000001</v>
          </cell>
          <cell r="BK136">
            <v>-18.495000000000001</v>
          </cell>
          <cell r="BL136">
            <v>-2.7730000000000001</v>
          </cell>
          <cell r="BM136">
            <v>-9.4939999999999998</v>
          </cell>
          <cell r="BN136">
            <v>4.6289999999999996</v>
          </cell>
          <cell r="BO136">
            <v>-3.0359999999999991</v>
          </cell>
          <cell r="BP136">
            <v>-10.673999999999999</v>
          </cell>
          <cell r="BQ136">
            <v>-2.923</v>
          </cell>
          <cell r="BR136">
            <v>5.7029999999999994</v>
          </cell>
          <cell r="BS136">
            <v>2.6110000000000007</v>
          </cell>
          <cell r="BT136">
            <v>9.1189999999999998</v>
          </cell>
          <cell r="BU136">
            <v>14.51</v>
          </cell>
          <cell r="BV136">
            <v>3.677</v>
          </cell>
          <cell r="BW136">
            <v>3.9709999999999996</v>
          </cell>
          <cell r="BX136">
            <v>-3.4009999999999998</v>
          </cell>
          <cell r="BY136">
            <v>7.343</v>
          </cell>
          <cell r="BZ136">
            <v>11.59</v>
          </cell>
          <cell r="CA136">
            <v>6.0780000000000003</v>
          </cell>
          <cell r="CB136">
            <v>-15.099</v>
          </cell>
          <cell r="CC136">
            <v>1.0860000000000012</v>
          </cell>
          <cell r="CD136">
            <v>2.1769999999999996</v>
          </cell>
          <cell r="CE136">
            <v>-5.758</v>
          </cell>
          <cell r="CF136">
            <v>5.6959999999999997</v>
          </cell>
          <cell r="CG136">
            <v>-17.254999999999999</v>
          </cell>
          <cell r="CH136">
            <v>-16.701000000000001</v>
          </cell>
          <cell r="CI136">
            <v>-7.0489999999999977</v>
          </cell>
          <cell r="CJ136">
            <v>-35.308999999999997</v>
          </cell>
          <cell r="CK136">
            <v>0.78200000000000003</v>
          </cell>
          <cell r="CL136">
            <v>-2.5649999999999999</v>
          </cell>
          <cell r="CM136">
            <v>-16.939999999999998</v>
          </cell>
          <cell r="CN136">
            <v>0</v>
          </cell>
          <cell r="CO136">
            <v>-18.722999999999999</v>
          </cell>
          <cell r="CP136">
            <v>0</v>
          </cell>
          <cell r="CQ136">
            <v>0</v>
          </cell>
          <cell r="CR136">
            <v>0</v>
          </cell>
          <cell r="CS136">
            <v>0</v>
          </cell>
          <cell r="CT136">
            <v>0</v>
          </cell>
          <cell r="CU136">
            <v>0</v>
          </cell>
          <cell r="CV136">
            <v>0</v>
          </cell>
          <cell r="CW136">
            <v>0</v>
          </cell>
          <cell r="CX136">
            <v>0</v>
          </cell>
          <cell r="CY136">
            <v>0</v>
          </cell>
          <cell r="CZ136">
            <v>0</v>
          </cell>
          <cell r="DA136">
            <v>0</v>
          </cell>
          <cell r="DB136">
            <v>0</v>
          </cell>
          <cell r="DC136">
            <v>0</v>
          </cell>
          <cell r="DD136">
            <v>0</v>
          </cell>
          <cell r="DE136">
            <v>0</v>
          </cell>
          <cell r="DF136">
            <v>0</v>
          </cell>
          <cell r="DG136">
            <v>0</v>
          </cell>
          <cell r="DH136">
            <v>0</v>
          </cell>
          <cell r="DI136">
            <v>0</v>
          </cell>
          <cell r="DU136" t="str">
            <v>mstag:netDecreaseInInvestmentsNonOperating</v>
          </cell>
          <cell r="DV136">
            <v>6</v>
          </cell>
          <cell r="DW136" t="str">
            <v>ISO4217:USD</v>
          </cell>
          <cell r="DX136" t="b">
            <v>0</v>
          </cell>
        </row>
        <row r="137">
          <cell r="B137" t="str">
            <v>Other</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32</v>
          </cell>
          <cell r="AE137">
            <v>0</v>
          </cell>
          <cell r="AF137">
            <v>32</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cell r="BV137">
            <v>0</v>
          </cell>
          <cell r="BW137">
            <v>0</v>
          </cell>
          <cell r="BX137">
            <v>0</v>
          </cell>
          <cell r="BY137">
            <v>-36.527000000000001</v>
          </cell>
          <cell r="BZ137">
            <v>-36.527000000000001</v>
          </cell>
          <cell r="CA137">
            <v>-35.129999999999995</v>
          </cell>
          <cell r="CB137">
            <v>-64.564999999999969</v>
          </cell>
          <cell r="CC137">
            <v>107.02400000000003</v>
          </cell>
          <cell r="CD137">
            <v>-24.172000000000139</v>
          </cell>
          <cell r="CE137">
            <v>-16.843000000000075</v>
          </cell>
          <cell r="CF137">
            <v>-74.586000000000013</v>
          </cell>
          <cell r="CG137">
            <v>-8.4129999999998972</v>
          </cell>
          <cell r="CH137">
            <v>102.8549999999999</v>
          </cell>
          <cell r="CI137">
            <v>-84.038000000000011</v>
          </cell>
          <cell r="CJ137">
            <v>-64.182000000000016</v>
          </cell>
          <cell r="CK137">
            <v>81.485000000000014</v>
          </cell>
          <cell r="CL137">
            <v>-77.103000000000065</v>
          </cell>
          <cell r="CM137">
            <v>-23.350000000000023</v>
          </cell>
          <cell r="CN137">
            <v>0</v>
          </cell>
          <cell r="CO137">
            <v>-18.968000000000075</v>
          </cell>
          <cell r="CP137">
            <v>0</v>
          </cell>
          <cell r="CQ137">
            <v>0</v>
          </cell>
          <cell r="CR137">
            <v>0</v>
          </cell>
          <cell r="CS137">
            <v>0</v>
          </cell>
          <cell r="CT137">
            <v>0</v>
          </cell>
          <cell r="CU137">
            <v>0</v>
          </cell>
          <cell r="CV137">
            <v>0</v>
          </cell>
          <cell r="CW137">
            <v>0</v>
          </cell>
          <cell r="CX137">
            <v>0</v>
          </cell>
          <cell r="CY137">
            <v>0</v>
          </cell>
          <cell r="CZ137">
            <v>0</v>
          </cell>
          <cell r="DA137">
            <v>0</v>
          </cell>
          <cell r="DB137">
            <v>0</v>
          </cell>
          <cell r="DC137">
            <v>0</v>
          </cell>
          <cell r="DD137">
            <v>0</v>
          </cell>
          <cell r="DE137">
            <v>0</v>
          </cell>
          <cell r="DF137">
            <v>0</v>
          </cell>
          <cell r="DG137">
            <v>0</v>
          </cell>
          <cell r="DH137">
            <v>0</v>
          </cell>
          <cell r="DI137">
            <v>0</v>
          </cell>
          <cell r="DU137" t="str">
            <v>mstag:netDecreaseInInvestmentsNonOperating</v>
          </cell>
          <cell r="DV137">
            <v>6</v>
          </cell>
          <cell r="DW137" t="str">
            <v>ISO4217:USD</v>
          </cell>
          <cell r="DX137" t="b">
            <v>0</v>
          </cell>
        </row>
        <row r="138">
          <cell r="B138" t="str">
            <v>Cash Flow from Investing</v>
          </cell>
          <cell r="F138">
            <v>-11.638</v>
          </cell>
          <cell r="G138">
            <v>-33.058999999999997</v>
          </cell>
          <cell r="H138">
            <v>-18.612000000000002</v>
          </cell>
          <cell r="I138">
            <v>-96.840999999999994</v>
          </cell>
          <cell r="J138">
            <v>-140.851</v>
          </cell>
          <cell r="K138">
            <v>-110.428</v>
          </cell>
          <cell r="L138">
            <v>-233.36800000000002</v>
          </cell>
          <cell r="M138">
            <v>-45.02</v>
          </cell>
          <cell r="N138">
            <v>-39.494999999999997</v>
          </cell>
          <cell r="O138">
            <v>-192.52800000000002</v>
          </cell>
          <cell r="P138">
            <v>-66.204999999999984</v>
          </cell>
          <cell r="Q138">
            <v>-343.24799999999999</v>
          </cell>
          <cell r="R138">
            <v>-28.513999999999999</v>
          </cell>
          <cell r="S138">
            <v>-27.78</v>
          </cell>
          <cell r="T138">
            <v>-86.426000000000002</v>
          </cell>
          <cell r="U138">
            <v>-108.17899999999996</v>
          </cell>
          <cell r="V138">
            <v>-250.899</v>
          </cell>
          <cell r="W138">
            <v>-13.728</v>
          </cell>
          <cell r="X138">
            <v>-37.08</v>
          </cell>
          <cell r="Y138">
            <v>-73.638999999999996</v>
          </cell>
          <cell r="Z138">
            <v>-46.563000000000002</v>
          </cell>
          <cell r="AA138">
            <v>-171.01000000000002</v>
          </cell>
          <cell r="AB138">
            <v>-167.05</v>
          </cell>
          <cell r="AC138">
            <v>-35.370999999999974</v>
          </cell>
          <cell r="AD138">
            <v>-74.207000000000022</v>
          </cell>
          <cell r="AE138">
            <v>-66.523999999999972</v>
          </cell>
          <cell r="AF138">
            <v>-343.15199999999999</v>
          </cell>
          <cell r="AG138">
            <v>-41.451000000000001</v>
          </cell>
          <cell r="AH138">
            <v>-61.643000000000008</v>
          </cell>
          <cell r="AI138">
            <v>-38.721999999999994</v>
          </cell>
          <cell r="AJ138">
            <v>-178.28800000000001</v>
          </cell>
          <cell r="AK138">
            <v>-320.10399999999998</v>
          </cell>
          <cell r="AL138">
            <v>-582.70800000000008</v>
          </cell>
          <cell r="AM138">
            <v>-75.103999999999914</v>
          </cell>
          <cell r="AN138">
            <v>-60.330000000000027</v>
          </cell>
          <cell r="AO138">
            <v>8.8420000000000449</v>
          </cell>
          <cell r="AP138">
            <v>-709.3</v>
          </cell>
          <cell r="AQ138">
            <v>-63.28</v>
          </cell>
          <cell r="AR138">
            <v>-386.71299999999997</v>
          </cell>
          <cell r="AS138">
            <v>-69.581000000000074</v>
          </cell>
          <cell r="AT138" t="e">
            <v>#REF!</v>
          </cell>
          <cell r="AU138" t="e">
            <v>#REF!</v>
          </cell>
          <cell r="AW138">
            <v>-75.103999999999914</v>
          </cell>
          <cell r="AX138">
            <v>-60.330000000000027</v>
          </cell>
          <cell r="AY138">
            <v>8.8420000000000449</v>
          </cell>
          <cell r="AZ138">
            <v>-63.28</v>
          </cell>
          <cell r="BA138">
            <v>-189.87199999999993</v>
          </cell>
          <cell r="BB138">
            <v>-386.71299999999997</v>
          </cell>
          <cell r="BC138">
            <v>-69.581000000000074</v>
          </cell>
          <cell r="BD138" t="e">
            <v>#REF!</v>
          </cell>
          <cell r="BE138">
            <v>-132.37899999999999</v>
          </cell>
          <cell r="BF138" t="e">
            <v>#REF!</v>
          </cell>
          <cell r="BG138">
            <v>-132.364</v>
          </cell>
          <cell r="BH138">
            <v>-243.69900000000001</v>
          </cell>
          <cell r="BI138">
            <v>-42.234999999999985</v>
          </cell>
          <cell r="BJ138">
            <v>-80.356000000000009</v>
          </cell>
          <cell r="BK138">
            <v>-498.65399999999988</v>
          </cell>
          <cell r="BL138">
            <v>-53.923000000000002</v>
          </cell>
          <cell r="BM138">
            <v>-118.57</v>
          </cell>
          <cell r="BN138">
            <v>7.9340000000000206</v>
          </cell>
          <cell r="BO138">
            <v>-52.967000000000048</v>
          </cell>
          <cell r="BP138">
            <v>-217.52599999999998</v>
          </cell>
          <cell r="BQ138">
            <v>-48.470000000000006</v>
          </cell>
          <cell r="BR138">
            <v>-33.847999999999999</v>
          </cell>
          <cell r="BS138">
            <v>-41.554999999999978</v>
          </cell>
          <cell r="BT138">
            <v>-52.444000000000017</v>
          </cell>
          <cell r="BU138">
            <v>-176.31700000000004</v>
          </cell>
          <cell r="BV138">
            <v>-60.781000000000013</v>
          </cell>
          <cell r="BW138">
            <v>-43.086999999999996</v>
          </cell>
          <cell r="BX138">
            <v>-46.547000000000011</v>
          </cell>
          <cell r="BY138">
            <v>-207.90100000000001</v>
          </cell>
          <cell r="BZ138">
            <v>-358.31600000000003</v>
          </cell>
          <cell r="CA138">
            <v>-70.766999999999996</v>
          </cell>
          <cell r="CB138">
            <v>-139.20499999999998</v>
          </cell>
          <cell r="CC138">
            <v>25.847000000000037</v>
          </cell>
          <cell r="CD138">
            <v>-209.85900000000018</v>
          </cell>
          <cell r="CE138">
            <v>-393.98400000000009</v>
          </cell>
          <cell r="CF138">
            <v>-119.91200000000001</v>
          </cell>
          <cell r="CG138">
            <v>-149.2419999999999</v>
          </cell>
          <cell r="CH138">
            <v>-508.86500000000001</v>
          </cell>
          <cell r="CI138">
            <v>-197.99200000000013</v>
          </cell>
          <cell r="CJ138">
            <v>-976.01099999999997</v>
          </cell>
          <cell r="CK138">
            <v>-79.35899999999998</v>
          </cell>
          <cell r="CL138">
            <v>-176.13100000000009</v>
          </cell>
          <cell r="CM138">
            <v>-132.77599999999998</v>
          </cell>
          <cell r="CN138">
            <v>-75</v>
          </cell>
          <cell r="CO138">
            <v>-463.26600000000008</v>
          </cell>
          <cell r="CP138">
            <v>-50.167574874380378</v>
          </cell>
          <cell r="CQ138">
            <v>-100.33514974876076</v>
          </cell>
          <cell r="CR138">
            <v>-100.33514974876076</v>
          </cell>
          <cell r="CS138">
            <v>-100.33514974876076</v>
          </cell>
          <cell r="CT138">
            <v>-351.17302412066266</v>
          </cell>
          <cell r="CU138">
            <v>-90.436935899596975</v>
          </cell>
          <cell r="CV138">
            <v>-89.05100462196225</v>
          </cell>
          <cell r="CW138">
            <v>-88.057938959901946</v>
          </cell>
          <cell r="CX138">
            <v>-90.304229984626843</v>
          </cell>
          <cell r="CY138">
            <v>-357.85010946608799</v>
          </cell>
          <cell r="CZ138">
            <v>-94.05585343354501</v>
          </cell>
          <cell r="DA138">
            <v>-92.494944145114772</v>
          </cell>
          <cell r="DB138">
            <v>-91.537327470030505</v>
          </cell>
          <cell r="DC138">
            <v>-94.066099312978949</v>
          </cell>
          <cell r="DD138">
            <v>-372.15422436166926</v>
          </cell>
          <cell r="DE138">
            <v>-98.247815780490896</v>
          </cell>
          <cell r="DF138">
            <v>-96.394845319939535</v>
          </cell>
          <cell r="DG138">
            <v>-95.454008851547727</v>
          </cell>
          <cell r="DH138">
            <v>-97.856814301555261</v>
          </cell>
          <cell r="DI138">
            <v>-387.95348425353336</v>
          </cell>
        </row>
        <row r="140">
          <cell r="B140" t="str">
            <v>Proceeds from long-term borrowings</v>
          </cell>
          <cell r="F140">
            <v>43.463999999999999</v>
          </cell>
          <cell r="G140">
            <v>20.244</v>
          </cell>
          <cell r="H140">
            <v>7.1180000000000003</v>
          </cell>
          <cell r="I140">
            <v>1.097</v>
          </cell>
          <cell r="J140">
            <v>0.70799999999999996</v>
          </cell>
          <cell r="K140">
            <v>0.52</v>
          </cell>
          <cell r="L140">
            <v>80.995999999999995</v>
          </cell>
          <cell r="M140">
            <v>0.13300000000000001</v>
          </cell>
          <cell r="N140">
            <v>0.21000000000000002</v>
          </cell>
          <cell r="O140">
            <v>155.88899999999998</v>
          </cell>
          <cell r="P140">
            <v>93.413000000000039</v>
          </cell>
          <cell r="Q140">
            <v>249.64500000000001</v>
          </cell>
          <cell r="R140">
            <v>47.405000000000001</v>
          </cell>
          <cell r="S140">
            <v>0.40500000000000114</v>
          </cell>
          <cell r="T140">
            <v>55.403999999999996</v>
          </cell>
          <cell r="U140">
            <v>343.90300000000002</v>
          </cell>
          <cell r="V140">
            <v>447.11700000000002</v>
          </cell>
          <cell r="W140">
            <v>2.673</v>
          </cell>
          <cell r="X140">
            <v>2.641</v>
          </cell>
          <cell r="Y140">
            <v>22.643999999999998</v>
          </cell>
          <cell r="Z140">
            <v>7.6330000000000027</v>
          </cell>
          <cell r="AA140">
            <v>35.591000000000001</v>
          </cell>
          <cell r="AB140">
            <v>172.63900000000001</v>
          </cell>
          <cell r="AC140">
            <v>279.57299999999998</v>
          </cell>
          <cell r="AD140">
            <v>3.2450000000000045</v>
          </cell>
          <cell r="AE140">
            <v>23.857000000000028</v>
          </cell>
          <cell r="AF140">
            <v>479.31400000000002</v>
          </cell>
          <cell r="AG140">
            <v>3.2389999999999999</v>
          </cell>
          <cell r="AH140">
            <v>3.2519999999999998</v>
          </cell>
          <cell r="AI140">
            <v>3.2910000000000004</v>
          </cell>
          <cell r="AJ140">
            <v>566.02299999999991</v>
          </cell>
          <cell r="AK140">
            <v>575.80499999999995</v>
          </cell>
          <cell r="AL140">
            <v>278.185</v>
          </cell>
          <cell r="AM140">
            <v>3.1469999999999914</v>
          </cell>
          <cell r="AN140">
            <v>2.6150000000000091</v>
          </cell>
          <cell r="AO140">
            <v>4.9889999999999759</v>
          </cell>
          <cell r="AP140">
            <v>288.93599999999998</v>
          </cell>
          <cell r="AQ140">
            <v>5.2469999999999999</v>
          </cell>
          <cell r="AR140">
            <v>181.71300000000002</v>
          </cell>
          <cell r="AS140">
            <v>-1.4210854715202004E-14</v>
          </cell>
          <cell r="AT140">
            <v>25.22499999999998</v>
          </cell>
          <cell r="AU140">
            <v>212.185</v>
          </cell>
          <cell r="AW140">
            <v>3.1469999999999914</v>
          </cell>
          <cell r="AX140">
            <v>2.6150000000000091</v>
          </cell>
          <cell r="AY140">
            <v>4.9889999999999759</v>
          </cell>
          <cell r="AZ140">
            <v>5.2469999999999999</v>
          </cell>
          <cell r="BA140">
            <v>15.997999999999976</v>
          </cell>
          <cell r="BB140">
            <v>181.71300000000002</v>
          </cell>
          <cell r="BC140">
            <v>-1.4210854715202004E-14</v>
          </cell>
          <cell r="BD140">
            <v>25.22499999999998</v>
          </cell>
          <cell r="BE140">
            <v>195</v>
          </cell>
          <cell r="BF140">
            <v>401.93799999999999</v>
          </cell>
          <cell r="BG140">
            <v>285</v>
          </cell>
          <cell r="BH140">
            <v>546.70699999999999</v>
          </cell>
          <cell r="BI140">
            <v>0.71600000000000819</v>
          </cell>
          <cell r="BJ140">
            <v>34.524999999999977</v>
          </cell>
          <cell r="BK140">
            <v>866.94799999999998</v>
          </cell>
          <cell r="BL140">
            <v>2706.598</v>
          </cell>
          <cell r="BM140">
            <v>0.13700000000017099</v>
          </cell>
          <cell r="BN140">
            <v>0.87300000000004729</v>
          </cell>
          <cell r="BO140">
            <v>0</v>
          </cell>
          <cell r="BP140">
            <v>2707.6080000000002</v>
          </cell>
          <cell r="BQ140">
            <v>0</v>
          </cell>
          <cell r="BR140">
            <v>244.452</v>
          </cell>
          <cell r="BS140">
            <v>1.9000000000005457E-2</v>
          </cell>
          <cell r="BT140">
            <v>0</v>
          </cell>
          <cell r="BU140">
            <v>244.471</v>
          </cell>
          <cell r="BV140">
            <v>0</v>
          </cell>
          <cell r="BW140">
            <v>0</v>
          </cell>
          <cell r="BX140">
            <v>0</v>
          </cell>
          <cell r="BY140">
            <v>38</v>
          </cell>
          <cell r="BZ140">
            <v>38</v>
          </cell>
          <cell r="CA140">
            <v>0</v>
          </cell>
          <cell r="CB140">
            <v>0</v>
          </cell>
          <cell r="CC140">
            <v>0</v>
          </cell>
          <cell r="CD140">
            <v>0</v>
          </cell>
          <cell r="CE140">
            <v>0</v>
          </cell>
          <cell r="CF140">
            <v>0</v>
          </cell>
          <cell r="CG140">
            <v>0</v>
          </cell>
          <cell r="CH140">
            <v>370.7</v>
          </cell>
          <cell r="CI140">
            <v>2986.27</v>
          </cell>
          <cell r="CJ140">
            <v>3356.97</v>
          </cell>
          <cell r="CK140">
            <v>0</v>
          </cell>
          <cell r="CL140">
            <v>17</v>
          </cell>
          <cell r="CM140">
            <v>0</v>
          </cell>
          <cell r="CN140">
            <v>0</v>
          </cell>
          <cell r="CO140">
            <v>17</v>
          </cell>
          <cell r="CP140">
            <v>0</v>
          </cell>
          <cell r="CQ140">
            <v>0</v>
          </cell>
          <cell r="CR140">
            <v>0</v>
          </cell>
          <cell r="CS140">
            <v>0</v>
          </cell>
          <cell r="CT140">
            <v>0</v>
          </cell>
          <cell r="CU140">
            <v>0</v>
          </cell>
          <cell r="CV140">
            <v>0</v>
          </cell>
          <cell r="CW140">
            <v>0</v>
          </cell>
          <cell r="CX140">
            <v>0</v>
          </cell>
          <cell r="CY140">
            <v>0</v>
          </cell>
          <cell r="CZ140">
            <v>0</v>
          </cell>
          <cell r="DA140">
            <v>0</v>
          </cell>
          <cell r="DB140">
            <v>0</v>
          </cell>
          <cell r="DC140">
            <v>0</v>
          </cell>
          <cell r="DD140">
            <v>0</v>
          </cell>
          <cell r="DE140">
            <v>0</v>
          </cell>
          <cell r="DF140">
            <v>0</v>
          </cell>
          <cell r="DG140">
            <v>0</v>
          </cell>
          <cell r="DH140">
            <v>0</v>
          </cell>
          <cell r="DI140">
            <v>0</v>
          </cell>
          <cell r="DU140" t="str">
            <v>mstag:proceedsFromIssuanceAndCashUsedToRepayLongTermDebt</v>
          </cell>
          <cell r="DV140">
            <v>6</v>
          </cell>
          <cell r="DW140" t="str">
            <v>ISO4217:USD</v>
          </cell>
          <cell r="DX140" t="b">
            <v>0</v>
          </cell>
        </row>
        <row r="141">
          <cell r="B141" t="str">
            <v>Principal payments on debt/cap leases</v>
          </cell>
          <cell r="F141">
            <v>-89</v>
          </cell>
          <cell r="G141">
            <v>-4.9370000000000003</v>
          </cell>
          <cell r="H141">
            <v>-10.239000000000001</v>
          </cell>
          <cell r="I141">
            <v>-14.044</v>
          </cell>
          <cell r="J141">
            <v>-7.1870000000000003</v>
          </cell>
          <cell r="K141">
            <v>-20.620999999999999</v>
          </cell>
          <cell r="L141">
            <v>-39.85</v>
          </cell>
          <cell r="M141">
            <v>-7.7610000000000001</v>
          </cell>
          <cell r="N141">
            <v>-2.12</v>
          </cell>
          <cell r="O141">
            <v>-4.2540000000000004</v>
          </cell>
          <cell r="P141">
            <v>-3.0939999999999968</v>
          </cell>
          <cell r="Q141">
            <v>-17.228999999999999</v>
          </cell>
          <cell r="R141">
            <v>-2.282</v>
          </cell>
          <cell r="S141">
            <v>-9.1669999999999998</v>
          </cell>
          <cell r="T141">
            <v>-39.475999999999999</v>
          </cell>
          <cell r="U141">
            <v>-291.84900000000005</v>
          </cell>
          <cell r="V141">
            <v>-342.77400000000006</v>
          </cell>
          <cell r="W141">
            <v>-31.640999999999998</v>
          </cell>
          <cell r="X141">
            <v>-31.801000000000002</v>
          </cell>
          <cell r="Y141">
            <v>-39.463000000000001</v>
          </cell>
          <cell r="Z141">
            <v>-26.193000000000019</v>
          </cell>
          <cell r="AA141">
            <v>-129.09800000000001</v>
          </cell>
          <cell r="AB141">
            <v>-2.09</v>
          </cell>
          <cell r="AC141">
            <v>-251.304</v>
          </cell>
          <cell r="AD141">
            <v>-7.8510000000000026</v>
          </cell>
          <cell r="AE141">
            <v>-2.2370000000000267</v>
          </cell>
          <cell r="AF141">
            <v>-263.48200000000003</v>
          </cell>
          <cell r="AG141">
            <v>-1.4</v>
          </cell>
          <cell r="AH141">
            <v>-2.097</v>
          </cell>
          <cell r="AI141">
            <v>-3.472</v>
          </cell>
          <cell r="AJ141">
            <v>-311.34900000000005</v>
          </cell>
          <cell r="AK141">
            <v>-318.31800000000004</v>
          </cell>
          <cell r="AL141">
            <v>-77.418000000000006</v>
          </cell>
          <cell r="AM141">
            <v>-26.307999999999993</v>
          </cell>
          <cell r="AN141">
            <v>-82.021999999999991</v>
          </cell>
          <cell r="AO141">
            <v>-102.48200000000003</v>
          </cell>
          <cell r="AP141">
            <v>-288.23</v>
          </cell>
          <cell r="AQ141">
            <v>-2.976</v>
          </cell>
          <cell r="AR141">
            <v>-15</v>
          </cell>
          <cell r="AS141">
            <v>-89.921999999999997</v>
          </cell>
          <cell r="AT141">
            <v>-58.849000000000018</v>
          </cell>
          <cell r="AU141">
            <v>-166.74700000000001</v>
          </cell>
          <cell r="AW141">
            <v>-26.307999999999993</v>
          </cell>
          <cell r="AX141">
            <v>-82.021999999999991</v>
          </cell>
          <cell r="AY141">
            <v>-102.48200000000003</v>
          </cell>
          <cell r="AZ141">
            <v>-2.976</v>
          </cell>
          <cell r="BA141">
            <v>-213.78800000000001</v>
          </cell>
          <cell r="BB141">
            <v>-15</v>
          </cell>
          <cell r="BC141">
            <v>-89.921999999999997</v>
          </cell>
          <cell r="BD141">
            <v>-58.849000000000018</v>
          </cell>
          <cell r="BE141">
            <v>-1.1719999999999999</v>
          </cell>
          <cell r="BF141">
            <v>-164.94300000000001</v>
          </cell>
          <cell r="BG141">
            <v>-279.01</v>
          </cell>
          <cell r="BH141">
            <v>-405.88300000000004</v>
          </cell>
          <cell r="BI141">
            <v>-39.107999999999947</v>
          </cell>
          <cell r="BJ141">
            <v>-19.47199999999998</v>
          </cell>
          <cell r="BK141">
            <v>-743.47299999999996</v>
          </cell>
          <cell r="BL141">
            <v>-300.47399999999999</v>
          </cell>
          <cell r="BM141">
            <v>-13.302999999999997</v>
          </cell>
          <cell r="BN141">
            <v>-11.725999999999999</v>
          </cell>
          <cell r="BO141">
            <v>-19.084000000000003</v>
          </cell>
          <cell r="BP141">
            <v>-344.58699999999999</v>
          </cell>
          <cell r="BQ141">
            <v>-62.094999999999999</v>
          </cell>
          <cell r="BR141">
            <v>-376.10199999999998</v>
          </cell>
          <cell r="BS141">
            <v>-294.09699999999998</v>
          </cell>
          <cell r="BT141">
            <v>-34.636000000000109</v>
          </cell>
          <cell r="BU141">
            <v>-766.93000000000006</v>
          </cell>
          <cell r="BV141">
            <v>-29.108000000000001</v>
          </cell>
          <cell r="BW141">
            <v>-38.896000000000001</v>
          </cell>
          <cell r="BX141">
            <v>-10.837999999999997</v>
          </cell>
          <cell r="BY141">
            <v>-48.376000000000005</v>
          </cell>
          <cell r="BZ141">
            <v>-127.218</v>
          </cell>
          <cell r="CA141">
            <v>-9.4450000000000003</v>
          </cell>
          <cell r="CB141">
            <v>-10.547000000000001</v>
          </cell>
          <cell r="CC141">
            <v>-10.361000000000001</v>
          </cell>
          <cell r="CD141">
            <v>-9.7939999999999969</v>
          </cell>
          <cell r="CE141">
            <v>-40.146999999999998</v>
          </cell>
          <cell r="CF141">
            <v>-9.0180000000000007</v>
          </cell>
          <cell r="CG141">
            <v>-10.722999999999999</v>
          </cell>
          <cell r="CH141">
            <v>-14.305999999999997</v>
          </cell>
          <cell r="CI141">
            <v>-2835.3330000000001</v>
          </cell>
          <cell r="CJ141">
            <v>-2869.38</v>
          </cell>
          <cell r="CK141">
            <v>-20.798999999999999</v>
          </cell>
          <cell r="CL141">
            <v>-40.273000000000003</v>
          </cell>
          <cell r="CM141">
            <v>-27.491</v>
          </cell>
          <cell r="CN141">
            <v>-15.522750000000016</v>
          </cell>
          <cell r="CO141">
            <v>-104.08575000000002</v>
          </cell>
          <cell r="CP141">
            <v>-15.522750000000016</v>
          </cell>
          <cell r="CQ141">
            <v>-15.522750000000016</v>
          </cell>
          <cell r="CR141">
            <v>-15.522750000000016</v>
          </cell>
          <cell r="CS141">
            <v>-15.522750000000016</v>
          </cell>
          <cell r="CT141">
            <v>-62.091000000000065</v>
          </cell>
          <cell r="CU141">
            <v>-15.522750000000016</v>
          </cell>
          <cell r="CV141">
            <v>-15.522750000000016</v>
          </cell>
          <cell r="CW141">
            <v>-15.522750000000016</v>
          </cell>
          <cell r="CX141">
            <v>-15.522750000000016</v>
          </cell>
          <cell r="CY141">
            <v>-62.091000000000065</v>
          </cell>
          <cell r="CZ141">
            <v>-16.022750000000016</v>
          </cell>
          <cell r="DA141">
            <v>-16.022750000000016</v>
          </cell>
          <cell r="DB141">
            <v>-16.022750000000016</v>
          </cell>
          <cell r="DC141">
            <v>-16.022750000000016</v>
          </cell>
          <cell r="DD141">
            <v>-64.091000000000065</v>
          </cell>
          <cell r="DE141">
            <v>-16.022750000000016</v>
          </cell>
          <cell r="DF141">
            <v>-16.022750000000016</v>
          </cell>
          <cell r="DG141">
            <v>-16.022750000000016</v>
          </cell>
          <cell r="DH141">
            <v>-16.022750000000016</v>
          </cell>
          <cell r="DI141">
            <v>-64.091000000000065</v>
          </cell>
          <cell r="DU141" t="str">
            <v>mstag:proceedsFromIssuanceAndCashUsedToRepayLongTermDebt</v>
          </cell>
          <cell r="DV141">
            <v>6</v>
          </cell>
          <cell r="DW141" t="str">
            <v>ISO4217:USD</v>
          </cell>
          <cell r="DX141" t="b">
            <v>0</v>
          </cell>
        </row>
        <row r="142">
          <cell r="B142" t="str">
            <v>Proceeds from issuance of common stock, net</v>
          </cell>
          <cell r="F142">
            <v>36.799999999999997</v>
          </cell>
          <cell r="G142">
            <v>25.07</v>
          </cell>
          <cell r="H142">
            <v>10.744</v>
          </cell>
          <cell r="I142">
            <v>1.6910000000000001</v>
          </cell>
          <cell r="J142">
            <v>9.468</v>
          </cell>
          <cell r="K142">
            <v>34.158999999999999</v>
          </cell>
          <cell r="L142">
            <v>20.706</v>
          </cell>
          <cell r="M142">
            <v>2.5640000000000001</v>
          </cell>
          <cell r="N142">
            <v>0.28500000000000014</v>
          </cell>
          <cell r="O142">
            <v>0.2849999999999997</v>
          </cell>
          <cell r="P142">
            <v>8.8650000000000002</v>
          </cell>
          <cell r="Q142">
            <v>11.999000000000001</v>
          </cell>
          <cell r="R142">
            <v>5.3999999999999999E-2</v>
          </cell>
          <cell r="S142">
            <v>5.3999999999999999E-2</v>
          </cell>
          <cell r="T142">
            <v>9.8049999999999997</v>
          </cell>
          <cell r="U142">
            <v>4.3620000000000001</v>
          </cell>
          <cell r="V142">
            <v>14.275</v>
          </cell>
          <cell r="W142">
            <v>5.1120000000000001</v>
          </cell>
          <cell r="X142">
            <v>14.055999999999999</v>
          </cell>
          <cell r="Y142">
            <v>1.2379999999999995</v>
          </cell>
          <cell r="Z142">
            <v>10.979000000000001</v>
          </cell>
          <cell r="AA142">
            <v>31.384999999999998</v>
          </cell>
          <cell r="AB142">
            <v>3.0110000000000001</v>
          </cell>
          <cell r="AC142">
            <v>1.1159999999999997</v>
          </cell>
          <cell r="AD142">
            <v>1.2949999999999999</v>
          </cell>
          <cell r="AE142">
            <v>9.2370000000000019</v>
          </cell>
          <cell r="AF142">
            <v>14.659000000000002</v>
          </cell>
          <cell r="AG142">
            <v>0.31900000000000001</v>
          </cell>
          <cell r="AH142">
            <v>0</v>
          </cell>
          <cell r="AI142">
            <v>12.093999999999999</v>
          </cell>
          <cell r="AJ142">
            <v>8.8509999999999991</v>
          </cell>
          <cell r="AK142">
            <v>21.263999999999999</v>
          </cell>
          <cell r="AL142">
            <v>17.640999999999998</v>
          </cell>
          <cell r="AM142">
            <v>3.1480000000000032</v>
          </cell>
          <cell r="AN142">
            <v>5.472999999999999</v>
          </cell>
          <cell r="AO142">
            <v>1.1269999999999989</v>
          </cell>
          <cell r="AP142">
            <v>27.388999999999999</v>
          </cell>
          <cell r="AQ142">
            <v>6.4039999999999999</v>
          </cell>
          <cell r="AR142">
            <v>31.122000000000003</v>
          </cell>
          <cell r="AS142">
            <v>12.131999999999998</v>
          </cell>
          <cell r="AT142">
            <v>13.098999999999997</v>
          </cell>
          <cell r="AU142">
            <v>62.756999999999998</v>
          </cell>
          <cell r="AW142">
            <v>3.1480000000000032</v>
          </cell>
          <cell r="AX142">
            <v>5.472999999999999</v>
          </cell>
          <cell r="AY142">
            <v>1.1269999999999989</v>
          </cell>
          <cell r="AZ142">
            <v>6.4039999999999999</v>
          </cell>
          <cell r="BA142">
            <v>16.152000000000001</v>
          </cell>
          <cell r="BB142">
            <v>31.122000000000003</v>
          </cell>
          <cell r="BC142">
            <v>12.131999999999998</v>
          </cell>
          <cell r="BD142">
            <v>13.098999999999997</v>
          </cell>
          <cell r="BE142">
            <v>31.587</v>
          </cell>
          <cell r="BF142">
            <v>87.94</v>
          </cell>
          <cell r="BG142">
            <v>1.708</v>
          </cell>
          <cell r="BH142">
            <v>3.492</v>
          </cell>
          <cell r="BI142">
            <v>16.82</v>
          </cell>
          <cell r="BJ142">
            <v>0.43100000000000027</v>
          </cell>
          <cell r="BK142">
            <v>22.451000000000001</v>
          </cell>
          <cell r="BL142">
            <v>23.018999999999998</v>
          </cell>
          <cell r="BM142">
            <v>1.7000000000000028</v>
          </cell>
          <cell r="BN142">
            <v>7.3999999999998067E-2</v>
          </cell>
          <cell r="BO142">
            <v>0</v>
          </cell>
          <cell r="BP142">
            <v>24.792999999999999</v>
          </cell>
          <cell r="BQ142">
            <v>0</v>
          </cell>
          <cell r="BR142">
            <v>0</v>
          </cell>
          <cell r="BS142">
            <v>0</v>
          </cell>
          <cell r="BT142">
            <v>0</v>
          </cell>
          <cell r="BU142">
            <v>0</v>
          </cell>
          <cell r="BV142">
            <v>0</v>
          </cell>
          <cell r="BW142">
            <v>0</v>
          </cell>
          <cell r="BX142">
            <v>8.4949999999999992</v>
          </cell>
          <cell r="BY142">
            <v>1.2040000000000006</v>
          </cell>
          <cell r="BZ142">
            <v>9.6989999999999998</v>
          </cell>
          <cell r="CA142">
            <v>3.5609999999999999</v>
          </cell>
          <cell r="CB142">
            <v>1.9009999999999998</v>
          </cell>
          <cell r="CC142">
            <v>0</v>
          </cell>
          <cell r="CD142">
            <v>2.0070000000000006</v>
          </cell>
          <cell r="CE142">
            <v>7.4690000000000003</v>
          </cell>
          <cell r="CF142">
            <v>5.5570000000000004</v>
          </cell>
          <cell r="CG142">
            <v>8.51</v>
          </cell>
          <cell r="CH142">
            <v>0</v>
          </cell>
          <cell r="CI142">
            <v>0</v>
          </cell>
          <cell r="CJ142">
            <v>14.067</v>
          </cell>
          <cell r="CK142">
            <v>0</v>
          </cell>
          <cell r="CL142">
            <v>0</v>
          </cell>
          <cell r="CO142">
            <v>0</v>
          </cell>
          <cell r="CT142">
            <v>0</v>
          </cell>
          <cell r="CY142">
            <v>0</v>
          </cell>
          <cell r="DD142">
            <v>0</v>
          </cell>
          <cell r="DI142">
            <v>0</v>
          </cell>
          <cell r="DU142" t="str">
            <v>mstag:proceedsFromIssuanceOfCommonStock</v>
          </cell>
          <cell r="DV142">
            <v>6</v>
          </cell>
          <cell r="DW142" t="str">
            <v>ISO4217:USD</v>
          </cell>
          <cell r="DX142" t="b">
            <v>0</v>
          </cell>
        </row>
        <row r="143">
          <cell r="B143" t="str">
            <v>Purchase of treasury stock, at cost</v>
          </cell>
          <cell r="F143">
            <v>0</v>
          </cell>
          <cell r="H143">
            <v>0</v>
          </cell>
          <cell r="I143">
            <v>0</v>
          </cell>
          <cell r="J143">
            <v>0</v>
          </cell>
          <cell r="K143">
            <v>0</v>
          </cell>
          <cell r="L143">
            <v>0</v>
          </cell>
          <cell r="M143">
            <v>-8.1010000000000009</v>
          </cell>
          <cell r="N143">
            <v>0</v>
          </cell>
          <cell r="O143">
            <v>0</v>
          </cell>
          <cell r="P143">
            <v>-60.991</v>
          </cell>
          <cell r="Q143">
            <v>-69.091999999999999</v>
          </cell>
          <cell r="R143">
            <v>-42.399000000000001</v>
          </cell>
          <cell r="S143">
            <v>0</v>
          </cell>
          <cell r="T143">
            <v>0</v>
          </cell>
          <cell r="U143">
            <v>0</v>
          </cell>
          <cell r="V143">
            <v>-42.399000000000001</v>
          </cell>
          <cell r="W143">
            <v>0</v>
          </cell>
          <cell r="X143">
            <v>0</v>
          </cell>
          <cell r="Y143">
            <v>0</v>
          </cell>
          <cell r="Z143">
            <v>-2.78</v>
          </cell>
          <cell r="AA143">
            <v>-2.78</v>
          </cell>
          <cell r="AB143">
            <v>-86.021000000000001</v>
          </cell>
          <cell r="AC143">
            <v>-40.872</v>
          </cell>
          <cell r="AD143">
            <v>0</v>
          </cell>
          <cell r="AE143">
            <v>-59.491999999999976</v>
          </cell>
          <cell r="AF143">
            <v>-186.38499999999999</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-61.823999999999998</v>
          </cell>
          <cell r="AU143">
            <v>-61.823999999999998</v>
          </cell>
          <cell r="AW143">
            <v>0</v>
          </cell>
          <cell r="AX143">
            <v>0</v>
          </cell>
          <cell r="AY143">
            <v>0</v>
          </cell>
          <cell r="AZ143">
            <v>0</v>
          </cell>
          <cell r="BA143">
            <v>0</v>
          </cell>
          <cell r="BB143">
            <v>0</v>
          </cell>
          <cell r="BC143">
            <v>0</v>
          </cell>
          <cell r="BD143">
            <v>-61.823999999999998</v>
          </cell>
          <cell r="BE143">
            <v>-159.833</v>
          </cell>
          <cell r="BF143">
            <v>-221.65699999999998</v>
          </cell>
          <cell r="BG143">
            <v>0</v>
          </cell>
          <cell r="BH143">
            <v>-1.181</v>
          </cell>
          <cell r="BI143">
            <v>-23.442999999999998</v>
          </cell>
          <cell r="BJ143">
            <v>-12.138000000000002</v>
          </cell>
          <cell r="BK143">
            <v>-36.762</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E143">
            <v>0</v>
          </cell>
          <cell r="CF143">
            <v>0</v>
          </cell>
          <cell r="CG143">
            <v>0</v>
          </cell>
          <cell r="CH143">
            <v>0</v>
          </cell>
          <cell r="CI143">
            <v>0</v>
          </cell>
          <cell r="CJ143">
            <v>0</v>
          </cell>
          <cell r="CK143">
            <v>0</v>
          </cell>
          <cell r="CL143">
            <v>0</v>
          </cell>
          <cell r="CO143">
            <v>0</v>
          </cell>
          <cell r="CT143">
            <v>0</v>
          </cell>
          <cell r="CY143">
            <v>0</v>
          </cell>
          <cell r="DD143">
            <v>0</v>
          </cell>
          <cell r="DI143">
            <v>0</v>
          </cell>
          <cell r="DU143" t="str">
            <v>mstag:fundsUsedToRepurchaseCommonStock</v>
          </cell>
          <cell r="DV143">
            <v>6</v>
          </cell>
          <cell r="DW143" t="str">
            <v>ISO4217:USD</v>
          </cell>
          <cell r="DX143" t="b">
            <v>1</v>
          </cell>
        </row>
        <row r="144">
          <cell r="B144" t="str">
            <v>Investments of minority partners</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W144">
            <v>0</v>
          </cell>
          <cell r="AX144">
            <v>0</v>
          </cell>
          <cell r="AY144">
            <v>0</v>
          </cell>
          <cell r="AZ144">
            <v>0</v>
          </cell>
          <cell r="BB144">
            <v>0</v>
          </cell>
          <cell r="BC144">
            <v>0</v>
          </cell>
          <cell r="BD144">
            <v>0</v>
          </cell>
          <cell r="BE144">
            <v>0</v>
          </cell>
          <cell r="BF144">
            <v>0</v>
          </cell>
          <cell r="BG144">
            <v>0</v>
          </cell>
          <cell r="BH144">
            <v>0</v>
          </cell>
          <cell r="BI144">
            <v>0</v>
          </cell>
          <cell r="BJ144">
            <v>0</v>
          </cell>
          <cell r="BK144">
            <v>0</v>
          </cell>
          <cell r="BL144">
            <v>7.6989999999999998</v>
          </cell>
          <cell r="BM144">
            <v>0.75699999999999967</v>
          </cell>
          <cell r="BN144">
            <v>-8.6999999999999744E-2</v>
          </cell>
          <cell r="BO144">
            <v>0</v>
          </cell>
          <cell r="BP144">
            <v>8.3689999999999998</v>
          </cell>
          <cell r="BQ144">
            <v>302.87799999999999</v>
          </cell>
          <cell r="BR144">
            <v>6.0000000000002274E-2</v>
          </cell>
          <cell r="BS144">
            <v>19.547000000000025</v>
          </cell>
          <cell r="BT144">
            <v>5.1699999999999591</v>
          </cell>
          <cell r="BU144">
            <v>327.65499999999997</v>
          </cell>
          <cell r="BV144">
            <v>2.63</v>
          </cell>
          <cell r="BW144">
            <v>7.3980000000000006</v>
          </cell>
          <cell r="BX144">
            <v>11.184000000000001</v>
          </cell>
          <cell r="BY144">
            <v>33.583999999999989</v>
          </cell>
          <cell r="BZ144">
            <v>54.795999999999992</v>
          </cell>
          <cell r="CA144">
            <v>2.5470000000000002</v>
          </cell>
          <cell r="CB144">
            <v>0</v>
          </cell>
          <cell r="CC144">
            <v>0</v>
          </cell>
          <cell r="CD144">
            <v>0</v>
          </cell>
          <cell r="CE144">
            <v>2.5470000000000002</v>
          </cell>
          <cell r="CF144">
            <v>0</v>
          </cell>
          <cell r="CG144">
            <v>0</v>
          </cell>
          <cell r="CH144">
            <v>0</v>
          </cell>
          <cell r="CI144">
            <v>0</v>
          </cell>
          <cell r="CJ144">
            <v>0</v>
          </cell>
          <cell r="CK144">
            <v>1.786</v>
          </cell>
          <cell r="CL144">
            <v>1.8050000000000002</v>
          </cell>
          <cell r="CM144">
            <v>0</v>
          </cell>
          <cell r="CN144">
            <v>0</v>
          </cell>
          <cell r="CO144">
            <v>3.5910000000000002</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U144" t="str">
            <v>mstag:netIncreaseInMinorityInterestsInShareholdersEquity</v>
          </cell>
          <cell r="DV144">
            <v>6</v>
          </cell>
          <cell r="DW144" t="str">
            <v>ISO4217:USD</v>
          </cell>
          <cell r="DX144" t="b">
            <v>0</v>
          </cell>
        </row>
        <row r="145">
          <cell r="B145" t="str">
            <v>Cash distributions to minority shareholders</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-0.66700000000000004</v>
          </cell>
          <cell r="AT145">
            <v>0</v>
          </cell>
          <cell r="AU145">
            <v>-0.66700000000000004</v>
          </cell>
          <cell r="AW145">
            <v>0</v>
          </cell>
          <cell r="AX145">
            <v>0</v>
          </cell>
          <cell r="AY145">
            <v>0</v>
          </cell>
          <cell r="AZ145">
            <v>0</v>
          </cell>
          <cell r="BA145">
            <v>0</v>
          </cell>
          <cell r="BB145">
            <v>0</v>
          </cell>
          <cell r="BC145">
            <v>-0.66700000000000004</v>
          </cell>
          <cell r="BD145">
            <v>0</v>
          </cell>
          <cell r="BE145">
            <v>0</v>
          </cell>
          <cell r="BF145">
            <v>-0.66700000000000004</v>
          </cell>
          <cell r="BG145">
            <v>-1.8959999999999999</v>
          </cell>
          <cell r="BH145">
            <v>0</v>
          </cell>
          <cell r="BI145">
            <v>0</v>
          </cell>
          <cell r="BJ145">
            <v>0.11999999999999988</v>
          </cell>
          <cell r="BK145">
            <v>-1.776</v>
          </cell>
          <cell r="BL145">
            <v>-0.124</v>
          </cell>
          <cell r="BM145">
            <v>-2.3729999999999998</v>
          </cell>
          <cell r="BN145">
            <v>-0.37700000000000033</v>
          </cell>
          <cell r="BO145">
            <v>-0.15099999999999991</v>
          </cell>
          <cell r="BP145">
            <v>-3.0249999999999999</v>
          </cell>
          <cell r="BQ145">
            <v>-1.8029999999999999</v>
          </cell>
          <cell r="BR145">
            <v>-0.48399999999999999</v>
          </cell>
          <cell r="BS145">
            <v>-0.60400000000000009</v>
          </cell>
          <cell r="BT145">
            <v>-1.3940000000000001</v>
          </cell>
          <cell r="BU145">
            <v>-4.2850000000000001</v>
          </cell>
          <cell r="BV145">
            <v>-12.695</v>
          </cell>
          <cell r="BW145">
            <v>-2.1829999999999998</v>
          </cell>
          <cell r="BX145">
            <v>-3.0060000000000002</v>
          </cell>
          <cell r="BY145">
            <v>-17.493000000000002</v>
          </cell>
          <cell r="BZ145">
            <v>-35.377000000000002</v>
          </cell>
          <cell r="CA145">
            <v>-5.407</v>
          </cell>
          <cell r="CB145">
            <v>-4.4589999999999996</v>
          </cell>
          <cell r="CC145">
            <v>-5.1120000000000001</v>
          </cell>
          <cell r="CD145">
            <v>-5.6519999999999992</v>
          </cell>
          <cell r="CE145">
            <v>-20.63</v>
          </cell>
          <cell r="CF145">
            <v>-4.5460000000000003</v>
          </cell>
          <cell r="CG145">
            <v>-11.739000000000001</v>
          </cell>
          <cell r="CH145">
            <v>-5.5429999999999984</v>
          </cell>
          <cell r="CI145">
            <v>-6.4559999999999986</v>
          </cell>
          <cell r="CJ145">
            <v>-28.283999999999999</v>
          </cell>
          <cell r="CK145">
            <v>-17.885999999999999</v>
          </cell>
          <cell r="CL145">
            <v>-5.3949999999999996</v>
          </cell>
          <cell r="CM145">
            <v>-7.5340000000000025</v>
          </cell>
          <cell r="CN145">
            <v>0</v>
          </cell>
          <cell r="CO145">
            <v>-30.815000000000001</v>
          </cell>
          <cell r="CP145">
            <v>-10</v>
          </cell>
          <cell r="CQ145">
            <v>-10</v>
          </cell>
          <cell r="CR145">
            <v>-10</v>
          </cell>
          <cell r="CS145">
            <v>-10</v>
          </cell>
          <cell r="CT145">
            <v>-40</v>
          </cell>
          <cell r="CU145">
            <v>-10</v>
          </cell>
          <cell r="CV145">
            <v>-10</v>
          </cell>
          <cell r="CW145">
            <v>-10</v>
          </cell>
          <cell r="CX145">
            <v>-10</v>
          </cell>
          <cell r="CY145">
            <v>-40</v>
          </cell>
          <cell r="CZ145">
            <v>-10</v>
          </cell>
          <cell r="DA145">
            <v>-10</v>
          </cell>
          <cell r="DB145">
            <v>-10</v>
          </cell>
          <cell r="DC145">
            <v>-10</v>
          </cell>
          <cell r="DD145">
            <v>-40</v>
          </cell>
          <cell r="DE145">
            <v>-10</v>
          </cell>
          <cell r="DF145">
            <v>-10</v>
          </cell>
          <cell r="DG145">
            <v>-10</v>
          </cell>
          <cell r="DH145">
            <v>-10</v>
          </cell>
          <cell r="DI145">
            <v>-40</v>
          </cell>
          <cell r="DU145" t="str">
            <v>mstag:netIncreaseInMinorityInterestsInShareholdersEquity</v>
          </cell>
          <cell r="DV145">
            <v>6</v>
          </cell>
          <cell r="DW145" t="str">
            <v>ISO4217:USD</v>
          </cell>
          <cell r="DX145" t="b">
            <v>0</v>
          </cell>
        </row>
        <row r="146">
          <cell r="B146" t="str">
            <v>Proceeds from sale of equity put options</v>
          </cell>
          <cell r="F146">
            <v>0</v>
          </cell>
          <cell r="H146">
            <v>0</v>
          </cell>
          <cell r="I146">
            <v>0</v>
          </cell>
          <cell r="J146">
            <v>0</v>
          </cell>
          <cell r="K146">
            <v>0</v>
          </cell>
          <cell r="L146">
            <v>2.09</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U146" t="str">
            <v>mstag:otherCashFlowsFromUsedInFinancingActivities</v>
          </cell>
          <cell r="DV146">
            <v>6</v>
          </cell>
          <cell r="DW146" t="str">
            <v>ISO4217:USD</v>
          </cell>
          <cell r="DX146" t="b">
            <v>0</v>
          </cell>
        </row>
        <row r="147">
          <cell r="B147" t="str">
            <v>Payment of interest on debentures</v>
          </cell>
          <cell r="F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-1.222</v>
          </cell>
          <cell r="AA147">
            <v>-1.222</v>
          </cell>
          <cell r="AB147">
            <v>0</v>
          </cell>
          <cell r="AC147">
            <v>0</v>
          </cell>
          <cell r="AD147">
            <v>0</v>
          </cell>
          <cell r="AE147">
            <v>-1.222</v>
          </cell>
          <cell r="AF147">
            <v>-1.222</v>
          </cell>
          <cell r="AG147">
            <v>0</v>
          </cell>
          <cell r="AH147">
            <v>0</v>
          </cell>
          <cell r="AI147">
            <v>0</v>
          </cell>
          <cell r="AJ147">
            <v>-1.222</v>
          </cell>
          <cell r="AK147">
            <v>-1.222</v>
          </cell>
          <cell r="AL147">
            <v>0</v>
          </cell>
          <cell r="AM147">
            <v>0</v>
          </cell>
          <cell r="AN147">
            <v>0</v>
          </cell>
          <cell r="AO147">
            <v>0</v>
          </cell>
          <cell r="AP147">
            <v>0</v>
          </cell>
          <cell r="AQ147">
            <v>0</v>
          </cell>
          <cell r="AR147">
            <v>0</v>
          </cell>
          <cell r="AS147">
            <v>0</v>
          </cell>
          <cell r="AT147">
            <v>0</v>
          </cell>
          <cell r="AU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0</v>
          </cell>
          <cell r="CR147">
            <v>0</v>
          </cell>
          <cell r="CS147">
            <v>0</v>
          </cell>
          <cell r="CT147">
            <v>0</v>
          </cell>
          <cell r="CU147">
            <v>0</v>
          </cell>
          <cell r="CV147">
            <v>0</v>
          </cell>
          <cell r="CW147">
            <v>0</v>
          </cell>
          <cell r="CX147">
            <v>0</v>
          </cell>
          <cell r="CY147">
            <v>0</v>
          </cell>
          <cell r="CZ147">
            <v>0</v>
          </cell>
          <cell r="DA147">
            <v>0</v>
          </cell>
          <cell r="DB147">
            <v>0</v>
          </cell>
          <cell r="DC147">
            <v>0</v>
          </cell>
          <cell r="DD147">
            <v>0</v>
          </cell>
          <cell r="DE147">
            <v>0</v>
          </cell>
          <cell r="DF147">
            <v>0</v>
          </cell>
          <cell r="DG147">
            <v>0</v>
          </cell>
          <cell r="DH147">
            <v>0</v>
          </cell>
          <cell r="DI147">
            <v>0</v>
          </cell>
          <cell r="DU147" t="str">
            <v>mstag:otherCashFlowsFromUsedInFinancingActivities</v>
          </cell>
          <cell r="DV147">
            <v>6</v>
          </cell>
          <cell r="DW147" t="str">
            <v>ISO4217:USD</v>
          </cell>
          <cell r="DX147" t="b">
            <v>0</v>
          </cell>
        </row>
        <row r="148">
          <cell r="B148" t="str">
            <v>Payment of financing costs</v>
          </cell>
          <cell r="F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-1.4650000000000001</v>
          </cell>
          <cell r="AR148">
            <v>0</v>
          </cell>
          <cell r="AS148">
            <v>-2.0359999999999996</v>
          </cell>
          <cell r="AT148">
            <v>2.9999999999994476E-3</v>
          </cell>
          <cell r="AU148">
            <v>-3.4980000000000002</v>
          </cell>
          <cell r="AW148">
            <v>0</v>
          </cell>
          <cell r="AX148">
            <v>0</v>
          </cell>
          <cell r="AY148">
            <v>0</v>
          </cell>
          <cell r="AZ148">
            <v>-1.4650000000000001</v>
          </cell>
          <cell r="BA148">
            <v>-1.4650000000000001</v>
          </cell>
          <cell r="BB148">
            <v>0</v>
          </cell>
          <cell r="BC148">
            <v>-2.0359999999999996</v>
          </cell>
          <cell r="BD148">
            <v>2.9999999999994476E-3</v>
          </cell>
          <cell r="BE148">
            <v>0</v>
          </cell>
          <cell r="BF148">
            <v>-2.0330000000000004</v>
          </cell>
          <cell r="BG148">
            <v>0</v>
          </cell>
          <cell r="BH148">
            <v>-0.49399999999999999</v>
          </cell>
          <cell r="BI148">
            <v>-2.9950000000000001</v>
          </cell>
          <cell r="BJ148">
            <v>-7.8999999999999959E-2</v>
          </cell>
          <cell r="BK148">
            <v>-3.5679999999999996</v>
          </cell>
          <cell r="BL148">
            <v>-1.855</v>
          </cell>
          <cell r="BM148">
            <v>-1.4220000000000002</v>
          </cell>
          <cell r="BN148">
            <v>0</v>
          </cell>
          <cell r="BO148">
            <v>0</v>
          </cell>
          <cell r="BP148">
            <v>-3.2770000000000001</v>
          </cell>
          <cell r="BQ148">
            <v>0</v>
          </cell>
          <cell r="BR148">
            <v>-8.7999999999999995E-2</v>
          </cell>
          <cell r="BS148">
            <v>-0.26200000000000001</v>
          </cell>
          <cell r="BT148">
            <v>2.7755575615628914E-17</v>
          </cell>
          <cell r="BU148">
            <v>-0.35</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U148" t="str">
            <v>mstag:otherCashFlowsFromUsedInFinancingActivities</v>
          </cell>
          <cell r="DV148">
            <v>6</v>
          </cell>
          <cell r="DW148" t="str">
            <v>ISO4217:USD</v>
          </cell>
          <cell r="DX148" t="b">
            <v>0</v>
          </cell>
        </row>
        <row r="149">
          <cell r="B149" t="str">
            <v>Decrease (increase) in funds held by trustee</v>
          </cell>
          <cell r="F149">
            <v>0.93</v>
          </cell>
          <cell r="G149">
            <v>3.5000000000000003E-2</v>
          </cell>
          <cell r="H149">
            <v>-0.16900000000000001</v>
          </cell>
          <cell r="I149">
            <v>-0.183</v>
          </cell>
          <cell r="J149">
            <v>-0.86099999999999999</v>
          </cell>
          <cell r="K149">
            <v>0.24299999999999999</v>
          </cell>
          <cell r="L149">
            <v>-3.2210000000000001</v>
          </cell>
          <cell r="M149">
            <v>-0.151</v>
          </cell>
          <cell r="N149">
            <v>-0.45499999999999996</v>
          </cell>
          <cell r="O149">
            <v>-0.32600000000000007</v>
          </cell>
          <cell r="P149">
            <v>0.74900000000000011</v>
          </cell>
          <cell r="Q149">
            <v>-0.18299999999999994</v>
          </cell>
          <cell r="R149">
            <v>-0.308</v>
          </cell>
          <cell r="S149">
            <v>1.071</v>
          </cell>
          <cell r="T149">
            <v>0.12300000000000005</v>
          </cell>
          <cell r="U149">
            <v>0.44200000000000012</v>
          </cell>
          <cell r="V149">
            <v>1.3280000000000001</v>
          </cell>
          <cell r="W149">
            <v>0.13300000000000001</v>
          </cell>
          <cell r="X149">
            <v>-0.32800000000000001</v>
          </cell>
          <cell r="Y149">
            <v>-0.22099999999999997</v>
          </cell>
          <cell r="Z149">
            <v>1.3</v>
          </cell>
          <cell r="AA149">
            <v>0.88400000000000012</v>
          </cell>
          <cell r="AB149">
            <v>-1.034</v>
          </cell>
          <cell r="AC149">
            <v>-1.196</v>
          </cell>
          <cell r="AD149">
            <v>1.9259999999999999</v>
          </cell>
          <cell r="AE149">
            <v>-9.0999999999999748E-2</v>
          </cell>
          <cell r="AF149">
            <v>-0.3949999999999998</v>
          </cell>
          <cell r="AG149">
            <v>-0.753</v>
          </cell>
          <cell r="AH149">
            <v>-0.43499999999999994</v>
          </cell>
          <cell r="AI149">
            <v>1.2029999999999998</v>
          </cell>
          <cell r="AJ149">
            <v>-1.4999999999999902E-2</v>
          </cell>
          <cell r="AK149">
            <v>0</v>
          </cell>
          <cell r="AL149">
            <v>0</v>
          </cell>
          <cell r="AM149">
            <v>0</v>
          </cell>
          <cell r="AN149">
            <v>0</v>
          </cell>
          <cell r="AO149">
            <v>-39.4</v>
          </cell>
          <cell r="AP149">
            <v>-39.4</v>
          </cell>
          <cell r="AQ149">
            <v>-10.901999999999999</v>
          </cell>
          <cell r="AR149">
            <v>-7.3469999999999995</v>
          </cell>
          <cell r="AS149">
            <v>-3.2119999999999997</v>
          </cell>
          <cell r="AT149">
            <v>21.460999999999999</v>
          </cell>
          <cell r="AU149">
            <v>0</v>
          </cell>
          <cell r="AW149">
            <v>0</v>
          </cell>
          <cell r="AX149">
            <v>0</v>
          </cell>
          <cell r="AY149">
            <v>-39.4</v>
          </cell>
          <cell r="AZ149">
            <v>-10.901999999999999</v>
          </cell>
          <cell r="BA149">
            <v>-50.302</v>
          </cell>
          <cell r="BB149">
            <v>-7.3469999999999995</v>
          </cell>
          <cell r="BC149">
            <v>-3.2119999999999997</v>
          </cell>
          <cell r="BD149">
            <v>21.460999999999999</v>
          </cell>
          <cell r="BE149">
            <v>0</v>
          </cell>
          <cell r="BF149">
            <v>10.901999999999999</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cell r="BT149">
            <v>0</v>
          </cell>
          <cell r="BU149">
            <v>0</v>
          </cell>
          <cell r="BV149">
            <v>0</v>
          </cell>
          <cell r="BW149">
            <v>0</v>
          </cell>
          <cell r="BY149">
            <v>0</v>
          </cell>
          <cell r="BZ149">
            <v>0</v>
          </cell>
          <cell r="CA149">
            <v>0</v>
          </cell>
          <cell r="CB149">
            <v>0</v>
          </cell>
          <cell r="CD149">
            <v>0</v>
          </cell>
          <cell r="CE149">
            <v>0</v>
          </cell>
          <cell r="CF149">
            <v>0</v>
          </cell>
          <cell r="CG149">
            <v>0</v>
          </cell>
          <cell r="CH149">
            <v>0</v>
          </cell>
          <cell r="CI149">
            <v>0</v>
          </cell>
          <cell r="CJ149">
            <v>0</v>
          </cell>
          <cell r="CL149">
            <v>0</v>
          </cell>
          <cell r="CM149">
            <v>0</v>
          </cell>
          <cell r="CN149">
            <v>0</v>
          </cell>
          <cell r="CO149">
            <v>0</v>
          </cell>
          <cell r="CP149">
            <v>0</v>
          </cell>
          <cell r="CQ149">
            <v>0</v>
          </cell>
          <cell r="CR149">
            <v>0</v>
          </cell>
          <cell r="CS149">
            <v>0</v>
          </cell>
          <cell r="CT149">
            <v>0</v>
          </cell>
          <cell r="CU149">
            <v>0</v>
          </cell>
          <cell r="CV149">
            <v>0</v>
          </cell>
          <cell r="CW149">
            <v>0</v>
          </cell>
          <cell r="CX149">
            <v>0</v>
          </cell>
          <cell r="CY149">
            <v>0</v>
          </cell>
          <cell r="CZ149">
            <v>0</v>
          </cell>
          <cell r="DA149">
            <v>0</v>
          </cell>
          <cell r="DB149">
            <v>0</v>
          </cell>
          <cell r="DC149">
            <v>0</v>
          </cell>
          <cell r="DD149">
            <v>0</v>
          </cell>
          <cell r="DE149">
            <v>0</v>
          </cell>
          <cell r="DF149">
            <v>0</v>
          </cell>
          <cell r="DG149">
            <v>0</v>
          </cell>
          <cell r="DH149">
            <v>0</v>
          </cell>
          <cell r="DI149">
            <v>0</v>
          </cell>
          <cell r="DU149" t="str">
            <v>mstag:netDecreaseInInvestmentsNonOperating</v>
          </cell>
          <cell r="DV149">
            <v>6</v>
          </cell>
          <cell r="DW149" t="str">
            <v>ISO4217:USD</v>
          </cell>
          <cell r="DX149" t="b">
            <v>0</v>
          </cell>
        </row>
        <row r="150">
          <cell r="B150" t="str">
            <v>Payment of dividends</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-4.8630000000000004</v>
          </cell>
          <cell r="AH150">
            <v>-4.8730000000000002</v>
          </cell>
          <cell r="AI150">
            <v>-4.871999999999999</v>
          </cell>
          <cell r="AJ150">
            <v>-5.0769999999999973</v>
          </cell>
          <cell r="AK150">
            <v>-19.684999999999999</v>
          </cell>
          <cell r="AL150">
            <v>-4.9039999999999999</v>
          </cell>
          <cell r="AM150">
            <v>-4.9570000000000007</v>
          </cell>
          <cell r="AN150">
            <v>-4.9609999999999985</v>
          </cell>
          <cell r="AO150">
            <v>-4.9670000000000023</v>
          </cell>
          <cell r="AP150">
            <v>-19.789000000000001</v>
          </cell>
          <cell r="AQ150">
            <v>-9.9390000000000001</v>
          </cell>
          <cell r="AR150">
            <v>-8.9639999999999986</v>
          </cell>
          <cell r="AS150">
            <v>-9.8680000000000021</v>
          </cell>
          <cell r="AT150">
            <v>-9.8609999999999971</v>
          </cell>
          <cell r="AU150">
            <v>-38.631999999999998</v>
          </cell>
          <cell r="AW150">
            <v>-4.9570000000000007</v>
          </cell>
          <cell r="AX150">
            <v>-4.9609999999999985</v>
          </cell>
          <cell r="AY150">
            <v>-4.9670000000000023</v>
          </cell>
          <cell r="AZ150">
            <v>-9.9390000000000001</v>
          </cell>
          <cell r="BA150">
            <v>-24.824000000000002</v>
          </cell>
          <cell r="BB150">
            <v>-8.9639999999999986</v>
          </cell>
          <cell r="BC150">
            <v>-9.8680000000000021</v>
          </cell>
          <cell r="BD150">
            <v>-9.8609999999999971</v>
          </cell>
          <cell r="BE150">
            <v>-14.726000000000001</v>
          </cell>
          <cell r="BF150">
            <v>-43.418999999999997</v>
          </cell>
          <cell r="BG150">
            <v>-14.436999999999999</v>
          </cell>
          <cell r="BH150">
            <v>-14.443</v>
          </cell>
          <cell r="BI150">
            <v>-14.457000000000006</v>
          </cell>
          <cell r="BJ150">
            <v>-14.539999999999997</v>
          </cell>
          <cell r="BK150">
            <v>-57.877000000000002</v>
          </cell>
          <cell r="BL150">
            <v>-2425.2170000000001</v>
          </cell>
          <cell r="BM150">
            <v>0</v>
          </cell>
          <cell r="BN150">
            <v>0</v>
          </cell>
          <cell r="BO150">
            <v>0</v>
          </cell>
          <cell r="BP150">
            <v>-2425.2170000000001</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U150" t="str">
            <v>mstag:cashDividendsPaid</v>
          </cell>
          <cell r="DV150">
            <v>6</v>
          </cell>
          <cell r="DW150" t="str">
            <v>ISO4217:USD</v>
          </cell>
          <cell r="DX150" t="b">
            <v>1</v>
          </cell>
        </row>
        <row r="151">
          <cell r="B151" t="str">
            <v>Equity comp excess tax benefit</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W151">
            <v>0</v>
          </cell>
          <cell r="AX151">
            <v>0</v>
          </cell>
          <cell r="AY151">
            <v>0</v>
          </cell>
          <cell r="AZ151">
            <v>0</v>
          </cell>
          <cell r="BA151">
            <v>0</v>
          </cell>
          <cell r="BB151">
            <v>0</v>
          </cell>
          <cell r="BC151">
            <v>0</v>
          </cell>
          <cell r="BD151">
            <v>0</v>
          </cell>
          <cell r="BE151">
            <v>0.80800000000000005</v>
          </cell>
          <cell r="BF151">
            <v>0.80800000000000005</v>
          </cell>
          <cell r="BG151">
            <v>1.9E-2</v>
          </cell>
          <cell r="BH151">
            <v>1.9E-2</v>
          </cell>
          <cell r="BI151">
            <v>1.3100000000000003</v>
          </cell>
          <cell r="BJ151">
            <v>2.0999999999999717E-2</v>
          </cell>
          <cell r="BK151">
            <v>1.369</v>
          </cell>
          <cell r="BL151">
            <v>0.23100000000000001</v>
          </cell>
          <cell r="BM151">
            <v>4.200000000000001E-2</v>
          </cell>
          <cell r="BN151">
            <v>0</v>
          </cell>
          <cell r="BO151">
            <v>0</v>
          </cell>
          <cell r="BP151">
            <v>0.27300000000000002</v>
          </cell>
          <cell r="BQ151">
            <v>0</v>
          </cell>
          <cell r="BR151">
            <v>0</v>
          </cell>
          <cell r="BS151">
            <v>0</v>
          </cell>
          <cell r="BT151">
            <v>0</v>
          </cell>
          <cell r="BU151">
            <v>0</v>
          </cell>
          <cell r="BV151">
            <v>0.14399999999999999</v>
          </cell>
          <cell r="BW151">
            <v>0</v>
          </cell>
          <cell r="BX151">
            <v>5.0000000000000044E-3</v>
          </cell>
          <cell r="BY151">
            <v>6.9000000000000006E-2</v>
          </cell>
          <cell r="BZ151">
            <v>0.218</v>
          </cell>
          <cell r="CA151">
            <v>1.1000000000000001</v>
          </cell>
          <cell r="CB151">
            <v>1.2000000000000011E-2</v>
          </cell>
          <cell r="CC151">
            <v>0</v>
          </cell>
          <cell r="CD151">
            <v>0.16599999999999993</v>
          </cell>
          <cell r="CE151">
            <v>1.278</v>
          </cell>
          <cell r="CF151">
            <v>2.8969999999999998</v>
          </cell>
          <cell r="CG151">
            <v>2.2000000000000242E-2</v>
          </cell>
          <cell r="CH151">
            <v>0</v>
          </cell>
          <cell r="CI151">
            <v>8.0000000000000071E-2</v>
          </cell>
          <cell r="CJ151">
            <v>2.9990000000000001</v>
          </cell>
          <cell r="CK151">
            <v>1.4</v>
          </cell>
          <cell r="CL151">
            <v>7.0000000000001172E-3</v>
          </cell>
          <cell r="CM151">
            <v>3.6999999999999922E-2</v>
          </cell>
          <cell r="CN151">
            <v>0</v>
          </cell>
          <cell r="CO151">
            <v>1.444</v>
          </cell>
          <cell r="CP151">
            <v>0</v>
          </cell>
          <cell r="CQ151">
            <v>0</v>
          </cell>
          <cell r="CR151">
            <v>0</v>
          </cell>
          <cell r="CS151">
            <v>0</v>
          </cell>
          <cell r="CT151">
            <v>0</v>
          </cell>
          <cell r="CU151">
            <v>0</v>
          </cell>
          <cell r="CV151">
            <v>0</v>
          </cell>
          <cell r="CW151">
            <v>0</v>
          </cell>
          <cell r="CX151">
            <v>0</v>
          </cell>
          <cell r="CY151">
            <v>0</v>
          </cell>
          <cell r="CZ151">
            <v>0</v>
          </cell>
          <cell r="DA151">
            <v>0</v>
          </cell>
          <cell r="DB151">
            <v>0</v>
          </cell>
          <cell r="DC151">
            <v>0</v>
          </cell>
          <cell r="DD151">
            <v>0</v>
          </cell>
          <cell r="DE151">
            <v>0</v>
          </cell>
          <cell r="DF151">
            <v>0</v>
          </cell>
          <cell r="DG151">
            <v>0</v>
          </cell>
          <cell r="DH151">
            <v>0</v>
          </cell>
          <cell r="DI151">
            <v>0</v>
          </cell>
          <cell r="DU151" t="str">
            <v>mstag:taxBenefitFromExerciseOfEsosCashFlowStatement</v>
          </cell>
          <cell r="DV151">
            <v>6</v>
          </cell>
          <cell r="DW151" t="str">
            <v>ISO4217:USD</v>
          </cell>
          <cell r="DX151" t="b">
            <v>0</v>
          </cell>
        </row>
        <row r="152">
          <cell r="B152" t="str">
            <v>Other</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-16</v>
          </cell>
          <cell r="AU152">
            <v>-16</v>
          </cell>
          <cell r="AW152">
            <v>0</v>
          </cell>
          <cell r="AX152">
            <v>0</v>
          </cell>
          <cell r="AY152">
            <v>0</v>
          </cell>
          <cell r="AZ152">
            <v>0</v>
          </cell>
          <cell r="BA152">
            <v>0</v>
          </cell>
          <cell r="BB152">
            <v>0</v>
          </cell>
          <cell r="BC152">
            <v>0</v>
          </cell>
          <cell r="BD152">
            <v>-16</v>
          </cell>
          <cell r="BE152">
            <v>0</v>
          </cell>
          <cell r="BF152">
            <v>-16</v>
          </cell>
          <cell r="BG152">
            <v>0</v>
          </cell>
          <cell r="BH152">
            <v>0</v>
          </cell>
          <cell r="BI152">
            <v>-67.349999999999994</v>
          </cell>
          <cell r="BJ152">
            <v>0</v>
          </cell>
          <cell r="BK152">
            <v>-67.349999999999994</v>
          </cell>
          <cell r="BL152">
            <v>0</v>
          </cell>
          <cell r="BM152">
            <v>0</v>
          </cell>
          <cell r="BN152">
            <v>0.216</v>
          </cell>
          <cell r="BO152">
            <v>0</v>
          </cell>
          <cell r="BP152">
            <v>0.216</v>
          </cell>
          <cell r="BQ152">
            <v>0</v>
          </cell>
          <cell r="BR152">
            <v>0</v>
          </cell>
          <cell r="BS152">
            <v>0</v>
          </cell>
          <cell r="BT152">
            <v>0</v>
          </cell>
          <cell r="BU152">
            <v>0</v>
          </cell>
          <cell r="BV152">
            <v>-59.338000000000001</v>
          </cell>
          <cell r="BW152">
            <v>0</v>
          </cell>
          <cell r="BX152">
            <v>-8.3759999999999977</v>
          </cell>
          <cell r="BY152">
            <v>0</v>
          </cell>
          <cell r="BZ152">
            <v>-67.713999999999999</v>
          </cell>
          <cell r="CA152">
            <v>0</v>
          </cell>
          <cell r="CB152">
            <v>0</v>
          </cell>
          <cell r="CC152">
            <v>0</v>
          </cell>
          <cell r="CD152">
            <v>0</v>
          </cell>
          <cell r="CE152">
            <v>0</v>
          </cell>
          <cell r="CF152">
            <v>0</v>
          </cell>
          <cell r="CG152">
            <v>0</v>
          </cell>
          <cell r="CH152">
            <v>-10.625</v>
          </cell>
          <cell r="CI152">
            <v>-64.524000000000001</v>
          </cell>
          <cell r="CJ152">
            <v>-75.149000000000001</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U152" t="str">
            <v>mstag:otherCashFlowsFromUsedInFinancingActivities</v>
          </cell>
          <cell r="DV152">
            <v>6</v>
          </cell>
          <cell r="DW152" t="str">
            <v>ISO4217:USD</v>
          </cell>
          <cell r="DX152" t="b">
            <v>0</v>
          </cell>
        </row>
        <row r="153">
          <cell r="B153" t="str">
            <v>Cash Flow from Financing</v>
          </cell>
          <cell r="F153">
            <v>-7.8060000000000045</v>
          </cell>
          <cell r="G153">
            <v>40.411999999999992</v>
          </cell>
          <cell r="H153">
            <v>7.4539999999999997</v>
          </cell>
          <cell r="I153">
            <v>-11.439</v>
          </cell>
          <cell r="J153">
            <v>2.1280000000000001</v>
          </cell>
          <cell r="K153">
            <v>14.301</v>
          </cell>
          <cell r="L153">
            <v>60.720999999999989</v>
          </cell>
          <cell r="M153">
            <v>-13.316000000000001</v>
          </cell>
          <cell r="N153">
            <v>-2.08</v>
          </cell>
          <cell r="O153">
            <v>151.59399999999999</v>
          </cell>
          <cell r="P153">
            <v>38.942000000000043</v>
          </cell>
          <cell r="Q153">
            <v>175.14</v>
          </cell>
          <cell r="R153">
            <v>2.470000000000006</v>
          </cell>
          <cell r="S153">
            <v>-7.6369999999999987</v>
          </cell>
          <cell r="T153">
            <v>25.855999999999998</v>
          </cell>
          <cell r="U153">
            <v>56.857999999999976</v>
          </cell>
          <cell r="V153">
            <v>77.546999999999969</v>
          </cell>
          <cell r="W153">
            <v>-23.722999999999995</v>
          </cell>
          <cell r="X153">
            <v>-15.432000000000004</v>
          </cell>
          <cell r="Y153">
            <v>-15.802000000000003</v>
          </cell>
          <cell r="Z153">
            <v>-10.283000000000014</v>
          </cell>
          <cell r="AA153">
            <v>-65.239999999999995</v>
          </cell>
          <cell r="AB153">
            <v>86.504999999999995</v>
          </cell>
          <cell r="AC153">
            <v>-12.683000000000023</v>
          </cell>
          <cell r="AD153">
            <v>-1.3849999999999982</v>
          </cell>
          <cell r="AE153">
            <v>-29.947999999999976</v>
          </cell>
          <cell r="AF153">
            <v>42.48899999999999</v>
          </cell>
          <cell r="AG153">
            <v>-3.4580000000000006</v>
          </cell>
          <cell r="AH153">
            <v>-4.1530000000000005</v>
          </cell>
          <cell r="AI153">
            <v>8.2439999999999998</v>
          </cell>
          <cell r="AJ153">
            <v>257.2109999999999</v>
          </cell>
          <cell r="AK153">
            <v>257.84399999999994</v>
          </cell>
          <cell r="AL153">
            <v>213.50399999999999</v>
          </cell>
          <cell r="AM153">
            <v>-24.97</v>
          </cell>
          <cell r="AN153">
            <v>-78.894999999999982</v>
          </cell>
          <cell r="AO153">
            <v>-140.73300000000006</v>
          </cell>
          <cell r="AP153">
            <v>-31.09400000000004</v>
          </cell>
          <cell r="AQ153">
            <v>-13.630999999999998</v>
          </cell>
          <cell r="AR153">
            <v>181.52400000000003</v>
          </cell>
          <cell r="AS153">
            <v>-93.573000000000036</v>
          </cell>
          <cell r="AT153">
            <v>-86.746000000000038</v>
          </cell>
          <cell r="AU153">
            <v>-12.426000000000002</v>
          </cell>
          <cell r="AW153">
            <v>-24.97</v>
          </cell>
          <cell r="AX153">
            <v>-78.894999999999982</v>
          </cell>
          <cell r="AY153">
            <v>-140.73300000000006</v>
          </cell>
          <cell r="AZ153">
            <v>-13.630999999999998</v>
          </cell>
          <cell r="BA153">
            <v>-258.22900000000004</v>
          </cell>
          <cell r="BB153">
            <v>181.52400000000003</v>
          </cell>
          <cell r="BC153">
            <v>-93.573000000000036</v>
          </cell>
          <cell r="BD153">
            <v>-86.746000000000038</v>
          </cell>
          <cell r="BE153">
            <v>51.663999999999994</v>
          </cell>
          <cell r="BF153">
            <v>52.868999999999971</v>
          </cell>
          <cell r="BG153">
            <v>-8.6159999999999908</v>
          </cell>
          <cell r="BH153">
            <v>128.21699999999993</v>
          </cell>
          <cell r="BI153">
            <v>-128.50699999999995</v>
          </cell>
          <cell r="BJ153">
            <v>-11.132000000000001</v>
          </cell>
          <cell r="BK153">
            <v>-20.037999999999975</v>
          </cell>
          <cell r="BL153">
            <v>9.8769999999997307</v>
          </cell>
          <cell r="BM153">
            <v>-14.461999999999824</v>
          </cell>
          <cell r="BN153">
            <v>-11.026999999999955</v>
          </cell>
          <cell r="BO153">
            <v>-19.235000000000003</v>
          </cell>
          <cell r="BP153">
            <v>-34.846999999999781</v>
          </cell>
          <cell r="BQ153">
            <v>238.98</v>
          </cell>
          <cell r="BR153">
            <v>-132.16199999999998</v>
          </cell>
          <cell r="BS153">
            <v>-275.39699999999993</v>
          </cell>
          <cell r="BT153">
            <v>-30.860000000000149</v>
          </cell>
          <cell r="BU153">
            <v>-199.43900000000008</v>
          </cell>
          <cell r="BV153">
            <v>-98.367000000000004</v>
          </cell>
          <cell r="BW153">
            <v>-33.680999999999997</v>
          </cell>
          <cell r="BX153">
            <v>-2.5359999999999951</v>
          </cell>
          <cell r="BY153">
            <v>6.9879999999999827</v>
          </cell>
          <cell r="BZ153">
            <v>-127.596</v>
          </cell>
          <cell r="CA153">
            <v>-7.6440000000000001</v>
          </cell>
          <cell r="CB153">
            <v>-13.093</v>
          </cell>
          <cell r="CC153">
            <v>-15.473000000000001</v>
          </cell>
          <cell r="CD153">
            <v>-13.272999999999996</v>
          </cell>
          <cell r="CE153">
            <v>-49.482999999999997</v>
          </cell>
          <cell r="CF153">
            <v>-5.1100000000000012</v>
          </cell>
          <cell r="CG153">
            <v>-13.93</v>
          </cell>
          <cell r="CH153">
            <v>340.226</v>
          </cell>
          <cell r="CI153">
            <v>80.036999999999921</v>
          </cell>
          <cell r="CJ153">
            <v>401.22299999999973</v>
          </cell>
          <cell r="CK153">
            <v>-35.499000000000002</v>
          </cell>
          <cell r="CL153">
            <v>-26.856000000000002</v>
          </cell>
          <cell r="CM153">
            <v>-34.988000000000007</v>
          </cell>
          <cell r="CN153">
            <v>-15.522750000000016</v>
          </cell>
          <cell r="CO153">
            <v>-112.86575000000002</v>
          </cell>
          <cell r="CP153">
            <v>-25.522750000000016</v>
          </cell>
          <cell r="CQ153">
            <v>-25.522750000000016</v>
          </cell>
          <cell r="CR153">
            <v>-25.522750000000016</v>
          </cell>
          <cell r="CS153">
            <v>-25.522750000000016</v>
          </cell>
          <cell r="CT153">
            <v>-102.09100000000007</v>
          </cell>
          <cell r="CU153">
            <v>-25.522750000000016</v>
          </cell>
          <cell r="CV153">
            <v>-25.522750000000016</v>
          </cell>
          <cell r="CW153">
            <v>-25.522750000000016</v>
          </cell>
          <cell r="CX153">
            <v>-25.522750000000016</v>
          </cell>
          <cell r="CY153">
            <v>-102.09100000000007</v>
          </cell>
          <cell r="CZ153">
            <v>-26.022750000000016</v>
          </cell>
          <cell r="DA153">
            <v>-26.022750000000016</v>
          </cell>
          <cell r="DB153">
            <v>-26.022750000000016</v>
          </cell>
          <cell r="DC153">
            <v>-26.022750000000016</v>
          </cell>
          <cell r="DD153">
            <v>-104.09100000000007</v>
          </cell>
          <cell r="DE153">
            <v>-26.022750000000016</v>
          </cell>
          <cell r="DF153">
            <v>-26.022750000000016</v>
          </cell>
          <cell r="DG153">
            <v>-26.022750000000016</v>
          </cell>
          <cell r="DH153">
            <v>-26.022750000000016</v>
          </cell>
          <cell r="DI153">
            <v>-104.09100000000007</v>
          </cell>
        </row>
        <row r="155">
          <cell r="B155" t="str">
            <v>Discontinued ops: chgs rel. to op activities</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0.52700000000000002</v>
          </cell>
          <cell r="AU155">
            <v>0.52700000000000002</v>
          </cell>
          <cell r="AW155">
            <v>0</v>
          </cell>
          <cell r="AX155">
            <v>0</v>
          </cell>
          <cell r="AY155">
            <v>0</v>
          </cell>
          <cell r="AZ155">
            <v>0</v>
          </cell>
          <cell r="BA155">
            <v>0</v>
          </cell>
          <cell r="BB155">
            <v>0</v>
          </cell>
          <cell r="BC155">
            <v>0</v>
          </cell>
          <cell r="BD155">
            <v>0.52700000000000002</v>
          </cell>
          <cell r="BE155">
            <v>0.96099999999999997</v>
          </cell>
          <cell r="BF155">
            <v>1.488</v>
          </cell>
          <cell r="BG155">
            <v>-0.66</v>
          </cell>
          <cell r="BH155">
            <v>1.484</v>
          </cell>
          <cell r="BI155">
            <v>-6.4969999999999999</v>
          </cell>
          <cell r="BJ155">
            <v>8.0310000000000006</v>
          </cell>
          <cell r="BK155">
            <v>2.3580000000000005</v>
          </cell>
          <cell r="BL155">
            <v>-5.3999999999999999E-2</v>
          </cell>
          <cell r="BM155">
            <v>-1.9970000000000001</v>
          </cell>
          <cell r="BN155">
            <v>-10.231</v>
          </cell>
          <cell r="BO155">
            <v>0.97000000000000064</v>
          </cell>
          <cell r="BP155">
            <v>-11.311999999999999</v>
          </cell>
          <cell r="BQ155">
            <v>-3.0270000000000001</v>
          </cell>
          <cell r="BR155">
            <v>-16.866</v>
          </cell>
          <cell r="BS155">
            <v>-7.22</v>
          </cell>
          <cell r="BT155">
            <v>-2.9640000000000031</v>
          </cell>
          <cell r="BU155">
            <v>-30.077000000000002</v>
          </cell>
          <cell r="BV155">
            <v>1.7210000000000001</v>
          </cell>
          <cell r="BW155">
            <v>0</v>
          </cell>
          <cell r="BX155">
            <v>5.024</v>
          </cell>
          <cell r="BY155">
            <v>0.14299999999999979</v>
          </cell>
          <cell r="BZ155">
            <v>6.8879999999999999</v>
          </cell>
          <cell r="CA155">
            <v>0</v>
          </cell>
          <cell r="CB155">
            <v>0</v>
          </cell>
          <cell r="CC155">
            <v>0</v>
          </cell>
          <cell r="CD155">
            <v>3.238</v>
          </cell>
          <cell r="CE155">
            <v>3.238</v>
          </cell>
          <cell r="CF155">
            <v>2.1800000000000002</v>
          </cell>
          <cell r="CG155">
            <v>3.0680000000000001</v>
          </cell>
          <cell r="CH155">
            <v>2.7559999999999998</v>
          </cell>
          <cell r="CI155">
            <v>-2.0130000000000003</v>
          </cell>
          <cell r="CJ155">
            <v>5.9909999999999997</v>
          </cell>
          <cell r="CK155">
            <v>-2.96</v>
          </cell>
          <cell r="CL155">
            <v>2.0960000000000001</v>
          </cell>
          <cell r="CM155">
            <v>-0.46300000000000008</v>
          </cell>
          <cell r="CN155">
            <v>0</v>
          </cell>
          <cell r="CO155">
            <v>-1.327</v>
          </cell>
          <cell r="CP155">
            <v>0</v>
          </cell>
          <cell r="CQ155">
            <v>0</v>
          </cell>
          <cell r="CR155">
            <v>0</v>
          </cell>
          <cell r="CS155">
            <v>0</v>
          </cell>
          <cell r="CT155">
            <v>0</v>
          </cell>
          <cell r="CU155">
            <v>0</v>
          </cell>
          <cell r="CV155">
            <v>0</v>
          </cell>
          <cell r="CW155">
            <v>0</v>
          </cell>
          <cell r="CX155">
            <v>0</v>
          </cell>
          <cell r="CY155">
            <v>0</v>
          </cell>
          <cell r="CZ155">
            <v>0</v>
          </cell>
          <cell r="DA155">
            <v>0</v>
          </cell>
          <cell r="DB155">
            <v>0</v>
          </cell>
          <cell r="DC155">
            <v>0</v>
          </cell>
          <cell r="DD155">
            <v>0</v>
          </cell>
          <cell r="DE155">
            <v>0</v>
          </cell>
          <cell r="DF155">
            <v>0</v>
          </cell>
          <cell r="DG155">
            <v>0</v>
          </cell>
          <cell r="DH155">
            <v>0</v>
          </cell>
          <cell r="DI155">
            <v>0</v>
          </cell>
          <cell r="DU155" t="str">
            <v>mstag:netCashFlowFromDiscontinuedOperations</v>
          </cell>
          <cell r="DV155">
            <v>6</v>
          </cell>
          <cell r="DW155" t="str">
            <v>ISO4217:USD</v>
          </cell>
          <cell r="DX155" t="b">
            <v>0</v>
          </cell>
        </row>
        <row r="156">
          <cell r="B156" t="str">
            <v>Discontinued ops: chgs rel. to investing activities</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-0.21199999999999999</v>
          </cell>
          <cell r="AU156">
            <v>-0.21199999999999999</v>
          </cell>
          <cell r="AW156">
            <v>0</v>
          </cell>
          <cell r="AX156">
            <v>0</v>
          </cell>
          <cell r="AY156">
            <v>0</v>
          </cell>
          <cell r="AZ156">
            <v>0</v>
          </cell>
          <cell r="BA156">
            <v>0</v>
          </cell>
          <cell r="BB156">
            <v>0</v>
          </cell>
          <cell r="BC156">
            <v>0</v>
          </cell>
          <cell r="BD156">
            <v>-0.21199999999999999</v>
          </cell>
          <cell r="BE156">
            <v>-8.8999999999999996E-2</v>
          </cell>
          <cell r="BF156">
            <v>-0.30099999999999999</v>
          </cell>
          <cell r="BG156">
            <v>-0.30499999999999999</v>
          </cell>
          <cell r="BH156">
            <v>-5.1999999999999991E-2</v>
          </cell>
          <cell r="BI156">
            <v>-1.1519999999999999</v>
          </cell>
          <cell r="BJ156">
            <v>-0.20600000000000013</v>
          </cell>
          <cell r="BK156">
            <v>-1.7150000000000001</v>
          </cell>
          <cell r="BL156">
            <v>-0.26300000000000001</v>
          </cell>
          <cell r="BM156">
            <v>-0.51</v>
          </cell>
          <cell r="BN156">
            <v>-4.8999999999999932E-2</v>
          </cell>
          <cell r="BO156">
            <v>-0.59399999999999997</v>
          </cell>
          <cell r="BP156">
            <v>-1.4159999999999999</v>
          </cell>
          <cell r="BQ156">
            <v>-0.871</v>
          </cell>
          <cell r="BR156">
            <v>0.56000000000000005</v>
          </cell>
          <cell r="BS156">
            <v>0.17199999999999993</v>
          </cell>
          <cell r="BT156">
            <v>0.34000000000000008</v>
          </cell>
          <cell r="BU156">
            <v>0.20100000000000007</v>
          </cell>
          <cell r="BV156">
            <v>3.0000000000000001E-3</v>
          </cell>
          <cell r="BW156">
            <v>0</v>
          </cell>
          <cell r="BX156">
            <v>-0.443</v>
          </cell>
          <cell r="BY156">
            <v>0</v>
          </cell>
          <cell r="BZ156">
            <v>-0.44</v>
          </cell>
          <cell r="CA156">
            <v>0</v>
          </cell>
          <cell r="CB156">
            <v>0</v>
          </cell>
          <cell r="CC156">
            <v>0</v>
          </cell>
          <cell r="CD156">
            <v>-1.1020000000000001</v>
          </cell>
          <cell r="CE156">
            <v>-1.1020000000000001</v>
          </cell>
          <cell r="CF156">
            <v>0</v>
          </cell>
          <cell r="CG156">
            <v>-5.6000000000000001E-2</v>
          </cell>
          <cell r="CH156">
            <v>-11.527000000000001</v>
          </cell>
          <cell r="CI156">
            <v>-1.3109999999999991</v>
          </cell>
          <cell r="CJ156">
            <v>-12.893999999999998</v>
          </cell>
          <cell r="CK156">
            <v>-1.6E-2</v>
          </cell>
          <cell r="CL156">
            <v>-0.11900000000000001</v>
          </cell>
          <cell r="CM156">
            <v>0</v>
          </cell>
          <cell r="CN156">
            <v>0</v>
          </cell>
          <cell r="CO156">
            <v>-0.13500000000000001</v>
          </cell>
          <cell r="CP156">
            <v>0</v>
          </cell>
          <cell r="CQ156">
            <v>0</v>
          </cell>
          <cell r="CR156">
            <v>0</v>
          </cell>
          <cell r="CS156">
            <v>0</v>
          </cell>
          <cell r="CT156">
            <v>0</v>
          </cell>
          <cell r="CU156">
            <v>0</v>
          </cell>
          <cell r="CV156">
            <v>0</v>
          </cell>
          <cell r="CW156">
            <v>0</v>
          </cell>
          <cell r="CX156">
            <v>0</v>
          </cell>
          <cell r="CY156">
            <v>0</v>
          </cell>
          <cell r="CZ156">
            <v>0</v>
          </cell>
          <cell r="DA156">
            <v>0</v>
          </cell>
          <cell r="DB156">
            <v>0</v>
          </cell>
          <cell r="DC156">
            <v>0</v>
          </cell>
          <cell r="DD156">
            <v>0</v>
          </cell>
          <cell r="DE156">
            <v>0</v>
          </cell>
          <cell r="DF156">
            <v>0</v>
          </cell>
          <cell r="DG156">
            <v>0</v>
          </cell>
          <cell r="DH156">
            <v>0</v>
          </cell>
          <cell r="DI156">
            <v>0</v>
          </cell>
          <cell r="DU156" t="str">
            <v>mstag:netCashFlowFromDiscontinuedOperations</v>
          </cell>
          <cell r="DV156">
            <v>6</v>
          </cell>
          <cell r="DW156" t="str">
            <v>ISO4217:USD</v>
          </cell>
          <cell r="DX156" t="b">
            <v>0</v>
          </cell>
        </row>
        <row r="157">
          <cell r="B157" t="str">
            <v>Discontinued ops: chgs rel. to financing activities</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W157">
            <v>0</v>
          </cell>
          <cell r="AX157">
            <v>0</v>
          </cell>
          <cell r="AY157">
            <v>0</v>
          </cell>
          <cell r="AZ157">
            <v>0</v>
          </cell>
          <cell r="BA157">
            <v>0</v>
          </cell>
          <cell r="BB157">
            <v>0</v>
          </cell>
          <cell r="BC157">
            <v>0</v>
          </cell>
          <cell r="BD157">
            <v>0</v>
          </cell>
          <cell r="BE157">
            <v>0</v>
          </cell>
          <cell r="BF157">
            <v>0</v>
          </cell>
          <cell r="BG157">
            <v>0</v>
          </cell>
          <cell r="BH157">
            <v>0</v>
          </cell>
          <cell r="BI157">
            <v>-7.6999999999999999E-2</v>
          </cell>
          <cell r="BJ157">
            <v>-1.9000000000000003E-2</v>
          </cell>
          <cell r="BK157">
            <v>-9.6000000000000002E-2</v>
          </cell>
          <cell r="BL157">
            <v>-4.0000000000000001E-3</v>
          </cell>
          <cell r="BM157">
            <v>-0.124</v>
          </cell>
          <cell r="BN157">
            <v>-2.9000000000000001E-2</v>
          </cell>
          <cell r="BO157">
            <v>-2.3999999999999997E-2</v>
          </cell>
          <cell r="BP157">
            <v>-0.18099999999999999</v>
          </cell>
          <cell r="BQ157">
            <v>-0.85899999999999999</v>
          </cell>
          <cell r="BR157">
            <v>0.81299999999999994</v>
          </cell>
          <cell r="BS157">
            <v>-0.25499999999999989</v>
          </cell>
          <cell r="BT157">
            <v>-5.0000000000001155E-3</v>
          </cell>
          <cell r="BU157">
            <v>-0.30600000000000005</v>
          </cell>
          <cell r="BV157">
            <v>-3.9E-2</v>
          </cell>
          <cell r="BW157">
            <v>0</v>
          </cell>
          <cell r="BX157">
            <v>3.4000000000000002E-2</v>
          </cell>
          <cell r="BY157">
            <v>-0.40799999999999997</v>
          </cell>
          <cell r="BZ157">
            <v>-0.41299999999999998</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U157" t="str">
            <v>mstag:netCashFlowFromDiscontinuedOperations</v>
          </cell>
          <cell r="DV157">
            <v>6</v>
          </cell>
          <cell r="DW157" t="str">
            <v>ISO4217:USD</v>
          </cell>
          <cell r="DX157" t="b">
            <v>0</v>
          </cell>
        </row>
        <row r="158">
          <cell r="AW158">
            <v>0</v>
          </cell>
        </row>
        <row r="159">
          <cell r="B159" t="str">
            <v>Cash &amp; equivalents - beg balance</v>
          </cell>
          <cell r="F159">
            <v>0.156</v>
          </cell>
          <cell r="G159">
            <v>25.248999999999981</v>
          </cell>
          <cell r="H159">
            <v>74.376000000000005</v>
          </cell>
          <cell r="I159">
            <v>109.38399999999999</v>
          </cell>
          <cell r="J159">
            <v>75.326000000000079</v>
          </cell>
          <cell r="K159">
            <v>31.172000000000068</v>
          </cell>
          <cell r="L159">
            <v>67.381000000000085</v>
          </cell>
          <cell r="M159">
            <v>12.684999999999945</v>
          </cell>
          <cell r="N159">
            <v>8.5739999999999217</v>
          </cell>
          <cell r="O159">
            <v>20.184999999999917</v>
          </cell>
          <cell r="P159">
            <v>11.721999999999895</v>
          </cell>
          <cell r="Q159">
            <v>12.684999999999945</v>
          </cell>
          <cell r="R159">
            <v>12.925999999999959</v>
          </cell>
          <cell r="S159">
            <v>24.67399999999996</v>
          </cell>
          <cell r="T159">
            <v>24.399999999999984</v>
          </cell>
          <cell r="U159">
            <v>23.339999999999979</v>
          </cell>
          <cell r="V159">
            <v>12.925999999999959</v>
          </cell>
          <cell r="W159">
            <v>16.470999999999947</v>
          </cell>
          <cell r="X159">
            <v>34.050999999999988</v>
          </cell>
          <cell r="Y159">
            <v>41.548000000000016</v>
          </cell>
          <cell r="Z159">
            <v>49.648999999999987</v>
          </cell>
          <cell r="AA159">
            <v>16.470999999999947</v>
          </cell>
          <cell r="AB159">
            <v>70.262999999999963</v>
          </cell>
          <cell r="AC159">
            <v>118.15999999999998</v>
          </cell>
          <cell r="AD159">
            <v>113.015</v>
          </cell>
          <cell r="AE159">
            <v>149.61999999999998</v>
          </cell>
          <cell r="AF159">
            <v>70.262999999999963</v>
          </cell>
          <cell r="AG159">
            <v>123.73600000000005</v>
          </cell>
          <cell r="AH159">
            <v>189.30100000000004</v>
          </cell>
          <cell r="AI159">
            <v>160.66000000000003</v>
          </cell>
          <cell r="AJ159">
            <v>248.274</v>
          </cell>
          <cell r="AK159">
            <v>123.73600000000005</v>
          </cell>
          <cell r="AL159">
            <v>395.33799999999997</v>
          </cell>
          <cell r="AM159">
            <v>119.34999999999991</v>
          </cell>
          <cell r="AN159">
            <v>102.79400000000001</v>
          </cell>
          <cell r="AO159">
            <v>115.61200000000004</v>
          </cell>
          <cell r="AP159">
            <v>395.33799999999997</v>
          </cell>
          <cell r="AQ159">
            <v>112.94599999999986</v>
          </cell>
          <cell r="AR159">
            <v>192.4429999999999</v>
          </cell>
          <cell r="AS159">
            <v>88.61200000000008</v>
          </cell>
          <cell r="AT159">
            <v>109.21099999999996</v>
          </cell>
          <cell r="AU159">
            <v>112.94599999999986</v>
          </cell>
          <cell r="AW159">
            <v>119.34999999999991</v>
          </cell>
          <cell r="AX159">
            <v>102.79400000000001</v>
          </cell>
          <cell r="AY159">
            <v>115.61200000000004</v>
          </cell>
          <cell r="AZ159">
            <v>112.9459999999999</v>
          </cell>
          <cell r="BA159">
            <v>119.34999999999991</v>
          </cell>
          <cell r="BB159">
            <v>192.4429999999999</v>
          </cell>
          <cell r="BC159">
            <v>88.61200000000008</v>
          </cell>
          <cell r="BD159">
            <v>109.21099999999996</v>
          </cell>
          <cell r="BE159" t="e">
            <v>#REF!</v>
          </cell>
          <cell r="BF159">
            <v>192.4429999999999</v>
          </cell>
          <cell r="BG159" t="e">
            <v>#REF!</v>
          </cell>
          <cell r="BH159" t="e">
            <v>#REF!</v>
          </cell>
          <cell r="BI159" t="e">
            <v>#REF!</v>
          </cell>
          <cell r="BJ159" t="e">
            <v>#REF!</v>
          </cell>
          <cell r="BK159" t="e">
            <v>#REF!</v>
          </cell>
          <cell r="BL159" t="e">
            <v>#REF!</v>
          </cell>
          <cell r="BM159" t="e">
            <v>#REF!</v>
          </cell>
          <cell r="BN159" t="e">
            <v>#REF!</v>
          </cell>
          <cell r="BO159" t="e">
            <v>#REF!</v>
          </cell>
          <cell r="BP159" t="e">
            <v>#REF!</v>
          </cell>
          <cell r="BQ159" t="e">
            <v>#REF!</v>
          </cell>
          <cell r="BR159" t="e">
            <v>#REF!</v>
          </cell>
          <cell r="BS159" t="e">
            <v>#REF!</v>
          </cell>
          <cell r="BT159" t="e">
            <v>#REF!</v>
          </cell>
          <cell r="BU159" t="e">
            <v>#REF!</v>
          </cell>
          <cell r="BV159">
            <v>143.614</v>
          </cell>
          <cell r="BW159">
            <v>102.887</v>
          </cell>
          <cell r="BX159">
            <v>164.60900000000001</v>
          </cell>
          <cell r="BY159">
            <v>222.346</v>
          </cell>
          <cell r="BZ159">
            <v>143.614</v>
          </cell>
          <cell r="CA159">
            <v>106.018</v>
          </cell>
          <cell r="CB159">
            <v>107.25700000000001</v>
          </cell>
          <cell r="CC159">
            <v>112.637</v>
          </cell>
          <cell r="CD159">
            <v>245.75399999999999</v>
          </cell>
          <cell r="CE159">
            <v>106.018</v>
          </cell>
          <cell r="CF159">
            <v>101.812</v>
          </cell>
          <cell r="CG159">
            <v>95.796000000000006</v>
          </cell>
          <cell r="CH159">
            <v>90.307000000000002</v>
          </cell>
          <cell r="CI159">
            <v>88.350999999999999</v>
          </cell>
          <cell r="CJ159">
            <v>101.812</v>
          </cell>
          <cell r="CK159">
            <v>64.143000000000001</v>
          </cell>
          <cell r="CL159">
            <v>8.3960000000000008</v>
          </cell>
          <cell r="CM159">
            <v>36.299999999999997</v>
          </cell>
          <cell r="CN159">
            <v>35.218300000000141</v>
          </cell>
          <cell r="CO159">
            <v>64.143000000000001</v>
          </cell>
          <cell r="CP159">
            <v>101.84708351970706</v>
          </cell>
          <cell r="CQ159">
            <v>82.711828802885762</v>
          </cell>
          <cell r="CR159">
            <v>266.29993063639887</v>
          </cell>
          <cell r="CS159">
            <v>302.15825985884726</v>
          </cell>
          <cell r="CT159">
            <v>101.84678351970692</v>
          </cell>
          <cell r="CU159">
            <v>308.12882222410764</v>
          </cell>
          <cell r="CV159">
            <v>262.91253588791449</v>
          </cell>
          <cell r="CW159">
            <v>484.43698306244971</v>
          </cell>
          <cell r="CX159">
            <v>557.49152702025981</v>
          </cell>
          <cell r="CY159">
            <v>308.12852222410754</v>
          </cell>
          <cell r="CZ159">
            <v>597.73612125164448</v>
          </cell>
          <cell r="DA159">
            <v>550.76694329887471</v>
          </cell>
          <cell r="DB159">
            <v>786.42408725743985</v>
          </cell>
          <cell r="DC159">
            <v>867.7327389397301</v>
          </cell>
          <cell r="DD159">
            <v>597.73582125164444</v>
          </cell>
          <cell r="DE159">
            <v>917.5130246992594</v>
          </cell>
          <cell r="DF159">
            <v>871.13251927605666</v>
          </cell>
          <cell r="DG159">
            <v>1120.4030336052492</v>
          </cell>
          <cell r="DH159">
            <v>1212.5973001733555</v>
          </cell>
          <cell r="DI159">
            <v>917.51272469925948</v>
          </cell>
        </row>
        <row r="160">
          <cell r="B160" t="str">
            <v>Change in cash &amp; equivalents</v>
          </cell>
          <cell r="F160">
            <v>25.092999999999982</v>
          </cell>
          <cell r="G160">
            <v>49.127000000000002</v>
          </cell>
          <cell r="H160">
            <v>35.007999999999974</v>
          </cell>
          <cell r="I160">
            <v>-34.057999999999915</v>
          </cell>
          <cell r="J160">
            <v>-44.154000000000011</v>
          </cell>
          <cell r="K160">
            <v>36.209000000000017</v>
          </cell>
          <cell r="L160">
            <v>-54.69600000000014</v>
          </cell>
          <cell r="M160">
            <v>-4.1110000000000237</v>
          </cell>
          <cell r="N160">
            <v>11.610999999999995</v>
          </cell>
          <cell r="O160">
            <v>-8.4630000000000223</v>
          </cell>
          <cell r="P160">
            <v>1.2040000000000646</v>
          </cell>
          <cell r="Q160">
            <v>0.24100000000001387</v>
          </cell>
          <cell r="R160">
            <v>11.748000000000001</v>
          </cell>
          <cell r="S160">
            <v>-0.27399999999997782</v>
          </cell>
          <cell r="T160">
            <v>-1.0600000000000058</v>
          </cell>
          <cell r="U160">
            <v>-6.8689999999999785</v>
          </cell>
          <cell r="V160">
            <v>3.5449999999999875</v>
          </cell>
          <cell r="W160">
            <v>17.580000000000044</v>
          </cell>
          <cell r="X160">
            <v>7.4970000000000265</v>
          </cell>
          <cell r="Y160">
            <v>8.1009999999999742</v>
          </cell>
          <cell r="Z160">
            <v>20.613999999999962</v>
          </cell>
          <cell r="AA160">
            <v>53.792000000000016</v>
          </cell>
          <cell r="AB160">
            <v>47.89700000000002</v>
          </cell>
          <cell r="AC160">
            <v>-5.1449999999999765</v>
          </cell>
          <cell r="AD160">
            <v>36.604999999999968</v>
          </cell>
          <cell r="AE160">
            <v>-25.883999999999983</v>
          </cell>
          <cell r="AF160">
            <v>53.473000000000084</v>
          </cell>
          <cell r="AG160">
            <v>65.564999999999998</v>
          </cell>
          <cell r="AH160">
            <v>-28.64100000000002</v>
          </cell>
          <cell r="AI160">
            <v>87.61399999999999</v>
          </cell>
          <cell r="AJ160">
            <v>147.06399999999994</v>
          </cell>
          <cell r="AK160">
            <v>271.60199999999992</v>
          </cell>
          <cell r="AL160">
            <v>-275.98800000000006</v>
          </cell>
          <cell r="AM160">
            <v>-16.555999999999898</v>
          </cell>
          <cell r="AN160">
            <v>12.818000000000026</v>
          </cell>
          <cell r="AO160">
            <v>-2.6660000000001389</v>
          </cell>
          <cell r="AP160">
            <v>-282.39200000000011</v>
          </cell>
          <cell r="AQ160">
            <v>79.497000000000043</v>
          </cell>
          <cell r="AR160">
            <v>-103.83099999999982</v>
          </cell>
          <cell r="AS160">
            <v>20.598999999999876</v>
          </cell>
          <cell r="AT160" t="e">
            <v>#REF!</v>
          </cell>
          <cell r="AU160" t="e">
            <v>#REF!</v>
          </cell>
          <cell r="AW160">
            <v>-16.555999999999898</v>
          </cell>
          <cell r="AX160">
            <v>12.818000000000026</v>
          </cell>
          <cell r="AY160">
            <v>-2.6660000000001389</v>
          </cell>
          <cell r="AZ160">
            <v>79.497000000000043</v>
          </cell>
          <cell r="BA160">
            <v>73.09299999999962</v>
          </cell>
          <cell r="BB160">
            <v>-103.83099999999982</v>
          </cell>
          <cell r="BC160">
            <v>20.598999999999876</v>
          </cell>
          <cell r="BD160" t="e">
            <v>#REF!</v>
          </cell>
          <cell r="BE160">
            <v>58.684000000000104</v>
          </cell>
          <cell r="BF160" t="e">
            <v>#REF!</v>
          </cell>
          <cell r="BG160">
            <v>-2.6359999999998274</v>
          </cell>
          <cell r="BH160">
            <v>21.834999999999823</v>
          </cell>
          <cell r="BI160">
            <v>-100.56199999999984</v>
          </cell>
          <cell r="BJ160">
            <v>10.917999999999971</v>
          </cell>
          <cell r="BK160">
            <v>-70.444999999999879</v>
          </cell>
          <cell r="BL160">
            <v>31.760999999999484</v>
          </cell>
          <cell r="BM160">
            <v>11.83700000000024</v>
          </cell>
          <cell r="BN160">
            <v>4.2090000000000831</v>
          </cell>
          <cell r="BO160">
            <v>9.3660000000000725</v>
          </cell>
          <cell r="BP160">
            <v>57.172999999999938</v>
          </cell>
          <cell r="BQ160">
            <v>330.88099999999997</v>
          </cell>
          <cell r="BR160">
            <v>-40.381999999999962</v>
          </cell>
          <cell r="BS160">
            <v>-234.45400000000001</v>
          </cell>
          <cell r="BT160">
            <v>-36.418000000000184</v>
          </cell>
          <cell r="BU160">
            <v>19.626999999999825</v>
          </cell>
          <cell r="BV160">
            <v>-40.727000000000125</v>
          </cell>
          <cell r="BW160">
            <v>61.721999999999994</v>
          </cell>
          <cell r="BX160">
            <v>57.737000000000108</v>
          </cell>
          <cell r="BY160">
            <v>-116.32800000000022</v>
          </cell>
          <cell r="BZ160">
            <v>-37.59600000000043</v>
          </cell>
          <cell r="CA160">
            <v>1.238999999999896</v>
          </cell>
          <cell r="CB160">
            <v>5.3799999999999848</v>
          </cell>
          <cell r="CC160">
            <v>133.11700000000013</v>
          </cell>
          <cell r="CD160">
            <v>-143.94200000000023</v>
          </cell>
          <cell r="CE160">
            <v>-4.2060000000001478</v>
          </cell>
          <cell r="CF160">
            <v>-6.0159999999998579</v>
          </cell>
          <cell r="CG160">
            <v>-5.4889999999998835</v>
          </cell>
          <cell r="CH160">
            <v>-1.9559999999998325</v>
          </cell>
          <cell r="CI160">
            <v>-24.208000000000325</v>
          </cell>
          <cell r="CJ160">
            <v>-37.668999999999897</v>
          </cell>
          <cell r="CK160">
            <v>-55.746999999999744</v>
          </cell>
          <cell r="CL160">
            <v>27.903999999999815</v>
          </cell>
          <cell r="CM160">
            <v>-1.0816999999998549</v>
          </cell>
          <cell r="CN160">
            <v>66.628783519706914</v>
          </cell>
          <cell r="CO160">
            <v>37.70408351970697</v>
          </cell>
          <cell r="CP160">
            <v>-19.135254716821294</v>
          </cell>
          <cell r="CQ160">
            <v>183.58810183351312</v>
          </cell>
          <cell r="CR160">
            <v>35.858329222448376</v>
          </cell>
          <cell r="CS160">
            <v>5.9705623652603634</v>
          </cell>
          <cell r="CT160">
            <v>206.28173870440037</v>
          </cell>
          <cell r="CU160">
            <v>-45.21628633619315</v>
          </cell>
          <cell r="CV160">
            <v>221.52444717453523</v>
          </cell>
          <cell r="CW160">
            <v>73.054543957810111</v>
          </cell>
          <cell r="CX160">
            <v>40.244594231384639</v>
          </cell>
          <cell r="CY160">
            <v>289.60729902753678</v>
          </cell>
          <cell r="CZ160">
            <v>-46.969177952769769</v>
          </cell>
          <cell r="DA160">
            <v>235.6571439585652</v>
          </cell>
          <cell r="DB160">
            <v>81.308651682290233</v>
          </cell>
          <cell r="DC160">
            <v>49.780285759529249</v>
          </cell>
          <cell r="DD160">
            <v>319.77690344761481</v>
          </cell>
          <cell r="DE160">
            <v>-46.380505423202791</v>
          </cell>
          <cell r="DF160">
            <v>249.27051432919257</v>
          </cell>
          <cell r="DG160">
            <v>92.194266568106343</v>
          </cell>
          <cell r="DH160">
            <v>60.490037252655256</v>
          </cell>
          <cell r="DI160">
            <v>355.57431272675132</v>
          </cell>
        </row>
        <row r="161">
          <cell r="B161" t="str">
            <v>Cash &amp; equivalents - ending balance</v>
          </cell>
          <cell r="F161">
            <v>25.248999999999981</v>
          </cell>
          <cell r="G161">
            <v>74.375999999999976</v>
          </cell>
          <cell r="H161">
            <v>109.38399999999999</v>
          </cell>
          <cell r="I161">
            <v>75.326000000000079</v>
          </cell>
          <cell r="J161">
            <v>31.172000000000068</v>
          </cell>
          <cell r="K161">
            <v>67.381000000000085</v>
          </cell>
          <cell r="L161">
            <v>12.684999999999945</v>
          </cell>
          <cell r="M161">
            <v>8.5739999999999217</v>
          </cell>
          <cell r="N161">
            <v>20.184999999999917</v>
          </cell>
          <cell r="O161">
            <v>11.721999999999895</v>
          </cell>
          <cell r="P161">
            <v>12.925999999999959</v>
          </cell>
          <cell r="Q161">
            <v>12.925999999999959</v>
          </cell>
          <cell r="R161">
            <v>24.67399999999996</v>
          </cell>
          <cell r="S161">
            <v>24.399999999999984</v>
          </cell>
          <cell r="T161">
            <v>23.339999999999979</v>
          </cell>
          <cell r="U161">
            <v>16.471</v>
          </cell>
          <cell r="V161">
            <v>16.470999999999947</v>
          </cell>
          <cell r="W161">
            <v>34.050999999999988</v>
          </cell>
          <cell r="X161">
            <v>41.548000000000016</v>
          </cell>
          <cell r="Y161">
            <v>49.648999999999987</v>
          </cell>
          <cell r="Z161">
            <v>70.262999999999948</v>
          </cell>
          <cell r="AA161">
            <v>70.262999999999963</v>
          </cell>
          <cell r="AB161">
            <v>118.15999999999998</v>
          </cell>
          <cell r="AC161">
            <v>113.015</v>
          </cell>
          <cell r="AD161">
            <v>149.61999999999998</v>
          </cell>
          <cell r="AE161">
            <v>123.73599999999999</v>
          </cell>
          <cell r="AF161">
            <v>123.73600000000005</v>
          </cell>
          <cell r="AG161">
            <v>189.30100000000004</v>
          </cell>
          <cell r="AH161">
            <v>160.66000000000003</v>
          </cell>
          <cell r="AI161">
            <v>248.274</v>
          </cell>
          <cell r="AJ161">
            <v>395.33799999999997</v>
          </cell>
          <cell r="AK161">
            <v>395.33799999999997</v>
          </cell>
          <cell r="AL161">
            <v>119.34999999999991</v>
          </cell>
          <cell r="AM161">
            <v>102.79400000000001</v>
          </cell>
          <cell r="AN161">
            <v>115.61200000000004</v>
          </cell>
          <cell r="AO161">
            <v>112.9459999999999</v>
          </cell>
          <cell r="AP161">
            <v>112.94599999999986</v>
          </cell>
          <cell r="AQ161">
            <v>192.4429999999999</v>
          </cell>
          <cell r="AR161">
            <v>88.61200000000008</v>
          </cell>
          <cell r="AS161">
            <v>109.21099999999996</v>
          </cell>
          <cell r="AT161" t="e">
            <v>#REF!</v>
          </cell>
          <cell r="AU161" t="e">
            <v>#REF!</v>
          </cell>
          <cell r="AW161">
            <v>102.79400000000001</v>
          </cell>
          <cell r="AX161">
            <v>115.61200000000004</v>
          </cell>
          <cell r="AY161">
            <v>112.9459999999999</v>
          </cell>
          <cell r="AZ161">
            <v>192.44299999999993</v>
          </cell>
          <cell r="BA161">
            <v>192.44299999999953</v>
          </cell>
          <cell r="BB161">
            <v>88.61200000000008</v>
          </cell>
          <cell r="BC161">
            <v>109.21099999999996</v>
          </cell>
          <cell r="BD161" t="e">
            <v>#REF!</v>
          </cell>
          <cell r="BE161" t="e">
            <v>#REF!</v>
          </cell>
          <cell r="BF161" t="e">
            <v>#REF!</v>
          </cell>
          <cell r="BG161" t="e">
            <v>#REF!</v>
          </cell>
          <cell r="BH161" t="e">
            <v>#REF!</v>
          </cell>
          <cell r="BI161" t="e">
            <v>#REF!</v>
          </cell>
          <cell r="BJ161" t="e">
            <v>#REF!</v>
          </cell>
          <cell r="BK161" t="e">
            <v>#REF!</v>
          </cell>
          <cell r="BL161" t="e">
            <v>#REF!</v>
          </cell>
          <cell r="BM161" t="e">
            <v>#REF!</v>
          </cell>
          <cell r="BN161" t="e">
            <v>#REF!</v>
          </cell>
          <cell r="BO161" t="e">
            <v>#REF!</v>
          </cell>
          <cell r="BP161" t="e">
            <v>#REF!</v>
          </cell>
          <cell r="BQ161" t="e">
            <v>#REF!</v>
          </cell>
          <cell r="BR161" t="e">
            <v>#REF!</v>
          </cell>
          <cell r="BS161" t="e">
            <v>#REF!</v>
          </cell>
          <cell r="BT161" t="e">
            <v>#REF!</v>
          </cell>
          <cell r="BU161" t="e">
            <v>#REF!</v>
          </cell>
          <cell r="BV161">
            <v>102.88699999999989</v>
          </cell>
          <cell r="BW161">
            <v>164.60899999999998</v>
          </cell>
          <cell r="BX161">
            <v>222.34600000000012</v>
          </cell>
          <cell r="BY161">
            <v>106.01799999999979</v>
          </cell>
          <cell r="BZ161">
            <v>106.01799999999957</v>
          </cell>
          <cell r="CA161">
            <v>107.25699999999989</v>
          </cell>
          <cell r="CB161">
            <v>112.63699999999999</v>
          </cell>
          <cell r="CC161">
            <v>245.75400000000013</v>
          </cell>
          <cell r="CD161">
            <v>101.81199999999976</v>
          </cell>
          <cell r="CE161">
            <v>101.81199999999986</v>
          </cell>
          <cell r="CF161">
            <v>95.796000000000134</v>
          </cell>
          <cell r="CG161">
            <v>90.30700000000013</v>
          </cell>
          <cell r="CH161">
            <v>88.35100000000017</v>
          </cell>
          <cell r="CI161">
            <v>64.143000000000001</v>
          </cell>
          <cell r="CJ161">
            <v>64.1430000000001</v>
          </cell>
          <cell r="CK161">
            <v>8.3960000000002566</v>
          </cell>
          <cell r="CL161">
            <v>36.299999999999812</v>
          </cell>
          <cell r="CM161">
            <v>35.218300000000141</v>
          </cell>
          <cell r="CN161">
            <v>101.84708351970706</v>
          </cell>
          <cell r="CO161">
            <v>101.84708351970697</v>
          </cell>
          <cell r="CP161">
            <v>82.711828802885762</v>
          </cell>
          <cell r="CQ161">
            <v>266.29993063639887</v>
          </cell>
          <cell r="CR161">
            <v>302.15825985884726</v>
          </cell>
          <cell r="CS161">
            <v>308.12882222410764</v>
          </cell>
          <cell r="CT161">
            <v>308.12852222410731</v>
          </cell>
          <cell r="CU161">
            <v>262.91253588791449</v>
          </cell>
          <cell r="CV161">
            <v>484.43698306244971</v>
          </cell>
          <cell r="CW161">
            <v>557.49152702025981</v>
          </cell>
          <cell r="CX161">
            <v>597.73612125164448</v>
          </cell>
          <cell r="CY161">
            <v>597.73582125164432</v>
          </cell>
          <cell r="CZ161">
            <v>550.76694329887471</v>
          </cell>
          <cell r="DA161">
            <v>786.42408725743985</v>
          </cell>
          <cell r="DB161">
            <v>867.7327389397301</v>
          </cell>
          <cell r="DC161">
            <v>917.5130246992594</v>
          </cell>
          <cell r="DD161">
            <v>917.51272469925925</v>
          </cell>
          <cell r="DE161">
            <v>871.13251927605666</v>
          </cell>
          <cell r="DF161">
            <v>1120.4030336052492</v>
          </cell>
          <cell r="DG161">
            <v>1212.5973001733555</v>
          </cell>
          <cell r="DH161">
            <v>1273.0873374260107</v>
          </cell>
          <cell r="DI161">
            <v>1273.0870374260107</v>
          </cell>
        </row>
        <row r="163">
          <cell r="B163" t="str">
            <v>Check</v>
          </cell>
          <cell r="F163" t="str">
            <v>ok</v>
          </cell>
          <cell r="G163" t="str">
            <v>ok</v>
          </cell>
          <cell r="H163" t="str">
            <v>ok</v>
          </cell>
          <cell r="I163" t="str">
            <v>ok</v>
          </cell>
          <cell r="J163" t="str">
            <v>ok</v>
          </cell>
          <cell r="K163" t="str">
            <v>ok</v>
          </cell>
          <cell r="L163" t="str">
            <v>ok</v>
          </cell>
          <cell r="M163" t="str">
            <v>ok</v>
          </cell>
          <cell r="N163" t="str">
            <v>ok</v>
          </cell>
          <cell r="O163" t="str">
            <v>ok</v>
          </cell>
          <cell r="P163" t="str">
            <v>ok</v>
          </cell>
          <cell r="Q163" t="str">
            <v>ok</v>
          </cell>
          <cell r="R163" t="str">
            <v>ok</v>
          </cell>
          <cell r="S163" t="str">
            <v>ok</v>
          </cell>
          <cell r="T163" t="str">
            <v>ok</v>
          </cell>
          <cell r="U163" t="str">
            <v>ok</v>
          </cell>
          <cell r="V163">
            <v>-5.3290705182007514E-14</v>
          </cell>
          <cell r="W163" t="str">
            <v>ok</v>
          </cell>
          <cell r="X163" t="str">
            <v>ok</v>
          </cell>
          <cell r="Y163" t="str">
            <v>ok</v>
          </cell>
          <cell r="Z163">
            <v>-5.6843418860808015E-14</v>
          </cell>
          <cell r="AA163" t="str">
            <v>ok</v>
          </cell>
          <cell r="AB163" t="str">
            <v>ok</v>
          </cell>
          <cell r="AC163" t="str">
            <v>ok</v>
          </cell>
          <cell r="AD163" t="str">
            <v>ok</v>
          </cell>
          <cell r="AE163" t="str">
            <v>ok</v>
          </cell>
          <cell r="AF163" t="str">
            <v>ok</v>
          </cell>
          <cell r="AG163" t="str">
            <v>ok</v>
          </cell>
          <cell r="AH163" t="str">
            <v>ok</v>
          </cell>
          <cell r="AI163" t="str">
            <v>ok</v>
          </cell>
          <cell r="AJ163" t="str">
            <v>ok</v>
          </cell>
          <cell r="AK163" t="str">
            <v>ok</v>
          </cell>
          <cell r="AL163" t="str">
            <v>ok</v>
          </cell>
          <cell r="AM163" t="str">
            <v>ok</v>
          </cell>
          <cell r="AN163" t="str">
            <v>ok</v>
          </cell>
          <cell r="AO163" t="str">
            <v>ok</v>
          </cell>
          <cell r="AP163" t="str">
            <v>ok</v>
          </cell>
          <cell r="AQ163" t="str">
            <v>ok</v>
          </cell>
          <cell r="AR163" t="str">
            <v>ok</v>
          </cell>
          <cell r="AS163" t="str">
            <v>ok</v>
          </cell>
          <cell r="AT163" t="e">
            <v>#REF!</v>
          </cell>
          <cell r="AU163" t="e">
            <v>#REF!</v>
          </cell>
          <cell r="AW163" t="str">
            <v>ok</v>
          </cell>
          <cell r="AX163" t="str">
            <v>ok</v>
          </cell>
          <cell r="AY163" t="str">
            <v>ok</v>
          </cell>
          <cell r="AZ163" t="str">
            <v>ok</v>
          </cell>
          <cell r="BA163" t="str">
            <v>ok</v>
          </cell>
          <cell r="BB163" t="str">
            <v>ok</v>
          </cell>
          <cell r="BC163" t="str">
            <v>ok</v>
          </cell>
          <cell r="BD163" t="e">
            <v>#REF!</v>
          </cell>
          <cell r="BE163" t="e">
            <v>#REF!</v>
          </cell>
          <cell r="BF163" t="e">
            <v>#REF!</v>
          </cell>
          <cell r="BG163" t="e">
            <v>#REF!</v>
          </cell>
          <cell r="BH163" t="e">
            <v>#REF!</v>
          </cell>
          <cell r="BI163" t="e">
            <v>#REF!</v>
          </cell>
          <cell r="BJ163" t="e">
            <v>#REF!</v>
          </cell>
          <cell r="BK163" t="e">
            <v>#REF!</v>
          </cell>
          <cell r="BL163" t="e">
            <v>#REF!</v>
          </cell>
          <cell r="BM163" t="e">
            <v>#REF!</v>
          </cell>
          <cell r="BN163" t="e">
            <v>#REF!</v>
          </cell>
          <cell r="BO163" t="e">
            <v>#REF!</v>
          </cell>
          <cell r="BP163" t="e">
            <v>#REF!</v>
          </cell>
          <cell r="BQ163" t="e">
            <v>#REF!</v>
          </cell>
          <cell r="BR163" t="e">
            <v>#REF!</v>
          </cell>
          <cell r="BS163" t="e">
            <v>#REF!</v>
          </cell>
          <cell r="BT163" t="e">
            <v>#REF!</v>
          </cell>
          <cell r="BU163" t="e">
            <v>#REF!</v>
          </cell>
          <cell r="BV163">
            <v>-1.1368683772161603E-13</v>
          </cell>
          <cell r="BW163">
            <v>0</v>
          </cell>
          <cell r="BX163">
            <v>0</v>
          </cell>
          <cell r="BY163">
            <v>-2.1316282072803006E-13</v>
          </cell>
          <cell r="BZ163">
            <v>-4.2632564145606011E-13</v>
          </cell>
          <cell r="CA163">
            <v>-1.1368683772161603E-13</v>
          </cell>
          <cell r="CB163">
            <v>0</v>
          </cell>
          <cell r="CC163">
            <v>0</v>
          </cell>
          <cell r="CD163">
            <v>-2.4158453015843406E-13</v>
          </cell>
          <cell r="CE163">
            <v>-1.4210854715202004E-13</v>
          </cell>
          <cell r="CF163">
            <v>1.2789769243681803E-13</v>
          </cell>
          <cell r="CG163">
            <v>1.2789769243681803E-13</v>
          </cell>
          <cell r="CH163">
            <v>1.7053025658242404E-13</v>
          </cell>
          <cell r="CI163">
            <v>0</v>
          </cell>
          <cell r="CJ163">
            <v>0</v>
          </cell>
          <cell r="CK163">
            <v>2.5579538487363607E-13</v>
          </cell>
          <cell r="CL163">
            <v>-1.8474111129762605E-13</v>
          </cell>
          <cell r="CM163">
            <v>3.0000000013785666E-4</v>
          </cell>
          <cell r="CN163">
            <v>3.0000000013785666E-4</v>
          </cell>
          <cell r="CO163">
            <v>3.0000000005259153E-4</v>
          </cell>
          <cell r="CP163">
            <v>3.0000000013785666E-4</v>
          </cell>
          <cell r="CQ163">
            <v>3.000000000952241E-4</v>
          </cell>
          <cell r="CR163">
            <v>3.000000000952241E-4</v>
          </cell>
          <cell r="CS163">
            <v>3.000000000952241E-4</v>
          </cell>
          <cell r="CT163">
            <v>0</v>
          </cell>
          <cell r="CU163">
            <v>3.000000000952241E-4</v>
          </cell>
          <cell r="CV163">
            <v>3.000000000952241E-4</v>
          </cell>
          <cell r="CW163">
            <v>3.0000000003838068E-4</v>
          </cell>
          <cell r="CX163">
            <v>3.0000000003838068E-4</v>
          </cell>
          <cell r="CY163">
            <v>0</v>
          </cell>
          <cell r="CZ163">
            <v>3.0000000003838068E-4</v>
          </cell>
          <cell r="DA163">
            <v>2.9999999992469384E-4</v>
          </cell>
          <cell r="DB163">
            <v>2.9999999992469384E-4</v>
          </cell>
          <cell r="DC163">
            <v>2.9999999992469384E-4</v>
          </cell>
          <cell r="DD163">
            <v>0</v>
          </cell>
          <cell r="DE163">
            <v>2.9999999992469384E-4</v>
          </cell>
          <cell r="DF163">
            <v>2.9999999992469384E-4</v>
          </cell>
          <cell r="DG163">
            <v>2.9999999992469384E-4</v>
          </cell>
          <cell r="DH163">
            <v>2.9999999992469384E-4</v>
          </cell>
          <cell r="DI163">
            <v>0</v>
          </cell>
        </row>
        <row r="165">
          <cell r="B165" t="str">
            <v>Free cash flow</v>
          </cell>
          <cell r="AW165">
            <v>19.052000000000021</v>
          </cell>
          <cell r="AX165">
            <v>96.881000000000043</v>
          </cell>
          <cell r="AY165">
            <v>101.13399999999989</v>
          </cell>
          <cell r="AZ165">
            <v>112.89900000000004</v>
          </cell>
          <cell r="BA165">
            <v>329.96600000000001</v>
          </cell>
          <cell r="BB165">
            <v>34.479000000000113</v>
          </cell>
          <cell r="BC165">
            <v>89.865999999999971</v>
          </cell>
          <cell r="BD165">
            <v>53.130000000000024</v>
          </cell>
          <cell r="BE165">
            <v>64.050000000000097</v>
          </cell>
          <cell r="BF165">
            <v>241.5250000000002</v>
          </cell>
          <cell r="BG165">
            <v>44.069000000000173</v>
          </cell>
          <cell r="BH165">
            <v>53.517999999999901</v>
          </cell>
          <cell r="BI165">
            <v>1.0230000000000956</v>
          </cell>
          <cell r="BJ165">
            <v>10.553999999999974</v>
          </cell>
          <cell r="BK165">
            <v>109.16400000000014</v>
          </cell>
          <cell r="BL165">
            <v>6.3929999999997591</v>
          </cell>
          <cell r="BM165">
            <v>71.158000000000058</v>
          </cell>
          <cell r="BN165">
            <v>-49.666999999999959</v>
          </cell>
          <cell r="BO165">
            <v>23.97300000000007</v>
          </cell>
          <cell r="BP165">
            <v>51.856999999999928</v>
          </cell>
          <cell r="BQ165">
            <v>98.322999999999922</v>
          </cell>
          <cell r="BR165">
            <v>94.414000000000016</v>
          </cell>
          <cell r="BS165">
            <v>23.862999999999914</v>
          </cell>
          <cell r="BT165">
            <v>-9.2140000000000342</v>
          </cell>
          <cell r="BU165">
            <v>207.38599999999983</v>
          </cell>
          <cell r="BV165">
            <v>51.564999999999884</v>
          </cell>
          <cell r="BW165">
            <v>88.143999999999991</v>
          </cell>
          <cell r="BX165">
            <v>58.976000000000099</v>
          </cell>
          <cell r="BY165">
            <v>43.532999999999831</v>
          </cell>
          <cell r="BZ165">
            <v>242.21799999999985</v>
          </cell>
          <cell r="CA165">
            <v>46.751999999999889</v>
          </cell>
          <cell r="CB165">
            <v>98.089999999999975</v>
          </cell>
          <cell r="CC165">
            <v>67.312000000000111</v>
          </cell>
          <cell r="CD165">
            <v>15.531999999999968</v>
          </cell>
          <cell r="CE165">
            <v>227.68599999999998</v>
          </cell>
          <cell r="CF165">
            <v>69.363000000000142</v>
          </cell>
          <cell r="CG165">
            <v>69.100000000000023</v>
          </cell>
          <cell r="CH165">
            <v>105.66900000000015</v>
          </cell>
          <cell r="CI165">
            <v>-2.1560000000001196</v>
          </cell>
          <cell r="CJ165">
            <v>241.9760000000002</v>
          </cell>
          <cell r="CK165">
            <v>-18.729999999999755</v>
          </cell>
          <cell r="CL165">
            <v>115.55599999999988</v>
          </cell>
          <cell r="CM165">
            <v>78.896300000000167</v>
          </cell>
          <cell r="CN165">
            <v>82.151533519706931</v>
          </cell>
          <cell r="CO165">
            <v>257.8738335197072</v>
          </cell>
          <cell r="CP165">
            <v>6.3874952831787226</v>
          </cell>
          <cell r="CQ165">
            <v>209.11085183351312</v>
          </cell>
          <cell r="CR165">
            <v>61.381079222448392</v>
          </cell>
          <cell r="CS165">
            <v>31.49331236526038</v>
          </cell>
          <cell r="CT165">
            <v>308.3727387044006</v>
          </cell>
          <cell r="CU165">
            <v>-19.693536336193134</v>
          </cell>
          <cell r="CV165">
            <v>247.04719717453526</v>
          </cell>
          <cell r="CW165">
            <v>98.577293957810127</v>
          </cell>
          <cell r="CX165">
            <v>65.767344231384655</v>
          </cell>
          <cell r="CY165">
            <v>391.6982990275369</v>
          </cell>
          <cell r="CZ165">
            <v>-20.946427952769753</v>
          </cell>
          <cell r="DA165">
            <v>261.67989395856523</v>
          </cell>
          <cell r="DB165">
            <v>107.33140168229025</v>
          </cell>
          <cell r="DC165">
            <v>75.803035759529266</v>
          </cell>
          <cell r="DD165">
            <v>423.86790344761505</v>
          </cell>
          <cell r="DE165">
            <v>-20.357755423202775</v>
          </cell>
          <cell r="DF165">
            <v>275.2932643291926</v>
          </cell>
          <cell r="DG165">
            <v>118.21701656810636</v>
          </cell>
          <cell r="DH165">
            <v>86.512787252655272</v>
          </cell>
          <cell r="DI165">
            <v>459.66531272675149</v>
          </cell>
        </row>
        <row r="166">
          <cell r="B166" t="str">
            <v>y/y growth</v>
          </cell>
          <cell r="BB166">
            <v>0.80973126180978761</v>
          </cell>
          <cell r="BC166">
            <v>-7.2408418575366396E-2</v>
          </cell>
          <cell r="BD166">
            <v>-0.47465738525125001</v>
          </cell>
          <cell r="BE166">
            <v>-0.43267876597666877</v>
          </cell>
          <cell r="BF166">
            <v>-0.26803064558166534</v>
          </cell>
          <cell r="BG166">
            <v>0.27814031729458599</v>
          </cell>
          <cell r="BH166">
            <v>-0.40446887588186942</v>
          </cell>
          <cell r="BI166">
            <v>-0.98074534161490501</v>
          </cell>
          <cell r="BJ166">
            <v>-0.83522248243559782</v>
          </cell>
          <cell r="BK166">
            <v>-0.54802194389814696</v>
          </cell>
          <cell r="BL166">
            <v>-0.85493203839434218</v>
          </cell>
          <cell r="BM166">
            <v>0.32960872977316402</v>
          </cell>
          <cell r="BN166" t="str">
            <v>nm</v>
          </cell>
          <cell r="BO166">
            <v>1.2714610574190002</v>
          </cell>
          <cell r="BP166">
            <v>-0.52496244183064145</v>
          </cell>
          <cell r="BQ166">
            <v>14.379790395745914</v>
          </cell>
          <cell r="BR166">
            <v>0.32682200174260001</v>
          </cell>
          <cell r="BS166" t="str">
            <v>nm</v>
          </cell>
          <cell r="BT166" t="str">
            <v>nm</v>
          </cell>
          <cell r="BU166">
            <v>2.999190080413447</v>
          </cell>
          <cell r="BV166">
            <v>-0.47555505832816403</v>
          </cell>
          <cell r="BW166">
            <v>-6.6409642637744626E-2</v>
          </cell>
          <cell r="BX166">
            <v>1.4714411431924028</v>
          </cell>
          <cell r="BY166" t="str">
            <v>nm</v>
          </cell>
          <cell r="BZ166">
            <v>0.16795733559642434</v>
          </cell>
          <cell r="CA166">
            <v>-9.3338504799767352E-2</v>
          </cell>
          <cell r="CB166">
            <v>0.11283808313668531</v>
          </cell>
          <cell r="CC166">
            <v>0.14134563212154094</v>
          </cell>
          <cell r="CD166">
            <v>-0.64321319458801307</v>
          </cell>
          <cell r="CE166">
            <v>-5.9995541206681047E-2</v>
          </cell>
          <cell r="CF166">
            <v>0.48363706365503734</v>
          </cell>
          <cell r="CG166">
            <v>-0.29554490773779141</v>
          </cell>
          <cell r="CH166">
            <v>0.56983895887806013</v>
          </cell>
          <cell r="CI166" t="str">
            <v>nm</v>
          </cell>
          <cell r="CJ166">
            <v>6.2761873808667268E-2</v>
          </cell>
          <cell r="CK166" t="str">
            <v>nm</v>
          </cell>
          <cell r="CL166">
            <v>-0.90756157332592302</v>
          </cell>
          <cell r="CM166">
            <v>-0.25336380584655804</v>
          </cell>
          <cell r="CN166" t="str">
            <v>nm</v>
          </cell>
          <cell r="CO166">
            <v>6.5700042647646839E-2</v>
          </cell>
          <cell r="CP166" t="str">
            <v>nm</v>
          </cell>
          <cell r="CQ166" t="str">
            <v>nm</v>
          </cell>
          <cell r="CR166">
            <v>-0.22200306956792315</v>
          </cell>
          <cell r="CS166">
            <v>-0.61664364600442179</v>
          </cell>
          <cell r="CT166">
            <v>0.19582795390845331</v>
          </cell>
          <cell r="CU166" t="str">
            <v>nm</v>
          </cell>
          <cell r="CV166" t="str">
            <v>nm</v>
          </cell>
          <cell r="CW166">
            <v>0.60598828183780573</v>
          </cell>
          <cell r="CX166">
            <v>1.0882955552154385</v>
          </cell>
          <cell r="CY166">
            <v>0.2702105272768951</v>
          </cell>
          <cell r="CZ166" t="str">
            <v>nm</v>
          </cell>
          <cell r="DA166" t="str">
            <v>nm</v>
          </cell>
          <cell r="DB166">
            <v>8.8804504293116038E-2</v>
          </cell>
          <cell r="DC166">
            <v>0.15259383886380973</v>
          </cell>
          <cell r="DD166">
            <v>8.2128527236255744E-2</v>
          </cell>
          <cell r="DE166" t="str">
            <v>nm</v>
          </cell>
          <cell r="DF166" t="str">
            <v>nm</v>
          </cell>
          <cell r="DG166">
            <v>0.10142059746912113</v>
          </cell>
          <cell r="DH166">
            <v>0.14128393916967474</v>
          </cell>
          <cell r="DI166">
            <v>8.445416363912206E-2</v>
          </cell>
        </row>
        <row r="168">
          <cell r="B168" t="str">
            <v>Free cash flow per share</v>
          </cell>
          <cell r="AW168">
            <v>7.7082734875365724E-2</v>
          </cell>
          <cell r="AX168">
            <v>0.39201492295740015</v>
          </cell>
          <cell r="AY168">
            <v>0.40995561320659069</v>
          </cell>
          <cell r="AZ168">
            <v>0.45638069520856678</v>
          </cell>
          <cell r="BA168">
            <v>1.335390586347462</v>
          </cell>
          <cell r="BB168">
            <v>0.13853219118639754</v>
          </cell>
          <cell r="BC168">
            <v>0.35852609573356087</v>
          </cell>
          <cell r="BD168">
            <v>0.21263141886348455</v>
          </cell>
          <cell r="BE168">
            <v>0.26175228956628033</v>
          </cell>
          <cell r="BF168">
            <v>0.97182599878484099</v>
          </cell>
          <cell r="BG168">
            <v>0.18104099909621302</v>
          </cell>
          <cell r="BH168">
            <v>0.21973140198964489</v>
          </cell>
          <cell r="BI168">
            <v>4.2057227429702993E-3</v>
          </cell>
          <cell r="BJ168">
            <v>4.3836367487819661E-2</v>
          </cell>
          <cell r="BK168">
            <v>0.4486068874825353</v>
          </cell>
          <cell r="BL168">
            <v>2.6157937806872991E-2</v>
          </cell>
          <cell r="BM168">
            <v>0.28832953799525129</v>
          </cell>
          <cell r="BN168">
            <v>-0.20260915324899936</v>
          </cell>
          <cell r="BO168">
            <v>9.8202508622879395E-2</v>
          </cell>
          <cell r="BP168">
            <v>0.21155846751985741</v>
          </cell>
          <cell r="BQ168">
            <v>0.40340289003585844</v>
          </cell>
          <cell r="BR168">
            <v>0.38414341397521345</v>
          </cell>
          <cell r="BS168">
            <v>9.7477584199668774E-2</v>
          </cell>
          <cell r="BT168">
            <v>-3.7705736477251471E-2</v>
          </cell>
          <cell r="BU168">
            <v>0.84761169080111587</v>
          </cell>
          <cell r="BV168">
            <v>0.21027284701238386</v>
          </cell>
          <cell r="BW168">
            <v>0.35843424937173157</v>
          </cell>
          <cell r="BX168">
            <v>0.23827339059608788</v>
          </cell>
          <cell r="BY168">
            <v>0.17471134281276646</v>
          </cell>
          <cell r="BZ168">
            <v>0.98077865284554433</v>
          </cell>
          <cell r="CA168">
            <v>0.1871075412119243</v>
          </cell>
          <cell r="CB168">
            <v>0.390488777776893</v>
          </cell>
          <cell r="CC168">
            <v>0.26820521811198106</v>
          </cell>
          <cell r="CD168">
            <v>6.1544069865119615E-2</v>
          </cell>
          <cell r="CE168">
            <v>0.90673261491163093</v>
          </cell>
          <cell r="CF168">
            <v>0.27337650309190642</v>
          </cell>
          <cell r="CG168">
            <v>0.27073089505749609</v>
          </cell>
          <cell r="CH168">
            <v>0.41418682679794983</v>
          </cell>
          <cell r="CI168">
            <v>-8.4208223972008171E-3</v>
          </cell>
          <cell r="CJ168">
            <v>0.94878782294333841</v>
          </cell>
          <cell r="CK168">
            <v>-7.3250188698429614E-2</v>
          </cell>
          <cell r="CL168">
            <v>2.46952772674588E-2</v>
          </cell>
          <cell r="CM168">
            <v>0.30724772571499848</v>
          </cell>
          <cell r="CN168">
            <v>0.3176135258461581</v>
          </cell>
          <cell r="CO168">
            <v>1.0042153195717296</v>
          </cell>
          <cell r="CP168">
            <v>2.46952772674588E-2</v>
          </cell>
          <cell r="CQ168">
            <v>0.80846250943816333</v>
          </cell>
          <cell r="CR168">
            <v>0.23731098077928783</v>
          </cell>
          <cell r="CS168">
            <v>0.12175916324806352</v>
          </cell>
          <cell r="CT168">
            <v>1.1922279307329735</v>
          </cell>
          <cell r="CU168">
            <v>-7.6138974455264019E-2</v>
          </cell>
          <cell r="CV168">
            <v>0.9551316692851809</v>
          </cell>
          <cell r="CW168">
            <v>0.38111865428297298</v>
          </cell>
          <cell r="CX168">
            <v>0.25426911941768199</v>
          </cell>
          <cell r="CY168">
            <v>1.514380468530572</v>
          </cell>
          <cell r="CZ168">
            <v>-8.0982892843574253E-2</v>
          </cell>
          <cell r="DA168">
            <v>1.0117044710223344</v>
          </cell>
          <cell r="DB168">
            <v>0.41496370745343192</v>
          </cell>
          <cell r="DC168">
            <v>0.29306902045414657</v>
          </cell>
          <cell r="DD168">
            <v>1.6387543060863388</v>
          </cell>
          <cell r="DE168">
            <v>-7.8706972362556166E-2</v>
          </cell>
          <cell r="DF168">
            <v>1.0643363620755595</v>
          </cell>
          <cell r="DG168">
            <v>0.45704957459136059</v>
          </cell>
          <cell r="DH168">
            <v>0.33447496611250632</v>
          </cell>
          <cell r="DI168">
            <v>1.7771539304168702</v>
          </cell>
        </row>
        <row r="169">
          <cell r="B169" t="str">
            <v>CUMULATIVE CASH FLOW STATEMENT</v>
          </cell>
        </row>
        <row r="170">
          <cell r="B170" t="str">
            <v>Fiscal Year ends December 31</v>
          </cell>
          <cell r="M170">
            <v>36160</v>
          </cell>
          <cell r="N170">
            <v>36250</v>
          </cell>
          <cell r="O170">
            <v>36341</v>
          </cell>
          <cell r="P170">
            <v>36433</v>
          </cell>
          <cell r="R170">
            <v>36525</v>
          </cell>
          <cell r="S170">
            <v>36616</v>
          </cell>
          <cell r="T170">
            <v>36707</v>
          </cell>
          <cell r="U170">
            <v>36799</v>
          </cell>
          <cell r="W170">
            <v>36891</v>
          </cell>
          <cell r="X170">
            <v>36981</v>
          </cell>
          <cell r="Y170">
            <v>37072</v>
          </cell>
          <cell r="Z170">
            <v>37164</v>
          </cell>
          <cell r="AB170">
            <v>37256</v>
          </cell>
          <cell r="AC170">
            <v>37346</v>
          </cell>
          <cell r="AD170">
            <v>37437</v>
          </cell>
          <cell r="AE170">
            <v>37529</v>
          </cell>
          <cell r="AG170">
            <v>37621</v>
          </cell>
          <cell r="AH170">
            <v>37711</v>
          </cell>
          <cell r="AI170">
            <v>37802</v>
          </cell>
          <cell r="AJ170">
            <v>37894</v>
          </cell>
          <cell r="AL170">
            <v>37986</v>
          </cell>
          <cell r="AM170">
            <v>38077</v>
          </cell>
          <cell r="AN170">
            <v>38168</v>
          </cell>
          <cell r="AO170">
            <v>38260</v>
          </cell>
          <cell r="AQ170">
            <v>38352</v>
          </cell>
          <cell r="AR170">
            <v>38442</v>
          </cell>
          <cell r="AS170">
            <v>38533</v>
          </cell>
          <cell r="AT170">
            <v>38625</v>
          </cell>
          <cell r="AW170">
            <v>38077</v>
          </cell>
          <cell r="AX170">
            <v>38168</v>
          </cell>
          <cell r="AY170">
            <v>38260</v>
          </cell>
          <cell r="AZ170">
            <v>38352</v>
          </cell>
          <cell r="BB170">
            <v>38442</v>
          </cell>
          <cell r="BC170">
            <v>38533</v>
          </cell>
          <cell r="BD170">
            <v>38625</v>
          </cell>
          <cell r="BE170">
            <v>38717</v>
          </cell>
          <cell r="BG170">
            <v>38807</v>
          </cell>
          <cell r="BH170">
            <v>38898</v>
          </cell>
          <cell r="BI170">
            <v>38990</v>
          </cell>
          <cell r="BJ170">
            <v>39082</v>
          </cell>
          <cell r="BL170">
            <v>39172</v>
          </cell>
          <cell r="BM170">
            <v>39263</v>
          </cell>
          <cell r="BN170">
            <v>39355</v>
          </cell>
          <cell r="BO170">
            <v>39447</v>
          </cell>
          <cell r="BQ170">
            <v>39538</v>
          </cell>
          <cell r="BR170">
            <v>39629</v>
          </cell>
          <cell r="BS170">
            <v>39721</v>
          </cell>
          <cell r="BT170">
            <v>39813</v>
          </cell>
          <cell r="BV170">
            <v>39903</v>
          </cell>
          <cell r="BW170">
            <v>39994</v>
          </cell>
          <cell r="BX170">
            <v>40086</v>
          </cell>
          <cell r="BY170">
            <v>40178</v>
          </cell>
          <cell r="CA170">
            <v>40268</v>
          </cell>
          <cell r="CB170">
            <v>40359</v>
          </cell>
          <cell r="CC170">
            <v>40451</v>
          </cell>
          <cell r="CD170">
            <v>40543</v>
          </cell>
          <cell r="CF170">
            <v>40633</v>
          </cell>
          <cell r="CG170">
            <v>40724</v>
          </cell>
          <cell r="CH170">
            <v>40816</v>
          </cell>
          <cell r="CI170">
            <v>40908</v>
          </cell>
          <cell r="CK170">
            <v>40999</v>
          </cell>
          <cell r="CL170">
            <v>41364</v>
          </cell>
          <cell r="CM170">
            <v>41182</v>
          </cell>
          <cell r="CN170">
            <v>41274</v>
          </cell>
          <cell r="CP170">
            <v>41364</v>
          </cell>
          <cell r="CQ170">
            <v>41455</v>
          </cell>
          <cell r="CR170">
            <v>41547</v>
          </cell>
          <cell r="CS170">
            <v>41639</v>
          </cell>
          <cell r="CU170">
            <v>41729</v>
          </cell>
          <cell r="CV170">
            <v>41820</v>
          </cell>
          <cell r="CW170">
            <v>41912</v>
          </cell>
          <cell r="CX170">
            <v>42004</v>
          </cell>
          <cell r="CZ170">
            <v>42094</v>
          </cell>
          <cell r="DA170">
            <v>42185</v>
          </cell>
          <cell r="DB170">
            <v>42277</v>
          </cell>
          <cell r="DC170">
            <v>42369</v>
          </cell>
          <cell r="DE170">
            <v>42460</v>
          </cell>
          <cell r="DF170">
            <v>42551</v>
          </cell>
          <cell r="DG170">
            <v>42643</v>
          </cell>
          <cell r="DH170">
            <v>42735</v>
          </cell>
        </row>
        <row r="171">
          <cell r="B171" t="str">
            <v>($ Million, except per share data)</v>
          </cell>
          <cell r="F171" t="str">
            <v>F1992A</v>
          </cell>
          <cell r="G171" t="str">
            <v>F1993A</v>
          </cell>
          <cell r="H171" t="str">
            <v>F1994A</v>
          </cell>
          <cell r="I171" t="str">
            <v>F1995A</v>
          </cell>
          <cell r="J171" t="str">
            <v>F1996A</v>
          </cell>
          <cell r="K171" t="str">
            <v>F1997A</v>
          </cell>
          <cell r="L171" t="str">
            <v>F1998A</v>
          </cell>
          <cell r="M171" t="str">
            <v>F1Q99A</v>
          </cell>
          <cell r="N171" t="str">
            <v>F2Q99A</v>
          </cell>
          <cell r="O171" t="str">
            <v>F3Q99A</v>
          </cell>
          <cell r="P171" t="str">
            <v>F4Q99A</v>
          </cell>
          <cell r="Q171" t="str">
            <v>F1999A</v>
          </cell>
          <cell r="R171" t="str">
            <v>F1Q00A</v>
          </cell>
          <cell r="S171" t="str">
            <v>F2Q00A</v>
          </cell>
          <cell r="T171" t="str">
            <v>F3Q00A</v>
          </cell>
          <cell r="U171" t="str">
            <v>F4Q00A</v>
          </cell>
          <cell r="V171" t="str">
            <v>F2000A</v>
          </cell>
          <cell r="W171" t="str">
            <v>F1Q01A</v>
          </cell>
          <cell r="X171" t="str">
            <v>F2Q01A</v>
          </cell>
          <cell r="Y171" t="str">
            <v>F3Q01A</v>
          </cell>
          <cell r="Z171" t="str">
            <v>F4Q01A</v>
          </cell>
          <cell r="AA171" t="str">
            <v>F2001A</v>
          </cell>
          <cell r="AB171" t="str">
            <v>F1Q02A</v>
          </cell>
          <cell r="AC171" t="str">
            <v>F2Q02A</v>
          </cell>
          <cell r="AD171" t="str">
            <v>F3Q02A</v>
          </cell>
          <cell r="AE171" t="str">
            <v>F4Q02A</v>
          </cell>
          <cell r="AF171" t="str">
            <v>F2002A</v>
          </cell>
          <cell r="AG171" t="str">
            <v>F1Q03A</v>
          </cell>
          <cell r="AH171" t="str">
            <v>F2Q03A</v>
          </cell>
          <cell r="AI171" t="str">
            <v>F3Q03A</v>
          </cell>
          <cell r="AJ171" t="str">
            <v>F4Q03A</v>
          </cell>
          <cell r="AK171" t="str">
            <v>F2003A</v>
          </cell>
          <cell r="AL171" t="str">
            <v>F1Q04A</v>
          </cell>
          <cell r="AM171" t="str">
            <v>F2Q04A</v>
          </cell>
          <cell r="AN171" t="str">
            <v>F3Q04A</v>
          </cell>
          <cell r="AO171" t="str">
            <v>F4Q04A</v>
          </cell>
          <cell r="AP171" t="str">
            <v>F2004A</v>
          </cell>
          <cell r="AQ171" t="str">
            <v>F1Q05A</v>
          </cell>
          <cell r="AR171" t="str">
            <v>F2Q05A</v>
          </cell>
          <cell r="AS171" t="str">
            <v>F3Q05A</v>
          </cell>
          <cell r="AT171" t="str">
            <v>F4Q05A</v>
          </cell>
          <cell r="AU171" t="str">
            <v>F2005A</v>
          </cell>
          <cell r="AW171" t="str">
            <v>1Q04A</v>
          </cell>
          <cell r="AX171" t="str">
            <v>2Q04A</v>
          </cell>
          <cell r="AY171" t="str">
            <v>3Q04A</v>
          </cell>
          <cell r="AZ171" t="str">
            <v>4Q04A</v>
          </cell>
          <cell r="BA171" t="str">
            <v>2004A</v>
          </cell>
          <cell r="BB171" t="str">
            <v>1Q05A</v>
          </cell>
          <cell r="BC171" t="str">
            <v>2Q05A</v>
          </cell>
          <cell r="BD171" t="str">
            <v>3Q05A</v>
          </cell>
          <cell r="BE171" t="str">
            <v>4Q05A</v>
          </cell>
          <cell r="BF171" t="str">
            <v>2005A</v>
          </cell>
          <cell r="BG171" t="str">
            <v>1Q06A</v>
          </cell>
          <cell r="BH171" t="str">
            <v>2Q06A</v>
          </cell>
          <cell r="BI171" t="str">
            <v>3Q06A</v>
          </cell>
          <cell r="BJ171" t="str">
            <v>4Q06A</v>
          </cell>
          <cell r="BK171" t="str">
            <v>2006A</v>
          </cell>
          <cell r="BL171" t="str">
            <v>1Q07A</v>
          </cell>
          <cell r="BM171" t="str">
            <v>2Q07A</v>
          </cell>
          <cell r="BN171" t="str">
            <v>3Q07A</v>
          </cell>
          <cell r="BO171" t="str">
            <v>4Q07A</v>
          </cell>
          <cell r="BP171" t="str">
            <v>2007A</v>
          </cell>
          <cell r="BQ171" t="str">
            <v>1Q08A</v>
          </cell>
          <cell r="BR171" t="str">
            <v>2Q08A</v>
          </cell>
          <cell r="BS171" t="str">
            <v>3Q08A</v>
          </cell>
          <cell r="BT171" t="str">
            <v>4Q08A</v>
          </cell>
          <cell r="BU171" t="str">
            <v>2008A</v>
          </cell>
          <cell r="BV171" t="str">
            <v>1Q09A</v>
          </cell>
          <cell r="BW171" t="str">
            <v>2Q09A</v>
          </cell>
          <cell r="BX171" t="str">
            <v>3Q09A</v>
          </cell>
          <cell r="BY171" t="str">
            <v>4Q09A</v>
          </cell>
          <cell r="BZ171" t="str">
            <v>2009A</v>
          </cell>
          <cell r="CA171" t="str">
            <v>1Q10A</v>
          </cell>
          <cell r="CB171" t="str">
            <v>2Q10A</v>
          </cell>
          <cell r="CC171" t="str">
            <v>3Q10A</v>
          </cell>
          <cell r="CD171" t="str">
            <v>4Q10A</v>
          </cell>
          <cell r="CE171" t="str">
            <v>2010A</v>
          </cell>
          <cell r="CF171" t="str">
            <v>1Q11A</v>
          </cell>
          <cell r="CG171" t="str">
            <v>2Q11A</v>
          </cell>
          <cell r="CH171" t="str">
            <v>3Q11A</v>
          </cell>
          <cell r="CI171" t="str">
            <v>4Q11A</v>
          </cell>
          <cell r="CJ171" t="str">
            <v>2011A</v>
          </cell>
          <cell r="CK171" t="str">
            <v>1Q12A</v>
          </cell>
          <cell r="CL171" t="str">
            <v>1Q13E</v>
          </cell>
          <cell r="CM171" t="str">
            <v>3Q12A</v>
          </cell>
          <cell r="CN171" t="str">
            <v>4Q12E</v>
          </cell>
          <cell r="CO171" t="str">
            <v>2012E</v>
          </cell>
          <cell r="CP171" t="str">
            <v>1Q13E</v>
          </cell>
          <cell r="CQ171" t="str">
            <v>2Q13E</v>
          </cell>
          <cell r="CR171" t="str">
            <v>3Q13E</v>
          </cell>
          <cell r="CS171" t="str">
            <v>4Q13E</v>
          </cell>
          <cell r="CT171" t="str">
            <v>2013E</v>
          </cell>
          <cell r="CU171" t="str">
            <v>1Q14E</v>
          </cell>
          <cell r="CV171" t="str">
            <v>2Q14E</v>
          </cell>
          <cell r="CW171" t="str">
            <v>3Q14E</v>
          </cell>
          <cell r="CX171" t="str">
            <v>4Q14E</v>
          </cell>
          <cell r="CY171" t="str">
            <v>2014E</v>
          </cell>
          <cell r="CZ171" t="str">
            <v>1Q15E</v>
          </cell>
          <cell r="DA171" t="str">
            <v>2Q15E</v>
          </cell>
          <cell r="DB171" t="str">
            <v>3Q15E</v>
          </cell>
          <cell r="DC171" t="str">
            <v>4Q15E</v>
          </cell>
          <cell r="DD171" t="str">
            <v>2015E</v>
          </cell>
          <cell r="DE171" t="str">
            <v>1Q16E</v>
          </cell>
          <cell r="DF171" t="str">
            <v>2Q16E</v>
          </cell>
          <cell r="DG171" t="str">
            <v>3Q16E</v>
          </cell>
          <cell r="DH171" t="str">
            <v>4Q16E</v>
          </cell>
          <cell r="DI171" t="str">
            <v>2016E</v>
          </cell>
        </row>
        <row r="173">
          <cell r="B173" t="str">
            <v>Net Income</v>
          </cell>
          <cell r="F173">
            <v>22.677999999999987</v>
          </cell>
          <cell r="G173">
            <v>32.245000000000005</v>
          </cell>
          <cell r="H173">
            <v>46.53599999999998</v>
          </cell>
          <cell r="I173">
            <v>63.331000000000081</v>
          </cell>
          <cell r="J173">
            <v>84.085999999999999</v>
          </cell>
          <cell r="K173">
            <v>108.32200000000003</v>
          </cell>
          <cell r="L173">
            <v>136.84399999999988</v>
          </cell>
          <cell r="M173">
            <v>30.954999999999981</v>
          </cell>
          <cell r="N173">
            <v>78.661999999999978</v>
          </cell>
          <cell r="O173">
            <v>117.41900000000001</v>
          </cell>
          <cell r="P173">
            <v>149.84500000000003</v>
          </cell>
          <cell r="Q173">
            <v>149.84500000000003</v>
          </cell>
          <cell r="R173">
            <v>34.291999999999994</v>
          </cell>
          <cell r="S173">
            <v>84.779000000000025</v>
          </cell>
          <cell r="T173">
            <v>128.60200000000003</v>
          </cell>
          <cell r="U173">
            <v>167.66700000000003</v>
          </cell>
          <cell r="V173">
            <v>167.66700000000003</v>
          </cell>
          <cell r="W173">
            <v>40.17800000000004</v>
          </cell>
          <cell r="X173">
            <v>88.918000000000092</v>
          </cell>
          <cell r="Y173">
            <v>143.05600000000004</v>
          </cell>
          <cell r="Z173">
            <v>194.97800000000004</v>
          </cell>
          <cell r="AA173">
            <v>194.97800000000004</v>
          </cell>
          <cell r="AB173">
            <v>50.466000000000044</v>
          </cell>
          <cell r="AC173">
            <v>119.70200000000006</v>
          </cell>
          <cell r="AD173">
            <v>186.31800000000004</v>
          </cell>
          <cell r="AE173">
            <v>246.43599999999998</v>
          </cell>
          <cell r="AF173">
            <v>246.43599999999998</v>
          </cell>
          <cell r="AG173">
            <v>59.656000000000006</v>
          </cell>
          <cell r="AH173">
            <v>137.72099999999995</v>
          </cell>
          <cell r="AI173">
            <v>213.64199999999994</v>
          </cell>
          <cell r="AJ173">
            <v>283.42399999999998</v>
          </cell>
          <cell r="AK173">
            <v>283.42399999999998</v>
          </cell>
          <cell r="AL173">
            <v>71.310999999999993</v>
          </cell>
          <cell r="AM173">
            <v>161.786</v>
          </cell>
          <cell r="AN173">
            <v>251.06900000000002</v>
          </cell>
          <cell r="AO173">
            <v>325.09899999999993</v>
          </cell>
          <cell r="AP173">
            <v>325.09899999999993</v>
          </cell>
          <cell r="AQ173">
            <v>78.752000000000052</v>
          </cell>
          <cell r="AR173">
            <v>178.51500000000016</v>
          </cell>
          <cell r="AS173">
            <v>265.28700000000015</v>
          </cell>
          <cell r="AT173">
            <v>353.07600000000014</v>
          </cell>
          <cell r="AU173">
            <v>353.07600000000014</v>
          </cell>
          <cell r="AW173">
            <v>90.475000000000009</v>
          </cell>
          <cell r="AX173">
            <v>179.75800000000004</v>
          </cell>
          <cell r="AY173">
            <v>253.78799999999995</v>
          </cell>
          <cell r="AZ173">
            <v>332.54</v>
          </cell>
          <cell r="BA173">
            <v>332.53999999999968</v>
          </cell>
          <cell r="BB173">
            <v>99.76300000000009</v>
          </cell>
          <cell r="BC173">
            <v>186.53500000000011</v>
          </cell>
          <cell r="BD173">
            <v>274.32400000000007</v>
          </cell>
          <cell r="BE173">
            <v>350.26600000000019</v>
          </cell>
          <cell r="BF173">
            <v>350.26600000000019</v>
          </cell>
          <cell r="BG173">
            <v>87.213000000000136</v>
          </cell>
          <cell r="BH173">
            <v>164.51800000000009</v>
          </cell>
          <cell r="BI173">
            <v>238.95400000000018</v>
          </cell>
          <cell r="BJ173">
            <v>182.74900000000014</v>
          </cell>
          <cell r="BK173">
            <v>182.74900000000014</v>
          </cell>
          <cell r="BL173">
            <v>65.038999999999774</v>
          </cell>
          <cell r="BM173">
            <v>76.944999999999837</v>
          </cell>
          <cell r="BN173">
            <v>107.4189999999998</v>
          </cell>
          <cell r="BO173">
            <v>119.87899999999982</v>
          </cell>
          <cell r="BP173">
            <v>119.87899999999982</v>
          </cell>
          <cell r="BQ173">
            <v>134.67599999999993</v>
          </cell>
          <cell r="BR173">
            <v>152.45799999999994</v>
          </cell>
          <cell r="BS173">
            <v>163.42999999999986</v>
          </cell>
          <cell r="BT173">
            <v>183.23299999999992</v>
          </cell>
          <cell r="BU173">
            <v>183.23299999999992</v>
          </cell>
          <cell r="BV173">
            <v>52.56899999999991</v>
          </cell>
          <cell r="BW173">
            <v>91.866999999999905</v>
          </cell>
          <cell r="BX173">
            <v>123.78799999999998</v>
          </cell>
          <cell r="BY173">
            <v>163.94099999999986</v>
          </cell>
          <cell r="BZ173">
            <v>163.94099999999986</v>
          </cell>
          <cell r="CA173">
            <v>53.418999999999883</v>
          </cell>
          <cell r="CB173">
            <v>99.131999999999891</v>
          </cell>
          <cell r="CC173">
            <v>139.01199999999994</v>
          </cell>
          <cell r="CD173">
            <v>172.24799999999993</v>
          </cell>
          <cell r="CE173">
            <v>172.24799999999993</v>
          </cell>
          <cell r="CF173">
            <v>62.112000000000144</v>
          </cell>
          <cell r="CG173">
            <v>117.44500000000019</v>
          </cell>
          <cell r="CH173">
            <v>167.40400000000022</v>
          </cell>
          <cell r="CI173">
            <v>203.9250000000001</v>
          </cell>
          <cell r="CJ173">
            <v>203.9250000000001</v>
          </cell>
          <cell r="CK173">
            <v>44.596000000000252</v>
          </cell>
          <cell r="CL173">
            <v>89.716000000000236</v>
          </cell>
          <cell r="CM173">
            <v>137.74500000000035</v>
          </cell>
          <cell r="CN173">
            <v>197.64668999778883</v>
          </cell>
          <cell r="CO173">
            <v>197.64668999778883</v>
          </cell>
          <cell r="CP173">
            <v>70.671584289472179</v>
          </cell>
          <cell r="CQ173">
            <v>135.83304262245179</v>
          </cell>
          <cell r="CR173">
            <v>186.5200178964071</v>
          </cell>
          <cell r="CS173">
            <v>221.09726325265399</v>
          </cell>
          <cell r="CT173">
            <v>221.09726325265399</v>
          </cell>
          <cell r="CU173">
            <v>78.627910427412246</v>
          </cell>
          <cell r="CV173">
            <v>163.70853218579617</v>
          </cell>
          <cell r="CW173">
            <v>237.41594455364893</v>
          </cell>
          <cell r="CX173">
            <v>292.22557987677044</v>
          </cell>
          <cell r="CY173">
            <v>292.22557987677044</v>
          </cell>
          <cell r="CZ173">
            <v>102.3906773607535</v>
          </cell>
          <cell r="DA173">
            <v>197.05314835521978</v>
          </cell>
          <cell r="DB173">
            <v>281.80024793661579</v>
          </cell>
          <cell r="DC173">
            <v>349.12429035569892</v>
          </cell>
          <cell r="DD173">
            <v>349.12429035569892</v>
          </cell>
          <cell r="DE173">
            <v>116.28078034362986</v>
          </cell>
          <cell r="DF173">
            <v>222.87556721614493</v>
          </cell>
          <cell r="DG173">
            <v>320.56031875011075</v>
          </cell>
          <cell r="DH173">
            <v>397.5397509557842</v>
          </cell>
          <cell r="DI173">
            <v>397.5397509557842</v>
          </cell>
        </row>
        <row r="175">
          <cell r="B175" t="str">
            <v>Depreciation &amp; amortization</v>
          </cell>
          <cell r="F175">
            <v>12.779</v>
          </cell>
          <cell r="G175">
            <v>13.081</v>
          </cell>
          <cell r="H175">
            <v>16.61</v>
          </cell>
          <cell r="I175">
            <v>20.562000000000001</v>
          </cell>
          <cell r="J175">
            <v>27.172999999999998</v>
          </cell>
          <cell r="K175">
            <v>36.561</v>
          </cell>
          <cell r="L175">
            <v>50.436999999999998</v>
          </cell>
          <cell r="M175">
            <v>14.507</v>
          </cell>
          <cell r="N175">
            <v>28.850999999999999</v>
          </cell>
          <cell r="O175">
            <v>44.808</v>
          </cell>
          <cell r="P175">
            <v>61.277999999999999</v>
          </cell>
          <cell r="Q175">
            <v>61.277999999999999</v>
          </cell>
          <cell r="R175">
            <v>18.132000000000001</v>
          </cell>
          <cell r="S175">
            <v>36.665999999999997</v>
          </cell>
          <cell r="T175">
            <v>55.759999999999991</v>
          </cell>
          <cell r="U175">
            <v>74.498999999999995</v>
          </cell>
          <cell r="V175">
            <v>74.498999999999995</v>
          </cell>
          <cell r="W175">
            <v>21.43</v>
          </cell>
          <cell r="X175">
            <v>43.545999999999999</v>
          </cell>
          <cell r="Y175">
            <v>66.421999999999997</v>
          </cell>
          <cell r="Z175">
            <v>90.646000000000015</v>
          </cell>
          <cell r="AA175">
            <v>90.646000000000015</v>
          </cell>
          <cell r="AB175">
            <v>21.648</v>
          </cell>
          <cell r="AC175">
            <v>45.540999999999997</v>
          </cell>
          <cell r="AD175">
            <v>69.834000000000003</v>
          </cell>
          <cell r="AE175">
            <v>95.328000000000003</v>
          </cell>
          <cell r="AF175">
            <v>95.328000000000003</v>
          </cell>
          <cell r="AG175">
            <v>26.087</v>
          </cell>
          <cell r="AH175">
            <v>53.2</v>
          </cell>
          <cell r="AI175">
            <v>81.203000000000003</v>
          </cell>
          <cell r="AJ175">
            <v>109.864</v>
          </cell>
          <cell r="AK175">
            <v>109.864</v>
          </cell>
          <cell r="AL175">
            <v>31.003</v>
          </cell>
          <cell r="AM175">
            <v>65.382999999999996</v>
          </cell>
          <cell r="AN175">
            <v>99.412999999999997</v>
          </cell>
          <cell r="AO175">
            <v>134.91499999999999</v>
          </cell>
          <cell r="AP175">
            <v>134.91499999999999</v>
          </cell>
          <cell r="AQ175">
            <v>36.594999999999999</v>
          </cell>
          <cell r="AR175">
            <v>73.936999999999998</v>
          </cell>
          <cell r="AS175">
            <v>113.05</v>
          </cell>
          <cell r="AT175">
            <v>155.173</v>
          </cell>
          <cell r="AU175">
            <v>155.173</v>
          </cell>
          <cell r="AW175">
            <v>34.379999999999995</v>
          </cell>
          <cell r="AX175">
            <v>68.41</v>
          </cell>
          <cell r="AY175">
            <v>103.91199999999999</v>
          </cell>
          <cell r="AZ175">
            <v>140.50700000000001</v>
          </cell>
          <cell r="BA175">
            <v>140.50700000000001</v>
          </cell>
          <cell r="BB175">
            <v>37.341999999999999</v>
          </cell>
          <cell r="BC175">
            <v>76.454999999999998</v>
          </cell>
          <cell r="BD175">
            <v>118.578</v>
          </cell>
          <cell r="BE175">
            <v>160.10599999999999</v>
          </cell>
          <cell r="BF175">
            <v>160.10599999999999</v>
          </cell>
          <cell r="BG175">
            <v>43.777999999999999</v>
          </cell>
          <cell r="BH175">
            <v>89.168999999999997</v>
          </cell>
          <cell r="BI175">
            <v>135.05500000000001</v>
          </cell>
          <cell r="BJ175">
            <v>188.214</v>
          </cell>
          <cell r="BK175">
            <v>188.214</v>
          </cell>
          <cell r="BL175">
            <v>52.651000000000003</v>
          </cell>
          <cell r="BM175">
            <v>108.193</v>
          </cell>
          <cell r="BN175">
            <v>166.71100000000001</v>
          </cell>
          <cell r="BO175">
            <v>227.09899999999999</v>
          </cell>
          <cell r="BP175">
            <v>227.09899999999999</v>
          </cell>
          <cell r="BQ175">
            <v>59.250999999999998</v>
          </cell>
          <cell r="BR175">
            <v>120.636</v>
          </cell>
          <cell r="BS175">
            <v>182.196</v>
          </cell>
          <cell r="BT175">
            <v>244.39599999999999</v>
          </cell>
          <cell r="BU175">
            <v>244.39599999999999</v>
          </cell>
          <cell r="BV175">
            <v>62.634</v>
          </cell>
          <cell r="BW175">
            <v>124.899</v>
          </cell>
          <cell r="BX175">
            <v>184.31200000000001</v>
          </cell>
          <cell r="BY175">
            <v>247.91</v>
          </cell>
          <cell r="BZ175">
            <v>247.91</v>
          </cell>
          <cell r="CA175">
            <v>63.798000000000002</v>
          </cell>
          <cell r="CB175">
            <v>127.361</v>
          </cell>
          <cell r="CC175">
            <v>190.584</v>
          </cell>
          <cell r="CD175">
            <v>251.464</v>
          </cell>
          <cell r="CE175">
            <v>251.464</v>
          </cell>
          <cell r="CF175">
            <v>67.040000000000006</v>
          </cell>
          <cell r="CG175">
            <v>132.16200000000001</v>
          </cell>
          <cell r="CH175">
            <v>199.428</v>
          </cell>
          <cell r="CI175">
            <v>274.52600000000001</v>
          </cell>
          <cell r="CJ175">
            <v>274.52600000000001</v>
          </cell>
          <cell r="CK175">
            <v>81.156000000000006</v>
          </cell>
          <cell r="CL175">
            <v>169.61199999999999</v>
          </cell>
          <cell r="CM175">
            <v>263.95999999999998</v>
          </cell>
          <cell r="CN175">
            <v>355.60566666666665</v>
          </cell>
          <cell r="CO175">
            <v>355.60566666666665</v>
          </cell>
          <cell r="CP175">
            <v>91.16339669877182</v>
          </cell>
          <cell r="CQ175">
            <v>182.89771907232995</v>
          </cell>
          <cell r="CR175">
            <v>275.1934516927613</v>
          </cell>
          <cell r="CS175">
            <v>368.04123772261795</v>
          </cell>
          <cell r="CT175">
            <v>368.04123772261795</v>
          </cell>
          <cell r="CU175">
            <v>93.184425760600661</v>
          </cell>
          <cell r="CV175">
            <v>186.67100702148218</v>
          </cell>
          <cell r="CW175">
            <v>280.43401898968034</v>
          </cell>
          <cell r="CX175">
            <v>374.51565221642159</v>
          </cell>
          <cell r="CY175">
            <v>374.51565221642159</v>
          </cell>
          <cell r="CZ175">
            <v>94.473102952827716</v>
          </cell>
          <cell r="DA175">
            <v>189.29863219279821</v>
          </cell>
          <cell r="DB175">
            <v>284.45076360106145</v>
          </cell>
          <cell r="DC175">
            <v>379.97673655487404</v>
          </cell>
          <cell r="DD175">
            <v>379.97673655487404</v>
          </cell>
          <cell r="DE175">
            <v>95.980702900009291</v>
          </cell>
          <cell r="DF175">
            <v>192.36995336251715</v>
          </cell>
          <cell r="DG175">
            <v>289.14134150172379</v>
          </cell>
          <cell r="DH175">
            <v>386.33855680322608</v>
          </cell>
          <cell r="DI175">
            <v>386.33855680322608</v>
          </cell>
        </row>
        <row r="176">
          <cell r="B176" t="str">
            <v xml:space="preserve">Other &amp; writedowns </v>
          </cell>
          <cell r="F176">
            <v>0</v>
          </cell>
          <cell r="G176">
            <v>0</v>
          </cell>
          <cell r="H176">
            <v>2.5499999999999998</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17</v>
          </cell>
          <cell r="Y176">
            <v>17</v>
          </cell>
          <cell r="Z176">
            <v>17</v>
          </cell>
          <cell r="AA176">
            <v>17</v>
          </cell>
          <cell r="AB176">
            <v>0</v>
          </cell>
          <cell r="AC176">
            <v>0</v>
          </cell>
          <cell r="AD176">
            <v>0</v>
          </cell>
          <cell r="AE176">
            <v>0</v>
          </cell>
          <cell r="AF176">
            <v>0</v>
          </cell>
          <cell r="AG176">
            <v>0</v>
          </cell>
          <cell r="AH176">
            <v>0</v>
          </cell>
          <cell r="AI176">
            <v>0</v>
          </cell>
          <cell r="AJ176">
            <v>4.931</v>
          </cell>
          <cell r="AK176">
            <v>4.931</v>
          </cell>
          <cell r="AL176">
            <v>0</v>
          </cell>
          <cell r="AM176">
            <v>0</v>
          </cell>
          <cell r="AN176">
            <v>0</v>
          </cell>
          <cell r="AO176">
            <v>0</v>
          </cell>
          <cell r="AP176">
            <v>0</v>
          </cell>
          <cell r="AQ176">
            <v>2.54</v>
          </cell>
          <cell r="AR176">
            <v>2.5</v>
          </cell>
          <cell r="AS176">
            <v>2.5</v>
          </cell>
          <cell r="AT176">
            <v>2.6320000000000001</v>
          </cell>
          <cell r="AU176">
            <v>2.6320000000000001</v>
          </cell>
          <cell r="AW176">
            <v>0</v>
          </cell>
          <cell r="AX176">
            <v>0</v>
          </cell>
          <cell r="AY176">
            <v>0</v>
          </cell>
          <cell r="AZ176">
            <v>2.54</v>
          </cell>
          <cell r="BA176">
            <v>2.54</v>
          </cell>
          <cell r="BB176">
            <v>-4.0000000000000036E-2</v>
          </cell>
          <cell r="BC176">
            <v>-4.0000000000000036E-2</v>
          </cell>
          <cell r="BD176">
            <v>9.2000000000000082E-2</v>
          </cell>
          <cell r="BE176">
            <v>1.9000000000000086E-2</v>
          </cell>
          <cell r="BF176">
            <v>1.9000000000000086E-2</v>
          </cell>
          <cell r="BG176">
            <v>0</v>
          </cell>
          <cell r="BH176">
            <v>0</v>
          </cell>
          <cell r="BI176">
            <v>0</v>
          </cell>
          <cell r="BJ176">
            <v>0</v>
          </cell>
          <cell r="BK176">
            <v>0</v>
          </cell>
          <cell r="BL176">
            <v>0</v>
          </cell>
          <cell r="BM176">
            <v>0</v>
          </cell>
          <cell r="BN176">
            <v>0</v>
          </cell>
          <cell r="BO176">
            <v>0</v>
          </cell>
          <cell r="BP176">
            <v>0</v>
          </cell>
          <cell r="BQ176">
            <v>0.92100000000000004</v>
          </cell>
          <cell r="BR176">
            <v>0.92100000000000004</v>
          </cell>
          <cell r="BS176">
            <v>0.92100000000000004</v>
          </cell>
          <cell r="BT176">
            <v>7.0860000000000003</v>
          </cell>
          <cell r="BU176">
            <v>7.0860000000000003</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40.408000000000001</v>
          </cell>
          <cell r="CJ176">
            <v>40.408000000000001</v>
          </cell>
          <cell r="CK176">
            <v>36.721000000000004</v>
          </cell>
          <cell r="CL176">
            <v>58.981000000000002</v>
          </cell>
          <cell r="CM176">
            <v>82.902000000000001</v>
          </cell>
          <cell r="CN176">
            <v>82.902000000000001</v>
          </cell>
          <cell r="CO176">
            <v>82.902000000000001</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row>
        <row r="177">
          <cell r="B177" t="str">
            <v>Provisions for doubtful accounts</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68.956000000000003</v>
          </cell>
          <cell r="Y177">
            <v>105.114</v>
          </cell>
          <cell r="Z177">
            <v>143.923</v>
          </cell>
          <cell r="AA177">
            <v>143.923</v>
          </cell>
          <cell r="AB177">
            <v>36.878</v>
          </cell>
          <cell r="AC177">
            <v>80.590999999999994</v>
          </cell>
          <cell r="AD177">
            <v>126.07599999999999</v>
          </cell>
          <cell r="AE177">
            <v>172.43</v>
          </cell>
          <cell r="AF177">
            <v>172.43</v>
          </cell>
          <cell r="AG177">
            <v>46.307000000000002</v>
          </cell>
          <cell r="AH177">
            <v>91.323999999999998</v>
          </cell>
          <cell r="AI177">
            <v>137.77199999999999</v>
          </cell>
          <cell r="AJ177">
            <v>186.82599999999996</v>
          </cell>
          <cell r="AK177">
            <v>186.82599999999996</v>
          </cell>
          <cell r="AL177">
            <v>58.087000000000003</v>
          </cell>
          <cell r="AM177">
            <v>117.66500000000001</v>
          </cell>
          <cell r="AN177">
            <v>180.179</v>
          </cell>
          <cell r="AO177">
            <v>240.07400000000001</v>
          </cell>
          <cell r="AP177">
            <v>240.07400000000001</v>
          </cell>
          <cell r="AQ177">
            <v>62.085999999999999</v>
          </cell>
          <cell r="AR177">
            <v>126.65900000000001</v>
          </cell>
          <cell r="AS177">
            <v>232.071</v>
          </cell>
          <cell r="AT177">
            <v>305.55900000000003</v>
          </cell>
          <cell r="AU177">
            <v>305.55900000000003</v>
          </cell>
          <cell r="AW177">
            <v>59.578000000000003</v>
          </cell>
          <cell r="AX177">
            <v>122.092</v>
          </cell>
          <cell r="AY177">
            <v>181.98699999999999</v>
          </cell>
          <cell r="AZ177">
            <v>244.07299999999998</v>
          </cell>
          <cell r="BA177">
            <v>244.07299999999998</v>
          </cell>
          <cell r="BB177">
            <v>64.573000000000008</v>
          </cell>
          <cell r="BC177">
            <v>169.98500000000001</v>
          </cell>
          <cell r="BD177">
            <v>243.47300000000007</v>
          </cell>
          <cell r="BE177">
            <v>324.58000000000004</v>
          </cell>
          <cell r="BF177">
            <v>324.58000000000004</v>
          </cell>
          <cell r="BG177">
            <v>83.775999999999996</v>
          </cell>
          <cell r="BH177">
            <v>174.982</v>
          </cell>
          <cell r="BI177">
            <v>266.72199999999998</v>
          </cell>
          <cell r="BJ177">
            <v>569.54100000000005</v>
          </cell>
          <cell r="BK177">
            <v>569.54100000000005</v>
          </cell>
          <cell r="BL177">
            <v>121.46899999999999</v>
          </cell>
          <cell r="BM177">
            <v>271.83499999999998</v>
          </cell>
          <cell r="BN177">
            <v>398.32100000000003</v>
          </cell>
          <cell r="BO177">
            <v>528.71900000000005</v>
          </cell>
          <cell r="BP177">
            <v>528.71900000000005</v>
          </cell>
          <cell r="BQ177">
            <v>128.97</v>
          </cell>
          <cell r="BR177">
            <v>253.80699999999999</v>
          </cell>
          <cell r="BS177">
            <v>378.00099999999998</v>
          </cell>
          <cell r="BT177">
            <v>508.23</v>
          </cell>
          <cell r="BU177">
            <v>508.23</v>
          </cell>
          <cell r="BV177">
            <v>143.983</v>
          </cell>
          <cell r="BW177">
            <v>285.488</v>
          </cell>
          <cell r="BX177">
            <v>419.87200000000001</v>
          </cell>
          <cell r="BY177">
            <v>567.03599999999994</v>
          </cell>
          <cell r="BZ177">
            <v>567.03599999999994</v>
          </cell>
          <cell r="CA177">
            <v>158.80500000000001</v>
          </cell>
          <cell r="CB177">
            <v>308.536</v>
          </cell>
          <cell r="CC177">
            <v>468.45800000000003</v>
          </cell>
          <cell r="CD177">
            <v>627.702</v>
          </cell>
          <cell r="CE177">
            <v>627.702</v>
          </cell>
          <cell r="CF177">
            <v>172.80199999999999</v>
          </cell>
          <cell r="CG177">
            <v>342.85599999999999</v>
          </cell>
          <cell r="CH177">
            <v>521.72900000000004</v>
          </cell>
          <cell r="CI177">
            <v>716.85599999999999</v>
          </cell>
          <cell r="CJ177">
            <v>716.85599999999999</v>
          </cell>
          <cell r="CK177">
            <v>201.261</v>
          </cell>
          <cell r="CL177">
            <v>415.82400000000001</v>
          </cell>
          <cell r="CM177">
            <v>639.90200000000004</v>
          </cell>
          <cell r="CN177">
            <v>871.39407752188322</v>
          </cell>
          <cell r="CO177">
            <v>871.39407752188322</v>
          </cell>
          <cell r="CP177">
            <v>235.56444688548012</v>
          </cell>
          <cell r="CQ177">
            <v>476.9896751700839</v>
          </cell>
          <cell r="CR177">
            <v>730.9922595397519</v>
          </cell>
          <cell r="CS177">
            <v>988.02199014999201</v>
          </cell>
          <cell r="CT177">
            <v>988.02199014999201</v>
          </cell>
          <cell r="CU177">
            <v>189.48801670731294</v>
          </cell>
          <cell r="CV177">
            <v>384.26201464888322</v>
          </cell>
          <cell r="CW177">
            <v>588.9586811592726</v>
          </cell>
          <cell r="CX177">
            <v>796.52743856447887</v>
          </cell>
          <cell r="CY177">
            <v>796.52743856447887</v>
          </cell>
          <cell r="CZ177">
            <v>172.64500807231349</v>
          </cell>
          <cell r="DA177">
            <v>349.15186227302286</v>
          </cell>
          <cell r="DB177">
            <v>534.52632905185078</v>
          </cell>
          <cell r="DC177">
            <v>722.80810121221566</v>
          </cell>
          <cell r="DD177">
            <v>722.80810121221566</v>
          </cell>
          <cell r="DE177">
            <v>161.64526418738677</v>
          </cell>
          <cell r="DF177">
            <v>325.92903944553495</v>
          </cell>
          <cell r="DG177">
            <v>498.35154402688147</v>
          </cell>
          <cell r="DH177">
            <v>673.63011149946306</v>
          </cell>
          <cell r="DI177">
            <v>673.63011149946306</v>
          </cell>
        </row>
        <row r="178">
          <cell r="B178" t="str">
            <v>Stock-based compensation</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W178">
            <v>0</v>
          </cell>
          <cell r="AX178">
            <v>0</v>
          </cell>
          <cell r="AY178">
            <v>0</v>
          </cell>
          <cell r="AZ178">
            <v>0</v>
          </cell>
          <cell r="BA178">
            <v>0</v>
          </cell>
          <cell r="BB178">
            <v>0</v>
          </cell>
          <cell r="BC178">
            <v>0</v>
          </cell>
          <cell r="BD178">
            <v>0</v>
          </cell>
          <cell r="BE178">
            <v>5.1929999999999996</v>
          </cell>
          <cell r="BF178">
            <v>5.1929999999999996</v>
          </cell>
          <cell r="BG178">
            <v>4.8140000000000001</v>
          </cell>
          <cell r="BH178">
            <v>9.6340000000000003</v>
          </cell>
          <cell r="BI178">
            <v>13.557</v>
          </cell>
          <cell r="BJ178">
            <v>18.329999999999998</v>
          </cell>
          <cell r="BK178">
            <v>18.329999999999998</v>
          </cell>
          <cell r="BL178">
            <v>4.8209999999999997</v>
          </cell>
          <cell r="BM178">
            <v>9.86</v>
          </cell>
          <cell r="BN178">
            <v>14.496</v>
          </cell>
          <cell r="BO178">
            <v>18.402000000000001</v>
          </cell>
          <cell r="BP178">
            <v>18.402000000000001</v>
          </cell>
          <cell r="BQ178">
            <v>4.3</v>
          </cell>
          <cell r="BR178">
            <v>8.7319999999999993</v>
          </cell>
          <cell r="BS178">
            <v>13.535</v>
          </cell>
          <cell r="BT178">
            <v>18.225999999999999</v>
          </cell>
          <cell r="BU178">
            <v>18.225999999999999</v>
          </cell>
          <cell r="BV178">
            <v>2.7589999999999999</v>
          </cell>
          <cell r="BW178">
            <v>5.3959999999999999</v>
          </cell>
          <cell r="BX178">
            <v>7.9550000000000001</v>
          </cell>
          <cell r="BY178">
            <v>10.867000000000001</v>
          </cell>
          <cell r="BZ178">
            <v>10.867000000000001</v>
          </cell>
          <cell r="CA178">
            <v>4.4669999999999996</v>
          </cell>
          <cell r="CB178">
            <v>8.9339999999999993</v>
          </cell>
          <cell r="CC178">
            <v>13.762</v>
          </cell>
          <cell r="CD178">
            <v>18.366</v>
          </cell>
          <cell r="CE178">
            <v>18.366</v>
          </cell>
          <cell r="CF178">
            <v>6.4829999999999997</v>
          </cell>
          <cell r="CG178">
            <v>12.945</v>
          </cell>
          <cell r="CH178">
            <v>19.300999999999998</v>
          </cell>
          <cell r="CI178">
            <v>25.169</v>
          </cell>
          <cell r="CJ178">
            <v>25.169</v>
          </cell>
          <cell r="CK178">
            <v>6.8869999999999996</v>
          </cell>
          <cell r="CL178">
            <v>13.204000000000001</v>
          </cell>
          <cell r="CM178">
            <v>19.492000000000001</v>
          </cell>
          <cell r="CN178">
            <v>25.914680783861375</v>
          </cell>
          <cell r="CO178">
            <v>25.914680783861375</v>
          </cell>
          <cell r="CP178">
            <v>6.6434430884208888</v>
          </cell>
          <cell r="CQ178">
            <v>13.191770298706416</v>
          </cell>
          <cell r="CR178">
            <v>19.660316515344043</v>
          </cell>
          <cell r="CS178">
            <v>26.306623952459226</v>
          </cell>
          <cell r="CT178">
            <v>26.306623952459226</v>
          </cell>
          <cell r="CU178">
            <v>6.7746959496123038</v>
          </cell>
          <cell r="CV178">
            <v>13.445570789855566</v>
          </cell>
          <cell r="CW178">
            <v>20.042054366711398</v>
          </cell>
          <cell r="CX178">
            <v>26.806809220733776</v>
          </cell>
          <cell r="CY178">
            <v>26.806809220733776</v>
          </cell>
          <cell r="CZ178">
            <v>7.045791666371632</v>
          </cell>
          <cell r="DA178">
            <v>13.974654494665639</v>
          </cell>
          <cell r="DB178">
            <v>20.83178156869684</v>
          </cell>
          <cell r="DC178">
            <v>27.878340761270138</v>
          </cell>
          <cell r="DD178">
            <v>27.878340761270138</v>
          </cell>
          <cell r="DE178">
            <v>7.3598145824543968</v>
          </cell>
          <cell r="DF178">
            <v>14.580821814250815</v>
          </cell>
          <cell r="DG178">
            <v>21.731350309143345</v>
          </cell>
          <cell r="DH178">
            <v>29.061874689433235</v>
          </cell>
          <cell r="DI178">
            <v>29.061874689433235</v>
          </cell>
        </row>
        <row r="179">
          <cell r="B179" t="str">
            <v>Loss/(Gain) on sale of fixed assets and other</v>
          </cell>
          <cell r="F179">
            <v>0.443</v>
          </cell>
          <cell r="G179">
            <v>-0.161</v>
          </cell>
          <cell r="H179">
            <v>-4.9000000000000002E-2</v>
          </cell>
          <cell r="I179">
            <v>0.11600000000000001</v>
          </cell>
          <cell r="J179">
            <v>0.21099999999999999</v>
          </cell>
          <cell r="K179">
            <v>-9.1999999999999998E-2</v>
          </cell>
          <cell r="L179">
            <v>1.4E-2</v>
          </cell>
          <cell r="M179">
            <v>7.0000000000000007E-2</v>
          </cell>
          <cell r="N179">
            <v>1.3999999999999999E-2</v>
          </cell>
          <cell r="O179">
            <v>6.3140000000000001</v>
          </cell>
          <cell r="P179">
            <v>0.17100000000000026</v>
          </cell>
          <cell r="Q179">
            <v>0.17100000000000026</v>
          </cell>
          <cell r="R179">
            <v>3.0000000000000001E-3</v>
          </cell>
          <cell r="S179">
            <v>1.6E-2</v>
          </cell>
          <cell r="T179">
            <v>3.1E-2</v>
          </cell>
          <cell r="U179">
            <v>8.5000000000000006E-2</v>
          </cell>
          <cell r="V179">
            <v>8.5000000000000006E-2</v>
          </cell>
          <cell r="W179">
            <v>4.0000000000000001E-3</v>
          </cell>
          <cell r="X179">
            <v>0.01</v>
          </cell>
          <cell r="Y179">
            <v>0.01</v>
          </cell>
          <cell r="Z179">
            <v>-6.0000000000000001E-3</v>
          </cell>
          <cell r="AA179">
            <v>-6.0000000000000001E-3</v>
          </cell>
          <cell r="AB179">
            <v>0</v>
          </cell>
          <cell r="AC179">
            <v>5.6000000000000001E-2</v>
          </cell>
          <cell r="AD179">
            <v>0.54200000000000004</v>
          </cell>
          <cell r="AE179">
            <v>6.2E-2</v>
          </cell>
          <cell r="AF179">
            <v>6.2E-2</v>
          </cell>
          <cell r="AG179">
            <v>0.01</v>
          </cell>
          <cell r="AH179">
            <v>-0.34200000000000003</v>
          </cell>
          <cell r="AI179">
            <v>-0.36299999999999999</v>
          </cell>
          <cell r="AJ179">
            <v>-0.82600000000000007</v>
          </cell>
          <cell r="AK179">
            <v>-0.82600000000000007</v>
          </cell>
          <cell r="AL179">
            <v>0</v>
          </cell>
          <cell r="AM179">
            <v>-0.78900000000000003</v>
          </cell>
          <cell r="AN179">
            <v>-2.669</v>
          </cell>
          <cell r="AO179">
            <v>-2.3460000000000001</v>
          </cell>
          <cell r="AP179">
            <v>-2.3460000000000001</v>
          </cell>
          <cell r="AQ179">
            <v>-0.108</v>
          </cell>
          <cell r="AR179">
            <v>-0.184</v>
          </cell>
          <cell r="AS179">
            <v>-19.260000000000002</v>
          </cell>
          <cell r="AT179">
            <v>-34.563000000000002</v>
          </cell>
          <cell r="AU179">
            <v>-34.563000000000002</v>
          </cell>
          <cell r="AW179">
            <v>-0.78900000000000003</v>
          </cell>
          <cell r="AX179">
            <v>-2.669</v>
          </cell>
          <cell r="AY179">
            <v>-2.3460000000000001</v>
          </cell>
          <cell r="AZ179">
            <v>-2.4540000000000002</v>
          </cell>
          <cell r="BA179">
            <v>-2.4540000000000002</v>
          </cell>
          <cell r="BB179">
            <v>-7.5999999999999998E-2</v>
          </cell>
          <cell r="BC179">
            <v>-19.152000000000001</v>
          </cell>
          <cell r="BD179">
            <v>-34.454999999999998</v>
          </cell>
          <cell r="BE179">
            <v>-34.446999999999996</v>
          </cell>
          <cell r="BF179">
            <v>-34.446999999999996</v>
          </cell>
          <cell r="BG179">
            <v>-1.629</v>
          </cell>
          <cell r="BH179">
            <v>-2.012</v>
          </cell>
          <cell r="BI179">
            <v>-1.9590000000000001</v>
          </cell>
          <cell r="BJ179">
            <v>-16.540000000000003</v>
          </cell>
          <cell r="BK179">
            <v>-16.540000000000003</v>
          </cell>
          <cell r="BL179">
            <v>-0.66800000000000004</v>
          </cell>
          <cell r="BM179">
            <v>-3.26</v>
          </cell>
          <cell r="BN179">
            <v>-3.2519999999999998</v>
          </cell>
          <cell r="BO179">
            <v>-2.5139999999999998</v>
          </cell>
          <cell r="BP179">
            <v>-2.5139999999999998</v>
          </cell>
          <cell r="BQ179">
            <v>-203.32</v>
          </cell>
          <cell r="BR179">
            <v>-209.50399999999999</v>
          </cell>
          <cell r="BS179">
            <v>-211.154</v>
          </cell>
          <cell r="BT179">
            <v>-211.501</v>
          </cell>
          <cell r="BU179">
            <v>-211.501</v>
          </cell>
          <cell r="BV179">
            <v>0.112</v>
          </cell>
          <cell r="BW179">
            <v>-1.887</v>
          </cell>
          <cell r="BX179">
            <v>-1.9359999999999999</v>
          </cell>
          <cell r="BY179">
            <v>-2.6280000000000001</v>
          </cell>
          <cell r="BZ179">
            <v>-2.6280000000000001</v>
          </cell>
          <cell r="CA179">
            <v>-2.1270000000000002</v>
          </cell>
          <cell r="CB179">
            <v>-4.0329999999999995</v>
          </cell>
          <cell r="CC179">
            <v>-5.298</v>
          </cell>
          <cell r="CD179">
            <v>-5.0390000000000006</v>
          </cell>
          <cell r="CE179">
            <v>-5.0390000000000006</v>
          </cell>
          <cell r="CF179">
            <v>0.14300000000000002</v>
          </cell>
          <cell r="CG179">
            <v>0.78700000000000003</v>
          </cell>
          <cell r="CH179">
            <v>0.39000000000000012</v>
          </cell>
          <cell r="CI179">
            <v>0.80699999999999983</v>
          </cell>
          <cell r="CJ179">
            <v>0.80699999999999983</v>
          </cell>
          <cell r="CK179">
            <v>2.02</v>
          </cell>
          <cell r="CL179">
            <v>1.6079999999999999</v>
          </cell>
          <cell r="CM179">
            <v>-0.23600000000000021</v>
          </cell>
          <cell r="CN179">
            <v>-0.23600000000000021</v>
          </cell>
          <cell r="CO179">
            <v>-0.23600000000000021</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row>
        <row r="180">
          <cell r="B180" t="str">
            <v>Deferred income taxes and other</v>
          </cell>
          <cell r="F180">
            <v>-0.1</v>
          </cell>
          <cell r="G180">
            <v>-0.5</v>
          </cell>
          <cell r="H180">
            <v>-1.2</v>
          </cell>
          <cell r="I180">
            <v>-0.9</v>
          </cell>
          <cell r="J180">
            <v>0.7</v>
          </cell>
          <cell r="K180">
            <v>-0.4</v>
          </cell>
          <cell r="L180">
            <v>-2.9140000000000001</v>
          </cell>
          <cell r="M180">
            <v>0</v>
          </cell>
          <cell r="N180">
            <v>0</v>
          </cell>
          <cell r="O180">
            <v>0</v>
          </cell>
          <cell r="P180">
            <v>-5</v>
          </cell>
          <cell r="Q180">
            <v>-5</v>
          </cell>
          <cell r="R180">
            <v>0</v>
          </cell>
          <cell r="S180">
            <v>0</v>
          </cell>
          <cell r="T180">
            <v>0</v>
          </cell>
          <cell r="U180">
            <v>-4.9790000000000001</v>
          </cell>
          <cell r="V180">
            <v>-4.9790000000000001</v>
          </cell>
          <cell r="W180">
            <v>0</v>
          </cell>
          <cell r="X180">
            <v>0</v>
          </cell>
          <cell r="Y180">
            <v>0</v>
          </cell>
          <cell r="Z180">
            <v>-6.6</v>
          </cell>
          <cell r="AA180">
            <v>-6.6</v>
          </cell>
          <cell r="AB180">
            <v>0</v>
          </cell>
          <cell r="AC180">
            <v>0</v>
          </cell>
          <cell r="AD180">
            <v>0</v>
          </cell>
          <cell r="AE180">
            <v>-8.5850000000000009</v>
          </cell>
          <cell r="AF180">
            <v>-8.5850000000000009</v>
          </cell>
          <cell r="AG180">
            <v>0</v>
          </cell>
          <cell r="AH180">
            <v>0</v>
          </cell>
          <cell r="AI180">
            <v>0</v>
          </cell>
          <cell r="AJ180">
            <v>37.057000000000002</v>
          </cell>
          <cell r="AK180">
            <v>37.057000000000002</v>
          </cell>
          <cell r="AL180">
            <v>0</v>
          </cell>
          <cell r="AM180">
            <v>0</v>
          </cell>
          <cell r="AN180">
            <v>0</v>
          </cell>
          <cell r="AO180">
            <v>79.12</v>
          </cell>
          <cell r="AP180">
            <v>79.12</v>
          </cell>
          <cell r="AQ180">
            <v>8.577</v>
          </cell>
          <cell r="AR180">
            <v>24.257000000000001</v>
          </cell>
          <cell r="AS180">
            <v>25.007999999999999</v>
          </cell>
          <cell r="AT180">
            <v>38.380000000000003</v>
          </cell>
          <cell r="AU180">
            <v>38.380000000000003</v>
          </cell>
          <cell r="AW180">
            <v>0</v>
          </cell>
          <cell r="AX180">
            <v>0</v>
          </cell>
          <cell r="AY180">
            <v>79.12</v>
          </cell>
          <cell r="AZ180">
            <v>87.697000000000003</v>
          </cell>
          <cell r="BA180">
            <v>87.697000000000003</v>
          </cell>
          <cell r="BB180">
            <v>15.680000000000001</v>
          </cell>
          <cell r="BC180">
            <v>16.430999999999997</v>
          </cell>
          <cell r="BD180">
            <v>29.803000000000004</v>
          </cell>
          <cell r="BE180">
            <v>39.424000000000007</v>
          </cell>
          <cell r="BF180">
            <v>39.424000000000007</v>
          </cell>
          <cell r="BG180">
            <v>-5.5289999999999999</v>
          </cell>
          <cell r="BH180">
            <v>-17.815000000000001</v>
          </cell>
          <cell r="BI180">
            <v>-53.09899999999999</v>
          </cell>
          <cell r="BJ180">
            <v>-104.498</v>
          </cell>
          <cell r="BK180">
            <v>-104.498</v>
          </cell>
          <cell r="BL180">
            <v>-1.1719999999999999</v>
          </cell>
          <cell r="BM180">
            <v>-41.670999999999999</v>
          </cell>
          <cell r="BN180">
            <v>-3.3870000000000005</v>
          </cell>
          <cell r="BO180">
            <v>64.893000000000001</v>
          </cell>
          <cell r="BP180">
            <v>64.893000000000001</v>
          </cell>
          <cell r="BQ180">
            <v>66.465999999999994</v>
          </cell>
          <cell r="BR180">
            <v>56.686999999999998</v>
          </cell>
          <cell r="BS180">
            <v>74.486999999999995</v>
          </cell>
          <cell r="BT180">
            <v>110.57899999999999</v>
          </cell>
          <cell r="BU180">
            <v>110.57899999999999</v>
          </cell>
          <cell r="BV180">
            <v>8.6470000000000002</v>
          </cell>
          <cell r="BW180">
            <v>4.6890000000000001</v>
          </cell>
          <cell r="BX180">
            <v>29.859000000000002</v>
          </cell>
          <cell r="BY180">
            <v>90.466999999999999</v>
          </cell>
          <cell r="BZ180">
            <v>90.466999999999999</v>
          </cell>
          <cell r="CA180">
            <v>2.665</v>
          </cell>
          <cell r="CB180">
            <v>-8.6980000000000004</v>
          </cell>
          <cell r="CC180">
            <v>-3.9960000000000004</v>
          </cell>
          <cell r="CD180">
            <v>20.311</v>
          </cell>
          <cell r="CE180">
            <v>20.311</v>
          </cell>
          <cell r="CF180">
            <v>11.695</v>
          </cell>
          <cell r="CG180">
            <v>13.615</v>
          </cell>
          <cell r="CH180">
            <v>48.375</v>
          </cell>
          <cell r="CI180">
            <v>79.159000000000006</v>
          </cell>
          <cell r="CJ180">
            <v>79.159000000000006</v>
          </cell>
          <cell r="CK180">
            <v>-9.4510000000000005</v>
          </cell>
          <cell r="CL180">
            <v>-22.091999999999999</v>
          </cell>
          <cell r="CM180">
            <v>-20.156199999999998</v>
          </cell>
          <cell r="CN180">
            <v>-20.156199999999998</v>
          </cell>
          <cell r="CO180">
            <v>-20.156199999999998</v>
          </cell>
          <cell r="CP180">
            <v>0</v>
          </cell>
          <cell r="CQ180">
            <v>0</v>
          </cell>
          <cell r="CR180">
            <v>0</v>
          </cell>
          <cell r="CS180">
            <v>0</v>
          </cell>
          <cell r="CT180">
            <v>0</v>
          </cell>
          <cell r="CU180">
            <v>0</v>
          </cell>
          <cell r="CV180">
            <v>0</v>
          </cell>
          <cell r="CW180">
            <v>0</v>
          </cell>
          <cell r="CX180">
            <v>0</v>
          </cell>
          <cell r="CY180">
            <v>0</v>
          </cell>
          <cell r="CZ180">
            <v>0</v>
          </cell>
          <cell r="DA180">
            <v>0</v>
          </cell>
          <cell r="DB180">
            <v>0</v>
          </cell>
          <cell r="DC180">
            <v>0</v>
          </cell>
          <cell r="DD180">
            <v>0</v>
          </cell>
          <cell r="DE180">
            <v>0</v>
          </cell>
          <cell r="DF180">
            <v>0</v>
          </cell>
          <cell r="DG180">
            <v>0</v>
          </cell>
          <cell r="DH180">
            <v>0</v>
          </cell>
          <cell r="DI180">
            <v>0</v>
          </cell>
        </row>
        <row r="181">
          <cell r="B181" t="str">
            <v>Minority interest</v>
          </cell>
          <cell r="F181">
            <v>0</v>
          </cell>
          <cell r="G181">
            <v>0</v>
          </cell>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4.3410000000000002</v>
          </cell>
          <cell r="AK181">
            <v>4.3410000000000002</v>
          </cell>
          <cell r="AL181">
            <v>0</v>
          </cell>
          <cell r="AM181">
            <v>0</v>
          </cell>
          <cell r="AN181">
            <v>0</v>
          </cell>
          <cell r="AO181">
            <v>5.7160000000000002</v>
          </cell>
          <cell r="AP181">
            <v>5.7160000000000002</v>
          </cell>
          <cell r="AQ181">
            <v>0.66200000000000003</v>
          </cell>
          <cell r="AR181">
            <v>1.5609999999999999</v>
          </cell>
          <cell r="AS181">
            <v>2.399</v>
          </cell>
          <cell r="AT181">
            <v>3.1259999999999999</v>
          </cell>
          <cell r="AU181">
            <v>3.1259999999999999</v>
          </cell>
          <cell r="AW181">
            <v>0</v>
          </cell>
          <cell r="AX181">
            <v>0</v>
          </cell>
          <cell r="AY181">
            <v>5.7160000000000002</v>
          </cell>
          <cell r="AZ181">
            <v>6.3780000000000001</v>
          </cell>
          <cell r="BA181">
            <v>6.3780000000000001</v>
          </cell>
          <cell r="BB181">
            <v>0.89899999999999991</v>
          </cell>
          <cell r="BC181">
            <v>1.7369999999999999</v>
          </cell>
          <cell r="BD181">
            <v>2.4639999999999995</v>
          </cell>
          <cell r="BE181">
            <v>2.8649999999999993</v>
          </cell>
          <cell r="BF181">
            <v>2.8649999999999993</v>
          </cell>
          <cell r="BG181">
            <v>0.65800000000000003</v>
          </cell>
          <cell r="BH181">
            <v>1.7349999999999999</v>
          </cell>
          <cell r="BI181">
            <v>2.17</v>
          </cell>
          <cell r="BJ181">
            <v>2.0369999999999999</v>
          </cell>
          <cell r="BK181">
            <v>2.0369999999999999</v>
          </cell>
          <cell r="BL181">
            <v>0.17100000000000001</v>
          </cell>
          <cell r="BM181">
            <v>0.38800000000000001</v>
          </cell>
          <cell r="BN181">
            <v>0.10599999999999998</v>
          </cell>
          <cell r="BO181">
            <v>0.32600000000000007</v>
          </cell>
          <cell r="BP181">
            <v>0.32600000000000007</v>
          </cell>
          <cell r="BQ181">
            <v>0</v>
          </cell>
          <cell r="BR181">
            <v>0</v>
          </cell>
          <cell r="BS181">
            <v>0</v>
          </cell>
          <cell r="BT181">
            <v>0</v>
          </cell>
          <cell r="BU181">
            <v>0</v>
          </cell>
          <cell r="BV181">
            <v>0</v>
          </cell>
          <cell r="BW181">
            <v>0</v>
          </cell>
          <cell r="BX181">
            <v>0</v>
          </cell>
          <cell r="BY181">
            <v>0</v>
          </cell>
          <cell r="BZ181">
            <v>0</v>
          </cell>
          <cell r="CA181">
            <v>0</v>
          </cell>
          <cell r="CB181">
            <v>0</v>
          </cell>
          <cell r="CC181">
            <v>0</v>
          </cell>
          <cell r="CD181">
            <v>0</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0</v>
          </cell>
          <cell r="CX181">
            <v>0</v>
          </cell>
          <cell r="CY181">
            <v>0</v>
          </cell>
          <cell r="CZ181">
            <v>0</v>
          </cell>
          <cell r="DA181">
            <v>0</v>
          </cell>
          <cell r="DB181">
            <v>0</v>
          </cell>
          <cell r="DC181">
            <v>0</v>
          </cell>
          <cell r="DD181">
            <v>0</v>
          </cell>
          <cell r="DE181">
            <v>0</v>
          </cell>
          <cell r="DF181">
            <v>0</v>
          </cell>
          <cell r="DG181">
            <v>0</v>
          </cell>
          <cell r="DH181">
            <v>0</v>
          </cell>
          <cell r="DI181">
            <v>0</v>
          </cell>
        </row>
        <row r="182">
          <cell r="B182" t="str">
            <v>Losses on early extinguishment of debt</v>
          </cell>
          <cell r="F182">
            <v>-0.79700000000000004</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9.9659999999999993</v>
          </cell>
          <cell r="BS182">
            <v>19.460999999999999</v>
          </cell>
          <cell r="BT182">
            <v>-6.9440000000000026</v>
          </cell>
          <cell r="BU182">
            <v>-6.9440000000000026</v>
          </cell>
          <cell r="BV182">
            <v>-16.734999999999999</v>
          </cell>
          <cell r="BW182">
            <v>-16.734999999999999</v>
          </cell>
          <cell r="BX182">
            <v>-16.202000000000002</v>
          </cell>
          <cell r="BY182">
            <v>-16.202000000000002</v>
          </cell>
          <cell r="BZ182">
            <v>-16.202000000000002</v>
          </cell>
          <cell r="CA182">
            <v>0</v>
          </cell>
          <cell r="CB182">
            <v>0</v>
          </cell>
          <cell r="CC182">
            <v>0</v>
          </cell>
          <cell r="CD182">
            <v>0</v>
          </cell>
          <cell r="CE182">
            <v>0</v>
          </cell>
          <cell r="CF182">
            <v>0</v>
          </cell>
          <cell r="CG182">
            <v>0</v>
          </cell>
          <cell r="CH182">
            <v>0</v>
          </cell>
          <cell r="CI182">
            <v>0</v>
          </cell>
          <cell r="CJ182">
            <v>0</v>
          </cell>
          <cell r="CK182">
            <v>0</v>
          </cell>
          <cell r="CL182">
            <v>0</v>
          </cell>
          <cell r="CM182">
            <v>0</v>
          </cell>
          <cell r="CN182">
            <v>0</v>
          </cell>
          <cell r="CO182">
            <v>0</v>
          </cell>
        </row>
        <row r="183">
          <cell r="B183" t="str">
            <v>Write-off of deferred financing costs</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W183">
            <v>0</v>
          </cell>
          <cell r="AX183">
            <v>0</v>
          </cell>
          <cell r="AY183">
            <v>0</v>
          </cell>
          <cell r="AZ183">
            <v>0</v>
          </cell>
          <cell r="BA183">
            <v>0</v>
          </cell>
          <cell r="BB183">
            <v>0</v>
          </cell>
          <cell r="BC183">
            <v>0</v>
          </cell>
          <cell r="BD183">
            <v>0</v>
          </cell>
          <cell r="BE183">
            <v>0</v>
          </cell>
          <cell r="BF183">
            <v>0</v>
          </cell>
          <cell r="BG183">
            <v>4.6280000000000001</v>
          </cell>
          <cell r="BH183">
            <v>4.6280000000000001</v>
          </cell>
          <cell r="BI183">
            <v>7.6020000000000003</v>
          </cell>
          <cell r="BJ183">
            <v>7.6020000000000003</v>
          </cell>
          <cell r="BK183">
            <v>7.6020000000000003</v>
          </cell>
          <cell r="BL183">
            <v>0.76100000000000001</v>
          </cell>
          <cell r="BM183">
            <v>0.76100000000000001</v>
          </cell>
          <cell r="BN183">
            <v>0.76100000000000001</v>
          </cell>
          <cell r="BO183">
            <v>0.76100000000000001</v>
          </cell>
          <cell r="BP183">
            <v>0.76100000000000001</v>
          </cell>
          <cell r="BQ183">
            <v>0.629</v>
          </cell>
          <cell r="BR183">
            <v>1.4970000000000001</v>
          </cell>
          <cell r="BS183">
            <v>1.4970000000000001</v>
          </cell>
          <cell r="BT183">
            <v>1.4970000000000001</v>
          </cell>
          <cell r="BU183">
            <v>1.4970000000000001</v>
          </cell>
          <cell r="BV183">
            <v>0.19400000000000001</v>
          </cell>
          <cell r="BW183">
            <v>0.44400000000000001</v>
          </cell>
          <cell r="BX183">
            <v>0.44400000000000001</v>
          </cell>
          <cell r="BY183">
            <v>0.44400000000000001</v>
          </cell>
          <cell r="BZ183">
            <v>0.44400000000000001</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row>
        <row r="184">
          <cell r="B184" t="str">
            <v>Equity comp excess tax benefit</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W184">
            <v>0</v>
          </cell>
          <cell r="AX184">
            <v>0</v>
          </cell>
          <cell r="AY184">
            <v>0</v>
          </cell>
          <cell r="AZ184">
            <v>0</v>
          </cell>
          <cell r="BA184">
            <v>0</v>
          </cell>
          <cell r="BB184">
            <v>0</v>
          </cell>
          <cell r="BC184">
            <v>0</v>
          </cell>
          <cell r="BD184">
            <v>0</v>
          </cell>
          <cell r="BE184">
            <v>-0.80800000000000005</v>
          </cell>
          <cell r="BF184">
            <v>-0.80800000000000005</v>
          </cell>
          <cell r="BG184">
            <v>-1.9E-2</v>
          </cell>
          <cell r="BH184">
            <v>-3.7999999999999999E-2</v>
          </cell>
          <cell r="BI184">
            <v>-1.3480000000000003</v>
          </cell>
          <cell r="BJ184">
            <v>-1.369</v>
          </cell>
          <cell r="BK184">
            <v>-1.369</v>
          </cell>
          <cell r="BL184">
            <v>-0.23100000000000001</v>
          </cell>
          <cell r="BM184">
            <v>-0.27300000000000002</v>
          </cell>
          <cell r="BN184">
            <v>-0.27300000000000002</v>
          </cell>
          <cell r="BO184">
            <v>-0.27300000000000002</v>
          </cell>
          <cell r="BP184">
            <v>-0.27300000000000002</v>
          </cell>
          <cell r="BQ184">
            <v>1.1879999999999999</v>
          </cell>
          <cell r="BR184">
            <v>0</v>
          </cell>
          <cell r="BS184">
            <v>0</v>
          </cell>
          <cell r="BT184">
            <v>0</v>
          </cell>
          <cell r="BU184">
            <v>0</v>
          </cell>
          <cell r="BV184">
            <v>-0.14399999999999999</v>
          </cell>
          <cell r="BW184">
            <v>-0.14399999999999999</v>
          </cell>
          <cell r="BX184">
            <v>-0.14899999999999999</v>
          </cell>
          <cell r="BY184">
            <v>-0.218</v>
          </cell>
          <cell r="BZ184">
            <v>-0.218</v>
          </cell>
          <cell r="CA184">
            <v>0</v>
          </cell>
          <cell r="CB184">
            <v>-1.1120000000000001</v>
          </cell>
          <cell r="CC184">
            <v>-1.1120000000000001</v>
          </cell>
          <cell r="CD184">
            <v>-1.278</v>
          </cell>
          <cell r="CE184">
            <v>-1.278</v>
          </cell>
          <cell r="CF184">
            <v>-2.8969999999999998</v>
          </cell>
          <cell r="CG184">
            <v>-2.919</v>
          </cell>
          <cell r="CH184">
            <v>-2.919</v>
          </cell>
          <cell r="CI184">
            <v>-2.9990000000000001</v>
          </cell>
          <cell r="CJ184">
            <v>-2.9990000000000001</v>
          </cell>
          <cell r="CK184">
            <v>-1.4</v>
          </cell>
          <cell r="CL184">
            <v>-1.407</v>
          </cell>
          <cell r="CM184">
            <v>-1.444</v>
          </cell>
          <cell r="CN184">
            <v>-1.444</v>
          </cell>
          <cell r="CO184">
            <v>-1.444</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row>
        <row r="185">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row>
        <row r="186">
          <cell r="B186" t="str">
            <v>Accounts receivable</v>
          </cell>
          <cell r="F186">
            <v>-6.2249999999999996</v>
          </cell>
          <cell r="G186">
            <v>-10.021000000000001</v>
          </cell>
          <cell r="H186">
            <v>-21.491</v>
          </cell>
          <cell r="I186">
            <v>-11.912000000000001</v>
          </cell>
          <cell r="J186">
            <v>-19.898</v>
          </cell>
          <cell r="K186">
            <v>-12.648</v>
          </cell>
          <cell r="L186">
            <v>-63.381999999999998</v>
          </cell>
          <cell r="M186">
            <v>-11.829000000000001</v>
          </cell>
          <cell r="N186">
            <v>-31.387</v>
          </cell>
          <cell r="O186">
            <v>-39.911000000000001</v>
          </cell>
          <cell r="P186">
            <v>-65.055000000000007</v>
          </cell>
          <cell r="Q186">
            <v>-65.055000000000007</v>
          </cell>
          <cell r="R186">
            <v>-19.338999999999999</v>
          </cell>
          <cell r="S186">
            <v>-26.437000000000001</v>
          </cell>
          <cell r="T186">
            <v>-8.5169999999999995</v>
          </cell>
          <cell r="U186">
            <v>-24.376999999999999</v>
          </cell>
          <cell r="V186">
            <v>-24.376999999999999</v>
          </cell>
          <cell r="W186">
            <v>-25.934000000000001</v>
          </cell>
          <cell r="X186">
            <v>-88.826999999999998</v>
          </cell>
          <cell r="Y186">
            <v>-104.568</v>
          </cell>
          <cell r="Z186">
            <v>-149.28800000000001</v>
          </cell>
          <cell r="AA186">
            <v>-149.28800000000001</v>
          </cell>
          <cell r="AB186">
            <v>-23.69</v>
          </cell>
          <cell r="AC186">
            <v>-124.718</v>
          </cell>
          <cell r="AD186">
            <v>-157.25200000000001</v>
          </cell>
          <cell r="AE186">
            <v>-209.97199999999998</v>
          </cell>
          <cell r="AF186">
            <v>-209.97199999999998</v>
          </cell>
          <cell r="AG186">
            <v>-52.822000000000003</v>
          </cell>
          <cell r="AH186">
            <v>-130.82</v>
          </cell>
          <cell r="AI186">
            <v>-163.98599999999999</v>
          </cell>
          <cell r="AJ186">
            <v>-265.83</v>
          </cell>
          <cell r="AK186">
            <v>-265.83</v>
          </cell>
          <cell r="AL186">
            <v>-158.71700000000001</v>
          </cell>
          <cell r="AM186">
            <v>-255.696</v>
          </cell>
          <cell r="AN186">
            <v>-286.09899999999999</v>
          </cell>
          <cell r="AO186">
            <v>-343.86800000000005</v>
          </cell>
          <cell r="AP186">
            <v>-343.86800000000005</v>
          </cell>
          <cell r="AQ186">
            <v>-70.278000000000006</v>
          </cell>
          <cell r="AR186">
            <v>-193.88800000000001</v>
          </cell>
          <cell r="AS186">
            <v>-251.94100000000003</v>
          </cell>
          <cell r="AT186">
            <v>-328.46600000000001</v>
          </cell>
          <cell r="AU186">
            <v>-328.46600000000001</v>
          </cell>
          <cell r="AW186">
            <v>-96.978999999999985</v>
          </cell>
          <cell r="AX186">
            <v>-127.38199999999998</v>
          </cell>
          <cell r="AY186">
            <v>-185.15100000000001</v>
          </cell>
          <cell r="AZ186">
            <v>-255.42900000000003</v>
          </cell>
          <cell r="BA186">
            <v>-255.42900000000003</v>
          </cell>
          <cell r="BB186">
            <v>-123.61</v>
          </cell>
          <cell r="BC186">
            <v>-181.66300000000001</v>
          </cell>
          <cell r="BD186">
            <v>-258.18799999999999</v>
          </cell>
          <cell r="BE186">
            <v>-365.702</v>
          </cell>
          <cell r="BF186">
            <v>-365.702</v>
          </cell>
          <cell r="BG186">
            <v>-141.67099999999999</v>
          </cell>
          <cell r="BH186">
            <v>-244.535</v>
          </cell>
          <cell r="BI186">
            <v>-376.798</v>
          </cell>
          <cell r="BJ186">
            <v>-499.22200000000004</v>
          </cell>
          <cell r="BK186">
            <v>-499.22200000000004</v>
          </cell>
          <cell r="BL186">
            <v>-173.02500000000001</v>
          </cell>
          <cell r="BM186">
            <v>-293.91399999999999</v>
          </cell>
          <cell r="BN186">
            <v>-432.40300000000002</v>
          </cell>
          <cell r="BO186">
            <v>-548.11500000000001</v>
          </cell>
          <cell r="BP186">
            <v>-548.11500000000001</v>
          </cell>
          <cell r="BQ186">
            <v>-170.75299999999999</v>
          </cell>
          <cell r="BR186">
            <v>-260.94099999999997</v>
          </cell>
          <cell r="BS186">
            <v>-403.92899999999997</v>
          </cell>
          <cell r="BT186">
            <v>-532.61400000000003</v>
          </cell>
          <cell r="BU186">
            <v>-532.61400000000003</v>
          </cell>
          <cell r="BV186">
            <v>-190.791</v>
          </cell>
          <cell r="BW186">
            <v>-281.26600000000002</v>
          </cell>
          <cell r="BX186">
            <v>-420.29700000000003</v>
          </cell>
          <cell r="BY186">
            <v>-606.09900000000005</v>
          </cell>
          <cell r="BZ186">
            <v>-606.09900000000005</v>
          </cell>
          <cell r="CA186">
            <v>-245.691</v>
          </cell>
          <cell r="CB186">
            <v>-310.23</v>
          </cell>
          <cell r="CC186">
            <v>-491.36</v>
          </cell>
          <cell r="CD186">
            <v>-735.33399999999995</v>
          </cell>
          <cell r="CE186">
            <v>-735.33399999999995</v>
          </cell>
          <cell r="CF186">
            <v>-236.41200000000001</v>
          </cell>
          <cell r="CG186">
            <v>-355.17</v>
          </cell>
          <cell r="CH186">
            <v>-573.90200000000004</v>
          </cell>
          <cell r="CI186">
            <v>-870.89800000000002</v>
          </cell>
          <cell r="CJ186">
            <v>-870.89800000000002</v>
          </cell>
          <cell r="CK186">
            <v>-297.78199999999998</v>
          </cell>
          <cell r="CL186">
            <v>-446.976</v>
          </cell>
          <cell r="CM186">
            <v>-719.495</v>
          </cell>
          <cell r="CN186">
            <v>-948.09306392590304</v>
          </cell>
          <cell r="CO186">
            <v>-948.09306392590304</v>
          </cell>
          <cell r="CP186">
            <v>-304.40775037604868</v>
          </cell>
          <cell r="CQ186">
            <v>-446.43225556738969</v>
          </cell>
          <cell r="CR186">
            <v>-751.80643755354515</v>
          </cell>
          <cell r="CS186">
            <v>-1002.4805887861387</v>
          </cell>
          <cell r="CT186">
            <v>-1002.4805887861387</v>
          </cell>
          <cell r="CU186">
            <v>-244.28418667942435</v>
          </cell>
          <cell r="CV186">
            <v>-337.240611482536</v>
          </cell>
          <cell r="CW186">
            <v>-595.75230371101975</v>
          </cell>
          <cell r="CX186">
            <v>-794.42657074851718</v>
          </cell>
          <cell r="CY186">
            <v>-794.42657074851718</v>
          </cell>
          <cell r="CZ186">
            <v>-250.19587158323239</v>
          </cell>
          <cell r="DA186">
            <v>-320.12646072648698</v>
          </cell>
          <cell r="DB186">
            <v>-562.657029349514</v>
          </cell>
          <cell r="DC186">
            <v>-743.24883319148239</v>
          </cell>
          <cell r="DD186">
            <v>-743.24883319148239</v>
          </cell>
          <cell r="DE186">
            <v>-232.20879117551411</v>
          </cell>
          <cell r="DF186">
            <v>-295.43964672536072</v>
          </cell>
          <cell r="DG186">
            <v>-528.49342055407215</v>
          </cell>
          <cell r="DH186">
            <v>-692.73624631222049</v>
          </cell>
          <cell r="DI186">
            <v>-692.73624631222049</v>
          </cell>
        </row>
        <row r="187">
          <cell r="B187" t="str">
            <v>Supplies</v>
          </cell>
          <cell r="F187">
            <v>-0.83600000000000008</v>
          </cell>
          <cell r="G187">
            <v>-0.65299999999999991</v>
          </cell>
          <cell r="H187">
            <v>-0.59800000000000009</v>
          </cell>
          <cell r="I187">
            <v>-0.76900000000000002</v>
          </cell>
          <cell r="J187">
            <v>-1.071</v>
          </cell>
          <cell r="K187">
            <v>-2.8499999999999996</v>
          </cell>
          <cell r="L187">
            <v>-3.5960000000000001</v>
          </cell>
          <cell r="M187">
            <v>-2.8839999999999999</v>
          </cell>
          <cell r="N187">
            <v>-5.5369999999999999</v>
          </cell>
          <cell r="O187">
            <v>-5.3360000000000003</v>
          </cell>
          <cell r="P187">
            <v>-4.2750000000000004</v>
          </cell>
          <cell r="Q187">
            <v>-4.2750000000000004</v>
          </cell>
          <cell r="R187">
            <v>-3.1040000000000001</v>
          </cell>
          <cell r="S187">
            <v>-9.1329999999999991</v>
          </cell>
          <cell r="T187">
            <v>-11.407</v>
          </cell>
          <cell r="U187">
            <v>-13.948</v>
          </cell>
          <cell r="V187">
            <v>-13.948</v>
          </cell>
          <cell r="W187">
            <v>-5.7460000000000004</v>
          </cell>
          <cell r="X187">
            <v>-8.6880000000000006</v>
          </cell>
          <cell r="Y187">
            <v>-8.3369999999999997</v>
          </cell>
          <cell r="Z187">
            <v>-10.25</v>
          </cell>
          <cell r="AA187">
            <v>-10.25</v>
          </cell>
          <cell r="AB187">
            <v>-7.1470000000000002</v>
          </cell>
          <cell r="AC187">
            <v>-11.287000000000001</v>
          </cell>
          <cell r="AD187">
            <v>-8.7159999999999993</v>
          </cell>
          <cell r="AE187">
            <v>-4.6559999999999997</v>
          </cell>
          <cell r="AF187">
            <v>-4.6559999999999997</v>
          </cell>
          <cell r="AG187">
            <v>-7.5149999999999997</v>
          </cell>
          <cell r="AH187">
            <v>-9.3859999999999992</v>
          </cell>
          <cell r="AI187">
            <v>-9.2989999999999995</v>
          </cell>
          <cell r="AJ187">
            <v>-42.355999999999995</v>
          </cell>
          <cell r="AK187">
            <v>-42.355999999999995</v>
          </cell>
          <cell r="AL187">
            <v>26.724</v>
          </cell>
          <cell r="AM187">
            <v>28.507000000000001</v>
          </cell>
          <cell r="AN187">
            <v>25.123999999999999</v>
          </cell>
          <cell r="AO187">
            <v>-28.523</v>
          </cell>
          <cell r="AP187">
            <v>-28.523</v>
          </cell>
          <cell r="AQ187">
            <v>16.565999999999999</v>
          </cell>
          <cell r="AR187">
            <v>15.083</v>
          </cell>
          <cell r="AS187">
            <v>10.478</v>
          </cell>
          <cell r="AT187">
            <v>-6.5559999999999992</v>
          </cell>
          <cell r="AU187">
            <v>-6.5559999999999992</v>
          </cell>
          <cell r="AW187">
            <v>1.7830000000000013</v>
          </cell>
          <cell r="AX187">
            <v>-1.6000000000000014</v>
          </cell>
          <cell r="AY187">
            <v>-55.247</v>
          </cell>
          <cell r="AZ187">
            <v>-38.680999999999997</v>
          </cell>
          <cell r="BA187">
            <v>-38.680999999999997</v>
          </cell>
          <cell r="BB187">
            <v>-1.4829999999999988</v>
          </cell>
          <cell r="BC187">
            <v>-6.0879999999999992</v>
          </cell>
          <cell r="BD187">
            <v>-23.122</v>
          </cell>
          <cell r="BE187">
            <v>2.9840000000000018</v>
          </cell>
          <cell r="BF187">
            <v>2.9840000000000018</v>
          </cell>
          <cell r="BG187">
            <v>39.99</v>
          </cell>
          <cell r="BH187">
            <v>31.052</v>
          </cell>
          <cell r="BI187">
            <v>4.570999999999998</v>
          </cell>
          <cell r="BJ187">
            <v>-13.675000000000001</v>
          </cell>
          <cell r="BK187">
            <v>-13.675000000000001</v>
          </cell>
          <cell r="BL187">
            <v>2.0459999999999998</v>
          </cell>
          <cell r="BM187">
            <v>-2.5240000000000005</v>
          </cell>
          <cell r="BN187">
            <v>0.53599999999999959</v>
          </cell>
          <cell r="BO187">
            <v>2.4260000000000002</v>
          </cell>
          <cell r="BP187">
            <v>2.4260000000000002</v>
          </cell>
          <cell r="BQ187">
            <v>-3.2810000000000001</v>
          </cell>
          <cell r="BR187">
            <v>-7.293000000000001</v>
          </cell>
          <cell r="BS187">
            <v>-6.5359999999999996</v>
          </cell>
          <cell r="BT187">
            <v>-10.592000000000001</v>
          </cell>
          <cell r="BU187">
            <v>-10.592000000000001</v>
          </cell>
          <cell r="BV187">
            <v>-2.7709999999999999</v>
          </cell>
          <cell r="BW187">
            <v>-3.097</v>
          </cell>
          <cell r="BX187">
            <v>-3.468</v>
          </cell>
          <cell r="BY187">
            <v>-3.89</v>
          </cell>
          <cell r="BZ187">
            <v>-3.89</v>
          </cell>
          <cell r="CA187">
            <v>-7.6479999999999997</v>
          </cell>
          <cell r="CB187">
            <v>-9.34</v>
          </cell>
          <cell r="CC187">
            <v>-9.81</v>
          </cell>
          <cell r="CD187">
            <v>-20.585999999999999</v>
          </cell>
          <cell r="CE187">
            <v>-20.585999999999999</v>
          </cell>
          <cell r="CF187">
            <v>-5.5259999999999998</v>
          </cell>
          <cell r="CG187">
            <v>-6.7220000000000004</v>
          </cell>
          <cell r="CH187">
            <v>-12.251000000000001</v>
          </cell>
          <cell r="CI187">
            <v>-11.379000000000001</v>
          </cell>
          <cell r="CJ187">
            <v>-11.379000000000001</v>
          </cell>
          <cell r="CK187">
            <v>-5.516</v>
          </cell>
          <cell r="CL187">
            <v>-2.673</v>
          </cell>
          <cell r="CM187">
            <v>-1.962</v>
          </cell>
          <cell r="CN187">
            <v>-19.073901082525577</v>
          </cell>
          <cell r="CO187">
            <v>-19.073901082525577</v>
          </cell>
          <cell r="CP187">
            <v>7.4916525100033482</v>
          </cell>
          <cell r="CQ187">
            <v>20.73288238712172</v>
          </cell>
          <cell r="CR187">
            <v>31.952583530862881</v>
          </cell>
          <cell r="CS187">
            <v>15.015847716934928</v>
          </cell>
          <cell r="CT187">
            <v>15.015847716934928</v>
          </cell>
          <cell r="CU187">
            <v>-12.253043909473405</v>
          </cell>
          <cell r="CV187">
            <v>0.74049494273705818</v>
          </cell>
          <cell r="CW187">
            <v>12.128096222885802</v>
          </cell>
          <cell r="CX187">
            <v>-4.7738596853176887</v>
          </cell>
          <cell r="CY187">
            <v>-4.7738596853176887</v>
          </cell>
          <cell r="CZ187">
            <v>-13.334272301864388</v>
          </cell>
          <cell r="DA187">
            <v>-0.15083027342717514</v>
          </cell>
          <cell r="DB187">
            <v>11.490462660657613</v>
          </cell>
          <cell r="DC187">
            <v>-5.8115987099263293</v>
          </cell>
          <cell r="DD187">
            <v>-5.8115987099263293</v>
          </cell>
          <cell r="DE187">
            <v>-17.06054745094545</v>
          </cell>
          <cell r="DF187">
            <v>-5.7005325410247565</v>
          </cell>
          <cell r="DG187">
            <v>6.4917826161310757</v>
          </cell>
          <cell r="DH187">
            <v>-11.26407097519359</v>
          </cell>
          <cell r="DI187">
            <v>-11.26407097519359</v>
          </cell>
        </row>
        <row r="188">
          <cell r="B188" t="str">
            <v>Prepaid expenses and other assets</v>
          </cell>
          <cell r="F188">
            <v>14.302</v>
          </cell>
          <cell r="G188">
            <v>1.617</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0.47899999999999998</v>
          </cell>
          <cell r="AF188">
            <v>0.47899999999999998</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-9.3320000000000007</v>
          </cell>
          <cell r="AU188">
            <v>-9.3320000000000007</v>
          </cell>
          <cell r="AW188">
            <v>0</v>
          </cell>
          <cell r="AX188">
            <v>0</v>
          </cell>
          <cell r="AY188">
            <v>0</v>
          </cell>
          <cell r="AZ188">
            <v>0</v>
          </cell>
          <cell r="BA188">
            <v>0</v>
          </cell>
          <cell r="BB188">
            <v>0</v>
          </cell>
          <cell r="BC188">
            <v>0</v>
          </cell>
          <cell r="BD188">
            <v>-9.3320000000000007</v>
          </cell>
          <cell r="BE188">
            <v>-9.3320000000000007</v>
          </cell>
          <cell r="BF188">
            <v>-9.3320000000000007</v>
          </cell>
          <cell r="BG188">
            <v>0</v>
          </cell>
          <cell r="BH188">
            <v>0</v>
          </cell>
          <cell r="BI188">
            <v>0</v>
          </cell>
          <cell r="BJ188">
            <v>6.7519999999999998</v>
          </cell>
          <cell r="BK188">
            <v>6.7519999999999998</v>
          </cell>
          <cell r="BL188">
            <v>0</v>
          </cell>
          <cell r="BM188">
            <v>0</v>
          </cell>
          <cell r="BN188">
            <v>0</v>
          </cell>
          <cell r="BO188">
            <v>0</v>
          </cell>
          <cell r="BP188">
            <v>0</v>
          </cell>
          <cell r="BQ188">
            <v>77.427000000000007</v>
          </cell>
          <cell r="BR188">
            <v>100.773</v>
          </cell>
          <cell r="BS188">
            <v>81.198999999999998</v>
          </cell>
          <cell r="BT188">
            <v>52.295000000000002</v>
          </cell>
          <cell r="BU188">
            <v>52.295000000000002</v>
          </cell>
          <cell r="BV188">
            <v>33.213999999999999</v>
          </cell>
          <cell r="BW188">
            <v>60.024000000000001</v>
          </cell>
          <cell r="BX188">
            <v>47.765999999999998</v>
          </cell>
          <cell r="BY188">
            <v>-0.3089999999999975</v>
          </cell>
          <cell r="BZ188">
            <v>-0.3089999999999975</v>
          </cell>
          <cell r="CA188">
            <v>26.335000000000001</v>
          </cell>
          <cell r="CB188">
            <v>14.327</v>
          </cell>
          <cell r="CC188">
            <v>28.654</v>
          </cell>
          <cell r="CD188">
            <v>31.193999999999999</v>
          </cell>
          <cell r="CE188">
            <v>31.193999999999999</v>
          </cell>
          <cell r="CF188">
            <v>22.478999999999999</v>
          </cell>
          <cell r="CG188">
            <v>10.448</v>
          </cell>
          <cell r="CH188">
            <v>-7.9999999999991189E-3</v>
          </cell>
          <cell r="CI188">
            <v>-18.986999999999998</v>
          </cell>
          <cell r="CJ188">
            <v>-18.986999999999998</v>
          </cell>
          <cell r="CK188">
            <v>31.38</v>
          </cell>
          <cell r="CL188">
            <v>53.930999999999997</v>
          </cell>
          <cell r="CM188">
            <v>52.641500000000001</v>
          </cell>
          <cell r="CN188">
            <v>52.641500000000001</v>
          </cell>
          <cell r="CO188">
            <v>52.641500000000001</v>
          </cell>
          <cell r="CP188">
            <v>0</v>
          </cell>
          <cell r="CQ188">
            <v>0</v>
          </cell>
          <cell r="CR188">
            <v>0</v>
          </cell>
          <cell r="CS188">
            <v>0</v>
          </cell>
          <cell r="CT188">
            <v>0</v>
          </cell>
          <cell r="CU188">
            <v>0</v>
          </cell>
          <cell r="CV188">
            <v>0</v>
          </cell>
          <cell r="CW188">
            <v>0</v>
          </cell>
          <cell r="CX188">
            <v>0</v>
          </cell>
          <cell r="CY188">
            <v>0</v>
          </cell>
          <cell r="CZ188">
            <v>0</v>
          </cell>
          <cell r="DA188">
            <v>0</v>
          </cell>
          <cell r="DB188">
            <v>0</v>
          </cell>
          <cell r="DC188">
            <v>0</v>
          </cell>
          <cell r="DD188">
            <v>0</v>
          </cell>
          <cell r="DE188">
            <v>0</v>
          </cell>
          <cell r="DF188">
            <v>0</v>
          </cell>
          <cell r="DG188">
            <v>0</v>
          </cell>
          <cell r="DH188">
            <v>0</v>
          </cell>
          <cell r="DI188">
            <v>0</v>
          </cell>
        </row>
        <row r="189">
          <cell r="B189" t="str">
            <v>Deferred charges and other assets</v>
          </cell>
          <cell r="F189">
            <v>0.185</v>
          </cell>
          <cell r="G189">
            <v>-1.401</v>
          </cell>
          <cell r="H189">
            <v>-2.6139999999999999</v>
          </cell>
          <cell r="I189">
            <v>-3.3279999999999998</v>
          </cell>
          <cell r="J189">
            <v>-7.0339999999999998</v>
          </cell>
          <cell r="K189">
            <v>-3.302</v>
          </cell>
          <cell r="L189">
            <v>-3.706</v>
          </cell>
          <cell r="M189">
            <v>-4.0000000000000001E-3</v>
          </cell>
          <cell r="N189">
            <v>-0.66400000000000003</v>
          </cell>
          <cell r="O189">
            <v>-37.589000000000006</v>
          </cell>
          <cell r="P189">
            <v>-3.9540000000000077</v>
          </cell>
          <cell r="Q189">
            <v>-3.9540000000000077</v>
          </cell>
          <cell r="R189">
            <v>-3.2429999999999999</v>
          </cell>
          <cell r="S189">
            <v>-6.9429999999999996</v>
          </cell>
          <cell r="T189">
            <v>-13.528</v>
          </cell>
          <cell r="U189">
            <v>-10.426</v>
          </cell>
          <cell r="V189">
            <v>-10.426</v>
          </cell>
          <cell r="W189">
            <v>-9.98</v>
          </cell>
          <cell r="X189">
            <v>-5.569</v>
          </cell>
          <cell r="Y189">
            <v>-5.8630000000000004</v>
          </cell>
          <cell r="Z189">
            <v>-6.0179999999999998</v>
          </cell>
          <cell r="AA189">
            <v>-6.0179999999999998</v>
          </cell>
          <cell r="AB189">
            <v>0.89800000000000002</v>
          </cell>
          <cell r="AC189">
            <v>-6.1120000000000001</v>
          </cell>
          <cell r="AD189">
            <v>-6.6989999999999998</v>
          </cell>
          <cell r="AE189">
            <v>-1.0349999999999993</v>
          </cell>
          <cell r="AF189">
            <v>-1.0349999999999993</v>
          </cell>
          <cell r="AG189">
            <v>8.7289999999999992</v>
          </cell>
          <cell r="AH189">
            <v>4.2350000000000003</v>
          </cell>
          <cell r="AI189">
            <v>1.5119999999999996</v>
          </cell>
          <cell r="AJ189">
            <v>2.1680000000000001</v>
          </cell>
          <cell r="AK189">
            <v>2.1680000000000001</v>
          </cell>
          <cell r="AL189">
            <v>-2.3940000000000001</v>
          </cell>
          <cell r="AM189">
            <v>-2.077</v>
          </cell>
          <cell r="AN189">
            <v>-4.83</v>
          </cell>
          <cell r="AO189">
            <v>-4.6280000000000001</v>
          </cell>
          <cell r="AP189">
            <v>-4.6280000000000001</v>
          </cell>
          <cell r="AQ189">
            <v>-13.125999999999999</v>
          </cell>
          <cell r="AR189">
            <v>-6.1929999999999996</v>
          </cell>
          <cell r="AS189">
            <v>0.92600000000000016</v>
          </cell>
          <cell r="AT189">
            <v>8.4489999999999998</v>
          </cell>
          <cell r="AU189">
            <v>8.4489999999999998</v>
          </cell>
          <cell r="AW189">
            <v>0.31700000000000017</v>
          </cell>
          <cell r="AX189">
            <v>-2.4359999999999999</v>
          </cell>
          <cell r="AY189">
            <v>-2.234</v>
          </cell>
          <cell r="AZ189">
            <v>-15.36</v>
          </cell>
          <cell r="BA189">
            <v>-15.36</v>
          </cell>
          <cell r="BB189">
            <v>6.9329999999999998</v>
          </cell>
          <cell r="BC189">
            <v>14.052</v>
          </cell>
          <cell r="BD189">
            <v>21.574999999999999</v>
          </cell>
          <cell r="BE189">
            <v>13.625999999999999</v>
          </cell>
          <cell r="BF189">
            <v>13.625999999999999</v>
          </cell>
          <cell r="BG189">
            <v>-6.9059999999999997</v>
          </cell>
          <cell r="BH189">
            <v>11.081</v>
          </cell>
          <cell r="BI189">
            <v>1.879999999999999</v>
          </cell>
          <cell r="BJ189">
            <v>3.2590000000000012</v>
          </cell>
          <cell r="BK189">
            <v>3.2590000000000012</v>
          </cell>
          <cell r="BL189">
            <v>-0.75800000000000001</v>
          </cell>
          <cell r="BM189">
            <v>0</v>
          </cell>
          <cell r="BN189">
            <v>0</v>
          </cell>
          <cell r="BO189">
            <v>-13.878</v>
          </cell>
          <cell r="BP189">
            <v>-13.878</v>
          </cell>
          <cell r="BQ189">
            <v>-0.46300000000000002</v>
          </cell>
          <cell r="BR189">
            <v>0.96499999999999986</v>
          </cell>
          <cell r="BS189">
            <v>1.63</v>
          </cell>
          <cell r="BT189">
            <v>-5.1139999999999999</v>
          </cell>
          <cell r="BU189">
            <v>-5.1139999999999999</v>
          </cell>
          <cell r="BV189">
            <v>-1.2529999999999999</v>
          </cell>
          <cell r="BW189">
            <v>-9.843</v>
          </cell>
          <cell r="BX189">
            <v>-3.6259999999999994</v>
          </cell>
          <cell r="BY189">
            <v>-11.282000000000002</v>
          </cell>
          <cell r="BZ189">
            <v>-11.282000000000002</v>
          </cell>
          <cell r="CA189">
            <v>-3.9129999999999998</v>
          </cell>
          <cell r="CB189">
            <v>-7.6479999999999997</v>
          </cell>
          <cell r="CC189">
            <v>-13.36</v>
          </cell>
          <cell r="CD189">
            <v>5.6210000000000022</v>
          </cell>
          <cell r="CE189">
            <v>5.6210000000000022</v>
          </cell>
          <cell r="CF189">
            <v>-4.43</v>
          </cell>
          <cell r="CG189">
            <v>-3.3330000000000002</v>
          </cell>
          <cell r="CH189">
            <v>-1.5840000000000001</v>
          </cell>
          <cell r="CI189">
            <v>-5.7850000000000001</v>
          </cell>
          <cell r="CJ189">
            <v>-5.7850000000000001</v>
          </cell>
          <cell r="CK189">
            <v>-6.4249999999999998</v>
          </cell>
          <cell r="CL189">
            <v>1.7999999999999794E-2</v>
          </cell>
          <cell r="CM189">
            <v>-1.839</v>
          </cell>
          <cell r="CN189">
            <v>-1.839</v>
          </cell>
          <cell r="CO189">
            <v>-1.839</v>
          </cell>
          <cell r="CP189">
            <v>0</v>
          </cell>
          <cell r="CQ189">
            <v>0</v>
          </cell>
          <cell r="CR189">
            <v>0</v>
          </cell>
          <cell r="CS189">
            <v>0</v>
          </cell>
          <cell r="CT189">
            <v>0</v>
          </cell>
          <cell r="CU189">
            <v>0</v>
          </cell>
          <cell r="CV189">
            <v>0</v>
          </cell>
          <cell r="CW189">
            <v>0</v>
          </cell>
          <cell r="CX189">
            <v>0</v>
          </cell>
          <cell r="CY189">
            <v>0</v>
          </cell>
          <cell r="CZ189">
            <v>0</v>
          </cell>
          <cell r="DA189">
            <v>0</v>
          </cell>
          <cell r="DB189">
            <v>0</v>
          </cell>
          <cell r="DC189">
            <v>0</v>
          </cell>
          <cell r="DD189">
            <v>0</v>
          </cell>
          <cell r="DE189">
            <v>0</v>
          </cell>
          <cell r="DF189">
            <v>0</v>
          </cell>
          <cell r="DG189">
            <v>0</v>
          </cell>
          <cell r="DH189">
            <v>0</v>
          </cell>
          <cell r="DI189">
            <v>0</v>
          </cell>
        </row>
        <row r="190">
          <cell r="B190" t="str">
            <v>Accounts payable</v>
          </cell>
          <cell r="F190">
            <v>1.0449999999999999</v>
          </cell>
          <cell r="G190">
            <v>1.181</v>
          </cell>
          <cell r="H190">
            <v>0.88700000000000001</v>
          </cell>
          <cell r="I190">
            <v>5.6189999999999998</v>
          </cell>
          <cell r="J190">
            <v>3.37</v>
          </cell>
          <cell r="K190">
            <v>2.4249999999999998</v>
          </cell>
          <cell r="L190">
            <v>5.1820000000000004</v>
          </cell>
          <cell r="M190">
            <v>5.5149999999999997</v>
          </cell>
          <cell r="N190">
            <v>12.755000000000001</v>
          </cell>
          <cell r="O190">
            <v>14.247</v>
          </cell>
          <cell r="P190">
            <v>22.878</v>
          </cell>
          <cell r="Q190">
            <v>22.878</v>
          </cell>
          <cell r="R190">
            <v>7.6790000000000003</v>
          </cell>
          <cell r="S190">
            <v>2.8730000000000002</v>
          </cell>
          <cell r="T190">
            <v>-2.0330000000000004</v>
          </cell>
          <cell r="U190">
            <v>4.6320000000000006</v>
          </cell>
          <cell r="V190">
            <v>4.6320000000000006</v>
          </cell>
          <cell r="W190">
            <v>7.9889999999999999</v>
          </cell>
          <cell r="X190">
            <v>9.1129999999999995</v>
          </cell>
          <cell r="Y190">
            <v>11.952999999999999</v>
          </cell>
          <cell r="Z190">
            <v>13.314999999999998</v>
          </cell>
          <cell r="AA190">
            <v>13.314999999999998</v>
          </cell>
          <cell r="AB190">
            <v>21.974</v>
          </cell>
          <cell r="AC190">
            <v>33.130000000000003</v>
          </cell>
          <cell r="AD190">
            <v>36.043999999999997</v>
          </cell>
          <cell r="AE190">
            <v>29.745999999999999</v>
          </cell>
          <cell r="AF190">
            <v>29.745999999999999</v>
          </cell>
          <cell r="AG190">
            <v>2.5539999999999998</v>
          </cell>
          <cell r="AH190">
            <v>14.114000000000001</v>
          </cell>
          <cell r="AI190">
            <v>-4.2210000000000001</v>
          </cell>
          <cell r="AJ190">
            <v>5.6660000000000004</v>
          </cell>
          <cell r="AK190">
            <v>5.6660000000000004</v>
          </cell>
          <cell r="AL190">
            <v>2.5099999999999998</v>
          </cell>
          <cell r="AM190">
            <v>11.308</v>
          </cell>
          <cell r="AN190">
            <v>5.39</v>
          </cell>
          <cell r="AO190">
            <v>0.21199999999999974</v>
          </cell>
          <cell r="AP190">
            <v>0.21199999999999974</v>
          </cell>
          <cell r="AQ190">
            <v>0.32800000000000001</v>
          </cell>
          <cell r="AR190">
            <v>20.856000000000002</v>
          </cell>
          <cell r="AS190">
            <v>25.600999999999999</v>
          </cell>
          <cell r="AT190">
            <v>29.29</v>
          </cell>
          <cell r="AU190">
            <v>29.29</v>
          </cell>
          <cell r="AW190">
            <v>8.798</v>
          </cell>
          <cell r="AX190">
            <v>2.88</v>
          </cell>
          <cell r="AY190">
            <v>-2.298</v>
          </cell>
          <cell r="AZ190">
            <v>-1.97</v>
          </cell>
          <cell r="BA190">
            <v>-1.97</v>
          </cell>
          <cell r="BB190">
            <v>20.528000000000002</v>
          </cell>
          <cell r="BC190">
            <v>25.273</v>
          </cell>
          <cell r="BD190">
            <v>28.962</v>
          </cell>
          <cell r="BE190">
            <v>42.448999999999998</v>
          </cell>
          <cell r="BF190">
            <v>42.448999999999998</v>
          </cell>
          <cell r="BG190">
            <v>3.9590000000000001</v>
          </cell>
          <cell r="BH190">
            <v>29.091999999999999</v>
          </cell>
          <cell r="BI190">
            <v>2.222999999999999</v>
          </cell>
          <cell r="BJ190">
            <v>27.823</v>
          </cell>
          <cell r="BK190">
            <v>27.823</v>
          </cell>
          <cell r="BL190">
            <v>5.548</v>
          </cell>
          <cell r="BM190">
            <v>47.781999999999996</v>
          </cell>
          <cell r="BN190">
            <v>18.893999999999998</v>
          </cell>
          <cell r="BO190">
            <v>14.083</v>
          </cell>
          <cell r="BP190">
            <v>14.083</v>
          </cell>
          <cell r="BQ190">
            <v>9.5259999999999998</v>
          </cell>
          <cell r="BR190">
            <v>9.5609999999999999</v>
          </cell>
          <cell r="BS190">
            <v>26.481999999999999</v>
          </cell>
          <cell r="BT190">
            <v>29.66</v>
          </cell>
          <cell r="BU190">
            <v>29.66</v>
          </cell>
          <cell r="BV190">
            <v>7.516</v>
          </cell>
          <cell r="BW190">
            <v>-43.048000000000002</v>
          </cell>
          <cell r="BX190">
            <v>-57.167000000000002</v>
          </cell>
          <cell r="BY190">
            <v>-21.040999999999997</v>
          </cell>
          <cell r="BZ190">
            <v>-21.040999999999997</v>
          </cell>
          <cell r="CA190">
            <v>30.64</v>
          </cell>
          <cell r="CB190">
            <v>12.027000000000001</v>
          </cell>
          <cell r="CC190">
            <v>-29.186</v>
          </cell>
          <cell r="CD190">
            <v>31.657000000000004</v>
          </cell>
          <cell r="CE190">
            <v>31.657000000000004</v>
          </cell>
          <cell r="CF190">
            <v>-6.6920000000000002</v>
          </cell>
          <cell r="CG190">
            <v>-6.4880000000000004</v>
          </cell>
          <cell r="CH190">
            <v>-5.843</v>
          </cell>
          <cell r="CI190">
            <v>23.38</v>
          </cell>
          <cell r="CJ190">
            <v>23.38</v>
          </cell>
          <cell r="CK190">
            <v>-13.292999999999999</v>
          </cell>
          <cell r="CL190">
            <v>-17.257999999999999</v>
          </cell>
          <cell r="CM190">
            <v>-10.523999999999999</v>
          </cell>
          <cell r="CN190">
            <v>-12.746601933698825</v>
          </cell>
          <cell r="CO190">
            <v>-12.746601933698825</v>
          </cell>
          <cell r="CP190">
            <v>13.526935985071134</v>
          </cell>
          <cell r="CQ190">
            <v>1.9992770332269174</v>
          </cell>
          <cell r="CR190">
            <v>-7.7684627860301418</v>
          </cell>
          <cell r="CS190">
            <v>6.9764601578600605</v>
          </cell>
          <cell r="CT190">
            <v>6.9764601578600605</v>
          </cell>
          <cell r="CU190">
            <v>18.373169434029137</v>
          </cell>
          <cell r="CV190">
            <v>6.6320198687787411</v>
          </cell>
          <cell r="CW190">
            <v>-3.6579812879821816</v>
          </cell>
          <cell r="CX190">
            <v>11.614870436298133</v>
          </cell>
          <cell r="CY190">
            <v>11.614870436298133</v>
          </cell>
          <cell r="CZ190">
            <v>20.338309448315016</v>
          </cell>
          <cell r="DA190">
            <v>7.9686601376825479</v>
          </cell>
          <cell r="DB190">
            <v>-2.954034467137717</v>
          </cell>
          <cell r="DC190">
            <v>13.27999842378054</v>
          </cell>
          <cell r="DD190">
            <v>13.27999842378054</v>
          </cell>
          <cell r="DE190">
            <v>16.00742723792419</v>
          </cell>
          <cell r="DF190">
            <v>5.3486478162701303</v>
          </cell>
          <cell r="DG190">
            <v>-6.0910552941476794</v>
          </cell>
          <cell r="DH190">
            <v>10.568757952033536</v>
          </cell>
          <cell r="DI190">
            <v>10.568757952033536</v>
          </cell>
        </row>
        <row r="191">
          <cell r="B191" t="str">
            <v>Accrued payroll, interest and other liabilities</v>
          </cell>
          <cell r="F191">
            <v>-1.863</v>
          </cell>
          <cell r="G191">
            <v>1.25</v>
          </cell>
          <cell r="H191">
            <v>0.128</v>
          </cell>
          <cell r="I191">
            <v>3.448</v>
          </cell>
          <cell r="J191">
            <v>0.73699999999999999</v>
          </cell>
          <cell r="K191">
            <v>4.9379999999999997</v>
          </cell>
          <cell r="L191">
            <v>-4.6580000000000004</v>
          </cell>
          <cell r="M191">
            <v>1.0109999999999999</v>
          </cell>
          <cell r="N191">
            <v>-0.72499999999999987</v>
          </cell>
          <cell r="O191">
            <v>-1.5149999999999999</v>
          </cell>
          <cell r="P191">
            <v>3.3709999999999996</v>
          </cell>
          <cell r="Q191">
            <v>3.3709999999999996</v>
          </cell>
          <cell r="R191">
            <v>-4.3029999999999999</v>
          </cell>
          <cell r="S191">
            <v>3.1480000000000006</v>
          </cell>
          <cell r="T191">
            <v>0.82899999999999974</v>
          </cell>
          <cell r="U191">
            <v>1.7850000000000001</v>
          </cell>
          <cell r="V191">
            <v>1.7850000000000001</v>
          </cell>
          <cell r="W191">
            <v>5.3760000000000003</v>
          </cell>
          <cell r="X191">
            <v>-5.2190000000000003</v>
          </cell>
          <cell r="Y191">
            <v>-6.0279999999999996</v>
          </cell>
          <cell r="Z191">
            <v>2.0529999999999999</v>
          </cell>
          <cell r="AA191">
            <v>2.0529999999999999</v>
          </cell>
          <cell r="AB191">
            <v>1.216</v>
          </cell>
          <cell r="AC191">
            <v>16.414999999999999</v>
          </cell>
          <cell r="AD191">
            <v>17.518000000000001</v>
          </cell>
          <cell r="AE191">
            <v>7.9150000000000009</v>
          </cell>
          <cell r="AF191">
            <v>7.9150000000000009</v>
          </cell>
          <cell r="AG191">
            <v>5.1509999999999998</v>
          </cell>
          <cell r="AH191">
            <v>5.5659999999999998</v>
          </cell>
          <cell r="AI191">
            <v>10.398</v>
          </cell>
          <cell r="AJ191">
            <v>-6.5040000000000013</v>
          </cell>
          <cell r="AK191">
            <v>-6.5040000000000013</v>
          </cell>
          <cell r="AL191">
            <v>18.259</v>
          </cell>
          <cell r="AM191">
            <v>3.2899999999999991</v>
          </cell>
          <cell r="AN191">
            <v>6.4810000000000016</v>
          </cell>
          <cell r="AO191">
            <v>3.2080000000000002</v>
          </cell>
          <cell r="AP191">
            <v>3.2080000000000002</v>
          </cell>
          <cell r="AQ191">
            <v>-7.2619999999999996</v>
          </cell>
          <cell r="AR191">
            <v>-11.301</v>
          </cell>
          <cell r="AS191">
            <v>-13.615000000000002</v>
          </cell>
          <cell r="AT191">
            <v>47.555999999999997</v>
          </cell>
          <cell r="AU191">
            <v>47.555999999999997</v>
          </cell>
          <cell r="AW191">
            <v>-14.969000000000001</v>
          </cell>
          <cell r="AX191">
            <v>-11.777999999999999</v>
          </cell>
          <cell r="AY191">
            <v>-15.051</v>
          </cell>
          <cell r="AZ191">
            <v>-22.312999999999999</v>
          </cell>
          <cell r="BA191">
            <v>-22.312999999999999</v>
          </cell>
          <cell r="BB191">
            <v>-4.0390000000000006</v>
          </cell>
          <cell r="BC191">
            <v>-6.3530000000000015</v>
          </cell>
          <cell r="BD191">
            <v>54.817999999999998</v>
          </cell>
          <cell r="BE191">
            <v>60.226999999999997</v>
          </cell>
          <cell r="BF191">
            <v>60.226999999999997</v>
          </cell>
          <cell r="BG191">
            <v>26.440999999999999</v>
          </cell>
          <cell r="BH191">
            <v>17.128</v>
          </cell>
          <cell r="BI191">
            <v>104.621</v>
          </cell>
          <cell r="BJ191">
            <v>41.890999999999991</v>
          </cell>
          <cell r="BK191">
            <v>41.890999999999991</v>
          </cell>
          <cell r="BL191">
            <v>-6.4539999999999997</v>
          </cell>
          <cell r="BM191">
            <v>9.4710000000000001</v>
          </cell>
          <cell r="BN191">
            <v>-9.3820000000000014</v>
          </cell>
          <cell r="BO191">
            <v>-42.902999999999992</v>
          </cell>
          <cell r="BP191">
            <v>-42.902999999999992</v>
          </cell>
          <cell r="BQ191">
            <v>11.859</v>
          </cell>
          <cell r="BR191">
            <v>12.047000000000001</v>
          </cell>
          <cell r="BS191">
            <v>22.369</v>
          </cell>
          <cell r="BT191">
            <v>-13.849000000000004</v>
          </cell>
          <cell r="BU191">
            <v>-13.849000000000004</v>
          </cell>
          <cell r="BV191">
            <v>15.294</v>
          </cell>
          <cell r="BW191">
            <v>36.930999999999997</v>
          </cell>
          <cell r="BX191">
            <v>47.322000000000003</v>
          </cell>
          <cell r="BY191">
            <v>27.870999999999999</v>
          </cell>
          <cell r="BZ191">
            <v>27.870999999999999</v>
          </cell>
          <cell r="CA191">
            <v>-1.1000000000000001</v>
          </cell>
          <cell r="CB191">
            <v>8.0719999999999992</v>
          </cell>
          <cell r="CC191">
            <v>73.722999999999999</v>
          </cell>
          <cell r="CD191">
            <v>26.998999999999995</v>
          </cell>
          <cell r="CE191">
            <v>26.998999999999995</v>
          </cell>
          <cell r="CF191">
            <v>29.431000000000001</v>
          </cell>
          <cell r="CG191">
            <v>14.433999999999999</v>
          </cell>
          <cell r="CH191">
            <v>85.649000000000001</v>
          </cell>
          <cell r="CI191">
            <v>87.430999999999997</v>
          </cell>
          <cell r="CJ191">
            <v>87.430999999999997</v>
          </cell>
          <cell r="CK191">
            <v>-9.4619999999999997</v>
          </cell>
          <cell r="CL191">
            <v>-25.902999999999999</v>
          </cell>
          <cell r="CM191">
            <v>11.354999999999997</v>
          </cell>
          <cell r="CN191">
            <v>26.976985491634629</v>
          </cell>
          <cell r="CO191">
            <v>26.976985491634629</v>
          </cell>
          <cell r="CP191">
            <v>-64.098638923611702</v>
          </cell>
          <cell r="CQ191">
            <v>-19.211039276697988</v>
          </cell>
          <cell r="CR191">
            <v>42.973571875490165</v>
          </cell>
          <cell r="CS191">
            <v>36.566928658683764</v>
          </cell>
          <cell r="CT191">
            <v>36.566928658683764</v>
          </cell>
          <cell r="CU191">
            <v>-59.167588126665692</v>
          </cell>
          <cell r="CV191">
            <v>-11.377426615095601</v>
          </cell>
          <cell r="CW191">
            <v>53.908323984416256</v>
          </cell>
          <cell r="CX191">
            <v>47.058488612756946</v>
          </cell>
          <cell r="CY191">
            <v>47.058488612756946</v>
          </cell>
          <cell r="CZ191">
            <v>-60.253320134709384</v>
          </cell>
          <cell r="DA191">
            <v>-9.8854028690196856</v>
          </cell>
          <cell r="DB191">
            <v>58.664471734545032</v>
          </cell>
          <cell r="DC191">
            <v>52.015092402853497</v>
          </cell>
          <cell r="DD191">
            <v>52.015092402853497</v>
          </cell>
          <cell r="DE191">
            <v>-70.114590267656808</v>
          </cell>
          <cell r="DF191">
            <v>-10.385680381912266</v>
          </cell>
          <cell r="DG191">
            <v>61.557334070303682</v>
          </cell>
          <cell r="DH191">
            <v>54.480062367758819</v>
          </cell>
          <cell r="DI191">
            <v>54.480062367758819</v>
          </cell>
        </row>
        <row r="192">
          <cell r="B192" t="str">
            <v>Income taxes - currently payable</v>
          </cell>
          <cell r="F192">
            <v>2.117</v>
          </cell>
          <cell r="G192">
            <v>1.72</v>
          </cell>
          <cell r="H192">
            <v>2.7959999999999998</v>
          </cell>
          <cell r="I192">
            <v>-2.988</v>
          </cell>
          <cell r="J192">
            <v>3.3210000000000002</v>
          </cell>
          <cell r="K192">
            <v>-1.4590000000000001</v>
          </cell>
          <cell r="L192">
            <v>1.9650000000000001</v>
          </cell>
          <cell r="M192">
            <v>17.646000000000001</v>
          </cell>
          <cell r="N192">
            <v>25.956</v>
          </cell>
          <cell r="O192">
            <v>41.802000000000007</v>
          </cell>
          <cell r="P192">
            <v>10.092000000000006</v>
          </cell>
          <cell r="Q192">
            <v>10.092000000000006</v>
          </cell>
          <cell r="R192">
            <v>7.3890000000000002</v>
          </cell>
          <cell r="S192">
            <v>-12.510999999999999</v>
          </cell>
          <cell r="T192">
            <v>-18.108000000000001</v>
          </cell>
          <cell r="U192">
            <v>-18.155999999999999</v>
          </cell>
          <cell r="V192">
            <v>-18.155999999999999</v>
          </cell>
          <cell r="W192">
            <v>21.891999999999999</v>
          </cell>
          <cell r="X192">
            <v>2.1630000000000003</v>
          </cell>
          <cell r="Y192">
            <v>-0.19099999999999895</v>
          </cell>
          <cell r="Z192">
            <v>-0.76599999999999824</v>
          </cell>
          <cell r="AA192">
            <v>-0.76599999999999824</v>
          </cell>
          <cell r="AB192">
            <v>28.37</v>
          </cell>
          <cell r="AC192">
            <v>16.667000000000002</v>
          </cell>
          <cell r="AD192">
            <v>20.467000000000002</v>
          </cell>
          <cell r="AE192">
            <v>28.259999999999998</v>
          </cell>
          <cell r="AF192">
            <v>28.259999999999998</v>
          </cell>
          <cell r="AG192">
            <v>23.864999999999998</v>
          </cell>
          <cell r="AH192">
            <v>-20.632000000000001</v>
          </cell>
          <cell r="AI192">
            <v>-0.36200000000000188</v>
          </cell>
          <cell r="AJ192">
            <v>-0.50900000000000034</v>
          </cell>
          <cell r="AK192">
            <v>-0.50900000000000034</v>
          </cell>
          <cell r="AL192">
            <v>39.682000000000002</v>
          </cell>
          <cell r="AM192">
            <v>19.741</v>
          </cell>
          <cell r="AN192">
            <v>21.628</v>
          </cell>
          <cell r="AO192">
            <v>16.231999999999999</v>
          </cell>
          <cell r="AP192">
            <v>16.231999999999999</v>
          </cell>
          <cell r="AQ192">
            <v>35.628999999999998</v>
          </cell>
          <cell r="AR192">
            <v>10.268999999999998</v>
          </cell>
          <cell r="AS192">
            <v>22.210999999999999</v>
          </cell>
          <cell r="AT192">
            <v>0</v>
          </cell>
          <cell r="AU192">
            <v>0</v>
          </cell>
          <cell r="AW192">
            <v>-19.941000000000003</v>
          </cell>
          <cell r="AX192">
            <v>-18.054000000000002</v>
          </cell>
          <cell r="AY192">
            <v>-23.450000000000003</v>
          </cell>
          <cell r="AZ192">
            <v>12.178999999999995</v>
          </cell>
          <cell r="BA192">
            <v>12.178999999999995</v>
          </cell>
          <cell r="BB192">
            <v>-25.36</v>
          </cell>
          <cell r="BC192">
            <v>-13.417999999999999</v>
          </cell>
          <cell r="BD192">
            <v>-35.628999999999998</v>
          </cell>
          <cell r="BE192">
            <v>-35.628999999999998</v>
          </cell>
          <cell r="BF192">
            <v>-35.628999999999998</v>
          </cell>
          <cell r="BG192">
            <v>0</v>
          </cell>
          <cell r="BH192">
            <v>0</v>
          </cell>
          <cell r="BI192">
            <v>0</v>
          </cell>
          <cell r="BJ192">
            <v>0</v>
          </cell>
          <cell r="BK192">
            <v>0</v>
          </cell>
          <cell r="BL192">
            <v>0</v>
          </cell>
          <cell r="BM192">
            <v>38.957999999999998</v>
          </cell>
          <cell r="BN192">
            <v>-7.9979999999999976</v>
          </cell>
          <cell r="BO192">
            <v>-63.883000000000003</v>
          </cell>
          <cell r="BP192">
            <v>-63.883000000000003</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row>
        <row r="193">
          <cell r="B193" t="str">
            <v>Other long-term liabilities</v>
          </cell>
          <cell r="F193">
            <v>0.80900000000000005</v>
          </cell>
          <cell r="G193">
            <v>3.4159999999999999</v>
          </cell>
          <cell r="H193">
            <v>2.6110000000000002</v>
          </cell>
          <cell r="I193">
            <v>1.0429999999999999</v>
          </cell>
          <cell r="J193">
            <v>2.9740000000000002</v>
          </cell>
          <cell r="K193">
            <v>0.84099999999999997</v>
          </cell>
          <cell r="L193">
            <v>1.7649999999999999</v>
          </cell>
          <cell r="M193">
            <v>-0.76200000000000001</v>
          </cell>
          <cell r="N193">
            <v>-0.51400000000000001</v>
          </cell>
          <cell r="O193">
            <v>-0.35699999999999998</v>
          </cell>
          <cell r="P193">
            <v>-1.002</v>
          </cell>
          <cell r="Q193">
            <v>-1.002</v>
          </cell>
          <cell r="R193">
            <v>0.28599999999999998</v>
          </cell>
          <cell r="S193">
            <v>0.47699999999999998</v>
          </cell>
          <cell r="T193">
            <v>0.81600000000000006</v>
          </cell>
          <cell r="U193">
            <v>0.11499999999999999</v>
          </cell>
          <cell r="V193">
            <v>0.11499999999999999</v>
          </cell>
          <cell r="W193">
            <v>-0.17799999999999999</v>
          </cell>
          <cell r="X193">
            <v>-6.3630000000000004</v>
          </cell>
          <cell r="Y193">
            <v>-5.9859999999999998</v>
          </cell>
          <cell r="Z193">
            <v>1.0549999999999997</v>
          </cell>
          <cell r="AA193">
            <v>1.0549999999999997</v>
          </cell>
          <cell r="AB193">
            <v>-2.1709999999999998</v>
          </cell>
          <cell r="AC193">
            <v>1.3660000000000001</v>
          </cell>
          <cell r="AD193">
            <v>-0.58399999999999963</v>
          </cell>
          <cell r="AE193">
            <v>-2.2719999999999998</v>
          </cell>
          <cell r="AF193">
            <v>-2.2719999999999998</v>
          </cell>
          <cell r="AG193">
            <v>-1.548</v>
          </cell>
          <cell r="AH193">
            <v>2.649</v>
          </cell>
          <cell r="AI193">
            <v>-0.57500000000000018</v>
          </cell>
          <cell r="AJ193">
            <v>15.610000000000003</v>
          </cell>
          <cell r="AK193">
            <v>15.610000000000003</v>
          </cell>
          <cell r="AL193">
            <v>6.7510000000000003</v>
          </cell>
          <cell r="AM193">
            <v>27.616</v>
          </cell>
          <cell r="AN193">
            <v>33.091000000000001</v>
          </cell>
          <cell r="AO193">
            <v>32.790999999999997</v>
          </cell>
          <cell r="AP193">
            <v>32.790999999999997</v>
          </cell>
          <cell r="AQ193">
            <v>5.4470000000000001</v>
          </cell>
          <cell r="AR193">
            <v>15.695</v>
          </cell>
          <cell r="AS193">
            <v>26.803999999999998</v>
          </cell>
          <cell r="AT193">
            <v>-0.60900000000000176</v>
          </cell>
          <cell r="AU193">
            <v>-0.60900000000000176</v>
          </cell>
          <cell r="AW193">
            <v>20.864999999999998</v>
          </cell>
          <cell r="AX193">
            <v>26.34</v>
          </cell>
          <cell r="AY193">
            <v>26.039999999999996</v>
          </cell>
          <cell r="AZ193">
            <v>31.486999999999995</v>
          </cell>
          <cell r="BA193">
            <v>31.486999999999995</v>
          </cell>
          <cell r="BB193">
            <v>10.248000000000001</v>
          </cell>
          <cell r="BC193">
            <v>21.356999999999999</v>
          </cell>
          <cell r="BD193">
            <v>-6.0560000000000009</v>
          </cell>
          <cell r="BE193">
            <v>-9.9870000000000019</v>
          </cell>
          <cell r="BF193">
            <v>-9.9870000000000019</v>
          </cell>
          <cell r="BG193">
            <v>0.25600000000000001</v>
          </cell>
          <cell r="BH193">
            <v>7.1849999999999996</v>
          </cell>
          <cell r="BI193">
            <v>20.616</v>
          </cell>
          <cell r="BJ193">
            <v>32.488999999999997</v>
          </cell>
          <cell r="BK193">
            <v>32.488999999999997</v>
          </cell>
          <cell r="BL193">
            <v>5.306</v>
          </cell>
          <cell r="BM193">
            <v>0</v>
          </cell>
          <cell r="BN193">
            <v>0</v>
          </cell>
          <cell r="BO193">
            <v>19.402999999999999</v>
          </cell>
          <cell r="BP193">
            <v>19.402999999999999</v>
          </cell>
          <cell r="BQ193">
            <v>0</v>
          </cell>
          <cell r="BR193">
            <v>-1.321</v>
          </cell>
          <cell r="BS193">
            <v>-9.1219999999999999</v>
          </cell>
          <cell r="BT193">
            <v>-5.0999999999999996</v>
          </cell>
          <cell r="BU193">
            <v>-5.0999999999999996</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row>
        <row r="194">
          <cell r="B194" t="str">
            <v>Total Change in Working Capital</v>
          </cell>
          <cell r="F194">
            <v>9.5340000000000007</v>
          </cell>
          <cell r="G194">
            <v>-2.8910000000000013</v>
          </cell>
          <cell r="H194">
            <v>-18.280999999999999</v>
          </cell>
          <cell r="I194">
            <v>-8.8870000000000005</v>
          </cell>
          <cell r="J194">
            <v>-17.600999999999999</v>
          </cell>
          <cell r="K194">
            <v>-12.055000000000001</v>
          </cell>
          <cell r="L194">
            <v>-66.429999999999993</v>
          </cell>
          <cell r="M194">
            <v>8.6929999999999978</v>
          </cell>
          <cell r="N194">
            <v>-0.11600000000000033</v>
          </cell>
          <cell r="O194">
            <v>-28.659000000000006</v>
          </cell>
          <cell r="P194">
            <v>-37.945000000000014</v>
          </cell>
          <cell r="Q194">
            <v>-37.945000000000014</v>
          </cell>
          <cell r="R194">
            <v>-14.635</v>
          </cell>
          <cell r="S194">
            <v>-48.526000000000003</v>
          </cell>
          <cell r="T194">
            <v>-51.947999999999993</v>
          </cell>
          <cell r="U194">
            <v>-60.375</v>
          </cell>
          <cell r="V194">
            <v>-60.375</v>
          </cell>
          <cell r="W194">
            <v>-6.5809999999999986</v>
          </cell>
          <cell r="X194">
            <v>-103.39</v>
          </cell>
          <cell r="Y194">
            <v>-119.02000000000001</v>
          </cell>
          <cell r="Z194">
            <v>-149.899</v>
          </cell>
          <cell r="AA194">
            <v>-149.899</v>
          </cell>
          <cell r="AB194">
            <v>19.45</v>
          </cell>
          <cell r="AC194">
            <v>-74.539000000000001</v>
          </cell>
          <cell r="AD194">
            <v>-99.222000000000051</v>
          </cell>
          <cell r="AE194">
            <v>-151.53499999999997</v>
          </cell>
          <cell r="AF194">
            <v>-151.53499999999997</v>
          </cell>
          <cell r="AG194">
            <v>-21.586000000000006</v>
          </cell>
          <cell r="AH194">
            <v>-134.27399999999997</v>
          </cell>
          <cell r="AI194">
            <v>-166.53299999999999</v>
          </cell>
          <cell r="AJ194">
            <v>-291.755</v>
          </cell>
          <cell r="AK194">
            <v>-291.755</v>
          </cell>
          <cell r="AL194">
            <v>-67.185000000000031</v>
          </cell>
          <cell r="AM194">
            <v>-167.31100000000004</v>
          </cell>
          <cell r="AN194">
            <v>-199.21499999999997</v>
          </cell>
          <cell r="AO194">
            <v>-324.57600000000008</v>
          </cell>
          <cell r="AP194">
            <v>-324.57600000000008</v>
          </cell>
          <cell r="AQ194">
            <v>-32.696000000000005</v>
          </cell>
          <cell r="AR194">
            <v>-149.47900000000001</v>
          </cell>
          <cell r="AS194">
            <v>-179.53600000000003</v>
          </cell>
          <cell r="AT194">
            <v>-259.66799999999995</v>
          </cell>
          <cell r="AU194">
            <v>-259.66799999999995</v>
          </cell>
          <cell r="AW194">
            <v>-100.12599999999999</v>
          </cell>
          <cell r="AX194">
            <v>-132.02999999999997</v>
          </cell>
          <cell r="AY194">
            <v>-257.39100000000002</v>
          </cell>
          <cell r="AZ194">
            <v>-290.0870000000001</v>
          </cell>
          <cell r="BA194">
            <v>-290.0870000000001</v>
          </cell>
          <cell r="BB194">
            <v>-116.78299999999999</v>
          </cell>
          <cell r="BC194">
            <v>-146.84000000000003</v>
          </cell>
          <cell r="BD194">
            <v>-226.97200000000004</v>
          </cell>
          <cell r="BE194">
            <v>-301.36400000000003</v>
          </cell>
          <cell r="BF194">
            <v>-301.36400000000003</v>
          </cell>
          <cell r="BG194">
            <v>-77.930999999999983</v>
          </cell>
          <cell r="BH194">
            <v>-148.99700000000001</v>
          </cell>
          <cell r="BI194">
            <v>-242.887</v>
          </cell>
          <cell r="BJ194">
            <v>-400.68300000000005</v>
          </cell>
          <cell r="BK194">
            <v>-400.68300000000005</v>
          </cell>
          <cell r="BL194">
            <v>-167.33700000000002</v>
          </cell>
          <cell r="BM194">
            <v>-200.227</v>
          </cell>
          <cell r="BN194">
            <v>-430.35300000000001</v>
          </cell>
          <cell r="BO194">
            <v>-632.86700000000008</v>
          </cell>
          <cell r="BP194">
            <v>-632.86700000000008</v>
          </cell>
          <cell r="BQ194">
            <v>-75.684999999999988</v>
          </cell>
          <cell r="BR194">
            <v>-146.20899999999997</v>
          </cell>
          <cell r="BS194">
            <v>-287.90699999999998</v>
          </cell>
          <cell r="BT194">
            <v>-485.31399999999996</v>
          </cell>
          <cell r="BU194">
            <v>-485.31399999999996</v>
          </cell>
          <cell r="BV194">
            <v>-138.79099999999997</v>
          </cell>
          <cell r="BW194">
            <v>-240.29900000000004</v>
          </cell>
          <cell r="BX194">
            <v>-389.47</v>
          </cell>
          <cell r="BY194">
            <v>-614.75000000000011</v>
          </cell>
          <cell r="BZ194">
            <v>-614.75000000000011</v>
          </cell>
          <cell r="CA194">
            <v>-201.37699999999998</v>
          </cell>
          <cell r="CB194">
            <v>-292.79200000000003</v>
          </cell>
          <cell r="CC194">
            <v>-441.339</v>
          </cell>
          <cell r="CD194">
            <v>-660.44899999999996</v>
          </cell>
          <cell r="CE194">
            <v>-660.44899999999996</v>
          </cell>
          <cell r="CF194">
            <v>-201.15</v>
          </cell>
          <cell r="CG194">
            <v>-346.83100000000002</v>
          </cell>
          <cell r="CH194">
            <v>-507.93899999999996</v>
          </cell>
          <cell r="CI194">
            <v>-796.23799999999994</v>
          </cell>
          <cell r="CJ194">
            <v>-796.23799999999994</v>
          </cell>
          <cell r="CK194">
            <v>-301.09800000000001</v>
          </cell>
          <cell r="CL194">
            <v>-438.86100000000005</v>
          </cell>
          <cell r="CM194">
            <v>-669.82350000000008</v>
          </cell>
          <cell r="CN194">
            <v>-902.13408145049289</v>
          </cell>
          <cell r="CO194">
            <v>-902.13408145049289</v>
          </cell>
          <cell r="CP194">
            <v>-347.4878008045859</v>
          </cell>
          <cell r="CQ194">
            <v>-442.91113542373904</v>
          </cell>
          <cell r="CR194">
            <v>-684.64874493322225</v>
          </cell>
          <cell r="CS194">
            <v>-943.92135225265997</v>
          </cell>
          <cell r="CT194">
            <v>-943.92135225265997</v>
          </cell>
          <cell r="CU194">
            <v>-297.33164928153428</v>
          </cell>
          <cell r="CV194">
            <v>-341.24552328611577</v>
          </cell>
          <cell r="CW194">
            <v>-533.37386479169982</v>
          </cell>
          <cell r="CX194">
            <v>-740.52707138477979</v>
          </cell>
          <cell r="CY194">
            <v>-740.52707138477979</v>
          </cell>
          <cell r="CZ194">
            <v>-303.44515457149112</v>
          </cell>
          <cell r="DA194">
            <v>-322.1940337312513</v>
          </cell>
          <cell r="DB194">
            <v>-495.45612942144908</v>
          </cell>
          <cell r="DC194">
            <v>-683.76534107477471</v>
          </cell>
          <cell r="DD194">
            <v>-683.76534107477471</v>
          </cell>
          <cell r="DE194">
            <v>-303.3765016561922</v>
          </cell>
          <cell r="DF194">
            <v>-306.17721183202764</v>
          </cell>
          <cell r="DG194">
            <v>-466.5353591617851</v>
          </cell>
          <cell r="DH194">
            <v>-638.95149696762178</v>
          </cell>
          <cell r="DI194">
            <v>-638.95149696762178</v>
          </cell>
        </row>
        <row r="196">
          <cell r="B196" t="str">
            <v>Discontinued operations</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W196">
            <v>0</v>
          </cell>
          <cell r="AX196">
            <v>0</v>
          </cell>
          <cell r="AY196">
            <v>0</v>
          </cell>
          <cell r="AZ196">
            <v>0</v>
          </cell>
          <cell r="BA196">
            <v>0</v>
          </cell>
          <cell r="BB196">
            <v>0</v>
          </cell>
          <cell r="BC196">
            <v>0</v>
          </cell>
          <cell r="BD196">
            <v>0</v>
          </cell>
          <cell r="BE196">
            <v>0</v>
          </cell>
          <cell r="BF196">
            <v>0</v>
          </cell>
          <cell r="BG196">
            <v>-0.45</v>
          </cell>
          <cell r="BH196">
            <v>-0.61</v>
          </cell>
          <cell r="BI196">
            <v>-11.667</v>
          </cell>
          <cell r="BJ196">
            <v>2.3170000000000002</v>
          </cell>
          <cell r="BK196">
            <v>2.3170000000000002</v>
          </cell>
          <cell r="BL196">
            <v>0.624</v>
          </cell>
          <cell r="BM196">
            <v>1.077</v>
          </cell>
          <cell r="BN196">
            <v>-9.31</v>
          </cell>
          <cell r="BO196">
            <v>-1.9700000000000006</v>
          </cell>
          <cell r="BP196">
            <v>-1.9700000000000006</v>
          </cell>
          <cell r="BQ196">
            <v>27.731999999999999</v>
          </cell>
          <cell r="BR196">
            <v>37.258000000000003</v>
          </cell>
          <cell r="BS196">
            <v>41.582999999999998</v>
          </cell>
          <cell r="BT196">
            <v>56.076999999999998</v>
          </cell>
          <cell r="BU196">
            <v>56.076999999999998</v>
          </cell>
          <cell r="BV196">
            <v>1.508</v>
          </cell>
          <cell r="BW196">
            <v>1.508</v>
          </cell>
          <cell r="BX196">
            <v>-1.0419999999999998</v>
          </cell>
          <cell r="BY196">
            <v>-4.5860000000000003</v>
          </cell>
          <cell r="BZ196">
            <v>-4.5860000000000003</v>
          </cell>
          <cell r="CA196">
            <v>0</v>
          </cell>
          <cell r="CB196">
            <v>0</v>
          </cell>
          <cell r="CC196">
            <v>0</v>
          </cell>
          <cell r="CD196">
            <v>13.8</v>
          </cell>
          <cell r="CE196">
            <v>13.8</v>
          </cell>
          <cell r="CF196">
            <v>0.59799999999999998</v>
          </cell>
          <cell r="CG196">
            <v>1.4370000000000001</v>
          </cell>
          <cell r="CH196">
            <v>1.1819999999999999</v>
          </cell>
          <cell r="CI196">
            <v>2.4089999999999998</v>
          </cell>
          <cell r="CJ196">
            <v>2.4089999999999998</v>
          </cell>
          <cell r="CK196">
            <v>1.395</v>
          </cell>
          <cell r="CL196">
            <v>4.4160000000000004</v>
          </cell>
          <cell r="CM196">
            <v>5.8049999999999997</v>
          </cell>
          <cell r="CN196">
            <v>5.8049999999999997</v>
          </cell>
          <cell r="CO196">
            <v>5.8049999999999997</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row>
        <row r="197">
          <cell r="B197" t="str">
            <v>Cash Flow from Operations</v>
          </cell>
          <cell r="F197">
            <v>44.536999999999985</v>
          </cell>
          <cell r="G197">
            <v>41.774000000000008</v>
          </cell>
          <cell r="H197">
            <v>46.165999999999976</v>
          </cell>
          <cell r="I197">
            <v>74.222000000000079</v>
          </cell>
          <cell r="J197">
            <v>94.568999999999988</v>
          </cell>
          <cell r="K197">
            <v>132.33600000000001</v>
          </cell>
          <cell r="L197">
            <v>117.95099999999989</v>
          </cell>
          <cell r="M197">
            <v>54.22499999999998</v>
          </cell>
          <cell r="N197">
            <v>107.41099999999997</v>
          </cell>
          <cell r="O197">
            <v>139.88200000000001</v>
          </cell>
          <cell r="P197">
            <v>168.34900000000002</v>
          </cell>
          <cell r="Q197">
            <v>168.34900000000002</v>
          </cell>
          <cell r="R197">
            <v>37.791999999999994</v>
          </cell>
          <cell r="S197">
            <v>72.935000000000002</v>
          </cell>
          <cell r="T197">
            <v>132.44500000000005</v>
          </cell>
          <cell r="U197">
            <v>176.89700000000002</v>
          </cell>
          <cell r="V197">
            <v>176.89700000000002</v>
          </cell>
          <cell r="W197">
            <v>55.031000000000041</v>
          </cell>
          <cell r="X197">
            <v>115.04000000000009</v>
          </cell>
          <cell r="Y197">
            <v>212.58200000000002</v>
          </cell>
          <cell r="Z197">
            <v>290.04200000000003</v>
          </cell>
          <cell r="AA197">
            <v>290.04200000000003</v>
          </cell>
          <cell r="AB197">
            <v>128.44200000000004</v>
          </cell>
          <cell r="AC197">
            <v>171.35100000000006</v>
          </cell>
          <cell r="AD197">
            <v>283.548</v>
          </cell>
          <cell r="AE197">
            <v>354.13600000000008</v>
          </cell>
          <cell r="AF197">
            <v>354.13600000000008</v>
          </cell>
          <cell r="AG197">
            <v>110.47399999999999</v>
          </cell>
          <cell r="AH197">
            <v>147.62899999999993</v>
          </cell>
          <cell r="AI197">
            <v>265.72099999999989</v>
          </cell>
          <cell r="AJ197">
            <v>333.86199999999997</v>
          </cell>
          <cell r="AK197">
            <v>333.86199999999997</v>
          </cell>
          <cell r="AL197">
            <v>93.21599999999998</v>
          </cell>
          <cell r="AM197">
            <v>176.73399999999998</v>
          </cell>
          <cell r="AN197">
            <v>328.77699999999999</v>
          </cell>
          <cell r="AO197">
            <v>458.0019999999999</v>
          </cell>
          <cell r="AP197">
            <v>458.0019999999999</v>
          </cell>
          <cell r="AQ197">
            <v>156.40800000000004</v>
          </cell>
          <cell r="AR197">
            <v>257.76600000000019</v>
          </cell>
          <cell r="AS197">
            <v>441.51900000000001</v>
          </cell>
          <cell r="AT197">
            <v>563.71500000000015</v>
          </cell>
          <cell r="AU197">
            <v>563.71500000000015</v>
          </cell>
          <cell r="AW197">
            <v>83.518000000000015</v>
          </cell>
          <cell r="AX197">
            <v>235.56100000000004</v>
          </cell>
          <cell r="AY197">
            <v>364.78599999999989</v>
          </cell>
          <cell r="AZ197">
            <v>521.19399999999985</v>
          </cell>
          <cell r="BA197">
            <v>521.19399999999962</v>
          </cell>
          <cell r="BB197">
            <v>101.35800000000012</v>
          </cell>
          <cell r="BC197">
            <v>285.11100000000005</v>
          </cell>
          <cell r="BD197">
            <v>407.30700000000019</v>
          </cell>
          <cell r="BE197">
            <v>545.83400000000017</v>
          </cell>
          <cell r="BF197">
            <v>545.83400000000017</v>
          </cell>
          <cell r="BG197">
            <v>139.30900000000017</v>
          </cell>
          <cell r="BH197">
            <v>275.19400000000007</v>
          </cell>
          <cell r="BI197">
            <v>353.10000000000025</v>
          </cell>
          <cell r="BJ197">
            <v>447.70000000000022</v>
          </cell>
          <cell r="BK197">
            <v>447.70000000000022</v>
          </cell>
          <cell r="BL197">
            <v>76.127999999999759</v>
          </cell>
          <cell r="BM197">
            <v>223.62799999999979</v>
          </cell>
          <cell r="BN197">
            <v>241.23899999999981</v>
          </cell>
          <cell r="BO197">
            <v>322.4549999999997</v>
          </cell>
          <cell r="BP197">
            <v>322.4549999999997</v>
          </cell>
          <cell r="BQ197">
            <v>145.12799999999993</v>
          </cell>
          <cell r="BR197">
            <v>286.24899999999997</v>
          </cell>
          <cell r="BS197">
            <v>376.04999999999984</v>
          </cell>
          <cell r="BT197">
            <v>425.56499999999994</v>
          </cell>
          <cell r="BU197">
            <v>425.56499999999994</v>
          </cell>
          <cell r="BV197">
            <v>116.73599999999989</v>
          </cell>
          <cell r="BW197">
            <v>255.22599999999991</v>
          </cell>
          <cell r="BX197">
            <v>357.43099999999998</v>
          </cell>
          <cell r="BY197">
            <v>442.28099999999961</v>
          </cell>
          <cell r="BZ197">
            <v>442.28099999999961</v>
          </cell>
          <cell r="CA197">
            <v>79.649999999999892</v>
          </cell>
          <cell r="CB197">
            <v>237.32799999999986</v>
          </cell>
          <cell r="CC197">
            <v>360.07100000000008</v>
          </cell>
          <cell r="CD197">
            <v>437.12499999999994</v>
          </cell>
          <cell r="CE197">
            <v>437.12499999999994</v>
          </cell>
          <cell r="CF197">
            <v>116.82600000000015</v>
          </cell>
          <cell r="CG197">
            <v>271.49700000000018</v>
          </cell>
          <cell r="CH197">
            <v>446.95100000000036</v>
          </cell>
          <cell r="CI197">
            <v>544.02200000000039</v>
          </cell>
          <cell r="CJ197">
            <v>544.02200000000039</v>
          </cell>
          <cell r="CK197">
            <v>62.087000000000238</v>
          </cell>
          <cell r="CL197">
            <v>291.00100000000009</v>
          </cell>
          <cell r="CM197">
            <v>458.14630000000039</v>
          </cell>
          <cell r="CN197">
            <v>615.29783351970707</v>
          </cell>
          <cell r="CO197">
            <v>615.29783351970707</v>
          </cell>
          <cell r="CP197">
            <v>56.555070157559101</v>
          </cell>
          <cell r="CQ197">
            <v>366.00107173983298</v>
          </cell>
          <cell r="CR197">
            <v>527.71730071104218</v>
          </cell>
          <cell r="CS197">
            <v>659.54576282506309</v>
          </cell>
          <cell r="CT197">
            <v>659.54576282506309</v>
          </cell>
          <cell r="CU197">
            <v>70.743399563403841</v>
          </cell>
          <cell r="CV197">
            <v>406.8416013599014</v>
          </cell>
          <cell r="CW197">
            <v>593.47683427761331</v>
          </cell>
          <cell r="CX197">
            <v>749.54840849362483</v>
          </cell>
          <cell r="CY197">
            <v>749.54840849362483</v>
          </cell>
          <cell r="CZ197">
            <v>73.109425480775258</v>
          </cell>
          <cell r="DA197">
            <v>427.28426358445512</v>
          </cell>
          <cell r="DB197">
            <v>626.15299273677579</v>
          </cell>
          <cell r="DC197">
            <v>796.02212780928414</v>
          </cell>
          <cell r="DD197">
            <v>796.02212780928414</v>
          </cell>
          <cell r="DE197">
            <v>77.890060357288121</v>
          </cell>
          <cell r="DF197">
            <v>449.57817000642024</v>
          </cell>
          <cell r="DG197">
            <v>663.24919542607415</v>
          </cell>
          <cell r="DH197">
            <v>847.61879698028474</v>
          </cell>
          <cell r="DI197">
            <v>847.61879698028474</v>
          </cell>
        </row>
        <row r="200">
          <cell r="B200" t="str">
            <v>Acquisitions</v>
          </cell>
          <cell r="F200">
            <v>0</v>
          </cell>
          <cell r="G200">
            <v>-25.593</v>
          </cell>
          <cell r="H200">
            <v>-1.2949999999999999</v>
          </cell>
          <cell r="I200">
            <v>-73.959999999999994</v>
          </cell>
          <cell r="J200">
            <v>-99.638999999999996</v>
          </cell>
          <cell r="K200">
            <v>-51.466999999999999</v>
          </cell>
          <cell r="L200">
            <v>-169.48400000000001</v>
          </cell>
          <cell r="M200">
            <v>-7.0209999999999999</v>
          </cell>
          <cell r="N200">
            <v>-7.2649999999999997</v>
          </cell>
          <cell r="O200">
            <v>-168.05600000000001</v>
          </cell>
          <cell r="P200">
            <v>-183.96699999999998</v>
          </cell>
          <cell r="Q200">
            <v>-183.96699999999998</v>
          </cell>
          <cell r="R200">
            <v>0</v>
          </cell>
          <cell r="S200">
            <v>0</v>
          </cell>
          <cell r="T200">
            <v>-55.603000000000002</v>
          </cell>
          <cell r="U200">
            <v>-130.40199999999999</v>
          </cell>
          <cell r="V200">
            <v>-130.40199999999999</v>
          </cell>
          <cell r="W200">
            <v>0</v>
          </cell>
          <cell r="X200">
            <v>0</v>
          </cell>
          <cell r="Y200">
            <v>-60.198</v>
          </cell>
          <cell r="Z200">
            <v>-100.89400000000001</v>
          </cell>
          <cell r="AA200">
            <v>-100.89400000000001</v>
          </cell>
          <cell r="AB200">
            <v>-186.52</v>
          </cell>
          <cell r="AC200">
            <v>-186.95599999999999</v>
          </cell>
          <cell r="AD200">
            <v>-267.12</v>
          </cell>
          <cell r="AE200">
            <v>-300.17899999999997</v>
          </cell>
          <cell r="AF200">
            <v>-300.17899999999997</v>
          </cell>
          <cell r="AG200">
            <v>-9.5559999999999992</v>
          </cell>
          <cell r="AH200">
            <v>-19.356999999999999</v>
          </cell>
          <cell r="AI200">
            <v>-19.268999999999998</v>
          </cell>
          <cell r="AJ200">
            <v>-126.477</v>
          </cell>
          <cell r="AK200">
            <v>-126.477</v>
          </cell>
          <cell r="AL200">
            <v>-527.49800000000005</v>
          </cell>
          <cell r="AM200">
            <v>-519.01599999999996</v>
          </cell>
          <cell r="AN200">
            <v>-517.774</v>
          </cell>
          <cell r="AO200">
            <v>-517.94399999999996</v>
          </cell>
          <cell r="AP200">
            <v>-517.94399999999996</v>
          </cell>
          <cell r="AQ200">
            <v>-20.108000000000001</v>
          </cell>
          <cell r="AR200">
            <v>-340.01799999999997</v>
          </cell>
          <cell r="AS200">
            <v>-341.87400000000002</v>
          </cell>
          <cell r="AT200">
            <v>-341.99</v>
          </cell>
          <cell r="AU200">
            <v>-341.99</v>
          </cell>
          <cell r="AW200">
            <v>8.4820000000000846</v>
          </cell>
          <cell r="AX200">
            <v>9.7240000000000464</v>
          </cell>
          <cell r="AY200">
            <v>9.5540000000000873</v>
          </cell>
          <cell r="AZ200">
            <v>-10.553999999999913</v>
          </cell>
          <cell r="BA200">
            <v>-10.553999999999913</v>
          </cell>
          <cell r="BB200">
            <v>-319.90999999999997</v>
          </cell>
          <cell r="BC200">
            <v>-321.76600000000002</v>
          </cell>
          <cell r="BD200">
            <v>-321.88200000000001</v>
          </cell>
          <cell r="BE200">
            <v>-410.92599999999999</v>
          </cell>
          <cell r="BF200">
            <v>-410.92599999999999</v>
          </cell>
          <cell r="BG200">
            <v>-38.146999999999998</v>
          </cell>
          <cell r="BH200">
            <v>-182.566</v>
          </cell>
          <cell r="BI200">
            <v>-184.87</v>
          </cell>
          <cell r="BJ200">
            <v>-184.87</v>
          </cell>
          <cell r="BK200">
            <v>-184.87</v>
          </cell>
          <cell r="BL200">
            <v>0</v>
          </cell>
          <cell r="BM200">
            <v>-36.127000000000002</v>
          </cell>
          <cell r="BN200">
            <v>-36.127000000000002</v>
          </cell>
          <cell r="BO200">
            <v>-38.598999999999997</v>
          </cell>
          <cell r="BP200">
            <v>-38.598999999999997</v>
          </cell>
          <cell r="BQ200">
            <v>-2.42</v>
          </cell>
          <cell r="BR200">
            <v>-2.42</v>
          </cell>
          <cell r="BS200">
            <v>-2.42</v>
          </cell>
          <cell r="BT200">
            <v>-8.5259999999999998</v>
          </cell>
          <cell r="BU200">
            <v>-8.5259999999999998</v>
          </cell>
          <cell r="BV200">
            <v>0</v>
          </cell>
          <cell r="BW200">
            <v>0</v>
          </cell>
          <cell r="BX200">
            <v>-0.56899999999999995</v>
          </cell>
          <cell r="BY200">
            <v>-138.76400000000001</v>
          </cell>
          <cell r="BZ200">
            <v>-138.76400000000001</v>
          </cell>
          <cell r="CA200">
            <v>-10.959</v>
          </cell>
          <cell r="CB200">
            <v>-10.959</v>
          </cell>
          <cell r="CC200">
            <v>-37.906999999999996</v>
          </cell>
          <cell r="CD200">
            <v>-191.45400000000001</v>
          </cell>
          <cell r="CE200">
            <v>-191.45400000000001</v>
          </cell>
          <cell r="CF200">
            <v>-3.6960000000000002</v>
          </cell>
          <cell r="CG200">
            <v>-42.890999999999998</v>
          </cell>
          <cell r="CH200">
            <v>-573.43899999999985</v>
          </cell>
          <cell r="CI200">
            <v>-582.09</v>
          </cell>
          <cell r="CJ200">
            <v>-582.09</v>
          </cell>
          <cell r="CK200">
            <v>-81.617000000000004</v>
          </cell>
          <cell r="CL200">
            <v>-66.673000000000002</v>
          </cell>
          <cell r="CM200">
            <v>-71.474999999999994</v>
          </cell>
          <cell r="CN200">
            <v>-71.474999999999994</v>
          </cell>
          <cell r="CO200">
            <v>-71.474999999999994</v>
          </cell>
          <cell r="CP200">
            <v>0</v>
          </cell>
          <cell r="CQ200">
            <v>0</v>
          </cell>
          <cell r="CR200">
            <v>0</v>
          </cell>
          <cell r="CS200">
            <v>0</v>
          </cell>
          <cell r="CT200">
            <v>0</v>
          </cell>
          <cell r="CU200">
            <v>0</v>
          </cell>
          <cell r="CV200">
            <v>0</v>
          </cell>
          <cell r="CW200">
            <v>0</v>
          </cell>
          <cell r="CX200">
            <v>0</v>
          </cell>
          <cell r="CY200">
            <v>0</v>
          </cell>
          <cell r="CZ200">
            <v>0</v>
          </cell>
          <cell r="DA200">
            <v>0</v>
          </cell>
          <cell r="DB200">
            <v>0</v>
          </cell>
          <cell r="DC200">
            <v>0</v>
          </cell>
          <cell r="DD200">
            <v>0</v>
          </cell>
          <cell r="DE200">
            <v>0</v>
          </cell>
          <cell r="DF200">
            <v>0</v>
          </cell>
          <cell r="DG200">
            <v>0</v>
          </cell>
          <cell r="DH200">
            <v>0</v>
          </cell>
          <cell r="DI200">
            <v>0</v>
          </cell>
        </row>
        <row r="201">
          <cell r="B201" t="str">
            <v>Capital expenditures</v>
          </cell>
          <cell r="F201">
            <v>-14.347</v>
          </cell>
          <cell r="G201">
            <v>-7.492</v>
          </cell>
          <cell r="H201">
            <v>-22.536000000000001</v>
          </cell>
          <cell r="I201">
            <v>-22.937999999999999</v>
          </cell>
          <cell r="J201">
            <v>-41.238999999999997</v>
          </cell>
          <cell r="K201">
            <v>-59.348999999999997</v>
          </cell>
          <cell r="L201">
            <v>-67.930999999999997</v>
          </cell>
          <cell r="M201">
            <v>-38</v>
          </cell>
          <cell r="N201">
            <v>-77.320999999999998</v>
          </cell>
          <cell r="O201">
            <v>-109.07</v>
          </cell>
          <cell r="P201">
            <v>-159.392</v>
          </cell>
          <cell r="Q201">
            <v>-159.392</v>
          </cell>
          <cell r="R201">
            <v>-28.524999999999999</v>
          </cell>
          <cell r="S201">
            <v>-56.442</v>
          </cell>
          <cell r="T201">
            <v>-87.266000000000005</v>
          </cell>
          <cell r="U201">
            <v>-120.70400000000001</v>
          </cell>
          <cell r="V201">
            <v>-120.70400000000001</v>
          </cell>
          <cell r="W201">
            <v>-16.52</v>
          </cell>
          <cell r="X201">
            <v>-53.736999999999995</v>
          </cell>
          <cell r="Y201">
            <v>-67.177999999999997</v>
          </cell>
          <cell r="Z201">
            <v>-73.472999999999999</v>
          </cell>
          <cell r="AA201">
            <v>-73.472999999999999</v>
          </cell>
          <cell r="AB201">
            <v>-20.582000000000001</v>
          </cell>
          <cell r="AC201">
            <v>-56.198999999999998</v>
          </cell>
          <cell r="AD201">
            <v>-81.912999999999997</v>
          </cell>
          <cell r="AE201">
            <v>-116.047</v>
          </cell>
          <cell r="AF201">
            <v>-116.047</v>
          </cell>
          <cell r="AG201">
            <v>-32.015000000000001</v>
          </cell>
          <cell r="AH201">
            <v>-84.209000000000003</v>
          </cell>
          <cell r="AI201">
            <v>-123.321</v>
          </cell>
          <cell r="AJ201">
            <v>-165.571</v>
          </cell>
          <cell r="AK201">
            <v>-165.571</v>
          </cell>
          <cell r="AL201">
            <v>-53.941000000000003</v>
          </cell>
          <cell r="AM201">
            <v>-118.407</v>
          </cell>
          <cell r="AN201">
            <v>-173.56899999999999</v>
          </cell>
          <cell r="AO201">
            <v>-201.65999999999997</v>
          </cell>
          <cell r="AP201">
            <v>-201.65999999999997</v>
          </cell>
          <cell r="AQ201">
            <v>-43.509</v>
          </cell>
          <cell r="AR201">
            <v>-110.38800000000001</v>
          </cell>
          <cell r="AS201">
            <v>-204.27500000000003</v>
          </cell>
          <cell r="AT201">
            <v>-273.34100000000001</v>
          </cell>
          <cell r="AU201">
            <v>-273.34100000000001</v>
          </cell>
          <cell r="AW201">
            <v>-64.465999999999994</v>
          </cell>
          <cell r="AX201">
            <v>-119.62799999999999</v>
          </cell>
          <cell r="AY201">
            <v>-147.71899999999999</v>
          </cell>
          <cell r="AZ201">
            <v>-191.22800000000001</v>
          </cell>
          <cell r="BA201">
            <v>-191.22800000000001</v>
          </cell>
          <cell r="BB201">
            <v>-66.879000000000005</v>
          </cell>
          <cell r="BC201">
            <v>-160.76600000000002</v>
          </cell>
          <cell r="BD201">
            <v>-229.83200000000002</v>
          </cell>
          <cell r="BE201">
            <v>-304.30900000000003</v>
          </cell>
          <cell r="BF201">
            <v>-304.30900000000003</v>
          </cell>
          <cell r="BG201">
            <v>-95.24</v>
          </cell>
          <cell r="BH201">
            <v>-177.607</v>
          </cell>
          <cell r="BI201">
            <v>-254.49</v>
          </cell>
          <cell r="BJ201">
            <v>-338.536</v>
          </cell>
          <cell r="BK201">
            <v>-338.536</v>
          </cell>
          <cell r="BL201">
            <v>-69.734999999999999</v>
          </cell>
          <cell r="BM201">
            <v>-146.077</v>
          </cell>
          <cell r="BN201">
            <v>-213.35499999999996</v>
          </cell>
          <cell r="BO201">
            <v>-270.59800000000001</v>
          </cell>
          <cell r="BP201">
            <v>-270.59800000000001</v>
          </cell>
          <cell r="BQ201">
            <v>-46.805</v>
          </cell>
          <cell r="BR201">
            <v>-93.512</v>
          </cell>
          <cell r="BS201">
            <v>-159.44999999999999</v>
          </cell>
          <cell r="BT201">
            <v>-218.179</v>
          </cell>
          <cell r="BU201">
            <v>-218.179</v>
          </cell>
          <cell r="BV201">
            <v>-65.171000000000006</v>
          </cell>
          <cell r="BW201">
            <v>-115.517</v>
          </cell>
          <cell r="BX201">
            <v>-158.74600000000001</v>
          </cell>
          <cell r="BY201">
            <v>-200.06299999999999</v>
          </cell>
          <cell r="BZ201">
            <v>-200.06299999999999</v>
          </cell>
          <cell r="CA201">
            <v>-32.898000000000003</v>
          </cell>
          <cell r="CB201">
            <v>-92.486000000000004</v>
          </cell>
          <cell r="CC201">
            <v>-147.917</v>
          </cell>
          <cell r="CD201">
            <v>-209.43899999999999</v>
          </cell>
          <cell r="CE201">
            <v>-209.43899999999999</v>
          </cell>
          <cell r="CF201">
            <v>-47.463000000000001</v>
          </cell>
          <cell r="CG201">
            <v>-133.03399999999999</v>
          </cell>
          <cell r="CH201">
            <v>-202.81899999999999</v>
          </cell>
          <cell r="CI201">
            <v>-302.04599999999999</v>
          </cell>
          <cell r="CJ201">
            <v>-302.04599999999999</v>
          </cell>
          <cell r="CK201">
            <v>-80.816999999999993</v>
          </cell>
          <cell r="CL201">
            <v>-194.17500000000001</v>
          </cell>
          <cell r="CM201">
            <v>-282.42399999999998</v>
          </cell>
          <cell r="CN201">
            <v>-357.42399999999998</v>
          </cell>
          <cell r="CO201">
            <v>-357.42399999999998</v>
          </cell>
          <cell r="CP201">
            <v>-50.167574874380378</v>
          </cell>
          <cell r="CQ201">
            <v>-150.50272462314115</v>
          </cell>
          <cell r="CR201">
            <v>-250.8378743719019</v>
          </cell>
          <cell r="CS201">
            <v>-351.17302412066266</v>
          </cell>
          <cell r="CT201">
            <v>-351.17302412066266</v>
          </cell>
          <cell r="CU201">
            <v>-90.436935899596975</v>
          </cell>
          <cell r="CV201">
            <v>-179.48794052155921</v>
          </cell>
          <cell r="CW201">
            <v>-267.54587948146116</v>
          </cell>
          <cell r="CX201">
            <v>-357.85010946608799</v>
          </cell>
          <cell r="CY201">
            <v>-357.85010946608799</v>
          </cell>
          <cell r="CZ201">
            <v>-94.05585343354501</v>
          </cell>
          <cell r="DA201">
            <v>-186.5507975786598</v>
          </cell>
          <cell r="DB201">
            <v>-278.0881250486903</v>
          </cell>
          <cell r="DC201">
            <v>-372.15422436166926</v>
          </cell>
          <cell r="DD201">
            <v>-372.15422436166926</v>
          </cell>
          <cell r="DE201">
            <v>-98.247815780490896</v>
          </cell>
          <cell r="DF201">
            <v>-194.64266110043042</v>
          </cell>
          <cell r="DG201">
            <v>-290.09666995197813</v>
          </cell>
          <cell r="DH201">
            <v>-387.95348425353336</v>
          </cell>
          <cell r="DI201">
            <v>-387.95348425353336</v>
          </cell>
        </row>
        <row r="202">
          <cell r="B202" t="str">
            <v>Proceeds from sale of assets</v>
          </cell>
          <cell r="F202">
            <v>2.7090000000000001</v>
          </cell>
          <cell r="G202">
            <v>2.5999999999999999E-2</v>
          </cell>
          <cell r="H202">
            <v>5.2190000000000003</v>
          </cell>
          <cell r="I202">
            <v>5.7000000000000002E-2</v>
          </cell>
          <cell r="J202">
            <v>2.7E-2</v>
          </cell>
          <cell r="K202">
            <v>0.38800000000000001</v>
          </cell>
          <cell r="L202">
            <v>4.0469999999999997</v>
          </cell>
          <cell r="M202">
            <v>1E-3</v>
          </cell>
          <cell r="N202">
            <v>7.0999999999999994E-2</v>
          </cell>
          <cell r="O202">
            <v>8.3000000000000004E-2</v>
          </cell>
          <cell r="P202">
            <v>0.111</v>
          </cell>
          <cell r="Q202">
            <v>0.111</v>
          </cell>
          <cell r="R202">
            <v>1.0999999999999999E-2</v>
          </cell>
          <cell r="S202">
            <v>0.14799999999999999</v>
          </cell>
          <cell r="T202">
            <v>0.14899999999999999</v>
          </cell>
          <cell r="U202">
            <v>0.20700000000000002</v>
          </cell>
          <cell r="V202">
            <v>0.20700000000000002</v>
          </cell>
          <cell r="W202">
            <v>2.7919999999999998</v>
          </cell>
          <cell r="X202">
            <v>2.9289999999999998</v>
          </cell>
          <cell r="Y202">
            <v>2.9289999999999998</v>
          </cell>
          <cell r="Z202">
            <v>3.3570000000000002</v>
          </cell>
          <cell r="AA202">
            <v>3.3570000000000002</v>
          </cell>
          <cell r="AB202">
            <v>40.052</v>
          </cell>
          <cell r="AC202">
            <v>40.734000000000002</v>
          </cell>
          <cell r="AD202">
            <v>40.405000000000001</v>
          </cell>
          <cell r="AE202">
            <v>41.073999999999998</v>
          </cell>
          <cell r="AF202">
            <v>41.073999999999998</v>
          </cell>
          <cell r="AG202">
            <v>0.12</v>
          </cell>
          <cell r="AH202">
            <v>0.47199999999999998</v>
          </cell>
          <cell r="AI202">
            <v>0.77400000000000002</v>
          </cell>
          <cell r="AJ202">
            <v>1.26</v>
          </cell>
          <cell r="AK202">
            <v>1.26</v>
          </cell>
          <cell r="AL202">
            <v>5.3999999999999999E-2</v>
          </cell>
          <cell r="AM202">
            <v>0.84199999999999997</v>
          </cell>
          <cell r="AN202">
            <v>4.5090000000000003</v>
          </cell>
          <cell r="AO202">
            <v>10.303999999999998</v>
          </cell>
          <cell r="AP202">
            <v>10.303999999999998</v>
          </cell>
          <cell r="AQ202">
            <v>0.33700000000000002</v>
          </cell>
          <cell r="AR202">
            <v>0.41299999999999998</v>
          </cell>
          <cell r="AS202">
            <v>26.574999999999999</v>
          </cell>
          <cell r="AT202">
            <v>40.212000000000003</v>
          </cell>
          <cell r="AU202">
            <v>40.212000000000003</v>
          </cell>
          <cell r="AW202">
            <v>0.78799999999999992</v>
          </cell>
          <cell r="AX202">
            <v>4.455000000000001</v>
          </cell>
          <cell r="AY202">
            <v>10.25</v>
          </cell>
          <cell r="AZ202">
            <v>10.587</v>
          </cell>
          <cell r="BA202">
            <v>10.587</v>
          </cell>
          <cell r="BB202">
            <v>7.5999999999999956E-2</v>
          </cell>
          <cell r="BC202">
            <v>26.238</v>
          </cell>
          <cell r="BD202">
            <v>39.875</v>
          </cell>
          <cell r="BE202">
            <v>51.134</v>
          </cell>
          <cell r="BF202">
            <v>51.134</v>
          </cell>
          <cell r="BG202">
            <v>3.7269999999999999</v>
          </cell>
          <cell r="BH202">
            <v>4.3380000000000001</v>
          </cell>
          <cell r="BI202">
            <v>5.4370000000000012</v>
          </cell>
          <cell r="BJ202">
            <v>6.0510000000000002</v>
          </cell>
          <cell r="BK202">
            <v>6.0510000000000002</v>
          </cell>
          <cell r="BL202">
            <v>18.585000000000001</v>
          </cell>
          <cell r="BM202">
            <v>21.978000000000002</v>
          </cell>
          <cell r="BN202">
            <v>22.561</v>
          </cell>
          <cell r="BO202">
            <v>32.344999999999999</v>
          </cell>
          <cell r="BP202">
            <v>32.344999999999999</v>
          </cell>
          <cell r="BQ202">
            <v>3.6779999999999999</v>
          </cell>
          <cell r="BR202">
            <v>7.3339999999999996</v>
          </cell>
          <cell r="BS202">
            <v>14.439999999999998</v>
          </cell>
          <cell r="BT202">
            <v>17.712</v>
          </cell>
          <cell r="BU202">
            <v>17.712</v>
          </cell>
          <cell r="BV202">
            <v>0.71299999999999997</v>
          </cell>
          <cell r="BW202">
            <v>4.0010000000000003</v>
          </cell>
          <cell r="BX202">
            <v>4.6529999999999996</v>
          </cell>
          <cell r="BY202">
            <v>5.4480000000000004</v>
          </cell>
          <cell r="BZ202">
            <v>5.4480000000000004</v>
          </cell>
          <cell r="CA202">
            <v>2.1419999999999999</v>
          </cell>
          <cell r="CB202">
            <v>2.1890000000000001</v>
          </cell>
          <cell r="CC202">
            <v>2.3050000000000002</v>
          </cell>
          <cell r="CD202">
            <v>3.15</v>
          </cell>
          <cell r="CE202">
            <v>3.15</v>
          </cell>
          <cell r="CF202">
            <v>0.13700000000000001</v>
          </cell>
          <cell r="CG202">
            <v>1.329</v>
          </cell>
          <cell r="CH202">
            <v>1.792</v>
          </cell>
          <cell r="CI202">
            <v>2.7650000000000001</v>
          </cell>
          <cell r="CJ202">
            <v>2.7650000000000001</v>
          </cell>
          <cell r="CK202">
            <v>0.80800000000000005</v>
          </cell>
          <cell r="CL202">
            <v>1.367</v>
          </cell>
          <cell r="CM202">
            <v>1.9319999999999999</v>
          </cell>
          <cell r="CN202">
            <v>1.9319999999999999</v>
          </cell>
          <cell r="CO202">
            <v>1.9319999999999999</v>
          </cell>
          <cell r="CP202">
            <v>0</v>
          </cell>
          <cell r="CQ202">
            <v>0</v>
          </cell>
          <cell r="CR202">
            <v>0</v>
          </cell>
          <cell r="CS202">
            <v>0</v>
          </cell>
          <cell r="CT202">
            <v>0</v>
          </cell>
          <cell r="CU202">
            <v>0</v>
          </cell>
          <cell r="CV202">
            <v>0</v>
          </cell>
          <cell r="CW202">
            <v>0</v>
          </cell>
          <cell r="CX202">
            <v>0</v>
          </cell>
          <cell r="CY202">
            <v>0</v>
          </cell>
          <cell r="CZ202">
            <v>0</v>
          </cell>
          <cell r="DA202">
            <v>0</v>
          </cell>
          <cell r="DB202">
            <v>0</v>
          </cell>
          <cell r="DC202">
            <v>0</v>
          </cell>
          <cell r="DD202">
            <v>0</v>
          </cell>
          <cell r="DE202">
            <v>0</v>
          </cell>
          <cell r="DF202">
            <v>0</v>
          </cell>
          <cell r="DG202">
            <v>0</v>
          </cell>
          <cell r="DH202">
            <v>0</v>
          </cell>
          <cell r="DI202">
            <v>0</v>
          </cell>
        </row>
        <row r="203">
          <cell r="B203" t="str">
            <v>Proceeds from sale of discontinued operations</v>
          </cell>
          <cell r="BL203">
            <v>0</v>
          </cell>
          <cell r="BM203">
            <v>0</v>
          </cell>
          <cell r="BN203">
            <v>70</v>
          </cell>
          <cell r="BO203">
            <v>70</v>
          </cell>
          <cell r="BP203">
            <v>70</v>
          </cell>
          <cell r="BQ203">
            <v>0</v>
          </cell>
          <cell r="BR203">
            <v>3.5</v>
          </cell>
          <cell r="BS203">
            <v>18.166</v>
          </cell>
          <cell r="BT203">
            <v>18.166</v>
          </cell>
          <cell r="BU203">
            <v>18.166</v>
          </cell>
          <cell r="BV203">
            <v>0</v>
          </cell>
          <cell r="BW203">
            <v>0</v>
          </cell>
          <cell r="BX203">
            <v>0</v>
          </cell>
          <cell r="BY203">
            <v>0</v>
          </cell>
          <cell r="BZ203">
            <v>0</v>
          </cell>
        </row>
        <row r="204">
          <cell r="B204" t="str">
            <v>Decrease (increase) in restricted funds, net</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-29.315999999999999</v>
          </cell>
          <cell r="AK204">
            <v>-29.315999999999999</v>
          </cell>
          <cell r="AL204">
            <v>-1.323</v>
          </cell>
          <cell r="AM204">
            <v>-21.231000000000002</v>
          </cell>
          <cell r="AN204">
            <v>-31.308</v>
          </cell>
          <cell r="AO204">
            <v>0</v>
          </cell>
          <cell r="AP204">
            <v>0</v>
          </cell>
          <cell r="AQ204">
            <v>0</v>
          </cell>
          <cell r="AR204">
            <v>0</v>
          </cell>
          <cell r="AS204">
            <v>0</v>
          </cell>
          <cell r="AT204" t="e">
            <v>#REF!</v>
          </cell>
          <cell r="AU204" t="e">
            <v>#REF!</v>
          </cell>
          <cell r="AW204">
            <v>-19.908000000000001</v>
          </cell>
          <cell r="AX204">
            <v>-29.984999999999999</v>
          </cell>
          <cell r="AY204">
            <v>1.3230000000000004</v>
          </cell>
          <cell r="AZ204">
            <v>1.3230000000000004</v>
          </cell>
          <cell r="BA204">
            <v>1.3230000000000004</v>
          </cell>
          <cell r="BB204">
            <v>0</v>
          </cell>
          <cell r="BC204">
            <v>0</v>
          </cell>
          <cell r="BD204" t="e">
            <v>#REF!</v>
          </cell>
          <cell r="BE204" t="e">
            <v>#REF!</v>
          </cell>
          <cell r="BF204" t="e">
            <v>#REF!</v>
          </cell>
          <cell r="BG204">
            <v>-2.7040000000000002</v>
          </cell>
          <cell r="BH204">
            <v>-20.228000000000002</v>
          </cell>
          <cell r="BI204">
            <v>-21.571000000000002</v>
          </cell>
          <cell r="BJ204">
            <v>-18.495000000000001</v>
          </cell>
          <cell r="BK204">
            <v>-18.495000000000001</v>
          </cell>
          <cell r="BL204">
            <v>-2.7730000000000001</v>
          </cell>
          <cell r="BM204">
            <v>-12.266999999999999</v>
          </cell>
          <cell r="BN204">
            <v>-7.6379999999999999</v>
          </cell>
          <cell r="BO204">
            <v>-10.673999999999999</v>
          </cell>
          <cell r="BP204">
            <v>-10.673999999999999</v>
          </cell>
          <cell r="BQ204">
            <v>-2.923</v>
          </cell>
          <cell r="BR204">
            <v>2.7799999999999994</v>
          </cell>
          <cell r="BS204">
            <v>5.391</v>
          </cell>
          <cell r="BT204">
            <v>14.51</v>
          </cell>
          <cell r="BU204">
            <v>14.51</v>
          </cell>
          <cell r="BV204">
            <v>3.677</v>
          </cell>
          <cell r="BW204">
            <v>7.6479999999999997</v>
          </cell>
          <cell r="BX204">
            <v>4.2469999999999999</v>
          </cell>
          <cell r="BY204">
            <v>11.59</v>
          </cell>
          <cell r="BZ204">
            <v>11.59</v>
          </cell>
          <cell r="CA204">
            <v>6.0780000000000003</v>
          </cell>
          <cell r="CB204">
            <v>-9.0210000000000008</v>
          </cell>
          <cell r="CC204">
            <v>-7.9349999999999996</v>
          </cell>
          <cell r="CD204">
            <v>-5.758</v>
          </cell>
          <cell r="CE204">
            <v>-5.758</v>
          </cell>
          <cell r="CF204">
            <v>5.6959999999999997</v>
          </cell>
          <cell r="CG204">
            <v>-11.558999999999999</v>
          </cell>
          <cell r="CH204">
            <v>-28.259999999999998</v>
          </cell>
          <cell r="CI204">
            <v>-35.308999999999997</v>
          </cell>
          <cell r="CJ204">
            <v>-35.308999999999997</v>
          </cell>
          <cell r="CK204">
            <v>0.78200000000000003</v>
          </cell>
          <cell r="CL204">
            <v>-1.7829999999999999</v>
          </cell>
          <cell r="CM204">
            <v>-18.722999999999999</v>
          </cell>
          <cell r="CN204">
            <v>-18.722999999999999</v>
          </cell>
          <cell r="CO204">
            <v>-18.722999999999999</v>
          </cell>
          <cell r="CP204">
            <v>0</v>
          </cell>
          <cell r="CQ204">
            <v>0</v>
          </cell>
          <cell r="CR204">
            <v>0</v>
          </cell>
          <cell r="CS204">
            <v>0</v>
          </cell>
          <cell r="CT204">
            <v>0</v>
          </cell>
          <cell r="CU204">
            <v>0</v>
          </cell>
          <cell r="CV204">
            <v>0</v>
          </cell>
          <cell r="CW204">
            <v>0</v>
          </cell>
          <cell r="CX204">
            <v>0</v>
          </cell>
          <cell r="CY204">
            <v>0</v>
          </cell>
          <cell r="CZ204">
            <v>0</v>
          </cell>
          <cell r="DA204">
            <v>0</v>
          </cell>
          <cell r="DB204">
            <v>0</v>
          </cell>
          <cell r="DC204">
            <v>0</v>
          </cell>
          <cell r="DD204">
            <v>0</v>
          </cell>
          <cell r="DE204">
            <v>0</v>
          </cell>
          <cell r="DF204">
            <v>0</v>
          </cell>
          <cell r="DG204">
            <v>0</v>
          </cell>
          <cell r="DH204">
            <v>0</v>
          </cell>
          <cell r="DI204">
            <v>0</v>
          </cell>
        </row>
        <row r="205">
          <cell r="B205" t="str">
            <v>Other</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32</v>
          </cell>
          <cell r="AE205">
            <v>32</v>
          </cell>
          <cell r="AF205">
            <v>32</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-36.527000000000001</v>
          </cell>
          <cell r="BZ205">
            <v>-36.527000000000001</v>
          </cell>
          <cell r="CA205">
            <v>-35.129999999999995</v>
          </cell>
          <cell r="CB205">
            <v>-99.694999999999965</v>
          </cell>
          <cell r="CC205">
            <v>7.3290000000000646</v>
          </cell>
          <cell r="CD205">
            <v>-16.843000000000075</v>
          </cell>
          <cell r="CE205">
            <v>-16.843000000000075</v>
          </cell>
          <cell r="CF205">
            <v>-74.586000000000013</v>
          </cell>
          <cell r="CG205">
            <v>-82.99899999999991</v>
          </cell>
          <cell r="CH205">
            <v>19.855999999999995</v>
          </cell>
          <cell r="CI205">
            <v>-64.182000000000016</v>
          </cell>
          <cell r="CJ205">
            <v>-64.182000000000016</v>
          </cell>
          <cell r="CK205">
            <v>81.485000000000014</v>
          </cell>
          <cell r="CL205">
            <v>4.3819999999999482</v>
          </cell>
          <cell r="CM205">
            <v>-18.968000000000075</v>
          </cell>
          <cell r="CN205">
            <v>-18.968000000000075</v>
          </cell>
          <cell r="CO205">
            <v>-18.968000000000075</v>
          </cell>
          <cell r="CP205">
            <v>0</v>
          </cell>
          <cell r="CQ205">
            <v>0</v>
          </cell>
          <cell r="CR205">
            <v>0</v>
          </cell>
          <cell r="CS205">
            <v>0</v>
          </cell>
          <cell r="CT205">
            <v>0</v>
          </cell>
          <cell r="CU205">
            <v>0</v>
          </cell>
          <cell r="CV205">
            <v>0</v>
          </cell>
          <cell r="CW205">
            <v>0</v>
          </cell>
          <cell r="CX205">
            <v>0</v>
          </cell>
          <cell r="CY205">
            <v>0</v>
          </cell>
          <cell r="CZ205">
            <v>0</v>
          </cell>
          <cell r="DA205">
            <v>0</v>
          </cell>
          <cell r="DB205">
            <v>0</v>
          </cell>
          <cell r="DC205">
            <v>0</v>
          </cell>
          <cell r="DD205">
            <v>0</v>
          </cell>
          <cell r="DE205">
            <v>0</v>
          </cell>
          <cell r="DF205">
            <v>0</v>
          </cell>
          <cell r="DG205">
            <v>0</v>
          </cell>
          <cell r="DH205">
            <v>0</v>
          </cell>
          <cell r="DI205">
            <v>0</v>
          </cell>
        </row>
        <row r="206">
          <cell r="B206" t="str">
            <v>Cash Flow from Investing</v>
          </cell>
          <cell r="F206">
            <v>-11.638</v>
          </cell>
          <cell r="G206">
            <v>-33.058999999999997</v>
          </cell>
          <cell r="H206">
            <v>-18.612000000000002</v>
          </cell>
          <cell r="I206">
            <v>-96.840999999999994</v>
          </cell>
          <cell r="J206">
            <v>-140.851</v>
          </cell>
          <cell r="K206">
            <v>-110.428</v>
          </cell>
          <cell r="L206">
            <v>-233.36800000000002</v>
          </cell>
          <cell r="M206">
            <v>-45.02</v>
          </cell>
          <cell r="N206">
            <v>-84.515000000000001</v>
          </cell>
          <cell r="O206">
            <v>-277.04300000000001</v>
          </cell>
          <cell r="P206">
            <v>-343.24799999999999</v>
          </cell>
          <cell r="Q206">
            <v>-343.24799999999999</v>
          </cell>
          <cell r="R206">
            <v>-28.513999999999999</v>
          </cell>
          <cell r="S206">
            <v>-56.293999999999997</v>
          </cell>
          <cell r="T206">
            <v>-142.72</v>
          </cell>
          <cell r="U206">
            <v>-250.89899999999994</v>
          </cell>
          <cell r="V206">
            <v>-250.89899999999994</v>
          </cell>
          <cell r="W206">
            <v>-13.728</v>
          </cell>
          <cell r="X206">
            <v>-50.808</v>
          </cell>
          <cell r="Y206">
            <v>-124.447</v>
          </cell>
          <cell r="Z206">
            <v>-171.01</v>
          </cell>
          <cell r="AA206">
            <v>-171.01</v>
          </cell>
          <cell r="AB206">
            <v>-167.05</v>
          </cell>
          <cell r="AC206">
            <v>-202.42099999999999</v>
          </cell>
          <cell r="AD206">
            <v>-276.62800000000004</v>
          </cell>
          <cell r="AE206">
            <v>-343.15200000000004</v>
          </cell>
          <cell r="AF206">
            <v>-343.15200000000004</v>
          </cell>
          <cell r="AG206">
            <v>-41.451000000000001</v>
          </cell>
          <cell r="AH206">
            <v>-103.09400000000001</v>
          </cell>
          <cell r="AI206">
            <v>-141.816</v>
          </cell>
          <cell r="AJ206">
            <v>-320.10400000000004</v>
          </cell>
          <cell r="AK206">
            <v>-320.10400000000004</v>
          </cell>
          <cell r="AL206">
            <v>-582.70800000000008</v>
          </cell>
          <cell r="AM206">
            <v>-657.81200000000001</v>
          </cell>
          <cell r="AN206">
            <v>-718.14200000000005</v>
          </cell>
          <cell r="AO206">
            <v>-709.3</v>
          </cell>
          <cell r="AP206">
            <v>-709.3</v>
          </cell>
          <cell r="AQ206">
            <v>-63.28</v>
          </cell>
          <cell r="AR206">
            <v>-449.99299999999994</v>
          </cell>
          <cell r="AS206">
            <v>-519.57400000000007</v>
          </cell>
          <cell r="AT206" t="e">
            <v>#REF!</v>
          </cell>
          <cell r="AU206" t="e">
            <v>#REF!</v>
          </cell>
          <cell r="AW206">
            <v>-75.103999999999914</v>
          </cell>
          <cell r="AX206">
            <v>-135.43399999999994</v>
          </cell>
          <cell r="AY206">
            <v>-126.5919999999999</v>
          </cell>
          <cell r="AZ206">
            <v>-189.8719999999999</v>
          </cell>
          <cell r="BA206">
            <v>-189.8719999999999</v>
          </cell>
          <cell r="BB206">
            <v>-386.71299999999997</v>
          </cell>
          <cell r="BC206">
            <v>-456.29400000000004</v>
          </cell>
          <cell r="BD206" t="e">
            <v>#REF!</v>
          </cell>
          <cell r="BE206" t="e">
            <v>#REF!</v>
          </cell>
          <cell r="BF206" t="e">
            <v>#REF!</v>
          </cell>
          <cell r="BG206">
            <v>-132.364</v>
          </cell>
          <cell r="BH206">
            <v>-376.06299999999999</v>
          </cell>
          <cell r="BI206">
            <v>-418.298</v>
          </cell>
          <cell r="BJ206">
            <v>-498.654</v>
          </cell>
          <cell r="BK206">
            <v>-498.654</v>
          </cell>
          <cell r="BL206">
            <v>-53.923000000000002</v>
          </cell>
          <cell r="BM206">
            <v>-172.49299999999999</v>
          </cell>
          <cell r="BN206">
            <v>-164.55899999999997</v>
          </cell>
          <cell r="BO206">
            <v>-217.52600000000001</v>
          </cell>
          <cell r="BP206">
            <v>-217.52600000000001</v>
          </cell>
          <cell r="BQ206">
            <v>-48.470000000000006</v>
          </cell>
          <cell r="BR206">
            <v>-82.317999999999998</v>
          </cell>
          <cell r="BS206">
            <v>-123.87299999999998</v>
          </cell>
          <cell r="BT206">
            <v>-176.31700000000001</v>
          </cell>
          <cell r="BU206">
            <v>-176.31700000000001</v>
          </cell>
          <cell r="BV206">
            <v>-60.781000000000013</v>
          </cell>
          <cell r="BW206">
            <v>-103.86799999999999</v>
          </cell>
          <cell r="BX206">
            <v>-150.41500000000002</v>
          </cell>
          <cell r="BY206">
            <v>-358.31600000000003</v>
          </cell>
          <cell r="BZ206">
            <v>-358.31600000000003</v>
          </cell>
          <cell r="CA206">
            <v>-70.766999999999996</v>
          </cell>
          <cell r="CB206">
            <v>-209.97199999999998</v>
          </cell>
          <cell r="CC206">
            <v>-184.12499999999994</v>
          </cell>
          <cell r="CD206">
            <v>-393.98400000000015</v>
          </cell>
          <cell r="CE206">
            <v>-393.98400000000015</v>
          </cell>
          <cell r="CF206">
            <v>-119.91200000000001</v>
          </cell>
          <cell r="CG206">
            <v>-269.15399999999988</v>
          </cell>
          <cell r="CH206">
            <v>-778.01899999999989</v>
          </cell>
          <cell r="CI206">
            <v>-976.01099999999997</v>
          </cell>
          <cell r="CJ206">
            <v>-976.01099999999997</v>
          </cell>
          <cell r="CK206">
            <v>-79.35899999999998</v>
          </cell>
          <cell r="CL206">
            <v>-255.49000000000007</v>
          </cell>
          <cell r="CM206">
            <v>-388.26600000000008</v>
          </cell>
          <cell r="CN206">
            <v>-463.26600000000008</v>
          </cell>
          <cell r="CO206">
            <v>-463.26600000000008</v>
          </cell>
          <cell r="CP206">
            <v>-50.167574874380378</v>
          </cell>
          <cell r="CQ206">
            <v>-150.50272462314115</v>
          </cell>
          <cell r="CR206">
            <v>-250.8378743719019</v>
          </cell>
          <cell r="CS206">
            <v>-351.17302412066266</v>
          </cell>
          <cell r="CT206">
            <v>-351.17302412066266</v>
          </cell>
          <cell r="CU206">
            <v>-90.436935899596975</v>
          </cell>
          <cell r="CV206">
            <v>-179.48794052155921</v>
          </cell>
          <cell r="CW206">
            <v>-267.54587948146116</v>
          </cell>
          <cell r="CX206">
            <v>-357.85010946608799</v>
          </cell>
          <cell r="CY206">
            <v>-357.85010946608799</v>
          </cell>
          <cell r="CZ206">
            <v>-94.05585343354501</v>
          </cell>
          <cell r="DA206">
            <v>-186.5507975786598</v>
          </cell>
          <cell r="DB206">
            <v>-278.0881250486903</v>
          </cell>
          <cell r="DC206">
            <v>-372.15422436166926</v>
          </cell>
          <cell r="DD206">
            <v>-372.15422436166926</v>
          </cell>
          <cell r="DE206">
            <v>-98.247815780490896</v>
          </cell>
          <cell r="DF206">
            <v>-194.64266110043042</v>
          </cell>
          <cell r="DG206">
            <v>-290.09666995197813</v>
          </cell>
          <cell r="DH206">
            <v>-387.95348425353336</v>
          </cell>
          <cell r="DI206">
            <v>-387.95348425353336</v>
          </cell>
        </row>
        <row r="208">
          <cell r="B208" t="str">
            <v>Proceeds from long-term borrowings</v>
          </cell>
          <cell r="F208">
            <v>43.463999999999999</v>
          </cell>
          <cell r="G208">
            <v>20.244</v>
          </cell>
          <cell r="H208">
            <v>7.1180000000000003</v>
          </cell>
          <cell r="I208">
            <v>1.097</v>
          </cell>
          <cell r="J208">
            <v>0.70799999999999996</v>
          </cell>
          <cell r="K208">
            <v>0.52</v>
          </cell>
          <cell r="L208">
            <v>80.995999999999995</v>
          </cell>
          <cell r="M208">
            <v>0.13300000000000001</v>
          </cell>
          <cell r="N208">
            <v>0.34300000000000003</v>
          </cell>
          <cell r="O208">
            <v>156.23199999999997</v>
          </cell>
          <cell r="P208">
            <v>249.64500000000001</v>
          </cell>
          <cell r="Q208">
            <v>249.64500000000001</v>
          </cell>
          <cell r="R208">
            <v>47.405000000000001</v>
          </cell>
          <cell r="S208">
            <v>47.81</v>
          </cell>
          <cell r="T208">
            <v>103.214</v>
          </cell>
          <cell r="U208">
            <v>447.11700000000002</v>
          </cell>
          <cell r="V208">
            <v>447.11700000000002</v>
          </cell>
          <cell r="W208">
            <v>2.673</v>
          </cell>
          <cell r="X208">
            <v>5.3140000000000001</v>
          </cell>
          <cell r="Y208">
            <v>27.957999999999998</v>
          </cell>
          <cell r="Z208">
            <v>35.591000000000001</v>
          </cell>
          <cell r="AA208">
            <v>35.591000000000001</v>
          </cell>
          <cell r="AB208">
            <v>172.63900000000001</v>
          </cell>
          <cell r="AC208">
            <v>452.21199999999999</v>
          </cell>
          <cell r="AD208">
            <v>455.45699999999999</v>
          </cell>
          <cell r="AE208">
            <v>479.31400000000002</v>
          </cell>
          <cell r="AF208">
            <v>479.31400000000002</v>
          </cell>
          <cell r="AG208">
            <v>3.2389999999999999</v>
          </cell>
          <cell r="AH208">
            <v>6.4909999999999997</v>
          </cell>
          <cell r="AI208">
            <v>9.782</v>
          </cell>
          <cell r="AJ208">
            <v>575.80499999999995</v>
          </cell>
          <cell r="AK208">
            <v>575.80499999999995</v>
          </cell>
          <cell r="AL208">
            <v>278.185</v>
          </cell>
          <cell r="AM208">
            <v>281.33199999999999</v>
          </cell>
          <cell r="AN208">
            <v>283.947</v>
          </cell>
          <cell r="AO208">
            <v>288.93599999999998</v>
          </cell>
          <cell r="AP208">
            <v>288.93599999999998</v>
          </cell>
          <cell r="AQ208">
            <v>5.2469999999999999</v>
          </cell>
          <cell r="AR208">
            <v>186.96000000000004</v>
          </cell>
          <cell r="AS208">
            <v>186.96000000000004</v>
          </cell>
          <cell r="AT208">
            <v>212.185</v>
          </cell>
          <cell r="AU208">
            <v>212.185</v>
          </cell>
          <cell r="AW208">
            <v>3.1469999999999914</v>
          </cell>
          <cell r="AX208">
            <v>5.7620000000000005</v>
          </cell>
          <cell r="AY208">
            <v>10.750999999999976</v>
          </cell>
          <cell r="AZ208">
            <v>15.997999999999976</v>
          </cell>
          <cell r="BA208">
            <v>15.997999999999976</v>
          </cell>
          <cell r="BB208">
            <v>181.71300000000002</v>
          </cell>
          <cell r="BC208">
            <v>181.71300000000002</v>
          </cell>
          <cell r="BD208">
            <v>206.93799999999999</v>
          </cell>
          <cell r="BE208">
            <v>401.93799999999999</v>
          </cell>
          <cell r="BF208">
            <v>401.93799999999999</v>
          </cell>
          <cell r="BG208">
            <v>285</v>
          </cell>
          <cell r="BH208">
            <v>831.70699999999999</v>
          </cell>
          <cell r="BI208">
            <v>832.423</v>
          </cell>
          <cell r="BJ208">
            <v>866.94799999999998</v>
          </cell>
          <cell r="BK208">
            <v>866.94799999999998</v>
          </cell>
          <cell r="BL208">
            <v>2706.598</v>
          </cell>
          <cell r="BM208">
            <v>2706.7350000000001</v>
          </cell>
          <cell r="BN208">
            <v>2707.6080000000002</v>
          </cell>
          <cell r="BO208">
            <v>2707.6080000000002</v>
          </cell>
          <cell r="BP208">
            <v>2707.6080000000002</v>
          </cell>
          <cell r="BQ208">
            <v>0</v>
          </cell>
          <cell r="BR208">
            <v>244.452</v>
          </cell>
          <cell r="BS208">
            <v>244.471</v>
          </cell>
          <cell r="BT208">
            <v>244.471</v>
          </cell>
          <cell r="BU208">
            <v>244.471</v>
          </cell>
          <cell r="BV208">
            <v>0</v>
          </cell>
          <cell r="BW208">
            <v>0</v>
          </cell>
          <cell r="BX208">
            <v>0</v>
          </cell>
          <cell r="BY208">
            <v>38</v>
          </cell>
          <cell r="BZ208">
            <v>38</v>
          </cell>
          <cell r="CA208">
            <v>0</v>
          </cell>
          <cell r="CB208">
            <v>0</v>
          </cell>
          <cell r="CC208">
            <v>0</v>
          </cell>
          <cell r="CD208">
            <v>0</v>
          </cell>
          <cell r="CE208">
            <v>0</v>
          </cell>
          <cell r="CF208">
            <v>0</v>
          </cell>
          <cell r="CG208">
            <v>0</v>
          </cell>
          <cell r="CH208">
            <v>370.7</v>
          </cell>
          <cell r="CI208">
            <v>3356.97</v>
          </cell>
          <cell r="CJ208">
            <v>3356.97</v>
          </cell>
          <cell r="CK208">
            <v>0</v>
          </cell>
          <cell r="CL208">
            <v>17</v>
          </cell>
          <cell r="CM208">
            <v>17</v>
          </cell>
          <cell r="CN208">
            <v>17</v>
          </cell>
          <cell r="CO208">
            <v>17</v>
          </cell>
          <cell r="CP208">
            <v>0</v>
          </cell>
          <cell r="CQ208">
            <v>0</v>
          </cell>
          <cell r="CR208">
            <v>0</v>
          </cell>
          <cell r="CS208">
            <v>0</v>
          </cell>
          <cell r="CT208">
            <v>0</v>
          </cell>
          <cell r="CU208">
            <v>0</v>
          </cell>
          <cell r="CV208">
            <v>0</v>
          </cell>
          <cell r="CW208">
            <v>0</v>
          </cell>
          <cell r="CX208">
            <v>0</v>
          </cell>
          <cell r="CY208">
            <v>0</v>
          </cell>
          <cell r="CZ208">
            <v>0</v>
          </cell>
          <cell r="DA208">
            <v>0</v>
          </cell>
          <cell r="DB208">
            <v>0</v>
          </cell>
          <cell r="DC208">
            <v>0</v>
          </cell>
          <cell r="DD208">
            <v>0</v>
          </cell>
          <cell r="DE208">
            <v>0</v>
          </cell>
          <cell r="DF208">
            <v>0</v>
          </cell>
          <cell r="DG208">
            <v>0</v>
          </cell>
          <cell r="DH208">
            <v>0</v>
          </cell>
          <cell r="DI208">
            <v>0</v>
          </cell>
        </row>
        <row r="209">
          <cell r="B209" t="str">
            <v>Principal payments on debt/cap leases</v>
          </cell>
          <cell r="F209">
            <v>-89</v>
          </cell>
          <cell r="G209">
            <v>-4.9370000000000003</v>
          </cell>
          <cell r="H209">
            <v>-10.239000000000001</v>
          </cell>
          <cell r="I209">
            <v>-14.044</v>
          </cell>
          <cell r="J209">
            <v>-7.1870000000000003</v>
          </cell>
          <cell r="K209">
            <v>-20.620999999999999</v>
          </cell>
          <cell r="L209">
            <v>-39.85</v>
          </cell>
          <cell r="M209">
            <v>-7.7610000000000001</v>
          </cell>
          <cell r="N209">
            <v>-9.8810000000000002</v>
          </cell>
          <cell r="O209">
            <v>-14.135000000000002</v>
          </cell>
          <cell r="P209">
            <v>-17.228999999999999</v>
          </cell>
          <cell r="Q209">
            <v>-17.228999999999999</v>
          </cell>
          <cell r="R209">
            <v>-2.282</v>
          </cell>
          <cell r="S209">
            <v>-11.449</v>
          </cell>
          <cell r="T209">
            <v>-50.924999999999997</v>
          </cell>
          <cell r="U209">
            <v>-342.77400000000006</v>
          </cell>
          <cell r="V209">
            <v>-342.77400000000006</v>
          </cell>
          <cell r="W209">
            <v>-31.640999999999998</v>
          </cell>
          <cell r="X209">
            <v>-63.442</v>
          </cell>
          <cell r="Y209">
            <v>-102.905</v>
          </cell>
          <cell r="Z209">
            <v>-129.09800000000001</v>
          </cell>
          <cell r="AA209">
            <v>-129.09800000000001</v>
          </cell>
          <cell r="AB209">
            <v>-2.09</v>
          </cell>
          <cell r="AC209">
            <v>-253.39400000000001</v>
          </cell>
          <cell r="AD209">
            <v>-261.245</v>
          </cell>
          <cell r="AE209">
            <v>-263.48200000000003</v>
          </cell>
          <cell r="AF209">
            <v>-263.48200000000003</v>
          </cell>
          <cell r="AG209">
            <v>-1.4</v>
          </cell>
          <cell r="AH209">
            <v>-3.4969999999999999</v>
          </cell>
          <cell r="AI209">
            <v>-6.9689999999999994</v>
          </cell>
          <cell r="AJ209">
            <v>-318.31800000000004</v>
          </cell>
          <cell r="AK209">
            <v>-318.31800000000004</v>
          </cell>
          <cell r="AL209">
            <v>-77.418000000000006</v>
          </cell>
          <cell r="AM209">
            <v>-103.726</v>
          </cell>
          <cell r="AN209">
            <v>-185.74799999999999</v>
          </cell>
          <cell r="AO209">
            <v>-288.23</v>
          </cell>
          <cell r="AP209">
            <v>-288.23</v>
          </cell>
          <cell r="AQ209">
            <v>-2.976</v>
          </cell>
          <cell r="AR209">
            <v>-17.975999999999999</v>
          </cell>
          <cell r="AS209">
            <v>-107.898</v>
          </cell>
          <cell r="AT209">
            <v>-166.74700000000001</v>
          </cell>
          <cell r="AU209">
            <v>-166.74700000000001</v>
          </cell>
          <cell r="AW209">
            <v>-26.307999999999993</v>
          </cell>
          <cell r="AX209">
            <v>-108.32999999999998</v>
          </cell>
          <cell r="AY209">
            <v>-210.81200000000001</v>
          </cell>
          <cell r="AZ209">
            <v>-213.78800000000001</v>
          </cell>
          <cell r="BA209">
            <v>-213.78800000000001</v>
          </cell>
          <cell r="BB209">
            <v>-15</v>
          </cell>
          <cell r="BC209">
            <v>-104.922</v>
          </cell>
          <cell r="BD209">
            <v>-163.77100000000002</v>
          </cell>
          <cell r="BE209">
            <v>-164.94300000000001</v>
          </cell>
          <cell r="BF209">
            <v>-164.94300000000001</v>
          </cell>
          <cell r="BG209">
            <v>-279.01</v>
          </cell>
          <cell r="BH209">
            <v>-684.89300000000003</v>
          </cell>
          <cell r="BI209">
            <v>-724.00099999999998</v>
          </cell>
          <cell r="BJ209">
            <v>-743.47299999999996</v>
          </cell>
          <cell r="BK209">
            <v>-743.47299999999996</v>
          </cell>
          <cell r="BL209">
            <v>-300.47399999999999</v>
          </cell>
          <cell r="BM209">
            <v>-313.77699999999999</v>
          </cell>
          <cell r="BN209">
            <v>-325.50299999999999</v>
          </cell>
          <cell r="BO209">
            <v>-344.58699999999999</v>
          </cell>
          <cell r="BP209">
            <v>-344.58699999999999</v>
          </cell>
          <cell r="BQ209">
            <v>-62.094999999999999</v>
          </cell>
          <cell r="BR209">
            <v>-438.197</v>
          </cell>
          <cell r="BS209">
            <v>-732.29399999999998</v>
          </cell>
          <cell r="BT209">
            <v>-766.93000000000006</v>
          </cell>
          <cell r="BU209">
            <v>-766.93000000000006</v>
          </cell>
          <cell r="BV209">
            <v>-29.108000000000001</v>
          </cell>
          <cell r="BW209">
            <v>-68.004000000000005</v>
          </cell>
          <cell r="BX209">
            <v>-78.841999999999999</v>
          </cell>
          <cell r="BY209">
            <v>-127.218</v>
          </cell>
          <cell r="BZ209">
            <v>-127.218</v>
          </cell>
          <cell r="CA209">
            <v>-9.4450000000000003</v>
          </cell>
          <cell r="CB209">
            <v>-19.992000000000001</v>
          </cell>
          <cell r="CC209">
            <v>-30.353000000000002</v>
          </cell>
          <cell r="CD209">
            <v>-40.146999999999998</v>
          </cell>
          <cell r="CE209">
            <v>-40.146999999999998</v>
          </cell>
          <cell r="CF209">
            <v>-9.0180000000000007</v>
          </cell>
          <cell r="CG209">
            <v>-19.741</v>
          </cell>
          <cell r="CH209">
            <v>-34.046999999999997</v>
          </cell>
          <cell r="CI209">
            <v>-2869.38</v>
          </cell>
          <cell r="CJ209">
            <v>-2869.38</v>
          </cell>
          <cell r="CK209">
            <v>-20.798999999999999</v>
          </cell>
          <cell r="CL209">
            <v>-61.072000000000003</v>
          </cell>
          <cell r="CM209">
            <v>-88.563000000000002</v>
          </cell>
          <cell r="CN209">
            <v>-104.08575000000002</v>
          </cell>
          <cell r="CO209">
            <v>-104.08575000000002</v>
          </cell>
          <cell r="CP209">
            <v>-15.522750000000016</v>
          </cell>
          <cell r="CQ209">
            <v>-31.045500000000033</v>
          </cell>
          <cell r="CR209">
            <v>-46.568250000000049</v>
          </cell>
          <cell r="CS209">
            <v>-62.091000000000065</v>
          </cell>
          <cell r="CT209">
            <v>-62.091000000000065</v>
          </cell>
          <cell r="CU209">
            <v>-15.522750000000016</v>
          </cell>
          <cell r="CV209">
            <v>-31.045500000000033</v>
          </cell>
          <cell r="CW209">
            <v>-46.568250000000049</v>
          </cell>
          <cell r="CX209">
            <v>-62.091000000000065</v>
          </cell>
          <cell r="CY209">
            <v>-62.091000000000065</v>
          </cell>
          <cell r="CZ209">
            <v>-16.022750000000016</v>
          </cell>
          <cell r="DA209">
            <v>-32.045500000000033</v>
          </cell>
          <cell r="DB209">
            <v>-48.068250000000049</v>
          </cell>
          <cell r="DC209">
            <v>-64.091000000000065</v>
          </cell>
          <cell r="DD209">
            <v>-64.091000000000065</v>
          </cell>
          <cell r="DE209">
            <v>-16.022750000000016</v>
          </cell>
          <cell r="DF209">
            <v>-32.045500000000033</v>
          </cell>
          <cell r="DG209">
            <v>-48.068250000000049</v>
          </cell>
          <cell r="DH209">
            <v>-64.091000000000065</v>
          </cell>
          <cell r="DI209">
            <v>-64.091000000000065</v>
          </cell>
        </row>
        <row r="210">
          <cell r="B210" t="str">
            <v>Proceeds from issuance of common stock, net</v>
          </cell>
          <cell r="F210">
            <v>36.799999999999997</v>
          </cell>
          <cell r="G210">
            <v>25.07</v>
          </cell>
          <cell r="H210">
            <v>10.744</v>
          </cell>
          <cell r="I210">
            <v>1.6910000000000001</v>
          </cell>
          <cell r="J210">
            <v>9.468</v>
          </cell>
          <cell r="K210">
            <v>34.158999999999999</v>
          </cell>
          <cell r="L210">
            <v>20.706</v>
          </cell>
          <cell r="M210">
            <v>2.5640000000000001</v>
          </cell>
          <cell r="N210">
            <v>2.8490000000000002</v>
          </cell>
          <cell r="O210">
            <v>3.1339999999999999</v>
          </cell>
          <cell r="P210">
            <v>11.999000000000001</v>
          </cell>
          <cell r="Q210">
            <v>11.999000000000001</v>
          </cell>
          <cell r="R210">
            <v>5.3999999999999999E-2</v>
          </cell>
          <cell r="S210">
            <v>0.108</v>
          </cell>
          <cell r="T210">
            <v>9.9130000000000003</v>
          </cell>
          <cell r="U210">
            <v>14.275</v>
          </cell>
          <cell r="V210">
            <v>14.275</v>
          </cell>
          <cell r="W210">
            <v>5.1120000000000001</v>
          </cell>
          <cell r="X210">
            <v>19.167999999999999</v>
          </cell>
          <cell r="Y210">
            <v>20.405999999999999</v>
          </cell>
          <cell r="Z210">
            <v>31.384999999999998</v>
          </cell>
          <cell r="AA210">
            <v>31.384999999999998</v>
          </cell>
          <cell r="AB210">
            <v>3.0110000000000001</v>
          </cell>
          <cell r="AC210">
            <v>4.1269999999999998</v>
          </cell>
          <cell r="AD210">
            <v>5.4219999999999997</v>
          </cell>
          <cell r="AE210">
            <v>14.659000000000002</v>
          </cell>
          <cell r="AF210">
            <v>14.659000000000002</v>
          </cell>
          <cell r="AG210">
            <v>0.31900000000000001</v>
          </cell>
          <cell r="AH210">
            <v>0.31900000000000001</v>
          </cell>
          <cell r="AI210">
            <v>12.413</v>
          </cell>
          <cell r="AJ210">
            <v>21.263999999999999</v>
          </cell>
          <cell r="AK210">
            <v>21.263999999999999</v>
          </cell>
          <cell r="AL210">
            <v>17.640999999999998</v>
          </cell>
          <cell r="AM210">
            <v>20.789000000000001</v>
          </cell>
          <cell r="AN210">
            <v>26.262</v>
          </cell>
          <cell r="AO210">
            <v>27.388999999999999</v>
          </cell>
          <cell r="AP210">
            <v>27.388999999999999</v>
          </cell>
          <cell r="AQ210">
            <v>6.4039999999999999</v>
          </cell>
          <cell r="AR210">
            <v>37.526000000000003</v>
          </cell>
          <cell r="AS210">
            <v>49.658000000000001</v>
          </cell>
          <cell r="AT210">
            <v>62.756999999999998</v>
          </cell>
          <cell r="AU210">
            <v>62.756999999999998</v>
          </cell>
          <cell r="AW210">
            <v>3.1480000000000032</v>
          </cell>
          <cell r="AX210">
            <v>8.6210000000000022</v>
          </cell>
          <cell r="AY210">
            <v>9.7480000000000011</v>
          </cell>
          <cell r="AZ210">
            <v>16.152000000000001</v>
          </cell>
          <cell r="BA210">
            <v>16.152000000000001</v>
          </cell>
          <cell r="BB210">
            <v>31.122000000000003</v>
          </cell>
          <cell r="BC210">
            <v>43.254000000000005</v>
          </cell>
          <cell r="BD210">
            <v>56.353000000000002</v>
          </cell>
          <cell r="BE210">
            <v>87.94</v>
          </cell>
          <cell r="BF210">
            <v>87.94</v>
          </cell>
          <cell r="BG210">
            <v>1.708</v>
          </cell>
          <cell r="BH210">
            <v>5.2</v>
          </cell>
          <cell r="BI210">
            <v>22.02</v>
          </cell>
          <cell r="BJ210">
            <v>22.451000000000001</v>
          </cell>
          <cell r="BK210">
            <v>22.451000000000001</v>
          </cell>
          <cell r="BL210">
            <v>23.018999999999998</v>
          </cell>
          <cell r="BM210">
            <v>24.719000000000001</v>
          </cell>
          <cell r="BN210">
            <v>24.792999999999999</v>
          </cell>
          <cell r="BO210">
            <v>24.792999999999999</v>
          </cell>
          <cell r="BP210">
            <v>24.792999999999999</v>
          </cell>
          <cell r="BQ210">
            <v>0</v>
          </cell>
          <cell r="BR210">
            <v>0</v>
          </cell>
          <cell r="BS210">
            <v>0</v>
          </cell>
          <cell r="BT210">
            <v>0</v>
          </cell>
          <cell r="BU210">
            <v>0</v>
          </cell>
          <cell r="BV210">
            <v>0</v>
          </cell>
          <cell r="BW210">
            <v>0</v>
          </cell>
          <cell r="BX210">
            <v>8.4949999999999992</v>
          </cell>
          <cell r="BY210">
            <v>9.6989999999999998</v>
          </cell>
          <cell r="BZ210">
            <v>9.6989999999999998</v>
          </cell>
          <cell r="CA210">
            <v>3.5609999999999999</v>
          </cell>
          <cell r="CB210">
            <v>5.4619999999999997</v>
          </cell>
          <cell r="CC210">
            <v>5.4619999999999997</v>
          </cell>
          <cell r="CD210">
            <v>7.4690000000000003</v>
          </cell>
          <cell r="CE210">
            <v>7.4690000000000003</v>
          </cell>
          <cell r="CF210">
            <v>5.5570000000000004</v>
          </cell>
          <cell r="CG210">
            <v>14.067</v>
          </cell>
          <cell r="CH210">
            <v>14.067</v>
          </cell>
          <cell r="CI210">
            <v>14.067</v>
          </cell>
          <cell r="CJ210">
            <v>14.067</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row>
        <row r="211">
          <cell r="B211" t="str">
            <v>Purchase of treasury stock, at cost</v>
          </cell>
          <cell r="F211">
            <v>0</v>
          </cell>
          <cell r="G211">
            <v>0</v>
          </cell>
          <cell r="H211">
            <v>0</v>
          </cell>
          <cell r="I211">
            <v>0</v>
          </cell>
          <cell r="J211">
            <v>0</v>
          </cell>
          <cell r="K211">
            <v>0</v>
          </cell>
          <cell r="L211">
            <v>0</v>
          </cell>
          <cell r="M211">
            <v>-8.1010000000000009</v>
          </cell>
          <cell r="N211">
            <v>-8.1010000000000009</v>
          </cell>
          <cell r="O211">
            <v>-8.1010000000000009</v>
          </cell>
          <cell r="P211">
            <v>-69.091999999999999</v>
          </cell>
          <cell r="Q211">
            <v>-69.091999999999999</v>
          </cell>
          <cell r="R211">
            <v>-42.399000000000001</v>
          </cell>
          <cell r="S211">
            <v>-42.399000000000001</v>
          </cell>
          <cell r="T211">
            <v>-42.399000000000001</v>
          </cell>
          <cell r="U211">
            <v>-42.399000000000001</v>
          </cell>
          <cell r="V211">
            <v>-42.399000000000001</v>
          </cell>
          <cell r="W211">
            <v>0</v>
          </cell>
          <cell r="X211">
            <v>0</v>
          </cell>
          <cell r="Y211">
            <v>0</v>
          </cell>
          <cell r="Z211">
            <v>-2.78</v>
          </cell>
          <cell r="AA211">
            <v>-2.78</v>
          </cell>
          <cell r="AB211">
            <v>-86.021000000000001</v>
          </cell>
          <cell r="AC211">
            <v>-126.893</v>
          </cell>
          <cell r="AD211">
            <v>-126.893</v>
          </cell>
          <cell r="AE211">
            <v>-186.38499999999999</v>
          </cell>
          <cell r="AF211">
            <v>-186.38499999999999</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-61.823999999999998</v>
          </cell>
          <cell r="AU211">
            <v>-61.823999999999998</v>
          </cell>
          <cell r="AW211">
            <v>0</v>
          </cell>
          <cell r="AX211">
            <v>0</v>
          </cell>
          <cell r="AY211">
            <v>0</v>
          </cell>
          <cell r="AZ211">
            <v>0</v>
          </cell>
          <cell r="BA211">
            <v>0</v>
          </cell>
          <cell r="BB211">
            <v>0</v>
          </cell>
          <cell r="BC211">
            <v>0</v>
          </cell>
          <cell r="BD211">
            <v>-61.823999999999998</v>
          </cell>
          <cell r="BE211">
            <v>-221.65699999999998</v>
          </cell>
          <cell r="BF211">
            <v>-221.65699999999998</v>
          </cell>
          <cell r="BG211">
            <v>0</v>
          </cell>
          <cell r="BH211">
            <v>-1.181</v>
          </cell>
          <cell r="BI211">
            <v>-24.623999999999999</v>
          </cell>
          <cell r="BJ211">
            <v>-36.762</v>
          </cell>
          <cell r="BK211">
            <v>-36.762</v>
          </cell>
          <cell r="BL211">
            <v>0</v>
          </cell>
          <cell r="BM211">
            <v>0</v>
          </cell>
          <cell r="BN211">
            <v>0</v>
          </cell>
          <cell r="BO211">
            <v>0</v>
          </cell>
          <cell r="BP211">
            <v>0</v>
          </cell>
          <cell r="BQ211">
            <v>0</v>
          </cell>
          <cell r="BR211">
            <v>0</v>
          </cell>
          <cell r="BS211">
            <v>0</v>
          </cell>
          <cell r="BT211">
            <v>0</v>
          </cell>
          <cell r="BU211">
            <v>0</v>
          </cell>
          <cell r="BV211">
            <v>0</v>
          </cell>
          <cell r="BW211">
            <v>0</v>
          </cell>
          <cell r="BX211">
            <v>0</v>
          </cell>
          <cell r="BY211">
            <v>0</v>
          </cell>
          <cell r="BZ211">
            <v>0</v>
          </cell>
          <cell r="CA211">
            <v>0</v>
          </cell>
          <cell r="CB211">
            <v>0</v>
          </cell>
          <cell r="CC211">
            <v>0</v>
          </cell>
          <cell r="CD211">
            <v>0</v>
          </cell>
          <cell r="CE211">
            <v>0</v>
          </cell>
          <cell r="CF211">
            <v>0</v>
          </cell>
          <cell r="CG211">
            <v>0</v>
          </cell>
          <cell r="CH211">
            <v>0</v>
          </cell>
          <cell r="CI211">
            <v>0</v>
          </cell>
          <cell r="CJ211">
            <v>0</v>
          </cell>
          <cell r="CK211">
            <v>0</v>
          </cell>
          <cell r="CL211">
            <v>0</v>
          </cell>
          <cell r="CM211">
            <v>0</v>
          </cell>
          <cell r="CN211">
            <v>0</v>
          </cell>
          <cell r="CO211">
            <v>0</v>
          </cell>
          <cell r="CP211">
            <v>0</v>
          </cell>
          <cell r="CQ211">
            <v>0</v>
          </cell>
          <cell r="CR211">
            <v>0</v>
          </cell>
          <cell r="CS211">
            <v>0</v>
          </cell>
          <cell r="CT211">
            <v>0</v>
          </cell>
          <cell r="CU211">
            <v>0</v>
          </cell>
          <cell r="CV211">
            <v>0</v>
          </cell>
          <cell r="CW211">
            <v>0</v>
          </cell>
          <cell r="CX211">
            <v>0</v>
          </cell>
          <cell r="CY211">
            <v>0</v>
          </cell>
          <cell r="CZ211">
            <v>0</v>
          </cell>
          <cell r="DA211">
            <v>0</v>
          </cell>
          <cell r="DB211">
            <v>0</v>
          </cell>
          <cell r="DC211">
            <v>0</v>
          </cell>
          <cell r="DD211">
            <v>0</v>
          </cell>
          <cell r="DE211">
            <v>0</v>
          </cell>
          <cell r="DF211">
            <v>0</v>
          </cell>
          <cell r="DG211">
            <v>0</v>
          </cell>
          <cell r="DH211">
            <v>0</v>
          </cell>
          <cell r="DI211">
            <v>0</v>
          </cell>
        </row>
        <row r="212">
          <cell r="B212" t="str">
            <v>Investments of minority partners</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7.6989999999999998</v>
          </cell>
          <cell r="BM212">
            <v>8.4559999999999995</v>
          </cell>
          <cell r="BN212">
            <v>8.3689999999999998</v>
          </cell>
          <cell r="BO212">
            <v>8.3689999999999998</v>
          </cell>
          <cell r="BP212">
            <v>8.3689999999999998</v>
          </cell>
          <cell r="BQ212">
            <v>302.87799999999999</v>
          </cell>
          <cell r="BR212">
            <v>302.93799999999999</v>
          </cell>
          <cell r="BS212">
            <v>322.48500000000001</v>
          </cell>
          <cell r="BT212">
            <v>327.65499999999997</v>
          </cell>
          <cell r="BU212">
            <v>327.65499999999997</v>
          </cell>
          <cell r="BV212">
            <v>2.63</v>
          </cell>
          <cell r="BW212">
            <v>10.028</v>
          </cell>
          <cell r="BX212">
            <v>21.212000000000003</v>
          </cell>
          <cell r="BY212">
            <v>54.795999999999992</v>
          </cell>
          <cell r="BZ212">
            <v>54.795999999999992</v>
          </cell>
          <cell r="CA212">
            <v>2.5470000000000002</v>
          </cell>
          <cell r="CB212">
            <v>2.5470000000000002</v>
          </cell>
          <cell r="CC212">
            <v>2.5470000000000002</v>
          </cell>
          <cell r="CD212">
            <v>2.5470000000000002</v>
          </cell>
          <cell r="CE212">
            <v>2.5470000000000002</v>
          </cell>
          <cell r="CF212">
            <v>0</v>
          </cell>
          <cell r="CG212">
            <v>0</v>
          </cell>
          <cell r="CH212">
            <v>0</v>
          </cell>
          <cell r="CI212">
            <v>0</v>
          </cell>
          <cell r="CJ212">
            <v>0</v>
          </cell>
          <cell r="CK212">
            <v>1.786</v>
          </cell>
          <cell r="CL212">
            <v>3.5910000000000002</v>
          </cell>
          <cell r="CM212">
            <v>3.5910000000000002</v>
          </cell>
          <cell r="CN212">
            <v>3.5910000000000002</v>
          </cell>
          <cell r="CO212">
            <v>3.5910000000000002</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row>
        <row r="213">
          <cell r="B213" t="str">
            <v>Cash distributions to minority shareholders</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-0.66700000000000004</v>
          </cell>
          <cell r="AT213">
            <v>-0.66700000000000004</v>
          </cell>
          <cell r="AU213">
            <v>-0.66700000000000004</v>
          </cell>
          <cell r="AW213">
            <v>0</v>
          </cell>
          <cell r="AX213">
            <v>0</v>
          </cell>
          <cell r="AY213">
            <v>0</v>
          </cell>
          <cell r="AZ213">
            <v>0</v>
          </cell>
          <cell r="BA213">
            <v>0</v>
          </cell>
          <cell r="BB213">
            <v>0</v>
          </cell>
          <cell r="BC213">
            <v>-0.66700000000000004</v>
          </cell>
          <cell r="BD213">
            <v>-0.66700000000000004</v>
          </cell>
          <cell r="BE213">
            <v>-0.66700000000000004</v>
          </cell>
          <cell r="BF213">
            <v>-0.66700000000000004</v>
          </cell>
          <cell r="BG213">
            <v>-1.8959999999999999</v>
          </cell>
          <cell r="BH213">
            <v>-1.8959999999999999</v>
          </cell>
          <cell r="BI213">
            <v>-1.8959999999999999</v>
          </cell>
          <cell r="BJ213">
            <v>-1.776</v>
          </cell>
          <cell r="BK213">
            <v>-1.776</v>
          </cell>
          <cell r="BL213">
            <v>-0.124</v>
          </cell>
          <cell r="BM213">
            <v>-2.4969999999999999</v>
          </cell>
          <cell r="BN213">
            <v>-2.8740000000000001</v>
          </cell>
          <cell r="BO213">
            <v>-3.0249999999999999</v>
          </cell>
          <cell r="BP213">
            <v>-3.0249999999999999</v>
          </cell>
          <cell r="BQ213">
            <v>-1.8029999999999999</v>
          </cell>
          <cell r="BR213">
            <v>-2.2869999999999999</v>
          </cell>
          <cell r="BS213">
            <v>-2.891</v>
          </cell>
          <cell r="BT213">
            <v>-4.2850000000000001</v>
          </cell>
          <cell r="BU213">
            <v>-4.2850000000000001</v>
          </cell>
          <cell r="BV213">
            <v>-12.695</v>
          </cell>
          <cell r="BW213">
            <v>-14.878</v>
          </cell>
          <cell r="BX213">
            <v>-17.884</v>
          </cell>
          <cell r="BY213">
            <v>-35.377000000000002</v>
          </cell>
          <cell r="BZ213">
            <v>-35.377000000000002</v>
          </cell>
          <cell r="CA213">
            <v>-5.407</v>
          </cell>
          <cell r="CB213">
            <v>-9.8659999999999997</v>
          </cell>
          <cell r="CC213">
            <v>-14.978</v>
          </cell>
          <cell r="CD213">
            <v>-20.63</v>
          </cell>
          <cell r="CE213">
            <v>-20.63</v>
          </cell>
          <cell r="CF213">
            <v>-4.5460000000000003</v>
          </cell>
          <cell r="CG213">
            <v>-16.285</v>
          </cell>
          <cell r="CH213">
            <v>-21.827999999999999</v>
          </cell>
          <cell r="CI213">
            <v>-28.283999999999999</v>
          </cell>
          <cell r="CJ213">
            <v>-28.283999999999999</v>
          </cell>
          <cell r="CK213">
            <v>-17.885999999999999</v>
          </cell>
          <cell r="CL213">
            <v>-23.280999999999999</v>
          </cell>
          <cell r="CM213">
            <v>-30.815000000000001</v>
          </cell>
          <cell r="CN213">
            <v>-30.815000000000001</v>
          </cell>
          <cell r="CO213">
            <v>-30.815000000000001</v>
          </cell>
          <cell r="CP213">
            <v>-10</v>
          </cell>
          <cell r="CQ213">
            <v>-20</v>
          </cell>
          <cell r="CR213">
            <v>-30</v>
          </cell>
          <cell r="CS213">
            <v>-40</v>
          </cell>
          <cell r="CT213">
            <v>-40</v>
          </cell>
          <cell r="CU213">
            <v>-10</v>
          </cell>
          <cell r="CV213">
            <v>-20</v>
          </cell>
          <cell r="CW213">
            <v>-30</v>
          </cell>
          <cell r="CX213">
            <v>-40</v>
          </cell>
          <cell r="CY213">
            <v>-40</v>
          </cell>
          <cell r="CZ213">
            <v>-10</v>
          </cell>
          <cell r="DA213">
            <v>-20</v>
          </cell>
          <cell r="DB213">
            <v>-30</v>
          </cell>
          <cell r="DC213">
            <v>-40</v>
          </cell>
          <cell r="DD213">
            <v>-40</v>
          </cell>
          <cell r="DE213">
            <v>-10</v>
          </cell>
          <cell r="DF213">
            <v>-20</v>
          </cell>
          <cell r="DG213">
            <v>-30</v>
          </cell>
          <cell r="DH213">
            <v>-40</v>
          </cell>
          <cell r="DI213">
            <v>-40</v>
          </cell>
        </row>
        <row r="214">
          <cell r="B214" t="str">
            <v>Proceeds from sale of equity put options</v>
          </cell>
          <cell r="F214">
            <v>0</v>
          </cell>
          <cell r="G214">
            <v>0</v>
          </cell>
          <cell r="H214">
            <v>0</v>
          </cell>
          <cell r="I214">
            <v>0</v>
          </cell>
          <cell r="J214">
            <v>0</v>
          </cell>
          <cell r="K214">
            <v>0</v>
          </cell>
          <cell r="L214">
            <v>2.09</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cell r="CI214">
            <v>0</v>
          </cell>
          <cell r="CJ214">
            <v>0</v>
          </cell>
          <cell r="CK214">
            <v>0</v>
          </cell>
          <cell r="CL214">
            <v>0</v>
          </cell>
          <cell r="CM214">
            <v>0</v>
          </cell>
          <cell r="CN214">
            <v>0</v>
          </cell>
          <cell r="CO214">
            <v>0</v>
          </cell>
          <cell r="CP214">
            <v>0</v>
          </cell>
          <cell r="CQ214">
            <v>0</v>
          </cell>
          <cell r="CR214">
            <v>0</v>
          </cell>
          <cell r="CS214">
            <v>0</v>
          </cell>
          <cell r="CT214">
            <v>0</v>
          </cell>
          <cell r="CU214">
            <v>0</v>
          </cell>
          <cell r="CV214">
            <v>0</v>
          </cell>
          <cell r="CW214">
            <v>0</v>
          </cell>
          <cell r="CX214">
            <v>0</v>
          </cell>
          <cell r="CY214">
            <v>0</v>
          </cell>
          <cell r="CZ214">
            <v>0</v>
          </cell>
          <cell r="DA214">
            <v>0</v>
          </cell>
          <cell r="DB214">
            <v>0</v>
          </cell>
          <cell r="DC214">
            <v>0</v>
          </cell>
          <cell r="DD214">
            <v>0</v>
          </cell>
          <cell r="DE214">
            <v>0</v>
          </cell>
          <cell r="DF214">
            <v>0</v>
          </cell>
          <cell r="DG214">
            <v>0</v>
          </cell>
          <cell r="DH214">
            <v>0</v>
          </cell>
          <cell r="DI214">
            <v>0</v>
          </cell>
        </row>
        <row r="215">
          <cell r="B215" t="str">
            <v>Payment of interest on debentures</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-1.222</v>
          </cell>
          <cell r="AA215">
            <v>-1.222</v>
          </cell>
          <cell r="AB215">
            <v>0</v>
          </cell>
          <cell r="AC215">
            <v>0</v>
          </cell>
          <cell r="AD215">
            <v>0</v>
          </cell>
          <cell r="AE215">
            <v>-1.222</v>
          </cell>
          <cell r="AF215">
            <v>-1.222</v>
          </cell>
          <cell r="AG215">
            <v>0</v>
          </cell>
          <cell r="AH215">
            <v>0</v>
          </cell>
          <cell r="AI215">
            <v>0</v>
          </cell>
          <cell r="AJ215">
            <v>-1.222</v>
          </cell>
          <cell r="AK215">
            <v>-1.222</v>
          </cell>
          <cell r="AL215">
            <v>0</v>
          </cell>
          <cell r="AM215">
            <v>0</v>
          </cell>
          <cell r="AN215">
            <v>0</v>
          </cell>
          <cell r="AO215">
            <v>0</v>
          </cell>
          <cell r="AP215">
            <v>0</v>
          </cell>
          <cell r="AQ215">
            <v>0</v>
          </cell>
          <cell r="AR215">
            <v>0</v>
          </cell>
          <cell r="AS215">
            <v>0</v>
          </cell>
          <cell r="AT215">
            <v>0</v>
          </cell>
          <cell r="AU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cell r="CI215">
            <v>0</v>
          </cell>
          <cell r="CJ215">
            <v>0</v>
          </cell>
          <cell r="CK215">
            <v>0</v>
          </cell>
          <cell r="CL215">
            <v>0</v>
          </cell>
          <cell r="CM215">
            <v>0</v>
          </cell>
          <cell r="CN215">
            <v>0</v>
          </cell>
          <cell r="CO215">
            <v>0</v>
          </cell>
          <cell r="CP215">
            <v>0</v>
          </cell>
          <cell r="CQ215">
            <v>0</v>
          </cell>
          <cell r="CR215">
            <v>0</v>
          </cell>
          <cell r="CS215">
            <v>0</v>
          </cell>
          <cell r="CT215">
            <v>0</v>
          </cell>
          <cell r="CU215">
            <v>0</v>
          </cell>
          <cell r="CV215">
            <v>0</v>
          </cell>
          <cell r="CW215">
            <v>0</v>
          </cell>
          <cell r="CX215">
            <v>0</v>
          </cell>
          <cell r="CY215">
            <v>0</v>
          </cell>
          <cell r="CZ215">
            <v>0</v>
          </cell>
          <cell r="DA215">
            <v>0</v>
          </cell>
          <cell r="DB215">
            <v>0</v>
          </cell>
          <cell r="DC215">
            <v>0</v>
          </cell>
          <cell r="DD215">
            <v>0</v>
          </cell>
          <cell r="DE215">
            <v>0</v>
          </cell>
          <cell r="DF215">
            <v>0</v>
          </cell>
          <cell r="DG215">
            <v>0</v>
          </cell>
          <cell r="DH215">
            <v>0</v>
          </cell>
          <cell r="DI215">
            <v>0</v>
          </cell>
        </row>
        <row r="216">
          <cell r="B216" t="str">
            <v>Payment of financing costs</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-1.4650000000000001</v>
          </cell>
          <cell r="AR216">
            <v>-1.4650000000000001</v>
          </cell>
          <cell r="AS216">
            <v>-3.5009999999999994</v>
          </cell>
          <cell r="AT216">
            <v>-3.4980000000000002</v>
          </cell>
          <cell r="AU216">
            <v>-3.4980000000000002</v>
          </cell>
          <cell r="AW216">
            <v>0</v>
          </cell>
          <cell r="AX216">
            <v>0</v>
          </cell>
          <cell r="AY216">
            <v>0</v>
          </cell>
          <cell r="AZ216">
            <v>-1.4650000000000001</v>
          </cell>
          <cell r="BA216">
            <v>-1.4650000000000001</v>
          </cell>
          <cell r="BB216">
            <v>0</v>
          </cell>
          <cell r="BC216">
            <v>-2.0359999999999996</v>
          </cell>
          <cell r="BD216">
            <v>-2.0330000000000004</v>
          </cell>
          <cell r="BE216">
            <v>-2.0330000000000004</v>
          </cell>
          <cell r="BF216">
            <v>-2.0330000000000004</v>
          </cell>
          <cell r="BG216">
            <v>0</v>
          </cell>
          <cell r="BH216">
            <v>-0.49399999999999999</v>
          </cell>
          <cell r="BI216">
            <v>-3.4889999999999999</v>
          </cell>
          <cell r="BJ216">
            <v>-3.5679999999999996</v>
          </cell>
          <cell r="BK216">
            <v>-3.5679999999999996</v>
          </cell>
          <cell r="BL216">
            <v>-1.855</v>
          </cell>
          <cell r="BM216">
            <v>-3.2770000000000001</v>
          </cell>
          <cell r="BN216">
            <v>-3.2770000000000001</v>
          </cell>
          <cell r="BO216">
            <v>-3.2770000000000001</v>
          </cell>
          <cell r="BP216">
            <v>-3.2770000000000001</v>
          </cell>
          <cell r="BQ216">
            <v>0</v>
          </cell>
          <cell r="BR216">
            <v>-8.7999999999999995E-2</v>
          </cell>
          <cell r="BS216">
            <v>-0.35</v>
          </cell>
          <cell r="BT216">
            <v>-0.35</v>
          </cell>
          <cell r="BU216">
            <v>-0.35</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row>
        <row r="217">
          <cell r="B217" t="str">
            <v>Decrease (increase) in funds held by trustee</v>
          </cell>
          <cell r="F217">
            <v>0.93</v>
          </cell>
          <cell r="G217">
            <v>3.5000000000000003E-2</v>
          </cell>
          <cell r="H217">
            <v>-0.16900000000000001</v>
          </cell>
          <cell r="I217">
            <v>-0.183</v>
          </cell>
          <cell r="J217">
            <v>-0.86099999999999999</v>
          </cell>
          <cell r="K217">
            <v>0.24299999999999999</v>
          </cell>
          <cell r="L217">
            <v>-3.2210000000000001</v>
          </cell>
          <cell r="M217">
            <v>-0.151</v>
          </cell>
          <cell r="N217">
            <v>-0.60599999999999998</v>
          </cell>
          <cell r="O217">
            <v>-0.93200000000000005</v>
          </cell>
          <cell r="P217">
            <v>-0.18299999999999994</v>
          </cell>
          <cell r="Q217">
            <v>-0.18299999999999994</v>
          </cell>
          <cell r="R217">
            <v>-0.308</v>
          </cell>
          <cell r="S217">
            <v>0.7629999999999999</v>
          </cell>
          <cell r="T217">
            <v>0.8859999999999999</v>
          </cell>
          <cell r="U217">
            <v>1.3280000000000001</v>
          </cell>
          <cell r="V217">
            <v>1.3280000000000001</v>
          </cell>
          <cell r="W217">
            <v>0.13300000000000001</v>
          </cell>
          <cell r="X217">
            <v>-0.19500000000000001</v>
          </cell>
          <cell r="Y217">
            <v>-0.41599999999999998</v>
          </cell>
          <cell r="Z217">
            <v>0.88400000000000012</v>
          </cell>
          <cell r="AA217">
            <v>0.88400000000000012</v>
          </cell>
          <cell r="AB217">
            <v>-1.034</v>
          </cell>
          <cell r="AC217">
            <v>-2.23</v>
          </cell>
          <cell r="AD217">
            <v>-0.30400000000000005</v>
          </cell>
          <cell r="AE217">
            <v>-0.3949999999999998</v>
          </cell>
          <cell r="AF217">
            <v>-0.3949999999999998</v>
          </cell>
          <cell r="AG217">
            <v>-0.753</v>
          </cell>
          <cell r="AH217">
            <v>-1.1879999999999999</v>
          </cell>
          <cell r="AI217">
            <v>1.4999999999999902E-2</v>
          </cell>
          <cell r="AJ217">
            <v>0</v>
          </cell>
          <cell r="AK217">
            <v>0</v>
          </cell>
          <cell r="AL217">
            <v>0</v>
          </cell>
          <cell r="AM217">
            <v>0</v>
          </cell>
          <cell r="AN217">
            <v>0</v>
          </cell>
          <cell r="AO217">
            <v>-39.4</v>
          </cell>
          <cell r="AP217">
            <v>-39.4</v>
          </cell>
          <cell r="AQ217">
            <v>-10.901999999999999</v>
          </cell>
          <cell r="AR217">
            <v>-18.248999999999999</v>
          </cell>
          <cell r="AS217">
            <v>-21.460999999999999</v>
          </cell>
          <cell r="AT217">
            <v>0</v>
          </cell>
          <cell r="AU217">
            <v>0</v>
          </cell>
          <cell r="AW217">
            <v>0</v>
          </cell>
          <cell r="AX217">
            <v>0</v>
          </cell>
          <cell r="AY217">
            <v>-39.4</v>
          </cell>
          <cell r="AZ217">
            <v>-50.302</v>
          </cell>
          <cell r="BA217">
            <v>-50.302</v>
          </cell>
          <cell r="BB217">
            <v>-7.3469999999999995</v>
          </cell>
          <cell r="BC217">
            <v>-10.558999999999999</v>
          </cell>
          <cell r="BD217">
            <v>10.901999999999999</v>
          </cell>
          <cell r="BE217">
            <v>10.901999999999999</v>
          </cell>
          <cell r="BF217">
            <v>10.901999999999999</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0</v>
          </cell>
          <cell r="DI217">
            <v>0</v>
          </cell>
        </row>
        <row r="218">
          <cell r="B218" t="str">
            <v>Payment of dividends</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-4.8630000000000004</v>
          </cell>
          <cell r="AH218">
            <v>-9.7360000000000007</v>
          </cell>
          <cell r="AI218">
            <v>-14.608000000000001</v>
          </cell>
          <cell r="AJ218">
            <v>-19.684999999999999</v>
          </cell>
          <cell r="AK218">
            <v>-19.684999999999999</v>
          </cell>
          <cell r="AL218">
            <v>-4.9039999999999999</v>
          </cell>
          <cell r="AM218">
            <v>-9.8610000000000007</v>
          </cell>
          <cell r="AN218">
            <v>-14.821999999999999</v>
          </cell>
          <cell r="AO218">
            <v>-19.789000000000001</v>
          </cell>
          <cell r="AP218">
            <v>-19.789000000000001</v>
          </cell>
          <cell r="AQ218">
            <v>-9.9390000000000001</v>
          </cell>
          <cell r="AR218">
            <v>-18.902999999999999</v>
          </cell>
          <cell r="AS218">
            <v>-28.771000000000001</v>
          </cell>
          <cell r="AT218">
            <v>-38.631999999999998</v>
          </cell>
          <cell r="AU218">
            <v>-38.631999999999998</v>
          </cell>
          <cell r="AW218">
            <v>-4.9570000000000007</v>
          </cell>
          <cell r="AX218">
            <v>-9.9179999999999993</v>
          </cell>
          <cell r="AY218">
            <v>-14.885000000000002</v>
          </cell>
          <cell r="AZ218">
            <v>-24.824000000000002</v>
          </cell>
          <cell r="BA218">
            <v>-24.824000000000002</v>
          </cell>
          <cell r="BB218">
            <v>-8.9639999999999986</v>
          </cell>
          <cell r="BC218">
            <v>-18.832000000000001</v>
          </cell>
          <cell r="BD218">
            <v>-28.692999999999998</v>
          </cell>
          <cell r="BE218">
            <v>-43.418999999999997</v>
          </cell>
          <cell r="BF218">
            <v>-43.418999999999997</v>
          </cell>
          <cell r="BG218">
            <v>-14.436999999999999</v>
          </cell>
          <cell r="BH218">
            <v>-28.88</v>
          </cell>
          <cell r="BI218">
            <v>-43.337000000000003</v>
          </cell>
          <cell r="BJ218">
            <v>-57.877000000000002</v>
          </cell>
          <cell r="BK218">
            <v>-57.877000000000002</v>
          </cell>
          <cell r="BL218">
            <v>-2425.2170000000001</v>
          </cell>
          <cell r="BM218">
            <v>-2425.2170000000001</v>
          </cell>
          <cell r="BN218">
            <v>-2425.2170000000001</v>
          </cell>
          <cell r="BO218">
            <v>-2425.2170000000001</v>
          </cell>
          <cell r="BP218">
            <v>-2425.2170000000001</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row>
        <row r="219">
          <cell r="B219" t="str">
            <v>Equity comp excess tax benefit</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W219">
            <v>0</v>
          </cell>
          <cell r="AX219">
            <v>0</v>
          </cell>
          <cell r="AY219">
            <v>0</v>
          </cell>
          <cell r="AZ219">
            <v>0</v>
          </cell>
          <cell r="BA219">
            <v>0</v>
          </cell>
          <cell r="BB219">
            <v>0</v>
          </cell>
          <cell r="BC219">
            <v>0</v>
          </cell>
          <cell r="BD219">
            <v>0</v>
          </cell>
          <cell r="BE219">
            <v>0.80800000000000005</v>
          </cell>
          <cell r="BF219">
            <v>0.80800000000000005</v>
          </cell>
          <cell r="BG219">
            <v>1.9E-2</v>
          </cell>
          <cell r="BH219">
            <v>3.7999999999999999E-2</v>
          </cell>
          <cell r="BI219">
            <v>1.3480000000000003</v>
          </cell>
          <cell r="BJ219">
            <v>1.369</v>
          </cell>
          <cell r="BK219">
            <v>1.369</v>
          </cell>
          <cell r="BL219">
            <v>0.23100000000000001</v>
          </cell>
          <cell r="BM219">
            <v>0.27300000000000002</v>
          </cell>
          <cell r="BN219">
            <v>0.27300000000000002</v>
          </cell>
          <cell r="BO219">
            <v>0.27300000000000002</v>
          </cell>
          <cell r="BP219">
            <v>0.27300000000000002</v>
          </cell>
          <cell r="BQ219">
            <v>0</v>
          </cell>
          <cell r="BR219">
            <v>0</v>
          </cell>
          <cell r="BS219">
            <v>0</v>
          </cell>
          <cell r="BT219">
            <v>0</v>
          </cell>
          <cell r="BU219">
            <v>0</v>
          </cell>
          <cell r="BV219">
            <v>0.14399999999999999</v>
          </cell>
          <cell r="BW219">
            <v>0.14399999999999999</v>
          </cell>
          <cell r="BX219">
            <v>0.14899999999999999</v>
          </cell>
          <cell r="BY219">
            <v>0.218</v>
          </cell>
          <cell r="BZ219">
            <v>0.218</v>
          </cell>
          <cell r="CA219">
            <v>1.1000000000000001</v>
          </cell>
          <cell r="CB219">
            <v>1.1120000000000001</v>
          </cell>
          <cell r="CC219">
            <v>1.1120000000000001</v>
          </cell>
          <cell r="CD219">
            <v>1.278</v>
          </cell>
          <cell r="CE219">
            <v>1.278</v>
          </cell>
          <cell r="CF219">
            <v>2.8969999999999998</v>
          </cell>
          <cell r="CG219">
            <v>2.919</v>
          </cell>
          <cell r="CH219">
            <v>2.919</v>
          </cell>
          <cell r="CI219">
            <v>2.9990000000000001</v>
          </cell>
          <cell r="CJ219">
            <v>2.9990000000000001</v>
          </cell>
          <cell r="CK219">
            <v>1.4</v>
          </cell>
          <cell r="CL219">
            <v>1.407</v>
          </cell>
          <cell r="CM219">
            <v>1.444</v>
          </cell>
          <cell r="CN219">
            <v>1.444</v>
          </cell>
          <cell r="CO219">
            <v>1.444</v>
          </cell>
          <cell r="CP219">
            <v>0</v>
          </cell>
          <cell r="CQ219">
            <v>0</v>
          </cell>
          <cell r="CR219">
            <v>0</v>
          </cell>
          <cell r="CS219">
            <v>0</v>
          </cell>
          <cell r="CT219">
            <v>0</v>
          </cell>
          <cell r="CU219">
            <v>0</v>
          </cell>
          <cell r="CV219">
            <v>0</v>
          </cell>
          <cell r="CW219">
            <v>0</v>
          </cell>
          <cell r="CX219">
            <v>0</v>
          </cell>
          <cell r="CY219">
            <v>0</v>
          </cell>
          <cell r="CZ219">
            <v>0</v>
          </cell>
          <cell r="DA219">
            <v>0</v>
          </cell>
          <cell r="DB219">
            <v>0</v>
          </cell>
          <cell r="DC219">
            <v>0</v>
          </cell>
          <cell r="DD219">
            <v>0</v>
          </cell>
          <cell r="DE219">
            <v>0</v>
          </cell>
          <cell r="DF219">
            <v>0</v>
          </cell>
          <cell r="DG219">
            <v>0</v>
          </cell>
          <cell r="DH219">
            <v>0</v>
          </cell>
          <cell r="DI219">
            <v>0</v>
          </cell>
        </row>
        <row r="220">
          <cell r="B220" t="str">
            <v>Other</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-16</v>
          </cell>
          <cell r="AU220">
            <v>-16</v>
          </cell>
          <cell r="AW220">
            <v>0</v>
          </cell>
          <cell r="AX220">
            <v>0</v>
          </cell>
          <cell r="AY220">
            <v>0</v>
          </cell>
          <cell r="AZ220">
            <v>0</v>
          </cell>
          <cell r="BA220">
            <v>0</v>
          </cell>
          <cell r="BB220">
            <v>0</v>
          </cell>
          <cell r="BC220">
            <v>0</v>
          </cell>
          <cell r="BD220">
            <v>-16</v>
          </cell>
          <cell r="BE220">
            <v>-16</v>
          </cell>
          <cell r="BF220">
            <v>-16</v>
          </cell>
          <cell r="BG220">
            <v>0</v>
          </cell>
          <cell r="BH220">
            <v>0</v>
          </cell>
          <cell r="BI220">
            <v>-67.349999999999994</v>
          </cell>
          <cell r="BJ220">
            <v>-67.349999999999994</v>
          </cell>
          <cell r="BK220">
            <v>-67.349999999999994</v>
          </cell>
          <cell r="BL220">
            <v>0</v>
          </cell>
          <cell r="BM220">
            <v>0</v>
          </cell>
          <cell r="BN220">
            <v>0.216</v>
          </cell>
          <cell r="BO220">
            <v>0.216</v>
          </cell>
          <cell r="BP220">
            <v>0.216</v>
          </cell>
          <cell r="BQ220">
            <v>0</v>
          </cell>
          <cell r="BR220">
            <v>0</v>
          </cell>
          <cell r="BS220">
            <v>0</v>
          </cell>
          <cell r="BT220">
            <v>0</v>
          </cell>
          <cell r="BU220">
            <v>0</v>
          </cell>
          <cell r="BV220">
            <v>-59.338000000000001</v>
          </cell>
          <cell r="BW220">
            <v>-59.338000000000001</v>
          </cell>
          <cell r="BX220">
            <v>-67.713999999999999</v>
          </cell>
          <cell r="BY220">
            <v>-67.713999999999999</v>
          </cell>
          <cell r="BZ220">
            <v>-67.713999999999999</v>
          </cell>
          <cell r="CA220">
            <v>0</v>
          </cell>
          <cell r="CB220">
            <v>0</v>
          </cell>
          <cell r="CC220">
            <v>0</v>
          </cell>
          <cell r="CD220">
            <v>0</v>
          </cell>
          <cell r="CE220">
            <v>0</v>
          </cell>
          <cell r="CF220">
            <v>0</v>
          </cell>
          <cell r="CG220">
            <v>0</v>
          </cell>
          <cell r="CH220">
            <v>-10.625</v>
          </cell>
          <cell r="CI220">
            <v>-75.149000000000001</v>
          </cell>
          <cell r="CJ220">
            <v>-75.149000000000001</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row>
        <row r="221">
          <cell r="B221" t="str">
            <v>Cash Flow from Financing</v>
          </cell>
          <cell r="F221">
            <v>-7.8060000000000045</v>
          </cell>
          <cell r="G221">
            <v>40.411999999999992</v>
          </cell>
          <cell r="H221">
            <v>7.4539999999999997</v>
          </cell>
          <cell r="I221">
            <v>-11.439</v>
          </cell>
          <cell r="J221">
            <v>2.1280000000000001</v>
          </cell>
          <cell r="K221">
            <v>14.301</v>
          </cell>
          <cell r="L221">
            <v>60.720999999999989</v>
          </cell>
          <cell r="M221">
            <v>-13.316000000000001</v>
          </cell>
          <cell r="N221">
            <v>-15.396000000000001</v>
          </cell>
          <cell r="O221">
            <v>136.19799999999998</v>
          </cell>
          <cell r="P221">
            <v>175.14000000000001</v>
          </cell>
          <cell r="Q221">
            <v>175.14000000000001</v>
          </cell>
          <cell r="R221">
            <v>2.470000000000006</v>
          </cell>
          <cell r="S221">
            <v>-5.1669999999999998</v>
          </cell>
          <cell r="T221">
            <v>20.688999999999997</v>
          </cell>
          <cell r="U221">
            <v>77.546999999999983</v>
          </cell>
          <cell r="V221">
            <v>77.546999999999983</v>
          </cell>
          <cell r="W221">
            <v>-23.722999999999995</v>
          </cell>
          <cell r="X221">
            <v>-39.155000000000001</v>
          </cell>
          <cell r="Y221">
            <v>-54.957000000000001</v>
          </cell>
          <cell r="Z221">
            <v>-65.240000000000023</v>
          </cell>
          <cell r="AA221">
            <v>-65.240000000000023</v>
          </cell>
          <cell r="AB221">
            <v>86.504999999999995</v>
          </cell>
          <cell r="AC221">
            <v>73.821999999999989</v>
          </cell>
          <cell r="AD221">
            <v>72.436999999999983</v>
          </cell>
          <cell r="AE221">
            <v>42.48899999999999</v>
          </cell>
          <cell r="AF221">
            <v>42.48899999999999</v>
          </cell>
          <cell r="AG221">
            <v>-3.4580000000000006</v>
          </cell>
          <cell r="AH221">
            <v>-7.6110000000000007</v>
          </cell>
          <cell r="AI221">
            <v>0.6330000000000009</v>
          </cell>
          <cell r="AJ221">
            <v>257.84399999999988</v>
          </cell>
          <cell r="AK221">
            <v>257.84399999999988</v>
          </cell>
          <cell r="AL221">
            <v>213.50399999999999</v>
          </cell>
          <cell r="AM221">
            <v>188.53399999999999</v>
          </cell>
          <cell r="AN221">
            <v>109.63900000000001</v>
          </cell>
          <cell r="AO221">
            <v>-31.094000000000051</v>
          </cell>
          <cell r="AP221">
            <v>-31.094000000000051</v>
          </cell>
          <cell r="AQ221">
            <v>-13.630999999999998</v>
          </cell>
          <cell r="AR221">
            <v>167.89300000000006</v>
          </cell>
          <cell r="AS221">
            <v>74.320000000000022</v>
          </cell>
          <cell r="AT221">
            <v>-12.426000000000045</v>
          </cell>
          <cell r="AU221">
            <v>-12.426000000000045</v>
          </cell>
          <cell r="AW221">
            <v>-24.97</v>
          </cell>
          <cell r="AX221">
            <v>-103.86499999999998</v>
          </cell>
          <cell r="AY221">
            <v>-244.59800000000004</v>
          </cell>
          <cell r="AZ221">
            <v>-258.22900000000004</v>
          </cell>
          <cell r="BA221">
            <v>-258.22900000000004</v>
          </cell>
          <cell r="BB221">
            <v>181.52400000000003</v>
          </cell>
          <cell r="BC221">
            <v>87.951000000000022</v>
          </cell>
          <cell r="BD221">
            <v>1.2049999999999841</v>
          </cell>
          <cell r="BE221">
            <v>52.86899999999995</v>
          </cell>
          <cell r="BF221">
            <v>52.86899999999995</v>
          </cell>
          <cell r="BG221">
            <v>-8.6159999999999908</v>
          </cell>
          <cell r="BH221">
            <v>119.60099999999996</v>
          </cell>
          <cell r="BI221">
            <v>-8.9059999999999633</v>
          </cell>
          <cell r="BJ221">
            <v>-20.038000000000007</v>
          </cell>
          <cell r="BK221">
            <v>-20.038000000000007</v>
          </cell>
          <cell r="BL221">
            <v>9.8769999999997307</v>
          </cell>
          <cell r="BM221">
            <v>-4.5849999999997202</v>
          </cell>
          <cell r="BN221">
            <v>-15.611999999999659</v>
          </cell>
          <cell r="BO221">
            <v>-34.847000000000051</v>
          </cell>
          <cell r="BP221">
            <v>-34.847000000000051</v>
          </cell>
          <cell r="BQ221">
            <v>238.98</v>
          </cell>
          <cell r="BR221">
            <v>106.81799999999998</v>
          </cell>
          <cell r="BS221">
            <v>-168.57899999999995</v>
          </cell>
          <cell r="BT221">
            <v>-199.43900000000008</v>
          </cell>
          <cell r="BU221">
            <v>-199.43900000000008</v>
          </cell>
          <cell r="BV221">
            <v>-98.367000000000004</v>
          </cell>
          <cell r="BW221">
            <v>-132.048</v>
          </cell>
          <cell r="BX221">
            <v>-134.584</v>
          </cell>
          <cell r="BY221">
            <v>-127.59600000000002</v>
          </cell>
          <cell r="BZ221">
            <v>-127.59600000000002</v>
          </cell>
          <cell r="CA221">
            <v>-7.6440000000000001</v>
          </cell>
          <cell r="CB221">
            <v>-20.737000000000002</v>
          </cell>
          <cell r="CC221">
            <v>-36.21</v>
          </cell>
          <cell r="CD221">
            <v>-49.482999999999997</v>
          </cell>
          <cell r="CE221">
            <v>-49.482999999999997</v>
          </cell>
          <cell r="CF221">
            <v>-5.1100000000000012</v>
          </cell>
          <cell r="CG221">
            <v>-19.04</v>
          </cell>
          <cell r="CH221">
            <v>321.18600000000004</v>
          </cell>
          <cell r="CI221">
            <v>401.2229999999999</v>
          </cell>
          <cell r="CJ221">
            <v>401.2229999999999</v>
          </cell>
          <cell r="CK221">
            <v>-35.499000000000002</v>
          </cell>
          <cell r="CL221">
            <v>-62.355000000000004</v>
          </cell>
          <cell r="CM221">
            <v>-97.343000000000004</v>
          </cell>
          <cell r="CN221">
            <v>-112.86575000000003</v>
          </cell>
          <cell r="CO221">
            <v>-112.86575000000003</v>
          </cell>
          <cell r="CP221">
            <v>-25.522750000000016</v>
          </cell>
          <cell r="CQ221">
            <v>-51.045500000000033</v>
          </cell>
          <cell r="CR221">
            <v>-76.568250000000049</v>
          </cell>
          <cell r="CS221">
            <v>-102.09100000000007</v>
          </cell>
          <cell r="CT221">
            <v>-102.09100000000007</v>
          </cell>
          <cell r="CU221">
            <v>-25.522750000000016</v>
          </cell>
          <cell r="CV221">
            <v>-51.045500000000033</v>
          </cell>
          <cell r="CW221">
            <v>-76.568250000000049</v>
          </cell>
          <cell r="CX221">
            <v>-102.09100000000007</v>
          </cell>
          <cell r="CY221">
            <v>-102.09100000000007</v>
          </cell>
          <cell r="CZ221">
            <v>-26.022750000000016</v>
          </cell>
          <cell r="DA221">
            <v>-52.045500000000033</v>
          </cell>
          <cell r="DB221">
            <v>-78.068250000000049</v>
          </cell>
          <cell r="DC221">
            <v>-104.09100000000007</v>
          </cell>
          <cell r="DD221">
            <v>-104.09100000000007</v>
          </cell>
          <cell r="DE221">
            <v>-26.022750000000016</v>
          </cell>
          <cell r="DF221">
            <v>-52.045500000000033</v>
          </cell>
          <cell r="DG221">
            <v>-78.068250000000049</v>
          </cell>
          <cell r="DH221">
            <v>-104.09100000000007</v>
          </cell>
          <cell r="DI221">
            <v>-104.09100000000007</v>
          </cell>
        </row>
        <row r="223">
          <cell r="B223" t="str">
            <v>Discontinued ops: chgs rel. to op activities</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0.52700000000000002</v>
          </cell>
          <cell r="AU223">
            <v>0.52700000000000002</v>
          </cell>
          <cell r="AW223">
            <v>0</v>
          </cell>
          <cell r="AX223">
            <v>0</v>
          </cell>
          <cell r="AY223">
            <v>0</v>
          </cell>
          <cell r="AZ223">
            <v>0</v>
          </cell>
          <cell r="BA223">
            <v>0</v>
          </cell>
          <cell r="BB223">
            <v>0</v>
          </cell>
          <cell r="BC223">
            <v>0</v>
          </cell>
          <cell r="BD223">
            <v>0.52700000000000002</v>
          </cell>
          <cell r="BE223">
            <v>1.488</v>
          </cell>
          <cell r="BF223">
            <v>1.488</v>
          </cell>
          <cell r="BG223">
            <v>-0.66</v>
          </cell>
          <cell r="BH223">
            <v>0.82399999999999995</v>
          </cell>
          <cell r="BI223">
            <v>-5.673</v>
          </cell>
          <cell r="BJ223">
            <v>2.3580000000000005</v>
          </cell>
          <cell r="BK223">
            <v>2.3580000000000005</v>
          </cell>
          <cell r="BL223">
            <v>-5.3999999999999999E-2</v>
          </cell>
          <cell r="BM223">
            <v>-2.0510000000000002</v>
          </cell>
          <cell r="BN223">
            <v>-12.282</v>
          </cell>
          <cell r="BO223">
            <v>-11.311999999999999</v>
          </cell>
          <cell r="BP223">
            <v>-11.311999999999999</v>
          </cell>
          <cell r="BQ223">
            <v>-3.0270000000000001</v>
          </cell>
          <cell r="BR223">
            <v>-19.893000000000001</v>
          </cell>
          <cell r="BS223">
            <v>-27.113</v>
          </cell>
          <cell r="BT223">
            <v>-30.077000000000002</v>
          </cell>
          <cell r="BU223">
            <v>-30.077000000000002</v>
          </cell>
          <cell r="BV223">
            <v>1.7210000000000001</v>
          </cell>
          <cell r="BW223">
            <v>1.7210000000000001</v>
          </cell>
          <cell r="BX223">
            <v>6.7450000000000001</v>
          </cell>
          <cell r="BY223">
            <v>6.8879999999999999</v>
          </cell>
          <cell r="BZ223">
            <v>6.8879999999999999</v>
          </cell>
          <cell r="CA223">
            <v>0</v>
          </cell>
          <cell r="CB223">
            <v>0</v>
          </cell>
          <cell r="CC223">
            <v>0</v>
          </cell>
          <cell r="CD223">
            <v>3.238</v>
          </cell>
          <cell r="CE223">
            <v>3.238</v>
          </cell>
          <cell r="CF223">
            <v>2.1800000000000002</v>
          </cell>
          <cell r="CG223">
            <v>5.2480000000000002</v>
          </cell>
          <cell r="CH223">
            <v>8.0039999999999996</v>
          </cell>
          <cell r="CI223">
            <v>5.9909999999999997</v>
          </cell>
          <cell r="CJ223">
            <v>5.9909999999999997</v>
          </cell>
          <cell r="CK223">
            <v>-2.96</v>
          </cell>
          <cell r="CL223">
            <v>-0.86399999999999988</v>
          </cell>
          <cell r="CM223">
            <v>-1.327</v>
          </cell>
          <cell r="CN223">
            <v>-1.327</v>
          </cell>
          <cell r="CO223">
            <v>-1.327</v>
          </cell>
          <cell r="CP223">
            <v>0</v>
          </cell>
          <cell r="CQ223">
            <v>0</v>
          </cell>
          <cell r="CR223">
            <v>0</v>
          </cell>
          <cell r="CS223">
            <v>0</v>
          </cell>
          <cell r="CT223">
            <v>0</v>
          </cell>
          <cell r="CU223">
            <v>0</v>
          </cell>
          <cell r="CV223">
            <v>0</v>
          </cell>
          <cell r="CW223">
            <v>0</v>
          </cell>
          <cell r="CX223">
            <v>0</v>
          </cell>
          <cell r="CY223">
            <v>0</v>
          </cell>
          <cell r="CZ223">
            <v>0</v>
          </cell>
          <cell r="DA223">
            <v>0</v>
          </cell>
          <cell r="DB223">
            <v>0</v>
          </cell>
          <cell r="DC223">
            <v>0</v>
          </cell>
          <cell r="DD223">
            <v>0</v>
          </cell>
          <cell r="DE223">
            <v>0</v>
          </cell>
          <cell r="DF223">
            <v>0</v>
          </cell>
          <cell r="DG223">
            <v>0</v>
          </cell>
          <cell r="DH223">
            <v>0</v>
          </cell>
          <cell r="DI223">
            <v>0</v>
          </cell>
        </row>
        <row r="224">
          <cell r="B224" t="str">
            <v>Discontinued ops: chgs rel. to investing activities</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-0.21199999999999999</v>
          </cell>
          <cell r="AU224">
            <v>-0.21199999999999999</v>
          </cell>
          <cell r="AW224">
            <v>0</v>
          </cell>
          <cell r="AX224">
            <v>0</v>
          </cell>
          <cell r="AY224">
            <v>0</v>
          </cell>
          <cell r="AZ224">
            <v>0</v>
          </cell>
          <cell r="BA224">
            <v>0</v>
          </cell>
          <cell r="BB224">
            <v>0</v>
          </cell>
          <cell r="BC224">
            <v>0</v>
          </cell>
          <cell r="BD224">
            <v>-0.21199999999999999</v>
          </cell>
          <cell r="BE224">
            <v>-0.30099999999999999</v>
          </cell>
          <cell r="BF224">
            <v>-0.30099999999999999</v>
          </cell>
          <cell r="BG224">
            <v>-0.30499999999999999</v>
          </cell>
          <cell r="BH224">
            <v>-0.35699999999999998</v>
          </cell>
          <cell r="BI224">
            <v>-1.5089999999999999</v>
          </cell>
          <cell r="BJ224">
            <v>-1.7150000000000001</v>
          </cell>
          <cell r="BK224">
            <v>-1.7150000000000001</v>
          </cell>
          <cell r="BL224">
            <v>-0.26300000000000001</v>
          </cell>
          <cell r="BM224">
            <v>-0.77300000000000002</v>
          </cell>
          <cell r="BN224">
            <v>-0.82199999999999995</v>
          </cell>
          <cell r="BO224">
            <v>-1.4159999999999999</v>
          </cell>
          <cell r="BP224">
            <v>-1.4159999999999999</v>
          </cell>
          <cell r="BQ224">
            <v>-0.871</v>
          </cell>
          <cell r="BR224">
            <v>-0.31099999999999994</v>
          </cell>
          <cell r="BS224">
            <v>-0.13900000000000001</v>
          </cell>
          <cell r="BT224">
            <v>0.20100000000000007</v>
          </cell>
          <cell r="BU224">
            <v>0.20100000000000007</v>
          </cell>
          <cell r="BV224">
            <v>3.0000000000000001E-3</v>
          </cell>
          <cell r="BW224">
            <v>3.0000000000000001E-3</v>
          </cell>
          <cell r="BX224">
            <v>-0.44</v>
          </cell>
          <cell r="BY224">
            <v>-0.44</v>
          </cell>
          <cell r="BZ224">
            <v>-0.44</v>
          </cell>
          <cell r="CA224">
            <v>0</v>
          </cell>
          <cell r="CB224">
            <v>0</v>
          </cell>
          <cell r="CC224">
            <v>0</v>
          </cell>
          <cell r="CD224">
            <v>-1.1020000000000001</v>
          </cell>
          <cell r="CE224">
            <v>-1.1020000000000001</v>
          </cell>
          <cell r="CF224">
            <v>0</v>
          </cell>
          <cell r="CG224">
            <v>-5.6000000000000001E-2</v>
          </cell>
          <cell r="CH224">
            <v>-11.583</v>
          </cell>
          <cell r="CI224">
            <v>-12.893999999999998</v>
          </cell>
          <cell r="CJ224">
            <v>-12.893999999999998</v>
          </cell>
          <cell r="CK224">
            <v>-1.6E-2</v>
          </cell>
          <cell r="CL224">
            <v>-0.13500000000000001</v>
          </cell>
          <cell r="CM224">
            <v>-0.13500000000000001</v>
          </cell>
          <cell r="CN224">
            <v>-0.13500000000000001</v>
          </cell>
          <cell r="CO224">
            <v>-0.13500000000000001</v>
          </cell>
          <cell r="CP224">
            <v>0</v>
          </cell>
          <cell r="CQ224">
            <v>0</v>
          </cell>
          <cell r="CR224">
            <v>0</v>
          </cell>
          <cell r="CS224">
            <v>0</v>
          </cell>
          <cell r="CT224">
            <v>0</v>
          </cell>
          <cell r="CU224">
            <v>0</v>
          </cell>
          <cell r="CV224">
            <v>0</v>
          </cell>
          <cell r="CW224">
            <v>0</v>
          </cell>
          <cell r="CX224">
            <v>0</v>
          </cell>
          <cell r="CY224">
            <v>0</v>
          </cell>
          <cell r="CZ224">
            <v>0</v>
          </cell>
          <cell r="DA224">
            <v>0</v>
          </cell>
          <cell r="DB224">
            <v>0</v>
          </cell>
          <cell r="DC224">
            <v>0</v>
          </cell>
          <cell r="DD224">
            <v>0</v>
          </cell>
          <cell r="DE224">
            <v>0</v>
          </cell>
          <cell r="DF224">
            <v>0</v>
          </cell>
          <cell r="DG224">
            <v>0</v>
          </cell>
          <cell r="DH224">
            <v>0</v>
          </cell>
          <cell r="DI224">
            <v>0</v>
          </cell>
        </row>
        <row r="225">
          <cell r="B225" t="str">
            <v>Discontinued ops: chgs rel. to financing activities</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W225">
            <v>0</v>
          </cell>
          <cell r="AX225">
            <v>0</v>
          </cell>
          <cell r="AY225">
            <v>0</v>
          </cell>
          <cell r="AZ225">
            <v>0</v>
          </cell>
          <cell r="BA225">
            <v>0</v>
          </cell>
          <cell r="BB225">
            <v>0</v>
          </cell>
          <cell r="BC225">
            <v>0</v>
          </cell>
          <cell r="BD225">
            <v>0</v>
          </cell>
          <cell r="BE225">
            <v>0</v>
          </cell>
          <cell r="BF225">
            <v>0</v>
          </cell>
          <cell r="BG225">
            <v>0</v>
          </cell>
          <cell r="BH225">
            <v>0</v>
          </cell>
          <cell r="BI225">
            <v>-7.6999999999999999E-2</v>
          </cell>
          <cell r="BJ225">
            <v>-9.6000000000000002E-2</v>
          </cell>
          <cell r="BK225">
            <v>-9.6000000000000002E-2</v>
          </cell>
          <cell r="BL225">
            <v>-4.0000000000000001E-3</v>
          </cell>
          <cell r="BM225">
            <v>-0.128</v>
          </cell>
          <cell r="BN225">
            <v>-0.157</v>
          </cell>
          <cell r="BO225">
            <v>-0.18099999999999999</v>
          </cell>
          <cell r="BP225">
            <v>-0.18099999999999999</v>
          </cell>
          <cell r="BQ225">
            <v>-0.85899999999999999</v>
          </cell>
          <cell r="BR225">
            <v>-4.6000000000000041E-2</v>
          </cell>
          <cell r="BS225">
            <v>-0.30099999999999993</v>
          </cell>
          <cell r="BT225">
            <v>-0.30600000000000005</v>
          </cell>
          <cell r="BU225">
            <v>-0.30600000000000005</v>
          </cell>
          <cell r="BV225">
            <v>-3.9E-2</v>
          </cell>
          <cell r="BW225">
            <v>-3.9E-2</v>
          </cell>
          <cell r="BX225">
            <v>-4.9999999999999975E-3</v>
          </cell>
          <cell r="BY225">
            <v>-0.41299999999999998</v>
          </cell>
          <cell r="BZ225">
            <v>-0.41299999999999998</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v>0</v>
          </cell>
          <cell r="CP225">
            <v>0</v>
          </cell>
          <cell r="CQ225">
            <v>0</v>
          </cell>
          <cell r="CR225">
            <v>0</v>
          </cell>
          <cell r="CS225">
            <v>0</v>
          </cell>
          <cell r="CT225">
            <v>0</v>
          </cell>
          <cell r="CU225">
            <v>0</v>
          </cell>
          <cell r="CV225">
            <v>0</v>
          </cell>
          <cell r="CW225">
            <v>0</v>
          </cell>
          <cell r="CX225">
            <v>0</v>
          </cell>
          <cell r="CY225">
            <v>0</v>
          </cell>
          <cell r="CZ225">
            <v>0</v>
          </cell>
          <cell r="DA225">
            <v>0</v>
          </cell>
          <cell r="DB225">
            <v>0</v>
          </cell>
          <cell r="DC225">
            <v>0</v>
          </cell>
          <cell r="DD225">
            <v>0</v>
          </cell>
          <cell r="DE225">
            <v>0</v>
          </cell>
          <cell r="DF225">
            <v>0</v>
          </cell>
          <cell r="DG225">
            <v>0</v>
          </cell>
          <cell r="DH225">
            <v>0</v>
          </cell>
          <cell r="DI225">
            <v>0</v>
          </cell>
        </row>
        <row r="227">
          <cell r="B227" t="str">
            <v>Cash &amp; equivalents - beg balance</v>
          </cell>
          <cell r="F227">
            <v>0.156</v>
          </cell>
          <cell r="G227">
            <v>25.248999999999981</v>
          </cell>
          <cell r="H227">
            <v>74.375999999999976</v>
          </cell>
          <cell r="I227">
            <v>109.38399999999996</v>
          </cell>
          <cell r="J227">
            <v>75.32600000000005</v>
          </cell>
          <cell r="K227">
            <v>31.17200000000004</v>
          </cell>
          <cell r="L227">
            <v>67.381000000000057</v>
          </cell>
          <cell r="M227">
            <v>12.684999999999917</v>
          </cell>
          <cell r="N227">
            <v>12.684999999999917</v>
          </cell>
          <cell r="O227">
            <v>12.684999999999917</v>
          </cell>
          <cell r="P227">
            <v>12.684999999999917</v>
          </cell>
          <cell r="Q227">
            <v>12.684999999999917</v>
          </cell>
          <cell r="R227">
            <v>12.925999999999959</v>
          </cell>
          <cell r="S227">
            <v>12.925999999999959</v>
          </cell>
          <cell r="T227">
            <v>12.925999999999959</v>
          </cell>
          <cell r="U227">
            <v>12.925999999999959</v>
          </cell>
          <cell r="V227">
            <v>12.925999999999959</v>
          </cell>
          <cell r="W227">
            <v>16.471000000000018</v>
          </cell>
          <cell r="X227">
            <v>16.471000000000018</v>
          </cell>
          <cell r="Y227">
            <v>16.471000000000018</v>
          </cell>
          <cell r="Z227">
            <v>16.471000000000018</v>
          </cell>
          <cell r="AA227">
            <v>16.471000000000018</v>
          </cell>
          <cell r="AB227">
            <v>70.263000000000034</v>
          </cell>
          <cell r="AC227">
            <v>70.263000000000034</v>
          </cell>
          <cell r="AD227">
            <v>70.263000000000034</v>
          </cell>
          <cell r="AE227">
            <v>70.263000000000034</v>
          </cell>
          <cell r="AF227">
            <v>70.263000000000034</v>
          </cell>
          <cell r="AG227">
            <v>123.73600000000006</v>
          </cell>
          <cell r="AH227">
            <v>123.73600000000006</v>
          </cell>
          <cell r="AI227">
            <v>123.73600000000006</v>
          </cell>
          <cell r="AJ227">
            <v>123.73600000000006</v>
          </cell>
          <cell r="AK227">
            <v>123.73600000000006</v>
          </cell>
          <cell r="AL227">
            <v>395.33799999999985</v>
          </cell>
          <cell r="AM227">
            <v>395.33799999999985</v>
          </cell>
          <cell r="AN227">
            <v>395.33799999999985</v>
          </cell>
          <cell r="AO227">
            <v>395.33799999999985</v>
          </cell>
          <cell r="AP227">
            <v>395.33799999999985</v>
          </cell>
          <cell r="AQ227">
            <v>112.94599999999974</v>
          </cell>
          <cell r="AR227">
            <v>112.94599999999974</v>
          </cell>
          <cell r="AS227">
            <v>112.94599999999974</v>
          </cell>
          <cell r="AT227">
            <v>112.94599999999974</v>
          </cell>
          <cell r="AU227">
            <v>112.94599999999974</v>
          </cell>
          <cell r="AW227">
            <v>119.3499999999998</v>
          </cell>
          <cell r="AX227">
            <v>119.3499999999998</v>
          </cell>
          <cell r="AY227">
            <v>119.3499999999998</v>
          </cell>
          <cell r="AZ227">
            <v>119.3499999999998</v>
          </cell>
          <cell r="BA227">
            <v>119.3499999999998</v>
          </cell>
          <cell r="BB227">
            <v>192.44299999999947</v>
          </cell>
          <cell r="BC227">
            <v>192.44299999999947</v>
          </cell>
          <cell r="BD227">
            <v>192.44299999999947</v>
          </cell>
          <cell r="BE227">
            <v>192.44299999999947</v>
          </cell>
          <cell r="BF227">
            <v>192.44299999999947</v>
          </cell>
          <cell r="BG227" t="e">
            <v>#REF!</v>
          </cell>
          <cell r="BH227" t="e">
            <v>#REF!</v>
          </cell>
          <cell r="BI227" t="e">
            <v>#REF!</v>
          </cell>
          <cell r="BJ227" t="e">
            <v>#REF!</v>
          </cell>
          <cell r="BK227" t="e">
            <v>#REF!</v>
          </cell>
          <cell r="BL227" t="e">
            <v>#REF!</v>
          </cell>
          <cell r="BM227" t="e">
            <v>#REF!</v>
          </cell>
          <cell r="BN227" t="e">
            <v>#REF!</v>
          </cell>
          <cell r="BO227" t="e">
            <v>#REF!</v>
          </cell>
          <cell r="BP227" t="e">
            <v>#REF!</v>
          </cell>
          <cell r="BQ227" t="e">
            <v>#REF!</v>
          </cell>
          <cell r="BR227" t="e">
            <v>#REF!</v>
          </cell>
          <cell r="BS227" t="e">
            <v>#REF!</v>
          </cell>
          <cell r="BT227" t="e">
            <v>#REF!</v>
          </cell>
          <cell r="BU227" t="e">
            <v>#REF!</v>
          </cell>
          <cell r="BV227" t="e">
            <v>#REF!</v>
          </cell>
          <cell r="BW227" t="e">
            <v>#REF!</v>
          </cell>
          <cell r="BX227" t="e">
            <v>#REF!</v>
          </cell>
          <cell r="BY227" t="e">
            <v>#REF!</v>
          </cell>
          <cell r="BZ227" t="e">
            <v>#REF!</v>
          </cell>
          <cell r="CA227" t="e">
            <v>#REF!</v>
          </cell>
          <cell r="CB227" t="e">
            <v>#REF!</v>
          </cell>
          <cell r="CC227" t="e">
            <v>#REF!</v>
          </cell>
          <cell r="CD227" t="e">
            <v>#REF!</v>
          </cell>
          <cell r="CE227" t="e">
            <v>#REF!</v>
          </cell>
          <cell r="CF227" t="e">
            <v>#REF!</v>
          </cell>
          <cell r="CG227" t="e">
            <v>#REF!</v>
          </cell>
          <cell r="CH227" t="e">
            <v>#REF!</v>
          </cell>
          <cell r="CI227" t="e">
            <v>#REF!</v>
          </cell>
          <cell r="CJ227" t="e">
            <v>#REF!</v>
          </cell>
          <cell r="CK227">
            <v>64.143000000000001</v>
          </cell>
          <cell r="CL227">
            <v>64.143000000000001</v>
          </cell>
          <cell r="CM227">
            <v>64.143000000000001</v>
          </cell>
          <cell r="CN227">
            <v>64.143000000000001</v>
          </cell>
          <cell r="CO227">
            <v>64.143000000000001</v>
          </cell>
          <cell r="CP227">
            <v>101.84708351970696</v>
          </cell>
          <cell r="CQ227">
            <v>101.84708351970696</v>
          </cell>
          <cell r="CR227">
            <v>101.84708351970696</v>
          </cell>
          <cell r="CS227">
            <v>101.84708351970696</v>
          </cell>
          <cell r="CT227">
            <v>101.84708351970696</v>
          </cell>
          <cell r="CU227">
            <v>308.12882222410735</v>
          </cell>
          <cell r="CV227">
            <v>308.12882222410735</v>
          </cell>
          <cell r="CW227">
            <v>308.12882222410735</v>
          </cell>
          <cell r="CX227">
            <v>308.12882222410735</v>
          </cell>
          <cell r="CY227">
            <v>308.12882222410735</v>
          </cell>
          <cell r="CZ227">
            <v>597.73612125164414</v>
          </cell>
          <cell r="DA227">
            <v>597.73612125164414</v>
          </cell>
          <cell r="DB227">
            <v>597.73612125164414</v>
          </cell>
          <cell r="DC227">
            <v>597.73612125164414</v>
          </cell>
          <cell r="DD227">
            <v>597.73612125164414</v>
          </cell>
          <cell r="DE227">
            <v>917.51302469925895</v>
          </cell>
          <cell r="DF227">
            <v>917.51302469925895</v>
          </cell>
          <cell r="DG227">
            <v>917.51302469925895</v>
          </cell>
          <cell r="DH227">
            <v>917.51302469925895</v>
          </cell>
          <cell r="DI227">
            <v>917.51302469925895</v>
          </cell>
        </row>
        <row r="228">
          <cell r="B228" t="str">
            <v>Change in cash &amp; equivalents</v>
          </cell>
          <cell r="F228">
            <v>25.092999999999982</v>
          </cell>
          <cell r="G228">
            <v>49.127000000000002</v>
          </cell>
          <cell r="H228">
            <v>35.007999999999974</v>
          </cell>
          <cell r="I228">
            <v>-34.057999999999915</v>
          </cell>
          <cell r="J228">
            <v>-44.154000000000011</v>
          </cell>
          <cell r="K228">
            <v>36.209000000000017</v>
          </cell>
          <cell r="L228">
            <v>-54.69600000000014</v>
          </cell>
          <cell r="M228">
            <v>-4.1110000000000237</v>
          </cell>
          <cell r="N228">
            <v>7.4999999999999716</v>
          </cell>
          <cell r="O228">
            <v>-0.96300000000002228</v>
          </cell>
          <cell r="P228">
            <v>0.24100000000004229</v>
          </cell>
          <cell r="Q228">
            <v>0.24100000000004229</v>
          </cell>
          <cell r="R228">
            <v>11.748000000000001</v>
          </cell>
          <cell r="S228">
            <v>11.474000000000006</v>
          </cell>
          <cell r="T228">
            <v>10.414000000000048</v>
          </cell>
          <cell r="U228">
            <v>3.5450000000000585</v>
          </cell>
          <cell r="V228">
            <v>3.5450000000000585</v>
          </cell>
          <cell r="W228">
            <v>17.580000000000044</v>
          </cell>
          <cell r="X228">
            <v>25.077000000000083</v>
          </cell>
          <cell r="Y228">
            <v>33.178000000000019</v>
          </cell>
          <cell r="Z228">
            <v>53.792000000000016</v>
          </cell>
          <cell r="AA228">
            <v>53.792000000000016</v>
          </cell>
          <cell r="AB228">
            <v>47.89700000000002</v>
          </cell>
          <cell r="AC228">
            <v>42.752000000000052</v>
          </cell>
          <cell r="AD228">
            <v>79.356999999999942</v>
          </cell>
          <cell r="AE228">
            <v>53.473000000000027</v>
          </cell>
          <cell r="AF228">
            <v>53.473000000000027</v>
          </cell>
          <cell r="AG228">
            <v>65.564999999999998</v>
          </cell>
          <cell r="AH228">
            <v>36.923999999999921</v>
          </cell>
          <cell r="AI228">
            <v>124.53799999999988</v>
          </cell>
          <cell r="AJ228">
            <v>271.6019999999998</v>
          </cell>
          <cell r="AK228">
            <v>271.6019999999998</v>
          </cell>
          <cell r="AL228">
            <v>-275.98800000000006</v>
          </cell>
          <cell r="AM228">
            <v>-292.54400000000004</v>
          </cell>
          <cell r="AN228">
            <v>-279.72600000000006</v>
          </cell>
          <cell r="AO228">
            <v>-282.39200000000011</v>
          </cell>
          <cell r="AP228">
            <v>-282.39200000000011</v>
          </cell>
          <cell r="AQ228">
            <v>79.497000000000043</v>
          </cell>
          <cell r="AR228">
            <v>-24.333999999999691</v>
          </cell>
          <cell r="AS228">
            <v>-3.7350000000000421</v>
          </cell>
          <cell r="AT228" t="e">
            <v>#REF!</v>
          </cell>
          <cell r="AU228" t="e">
            <v>#REF!</v>
          </cell>
          <cell r="AW228">
            <v>-16.555999999999898</v>
          </cell>
          <cell r="AX228">
            <v>-3.7379999999998859</v>
          </cell>
          <cell r="AY228">
            <v>-6.4040000000000532</v>
          </cell>
          <cell r="AZ228">
            <v>73.092999999999904</v>
          </cell>
          <cell r="BA228">
            <v>73.092999999999677</v>
          </cell>
          <cell r="BB228">
            <v>-103.83099999999982</v>
          </cell>
          <cell r="BC228">
            <v>-83.231999999999971</v>
          </cell>
          <cell r="BD228" t="e">
            <v>#REF!</v>
          </cell>
          <cell r="BE228" t="e">
            <v>#REF!</v>
          </cell>
          <cell r="BF228" t="e">
            <v>#REF!</v>
          </cell>
          <cell r="BG228">
            <v>-2.6359999999998274</v>
          </cell>
          <cell r="BH228">
            <v>19.199000000000044</v>
          </cell>
          <cell r="BI228">
            <v>-81.362999999999715</v>
          </cell>
          <cell r="BJ228">
            <v>-70.444999999999794</v>
          </cell>
          <cell r="BK228">
            <v>-70.444999999999794</v>
          </cell>
          <cell r="BL228">
            <v>31.760999999999484</v>
          </cell>
          <cell r="BM228">
            <v>43.598000000000063</v>
          </cell>
          <cell r="BN228">
            <v>47.807000000000173</v>
          </cell>
          <cell r="BO228">
            <v>57.172999999999647</v>
          </cell>
          <cell r="BP228">
            <v>57.172999999999647</v>
          </cell>
          <cell r="BQ228">
            <v>330.88099999999997</v>
          </cell>
          <cell r="BR228">
            <v>290.49900000000002</v>
          </cell>
          <cell r="BS228">
            <v>56.044999999999895</v>
          </cell>
          <cell r="BT228">
            <v>19.626999999999853</v>
          </cell>
          <cell r="BU228">
            <v>19.626999999999853</v>
          </cell>
          <cell r="BV228">
            <v>-40.727000000000132</v>
          </cell>
          <cell r="BW228">
            <v>20.994999999999916</v>
          </cell>
          <cell r="BX228">
            <v>78.731999999999971</v>
          </cell>
          <cell r="BY228">
            <v>-37.596000000000437</v>
          </cell>
          <cell r="BZ228">
            <v>-37.596000000000437</v>
          </cell>
          <cell r="CA228">
            <v>1.238999999999896</v>
          </cell>
          <cell r="CB228">
            <v>6.618999999999879</v>
          </cell>
          <cell r="CC228">
            <v>139.73600000000013</v>
          </cell>
          <cell r="CD228">
            <v>-4.2060000000002047</v>
          </cell>
          <cell r="CE228">
            <v>-4.2060000000002047</v>
          </cell>
          <cell r="CF228">
            <v>-6.0159999999998579</v>
          </cell>
          <cell r="CG228">
            <v>-11.504999999999695</v>
          </cell>
          <cell r="CH228">
            <v>-13.460999999999494</v>
          </cell>
          <cell r="CI228">
            <v>-37.668999999999677</v>
          </cell>
          <cell r="CJ228">
            <v>-37.668999999999677</v>
          </cell>
          <cell r="CK228">
            <v>-55.746999999999744</v>
          </cell>
          <cell r="CL228">
            <v>-27.842999999999982</v>
          </cell>
          <cell r="CM228">
            <v>-28.924699999999685</v>
          </cell>
          <cell r="CN228">
            <v>37.704083519706963</v>
          </cell>
          <cell r="CO228">
            <v>37.704083519706963</v>
          </cell>
          <cell r="CP228">
            <v>-19.135254716821294</v>
          </cell>
          <cell r="CQ228">
            <v>164.4528471166918</v>
          </cell>
          <cell r="CR228">
            <v>200.31117633914027</v>
          </cell>
          <cell r="CS228">
            <v>206.28173870440037</v>
          </cell>
          <cell r="CT228">
            <v>206.28173870440037</v>
          </cell>
          <cell r="CU228">
            <v>-45.21628633619315</v>
          </cell>
          <cell r="CV228">
            <v>176.30816083834216</v>
          </cell>
          <cell r="CW228">
            <v>249.36270479615212</v>
          </cell>
          <cell r="CX228">
            <v>289.60729902753678</v>
          </cell>
          <cell r="CY228">
            <v>289.60729902753678</v>
          </cell>
          <cell r="CZ228">
            <v>-46.969177952769769</v>
          </cell>
          <cell r="DA228">
            <v>188.68796600579529</v>
          </cell>
          <cell r="DB228">
            <v>269.99661768808545</v>
          </cell>
          <cell r="DC228">
            <v>319.77690344761481</v>
          </cell>
          <cell r="DD228">
            <v>319.77690344761481</v>
          </cell>
          <cell r="DE228">
            <v>-46.380505423202791</v>
          </cell>
          <cell r="DF228">
            <v>202.89000890598979</v>
          </cell>
          <cell r="DG228">
            <v>295.08427547409599</v>
          </cell>
          <cell r="DH228">
            <v>355.57431272675132</v>
          </cell>
          <cell r="DI228">
            <v>355.57431272675132</v>
          </cell>
        </row>
        <row r="229">
          <cell r="B229" t="str">
            <v>Cash &amp; equivalents - ending balance</v>
          </cell>
          <cell r="F229">
            <v>25.248999999999981</v>
          </cell>
          <cell r="G229">
            <v>74.375999999999976</v>
          </cell>
          <cell r="H229">
            <v>109.38399999999996</v>
          </cell>
          <cell r="I229">
            <v>75.32600000000005</v>
          </cell>
          <cell r="J229">
            <v>31.17200000000004</v>
          </cell>
          <cell r="K229">
            <v>67.381000000000057</v>
          </cell>
          <cell r="L229">
            <v>12.684999999999917</v>
          </cell>
          <cell r="M229">
            <v>8.5739999999998933</v>
          </cell>
          <cell r="N229">
            <v>20.184999999999889</v>
          </cell>
          <cell r="O229">
            <v>11.721999999999895</v>
          </cell>
          <cell r="P229">
            <v>12.925999999999959</v>
          </cell>
          <cell r="Q229">
            <v>12.925999999999959</v>
          </cell>
          <cell r="R229">
            <v>24.67399999999996</v>
          </cell>
          <cell r="S229">
            <v>24.399999999999963</v>
          </cell>
          <cell r="T229">
            <v>23.340000000000007</v>
          </cell>
          <cell r="U229">
            <v>16.471000000000018</v>
          </cell>
          <cell r="V229">
            <v>16.471000000000018</v>
          </cell>
          <cell r="W229">
            <v>34.051000000000059</v>
          </cell>
          <cell r="X229">
            <v>41.548000000000101</v>
          </cell>
          <cell r="Y229">
            <v>49.649000000000036</v>
          </cell>
          <cell r="Z229">
            <v>70.263000000000034</v>
          </cell>
          <cell r="AA229">
            <v>70.263000000000034</v>
          </cell>
          <cell r="AB229">
            <v>118.16000000000005</v>
          </cell>
          <cell r="AC229">
            <v>113.01500000000009</v>
          </cell>
          <cell r="AD229">
            <v>149.61999999999998</v>
          </cell>
          <cell r="AE229">
            <v>123.73600000000006</v>
          </cell>
          <cell r="AF229">
            <v>123.73600000000006</v>
          </cell>
          <cell r="AG229">
            <v>189.30100000000004</v>
          </cell>
          <cell r="AH229">
            <v>160.65999999999997</v>
          </cell>
          <cell r="AI229">
            <v>248.27399999999994</v>
          </cell>
          <cell r="AJ229">
            <v>395.33799999999985</v>
          </cell>
          <cell r="AK229">
            <v>395.33799999999985</v>
          </cell>
          <cell r="AL229">
            <v>119.3499999999998</v>
          </cell>
          <cell r="AM229">
            <v>102.79399999999981</v>
          </cell>
          <cell r="AN229">
            <v>115.6119999999998</v>
          </cell>
          <cell r="AO229">
            <v>112.94599999999974</v>
          </cell>
          <cell r="AP229">
            <v>112.94599999999974</v>
          </cell>
          <cell r="AQ229">
            <v>192.44299999999978</v>
          </cell>
          <cell r="AR229">
            <v>88.612000000000052</v>
          </cell>
          <cell r="AS229">
            <v>109.2109999999997</v>
          </cell>
          <cell r="AT229" t="e">
            <v>#REF!</v>
          </cell>
          <cell r="AU229" t="e">
            <v>#REF!</v>
          </cell>
          <cell r="AW229">
            <v>102.7939999999999</v>
          </cell>
          <cell r="AX229">
            <v>115.61199999999991</v>
          </cell>
          <cell r="AY229">
            <v>112.94599999999974</v>
          </cell>
          <cell r="AZ229">
            <v>192.4429999999997</v>
          </cell>
          <cell r="BA229">
            <v>192.44299999999947</v>
          </cell>
          <cell r="BB229">
            <v>88.611999999999654</v>
          </cell>
          <cell r="BC229">
            <v>109.2109999999995</v>
          </cell>
          <cell r="BD229" t="e">
            <v>#REF!</v>
          </cell>
          <cell r="BE229" t="e">
            <v>#REF!</v>
          </cell>
          <cell r="BF229" t="e">
            <v>#REF!</v>
          </cell>
          <cell r="BG229" t="e">
            <v>#REF!</v>
          </cell>
          <cell r="BH229" t="e">
            <v>#REF!</v>
          </cell>
          <cell r="BI229" t="e">
            <v>#REF!</v>
          </cell>
          <cell r="BJ229" t="e">
            <v>#REF!</v>
          </cell>
          <cell r="BK229" t="e">
            <v>#REF!</v>
          </cell>
          <cell r="BL229" t="e">
            <v>#REF!</v>
          </cell>
          <cell r="BM229" t="e">
            <v>#REF!</v>
          </cell>
          <cell r="BN229" t="e">
            <v>#REF!</v>
          </cell>
          <cell r="BO229" t="e">
            <v>#REF!</v>
          </cell>
          <cell r="BP229" t="e">
            <v>#REF!</v>
          </cell>
          <cell r="BQ229" t="e">
            <v>#REF!</v>
          </cell>
          <cell r="BR229" t="e">
            <v>#REF!</v>
          </cell>
          <cell r="BS229" t="e">
            <v>#REF!</v>
          </cell>
          <cell r="BT229" t="e">
            <v>#REF!</v>
          </cell>
          <cell r="BU229" t="e">
            <v>#REF!</v>
          </cell>
          <cell r="BV229" t="e">
            <v>#REF!</v>
          </cell>
          <cell r="BW229" t="e">
            <v>#REF!</v>
          </cell>
          <cell r="BX229" t="e">
            <v>#REF!</v>
          </cell>
          <cell r="BY229" t="e">
            <v>#REF!</v>
          </cell>
          <cell r="BZ229" t="e">
            <v>#REF!</v>
          </cell>
          <cell r="CA229" t="e">
            <v>#REF!</v>
          </cell>
          <cell r="CB229" t="e">
            <v>#REF!</v>
          </cell>
          <cell r="CC229" t="e">
            <v>#REF!</v>
          </cell>
          <cell r="CD229" t="e">
            <v>#REF!</v>
          </cell>
          <cell r="CE229" t="e">
            <v>#REF!</v>
          </cell>
          <cell r="CF229" t="e">
            <v>#REF!</v>
          </cell>
          <cell r="CG229" t="e">
            <v>#REF!</v>
          </cell>
          <cell r="CH229" t="e">
            <v>#REF!</v>
          </cell>
          <cell r="CI229" t="e">
            <v>#REF!</v>
          </cell>
          <cell r="CJ229" t="e">
            <v>#REF!</v>
          </cell>
          <cell r="CK229">
            <v>8.3960000000002566</v>
          </cell>
          <cell r="CL229">
            <v>36.300000000000018</v>
          </cell>
          <cell r="CM229">
            <v>35.218300000000312</v>
          </cell>
          <cell r="CN229">
            <v>101.84708351970696</v>
          </cell>
          <cell r="CO229">
            <v>101.84708351970696</v>
          </cell>
          <cell r="CP229">
            <v>82.711828802885663</v>
          </cell>
          <cell r="CQ229">
            <v>266.29993063639876</v>
          </cell>
          <cell r="CR229">
            <v>302.15825985884726</v>
          </cell>
          <cell r="CS229">
            <v>308.12882222410735</v>
          </cell>
          <cell r="CT229">
            <v>308.12882222410735</v>
          </cell>
          <cell r="CU229">
            <v>262.9125358879142</v>
          </cell>
          <cell r="CV229">
            <v>484.43698306244949</v>
          </cell>
          <cell r="CW229">
            <v>557.49152702025947</v>
          </cell>
          <cell r="CX229">
            <v>597.73612125164414</v>
          </cell>
          <cell r="CY229">
            <v>597.73612125164414</v>
          </cell>
          <cell r="CZ229">
            <v>550.76694329887437</v>
          </cell>
          <cell r="DA229">
            <v>786.4240872574394</v>
          </cell>
          <cell r="DB229">
            <v>867.73273893972964</v>
          </cell>
          <cell r="DC229">
            <v>917.51302469925895</v>
          </cell>
          <cell r="DD229">
            <v>917.51302469925895</v>
          </cell>
          <cell r="DE229">
            <v>871.1325192760562</v>
          </cell>
          <cell r="DF229">
            <v>1120.4030336052488</v>
          </cell>
          <cell r="DG229">
            <v>1212.5973001733551</v>
          </cell>
          <cell r="DH229">
            <v>1273.0873374260102</v>
          </cell>
          <cell r="DI229">
            <v>1273.0873374260102</v>
          </cell>
        </row>
        <row r="231">
          <cell r="B231" t="str">
            <v>Cumulative = Balance Sheet</v>
          </cell>
          <cell r="F231" t="str">
            <v>ok</v>
          </cell>
          <cell r="G231" t="str">
            <v>ok</v>
          </cell>
          <cell r="H231" t="str">
            <v>ok</v>
          </cell>
          <cell r="I231" t="str">
            <v>ok</v>
          </cell>
          <cell r="J231" t="str">
            <v>ok</v>
          </cell>
          <cell r="K231" t="str">
            <v>ok</v>
          </cell>
          <cell r="L231" t="str">
            <v>ok</v>
          </cell>
          <cell r="M231" t="str">
            <v>ok</v>
          </cell>
          <cell r="N231" t="str">
            <v>ok</v>
          </cell>
          <cell r="O231" t="str">
            <v>ok</v>
          </cell>
          <cell r="P231" t="str">
            <v>ok</v>
          </cell>
          <cell r="Q231" t="str">
            <v>ok</v>
          </cell>
          <cell r="R231" t="str">
            <v>ok</v>
          </cell>
          <cell r="S231" t="str">
            <v>ok</v>
          </cell>
          <cell r="T231" t="str">
            <v>ok</v>
          </cell>
          <cell r="U231" t="str">
            <v>ok</v>
          </cell>
          <cell r="V231" t="str">
            <v>ok</v>
          </cell>
          <cell r="W231" t="str">
            <v>ok</v>
          </cell>
          <cell r="X231" t="str">
            <v>ok</v>
          </cell>
          <cell r="Y231" t="str">
            <v>ok</v>
          </cell>
          <cell r="Z231" t="str">
            <v>ok</v>
          </cell>
          <cell r="AA231" t="str">
            <v>ok</v>
          </cell>
          <cell r="AB231" t="str">
            <v>ok</v>
          </cell>
          <cell r="AC231" t="str">
            <v>ok</v>
          </cell>
          <cell r="AD231" t="str">
            <v>ok</v>
          </cell>
          <cell r="AE231" t="str">
            <v>ok</v>
          </cell>
          <cell r="AF231" t="str">
            <v>ok</v>
          </cell>
          <cell r="AG231" t="str">
            <v>ok</v>
          </cell>
          <cell r="AH231" t="str">
            <v>ok</v>
          </cell>
          <cell r="AI231" t="str">
            <v>ok</v>
          </cell>
          <cell r="AJ231" t="str">
            <v>ok</v>
          </cell>
          <cell r="AK231" t="str">
            <v>ok</v>
          </cell>
          <cell r="AL231" t="str">
            <v>ok</v>
          </cell>
          <cell r="AM231" t="str">
            <v>ok</v>
          </cell>
          <cell r="AN231" t="str">
            <v>ok</v>
          </cell>
          <cell r="AO231" t="str">
            <v>ok</v>
          </cell>
          <cell r="AP231" t="str">
            <v>ok</v>
          </cell>
          <cell r="AQ231" t="str">
            <v>ok</v>
          </cell>
          <cell r="AR231" t="str">
            <v>ok</v>
          </cell>
          <cell r="AS231" t="str">
            <v>ok</v>
          </cell>
          <cell r="AT231" t="e">
            <v>#REF!</v>
          </cell>
          <cell r="AU231" t="e">
            <v>#REF!</v>
          </cell>
          <cell r="AW231" t="str">
            <v>ok</v>
          </cell>
          <cell r="AX231" t="str">
            <v>ok</v>
          </cell>
          <cell r="AY231" t="str">
            <v>ok</v>
          </cell>
          <cell r="AZ231" t="str">
            <v>ok</v>
          </cell>
          <cell r="BA231" t="str">
            <v>ok</v>
          </cell>
          <cell r="BB231" t="str">
            <v>ok</v>
          </cell>
          <cell r="BC231" t="str">
            <v>ok</v>
          </cell>
          <cell r="BD231" t="e">
            <v>#REF!</v>
          </cell>
          <cell r="BE231" t="e">
            <v>#REF!</v>
          </cell>
          <cell r="BF231" t="e">
            <v>#REF!</v>
          </cell>
          <cell r="BG231" t="e">
            <v>#REF!</v>
          </cell>
          <cell r="BH231" t="e">
            <v>#REF!</v>
          </cell>
          <cell r="BI231" t="e">
            <v>#REF!</v>
          </cell>
          <cell r="BJ231" t="e">
            <v>#REF!</v>
          </cell>
          <cell r="BK231" t="e">
            <v>#REF!</v>
          </cell>
          <cell r="BL231" t="e">
            <v>#REF!</v>
          </cell>
          <cell r="BM231" t="e">
            <v>#REF!</v>
          </cell>
          <cell r="BN231" t="e">
            <v>#REF!</v>
          </cell>
          <cell r="BO231" t="e">
            <v>#REF!</v>
          </cell>
          <cell r="BP231" t="e">
            <v>#REF!</v>
          </cell>
          <cell r="BQ231" t="e">
            <v>#REF!</v>
          </cell>
          <cell r="BR231" t="e">
            <v>#REF!</v>
          </cell>
          <cell r="BS231" t="e">
            <v>#REF!</v>
          </cell>
          <cell r="BT231" t="e">
            <v>#REF!</v>
          </cell>
          <cell r="BU231" t="e">
            <v>#REF!</v>
          </cell>
          <cell r="BV231" t="e">
            <v>#REF!</v>
          </cell>
          <cell r="BW231" t="e">
            <v>#REF!</v>
          </cell>
          <cell r="BX231" t="e">
            <v>#REF!</v>
          </cell>
          <cell r="BY231" t="e">
            <v>#REF!</v>
          </cell>
          <cell r="BZ231" t="e">
            <v>#REF!</v>
          </cell>
          <cell r="CA231" t="e">
            <v>#REF!</v>
          </cell>
          <cell r="CB231" t="e">
            <v>#REF!</v>
          </cell>
          <cell r="CC231" t="e">
            <v>#REF!</v>
          </cell>
          <cell r="CD231" t="e">
            <v>#REF!</v>
          </cell>
          <cell r="CE231" t="e">
            <v>#REF!</v>
          </cell>
          <cell r="CF231" t="e">
            <v>#REF!</v>
          </cell>
          <cell r="CG231" t="e">
            <v>#REF!</v>
          </cell>
          <cell r="CH231" t="e">
            <v>#REF!</v>
          </cell>
          <cell r="CI231" t="e">
            <v>#REF!</v>
          </cell>
          <cell r="CJ231" t="e">
            <v>#REF!</v>
          </cell>
          <cell r="CK231" t="str">
            <v>ok</v>
          </cell>
          <cell r="CL231" t="str">
            <v>ok</v>
          </cell>
          <cell r="CM231">
            <v>3.0000000030838692E-4</v>
          </cell>
          <cell r="CN231">
            <v>3.0000000003838068E-4</v>
          </cell>
          <cell r="CO231">
            <v>3.0000000003838068E-4</v>
          </cell>
          <cell r="CP231">
            <v>3.0000000003838068E-4</v>
          </cell>
          <cell r="CQ231">
            <v>2.9999999998153726E-4</v>
          </cell>
          <cell r="CR231">
            <v>3.000000000952241E-4</v>
          </cell>
          <cell r="CS231">
            <v>2.99999999811007E-4</v>
          </cell>
          <cell r="CT231">
            <v>2.99999999811007E-4</v>
          </cell>
          <cell r="CU231">
            <v>2.99999999811007E-4</v>
          </cell>
          <cell r="CV231">
            <v>2.9999999986785042E-4</v>
          </cell>
          <cell r="CW231">
            <v>2.9999999969732016E-4</v>
          </cell>
          <cell r="CX231">
            <v>2.9999999969732016E-4</v>
          </cell>
          <cell r="CY231">
            <v>2.9999999969732016E-4</v>
          </cell>
          <cell r="CZ231">
            <v>2.9999999969732016E-4</v>
          </cell>
          <cell r="DA231">
            <v>2.9999999946994649E-4</v>
          </cell>
          <cell r="DB231">
            <v>2.9999999946994649E-4</v>
          </cell>
          <cell r="DC231">
            <v>2.9999999946994649E-4</v>
          </cell>
          <cell r="DD231">
            <v>2.9999999946994649E-4</v>
          </cell>
          <cell r="DE231">
            <v>2.9999999946994649E-4</v>
          </cell>
          <cell r="DF231">
            <v>2.9999999946994649E-4</v>
          </cell>
          <cell r="DG231">
            <v>2.9999999946994649E-4</v>
          </cell>
          <cell r="DH231">
            <v>2.9999999946994649E-4</v>
          </cell>
          <cell r="DI231">
            <v>2.9999999946994649E-4</v>
          </cell>
        </row>
        <row r="234">
          <cell r="B234" t="str">
            <v xml:space="preserve">Drivers </v>
          </cell>
        </row>
        <row r="235">
          <cell r="B235" t="str">
            <v>Revenues</v>
          </cell>
          <cell r="BP235">
            <v>4409.1610000000001</v>
          </cell>
          <cell r="BQ235">
            <v>1152.5719999999999</v>
          </cell>
          <cell r="BR235">
            <v>1105.299</v>
          </cell>
          <cell r="BS235">
            <v>1081.914</v>
          </cell>
          <cell r="BT235">
            <v>1111.826</v>
          </cell>
          <cell r="BU235">
            <v>4451.6109999999999</v>
          </cell>
          <cell r="BV235">
            <v>1188.0229999999999</v>
          </cell>
          <cell r="BW235">
            <v>1155.453</v>
          </cell>
          <cell r="BX235">
            <v>1121.903</v>
          </cell>
          <cell r="BY235">
            <v>1198.77</v>
          </cell>
          <cell r="BZ235">
            <v>4664.1489999999994</v>
          </cell>
          <cell r="CA235">
            <v>1285.019</v>
          </cell>
          <cell r="CB235">
            <v>1247.787</v>
          </cell>
          <cell r="CC235">
            <v>1270.6590000000001</v>
          </cell>
          <cell r="CD235">
            <v>1352.059</v>
          </cell>
          <cell r="CE235">
            <v>5155.5240000000003</v>
          </cell>
          <cell r="CF235">
            <v>1433.6410000000001</v>
          </cell>
          <cell r="CG235">
            <v>1395.3530000000001</v>
          </cell>
          <cell r="CH235">
            <v>1400.2439999999999</v>
          </cell>
          <cell r="CI235">
            <v>1583.7739999999999</v>
          </cell>
          <cell r="CJ235">
            <v>5813.0120000000006</v>
          </cell>
          <cell r="CK235">
            <v>1686.518</v>
          </cell>
          <cell r="CL235">
            <v>1686.5409999999999</v>
          </cell>
          <cell r="CM235">
            <v>1664.1869999999999</v>
          </cell>
          <cell r="CN235">
            <v>1714.7561297917275</v>
          </cell>
          <cell r="CO235">
            <v>6752.0021297917274</v>
          </cell>
          <cell r="CP235">
            <v>1773.696240270453</v>
          </cell>
          <cell r="CQ235">
            <v>1748.3017764068638</v>
          </cell>
          <cell r="CR235">
            <v>1727.0014888007336</v>
          </cell>
          <cell r="CS235">
            <v>1774.4609769352023</v>
          </cell>
          <cell r="CT235">
            <v>7023.460482413253</v>
          </cell>
          <cell r="CU235">
            <v>1808.7387179919394</v>
          </cell>
          <cell r="CV235">
            <v>1781.0200924392448</v>
          </cell>
          <cell r="CW235">
            <v>1761.1587791980387</v>
          </cell>
          <cell r="CX235">
            <v>1806.0845996925368</v>
          </cell>
          <cell r="CY235">
            <v>7157.0021893217599</v>
          </cell>
          <cell r="CZ235">
            <v>1881.1170686709002</v>
          </cell>
          <cell r="DA235">
            <v>1849.8988829022953</v>
          </cell>
          <cell r="DB235">
            <v>1830.7465494006099</v>
          </cell>
          <cell r="DC235">
            <v>1881.3219862595788</v>
          </cell>
          <cell r="DD235">
            <v>7443.0844872333846</v>
          </cell>
          <cell r="DE235">
            <v>1964.9563156098177</v>
          </cell>
          <cell r="DF235">
            <v>1927.8969063987906</v>
          </cell>
          <cell r="DG235">
            <v>1909.0801770309545</v>
          </cell>
          <cell r="DH235">
            <v>1957.1362860311051</v>
          </cell>
          <cell r="DI235">
            <v>7759.0696850706681</v>
          </cell>
        </row>
        <row r="236">
          <cell r="B236" t="str">
            <v>Cap Ex</v>
          </cell>
          <cell r="BP236">
            <v>-270.59800000000001</v>
          </cell>
          <cell r="BQ236">
            <v>-46.805</v>
          </cell>
          <cell r="BR236">
            <v>-46.707000000000001</v>
          </cell>
          <cell r="BS236">
            <v>-65.937999999999988</v>
          </cell>
          <cell r="BT236">
            <v>-58.729000000000021</v>
          </cell>
          <cell r="BU236">
            <v>-218.179</v>
          </cell>
          <cell r="BV236">
            <v>-65.171000000000006</v>
          </cell>
          <cell r="BW236">
            <v>-50.345999999999989</v>
          </cell>
          <cell r="BX236">
            <v>-43.229000000000013</v>
          </cell>
          <cell r="BY236">
            <v>-41.316999999999979</v>
          </cell>
          <cell r="BZ236">
            <v>-200.06299999999999</v>
          </cell>
          <cell r="CA236">
            <v>-32.898000000000003</v>
          </cell>
          <cell r="CB236">
            <v>-59.588000000000001</v>
          </cell>
          <cell r="CC236">
            <v>-55.430999999999997</v>
          </cell>
          <cell r="CD236">
            <v>-60.842654999999993</v>
          </cell>
          <cell r="CE236">
            <v>-208.75965500000001</v>
          </cell>
          <cell r="CF236">
            <v>-47.463000000000001</v>
          </cell>
          <cell r="CG236">
            <v>-85.570999999999998</v>
          </cell>
          <cell r="CH236">
            <v>-69.784999999999997</v>
          </cell>
          <cell r="CI236">
            <v>-99.227000000000004</v>
          </cell>
          <cell r="CJ236">
            <v>-302.04599999999999</v>
          </cell>
          <cell r="CK236">
            <v>-80.816999999999993</v>
          </cell>
          <cell r="CL236">
            <v>-113.35800000000002</v>
          </cell>
          <cell r="CM236">
            <v>-88.248999999999967</v>
          </cell>
          <cell r="CN236">
            <v>-75</v>
          </cell>
          <cell r="CO236">
            <v>-357.42399999999998</v>
          </cell>
          <cell r="CP236">
            <v>-50.167574874380378</v>
          </cell>
          <cell r="CQ236">
            <v>-100.33514974876076</v>
          </cell>
          <cell r="CR236">
            <v>-100.33514974876076</v>
          </cell>
          <cell r="CS236">
            <v>-100.33514974876076</v>
          </cell>
          <cell r="CT236">
            <v>-351.17302412066266</v>
          </cell>
          <cell r="CU236">
            <v>-90.436935899596975</v>
          </cell>
          <cell r="CV236">
            <v>-89.05100462196225</v>
          </cell>
          <cell r="CW236">
            <v>-88.057938959901946</v>
          </cell>
          <cell r="CX236">
            <v>-90.304229984626843</v>
          </cell>
          <cell r="CY236">
            <v>-357.85010946608799</v>
          </cell>
          <cell r="CZ236">
            <v>-94.05585343354501</v>
          </cell>
          <cell r="DA236">
            <v>-92.494944145114772</v>
          </cell>
          <cell r="DB236">
            <v>-91.537327470030505</v>
          </cell>
          <cell r="DC236">
            <v>-94.066099312978949</v>
          </cell>
          <cell r="DD236">
            <v>-372.15422436166926</v>
          </cell>
          <cell r="DE236">
            <v>-98.247815780490896</v>
          </cell>
          <cell r="DF236">
            <v>-96.394845319939535</v>
          </cell>
          <cell r="DG236">
            <v>-95.454008851547727</v>
          </cell>
          <cell r="DH236">
            <v>-97.856814301555261</v>
          </cell>
          <cell r="DI236">
            <v>-387.95348425353336</v>
          </cell>
        </row>
        <row r="237">
          <cell r="B237" t="str">
            <v>% of revenues</v>
          </cell>
          <cell r="BP237">
            <v>6.1371766646761146E-2</v>
          </cell>
          <cell r="BQ237">
            <v>4.0609176693516762E-2</v>
          </cell>
          <cell r="BR237">
            <v>4.2257343940417934E-2</v>
          </cell>
          <cell r="BS237">
            <v>6.0945694389757402E-2</v>
          </cell>
          <cell r="BT237">
            <v>5.2822114251690477E-2</v>
          </cell>
          <cell r="BU237">
            <v>4.9011245591764424E-2</v>
          </cell>
          <cell r="BV237">
            <v>5.485668206760308E-2</v>
          </cell>
          <cell r="BW237">
            <v>4.3572520907384366E-2</v>
          </cell>
          <cell r="BX237">
            <v>3.853185168414739E-2</v>
          </cell>
          <cell r="BY237">
            <v>3.4466161148510539E-2</v>
          </cell>
          <cell r="BZ237">
            <v>4.2893784053639798E-2</v>
          </cell>
          <cell r="CA237">
            <v>2.5601177881416543E-2</v>
          </cell>
          <cell r="CB237">
            <v>4.7754945355256949E-2</v>
          </cell>
          <cell r="CC237">
            <v>4.3623820395558517E-2</v>
          </cell>
          <cell r="CD237">
            <v>4.4999999999999998E-2</v>
          </cell>
          <cell r="CE237">
            <v>4.0492422302757194E-2</v>
          </cell>
          <cell r="CF237">
            <v>3.3106614556921848E-2</v>
          </cell>
          <cell r="CG237">
            <v>6.13257003783272E-2</v>
          </cell>
          <cell r="CH237">
            <v>4.9837742564867268E-2</v>
          </cell>
          <cell r="CI237">
            <v>6.2652247100912134E-2</v>
          </cell>
          <cell r="CJ237">
            <v>5.1960326247391192E-2</v>
          </cell>
          <cell r="CK237">
            <v>4.7919441120699569E-2</v>
          </cell>
          <cell r="CL237">
            <v>6.7213308185214607E-2</v>
          </cell>
          <cell r="CM237">
            <v>5.3028295498041972E-2</v>
          </cell>
          <cell r="CN237">
            <v>4.3737997897759034E-2</v>
          </cell>
          <cell r="CO237">
            <v>5.2936002259677171E-2</v>
          </cell>
          <cell r="CP237">
            <v>2.8284197561771248E-2</v>
          </cell>
          <cell r="CQ237">
            <v>5.7390063376227339E-2</v>
          </cell>
          <cell r="CR237">
            <v>5.8097894182150132E-2</v>
          </cell>
          <cell r="CS237">
            <v>5.654401593099935E-2</v>
          </cell>
          <cell r="CT237">
            <v>0.05</v>
          </cell>
          <cell r="CU237">
            <v>0.05</v>
          </cell>
          <cell r="CV237">
            <v>5.000000000000001E-2</v>
          </cell>
          <cell r="CW237">
            <v>5.000000000000001E-2</v>
          </cell>
          <cell r="CX237">
            <v>0.05</v>
          </cell>
          <cell r="CY237">
            <v>4.9999999999999996E-2</v>
          </cell>
          <cell r="CZ237">
            <v>0.05</v>
          </cell>
          <cell r="DA237">
            <v>0.05</v>
          </cell>
          <cell r="DB237">
            <v>0.05</v>
          </cell>
          <cell r="DC237">
            <v>0.05</v>
          </cell>
          <cell r="DD237">
            <v>0.05</v>
          </cell>
          <cell r="DE237">
            <v>0.05</v>
          </cell>
          <cell r="DF237">
            <v>0.05</v>
          </cell>
          <cell r="DG237">
            <v>0.05</v>
          </cell>
          <cell r="DH237">
            <v>0.05</v>
          </cell>
          <cell r="DI237">
            <v>4.9999999999999996E-2</v>
          </cell>
        </row>
        <row r="238">
          <cell r="B238" t="str">
            <v>Stock Comp</v>
          </cell>
          <cell r="BP238">
            <v>18.402000000000001</v>
          </cell>
          <cell r="BQ238">
            <v>4.3</v>
          </cell>
          <cell r="BR238">
            <v>4.4319999999999995</v>
          </cell>
          <cell r="BS238">
            <v>4.8030000000000017</v>
          </cell>
          <cell r="BT238">
            <v>4.6909999999999998</v>
          </cell>
          <cell r="BU238">
            <v>18.225999999999999</v>
          </cell>
          <cell r="BV238">
            <v>2.7589999999999999</v>
          </cell>
          <cell r="BW238">
            <v>2.637</v>
          </cell>
          <cell r="BX238">
            <v>2.5589999999999997</v>
          </cell>
          <cell r="BY238">
            <v>2.9120000000000013</v>
          </cell>
          <cell r="BZ238">
            <v>10.867000000000001</v>
          </cell>
          <cell r="CA238">
            <v>4.4669999999999996</v>
          </cell>
          <cell r="CB238">
            <v>4.4669999999999996</v>
          </cell>
          <cell r="CC238">
            <v>4.8280000000000021</v>
          </cell>
          <cell r="CD238">
            <v>4.6039999999999992</v>
          </cell>
          <cell r="CE238">
            <v>18.366</v>
          </cell>
          <cell r="CF238">
            <v>6.4829999999999997</v>
          </cell>
          <cell r="CG238">
            <v>6.4620000000000006</v>
          </cell>
          <cell r="CH238">
            <v>6.355999999999999</v>
          </cell>
          <cell r="CI238">
            <v>5.868000000000003</v>
          </cell>
          <cell r="CJ238">
            <v>25.169</v>
          </cell>
          <cell r="CK238">
            <v>6.8869999999999996</v>
          </cell>
          <cell r="CL238">
            <v>6.3170000000000011</v>
          </cell>
          <cell r="CM238">
            <v>6.2332722886665675</v>
          </cell>
          <cell r="CN238">
            <v>6.4226807838613738</v>
          </cell>
          <cell r="CO238">
            <v>25.859953072527944</v>
          </cell>
          <cell r="CP238">
            <v>6.6434430884208888</v>
          </cell>
          <cell r="CQ238">
            <v>6.5483272102855263</v>
          </cell>
          <cell r="CR238">
            <v>6.4685462166376251</v>
          </cell>
          <cell r="CS238">
            <v>6.6463074371151816</v>
          </cell>
          <cell r="CT238">
            <v>26.306623952459226</v>
          </cell>
          <cell r="CU238">
            <v>6.7746959496123038</v>
          </cell>
          <cell r="CV238">
            <v>6.670874840243262</v>
          </cell>
          <cell r="CW238">
            <v>6.5964835768558325</v>
          </cell>
          <cell r="CX238">
            <v>6.7647548540223799</v>
          </cell>
          <cell r="CY238">
            <v>26.806809220733776</v>
          </cell>
          <cell r="CZ238">
            <v>7.045791666371632</v>
          </cell>
          <cell r="DA238">
            <v>6.9288628282940063</v>
          </cell>
          <cell r="DB238">
            <v>6.8571270740312009</v>
          </cell>
          <cell r="DC238">
            <v>7.046559192573298</v>
          </cell>
          <cell r="DD238">
            <v>27.878340761270138</v>
          </cell>
          <cell r="DE238">
            <v>7.3598145824543968</v>
          </cell>
          <cell r="DF238">
            <v>7.2210072317964187</v>
          </cell>
          <cell r="DG238">
            <v>7.1505284948925301</v>
          </cell>
          <cell r="DH238">
            <v>7.3305243802898916</v>
          </cell>
          <cell r="DI238">
            <v>29.061874689433235</v>
          </cell>
        </row>
        <row r="239">
          <cell r="B239" t="str">
            <v>% of revenues</v>
          </cell>
          <cell r="BP239">
            <v>4.1735831374721862E-3</v>
          </cell>
          <cell r="BQ239">
            <v>3.7307864497836147E-3</v>
          </cell>
          <cell r="BR239">
            <v>4.0097747306384966E-3</v>
          </cell>
          <cell r="BS239">
            <v>4.4393546991720245E-3</v>
          </cell>
          <cell r="BT239">
            <v>4.219185376128998E-3</v>
          </cell>
          <cell r="BU239">
            <v>4.0942481272510109E-3</v>
          </cell>
          <cell r="BV239">
            <v>2.3223456111539928E-3</v>
          </cell>
          <cell r="BW239">
            <v>2.2822217779520241E-3</v>
          </cell>
          <cell r="BX239">
            <v>2.2809458571730352E-3</v>
          </cell>
          <cell r="BY239">
            <v>2.4291565521326035E-3</v>
          </cell>
          <cell r="BZ239">
            <v>2.3298998381055154E-3</v>
          </cell>
          <cell r="CA239">
            <v>3.4762131921784812E-3</v>
          </cell>
          <cell r="CB239">
            <v>3.5799379220972805E-3</v>
          </cell>
          <cell r="CC239">
            <v>3.7996031980255928E-3</v>
          </cell>
          <cell r="CD239">
            <v>3.4051768450932981E-3</v>
          </cell>
          <cell r="CE239">
            <v>3.5623924939540575E-3</v>
          </cell>
          <cell r="CF239">
            <v>4.5220525919668865E-3</v>
          </cell>
          <cell r="CG239">
            <v>4.6310861839262184E-3</v>
          </cell>
          <cell r="CH239">
            <v>4.5392088807379282E-3</v>
          </cell>
          <cell r="CI239">
            <v>3.7050740825395564E-3</v>
          </cell>
          <cell r="CJ239">
            <v>4.3297691454963448E-3</v>
          </cell>
          <cell r="CK239">
            <v>4.0835615155011681E-3</v>
          </cell>
          <cell r="CL239">
            <v>3.7455359816334151E-3</v>
          </cell>
          <cell r="CM239">
            <v>3.7455359816334151E-3</v>
          </cell>
          <cell r="CN239">
            <v>3.7455359816334151E-3</v>
          </cell>
          <cell r="CO239">
            <v>3.829968145067161E-3</v>
          </cell>
          <cell r="CP239">
            <v>3.7455359816334151E-3</v>
          </cell>
          <cell r="CQ239">
            <v>3.7455359816334151E-3</v>
          </cell>
          <cell r="CR239">
            <v>3.7455359816334151E-3</v>
          </cell>
          <cell r="CS239">
            <v>3.7455359816334151E-3</v>
          </cell>
          <cell r="CT239">
            <v>3.7455359816334155E-3</v>
          </cell>
          <cell r="CU239">
            <v>3.7455359816334151E-3</v>
          </cell>
          <cell r="CV239">
            <v>3.7455359816334151E-3</v>
          </cell>
          <cell r="CW239">
            <v>3.7455359816334151E-3</v>
          </cell>
          <cell r="CX239">
            <v>3.7455359816334151E-3</v>
          </cell>
          <cell r="CY239">
            <v>3.7455359816334147E-3</v>
          </cell>
          <cell r="CZ239">
            <v>3.7455359816334151E-3</v>
          </cell>
          <cell r="DA239">
            <v>3.7455359816334151E-3</v>
          </cell>
          <cell r="DB239">
            <v>3.7455359816334151E-3</v>
          </cell>
          <cell r="DC239">
            <v>3.7455359816334151E-3</v>
          </cell>
          <cell r="DD239">
            <v>3.7455359816334151E-3</v>
          </cell>
          <cell r="DE239">
            <v>3.7455359816334151E-3</v>
          </cell>
          <cell r="DF239">
            <v>3.7455359816334151E-3</v>
          </cell>
          <cell r="DG239">
            <v>3.7455359816334151E-3</v>
          </cell>
          <cell r="DH239">
            <v>3.7455359816334151E-3</v>
          </cell>
          <cell r="DI239">
            <v>3.7455359816334147E-3</v>
          </cell>
        </row>
        <row r="241">
          <cell r="AW241" t="str">
            <v>2004-Q1</v>
          </cell>
          <cell r="AX241" t="str">
            <v>2004-Q2</v>
          </cell>
          <cell r="AY241" t="str">
            <v>2004-Q3</v>
          </cell>
          <cell r="AZ241" t="str">
            <v>2004-Q4</v>
          </cell>
          <cell r="BA241" t="str">
            <v>2004-FY</v>
          </cell>
          <cell r="BB241" t="str">
            <v>2005-Q1</v>
          </cell>
          <cell r="BC241" t="str">
            <v>2005-Q2</v>
          </cell>
          <cell r="BD241" t="str">
            <v>2005-Q3</v>
          </cell>
          <cell r="BE241" t="str">
            <v>2005-Q4</v>
          </cell>
          <cell r="BF241" t="str">
            <v>2005-FY</v>
          </cell>
          <cell r="BG241" t="str">
            <v>2006-Q1</v>
          </cell>
          <cell r="BH241" t="str">
            <v>2006-Q2</v>
          </cell>
          <cell r="BI241" t="str">
            <v>2006-Q3</v>
          </cell>
          <cell r="BJ241" t="str">
            <v>2006-Q4</v>
          </cell>
          <cell r="BK241" t="str">
            <v>2006-FY</v>
          </cell>
          <cell r="BL241" t="str">
            <v>2007-Q1</v>
          </cell>
          <cell r="BM241" t="str">
            <v>2007-Q2</v>
          </cell>
          <cell r="BN241" t="str">
            <v>2007-Q3</v>
          </cell>
          <cell r="BO241" t="str">
            <v>2007-Q4</v>
          </cell>
          <cell r="BP241" t="str">
            <v>2007-FY</v>
          </cell>
          <cell r="BQ241" t="str">
            <v>2008-Q1</v>
          </cell>
          <cell r="BR241" t="str">
            <v>2008-Q2</v>
          </cell>
          <cell r="BS241" t="str">
            <v>2008-Q3</v>
          </cell>
          <cell r="BT241" t="str">
            <v>2008-Q4</v>
          </cell>
          <cell r="BU241" t="str">
            <v>2008-FY</v>
          </cell>
          <cell r="BV241" t="str">
            <v>2009-Q1</v>
          </cell>
          <cell r="BW241" t="str">
            <v>2009-Q2</v>
          </cell>
          <cell r="BX241" t="str">
            <v>2009-Q3</v>
          </cell>
          <cell r="BY241" t="str">
            <v>2009-Q4</v>
          </cell>
          <cell r="BZ241" t="str">
            <v>2009-FY</v>
          </cell>
          <cell r="CA241" t="str">
            <v>2010-Q1</v>
          </cell>
          <cell r="CB241" t="str">
            <v>2010-Q2</v>
          </cell>
          <cell r="CC241" t="str">
            <v>2010-Q3</v>
          </cell>
          <cell r="CD241" t="str">
            <v>2010-Q4</v>
          </cell>
          <cell r="CE241" t="str">
            <v>2010-FY</v>
          </cell>
          <cell r="CF241" t="str">
            <v>2011-Q1</v>
          </cell>
          <cell r="CG241" t="str">
            <v>2011-Q2</v>
          </cell>
          <cell r="CH241" t="str">
            <v>2011-Q3</v>
          </cell>
          <cell r="CI241" t="str">
            <v>2011-Q4</v>
          </cell>
          <cell r="CJ241" t="str">
            <v>2011-FY</v>
          </cell>
          <cell r="CK241" t="str">
            <v>2012-Q1</v>
          </cell>
          <cell r="CL241" t="str">
            <v>2012-Q2</v>
          </cell>
          <cell r="CM241" t="str">
            <v>2012-Q3</v>
          </cell>
          <cell r="CN241" t="str">
            <v>2012-Q4</v>
          </cell>
          <cell r="CO241" t="str">
            <v>2012-FY</v>
          </cell>
          <cell r="CP241" t="str">
            <v>2013-Q1</v>
          </cell>
          <cell r="CQ241" t="str">
            <v>2013-Q2</v>
          </cell>
          <cell r="CR241" t="str">
            <v>2013-Q3</v>
          </cell>
          <cell r="CS241" t="str">
            <v>2013-Q4</v>
          </cell>
          <cell r="CT241" t="str">
            <v>2013-FY</v>
          </cell>
          <cell r="CU241" t="str">
            <v>2014-Q1</v>
          </cell>
          <cell r="CV241" t="str">
            <v>2014-Q2</v>
          </cell>
          <cell r="CW241" t="str">
            <v>2014-Q3</v>
          </cell>
          <cell r="CX241" t="str">
            <v>2014-Q4</v>
          </cell>
          <cell r="CY241" t="str">
            <v>2014-FY</v>
          </cell>
          <cell r="CZ241" t="str">
            <v>2015-Q1</v>
          </cell>
          <cell r="DA241" t="str">
            <v>2015-Q2</v>
          </cell>
          <cell r="DB241" t="str">
            <v>2015-Q3</v>
          </cell>
          <cell r="DC241" t="str">
            <v>2015-Q4</v>
          </cell>
          <cell r="DD241" t="str">
            <v>2015-FY</v>
          </cell>
          <cell r="DE241" t="str">
            <v>2016-Q1</v>
          </cell>
          <cell r="DF241" t="str">
            <v>2016-Q2</v>
          </cell>
          <cell r="DG241" t="str">
            <v>2016-Q3</v>
          </cell>
          <cell r="DH241" t="str">
            <v>2016-Q4</v>
          </cell>
          <cell r="DI241" t="str">
            <v>2016-FY</v>
          </cell>
        </row>
      </sheetData>
      <sheetData sheetId="5" refreshError="1"/>
      <sheetData sheetId="6" refreshError="1">
        <row r="1">
          <cell r="A1" t="str">
            <v>Health Management Associates</v>
          </cell>
        </row>
        <row r="2">
          <cell r="A2" t="str">
            <v>Andrew Schenker (212) 761-6857</v>
          </cell>
        </row>
        <row r="3">
          <cell r="A3" t="str">
            <v>Revenue Assumptions</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6">
          <cell r="B6" t="str">
            <v># of Days in period</v>
          </cell>
          <cell r="D6">
            <v>365</v>
          </cell>
          <cell r="E6">
            <v>365</v>
          </cell>
          <cell r="F6">
            <v>365</v>
          </cell>
          <cell r="G6">
            <v>365</v>
          </cell>
          <cell r="H6">
            <v>365</v>
          </cell>
          <cell r="I6">
            <v>365</v>
          </cell>
          <cell r="J6">
            <v>365</v>
          </cell>
          <cell r="K6">
            <v>365</v>
          </cell>
          <cell r="L6">
            <v>365</v>
          </cell>
          <cell r="M6">
            <v>92</v>
          </cell>
          <cell r="N6">
            <v>90</v>
          </cell>
          <cell r="O6">
            <v>91</v>
          </cell>
          <cell r="P6">
            <v>92</v>
          </cell>
          <cell r="Q6">
            <v>365</v>
          </cell>
          <cell r="R6">
            <v>92</v>
          </cell>
          <cell r="S6">
            <v>90</v>
          </cell>
          <cell r="T6">
            <v>91</v>
          </cell>
          <cell r="U6">
            <v>92</v>
          </cell>
          <cell r="V6">
            <v>365</v>
          </cell>
          <cell r="W6">
            <v>92</v>
          </cell>
          <cell r="X6">
            <v>90</v>
          </cell>
          <cell r="Y6">
            <v>91</v>
          </cell>
          <cell r="Z6">
            <v>92</v>
          </cell>
          <cell r="AA6">
            <v>365</v>
          </cell>
          <cell r="AB6">
            <v>92</v>
          </cell>
          <cell r="AC6">
            <v>90</v>
          </cell>
          <cell r="AD6">
            <v>91</v>
          </cell>
          <cell r="AE6">
            <v>92</v>
          </cell>
          <cell r="AF6">
            <v>365</v>
          </cell>
          <cell r="AG6">
            <v>92</v>
          </cell>
          <cell r="AH6">
            <v>90</v>
          </cell>
          <cell r="AI6">
            <v>91</v>
          </cell>
          <cell r="AJ6">
            <v>92</v>
          </cell>
          <cell r="AK6">
            <v>365</v>
          </cell>
          <cell r="AL6">
            <v>92</v>
          </cell>
          <cell r="AM6">
            <v>91</v>
          </cell>
          <cell r="AN6">
            <v>91</v>
          </cell>
          <cell r="AO6">
            <v>92</v>
          </cell>
          <cell r="AP6">
            <v>366</v>
          </cell>
          <cell r="AQ6">
            <v>92</v>
          </cell>
          <cell r="AR6">
            <v>90</v>
          </cell>
          <cell r="AS6">
            <v>91</v>
          </cell>
          <cell r="AT6">
            <v>92</v>
          </cell>
          <cell r="AU6">
            <v>365</v>
          </cell>
          <cell r="AW6">
            <v>91</v>
          </cell>
          <cell r="AX6">
            <v>91</v>
          </cell>
          <cell r="AY6">
            <v>92</v>
          </cell>
          <cell r="AZ6">
            <v>92</v>
          </cell>
          <cell r="BA6">
            <v>366</v>
          </cell>
          <cell r="BB6">
            <v>90</v>
          </cell>
          <cell r="BC6">
            <v>91</v>
          </cell>
          <cell r="BD6">
            <v>92</v>
          </cell>
          <cell r="BE6">
            <v>92</v>
          </cell>
          <cell r="BF6">
            <v>365</v>
          </cell>
          <cell r="BG6">
            <v>90</v>
          </cell>
          <cell r="BH6">
            <v>91</v>
          </cell>
          <cell r="BI6">
            <v>92</v>
          </cell>
          <cell r="BJ6">
            <v>92</v>
          </cell>
          <cell r="BK6">
            <v>365</v>
          </cell>
          <cell r="BL6">
            <v>90</v>
          </cell>
          <cell r="BM6">
            <v>91</v>
          </cell>
          <cell r="BN6">
            <v>92</v>
          </cell>
          <cell r="BO6">
            <v>92</v>
          </cell>
          <cell r="BP6">
            <v>365</v>
          </cell>
          <cell r="BQ6">
            <v>91</v>
          </cell>
          <cell r="BR6">
            <v>91</v>
          </cell>
          <cell r="BS6">
            <v>92</v>
          </cell>
          <cell r="BT6">
            <v>92</v>
          </cell>
          <cell r="BU6">
            <v>366</v>
          </cell>
          <cell r="BV6">
            <v>90</v>
          </cell>
          <cell r="BW6">
            <v>91</v>
          </cell>
          <cell r="BX6">
            <v>92</v>
          </cell>
          <cell r="BY6">
            <v>92</v>
          </cell>
          <cell r="BZ6">
            <v>365</v>
          </cell>
          <cell r="CA6">
            <v>90</v>
          </cell>
          <cell r="CB6">
            <v>91</v>
          </cell>
          <cell r="CC6">
            <v>92</v>
          </cell>
          <cell r="CD6">
            <v>92</v>
          </cell>
          <cell r="CE6">
            <v>365</v>
          </cell>
          <cell r="CF6">
            <v>90</v>
          </cell>
          <cell r="CG6">
            <v>91</v>
          </cell>
          <cell r="CH6">
            <v>92</v>
          </cell>
          <cell r="CI6">
            <v>92</v>
          </cell>
          <cell r="CJ6">
            <v>365</v>
          </cell>
          <cell r="CK6">
            <v>91</v>
          </cell>
          <cell r="CL6">
            <v>91</v>
          </cell>
          <cell r="CM6">
            <v>92</v>
          </cell>
          <cell r="CN6">
            <v>92</v>
          </cell>
          <cell r="CO6">
            <v>366</v>
          </cell>
          <cell r="CP6">
            <v>90</v>
          </cell>
          <cell r="CQ6">
            <v>91</v>
          </cell>
          <cell r="CR6">
            <v>92</v>
          </cell>
          <cell r="CS6">
            <v>92</v>
          </cell>
          <cell r="CT6">
            <v>365</v>
          </cell>
          <cell r="CU6">
            <v>90</v>
          </cell>
          <cell r="CV6">
            <v>91</v>
          </cell>
          <cell r="CW6">
            <v>92</v>
          </cell>
          <cell r="CX6">
            <v>92</v>
          </cell>
          <cell r="CY6">
            <v>365</v>
          </cell>
          <cell r="CZ6">
            <v>90</v>
          </cell>
          <cell r="DA6">
            <v>91</v>
          </cell>
          <cell r="DB6">
            <v>92</v>
          </cell>
          <cell r="DC6">
            <v>92</v>
          </cell>
          <cell r="DD6">
            <v>365</v>
          </cell>
          <cell r="DE6">
            <v>90</v>
          </cell>
          <cell r="DF6">
            <v>91</v>
          </cell>
          <cell r="DG6">
            <v>92</v>
          </cell>
          <cell r="DH6">
            <v>92</v>
          </cell>
          <cell r="DI6">
            <v>365</v>
          </cell>
        </row>
        <row r="8">
          <cell r="B8" t="str">
            <v>Gross Revenue</v>
          </cell>
          <cell r="D8">
            <v>211.79300000000001</v>
          </cell>
          <cell r="E8">
            <v>245.24700000000001</v>
          </cell>
          <cell r="F8">
            <v>301.88299999999998</v>
          </cell>
          <cell r="G8">
            <v>346.767</v>
          </cell>
          <cell r="H8">
            <v>438.36599999999999</v>
          </cell>
          <cell r="I8">
            <v>531.09400000000005</v>
          </cell>
          <cell r="J8">
            <v>714.31700000000001</v>
          </cell>
          <cell r="K8">
            <v>895.48199999999997</v>
          </cell>
          <cell r="L8">
            <v>1138.8019999999999</v>
          </cell>
          <cell r="M8">
            <v>305.49599999999998</v>
          </cell>
          <cell r="N8">
            <v>339.74799999999999</v>
          </cell>
          <cell r="O8">
            <v>352.47300000000001</v>
          </cell>
          <cell r="P8">
            <v>357.99</v>
          </cell>
          <cell r="Q8">
            <v>1355.7069999999999</v>
          </cell>
          <cell r="R8">
            <v>370.09399999999999</v>
          </cell>
          <cell r="S8">
            <v>408.65499999999997</v>
          </cell>
          <cell r="T8">
            <v>391.09899999999999</v>
          </cell>
          <cell r="U8">
            <v>407.91899999999998</v>
          </cell>
          <cell r="V8">
            <v>1577.7669999999998</v>
          </cell>
          <cell r="W8">
            <v>434.23700000000002</v>
          </cell>
          <cell r="X8">
            <v>481.14400000000001</v>
          </cell>
          <cell r="Y8">
            <v>473.20299999999997</v>
          </cell>
          <cell r="Z8">
            <v>491.21699999999998</v>
          </cell>
          <cell r="AA8">
            <v>1879.8009999999999</v>
          </cell>
          <cell r="AB8">
            <v>495.82100000000003</v>
          </cell>
          <cell r="AC8">
            <v>579.94799999999998</v>
          </cell>
          <cell r="AD8">
            <v>592.476</v>
          </cell>
          <cell r="AE8">
            <v>594.35599999999999</v>
          </cell>
          <cell r="AF8">
            <v>2262.6009999999997</v>
          </cell>
          <cell r="AG8">
            <v>609.41899999999998</v>
          </cell>
          <cell r="AH8">
            <v>646.47199999999998</v>
          </cell>
          <cell r="AI8">
            <v>647.12699999999995</v>
          </cell>
          <cell r="AJ8">
            <v>657.55799999999999</v>
          </cell>
          <cell r="AK8">
            <v>2560.576</v>
          </cell>
          <cell r="AL8">
            <v>756.553</v>
          </cell>
          <cell r="AM8">
            <v>833.90700000000004</v>
          </cell>
          <cell r="AN8">
            <v>817.34100000000001</v>
          </cell>
          <cell r="AO8">
            <v>798.08399999999995</v>
          </cell>
          <cell r="AP8">
            <v>3205.8849999999998</v>
          </cell>
          <cell r="AQ8">
            <v>822.18100000000004</v>
          </cell>
          <cell r="AR8">
            <v>917.44799999999998</v>
          </cell>
          <cell r="AS8">
            <v>934.26400000000001</v>
          </cell>
          <cell r="AT8">
            <v>905.59199999999998</v>
          </cell>
          <cell r="AU8">
            <v>3579.4850000000001</v>
          </cell>
          <cell r="AW8">
            <v>833.90700000000004</v>
          </cell>
          <cell r="AX8">
            <v>817.34100000000001</v>
          </cell>
          <cell r="AY8">
            <v>798.08399999999995</v>
          </cell>
          <cell r="AZ8">
            <v>822.18100000000004</v>
          </cell>
          <cell r="BA8">
            <v>3271.5129999999999</v>
          </cell>
          <cell r="BB8">
            <v>917.44799999999998</v>
          </cell>
          <cell r="BC8">
            <v>934.26400000000001</v>
          </cell>
          <cell r="BD8">
            <v>905.59199999999998</v>
          </cell>
          <cell r="BE8">
            <v>936.50300000000004</v>
          </cell>
          <cell r="BF8">
            <v>3693.8070000000002</v>
          </cell>
          <cell r="BG8">
            <v>1032.6600000000001</v>
          </cell>
          <cell r="BH8">
            <v>1022.006</v>
          </cell>
          <cell r="BI8">
            <v>994.11099999999999</v>
          </cell>
          <cell r="BJ8">
            <v>1052.7329999999999</v>
          </cell>
          <cell r="BK8">
            <v>4101.51</v>
          </cell>
          <cell r="BL8">
            <v>1143.5329999999999</v>
          </cell>
          <cell r="BM8">
            <v>1099.1610000000001</v>
          </cell>
          <cell r="BN8">
            <v>1070.1890000000001</v>
          </cell>
          <cell r="BO8">
            <v>1096.278</v>
          </cell>
          <cell r="BP8">
            <v>4409.1610000000001</v>
          </cell>
          <cell r="BQ8">
            <v>1152.5719999999999</v>
          </cell>
          <cell r="BR8">
            <v>1105.299</v>
          </cell>
          <cell r="BS8">
            <v>1081.914</v>
          </cell>
          <cell r="BT8">
            <v>1111.826</v>
          </cell>
          <cell r="BU8">
            <v>4451.6109999999999</v>
          </cell>
          <cell r="BV8">
            <v>1188.0229999999999</v>
          </cell>
          <cell r="BW8">
            <v>1155.453</v>
          </cell>
          <cell r="BX8">
            <v>1121.903</v>
          </cell>
          <cell r="BY8">
            <v>1198.77</v>
          </cell>
          <cell r="BZ8">
            <v>4664.1489999999994</v>
          </cell>
          <cell r="CA8">
            <v>1285.019</v>
          </cell>
          <cell r="CB8">
            <v>1247.787</v>
          </cell>
          <cell r="CC8">
            <v>1270.6590000000001</v>
          </cell>
          <cell r="CD8">
            <v>1352.059</v>
          </cell>
          <cell r="CE8">
            <v>5155.5240000000003</v>
          </cell>
          <cell r="CF8">
            <v>1433.6410000000001</v>
          </cell>
          <cell r="CG8">
            <v>1395.3530000000001</v>
          </cell>
          <cell r="CH8">
            <v>1400.2439999999999</v>
          </cell>
          <cell r="CI8">
            <v>1583.7739999999999</v>
          </cell>
          <cell r="CJ8">
            <v>5813.0120000000006</v>
          </cell>
          <cell r="CK8">
            <v>1686.518</v>
          </cell>
          <cell r="CL8">
            <v>1686.5409999999999</v>
          </cell>
          <cell r="CM8">
            <v>1664.1869999999999</v>
          </cell>
          <cell r="CN8">
            <v>1714.7561297917275</v>
          </cell>
          <cell r="CO8">
            <v>6752.0021297917274</v>
          </cell>
          <cell r="CP8">
            <v>1773.696240270453</v>
          </cell>
          <cell r="CQ8">
            <v>1748.3017764068638</v>
          </cell>
          <cell r="CR8">
            <v>1727.0014888007336</v>
          </cell>
          <cell r="CS8">
            <v>1774.4609769352023</v>
          </cell>
          <cell r="CT8">
            <v>7023.460482413253</v>
          </cell>
          <cell r="CU8">
            <v>1808.7387179919394</v>
          </cell>
          <cell r="CV8">
            <v>1781.0200924392448</v>
          </cell>
          <cell r="CW8">
            <v>1761.1587791980387</v>
          </cell>
          <cell r="CX8">
            <v>1806.0845996925368</v>
          </cell>
          <cell r="CY8">
            <v>7157.0021893217599</v>
          </cell>
          <cell r="CZ8">
            <v>1881.1170686709002</v>
          </cell>
          <cell r="DA8">
            <v>1849.8988829022953</v>
          </cell>
          <cell r="DB8">
            <v>1830.7465494006099</v>
          </cell>
          <cell r="DC8">
            <v>1881.3219862595788</v>
          </cell>
          <cell r="DD8">
            <v>7443.0844872333846</v>
          </cell>
          <cell r="DE8">
            <v>1964.9563156098177</v>
          </cell>
          <cell r="DF8">
            <v>1927.8969063987906</v>
          </cell>
          <cell r="DG8">
            <v>1909.0801770309545</v>
          </cell>
          <cell r="DH8">
            <v>1957.1362860311051</v>
          </cell>
          <cell r="DI8">
            <v>7759.0696850706681</v>
          </cell>
        </row>
        <row r="9">
          <cell r="B9" t="str">
            <v>Provision for doubtful accounts</v>
          </cell>
          <cell r="D9">
            <v>20.132000000000001</v>
          </cell>
          <cell r="E9">
            <v>19.106999999999999</v>
          </cell>
          <cell r="F9">
            <v>23.922000000000001</v>
          </cell>
          <cell r="G9">
            <v>30.15</v>
          </cell>
          <cell r="H9">
            <v>40.002000000000002</v>
          </cell>
          <cell r="I9">
            <v>48.338000000000001</v>
          </cell>
          <cell r="J9">
            <v>64.763000000000005</v>
          </cell>
          <cell r="K9">
            <v>76.894000000000005</v>
          </cell>
          <cell r="L9">
            <v>98.257999999999996</v>
          </cell>
          <cell r="M9">
            <v>29.094999999999999</v>
          </cell>
          <cell r="N9">
            <v>29.876999999999999</v>
          </cell>
          <cell r="O9">
            <v>35.957999999999998</v>
          </cell>
          <cell r="P9">
            <v>35.082999999999998</v>
          </cell>
          <cell r="Q9">
            <v>130.01299999999998</v>
          </cell>
          <cell r="R9">
            <v>34.173000000000002</v>
          </cell>
          <cell r="S9">
            <v>32.884999999999998</v>
          </cell>
          <cell r="T9">
            <v>34.353000000000002</v>
          </cell>
          <cell r="U9">
            <v>34.451000000000001</v>
          </cell>
          <cell r="V9">
            <v>135.86199999999999</v>
          </cell>
          <cell r="W9">
            <v>35.905000000000001</v>
          </cell>
          <cell r="X9">
            <v>33.051000000000002</v>
          </cell>
          <cell r="Y9">
            <v>36.158000000000001</v>
          </cell>
          <cell r="Z9">
            <v>38.808999999999997</v>
          </cell>
          <cell r="AA9">
            <v>143.923</v>
          </cell>
          <cell r="AB9">
            <v>36.878</v>
          </cell>
          <cell r="AC9">
            <v>43.713000000000001</v>
          </cell>
          <cell r="AD9">
            <v>45.484999999999999</v>
          </cell>
          <cell r="AE9">
            <v>46.353999999999999</v>
          </cell>
          <cell r="AF9">
            <v>172.43</v>
          </cell>
          <cell r="AG9">
            <v>46.307000000000002</v>
          </cell>
          <cell r="AH9">
            <v>45.017000000000003</v>
          </cell>
          <cell r="AI9">
            <v>46.448</v>
          </cell>
          <cell r="AJ9">
            <v>49.054000000000002</v>
          </cell>
          <cell r="AK9">
            <v>186.82600000000002</v>
          </cell>
          <cell r="AL9">
            <v>58.087000000000003</v>
          </cell>
          <cell r="AM9">
            <v>59.578000000000003</v>
          </cell>
          <cell r="AN9">
            <v>62.514000000000003</v>
          </cell>
          <cell r="AO9">
            <v>59.895000000000003</v>
          </cell>
          <cell r="AP9">
            <v>240.07400000000001</v>
          </cell>
          <cell r="AQ9">
            <v>62.085999999999999</v>
          </cell>
          <cell r="AR9">
            <v>64.572999999999993</v>
          </cell>
          <cell r="AS9">
            <v>105.41200000000001</v>
          </cell>
          <cell r="AT9">
            <v>75.754999999999995</v>
          </cell>
          <cell r="AU9">
            <v>307.82600000000002</v>
          </cell>
          <cell r="AW9">
            <v>59.578000000000003</v>
          </cell>
          <cell r="AX9">
            <v>62.514000000000003</v>
          </cell>
          <cell r="AY9">
            <v>59.895000000000003</v>
          </cell>
          <cell r="AZ9">
            <v>62.085999999999999</v>
          </cell>
          <cell r="BA9">
            <v>244.07300000000004</v>
          </cell>
          <cell r="BB9">
            <v>64.572999999999993</v>
          </cell>
          <cell r="BC9">
            <v>105.41200000000001</v>
          </cell>
          <cell r="BD9">
            <v>75.754999999999995</v>
          </cell>
          <cell r="BE9">
            <v>81.106999999999999</v>
          </cell>
          <cell r="BF9">
            <v>326.84699999999998</v>
          </cell>
          <cell r="BG9">
            <v>83.775999999999996</v>
          </cell>
          <cell r="BH9">
            <v>91.206000000000003</v>
          </cell>
          <cell r="BI9">
            <v>94.072999999999993</v>
          </cell>
          <cell r="BJ9">
            <v>302.81900000000002</v>
          </cell>
          <cell r="BK9">
            <v>571.87400000000002</v>
          </cell>
          <cell r="BL9">
            <v>121.46899999999999</v>
          </cell>
          <cell r="BM9">
            <v>150.62899999999999</v>
          </cell>
          <cell r="BN9">
            <v>126.486</v>
          </cell>
          <cell r="BO9">
            <v>135.22</v>
          </cell>
          <cell r="BP9">
            <v>533.80399999999997</v>
          </cell>
          <cell r="BQ9">
            <v>128.97</v>
          </cell>
          <cell r="BR9">
            <v>124.837</v>
          </cell>
          <cell r="BS9">
            <v>124.194</v>
          </cell>
          <cell r="BT9">
            <v>130.22900000000001</v>
          </cell>
          <cell r="BU9">
            <v>508.23</v>
          </cell>
          <cell r="BV9">
            <v>143.983</v>
          </cell>
          <cell r="BW9">
            <v>141.505</v>
          </cell>
          <cell r="BX9">
            <v>143.745</v>
          </cell>
          <cell r="BY9">
            <v>147.16399999999999</v>
          </cell>
          <cell r="BZ9">
            <v>576.39699999999993</v>
          </cell>
          <cell r="CA9">
            <v>158.80500000000001</v>
          </cell>
          <cell r="CB9">
            <v>149.73099999999999</v>
          </cell>
          <cell r="CC9">
            <v>159.922</v>
          </cell>
          <cell r="CD9">
            <v>164.553</v>
          </cell>
          <cell r="CE9">
            <v>633.01099999999997</v>
          </cell>
          <cell r="CF9">
            <v>172.80199999999999</v>
          </cell>
          <cell r="CG9">
            <v>170.78700000000001</v>
          </cell>
          <cell r="CH9">
            <v>178.87299999999999</v>
          </cell>
          <cell r="CI9">
            <v>195.12700000000001</v>
          </cell>
          <cell r="CJ9">
            <v>717.58899999999994</v>
          </cell>
          <cell r="CK9">
            <v>201.261</v>
          </cell>
          <cell r="CL9">
            <v>214.56299999999999</v>
          </cell>
          <cell r="CM9">
            <v>224.078</v>
          </cell>
          <cell r="CN9">
            <v>231.49207752188323</v>
          </cell>
          <cell r="CO9">
            <v>871.39407752188322</v>
          </cell>
          <cell r="CP9">
            <v>235.56444688548012</v>
          </cell>
          <cell r="CQ9">
            <v>241.42522828460378</v>
          </cell>
          <cell r="CR9">
            <v>254.002584369668</v>
          </cell>
          <cell r="CS9">
            <v>257.02973061024016</v>
          </cell>
          <cell r="CT9">
            <v>988.02199014999201</v>
          </cell>
          <cell r="CU9">
            <v>189.48801670731294</v>
          </cell>
          <cell r="CV9">
            <v>194.77399794157026</v>
          </cell>
          <cell r="CW9">
            <v>204.69666651038935</v>
          </cell>
          <cell r="CX9">
            <v>207.56875740520627</v>
          </cell>
          <cell r="CY9">
            <v>796.52743856447887</v>
          </cell>
          <cell r="CZ9">
            <v>172.64500807231349</v>
          </cell>
          <cell r="DA9">
            <v>176.50685420070937</v>
          </cell>
          <cell r="DB9">
            <v>185.37446677882798</v>
          </cell>
          <cell r="DC9">
            <v>188.28177216036485</v>
          </cell>
          <cell r="DD9">
            <v>722.80810121221566</v>
          </cell>
          <cell r="DE9">
            <v>161.64526418738677</v>
          </cell>
          <cell r="DF9">
            <v>164.28377525814815</v>
          </cell>
          <cell r="DG9">
            <v>172.42250458134649</v>
          </cell>
          <cell r="DH9">
            <v>175.27856747258164</v>
          </cell>
          <cell r="DI9">
            <v>673.63011149946306</v>
          </cell>
        </row>
        <row r="10">
          <cell r="B10" t="str">
            <v>Net Revenue</v>
          </cell>
          <cell r="D10">
            <v>191.661</v>
          </cell>
          <cell r="E10">
            <v>226.14000000000001</v>
          </cell>
          <cell r="F10">
            <v>277.96099999999996</v>
          </cell>
          <cell r="G10">
            <v>316.61700000000002</v>
          </cell>
          <cell r="H10">
            <v>398.36399999999998</v>
          </cell>
          <cell r="I10">
            <v>482.75600000000003</v>
          </cell>
          <cell r="J10">
            <v>649.55399999999997</v>
          </cell>
          <cell r="K10">
            <v>818.58799999999997</v>
          </cell>
          <cell r="L10">
            <v>1040.5439999999999</v>
          </cell>
          <cell r="M10">
            <v>276.40099999999995</v>
          </cell>
          <cell r="N10">
            <v>309.87099999999998</v>
          </cell>
          <cell r="O10">
            <v>316.51499999999999</v>
          </cell>
          <cell r="P10">
            <v>322.90700000000004</v>
          </cell>
          <cell r="Q10">
            <v>1225.694</v>
          </cell>
          <cell r="R10">
            <v>335.92099999999999</v>
          </cell>
          <cell r="S10">
            <v>375.77</v>
          </cell>
          <cell r="T10">
            <v>356.74599999999998</v>
          </cell>
          <cell r="U10">
            <v>373.46799999999996</v>
          </cell>
          <cell r="V10">
            <v>1441.9049999999997</v>
          </cell>
          <cell r="W10">
            <v>398.33199999999999</v>
          </cell>
          <cell r="X10">
            <v>448.09300000000002</v>
          </cell>
          <cell r="Y10">
            <v>437.04499999999996</v>
          </cell>
          <cell r="Z10">
            <v>452.40800000000002</v>
          </cell>
          <cell r="AA10">
            <v>1735.8779999999999</v>
          </cell>
          <cell r="AB10">
            <v>458.94300000000004</v>
          </cell>
          <cell r="AC10">
            <v>536.23500000000001</v>
          </cell>
          <cell r="AD10">
            <v>546.99099999999999</v>
          </cell>
          <cell r="AE10">
            <v>548.00199999999995</v>
          </cell>
          <cell r="AF10">
            <v>2090.1709999999998</v>
          </cell>
          <cell r="AG10">
            <v>563.11199999999997</v>
          </cell>
          <cell r="AH10">
            <v>601.45499999999993</v>
          </cell>
          <cell r="AI10">
            <v>600.67899999999997</v>
          </cell>
          <cell r="AJ10">
            <v>608.50400000000002</v>
          </cell>
          <cell r="AK10">
            <v>2373.75</v>
          </cell>
          <cell r="AL10">
            <v>698.46600000000001</v>
          </cell>
          <cell r="AM10">
            <v>774.32900000000006</v>
          </cell>
          <cell r="AN10">
            <v>754.827</v>
          </cell>
          <cell r="AO10">
            <v>738.18899999999996</v>
          </cell>
          <cell r="AP10">
            <v>2965.8109999999997</v>
          </cell>
          <cell r="AQ10">
            <v>760.09500000000003</v>
          </cell>
          <cell r="AR10">
            <v>852.875</v>
          </cell>
          <cell r="AS10">
            <v>828.85199999999998</v>
          </cell>
          <cell r="AT10">
            <v>829.83699999999999</v>
          </cell>
          <cell r="AU10">
            <v>3271.6590000000001</v>
          </cell>
          <cell r="AW10">
            <v>774.32900000000006</v>
          </cell>
          <cell r="AX10">
            <v>754.827</v>
          </cell>
          <cell r="AY10">
            <v>738.18899999999996</v>
          </cell>
          <cell r="AZ10">
            <v>760.09500000000003</v>
          </cell>
          <cell r="BA10">
            <v>3027.44</v>
          </cell>
          <cell r="BB10">
            <v>852.875</v>
          </cell>
          <cell r="BC10">
            <v>828.85199999999998</v>
          </cell>
          <cell r="BD10">
            <v>829.83699999999999</v>
          </cell>
          <cell r="BE10">
            <v>855.39600000000007</v>
          </cell>
          <cell r="BF10">
            <v>3366.96</v>
          </cell>
          <cell r="BG10">
            <v>948.88400000000013</v>
          </cell>
          <cell r="BH10">
            <v>930.8</v>
          </cell>
          <cell r="BI10">
            <v>900.03800000000001</v>
          </cell>
          <cell r="BJ10">
            <v>749.91399999999999</v>
          </cell>
          <cell r="BK10">
            <v>3529.6360000000004</v>
          </cell>
          <cell r="BL10">
            <v>1022.0639999999999</v>
          </cell>
          <cell r="BM10">
            <v>948.53200000000004</v>
          </cell>
          <cell r="BN10">
            <v>943.70300000000009</v>
          </cell>
          <cell r="BO10">
            <v>961.05799999999999</v>
          </cell>
          <cell r="BP10">
            <v>3875.357</v>
          </cell>
          <cell r="BQ10">
            <v>1023.6019999999999</v>
          </cell>
          <cell r="BR10">
            <v>980.46199999999999</v>
          </cell>
          <cell r="BS10">
            <v>957.72</v>
          </cell>
          <cell r="BT10">
            <v>981.59699999999998</v>
          </cell>
          <cell r="BU10">
            <v>3943.3809999999999</v>
          </cell>
          <cell r="BV10">
            <v>1044.04</v>
          </cell>
          <cell r="BW10">
            <v>1013.948</v>
          </cell>
          <cell r="BX10">
            <v>978.15800000000002</v>
          </cell>
          <cell r="BY10">
            <v>1051.606</v>
          </cell>
          <cell r="BZ10">
            <v>4087.7519999999995</v>
          </cell>
          <cell r="CA10">
            <v>1126.2139999999999</v>
          </cell>
          <cell r="CB10">
            <v>1098.056</v>
          </cell>
          <cell r="CC10">
            <v>1110.7370000000001</v>
          </cell>
          <cell r="CD10">
            <v>1187.5059999999999</v>
          </cell>
          <cell r="CE10">
            <v>4522.5130000000008</v>
          </cell>
          <cell r="CF10">
            <v>1260.8390000000002</v>
          </cell>
          <cell r="CG10">
            <v>1224.566</v>
          </cell>
          <cell r="CH10">
            <v>1221.3709999999999</v>
          </cell>
          <cell r="CI10">
            <v>1388.6469999999999</v>
          </cell>
          <cell r="CJ10">
            <v>5095.4230000000007</v>
          </cell>
          <cell r="CK10">
            <v>1485.2570000000001</v>
          </cell>
          <cell r="CL10">
            <v>1471.9780000000001</v>
          </cell>
          <cell r="CM10">
            <v>1440.1089999999999</v>
          </cell>
          <cell r="CN10">
            <v>1483.2640522698443</v>
          </cell>
          <cell r="CO10">
            <v>5880.6080522698448</v>
          </cell>
          <cell r="CP10">
            <v>1538.131793384973</v>
          </cell>
          <cell r="CQ10">
            <v>1506.8765481222601</v>
          </cell>
          <cell r="CR10">
            <v>1472.9989044310655</v>
          </cell>
          <cell r="CS10">
            <v>1517.4312463249621</v>
          </cell>
          <cell r="CT10">
            <v>6035.4384922632617</v>
          </cell>
          <cell r="CU10">
            <v>1619.2507012846265</v>
          </cell>
          <cell r="CV10">
            <v>1586.2460944976744</v>
          </cell>
          <cell r="CW10">
            <v>1556.4621126876493</v>
          </cell>
          <cell r="CX10">
            <v>1598.5158422873305</v>
          </cell>
          <cell r="CY10">
            <v>6360.4747507572811</v>
          </cell>
          <cell r="CZ10">
            <v>1708.4720605985867</v>
          </cell>
          <cell r="DA10">
            <v>1673.392028701586</v>
          </cell>
          <cell r="DB10">
            <v>1645.3720826217818</v>
          </cell>
          <cell r="DC10">
            <v>1693.0402140992139</v>
          </cell>
          <cell r="DD10">
            <v>6720.2763860211689</v>
          </cell>
          <cell r="DE10">
            <v>1803.3110514224309</v>
          </cell>
          <cell r="DF10">
            <v>1763.6131311406425</v>
          </cell>
          <cell r="DG10">
            <v>1736.6576724496081</v>
          </cell>
          <cell r="DH10">
            <v>1781.8577185585234</v>
          </cell>
          <cell r="DI10">
            <v>7085.4395735712051</v>
          </cell>
        </row>
        <row r="12">
          <cell r="B12" t="str">
            <v>Acquisitions</v>
          </cell>
        </row>
        <row r="13">
          <cell r="B13" t="str">
            <v>Bayfront Health System</v>
          </cell>
          <cell r="Q13">
            <v>0</v>
          </cell>
          <cell r="V13">
            <v>0</v>
          </cell>
          <cell r="AA13">
            <v>0</v>
          </cell>
          <cell r="AF13">
            <v>0</v>
          </cell>
          <cell r="AK13">
            <v>0</v>
          </cell>
          <cell r="AP13">
            <v>0</v>
          </cell>
          <cell r="AU13">
            <v>0</v>
          </cell>
          <cell r="BA13">
            <v>0</v>
          </cell>
          <cell r="BF13">
            <v>0</v>
          </cell>
          <cell r="BK13">
            <v>0</v>
          </cell>
          <cell r="BP13">
            <v>0</v>
          </cell>
          <cell r="BU13">
            <v>0</v>
          </cell>
          <cell r="BZ13">
            <v>0</v>
          </cell>
          <cell r="CE13">
            <v>0</v>
          </cell>
          <cell r="CJ13">
            <v>0</v>
          </cell>
          <cell r="CP13">
            <v>31.25</v>
          </cell>
          <cell r="CQ13">
            <v>62.5</v>
          </cell>
          <cell r="CR13">
            <v>62.5</v>
          </cell>
          <cell r="CS13">
            <v>62.5</v>
          </cell>
          <cell r="CT13">
            <v>218.75</v>
          </cell>
          <cell r="CU13">
            <v>31.25</v>
          </cell>
          <cell r="CY13">
            <v>31.25</v>
          </cell>
          <cell r="DD13">
            <v>0</v>
          </cell>
          <cell r="DI13">
            <v>0</v>
          </cell>
        </row>
        <row r="14">
          <cell r="B14" t="str">
            <v>Integris Hospitals in April 2012</v>
          </cell>
          <cell r="Q14">
            <v>0</v>
          </cell>
          <cell r="V14">
            <v>0</v>
          </cell>
          <cell r="AA14">
            <v>0</v>
          </cell>
          <cell r="AF14">
            <v>0</v>
          </cell>
          <cell r="AK14">
            <v>0</v>
          </cell>
          <cell r="AP14">
            <v>0</v>
          </cell>
          <cell r="AU14">
            <v>0</v>
          </cell>
          <cell r="BA14">
            <v>0</v>
          </cell>
          <cell r="BF14">
            <v>0</v>
          </cell>
          <cell r="BK14">
            <v>0</v>
          </cell>
          <cell r="BP14">
            <v>0</v>
          </cell>
          <cell r="BU14">
            <v>0</v>
          </cell>
          <cell r="BZ14">
            <v>0</v>
          </cell>
          <cell r="CE14">
            <v>0</v>
          </cell>
          <cell r="CJ14">
            <v>0</v>
          </cell>
          <cell r="CL14">
            <v>23.75</v>
          </cell>
          <cell r="CM14">
            <v>23.75</v>
          </cell>
          <cell r="CN14">
            <v>23.75</v>
          </cell>
          <cell r="CO14">
            <v>71.25</v>
          </cell>
          <cell r="CP14">
            <v>23.75</v>
          </cell>
          <cell r="CT14">
            <v>23.75</v>
          </cell>
          <cell r="CY14">
            <v>0</v>
          </cell>
          <cell r="DD14">
            <v>0</v>
          </cell>
          <cell r="DI14">
            <v>0</v>
          </cell>
        </row>
        <row r="15">
          <cell r="B15" t="str">
            <v>Mercy Hospitals in September 2011</v>
          </cell>
          <cell r="Q15">
            <v>0</v>
          </cell>
          <cell r="V15">
            <v>0</v>
          </cell>
          <cell r="AA15">
            <v>0</v>
          </cell>
          <cell r="AF15">
            <v>0</v>
          </cell>
          <cell r="AK15">
            <v>0</v>
          </cell>
          <cell r="AP15">
            <v>0</v>
          </cell>
          <cell r="AU15">
            <v>0</v>
          </cell>
          <cell r="BA15">
            <v>0</v>
          </cell>
          <cell r="BF15">
            <v>0</v>
          </cell>
          <cell r="BK15">
            <v>0</v>
          </cell>
          <cell r="BP15">
            <v>0</v>
          </cell>
          <cell r="BU15">
            <v>0</v>
          </cell>
          <cell r="BZ15">
            <v>0</v>
          </cell>
          <cell r="CE15">
            <v>0</v>
          </cell>
          <cell r="CI15">
            <v>150</v>
          </cell>
          <cell r="CJ15">
            <v>150</v>
          </cell>
          <cell r="CK15">
            <v>150</v>
          </cell>
          <cell r="CL15">
            <v>150</v>
          </cell>
          <cell r="CM15">
            <v>150</v>
          </cell>
          <cell r="CO15">
            <v>450</v>
          </cell>
          <cell r="CT15">
            <v>0</v>
          </cell>
          <cell r="CY15">
            <v>0</v>
          </cell>
          <cell r="DD15">
            <v>0</v>
          </cell>
          <cell r="DI15">
            <v>0</v>
          </cell>
        </row>
        <row r="16">
          <cell r="B16" t="str">
            <v>Tri−Lakes in May 2011</v>
          </cell>
          <cell r="Q16">
            <v>0</v>
          </cell>
          <cell r="V16">
            <v>0</v>
          </cell>
          <cell r="AA16">
            <v>0</v>
          </cell>
          <cell r="AF16">
            <v>0</v>
          </cell>
          <cell r="AK16">
            <v>0</v>
          </cell>
          <cell r="AP16">
            <v>0</v>
          </cell>
          <cell r="AU16">
            <v>0</v>
          </cell>
          <cell r="BA16">
            <v>0</v>
          </cell>
          <cell r="BF16">
            <v>0</v>
          </cell>
          <cell r="BK16">
            <v>0</v>
          </cell>
          <cell r="BP16">
            <v>0</v>
          </cell>
          <cell r="BU16">
            <v>0</v>
          </cell>
          <cell r="BZ16">
            <v>0</v>
          </cell>
          <cell r="CE16">
            <v>0</v>
          </cell>
          <cell r="CG16">
            <v>7.5</v>
          </cell>
          <cell r="CH16">
            <v>11.25</v>
          </cell>
          <cell r="CI16">
            <v>11.25</v>
          </cell>
          <cell r="CJ16">
            <v>30</v>
          </cell>
          <cell r="CK16">
            <v>11.25</v>
          </cell>
          <cell r="CL16">
            <v>3.75</v>
          </cell>
          <cell r="CO16">
            <v>15</v>
          </cell>
          <cell r="CT16">
            <v>0</v>
          </cell>
          <cell r="CY16">
            <v>0</v>
          </cell>
          <cell r="DD16">
            <v>0</v>
          </cell>
          <cell r="DI16">
            <v>0</v>
          </cell>
        </row>
        <row r="17">
          <cell r="B17" t="str">
            <v>Wuesthoff Health System</v>
          </cell>
          <cell r="Q17">
            <v>0</v>
          </cell>
          <cell r="V17">
            <v>0</v>
          </cell>
          <cell r="AA17">
            <v>0</v>
          </cell>
          <cell r="AF17">
            <v>0</v>
          </cell>
          <cell r="AK17">
            <v>0</v>
          </cell>
          <cell r="AP17">
            <v>0</v>
          </cell>
          <cell r="AU17">
            <v>0</v>
          </cell>
          <cell r="BA17">
            <v>0</v>
          </cell>
          <cell r="BF17">
            <v>0</v>
          </cell>
          <cell r="BK17">
            <v>0</v>
          </cell>
          <cell r="BP17">
            <v>0</v>
          </cell>
          <cell r="BU17">
            <v>0</v>
          </cell>
          <cell r="BZ17">
            <v>0</v>
          </cell>
          <cell r="CD17">
            <v>72.5</v>
          </cell>
          <cell r="CE17">
            <v>72.5</v>
          </cell>
          <cell r="CF17">
            <v>72.5</v>
          </cell>
          <cell r="CG17">
            <v>72.5</v>
          </cell>
          <cell r="CH17">
            <v>72.5</v>
          </cell>
          <cell r="CJ17">
            <v>217.5</v>
          </cell>
          <cell r="CO17">
            <v>0</v>
          </cell>
          <cell r="CT17">
            <v>0</v>
          </cell>
          <cell r="CY17">
            <v>0</v>
          </cell>
          <cell r="DD17">
            <v>0</v>
          </cell>
          <cell r="DI17">
            <v>0</v>
          </cell>
        </row>
        <row r="18">
          <cell r="B18" t="str">
            <v>Shands/University of Florida</v>
          </cell>
          <cell r="Q18">
            <v>0</v>
          </cell>
          <cell r="V18">
            <v>0</v>
          </cell>
          <cell r="AA18">
            <v>0</v>
          </cell>
          <cell r="AF18">
            <v>0</v>
          </cell>
          <cell r="AK18">
            <v>0</v>
          </cell>
          <cell r="AP18">
            <v>0</v>
          </cell>
          <cell r="AU18">
            <v>0</v>
          </cell>
          <cell r="BA18">
            <v>0</v>
          </cell>
          <cell r="BF18">
            <v>0</v>
          </cell>
          <cell r="BK18">
            <v>0</v>
          </cell>
          <cell r="BP18">
            <v>0</v>
          </cell>
          <cell r="BU18">
            <v>0</v>
          </cell>
          <cell r="BZ18">
            <v>0</v>
          </cell>
          <cell r="CC18">
            <v>27.5</v>
          </cell>
          <cell r="CD18">
            <v>27.5</v>
          </cell>
          <cell r="CE18">
            <v>55</v>
          </cell>
          <cell r="CF18">
            <v>27.5</v>
          </cell>
          <cell r="CG18">
            <v>27.5</v>
          </cell>
          <cell r="CJ18">
            <v>55</v>
          </cell>
          <cell r="CO18">
            <v>0</v>
          </cell>
          <cell r="CT18">
            <v>0</v>
          </cell>
          <cell r="CY18">
            <v>0</v>
          </cell>
          <cell r="DD18">
            <v>0</v>
          </cell>
          <cell r="DI18">
            <v>0</v>
          </cell>
        </row>
        <row r="19">
          <cell r="B19" t="str">
            <v>Sparks Regional Medical Center</v>
          </cell>
          <cell r="Q19">
            <v>0</v>
          </cell>
          <cell r="V19">
            <v>0</v>
          </cell>
          <cell r="AA19">
            <v>0</v>
          </cell>
          <cell r="AF19">
            <v>0</v>
          </cell>
          <cell r="AK19">
            <v>0</v>
          </cell>
          <cell r="AP19">
            <v>0</v>
          </cell>
          <cell r="AU19">
            <v>0</v>
          </cell>
          <cell r="BA19">
            <v>0</v>
          </cell>
          <cell r="BF19">
            <v>0</v>
          </cell>
          <cell r="BK19">
            <v>0</v>
          </cell>
          <cell r="BP19">
            <v>0</v>
          </cell>
          <cell r="BU19">
            <v>0</v>
          </cell>
          <cell r="BY19">
            <v>20.833333333333332</v>
          </cell>
          <cell r="BZ19">
            <v>20.833333333333332</v>
          </cell>
          <cell r="CA19">
            <v>62.5</v>
          </cell>
          <cell r="CB19">
            <v>62.5</v>
          </cell>
          <cell r="CC19">
            <v>62.5</v>
          </cell>
          <cell r="CD19">
            <v>41.666666666666664</v>
          </cell>
          <cell r="CE19">
            <v>229.16666666666666</v>
          </cell>
          <cell r="CJ19">
            <v>0</v>
          </cell>
          <cell r="CO19">
            <v>0</v>
          </cell>
          <cell r="CT19">
            <v>0</v>
          </cell>
          <cell r="CY19">
            <v>0</v>
          </cell>
          <cell r="DD19">
            <v>0</v>
          </cell>
          <cell r="DI19">
            <v>0</v>
          </cell>
        </row>
        <row r="20">
          <cell r="B20" t="str">
            <v xml:space="preserve">Gulf Coast Medical </v>
          </cell>
          <cell r="Q20">
            <v>0</v>
          </cell>
          <cell r="V20">
            <v>0</v>
          </cell>
          <cell r="AA20">
            <v>0</v>
          </cell>
          <cell r="AF20">
            <v>0</v>
          </cell>
          <cell r="AK20">
            <v>0</v>
          </cell>
          <cell r="AP20">
            <v>0</v>
          </cell>
          <cell r="AU20">
            <v>0</v>
          </cell>
          <cell r="BA20">
            <v>0</v>
          </cell>
          <cell r="BF20">
            <v>0</v>
          </cell>
          <cell r="BK20">
            <v>0</v>
          </cell>
          <cell r="BP20">
            <v>0</v>
          </cell>
          <cell r="BU20">
            <v>0</v>
          </cell>
          <cell r="BZ20">
            <v>0</v>
          </cell>
          <cell r="CE20">
            <v>0</v>
          </cell>
          <cell r="CJ20">
            <v>0</v>
          </cell>
          <cell r="CO20">
            <v>0</v>
          </cell>
          <cell r="CT20">
            <v>0</v>
          </cell>
          <cell r="CY20">
            <v>0</v>
          </cell>
          <cell r="DD20">
            <v>0</v>
          </cell>
          <cell r="DI20">
            <v>0</v>
          </cell>
        </row>
        <row r="21">
          <cell r="B21" t="str">
            <v>Cleveland Clinic Hospital</v>
          </cell>
          <cell r="Q21">
            <v>0</v>
          </cell>
          <cell r="V21">
            <v>0</v>
          </cell>
          <cell r="AA21">
            <v>0</v>
          </cell>
          <cell r="AF21">
            <v>0</v>
          </cell>
          <cell r="AK21">
            <v>0</v>
          </cell>
          <cell r="AP21">
            <v>0</v>
          </cell>
          <cell r="AU21">
            <v>0</v>
          </cell>
          <cell r="BA21">
            <v>0</v>
          </cell>
          <cell r="BF21">
            <v>0</v>
          </cell>
          <cell r="BK21">
            <v>0</v>
          </cell>
          <cell r="BP21">
            <v>0</v>
          </cell>
          <cell r="BU21">
            <v>0</v>
          </cell>
          <cell r="BZ21">
            <v>0</v>
          </cell>
          <cell r="CE21">
            <v>0</v>
          </cell>
          <cell r="CJ21">
            <v>0</v>
          </cell>
          <cell r="CO21">
            <v>0</v>
          </cell>
          <cell r="CT21">
            <v>0</v>
          </cell>
          <cell r="CY21">
            <v>0</v>
          </cell>
          <cell r="DD21">
            <v>0</v>
          </cell>
          <cell r="DI21">
            <v>0</v>
          </cell>
        </row>
        <row r="22">
          <cell r="B22" t="str">
            <v>Orlando Regional St. Cloud Hospital</v>
          </cell>
          <cell r="Q22">
            <v>0</v>
          </cell>
          <cell r="V22">
            <v>0</v>
          </cell>
          <cell r="AA22">
            <v>0</v>
          </cell>
          <cell r="AF22">
            <v>0</v>
          </cell>
          <cell r="AK22">
            <v>0</v>
          </cell>
          <cell r="AP22">
            <v>0</v>
          </cell>
          <cell r="AU22">
            <v>0</v>
          </cell>
          <cell r="BA22">
            <v>0</v>
          </cell>
          <cell r="BF22">
            <v>0</v>
          </cell>
          <cell r="BG22">
            <v>7.5</v>
          </cell>
          <cell r="BH22">
            <v>11.25</v>
          </cell>
          <cell r="BI22">
            <v>11.25</v>
          </cell>
          <cell r="BJ22">
            <v>11.25</v>
          </cell>
          <cell r="BK22">
            <v>41.25</v>
          </cell>
          <cell r="BL22">
            <v>3.75</v>
          </cell>
          <cell r="BP22">
            <v>3.75</v>
          </cell>
          <cell r="BU22">
            <v>0</v>
          </cell>
          <cell r="BZ22">
            <v>0</v>
          </cell>
          <cell r="CE22">
            <v>0</v>
          </cell>
          <cell r="CJ22">
            <v>0</v>
          </cell>
          <cell r="CO22">
            <v>0</v>
          </cell>
          <cell r="CT22">
            <v>0</v>
          </cell>
          <cell r="CY22">
            <v>0</v>
          </cell>
          <cell r="DD22">
            <v>0</v>
          </cell>
          <cell r="DI22">
            <v>0</v>
          </cell>
        </row>
        <row r="23">
          <cell r="B23" t="str">
            <v>Barrow Community Hospital</v>
          </cell>
          <cell r="Q23">
            <v>0</v>
          </cell>
          <cell r="V23">
            <v>0</v>
          </cell>
          <cell r="AA23">
            <v>0</v>
          </cell>
          <cell r="AF23">
            <v>0</v>
          </cell>
          <cell r="AK23">
            <v>0</v>
          </cell>
          <cell r="AP23">
            <v>0</v>
          </cell>
          <cell r="AU23">
            <v>0</v>
          </cell>
          <cell r="BA23">
            <v>0</v>
          </cell>
          <cell r="BF23">
            <v>0</v>
          </cell>
          <cell r="BG23">
            <v>5</v>
          </cell>
          <cell r="BH23">
            <v>5</v>
          </cell>
          <cell r="BI23">
            <v>5</v>
          </cell>
          <cell r="BJ23">
            <v>5</v>
          </cell>
          <cell r="BK23">
            <v>20</v>
          </cell>
          <cell r="BP23">
            <v>0</v>
          </cell>
          <cell r="BU23">
            <v>0</v>
          </cell>
          <cell r="BZ23">
            <v>0</v>
          </cell>
          <cell r="CE23">
            <v>0</v>
          </cell>
          <cell r="CJ23">
            <v>0</v>
          </cell>
          <cell r="CO23">
            <v>0</v>
          </cell>
          <cell r="CT23">
            <v>0</v>
          </cell>
          <cell r="CY23">
            <v>0</v>
          </cell>
          <cell r="DD23">
            <v>0</v>
          </cell>
          <cell r="DI23">
            <v>0</v>
          </cell>
        </row>
        <row r="24">
          <cell r="B24" t="str">
            <v>St. Joseph Hospital</v>
          </cell>
          <cell r="Q24">
            <v>0</v>
          </cell>
          <cell r="V24">
            <v>0</v>
          </cell>
          <cell r="AA24">
            <v>0</v>
          </cell>
          <cell r="AF24">
            <v>0</v>
          </cell>
          <cell r="AK24">
            <v>0</v>
          </cell>
          <cell r="AP24">
            <v>0</v>
          </cell>
          <cell r="AU24">
            <v>0</v>
          </cell>
          <cell r="BA24">
            <v>0</v>
          </cell>
          <cell r="BF24">
            <v>0</v>
          </cell>
          <cell r="BG24">
            <v>16.25</v>
          </cell>
          <cell r="BH24">
            <v>16.25</v>
          </cell>
          <cell r="BI24">
            <v>16.25</v>
          </cell>
          <cell r="BJ24">
            <v>16.25</v>
          </cell>
          <cell r="BK24">
            <v>65</v>
          </cell>
          <cell r="BP24">
            <v>0</v>
          </cell>
          <cell r="BU24">
            <v>0</v>
          </cell>
          <cell r="BZ24">
            <v>0</v>
          </cell>
          <cell r="CE24">
            <v>0</v>
          </cell>
          <cell r="CJ24">
            <v>0</v>
          </cell>
          <cell r="CO24">
            <v>0</v>
          </cell>
          <cell r="CT24">
            <v>0</v>
          </cell>
          <cell r="CY24">
            <v>0</v>
          </cell>
          <cell r="DD24">
            <v>0</v>
          </cell>
          <cell r="DI24">
            <v>0</v>
          </cell>
        </row>
        <row r="25">
          <cell r="B25" t="str">
            <v>Bartow Memorial Hospital</v>
          </cell>
          <cell r="Q25">
            <v>0</v>
          </cell>
          <cell r="V25">
            <v>0</v>
          </cell>
          <cell r="AA25">
            <v>0</v>
          </cell>
          <cell r="AF25">
            <v>0</v>
          </cell>
          <cell r="AK25">
            <v>0</v>
          </cell>
          <cell r="AP25">
            <v>0</v>
          </cell>
          <cell r="AU25">
            <v>0</v>
          </cell>
          <cell r="BA25">
            <v>0</v>
          </cell>
          <cell r="BC25">
            <v>8.25</v>
          </cell>
          <cell r="BD25">
            <v>8.25</v>
          </cell>
          <cell r="BE25">
            <v>8.25</v>
          </cell>
          <cell r="BF25">
            <v>24.75</v>
          </cell>
          <cell r="BG25">
            <v>8.25</v>
          </cell>
          <cell r="BK25">
            <v>8.25</v>
          </cell>
          <cell r="BP25">
            <v>0</v>
          </cell>
          <cell r="BU25">
            <v>0</v>
          </cell>
          <cell r="BZ25">
            <v>0</v>
          </cell>
          <cell r="CE25">
            <v>0</v>
          </cell>
          <cell r="CJ25">
            <v>0</v>
          </cell>
          <cell r="CO25">
            <v>0</v>
          </cell>
          <cell r="CT25">
            <v>0</v>
          </cell>
          <cell r="CY25">
            <v>0</v>
          </cell>
          <cell r="DD25">
            <v>0</v>
          </cell>
          <cell r="DI25">
            <v>0</v>
          </cell>
        </row>
        <row r="26">
          <cell r="B26" t="str">
            <v>Bon Secours Health System, Inc</v>
          </cell>
          <cell r="Q26">
            <v>0</v>
          </cell>
          <cell r="V26">
            <v>0</v>
          </cell>
          <cell r="AA26">
            <v>0</v>
          </cell>
          <cell r="AF26">
            <v>0</v>
          </cell>
          <cell r="AK26">
            <v>0</v>
          </cell>
          <cell r="AP26">
            <v>0</v>
          </cell>
          <cell r="AU26">
            <v>0</v>
          </cell>
          <cell r="BA26">
            <v>0</v>
          </cell>
          <cell r="BF26">
            <v>0</v>
          </cell>
          <cell r="BK26">
            <v>0</v>
          </cell>
          <cell r="BP26">
            <v>0</v>
          </cell>
          <cell r="BU26">
            <v>0</v>
          </cell>
          <cell r="BZ26">
            <v>0</v>
          </cell>
          <cell r="CE26">
            <v>0</v>
          </cell>
          <cell r="CJ26">
            <v>0</v>
          </cell>
          <cell r="CO26">
            <v>0</v>
          </cell>
          <cell r="CT26">
            <v>0</v>
          </cell>
          <cell r="CY26">
            <v>0</v>
          </cell>
          <cell r="DD26">
            <v>0</v>
          </cell>
          <cell r="DI26">
            <v>0</v>
          </cell>
        </row>
        <row r="27">
          <cell r="B27" t="str">
            <v>Chester County Hospital</v>
          </cell>
          <cell r="Q27">
            <v>0</v>
          </cell>
          <cell r="V27">
            <v>0</v>
          </cell>
          <cell r="AA27">
            <v>0</v>
          </cell>
          <cell r="AF27">
            <v>0</v>
          </cell>
          <cell r="AK27">
            <v>0</v>
          </cell>
          <cell r="AP27">
            <v>0</v>
          </cell>
          <cell r="AU27">
            <v>0</v>
          </cell>
          <cell r="BA27">
            <v>0</v>
          </cell>
          <cell r="BF27">
            <v>0</v>
          </cell>
          <cell r="BK27">
            <v>0</v>
          </cell>
          <cell r="BP27">
            <v>0</v>
          </cell>
          <cell r="BU27">
            <v>0</v>
          </cell>
          <cell r="BZ27">
            <v>0</v>
          </cell>
          <cell r="CE27">
            <v>0</v>
          </cell>
          <cell r="CJ27">
            <v>0</v>
          </cell>
          <cell r="CO27">
            <v>0</v>
          </cell>
          <cell r="CT27">
            <v>0</v>
          </cell>
          <cell r="CY27">
            <v>0</v>
          </cell>
          <cell r="DD27">
            <v>0</v>
          </cell>
          <cell r="DI27">
            <v>0</v>
          </cell>
        </row>
        <row r="28">
          <cell r="B28" t="str">
            <v>Tenet healthcare</v>
          </cell>
          <cell r="Q28">
            <v>0</v>
          </cell>
          <cell r="V28">
            <v>0</v>
          </cell>
          <cell r="AA28">
            <v>0</v>
          </cell>
          <cell r="AF28">
            <v>0</v>
          </cell>
          <cell r="AJ28">
            <v>66.666666666666671</v>
          </cell>
          <cell r="AK28">
            <v>66.666666666666671</v>
          </cell>
          <cell r="AL28">
            <v>100</v>
          </cell>
          <cell r="AM28">
            <v>100</v>
          </cell>
          <cell r="AN28">
            <v>100</v>
          </cell>
          <cell r="AO28">
            <v>33.333333333333336</v>
          </cell>
          <cell r="AP28">
            <v>333.33333333333331</v>
          </cell>
          <cell r="AU28">
            <v>0</v>
          </cell>
          <cell r="BA28">
            <v>0</v>
          </cell>
          <cell r="BF28">
            <v>0</v>
          </cell>
          <cell r="BK28">
            <v>0</v>
          </cell>
          <cell r="BP28">
            <v>0</v>
          </cell>
          <cell r="BU28">
            <v>0</v>
          </cell>
          <cell r="BZ28">
            <v>0</v>
          </cell>
          <cell r="CE28">
            <v>0</v>
          </cell>
          <cell r="CJ28">
            <v>0</v>
          </cell>
          <cell r="CO28">
            <v>0</v>
          </cell>
          <cell r="CT28">
            <v>0</v>
          </cell>
          <cell r="CY28">
            <v>0</v>
          </cell>
          <cell r="DD28">
            <v>0</v>
          </cell>
          <cell r="DI28">
            <v>0</v>
          </cell>
        </row>
        <row r="29">
          <cell r="B29" t="str">
            <v>Santa Rosa Medical Center</v>
          </cell>
          <cell r="Q29">
            <v>0</v>
          </cell>
          <cell r="V29">
            <v>0</v>
          </cell>
          <cell r="AA29">
            <v>0</v>
          </cell>
          <cell r="AF29">
            <v>0</v>
          </cell>
          <cell r="AK29">
            <v>0</v>
          </cell>
          <cell r="AP29">
            <v>0</v>
          </cell>
          <cell r="AU29">
            <v>0</v>
          </cell>
          <cell r="BA29">
            <v>0</v>
          </cell>
          <cell r="BF29">
            <v>0</v>
          </cell>
          <cell r="BK29">
            <v>0</v>
          </cell>
          <cell r="BP29">
            <v>0</v>
          </cell>
          <cell r="BU29">
            <v>0</v>
          </cell>
          <cell r="BZ29">
            <v>0</v>
          </cell>
          <cell r="CE29">
            <v>0</v>
          </cell>
          <cell r="CJ29">
            <v>0</v>
          </cell>
          <cell r="CO29">
            <v>0</v>
          </cell>
          <cell r="CT29">
            <v>0</v>
          </cell>
          <cell r="CY29">
            <v>0</v>
          </cell>
          <cell r="DD29">
            <v>0</v>
          </cell>
          <cell r="DI29">
            <v>0</v>
          </cell>
        </row>
        <row r="30">
          <cell r="B30" t="str">
            <v>Medical Center of Mesquite</v>
          </cell>
          <cell r="Q30">
            <v>0</v>
          </cell>
          <cell r="V30">
            <v>0</v>
          </cell>
          <cell r="AA30">
            <v>0</v>
          </cell>
          <cell r="AF30">
            <v>0</v>
          </cell>
          <cell r="AK30">
            <v>0</v>
          </cell>
          <cell r="AP30">
            <v>0</v>
          </cell>
          <cell r="AU30">
            <v>0</v>
          </cell>
          <cell r="BA30">
            <v>0</v>
          </cell>
          <cell r="BF30">
            <v>0</v>
          </cell>
          <cell r="BK30">
            <v>0</v>
          </cell>
          <cell r="BP30">
            <v>0</v>
          </cell>
          <cell r="BU30">
            <v>0</v>
          </cell>
          <cell r="BZ30">
            <v>0</v>
          </cell>
          <cell r="CE30">
            <v>0</v>
          </cell>
          <cell r="CJ30">
            <v>0</v>
          </cell>
          <cell r="CO30">
            <v>0</v>
          </cell>
          <cell r="CT30">
            <v>0</v>
          </cell>
          <cell r="CY30">
            <v>0</v>
          </cell>
          <cell r="DD30">
            <v>0</v>
          </cell>
          <cell r="DI30">
            <v>0</v>
          </cell>
        </row>
        <row r="31">
          <cell r="B31" t="str">
            <v>Jamestown Regional Medical Center</v>
          </cell>
          <cell r="Q31">
            <v>0</v>
          </cell>
          <cell r="V31">
            <v>0</v>
          </cell>
          <cell r="AA31">
            <v>0</v>
          </cell>
          <cell r="AF31">
            <v>0</v>
          </cell>
          <cell r="AK31">
            <v>0</v>
          </cell>
          <cell r="AP31">
            <v>0</v>
          </cell>
          <cell r="AU31">
            <v>0</v>
          </cell>
          <cell r="BA31">
            <v>0</v>
          </cell>
          <cell r="BF31">
            <v>0</v>
          </cell>
          <cell r="BK31">
            <v>0</v>
          </cell>
          <cell r="BP31">
            <v>0</v>
          </cell>
          <cell r="BU31">
            <v>0</v>
          </cell>
          <cell r="BZ31">
            <v>0</v>
          </cell>
          <cell r="CE31">
            <v>0</v>
          </cell>
          <cell r="CJ31">
            <v>0</v>
          </cell>
          <cell r="CO31">
            <v>0</v>
          </cell>
          <cell r="CT31">
            <v>0</v>
          </cell>
          <cell r="CY31">
            <v>0</v>
          </cell>
          <cell r="DD31">
            <v>0</v>
          </cell>
          <cell r="DI31">
            <v>0</v>
          </cell>
        </row>
        <row r="32">
          <cell r="B32" t="str">
            <v>Mesquite Community Hospital</v>
          </cell>
          <cell r="Q32">
            <v>0</v>
          </cell>
          <cell r="V32">
            <v>0</v>
          </cell>
          <cell r="AA32">
            <v>0</v>
          </cell>
          <cell r="AF32">
            <v>0</v>
          </cell>
          <cell r="AK32">
            <v>0</v>
          </cell>
          <cell r="AP32">
            <v>0</v>
          </cell>
          <cell r="AU32">
            <v>0</v>
          </cell>
          <cell r="BA32">
            <v>0</v>
          </cell>
          <cell r="BF32">
            <v>0</v>
          </cell>
          <cell r="BK32">
            <v>0</v>
          </cell>
          <cell r="BP32">
            <v>0</v>
          </cell>
          <cell r="BU32">
            <v>0</v>
          </cell>
          <cell r="BZ32">
            <v>0</v>
          </cell>
          <cell r="CE32">
            <v>0</v>
          </cell>
          <cell r="CJ32">
            <v>0</v>
          </cell>
          <cell r="CO32">
            <v>0</v>
          </cell>
          <cell r="CT32">
            <v>0</v>
          </cell>
          <cell r="CY32">
            <v>0</v>
          </cell>
          <cell r="DD32">
            <v>0</v>
          </cell>
          <cell r="DI32">
            <v>0</v>
          </cell>
        </row>
        <row r="33">
          <cell r="B33" t="str">
            <v xml:space="preserve">Lehigh Regional Medical Center </v>
          </cell>
          <cell r="Q33">
            <v>0</v>
          </cell>
          <cell r="V33">
            <v>0</v>
          </cell>
          <cell r="AA33">
            <v>0</v>
          </cell>
          <cell r="AF33">
            <v>0</v>
          </cell>
          <cell r="AK33">
            <v>0</v>
          </cell>
          <cell r="AP33">
            <v>0</v>
          </cell>
          <cell r="AU33">
            <v>0</v>
          </cell>
          <cell r="BA33">
            <v>0</v>
          </cell>
          <cell r="BF33">
            <v>0</v>
          </cell>
          <cell r="BK33">
            <v>0</v>
          </cell>
          <cell r="BP33">
            <v>0</v>
          </cell>
          <cell r="BU33">
            <v>0</v>
          </cell>
          <cell r="BZ33">
            <v>0</v>
          </cell>
          <cell r="CE33">
            <v>0</v>
          </cell>
          <cell r="CJ33">
            <v>0</v>
          </cell>
          <cell r="CO33">
            <v>0</v>
          </cell>
          <cell r="CT33">
            <v>0</v>
          </cell>
          <cell r="CY33">
            <v>0</v>
          </cell>
          <cell r="DD33">
            <v>0</v>
          </cell>
          <cell r="DI33">
            <v>0</v>
          </cell>
        </row>
        <row r="34">
          <cell r="B34" t="str">
            <v xml:space="preserve">Lee Regional Medical Center </v>
          </cell>
          <cell r="Q34">
            <v>0</v>
          </cell>
          <cell r="V34">
            <v>0</v>
          </cell>
          <cell r="AA34">
            <v>0</v>
          </cell>
          <cell r="AF34">
            <v>0</v>
          </cell>
          <cell r="AK34">
            <v>0</v>
          </cell>
          <cell r="AP34">
            <v>0</v>
          </cell>
          <cell r="AU34">
            <v>0</v>
          </cell>
          <cell r="BA34">
            <v>0</v>
          </cell>
          <cell r="BF34">
            <v>0</v>
          </cell>
          <cell r="BK34">
            <v>0</v>
          </cell>
          <cell r="BP34">
            <v>0</v>
          </cell>
          <cell r="BU34">
            <v>0</v>
          </cell>
          <cell r="BZ34">
            <v>0</v>
          </cell>
          <cell r="CE34">
            <v>0</v>
          </cell>
          <cell r="CJ34">
            <v>0</v>
          </cell>
          <cell r="CO34">
            <v>0</v>
          </cell>
          <cell r="CT34">
            <v>0</v>
          </cell>
          <cell r="CY34">
            <v>0</v>
          </cell>
          <cell r="DD34">
            <v>0</v>
          </cell>
          <cell r="DI34">
            <v>0</v>
          </cell>
        </row>
        <row r="35">
          <cell r="B35" t="str">
            <v xml:space="preserve">Carlisle Regional Medical Center </v>
          </cell>
          <cell r="Q35">
            <v>0</v>
          </cell>
          <cell r="V35">
            <v>0</v>
          </cell>
          <cell r="AA35">
            <v>0</v>
          </cell>
          <cell r="AF35">
            <v>0</v>
          </cell>
          <cell r="AK35">
            <v>0</v>
          </cell>
          <cell r="AP35">
            <v>0</v>
          </cell>
          <cell r="AU35">
            <v>0</v>
          </cell>
          <cell r="BA35">
            <v>0</v>
          </cell>
          <cell r="BF35">
            <v>0</v>
          </cell>
          <cell r="BK35">
            <v>0</v>
          </cell>
          <cell r="BP35">
            <v>0</v>
          </cell>
          <cell r="BU35">
            <v>0</v>
          </cell>
          <cell r="BZ35">
            <v>0</v>
          </cell>
          <cell r="CE35">
            <v>0</v>
          </cell>
          <cell r="CJ35">
            <v>0</v>
          </cell>
          <cell r="CO35">
            <v>0</v>
          </cell>
          <cell r="CT35">
            <v>0</v>
          </cell>
          <cell r="CY35">
            <v>0</v>
          </cell>
          <cell r="DD35">
            <v>0</v>
          </cell>
          <cell r="DI35">
            <v>0</v>
          </cell>
        </row>
        <row r="36">
          <cell r="B36" t="str">
            <v>Future Acquisitions</v>
          </cell>
          <cell r="CO36">
            <v>0</v>
          </cell>
          <cell r="CP36">
            <v>0</v>
          </cell>
          <cell r="CT36">
            <v>0</v>
          </cell>
          <cell r="CY36">
            <v>0</v>
          </cell>
          <cell r="DD36">
            <v>0</v>
          </cell>
          <cell r="DI36">
            <v>0</v>
          </cell>
        </row>
        <row r="37">
          <cell r="B37" t="str">
            <v>Outpatient/Other</v>
          </cell>
          <cell r="E37" t="str">
            <v>NM</v>
          </cell>
          <cell r="F37" t="str">
            <v>NM</v>
          </cell>
          <cell r="G37" t="str">
            <v>NM</v>
          </cell>
          <cell r="H37" t="str">
            <v>NM</v>
          </cell>
          <cell r="I37" t="str">
            <v>NM</v>
          </cell>
          <cell r="J37" t="str">
            <v>NM</v>
          </cell>
          <cell r="K37" t="str">
            <v>NM</v>
          </cell>
          <cell r="L37" t="str">
            <v>NM</v>
          </cell>
          <cell r="M37" t="str">
            <v>NM</v>
          </cell>
          <cell r="N37" t="str">
            <v>NM</v>
          </cell>
          <cell r="O37" t="str">
            <v>NM</v>
          </cell>
          <cell r="P37" t="str">
            <v>NM</v>
          </cell>
          <cell r="Q37">
            <v>0</v>
          </cell>
          <cell r="R37" t="str">
            <v>NM</v>
          </cell>
          <cell r="S37" t="str">
            <v>NM</v>
          </cell>
          <cell r="T37" t="str">
            <v>NM</v>
          </cell>
          <cell r="U37" t="str">
            <v>NM</v>
          </cell>
          <cell r="V37">
            <v>0</v>
          </cell>
          <cell r="W37" t="str">
            <v>NM</v>
          </cell>
          <cell r="X37" t="str">
            <v>NM</v>
          </cell>
          <cell r="Y37" t="str">
            <v>NM</v>
          </cell>
          <cell r="Z37" t="str">
            <v>NM</v>
          </cell>
          <cell r="AA37">
            <v>0</v>
          </cell>
          <cell r="AB37" t="str">
            <v>NM</v>
          </cell>
          <cell r="AC37" t="str">
            <v>NM</v>
          </cell>
          <cell r="AD37" t="str">
            <v>NM</v>
          </cell>
          <cell r="AE37" t="str">
            <v>NM</v>
          </cell>
          <cell r="AF37">
            <v>0</v>
          </cell>
          <cell r="AG37" t="str">
            <v>NM</v>
          </cell>
          <cell r="AH37">
            <v>27.70799999999997</v>
          </cell>
          <cell r="AI37" t="str">
            <v>NM</v>
          </cell>
          <cell r="AJ37">
            <v>-44.153666666666638</v>
          </cell>
          <cell r="AK37">
            <v>-16.445666666666668</v>
          </cell>
          <cell r="AL37">
            <v>5.07000000000005</v>
          </cell>
          <cell r="AM37">
            <v>48.493000000000052</v>
          </cell>
          <cell r="AN37">
            <v>45.673000000000002</v>
          </cell>
          <cell r="AO37">
            <v>107.88566666666659</v>
          </cell>
          <cell r="AP37">
            <v>207.12166666666673</v>
          </cell>
          <cell r="AQ37">
            <v>110.322</v>
          </cell>
          <cell r="AR37">
            <v>58.273000000000025</v>
          </cell>
          <cell r="AS37">
            <v>84.672000000000025</v>
          </cell>
          <cell r="AT37">
            <v>89.002999999999929</v>
          </cell>
          <cell r="AU37">
            <v>342.27</v>
          </cell>
          <cell r="AW37">
            <v>148.49300000000005</v>
          </cell>
          <cell r="AX37">
            <v>145.673</v>
          </cell>
          <cell r="AY37">
            <v>141.21899999999994</v>
          </cell>
          <cell r="AZ37">
            <v>110.322</v>
          </cell>
          <cell r="BA37">
            <v>545.70699999999999</v>
          </cell>
          <cell r="BB37">
            <v>58.273000000000025</v>
          </cell>
          <cell r="BC37">
            <v>76.422000000000025</v>
          </cell>
          <cell r="BD37">
            <v>80.752999999999929</v>
          </cell>
          <cell r="BE37">
            <v>81.412000000000035</v>
          </cell>
          <cell r="BF37">
            <v>296.86</v>
          </cell>
          <cell r="BG37">
            <v>79.585000000000036</v>
          </cell>
          <cell r="BH37">
            <v>30.078999999999951</v>
          </cell>
          <cell r="BI37">
            <v>36.250999999999976</v>
          </cell>
          <cell r="BJ37">
            <v>53.002999999999929</v>
          </cell>
          <cell r="BK37">
            <v>198.91799999999989</v>
          </cell>
          <cell r="BL37">
            <v>72.176999999999907</v>
          </cell>
          <cell r="BM37">
            <v>72.965000000000146</v>
          </cell>
          <cell r="BN37">
            <v>15.734000000000151</v>
          </cell>
          <cell r="BO37">
            <v>25.264000000000124</v>
          </cell>
          <cell r="BP37">
            <v>186.14000000000033</v>
          </cell>
          <cell r="BQ37">
            <v>18.756999999999834</v>
          </cell>
          <cell r="BR37">
            <v>0</v>
          </cell>
          <cell r="BS37">
            <v>0</v>
          </cell>
          <cell r="BT37">
            <v>0</v>
          </cell>
          <cell r="BU37">
            <v>18.756999999999834</v>
          </cell>
          <cell r="BV37">
            <v>0</v>
          </cell>
          <cell r="BW37">
            <v>0</v>
          </cell>
          <cell r="BX37">
            <v>0</v>
          </cell>
          <cell r="BY37">
            <v>1.3736666666665478</v>
          </cell>
          <cell r="BZ37">
            <v>1.3736666666665478</v>
          </cell>
          <cell r="CA37">
            <v>6.2029999999999745</v>
          </cell>
          <cell r="CB37">
            <v>8.5399999999999636</v>
          </cell>
          <cell r="CC37">
            <v>1.2040000000001783</v>
          </cell>
          <cell r="CD37">
            <v>0.74233333333322093</v>
          </cell>
          <cell r="CE37">
            <v>16.689333333333366</v>
          </cell>
          <cell r="CF37">
            <v>0.67000000000007276</v>
          </cell>
          <cell r="CG37">
            <v>6.20900000000006</v>
          </cell>
          <cell r="CH37">
            <v>7.4819999999999709</v>
          </cell>
          <cell r="CI37">
            <v>2.0919999999998709</v>
          </cell>
          <cell r="CJ37">
            <v>16.452999999999975</v>
          </cell>
          <cell r="CK37">
            <v>6.5679999999999836</v>
          </cell>
          <cell r="CL37">
            <v>15.140999999999849</v>
          </cell>
          <cell r="CM37">
            <v>13.436999999999898</v>
          </cell>
          <cell r="CN37">
            <v>6</v>
          </cell>
          <cell r="CO37">
            <v>41.145999999999731</v>
          </cell>
          <cell r="CT37">
            <v>0</v>
          </cell>
          <cell r="CY37">
            <v>0</v>
          </cell>
          <cell r="DD37">
            <v>0</v>
          </cell>
          <cell r="DI37">
            <v>0</v>
          </cell>
        </row>
        <row r="38">
          <cell r="B38" t="str">
            <v>Acquired Revenue</v>
          </cell>
          <cell r="E38" t="str">
            <v>NM</v>
          </cell>
          <cell r="F38" t="str">
            <v>NM</v>
          </cell>
          <cell r="G38" t="str">
            <v>NM</v>
          </cell>
          <cell r="H38" t="str">
            <v>NM</v>
          </cell>
          <cell r="I38" t="str">
            <v>NM</v>
          </cell>
          <cell r="J38" t="str">
            <v>NM</v>
          </cell>
          <cell r="K38" t="str">
            <v>NM</v>
          </cell>
          <cell r="L38" t="str">
            <v>NM</v>
          </cell>
          <cell r="M38" t="str">
            <v>NM</v>
          </cell>
          <cell r="N38" t="str">
            <v>NM</v>
          </cell>
          <cell r="O38" t="str">
            <v>NM</v>
          </cell>
          <cell r="P38" t="str">
            <v>NM</v>
          </cell>
          <cell r="Q38">
            <v>0</v>
          </cell>
          <cell r="R38" t="str">
            <v>NM</v>
          </cell>
          <cell r="S38" t="str">
            <v>NM</v>
          </cell>
          <cell r="T38" t="str">
            <v>NM</v>
          </cell>
          <cell r="U38" t="str">
            <v>NM</v>
          </cell>
          <cell r="V38">
            <v>0</v>
          </cell>
          <cell r="W38" t="str">
            <v>NM</v>
          </cell>
          <cell r="X38" t="str">
            <v>NM</v>
          </cell>
          <cell r="Y38" t="str">
            <v>NM</v>
          </cell>
          <cell r="Z38" t="str">
            <v>NM</v>
          </cell>
          <cell r="AA38">
            <v>0</v>
          </cell>
          <cell r="AB38" t="str">
            <v>NM</v>
          </cell>
          <cell r="AC38" t="str">
            <v>NM</v>
          </cell>
          <cell r="AD38" t="str">
            <v>NM</v>
          </cell>
          <cell r="AE38" t="str">
            <v>NM</v>
          </cell>
          <cell r="AF38">
            <v>0</v>
          </cell>
          <cell r="AG38" t="str">
            <v>NM</v>
          </cell>
          <cell r="AH38">
            <v>27.70799999999997</v>
          </cell>
          <cell r="AI38" t="str">
            <v>NM</v>
          </cell>
          <cell r="AJ38">
            <v>22.513000000000034</v>
          </cell>
          <cell r="AK38">
            <v>50.221000000000004</v>
          </cell>
          <cell r="AL38">
            <v>105.07000000000005</v>
          </cell>
          <cell r="AM38">
            <v>148.49300000000005</v>
          </cell>
          <cell r="AN38">
            <v>145.673</v>
          </cell>
          <cell r="AO38">
            <v>141.21899999999994</v>
          </cell>
          <cell r="AP38">
            <v>540.45500000000004</v>
          </cell>
          <cell r="AQ38">
            <v>110.322</v>
          </cell>
          <cell r="AR38">
            <v>58.273000000000025</v>
          </cell>
          <cell r="AS38">
            <v>84.672000000000025</v>
          </cell>
          <cell r="AT38">
            <v>89.002999999999929</v>
          </cell>
          <cell r="AU38">
            <v>342.27</v>
          </cell>
          <cell r="AW38">
            <v>148.49300000000005</v>
          </cell>
          <cell r="AX38">
            <v>145.673</v>
          </cell>
          <cell r="AY38">
            <v>141.21899999999994</v>
          </cell>
          <cell r="AZ38">
            <v>110.322</v>
          </cell>
          <cell r="BA38">
            <v>545.70699999999999</v>
          </cell>
          <cell r="BB38">
            <v>58.273000000000025</v>
          </cell>
          <cell r="BC38">
            <v>84.672000000000025</v>
          </cell>
          <cell r="BD38">
            <v>89.002999999999929</v>
          </cell>
          <cell r="BE38">
            <v>89.662000000000035</v>
          </cell>
          <cell r="BF38">
            <v>321.61</v>
          </cell>
          <cell r="BG38">
            <v>116.58500000000004</v>
          </cell>
          <cell r="BH38">
            <v>62.578999999999951</v>
          </cell>
          <cell r="BI38">
            <v>68.750999999999976</v>
          </cell>
          <cell r="BJ38">
            <v>85.502999999999929</v>
          </cell>
          <cell r="BK38">
            <v>333.41799999999989</v>
          </cell>
          <cell r="BL38">
            <v>75.926999999999907</v>
          </cell>
          <cell r="BM38">
            <v>72.965000000000146</v>
          </cell>
          <cell r="BN38">
            <v>15.734000000000151</v>
          </cell>
          <cell r="BO38">
            <v>25.264000000000124</v>
          </cell>
          <cell r="BP38">
            <v>189.89000000000033</v>
          </cell>
          <cell r="BQ38">
            <v>18.756999999999834</v>
          </cell>
          <cell r="BR38">
            <v>0</v>
          </cell>
          <cell r="BS38">
            <v>0</v>
          </cell>
          <cell r="BT38">
            <v>0</v>
          </cell>
          <cell r="BU38">
            <v>18.756999999999834</v>
          </cell>
          <cell r="BV38">
            <v>0</v>
          </cell>
          <cell r="BW38">
            <v>0</v>
          </cell>
          <cell r="BX38">
            <v>0</v>
          </cell>
          <cell r="BY38">
            <v>22.20699999999988</v>
          </cell>
          <cell r="BZ38">
            <v>22.20699999999988</v>
          </cell>
          <cell r="CA38">
            <v>68.702999999999975</v>
          </cell>
          <cell r="CB38">
            <v>71.039999999999964</v>
          </cell>
          <cell r="CC38">
            <v>91.204000000000178</v>
          </cell>
          <cell r="CD38">
            <v>142.40899999999988</v>
          </cell>
          <cell r="CE38">
            <v>373.35599999999999</v>
          </cell>
          <cell r="CF38">
            <v>100.67000000000007</v>
          </cell>
          <cell r="CG38">
            <v>113.70900000000006</v>
          </cell>
          <cell r="CH38">
            <v>91.231999999999971</v>
          </cell>
          <cell r="CI38">
            <v>163.34199999999987</v>
          </cell>
          <cell r="CJ38">
            <v>468.95299999999997</v>
          </cell>
          <cell r="CK38">
            <v>167.81799999999998</v>
          </cell>
          <cell r="CL38">
            <v>192.64099999999985</v>
          </cell>
          <cell r="CM38">
            <v>187.1869999999999</v>
          </cell>
          <cell r="CN38">
            <v>29.75</v>
          </cell>
          <cell r="CO38">
            <v>577.39599999999973</v>
          </cell>
          <cell r="CP38">
            <v>23.75</v>
          </cell>
          <cell r="CQ38">
            <v>0</v>
          </cell>
          <cell r="CR38">
            <v>0</v>
          </cell>
          <cell r="CS38">
            <v>0</v>
          </cell>
          <cell r="CT38">
            <v>23.75</v>
          </cell>
          <cell r="CU38">
            <v>0</v>
          </cell>
          <cell r="CV38">
            <v>0</v>
          </cell>
          <cell r="CW38">
            <v>0</v>
          </cell>
          <cell r="CX38">
            <v>0</v>
          </cell>
          <cell r="CY38">
            <v>31.25</v>
          </cell>
          <cell r="CZ38">
            <v>0</v>
          </cell>
          <cell r="DA38">
            <v>0</v>
          </cell>
          <cell r="DB38">
            <v>0</v>
          </cell>
          <cell r="DC38">
            <v>0</v>
          </cell>
          <cell r="DD38">
            <v>0</v>
          </cell>
          <cell r="DE38">
            <v>0</v>
          </cell>
          <cell r="DF38">
            <v>0</v>
          </cell>
          <cell r="DG38">
            <v>0</v>
          </cell>
          <cell r="DH38">
            <v>0</v>
          </cell>
          <cell r="DI38">
            <v>0</v>
          </cell>
        </row>
        <row r="39">
          <cell r="B39" t="str">
            <v>Estimated Acquired Revenue</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27.70799999999997</v>
          </cell>
          <cell r="AI39">
            <v>0</v>
          </cell>
          <cell r="AJ39">
            <v>22.513000000000034</v>
          </cell>
          <cell r="AK39">
            <v>50.221000000000004</v>
          </cell>
          <cell r="AL39">
            <v>105.07000000000005</v>
          </cell>
          <cell r="AM39">
            <v>148.49300000000005</v>
          </cell>
          <cell r="AN39">
            <v>145.673</v>
          </cell>
          <cell r="AO39">
            <v>141.21899999999994</v>
          </cell>
          <cell r="AP39">
            <v>540.45500000000004</v>
          </cell>
          <cell r="AQ39">
            <v>110.322</v>
          </cell>
          <cell r="AR39">
            <v>58.273000000000025</v>
          </cell>
          <cell r="AS39">
            <v>84.672000000000025</v>
          </cell>
          <cell r="AT39">
            <v>89.002999999999929</v>
          </cell>
          <cell r="AU39">
            <v>342.27</v>
          </cell>
          <cell r="AW39">
            <v>148.49300000000005</v>
          </cell>
          <cell r="AX39">
            <v>145.673</v>
          </cell>
          <cell r="AY39">
            <v>141.21899999999994</v>
          </cell>
          <cell r="AZ39">
            <v>110.322</v>
          </cell>
          <cell r="BA39">
            <v>545.70699999999999</v>
          </cell>
          <cell r="BB39">
            <v>58.273000000000025</v>
          </cell>
          <cell r="BC39">
            <v>84.672000000000025</v>
          </cell>
          <cell r="BD39">
            <v>89.002999999999929</v>
          </cell>
          <cell r="BE39">
            <v>89.662000000000035</v>
          </cell>
          <cell r="BF39">
            <v>321.61</v>
          </cell>
          <cell r="BG39">
            <v>116.58500000000004</v>
          </cell>
          <cell r="BH39">
            <v>62.578999999999951</v>
          </cell>
          <cell r="BI39">
            <v>68.750999999999976</v>
          </cell>
          <cell r="BJ39">
            <v>85.502999999999929</v>
          </cell>
          <cell r="BK39">
            <v>333.41799999999989</v>
          </cell>
          <cell r="BL39">
            <v>75.926999999999907</v>
          </cell>
          <cell r="BM39">
            <v>72.965000000000146</v>
          </cell>
          <cell r="BN39">
            <v>15.734000000000151</v>
          </cell>
          <cell r="BO39">
            <v>25.264000000000124</v>
          </cell>
          <cell r="BP39">
            <v>189.89000000000033</v>
          </cell>
          <cell r="BQ39">
            <v>18.756999999999834</v>
          </cell>
          <cell r="BR39">
            <v>0</v>
          </cell>
          <cell r="BS39">
            <v>0</v>
          </cell>
          <cell r="BT39">
            <v>0</v>
          </cell>
          <cell r="BU39">
            <v>18.756999999999834</v>
          </cell>
          <cell r="BV39">
            <v>0</v>
          </cell>
          <cell r="BW39">
            <v>0</v>
          </cell>
          <cell r="BX39">
            <v>0</v>
          </cell>
          <cell r="BY39">
            <v>22.20699999999988</v>
          </cell>
          <cell r="BZ39">
            <v>22.20699999999988</v>
          </cell>
          <cell r="CA39">
            <v>68.702999999999975</v>
          </cell>
          <cell r="CB39">
            <v>71.039999999999964</v>
          </cell>
          <cell r="CC39">
            <v>91.204000000000178</v>
          </cell>
          <cell r="CD39">
            <v>142.40899999999988</v>
          </cell>
          <cell r="CE39">
            <v>373.35599999999999</v>
          </cell>
          <cell r="CF39">
            <v>100.67000000000007</v>
          </cell>
          <cell r="CG39">
            <v>113.70900000000006</v>
          </cell>
          <cell r="CH39">
            <v>91.231999999999971</v>
          </cell>
          <cell r="CI39">
            <v>163.34199999999987</v>
          </cell>
          <cell r="CJ39">
            <v>468.95299999999997</v>
          </cell>
          <cell r="CK39">
            <v>167.81799999999998</v>
          </cell>
          <cell r="CL39">
            <v>192.64099999999985</v>
          </cell>
          <cell r="CM39">
            <v>187.1869999999999</v>
          </cell>
          <cell r="CN39">
            <v>29.75</v>
          </cell>
          <cell r="CO39">
            <v>577.39599999999973</v>
          </cell>
          <cell r="CP39">
            <v>23.75</v>
          </cell>
          <cell r="CQ39">
            <v>0</v>
          </cell>
          <cell r="CR39">
            <v>0</v>
          </cell>
          <cell r="CS39">
            <v>0</v>
          </cell>
          <cell r="CT39">
            <v>23.75</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row>
        <row r="40">
          <cell r="B40" t="str">
            <v>Acquired Admissions</v>
          </cell>
          <cell r="AW40">
            <v>12773</v>
          </cell>
          <cell r="AX40">
            <v>11873</v>
          </cell>
          <cell r="AY40">
            <v>11541</v>
          </cell>
          <cell r="AZ40">
            <v>9758</v>
          </cell>
          <cell r="BA40">
            <v>45945</v>
          </cell>
          <cell r="BB40">
            <v>4242</v>
          </cell>
          <cell r="BC40">
            <v>5941</v>
          </cell>
          <cell r="BD40">
            <v>5421</v>
          </cell>
          <cell r="BE40">
            <v>6040</v>
          </cell>
          <cell r="BF40">
            <v>21644</v>
          </cell>
          <cell r="BG40">
            <v>8969</v>
          </cell>
          <cell r="BH40">
            <v>3042</v>
          </cell>
          <cell r="BI40">
            <v>3461</v>
          </cell>
          <cell r="BJ40">
            <v>4029</v>
          </cell>
          <cell r="BK40">
            <v>19501</v>
          </cell>
          <cell r="BL40">
            <v>3688</v>
          </cell>
          <cell r="BM40">
            <v>2519</v>
          </cell>
          <cell r="BN40">
            <v>656</v>
          </cell>
          <cell r="BO40">
            <v>1677</v>
          </cell>
          <cell r="BP40">
            <v>8540</v>
          </cell>
          <cell r="BQ40">
            <v>1249</v>
          </cell>
          <cell r="BR40">
            <v>0</v>
          </cell>
          <cell r="BS40">
            <v>0</v>
          </cell>
          <cell r="BT40">
            <v>0</v>
          </cell>
          <cell r="BV40">
            <v>0</v>
          </cell>
          <cell r="BW40">
            <v>0</v>
          </cell>
          <cell r="BX40">
            <v>0</v>
          </cell>
          <cell r="BY40">
            <v>1361</v>
          </cell>
          <cell r="CA40">
            <v>3990</v>
          </cell>
          <cell r="CB40">
            <v>4220</v>
          </cell>
          <cell r="CC40">
            <v>5932</v>
          </cell>
          <cell r="CD40">
            <v>8716</v>
          </cell>
          <cell r="CE40">
            <v>22858</v>
          </cell>
          <cell r="CF40">
            <v>6883</v>
          </cell>
          <cell r="CG40">
            <v>6817</v>
          </cell>
          <cell r="CH40">
            <v>5200</v>
          </cell>
          <cell r="CI40">
            <v>8684</v>
          </cell>
          <cell r="CJ40">
            <v>27584</v>
          </cell>
          <cell r="CK40">
            <v>8923</v>
          </cell>
          <cell r="CL40">
            <v>8979</v>
          </cell>
          <cell r="CM40">
            <v>9506.8495256284168</v>
          </cell>
          <cell r="CN40">
            <v>1486.1304933632218</v>
          </cell>
          <cell r="CO40">
            <v>28894.980018991635</v>
          </cell>
          <cell r="CP40">
            <v>1240.5621454619409</v>
          </cell>
          <cell r="CQ40">
            <v>0</v>
          </cell>
          <cell r="CR40">
            <v>0</v>
          </cell>
          <cell r="CS40">
            <v>0</v>
          </cell>
          <cell r="CT40">
            <v>1240.5621454619409</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row>
        <row r="41">
          <cell r="B41" t="str">
            <v>Acquired Adjusted Admissions</v>
          </cell>
          <cell r="AW41">
            <v>22465</v>
          </cell>
          <cell r="AX41">
            <v>20877</v>
          </cell>
          <cell r="AY41">
            <v>20659</v>
          </cell>
          <cell r="AZ41">
            <v>17638</v>
          </cell>
          <cell r="BA41">
            <v>81639</v>
          </cell>
          <cell r="BB41">
            <v>6616</v>
          </cell>
          <cell r="BC41">
            <v>9874</v>
          </cell>
          <cell r="BD41">
            <v>9010</v>
          </cell>
          <cell r="BE41">
            <v>10038</v>
          </cell>
          <cell r="BF41">
            <v>35538</v>
          </cell>
          <cell r="BG41">
            <v>14780</v>
          </cell>
          <cell r="BH41">
            <v>6512</v>
          </cell>
          <cell r="BI41">
            <v>6958</v>
          </cell>
          <cell r="BJ41">
            <v>7670</v>
          </cell>
          <cell r="BK41">
            <v>35920</v>
          </cell>
          <cell r="BL41">
            <v>6775</v>
          </cell>
          <cell r="BM41">
            <v>8658</v>
          </cell>
          <cell r="BN41">
            <v>1035</v>
          </cell>
          <cell r="BO41">
            <v>2856</v>
          </cell>
          <cell r="BP41">
            <v>19324</v>
          </cell>
          <cell r="BQ41">
            <v>1900</v>
          </cell>
          <cell r="BR41">
            <v>0</v>
          </cell>
          <cell r="BS41">
            <v>0</v>
          </cell>
          <cell r="BT41">
            <v>0</v>
          </cell>
          <cell r="BV41">
            <v>0</v>
          </cell>
          <cell r="BW41">
            <v>0</v>
          </cell>
          <cell r="BX41">
            <v>0</v>
          </cell>
          <cell r="BY41">
            <v>2543</v>
          </cell>
          <cell r="CA41">
            <v>7144</v>
          </cell>
          <cell r="CB41">
            <v>7758</v>
          </cell>
          <cell r="CC41">
            <v>11806</v>
          </cell>
          <cell r="CD41">
            <v>16950</v>
          </cell>
          <cell r="CE41">
            <v>43658</v>
          </cell>
          <cell r="CF41">
            <v>12743</v>
          </cell>
          <cell r="CG41">
            <v>13015</v>
          </cell>
          <cell r="CH41">
            <v>9743</v>
          </cell>
          <cell r="CI41">
            <v>19253</v>
          </cell>
          <cell r="CJ41">
            <v>54754</v>
          </cell>
          <cell r="CK41">
            <v>19156</v>
          </cell>
          <cell r="CL41">
            <v>20286</v>
          </cell>
          <cell r="CM41">
            <v>19215.499620853072</v>
          </cell>
          <cell r="CN41">
            <v>2984.3153759290235</v>
          </cell>
          <cell r="CO41">
            <v>61641.814996782094</v>
          </cell>
          <cell r="CP41">
            <v>2410.7978890812142</v>
          </cell>
          <cell r="CQ41">
            <v>0</v>
          </cell>
          <cell r="CR41">
            <v>0</v>
          </cell>
          <cell r="CS41">
            <v>0</v>
          </cell>
          <cell r="CT41">
            <v>2410.7978890812142</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row>
        <row r="46">
          <cell r="B46" t="str">
            <v>Facilities</v>
          </cell>
        </row>
        <row r="47">
          <cell r="B47" t="str">
            <v>Hospitals - beg. of period</v>
          </cell>
          <cell r="E47">
            <v>0</v>
          </cell>
          <cell r="F47">
            <v>16</v>
          </cell>
          <cell r="G47">
            <v>16</v>
          </cell>
          <cell r="H47">
            <v>20</v>
          </cell>
          <cell r="I47">
            <v>21</v>
          </cell>
          <cell r="J47">
            <v>23</v>
          </cell>
          <cell r="K47">
            <v>25</v>
          </cell>
          <cell r="L47">
            <v>26</v>
          </cell>
          <cell r="M47">
            <v>32</v>
          </cell>
          <cell r="N47" t="str">
            <v>ND</v>
          </cell>
          <cell r="O47" t="str">
            <v>ND</v>
          </cell>
          <cell r="P47" t="str">
            <v>ND</v>
          </cell>
          <cell r="Q47">
            <v>32</v>
          </cell>
          <cell r="R47">
            <v>36</v>
          </cell>
          <cell r="S47" t="str">
            <v>ND</v>
          </cell>
          <cell r="T47" t="str">
            <v>ND</v>
          </cell>
          <cell r="U47" t="str">
            <v>ND</v>
          </cell>
          <cell r="V47">
            <v>36</v>
          </cell>
          <cell r="W47">
            <v>37</v>
          </cell>
          <cell r="X47" t="str">
            <v>ND</v>
          </cell>
          <cell r="Y47" t="str">
            <v>ND</v>
          </cell>
          <cell r="Z47" t="str">
            <v>ND</v>
          </cell>
          <cell r="AA47">
            <v>37</v>
          </cell>
          <cell r="AB47">
            <v>38</v>
          </cell>
          <cell r="AC47" t="str">
            <v>ND</v>
          </cell>
          <cell r="AD47" t="str">
            <v>ND</v>
          </cell>
          <cell r="AE47" t="str">
            <v>ND</v>
          </cell>
          <cell r="AF47">
            <v>38</v>
          </cell>
          <cell r="AG47">
            <v>43</v>
          </cell>
          <cell r="AH47" t="str">
            <v>ND</v>
          </cell>
          <cell r="AI47">
            <v>46</v>
          </cell>
          <cell r="AJ47" t="str">
            <v>ND</v>
          </cell>
          <cell r="AK47">
            <v>43</v>
          </cell>
          <cell r="AL47">
            <v>47</v>
          </cell>
          <cell r="AM47">
            <v>52</v>
          </cell>
          <cell r="AN47">
            <v>52</v>
          </cell>
          <cell r="AO47">
            <v>52</v>
          </cell>
          <cell r="AP47">
            <v>47</v>
          </cell>
          <cell r="AQ47">
            <v>53</v>
          </cell>
          <cell r="AR47">
            <v>56</v>
          </cell>
          <cell r="AS47">
            <v>57</v>
          </cell>
          <cell r="AT47">
            <v>57</v>
          </cell>
          <cell r="AU47">
            <v>60</v>
          </cell>
          <cell r="AW47">
            <v>52</v>
          </cell>
          <cell r="AX47">
            <v>52</v>
          </cell>
          <cell r="AY47">
            <v>52</v>
          </cell>
          <cell r="AZ47">
            <v>53</v>
          </cell>
          <cell r="BA47">
            <v>52</v>
          </cell>
          <cell r="BB47">
            <v>56</v>
          </cell>
          <cell r="BC47">
            <v>57</v>
          </cell>
          <cell r="BD47">
            <v>57</v>
          </cell>
          <cell r="BE47">
            <v>60</v>
          </cell>
          <cell r="BF47">
            <v>56</v>
          </cell>
          <cell r="BG47">
            <v>57</v>
          </cell>
          <cell r="BH47">
            <v>60</v>
          </cell>
          <cell r="BI47">
            <v>62</v>
          </cell>
          <cell r="BJ47">
            <v>60</v>
          </cell>
          <cell r="BK47">
            <v>60</v>
          </cell>
          <cell r="BL47">
            <v>60</v>
          </cell>
          <cell r="BM47">
            <v>61</v>
          </cell>
          <cell r="BN47">
            <v>61</v>
          </cell>
          <cell r="BO47">
            <v>59</v>
          </cell>
          <cell r="BP47">
            <v>60</v>
          </cell>
          <cell r="BQ47">
            <v>59</v>
          </cell>
          <cell r="BR47">
            <v>58</v>
          </cell>
          <cell r="BS47">
            <v>57</v>
          </cell>
          <cell r="BT47">
            <v>56</v>
          </cell>
          <cell r="BU47">
            <v>59</v>
          </cell>
          <cell r="BV47">
            <v>56</v>
          </cell>
          <cell r="BW47">
            <v>56</v>
          </cell>
          <cell r="BX47">
            <v>56</v>
          </cell>
          <cell r="BY47">
            <v>54</v>
          </cell>
          <cell r="BZ47">
            <v>56</v>
          </cell>
          <cell r="CA47">
            <v>55</v>
          </cell>
          <cell r="CB47">
            <v>55</v>
          </cell>
          <cell r="CC47">
            <v>55</v>
          </cell>
          <cell r="CD47">
            <v>58</v>
          </cell>
          <cell r="CE47">
            <v>59</v>
          </cell>
          <cell r="CF47">
            <v>59</v>
          </cell>
          <cell r="CG47">
            <v>59</v>
          </cell>
          <cell r="CH47">
            <v>60</v>
          </cell>
          <cell r="CI47">
            <v>66</v>
          </cell>
          <cell r="CJ47">
            <v>66</v>
          </cell>
          <cell r="CK47">
            <v>66</v>
          </cell>
          <cell r="CL47">
            <v>66</v>
          </cell>
          <cell r="CM47">
            <v>70</v>
          </cell>
          <cell r="CN47">
            <v>70</v>
          </cell>
          <cell r="CO47">
            <v>70</v>
          </cell>
          <cell r="CP47">
            <v>70</v>
          </cell>
          <cell r="CQ47">
            <v>71</v>
          </cell>
          <cell r="CR47">
            <v>71</v>
          </cell>
          <cell r="CS47">
            <v>72</v>
          </cell>
          <cell r="CT47">
            <v>72</v>
          </cell>
          <cell r="CU47">
            <v>72</v>
          </cell>
          <cell r="CV47">
            <v>73</v>
          </cell>
          <cell r="CW47">
            <v>73</v>
          </cell>
          <cell r="CX47">
            <v>74</v>
          </cell>
          <cell r="CY47">
            <v>74</v>
          </cell>
          <cell r="CZ47">
            <v>74</v>
          </cell>
          <cell r="DA47">
            <v>75</v>
          </cell>
          <cell r="DB47">
            <v>75</v>
          </cell>
          <cell r="DC47">
            <v>76</v>
          </cell>
          <cell r="DD47">
            <v>76</v>
          </cell>
          <cell r="DE47">
            <v>76</v>
          </cell>
          <cell r="DF47">
            <v>77</v>
          </cell>
          <cell r="DG47">
            <v>77</v>
          </cell>
          <cell r="DH47">
            <v>78</v>
          </cell>
          <cell r="DI47">
            <v>78</v>
          </cell>
        </row>
        <row r="48">
          <cell r="B48" t="str">
            <v>Additions - de novo</v>
          </cell>
          <cell r="E48">
            <v>16</v>
          </cell>
          <cell r="F48">
            <v>0</v>
          </cell>
          <cell r="G48">
            <v>4</v>
          </cell>
          <cell r="H48">
            <v>1</v>
          </cell>
          <cell r="I48">
            <v>2</v>
          </cell>
          <cell r="J48">
            <v>2</v>
          </cell>
          <cell r="K48">
            <v>1</v>
          </cell>
          <cell r="L48">
            <v>6</v>
          </cell>
          <cell r="M48" t="str">
            <v>NM</v>
          </cell>
          <cell r="N48">
            <v>0</v>
          </cell>
          <cell r="O48">
            <v>0</v>
          </cell>
          <cell r="P48">
            <v>0</v>
          </cell>
          <cell r="Q48">
            <v>0</v>
          </cell>
          <cell r="R48" t="str">
            <v>NM</v>
          </cell>
          <cell r="S48">
            <v>0</v>
          </cell>
          <cell r="T48">
            <v>0</v>
          </cell>
          <cell r="U48">
            <v>0</v>
          </cell>
          <cell r="V48">
            <v>0</v>
          </cell>
          <cell r="W48" t="str">
            <v>NM</v>
          </cell>
          <cell r="X48">
            <v>0</v>
          </cell>
          <cell r="Y48">
            <v>0</v>
          </cell>
          <cell r="Z48">
            <v>0</v>
          </cell>
          <cell r="AA48">
            <v>0</v>
          </cell>
          <cell r="AB48" t="str">
            <v>NM</v>
          </cell>
          <cell r="AC48">
            <v>0</v>
          </cell>
          <cell r="AD48">
            <v>0</v>
          </cell>
          <cell r="AE48">
            <v>0</v>
          </cell>
          <cell r="AF48">
            <v>0</v>
          </cell>
          <cell r="AG48" t="str">
            <v>NM</v>
          </cell>
          <cell r="AH48">
            <v>0</v>
          </cell>
          <cell r="AI48" t="str">
            <v>NM</v>
          </cell>
          <cell r="AJ48">
            <v>0</v>
          </cell>
          <cell r="AK48">
            <v>0</v>
          </cell>
          <cell r="AL48">
            <v>5</v>
          </cell>
          <cell r="AM48">
            <v>0</v>
          </cell>
          <cell r="AN48">
            <v>0</v>
          </cell>
          <cell r="AO48">
            <v>1</v>
          </cell>
          <cell r="AP48">
            <v>6</v>
          </cell>
          <cell r="AQ48">
            <v>3</v>
          </cell>
          <cell r="AR48">
            <v>1</v>
          </cell>
          <cell r="AS48">
            <v>0</v>
          </cell>
          <cell r="AT48">
            <v>3</v>
          </cell>
          <cell r="AU48">
            <v>7</v>
          </cell>
          <cell r="AW48">
            <v>0</v>
          </cell>
          <cell r="AX48">
            <v>0</v>
          </cell>
          <cell r="AY48">
            <v>1</v>
          </cell>
          <cell r="AZ48">
            <v>3</v>
          </cell>
          <cell r="BA48">
            <v>4</v>
          </cell>
          <cell r="BB48">
            <v>1</v>
          </cell>
          <cell r="BC48">
            <v>0</v>
          </cell>
          <cell r="BD48">
            <v>3</v>
          </cell>
          <cell r="BE48">
            <v>0</v>
          </cell>
          <cell r="BF48">
            <v>4</v>
          </cell>
          <cell r="BG48">
            <v>3</v>
          </cell>
          <cell r="BH48">
            <v>2</v>
          </cell>
          <cell r="BI48">
            <v>0</v>
          </cell>
          <cell r="BJ48">
            <v>0</v>
          </cell>
          <cell r="BK48">
            <v>5</v>
          </cell>
          <cell r="BL48">
            <v>1</v>
          </cell>
          <cell r="BM48">
            <v>1</v>
          </cell>
          <cell r="BN48">
            <v>0</v>
          </cell>
          <cell r="BO48">
            <v>1</v>
          </cell>
          <cell r="BP48">
            <v>3</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row>
        <row r="49">
          <cell r="B49" t="str">
            <v>Additions - acquisitions</v>
          </cell>
          <cell r="AX49">
            <v>0</v>
          </cell>
          <cell r="AY49">
            <v>0</v>
          </cell>
          <cell r="AZ49">
            <v>0</v>
          </cell>
          <cell r="BA49">
            <v>0</v>
          </cell>
          <cell r="BF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1</v>
          </cell>
          <cell r="BZ49">
            <v>1</v>
          </cell>
          <cell r="CA49">
            <v>0</v>
          </cell>
          <cell r="CB49">
            <v>0</v>
          </cell>
          <cell r="CC49">
            <v>5</v>
          </cell>
          <cell r="CD49">
            <v>0</v>
          </cell>
          <cell r="CE49">
            <v>5</v>
          </cell>
          <cell r="CF49">
            <v>1</v>
          </cell>
          <cell r="CG49">
            <v>0</v>
          </cell>
          <cell r="CH49">
            <v>0</v>
          </cell>
          <cell r="CI49">
            <v>7</v>
          </cell>
          <cell r="CJ49">
            <v>8</v>
          </cell>
          <cell r="CK49">
            <v>0</v>
          </cell>
          <cell r="CL49">
            <v>4</v>
          </cell>
          <cell r="CM49">
            <v>0</v>
          </cell>
          <cell r="CN49">
            <v>0</v>
          </cell>
          <cell r="CO49">
            <v>4</v>
          </cell>
          <cell r="CP49">
            <v>1</v>
          </cell>
          <cell r="CQ49">
            <v>0</v>
          </cell>
          <cell r="CR49">
            <v>1</v>
          </cell>
          <cell r="CS49">
            <v>0</v>
          </cell>
          <cell r="CT49">
            <v>2</v>
          </cell>
          <cell r="CU49">
            <v>1</v>
          </cell>
          <cell r="CV49">
            <v>0</v>
          </cell>
          <cell r="CW49">
            <v>1</v>
          </cell>
          <cell r="CX49">
            <v>0</v>
          </cell>
          <cell r="CY49">
            <v>2</v>
          </cell>
          <cell r="CZ49">
            <v>1</v>
          </cell>
          <cell r="DA49">
            <v>0</v>
          </cell>
          <cell r="DB49">
            <v>1</v>
          </cell>
          <cell r="DC49">
            <v>0</v>
          </cell>
          <cell r="DD49">
            <v>2</v>
          </cell>
          <cell r="DE49">
            <v>1</v>
          </cell>
          <cell r="DF49">
            <v>0</v>
          </cell>
          <cell r="DG49">
            <v>1</v>
          </cell>
          <cell r="DH49">
            <v>0</v>
          </cell>
          <cell r="DI49">
            <v>2</v>
          </cell>
        </row>
        <row r="50">
          <cell r="B50" t="str">
            <v xml:space="preserve">    Divestitures</v>
          </cell>
          <cell r="E50">
            <v>0</v>
          </cell>
          <cell r="F50">
            <v>0</v>
          </cell>
          <cell r="G50">
            <v>0</v>
          </cell>
          <cell r="H50">
            <v>0</v>
          </cell>
          <cell r="I50">
            <v>0</v>
          </cell>
          <cell r="J50">
            <v>0</v>
          </cell>
          <cell r="K50">
            <v>0</v>
          </cell>
          <cell r="L50">
            <v>0</v>
          </cell>
          <cell r="M50">
            <v>0</v>
          </cell>
          <cell r="N50">
            <v>0</v>
          </cell>
          <cell r="O50">
            <v>0</v>
          </cell>
          <cell r="P50" t="str">
            <v>NM</v>
          </cell>
          <cell r="Q50">
            <v>0</v>
          </cell>
          <cell r="R50">
            <v>0</v>
          </cell>
          <cell r="S50">
            <v>0</v>
          </cell>
          <cell r="T50">
            <v>0</v>
          </cell>
          <cell r="U50" t="str">
            <v>NM</v>
          </cell>
          <cell r="V50">
            <v>0</v>
          </cell>
          <cell r="W50">
            <v>0</v>
          </cell>
          <cell r="X50">
            <v>0</v>
          </cell>
          <cell r="Y50">
            <v>0</v>
          </cell>
          <cell r="Z50" t="str">
            <v>NM</v>
          </cell>
          <cell r="AA50">
            <v>0</v>
          </cell>
          <cell r="AB50">
            <v>0</v>
          </cell>
          <cell r="AC50">
            <v>0</v>
          </cell>
          <cell r="AD50">
            <v>0</v>
          </cell>
          <cell r="AE50" t="str">
            <v>NM</v>
          </cell>
          <cell r="AF50">
            <v>0</v>
          </cell>
          <cell r="AG50">
            <v>0</v>
          </cell>
          <cell r="AH50" t="str">
            <v>NM</v>
          </cell>
          <cell r="AI50">
            <v>0</v>
          </cell>
          <cell r="AJ50" t="str">
            <v>NM</v>
          </cell>
          <cell r="AK50">
            <v>0</v>
          </cell>
          <cell r="AL50">
            <v>0</v>
          </cell>
          <cell r="AM50">
            <v>0</v>
          </cell>
          <cell r="AN50">
            <v>0</v>
          </cell>
          <cell r="AO50">
            <v>0</v>
          </cell>
          <cell r="AP50">
            <v>0</v>
          </cell>
          <cell r="AQ50">
            <v>0</v>
          </cell>
          <cell r="AR50">
            <v>0</v>
          </cell>
          <cell r="AS50">
            <v>0</v>
          </cell>
          <cell r="AT50">
            <v>0</v>
          </cell>
          <cell r="AU50">
            <v>0</v>
          </cell>
          <cell r="AW50">
            <v>0</v>
          </cell>
          <cell r="AX50">
            <v>0</v>
          </cell>
          <cell r="AY50">
            <v>0</v>
          </cell>
          <cell r="AZ50">
            <v>0</v>
          </cell>
          <cell r="BA50">
            <v>0</v>
          </cell>
          <cell r="BB50">
            <v>0</v>
          </cell>
          <cell r="BC50">
            <v>0</v>
          </cell>
          <cell r="BD50">
            <v>0</v>
          </cell>
          <cell r="BE50">
            <v>-3</v>
          </cell>
          <cell r="BF50">
            <v>-3</v>
          </cell>
          <cell r="BG50">
            <v>0</v>
          </cell>
          <cell r="BH50">
            <v>0</v>
          </cell>
          <cell r="BI50">
            <v>-2</v>
          </cell>
          <cell r="BJ50">
            <v>0</v>
          </cell>
          <cell r="BK50">
            <v>-2</v>
          </cell>
          <cell r="BL50">
            <v>0</v>
          </cell>
          <cell r="BM50">
            <v>-2</v>
          </cell>
          <cell r="BN50">
            <v>0</v>
          </cell>
          <cell r="BO50">
            <v>-1</v>
          </cell>
          <cell r="BP50">
            <v>-3</v>
          </cell>
          <cell r="BQ50">
            <v>-1</v>
          </cell>
          <cell r="BR50">
            <v>0</v>
          </cell>
          <cell r="BS50">
            <v>0</v>
          </cell>
          <cell r="BT50">
            <v>0</v>
          </cell>
          <cell r="BU50">
            <v>-1</v>
          </cell>
          <cell r="BV50">
            <v>0</v>
          </cell>
          <cell r="BW50">
            <v>0</v>
          </cell>
          <cell r="BX50">
            <v>-2</v>
          </cell>
          <cell r="BY50">
            <v>0</v>
          </cell>
          <cell r="BZ50">
            <v>-2</v>
          </cell>
          <cell r="CA50">
            <v>0</v>
          </cell>
          <cell r="CB50">
            <v>0</v>
          </cell>
          <cell r="CC50">
            <v>0</v>
          </cell>
          <cell r="CD50">
            <v>-1</v>
          </cell>
          <cell r="CE50">
            <v>-1</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row>
        <row r="51">
          <cell r="B51" t="str">
            <v>Hospitals - end of period</v>
          </cell>
          <cell r="E51">
            <v>16</v>
          </cell>
          <cell r="F51">
            <v>16</v>
          </cell>
          <cell r="G51">
            <v>20</v>
          </cell>
          <cell r="H51">
            <v>21</v>
          </cell>
          <cell r="I51">
            <v>23</v>
          </cell>
          <cell r="J51">
            <v>25</v>
          </cell>
          <cell r="K51">
            <v>26</v>
          </cell>
          <cell r="L51">
            <v>32</v>
          </cell>
          <cell r="M51" t="str">
            <v>ND</v>
          </cell>
          <cell r="N51" t="str">
            <v>ND</v>
          </cell>
          <cell r="O51" t="str">
            <v>ND</v>
          </cell>
          <cell r="P51">
            <v>36</v>
          </cell>
          <cell r="Q51">
            <v>36</v>
          </cell>
          <cell r="R51" t="str">
            <v>ND</v>
          </cell>
          <cell r="S51" t="str">
            <v>ND</v>
          </cell>
          <cell r="T51" t="str">
            <v>ND</v>
          </cell>
          <cell r="U51">
            <v>37</v>
          </cell>
          <cell r="V51">
            <v>37</v>
          </cell>
          <cell r="W51" t="str">
            <v>ND</v>
          </cell>
          <cell r="X51" t="str">
            <v>ND</v>
          </cell>
          <cell r="Y51" t="str">
            <v>ND</v>
          </cell>
          <cell r="Z51">
            <v>38</v>
          </cell>
          <cell r="AA51">
            <v>38</v>
          </cell>
          <cell r="AB51" t="str">
            <v>ND</v>
          </cell>
          <cell r="AC51" t="str">
            <v>ND</v>
          </cell>
          <cell r="AD51" t="str">
            <v>ND</v>
          </cell>
          <cell r="AE51">
            <v>43</v>
          </cell>
          <cell r="AF51">
            <v>43</v>
          </cell>
          <cell r="AG51" t="str">
            <v>ND</v>
          </cell>
          <cell r="AH51">
            <v>46</v>
          </cell>
          <cell r="AI51" t="str">
            <v>ND</v>
          </cell>
          <cell r="AJ51">
            <v>47</v>
          </cell>
          <cell r="AK51">
            <v>47</v>
          </cell>
          <cell r="AL51">
            <v>52</v>
          </cell>
          <cell r="AM51">
            <v>52</v>
          </cell>
          <cell r="AN51">
            <v>52</v>
          </cell>
          <cell r="AO51">
            <v>53</v>
          </cell>
          <cell r="AP51">
            <v>53</v>
          </cell>
          <cell r="AQ51">
            <v>56</v>
          </cell>
          <cell r="AR51">
            <v>57</v>
          </cell>
          <cell r="AS51">
            <v>57</v>
          </cell>
          <cell r="AT51">
            <v>60</v>
          </cell>
          <cell r="AU51">
            <v>60</v>
          </cell>
          <cell r="AW51">
            <v>52</v>
          </cell>
          <cell r="AX51">
            <v>52</v>
          </cell>
          <cell r="AY51">
            <v>53</v>
          </cell>
          <cell r="AZ51">
            <v>56</v>
          </cell>
          <cell r="BA51">
            <v>56</v>
          </cell>
          <cell r="BB51">
            <v>57</v>
          </cell>
          <cell r="BC51">
            <v>57</v>
          </cell>
          <cell r="BD51">
            <v>60</v>
          </cell>
          <cell r="BE51">
            <v>57</v>
          </cell>
          <cell r="BF51">
            <v>57</v>
          </cell>
          <cell r="BG51">
            <v>60</v>
          </cell>
          <cell r="BH51">
            <v>62</v>
          </cell>
          <cell r="BI51">
            <v>60</v>
          </cell>
          <cell r="BJ51">
            <v>60</v>
          </cell>
          <cell r="BK51">
            <v>60</v>
          </cell>
          <cell r="BL51">
            <v>61</v>
          </cell>
          <cell r="BM51">
            <v>61</v>
          </cell>
          <cell r="BN51">
            <v>59</v>
          </cell>
          <cell r="BO51">
            <v>59</v>
          </cell>
          <cell r="BP51">
            <v>59</v>
          </cell>
          <cell r="BQ51">
            <v>58</v>
          </cell>
          <cell r="BR51">
            <v>57</v>
          </cell>
          <cell r="BS51">
            <v>56</v>
          </cell>
          <cell r="BT51">
            <v>56</v>
          </cell>
          <cell r="BU51">
            <v>56</v>
          </cell>
          <cell r="BV51">
            <v>56</v>
          </cell>
          <cell r="BW51">
            <v>56</v>
          </cell>
          <cell r="BX51">
            <v>54</v>
          </cell>
          <cell r="BY51">
            <v>55</v>
          </cell>
          <cell r="BZ51">
            <v>55</v>
          </cell>
          <cell r="CA51">
            <v>55</v>
          </cell>
          <cell r="CB51">
            <v>55</v>
          </cell>
          <cell r="CC51">
            <v>58</v>
          </cell>
          <cell r="CD51">
            <v>59</v>
          </cell>
          <cell r="CE51">
            <v>59</v>
          </cell>
          <cell r="CF51">
            <v>59</v>
          </cell>
          <cell r="CG51">
            <v>60</v>
          </cell>
          <cell r="CH51">
            <v>66</v>
          </cell>
          <cell r="CI51">
            <v>66</v>
          </cell>
          <cell r="CJ51">
            <v>66</v>
          </cell>
          <cell r="CK51">
            <v>66</v>
          </cell>
          <cell r="CL51">
            <v>70</v>
          </cell>
          <cell r="CM51">
            <v>70</v>
          </cell>
          <cell r="CN51">
            <v>70</v>
          </cell>
          <cell r="CO51">
            <v>70</v>
          </cell>
          <cell r="CP51">
            <v>71</v>
          </cell>
          <cell r="CQ51">
            <v>71</v>
          </cell>
          <cell r="CR51">
            <v>72</v>
          </cell>
          <cell r="CS51">
            <v>72</v>
          </cell>
          <cell r="CT51">
            <v>72</v>
          </cell>
          <cell r="CU51">
            <v>73</v>
          </cell>
          <cell r="CV51">
            <v>73</v>
          </cell>
          <cell r="CW51">
            <v>74</v>
          </cell>
          <cell r="CX51">
            <v>74</v>
          </cell>
          <cell r="CY51">
            <v>74</v>
          </cell>
          <cell r="CZ51">
            <v>75</v>
          </cell>
          <cell r="DA51">
            <v>75</v>
          </cell>
          <cell r="DB51">
            <v>76</v>
          </cell>
          <cell r="DC51">
            <v>76</v>
          </cell>
          <cell r="DD51">
            <v>76</v>
          </cell>
          <cell r="DE51">
            <v>77</v>
          </cell>
          <cell r="DF51">
            <v>77</v>
          </cell>
          <cell r="DG51">
            <v>78</v>
          </cell>
          <cell r="DH51">
            <v>78</v>
          </cell>
          <cell r="DI51">
            <v>78</v>
          </cell>
        </row>
        <row r="53">
          <cell r="B53" t="str">
            <v>Licensed Beds</v>
          </cell>
        </row>
        <row r="54">
          <cell r="B54" t="str">
            <v>Beds - beg of period</v>
          </cell>
          <cell r="E54">
            <v>0</v>
          </cell>
          <cell r="F54">
            <v>1658</v>
          </cell>
          <cell r="G54">
            <v>1658</v>
          </cell>
          <cell r="H54">
            <v>2023</v>
          </cell>
          <cell r="I54">
            <v>2291</v>
          </cell>
          <cell r="J54">
            <v>2565</v>
          </cell>
          <cell r="K54">
            <v>2966</v>
          </cell>
          <cell r="L54">
            <v>3086</v>
          </cell>
          <cell r="M54">
            <v>3821</v>
          </cell>
          <cell r="N54" t="str">
            <v>ND</v>
          </cell>
          <cell r="O54" t="str">
            <v>ND</v>
          </cell>
          <cell r="P54" t="str">
            <v>ND</v>
          </cell>
          <cell r="Q54">
            <v>3821</v>
          </cell>
          <cell r="R54">
            <v>4665</v>
          </cell>
          <cell r="S54" t="str">
            <v>ND</v>
          </cell>
          <cell r="T54" t="str">
            <v>ND</v>
          </cell>
          <cell r="U54" t="str">
            <v>ND</v>
          </cell>
          <cell r="V54">
            <v>4665</v>
          </cell>
          <cell r="W54">
            <v>5090</v>
          </cell>
          <cell r="X54" t="str">
            <v>ND</v>
          </cell>
          <cell r="Y54" t="str">
            <v>ND</v>
          </cell>
          <cell r="Z54" t="str">
            <v>ND</v>
          </cell>
          <cell r="AA54">
            <v>5090</v>
          </cell>
          <cell r="AB54">
            <v>5318</v>
          </cell>
          <cell r="AC54" t="str">
            <v>ND</v>
          </cell>
          <cell r="AD54" t="str">
            <v>ND</v>
          </cell>
          <cell r="AE54" t="str">
            <v>ND</v>
          </cell>
          <cell r="AF54">
            <v>5318</v>
          </cell>
          <cell r="AG54">
            <v>5903</v>
          </cell>
          <cell r="AH54" t="str">
            <v>ND</v>
          </cell>
          <cell r="AI54">
            <v>6326</v>
          </cell>
          <cell r="AJ54" t="str">
            <v>ND</v>
          </cell>
          <cell r="AK54">
            <v>5903</v>
          </cell>
          <cell r="AL54">
            <v>6479</v>
          </cell>
          <cell r="AM54">
            <v>7540</v>
          </cell>
          <cell r="AN54">
            <v>7562</v>
          </cell>
          <cell r="AO54">
            <v>7562</v>
          </cell>
          <cell r="AP54">
            <v>6479</v>
          </cell>
          <cell r="AQ54">
            <v>7526</v>
          </cell>
          <cell r="AR54">
            <v>8203</v>
          </cell>
          <cell r="AS54">
            <v>8259</v>
          </cell>
          <cell r="AT54">
            <v>8310</v>
          </cell>
          <cell r="AU54">
            <v>7526</v>
          </cell>
          <cell r="AW54">
            <v>7540</v>
          </cell>
          <cell r="AX54">
            <v>7562</v>
          </cell>
          <cell r="AY54">
            <v>7562</v>
          </cell>
          <cell r="AZ54">
            <v>7526</v>
          </cell>
          <cell r="BA54">
            <v>7540</v>
          </cell>
          <cell r="BB54">
            <v>8203</v>
          </cell>
          <cell r="BC54">
            <v>8259</v>
          </cell>
          <cell r="BD54">
            <v>8310</v>
          </cell>
          <cell r="BE54">
            <v>8545</v>
          </cell>
          <cell r="BF54">
            <v>8203</v>
          </cell>
          <cell r="BG54">
            <v>8329</v>
          </cell>
          <cell r="BH54">
            <v>8545</v>
          </cell>
          <cell r="BI54">
            <v>8819</v>
          </cell>
          <cell r="BJ54">
            <v>8635</v>
          </cell>
          <cell r="BK54">
            <v>8329</v>
          </cell>
          <cell r="BL54">
            <v>8589</v>
          </cell>
          <cell r="BM54">
            <v>8685</v>
          </cell>
          <cell r="BN54">
            <v>8668</v>
          </cell>
          <cell r="BO54">
            <v>8463</v>
          </cell>
          <cell r="BP54">
            <v>8589</v>
          </cell>
          <cell r="BQ54">
            <v>8458</v>
          </cell>
          <cell r="BR54">
            <v>8269</v>
          </cell>
          <cell r="BS54">
            <v>8097</v>
          </cell>
          <cell r="BT54">
            <v>8018</v>
          </cell>
          <cell r="BU54">
            <v>8547</v>
          </cell>
          <cell r="BV54">
            <v>8019</v>
          </cell>
          <cell r="BW54">
            <v>8082</v>
          </cell>
          <cell r="BX54">
            <v>8121</v>
          </cell>
          <cell r="BY54">
            <v>7926</v>
          </cell>
          <cell r="BZ54">
            <v>8376</v>
          </cell>
          <cell r="CA54">
            <v>8418</v>
          </cell>
          <cell r="CB54">
            <v>8435</v>
          </cell>
          <cell r="CC54">
            <v>8419</v>
          </cell>
          <cell r="CD54">
            <v>8576</v>
          </cell>
          <cell r="CE54">
            <v>8673</v>
          </cell>
          <cell r="CF54">
            <v>8864</v>
          </cell>
          <cell r="CG54">
            <v>8862</v>
          </cell>
          <cell r="CH54">
            <v>9143</v>
          </cell>
          <cell r="CI54">
            <v>10441</v>
          </cell>
          <cell r="CJ54">
            <v>9173</v>
          </cell>
          <cell r="CK54">
            <v>10330</v>
          </cell>
          <cell r="CL54">
            <v>10330</v>
          </cell>
          <cell r="CM54">
            <v>10527</v>
          </cell>
          <cell r="CN54">
            <v>10527</v>
          </cell>
          <cell r="CO54">
            <v>9239</v>
          </cell>
          <cell r="CP54">
            <v>10527</v>
          </cell>
          <cell r="CQ54">
            <v>10727</v>
          </cell>
          <cell r="CR54">
            <v>10727</v>
          </cell>
          <cell r="CS54">
            <v>10927</v>
          </cell>
          <cell r="CT54">
            <v>9436</v>
          </cell>
          <cell r="CU54">
            <v>10927</v>
          </cell>
          <cell r="CV54">
            <v>11127</v>
          </cell>
          <cell r="CW54">
            <v>11127</v>
          </cell>
          <cell r="CX54">
            <v>11327</v>
          </cell>
          <cell r="CY54">
            <v>9836</v>
          </cell>
          <cell r="CZ54">
            <v>11327</v>
          </cell>
          <cell r="DA54">
            <v>11527</v>
          </cell>
          <cell r="DB54">
            <v>11527</v>
          </cell>
          <cell r="DC54">
            <v>11727</v>
          </cell>
          <cell r="DD54">
            <v>10236</v>
          </cell>
          <cell r="DE54">
            <v>11727</v>
          </cell>
          <cell r="DF54">
            <v>11927</v>
          </cell>
          <cell r="DG54">
            <v>11927</v>
          </cell>
          <cell r="DH54">
            <v>12127</v>
          </cell>
          <cell r="DI54">
            <v>10636</v>
          </cell>
        </row>
        <row r="55">
          <cell r="B55" t="str">
            <v>Additions - de novo</v>
          </cell>
          <cell r="BA55">
            <v>0</v>
          </cell>
          <cell r="BF55">
            <v>0</v>
          </cell>
          <cell r="BJ55">
            <v>0</v>
          </cell>
          <cell r="BK55">
            <v>0</v>
          </cell>
          <cell r="BL55">
            <v>100</v>
          </cell>
          <cell r="BM55">
            <v>76</v>
          </cell>
          <cell r="BN55">
            <v>0</v>
          </cell>
          <cell r="BO55">
            <v>103</v>
          </cell>
          <cell r="BP55">
            <v>279</v>
          </cell>
          <cell r="BQ55">
            <v>0</v>
          </cell>
          <cell r="BR55">
            <v>0</v>
          </cell>
          <cell r="BS55">
            <v>0</v>
          </cell>
          <cell r="BT55">
            <v>1</v>
          </cell>
          <cell r="BU55">
            <v>1</v>
          </cell>
          <cell r="BZ55">
            <v>0</v>
          </cell>
          <cell r="CE55">
            <v>0</v>
          </cell>
          <cell r="CJ55">
            <v>0</v>
          </cell>
          <cell r="CO55">
            <v>0</v>
          </cell>
          <cell r="CT55">
            <v>0</v>
          </cell>
          <cell r="CY55">
            <v>0</v>
          </cell>
          <cell r="DD55">
            <v>0</v>
          </cell>
          <cell r="DI55">
            <v>0</v>
          </cell>
        </row>
        <row r="56">
          <cell r="B56" t="str">
            <v>Additions - acquisitions</v>
          </cell>
          <cell r="BA56">
            <v>0</v>
          </cell>
          <cell r="BF56">
            <v>0</v>
          </cell>
          <cell r="BJ56">
            <v>0</v>
          </cell>
          <cell r="BK56">
            <v>0</v>
          </cell>
          <cell r="BL56">
            <v>0</v>
          </cell>
          <cell r="BM56">
            <v>0</v>
          </cell>
          <cell r="BN56">
            <v>0</v>
          </cell>
          <cell r="BP56">
            <v>0</v>
          </cell>
          <cell r="BQ56">
            <v>0</v>
          </cell>
          <cell r="BR56">
            <v>0</v>
          </cell>
          <cell r="BS56">
            <v>0</v>
          </cell>
          <cell r="BT56">
            <v>0</v>
          </cell>
          <cell r="BU56">
            <v>0</v>
          </cell>
          <cell r="BV56">
            <v>63</v>
          </cell>
          <cell r="BW56">
            <v>39</v>
          </cell>
          <cell r="BY56">
            <v>492</v>
          </cell>
          <cell r="BZ56">
            <v>594</v>
          </cell>
          <cell r="CC56">
            <v>600</v>
          </cell>
          <cell r="CD56">
            <v>0</v>
          </cell>
          <cell r="CE56">
            <v>600</v>
          </cell>
          <cell r="CF56">
            <v>100</v>
          </cell>
          <cell r="CG56">
            <v>77</v>
          </cell>
          <cell r="CH56">
            <v>0</v>
          </cell>
          <cell r="CI56">
            <v>-111</v>
          </cell>
          <cell r="CJ56">
            <v>66</v>
          </cell>
          <cell r="CK56">
            <v>0</v>
          </cell>
          <cell r="CL56">
            <v>218</v>
          </cell>
          <cell r="CO56">
            <v>218</v>
          </cell>
          <cell r="CP56">
            <v>200</v>
          </cell>
          <cell r="CQ56">
            <v>0</v>
          </cell>
          <cell r="CR56">
            <v>200</v>
          </cell>
          <cell r="CS56">
            <v>0</v>
          </cell>
          <cell r="CT56">
            <v>400</v>
          </cell>
          <cell r="CU56">
            <v>200</v>
          </cell>
          <cell r="CV56">
            <v>0</v>
          </cell>
          <cell r="CW56">
            <v>200</v>
          </cell>
          <cell r="CX56">
            <v>0</v>
          </cell>
          <cell r="CY56">
            <v>400</v>
          </cell>
          <cell r="CZ56">
            <v>200</v>
          </cell>
          <cell r="DA56">
            <v>0</v>
          </cell>
          <cell r="DB56">
            <v>200</v>
          </cell>
          <cell r="DC56">
            <v>0</v>
          </cell>
          <cell r="DD56">
            <v>400</v>
          </cell>
          <cell r="DE56">
            <v>200</v>
          </cell>
          <cell r="DF56">
            <v>0</v>
          </cell>
          <cell r="DG56">
            <v>200</v>
          </cell>
          <cell r="DH56">
            <v>0</v>
          </cell>
          <cell r="DI56">
            <v>400</v>
          </cell>
        </row>
        <row r="57">
          <cell r="B57" t="str">
            <v xml:space="preserve">    Divestitures</v>
          </cell>
          <cell r="E57">
            <v>1658</v>
          </cell>
          <cell r="F57">
            <v>0</v>
          </cell>
          <cell r="G57">
            <v>365</v>
          </cell>
          <cell r="H57">
            <v>268</v>
          </cell>
          <cell r="I57">
            <v>274</v>
          </cell>
          <cell r="J57">
            <v>401</v>
          </cell>
          <cell r="K57">
            <v>120</v>
          </cell>
          <cell r="L57">
            <v>735</v>
          </cell>
          <cell r="M57" t="str">
            <v>NM</v>
          </cell>
          <cell r="N57" t="str">
            <v>NM</v>
          </cell>
          <cell r="O57" t="str">
            <v>NM</v>
          </cell>
          <cell r="P57" t="str">
            <v>NM</v>
          </cell>
          <cell r="Q57">
            <v>844</v>
          </cell>
          <cell r="R57" t="str">
            <v>NM</v>
          </cell>
          <cell r="S57" t="str">
            <v>NM</v>
          </cell>
          <cell r="T57" t="str">
            <v>NM</v>
          </cell>
          <cell r="U57" t="str">
            <v>NM</v>
          </cell>
          <cell r="V57">
            <v>425</v>
          </cell>
          <cell r="W57" t="str">
            <v>NM</v>
          </cell>
          <cell r="X57" t="str">
            <v>NM</v>
          </cell>
          <cell r="Y57" t="str">
            <v>NM</v>
          </cell>
          <cell r="Z57" t="str">
            <v>NM</v>
          </cell>
          <cell r="AA57">
            <v>228</v>
          </cell>
          <cell r="AB57" t="str">
            <v>NM</v>
          </cell>
          <cell r="AC57" t="str">
            <v>NM</v>
          </cell>
          <cell r="AD57" t="str">
            <v>NM</v>
          </cell>
          <cell r="AE57" t="str">
            <v>NM</v>
          </cell>
          <cell r="AF57">
            <v>585</v>
          </cell>
          <cell r="AG57" t="str">
            <v>NM</v>
          </cell>
          <cell r="AH57" t="str">
            <v>NM</v>
          </cell>
          <cell r="AI57" t="str">
            <v>NM</v>
          </cell>
          <cell r="AJ57" t="str">
            <v>NM</v>
          </cell>
          <cell r="AK57">
            <v>576</v>
          </cell>
          <cell r="AL57">
            <v>1061</v>
          </cell>
          <cell r="AM57">
            <v>22</v>
          </cell>
          <cell r="AN57">
            <v>0</v>
          </cell>
          <cell r="AO57">
            <v>-36</v>
          </cell>
          <cell r="AP57">
            <v>1047</v>
          </cell>
          <cell r="AQ57">
            <v>677</v>
          </cell>
          <cell r="AR57">
            <v>56</v>
          </cell>
          <cell r="AS57">
            <v>51</v>
          </cell>
          <cell r="AT57">
            <v>235</v>
          </cell>
          <cell r="AU57">
            <v>1019</v>
          </cell>
          <cell r="AW57">
            <v>22</v>
          </cell>
          <cell r="AX57">
            <v>0</v>
          </cell>
          <cell r="AY57">
            <v>-36</v>
          </cell>
          <cell r="AZ57">
            <v>677</v>
          </cell>
          <cell r="BA57">
            <v>663</v>
          </cell>
          <cell r="BB57">
            <v>56</v>
          </cell>
          <cell r="BC57">
            <v>51</v>
          </cell>
          <cell r="BD57">
            <v>235</v>
          </cell>
          <cell r="BE57">
            <v>-216</v>
          </cell>
          <cell r="BF57">
            <v>126</v>
          </cell>
          <cell r="BG57">
            <v>216</v>
          </cell>
          <cell r="BH57">
            <v>274</v>
          </cell>
          <cell r="BI57">
            <v>-184</v>
          </cell>
          <cell r="BJ57">
            <v>-46</v>
          </cell>
          <cell r="BK57">
            <v>260</v>
          </cell>
          <cell r="BL57">
            <v>0</v>
          </cell>
          <cell r="BM57">
            <v>-213</v>
          </cell>
          <cell r="BN57">
            <v>0</v>
          </cell>
          <cell r="BO57">
            <v>-108</v>
          </cell>
          <cell r="BP57">
            <v>-321</v>
          </cell>
          <cell r="BQ57">
            <v>-172</v>
          </cell>
          <cell r="BR57">
            <v>0</v>
          </cell>
          <cell r="BS57">
            <v>0</v>
          </cell>
          <cell r="BT57">
            <v>0</v>
          </cell>
          <cell r="BU57">
            <v>-172</v>
          </cell>
          <cell r="BV57">
            <v>0</v>
          </cell>
          <cell r="BW57">
            <v>0</v>
          </cell>
          <cell r="BX57">
            <v>-195</v>
          </cell>
          <cell r="BY57">
            <v>492</v>
          </cell>
          <cell r="BZ57">
            <v>-297</v>
          </cell>
          <cell r="CA57">
            <v>0</v>
          </cell>
          <cell r="CB57">
            <v>0</v>
          </cell>
          <cell r="CC57">
            <v>0</v>
          </cell>
          <cell r="CD57">
            <v>-100</v>
          </cell>
          <cell r="CE57">
            <v>-100</v>
          </cell>
          <cell r="CF57">
            <v>0</v>
          </cell>
          <cell r="CG57">
            <v>0</v>
          </cell>
          <cell r="CH57">
            <v>0</v>
          </cell>
          <cell r="CI57">
            <v>0</v>
          </cell>
          <cell r="CJ57">
            <v>0</v>
          </cell>
          <cell r="CK57">
            <v>0</v>
          </cell>
          <cell r="CL57">
            <v>-21</v>
          </cell>
          <cell r="CM57">
            <v>0</v>
          </cell>
          <cell r="CN57">
            <v>0</v>
          </cell>
          <cell r="CO57">
            <v>-21</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row>
        <row r="58">
          <cell r="B58" t="str">
            <v>Beds - end of period</v>
          </cell>
          <cell r="E58">
            <v>1658</v>
          </cell>
          <cell r="F58">
            <v>1658</v>
          </cell>
          <cell r="G58">
            <v>2023</v>
          </cell>
          <cell r="H58">
            <v>2291</v>
          </cell>
          <cell r="I58">
            <v>2565</v>
          </cell>
          <cell r="J58">
            <v>2966</v>
          </cell>
          <cell r="K58">
            <v>3086</v>
          </cell>
          <cell r="L58">
            <v>3821</v>
          </cell>
          <cell r="M58" t="str">
            <v>ND</v>
          </cell>
          <cell r="N58" t="str">
            <v>ND</v>
          </cell>
          <cell r="O58" t="str">
            <v>ND</v>
          </cell>
          <cell r="P58">
            <v>4665</v>
          </cell>
          <cell r="Q58">
            <v>4665</v>
          </cell>
          <cell r="R58" t="str">
            <v>ND</v>
          </cell>
          <cell r="S58" t="str">
            <v>ND</v>
          </cell>
          <cell r="T58" t="str">
            <v>ND</v>
          </cell>
          <cell r="U58">
            <v>5090</v>
          </cell>
          <cell r="V58">
            <v>5090</v>
          </cell>
          <cell r="W58" t="str">
            <v>ND</v>
          </cell>
          <cell r="X58" t="str">
            <v>ND</v>
          </cell>
          <cell r="Y58" t="str">
            <v>ND</v>
          </cell>
          <cell r="Z58">
            <v>5318</v>
          </cell>
          <cell r="AA58">
            <v>5318</v>
          </cell>
          <cell r="AB58" t="str">
            <v>ND</v>
          </cell>
          <cell r="AC58" t="str">
            <v>ND</v>
          </cell>
          <cell r="AD58" t="str">
            <v>ND</v>
          </cell>
          <cell r="AE58">
            <v>5903</v>
          </cell>
          <cell r="AF58">
            <v>5903</v>
          </cell>
          <cell r="AG58" t="str">
            <v>ND</v>
          </cell>
          <cell r="AH58">
            <v>6326</v>
          </cell>
          <cell r="AI58" t="str">
            <v>ND</v>
          </cell>
          <cell r="AJ58">
            <v>6479</v>
          </cell>
          <cell r="AK58">
            <v>6479</v>
          </cell>
          <cell r="AL58">
            <v>7540</v>
          </cell>
          <cell r="AM58">
            <v>7562</v>
          </cell>
          <cell r="AN58">
            <v>7562</v>
          </cell>
          <cell r="AO58">
            <v>7526</v>
          </cell>
          <cell r="AP58">
            <v>7526</v>
          </cell>
          <cell r="AQ58">
            <v>8203</v>
          </cell>
          <cell r="AR58">
            <v>8259</v>
          </cell>
          <cell r="AS58">
            <v>8310</v>
          </cell>
          <cell r="AT58">
            <v>8545</v>
          </cell>
          <cell r="AU58">
            <v>8545</v>
          </cell>
          <cell r="AW58">
            <v>7562</v>
          </cell>
          <cell r="AX58">
            <v>7562</v>
          </cell>
          <cell r="AY58">
            <v>7526</v>
          </cell>
          <cell r="AZ58">
            <v>8203</v>
          </cell>
          <cell r="BA58">
            <v>8203</v>
          </cell>
          <cell r="BB58">
            <v>8259</v>
          </cell>
          <cell r="BC58">
            <v>8310</v>
          </cell>
          <cell r="BD58">
            <v>8545</v>
          </cell>
          <cell r="BE58">
            <v>8329</v>
          </cell>
          <cell r="BF58">
            <v>8329</v>
          </cell>
          <cell r="BG58">
            <v>8545</v>
          </cell>
          <cell r="BH58">
            <v>8819</v>
          </cell>
          <cell r="BI58">
            <v>8635</v>
          </cell>
          <cell r="BJ58">
            <v>8589</v>
          </cell>
          <cell r="BK58">
            <v>8589</v>
          </cell>
          <cell r="BL58">
            <v>8685</v>
          </cell>
          <cell r="BM58">
            <v>8668</v>
          </cell>
          <cell r="BN58">
            <v>8463</v>
          </cell>
          <cell r="BO58">
            <v>8458</v>
          </cell>
          <cell r="BP58">
            <v>8547</v>
          </cell>
          <cell r="BQ58">
            <v>8269</v>
          </cell>
          <cell r="BR58">
            <v>8097</v>
          </cell>
          <cell r="BS58">
            <v>8018</v>
          </cell>
          <cell r="BT58">
            <v>8019</v>
          </cell>
          <cell r="BU58">
            <v>8376</v>
          </cell>
          <cell r="BV58">
            <v>8082</v>
          </cell>
          <cell r="BW58">
            <v>8121</v>
          </cell>
          <cell r="BX58">
            <v>7926</v>
          </cell>
          <cell r="BY58">
            <v>8418</v>
          </cell>
          <cell r="BZ58">
            <v>8673</v>
          </cell>
          <cell r="CA58">
            <v>8435</v>
          </cell>
          <cell r="CB58">
            <v>8419</v>
          </cell>
          <cell r="CC58">
            <v>8576</v>
          </cell>
          <cell r="CD58">
            <v>8864</v>
          </cell>
          <cell r="CE58">
            <v>9173</v>
          </cell>
          <cell r="CF58">
            <v>8862</v>
          </cell>
          <cell r="CG58">
            <v>9143</v>
          </cell>
          <cell r="CH58">
            <v>10441</v>
          </cell>
          <cell r="CI58">
            <v>10330</v>
          </cell>
          <cell r="CJ58">
            <v>9239</v>
          </cell>
          <cell r="CK58">
            <v>10330</v>
          </cell>
          <cell r="CL58">
            <v>10527</v>
          </cell>
          <cell r="CM58">
            <v>10527</v>
          </cell>
          <cell r="CN58">
            <v>10527</v>
          </cell>
          <cell r="CO58">
            <v>9436</v>
          </cell>
          <cell r="CP58">
            <v>10727</v>
          </cell>
          <cell r="CQ58">
            <v>10727</v>
          </cell>
          <cell r="CR58">
            <v>10927</v>
          </cell>
          <cell r="CS58">
            <v>10927</v>
          </cell>
          <cell r="CT58">
            <v>9836</v>
          </cell>
          <cell r="CU58">
            <v>11127</v>
          </cell>
          <cell r="CV58">
            <v>11127</v>
          </cell>
          <cell r="CW58">
            <v>11327</v>
          </cell>
          <cell r="CX58">
            <v>11327</v>
          </cell>
          <cell r="CY58">
            <v>10236</v>
          </cell>
          <cell r="CZ58">
            <v>11527</v>
          </cell>
          <cell r="DA58">
            <v>11527</v>
          </cell>
          <cell r="DB58">
            <v>11727</v>
          </cell>
          <cell r="DC58">
            <v>11727</v>
          </cell>
          <cell r="DD58">
            <v>10636</v>
          </cell>
          <cell r="DE58">
            <v>11927</v>
          </cell>
          <cell r="DF58">
            <v>11927</v>
          </cell>
          <cell r="DG58">
            <v>12127</v>
          </cell>
          <cell r="DH58">
            <v>12127</v>
          </cell>
          <cell r="DI58">
            <v>11036</v>
          </cell>
        </row>
        <row r="59">
          <cell r="B59" t="str">
            <v>Avg beds in service</v>
          </cell>
          <cell r="G59">
            <v>1707.32996875751</v>
          </cell>
          <cell r="H59">
            <v>2009.7820241070581</v>
          </cell>
          <cell r="I59">
            <v>2139.5312303632022</v>
          </cell>
          <cell r="J59">
            <v>2660.3754439370878</v>
          </cell>
          <cell r="K59">
            <v>3027.0119863013697</v>
          </cell>
          <cell r="L59">
            <v>3578.7918448070268</v>
          </cell>
          <cell r="M59">
            <v>3817.669527492219</v>
          </cell>
          <cell r="N59">
            <v>3833.8411537680277</v>
          </cell>
          <cell r="O59">
            <v>4457.9983774614648</v>
          </cell>
          <cell r="P59">
            <v>4563.586956521739</v>
          </cell>
          <cell r="Q59">
            <v>4168.2740038108623</v>
          </cell>
          <cell r="R59">
            <v>4661.1958921201658</v>
          </cell>
          <cell r="S59">
            <v>4712.588183421517</v>
          </cell>
          <cell r="T59">
            <v>4542.9250661038741</v>
          </cell>
          <cell r="U59">
            <v>4860.8745171833225</v>
          </cell>
          <cell r="V59">
            <v>4694.3959147072201</v>
          </cell>
          <cell r="W59">
            <v>5092.6709464059923</v>
          </cell>
          <cell r="X59">
            <v>5025.9890572390568</v>
          </cell>
          <cell r="Y59">
            <v>4993.4435312586575</v>
          </cell>
          <cell r="Z59">
            <v>5301.3544018058692</v>
          </cell>
          <cell r="AA59">
            <v>5103.3644841773939</v>
          </cell>
          <cell r="AB59">
            <v>5344.0516005733398</v>
          </cell>
          <cell r="AC59">
            <v>5799.2463393626185</v>
          </cell>
          <cell r="AD59">
            <v>5769.2079704527832</v>
          </cell>
          <cell r="AE59">
            <v>5896.2640215073707</v>
          </cell>
          <cell r="AF59">
            <v>5702.1924829740274</v>
          </cell>
          <cell r="AG59">
            <v>5928.4778089125921</v>
          </cell>
          <cell r="AH59">
            <v>6006.7714884696015</v>
          </cell>
          <cell r="AI59">
            <v>6120.2544823597464</v>
          </cell>
          <cell r="AJ59">
            <v>6323.5000949307005</v>
          </cell>
          <cell r="AK59">
            <v>6094.7509686681597</v>
          </cell>
          <cell r="AL59">
            <v>7193.2065217391309</v>
          </cell>
          <cell r="AM59">
            <v>7547.5691623551538</v>
          </cell>
          <cell r="AN59">
            <v>7567.3863581352562</v>
          </cell>
          <cell r="AO59">
            <v>7117.465945139018</v>
          </cell>
          <cell r="AP59">
            <v>7356.40699684214</v>
          </cell>
          <cell r="AQ59">
            <v>7540.0370229732289</v>
          </cell>
          <cell r="AR59">
            <v>7978.7898363479762</v>
          </cell>
          <cell r="AS59">
            <v>8301.4163079808586</v>
          </cell>
          <cell r="AT59">
            <v>8341.7504101722734</v>
          </cell>
          <cell r="AU59">
            <v>8040.4983943685838</v>
          </cell>
          <cell r="AW59">
            <v>7547.5691623551538</v>
          </cell>
          <cell r="AX59">
            <v>7567.3863581352562</v>
          </cell>
          <cell r="AY59">
            <v>7117.465945139018</v>
          </cell>
          <cell r="AZ59">
            <v>7540.0370229732289</v>
          </cell>
          <cell r="BA59">
            <v>7443.1146221506642</v>
          </cell>
          <cell r="BB59">
            <v>7978.7898363479762</v>
          </cell>
          <cell r="BC59">
            <v>8301.4163079808586</v>
          </cell>
          <cell r="BD59">
            <v>8341.7504101722734</v>
          </cell>
          <cell r="BE59">
            <v>8268.2975141131028</v>
          </cell>
          <cell r="BF59">
            <v>8222.5635171535523</v>
          </cell>
          <cell r="BG59">
            <v>8551.24077800134</v>
          </cell>
          <cell r="BH59">
            <v>8613.5489792374665</v>
          </cell>
          <cell r="BI59">
            <v>8304.7341850401808</v>
          </cell>
          <cell r="BJ59">
            <v>8323.1202632628629</v>
          </cell>
          <cell r="BK59">
            <v>8448.161051385463</v>
          </cell>
          <cell r="BL59">
            <v>8347.5119291070223</v>
          </cell>
          <cell r="BM59">
            <v>8253.4433891899953</v>
          </cell>
          <cell r="BN59">
            <v>8238.6410467751903</v>
          </cell>
          <cell r="BO59">
            <v>8344.9086027057729</v>
          </cell>
          <cell r="BP59">
            <v>8296.1262419444956</v>
          </cell>
          <cell r="BQ59">
            <v>7965.072182719241</v>
          </cell>
          <cell r="BR59">
            <v>7891.9745412958082</v>
          </cell>
          <cell r="BS59">
            <v>7876.4657050949463</v>
          </cell>
          <cell r="BT59">
            <v>7929.3233450842154</v>
          </cell>
          <cell r="BU59">
            <v>7915.7089435485532</v>
          </cell>
          <cell r="BV59">
            <v>7993.1227598566311</v>
          </cell>
          <cell r="BW59">
            <v>7986.0920329670334</v>
          </cell>
          <cell r="BX59">
            <v>7848.3631713554987</v>
          </cell>
          <cell r="BY59">
            <v>7998.4507180798746</v>
          </cell>
          <cell r="BZ59">
            <v>7956.5071705647597</v>
          </cell>
          <cell r="CA59">
            <v>8336.7416496250844</v>
          </cell>
          <cell r="CB59">
            <v>8322.2690551457672</v>
          </cell>
          <cell r="CC59">
            <v>8463.7594063545166</v>
          </cell>
          <cell r="CD59">
            <v>8761.3288426209419</v>
          </cell>
          <cell r="CE59">
            <v>8471.0247384365775</v>
          </cell>
          <cell r="CF59">
            <v>8769.1511387163555</v>
          </cell>
          <cell r="CG59">
            <v>8829.9920220294935</v>
          </cell>
          <cell r="CH59">
            <v>8884.3224373214853</v>
          </cell>
          <cell r="CI59">
            <v>9674.3372216330863</v>
          </cell>
          <cell r="CJ59">
            <v>9039.4507049251042</v>
          </cell>
          <cell r="CK59">
            <v>9751.6532140425952</v>
          </cell>
          <cell r="CL59">
            <v>10043.401043401043</v>
          </cell>
          <cell r="CM59">
            <v>10043.401043401043</v>
          </cell>
          <cell r="CN59">
            <v>10043.401043401043</v>
          </cell>
          <cell r="CO59">
            <v>9970.4640860614309</v>
          </cell>
          <cell r="CP59">
            <v>10190.65</v>
          </cell>
          <cell r="CQ59">
            <v>10190.65</v>
          </cell>
          <cell r="CR59">
            <v>10380.65</v>
          </cell>
          <cell r="CS59">
            <v>10380.65</v>
          </cell>
          <cell r="CT59">
            <v>10285.65</v>
          </cell>
          <cell r="CU59">
            <v>10570.65</v>
          </cell>
          <cell r="CV59">
            <v>10570.65</v>
          </cell>
          <cell r="CW59">
            <v>10760.65</v>
          </cell>
          <cell r="CX59">
            <v>10760.65</v>
          </cell>
          <cell r="CY59">
            <v>10665.65</v>
          </cell>
          <cell r="CZ59">
            <v>10950.65</v>
          </cell>
          <cell r="DA59">
            <v>10950.65</v>
          </cell>
          <cell r="DB59">
            <v>11140.65</v>
          </cell>
          <cell r="DC59">
            <v>11140.65</v>
          </cell>
          <cell r="DD59">
            <v>11045.65</v>
          </cell>
          <cell r="DE59">
            <v>11330.65</v>
          </cell>
          <cell r="DF59">
            <v>11330.65</v>
          </cell>
          <cell r="DG59">
            <v>11520.65</v>
          </cell>
          <cell r="DH59">
            <v>11520.65</v>
          </cell>
          <cell r="DI59">
            <v>11425.65</v>
          </cell>
        </row>
        <row r="60">
          <cell r="B60" t="str">
            <v>% of Beds in Service</v>
          </cell>
          <cell r="G60">
            <v>0.84395945069575384</v>
          </cell>
          <cell r="H60">
            <v>0.87725099262638939</v>
          </cell>
          <cell r="I60">
            <v>0.83412523600904565</v>
          </cell>
          <cell r="J60">
            <v>0.8969573310644261</v>
          </cell>
          <cell r="K60">
            <v>0.98088528396026242</v>
          </cell>
          <cell r="L60">
            <v>0.9366113176673716</v>
          </cell>
          <cell r="M60" t="str">
            <v>NM</v>
          </cell>
          <cell r="N60" t="str">
            <v>NM</v>
          </cell>
          <cell r="O60" t="str">
            <v>NM</v>
          </cell>
          <cell r="P60">
            <v>0.97826086956521741</v>
          </cell>
          <cell r="Q60">
            <v>0.89352068677617624</v>
          </cell>
          <cell r="R60" t="str">
            <v>NM</v>
          </cell>
          <cell r="S60" t="str">
            <v>NM</v>
          </cell>
          <cell r="T60" t="str">
            <v>NM</v>
          </cell>
          <cell r="U60">
            <v>0.95498517037000441</v>
          </cell>
          <cell r="V60">
            <v>0.92227817577744997</v>
          </cell>
          <cell r="W60" t="str">
            <v>NM</v>
          </cell>
          <cell r="X60" t="str">
            <v>NM</v>
          </cell>
          <cell r="Y60" t="str">
            <v>NM</v>
          </cell>
          <cell r="Z60">
            <v>0.99686995144901636</v>
          </cell>
          <cell r="AA60">
            <v>0.9596398052232783</v>
          </cell>
          <cell r="AB60" t="str">
            <v>NM</v>
          </cell>
          <cell r="AC60" t="str">
            <v>NM</v>
          </cell>
          <cell r="AD60" t="str">
            <v>NM</v>
          </cell>
          <cell r="AE60">
            <v>0.99885888895601738</v>
          </cell>
          <cell r="AF60">
            <v>0.96598212484737034</v>
          </cell>
          <cell r="AG60" t="str">
            <v>NM</v>
          </cell>
          <cell r="AH60">
            <v>0.94953706741536537</v>
          </cell>
          <cell r="AI60" t="str">
            <v>NM</v>
          </cell>
          <cell r="AJ60">
            <v>0.97599939727283536</v>
          </cell>
          <cell r="AK60">
            <v>0.94069315768917416</v>
          </cell>
          <cell r="AL60">
            <v>0.95400616999192722</v>
          </cell>
          <cell r="AM60">
            <v>0.99809166389250914</v>
          </cell>
          <cell r="AN60">
            <v>1.0007122927975742</v>
          </cell>
          <cell r="AO60">
            <v>0.94571697384254827</v>
          </cell>
          <cell r="AP60">
            <v>0.97746571842175656</v>
          </cell>
          <cell r="AQ60">
            <v>0.91918042459749227</v>
          </cell>
          <cell r="AR60">
            <v>0.96607214388521323</v>
          </cell>
          <cell r="AS60">
            <v>0.99896706473897212</v>
          </cell>
          <cell r="AT60">
            <v>0.97621420832911332</v>
          </cell>
          <cell r="AU60">
            <v>0.94095943760896239</v>
          </cell>
          <cell r="AW60">
            <v>0.99809166389250914</v>
          </cell>
          <cell r="AX60">
            <v>1.0007122927975742</v>
          </cell>
          <cell r="AY60">
            <v>0.94571697384254827</v>
          </cell>
          <cell r="AZ60">
            <v>0.91918042459749227</v>
          </cell>
          <cell r="BA60">
            <v>0.90736494235653598</v>
          </cell>
          <cell r="BB60">
            <v>0.96607214388521323</v>
          </cell>
          <cell r="BC60">
            <v>0.99896706473897212</v>
          </cell>
          <cell r="BD60">
            <v>0.97621420832911332</v>
          </cell>
          <cell r="BE60">
            <v>0.99271191188775398</v>
          </cell>
          <cell r="BF60">
            <v>0.98722097696644884</v>
          </cell>
          <cell r="BG60">
            <v>1.0007303426566811</v>
          </cell>
          <cell r="BH60">
            <v>0.97670359215755376</v>
          </cell>
          <cell r="BI60">
            <v>0.96175265605560867</v>
          </cell>
          <cell r="BJ60">
            <v>0.96904415685910616</v>
          </cell>
          <cell r="BK60">
            <v>0.98360240439928548</v>
          </cell>
          <cell r="BL60">
            <v>0.96114126990293869</v>
          </cell>
          <cell r="BM60">
            <v>0.95217390276765057</v>
          </cell>
          <cell r="BN60">
            <v>0.973489430080963</v>
          </cell>
          <cell r="BO60">
            <v>0.98662906156369978</v>
          </cell>
          <cell r="BP60">
            <v>0.97064774095524697</v>
          </cell>
          <cell r="BQ60">
            <v>0.9632449126519822</v>
          </cell>
          <cell r="BR60">
            <v>0.97467883676618605</v>
          </cell>
          <cell r="BS60">
            <v>0.98234793029370748</v>
          </cell>
          <cell r="BT60">
            <v>0.98881697781322053</v>
          </cell>
          <cell r="BU60">
            <v>0.94504643547618827</v>
          </cell>
          <cell r="BV60">
            <v>0.98900306358038004</v>
          </cell>
          <cell r="BW60">
            <v>0.98338776418754259</v>
          </cell>
          <cell r="BX60">
            <v>0.99020479073372425</v>
          </cell>
          <cell r="BY60">
            <v>0.95016045593726239</v>
          </cell>
          <cell r="BZ60">
            <v>0.91738812066929087</v>
          </cell>
          <cell r="CA60">
            <v>0.98835111435982037</v>
          </cell>
          <cell r="CB60">
            <v>0.98851039970848875</v>
          </cell>
          <cell r="CC60">
            <v>0.98691224421111434</v>
          </cell>
          <cell r="CD60">
            <v>0.98841706257005213</v>
          </cell>
          <cell r="CE60">
            <v>0.92347375323629977</v>
          </cell>
          <cell r="CF60">
            <v>0.989522809604644</v>
          </cell>
          <cell r="CG60">
            <v>0.9657652873268614</v>
          </cell>
          <cell r="CH60">
            <v>0.85090723468264395</v>
          </cell>
          <cell r="CI60">
            <v>0.93652828863824644</v>
          </cell>
          <cell r="CJ60">
            <v>0.97840141843544803</v>
          </cell>
          <cell r="CK60">
            <v>0.94401289584149028</v>
          </cell>
          <cell r="CL60">
            <v>0.95406108515256416</v>
          </cell>
          <cell r="CM60">
            <v>0.95406108515256416</v>
          </cell>
          <cell r="CN60">
            <v>0.95406108515256416</v>
          </cell>
          <cell r="CO60">
            <v>1.0566409586754377</v>
          </cell>
          <cell r="CP60">
            <v>0.95</v>
          </cell>
          <cell r="CQ60">
            <v>0.95</v>
          </cell>
          <cell r="CR60">
            <v>0.95</v>
          </cell>
          <cell r="CS60">
            <v>0.95</v>
          </cell>
          <cell r="CT60">
            <v>1.0457147214314761</v>
          </cell>
          <cell r="CU60">
            <v>0.95</v>
          </cell>
          <cell r="CV60">
            <v>0.95</v>
          </cell>
          <cell r="CW60">
            <v>0.95</v>
          </cell>
          <cell r="CX60">
            <v>0.95</v>
          </cell>
          <cell r="CY60">
            <v>1.0419744040640875</v>
          </cell>
          <cell r="CZ60">
            <v>0.95</v>
          </cell>
          <cell r="DA60">
            <v>0.95</v>
          </cell>
          <cell r="DB60">
            <v>0.95</v>
          </cell>
          <cell r="DC60">
            <v>0.95</v>
          </cell>
          <cell r="DD60">
            <v>1.0385154193305755</v>
          </cell>
          <cell r="DE60">
            <v>0.95</v>
          </cell>
          <cell r="DF60">
            <v>0.95</v>
          </cell>
          <cell r="DG60">
            <v>0.95</v>
          </cell>
          <cell r="DH60">
            <v>0.95</v>
          </cell>
          <cell r="DI60">
            <v>1.0353071765132293</v>
          </cell>
        </row>
        <row r="62">
          <cell r="B62" t="str">
            <v>Volumes</v>
          </cell>
        </row>
        <row r="63">
          <cell r="B63" t="str">
            <v>Inpatient Admissions</v>
          </cell>
          <cell r="E63">
            <v>40217</v>
          </cell>
          <cell r="F63">
            <v>46756</v>
          </cell>
          <cell r="G63">
            <v>48826</v>
          </cell>
          <cell r="H63">
            <v>55985</v>
          </cell>
          <cell r="I63">
            <v>63729</v>
          </cell>
          <cell r="J63">
            <v>82701</v>
          </cell>
          <cell r="K63">
            <v>100677</v>
          </cell>
          <cell r="L63">
            <v>123713</v>
          </cell>
          <cell r="M63">
            <v>33131</v>
          </cell>
          <cell r="N63">
            <v>37334</v>
          </cell>
          <cell r="O63">
            <v>35819</v>
          </cell>
          <cell r="P63">
            <v>37888</v>
          </cell>
          <cell r="Q63">
            <v>144172</v>
          </cell>
          <cell r="R63">
            <v>39637</v>
          </cell>
          <cell r="S63">
            <v>42792</v>
          </cell>
          <cell r="T63">
            <v>38711</v>
          </cell>
          <cell r="U63">
            <v>41154</v>
          </cell>
          <cell r="V63">
            <v>162294</v>
          </cell>
          <cell r="W63">
            <v>44559</v>
          </cell>
          <cell r="X63">
            <v>50077</v>
          </cell>
          <cell r="Y63">
            <v>46108</v>
          </cell>
          <cell r="Z63">
            <v>46318</v>
          </cell>
          <cell r="AA63">
            <v>187062</v>
          </cell>
          <cell r="AB63">
            <v>47914</v>
          </cell>
          <cell r="AC63">
            <v>57105</v>
          </cell>
          <cell r="AD63">
            <v>54707</v>
          </cell>
          <cell r="AE63">
            <v>56530</v>
          </cell>
          <cell r="AF63">
            <v>216256</v>
          </cell>
          <cell r="AG63">
            <v>57984</v>
          </cell>
          <cell r="AH63">
            <v>61228</v>
          </cell>
          <cell r="AI63">
            <v>56974</v>
          </cell>
          <cell r="AJ63">
            <v>59248</v>
          </cell>
          <cell r="AK63">
            <v>235434</v>
          </cell>
          <cell r="AL63">
            <v>70018</v>
          </cell>
          <cell r="AM63">
            <v>76152</v>
          </cell>
          <cell r="AN63">
            <v>69427</v>
          </cell>
          <cell r="AO63">
            <v>69037</v>
          </cell>
          <cell r="AP63">
            <v>284634</v>
          </cell>
          <cell r="AQ63">
            <v>71467</v>
          </cell>
          <cell r="AR63">
            <v>81692</v>
          </cell>
          <cell r="AS63">
            <v>76858</v>
          </cell>
          <cell r="AT63">
            <v>73831</v>
          </cell>
          <cell r="AU63">
            <v>303848</v>
          </cell>
          <cell r="AW63">
            <v>76152</v>
          </cell>
          <cell r="AX63">
            <v>69427</v>
          </cell>
          <cell r="AY63">
            <v>69037</v>
          </cell>
          <cell r="AZ63">
            <v>71467</v>
          </cell>
          <cell r="BA63">
            <v>286083</v>
          </cell>
          <cell r="BB63">
            <v>81692</v>
          </cell>
          <cell r="BC63">
            <v>76858</v>
          </cell>
          <cell r="BD63">
            <v>73831</v>
          </cell>
          <cell r="BE63">
            <v>75590</v>
          </cell>
          <cell r="BF63">
            <v>307971</v>
          </cell>
          <cell r="BG63">
            <v>84451</v>
          </cell>
          <cell r="BH63">
            <v>78219</v>
          </cell>
          <cell r="BI63">
            <v>76650</v>
          </cell>
          <cell r="BJ63">
            <v>79218</v>
          </cell>
          <cell r="BK63">
            <v>318538</v>
          </cell>
          <cell r="BL63">
            <v>85358</v>
          </cell>
          <cell r="BM63">
            <v>78623</v>
          </cell>
          <cell r="BN63">
            <v>76337</v>
          </cell>
          <cell r="BO63">
            <v>77531</v>
          </cell>
          <cell r="BP63">
            <v>317849</v>
          </cell>
          <cell r="BQ63">
            <v>83551</v>
          </cell>
          <cell r="BR63">
            <v>73809</v>
          </cell>
          <cell r="BS63">
            <v>72448</v>
          </cell>
          <cell r="BT63">
            <v>76562</v>
          </cell>
          <cell r="BU63">
            <v>306370</v>
          </cell>
          <cell r="BV63">
            <v>83361</v>
          </cell>
          <cell r="BW63">
            <v>77580</v>
          </cell>
          <cell r="BX63">
            <v>74890</v>
          </cell>
          <cell r="BY63">
            <v>77568</v>
          </cell>
          <cell r="BZ63">
            <v>313399</v>
          </cell>
          <cell r="CA63">
            <v>85482</v>
          </cell>
          <cell r="CB63">
            <v>79896</v>
          </cell>
          <cell r="CC63">
            <v>78566</v>
          </cell>
          <cell r="CD63">
            <v>82884</v>
          </cell>
          <cell r="CE63">
            <v>326828</v>
          </cell>
          <cell r="CF63">
            <v>88343</v>
          </cell>
          <cell r="CG63">
            <v>80753</v>
          </cell>
          <cell r="CH63">
            <v>81411</v>
          </cell>
          <cell r="CI63">
            <v>88330</v>
          </cell>
          <cell r="CJ63">
            <v>338837</v>
          </cell>
          <cell r="CK63">
            <v>93378</v>
          </cell>
          <cell r="CL63">
            <v>86467</v>
          </cell>
          <cell r="CM63">
            <v>84704</v>
          </cell>
          <cell r="CN63">
            <v>85658.86968621811</v>
          </cell>
          <cell r="CO63">
            <v>350207.8696862181</v>
          </cell>
          <cell r="CP63">
            <v>92647.596346429127</v>
          </cell>
          <cell r="CQ63">
            <v>84654.027163976425</v>
          </cell>
          <cell r="CR63">
            <v>83065.062520040417</v>
          </cell>
          <cell r="CS63">
            <v>83991.600707725564</v>
          </cell>
          <cell r="CT63">
            <v>344358.28673817153</v>
          </cell>
          <cell r="CU63">
            <v>93374.71674780453</v>
          </cell>
          <cell r="CV63">
            <v>85488.295947531486</v>
          </cell>
          <cell r="CW63">
            <v>83916.343318227329</v>
          </cell>
          <cell r="CX63">
            <v>84658.486210106334</v>
          </cell>
          <cell r="CY63">
            <v>347437.84222366969</v>
          </cell>
          <cell r="CZ63">
            <v>94761.198776602541</v>
          </cell>
          <cell r="DA63">
            <v>86765.257421144881</v>
          </cell>
          <cell r="DB63">
            <v>85180.223990693514</v>
          </cell>
          <cell r="DC63">
            <v>85912.961049906269</v>
          </cell>
          <cell r="DD63">
            <v>352619.64123834722</v>
          </cell>
          <cell r="DE63">
            <v>96286.674889554619</v>
          </cell>
          <cell r="DF63">
            <v>88001.28218354586</v>
          </cell>
          <cell r="DG63">
            <v>86400.804571941946</v>
          </cell>
          <cell r="DH63">
            <v>86962.032956517447</v>
          </cell>
          <cell r="DI63">
            <v>357650.79460155987</v>
          </cell>
        </row>
        <row r="64">
          <cell r="B64" t="str">
            <v>y/y % change - as reported</v>
          </cell>
          <cell r="F64">
            <v>0.1625929333366487</v>
          </cell>
          <cell r="G64">
            <v>4.4272392847976683E-2</v>
          </cell>
          <cell r="H64">
            <v>0.14662270101994834</v>
          </cell>
          <cell r="I64">
            <v>0.13832276502634633</v>
          </cell>
          <cell r="J64">
            <v>0.29769806524502185</v>
          </cell>
          <cell r="K64">
            <v>0.21736133783146516</v>
          </cell>
          <cell r="L64">
            <v>0.22881094986938422</v>
          </cell>
          <cell r="Q64">
            <v>0.1653746978894699</v>
          </cell>
          <cell r="R64">
            <v>0.19637197790588878</v>
          </cell>
          <cell r="S64">
            <v>0.14619381796753639</v>
          </cell>
          <cell r="T64">
            <v>8.0739272453167255E-2</v>
          </cell>
          <cell r="U64">
            <v>8.6201435810810745E-2</v>
          </cell>
          <cell r="V64">
            <v>0.12569708403850965</v>
          </cell>
          <cell r="W64">
            <v>0.12417690541665616</v>
          </cell>
          <cell r="X64">
            <v>0.17024210132735096</v>
          </cell>
          <cell r="Y64">
            <v>0.19108263800986802</v>
          </cell>
          <cell r="Z64">
            <v>0.12547990474801973</v>
          </cell>
          <cell r="AA64">
            <v>0.15261192650375244</v>
          </cell>
          <cell r="AB64">
            <v>7.5293431181130632E-2</v>
          </cell>
          <cell r="AC64">
            <v>0.14034387043952323</v>
          </cell>
          <cell r="AD64">
            <v>0.18649692027413889</v>
          </cell>
          <cell r="AE64">
            <v>0.2204758409257741</v>
          </cell>
          <cell r="AF64">
            <v>0.15606590328340331</v>
          </cell>
          <cell r="AG64">
            <v>0.21016821805735275</v>
          </cell>
          <cell r="AH64">
            <v>7.2200332720427252E-2</v>
          </cell>
          <cell r="AI64">
            <v>4.1438938344270371E-2</v>
          </cell>
          <cell r="AJ64">
            <v>4.8080665133557465E-2</v>
          </cell>
          <cell r="AK64">
            <v>8.8681932524415474E-2</v>
          </cell>
          <cell r="AL64">
            <v>0.20754001103752762</v>
          </cell>
          <cell r="AM64">
            <v>0.24374469197099358</v>
          </cell>
          <cell r="AN64">
            <v>0.21857338435075646</v>
          </cell>
          <cell r="AO64">
            <v>0.16522076694571974</v>
          </cell>
          <cell r="AP64">
            <v>0.20897576390835648</v>
          </cell>
          <cell r="AQ64">
            <v>2.0694678511240072E-2</v>
          </cell>
          <cell r="AR64">
            <v>7.2749238365374502E-2</v>
          </cell>
          <cell r="AS64">
            <v>0.10703328676163459</v>
          </cell>
          <cell r="AT64">
            <v>6.9441024378231964E-2</v>
          </cell>
          <cell r="AU64">
            <v>6.750423350688961E-2</v>
          </cell>
          <cell r="AW64">
            <v>0.24374469197099358</v>
          </cell>
          <cell r="AX64">
            <v>0.21857338435075646</v>
          </cell>
          <cell r="AY64">
            <v>0.16522076694571974</v>
          </cell>
          <cell r="AZ64">
            <v>2.0694678511240072E-2</v>
          </cell>
          <cell r="BB64">
            <v>7.2749238365374502E-2</v>
          </cell>
          <cell r="BC64">
            <v>0.10703328676163459</v>
          </cell>
          <cell r="BD64">
            <v>6.9441024378231964E-2</v>
          </cell>
          <cell r="BE64">
            <v>5.7690962262302969E-2</v>
          </cell>
          <cell r="BF64">
            <v>7.6509264793783727E-2</v>
          </cell>
          <cell r="BG64">
            <v>3.3773196885863888E-2</v>
          </cell>
          <cell r="BH64">
            <v>1.7707980951885194E-2</v>
          </cell>
          <cell r="BI64">
            <v>3.8181793555552623E-2</v>
          </cell>
          <cell r="BJ64">
            <v>4.7995766635798409E-2</v>
          </cell>
          <cell r="BK64">
            <v>3.431167220290221E-2</v>
          </cell>
          <cell r="BL64">
            <v>1.0739955713964244E-2</v>
          </cell>
          <cell r="BM64">
            <v>5.1649854894590952E-3</v>
          </cell>
          <cell r="BN64">
            <v>-4.0834964122635764E-3</v>
          </cell>
          <cell r="BO64">
            <v>-2.1295665126612628E-2</v>
          </cell>
          <cell r="BP64">
            <v>-2.1630072393246103E-3</v>
          </cell>
          <cell r="BQ64">
            <v>-2.116966189460856E-2</v>
          </cell>
          <cell r="BR64">
            <v>-6.122890248400592E-2</v>
          </cell>
          <cell r="BS64">
            <v>-5.094515110627873E-2</v>
          </cell>
          <cell r="BT64">
            <v>-1.2498226515845312E-2</v>
          </cell>
          <cell r="BU64">
            <v>-3.6114633049026401E-2</v>
          </cell>
          <cell r="BV64">
            <v>-2.2740601548754125E-3</v>
          </cell>
          <cell r="BW64">
            <v>5.1091330325570006E-2</v>
          </cell>
          <cell r="BX64">
            <v>3.3706934628975338E-2</v>
          </cell>
          <cell r="BY64">
            <v>1.3139677646874404E-2</v>
          </cell>
          <cell r="BZ64">
            <v>2.2942846884486112E-2</v>
          </cell>
          <cell r="CA64">
            <v>2.544355274049015E-2</v>
          </cell>
          <cell r="CB64">
            <v>2.9853054911059607E-2</v>
          </cell>
          <cell r="CC64">
            <v>4.9085325143543912E-2</v>
          </cell>
          <cell r="CD64">
            <v>6.8533415841584233E-2</v>
          </cell>
          <cell r="CE64">
            <v>4.2849530470741692E-2</v>
          </cell>
          <cell r="CF64">
            <v>3.3469034416602428E-2</v>
          </cell>
          <cell r="CG64">
            <v>1.0726444377691102E-2</v>
          </cell>
          <cell r="CH64">
            <v>3.6211592800957204E-2</v>
          </cell>
          <cell r="CI64">
            <v>6.5706288306548899E-2</v>
          </cell>
          <cell r="CJ64">
            <v>3.6744097812916987E-2</v>
          </cell>
          <cell r="CK64">
            <v>5.6993762946696336E-2</v>
          </cell>
          <cell r="CL64">
            <v>7.075898109048584E-2</v>
          </cell>
          <cell r="CM64">
            <v>4.0449079362739671E-2</v>
          </cell>
          <cell r="CN64">
            <v>-3.0240352244785385E-2</v>
          </cell>
          <cell r="CO64">
            <v>3.355852426452266E-2</v>
          </cell>
          <cell r="CP64">
            <v>-7.8220100405970161E-3</v>
          </cell>
          <cell r="CQ64">
            <v>-2.0967222593863299E-2</v>
          </cell>
          <cell r="CR64">
            <v>-1.9348997449466165E-2</v>
          </cell>
          <cell r="CS64">
            <v>-1.9464055323167528E-2</v>
          </cell>
          <cell r="CT64">
            <v>-1.6703173898655388E-2</v>
          </cell>
          <cell r="CU64">
            <v>7.8482381632065668E-3</v>
          </cell>
          <cell r="CV64">
            <v>9.8550395238619082E-3</v>
          </cell>
          <cell r="CW64">
            <v>1.0248361613903967E-2</v>
          </cell>
          <cell r="CX64">
            <v>7.9399070473891165E-3</v>
          </cell>
          <cell r="CY64">
            <v>8.942881888129639E-3</v>
          </cell>
          <cell r="CZ64">
            <v>1.4848580826678726E-2</v>
          </cell>
          <cell r="DA64">
            <v>1.4937266668610727E-2</v>
          </cell>
          <cell r="DB64">
            <v>1.5061198122912733E-2</v>
          </cell>
          <cell r="DC64">
            <v>1.4818063681018012E-2</v>
          </cell>
          <cell r="DD64">
            <v>1.4914319584513391E-2</v>
          </cell>
          <cell r="DE64">
            <v>1.6098109064115462E-2</v>
          </cell>
          <cell r="DF64">
            <v>1.4245618570593477E-2</v>
          </cell>
          <cell r="DG64">
            <v>1.4329389194630338E-2</v>
          </cell>
          <cell r="DH64">
            <v>1.2210868928167695E-2</v>
          </cell>
          <cell r="DI64">
            <v>1.4267932851227405E-2</v>
          </cell>
        </row>
        <row r="65">
          <cell r="B65" t="str">
            <v>y/y % change - restated</v>
          </cell>
          <cell r="BB65">
            <v>7.2749238365374502E-2</v>
          </cell>
          <cell r="BC65">
            <v>0.10703328676163459</v>
          </cell>
          <cell r="BD65">
            <v>8.088601294176212E-2</v>
          </cell>
          <cell r="BE65">
            <v>6.8258903335217669E-2</v>
          </cell>
          <cell r="BF65">
            <v>8.1947689226931741E-2</v>
          </cell>
          <cell r="BG65">
            <v>6.7432630567773932E-2</v>
          </cell>
          <cell r="BH65">
            <v>2.800704447481861E-2</v>
          </cell>
          <cell r="BI65">
            <v>5.3753093208688485E-2</v>
          </cell>
          <cell r="BJ65">
            <v>6.4228810940795578E-2</v>
          </cell>
          <cell r="BK65">
            <v>5.7099810176151289E-2</v>
          </cell>
          <cell r="BL65">
            <v>2.6356924704807216E-2</v>
          </cell>
          <cell r="BM65">
            <v>2.8141386930993439E-2</v>
          </cell>
          <cell r="BN65">
            <v>4.2624287950745465E-3</v>
          </cell>
          <cell r="BO65">
            <v>-1.3299226226837657E-2</v>
          </cell>
          <cell r="BP65">
            <v>9.3200048267145785E-3</v>
          </cell>
          <cell r="BQ65">
            <v>1.235899237862137E-2</v>
          </cell>
          <cell r="BR65">
            <v>-3.8406920541449008E-2</v>
          </cell>
          <cell r="BS65">
            <v>-3.2788636120901438E-2</v>
          </cell>
          <cell r="BT65">
            <v>-1.8642852486799866E-3</v>
          </cell>
          <cell r="BU65">
            <v>-1.4561092580500978E-2</v>
          </cell>
          <cell r="BV65">
            <v>-2.2740601548754125E-3</v>
          </cell>
          <cell r="BW65">
            <v>5.1091330325570006E-2</v>
          </cell>
          <cell r="BX65">
            <v>5.3853622841703919E-2</v>
          </cell>
          <cell r="BY65">
            <v>3.2917865132630286E-2</v>
          </cell>
          <cell r="BZ65">
            <v>4.3484196191636793E-2</v>
          </cell>
          <cell r="CA65">
            <v>4.5165549958429141E-2</v>
          </cell>
          <cell r="CB65">
            <v>4.9605885444035769E-2</v>
          </cell>
          <cell r="CC65">
            <v>4.9085325143543912E-2</v>
          </cell>
          <cell r="CD65">
            <v>8.3238580670456752E-2</v>
          </cell>
          <cell r="CE65">
            <v>6.5384490008801421E-2</v>
          </cell>
          <cell r="CF65">
            <v>4.219852299270932E-2</v>
          </cell>
          <cell r="CG65">
            <v>2.1827706635622723E-2</v>
          </cell>
          <cell r="CH65">
            <v>4.8759436271352374E-2</v>
          </cell>
          <cell r="CI65">
            <v>6.7638455773926021E-2</v>
          </cell>
          <cell r="CJ65">
            <v>4.6061182339920403E-2</v>
          </cell>
          <cell r="CK65">
            <v>5.9392124161873339E-2</v>
          </cell>
          <cell r="CL65">
            <v>7.075898109048584E-2</v>
          </cell>
          <cell r="CM65">
            <v>4.0449079362739671E-2</v>
          </cell>
        </row>
        <row r="67">
          <cell r="B67" t="str">
            <v>Outpatient admissions</v>
          </cell>
          <cell r="I67" t="str">
            <v>NM</v>
          </cell>
          <cell r="J67" t="str">
            <v>NM</v>
          </cell>
          <cell r="K67" t="str">
            <v>NM</v>
          </cell>
          <cell r="L67" t="str">
            <v>NM</v>
          </cell>
          <cell r="M67" t="str">
            <v>NM</v>
          </cell>
          <cell r="N67" t="str">
            <v>NM</v>
          </cell>
          <cell r="O67" t="str">
            <v>NM</v>
          </cell>
          <cell r="P67" t="str">
            <v>NM</v>
          </cell>
          <cell r="Q67">
            <v>77671</v>
          </cell>
          <cell r="R67">
            <v>21164</v>
          </cell>
          <cell r="S67">
            <v>21636</v>
          </cell>
          <cell r="T67">
            <v>22585</v>
          </cell>
          <cell r="U67">
            <v>19879</v>
          </cell>
          <cell r="V67">
            <v>85264</v>
          </cell>
          <cell r="W67">
            <v>24031</v>
          </cell>
          <cell r="X67">
            <v>25418</v>
          </cell>
          <cell r="Y67">
            <v>26157</v>
          </cell>
          <cell r="Z67">
            <v>28468</v>
          </cell>
          <cell r="AA67">
            <v>104074</v>
          </cell>
          <cell r="AB67">
            <v>28882</v>
          </cell>
          <cell r="AC67">
            <v>31914</v>
          </cell>
          <cell r="AD67">
            <v>32921</v>
          </cell>
          <cell r="AE67">
            <v>34166</v>
          </cell>
          <cell r="AF67">
            <v>127883</v>
          </cell>
          <cell r="AG67">
            <v>33353</v>
          </cell>
          <cell r="AH67">
            <v>34093</v>
          </cell>
          <cell r="AI67">
            <v>34464</v>
          </cell>
          <cell r="AJ67">
            <v>36444</v>
          </cell>
          <cell r="AK67">
            <v>138354</v>
          </cell>
          <cell r="AL67">
            <v>41682</v>
          </cell>
          <cell r="AM67">
            <v>44892</v>
          </cell>
          <cell r="AN67">
            <v>45378</v>
          </cell>
          <cell r="AO67">
            <v>45714</v>
          </cell>
          <cell r="AP67">
            <v>177666</v>
          </cell>
          <cell r="AQ67">
            <v>45721</v>
          </cell>
          <cell r="AR67">
            <v>49944</v>
          </cell>
          <cell r="AS67">
            <v>51808</v>
          </cell>
          <cell r="AT67">
            <v>51667</v>
          </cell>
          <cell r="AU67">
            <v>199140</v>
          </cell>
          <cell r="AW67">
            <v>44892</v>
          </cell>
          <cell r="AX67">
            <v>45378</v>
          </cell>
          <cell r="AY67">
            <v>45714</v>
          </cell>
          <cell r="AZ67">
            <v>45721</v>
          </cell>
          <cell r="BA67">
            <v>181705</v>
          </cell>
          <cell r="BB67">
            <v>49944</v>
          </cell>
          <cell r="BC67">
            <v>51808</v>
          </cell>
          <cell r="BD67">
            <v>51667</v>
          </cell>
          <cell r="BE67">
            <v>50344</v>
          </cell>
          <cell r="BF67">
            <v>203763</v>
          </cell>
          <cell r="BG67">
            <v>55721</v>
          </cell>
          <cell r="BH67">
            <v>56502</v>
          </cell>
          <cell r="BI67">
            <v>53718</v>
          </cell>
          <cell r="BJ67">
            <v>54494</v>
          </cell>
          <cell r="BK67">
            <v>220435</v>
          </cell>
          <cell r="BL67">
            <v>56720</v>
          </cell>
          <cell r="BM67">
            <v>60155</v>
          </cell>
          <cell r="BN67">
            <v>56509</v>
          </cell>
          <cell r="BO67">
            <v>57311</v>
          </cell>
          <cell r="BP67">
            <v>230695</v>
          </cell>
          <cell r="BQ67">
            <v>56773</v>
          </cell>
          <cell r="BR67">
            <v>55940</v>
          </cell>
          <cell r="BS67">
            <v>56720</v>
          </cell>
          <cell r="BT67">
            <v>56403</v>
          </cell>
          <cell r="BU67">
            <v>225836</v>
          </cell>
          <cell r="BV67">
            <v>57288</v>
          </cell>
          <cell r="BW67">
            <v>58221</v>
          </cell>
          <cell r="BX67">
            <v>60143</v>
          </cell>
          <cell r="BY67">
            <v>59495</v>
          </cell>
          <cell r="BZ67">
            <v>235147</v>
          </cell>
          <cell r="CA67">
            <v>63448</v>
          </cell>
          <cell r="CB67">
            <v>65519</v>
          </cell>
          <cell r="CC67">
            <v>67831</v>
          </cell>
          <cell r="CD67">
            <v>69140</v>
          </cell>
          <cell r="CE67">
            <v>265938</v>
          </cell>
          <cell r="CF67">
            <v>71299</v>
          </cell>
          <cell r="CG67">
            <v>71463</v>
          </cell>
          <cell r="CH67">
            <v>73686</v>
          </cell>
          <cell r="CI67">
            <v>80870</v>
          </cell>
          <cell r="CJ67">
            <v>297318</v>
          </cell>
          <cell r="CK67">
            <v>84437</v>
          </cell>
          <cell r="CL67">
            <v>85727</v>
          </cell>
          <cell r="CM67">
            <v>86502</v>
          </cell>
          <cell r="CN67">
            <v>86353.670956000264</v>
          </cell>
          <cell r="CO67">
            <v>343019.67095600034</v>
          </cell>
          <cell r="CP67">
            <v>87395.483734214868</v>
          </cell>
          <cell r="CQ67">
            <v>87903.054606449441</v>
          </cell>
          <cell r="CR67">
            <v>88232.238878476099</v>
          </cell>
          <cell r="CS67">
            <v>91205.213952278398</v>
          </cell>
          <cell r="CT67">
            <v>354735.99117141886</v>
          </cell>
          <cell r="CU67">
            <v>91340.274857297351</v>
          </cell>
          <cell r="CV67">
            <v>92006.496109366228</v>
          </cell>
          <cell r="CW67">
            <v>92370.818536415027</v>
          </cell>
          <cell r="CX67">
            <v>95257.354656561845</v>
          </cell>
          <cell r="CY67">
            <v>370974.94415964041</v>
          </cell>
          <cell r="CZ67">
            <v>95731.642121170822</v>
          </cell>
          <cell r="DA67">
            <v>96395.590416064937</v>
          </cell>
          <cell r="DB67">
            <v>96774.310574878444</v>
          </cell>
          <cell r="DC67">
            <v>99753.329339395219</v>
          </cell>
          <cell r="DD67">
            <v>388654.87245150941</v>
          </cell>
          <cell r="DE67">
            <v>100417.9352888914</v>
          </cell>
          <cell r="DF67">
            <v>100892.09264489739</v>
          </cell>
          <cell r="DG67">
            <v>101282.91400478319</v>
          </cell>
          <cell r="DH67">
            <v>104183.59630403272</v>
          </cell>
          <cell r="DI67">
            <v>406776.5382426047</v>
          </cell>
        </row>
        <row r="68">
          <cell r="B68" t="str">
            <v>y/y % change - as reported</v>
          </cell>
          <cell r="I68" t="str">
            <v>NM</v>
          </cell>
          <cell r="J68" t="str">
            <v>NM</v>
          </cell>
          <cell r="K68" t="str">
            <v>NM</v>
          </cell>
          <cell r="L68" t="str">
            <v>NM</v>
          </cell>
          <cell r="Q68" t="str">
            <v>NM</v>
          </cell>
          <cell r="R68" t="str">
            <v>NM</v>
          </cell>
          <cell r="S68" t="str">
            <v>NM</v>
          </cell>
          <cell r="T68" t="str">
            <v>NM</v>
          </cell>
          <cell r="U68" t="str">
            <v>NM</v>
          </cell>
          <cell r="V68">
            <v>9.7758494161269915E-2</v>
          </cell>
          <cell r="W68">
            <v>0.13546588546588545</v>
          </cell>
          <cell r="X68">
            <v>0.17480125716398587</v>
          </cell>
          <cell r="Y68">
            <v>0.15815806951516498</v>
          </cell>
          <cell r="Z68">
            <v>0.4320639871220886</v>
          </cell>
          <cell r="AA68">
            <v>0.22060893225745914</v>
          </cell>
          <cell r="AB68">
            <v>0.20186425866588986</v>
          </cell>
          <cell r="AC68">
            <v>0.25556692107954992</v>
          </cell>
          <cell r="AD68">
            <v>0.25859234621707383</v>
          </cell>
          <cell r="AE68">
            <v>0.2001545595054095</v>
          </cell>
          <cell r="AF68">
            <v>0.22876991371524102</v>
          </cell>
          <cell r="AG68">
            <v>0.15480229900976394</v>
          </cell>
          <cell r="AH68">
            <v>6.8277245096195927E-2</v>
          </cell>
          <cell r="AI68">
            <v>4.686977916831192E-2</v>
          </cell>
          <cell r="AJ68">
            <v>6.6674471697008686E-2</v>
          </cell>
          <cell r="AK68">
            <v>8.187953050835528E-2</v>
          </cell>
          <cell r="AL68">
            <v>0.2497226636284593</v>
          </cell>
          <cell r="AM68">
            <v>0.31675123925732551</v>
          </cell>
          <cell r="AN68">
            <v>0.31667827298050133</v>
          </cell>
          <cell r="AO68">
            <v>0.25436285808363523</v>
          </cell>
          <cell r="AP68">
            <v>0.28414068259681691</v>
          </cell>
          <cell r="AQ68">
            <v>9.6900340674631824E-2</v>
          </cell>
          <cell r="AR68">
            <v>0.11253675487837467</v>
          </cell>
          <cell r="AS68">
            <v>0.14169862047688309</v>
          </cell>
          <cell r="AT68">
            <v>0.13022268889180566</v>
          </cell>
          <cell r="AU68">
            <v>0.12086724528046999</v>
          </cell>
          <cell r="AW68">
            <v>0.31675123925732551</v>
          </cell>
          <cell r="AX68">
            <v>0.31667827298050133</v>
          </cell>
          <cell r="AY68">
            <v>0.25436285808363523</v>
          </cell>
          <cell r="AZ68">
            <v>9.6900340674631824E-2</v>
          </cell>
          <cell r="BB68">
            <v>0.11253675487837467</v>
          </cell>
          <cell r="BC68">
            <v>0.14169862047688309</v>
          </cell>
          <cell r="BD68">
            <v>0.13022268889180566</v>
          </cell>
          <cell r="BE68">
            <v>0.10111327398788306</v>
          </cell>
          <cell r="BF68">
            <v>0.1213945681186539</v>
          </cell>
          <cell r="BG68">
            <v>0.11566954989588329</v>
          </cell>
          <cell r="BH68">
            <v>9.0603767757875264E-2</v>
          </cell>
          <cell r="BI68">
            <v>3.9696518086980159E-2</v>
          </cell>
          <cell r="BJ68">
            <v>8.2432861910058719E-2</v>
          </cell>
          <cell r="BK68">
            <v>8.1820546419124174E-2</v>
          </cell>
          <cell r="BL68">
            <v>1.7928608603578589E-2</v>
          </cell>
          <cell r="BM68">
            <v>6.465257866978158E-2</v>
          </cell>
          <cell r="BN68">
            <v>5.1956513645333047E-2</v>
          </cell>
          <cell r="BO68">
            <v>5.1693764451132163E-2</v>
          </cell>
          <cell r="BP68">
            <v>4.6544332796516041E-2</v>
          </cell>
          <cell r="BQ68">
            <v>9.3441466854726762E-4</v>
          </cell>
          <cell r="BR68">
            <v>-7.0068988446513214E-2</v>
          </cell>
          <cell r="BS68">
            <v>3.7339184908598E-3</v>
          </cell>
          <cell r="BT68">
            <v>-1.5843380851843447E-2</v>
          </cell>
          <cell r="BU68">
            <v>-2.1062441752096928E-2</v>
          </cell>
          <cell r="BV68">
            <v>9.0712134289185897E-3</v>
          </cell>
          <cell r="BW68">
            <v>4.0775831247765515E-2</v>
          </cell>
          <cell r="BX68">
            <v>6.0349083215796906E-2</v>
          </cell>
          <cell r="BY68">
            <v>5.4819779089764653E-2</v>
          </cell>
          <cell r="BZ68">
            <v>4.1229033457907516E-2</v>
          </cell>
          <cell r="CA68">
            <v>0.10752688172043001</v>
          </cell>
          <cell r="CB68">
            <v>0.12534995963655726</v>
          </cell>
          <cell r="CC68">
            <v>0.12782867499127071</v>
          </cell>
          <cell r="CD68">
            <v>0.16211446340028579</v>
          </cell>
          <cell r="CE68">
            <v>0.13094362249996805</v>
          </cell>
          <cell r="CF68">
            <v>0.12373912495271711</v>
          </cell>
          <cell r="CG68">
            <v>9.0721775362871737E-2</v>
          </cell>
          <cell r="CH68">
            <v>8.6317465465642451E-2</v>
          </cell>
          <cell r="CI68">
            <v>0.16965577089962403</v>
          </cell>
          <cell r="CJ68">
            <v>0.11799742797193336</v>
          </cell>
          <cell r="CK68">
            <v>0.18426625899381488</v>
          </cell>
          <cell r="CL68">
            <v>0.19959979289982233</v>
          </cell>
          <cell r="CM68">
            <v>0.17392720462503064</v>
          </cell>
          <cell r="CN68">
            <v>6.7808469840487939E-2</v>
          </cell>
          <cell r="CO68">
            <v>0.15371309828533875</v>
          </cell>
          <cell r="CP68">
            <v>3.5037764655481141E-2</v>
          </cell>
          <cell r="CQ68">
            <v>2.5383538517030013E-2</v>
          </cell>
          <cell r="CR68">
            <v>2.0002299119975309E-2</v>
          </cell>
          <cell r="CS68">
            <v>5.6182243818564848E-2</v>
          </cell>
          <cell r="CT68">
            <v>3.4156409114278974E-2</v>
          </cell>
          <cell r="CU68">
            <v>4.5137242275347988E-2</v>
          </cell>
          <cell r="CV68">
            <v>4.6681443793828326E-2</v>
          </cell>
          <cell r="CW68">
            <v>4.690552694281136E-2</v>
          </cell>
          <cell r="CX68">
            <v>4.4428827351950195E-2</v>
          </cell>
          <cell r="CY68">
            <v>4.5777573723480458E-2</v>
          </cell>
          <cell r="CZ68">
            <v>4.8077009519997382E-2</v>
          </cell>
          <cell r="DA68">
            <v>4.7704178425417743E-2</v>
          </cell>
          <cell r="DB68">
            <v>4.7671895824193067E-2</v>
          </cell>
          <cell r="DC68">
            <v>4.719818956807087E-2</v>
          </cell>
          <cell r="DD68">
            <v>4.7658011869019523E-2</v>
          </cell>
          <cell r="DE68">
            <v>4.8952395089901124E-2</v>
          </cell>
          <cell r="DF68">
            <v>4.6646347715953995E-2</v>
          </cell>
          <cell r="DG68">
            <v>4.6588845770347831E-2</v>
          </cell>
          <cell r="DH68">
            <v>4.4412221566702881E-2</v>
          </cell>
          <cell r="DI68">
            <v>4.6626627055489367E-2</v>
          </cell>
        </row>
        <row r="69">
          <cell r="B69" t="str">
            <v>Adjusted admissions</v>
          </cell>
          <cell r="I69" t="str">
            <v>ND</v>
          </cell>
          <cell r="J69" t="str">
            <v>ND</v>
          </cell>
          <cell r="K69" t="str">
            <v>ND</v>
          </cell>
          <cell r="L69" t="str">
            <v>ND</v>
          </cell>
          <cell r="M69" t="str">
            <v>ND</v>
          </cell>
          <cell r="N69" t="str">
            <v>ND</v>
          </cell>
          <cell r="O69" t="str">
            <v>ND</v>
          </cell>
          <cell r="P69" t="str">
            <v>ND</v>
          </cell>
          <cell r="Q69">
            <v>221843</v>
          </cell>
          <cell r="R69">
            <v>60801</v>
          </cell>
          <cell r="S69">
            <v>64428</v>
          </cell>
          <cell r="T69">
            <v>61296</v>
          </cell>
          <cell r="U69">
            <v>61033</v>
          </cell>
          <cell r="V69">
            <v>247558</v>
          </cell>
          <cell r="W69">
            <v>68590</v>
          </cell>
          <cell r="X69">
            <v>75495</v>
          </cell>
          <cell r="Y69">
            <v>72265</v>
          </cell>
          <cell r="Z69">
            <v>74786</v>
          </cell>
          <cell r="AA69">
            <v>291136</v>
          </cell>
          <cell r="AB69">
            <v>76796</v>
          </cell>
          <cell r="AC69">
            <v>89019</v>
          </cell>
          <cell r="AD69">
            <v>87628</v>
          </cell>
          <cell r="AE69">
            <v>90696</v>
          </cell>
          <cell r="AF69">
            <v>344139</v>
          </cell>
          <cell r="AG69">
            <v>91337</v>
          </cell>
          <cell r="AH69">
            <v>95321</v>
          </cell>
          <cell r="AI69">
            <v>91438</v>
          </cell>
          <cell r="AJ69">
            <v>95692</v>
          </cell>
          <cell r="AK69">
            <v>373788</v>
          </cell>
          <cell r="AL69">
            <v>111700</v>
          </cell>
          <cell r="AM69">
            <v>121044</v>
          </cell>
          <cell r="AN69">
            <v>114805</v>
          </cell>
          <cell r="AO69">
            <v>114751</v>
          </cell>
          <cell r="AP69">
            <v>462300</v>
          </cell>
          <cell r="AQ69">
            <v>117188</v>
          </cell>
          <cell r="AR69">
            <v>131636</v>
          </cell>
          <cell r="AS69">
            <v>128666</v>
          </cell>
          <cell r="AT69">
            <v>125498</v>
          </cell>
          <cell r="AU69">
            <v>502988</v>
          </cell>
          <cell r="AW69">
            <v>121044</v>
          </cell>
          <cell r="AX69">
            <v>114805</v>
          </cell>
          <cell r="AY69">
            <v>114751</v>
          </cell>
          <cell r="AZ69">
            <v>117188</v>
          </cell>
          <cell r="BA69">
            <v>467788</v>
          </cell>
          <cell r="BB69">
            <v>131636</v>
          </cell>
          <cell r="BC69">
            <v>128666</v>
          </cell>
          <cell r="BD69">
            <v>125498</v>
          </cell>
          <cell r="BE69">
            <v>125934</v>
          </cell>
          <cell r="BF69">
            <v>511734</v>
          </cell>
          <cell r="BG69">
            <v>140172</v>
          </cell>
          <cell r="BH69">
            <v>134721</v>
          </cell>
          <cell r="BI69">
            <v>130368</v>
          </cell>
          <cell r="BJ69">
            <v>133712</v>
          </cell>
          <cell r="BK69">
            <v>538973</v>
          </cell>
          <cell r="BL69">
            <v>142078</v>
          </cell>
          <cell r="BM69">
            <v>138778</v>
          </cell>
          <cell r="BN69">
            <v>132846</v>
          </cell>
          <cell r="BO69">
            <v>134842</v>
          </cell>
          <cell r="BP69">
            <v>548544</v>
          </cell>
          <cell r="BQ69">
            <v>140324</v>
          </cell>
          <cell r="BR69">
            <v>129749</v>
          </cell>
          <cell r="BS69">
            <v>129168</v>
          </cell>
          <cell r="BT69">
            <v>132965</v>
          </cell>
          <cell r="BU69">
            <v>532206</v>
          </cell>
          <cell r="BV69">
            <v>140649</v>
          </cell>
          <cell r="BW69">
            <v>135801</v>
          </cell>
          <cell r="BX69">
            <v>135033</v>
          </cell>
          <cell r="BY69">
            <v>137063</v>
          </cell>
          <cell r="BZ69">
            <v>548546</v>
          </cell>
          <cell r="CA69">
            <v>148930</v>
          </cell>
          <cell r="CB69">
            <v>145415</v>
          </cell>
          <cell r="CC69">
            <v>146397</v>
          </cell>
          <cell r="CD69">
            <v>152024</v>
          </cell>
          <cell r="CE69">
            <v>592766</v>
          </cell>
          <cell r="CF69">
            <v>159642</v>
          </cell>
          <cell r="CG69">
            <v>152216</v>
          </cell>
          <cell r="CH69">
            <v>155097</v>
          </cell>
          <cell r="CI69">
            <v>169200</v>
          </cell>
          <cell r="CJ69">
            <v>636155</v>
          </cell>
          <cell r="CK69">
            <v>177815</v>
          </cell>
          <cell r="CL69">
            <v>172194</v>
          </cell>
          <cell r="CM69">
            <v>171206</v>
          </cell>
          <cell r="CN69">
            <v>172012.54064221837</v>
          </cell>
          <cell r="CO69">
            <v>693227.54064221843</v>
          </cell>
          <cell r="CP69">
            <v>180043.08008064399</v>
          </cell>
          <cell r="CQ69">
            <v>172557.08177042587</v>
          </cell>
          <cell r="CR69">
            <v>171297.30139851652</v>
          </cell>
          <cell r="CS69">
            <v>175196.81466000396</v>
          </cell>
          <cell r="CT69">
            <v>699094.2779095904</v>
          </cell>
          <cell r="CU69">
            <v>184714.99160510188</v>
          </cell>
          <cell r="CV69">
            <v>177494.79205689771</v>
          </cell>
          <cell r="CW69">
            <v>176287.16185464236</v>
          </cell>
          <cell r="CX69">
            <v>179915.84086666818</v>
          </cell>
          <cell r="CY69">
            <v>718412.7863833101</v>
          </cell>
          <cell r="CZ69">
            <v>190492.84089777336</v>
          </cell>
          <cell r="DA69">
            <v>183160.84783720982</v>
          </cell>
          <cell r="DB69">
            <v>181954.53456557196</v>
          </cell>
          <cell r="DC69">
            <v>185666.29038930149</v>
          </cell>
          <cell r="DD69">
            <v>741274.51368985663</v>
          </cell>
          <cell r="DE69">
            <v>196704.61017844602</v>
          </cell>
          <cell r="DF69">
            <v>188893.37482844325</v>
          </cell>
          <cell r="DG69">
            <v>187683.71857672514</v>
          </cell>
          <cell r="DH69">
            <v>191145.62926055017</v>
          </cell>
          <cell r="DI69">
            <v>764427.33284416457</v>
          </cell>
        </row>
        <row r="70">
          <cell r="B70" t="str">
            <v>y/y % change - as reported</v>
          </cell>
          <cell r="I70" t="str">
            <v>NM</v>
          </cell>
          <cell r="J70" t="str">
            <v>NM</v>
          </cell>
          <cell r="K70" t="str">
            <v>NM</v>
          </cell>
          <cell r="L70" t="str">
            <v>NM</v>
          </cell>
          <cell r="Q70" t="str">
            <v>NM</v>
          </cell>
          <cell r="R70" t="str">
            <v>NM</v>
          </cell>
          <cell r="S70" t="str">
            <v>NM</v>
          </cell>
          <cell r="T70" t="str">
            <v>NM</v>
          </cell>
          <cell r="U70" t="str">
            <v>NM</v>
          </cell>
          <cell r="V70">
            <v>0.11591530947562023</v>
          </cell>
          <cell r="W70">
            <v>0.12810644561767082</v>
          </cell>
          <cell r="X70">
            <v>0.17177314211212513</v>
          </cell>
          <cell r="Y70">
            <v>0.17895131819368304</v>
          </cell>
          <cell r="Z70">
            <v>0.22533711270951784</v>
          </cell>
          <cell r="AA70">
            <v>0.1760314754522172</v>
          </cell>
          <cell r="AB70">
            <v>0.11963843125820084</v>
          </cell>
          <cell r="AC70">
            <v>0.17913769123783041</v>
          </cell>
          <cell r="AD70">
            <v>0.212592541340898</v>
          </cell>
          <cell r="AE70">
            <v>0.21274035247238787</v>
          </cell>
          <cell r="AF70">
            <v>0.18205580896900408</v>
          </cell>
          <cell r="AG70">
            <v>0.1893457992603782</v>
          </cell>
          <cell r="AH70">
            <v>7.0793875464788325E-2</v>
          </cell>
          <cell r="AI70">
            <v>4.3479253206737623E-2</v>
          </cell>
          <cell r="AJ70">
            <v>5.5085119520155157E-2</v>
          </cell>
          <cell r="AK70">
            <v>8.6154141204571433E-2</v>
          </cell>
          <cell r="AL70">
            <v>0.22294360445383576</v>
          </cell>
          <cell r="AM70">
            <v>0.26985658983854544</v>
          </cell>
          <cell r="AN70">
            <v>0.25555020888470881</v>
          </cell>
          <cell r="AO70">
            <v>0.19917025456673487</v>
          </cell>
          <cell r="AP70">
            <v>0.23679732896722205</v>
          </cell>
          <cell r="AQ70">
            <v>4.9131602506714334E-2</v>
          </cell>
          <cell r="AR70">
            <v>8.7505369948118084E-2</v>
          </cell>
          <cell r="AS70">
            <v>0.12073515961848358</v>
          </cell>
          <cell r="AT70">
            <v>9.3654957255274507E-2</v>
          </cell>
          <cell r="AU70">
            <v>8.8012113346311871E-2</v>
          </cell>
          <cell r="AW70">
            <v>0.26985658983854544</v>
          </cell>
          <cell r="AX70">
            <v>0.25555020888470881</v>
          </cell>
          <cell r="AY70">
            <v>0.19917025456673487</v>
          </cell>
          <cell r="AZ70">
            <v>4.9131602506714334E-2</v>
          </cell>
          <cell r="BB70">
            <v>8.7505369948118084E-2</v>
          </cell>
          <cell r="BC70">
            <v>0.12073515961848358</v>
          </cell>
          <cell r="BD70">
            <v>9.3654957255274507E-2</v>
          </cell>
          <cell r="BE70">
            <v>7.4632214902549787E-2</v>
          </cell>
          <cell r="BF70">
            <v>9.3944265350971001E-2</v>
          </cell>
          <cell r="BG70">
            <v>6.4845482998571846E-2</v>
          </cell>
          <cell r="BH70">
            <v>4.7059829325540647E-2</v>
          </cell>
          <cell r="BI70">
            <v>3.8805399289231657E-2</v>
          </cell>
          <cell r="BJ70">
            <v>6.1762510521384151E-2</v>
          </cell>
          <cell r="BK70">
            <v>5.3228825913462785E-2</v>
          </cell>
          <cell r="BL70">
            <v>1.3597580115857655E-2</v>
          </cell>
          <cell r="BM70">
            <v>3.0114087632959974E-2</v>
          </cell>
          <cell r="BN70">
            <v>1.900773195876293E-2</v>
          </cell>
          <cell r="BO70">
            <v>8.4509991623789027E-3</v>
          </cell>
          <cell r="BP70">
            <v>1.775784686802484E-2</v>
          </cell>
          <cell r="BQ70">
            <v>-1.2345331437661033E-2</v>
          </cell>
          <cell r="BR70">
            <v>-6.5060744498407486E-2</v>
          </cell>
          <cell r="BS70">
            <v>-2.768619303554487E-2</v>
          </cell>
          <cell r="BT70">
            <v>-1.3919995253704354E-2</v>
          </cell>
          <cell r="BU70">
            <v>-2.9784301715085726E-2</v>
          </cell>
          <cell r="BV70">
            <v>2.3160685271228498E-3</v>
          </cell>
          <cell r="BW70">
            <v>4.6643904769978928E-2</v>
          </cell>
          <cell r="BX70">
            <v>4.5405982905982967E-2</v>
          </cell>
          <cell r="BY70">
            <v>3.0820140638513793E-2</v>
          </cell>
          <cell r="BZ70">
            <v>3.0702397192064801E-2</v>
          </cell>
          <cell r="CA70">
            <v>5.88770627590669E-2</v>
          </cell>
          <cell r="CB70">
            <v>7.0794765870648924E-2</v>
          </cell>
          <cell r="CC70">
            <v>8.4157206016307162E-2</v>
          </cell>
          <cell r="CD70">
            <v>0.10915418457205806</v>
          </cell>
          <cell r="CE70">
            <v>8.0613111753617739E-2</v>
          </cell>
          <cell r="CF70">
            <v>7.1926408379775708E-2</v>
          </cell>
          <cell r="CG70">
            <v>4.676959048241236E-2</v>
          </cell>
          <cell r="CH70">
            <v>5.9427447283755708E-2</v>
          </cell>
          <cell r="CI70">
            <v>0.11298216071146672</v>
          </cell>
          <cell r="CJ70">
            <v>7.3197518076272949E-2</v>
          </cell>
          <cell r="CK70">
            <v>0.11383595795592649</v>
          </cell>
          <cell r="CL70">
            <v>0.13124770063593849</v>
          </cell>
          <cell r="CM70">
            <v>0.10386403347582474</v>
          </cell>
          <cell r="CN70">
            <v>0.10906426715035344</v>
          </cell>
          <cell r="CO70">
            <v>8.9714834658563447E-2</v>
          </cell>
          <cell r="CP70">
            <v>1.2530326916424306E-2</v>
          </cell>
          <cell r="CQ70">
            <v>2.108562263643643E-3</v>
          </cell>
          <cell r="CR70">
            <v>-5.2074903973627906E-3</v>
          </cell>
          <cell r="CS70">
            <v>2.3310016354590068E-2</v>
          </cell>
          <cell r="CT70">
            <v>8.4629316110795827E-3</v>
          </cell>
          <cell r="CU70">
            <v>2.5948853587515197E-2</v>
          </cell>
          <cell r="CV70">
            <v>2.8614938522436795E-2</v>
          </cell>
          <cell r="CW70">
            <v>2.1616499571887049E-2</v>
          </cell>
          <cell r="CX70">
            <v>5.0313340594321243E-2</v>
          </cell>
          <cell r="CY70">
            <v>2.7633624082127106E-2</v>
          </cell>
          <cell r="CZ70">
            <v>3.1279807028461448E-2</v>
          </cell>
          <cell r="DA70">
            <v>3.1922377635146493E-2</v>
          </cell>
          <cell r="DB70">
            <v>2.5126047119425454E-2</v>
          </cell>
          <cell r="DC70">
            <v>5.3203695810774443E-2</v>
          </cell>
          <cell r="DD70">
            <v>3.1822550683763273E-2</v>
          </cell>
          <cell r="DE70">
            <v>3.2608938222545403E-2</v>
          </cell>
          <cell r="DF70">
            <v>3.1297774928015221E-2</v>
          </cell>
          <cell r="DG70">
            <v>2.469343635892729E-2</v>
          </cell>
          <cell r="DH70">
            <v>5.0513138993334428E-2</v>
          </cell>
          <cell r="DI70">
            <v>3.1233798986369798E-2</v>
          </cell>
        </row>
        <row r="71">
          <cell r="B71" t="str">
            <v>y/y % change - restated</v>
          </cell>
          <cell r="BB71">
            <v>8.6742233486613474E-2</v>
          </cell>
          <cell r="BC71">
            <v>0.11975980157521438</v>
          </cell>
          <cell r="BD71">
            <v>0.10657696343388201</v>
          </cell>
          <cell r="BE71">
            <v>8.7259447279131708E-2</v>
          </cell>
          <cell r="BF71">
            <v>9.9859866916556239E-2</v>
          </cell>
          <cell r="BG71">
            <v>6.775748988779462E-2</v>
          </cell>
          <cell r="BH71">
            <v>4.7059829325540647E-2</v>
          </cell>
          <cell r="BI71">
            <v>5.5056043377979202E-2</v>
          </cell>
          <cell r="BJ71">
            <v>8.3302276594021007E-2</v>
          </cell>
          <cell r="BK71">
            <v>8.2392468259610441E-2</v>
          </cell>
          <cell r="BL71">
            <v>4.7564275549853541E-2</v>
          </cell>
          <cell r="BM71">
            <v>3.9621242199731732E-2</v>
          </cell>
          <cell r="BN71">
            <v>2.6543338665182992E-2</v>
          </cell>
          <cell r="BO71">
            <v>1.0642922456566284E-2</v>
          </cell>
          <cell r="BP71">
            <v>3.5911226601803792E-2</v>
          </cell>
          <cell r="BQ71">
            <v>2.0011484978665672E-2</v>
          </cell>
          <cell r="BR71">
            <v>-1.4694268096351881E-2</v>
          </cell>
          <cell r="BS71">
            <v>-9.9641291351135752E-3</v>
          </cell>
          <cell r="BT71">
            <v>1.1356030181331356E-2</v>
          </cell>
          <cell r="BU71">
            <v>-1.60956282922875E-3</v>
          </cell>
          <cell r="BV71">
            <v>9.5363484325505787E-4</v>
          </cell>
          <cell r="BW71">
            <v>4.7475433102448283E-2</v>
          </cell>
          <cell r="BX71">
            <v>6.9678461940635428E-2</v>
          </cell>
          <cell r="BY71">
            <v>5.9063970514375841E-2</v>
          </cell>
          <cell r="BZ71">
            <v>5.6100514625332387E-2</v>
          </cell>
          <cell r="CA71">
            <v>8.3284841431480849E-2</v>
          </cell>
          <cell r="CB71">
            <v>9.5660756937590019E-2</v>
          </cell>
          <cell r="CC71">
            <v>8.4157206016307162E-2</v>
          </cell>
          <cell r="CD71">
            <v>0.12629559110070598</v>
          </cell>
          <cell r="CE71">
            <v>0.10814574971444157</v>
          </cell>
          <cell r="CF71">
            <v>8.3310148271299234E-2</v>
          </cell>
          <cell r="CG71">
            <v>6.1937518313357254E-2</v>
          </cell>
          <cell r="CH71">
            <v>7.606863105603856E-2</v>
          </cell>
          <cell r="CI71">
            <v>0.11647794758096452</v>
          </cell>
          <cell r="CJ71">
            <v>8.5477596150564716E-2</v>
          </cell>
          <cell r="CK71">
            <v>0.11802394305978225</v>
          </cell>
          <cell r="CL71">
            <v>0.13124770063593849</v>
          </cell>
          <cell r="CM71">
            <v>0.10386403347582474</v>
          </cell>
        </row>
        <row r="73">
          <cell r="B73" t="str">
            <v>Inpatient Admissions / avg, bed in service</v>
          </cell>
          <cell r="I73">
            <v>29.786431296532886</v>
          </cell>
          <cell r="J73">
            <v>31.086213860706383</v>
          </cell>
          <cell r="K73">
            <v>33.259531331758851</v>
          </cell>
          <cell r="L73">
            <v>34.568369819975032</v>
          </cell>
          <cell r="M73">
            <v>8.6783310502424111</v>
          </cell>
          <cell r="N73">
            <v>9.7380143053936639</v>
          </cell>
          <cell r="O73">
            <v>8.0347718790325242</v>
          </cell>
          <cell r="P73">
            <v>8.3022412766464218</v>
          </cell>
          <cell r="Q73">
            <v>34.587937325662885</v>
          </cell>
          <cell r="R73">
            <v>8.5036117162565628</v>
          </cell>
          <cell r="S73">
            <v>9.0803605862567416</v>
          </cell>
          <cell r="T73">
            <v>8.521161902676841</v>
          </cell>
          <cell r="U73">
            <v>8.4663777792492887</v>
          </cell>
          <cell r="V73">
            <v>34.571860351945183</v>
          </cell>
          <cell r="W73">
            <v>8.7496326522816581</v>
          </cell>
          <cell r="X73">
            <v>9.9636110285343449</v>
          </cell>
          <cell r="Y73">
            <v>9.2337081037097306</v>
          </cell>
          <cell r="Z73">
            <v>8.7370125612092817</v>
          </cell>
          <cell r="AA73">
            <v>36.654642359951353</v>
          </cell>
          <cell r="AB73">
            <v>8.9658565412915401</v>
          </cell>
          <cell r="AC73">
            <v>9.8469691850124565</v>
          </cell>
          <cell r="AD73">
            <v>9.4825841398306263</v>
          </cell>
          <cell r="AE73">
            <v>9.5874268509347029</v>
          </cell>
          <cell r="AF73">
            <v>37.925061394491863</v>
          </cell>
          <cell r="AG73">
            <v>9.7805881828265608</v>
          </cell>
          <cell r="AH73">
            <v>10.19316285254587</v>
          </cell>
          <cell r="AI73">
            <v>9.3090900328106798</v>
          </cell>
          <cell r="AJ73">
            <v>9.3694946011777205</v>
          </cell>
          <cell r="AK73">
            <v>38.652335669360831</v>
          </cell>
          <cell r="AL73">
            <v>9.7339065392316115</v>
          </cell>
          <cell r="AM73">
            <v>10.089606118460189</v>
          </cell>
          <cell r="AN73">
            <v>9.1745018311854896</v>
          </cell>
          <cell r="AO73">
            <v>9.6996600380153382</v>
          </cell>
          <cell r="AP73">
            <v>38.697674526892627</v>
          </cell>
          <cell r="AQ73">
            <v>9.4783354222601339</v>
          </cell>
          <cell r="AR73">
            <v>10.238645418111648</v>
          </cell>
          <cell r="AS73">
            <v>9.2584201476692431</v>
          </cell>
          <cell r="AT73">
            <v>8.8507802762795968</v>
          </cell>
          <cell r="AU73">
            <v>37.826181264320624</v>
          </cell>
          <cell r="AW73">
            <v>10.089606118460189</v>
          </cell>
          <cell r="AX73">
            <v>9.1745018311854896</v>
          </cell>
          <cell r="AY73">
            <v>9.6996600380153382</v>
          </cell>
          <cell r="AZ73">
            <v>9.4783354222601339</v>
          </cell>
          <cell r="BA73">
            <v>38.435925620252938</v>
          </cell>
          <cell r="BB73">
            <v>10.238645418111648</v>
          </cell>
          <cell r="BC73">
            <v>9.2584201476692431</v>
          </cell>
          <cell r="BD73">
            <v>8.8507802762795968</v>
          </cell>
          <cell r="BE73">
            <v>9.1421480505480019</v>
          </cell>
          <cell r="BF73">
            <v>37.454377744546989</v>
          </cell>
          <cell r="BG73">
            <v>9.875876751974527</v>
          </cell>
          <cell r="BH73">
            <v>9.080925898087191</v>
          </cell>
          <cell r="BI73">
            <v>9.2296753023202438</v>
          </cell>
          <cell r="BJ73">
            <v>9.517824745325095</v>
          </cell>
          <cell r="BK73">
            <v>37.704302697707057</v>
          </cell>
          <cell r="BL73">
            <v>10.22556190693952</v>
          </cell>
          <cell r="BM73">
            <v>9.5260846040304852</v>
          </cell>
          <cell r="BN73">
            <v>9.265727146818735</v>
          </cell>
          <cell r="BO73">
            <v>9.2908147579784348</v>
          </cell>
          <cell r="BP73">
            <v>38.308188415767177</v>
          </cell>
          <cell r="BQ73">
            <v>10.489672671299767</v>
          </cell>
          <cell r="BR73">
            <v>9.3092996804024484</v>
          </cell>
          <cell r="BS73">
            <v>9.1980340818517767</v>
          </cell>
          <cell r="BT73">
            <v>9.6555527714057234</v>
          </cell>
          <cell r="BU73">
            <v>38.652559204959715</v>
          </cell>
          <cell r="BV73">
            <v>10.42909041991183</v>
          </cell>
          <cell r="BW73">
            <v>9.714388424243726</v>
          </cell>
          <cell r="BX73">
            <v>9.5421170459248348</v>
          </cell>
          <cell r="BY73">
            <v>9.6978780933992113</v>
          </cell>
          <cell r="BZ73">
            <v>39.383473983479604</v>
          </cell>
          <cell r="CA73">
            <v>10.253646279640231</v>
          </cell>
          <cell r="CB73">
            <v>9.6002664021778124</v>
          </cell>
          <cell r="CC73">
            <v>9.2826362645674134</v>
          </cell>
          <cell r="CD73">
            <v>9.4602087752712798</v>
          </cell>
          <cell r="CE73">
            <v>38.596757721656743</v>
          </cell>
          <cell r="CF73">
            <v>10.074293235745486</v>
          </cell>
          <cell r="CG73">
            <v>9.1453083761042464</v>
          </cell>
          <cell r="CH73">
            <v>9.163444998124632</v>
          </cell>
          <cell r="CI73">
            <v>9.1303412292143946</v>
          </cell>
          <cell r="CJ73">
            <v>37.513387839188759</v>
          </cell>
          <cell r="CK73">
            <v>9.5756071253163135</v>
          </cell>
          <cell r="CL73">
            <v>8.6093345895823425</v>
          </cell>
          <cell r="CM73">
            <v>8.4337964434522164</v>
          </cell>
          <cell r="CN73">
            <v>8.5288707795353602</v>
          </cell>
          <cell r="CO73">
            <v>35.147608937886233</v>
          </cell>
          <cell r="CP73">
            <v>9.0914314932245865</v>
          </cell>
          <cell r="CQ73">
            <v>8.3070292046117196</v>
          </cell>
          <cell r="CR73">
            <v>8.0019134177571178</v>
          </cell>
          <cell r="CS73">
            <v>8.091169696283524</v>
          </cell>
          <cell r="CT73">
            <v>33.491543811876944</v>
          </cell>
          <cell r="CU73">
            <v>8.8333940436779699</v>
          </cell>
          <cell r="CV73">
            <v>8.0873263183939947</v>
          </cell>
          <cell r="CW73">
            <v>7.7984455695731514</v>
          </cell>
          <cell r="CX73">
            <v>7.8674137909983441</v>
          </cell>
          <cell r="CY73">
            <v>32.586579722643457</v>
          </cell>
          <cell r="CZ73">
            <v>8.6534770791325215</v>
          </cell>
          <cell r="DA73">
            <v>7.9232974682913691</v>
          </cell>
          <cell r="DB73">
            <v>7.6458935511566661</v>
          </cell>
          <cell r="DC73">
            <v>7.7116650330013305</v>
          </cell>
          <cell r="DD73">
            <v>31.934333131581887</v>
          </cell>
          <cell r="DE73">
            <v>8.4978950801193776</v>
          </cell>
          <cell r="DF73">
            <v>7.7666578866654481</v>
          </cell>
          <cell r="DG73">
            <v>7.4996466841664269</v>
          </cell>
          <cell r="DH73">
            <v>7.5483616772072279</v>
          </cell>
          <cell r="DI73">
            <v>31.312561328158484</v>
          </cell>
        </row>
        <row r="74">
          <cell r="B74" t="str">
            <v>y/y % change - as reported</v>
          </cell>
          <cell r="I74" t="str">
            <v>NM</v>
          </cell>
          <cell r="J74">
            <v>4.3636733492299573E-2</v>
          </cell>
          <cell r="K74">
            <v>6.9912581853513789E-2</v>
          </cell>
          <cell r="L74">
            <v>3.9352282963963425E-2</v>
          </cell>
          <cell r="Q74">
            <v>5.660523128443451E-4</v>
          </cell>
          <cell r="R74">
            <v>-2.0132826573949103E-2</v>
          </cell>
          <cell r="S74">
            <v>-6.7534684024099567E-2</v>
          </cell>
          <cell r="T74">
            <v>6.0535635730193604E-2</v>
          </cell>
          <cell r="U74">
            <v>1.9770143643568883E-2</v>
          </cell>
          <cell r="V74">
            <v>-4.6481446888058109E-4</v>
          </cell>
          <cell r="W74">
            <v>2.8931346377771616E-2</v>
          </cell>
          <cell r="X74">
            <v>9.7270414967266294E-2</v>
          </cell>
          <cell r="Y74">
            <v>8.3620779556958125E-2</v>
          </cell>
          <cell r="Z74">
            <v>3.1965828718782952E-2</v>
          </cell>
          <cell r="AA74">
            <v>6.0245008130983768E-2</v>
          </cell>
          <cell r="AB74">
            <v>2.4712339089286939E-2</v>
          </cell>
          <cell r="AC74">
            <v>-1.1706784135575243E-2</v>
          </cell>
          <cell r="AD74">
            <v>2.6952989343566935E-2</v>
          </cell>
          <cell r="AE74">
            <v>9.7334676328737713E-2</v>
          </cell>
          <cell r="AF74">
            <v>3.4659157824127762E-2</v>
          </cell>
          <cell r="AG74">
            <v>9.087047487128963E-2</v>
          </cell>
          <cell r="AH74">
            <v>3.5157383051460656E-2</v>
          </cell>
          <cell r="AI74">
            <v>-1.8296078839016294E-2</v>
          </cell>
          <cell r="AJ74">
            <v>-2.273104693734751E-2</v>
          </cell>
          <cell r="AK74">
            <v>1.9176614305352002E-2</v>
          </cell>
          <cell r="AL74">
            <v>-4.7728871436296672E-3</v>
          </cell>
          <cell r="AM74">
            <v>-1.0159430942459191E-2</v>
          </cell>
          <cell r="AN74">
            <v>-1.4457718332385072E-2</v>
          </cell>
          <cell r="AO74">
            <v>3.523834004836468E-2</v>
          </cell>
          <cell r="AP74">
            <v>1.1729914052189816E-3</v>
          </cell>
          <cell r="AQ74">
            <v>-2.6255760309740195E-2</v>
          </cell>
          <cell r="AR74">
            <v>1.4771567680801123E-2</v>
          </cell>
          <cell r="AS74">
            <v>9.146907159416795E-3</v>
          </cell>
          <cell r="AT74">
            <v>-8.7516444742266608E-2</v>
          </cell>
          <cell r="AU74">
            <v>-2.2520559005848373E-2</v>
          </cell>
          <cell r="AW74">
            <v>-1.0159430942459191E-2</v>
          </cell>
          <cell r="AX74">
            <v>-1.4457718332385072E-2</v>
          </cell>
          <cell r="AY74">
            <v>3.523834004836468E-2</v>
          </cell>
          <cell r="AZ74">
            <v>-2.6255760309740195E-2</v>
          </cell>
          <cell r="BB74">
            <v>1.4771567680801123E-2</v>
          </cell>
          <cell r="BC74">
            <v>9.146907159416795E-3</v>
          </cell>
          <cell r="BD74">
            <v>-8.7516444742266608E-2</v>
          </cell>
          <cell r="BE74">
            <v>-3.5469030872508078E-2</v>
          </cell>
          <cell r="BF74">
            <v>-2.553725088875558E-2</v>
          </cell>
          <cell r="BG74">
            <v>-3.5431314526763624E-2</v>
          </cell>
          <cell r="BH74">
            <v>-1.9171116319098513E-2</v>
          </cell>
          <cell r="BI74">
            <v>4.2809222940049629E-2</v>
          </cell>
          <cell r="BJ74">
            <v>4.1092825526334975E-2</v>
          </cell>
          <cell r="BK74">
            <v>6.6727834824715782E-3</v>
          </cell>
          <cell r="BL74">
            <v>3.5408011232529679E-2</v>
          </cell>
          <cell r="BM74">
            <v>4.9021290443198362E-2</v>
          </cell>
          <cell r="BN74">
            <v>3.9060793925684845E-3</v>
          </cell>
          <cell r="BO74">
            <v>-2.385103670438582E-2</v>
          </cell>
          <cell r="BP74">
            <v>1.6016360862094459E-2</v>
          </cell>
          <cell r="BQ74">
            <v>2.5828484220608905E-2</v>
          </cell>
          <cell r="BR74">
            <v>-2.2756980715488817E-2</v>
          </cell>
          <cell r="BS74">
            <v>-7.3057477189147901E-3</v>
          </cell>
          <cell r="BT74">
            <v>3.9257914717766962E-2</v>
          </cell>
          <cell r="BU74">
            <v>8.9894824953611341E-3</v>
          </cell>
          <cell r="BV74">
            <v>-5.7754186699926491E-3</v>
          </cell>
          <cell r="BW74">
            <v>4.3514416524161659E-2</v>
          </cell>
          <cell r="BX74">
            <v>3.7408315843485695E-2</v>
          </cell>
          <cell r="BY74">
            <v>4.3835213783753879E-3</v>
          </cell>
          <cell r="BZ74">
            <v>1.8909867640176881E-2</v>
          </cell>
          <cell r="CA74">
            <v>-1.6822573513854189E-2</v>
          </cell>
          <cell r="CB74">
            <v>-1.1747731002921924E-2</v>
          </cell>
          <cell r="CC74">
            <v>-2.7193208813995673E-2</v>
          </cell>
          <cell r="CD74">
            <v>-2.4507352622807232E-2</v>
          </cell>
          <cell r="CE74">
            <v>-1.9975796501671472E-2</v>
          </cell>
          <cell r="CF74">
            <v>-1.7491635560987762E-2</v>
          </cell>
          <cell r="CG74">
            <v>-4.7390145962028618E-2</v>
          </cell>
          <cell r="CH74">
            <v>-1.2840238812086624E-2</v>
          </cell>
          <cell r="CI74">
            <v>-3.4868949924144355E-2</v>
          </cell>
          <cell r="CJ74">
            <v>-2.8068934968081605E-2</v>
          </cell>
          <cell r="CK74">
            <v>-4.9500853187372074E-2</v>
          </cell>
          <cell r="CL74">
            <v>-5.8606420306432594E-2</v>
          </cell>
          <cell r="CM74">
            <v>-7.9626009085201455E-2</v>
          </cell>
          <cell r="CN74">
            <v>-6.5876009951797543E-2</v>
          </cell>
          <cell r="CO74">
            <v>-6.3064922620267638E-2</v>
          </cell>
          <cell r="CP74">
            <v>-5.0563439555873946E-2</v>
          </cell>
          <cell r="CQ74">
            <v>-3.5113675955447898E-2</v>
          </cell>
          <cell r="CR74">
            <v>-5.1208613889466292E-2</v>
          </cell>
          <cell r="CS74">
            <v>-5.1319933736372225E-2</v>
          </cell>
          <cell r="CT74">
            <v>-4.7117433477080306E-2</v>
          </cell>
          <cell r="CU74">
            <v>-2.8382488471581202E-2</v>
          </cell>
          <cell r="CV74">
            <v>-2.6447828797297901E-2</v>
          </cell>
          <cell r="CW74">
            <v>-2.5427399368312176E-2</v>
          </cell>
          <cell r="CX74">
            <v>-2.7654333512243223E-2</v>
          </cell>
          <cell r="CY74">
            <v>-2.7020674063778616E-2</v>
          </cell>
          <cell r="CZ74">
            <v>-2.0367818265077164E-2</v>
          </cell>
          <cell r="DA74">
            <v>-2.0282209922648287E-2</v>
          </cell>
          <cell r="DB74">
            <v>-1.9561849480836391E-2</v>
          </cell>
          <cell r="DC74">
            <v>-1.9796690772159065E-2</v>
          </cell>
          <cell r="DD74">
            <v>-2.0015803947916133E-2</v>
          </cell>
          <cell r="DE74">
            <v>-1.7979131115782754E-2</v>
          </cell>
          <cell r="DF74">
            <v>-1.9769493983128217E-2</v>
          </cell>
          <cell r="DG74">
            <v>-1.9127504981823251E-2</v>
          </cell>
          <cell r="DH74">
            <v>-2.1176147446143156E-2</v>
          </cell>
          <cell r="DI74">
            <v>-1.9470323706509252E-2</v>
          </cell>
        </row>
        <row r="76">
          <cell r="B76" t="str">
            <v>Equivalent Factor</v>
          </cell>
          <cell r="I76" t="str">
            <v>NM</v>
          </cell>
          <cell r="J76" t="str">
            <v>NM</v>
          </cell>
          <cell r="K76" t="str">
            <v>NM</v>
          </cell>
          <cell r="L76" t="str">
            <v>NM</v>
          </cell>
          <cell r="M76" t="str">
            <v>NM</v>
          </cell>
          <cell r="N76" t="str">
            <v>NM</v>
          </cell>
          <cell r="O76" t="str">
            <v>NM</v>
          </cell>
          <cell r="P76" t="str">
            <v>NM</v>
          </cell>
          <cell r="Q76">
            <v>1.5387384512942874</v>
          </cell>
          <cell r="R76">
            <v>1.5339455559199737</v>
          </cell>
          <cell r="S76">
            <v>1.5056085249579361</v>
          </cell>
          <cell r="T76">
            <v>1.5834258996150965</v>
          </cell>
          <cell r="U76">
            <v>1.4830393157408757</v>
          </cell>
          <cell r="V76">
            <v>1.5253675428543261</v>
          </cell>
          <cell r="W76">
            <v>1.5393074350860656</v>
          </cell>
          <cell r="X76">
            <v>1.507578329372766</v>
          </cell>
          <cell r="Y76">
            <v>1.5672985165264162</v>
          </cell>
          <cell r="Z76">
            <v>1.614620665831858</v>
          </cell>
          <cell r="AA76">
            <v>1.5563609926120752</v>
          </cell>
          <cell r="AB76">
            <v>1.602788329089619</v>
          </cell>
          <cell r="AC76">
            <v>1.5588652482269503</v>
          </cell>
          <cell r="AD76">
            <v>1.6017694262160236</v>
          </cell>
          <cell r="AE76">
            <v>1.6043870511232974</v>
          </cell>
          <cell r="AF76">
            <v>1.5913500665877478</v>
          </cell>
          <cell r="AG76">
            <v>1.5752104028697571</v>
          </cell>
          <cell r="AH76">
            <v>1.5568204089632194</v>
          </cell>
          <cell r="AI76">
            <v>1.6049075016674272</v>
          </cell>
          <cell r="AJ76">
            <v>1.6151093707804483</v>
          </cell>
          <cell r="AK76">
            <v>1.5876551390198528</v>
          </cell>
          <cell r="AL76">
            <v>1.595304064669085</v>
          </cell>
          <cell r="AM76">
            <v>1.5895052001260637</v>
          </cell>
          <cell r="AN76">
            <v>1.6536073861754073</v>
          </cell>
          <cell r="AO76">
            <v>1.6621666642525024</v>
          </cell>
          <cell r="AP76">
            <v>1.6241910664221422</v>
          </cell>
          <cell r="AQ76">
            <v>1.6397498145997453</v>
          </cell>
          <cell r="AR76">
            <v>1.6113695343485286</v>
          </cell>
          <cell r="AS76">
            <v>1.6740742668297379</v>
          </cell>
          <cell r="AT76">
            <v>1.6998008966423319</v>
          </cell>
          <cell r="AU76">
            <v>1.6553934862167925</v>
          </cell>
          <cell r="AW76">
            <v>1.5895052001260637</v>
          </cell>
          <cell r="AX76">
            <v>1.6536073861754073</v>
          </cell>
          <cell r="AY76">
            <v>1.6621666642525024</v>
          </cell>
          <cell r="AZ76">
            <v>1.6397498145997453</v>
          </cell>
          <cell r="BA76">
            <v>1.6351478417102729</v>
          </cell>
          <cell r="BB76">
            <v>1.6113695343485286</v>
          </cell>
          <cell r="BC76">
            <v>1.6740742668297379</v>
          </cell>
          <cell r="BD76">
            <v>1.6998008966423319</v>
          </cell>
          <cell r="BE76">
            <v>1.6660140230189178</v>
          </cell>
          <cell r="BF76">
            <v>1.6616304781943754</v>
          </cell>
          <cell r="BG76">
            <v>1.6598027258410202</v>
          </cell>
          <cell r="BH76">
            <v>1.7223564607064781</v>
          </cell>
          <cell r="BI76">
            <v>1.7008219178082191</v>
          </cell>
          <cell r="BJ76">
            <v>1.6878992148249135</v>
          </cell>
          <cell r="BK76">
            <v>1.692021046154619</v>
          </cell>
          <cell r="BL76">
            <v>1.6644954192928607</v>
          </cell>
          <cell r="BM76">
            <v>1.7651069025603194</v>
          </cell>
          <cell r="BN76">
            <v>1.7402570182218322</v>
          </cell>
          <cell r="BO76">
            <v>1.739201093756046</v>
          </cell>
          <cell r="BP76">
            <v>1.7258006160157811</v>
          </cell>
          <cell r="BQ76">
            <v>1.6795011430144462</v>
          </cell>
          <cell r="BR76">
            <v>1.757902152853988</v>
          </cell>
          <cell r="BS76">
            <v>1.7829063604240283</v>
          </cell>
          <cell r="BT76">
            <v>1.7366970559807737</v>
          </cell>
          <cell r="BU76">
            <v>1.7371348369618436</v>
          </cell>
          <cell r="BV76">
            <v>1.6872278403570016</v>
          </cell>
          <cell r="BW76">
            <v>1.7504640371229698</v>
          </cell>
          <cell r="BX76">
            <v>1.8030845239684872</v>
          </cell>
          <cell r="BY76">
            <v>1.7670044348184819</v>
          </cell>
          <cell r="BZ76">
            <v>1.7503119027182601</v>
          </cell>
          <cell r="CA76">
            <v>1.7422381320043985</v>
          </cell>
          <cell r="CB76">
            <v>1.8200535696405327</v>
          </cell>
          <cell r="CC76">
            <v>1.8633632869180052</v>
          </cell>
          <cell r="CD76">
            <v>1.8341778871676078</v>
          </cell>
          <cell r="CE76">
            <v>1.8136940531411017</v>
          </cell>
          <cell r="CF76">
            <v>1.8070701696795446</v>
          </cell>
          <cell r="CG76">
            <v>1.884957834383862</v>
          </cell>
          <cell r="CH76">
            <v>1.9051111029222094</v>
          </cell>
          <cell r="CI76">
            <v>1.9155439827918035</v>
          </cell>
          <cell r="CJ76">
            <v>1.8774661562934389</v>
          </cell>
          <cell r="CK76">
            <v>1.9042493949324253</v>
          </cell>
          <cell r="CL76">
            <v>1.9914418217354597</v>
          </cell>
          <cell r="CM76">
            <v>2.0212268605969022</v>
          </cell>
          <cell r="CN76">
            <v>2.0081112589078902</v>
          </cell>
          <cell r="CO76">
            <v>1.9794744797235473</v>
          </cell>
          <cell r="CP76">
            <v>1.9433108594358401</v>
          </cell>
          <cell r="CQ76">
            <v>2.0383800694582384</v>
          </cell>
          <cell r="CR76">
            <v>2.0622063741562711</v>
          </cell>
          <cell r="CS76">
            <v>2.0858849359194238</v>
          </cell>
          <cell r="CT76">
            <v>2.0301363574884372</v>
          </cell>
          <cell r="CU76">
            <v>1.9782120689479359</v>
          </cell>
          <cell r="CV76">
            <v>2.0762466965751112</v>
          </cell>
          <cell r="CW76">
            <v>2.1007488515809927</v>
          </cell>
          <cell r="CX76">
            <v>2.1251955819308077</v>
          </cell>
          <cell r="CY76">
            <v>2.0677447850393289</v>
          </cell>
          <cell r="CZ76">
            <v>2.010240935710998</v>
          </cell>
          <cell r="DA76">
            <v>2.1109929628650317</v>
          </cell>
          <cell r="DB76">
            <v>2.1361124218862311</v>
          </cell>
          <cell r="DC76">
            <v>2.1610975587426111</v>
          </cell>
          <cell r="DD76">
            <v>2.1021929212071453</v>
          </cell>
          <cell r="DE76">
            <v>2.042905837220732</v>
          </cell>
          <cell r="DF76">
            <v>2.1464843481992109</v>
          </cell>
          <cell r="DG76">
            <v>2.1722450329782474</v>
          </cell>
          <cell r="DH76">
            <v>2.1980354272090943</v>
          </cell>
          <cell r="DI76">
            <v>2.1373567300354339</v>
          </cell>
        </row>
        <row r="78">
          <cell r="B78" t="str">
            <v>Surgeries</v>
          </cell>
          <cell r="I78" t="str">
            <v>ND</v>
          </cell>
          <cell r="J78" t="str">
            <v>ND</v>
          </cell>
          <cell r="K78" t="str">
            <v>ND</v>
          </cell>
          <cell r="L78" t="str">
            <v>ND</v>
          </cell>
          <cell r="M78" t="str">
            <v>ND</v>
          </cell>
          <cell r="N78" t="str">
            <v>ND</v>
          </cell>
          <cell r="O78" t="str">
            <v>ND</v>
          </cell>
          <cell r="P78" t="str">
            <v>ND</v>
          </cell>
          <cell r="Q78">
            <v>0</v>
          </cell>
          <cell r="R78" t="str">
            <v>ND</v>
          </cell>
          <cell r="S78" t="str">
            <v>ND</v>
          </cell>
          <cell r="T78" t="str">
            <v>ND</v>
          </cell>
          <cell r="U78" t="str">
            <v>ND</v>
          </cell>
          <cell r="V78">
            <v>0</v>
          </cell>
          <cell r="W78" t="str">
            <v>ND</v>
          </cell>
          <cell r="X78" t="str">
            <v>ND</v>
          </cell>
          <cell r="Y78" t="str">
            <v>ND</v>
          </cell>
          <cell r="Z78" t="str">
            <v>ND</v>
          </cell>
          <cell r="AA78">
            <v>0</v>
          </cell>
          <cell r="AB78" t="str">
            <v>ND</v>
          </cell>
          <cell r="AC78" t="str">
            <v>ND</v>
          </cell>
          <cell r="AD78" t="str">
            <v>ND</v>
          </cell>
          <cell r="AE78" t="str">
            <v>ND</v>
          </cell>
          <cell r="AF78">
            <v>0</v>
          </cell>
          <cell r="AG78" t="str">
            <v>ND</v>
          </cell>
          <cell r="AH78">
            <v>52782</v>
          </cell>
          <cell r="AI78" t="str">
            <v>ND</v>
          </cell>
          <cell r="AJ78">
            <v>52393</v>
          </cell>
          <cell r="AK78">
            <v>105175</v>
          </cell>
          <cell r="AL78">
            <v>56494</v>
          </cell>
          <cell r="AM78">
            <v>61310</v>
          </cell>
          <cell r="AN78">
            <v>59739</v>
          </cell>
          <cell r="AO78">
            <v>59157</v>
          </cell>
          <cell r="AP78">
            <v>236700</v>
          </cell>
          <cell r="AQ78">
            <v>61136</v>
          </cell>
          <cell r="AR78">
            <v>66557</v>
          </cell>
          <cell r="AS78">
            <v>70006</v>
          </cell>
          <cell r="AT78">
            <v>67644</v>
          </cell>
          <cell r="AU78">
            <v>265343</v>
          </cell>
          <cell r="AW78">
            <v>61310</v>
          </cell>
          <cell r="AX78">
            <v>59739</v>
          </cell>
          <cell r="AY78">
            <v>59157</v>
          </cell>
          <cell r="AZ78">
            <v>61136</v>
          </cell>
          <cell r="BA78">
            <v>241342</v>
          </cell>
          <cell r="BB78">
            <v>66557</v>
          </cell>
          <cell r="BC78">
            <v>70006</v>
          </cell>
          <cell r="BD78">
            <v>67644</v>
          </cell>
          <cell r="BE78">
            <v>67243</v>
          </cell>
          <cell r="BF78">
            <v>271450</v>
          </cell>
          <cell r="BG78">
            <v>72525</v>
          </cell>
          <cell r="BH78">
            <v>72386</v>
          </cell>
          <cell r="BI78">
            <v>69203</v>
          </cell>
          <cell r="BJ78">
            <v>70424</v>
          </cell>
          <cell r="BK78">
            <v>284538</v>
          </cell>
          <cell r="BL78">
            <v>72191</v>
          </cell>
          <cell r="BM78">
            <v>71123</v>
          </cell>
          <cell r="BN78">
            <v>70222</v>
          </cell>
          <cell r="BO78">
            <v>70420</v>
          </cell>
          <cell r="BP78">
            <v>283956</v>
          </cell>
          <cell r="BQ78">
            <v>70527</v>
          </cell>
          <cell r="BR78">
            <v>69649</v>
          </cell>
          <cell r="BS78">
            <v>67518</v>
          </cell>
          <cell r="BT78">
            <v>67898</v>
          </cell>
          <cell r="BU78">
            <v>275592</v>
          </cell>
          <cell r="BV78">
            <v>68347</v>
          </cell>
          <cell r="BW78">
            <v>68994</v>
          </cell>
          <cell r="BX78">
            <v>66337</v>
          </cell>
          <cell r="BY78">
            <v>67885</v>
          </cell>
          <cell r="BZ78">
            <v>271563</v>
          </cell>
          <cell r="CA78">
            <v>79842</v>
          </cell>
          <cell r="CB78">
            <v>80528</v>
          </cell>
          <cell r="CC78">
            <v>80126</v>
          </cell>
          <cell r="CD78">
            <v>81622</v>
          </cell>
          <cell r="CE78">
            <v>322118</v>
          </cell>
          <cell r="CF78">
            <v>82897</v>
          </cell>
          <cell r="CG78">
            <v>82502</v>
          </cell>
          <cell r="CH78">
            <v>81665</v>
          </cell>
          <cell r="CI78">
            <v>95429</v>
          </cell>
          <cell r="CJ78">
            <v>342493</v>
          </cell>
          <cell r="CK78">
            <v>99915</v>
          </cell>
          <cell r="CL78">
            <v>100164</v>
          </cell>
          <cell r="CM78">
            <v>97230</v>
          </cell>
          <cell r="CO78">
            <v>297309</v>
          </cell>
        </row>
        <row r="79">
          <cell r="B79" t="str">
            <v>y/y change - as reported</v>
          </cell>
          <cell r="I79" t="str">
            <v>NM</v>
          </cell>
          <cell r="J79" t="str">
            <v>NM</v>
          </cell>
          <cell r="K79" t="str">
            <v>NM</v>
          </cell>
          <cell r="L79" t="str">
            <v>NM</v>
          </cell>
          <cell r="Q79" t="str">
            <v>NM</v>
          </cell>
          <cell r="R79" t="str">
            <v>NM</v>
          </cell>
          <cell r="S79" t="str">
            <v>NM</v>
          </cell>
          <cell r="T79" t="str">
            <v>NM</v>
          </cell>
          <cell r="U79" t="str">
            <v>NM</v>
          </cell>
          <cell r="V79" t="str">
            <v>NM</v>
          </cell>
          <cell r="W79" t="str">
            <v>NM</v>
          </cell>
          <cell r="X79" t="str">
            <v>NM</v>
          </cell>
          <cell r="Y79" t="str">
            <v>NM</v>
          </cell>
          <cell r="Z79" t="str">
            <v>NM</v>
          </cell>
          <cell r="AA79" t="str">
            <v>NM</v>
          </cell>
          <cell r="AB79" t="str">
            <v>NM</v>
          </cell>
          <cell r="AC79" t="str">
            <v>NM</v>
          </cell>
          <cell r="AD79" t="str">
            <v>NM</v>
          </cell>
          <cell r="AE79" t="str">
            <v>NM</v>
          </cell>
          <cell r="AF79" t="str">
            <v>NM</v>
          </cell>
          <cell r="AG79" t="str">
            <v>NM</v>
          </cell>
          <cell r="AH79" t="str">
            <v>NM</v>
          </cell>
          <cell r="AI79" t="str">
            <v>NM</v>
          </cell>
          <cell r="AJ79" t="str">
            <v>NM</v>
          </cell>
          <cell r="AK79" t="str">
            <v>NM</v>
          </cell>
          <cell r="AL79" t="str">
            <v>NM</v>
          </cell>
          <cell r="AM79">
            <v>0.16157023227615475</v>
          </cell>
          <cell r="AN79" t="str">
            <v>NM</v>
          </cell>
          <cell r="AO79">
            <v>0.12910121581127254</v>
          </cell>
          <cell r="AP79">
            <v>1.2505348229141906</v>
          </cell>
          <cell r="AQ79">
            <v>8.2168017842602747E-2</v>
          </cell>
          <cell r="AR79">
            <v>8.5581471211874094E-2</v>
          </cell>
          <cell r="AS79">
            <v>0.17186427626843437</v>
          </cell>
          <cell r="AT79">
            <v>0.14346569298645973</v>
          </cell>
          <cell r="AU79">
            <v>0.12100971694127582</v>
          </cell>
          <cell r="AW79">
            <v>0.16157023227615475</v>
          </cell>
          <cell r="AX79" t="str">
            <v>NM</v>
          </cell>
          <cell r="AY79">
            <v>0.12910121581127254</v>
          </cell>
          <cell r="AZ79">
            <v>8.2168017842602747E-2</v>
          </cell>
          <cell r="BB79">
            <v>8.5581471211874094E-2</v>
          </cell>
          <cell r="BC79">
            <v>0.17186427626843437</v>
          </cell>
          <cell r="BD79">
            <v>0.14346569298645973</v>
          </cell>
          <cell r="BE79">
            <v>9.9892043967547695E-2</v>
          </cell>
          <cell r="BF79">
            <v>0.12475242601785008</v>
          </cell>
          <cell r="BG79">
            <v>8.9667503042504926E-2</v>
          </cell>
          <cell r="BH79">
            <v>3.3997085964060147E-2</v>
          </cell>
          <cell r="BI79">
            <v>2.3047129087576224E-2</v>
          </cell>
          <cell r="BJ79">
            <v>4.7306039290335056E-2</v>
          </cell>
          <cell r="BK79">
            <v>4.8215140909928067E-2</v>
          </cell>
          <cell r="BL79">
            <v>-4.6053085143054062E-3</v>
          </cell>
          <cell r="BM79">
            <v>-1.7448125328102138E-2</v>
          </cell>
          <cell r="BN79">
            <v>1.4724795167839533E-2</v>
          </cell>
          <cell r="BO79">
            <v>-5.6798818584558042E-5</v>
          </cell>
          <cell r="BP79">
            <v>-2.0454209982497806E-3</v>
          </cell>
          <cell r="BQ79">
            <v>-2.3049964677037349E-2</v>
          </cell>
          <cell r="BR79">
            <v>-2.0724660095890246E-2</v>
          </cell>
          <cell r="BS79">
            <v>-3.8506450969781558E-2</v>
          </cell>
          <cell r="BT79">
            <v>-3.5813689292814588E-2</v>
          </cell>
          <cell r="BU79">
            <v>-2.9455267717533706E-2</v>
          </cell>
          <cell r="BV79">
            <v>-3.0910147886624939E-2</v>
          </cell>
          <cell r="BW79">
            <v>-9.4042986977559417E-3</v>
          </cell>
          <cell r="BX79">
            <v>-1.7491631861133339E-2</v>
          </cell>
          <cell r="BY79">
            <v>-1.9146366608735477E-4</v>
          </cell>
          <cell r="BZ79">
            <v>-1.4619437429243209E-2</v>
          </cell>
          <cell r="CA79">
            <v>0.16818587502011795</v>
          </cell>
          <cell r="CB79">
            <v>0.16717395715569472</v>
          </cell>
          <cell r="CC79">
            <v>0.20786288195124891</v>
          </cell>
          <cell r="CD79">
            <v>0.20235692715622</v>
          </cell>
          <cell r="CE79">
            <v>0.18616306345120659</v>
          </cell>
          <cell r="CF79">
            <v>3.8263069562385787E-2</v>
          </cell>
          <cell r="CG79">
            <v>2.4513212795549411E-2</v>
          </cell>
          <cell r="CH79">
            <v>1.9207248583481107E-2</v>
          </cell>
          <cell r="CI79">
            <v>0.16915782509617494</v>
          </cell>
          <cell r="CJ79">
            <v>6.3253217764918546E-2</v>
          </cell>
          <cell r="CK79">
            <v>0.2052909031689929</v>
          </cell>
          <cell r="CL79">
            <v>0.21407965867494116</v>
          </cell>
          <cell r="CM79">
            <v>0.19059572644339684</v>
          </cell>
          <cell r="CO79">
            <v>-0.13192678390507251</v>
          </cell>
        </row>
        <row r="80">
          <cell r="B80" t="str">
            <v>ER Visits</v>
          </cell>
          <cell r="I80" t="str">
            <v>ND</v>
          </cell>
          <cell r="J80" t="str">
            <v>ND</v>
          </cell>
          <cell r="K80" t="str">
            <v>ND</v>
          </cell>
          <cell r="L80" t="str">
            <v>ND</v>
          </cell>
          <cell r="M80" t="str">
            <v>ND</v>
          </cell>
          <cell r="N80" t="str">
            <v>ND</v>
          </cell>
          <cell r="O80" t="str">
            <v>ND</v>
          </cell>
          <cell r="P80" t="str">
            <v>ND</v>
          </cell>
          <cell r="Q80">
            <v>0</v>
          </cell>
          <cell r="R80" t="str">
            <v>ND</v>
          </cell>
          <cell r="S80" t="str">
            <v>ND</v>
          </cell>
          <cell r="T80" t="str">
            <v>ND</v>
          </cell>
          <cell r="U80" t="str">
            <v>ND</v>
          </cell>
          <cell r="V80">
            <v>0</v>
          </cell>
          <cell r="W80" t="str">
            <v>ND</v>
          </cell>
          <cell r="X80" t="str">
            <v>ND</v>
          </cell>
          <cell r="Y80" t="str">
            <v>ND</v>
          </cell>
          <cell r="Z80" t="str">
            <v>ND</v>
          </cell>
          <cell r="AA80">
            <v>0</v>
          </cell>
          <cell r="AB80" t="str">
            <v>ND</v>
          </cell>
          <cell r="AC80" t="str">
            <v>ND</v>
          </cell>
          <cell r="AD80" t="str">
            <v>ND</v>
          </cell>
          <cell r="AE80" t="str">
            <v>ND</v>
          </cell>
          <cell r="AF80">
            <v>0</v>
          </cell>
          <cell r="AG80" t="str">
            <v>ND</v>
          </cell>
          <cell r="AH80" t="str">
            <v>ND</v>
          </cell>
          <cell r="AI80" t="str">
            <v>ND</v>
          </cell>
          <cell r="AJ80" t="str">
            <v>ND</v>
          </cell>
          <cell r="AK80">
            <v>0</v>
          </cell>
          <cell r="AL80" t="str">
            <v>ND</v>
          </cell>
          <cell r="AM80" t="str">
            <v>ND</v>
          </cell>
          <cell r="AN80" t="str">
            <v>ND</v>
          </cell>
          <cell r="AO80" t="str">
            <v>ND</v>
          </cell>
          <cell r="AP80">
            <v>0</v>
          </cell>
          <cell r="AQ80" t="str">
            <v>ND</v>
          </cell>
          <cell r="AR80" t="str">
            <v>ND</v>
          </cell>
          <cell r="AS80" t="str">
            <v>ND</v>
          </cell>
          <cell r="AT80" t="str">
            <v>ND</v>
          </cell>
          <cell r="AU80">
            <v>0</v>
          </cell>
          <cell r="AW80" t="str">
            <v>ND</v>
          </cell>
          <cell r="AX80" t="str">
            <v>ND</v>
          </cell>
          <cell r="AY80" t="str">
            <v>ND</v>
          </cell>
          <cell r="AZ80" t="str">
            <v>ND</v>
          </cell>
          <cell r="BA80">
            <v>0</v>
          </cell>
          <cell r="BB80" t="str">
            <v>ND</v>
          </cell>
          <cell r="BC80" t="str">
            <v>ND</v>
          </cell>
          <cell r="BD80" t="str">
            <v>ND</v>
          </cell>
          <cell r="BE80" t="str">
            <v>ND</v>
          </cell>
          <cell r="BF80">
            <v>0</v>
          </cell>
          <cell r="BG80" t="str">
            <v>ND</v>
          </cell>
          <cell r="BH80" t="str">
            <v>ND</v>
          </cell>
          <cell r="BI80" t="str">
            <v>ND</v>
          </cell>
          <cell r="BJ80" t="str">
            <v>ND</v>
          </cell>
          <cell r="BK80">
            <v>0</v>
          </cell>
          <cell r="BL80">
            <v>353105</v>
          </cell>
          <cell r="BM80">
            <v>336090</v>
          </cell>
          <cell r="BN80">
            <v>338000</v>
          </cell>
          <cell r="BO80">
            <v>344667</v>
          </cell>
          <cell r="BP80">
            <v>1371862</v>
          </cell>
          <cell r="BQ80">
            <v>363041</v>
          </cell>
          <cell r="BR80">
            <v>330424</v>
          </cell>
          <cell r="BS80">
            <v>326765</v>
          </cell>
          <cell r="BT80">
            <v>328983</v>
          </cell>
          <cell r="BU80">
            <v>1349213</v>
          </cell>
          <cell r="BV80">
            <v>354819</v>
          </cell>
          <cell r="BW80">
            <v>348824</v>
          </cell>
          <cell r="BX80">
            <v>355213</v>
          </cell>
          <cell r="BY80">
            <v>341436</v>
          </cell>
          <cell r="BZ80">
            <v>1400292</v>
          </cell>
          <cell r="CA80">
            <v>346609</v>
          </cell>
          <cell r="CB80">
            <v>348236</v>
          </cell>
          <cell r="CC80">
            <v>360940</v>
          </cell>
          <cell r="CD80">
            <v>372344</v>
          </cell>
          <cell r="CE80">
            <v>1428129</v>
          </cell>
          <cell r="CF80">
            <v>393148</v>
          </cell>
          <cell r="CG80">
            <v>378125</v>
          </cell>
          <cell r="CH80">
            <v>376539</v>
          </cell>
          <cell r="CI80">
            <v>416627</v>
          </cell>
          <cell r="CJ80">
            <v>1564439</v>
          </cell>
          <cell r="CK80">
            <v>443115</v>
          </cell>
          <cell r="CL80">
            <v>453964</v>
          </cell>
          <cell r="CM80">
            <v>455372</v>
          </cell>
          <cell r="CO80">
            <v>1352451</v>
          </cell>
        </row>
        <row r="81">
          <cell r="B81" t="str">
            <v>y/y change - as reported</v>
          </cell>
          <cell r="I81" t="str">
            <v>NM</v>
          </cell>
          <cell r="J81" t="str">
            <v>NM</v>
          </cell>
          <cell r="K81" t="str">
            <v>NM</v>
          </cell>
          <cell r="L81" t="str">
            <v>NM</v>
          </cell>
          <cell r="Q81" t="str">
            <v>NM</v>
          </cell>
          <cell r="R81" t="str">
            <v>NM</v>
          </cell>
          <cell r="S81" t="str">
            <v>NM</v>
          </cell>
          <cell r="T81" t="str">
            <v>NM</v>
          </cell>
          <cell r="U81" t="str">
            <v>NM</v>
          </cell>
          <cell r="V81" t="str">
            <v>NM</v>
          </cell>
          <cell r="W81" t="str">
            <v>NM</v>
          </cell>
          <cell r="X81" t="str">
            <v>NM</v>
          </cell>
          <cell r="Y81" t="str">
            <v>NM</v>
          </cell>
          <cell r="Z81" t="str">
            <v>NM</v>
          </cell>
          <cell r="AA81" t="str">
            <v>NM</v>
          </cell>
          <cell r="AB81" t="str">
            <v>NM</v>
          </cell>
          <cell r="AC81" t="str">
            <v>NM</v>
          </cell>
          <cell r="AD81" t="str">
            <v>NM</v>
          </cell>
          <cell r="AE81" t="str">
            <v>NM</v>
          </cell>
          <cell r="AF81" t="str">
            <v>NM</v>
          </cell>
          <cell r="AG81" t="str">
            <v>NM</v>
          </cell>
          <cell r="AH81" t="str">
            <v>NM</v>
          </cell>
          <cell r="AI81" t="str">
            <v>NM</v>
          </cell>
          <cell r="AJ81" t="str">
            <v>NM</v>
          </cell>
          <cell r="AK81" t="str">
            <v>NM</v>
          </cell>
          <cell r="AL81" t="str">
            <v>NM</v>
          </cell>
          <cell r="AM81" t="str">
            <v>NM</v>
          </cell>
          <cell r="AN81" t="str">
            <v>NM</v>
          </cell>
          <cell r="AO81" t="str">
            <v>NM</v>
          </cell>
          <cell r="AP81" t="str">
            <v>NM</v>
          </cell>
          <cell r="AQ81" t="str">
            <v>NM</v>
          </cell>
          <cell r="AR81" t="str">
            <v>NM</v>
          </cell>
          <cell r="AS81" t="str">
            <v>NM</v>
          </cell>
          <cell r="AT81" t="str">
            <v>NM</v>
          </cell>
          <cell r="AU81" t="str">
            <v>NM</v>
          </cell>
          <cell r="AW81" t="str">
            <v>NM</v>
          </cell>
          <cell r="AX81" t="str">
            <v>NM</v>
          </cell>
          <cell r="AY81" t="str">
            <v>NM</v>
          </cell>
          <cell r="AZ81" t="str">
            <v>NM</v>
          </cell>
          <cell r="BB81" t="str">
            <v>NM</v>
          </cell>
          <cell r="BC81" t="str">
            <v>NM</v>
          </cell>
          <cell r="BD81" t="str">
            <v>NM</v>
          </cell>
          <cell r="BE81" t="str">
            <v>NM</v>
          </cell>
          <cell r="BF81" t="str">
            <v>NM</v>
          </cell>
          <cell r="BG81" t="str">
            <v>NM</v>
          </cell>
          <cell r="BH81" t="str">
            <v>NM</v>
          </cell>
          <cell r="BI81" t="str">
            <v>NM</v>
          </cell>
          <cell r="BJ81" t="str">
            <v>NM</v>
          </cell>
          <cell r="BK81" t="str">
            <v>NM</v>
          </cell>
          <cell r="BL81" t="str">
            <v>NM</v>
          </cell>
          <cell r="BM81" t="str">
            <v>NM</v>
          </cell>
          <cell r="BN81" t="str">
            <v>NM</v>
          </cell>
          <cell r="BO81" t="str">
            <v>NM</v>
          </cell>
          <cell r="BP81" t="str">
            <v>NM</v>
          </cell>
          <cell r="BQ81">
            <v>2.8138938842553918E-2</v>
          </cell>
          <cell r="BR81">
            <v>-1.6858579547145092E-2</v>
          </cell>
          <cell r="BS81">
            <v>-3.3239644970414206E-2</v>
          </cell>
          <cell r="BT81">
            <v>-4.5504791581439497E-2</v>
          </cell>
          <cell r="BU81">
            <v>-1.6509678087154533E-2</v>
          </cell>
          <cell r="BV81">
            <v>-2.2647579749945579E-2</v>
          </cell>
          <cell r="BW81">
            <v>5.56860276493234E-2</v>
          </cell>
          <cell r="BX81">
            <v>8.7059507597202934E-2</v>
          </cell>
          <cell r="BY81">
            <v>3.7853019760899498E-2</v>
          </cell>
          <cell r="BZ81">
            <v>3.7858366321700032E-2</v>
          </cell>
          <cell r="CA81">
            <v>-2.3138557968992668E-2</v>
          </cell>
          <cell r="CB81">
            <v>-1.6856638304704186E-3</v>
          </cell>
          <cell r="CC81">
            <v>1.6122720733756868E-2</v>
          </cell>
          <cell r="CD81">
            <v>9.0523553462435125E-2</v>
          </cell>
          <cell r="CE81">
            <v>1.9879425148469076E-2</v>
          </cell>
          <cell r="CF81">
            <v>0.13426945059130024</v>
          </cell>
          <cell r="CG81">
            <v>8.5829724669477026E-2</v>
          </cell>
          <cell r="CH81">
            <v>4.3217709314567587E-2</v>
          </cell>
          <cell r="CI81">
            <v>0.11893034398298341</v>
          </cell>
          <cell r="CJ81">
            <v>9.5446559799569952E-2</v>
          </cell>
          <cell r="CK81">
            <v>0.127094631029536</v>
          </cell>
          <cell r="CL81">
            <v>0.20056595041322312</v>
          </cell>
          <cell r="CM81">
            <v>0.20936211122885018</v>
          </cell>
          <cell r="CO81">
            <v>-0.13550416475170968</v>
          </cell>
        </row>
        <row r="83">
          <cell r="B83" t="str">
            <v>Utilization and Other Metrics</v>
          </cell>
        </row>
        <row r="84">
          <cell r="B84" t="str">
            <v>Patient Days</v>
          </cell>
          <cell r="F84">
            <v>290026</v>
          </cell>
          <cell r="G84">
            <v>284168</v>
          </cell>
          <cell r="H84">
            <v>317636</v>
          </cell>
          <cell r="I84">
            <v>340485</v>
          </cell>
          <cell r="J84">
            <v>419488</v>
          </cell>
          <cell r="K84">
            <v>494977</v>
          </cell>
          <cell r="L84">
            <v>615248</v>
          </cell>
          <cell r="M84">
            <v>161915</v>
          </cell>
          <cell r="N84">
            <v>188740</v>
          </cell>
          <cell r="O84">
            <v>181338</v>
          </cell>
          <cell r="P84">
            <v>186042</v>
          </cell>
          <cell r="Q84">
            <v>718035</v>
          </cell>
          <cell r="R84">
            <v>194260</v>
          </cell>
          <cell r="S84">
            <v>213763</v>
          </cell>
          <cell r="T84">
            <v>187273</v>
          </cell>
          <cell r="U84">
            <v>196321</v>
          </cell>
          <cell r="V84">
            <v>791617</v>
          </cell>
          <cell r="W84">
            <v>209431</v>
          </cell>
          <cell r="X84">
            <v>238835</v>
          </cell>
          <cell r="Y84">
            <v>216296</v>
          </cell>
          <cell r="Z84">
            <v>216062</v>
          </cell>
          <cell r="AA84">
            <v>880624</v>
          </cell>
          <cell r="AB84">
            <v>223702</v>
          </cell>
          <cell r="AC84">
            <v>269317</v>
          </cell>
          <cell r="AD84">
            <v>253049</v>
          </cell>
          <cell r="AE84">
            <v>254412</v>
          </cell>
          <cell r="AF84">
            <v>1000480</v>
          </cell>
          <cell r="AG84">
            <v>262347</v>
          </cell>
          <cell r="AH84">
            <v>286523</v>
          </cell>
          <cell r="AI84">
            <v>264548</v>
          </cell>
          <cell r="AJ84">
            <v>266447</v>
          </cell>
          <cell r="AK84">
            <v>1079865</v>
          </cell>
          <cell r="AL84">
            <v>317652</v>
          </cell>
          <cell r="AM84">
            <v>353030</v>
          </cell>
          <cell r="AN84">
            <v>312639</v>
          </cell>
          <cell r="AO84">
            <v>305140</v>
          </cell>
          <cell r="AP84">
            <v>1288461</v>
          </cell>
          <cell r="AQ84">
            <v>317707</v>
          </cell>
          <cell r="AR84">
            <v>370535</v>
          </cell>
          <cell r="AS84">
            <v>345231</v>
          </cell>
          <cell r="AT84">
            <v>325395</v>
          </cell>
          <cell r="AU84">
            <v>1358868</v>
          </cell>
          <cell r="AW84">
            <v>353030</v>
          </cell>
          <cell r="AX84">
            <v>312639</v>
          </cell>
          <cell r="AY84">
            <v>305140</v>
          </cell>
          <cell r="AZ84">
            <v>317707</v>
          </cell>
          <cell r="BA84">
            <v>1288516</v>
          </cell>
          <cell r="BB84">
            <v>370535</v>
          </cell>
          <cell r="BC84">
            <v>345231</v>
          </cell>
          <cell r="BD84">
            <v>325395</v>
          </cell>
          <cell r="BE84">
            <v>333940</v>
          </cell>
          <cell r="BF84">
            <v>1375101</v>
          </cell>
          <cell r="BG84">
            <v>382497</v>
          </cell>
          <cell r="BH84">
            <v>347238</v>
          </cell>
          <cell r="BI84">
            <v>322423</v>
          </cell>
          <cell r="BJ84">
            <v>333857</v>
          </cell>
          <cell r="BK84">
            <v>1386015</v>
          </cell>
          <cell r="BL84">
            <v>367374</v>
          </cell>
          <cell r="BM84">
            <v>331970</v>
          </cell>
          <cell r="BN84">
            <v>319857</v>
          </cell>
          <cell r="BO84">
            <v>323215</v>
          </cell>
          <cell r="BP84">
            <v>1342416</v>
          </cell>
          <cell r="BQ84">
            <v>369659</v>
          </cell>
          <cell r="BR84">
            <v>317431</v>
          </cell>
          <cell r="BS84">
            <v>303622</v>
          </cell>
          <cell r="BT84">
            <v>323897</v>
          </cell>
          <cell r="BU84">
            <v>1314609</v>
          </cell>
          <cell r="BV84">
            <v>356813</v>
          </cell>
          <cell r="BW84">
            <v>325577</v>
          </cell>
          <cell r="BX84">
            <v>306871</v>
          </cell>
          <cell r="BY84">
            <v>325249</v>
          </cell>
          <cell r="BZ84">
            <v>1314510</v>
          </cell>
          <cell r="CA84">
            <v>366900</v>
          </cell>
          <cell r="CB84">
            <v>331709</v>
          </cell>
          <cell r="CC84">
            <v>323925</v>
          </cell>
          <cell r="CD84">
            <v>343374</v>
          </cell>
          <cell r="CE84">
            <v>1365908</v>
          </cell>
          <cell r="CF84">
            <v>381195</v>
          </cell>
          <cell r="CG84">
            <v>343107</v>
          </cell>
          <cell r="CH84">
            <v>335934</v>
          </cell>
          <cell r="CI84">
            <v>364916</v>
          </cell>
          <cell r="CJ84">
            <v>1425152</v>
          </cell>
          <cell r="CK84">
            <v>401105</v>
          </cell>
          <cell r="CL84">
            <v>361924</v>
          </cell>
          <cell r="CM84">
            <v>357613</v>
          </cell>
          <cell r="CN84">
            <v>361644.37765746028</v>
          </cell>
          <cell r="CO84">
            <v>1482286.3776574603</v>
          </cell>
          <cell r="CP84">
            <v>398501.44325361529</v>
          </cell>
          <cell r="CQ84">
            <v>354823.28581774893</v>
          </cell>
          <cell r="CR84">
            <v>351172.21730293654</v>
          </cell>
          <cell r="CS84">
            <v>355089.321075738</v>
          </cell>
          <cell r="CT84">
            <v>1459586.2674500388</v>
          </cell>
          <cell r="CU84">
            <v>402196.82774222002</v>
          </cell>
          <cell r="CV84">
            <v>358839.97299191233</v>
          </cell>
          <cell r="CW84">
            <v>355281.48714927386</v>
          </cell>
          <cell r="CX84">
            <v>358423.54053098697</v>
          </cell>
          <cell r="CY84">
            <v>1474741.8284143931</v>
          </cell>
          <cell r="CZ84">
            <v>408840.52735738928</v>
          </cell>
          <cell r="DA84">
            <v>364815.03531407955</v>
          </cell>
          <cell r="DB84">
            <v>361236.19158620993</v>
          </cell>
          <cell r="DC84">
            <v>364343.61643558595</v>
          </cell>
          <cell r="DD84">
            <v>1499235.3706932648</v>
          </cell>
          <cell r="DE84">
            <v>416030.57562995306</v>
          </cell>
          <cell r="DF84">
            <v>370568.18003995466</v>
          </cell>
          <cell r="DG84">
            <v>366958.50014538557</v>
          </cell>
          <cell r="DH84">
            <v>369342.12987271475</v>
          </cell>
          <cell r="DI84">
            <v>1522899.3856880078</v>
          </cell>
        </row>
        <row r="85">
          <cell r="B85" t="str">
            <v>y/y % change - as reported</v>
          </cell>
          <cell r="G85">
            <v>-2.0198189127871302E-2</v>
          </cell>
          <cell r="H85">
            <v>0.11777540046732926</v>
          </cell>
          <cell r="I85">
            <v>7.1934541424775622E-2</v>
          </cell>
          <cell r="J85">
            <v>0.23203077962318464</v>
          </cell>
          <cell r="K85">
            <v>0.17995508810740724</v>
          </cell>
          <cell r="L85">
            <v>0.24298300729124778</v>
          </cell>
          <cell r="Q85">
            <v>0.16706596364392889</v>
          </cell>
          <cell r="R85">
            <v>0.19976530895840416</v>
          </cell>
          <cell r="S85">
            <v>0.13257920949454283</v>
          </cell>
          <cell r="T85">
            <v>3.2728937122941781E-2</v>
          </cell>
          <cell r="U85">
            <v>5.5250964835897198E-2</v>
          </cell>
          <cell r="V85">
            <v>0.10247689875841703</v>
          </cell>
          <cell r="W85">
            <v>7.8096365695459635E-2</v>
          </cell>
          <cell r="X85">
            <v>0.1172887730804677</v>
          </cell>
          <cell r="Y85">
            <v>0.15497695877141937</v>
          </cell>
          <cell r="Z85">
            <v>0.10055470377595865</v>
          </cell>
          <cell r="AA85">
            <v>0.11243694867593801</v>
          </cell>
          <cell r="AB85">
            <v>6.8141774617893169E-2</v>
          </cell>
          <cell r="AC85">
            <v>0.12762786023823969</v>
          </cell>
          <cell r="AD85">
            <v>0.16991992454784177</v>
          </cell>
          <cell r="AE85">
            <v>0.17749534855735849</v>
          </cell>
          <cell r="AF85">
            <v>0.13610349025236657</v>
          </cell>
          <cell r="AG85">
            <v>0.17275214347658929</v>
          </cell>
          <cell r="AH85">
            <v>6.3887537734342859E-2</v>
          </cell>
          <cell r="AI85">
            <v>4.5441791905915352E-2</v>
          </cell>
          <cell r="AJ85">
            <v>4.7305158561703031E-2</v>
          </cell>
          <cell r="AK85">
            <v>7.934691348152878E-2</v>
          </cell>
          <cell r="AL85">
            <v>0.21080858557559257</v>
          </cell>
          <cell r="AM85">
            <v>0.23211749144047777</v>
          </cell>
          <cell r="AN85">
            <v>0.1817855360841889</v>
          </cell>
          <cell r="AO85">
            <v>0.14521837363528212</v>
          </cell>
          <cell r="AP85">
            <v>0.19316859051825919</v>
          </cell>
          <cell r="AQ85">
            <v>1.73145454774426E-4</v>
          </cell>
          <cell r="AR85">
            <v>4.9585021103022431E-2</v>
          </cell>
          <cell r="AS85">
            <v>0.10424803047604425</v>
          </cell>
          <cell r="AT85">
            <v>6.6379366848004162E-2</v>
          </cell>
          <cell r="AU85">
            <v>5.46442616423779E-2</v>
          </cell>
          <cell r="AW85">
            <v>0.23211749144047777</v>
          </cell>
          <cell r="AX85">
            <v>0.1817855360841889</v>
          </cell>
          <cell r="AY85">
            <v>0.14521837363528212</v>
          </cell>
          <cell r="AZ85">
            <v>1.73145454774426E-4</v>
          </cell>
          <cell r="BB85">
            <v>4.9585021103022431E-2</v>
          </cell>
          <cell r="BC85">
            <v>0.10424803047604425</v>
          </cell>
          <cell r="BD85">
            <v>6.6379366848004162E-2</v>
          </cell>
          <cell r="BE85">
            <v>5.1094247215201394E-2</v>
          </cell>
          <cell r="BF85">
            <v>6.7197458161171397E-2</v>
          </cell>
          <cell r="BG85">
            <v>3.2283050184193085E-2</v>
          </cell>
          <cell r="BH85">
            <v>5.8134987877682676E-3</v>
          </cell>
          <cell r="BI85">
            <v>-9.1335146514236465E-3</v>
          </cell>
          <cell r="BJ85">
            <v>-2.4854764328918755E-4</v>
          </cell>
          <cell r="BK85">
            <v>7.9368715461627382E-3</v>
          </cell>
          <cell r="BL85">
            <v>-3.9537565000509756E-2</v>
          </cell>
          <cell r="BM85">
            <v>-4.3969842010379012E-2</v>
          </cell>
          <cell r="BN85">
            <v>-7.958489313727668E-3</v>
          </cell>
          <cell r="BO85">
            <v>-3.1875922925084677E-2</v>
          </cell>
          <cell r="BP85">
            <v>-3.1456369519810345E-2</v>
          </cell>
          <cell r="BQ85">
            <v>6.2198195844016535E-3</v>
          </cell>
          <cell r="BR85">
            <v>-4.3796126155977944E-2</v>
          </cell>
          <cell r="BS85">
            <v>-5.0757057059873656E-2</v>
          </cell>
          <cell r="BT85">
            <v>2.110050585523604E-3</v>
          </cell>
          <cell r="BU85">
            <v>-2.0714145242607396E-2</v>
          </cell>
          <cell r="BV85">
            <v>-3.4750946142255379E-2</v>
          </cell>
          <cell r="BW85">
            <v>2.5662269910626145E-2</v>
          </cell>
          <cell r="BX85">
            <v>1.0700805606971731E-2</v>
          </cell>
          <cell r="BY85">
            <v>4.1741664788497168E-3</v>
          </cell>
          <cell r="BZ85">
            <v>-7.5307562933168981E-5</v>
          </cell>
          <cell r="CA85">
            <v>2.8269709904067408E-2</v>
          </cell>
          <cell r="CB85">
            <v>1.8834254262432459E-2</v>
          </cell>
          <cell r="CC85">
            <v>5.5573840473684299E-2</v>
          </cell>
          <cell r="CD85">
            <v>5.5726535669594623E-2</v>
          </cell>
          <cell r="CE85">
            <v>3.9100501327490766E-2</v>
          </cell>
          <cell r="CF85">
            <v>3.896156991005717E-2</v>
          </cell>
          <cell r="CG85">
            <v>3.4361443313265516E-2</v>
          </cell>
          <cell r="CH85">
            <v>3.7073396619587973E-2</v>
          </cell>
          <cell r="CI85">
            <v>6.2736258423759406E-2</v>
          </cell>
          <cell r="CJ85">
            <v>4.3373345789028184E-2</v>
          </cell>
          <cell r="CK85">
            <v>5.2230485709413799E-2</v>
          </cell>
          <cell r="CL85">
            <v>5.4842949866951152E-2</v>
          </cell>
          <cell r="CM85">
            <v>6.4533509558425184E-2</v>
          </cell>
          <cell r="CN85">
            <v>-8.9654121566051792E-3</v>
          </cell>
          <cell r="CO85">
            <v>4.009002384128868E-2</v>
          </cell>
          <cell r="CP85">
            <v>-6.4909605873392229E-3</v>
          </cell>
          <cell r="CQ85">
            <v>-1.9619351527533579E-2</v>
          </cell>
          <cell r="CR85">
            <v>-1.8010482552545559E-2</v>
          </cell>
          <cell r="CS85">
            <v>-1.8125697471594759E-2</v>
          </cell>
          <cell r="CT85">
            <v>-1.5314254080440071E-2</v>
          </cell>
          <cell r="CU85">
            <v>9.2732022710715345E-3</v>
          </cell>
          <cell r="CV85">
            <v>1.1320246823447011E-2</v>
          </cell>
          <cell r="CW85">
            <v>1.1701580147476465E-2</v>
          </cell>
          <cell r="CX85">
            <v>9.389804923302103E-3</v>
          </cell>
          <cell r="CY85">
            <v>1.0383463658391268E-2</v>
          </cell>
          <cell r="CZ85">
            <v>1.6518528135750055E-2</v>
          </cell>
          <cell r="DA85">
            <v>1.665104997179867E-2</v>
          </cell>
          <cell r="DB85">
            <v>1.676052553347418E-2</v>
          </cell>
          <cell r="DC85">
            <v>1.6516984056986539E-2</v>
          </cell>
          <cell r="DD85">
            <v>1.6608698422290402E-2</v>
          </cell>
          <cell r="DE85">
            <v>1.758643723272213E-2</v>
          </cell>
          <cell r="DF85">
            <v>1.577003184893977E-2</v>
          </cell>
          <cell r="DG85">
            <v>1.5840906012347888E-2</v>
          </cell>
          <cell r="DH85">
            <v>1.3719228803923622E-2</v>
          </cell>
          <cell r="DI85">
            <v>1.5784055964341626E-2</v>
          </cell>
        </row>
        <row r="87">
          <cell r="B87" t="str">
            <v>Adjusted Patient Days</v>
          </cell>
          <cell r="I87" t="str">
            <v>NM</v>
          </cell>
          <cell r="J87" t="str">
            <v>NM</v>
          </cell>
          <cell r="K87" t="str">
            <v>NM</v>
          </cell>
          <cell r="L87" t="str">
            <v>NM</v>
          </cell>
          <cell r="M87" t="str">
            <v>NM</v>
          </cell>
          <cell r="N87" t="str">
            <v>NM</v>
          </cell>
          <cell r="O87" t="str">
            <v>NM</v>
          </cell>
          <cell r="P87" t="str">
            <v>NM</v>
          </cell>
          <cell r="Q87">
            <v>0</v>
          </cell>
          <cell r="R87">
            <v>297984.2636930141</v>
          </cell>
          <cell r="S87">
            <v>321843.3951205833</v>
          </cell>
          <cell r="T87">
            <v>296532.91849861795</v>
          </cell>
          <cell r="U87">
            <v>291151.76150556444</v>
          </cell>
          <cell r="V87">
            <v>1207512.3388177799</v>
          </cell>
          <cell r="W87">
            <v>322378.6954375098</v>
          </cell>
          <cell r="X87">
            <v>360062.4702957446</v>
          </cell>
          <cell r="Y87">
            <v>339000.39993059769</v>
          </cell>
          <cell r="Z87">
            <v>348858.17030096293</v>
          </cell>
          <cell r="AA87">
            <v>1370299.7359648149</v>
          </cell>
          <cell r="AB87">
            <v>358546.95479400596</v>
          </cell>
          <cell r="AC87">
            <v>419828.91205673758</v>
          </cell>
          <cell r="AD87">
            <v>405326.15153453854</v>
          </cell>
          <cell r="AE87">
            <v>408175.31845038035</v>
          </cell>
          <cell r="AF87">
            <v>1591877.3368356624</v>
          </cell>
          <cell r="AG87">
            <v>413251.72356167214</v>
          </cell>
          <cell r="AH87">
            <v>446064.8540373685</v>
          </cell>
          <cell r="AI87">
            <v>424575.06975111453</v>
          </cell>
          <cell r="AJ87">
            <v>430341.04651633807</v>
          </cell>
          <cell r="AK87">
            <v>1714232.6938664934</v>
          </cell>
          <cell r="AL87">
            <v>506751.52675026422</v>
          </cell>
          <cell r="AM87">
            <v>561143.02080050425</v>
          </cell>
          <cell r="AN87">
            <v>516982.15960649314</v>
          </cell>
          <cell r="AO87">
            <v>507193.53593000857</v>
          </cell>
          <cell r="AP87">
            <v>2092070.2430872703</v>
          </cell>
          <cell r="AQ87">
            <v>520959.9943470413</v>
          </cell>
          <cell r="AR87">
            <v>597068.81040983205</v>
          </cell>
          <cell r="AS87">
            <v>577942.33321189729</v>
          </cell>
          <cell r="AT87">
            <v>553106.71276293159</v>
          </cell>
          <cell r="AU87">
            <v>2249077.8507317025</v>
          </cell>
          <cell r="AW87">
            <v>561143.02080050425</v>
          </cell>
          <cell r="AX87">
            <v>516982.15960649314</v>
          </cell>
          <cell r="AY87">
            <v>507193.53593000857</v>
          </cell>
          <cell r="AZ87">
            <v>520959.9943470413</v>
          </cell>
          <cell r="BA87">
            <v>2106278.7106840475</v>
          </cell>
          <cell r="BB87">
            <v>597068.81040983205</v>
          </cell>
          <cell r="BC87">
            <v>577942.33321189729</v>
          </cell>
          <cell r="BD87">
            <v>553106.71276293159</v>
          </cell>
          <cell r="BE87">
            <v>556348.72284693737</v>
          </cell>
          <cell r="BF87">
            <v>2284466.5792315984</v>
          </cell>
          <cell r="BG87">
            <v>634869.56322601275</v>
          </cell>
          <cell r="BH87">
            <v>598067.612702796</v>
          </cell>
          <cell r="BI87">
            <v>548384.10520547943</v>
          </cell>
          <cell r="BJ87">
            <v>563516.96816380112</v>
          </cell>
          <cell r="BK87">
            <v>2344838.2492980892</v>
          </cell>
          <cell r="BL87">
            <v>611492.34016729542</v>
          </cell>
          <cell r="BM87">
            <v>585962.5384429493</v>
          </cell>
          <cell r="BN87">
            <v>556633.38907738053</v>
          </cell>
          <cell r="BO87">
            <v>562135.88151836046</v>
          </cell>
          <cell r="BP87">
            <v>2316224.1492059855</v>
          </cell>
          <cell r="BQ87">
            <v>620842.71302557713</v>
          </cell>
          <cell r="BR87">
            <v>558012.63828259427</v>
          </cell>
          <cell r="BS87">
            <v>541329.59496466431</v>
          </cell>
          <cell r="BT87">
            <v>562510.96634100471</v>
          </cell>
          <cell r="BU87">
            <v>2282695.9126138403</v>
          </cell>
          <cell r="BV87">
            <v>602024.82740130275</v>
          </cell>
          <cell r="BW87">
            <v>569910.82981438516</v>
          </cell>
          <cell r="BX87">
            <v>553314.35095473367</v>
          </cell>
          <cell r="BY87">
            <v>574716.42542027647</v>
          </cell>
          <cell r="BZ87">
            <v>2299966.4335906981</v>
          </cell>
          <cell r="CA87">
            <v>639227.17063241382</v>
          </cell>
          <cell r="CB87">
            <v>603728.14953189145</v>
          </cell>
          <cell r="CC87">
            <v>603589.95271491481</v>
          </cell>
          <cell r="CD87">
            <v>629808.9978282901</v>
          </cell>
          <cell r="CE87">
            <v>2476354.2707075104</v>
          </cell>
          <cell r="CF87">
            <v>688846.11333099403</v>
          </cell>
          <cell r="CG87">
            <v>646742.22768194368</v>
          </cell>
          <cell r="CH87">
            <v>639991.59324906953</v>
          </cell>
          <cell r="CI87">
            <v>699012.64802445378</v>
          </cell>
          <cell r="CJ87">
            <v>2674592.5822864613</v>
          </cell>
          <cell r="CK87">
            <v>763803.95355437044</v>
          </cell>
          <cell r="CL87">
            <v>720750.58988978446</v>
          </cell>
          <cell r="CM87">
            <v>722817.00129863992</v>
          </cell>
          <cell r="CN87">
            <v>726222.14649468311</v>
          </cell>
          <cell r="CO87">
            <v>2933593.6912374776</v>
          </cell>
          <cell r="CP87">
            <v>774412.18217560579</v>
          </cell>
          <cell r="CQ87">
            <v>723264.71399058343</v>
          </cell>
          <cell r="CR87">
            <v>724189.58494870691</v>
          </cell>
          <cell r="CS87">
            <v>740675.46573773737</v>
          </cell>
          <cell r="CT87">
            <v>2962541.9468526333</v>
          </cell>
          <cell r="CU87">
            <v>795630.61873223365</v>
          </cell>
          <cell r="CV87">
            <v>745040.30852356018</v>
          </cell>
          <cell r="CW87">
            <v>746357.17611682415</v>
          </cell>
          <cell r="CX87">
            <v>761720.12479645119</v>
          </cell>
          <cell r="CY87">
            <v>3048748.2281690692</v>
          </cell>
          <cell r="CZ87">
            <v>821867.96427149605</v>
          </cell>
          <cell r="DA87">
            <v>770121.97229538008</v>
          </cell>
          <cell r="DB87">
            <v>771641.11608217738</v>
          </cell>
          <cell r="DC87">
            <v>787382.1000223991</v>
          </cell>
          <cell r="DD87">
            <v>3151013.1526714526</v>
          </cell>
          <cell r="DE87">
            <v>849911.29141673236</v>
          </cell>
          <cell r="DF87">
            <v>795418.79839642986</v>
          </cell>
          <cell r="DG87">
            <v>797123.77924996126</v>
          </cell>
          <cell r="DH87">
            <v>811827.08622108935</v>
          </cell>
          <cell r="DI87">
            <v>3254280.9552842127</v>
          </cell>
        </row>
        <row r="88">
          <cell r="B88" t="str">
            <v>y/y % change - as reported</v>
          </cell>
          <cell r="I88" t="str">
            <v>NM</v>
          </cell>
          <cell r="J88" t="str">
            <v>NM</v>
          </cell>
          <cell r="K88" t="str">
            <v>NM</v>
          </cell>
          <cell r="L88" t="str">
            <v>NM</v>
          </cell>
          <cell r="Q88" t="str">
            <v>NM</v>
          </cell>
          <cell r="R88" t="str">
            <v>NM</v>
          </cell>
          <cell r="S88" t="str">
            <v>NM</v>
          </cell>
          <cell r="T88" t="str">
            <v>NM</v>
          </cell>
          <cell r="U88" t="str">
            <v>NM</v>
          </cell>
          <cell r="V88" t="str">
            <v>NM</v>
          </cell>
          <cell r="W88">
            <v>8.1864832196733239E-2</v>
          </cell>
          <cell r="X88">
            <v>0.11875053443567474</v>
          </cell>
          <cell r="Y88">
            <v>0.14321337963757186</v>
          </cell>
          <cell r="Z88">
            <v>0.19820044535191861</v>
          </cell>
          <cell r="AA88">
            <v>0.13481220184169107</v>
          </cell>
          <cell r="AB88">
            <v>0.11219184105020075</v>
          </cell>
          <cell r="AC88">
            <v>0.16598908992626371</v>
          </cell>
          <cell r="AD88">
            <v>0.19565095385586417</v>
          </cell>
          <cell r="AE88">
            <v>0.17003227442901503</v>
          </cell>
          <cell r="AF88">
            <v>0.16170009747162117</v>
          </cell>
          <cell r="AG88">
            <v>0.15257351383473727</v>
          </cell>
          <cell r="AH88">
            <v>6.2491984775658427E-2</v>
          </cell>
          <cell r="AI88">
            <v>4.748994888116842E-2</v>
          </cell>
          <cell r="AJ88">
            <v>5.4304430140727167E-2</v>
          </cell>
          <cell r="AK88">
            <v>7.6862302263847271E-2</v>
          </cell>
          <cell r="AL88">
            <v>0.22625387350535409</v>
          </cell>
          <cell r="AM88">
            <v>0.25798528111227359</v>
          </cell>
          <cell r="AN88">
            <v>0.21764605705546392</v>
          </cell>
          <cell r="AO88">
            <v>0.17858507812768631</v>
          </cell>
          <cell r="AP88">
            <v>0.22041205407683306</v>
          </cell>
          <cell r="AQ88">
            <v>2.8038332095206897E-2</v>
          </cell>
          <cell r="AR88">
            <v>6.4022518818958929E-2</v>
          </cell>
          <cell r="AS88">
            <v>0.11791542990923465</v>
          </cell>
          <cell r="AT88">
            <v>9.0523978679529105E-2</v>
          </cell>
          <cell r="AU88">
            <v>7.5048917770913715E-2</v>
          </cell>
          <cell r="AW88">
            <v>0.25798528111227359</v>
          </cell>
          <cell r="AX88">
            <v>0.21764605705546392</v>
          </cell>
          <cell r="AY88">
            <v>0.17858507812768631</v>
          </cell>
          <cell r="AZ88">
            <v>2.8038332095206897E-2</v>
          </cell>
          <cell r="BB88">
            <v>6.4022518818958929E-2</v>
          </cell>
          <cell r="BC88">
            <v>0.11791542990923465</v>
          </cell>
          <cell r="BD88">
            <v>9.0523978679529105E-2</v>
          </cell>
          <cell r="BE88">
            <v>6.792983892026383E-2</v>
          </cell>
          <cell r="BF88">
            <v>8.4598428329402564E-2</v>
          </cell>
          <cell r="BG88">
            <v>6.3310546719454353E-2</v>
          </cell>
          <cell r="BH88">
            <v>3.4822296852789814E-2</v>
          </cell>
          <cell r="BI88">
            <v>-8.5383298529525531E-3</v>
          </cell>
          <cell r="BJ88">
            <v>1.2884446431695729E-2</v>
          </cell>
          <cell r="BK88">
            <v>2.6427031419648639E-2</v>
          </cell>
          <cell r="BL88">
            <v>-3.6822088209629733E-2</v>
          </cell>
          <cell r="BM88">
            <v>-2.024031063167131E-2</v>
          </cell>
          <cell r="BN88">
            <v>1.5042893828606019E-2</v>
          </cell>
          <cell r="BO88">
            <v>-2.4508341779678755E-3</v>
          </cell>
          <cell r="BP88">
            <v>-1.2203016604948824E-2</v>
          </cell>
          <cell r="BQ88">
            <v>1.5291071112556454E-2</v>
          </cell>
          <cell r="BR88">
            <v>-4.7699124648181379E-2</v>
          </cell>
          <cell r="BS88">
            <v>-2.7493489275018601E-2</v>
          </cell>
          <cell r="BT88">
            <v>6.6724938751661078E-4</v>
          </cell>
          <cell r="BU88">
            <v>-1.4475385123516094E-2</v>
          </cell>
          <cell r="BV88">
            <v>-3.0310230319960496E-2</v>
          </cell>
          <cell r="BW88">
            <v>2.1322440954760769E-2</v>
          </cell>
          <cell r="BX88">
            <v>2.2139480459869798E-2</v>
          </cell>
          <cell r="BY88">
            <v>2.1698170897298752E-2</v>
          </cell>
          <cell r="BZ88">
            <v>7.5658439135162237E-3</v>
          </cell>
          <cell r="CA88">
            <v>6.1795363808663017E-2</v>
          </cell>
          <cell r="CB88">
            <v>5.9337913842627543E-2</v>
          </cell>
          <cell r="CC88">
            <v>9.0862638341896451E-2</v>
          </cell>
          <cell r="CD88">
            <v>9.5860445206043643E-2</v>
          </cell>
          <cell r="CE88">
            <v>7.6691483206316358E-2</v>
          </cell>
          <cell r="CF88">
            <v>7.7623331701451637E-2</v>
          </cell>
          <cell r="CG88">
            <v>7.1247428471579166E-2</v>
          </cell>
          <cell r="CH88">
            <v>6.0308559429165687E-2</v>
          </cell>
          <cell r="CI88">
            <v>0.1098803771219401</v>
          </cell>
          <cell r="CJ88">
            <v>8.0052484381531119E-2</v>
          </cell>
          <cell r="CK88">
            <v>0.10881652487071336</v>
          </cell>
          <cell r="CL88">
            <v>0.11443254984772189</v>
          </cell>
          <cell r="CM88">
            <v>0.12941640003283084</v>
          </cell>
          <cell r="CN88">
            <v>3.8925616792669926E-2</v>
          </cell>
          <cell r="CO88">
            <v>9.6837593383886977E-2</v>
          </cell>
          <cell r="CP88">
            <v>1.3888679905190049E-2</v>
          </cell>
          <cell r="CQ88">
            <v>3.4882026266305211E-3</v>
          </cell>
          <cell r="CR88">
            <v>1.8989365878236963E-3</v>
          </cell>
          <cell r="CS88">
            <v>1.9902063456501917E-2</v>
          </cell>
          <cell r="CT88">
            <v>9.867847651030548E-3</v>
          </cell>
          <cell r="CU88">
            <v>2.7399409571550848E-2</v>
          </cell>
          <cell r="CV88">
            <v>3.0107364719662355E-2</v>
          </cell>
          <cell r="CW88">
            <v>3.0610204328866963E-2</v>
          </cell>
          <cell r="CX88">
            <v>2.8412793500258049E-2</v>
          </cell>
          <cell r="CY88">
            <v>2.9098754671818439E-2</v>
          </cell>
          <cell r="CZ88">
            <v>3.2976792146422573E-2</v>
          </cell>
          <cell r="DA88">
            <v>3.3664841331234818E-2</v>
          </cell>
          <cell r="DB88">
            <v>3.387646126336108E-2</v>
          </cell>
          <cell r="DC88">
            <v>3.3689506671240155E-2</v>
          </cell>
          <cell r="DD88">
            <v>3.3543250163297067E-2</v>
          </cell>
          <cell r="DE88">
            <v>3.4121450603192605E-2</v>
          </cell>
          <cell r="DF88">
            <v>3.2847817632902343E-2</v>
          </cell>
          <cell r="DG88">
            <v>3.3023983088363629E-2</v>
          </cell>
          <cell r="DH88">
            <v>3.1045900329706333E-2</v>
          </cell>
          <cell r="DI88">
            <v>3.2772888467700989E-2</v>
          </cell>
        </row>
        <row r="90">
          <cell r="B90" t="str">
            <v xml:space="preserve">Average Length of Stay </v>
          </cell>
          <cell r="F90">
            <v>6.2029686029600475</v>
          </cell>
          <cell r="G90">
            <v>5.8200139270061033</v>
          </cell>
          <cell r="H90">
            <v>5.6735911404840582</v>
          </cell>
          <cell r="I90">
            <v>5.3427011250764957</v>
          </cell>
          <cell r="J90">
            <v>5.0723449535072129</v>
          </cell>
          <cell r="K90">
            <v>4.9164853938834092</v>
          </cell>
          <cell r="L90">
            <v>4.973187943061764</v>
          </cell>
          <cell r="M90">
            <v>4.8871147867556068</v>
          </cell>
          <cell r="N90">
            <v>5.0554454384743126</v>
          </cell>
          <cell r="O90">
            <v>5.0626203969960075</v>
          </cell>
          <cell r="P90">
            <v>4.9103146114864868</v>
          </cell>
          <cell r="Q90">
            <v>4.9788738084281032</v>
          </cell>
          <cell r="R90">
            <v>4.9009763604712768</v>
          </cell>
          <cell r="S90">
            <v>4.9953963357636946</v>
          </cell>
          <cell r="T90">
            <v>4.8377205445480609</v>
          </cell>
          <cell r="U90">
            <v>4.7703989891626577</v>
          </cell>
          <cell r="V90">
            <v>4.8761230574864225</v>
          </cell>
          <cell r="W90">
            <v>4.7000830359747754</v>
          </cell>
          <cell r="X90">
            <v>4.7693551930027756</v>
          </cell>
          <cell r="Y90">
            <v>4.6910731326450943</v>
          </cell>
          <cell r="Z90">
            <v>4.6647523640917141</v>
          </cell>
          <cell r="AA90">
            <v>4.7063159314285903</v>
          </cell>
          <cell r="AB90">
            <v>4.6688233084275996</v>
          </cell>
          <cell r="AC90">
            <v>4.7161719639261008</v>
          </cell>
          <cell r="AD90">
            <v>4.6255323815965053</v>
          </cell>
          <cell r="AE90">
            <v>4.500477622501327</v>
          </cell>
          <cell r="AF90">
            <v>4.6277513191128836</v>
          </cell>
          <cell r="AG90">
            <v>4.5244722682119205</v>
          </cell>
          <cell r="AH90">
            <v>4.6796073691775009</v>
          </cell>
          <cell r="AI90">
            <v>4.643310983957595</v>
          </cell>
          <cell r="AJ90">
            <v>4.4971475830407774</v>
          </cell>
          <cell r="AK90">
            <v>4.5861345510969489</v>
          </cell>
          <cell r="AL90">
            <v>4.5367191293667339</v>
          </cell>
          <cell r="AM90">
            <v>4.6358598592289102</v>
          </cell>
          <cell r="AN90">
            <v>4.5031327869560833</v>
          </cell>
          <cell r="AO90">
            <v>4.4199487231484564</v>
          </cell>
          <cell r="AP90">
            <v>4.523915124675046</v>
          </cell>
          <cell r="AQ90">
            <v>4.4455063176011302</v>
          </cell>
          <cell r="AR90">
            <v>4.5357562552024682</v>
          </cell>
          <cell r="AS90">
            <v>4.4918030653933227</v>
          </cell>
          <cell r="AT90">
            <v>4.4072950386693934</v>
          </cell>
          <cell r="AU90">
            <v>4.4700901692165784</v>
          </cell>
          <cell r="AW90">
            <v>4.6358598592289102</v>
          </cell>
          <cell r="AX90">
            <v>4.5031327869560833</v>
          </cell>
          <cell r="AY90">
            <v>4.4199487231484564</v>
          </cell>
          <cell r="AZ90">
            <v>4.4455063176011302</v>
          </cell>
          <cell r="BA90">
            <v>4.5011119217336448</v>
          </cell>
          <cell r="BB90">
            <v>4.5357562552024682</v>
          </cell>
          <cell r="BC90">
            <v>4.4918030653933227</v>
          </cell>
          <cell r="BD90">
            <v>4.4072950386693934</v>
          </cell>
          <cell r="BE90">
            <v>4.4177801296467782</v>
          </cell>
          <cell r="BF90">
            <v>4.4631586222279909</v>
          </cell>
          <cell r="BG90">
            <v>4.5292181264875486</v>
          </cell>
          <cell r="BH90">
            <v>4.4393050281900814</v>
          </cell>
          <cell r="BI90">
            <v>4.2064318330071755</v>
          </cell>
          <cell r="BJ90">
            <v>4.2144083415385394</v>
          </cell>
          <cell r="BK90">
            <v>4.3473408323058367</v>
          </cell>
          <cell r="BL90">
            <v>4.3039199606363789</v>
          </cell>
          <cell r="BM90">
            <v>4.2223013621968128</v>
          </cell>
          <cell r="BN90">
            <v>4.1900651060429412</v>
          </cell>
          <cell r="BO90">
            <v>4.1688485895964194</v>
          </cell>
          <cell r="BP90">
            <v>4.2212837546181374</v>
          </cell>
          <cell r="BQ90">
            <v>4.4243515936374189</v>
          </cell>
          <cell r="BR90">
            <v>4.3007085856738341</v>
          </cell>
          <cell r="BS90">
            <v>4.1908955388692579</v>
          </cell>
          <cell r="BT90">
            <v>4.2305190564509809</v>
          </cell>
          <cell r="BU90">
            <v>4.2866186936578732</v>
          </cell>
          <cell r="BV90">
            <v>4.2803349288036374</v>
          </cell>
          <cell r="BW90">
            <v>4.1966615106986334</v>
          </cell>
          <cell r="BX90">
            <v>4.097623180664975</v>
          </cell>
          <cell r="BY90">
            <v>4.1930821988448841</v>
          </cell>
          <cell r="BZ90">
            <v>4.1919254547530329</v>
          </cell>
          <cell r="CA90">
            <v>4.2921316768442477</v>
          </cell>
          <cell r="CB90">
            <v>4.1517597877240409</v>
          </cell>
          <cell r="CC90">
            <v>4.1229666776977316</v>
          </cell>
          <cell r="CD90">
            <v>4.1428261184305777</v>
          </cell>
          <cell r="CE90">
            <v>4.1774210651741495</v>
          </cell>
          <cell r="CF90">
            <v>4.3149428930418932</v>
          </cell>
          <cell r="CG90">
            <v>4.2488452441395363</v>
          </cell>
          <cell r="CH90">
            <v>4.1263956959133283</v>
          </cell>
          <cell r="CI90">
            <v>4.131280425676441</v>
          </cell>
          <cell r="CJ90">
            <v>4.2053660646927993</v>
          </cell>
          <cell r="CK90">
            <v>4.2954978688770371</v>
          </cell>
          <cell r="CL90">
            <v>4.1856893381289968</v>
          </cell>
          <cell r="CM90">
            <v>4.2219139591990933</v>
          </cell>
          <cell r="CN90">
            <v>4.2219139591990933</v>
          </cell>
          <cell r="CO90">
            <v>4.2312537813510547</v>
          </cell>
          <cell r="CP90">
            <v>4.301260464044133</v>
          </cell>
          <cell r="CQ90">
            <v>4.1914519332960927</v>
          </cell>
          <cell r="CR90">
            <v>4.2276765543661892</v>
          </cell>
          <cell r="CS90">
            <v>4.2276765543661892</v>
          </cell>
          <cell r="CT90">
            <v>4.2370163765181506</v>
          </cell>
          <cell r="CU90">
            <v>4.3073418774432497</v>
          </cell>
          <cell r="CV90">
            <v>4.1975333466952094</v>
          </cell>
          <cell r="CW90">
            <v>4.2337579677653059</v>
          </cell>
          <cell r="CX90">
            <v>4.2337579677653059</v>
          </cell>
          <cell r="CY90">
            <v>4.2430977899172682</v>
          </cell>
          <cell r="CZ90">
            <v>4.3144296677928473</v>
          </cell>
          <cell r="DA90">
            <v>4.204621137044807</v>
          </cell>
          <cell r="DB90">
            <v>4.2408457581149035</v>
          </cell>
          <cell r="DC90">
            <v>4.2408457581149035</v>
          </cell>
          <cell r="DD90">
            <v>4.2501855802668658</v>
          </cell>
          <cell r="DE90">
            <v>4.3207492221240358</v>
          </cell>
          <cell r="DF90">
            <v>4.2109406913759955</v>
          </cell>
          <cell r="DG90">
            <v>4.247165312446092</v>
          </cell>
          <cell r="DH90">
            <v>4.247165312446092</v>
          </cell>
          <cell r="DI90">
            <v>4.2565051345980542</v>
          </cell>
        </row>
        <row r="91">
          <cell r="B91" t="str">
            <v>Average Daily Census</v>
          </cell>
          <cell r="F91">
            <v>794.59178082191784</v>
          </cell>
          <cell r="G91">
            <v>778.54246575342461</v>
          </cell>
          <cell r="H91">
            <v>870.23561643835615</v>
          </cell>
          <cell r="I91">
            <v>932.83561643835617</v>
          </cell>
          <cell r="J91">
            <v>1149.2821917808219</v>
          </cell>
          <cell r="K91">
            <v>1356.1013698630136</v>
          </cell>
          <cell r="L91">
            <v>1685.6109589041096</v>
          </cell>
          <cell r="M91">
            <v>1759.945652173913</v>
          </cell>
          <cell r="N91">
            <v>2097.1111111111113</v>
          </cell>
          <cell r="O91">
            <v>1992.7252747252746</v>
          </cell>
          <cell r="P91">
            <v>2022.195652173913</v>
          </cell>
          <cell r="Q91">
            <v>1967.2191780821918</v>
          </cell>
          <cell r="R91">
            <v>2111.521739130435</v>
          </cell>
          <cell r="S91">
            <v>2375.1444444444446</v>
          </cell>
          <cell r="T91">
            <v>2057.9450549450548</v>
          </cell>
          <cell r="U91">
            <v>2133.9239130434785</v>
          </cell>
          <cell r="V91">
            <v>2168.813698630137</v>
          </cell>
          <cell r="W91">
            <v>2276.4239130434785</v>
          </cell>
          <cell r="X91">
            <v>2653.7222222222222</v>
          </cell>
          <cell r="Y91">
            <v>2376.8791208791208</v>
          </cell>
          <cell r="Z91">
            <v>2348.5</v>
          </cell>
          <cell r="AA91">
            <v>2412.6684931506848</v>
          </cell>
          <cell r="AB91">
            <v>2431.5434782608695</v>
          </cell>
          <cell r="AC91">
            <v>2992.411111111111</v>
          </cell>
          <cell r="AD91">
            <v>2780.7582417582416</v>
          </cell>
          <cell r="AE91">
            <v>2765.3478260869565</v>
          </cell>
          <cell r="AF91">
            <v>2741.0410958904108</v>
          </cell>
          <cell r="AG91">
            <v>2851.5978260869565</v>
          </cell>
          <cell r="AH91">
            <v>3183.588888888889</v>
          </cell>
          <cell r="AI91">
            <v>2907.1208791208792</v>
          </cell>
          <cell r="AJ91">
            <v>2896.163043478261</v>
          </cell>
          <cell r="AK91">
            <v>2958.5342465753424</v>
          </cell>
          <cell r="AL91">
            <v>3452.7391304347825</v>
          </cell>
          <cell r="AM91">
            <v>3879.4505494505493</v>
          </cell>
          <cell r="AN91">
            <v>3435.5934065934066</v>
          </cell>
          <cell r="AO91">
            <v>3316.7391304347825</v>
          </cell>
          <cell r="AP91">
            <v>3520.3852459016393</v>
          </cell>
          <cell r="AQ91">
            <v>3453.336956521739</v>
          </cell>
          <cell r="AR91">
            <v>4117.0555555555557</v>
          </cell>
          <cell r="AS91">
            <v>3793.7472527472528</v>
          </cell>
          <cell r="AT91">
            <v>3536.9021739130435</v>
          </cell>
          <cell r="AU91">
            <v>3722.9260273972604</v>
          </cell>
          <cell r="AW91">
            <v>3879.4505494505493</v>
          </cell>
          <cell r="AX91">
            <v>3435.5934065934066</v>
          </cell>
          <cell r="AY91">
            <v>3316.7391304347825</v>
          </cell>
          <cell r="AZ91">
            <v>3453.336956521739</v>
          </cell>
          <cell r="BA91">
            <v>3520.5355191256831</v>
          </cell>
          <cell r="BB91">
            <v>4117.0555555555557</v>
          </cell>
          <cell r="BC91">
            <v>3793.7472527472528</v>
          </cell>
          <cell r="BD91">
            <v>3536.9021739130435</v>
          </cell>
          <cell r="BE91">
            <v>3629.782608695652</v>
          </cell>
          <cell r="BF91">
            <v>3767.4</v>
          </cell>
          <cell r="BG91">
            <v>4249.9666666666662</v>
          </cell>
          <cell r="BH91">
            <v>3815.802197802198</v>
          </cell>
          <cell r="BI91">
            <v>3504.5978260869565</v>
          </cell>
          <cell r="BJ91">
            <v>3628.8804347826085</v>
          </cell>
          <cell r="BK91">
            <v>3797.3013698630139</v>
          </cell>
          <cell r="BL91">
            <v>4081.9333333333334</v>
          </cell>
          <cell r="BM91">
            <v>3648.0219780219782</v>
          </cell>
          <cell r="BN91">
            <v>3476.7065217391305</v>
          </cell>
          <cell r="BO91">
            <v>3513.2065217391305</v>
          </cell>
          <cell r="BP91">
            <v>3677.8520547945204</v>
          </cell>
          <cell r="BQ91">
            <v>4062.1868131868132</v>
          </cell>
          <cell r="BR91">
            <v>3488.2527472527472</v>
          </cell>
          <cell r="BS91">
            <v>3300.2391304347825</v>
          </cell>
          <cell r="BT91">
            <v>3520.6195652173915</v>
          </cell>
          <cell r="BU91">
            <v>3591.8278688524592</v>
          </cell>
          <cell r="BV91">
            <v>3964.588888888889</v>
          </cell>
          <cell r="BW91">
            <v>3577.7692307692309</v>
          </cell>
          <cell r="BX91">
            <v>3335.554347826087</v>
          </cell>
          <cell r="BY91">
            <v>3535.3152173913045</v>
          </cell>
          <cell r="BZ91">
            <v>3601.3972602739727</v>
          </cell>
          <cell r="CA91">
            <v>4076.6666666666665</v>
          </cell>
          <cell r="CB91">
            <v>3645.1538461538462</v>
          </cell>
          <cell r="CC91">
            <v>3520.9239130434785</v>
          </cell>
          <cell r="CD91">
            <v>3732.3260869565215</v>
          </cell>
          <cell r="CE91">
            <v>3742.2136986301371</v>
          </cell>
          <cell r="CF91">
            <v>4235.5</v>
          </cell>
          <cell r="CG91">
            <v>3770.4065934065934</v>
          </cell>
          <cell r="CH91">
            <v>3651.4565217391305</v>
          </cell>
          <cell r="CI91">
            <v>3966.478260869565</v>
          </cell>
          <cell r="CJ91">
            <v>3904.5260273972603</v>
          </cell>
          <cell r="CK91">
            <v>4407.7472527472528</v>
          </cell>
          <cell r="CL91">
            <v>3977.1868131868132</v>
          </cell>
          <cell r="CM91">
            <v>3887.0978260869565</v>
          </cell>
          <cell r="CN91">
            <v>3930.9171484506551</v>
          </cell>
          <cell r="CO91">
            <v>4049.9627804848642</v>
          </cell>
          <cell r="CP91">
            <v>4427.7938139290591</v>
          </cell>
          <cell r="CQ91">
            <v>3899.1569870082299</v>
          </cell>
          <cell r="CR91">
            <v>3817.08931851018</v>
          </cell>
          <cell r="CS91">
            <v>3859.6665334319346</v>
          </cell>
          <cell r="CT91">
            <v>3998.8664861644897</v>
          </cell>
          <cell r="CU91">
            <v>4468.8536415802228</v>
          </cell>
          <cell r="CV91">
            <v>3943.2964065045312</v>
          </cell>
          <cell r="CW91">
            <v>3861.7552951008029</v>
          </cell>
          <cell r="CX91">
            <v>3895.9080492498583</v>
          </cell>
          <cell r="CY91">
            <v>4040.3885709983374</v>
          </cell>
          <cell r="CZ91">
            <v>4542.6725261932143</v>
          </cell>
          <cell r="DA91">
            <v>4008.9564320228524</v>
          </cell>
          <cell r="DB91">
            <v>3926.4803433283687</v>
          </cell>
          <cell r="DC91">
            <v>3960.2567003868039</v>
          </cell>
          <cell r="DD91">
            <v>4107.4941662829169</v>
          </cell>
          <cell r="DE91">
            <v>4622.5619514439231</v>
          </cell>
          <cell r="DF91">
            <v>4072.1778026368643</v>
          </cell>
          <cell r="DG91">
            <v>3988.679349406365</v>
          </cell>
          <cell r="DH91">
            <v>4014.5883681816822</v>
          </cell>
          <cell r="DI91">
            <v>4172.3270840767336</v>
          </cell>
        </row>
        <row r="92">
          <cell r="B92" t="str">
            <v>Occupancy Rate - reported</v>
          </cell>
          <cell r="F92">
            <v>0.47799999999999998</v>
          </cell>
          <cell r="G92">
            <v>0.45600000000000002</v>
          </cell>
          <cell r="H92">
            <v>0.433</v>
          </cell>
          <cell r="I92">
            <v>0.436</v>
          </cell>
          <cell r="J92">
            <v>0.432</v>
          </cell>
          <cell r="K92">
            <v>0.44800000000000001</v>
          </cell>
          <cell r="L92">
            <v>0.47099999999999997</v>
          </cell>
          <cell r="M92">
            <v>0.46100000000000002</v>
          </cell>
          <cell r="N92">
            <v>0.54700000000000004</v>
          </cell>
          <cell r="O92">
            <v>0.44700000000000001</v>
          </cell>
          <cell r="P92">
            <v>0.44311539835655589</v>
          </cell>
          <cell r="Q92">
            <v>0.47099999999999997</v>
          </cell>
          <cell r="R92">
            <v>0.45300000000000001</v>
          </cell>
          <cell r="S92">
            <v>0.504</v>
          </cell>
          <cell r="T92">
            <v>0.45300000000000001</v>
          </cell>
          <cell r="U92">
            <v>0.439</v>
          </cell>
          <cell r="V92">
            <v>0.46200000000000002</v>
          </cell>
          <cell r="W92">
            <v>0.44700000000000001</v>
          </cell>
          <cell r="X92">
            <v>0.52800000000000002</v>
          </cell>
          <cell r="Y92">
            <v>0.47599999999999998</v>
          </cell>
          <cell r="Z92">
            <v>0.443</v>
          </cell>
          <cell r="AA92">
            <v>0.47199999999999998</v>
          </cell>
          <cell r="AB92">
            <v>0.45500000000000002</v>
          </cell>
          <cell r="AC92">
            <v>0.51600000000000001</v>
          </cell>
          <cell r="AD92">
            <v>0.48199999999999998</v>
          </cell>
          <cell r="AE92">
            <v>0.46899999999999997</v>
          </cell>
          <cell r="AF92">
            <v>0.47899999999999998</v>
          </cell>
          <cell r="AG92">
            <v>0.48099999999999998</v>
          </cell>
          <cell r="AH92">
            <v>0.53</v>
          </cell>
          <cell r="AI92">
            <v>0.47499999999999998</v>
          </cell>
          <cell r="AJ92">
            <v>0.45800000000000002</v>
          </cell>
          <cell r="AK92">
            <v>0.48499999999999999</v>
          </cell>
          <cell r="AL92">
            <v>0.48</v>
          </cell>
          <cell r="AM92">
            <v>0.51400000000000001</v>
          </cell>
          <cell r="AN92">
            <v>0.45400000000000001</v>
          </cell>
          <cell r="AO92">
            <v>0.46600000000000003</v>
          </cell>
          <cell r="AP92">
            <v>0.47899999999999998</v>
          </cell>
          <cell r="AQ92">
            <v>0.45800000000000002</v>
          </cell>
          <cell r="AR92">
            <v>0.51600000000000001</v>
          </cell>
          <cell r="AS92">
            <v>0.45700000000000002</v>
          </cell>
          <cell r="AT92">
            <v>0.42399999999999999</v>
          </cell>
          <cell r="AU92">
            <v>0.46300000000000002</v>
          </cell>
          <cell r="AW92">
            <v>0.51400000000000001</v>
          </cell>
          <cell r="AX92">
            <v>0.45400000000000001</v>
          </cell>
          <cell r="AY92">
            <v>0.46600000000000003</v>
          </cell>
          <cell r="AZ92">
            <v>0.45800000000000002</v>
          </cell>
          <cell r="BA92">
            <v>0.47099999999999997</v>
          </cell>
          <cell r="BB92">
            <v>0.51600000000000001</v>
          </cell>
          <cell r="BC92">
            <v>0.45700000000000002</v>
          </cell>
          <cell r="BD92">
            <v>0.42399999999999999</v>
          </cell>
          <cell r="BE92">
            <v>0.439</v>
          </cell>
          <cell r="BF92">
            <v>0.45600000000000002</v>
          </cell>
          <cell r="BG92">
            <v>0.497</v>
          </cell>
          <cell r="BH92">
            <v>0.443</v>
          </cell>
          <cell r="BI92">
            <v>0.42199999999999999</v>
          </cell>
          <cell r="BJ92">
            <v>0.436</v>
          </cell>
          <cell r="BK92">
            <v>0.44948259707244481</v>
          </cell>
          <cell r="BL92">
            <v>0.48899999999999999</v>
          </cell>
          <cell r="BM92">
            <v>0.442</v>
          </cell>
          <cell r="BN92">
            <v>0.42199999999999999</v>
          </cell>
          <cell r="BO92">
            <v>0.42099999999999999</v>
          </cell>
          <cell r="BP92">
            <v>0.44332161150099414</v>
          </cell>
          <cell r="BQ92">
            <v>0.51</v>
          </cell>
          <cell r="BR92">
            <v>0.442</v>
          </cell>
          <cell r="BS92">
            <v>0.41899999999999998</v>
          </cell>
          <cell r="BT92">
            <v>0.44400000000000001</v>
          </cell>
          <cell r="BU92">
            <v>0.45375946670953132</v>
          </cell>
          <cell r="BV92">
            <v>0.496</v>
          </cell>
          <cell r="BW92">
            <v>0.44800000000000001</v>
          </cell>
          <cell r="BX92">
            <v>0.42499999999999999</v>
          </cell>
          <cell r="BY92">
            <v>0.442</v>
          </cell>
          <cell r="BZ92">
            <v>0.45263545712588638</v>
          </cell>
          <cell r="CA92">
            <v>0.48899999999999999</v>
          </cell>
          <cell r="CB92">
            <v>0.438</v>
          </cell>
          <cell r="CC92">
            <v>0.41599999999999998</v>
          </cell>
          <cell r="CD92">
            <v>0.42599999999999999</v>
          </cell>
          <cell r="CE92">
            <v>0.44176635226316252</v>
          </cell>
          <cell r="CF92">
            <v>0.48299999999999998</v>
          </cell>
          <cell r="CG92">
            <v>0.42699999999999999</v>
          </cell>
          <cell r="CH92">
            <v>0.41099999999999998</v>
          </cell>
          <cell r="CI92">
            <v>0.41</v>
          </cell>
          <cell r="CJ92">
            <v>0.4319428419771012</v>
          </cell>
          <cell r="CK92">
            <v>0.45200000000000001</v>
          </cell>
          <cell r="CL92">
            <v>0.39600000000000002</v>
          </cell>
          <cell r="CM92">
            <v>0.38900000000000001</v>
          </cell>
          <cell r="CN92">
            <v>0.39139302826440858</v>
          </cell>
          <cell r="CO92">
            <v>0.40619601510291337</v>
          </cell>
          <cell r="CP92">
            <v>0.43449572048191815</v>
          </cell>
          <cell r="CQ92">
            <v>0.38262102878699888</v>
          </cell>
          <cell r="CR92">
            <v>0.36771197550347812</v>
          </cell>
          <cell r="CS92">
            <v>0.37181356980843538</v>
          </cell>
          <cell r="CT92">
            <v>0.38878111603685617</v>
          </cell>
          <cell r="CU92">
            <v>0.42276053426990989</v>
          </cell>
          <cell r="CV92">
            <v>0.3730419989787318</v>
          </cell>
          <cell r="CW92">
            <v>0.35887751159091719</v>
          </cell>
          <cell r="CX92">
            <v>0.36205136764506407</v>
          </cell>
          <cell r="CY92">
            <v>0.37882253505396646</v>
          </cell>
          <cell r="CZ92">
            <v>0.41483131377527493</v>
          </cell>
          <cell r="DA92">
            <v>0.36609301110188458</v>
          </cell>
          <cell r="DB92">
            <v>0.35244625253718309</v>
          </cell>
          <cell r="DC92">
            <v>0.35547806460007308</v>
          </cell>
          <cell r="DD92">
            <v>0.37186531949526891</v>
          </cell>
          <cell r="DE92">
            <v>0.40796970619019413</v>
          </cell>
          <cell r="DF92">
            <v>0.35939489814237174</v>
          </cell>
          <cell r="DG92">
            <v>0.34621999187601094</v>
          </cell>
          <cell r="DH92">
            <v>0.34846891175252109</v>
          </cell>
          <cell r="DI92">
            <v>0.36517196694076343</v>
          </cell>
        </row>
        <row r="94">
          <cell r="B94" t="str">
            <v>Pricing</v>
          </cell>
        </row>
        <row r="95">
          <cell r="B95" t="str">
            <v>Revenue / Inpatient Admission</v>
          </cell>
          <cell r="I95">
            <v>4750.1699383326268</v>
          </cell>
          <cell r="J95">
            <v>4923.286175499692</v>
          </cell>
          <cell r="K95">
            <v>4689.0749625038488</v>
          </cell>
          <cell r="L95">
            <v>4655.9536992878675</v>
          </cell>
          <cell r="M95">
            <v>4663.8734090221687</v>
          </cell>
          <cell r="N95">
            <v>4602.864136000504</v>
          </cell>
          <cell r="O95">
            <v>4977.2352489117602</v>
          </cell>
          <cell r="P95">
            <v>4384.1680743243242</v>
          </cell>
          <cell r="Q95">
            <v>4652.4225851658193</v>
          </cell>
          <cell r="R95">
            <v>0</v>
          </cell>
          <cell r="S95">
            <v>0</v>
          </cell>
          <cell r="T95">
            <v>0</v>
          </cell>
          <cell r="U95">
            <v>4420.7579822131502</v>
          </cell>
          <cell r="V95">
            <v>1121.0018484971717</v>
          </cell>
          <cell r="W95">
            <v>4482.7985367714718</v>
          </cell>
          <cell r="X95">
            <v>4563.839686882201</v>
          </cell>
          <cell r="Y95">
            <v>4484.8987377461608</v>
          </cell>
          <cell r="Z95">
            <v>5164.7886134979917</v>
          </cell>
          <cell r="AA95">
            <v>4673.8771637211194</v>
          </cell>
          <cell r="AB95">
            <v>5670.7832366323009</v>
          </cell>
          <cell r="AC95">
            <v>5748.1931179406347</v>
          </cell>
          <cell r="AD95">
            <v>5739.8921527409666</v>
          </cell>
          <cell r="AE95">
            <v>6045.5457279320708</v>
          </cell>
          <cell r="AF95">
            <v>5806.6710565255989</v>
          </cell>
          <cell r="AG95">
            <v>5822.6084092163355</v>
          </cell>
          <cell r="AH95">
            <v>5933.84177173842</v>
          </cell>
          <cell r="AI95">
            <v>5940.3837013374514</v>
          </cell>
          <cell r="AJ95">
            <v>5882.1519713745611</v>
          </cell>
          <cell r="AK95">
            <v>5895.0217513188409</v>
          </cell>
          <cell r="AL95">
            <v>5694.2990516724267</v>
          </cell>
          <cell r="AM95">
            <v>5869.4998424204232</v>
          </cell>
          <cell r="AN95">
            <v>6039.3785270860044</v>
          </cell>
          <cell r="AO95">
            <v>5895.7202659443483</v>
          </cell>
          <cell r="AP95">
            <v>5874.1975870767374</v>
          </cell>
          <cell r="AQ95">
            <v>6120.3113604880582</v>
          </cell>
          <cell r="AR95">
            <v>6053.279048132008</v>
          </cell>
          <cell r="AS95">
            <v>6102.1692992271473</v>
          </cell>
          <cell r="AT95">
            <v>6157.40250030475</v>
          </cell>
          <cell r="AU95">
            <v>6106.7128169347834</v>
          </cell>
          <cell r="AW95">
            <v>5869.4998424204232</v>
          </cell>
          <cell r="AX95">
            <v>6039.3785270860044</v>
          </cell>
          <cell r="AY95">
            <v>5895.7202659443483</v>
          </cell>
          <cell r="AZ95">
            <v>6120.3113604880582</v>
          </cell>
          <cell r="BA95">
            <v>5979.7094444619224</v>
          </cell>
          <cell r="BB95">
            <v>6053.279048132008</v>
          </cell>
          <cell r="BC95">
            <v>6102.1692992271473</v>
          </cell>
          <cell r="BD95">
            <v>6157.40250030475</v>
          </cell>
          <cell r="BE95" t="str">
            <v>NM</v>
          </cell>
          <cell r="BF95">
            <v>6173.7882203194467</v>
          </cell>
          <cell r="BG95">
            <v>6187.3270890812428</v>
          </cell>
          <cell r="BH95">
            <v>6559.1098326493566</v>
          </cell>
          <cell r="BI95">
            <v>6614.4371819960861</v>
          </cell>
          <cell r="BJ95">
            <v>6644.5315458607893</v>
          </cell>
          <cell r="BK95">
            <v>6495.0997432017521</v>
          </cell>
          <cell r="BL95">
            <v>6886.0090676913687</v>
          </cell>
          <cell r="BM95">
            <v>7255.6956488559326</v>
          </cell>
          <cell r="BN95">
            <v>6953.5578290999129</v>
          </cell>
          <cell r="BO95">
            <v>7154.7725167997314</v>
          </cell>
          <cell r="BP95">
            <v>7059.2354640096401</v>
          </cell>
          <cell r="BQ95">
            <v>7297.4660746131094</v>
          </cell>
          <cell r="BR95">
            <v>7667.2639921960736</v>
          </cell>
          <cell r="BS95">
            <v>7436.9640569787989</v>
          </cell>
          <cell r="BT95">
            <v>7653.0433113032577</v>
          </cell>
          <cell r="BU95">
            <v>7508.4020955054348</v>
          </cell>
          <cell r="BV95">
            <v>7567.5701227192576</v>
          </cell>
          <cell r="BW95">
            <v>7848.9782289249806</v>
          </cell>
          <cell r="BX95">
            <v>7460.37780745093</v>
          </cell>
          <cell r="BY95">
            <v>7665.4022277227723</v>
          </cell>
          <cell r="BZ95">
            <v>7635.8302291966475</v>
          </cell>
          <cell r="CA95">
            <v>7786.9006574483519</v>
          </cell>
          <cell r="CB95">
            <v>7777.5849354160409</v>
          </cell>
          <cell r="CC95">
            <v>7649.8957182496242</v>
          </cell>
          <cell r="CD95">
            <v>8091.0822836735679</v>
          </cell>
          <cell r="CE95">
            <v>7828.8296565777719</v>
          </cell>
          <cell r="CF95">
            <v>8162.7454693637301</v>
          </cell>
          <cell r="CG95">
            <v>8224.9331665696627</v>
          </cell>
          <cell r="CH95">
            <v>8066.6548255149792</v>
          </cell>
          <cell r="CI95">
            <v>8552.7023434846578</v>
          </cell>
          <cell r="CJ95">
            <v>8256.1352066037653</v>
          </cell>
          <cell r="CK95">
            <v>8470.6991154233328</v>
          </cell>
          <cell r="CL95">
            <v>8796.7662923427433</v>
          </cell>
          <cell r="CM95">
            <v>8762.6015536456362</v>
          </cell>
          <cell r="CN95">
            <v>8873.9033110868804</v>
          </cell>
          <cell r="CO95">
            <v>8720.4289985510695</v>
          </cell>
          <cell r="CP95">
            <v>8734.9280405490354</v>
          </cell>
          <cell r="CQ95">
            <v>9031.1276965414982</v>
          </cell>
          <cell r="CR95">
            <v>8997.9997998004255</v>
          </cell>
          <cell r="CS95">
            <v>9050.5377075441611</v>
          </cell>
          <cell r="CT95">
            <v>8948.1801381801524</v>
          </cell>
          <cell r="CU95">
            <v>8696.5999192884756</v>
          </cell>
          <cell r="CV95">
            <v>8958.9918771852681</v>
          </cell>
          <cell r="CW95">
            <v>8930.9341966806478</v>
          </cell>
          <cell r="CX95">
            <v>8984.9945747924776</v>
          </cell>
          <cell r="CY95">
            <v>8888.0326416545067</v>
          </cell>
          <cell r="CZ95">
            <v>8783.1075843556009</v>
          </cell>
          <cell r="DA95">
            <v>9030.7609209044149</v>
          </cell>
          <cell r="DB95">
            <v>9007.7282141713094</v>
          </cell>
          <cell r="DC95">
            <v>9082.5169246851347</v>
          </cell>
          <cell r="DD95">
            <v>8971.2538935578195</v>
          </cell>
          <cell r="DE95">
            <v>8897.6847752160156</v>
          </cell>
          <cell r="DF95">
            <v>9139.0714095113271</v>
          </cell>
          <cell r="DG95">
            <v>9119.5083390891687</v>
          </cell>
          <cell r="DH95">
            <v>9190.8998788134995</v>
          </cell>
          <cell r="DI95">
            <v>9081.961310341374</v>
          </cell>
        </row>
        <row r="96">
          <cell r="B96" t="str">
            <v>y/y % change - as reported</v>
          </cell>
          <cell r="I96" t="str">
            <v>NM</v>
          </cell>
          <cell r="J96">
            <v>3.6444219767815644E-2</v>
          </cell>
          <cell r="K96">
            <v>-4.7572130614989439E-2</v>
          </cell>
          <cell r="L96">
            <v>-7.0634962078524044E-3</v>
          </cell>
          <cell r="Q96">
            <v>-7.5840834125739942E-4</v>
          </cell>
          <cell r="R96">
            <v>-1</v>
          </cell>
          <cell r="S96">
            <v>-1</v>
          </cell>
          <cell r="T96">
            <v>-1</v>
          </cell>
          <cell r="U96">
            <v>8.3459181465037613E-3</v>
          </cell>
          <cell r="V96">
            <v>-0.75904986531716412</v>
          </cell>
          <cell r="W96" t="str">
            <v>NM</v>
          </cell>
          <cell r="X96" t="str">
            <v>NM</v>
          </cell>
          <cell r="Y96" t="str">
            <v>NM</v>
          </cell>
          <cell r="Z96">
            <v>0.16830385971782147</v>
          </cell>
          <cell r="AA96">
            <v>3.1693750728305883</v>
          </cell>
          <cell r="AB96">
            <v>0.2650096117673002</v>
          </cell>
          <cell r="AC96">
            <v>0.25950811428863485</v>
          </cell>
          <cell r="AD96">
            <v>0.27982647733658528</v>
          </cell>
          <cell r="AE96">
            <v>0.17053110598413479</v>
          </cell>
          <cell r="AF96">
            <v>0.2423670655269432</v>
          </cell>
          <cell r="AG96">
            <v>2.6773228009011163E-2</v>
          </cell>
          <cell r="AH96">
            <v>3.2296871380044445E-2</v>
          </cell>
          <cell r="AI96">
            <v>3.492949749948604E-2</v>
          </cell>
          <cell r="AJ96">
            <v>-2.7027131033446006E-2</v>
          </cell>
          <cell r="AK96">
            <v>1.5215377956351084E-2</v>
          </cell>
          <cell r="AL96">
            <v>-2.2036405082782817E-2</v>
          </cell>
          <cell r="AM96">
            <v>-1.0843216215242424E-2</v>
          </cell>
          <cell r="AN96">
            <v>1.6664719103290482E-2</v>
          </cell>
          <cell r="AO96">
            <v>2.3066888845812983E-3</v>
          </cell>
          <cell r="AP96">
            <v>-3.5324999839813076E-3</v>
          </cell>
          <cell r="AQ96">
            <v>7.4813827821443857E-2</v>
          </cell>
          <cell r="AR96">
            <v>3.1310880082722647E-2</v>
          </cell>
          <cell r="AS96">
            <v>1.0396892968296712E-2</v>
          </cell>
          <cell r="AT96">
            <v>4.4385117094507764E-2</v>
          </cell>
          <cell r="AU96">
            <v>3.958246661119813E-2</v>
          </cell>
          <cell r="AW96">
            <v>-1.0843216215242424E-2</v>
          </cell>
          <cell r="AX96">
            <v>1.6664719103290482E-2</v>
          </cell>
          <cell r="AY96">
            <v>2.3066888845812983E-3</v>
          </cell>
          <cell r="AZ96">
            <v>7.4813827821443857E-2</v>
          </cell>
          <cell r="BB96">
            <v>3.1310880082722647E-2</v>
          </cell>
          <cell r="BC96">
            <v>1.0396892968296712E-2</v>
          </cell>
          <cell r="BD96">
            <v>4.4385117094507764E-2</v>
          </cell>
          <cell r="BE96" t="str">
            <v>NM</v>
          </cell>
          <cell r="BF96">
            <v>3.2456221771322014E-2</v>
          </cell>
          <cell r="BG96">
            <v>2.2144698746475511E-2</v>
          </cell>
          <cell r="BH96">
            <v>7.4881654542112042E-2</v>
          </cell>
          <cell r="BI96">
            <v>7.4225240540750193E-2</v>
          </cell>
          <cell r="BJ96" t="str">
            <v>NM</v>
          </cell>
          <cell r="BK96">
            <v>5.2044467904615033E-2</v>
          </cell>
          <cell r="BL96">
            <v>0.11292145518588925</v>
          </cell>
          <cell r="BM96">
            <v>0.10620127334035057</v>
          </cell>
          <cell r="BN96">
            <v>5.1269766084842905E-2</v>
          </cell>
          <cell r="BO96">
            <v>7.6791112724387212E-2</v>
          </cell>
          <cell r="BP96">
            <v>8.685559007748167E-2</v>
          </cell>
          <cell r="BQ96">
            <v>5.9752608931676443E-2</v>
          </cell>
          <cell r="BR96">
            <v>5.6723485005195418E-2</v>
          </cell>
          <cell r="BS96">
            <v>6.9519264779230205E-2</v>
          </cell>
          <cell r="BT96">
            <v>6.9641738201118741E-2</v>
          </cell>
          <cell r="BU96">
            <v>6.3628226283964917E-2</v>
          </cell>
          <cell r="BV96">
            <v>3.7013402370694504E-2</v>
          </cell>
          <cell r="BW96">
            <v>2.3700010448819864E-2</v>
          </cell>
          <cell r="BX96">
            <v>3.1482941550806665E-3</v>
          </cell>
          <cell r="BY96">
            <v>1.6149021920810469E-3</v>
          </cell>
          <cell r="BZ96">
            <v>1.6971405109948989E-2</v>
          </cell>
          <cell r="CA96">
            <v>2.8982953731822469E-2</v>
          </cell>
          <cell r="CB96">
            <v>-9.0958710072404081E-3</v>
          </cell>
          <cell r="CC96">
            <v>2.540325914988073E-2</v>
          </cell>
          <cell r="CD96">
            <v>5.5532644381175E-2</v>
          </cell>
          <cell r="CE96">
            <v>2.5275500055405242E-2</v>
          </cell>
          <cell r="CF96">
            <v>4.8266290845238036E-2</v>
          </cell>
          <cell r="CG96">
            <v>5.7517627241404412E-2</v>
          </cell>
          <cell r="CH96">
            <v>5.4479057312001311E-2</v>
          </cell>
          <cell r="CI96">
            <v>5.705294342915801E-2</v>
          </cell>
          <cell r="CJ96">
            <v>5.4581025360153523E-2</v>
          </cell>
          <cell r="CK96">
            <v>3.7726724080201723E-2</v>
          </cell>
          <cell r="CL96">
            <v>6.9524349218702763E-2</v>
          </cell>
          <cell r="CM96">
            <v>8.6274514428132498E-2</v>
          </cell>
          <cell r="CN96">
            <v>3.7555494708278792E-2</v>
          </cell>
          <cell r="CO96">
            <v>5.6236214685042141E-2</v>
          </cell>
          <cell r="CP96">
            <v>3.1193284228995699E-2</v>
          </cell>
          <cell r="CQ96">
            <v>2.6641767714433717E-2</v>
          </cell>
          <cell r="CR96">
            <v>2.6863967819791279E-2</v>
          </cell>
          <cell r="CS96">
            <v>1.9904926869847461E-2</v>
          </cell>
          <cell r="CT96">
            <v>2.6116965079002963E-2</v>
          </cell>
          <cell r="CU96">
            <v>-4.387914941329063E-3</v>
          </cell>
          <cell r="CV96">
            <v>-7.9874653288154462E-3</v>
          </cell>
          <cell r="CW96">
            <v>-7.4533901546947057E-3</v>
          </cell>
          <cell r="CX96">
            <v>-7.2419048314720236E-3</v>
          </cell>
          <cell r="CY96">
            <v>-6.7217574519994328E-3</v>
          </cell>
          <cell r="CZ96">
            <v>9.9472973196406134E-3</v>
          </cell>
          <cell r="DA96">
            <v>8.0108392443030141E-3</v>
          </cell>
          <cell r="DB96">
            <v>8.5986544967717737E-3</v>
          </cell>
          <cell r="DC96">
            <v>1.0853913052575104E-2</v>
          </cell>
          <cell r="DD96">
            <v>9.3632927846472036E-3</v>
          </cell>
          <cell r="DE96">
            <v>1.3045176750936971E-2</v>
          </cell>
          <cell r="DF96">
            <v>1.1993506367353302E-2</v>
          </cell>
          <cell r="DG96">
            <v>1.2409358082319022E-2</v>
          </cell>
          <cell r="DH96">
            <v>1.1933140893334748E-2</v>
          </cell>
          <cell r="DI96">
            <v>1.2340238956234595E-2</v>
          </cell>
        </row>
        <row r="98">
          <cell r="B98" t="str">
            <v>Revenue / Outpatient Admission</v>
          </cell>
          <cell r="I98" t="str">
            <v>NM</v>
          </cell>
          <cell r="J98" t="str">
            <v>NM</v>
          </cell>
          <cell r="K98" t="str">
            <v>NM</v>
          </cell>
          <cell r="L98" t="str">
            <v>NM</v>
          </cell>
          <cell r="M98" t="str">
            <v>NM</v>
          </cell>
          <cell r="N98" t="str">
            <v>NM</v>
          </cell>
          <cell r="O98" t="str">
            <v>NM</v>
          </cell>
          <cell r="P98" t="str">
            <v>NM</v>
          </cell>
          <cell r="Q98">
            <v>8818.7087980259494</v>
          </cell>
          <cell r="R98">
            <v>0</v>
          </cell>
          <cell r="S98">
            <v>0</v>
          </cell>
          <cell r="T98">
            <v>0</v>
          </cell>
          <cell r="U98">
            <v>11368.133507721717</v>
          </cell>
          <cell r="V98">
            <v>9774.3479076749863</v>
          </cell>
          <cell r="W98">
            <v>9757.728767009281</v>
          </cell>
          <cell r="X98">
            <v>9937.8629317806281</v>
          </cell>
          <cell r="Y98">
            <v>10185.16225102267</v>
          </cell>
          <cell r="Z98">
            <v>8851.8449135871851</v>
          </cell>
          <cell r="AA98">
            <v>9661.3581682264539</v>
          </cell>
          <cell r="AB98">
            <v>7759.5419984765595</v>
          </cell>
          <cell r="AC98">
            <v>7886.7403647302126</v>
          </cell>
          <cell r="AD98">
            <v>8458.5437866407447</v>
          </cell>
          <cell r="AE98">
            <v>7393.3530410349458</v>
          </cell>
          <cell r="AF98">
            <v>7873.396338840972</v>
          </cell>
          <cell r="AG98">
            <v>8149.2181812730487</v>
          </cell>
          <cell r="AH98">
            <v>8305.3628604112273</v>
          </cell>
          <cell r="AI98">
            <v>8956.5801706128132</v>
          </cell>
          <cell r="AJ98">
            <v>8480.1959170233786</v>
          </cell>
          <cell r="AK98">
            <v>8475.9923746331879</v>
          </cell>
          <cell r="AL98">
            <v>8585.2302912528194</v>
          </cell>
          <cell r="AM98">
            <v>8619.1937984496144</v>
          </cell>
          <cell r="AN98">
            <v>8771.7631230992993</v>
          </cell>
          <cell r="AO98">
            <v>8554.5163407271302</v>
          </cell>
          <cell r="AP98">
            <v>8633.5519683000693</v>
          </cell>
          <cell r="AQ98">
            <v>8415.841910719364</v>
          </cell>
          <cell r="AR98">
            <v>8468.3551177318604</v>
          </cell>
          <cell r="AS98">
            <v>8980.5333539221738</v>
          </cell>
          <cell r="AT98">
            <v>8728.6820601157397</v>
          </cell>
          <cell r="AU98">
            <v>8657.0880988249464</v>
          </cell>
          <cell r="AW98">
            <v>8619.1937984496144</v>
          </cell>
          <cell r="AX98">
            <v>8771.7631230992993</v>
          </cell>
          <cell r="AY98">
            <v>8554.5163407271302</v>
          </cell>
          <cell r="AZ98">
            <v>8415.841910719364</v>
          </cell>
          <cell r="BA98">
            <v>8589.8559918549308</v>
          </cell>
          <cell r="BB98">
            <v>8468.3551177318604</v>
          </cell>
          <cell r="BC98">
            <v>8980.5333539221738</v>
          </cell>
          <cell r="BD98">
            <v>8728.6820601157397</v>
          </cell>
          <cell r="BE98">
            <v>9003.4056094072785</v>
          </cell>
          <cell r="BF98">
            <v>8796.7848333603251</v>
          </cell>
          <cell r="BG98">
            <v>9155.1486872094902</v>
          </cell>
          <cell r="BH98">
            <v>9007.8048210682809</v>
          </cell>
          <cell r="BI98">
            <v>9067.9919207714356</v>
          </cell>
          <cell r="BJ98">
            <v>9659.1643116673404</v>
          </cell>
          <cell r="BK98">
            <v>9220.740435956177</v>
          </cell>
          <cell r="BL98">
            <v>9798.2552538787022</v>
          </cell>
          <cell r="BM98">
            <v>8788.9026847311125</v>
          </cell>
          <cell r="BN98">
            <v>9544.9442743633754</v>
          </cell>
          <cell r="BO98">
            <v>9449.518102981976</v>
          </cell>
          <cell r="BP98">
            <v>9386.3762413576387</v>
          </cell>
          <cell r="BQ98">
            <v>9561.964525390591</v>
          </cell>
          <cell r="BR98">
            <v>9642.2222381122629</v>
          </cell>
          <cell r="BS98">
            <v>9575.4729901269402</v>
          </cell>
          <cell r="BT98">
            <v>9323.8603974965863</v>
          </cell>
          <cell r="BU98">
            <v>9525.7702492073895</v>
          </cell>
          <cell r="BV98">
            <v>9725.9947458455517</v>
          </cell>
          <cell r="BW98">
            <v>9387.1501520070069</v>
          </cell>
          <cell r="BX98">
            <v>9364.2702558901292</v>
          </cell>
          <cell r="BY98">
            <v>10155.140431969074</v>
          </cell>
          <cell r="BZ98">
            <v>9658.1603932859016</v>
          </cell>
          <cell r="CA98">
            <v>9761.9965641154959</v>
          </cell>
          <cell r="CB98">
            <v>9560.4187182344049</v>
          </cell>
          <cell r="CC98">
            <v>9872.1424275036497</v>
          </cell>
          <cell r="CD98">
            <v>9855.9117153601383</v>
          </cell>
          <cell r="CE98">
            <v>9764.844666802037</v>
          </cell>
          <cell r="CF98">
            <v>9993.402109426499</v>
          </cell>
          <cell r="CG98">
            <v>10231.378083763626</v>
          </cell>
          <cell r="CH98">
            <v>10090.513313248106</v>
          </cell>
          <cell r="CI98">
            <v>10242.534957338939</v>
          </cell>
          <cell r="CJ98">
            <v>10142.433068297243</v>
          </cell>
          <cell r="CK98">
            <v>10606.026481281902</v>
          </cell>
          <cell r="CL98">
            <v>10800.693002204673</v>
          </cell>
          <cell r="CM98">
            <v>10658.24602899355</v>
          </cell>
          <cell r="CN98">
            <v>11054.858373602297</v>
          </cell>
          <cell r="CO98">
            <v>10780.837312194817</v>
          </cell>
          <cell r="CP98">
            <v>11035.194404181702</v>
          </cell>
          <cell r="CQ98">
            <v>11191.652570743772</v>
          </cell>
          <cell r="CR98">
            <v>11102.31458848275</v>
          </cell>
          <cell r="CS98">
            <v>11120.985124201898</v>
          </cell>
          <cell r="CT98">
            <v>11112.716495406499</v>
          </cell>
          <cell r="CU98">
            <v>10911.902393731085</v>
          </cell>
          <cell r="CV98">
            <v>11033.255111076445</v>
          </cell>
          <cell r="CW98">
            <v>10952.673745096745</v>
          </cell>
          <cell r="CX98">
            <v>10974.780521186485</v>
          </cell>
          <cell r="CY98">
            <v>10968.296837159953</v>
          </cell>
          <cell r="CZ98">
            <v>10955.826535033913</v>
          </cell>
          <cell r="DA98">
            <v>11062.15110347512</v>
          </cell>
          <cell r="DB98">
            <v>10989.13788331624</v>
          </cell>
          <cell r="DC98">
            <v>11037.386629251783</v>
          </cell>
          <cell r="DD98">
            <v>11011.42546042016</v>
          </cell>
          <cell r="DE98">
            <v>11036.154360280394</v>
          </cell>
          <cell r="DF98">
            <v>11137.115654341982</v>
          </cell>
          <cell r="DG98">
            <v>11069.461520233996</v>
          </cell>
          <cell r="DH98">
            <v>11113.812432532188</v>
          </cell>
          <cell r="DI98">
            <v>11089.378520636594</v>
          </cell>
        </row>
        <row r="99">
          <cell r="B99" t="str">
            <v>y/y % change - as reported</v>
          </cell>
          <cell r="I99" t="str">
            <v>NM</v>
          </cell>
          <cell r="J99" t="str">
            <v>NM</v>
          </cell>
          <cell r="K99" t="str">
            <v>NM</v>
          </cell>
          <cell r="L99" t="str">
            <v>NM</v>
          </cell>
          <cell r="Q99" t="str">
            <v>NM</v>
          </cell>
          <cell r="R99" t="str">
            <v>NM</v>
          </cell>
          <cell r="S99" t="str">
            <v>NM</v>
          </cell>
          <cell r="T99" t="str">
            <v>NM</v>
          </cell>
          <cell r="U99" t="str">
            <v>NM</v>
          </cell>
          <cell r="V99">
            <v>0.10836496946842766</v>
          </cell>
          <cell r="W99" t="str">
            <v>NM</v>
          </cell>
          <cell r="X99" t="str">
            <v>NM</v>
          </cell>
          <cell r="Y99" t="str">
            <v>NM</v>
          </cell>
          <cell r="Z99">
            <v>-0.22134579897617868</v>
          </cell>
          <cell r="AA99">
            <v>-1.1559823787304579E-2</v>
          </cell>
          <cell r="AB99">
            <v>-0.20477990485742525</v>
          </cell>
          <cell r="AC99">
            <v>-0.20639473306590506</v>
          </cell>
          <cell r="AD99">
            <v>-0.16952292185709261</v>
          </cell>
          <cell r="AE99">
            <v>-0.16476699341100287</v>
          </cell>
          <cell r="AF99">
            <v>-0.18506319693908002</v>
          </cell>
          <cell r="AG99">
            <v>5.0218966902040751E-2</v>
          </cell>
          <cell r="AH99">
            <v>5.3079279438829952E-2</v>
          </cell>
          <cell r="AI99">
            <v>5.8879683848023223E-2</v>
          </cell>
          <cell r="AJ99">
            <v>0.14700270228625434</v>
          </cell>
          <cell r="AK99">
            <v>7.6535717225296285E-2</v>
          </cell>
          <cell r="AL99">
            <v>5.3503550927342935E-2</v>
          </cell>
          <cell r="AM99">
            <v>3.7786541456762857E-2</v>
          </cell>
          <cell r="AN99">
            <v>-2.0634778452596425E-2</v>
          </cell>
          <cell r="AO99">
            <v>8.7639984301022267E-3</v>
          </cell>
          <cell r="AP99">
            <v>1.8588925839341686E-2</v>
          </cell>
          <cell r="AQ99">
            <v>-1.9730208135015248E-2</v>
          </cell>
          <cell r="AR99">
            <v>-1.7500323608559132E-2</v>
          </cell>
          <cell r="AS99">
            <v>2.3800258613129399E-2</v>
          </cell>
          <cell r="AT99">
            <v>2.035950513758733E-2</v>
          </cell>
          <cell r="AU99">
            <v>2.7261236871329864E-3</v>
          </cell>
          <cell r="AW99">
            <v>3.7786541456762857E-2</v>
          </cell>
          <cell r="AX99">
            <v>-2.0634778452596425E-2</v>
          </cell>
          <cell r="AY99">
            <v>8.7639984301022267E-3</v>
          </cell>
          <cell r="AZ99">
            <v>-1.9730208135015248E-2</v>
          </cell>
          <cell r="BB99">
            <v>-1.7500323608559132E-2</v>
          </cell>
          <cell r="BC99">
            <v>2.3800258613129399E-2</v>
          </cell>
          <cell r="BD99">
            <v>2.035950513758733E-2</v>
          </cell>
          <cell r="BE99">
            <v>6.9816389723234673E-2</v>
          </cell>
          <cell r="BF99">
            <v>2.4089908108076319E-2</v>
          </cell>
          <cell r="BG99">
            <v>8.1101177256909684E-2</v>
          </cell>
          <cell r="BH99">
            <v>3.0367313467185575E-3</v>
          </cell>
          <cell r="BI99">
            <v>3.8872977423031196E-2</v>
          </cell>
          <cell r="BJ99">
            <v>7.2834517371392016E-2</v>
          </cell>
          <cell r="BK99">
            <v>4.8194381313962698E-2</v>
          </cell>
          <cell r="BL99">
            <v>7.0245343755878764E-2</v>
          </cell>
          <cell r="BM99">
            <v>-2.4301385374734141E-2</v>
          </cell>
          <cell r="BN99">
            <v>5.2597350963603962E-2</v>
          </cell>
          <cell r="BO99">
            <v>-2.1704383725218546E-2</v>
          </cell>
          <cell r="BP99">
            <v>1.7963395299098295E-2</v>
          </cell>
          <cell r="BQ99">
            <v>-2.4115592252464957E-2</v>
          </cell>
          <cell r="BR99">
            <v>9.7090567957205387E-2</v>
          </cell>
          <cell r="BS99">
            <v>3.1984173910331037E-3</v>
          </cell>
          <cell r="BT99">
            <v>-1.3297789804300852E-2</v>
          </cell>
          <cell r="BU99">
            <v>1.4850673387197366E-2</v>
          </cell>
          <cell r="BV99">
            <v>1.7154447709923915E-2</v>
          </cell>
          <cell r="BW99">
            <v>-2.6453661801845496E-2</v>
          </cell>
          <cell r="BX99">
            <v>-2.2056637249624922E-2</v>
          </cell>
          <cell r="BY99">
            <v>8.9156207732977499E-2</v>
          </cell>
          <cell r="BZ99">
            <v>1.3898103839899756E-2</v>
          </cell>
          <cell r="CA99">
            <v>3.7016078263174546E-3</v>
          </cell>
          <cell r="CB99">
            <v>1.8458058454551507E-2</v>
          </cell>
          <cell r="CC99">
            <v>5.4235104042845039E-2</v>
          </cell>
          <cell r="CD99">
            <v>-2.9465738914544515E-2</v>
          </cell>
          <cell r="CE99">
            <v>1.1046024208740457E-2</v>
          </cell>
          <cell r="CF99">
            <v>2.3704735377764408E-2</v>
          </cell>
          <cell r="CG99">
            <v>7.0180960196807307E-2</v>
          </cell>
          <cell r="CH99">
            <v>2.2119908353031681E-2</v>
          </cell>
          <cell r="CI99">
            <v>3.9227547196497348E-2</v>
          </cell>
          <cell r="CJ99">
            <v>3.8668142134294259E-2</v>
          </cell>
          <cell r="CK99">
            <v>6.1302884157691473E-2</v>
          </cell>
          <cell r="CL99">
            <v>5.564401137169428E-2</v>
          </cell>
          <cell r="CM99">
            <v>5.6264007401888305E-2</v>
          </cell>
          <cell r="CN99">
            <v>7.930882536859829E-2</v>
          </cell>
          <cell r="CO99">
            <v>6.2943895177683729E-2</v>
          </cell>
          <cell r="CP99">
            <v>4.0464534352919079E-2</v>
          </cell>
          <cell r="CQ99">
            <v>3.619763736079662E-2</v>
          </cell>
          <cell r="CR99">
            <v>4.1664318714468074E-2</v>
          </cell>
          <cell r="CS99">
            <v>5.9816913401173899E-3</v>
          </cell>
          <cell r="CT99">
            <v>3.0784175069247688E-2</v>
          </cell>
          <cell r="CU99">
            <v>-1.1172617892793668E-2</v>
          </cell>
          <cell r="CV99">
            <v>-1.4153178779101494E-2</v>
          </cell>
          <cell r="CW99">
            <v>-1.3478346536967889E-2</v>
          </cell>
          <cell r="CX99">
            <v>-1.3146731281677204E-2</v>
          </cell>
          <cell r="CY99">
            <v>-1.299589153617331E-2</v>
          </cell>
          <cell r="CZ99">
            <v>4.0253422105445136E-3</v>
          </cell>
          <cell r="DA99">
            <v>2.6189906884022118E-3</v>
          </cell>
          <cell r="DB99">
            <v>3.3292453576296843E-3</v>
          </cell>
          <cell r="DC99">
            <v>5.7045430607416403E-3</v>
          </cell>
          <cell r="DD99">
            <v>3.9321167087755793E-3</v>
          </cell>
          <cell r="DE99">
            <v>7.3319730820502471E-3</v>
          </cell>
          <cell r="DF99">
            <v>6.7766703026965747E-3</v>
          </cell>
          <cell r="DG99">
            <v>7.3093665554695431E-3</v>
          </cell>
          <cell r="DH99">
            <v>6.9242662097073193E-3</v>
          </cell>
          <cell r="DI99">
            <v>7.0792887348356537E-3</v>
          </cell>
        </row>
        <row r="101">
          <cell r="B101" t="str">
            <v>Revenue / Adjusted Admission</v>
          </cell>
          <cell r="I101" t="str">
            <v>NM</v>
          </cell>
          <cell r="J101" t="str">
            <v>NM</v>
          </cell>
          <cell r="K101" t="str">
            <v>NM</v>
          </cell>
          <cell r="L101" t="str">
            <v>NM</v>
          </cell>
          <cell r="M101" t="str">
            <v>NM</v>
          </cell>
          <cell r="N101" t="str">
            <v>NM</v>
          </cell>
          <cell r="O101" t="str">
            <v>NM</v>
          </cell>
          <cell r="P101" t="str">
            <v>NM</v>
          </cell>
          <cell r="Q101">
            <v>6111.1101094016931</v>
          </cell>
          <cell r="R101">
            <v>6086.9722537458265</v>
          </cell>
          <cell r="S101">
            <v>6342.816787732042</v>
          </cell>
          <cell r="T101">
            <v>6380.4979117723833</v>
          </cell>
          <cell r="U101">
            <v>6683.5810135500469</v>
          </cell>
          <cell r="V101">
            <v>4101.3898722723561</v>
          </cell>
          <cell r="W101">
            <v>6330.9082956699231</v>
          </cell>
          <cell r="X101">
            <v>6373.1902775018216</v>
          </cell>
          <cell r="Y101">
            <v>6548.1630111395561</v>
          </cell>
          <cell r="Z101">
            <v>6568.3015537667479</v>
          </cell>
          <cell r="AA101">
            <v>6456.7796493734886</v>
          </cell>
          <cell r="AB101">
            <v>6456.3388718162405</v>
          </cell>
          <cell r="AC101">
            <v>6514.8788460890373</v>
          </cell>
          <cell r="AD101">
            <v>6761.2635230748165</v>
          </cell>
          <cell r="AE101">
            <v>6553.2768810090856</v>
          </cell>
          <cell r="AF101">
            <v>6574.6718622417102</v>
          </cell>
          <cell r="AG101">
            <v>6672.202940757853</v>
          </cell>
          <cell r="AH101">
            <v>6782.0522235394092</v>
          </cell>
          <cell r="AI101">
            <v>7077.2217240097116</v>
          </cell>
          <cell r="AJ101">
            <v>6871.6089119257622</v>
          </cell>
          <cell r="AK101">
            <v>6850.3429751623917</v>
          </cell>
          <cell r="AL101">
            <v>6773.0796777081468</v>
          </cell>
          <cell r="AM101">
            <v>6889.2881927233075</v>
          </cell>
          <cell r="AN101">
            <v>7119.3850442053918</v>
          </cell>
          <cell r="AO101">
            <v>6954.9197828341366</v>
          </cell>
          <cell r="AP101">
            <v>6934.6420073545314</v>
          </cell>
          <cell r="AQ101">
            <v>7015.9145987643788</v>
          </cell>
          <cell r="AR101">
            <v>6969.5827889027314</v>
          </cell>
          <cell r="AS101">
            <v>7261.1567935585163</v>
          </cell>
          <cell r="AT101">
            <v>7215.9875057769841</v>
          </cell>
          <cell r="AU101">
            <v>7116.4421417608373</v>
          </cell>
          <cell r="AW101">
            <v>6889.2881927233075</v>
          </cell>
          <cell r="AX101">
            <v>7119.3850442053918</v>
          </cell>
          <cell r="AY101">
            <v>6954.9197828341366</v>
          </cell>
          <cell r="AZ101">
            <v>7015.9145987643788</v>
          </cell>
          <cell r="BA101">
            <v>6994.876904631803</v>
          </cell>
          <cell r="BB101">
            <v>6969.5827889027314</v>
          </cell>
          <cell r="BC101">
            <v>7261.1567935585163</v>
          </cell>
          <cell r="BD101">
            <v>7215.9875057769841</v>
          </cell>
          <cell r="BE101">
            <v>7436.4587799958708</v>
          </cell>
          <cell r="BF101">
            <v>7218.2168861166165</v>
          </cell>
          <cell r="BG101">
            <v>7367.0918585737527</v>
          </cell>
          <cell r="BH101">
            <v>7586.0927398104232</v>
          </cell>
          <cell r="BI101">
            <v>7625.4218826705937</v>
          </cell>
          <cell r="BJ101">
            <v>7873.1377886801483</v>
          </cell>
          <cell r="BK101">
            <v>7609.861718490537</v>
          </cell>
          <cell r="BL101">
            <v>8048.6282183026224</v>
          </cell>
          <cell r="BM101">
            <v>7920.2827537505946</v>
          </cell>
          <cell r="BN101">
            <v>8055.8616744200062</v>
          </cell>
          <cell r="BO101">
            <v>8130.0929977306778</v>
          </cell>
          <cell r="BP101">
            <v>8037.9349696651498</v>
          </cell>
          <cell r="BQ101">
            <v>8213.6484136712188</v>
          </cell>
          <cell r="BR101">
            <v>8518.7477360133798</v>
          </cell>
          <cell r="BS101">
            <v>8376.0219249349684</v>
          </cell>
          <cell r="BT101">
            <v>8361.7944571879816</v>
          </cell>
          <cell r="BU101">
            <v>8364.4509832658787</v>
          </cell>
          <cell r="BV101">
            <v>8446.7219816706838</v>
          </cell>
          <cell r="BW101">
            <v>8508.4277729913629</v>
          </cell>
          <cell r="BX101">
            <v>8308.3616597424334</v>
          </cell>
          <cell r="BY101">
            <v>8746.1240451471222</v>
          </cell>
          <cell r="BZ101">
            <v>8502.7490857649118</v>
          </cell>
          <cell r="CA101">
            <v>8628.3421741757866</v>
          </cell>
          <cell r="CB101">
            <v>8580.8685486366612</v>
          </cell>
          <cell r="CC101">
            <v>8679.5426135781472</v>
          </cell>
          <cell r="CD101">
            <v>8893.7207283060561</v>
          </cell>
          <cell r="CE101">
            <v>8697.4016728354873</v>
          </cell>
          <cell r="CF101">
            <v>8980.3497826386538</v>
          </cell>
          <cell r="CG101">
            <v>9166.9272612603145</v>
          </cell>
          <cell r="CH101">
            <v>9028.1823632952273</v>
          </cell>
          <cell r="CI101">
            <v>9360.3664302600464</v>
          </cell>
          <cell r="CJ101">
            <v>9137.7290125834134</v>
          </cell>
          <cell r="CK101">
            <v>9484.6778955656155</v>
          </cell>
          <cell r="CL101">
            <v>9794.4237313727535</v>
          </cell>
          <cell r="CM101">
            <v>9720.3777904979961</v>
          </cell>
          <cell r="CN101">
            <v>9968.7855512719616</v>
          </cell>
          <cell r="CO101">
            <v>9739.9507866299591</v>
          </cell>
          <cell r="CP101">
            <v>9851.5102023137351</v>
          </cell>
          <cell r="CQ101">
            <v>10131.730082992752</v>
          </cell>
          <cell r="CR101">
            <v>10081.895480553612</v>
          </cell>
          <cell r="CS101">
            <v>10128.386068997965</v>
          </cell>
          <cell r="CT101">
            <v>10046.514045880311</v>
          </cell>
          <cell r="CU101">
            <v>9792.0515399140004</v>
          </cell>
          <cell r="CV101">
            <v>10034.21042273917</v>
          </cell>
          <cell r="CW101">
            <v>9990.2838111955243</v>
          </cell>
          <cell r="CX101">
            <v>10038.496838257772</v>
          </cell>
          <cell r="CY101">
            <v>9962.2422164172513</v>
          </cell>
          <cell r="CZ101">
            <v>9875.0013901067723</v>
          </cell>
          <cell r="DA101">
            <v>10099.859793979844</v>
          </cell>
          <cell r="DB101">
            <v>10061.560453943255</v>
          </cell>
          <cell r="DC101">
            <v>10132.813998248466</v>
          </cell>
          <cell r="DD101">
            <v>10040.928630047993</v>
          </cell>
          <cell r="DE101">
            <v>9989.3760183213471</v>
          </cell>
          <cell r="DF101">
            <v>10206.27064421791</v>
          </cell>
          <cell r="DG101">
            <v>10171.794290459575</v>
          </cell>
          <cell r="DH101">
            <v>10238.980057259572</v>
          </cell>
          <cell r="DI101">
            <v>10150.173014093969</v>
          </cell>
        </row>
        <row r="102">
          <cell r="B102" t="str">
            <v>y/y % change - as reported</v>
          </cell>
          <cell r="I102" t="str">
            <v>NM</v>
          </cell>
          <cell r="J102" t="str">
            <v>NM</v>
          </cell>
          <cell r="K102" t="str">
            <v>NM</v>
          </cell>
          <cell r="L102" t="str">
            <v>NM</v>
          </cell>
          <cell r="Q102" t="str">
            <v>NM</v>
          </cell>
          <cell r="R102" t="str">
            <v>NM</v>
          </cell>
          <cell r="S102" t="str">
            <v>NM</v>
          </cell>
          <cell r="T102" t="str">
            <v>NM</v>
          </cell>
          <cell r="U102" t="str">
            <v>NM</v>
          </cell>
          <cell r="V102">
            <v>-0.32886336543625105</v>
          </cell>
          <cell r="W102">
            <v>4.0075103311663973E-2</v>
          </cell>
          <cell r="X102">
            <v>4.7886437187538711E-3</v>
          </cell>
          <cell r="Y102">
            <v>2.6277745355549831E-2</v>
          </cell>
          <cell r="Z102">
            <v>-1.7248157768954386E-2</v>
          </cell>
          <cell r="AA102">
            <v>0.57429063084805931</v>
          </cell>
          <cell r="AB102">
            <v>1.9812413999442446E-2</v>
          </cell>
          <cell r="AC102">
            <v>2.2231968985359618E-2</v>
          </cell>
          <cell r="AD102">
            <v>3.2543556348969771E-2</v>
          </cell>
          <cell r="AE102">
            <v>-2.287451730812573E-3</v>
          </cell>
          <cell r="AF102">
            <v>1.8258670617582684E-2</v>
          </cell>
          <cell r="AG102">
            <v>3.3434439119037096E-2</v>
          </cell>
          <cell r="AH102">
            <v>4.1009723091129935E-2</v>
          </cell>
          <cell r="AI102">
            <v>4.6730644332467541E-2</v>
          </cell>
          <cell r="AJ102">
            <v>4.8576008109649571E-2</v>
          </cell>
          <cell r="AK102">
            <v>4.1929258021812243E-2</v>
          </cell>
          <cell r="AL102">
            <v>1.5118955140599466E-2</v>
          </cell>
          <cell r="AM102">
            <v>1.5811728610950482E-2</v>
          </cell>
          <cell r="AN102">
            <v>5.9576090505459867E-3</v>
          </cell>
          <cell r="AO102">
            <v>1.2123924975384837E-2</v>
          </cell>
          <cell r="AP102">
            <v>1.2305811913036591E-2</v>
          </cell>
          <cell r="AQ102">
            <v>3.5852955023615074E-2</v>
          </cell>
          <cell r="AR102">
            <v>1.1654991623696986E-2</v>
          </cell>
          <cell r="AS102">
            <v>1.9913482480978573E-2</v>
          </cell>
          <cell r="AT102">
            <v>3.753712926886732E-2</v>
          </cell>
          <cell r="AU102">
            <v>2.6216224891421724E-2</v>
          </cell>
          <cell r="AW102">
            <v>1.5811728610950482E-2</v>
          </cell>
          <cell r="AX102">
            <v>5.9576090505459867E-3</v>
          </cell>
          <cell r="AY102">
            <v>1.2123924975384837E-2</v>
          </cell>
          <cell r="AZ102">
            <v>3.5852955023615074E-2</v>
          </cell>
          <cell r="BB102">
            <v>1.1654991623696986E-2</v>
          </cell>
          <cell r="BC102">
            <v>1.9913482480978573E-2</v>
          </cell>
          <cell r="BD102">
            <v>3.753712926886732E-2</v>
          </cell>
          <cell r="BE102">
            <v>5.9941462415400215E-2</v>
          </cell>
          <cell r="BF102">
            <v>3.1929079600660826E-2</v>
          </cell>
          <cell r="BG102">
            <v>5.7034844367435111E-2</v>
          </cell>
          <cell r="BH102">
            <v>4.4749887034551072E-2</v>
          </cell>
          <cell r="BI102">
            <v>5.6739895484273495E-2</v>
          </cell>
          <cell r="BJ102">
            <v>5.8721364779019236E-2</v>
          </cell>
          <cell r="BK102">
            <v>5.4257836603275544E-2</v>
          </cell>
          <cell r="BL102">
            <v>9.2510908349229259E-2</v>
          </cell>
          <cell r="BM102">
            <v>4.4052982925769424E-2</v>
          </cell>
          <cell r="BN102">
            <v>5.6447997025269148E-2</v>
          </cell>
          <cell r="BO102">
            <v>3.2636950596746095E-2</v>
          </cell>
          <cell r="BP102">
            <v>5.6252434933801165E-2</v>
          </cell>
          <cell r="BQ102">
            <v>2.0502897002167453E-2</v>
          </cell>
          <cell r="BR102">
            <v>7.5561062763748632E-2</v>
          </cell>
          <cell r="BS102">
            <v>3.9742520844365581E-2</v>
          </cell>
          <cell r="BT102">
            <v>2.8499238510798941E-2</v>
          </cell>
          <cell r="BU102">
            <v>4.0621877986446453E-2</v>
          </cell>
          <cell r="BV102">
            <v>2.8376375060262582E-2</v>
          </cell>
          <cell r="BW102">
            <v>-1.2114413223422993E-3</v>
          </cell>
          <cell r="BX102">
            <v>-8.0778519682611627E-3</v>
          </cell>
          <cell r="BY102">
            <v>4.5962572977234828E-2</v>
          </cell>
          <cell r="BZ102">
            <v>1.6534032272496502E-2</v>
          </cell>
          <cell r="CA102">
            <v>2.1501855145607651E-2</v>
          </cell>
          <cell r="CB102">
            <v>8.514002537019838E-3</v>
          </cell>
          <cell r="CC102">
            <v>4.4675589368508684E-2</v>
          </cell>
          <cell r="CD102">
            <v>1.6875667712582976E-2</v>
          </cell>
          <cell r="CE102">
            <v>2.2892900296970664E-2</v>
          </cell>
          <cell r="CF102">
            <v>4.0796667697812206E-2</v>
          </cell>
          <cell r="CG102">
            <v>6.8298297462762836E-2</v>
          </cell>
          <cell r="CH102">
            <v>4.016798640652719E-2</v>
          </cell>
          <cell r="CI102">
            <v>5.2469120203965547E-2</v>
          </cell>
          <cell r="CJ102">
            <v>5.062745821239889E-2</v>
          </cell>
          <cell r="CK102">
            <v>5.6159072322768511E-2</v>
          </cell>
          <cell r="CL102">
            <v>6.8452214382048959E-2</v>
          </cell>
          <cell r="CM102">
            <v>7.6670518975884061E-2</v>
          </cell>
          <cell r="CN102">
            <v>6.4999498208214046E-2</v>
          </cell>
          <cell r="CO102">
            <v>6.5904971926529665E-2</v>
          </cell>
          <cell r="CP102">
            <v>3.8676306226448132E-2</v>
          </cell>
          <cell r="CQ102">
            <v>3.4438611282414211E-2</v>
          </cell>
          <cell r="CR102">
            <v>3.7191732445729819E-2</v>
          </cell>
          <cell r="CS102">
            <v>1.60100261867544E-2</v>
          </cell>
          <cell r="CT102">
            <v>3.1474826307251069E-2</v>
          </cell>
          <cell r="CU102">
            <v>-6.0354870652998827E-3</v>
          </cell>
          <cell r="CV102">
            <v>-9.6251735345060929E-3</v>
          </cell>
          <cell r="CW102">
            <v>-9.0867505554677042E-3</v>
          </cell>
          <cell r="CX102">
            <v>-8.8749806857516544E-3</v>
          </cell>
          <cell r="CY102">
            <v>-8.3881661915972128E-3</v>
          </cell>
          <cell r="CZ102">
            <v>8.4711410938407283E-3</v>
          </cell>
          <cell r="DA102">
            <v>6.5425547676278839E-3</v>
          </cell>
          <cell r="DB102">
            <v>7.1345963833235881E-3</v>
          </cell>
          <cell r="DC102">
            <v>9.3955461171479904E-3</v>
          </cell>
          <cell r="DD102">
            <v>7.8984642133144156E-3</v>
          </cell>
          <cell r="DE102">
            <v>1.158223920142043E-2</v>
          </cell>
          <cell r="DF102">
            <v>1.0535874003072099E-2</v>
          </cell>
          <cell r="DG102">
            <v>1.0955938397519294E-2</v>
          </cell>
          <cell r="DH102">
            <v>1.0477450689360124E-2</v>
          </cell>
          <cell r="DI102">
            <v>1.0879908429889396E-2</v>
          </cell>
        </row>
        <row r="104">
          <cell r="B104" t="str">
            <v>Gross Revenues</v>
          </cell>
        </row>
        <row r="105">
          <cell r="B105" t="str">
            <v>Total inpatient revenue</v>
          </cell>
          <cell r="I105">
            <v>302.72358000000003</v>
          </cell>
          <cell r="J105">
            <v>407.16068999999999</v>
          </cell>
          <cell r="K105">
            <v>472.08199999999999</v>
          </cell>
          <cell r="L105">
            <v>576.00199999999995</v>
          </cell>
          <cell r="M105">
            <v>154.51878991431346</v>
          </cell>
          <cell r="N105">
            <v>171.84332965344282</v>
          </cell>
          <cell r="O105">
            <v>178.27958938077032</v>
          </cell>
          <cell r="P105">
            <v>166.10736</v>
          </cell>
          <cell r="Q105">
            <v>670.74906894852654</v>
          </cell>
          <cell r="R105">
            <v>0</v>
          </cell>
          <cell r="S105">
            <v>0</v>
          </cell>
          <cell r="T105">
            <v>0</v>
          </cell>
          <cell r="U105">
            <v>181.93187399999999</v>
          </cell>
          <cell r="V105">
            <v>181.93187399999999</v>
          </cell>
          <cell r="W105">
            <v>199.74902000000003</v>
          </cell>
          <cell r="X105">
            <v>228.54339999999999</v>
          </cell>
          <cell r="Y105">
            <v>206.78971099999998</v>
          </cell>
          <cell r="Z105">
            <v>239.222679</v>
          </cell>
          <cell r="AA105">
            <v>874.30480999999997</v>
          </cell>
          <cell r="AB105">
            <v>271.70990800000004</v>
          </cell>
          <cell r="AC105">
            <v>328.25056799999993</v>
          </cell>
          <cell r="AD105">
            <v>314.01228000000003</v>
          </cell>
          <cell r="AE105">
            <v>341.75469999999996</v>
          </cell>
          <cell r="AF105">
            <v>1255.7274560000001</v>
          </cell>
          <cell r="AG105">
            <v>337.61812600000002</v>
          </cell>
          <cell r="AH105">
            <v>363.31726400000002</v>
          </cell>
          <cell r="AI105">
            <v>338.44742099999996</v>
          </cell>
          <cell r="AJ105">
            <v>348.50574</v>
          </cell>
          <cell r="AK105">
            <v>1387.888551</v>
          </cell>
          <cell r="AL105">
            <v>398.70343100000002</v>
          </cell>
          <cell r="AM105">
            <v>446.97415200000006</v>
          </cell>
          <cell r="AN105">
            <v>419.29593299999999</v>
          </cell>
          <cell r="AO105">
            <v>407.02283999999997</v>
          </cell>
          <cell r="AP105">
            <v>1671.9963560000001</v>
          </cell>
          <cell r="AQ105">
            <v>437.40029200000004</v>
          </cell>
          <cell r="AR105">
            <v>494.50447200000002</v>
          </cell>
          <cell r="AS105">
            <v>469.00052800000003</v>
          </cell>
          <cell r="AT105">
            <v>454.60718400000002</v>
          </cell>
          <cell r="AU105">
            <v>1855.5124760000001</v>
          </cell>
          <cell r="AW105">
            <v>446.97415200000006</v>
          </cell>
          <cell r="AX105">
            <v>419.29593299999999</v>
          </cell>
          <cell r="AY105">
            <v>407.02283999999997</v>
          </cell>
          <cell r="AZ105">
            <v>437.40029200000004</v>
          </cell>
          <cell r="BA105">
            <v>1710.6932170000002</v>
          </cell>
          <cell r="BB105">
            <v>494.50447200000002</v>
          </cell>
          <cell r="BC105">
            <v>469.00052800000003</v>
          </cell>
          <cell r="BD105">
            <v>454.60718400000002</v>
          </cell>
          <cell r="BE105">
            <v>483.23554800000005</v>
          </cell>
          <cell r="BF105">
            <v>1901.3477320000002</v>
          </cell>
          <cell r="BG105">
            <v>522.52596000000005</v>
          </cell>
          <cell r="BH105">
            <v>513.047012</v>
          </cell>
          <cell r="BI105">
            <v>506.99660999999998</v>
          </cell>
          <cell r="BJ105">
            <v>526.36649999999997</v>
          </cell>
          <cell r="BK105">
            <v>2068.9360819999997</v>
          </cell>
          <cell r="BL105">
            <v>587.77596199999994</v>
          </cell>
          <cell r="BM105">
            <v>570.46455900000001</v>
          </cell>
          <cell r="BN105">
            <v>530.81374400000004</v>
          </cell>
          <cell r="BO105">
            <v>554.71666800000003</v>
          </cell>
          <cell r="BP105">
            <v>2243.7709329999998</v>
          </cell>
          <cell r="BQ105">
            <v>609.71058799999992</v>
          </cell>
          <cell r="BR105">
            <v>565.91308800000002</v>
          </cell>
          <cell r="BS105">
            <v>538.79317200000003</v>
          </cell>
          <cell r="BT105">
            <v>585.93230200000005</v>
          </cell>
          <cell r="BU105">
            <v>2300.34915</v>
          </cell>
          <cell r="BV105">
            <v>630.84021299999995</v>
          </cell>
          <cell r="BW105">
            <v>608.92373099999998</v>
          </cell>
          <cell r="BX105">
            <v>558.70769400000006</v>
          </cell>
          <cell r="BY105">
            <v>594.58992000000001</v>
          </cell>
          <cell r="BZ105">
            <v>2393.0615579999999</v>
          </cell>
          <cell r="CA105">
            <v>665.63984200000004</v>
          </cell>
          <cell r="CB105">
            <v>621.39792599999998</v>
          </cell>
          <cell r="CC105">
            <v>601.02170699999999</v>
          </cell>
          <cell r="CD105">
            <v>670.621264</v>
          </cell>
          <cell r="CE105">
            <v>2558.6807389999999</v>
          </cell>
          <cell r="CF105">
            <v>721.12142300000005</v>
          </cell>
          <cell r="CG105">
            <v>664.18802800000003</v>
          </cell>
          <cell r="CH105">
            <v>656.71443599999998</v>
          </cell>
          <cell r="CI105">
            <v>755.46019799999988</v>
          </cell>
          <cell r="CJ105">
            <v>2797.4840850000001</v>
          </cell>
          <cell r="CK105">
            <v>790.97694200000001</v>
          </cell>
          <cell r="CL105">
            <v>760.62999100000002</v>
          </cell>
          <cell r="CM105">
            <v>742.22740199999998</v>
          </cell>
          <cell r="CN105">
            <v>760.12852733249053</v>
          </cell>
          <cell r="CO105">
            <v>3053.9628623324907</v>
          </cell>
          <cell r="CP105">
            <v>809.27008721589209</v>
          </cell>
          <cell r="CQ105">
            <v>764.52132934436383</v>
          </cell>
          <cell r="CR105">
            <v>747.41941592573357</v>
          </cell>
          <cell r="CS105">
            <v>760.16914932226302</v>
          </cell>
          <cell r="CT105">
            <v>3081.3799818082525</v>
          </cell>
          <cell r="CU105">
            <v>812.04255413254123</v>
          </cell>
          <cell r="CV105">
            <v>765.88894898834474</v>
          </cell>
          <cell r="CW105">
            <v>749.45134020115006</v>
          </cell>
          <cell r="CX105">
            <v>760.65603930794919</v>
          </cell>
          <cell r="CY105">
            <v>3088.038882629985</v>
          </cell>
          <cell r="CZ105">
            <v>832.29780367740659</v>
          </cell>
          <cell r="DA105">
            <v>783.55629601108694</v>
          </cell>
          <cell r="DB105">
            <v>767.28030693040182</v>
          </cell>
          <cell r="DC105">
            <v>780.30592278558834</v>
          </cell>
          <cell r="DD105">
            <v>3163.4403294044837</v>
          </cell>
          <cell r="DE105">
            <v>856.72848122096434</v>
          </cell>
          <cell r="DF105">
            <v>804.25000200398244</v>
          </cell>
          <cell r="DG105">
            <v>787.9328577978381</v>
          </cell>
          <cell r="DH105">
            <v>799.25933816143174</v>
          </cell>
          <cell r="DI105">
            <v>3248.1706791842162</v>
          </cell>
        </row>
        <row r="106">
          <cell r="B106" t="str">
            <v>% of net revenue</v>
          </cell>
          <cell r="I106">
            <v>0.56999999999999995</v>
          </cell>
          <cell r="J106">
            <v>0.56999999999999995</v>
          </cell>
          <cell r="K106">
            <v>0.52718200924195013</v>
          </cell>
          <cell r="L106">
            <v>0.50579644222612885</v>
          </cell>
          <cell r="M106">
            <v>0.50579644222612885</v>
          </cell>
          <cell r="N106">
            <v>0.50579644222612885</v>
          </cell>
          <cell r="O106">
            <v>0.50579644222612885</v>
          </cell>
          <cell r="P106">
            <v>0.46400000000000002</v>
          </cell>
          <cell r="Q106">
            <v>0.49475961173655264</v>
          </cell>
          <cell r="U106">
            <v>0.44600000000000001</v>
          </cell>
          <cell r="V106">
            <v>0.17918463771186602</v>
          </cell>
          <cell r="W106">
            <v>0.46</v>
          </cell>
          <cell r="X106">
            <v>0.47499999999999998</v>
          </cell>
          <cell r="Y106">
            <v>0.437</v>
          </cell>
          <cell r="Z106">
            <v>0.48699999999999999</v>
          </cell>
          <cell r="AA106">
            <v>0.46510498185712212</v>
          </cell>
          <cell r="AB106">
            <v>0.54800000000000004</v>
          </cell>
          <cell r="AC106">
            <v>0.56599999999999995</v>
          </cell>
          <cell r="AD106">
            <v>0.53</v>
          </cell>
          <cell r="AE106">
            <v>0.57499999999999996</v>
          </cell>
          <cell r="AF106">
            <v>0.55499288473752106</v>
          </cell>
          <cell r="AG106">
            <v>0.55400000000000005</v>
          </cell>
          <cell r="AH106">
            <v>0.56200000000000006</v>
          </cell>
          <cell r="AI106">
            <v>0.52300000000000002</v>
          </cell>
          <cell r="AJ106">
            <v>0.53</v>
          </cell>
          <cell r="AK106">
            <v>0.54202201028206154</v>
          </cell>
          <cell r="AL106">
            <v>0.52700000000000002</v>
          </cell>
          <cell r="AM106">
            <v>0.53600000000000003</v>
          </cell>
          <cell r="AN106">
            <v>0.51300000000000001</v>
          </cell>
          <cell r="AO106">
            <v>0.51</v>
          </cell>
          <cell r="AP106">
            <v>0.52153971711399505</v>
          </cell>
          <cell r="AQ106">
            <v>0.53200000000000003</v>
          </cell>
          <cell r="AR106">
            <v>0.53900000000000003</v>
          </cell>
          <cell r="AS106">
            <v>0.502</v>
          </cell>
          <cell r="AT106">
            <v>0.502</v>
          </cell>
          <cell r="AU106">
            <v>0.51837414488397071</v>
          </cell>
          <cell r="AW106">
            <v>0.53600000000000003</v>
          </cell>
          <cell r="AX106">
            <v>0.51300000000000001</v>
          </cell>
          <cell r="AY106">
            <v>0.51</v>
          </cell>
          <cell r="AZ106">
            <v>0.53200000000000003</v>
          </cell>
          <cell r="BA106">
            <v>0.52290582889323689</v>
          </cell>
          <cell r="BB106">
            <v>0.53900000000000003</v>
          </cell>
          <cell r="BC106">
            <v>0.502</v>
          </cell>
          <cell r="BD106">
            <v>0.502</v>
          </cell>
          <cell r="BE106">
            <v>0.51600000000000001</v>
          </cell>
          <cell r="BF106">
            <v>0.51473932774506093</v>
          </cell>
          <cell r="BG106">
            <v>0.50600000000000001</v>
          </cell>
          <cell r="BH106">
            <v>0.502</v>
          </cell>
          <cell r="BI106">
            <v>0.51</v>
          </cell>
          <cell r="BJ106">
            <v>0.5</v>
          </cell>
          <cell r="BK106">
            <v>0.50443277768431627</v>
          </cell>
          <cell r="BL106">
            <v>0.51400000000000001</v>
          </cell>
          <cell r="BM106">
            <v>0.51900000000000002</v>
          </cell>
          <cell r="BN106">
            <v>0.496</v>
          </cell>
          <cell r="BO106">
            <v>0.50600000000000001</v>
          </cell>
          <cell r="BP106">
            <v>0.50888841051619571</v>
          </cell>
          <cell r="BQ106">
            <v>0.52900000000000003</v>
          </cell>
          <cell r="BR106">
            <v>0.51200000000000001</v>
          </cell>
          <cell r="BS106">
            <v>0.498</v>
          </cell>
          <cell r="BT106">
            <v>0.52700000000000002</v>
          </cell>
          <cell r="BU106">
            <v>0.5167453198403904</v>
          </cell>
          <cell r="BV106">
            <v>0.53100000000000003</v>
          </cell>
          <cell r="BW106">
            <v>0.52700000000000002</v>
          </cell>
          <cell r="BX106">
            <v>0.498</v>
          </cell>
          <cell r="BY106">
            <v>0.496</v>
          </cell>
          <cell r="BZ106">
            <v>0.5130757096310602</v>
          </cell>
          <cell r="CA106">
            <v>0.51800000000000002</v>
          </cell>
          <cell r="CB106">
            <v>0.498</v>
          </cell>
          <cell r="CC106">
            <v>0.47299999999999998</v>
          </cell>
          <cell r="CD106">
            <v>0.496</v>
          </cell>
          <cell r="CE106">
            <v>0.49629887068705336</v>
          </cell>
          <cell r="CF106">
            <v>0.503</v>
          </cell>
          <cell r="CG106">
            <v>0.47599999999999998</v>
          </cell>
          <cell r="CH106">
            <v>0.46899999999999997</v>
          </cell>
          <cell r="CI106">
            <v>0.47699999999999998</v>
          </cell>
          <cell r="CJ106">
            <v>0.4812451935416614</v>
          </cell>
          <cell r="CK106">
            <v>0.46899999999999997</v>
          </cell>
          <cell r="CL106">
            <v>0.45100000000000001</v>
          </cell>
          <cell r="CM106">
            <v>0.44600000000000001</v>
          </cell>
          <cell r="CN106">
            <v>0.44328666573993525</v>
          </cell>
          <cell r="CO106">
            <v>0.45230478362226068</v>
          </cell>
          <cell r="CP106">
            <v>0.45626193980796548</v>
          </cell>
          <cell r="CQ106">
            <v>0.4372936867430402</v>
          </cell>
          <cell r="CR106">
            <v>0.43278446531320447</v>
          </cell>
          <cell r="CS106">
            <v>0.42839440213286922</v>
          </cell>
          <cell r="CT106">
            <v>0.43872674866243344</v>
          </cell>
          <cell r="CU106">
            <v>0.44895514540324011</v>
          </cell>
          <cell r="CV106">
            <v>0.43002824742948326</v>
          </cell>
          <cell r="CW106">
            <v>0.42554444781090112</v>
          </cell>
          <cell r="CX106">
            <v>0.42116301719057975</v>
          </cell>
          <cell r="CY106">
            <v>0.43147099874264905</v>
          </cell>
          <cell r="CZ106">
            <v>0.44244870111431456</v>
          </cell>
          <cell r="DA106">
            <v>0.42356709507374268</v>
          </cell>
          <cell r="DB106">
            <v>0.41910788097981722</v>
          </cell>
          <cell r="DC106">
            <v>0.4147646859413911</v>
          </cell>
          <cell r="DD106">
            <v>0.42501738826564683</v>
          </cell>
          <cell r="DE106">
            <v>0.43600383093253731</v>
          </cell>
          <cell r="DF106">
            <v>0.41716442374830037</v>
          </cell>
          <cell r="DG106">
            <v>0.41272905521613529</v>
          </cell>
          <cell r="DH106">
            <v>0.4083820548758294</v>
          </cell>
          <cell r="DI106">
            <v>0.41862888349025484</v>
          </cell>
        </row>
        <row r="107">
          <cell r="B107" t="str">
            <v>y/y % change - as reported</v>
          </cell>
          <cell r="I107" t="str">
            <v>NM</v>
          </cell>
          <cell r="J107">
            <v>0.34499165872708026</v>
          </cell>
          <cell r="K107">
            <v>0.15944886526250857</v>
          </cell>
          <cell r="L107">
            <v>0.22013124838481435</v>
          </cell>
          <cell r="Q107">
            <v>0.16449086799790025</v>
          </cell>
          <cell r="R107">
            <v>-1</v>
          </cell>
          <cell r="S107">
            <v>-1</v>
          </cell>
          <cell r="T107">
            <v>-1</v>
          </cell>
          <cell r="U107">
            <v>9.5266784084702794E-2</v>
          </cell>
          <cell r="V107">
            <v>-0.72876313598884557</v>
          </cell>
          <cell r="W107" t="str">
            <v>NM</v>
          </cell>
          <cell r="X107" t="str">
            <v>NM</v>
          </cell>
          <cell r="Y107" t="str">
            <v>NM</v>
          </cell>
          <cell r="Z107">
            <v>0.31490251675195746</v>
          </cell>
          <cell r="AA107">
            <v>3.8056714350119867</v>
          </cell>
          <cell r="AB107">
            <v>0.36025652591436996</v>
          </cell>
          <cell r="AC107">
            <v>0.43627235789788688</v>
          </cell>
          <cell r="AD107">
            <v>0.5185101738451583</v>
          </cell>
          <cell r="AE107">
            <v>0.4286049359057631</v>
          </cell>
          <cell r="AF107">
            <v>0.43625820381795699</v>
          </cell>
          <cell r="AG107">
            <v>0.24256832768866121</v>
          </cell>
          <cell r="AH107">
            <v>0.10682904895993994</v>
          </cell>
          <cell r="AI107">
            <v>7.7815877137034084E-2</v>
          </cell>
          <cell r="AJ107">
            <v>1.975405166337163E-2</v>
          </cell>
          <cell r="AK107">
            <v>0.10524663960202507</v>
          </cell>
          <cell r="AL107">
            <v>0.18093017020063673</v>
          </cell>
          <cell r="AM107">
            <v>0.23025849935939191</v>
          </cell>
          <cell r="AN107">
            <v>0.2388805675077077</v>
          </cell>
          <cell r="AO107">
            <v>0.16790856873691662</v>
          </cell>
          <cell r="AP107">
            <v>0.20470505704171638</v>
          </cell>
          <cell r="AQ107">
            <v>9.7056754447643501E-2</v>
          </cell>
          <cell r="AR107">
            <v>0.10633796112666483</v>
          </cell>
          <cell r="AS107">
            <v>0.11854299335643703</v>
          </cell>
          <cell r="AT107">
            <v>0.11690828947093013</v>
          </cell>
          <cell r="AU107">
            <v>0.10975868418698864</v>
          </cell>
          <cell r="AW107">
            <v>0.23025849935939191</v>
          </cell>
          <cell r="AX107">
            <v>0.2388805675077077</v>
          </cell>
          <cell r="AY107">
            <v>0.16790856873691662</v>
          </cell>
          <cell r="AZ107">
            <v>9.7056754447643501E-2</v>
          </cell>
          <cell r="BB107">
            <v>0.10633796112666483</v>
          </cell>
          <cell r="BC107">
            <v>0.11854299335643703</v>
          </cell>
          <cell r="BD107">
            <v>0.11690828947093013</v>
          </cell>
          <cell r="BE107">
            <v>0.10479018153010289</v>
          </cell>
          <cell r="BF107">
            <v>0.11144868823081322</v>
          </cell>
          <cell r="BG107">
            <v>5.6665792903082268E-2</v>
          </cell>
          <cell r="BH107">
            <v>9.3915638406274704E-2</v>
          </cell>
          <cell r="BI107">
            <v>0.11524108690724066</v>
          </cell>
          <cell r="BJ107">
            <v>8.9254509893796019E-2</v>
          </cell>
          <cell r="BK107">
            <v>8.814187283023478E-2</v>
          </cell>
          <cell r="BL107">
            <v>0.12487418232770642</v>
          </cell>
          <cell r="BM107">
            <v>0.11191478686557477</v>
          </cell>
          <cell r="BN107">
            <v>4.6976909766714314E-2</v>
          </cell>
          <cell r="BO107">
            <v>5.3860129776496235E-2</v>
          </cell>
          <cell r="BP107">
            <v>8.4504713568043455E-2</v>
          </cell>
          <cell r="BQ107">
            <v>3.7318004508663405E-2</v>
          </cell>
          <cell r="BR107">
            <v>-7.9785342107466795E-3</v>
          </cell>
          <cell r="BS107">
            <v>1.5032444223976205E-2</v>
          </cell>
          <cell r="BT107">
            <v>5.6273113466278613E-2</v>
          </cell>
          <cell r="BU107">
            <v>2.5215683191132765E-2</v>
          </cell>
          <cell r="BV107">
            <v>3.4655171512291361E-2</v>
          </cell>
          <cell r="BW107">
            <v>7.6002205836949832E-2</v>
          </cell>
          <cell r="BX107">
            <v>3.6961348129333826E-2</v>
          </cell>
          <cell r="BY107">
            <v>1.4775799133190493E-2</v>
          </cell>
          <cell r="BZ107">
            <v>4.0303624343287048E-2</v>
          </cell>
          <cell r="CA107">
            <v>5.5163935784163565E-2</v>
          </cell>
          <cell r="CB107">
            <v>2.0485644367176148E-2</v>
          </cell>
          <cell r="CC107">
            <v>7.5735511528502331E-2</v>
          </cell>
          <cell r="CD107">
            <v>0.1278719020329171</v>
          </cell>
          <cell r="CE107">
            <v>6.9208073835934414E-2</v>
          </cell>
          <cell r="CF107">
            <v>8.3350751411301438E-2</v>
          </cell>
          <cell r="CG107">
            <v>6.8861031248437232E-2</v>
          </cell>
          <cell r="CH107">
            <v>9.2663423552520774E-2</v>
          </cell>
          <cell r="CI107">
            <v>0.1265079688854005</v>
          </cell>
          <cell r="CJ107">
            <v>9.3330653707633271E-2</v>
          </cell>
          <cell r="CK107">
            <v>9.6870674995880535E-2</v>
          </cell>
          <cell r="CL107">
            <v>0.14520280242088313</v>
          </cell>
          <cell r="CM107">
            <v>0.13021331847195761</v>
          </cell>
          <cell r="CN107">
            <v>6.1794510747879006E-3</v>
          </cell>
          <cell r="CO107">
            <v>9.1681943324617876E-2</v>
          </cell>
          <cell r="CP107">
            <v>2.3127280005960094E-2</v>
          </cell>
          <cell r="CQ107">
            <v>5.115941246607747E-3</v>
          </cell>
          <cell r="CR107">
            <v>6.9951795254974414E-3</v>
          </cell>
          <cell r="CS107">
            <v>5.3440948881489092E-5</v>
          </cell>
          <cell r="CT107">
            <v>8.9775549709276703E-3</v>
          </cell>
          <cell r="CU107">
            <v>3.4258858203781717E-3</v>
          </cell>
          <cell r="CV107">
            <v>1.7888574085351827E-3</v>
          </cell>
          <cell r="CW107">
            <v>2.7185864216543454E-3</v>
          </cell>
          <cell r="CX107">
            <v>6.4050216470934451E-4</v>
          </cell>
          <cell r="CY107">
            <v>2.1610125531563718E-3</v>
          </cell>
          <cell r="CZ107">
            <v>2.4943581394577086E-2</v>
          </cell>
          <cell r="DA107">
            <v>2.3067765954945418E-2</v>
          </cell>
          <cell r="DB107">
            <v>2.3789358658650839E-2</v>
          </cell>
          <cell r="DC107">
            <v>2.5832810708394272E-2</v>
          </cell>
          <cell r="DD107">
            <v>2.4417259510113976E-2</v>
          </cell>
          <cell r="DE107">
            <v>2.9353288493149554E-2</v>
          </cell>
          <cell r="DF107">
            <v>2.6409979854979948E-2</v>
          </cell>
          <cell r="DG107">
            <v>2.6916565798566161E-2</v>
          </cell>
          <cell r="DH107">
            <v>2.4289723840852373E-2</v>
          </cell>
          <cell r="DI107">
            <v>2.6784241508257756E-2</v>
          </cell>
        </row>
        <row r="109">
          <cell r="B109" t="str">
            <v>Total outpatient revenue</v>
          </cell>
          <cell r="I109">
            <v>228.37042000000002</v>
          </cell>
          <cell r="J109">
            <v>307.15631000000002</v>
          </cell>
          <cell r="K109">
            <v>423.4</v>
          </cell>
          <cell r="L109">
            <v>562.79999999999995</v>
          </cell>
          <cell r="M109">
            <v>150.97721008568652</v>
          </cell>
          <cell r="N109">
            <v>167.90467034655717</v>
          </cell>
          <cell r="O109">
            <v>174.1934106192297</v>
          </cell>
          <cell r="P109">
            <v>191.88264000000001</v>
          </cell>
          <cell r="Q109">
            <v>684.95793105147345</v>
          </cell>
          <cell r="R109">
            <v>0</v>
          </cell>
          <cell r="S109">
            <v>0</v>
          </cell>
          <cell r="T109">
            <v>0</v>
          </cell>
          <cell r="U109">
            <v>225.98712600000002</v>
          </cell>
          <cell r="V109">
            <v>833.4</v>
          </cell>
          <cell r="W109">
            <v>234.48798000000002</v>
          </cell>
          <cell r="X109">
            <v>252.60060000000001</v>
          </cell>
          <cell r="Y109">
            <v>266.41328899999996</v>
          </cell>
          <cell r="Z109">
            <v>251.99432099999999</v>
          </cell>
          <cell r="AA109">
            <v>1005.49619</v>
          </cell>
          <cell r="AB109">
            <v>224.11109200000001</v>
          </cell>
          <cell r="AC109">
            <v>251.69743199999999</v>
          </cell>
          <cell r="AD109">
            <v>278.46371999999997</v>
          </cell>
          <cell r="AE109">
            <v>252.60129999999998</v>
          </cell>
          <cell r="AF109">
            <v>1006.873544</v>
          </cell>
          <cell r="AG109">
            <v>271.80087400000002</v>
          </cell>
          <cell r="AH109">
            <v>283.15473600000001</v>
          </cell>
          <cell r="AI109">
            <v>308.67957899999999</v>
          </cell>
          <cell r="AJ109">
            <v>309.05225999999999</v>
          </cell>
          <cell r="AK109">
            <v>1172.687449</v>
          </cell>
          <cell r="AL109">
            <v>357.84956899999997</v>
          </cell>
          <cell r="AM109">
            <v>386.93284800000004</v>
          </cell>
          <cell r="AN109">
            <v>398.04506700000002</v>
          </cell>
          <cell r="AO109">
            <v>391.06115999999997</v>
          </cell>
          <cell r="AP109">
            <v>1533.8886439999999</v>
          </cell>
          <cell r="AQ109">
            <v>384.78070800000006</v>
          </cell>
          <cell r="AR109">
            <v>422.94352800000001</v>
          </cell>
          <cell r="AS109">
            <v>465.26347199999998</v>
          </cell>
          <cell r="AT109">
            <v>450.98481599999997</v>
          </cell>
          <cell r="AU109">
            <v>1723.972524</v>
          </cell>
          <cell r="AW109">
            <v>386.93284800000004</v>
          </cell>
          <cell r="AX109">
            <v>398.04506700000002</v>
          </cell>
          <cell r="AY109">
            <v>391.06115999999997</v>
          </cell>
          <cell r="AZ109">
            <v>384.78070800000006</v>
          </cell>
          <cell r="BA109">
            <v>1560.8197830000001</v>
          </cell>
          <cell r="BB109">
            <v>422.94352800000001</v>
          </cell>
          <cell r="BC109">
            <v>465.26347199999998</v>
          </cell>
          <cell r="BD109">
            <v>450.98481599999997</v>
          </cell>
          <cell r="BE109">
            <v>453.26745199999999</v>
          </cell>
          <cell r="BF109">
            <v>1792.4592680000001</v>
          </cell>
          <cell r="BG109">
            <v>510.13404000000003</v>
          </cell>
          <cell r="BH109">
            <v>508.95898799999998</v>
          </cell>
          <cell r="BI109">
            <v>487.11439000000001</v>
          </cell>
          <cell r="BJ109">
            <v>526.36649999999997</v>
          </cell>
          <cell r="BK109">
            <v>2032.573918</v>
          </cell>
          <cell r="BL109">
            <v>555.75703799999997</v>
          </cell>
          <cell r="BM109">
            <v>528.69644100000005</v>
          </cell>
          <cell r="BN109">
            <v>539.37525600000004</v>
          </cell>
          <cell r="BO109">
            <v>541.56133199999999</v>
          </cell>
          <cell r="BP109">
            <v>2165.3900670000003</v>
          </cell>
          <cell r="BQ109">
            <v>542.86141199999997</v>
          </cell>
          <cell r="BR109">
            <v>539.38591199999996</v>
          </cell>
          <cell r="BS109">
            <v>543.12082799999996</v>
          </cell>
          <cell r="BT109">
            <v>525.89369799999997</v>
          </cell>
          <cell r="BU109">
            <v>2151.2618499999999</v>
          </cell>
          <cell r="BV109">
            <v>557.18278699999996</v>
          </cell>
          <cell r="BW109">
            <v>546.529269</v>
          </cell>
          <cell r="BX109">
            <v>563.19530599999996</v>
          </cell>
          <cell r="BY109">
            <v>604.18007999999998</v>
          </cell>
          <cell r="BZ109">
            <v>2271.087442</v>
          </cell>
          <cell r="CA109">
            <v>619.37915799999996</v>
          </cell>
          <cell r="CB109">
            <v>626.38907400000005</v>
          </cell>
          <cell r="CC109">
            <v>669.63729300000011</v>
          </cell>
          <cell r="CD109">
            <v>681.43773599999997</v>
          </cell>
          <cell r="CE109">
            <v>2596.843261</v>
          </cell>
          <cell r="CF109">
            <v>712.51957700000003</v>
          </cell>
          <cell r="CG109">
            <v>731.16497200000003</v>
          </cell>
          <cell r="CH109">
            <v>743.52956399999994</v>
          </cell>
          <cell r="CI109">
            <v>828.31380200000001</v>
          </cell>
          <cell r="CJ109">
            <v>3015.5279150000001</v>
          </cell>
          <cell r="CK109">
            <v>895.54105800000002</v>
          </cell>
          <cell r="CL109">
            <v>925.91100900000004</v>
          </cell>
          <cell r="CM109">
            <v>921.95959800000003</v>
          </cell>
          <cell r="CN109">
            <v>954.62760245923698</v>
          </cell>
          <cell r="CO109">
            <v>3698.0392674592372</v>
          </cell>
          <cell r="CP109">
            <v>964.42615305456093</v>
          </cell>
          <cell r="CQ109">
            <v>983.7804470625</v>
          </cell>
          <cell r="CR109">
            <v>979.58207287499999</v>
          </cell>
          <cell r="CS109">
            <v>1014.2918276129393</v>
          </cell>
          <cell r="CT109">
            <v>3942.0805006050005</v>
          </cell>
          <cell r="CU109">
            <v>996.69616385939821</v>
          </cell>
          <cell r="CV109">
            <v>1015.1311434509</v>
          </cell>
          <cell r="CW109">
            <v>1011.7074389968886</v>
          </cell>
          <cell r="CX109">
            <v>1045.4285603845876</v>
          </cell>
          <cell r="CY109">
            <v>4068.9633066917741</v>
          </cell>
          <cell r="CZ109">
            <v>1048.8192649934936</v>
          </cell>
          <cell r="DA109">
            <v>1066.3425868912084</v>
          </cell>
          <cell r="DB109">
            <v>1063.466242470208</v>
          </cell>
          <cell r="DC109">
            <v>1101.0160634739905</v>
          </cell>
          <cell r="DD109">
            <v>4279.6441578289005</v>
          </cell>
          <cell r="DE109">
            <v>1108.2278343888534</v>
          </cell>
          <cell r="DF109">
            <v>1123.6469043948082</v>
          </cell>
          <cell r="DG109">
            <v>1121.1473192331164</v>
          </cell>
          <cell r="DH109">
            <v>1157.8769478696734</v>
          </cell>
          <cell r="DI109">
            <v>4510.8990058864511</v>
          </cell>
        </row>
        <row r="110">
          <cell r="B110" t="str">
            <v>% of net revenue</v>
          </cell>
          <cell r="I110">
            <v>0.43</v>
          </cell>
          <cell r="J110">
            <v>0.43</v>
          </cell>
          <cell r="K110">
            <v>0.47281799075804987</v>
          </cell>
          <cell r="L110">
            <v>0.49420355777387115</v>
          </cell>
          <cell r="M110">
            <v>0.49420355777387115</v>
          </cell>
          <cell r="N110">
            <v>0.49420355777387115</v>
          </cell>
          <cell r="O110">
            <v>0.49420355777387115</v>
          </cell>
          <cell r="P110">
            <v>0.53600000000000003</v>
          </cell>
          <cell r="Q110">
            <v>0.50524038826344742</v>
          </cell>
          <cell r="U110">
            <v>0.55400000000000005</v>
          </cell>
          <cell r="V110">
            <v>0.82081536228813401</v>
          </cell>
          <cell r="W110">
            <v>0.54</v>
          </cell>
          <cell r="X110">
            <v>0.52500000000000002</v>
          </cell>
          <cell r="Y110">
            <v>0.56299999999999994</v>
          </cell>
          <cell r="Z110">
            <v>0.51300000000000001</v>
          </cell>
          <cell r="AA110">
            <v>0.53489501814287788</v>
          </cell>
          <cell r="AB110">
            <v>0.45200000000000001</v>
          </cell>
          <cell r="AC110">
            <v>0.434</v>
          </cell>
          <cell r="AD110">
            <v>0.47</v>
          </cell>
          <cell r="AE110">
            <v>0.42499999999999999</v>
          </cell>
          <cell r="AF110">
            <v>0.44500711526247888</v>
          </cell>
          <cell r="AG110">
            <v>0.44600000000000001</v>
          </cell>
          <cell r="AH110">
            <v>0.438</v>
          </cell>
          <cell r="AI110">
            <v>0.47699999999999998</v>
          </cell>
          <cell r="AJ110">
            <v>0.47</v>
          </cell>
          <cell r="AK110">
            <v>0.45797798971793846</v>
          </cell>
          <cell r="AL110">
            <v>0.47299999999999998</v>
          </cell>
          <cell r="AM110">
            <v>0.46400000000000002</v>
          </cell>
          <cell r="AN110">
            <v>0.48699999999999999</v>
          </cell>
          <cell r="AO110">
            <v>0.49</v>
          </cell>
          <cell r="AP110">
            <v>0.4784602828860049</v>
          </cell>
          <cell r="AQ110">
            <v>0.46800000000000003</v>
          </cell>
          <cell r="AR110">
            <v>0.46100000000000002</v>
          </cell>
          <cell r="AS110">
            <v>0.498</v>
          </cell>
          <cell r="AT110">
            <v>0.498</v>
          </cell>
          <cell r="AU110">
            <v>0.48162585511602923</v>
          </cell>
          <cell r="AW110">
            <v>0.46400000000000002</v>
          </cell>
          <cell r="AX110">
            <v>0.48699999999999999</v>
          </cell>
          <cell r="AY110">
            <v>0.49</v>
          </cell>
          <cell r="AZ110">
            <v>0.46800000000000003</v>
          </cell>
          <cell r="BA110">
            <v>0.47709417110676311</v>
          </cell>
          <cell r="BB110">
            <v>0.46100000000000002</v>
          </cell>
          <cell r="BC110">
            <v>0.498</v>
          </cell>
          <cell r="BD110">
            <v>0.498</v>
          </cell>
          <cell r="BE110">
            <v>0.48399999999999999</v>
          </cell>
          <cell r="BF110">
            <v>0.48526067225493913</v>
          </cell>
          <cell r="BG110">
            <v>0.49399999999999999</v>
          </cell>
          <cell r="BH110">
            <v>0.498</v>
          </cell>
          <cell r="BI110">
            <v>0.49</v>
          </cell>
          <cell r="BJ110">
            <v>0.5</v>
          </cell>
          <cell r="BK110">
            <v>0.49556722231568373</v>
          </cell>
          <cell r="BL110">
            <v>0.48599999999999999</v>
          </cell>
          <cell r="BM110">
            <v>0.48099999999999998</v>
          </cell>
          <cell r="BN110">
            <v>0.504</v>
          </cell>
          <cell r="BO110">
            <v>0.49399999999999999</v>
          </cell>
          <cell r="BP110">
            <v>0.49111158948380434</v>
          </cell>
          <cell r="BQ110">
            <v>0.47099999999999997</v>
          </cell>
          <cell r="BR110">
            <v>0.48799999999999999</v>
          </cell>
          <cell r="BS110">
            <v>0.502</v>
          </cell>
          <cell r="BT110">
            <v>0.47299999999999998</v>
          </cell>
          <cell r="BU110">
            <v>0.4832546801596096</v>
          </cell>
          <cell r="BV110">
            <v>0.46899999999999997</v>
          </cell>
          <cell r="BW110">
            <v>0.47299999999999998</v>
          </cell>
          <cell r="BX110">
            <v>0.502</v>
          </cell>
          <cell r="BY110">
            <v>0.504</v>
          </cell>
          <cell r="BZ110">
            <v>0.4869242903689398</v>
          </cell>
          <cell r="CA110">
            <v>0.48199999999999998</v>
          </cell>
          <cell r="CB110">
            <v>0.502</v>
          </cell>
          <cell r="CC110">
            <v>0.52700000000000002</v>
          </cell>
          <cell r="CD110">
            <v>0.504</v>
          </cell>
          <cell r="CE110">
            <v>0.50370112931294664</v>
          </cell>
          <cell r="CF110">
            <v>0.497</v>
          </cell>
          <cell r="CG110">
            <v>0.52400000000000002</v>
          </cell>
          <cell r="CH110">
            <v>0.53100000000000003</v>
          </cell>
          <cell r="CI110">
            <v>0.52300000000000002</v>
          </cell>
          <cell r="CJ110">
            <v>0.5187548064583386</v>
          </cell>
          <cell r="CK110">
            <v>0.53100000000000003</v>
          </cell>
          <cell r="CL110">
            <v>0.54900000000000004</v>
          </cell>
          <cell r="CM110">
            <v>0.55400000000000005</v>
          </cell>
          <cell r="CN110">
            <v>0.55671333426006475</v>
          </cell>
          <cell r="CO110">
            <v>0.54769521637773932</v>
          </cell>
          <cell r="CP110">
            <v>0.54769521637773932</v>
          </cell>
          <cell r="CQ110">
            <v>0.54769521637773932</v>
          </cell>
          <cell r="CR110">
            <v>0.54769521637773932</v>
          </cell>
          <cell r="CS110">
            <v>0.54769521637773932</v>
          </cell>
          <cell r="CT110">
            <v>0.56127325133756656</v>
          </cell>
          <cell r="CU110">
            <v>0.56127325133756656</v>
          </cell>
          <cell r="CV110">
            <v>0.56127325133756656</v>
          </cell>
          <cell r="CW110">
            <v>0.56127325133756656</v>
          </cell>
          <cell r="CX110">
            <v>0.56127325133756656</v>
          </cell>
          <cell r="CY110">
            <v>0.56852900125735095</v>
          </cell>
          <cell r="CZ110">
            <v>0.56852900125735095</v>
          </cell>
          <cell r="DA110">
            <v>0.56852900125735095</v>
          </cell>
          <cell r="DB110">
            <v>0.56852900125735095</v>
          </cell>
          <cell r="DC110">
            <v>0.56852900125735095</v>
          </cell>
          <cell r="DD110">
            <v>0.57498261173435317</v>
          </cell>
          <cell r="DE110">
            <v>0.57498261173435317</v>
          </cell>
          <cell r="DF110">
            <v>0.57498261173435317</v>
          </cell>
          <cell r="DG110">
            <v>0.57498261173435317</v>
          </cell>
          <cell r="DH110">
            <v>0.57498261173435317</v>
          </cell>
          <cell r="DI110">
            <v>0.58137111650974516</v>
          </cell>
        </row>
        <row r="111">
          <cell r="B111" t="str">
            <v>y/y % change - as reported</v>
          </cell>
          <cell r="I111" t="str">
            <v>NM</v>
          </cell>
          <cell r="J111">
            <v>0.34499165872708026</v>
          </cell>
          <cell r="K111">
            <v>0.37845125174215033</v>
          </cell>
          <cell r="L111">
            <v>0.3292394898441191</v>
          </cell>
          <cell r="Q111">
            <v>0.21705389312628554</v>
          </cell>
          <cell r="R111">
            <v>-1</v>
          </cell>
          <cell r="S111">
            <v>-1</v>
          </cell>
          <cell r="T111">
            <v>-1</v>
          </cell>
          <cell r="U111">
            <v>0.17773617248543183</v>
          </cell>
          <cell r="V111">
            <v>0.2167170598647632</v>
          </cell>
          <cell r="W111" t="str">
            <v>NM</v>
          </cell>
          <cell r="X111" t="str">
            <v>NM</v>
          </cell>
          <cell r="Y111" t="str">
            <v>NM</v>
          </cell>
          <cell r="Z111">
            <v>0.11508263970753796</v>
          </cell>
          <cell r="AA111">
            <v>0.20649890808735294</v>
          </cell>
          <cell r="AB111">
            <v>-4.4253389875250737E-2</v>
          </cell>
          <cell r="AC111">
            <v>-3.5754784430441777E-3</v>
          </cell>
          <cell r="AD111">
            <v>4.5232094259382016E-2</v>
          </cell>
          <cell r="AE111">
            <v>2.408701107196709E-3</v>
          </cell>
          <cell r="AF111">
            <v>1.3698251805409623E-3</v>
          </cell>
          <cell r="AG111">
            <v>0.21279527744213578</v>
          </cell>
          <cell r="AH111">
            <v>0.12498063150680072</v>
          </cell>
          <cell r="AI111">
            <v>0.1085091407957921</v>
          </cell>
          <cell r="AJ111">
            <v>0.2234785014962315</v>
          </cell>
          <cell r="AK111">
            <v>0.16468195632717908</v>
          </cell>
          <cell r="AL111">
            <v>0.31658726380695867</v>
          </cell>
          <cell r="AM111">
            <v>0.36650671454776584</v>
          </cell>
          <cell r="AN111">
            <v>0.28950890852420152</v>
          </cell>
          <cell r="AO111">
            <v>0.26535609220265854</v>
          </cell>
          <cell r="AP111">
            <v>0.30801147851289046</v>
          </cell>
          <cell r="AQ111">
            <v>7.5258268649752269E-2</v>
          </cell>
          <cell r="AR111">
            <v>9.3067001641587099E-2</v>
          </cell>
          <cell r="AS111">
            <v>0.16887134290248595</v>
          </cell>
          <cell r="AT111">
            <v>0.15323346353291645</v>
          </cell>
          <cell r="AU111">
            <v>0.12392286802796115</v>
          </cell>
          <cell r="AW111">
            <v>0.36650671454776584</v>
          </cell>
          <cell r="AX111">
            <v>0.28950890852420152</v>
          </cell>
          <cell r="AY111">
            <v>0.26535609220265854</v>
          </cell>
          <cell r="AZ111">
            <v>7.5258268649752269E-2</v>
          </cell>
          <cell r="BB111">
            <v>9.3067001641587099E-2</v>
          </cell>
          <cell r="BC111">
            <v>0.16887134290248595</v>
          </cell>
          <cell r="BD111">
            <v>0.15323346353291645</v>
          </cell>
          <cell r="BE111">
            <v>0.17798902745404765</v>
          </cell>
          <cell r="BF111">
            <v>0.14840886021752842</v>
          </cell>
          <cell r="BG111">
            <v>0.20615166382212613</v>
          </cell>
          <cell r="BH111">
            <v>9.3915638406274926E-2</v>
          </cell>
          <cell r="BI111">
            <v>8.0112617361379312E-2</v>
          </cell>
          <cell r="BJ111">
            <v>0.16127133699421248</v>
          </cell>
          <cell r="BK111">
            <v>0.1339582183465271</v>
          </cell>
          <cell r="BL111">
            <v>8.9433353633880053E-2</v>
          </cell>
          <cell r="BM111">
            <v>3.8780046065322704E-2</v>
          </cell>
          <cell r="BN111">
            <v>0.10728663959198581</v>
          </cell>
          <cell r="BO111">
            <v>2.886739942606531E-2</v>
          </cell>
          <cell r="BP111">
            <v>6.5343822344570812E-2</v>
          </cell>
          <cell r="BQ111">
            <v>-2.3203711547059136E-2</v>
          </cell>
          <cell r="BR111">
            <v>2.0218541626233266E-2</v>
          </cell>
          <cell r="BS111">
            <v>6.9442785117304062E-3</v>
          </cell>
          <cell r="BT111">
            <v>-2.8930488707786917E-2</v>
          </cell>
          <cell r="BU111">
            <v>-6.5245598080968525E-3</v>
          </cell>
          <cell r="BV111">
            <v>2.638127279527458E-2</v>
          </cell>
          <cell r="BW111">
            <v>1.3243499396402569E-2</v>
          </cell>
          <cell r="BX111">
            <v>3.6961348129333826E-2</v>
          </cell>
          <cell r="BY111">
            <v>0.14886351043514501</v>
          </cell>
          <cell r="BZ111">
            <v>5.570014268602419E-2</v>
          </cell>
          <cell r="CA111">
            <v>0.11162651189366346</v>
          </cell>
          <cell r="CB111">
            <v>0.14612173497335612</v>
          </cell>
          <cell r="CC111">
            <v>0.18899658052192669</v>
          </cell>
          <cell r="CD111">
            <v>0.1278719020329171</v>
          </cell>
          <cell r="CE111">
            <v>0.14343605313282337</v>
          </cell>
          <cell r="CF111">
            <v>0.15037706354336211</v>
          </cell>
          <cell r="CG111">
            <v>0.1672696768654045</v>
          </cell>
          <cell r="CH111">
            <v>0.11034670824404014</v>
          </cell>
          <cell r="CI111">
            <v>0.21553849785624446</v>
          </cell>
          <cell r="CJ111">
            <v>0.16122831142252769</v>
          </cell>
          <cell r="CK111">
            <v>0.25686519628077531</v>
          </cell>
          <cell r="CL111">
            <v>0.26635033741742209</v>
          </cell>
          <cell r="CM111">
            <v>0.23997705355533117</v>
          </cell>
          <cell r="CN111">
            <v>0.15249510530217747</v>
          </cell>
          <cell r="CO111">
            <v>0.22633229460893145</v>
          </cell>
          <cell r="CP111">
            <v>7.6920085839951469E-2</v>
          </cell>
          <cell r="CQ111">
            <v>6.25E-2</v>
          </cell>
          <cell r="CR111">
            <v>6.25E-2</v>
          </cell>
          <cell r="CS111">
            <v>6.25E-2</v>
          </cell>
          <cell r="CT111">
            <v>6.5992061061437512E-2</v>
          </cell>
          <cell r="CU111">
            <v>3.3460323221877308E-2</v>
          </cell>
          <cell r="CV111">
            <v>3.1867574195046267E-2</v>
          </cell>
          <cell r="CW111">
            <v>3.2794971459209288E-2</v>
          </cell>
          <cell r="CX111">
            <v>3.0698002215916897E-2</v>
          </cell>
          <cell r="CY111">
            <v>3.2186761804407826E-2</v>
          </cell>
          <cell r="CZ111">
            <v>5.2295878146319641E-2</v>
          </cell>
          <cell r="DA111">
            <v>5.0448105912913821E-2</v>
          </cell>
          <cell r="DB111">
            <v>5.1159852619684587E-2</v>
          </cell>
          <cell r="DC111">
            <v>5.3171976733592974E-2</v>
          </cell>
          <cell r="DD111">
            <v>5.1777525442572303E-2</v>
          </cell>
          <cell r="DE111">
            <v>5.6643285815052513E-2</v>
          </cell>
          <cell r="DF111">
            <v>5.3739124937946636E-2</v>
          </cell>
          <cell r="DG111">
            <v>5.4238747276949217E-2</v>
          </cell>
          <cell r="DH111">
            <v>5.1644009821502523E-2</v>
          </cell>
          <cell r="DI111">
            <v>5.4035999145982228E-2</v>
          </cell>
        </row>
        <row r="113">
          <cell r="B113" t="str">
            <v>Total Revenue</v>
          </cell>
          <cell r="D113">
            <v>211.79300000000001</v>
          </cell>
          <cell r="E113">
            <v>245.24700000000001</v>
          </cell>
          <cell r="F113">
            <v>301.88299999999998</v>
          </cell>
          <cell r="G113">
            <v>346.767</v>
          </cell>
          <cell r="H113">
            <v>438.36599999999999</v>
          </cell>
          <cell r="I113">
            <v>531.09400000000005</v>
          </cell>
          <cell r="J113">
            <v>714.31700000000001</v>
          </cell>
          <cell r="K113">
            <v>895.48199999999997</v>
          </cell>
          <cell r="L113">
            <v>1138.8019999999999</v>
          </cell>
          <cell r="M113">
            <v>305.49599999999998</v>
          </cell>
          <cell r="N113">
            <v>339.74799999999999</v>
          </cell>
          <cell r="O113">
            <v>352.47300000000001</v>
          </cell>
          <cell r="P113">
            <v>357.99</v>
          </cell>
          <cell r="Q113">
            <v>1355.7069999999999</v>
          </cell>
          <cell r="R113">
            <v>370.09399999999999</v>
          </cell>
          <cell r="S113">
            <v>408.65499999999997</v>
          </cell>
          <cell r="T113">
            <v>391.09899999999999</v>
          </cell>
          <cell r="U113">
            <v>407.91899999999998</v>
          </cell>
          <cell r="V113">
            <v>1015.331874</v>
          </cell>
          <cell r="W113">
            <v>434.23700000000002</v>
          </cell>
          <cell r="X113">
            <v>481.14400000000001</v>
          </cell>
          <cell r="Y113">
            <v>473.20299999999997</v>
          </cell>
          <cell r="Z113">
            <v>491.21699999999998</v>
          </cell>
          <cell r="AA113">
            <v>1879.8009999999999</v>
          </cell>
          <cell r="AB113">
            <v>495.82100000000003</v>
          </cell>
          <cell r="AC113">
            <v>579.94799999999998</v>
          </cell>
          <cell r="AD113">
            <v>592.476</v>
          </cell>
          <cell r="AE113">
            <v>594.35599999999999</v>
          </cell>
          <cell r="AF113">
            <v>2262.6010000000001</v>
          </cell>
          <cell r="AG113">
            <v>609.41899999999998</v>
          </cell>
          <cell r="AH113">
            <v>646.47199999999998</v>
          </cell>
          <cell r="AI113">
            <v>647.12699999999995</v>
          </cell>
          <cell r="AJ113">
            <v>657.55799999999999</v>
          </cell>
          <cell r="AK113">
            <v>2560.576</v>
          </cell>
          <cell r="AL113">
            <v>756.553</v>
          </cell>
          <cell r="AM113">
            <v>833.90700000000004</v>
          </cell>
          <cell r="AN113">
            <v>817.34100000000001</v>
          </cell>
          <cell r="AO113">
            <v>798.08399999999995</v>
          </cell>
          <cell r="AP113">
            <v>3205.8850000000002</v>
          </cell>
          <cell r="AQ113">
            <v>822.18100000000004</v>
          </cell>
          <cell r="AR113">
            <v>917.44799999999998</v>
          </cell>
          <cell r="AS113">
            <v>934.26400000000001</v>
          </cell>
          <cell r="AT113">
            <v>905.59199999999998</v>
          </cell>
          <cell r="AU113">
            <v>3579.4850000000001</v>
          </cell>
          <cell r="AW113">
            <v>833.90700000000004</v>
          </cell>
          <cell r="AX113">
            <v>817.34100000000001</v>
          </cell>
          <cell r="AY113">
            <v>798.08399999999995</v>
          </cell>
          <cell r="AZ113">
            <v>822.18100000000004</v>
          </cell>
          <cell r="BA113">
            <v>3271.5130000000004</v>
          </cell>
          <cell r="BB113">
            <v>917.44799999999998</v>
          </cell>
          <cell r="BC113">
            <v>934.26400000000001</v>
          </cell>
          <cell r="BD113">
            <v>905.59199999999998</v>
          </cell>
          <cell r="BE113">
            <v>936.50300000000004</v>
          </cell>
          <cell r="BF113">
            <v>3693.8070000000002</v>
          </cell>
          <cell r="BG113">
            <v>1032.6600000000001</v>
          </cell>
          <cell r="BH113">
            <v>1022.006</v>
          </cell>
          <cell r="BI113">
            <v>994.11099999999999</v>
          </cell>
          <cell r="BJ113">
            <v>1052.7329999999999</v>
          </cell>
          <cell r="BK113">
            <v>4101.51</v>
          </cell>
          <cell r="BL113">
            <v>1143.5329999999999</v>
          </cell>
          <cell r="BM113">
            <v>1099.1610000000001</v>
          </cell>
          <cell r="BN113">
            <v>1070.1890000000001</v>
          </cell>
          <cell r="BO113">
            <v>1096.278</v>
          </cell>
          <cell r="BP113">
            <v>4409.1610000000001</v>
          </cell>
          <cell r="BQ113">
            <v>1152.5719999999999</v>
          </cell>
          <cell r="BR113">
            <v>1105.299</v>
          </cell>
          <cell r="BS113">
            <v>1081.914</v>
          </cell>
          <cell r="BT113">
            <v>1111.826</v>
          </cell>
          <cell r="BU113">
            <v>4451.6109999999999</v>
          </cell>
          <cell r="BV113">
            <v>1188.0229999999999</v>
          </cell>
          <cell r="BW113">
            <v>1155.453</v>
          </cell>
          <cell r="BX113">
            <v>1121.903</v>
          </cell>
          <cell r="BY113">
            <v>1198.77</v>
          </cell>
          <cell r="BZ113">
            <v>4664.1489999999994</v>
          </cell>
          <cell r="CA113">
            <v>1285.019</v>
          </cell>
          <cell r="CB113">
            <v>1247.787</v>
          </cell>
          <cell r="CC113">
            <v>1270.6590000000001</v>
          </cell>
          <cell r="CD113">
            <v>1352.059</v>
          </cell>
          <cell r="CE113">
            <v>5155.5240000000003</v>
          </cell>
          <cell r="CF113">
            <v>1433.6410000000001</v>
          </cell>
          <cell r="CG113">
            <v>1395.3530000000001</v>
          </cell>
          <cell r="CH113">
            <v>1400.2439999999999</v>
          </cell>
          <cell r="CI113">
            <v>1583.7739999999999</v>
          </cell>
          <cell r="CJ113">
            <v>5813.0120000000006</v>
          </cell>
          <cell r="CK113">
            <v>1686.518</v>
          </cell>
          <cell r="CL113">
            <v>1686.5409999999999</v>
          </cell>
          <cell r="CM113">
            <v>1664.1869999999999</v>
          </cell>
          <cell r="CN113">
            <v>1714.7561297917275</v>
          </cell>
          <cell r="CO113">
            <v>6752.0021297917274</v>
          </cell>
          <cell r="CP113">
            <v>1773.696240270453</v>
          </cell>
          <cell r="CQ113">
            <v>1748.3017764068638</v>
          </cell>
          <cell r="CR113">
            <v>1727.0014888007336</v>
          </cell>
          <cell r="CS113">
            <v>1774.4609769352023</v>
          </cell>
          <cell r="CT113">
            <v>7023.460482413253</v>
          </cell>
          <cell r="CU113">
            <v>1808.7387179919394</v>
          </cell>
          <cell r="CV113">
            <v>1781.0200924392448</v>
          </cell>
          <cell r="CW113">
            <v>1761.1587791980387</v>
          </cell>
          <cell r="CX113">
            <v>1806.0845996925368</v>
          </cell>
          <cell r="CY113">
            <v>7157.0021893217599</v>
          </cell>
          <cell r="CZ113">
            <v>1881.1170686709002</v>
          </cell>
          <cell r="DA113">
            <v>1849.8988829022953</v>
          </cell>
          <cell r="DB113">
            <v>1830.7465494006099</v>
          </cell>
          <cell r="DC113">
            <v>1881.3219862595788</v>
          </cell>
          <cell r="DD113">
            <v>7443.0844872333846</v>
          </cell>
          <cell r="DE113">
            <v>1964.9563156098177</v>
          </cell>
          <cell r="DF113">
            <v>1927.8969063987906</v>
          </cell>
          <cell r="DG113">
            <v>1909.0801770309545</v>
          </cell>
          <cell r="DH113">
            <v>1957.1362860311051</v>
          </cell>
          <cell r="DI113">
            <v>7759.0696850706681</v>
          </cell>
        </row>
        <row r="114">
          <cell r="B114" t="str">
            <v>y/y % change - as reported</v>
          </cell>
          <cell r="E114">
            <v>0.15795611752985228</v>
          </cell>
          <cell r="F114">
            <v>0.23093452723172958</v>
          </cell>
          <cell r="G114">
            <v>0.14868011779397983</v>
          </cell>
          <cell r="H114">
            <v>0.26415143309484468</v>
          </cell>
          <cell r="I114">
            <v>0.21153100377310308</v>
          </cell>
          <cell r="J114">
            <v>0.34499165872708026</v>
          </cell>
          <cell r="K114">
            <v>0.25361989144875441</v>
          </cell>
          <cell r="L114">
            <v>0.27171958788674688</v>
          </cell>
          <cell r="Q114">
            <v>0.19046770202370555</v>
          </cell>
          <cell r="R114">
            <v>0.21145285044648698</v>
          </cell>
          <cell r="S114">
            <v>0.20281797096671639</v>
          </cell>
          <cell r="T114">
            <v>0.10958569876274193</v>
          </cell>
          <cell r="U114">
            <v>0.13947037626749337</v>
          </cell>
          <cell r="V114">
            <v>-0.25106835474036793</v>
          </cell>
          <cell r="W114">
            <v>0.173315427972353</v>
          </cell>
          <cell r="X114">
            <v>0.17738434620890486</v>
          </cell>
          <cell r="Y114">
            <v>0.20993150071976663</v>
          </cell>
          <cell r="Z114">
            <v>0.20420230486934909</v>
          </cell>
          <cell r="AA114">
            <v>0.85141533338684483</v>
          </cell>
          <cell r="AB114">
            <v>0.14182117138797468</v>
          </cell>
          <cell r="AC114">
            <v>0.20535224381889816</v>
          </cell>
          <cell r="AD114">
            <v>0.25205461503836624</v>
          </cell>
          <cell r="AE114">
            <v>0.20996626745409874</v>
          </cell>
          <cell r="AF114">
            <v>0.20363857663656959</v>
          </cell>
          <cell r="AG114">
            <v>0.22911090897723163</v>
          </cell>
          <cell r="AH114">
            <v>0.11470683578527741</v>
          </cell>
          <cell r="AI114">
            <v>9.2241711056650244E-2</v>
          </cell>
          <cell r="AJ114">
            <v>0.10633694284233686</v>
          </cell>
          <cell r="AK114">
            <v>0.13169577844259761</v>
          </cell>
          <cell r="AL114">
            <v>0.24143323394905636</v>
          </cell>
          <cell r="AM114">
            <v>0.28993521761189966</v>
          </cell>
          <cell r="AN114">
            <v>0.26303028617257529</v>
          </cell>
          <cell r="AO114">
            <v>0.21370890476581517</v>
          </cell>
          <cell r="AP114">
            <v>0.25201712427203882</v>
          </cell>
          <cell r="AQ114">
            <v>8.6746070665240982E-2</v>
          </cell>
          <cell r="AR114">
            <v>0.10018023592558878</v>
          </cell>
          <cell r="AS114">
            <v>0.14305289958536282</v>
          </cell>
          <cell r="AT114">
            <v>0.13470762476130327</v>
          </cell>
          <cell r="AU114">
            <v>0.11653568359438959</v>
          </cell>
          <cell r="AW114">
            <v>0.28993521761189966</v>
          </cell>
          <cell r="AX114">
            <v>0.26303028617257529</v>
          </cell>
          <cell r="AY114">
            <v>0.21370890476581517</v>
          </cell>
          <cell r="AZ114">
            <v>8.6746070665240982E-2</v>
          </cell>
          <cell r="BB114">
            <v>0.10018023592558878</v>
          </cell>
          <cell r="BC114">
            <v>0.14305289958536282</v>
          </cell>
          <cell r="BD114">
            <v>0.13470762476130327</v>
          </cell>
          <cell r="BE114">
            <v>0.13904724142250924</v>
          </cell>
          <cell r="BF114">
            <v>0.12908217084877838</v>
          </cell>
          <cell r="BG114">
            <v>0.12557877939676154</v>
          </cell>
          <cell r="BH114">
            <v>9.3915638406274926E-2</v>
          </cell>
          <cell r="BI114">
            <v>9.7747109073401672E-2</v>
          </cell>
          <cell r="BJ114">
            <v>0.12411065421039758</v>
          </cell>
          <cell r="BK114">
            <v>0.11037474345573539</v>
          </cell>
          <cell r="BL114">
            <v>0.10736641295295635</v>
          </cell>
          <cell r="BM114">
            <v>7.5493685947049416E-2</v>
          </cell>
          <cell r="BN114">
            <v>7.6528677381097365E-2</v>
          </cell>
          <cell r="BO114">
            <v>4.1363764601280772E-2</v>
          </cell>
          <cell r="BP114">
            <v>7.5009203927334012E-2</v>
          </cell>
          <cell r="BQ114">
            <v>7.9044505055823056E-3</v>
          </cell>
          <cell r="BR114">
            <v>5.5842592668406965E-3</v>
          </cell>
          <cell r="BS114">
            <v>1.0956008705004461E-2</v>
          </cell>
          <cell r="BT114">
            <v>1.4182533992290303E-2</v>
          </cell>
          <cell r="BU114">
            <v>9.6276820011789166E-3</v>
          </cell>
          <cell r="BV114">
            <v>3.0758165216576483E-2</v>
          </cell>
          <cell r="BW114">
            <v>4.5375957093962915E-2</v>
          </cell>
          <cell r="BX114">
            <v>3.6961348129333826E-2</v>
          </cell>
          <cell r="BY114">
            <v>7.8199286579015093E-2</v>
          </cell>
          <cell r="BZ114">
            <v>4.7744063890577948E-2</v>
          </cell>
          <cell r="CA114">
            <v>8.1644883979518967E-2</v>
          </cell>
          <cell r="CB114">
            <v>7.9911515223899166E-2</v>
          </cell>
          <cell r="CC114">
            <v>0.13259256816320142</v>
          </cell>
          <cell r="CD114">
            <v>0.1278719020329171</v>
          </cell>
          <cell r="CE114">
            <v>0.10535147998059258</v>
          </cell>
          <cell r="CF114">
            <v>0.11565743385895466</v>
          </cell>
          <cell r="CG114">
            <v>0.11826217134815487</v>
          </cell>
          <cell r="CH114">
            <v>0.10198251458495133</v>
          </cell>
          <cell r="CI114">
            <v>0.1713793554867058</v>
          </cell>
          <cell r="CJ114">
            <v>0.12753078057632949</v>
          </cell>
          <cell r="CK114">
            <v>0.17638795207447333</v>
          </cell>
          <cell r="CL114">
            <v>0.20868411075906956</v>
          </cell>
          <cell r="CM114">
            <v>0.18849786180122896</v>
          </cell>
          <cell r="CN114">
            <v>8.2702538235712719E-2</v>
          </cell>
          <cell r="CO114">
            <v>0.16153246024465906</v>
          </cell>
          <cell r="CP114">
            <v>5.1691259903809517E-2</v>
          </cell>
          <cell r="CQ114">
            <v>3.6619789502220224E-2</v>
          </cell>
          <cell r="CR114">
            <v>3.7744850068371916E-2</v>
          </cell>
          <cell r="CS114">
            <v>3.4818273051297588E-2</v>
          </cell>
          <cell r="CT114">
            <v>4.0204127220839547E-2</v>
          </cell>
          <cell r="CU114">
            <v>1.9756752552028356E-2</v>
          </cell>
          <cell r="CV114">
            <v>1.8714341238973198E-2</v>
          </cell>
          <cell r="CW114">
            <v>1.9778379242177069E-2</v>
          </cell>
          <cell r="CX114">
            <v>1.7821537451871095E-2</v>
          </cell>
          <cell r="CY114">
            <v>1.9013662459252956E-2</v>
          </cell>
          <cell r="CZ114">
            <v>4.0015923781028473E-2</v>
          </cell>
          <cell r="DA114">
            <v>3.8673786306765212E-2</v>
          </cell>
          <cell r="DB114">
            <v>3.9512490880724949E-2</v>
          </cell>
          <cell r="DC114">
            <v>4.1657731082946015E-2</v>
          </cell>
          <cell r="DD114">
            <v>3.9972364174829966E-2</v>
          </cell>
          <cell r="DE114">
            <v>4.4568861946563398E-2</v>
          </cell>
          <cell r="DF114">
            <v>4.2163398344305492E-2</v>
          </cell>
          <cell r="DG114">
            <v>4.2787805693798031E-2</v>
          </cell>
          <cell r="DH114">
            <v>4.0298417987587154E-2</v>
          </cell>
          <cell r="DI114">
            <v>4.2453528289148279E-2</v>
          </cell>
        </row>
        <row r="116">
          <cell r="B116" t="str">
            <v>SAME-STORE OPERATIONS</v>
          </cell>
        </row>
        <row r="117">
          <cell r="B117" t="str">
            <v>Reported</v>
          </cell>
        </row>
        <row r="119">
          <cell r="B119" t="str">
            <v>Volumes</v>
          </cell>
        </row>
        <row r="120">
          <cell r="B120" t="str">
            <v>Admissions</v>
          </cell>
          <cell r="D120" t="str">
            <v>ND</v>
          </cell>
          <cell r="E120">
            <v>33010</v>
          </cell>
          <cell r="F120">
            <v>40844</v>
          </cell>
          <cell r="G120">
            <v>48085</v>
          </cell>
          <cell r="H120">
            <v>47195</v>
          </cell>
          <cell r="I120">
            <v>59071</v>
          </cell>
          <cell r="J120">
            <v>60123</v>
          </cell>
          <cell r="K120">
            <v>78009</v>
          </cell>
          <cell r="L120">
            <v>101025</v>
          </cell>
          <cell r="M120">
            <v>26831</v>
          </cell>
          <cell r="N120">
            <v>34438</v>
          </cell>
          <cell r="O120">
            <v>29950</v>
          </cell>
          <cell r="P120">
            <v>32604</v>
          </cell>
          <cell r="Q120">
            <v>123823</v>
          </cell>
          <cell r="R120">
            <v>34531</v>
          </cell>
          <cell r="S120">
            <v>37671</v>
          </cell>
          <cell r="T120">
            <v>36406</v>
          </cell>
          <cell r="U120">
            <v>38531</v>
          </cell>
          <cell r="V120">
            <v>147139</v>
          </cell>
          <cell r="W120">
            <v>40235</v>
          </cell>
          <cell r="X120">
            <v>44942</v>
          </cell>
          <cell r="Y120">
            <v>41182</v>
          </cell>
          <cell r="Z120">
            <v>42212</v>
          </cell>
          <cell r="AA120">
            <v>168571</v>
          </cell>
          <cell r="AB120">
            <v>45302</v>
          </cell>
          <cell r="AC120">
            <v>49865</v>
          </cell>
          <cell r="AD120">
            <v>46451</v>
          </cell>
          <cell r="AE120">
            <v>48744</v>
          </cell>
          <cell r="AF120">
            <v>190362</v>
          </cell>
          <cell r="AG120">
            <v>50581</v>
          </cell>
          <cell r="AH120">
            <v>58504</v>
          </cell>
          <cell r="AI120">
            <v>54260</v>
          </cell>
          <cell r="AJ120">
            <v>57602</v>
          </cell>
          <cell r="AK120">
            <v>220947</v>
          </cell>
          <cell r="AL120">
            <v>60117</v>
          </cell>
          <cell r="AM120">
            <v>63379</v>
          </cell>
          <cell r="AN120">
            <v>57554</v>
          </cell>
          <cell r="AO120">
            <v>57496</v>
          </cell>
          <cell r="AP120">
            <v>238546</v>
          </cell>
          <cell r="AQ120">
            <v>61709</v>
          </cell>
          <cell r="AR120">
            <v>77450</v>
          </cell>
          <cell r="AS120">
            <v>70917</v>
          </cell>
          <cell r="AT120">
            <v>68410</v>
          </cell>
          <cell r="AU120">
            <v>278486</v>
          </cell>
          <cell r="AW120">
            <v>63379</v>
          </cell>
          <cell r="AX120">
            <v>57554</v>
          </cell>
          <cell r="AY120">
            <v>57496</v>
          </cell>
          <cell r="AZ120">
            <v>61709</v>
          </cell>
          <cell r="BA120">
            <v>240138</v>
          </cell>
          <cell r="BB120">
            <v>77450</v>
          </cell>
          <cell r="BC120">
            <v>70917</v>
          </cell>
          <cell r="BD120">
            <v>68410</v>
          </cell>
          <cell r="BE120">
            <v>69550</v>
          </cell>
          <cell r="BF120">
            <v>286327</v>
          </cell>
          <cell r="BG120">
            <v>75482</v>
          </cell>
          <cell r="BH120">
            <v>75177</v>
          </cell>
          <cell r="BI120">
            <v>73189</v>
          </cell>
          <cell r="BJ120">
            <v>75189</v>
          </cell>
          <cell r="BK120">
            <v>299037</v>
          </cell>
          <cell r="BL120">
            <v>81670</v>
          </cell>
          <cell r="BM120">
            <v>76104</v>
          </cell>
          <cell r="BN120">
            <v>75681</v>
          </cell>
          <cell r="BO120">
            <v>75854</v>
          </cell>
          <cell r="BP120">
            <v>309309</v>
          </cell>
          <cell r="BQ120">
            <v>82302</v>
          </cell>
          <cell r="BR120">
            <v>73809</v>
          </cell>
          <cell r="BS120">
            <v>72448</v>
          </cell>
          <cell r="BT120">
            <v>76562</v>
          </cell>
          <cell r="BU120">
            <v>305121</v>
          </cell>
          <cell r="BV120">
            <v>83361</v>
          </cell>
          <cell r="BW120">
            <v>77580</v>
          </cell>
          <cell r="BX120">
            <v>74890</v>
          </cell>
          <cell r="BY120">
            <v>76207</v>
          </cell>
          <cell r="BZ120">
            <v>312038</v>
          </cell>
          <cell r="CA120">
            <v>81492</v>
          </cell>
          <cell r="CB120">
            <v>75676</v>
          </cell>
          <cell r="CC120">
            <v>72634</v>
          </cell>
          <cell r="CD120">
            <v>74168</v>
          </cell>
          <cell r="CE120">
            <v>303970</v>
          </cell>
          <cell r="CF120">
            <v>81460</v>
          </cell>
          <cell r="CG120">
            <v>73936</v>
          </cell>
          <cell r="CH120">
            <v>76211</v>
          </cell>
          <cell r="CI120">
            <v>79646</v>
          </cell>
          <cell r="CJ120">
            <v>311253</v>
          </cell>
          <cell r="CK120">
            <v>84455</v>
          </cell>
          <cell r="CL120">
            <v>77488</v>
          </cell>
          <cell r="CM120">
            <v>76166</v>
          </cell>
          <cell r="CN120">
            <v>84172.73919285489</v>
          </cell>
          <cell r="CO120">
            <v>322281.7391928549</v>
          </cell>
          <cell r="CP120">
            <v>91407.034200967188</v>
          </cell>
          <cell r="CQ120">
            <v>84654.027163976425</v>
          </cell>
          <cell r="CR120">
            <v>83065.062520040417</v>
          </cell>
          <cell r="CS120">
            <v>83991.600707725564</v>
          </cell>
          <cell r="CT120">
            <v>343117.72459270962</v>
          </cell>
          <cell r="CU120">
            <v>93374.71674780453</v>
          </cell>
          <cell r="CV120">
            <v>85488.295947531486</v>
          </cell>
          <cell r="CW120">
            <v>83916.343318227329</v>
          </cell>
          <cell r="CX120">
            <v>84658.486210106334</v>
          </cell>
          <cell r="CY120">
            <v>347437.84222366969</v>
          </cell>
          <cell r="CZ120">
            <v>94761.198776602541</v>
          </cell>
          <cell r="DA120">
            <v>86765.257421144881</v>
          </cell>
          <cell r="DB120">
            <v>85180.223990693514</v>
          </cell>
          <cell r="DC120">
            <v>85912.961049906269</v>
          </cell>
          <cell r="DD120">
            <v>352619.64123834722</v>
          </cell>
          <cell r="DE120">
            <v>96286.674889554619</v>
          </cell>
          <cell r="DF120">
            <v>88001.28218354586</v>
          </cell>
          <cell r="DG120">
            <v>86400.804571941946</v>
          </cell>
          <cell r="DH120">
            <v>86962.032956517447</v>
          </cell>
          <cell r="DI120">
            <v>357650.79460155987</v>
          </cell>
        </row>
        <row r="121">
          <cell r="B121" t="str">
            <v>y/y change - restated</v>
          </cell>
          <cell r="E121">
            <v>3.2562795207857542E-2</v>
          </cell>
          <cell r="F121">
            <v>4.1859041399892938E-2</v>
          </cell>
          <cell r="G121">
            <v>2.8424159466164722E-2</v>
          </cell>
          <cell r="H121">
            <v>1.4117495380119527E-2</v>
          </cell>
          <cell r="I121">
            <v>7.5151978450001877E-2</v>
          </cell>
          <cell r="J121">
            <v>1.78090772121684E-2</v>
          </cell>
          <cell r="K121">
            <v>3.6430308103152731E-2</v>
          </cell>
          <cell r="L121">
            <v>5.4683829747251611E-2</v>
          </cell>
          <cell r="Q121">
            <v>0.17663324939421288</v>
          </cell>
          <cell r="R121">
            <v>5.9688209660590408E-2</v>
          </cell>
          <cell r="S121">
            <v>1.7860037827614139E-2</v>
          </cell>
          <cell r="T121">
            <v>6.3911861831146499E-2</v>
          </cell>
          <cell r="U121" t="str">
            <v>NM</v>
          </cell>
          <cell r="V121">
            <v>9.5721785754179445E-2</v>
          </cell>
          <cell r="W121">
            <v>3.1111452807462747E-2</v>
          </cell>
          <cell r="X121">
            <v>5.3270524268204111E-2</v>
          </cell>
          <cell r="Y121">
            <v>6.6642492683053112E-2</v>
          </cell>
          <cell r="Z121" t="str">
            <v>NM</v>
          </cell>
          <cell r="AA121">
            <v>6.1329723603853248E-2</v>
          </cell>
          <cell r="AB121">
            <v>1.8342849435777575E-2</v>
          </cell>
          <cell r="AC121">
            <v>-2.7797776177905797E-3</v>
          </cell>
          <cell r="AD121">
            <v>1.6166433321666007E-2</v>
          </cell>
          <cell r="AE121" t="str">
            <v>NM</v>
          </cell>
          <cell r="AF121">
            <v>3.1587846076311488E-2</v>
          </cell>
          <cell r="AG121">
            <v>6.1934454451932464E-2</v>
          </cell>
          <cell r="AH121">
            <v>2.8298238830105182E-2</v>
          </cell>
          <cell r="AI121">
            <v>1.4812598189571258E-2</v>
          </cell>
          <cell r="AJ121">
            <v>2.0751005652921206E-2</v>
          </cell>
          <cell r="AK121">
            <v>0.11468917432673775</v>
          </cell>
          <cell r="AL121">
            <v>3.8397761426054444E-2</v>
          </cell>
          <cell r="AM121">
            <v>3.653610270668084E-2</v>
          </cell>
          <cell r="AN121">
            <v>1.1991841327894326E-2</v>
          </cell>
          <cell r="AO121">
            <v>-8.6725633200572805E-3</v>
          </cell>
          <cell r="AP121">
            <v>2.4611710535358489E-2</v>
          </cell>
          <cell r="AQ121">
            <v>-2.6226507392971499E-2</v>
          </cell>
          <cell r="AR121">
            <v>1.8181340134355128E-2</v>
          </cell>
          <cell r="AS121">
            <v>2.2934787312302474E-2</v>
          </cell>
          <cell r="AT121">
            <v>2.6969190631138673E-3</v>
          </cell>
          <cell r="AU121">
            <v>0.12541422174805628</v>
          </cell>
          <cell r="AW121">
            <v>3.653610270668084E-2</v>
          </cell>
          <cell r="AX121">
            <v>1.1991841327894326E-2</v>
          </cell>
          <cell r="AY121">
            <v>-8.6725633200572805E-3</v>
          </cell>
          <cell r="AZ121">
            <v>-2.6226507392971499E-2</v>
          </cell>
          <cell r="BB121">
            <v>1.8181340134355128E-2</v>
          </cell>
          <cell r="BC121">
            <v>2.2934787312302474E-2</v>
          </cell>
          <cell r="BD121">
            <v>2.6969190631138673E-3</v>
          </cell>
          <cell r="BE121">
            <v>-1.586223486295657E-2</v>
          </cell>
          <cell r="BF121">
            <v>7.1616758884383014E-3</v>
          </cell>
          <cell r="BG121">
            <v>-2.0528391985881855E-2</v>
          </cell>
          <cell r="BH121">
            <v>-1.0633677699545929E-2</v>
          </cell>
          <cell r="BI121">
            <v>6.1726697827879651E-3</v>
          </cell>
          <cell r="BJ121">
            <v>1.3807051843861551E-2</v>
          </cell>
          <cell r="BK121">
            <v>6.1725107579566174E-2</v>
          </cell>
          <cell r="BL121">
            <v>-9.7365198307325374E-3</v>
          </cell>
          <cell r="BM121">
            <v>4.4080770753596177E-3</v>
          </cell>
          <cell r="BN121">
            <v>-4.3676739505084106E-3</v>
          </cell>
          <cell r="BO121">
            <v>-9.7389033942558711E-3</v>
          </cell>
          <cell r="BP121">
            <v>2.8623022128219988E-2</v>
          </cell>
          <cell r="BQ121">
            <v>3.7196482798151909E-3</v>
          </cell>
          <cell r="BR121">
            <v>-3.8406920541449008E-2</v>
          </cell>
          <cell r="BS121">
            <v>-3.2788636120901438E-2</v>
          </cell>
          <cell r="BT121">
            <v>-1.8642852486799866E-3</v>
          </cell>
          <cell r="BU121">
            <v>-9.6785815133251241E-3</v>
          </cell>
          <cell r="BV121">
            <v>-2.2740601548754125E-3</v>
          </cell>
          <cell r="BW121">
            <v>5.1091330325570006E-2</v>
          </cell>
          <cell r="BX121">
            <v>5.3853622841703919E-2</v>
          </cell>
          <cell r="BY121">
            <v>1.479439650580594E-2</v>
          </cell>
          <cell r="BZ121">
            <v>3.8952650171972358E-2</v>
          </cell>
          <cell r="CA121">
            <v>-3.6191128282877516E-3</v>
          </cell>
          <cell r="CB121">
            <v>-5.8328954282711454E-3</v>
          </cell>
          <cell r="CC121">
            <v>-3.0124182133796196E-2</v>
          </cell>
          <cell r="CD121">
            <v>-3.0673724106384359E-2</v>
          </cell>
          <cell r="CE121">
            <v>-9.127359259380019E-3</v>
          </cell>
          <cell r="CF121">
            <v>-3.900148644503687E-2</v>
          </cell>
          <cell r="CG121">
            <v>-6.4432859239763163E-2</v>
          </cell>
          <cell r="CH121">
            <v>-1.8228428619277093E-2</v>
          </cell>
          <cell r="CI121">
            <v>-3.7324437353446038E-2</v>
          </cell>
          <cell r="CJ121">
            <v>-3.9096435197905621E-2</v>
          </cell>
          <cell r="CK121">
            <v>-4.1841099123016035E-2</v>
          </cell>
          <cell r="CL121">
            <v>-4.04319344172972E-2</v>
          </cell>
          <cell r="CM121">
            <v>-6.4426183193917241E-2</v>
          </cell>
          <cell r="CO121" t="str">
            <v>NM</v>
          </cell>
          <cell r="CT121" t="str">
            <v>NM</v>
          </cell>
          <cell r="CY121" t="str">
            <v>NM</v>
          </cell>
          <cell r="DD121" t="str">
            <v>NM</v>
          </cell>
          <cell r="DI121" t="str">
            <v>NM</v>
          </cell>
        </row>
        <row r="122">
          <cell r="B122" t="str">
            <v>y/y change - reported</v>
          </cell>
          <cell r="E122" t="str">
            <v>NM</v>
          </cell>
          <cell r="F122">
            <v>0.23732202362920329</v>
          </cell>
          <cell r="G122">
            <v>0.17728430124375683</v>
          </cell>
          <cell r="H122">
            <v>-1.8508890506394926E-2</v>
          </cell>
          <cell r="I122">
            <v>0.25163682593495063</v>
          </cell>
          <cell r="J122">
            <v>1.78090772121684E-2</v>
          </cell>
          <cell r="K122">
            <v>0.2974901452023353</v>
          </cell>
          <cell r="L122">
            <v>0.29504287966773068</v>
          </cell>
          <cell r="Q122">
            <v>0.22566691413016571</v>
          </cell>
          <cell r="R122">
            <v>0.28698147665014351</v>
          </cell>
          <cell r="S122">
            <v>9.3878854753469909E-2</v>
          </cell>
          <cell r="T122">
            <v>0.21555926544240411</v>
          </cell>
          <cell r="U122">
            <v>0.1817875107348792</v>
          </cell>
          <cell r="V122">
            <v>0.18830104261728442</v>
          </cell>
          <cell r="W122">
            <v>0.16518490631606375</v>
          </cell>
          <cell r="X122">
            <v>0.19301319317246679</v>
          </cell>
          <cell r="Y122">
            <v>0.1311871669505027</v>
          </cell>
          <cell r="Z122">
            <v>9.5533466559393654E-2</v>
          </cell>
          <cell r="AA122">
            <v>0.14565818715636225</v>
          </cell>
          <cell r="AB122">
            <v>0.12593513110475962</v>
          </cell>
          <cell r="AC122">
            <v>0.10954118641805</v>
          </cell>
          <cell r="AD122">
            <v>0.12794424748676603</v>
          </cell>
          <cell r="AE122">
            <v>0.154742727186582</v>
          </cell>
          <cell r="AF122">
            <v>0.12926897271772719</v>
          </cell>
          <cell r="AG122">
            <v>0.11652907156416936</v>
          </cell>
          <cell r="AH122">
            <v>0.17324776897623573</v>
          </cell>
          <cell r="AI122">
            <v>0.16811263481948724</v>
          </cell>
          <cell r="AJ122">
            <v>0.18172493024782543</v>
          </cell>
          <cell r="AK122">
            <v>0.16066757020833999</v>
          </cell>
          <cell r="AL122">
            <v>0.18852928965421789</v>
          </cell>
          <cell r="AM122">
            <v>8.3327635717215909E-2</v>
          </cell>
          <cell r="AN122">
            <v>6.0707703649096834E-2</v>
          </cell>
          <cell r="AO122">
            <v>-1.8402138814624935E-3</v>
          </cell>
          <cell r="AP122">
            <v>7.9652586366866229E-2</v>
          </cell>
          <cell r="AQ122">
            <v>2.64816940299748E-2</v>
          </cell>
          <cell r="AR122">
            <v>0.22201360071948129</v>
          </cell>
          <cell r="AS122">
            <v>0.23218195086353677</v>
          </cell>
          <cell r="AT122">
            <v>0.18982190065395854</v>
          </cell>
          <cell r="AU122">
            <v>0.16743101959370521</v>
          </cell>
          <cell r="AW122">
            <v>8.3327635717215909E-2</v>
          </cell>
          <cell r="AX122">
            <v>6.0707703649096834E-2</v>
          </cell>
          <cell r="AY122">
            <v>-1.8402138814624935E-3</v>
          </cell>
          <cell r="AZ122">
            <v>-0.72070677583311837</v>
          </cell>
          <cell r="BB122">
            <v>0.22201360071948129</v>
          </cell>
          <cell r="BC122">
            <v>0.23218195086353677</v>
          </cell>
          <cell r="BD122">
            <v>0.18982190065395854</v>
          </cell>
          <cell r="BE122">
            <v>0.12706412354761865</v>
          </cell>
          <cell r="BF122">
            <v>0.19234356911442596</v>
          </cell>
          <cell r="BG122">
            <v>-7.6017235469813427E-2</v>
          </cell>
          <cell r="BH122">
            <v>-2.1871503291784888E-2</v>
          </cell>
          <cell r="BI122">
            <v>-8.6955343961209186E-3</v>
          </cell>
          <cell r="BJ122">
            <v>-5.3049345151474636E-3</v>
          </cell>
          <cell r="BK122">
            <v>-2.9009224894551711E-2</v>
          </cell>
          <cell r="BL122">
            <v>-3.2930338302684437E-2</v>
          </cell>
          <cell r="BM122">
            <v>-2.7039466114371136E-2</v>
          </cell>
          <cell r="BN122">
            <v>-1.2641878669275908E-2</v>
          </cell>
          <cell r="BO122">
            <v>-4.2465096316493756E-2</v>
          </cell>
          <cell r="BP122">
            <v>-2.8972995372608557E-2</v>
          </cell>
          <cell r="BQ122">
            <v>-3.5802150940743682E-2</v>
          </cell>
          <cell r="BR122">
            <v>-6.122890248400592E-2</v>
          </cell>
          <cell r="BS122">
            <v>-5.094515110627873E-2</v>
          </cell>
          <cell r="BT122">
            <v>-1.2498226515845312E-2</v>
          </cell>
          <cell r="BU122">
            <v>-4.0044171918112048E-2</v>
          </cell>
          <cell r="BV122">
            <v>-2.2740601548754125E-3</v>
          </cell>
          <cell r="BW122">
            <v>5.1091330325570006E-2</v>
          </cell>
          <cell r="BX122">
            <v>3.3706934628975338E-2</v>
          </cell>
          <cell r="BY122">
            <v>-4.6367649747917072E-3</v>
          </cell>
          <cell r="BZ122">
            <v>1.8500505924209376E-2</v>
          </cell>
          <cell r="CA122">
            <v>-2.2420556375283396E-2</v>
          </cell>
          <cell r="CB122">
            <v>-2.4542407837071401E-2</v>
          </cell>
          <cell r="CC122">
            <v>-3.0124182133796196E-2</v>
          </cell>
          <cell r="CD122">
            <v>-4.3832508250825075E-2</v>
          </cell>
          <cell r="CE122">
            <v>-3.0086247882092798E-2</v>
          </cell>
          <cell r="CF122">
            <v>-4.7050841112748931E-2</v>
          </cell>
          <cell r="CG122">
            <v>-7.4596976068889598E-2</v>
          </cell>
          <cell r="CH122">
            <v>-2.9974798258788793E-2</v>
          </cell>
          <cell r="CI122">
            <v>-3.9066647362579032E-2</v>
          </cell>
          <cell r="CJ122">
            <v>-4.765503567625784E-2</v>
          </cell>
          <cell r="CK122">
            <v>-4.4010278120507618E-2</v>
          </cell>
          <cell r="CL122">
            <v>-4.04319344172972E-2</v>
          </cell>
          <cell r="CM122">
            <v>-6.4426183193917241E-2</v>
          </cell>
          <cell r="CN122">
            <v>-4.7065105933942197E-2</v>
          </cell>
          <cell r="CO122">
            <v>-4.8859070311521702E-2</v>
          </cell>
          <cell r="CP122">
            <v>-2.1107389310467295E-2</v>
          </cell>
          <cell r="CQ122">
            <v>-2.0967222593863299E-2</v>
          </cell>
          <cell r="CR122">
            <v>-1.9348997449466165E-2</v>
          </cell>
          <cell r="CS122">
            <v>-1.9464055323167528E-2</v>
          </cell>
          <cell r="CT122">
            <v>-2.0245533316715969E-2</v>
          </cell>
          <cell r="CU122">
            <v>7.8482381632065668E-3</v>
          </cell>
          <cell r="CV122">
            <v>9.8550395238619082E-3</v>
          </cell>
          <cell r="CW122">
            <v>1.0248361613903967E-2</v>
          </cell>
          <cell r="CX122">
            <v>7.9399070473891165E-3</v>
          </cell>
          <cell r="CY122">
            <v>8.942881888129639E-3</v>
          </cell>
          <cell r="CZ122">
            <v>1.4848580826678726E-2</v>
          </cell>
          <cell r="DA122">
            <v>1.4937266668610727E-2</v>
          </cell>
          <cell r="DB122">
            <v>1.5061198122912733E-2</v>
          </cell>
          <cell r="DC122">
            <v>1.4818063681018012E-2</v>
          </cell>
          <cell r="DD122">
            <v>1.4914319584513391E-2</v>
          </cell>
          <cell r="DE122">
            <v>1.6098109064115462E-2</v>
          </cell>
          <cell r="DF122">
            <v>1.4245618570593477E-2</v>
          </cell>
          <cell r="DG122">
            <v>1.4329389194630338E-2</v>
          </cell>
          <cell r="DH122">
            <v>1.2210868928167695E-2</v>
          </cell>
          <cell r="DI122">
            <v>1.4267932851227405E-2</v>
          </cell>
        </row>
        <row r="124">
          <cell r="B124" t="str">
            <v>Adjusted Admissions</v>
          </cell>
          <cell r="R124" t="str">
            <v>ND</v>
          </cell>
          <cell r="S124" t="str">
            <v>ND</v>
          </cell>
          <cell r="T124" t="str">
            <v>ND</v>
          </cell>
          <cell r="U124">
            <v>60571</v>
          </cell>
          <cell r="V124">
            <v>246771</v>
          </cell>
          <cell r="W124">
            <v>61817</v>
          </cell>
          <cell r="X124">
            <v>67661</v>
          </cell>
          <cell r="Y124">
            <v>64455</v>
          </cell>
          <cell r="Z124">
            <v>67376</v>
          </cell>
          <cell r="AA124">
            <v>261309</v>
          </cell>
          <cell r="AB124">
            <v>72084</v>
          </cell>
          <cell r="AC124">
            <v>77352</v>
          </cell>
          <cell r="AD124">
            <v>73987</v>
          </cell>
          <cell r="AE124">
            <v>78358</v>
          </cell>
          <cell r="AF124">
            <v>301781</v>
          </cell>
          <cell r="AG124">
            <v>80076</v>
          </cell>
          <cell r="AH124">
            <v>90967</v>
          </cell>
          <cell r="AI124">
            <v>86997</v>
          </cell>
          <cell r="AJ124">
            <v>93348</v>
          </cell>
          <cell r="AK124">
            <v>351388</v>
          </cell>
          <cell r="AL124">
            <v>95035</v>
          </cell>
          <cell r="AM124">
            <v>98579</v>
          </cell>
          <cell r="AN124">
            <v>93928</v>
          </cell>
          <cell r="AO124">
            <v>94092</v>
          </cell>
          <cell r="AP124">
            <v>381634</v>
          </cell>
          <cell r="AQ124">
            <v>99550</v>
          </cell>
          <cell r="AR124">
            <v>125020</v>
          </cell>
          <cell r="AS124">
            <v>118792</v>
          </cell>
          <cell r="AT124">
            <v>116488</v>
          </cell>
          <cell r="AU124">
            <v>459850</v>
          </cell>
          <cell r="AW124">
            <v>98579</v>
          </cell>
          <cell r="AX124">
            <v>93928</v>
          </cell>
          <cell r="AY124">
            <v>94092</v>
          </cell>
          <cell r="AZ124">
            <v>99550</v>
          </cell>
          <cell r="BA124">
            <v>386149</v>
          </cell>
          <cell r="BB124">
            <v>125020</v>
          </cell>
          <cell r="BC124">
            <v>118792</v>
          </cell>
          <cell r="BD124">
            <v>116488</v>
          </cell>
          <cell r="BE124">
            <v>115896</v>
          </cell>
          <cell r="BF124">
            <v>476196</v>
          </cell>
          <cell r="BG124">
            <v>125392</v>
          </cell>
          <cell r="BH124">
            <v>128209</v>
          </cell>
          <cell r="BI124">
            <v>123410</v>
          </cell>
          <cell r="BJ124">
            <v>126042</v>
          </cell>
          <cell r="BK124">
            <v>503053</v>
          </cell>
          <cell r="BL124">
            <v>135303</v>
          </cell>
          <cell r="BM124">
            <v>130120</v>
          </cell>
          <cell r="BN124">
            <v>131811</v>
          </cell>
          <cell r="BO124">
            <v>131986</v>
          </cell>
          <cell r="BP124">
            <v>529220</v>
          </cell>
          <cell r="BQ124">
            <v>138424</v>
          </cell>
          <cell r="BR124">
            <v>129749</v>
          </cell>
          <cell r="BS124">
            <v>129168</v>
          </cell>
          <cell r="BT124">
            <v>132965</v>
          </cell>
          <cell r="BU124">
            <v>530306</v>
          </cell>
          <cell r="BV124">
            <v>140649</v>
          </cell>
          <cell r="BW124">
            <v>135801</v>
          </cell>
          <cell r="BX124">
            <v>135033</v>
          </cell>
          <cell r="BY124">
            <v>134520</v>
          </cell>
          <cell r="BZ124">
            <v>546003</v>
          </cell>
          <cell r="CA124">
            <v>141786</v>
          </cell>
          <cell r="CB124">
            <v>137657</v>
          </cell>
          <cell r="CC124">
            <v>134591</v>
          </cell>
          <cell r="CD124">
            <v>135074</v>
          </cell>
          <cell r="CE124">
            <v>549108</v>
          </cell>
          <cell r="CF124">
            <v>146899</v>
          </cell>
          <cell r="CG124">
            <v>139201</v>
          </cell>
          <cell r="CH124">
            <v>145354</v>
          </cell>
          <cell r="CI124">
            <v>149947</v>
          </cell>
          <cell r="CJ124">
            <v>581401</v>
          </cell>
          <cell r="CK124">
            <v>158659</v>
          </cell>
          <cell r="CL124">
            <v>151908</v>
          </cell>
          <cell r="CM124">
            <v>151620</v>
          </cell>
          <cell r="CN124">
            <v>169028.22526628934</v>
          </cell>
          <cell r="CO124">
            <v>631215.22526628932</v>
          </cell>
          <cell r="CP124">
            <v>177632.28219156279</v>
          </cell>
          <cell r="CQ124">
            <v>172557.08177042587</v>
          </cell>
          <cell r="CR124">
            <v>171297.30139851652</v>
          </cell>
          <cell r="CS124">
            <v>175196.81466000396</v>
          </cell>
          <cell r="CT124">
            <v>696683.4800205091</v>
          </cell>
          <cell r="CU124">
            <v>184714.99160510188</v>
          </cell>
          <cell r="CV124">
            <v>177494.79205689771</v>
          </cell>
          <cell r="CW124">
            <v>176287.16185464236</v>
          </cell>
          <cell r="CX124">
            <v>179915.84086666818</v>
          </cell>
          <cell r="CY124">
            <v>718412.7863833101</v>
          </cell>
          <cell r="CZ124">
            <v>190492.84089777336</v>
          </cell>
          <cell r="DA124">
            <v>183160.84783720982</v>
          </cell>
          <cell r="DB124">
            <v>181954.53456557196</v>
          </cell>
          <cell r="DC124">
            <v>185666.29038930149</v>
          </cell>
          <cell r="DD124">
            <v>741274.51368985663</v>
          </cell>
          <cell r="DE124">
            <v>196704.61017844602</v>
          </cell>
          <cell r="DF124">
            <v>188893.37482844325</v>
          </cell>
          <cell r="DG124">
            <v>187683.71857672514</v>
          </cell>
          <cell r="DH124">
            <v>191145.62926055017</v>
          </cell>
          <cell r="DI124">
            <v>764427.33284416457</v>
          </cell>
        </row>
        <row r="125">
          <cell r="B125" t="str">
            <v>y/y change - restated</v>
          </cell>
          <cell r="R125" t="str">
            <v>NM</v>
          </cell>
          <cell r="S125" t="str">
            <v>NM</v>
          </cell>
          <cell r="T125" t="str">
            <v>NM</v>
          </cell>
          <cell r="U125" t="str">
            <v>NM</v>
          </cell>
          <cell r="V125" t="str">
            <v>NM</v>
          </cell>
          <cell r="W125" t="str">
            <v>NM</v>
          </cell>
          <cell r="X125" t="str">
            <v>NM</v>
          </cell>
          <cell r="Y125" t="str">
            <v>NM</v>
          </cell>
          <cell r="Z125" t="str">
            <v>NM</v>
          </cell>
          <cell r="AA125" t="str">
            <v>NM</v>
          </cell>
          <cell r="AB125" t="str">
            <v>NM</v>
          </cell>
          <cell r="AC125" t="str">
            <v>NM</v>
          </cell>
          <cell r="AD125">
            <v>3.1853618398114403E-2</v>
          </cell>
          <cell r="AE125" t="str">
            <v>NM</v>
          </cell>
          <cell r="AF125" t="str">
            <v>NM</v>
          </cell>
          <cell r="AG125">
            <v>4.7046209367399783E-2</v>
          </cell>
          <cell r="AH125">
            <v>2.4137892212602541E-2</v>
          </cell>
          <cell r="AI125">
            <v>1.5347447538572867E-2</v>
          </cell>
          <cell r="AJ125">
            <v>2.9127069874098632E-2</v>
          </cell>
          <cell r="AK125">
            <v>0.11114694898478672</v>
          </cell>
          <cell r="AL125">
            <v>3.9394966806295395E-2</v>
          </cell>
          <cell r="AM125">
            <v>4.104887424492043E-2</v>
          </cell>
          <cell r="AN125">
            <v>2.6569177131490651E-2</v>
          </cell>
          <cell r="AO125">
            <v>4.4657097288669512E-4</v>
          </cell>
          <cell r="AP125">
            <v>2.9965104134336951E-2</v>
          </cell>
          <cell r="AQ125">
            <v>-6.3481923622062952E-3</v>
          </cell>
          <cell r="AR125">
            <v>3.2847559565116757E-2</v>
          </cell>
          <cell r="AS125">
            <v>3.4007920964442606E-2</v>
          </cell>
          <cell r="AT125">
            <v>2.7856455868209062E-2</v>
          </cell>
          <cell r="AU125">
            <v>0.16467846921459861</v>
          </cell>
          <cell r="AW125">
            <v>4.104887424492043E-2</v>
          </cell>
          <cell r="AX125">
            <v>2.6569177131490651E-2</v>
          </cell>
          <cell r="AY125">
            <v>4.4657097288669512E-4</v>
          </cell>
          <cell r="AZ125">
            <v>-6.3481923622062952E-3</v>
          </cell>
          <cell r="BB125">
            <v>3.2847559565116757E-2</v>
          </cell>
          <cell r="BC125">
            <v>3.4007920964442606E-2</v>
          </cell>
          <cell r="BD125">
            <v>2.7856455868209062E-2</v>
          </cell>
          <cell r="BE125">
            <v>7.2531343902193512E-4</v>
          </cell>
          <cell r="BF125">
            <v>2.3918877077097722E-2</v>
          </cell>
          <cell r="BG125">
            <v>-1.4095835755639774E-3</v>
          </cell>
          <cell r="BH125">
            <v>-1.2308459339238631E-3</v>
          </cell>
          <cell r="BI125">
            <v>-1.2544005179460083E-3</v>
          </cell>
          <cell r="BJ125">
            <v>2.5156772320230392E-2</v>
          </cell>
          <cell r="BK125">
            <v>8.1739029461918467E-2</v>
          </cell>
          <cell r="BL125">
            <v>6.1198691255204274E-3</v>
          </cell>
          <cell r="BM125">
            <v>1.9925065450155932E-2</v>
          </cell>
          <cell r="BN125">
            <v>1.8545564132878889E-2</v>
          </cell>
          <cell r="BO125">
            <v>1.5894274212790771E-2</v>
          </cell>
          <cell r="BP125">
            <v>5.1343431835112918E-2</v>
          </cell>
          <cell r="BQ125">
            <v>1.2456023580869058E-2</v>
          </cell>
          <cell r="BR125">
            <v>-1.4694268096351881E-2</v>
          </cell>
          <cell r="BS125">
            <v>-9.9641291351135752E-3</v>
          </cell>
          <cell r="BT125">
            <v>1.1356030181331356E-2</v>
          </cell>
          <cell r="BU125">
            <v>2.7948595762705697E-3</v>
          </cell>
          <cell r="BV125">
            <v>9.5363484325505787E-4</v>
          </cell>
          <cell r="BW125">
            <v>4.7475433102448283E-2</v>
          </cell>
          <cell r="BX125">
            <v>6.9678461940635428E-2</v>
          </cell>
          <cell r="BY125">
            <v>3.9414614546550375E-2</v>
          </cell>
          <cell r="BZ125">
            <v>5.1204546723474964E-2</v>
          </cell>
          <cell r="CA125">
            <v>3.1320919406459202E-2</v>
          </cell>
          <cell r="CB125">
            <v>3.7206428619866116E-2</v>
          </cell>
          <cell r="CC125">
            <v>-3.273273940444188E-3</v>
          </cell>
          <cell r="CD125">
            <v>7.1864095364393421E-4</v>
          </cell>
          <cell r="CE125">
            <v>2.6529349413086489E-2</v>
          </cell>
          <cell r="CF125">
            <v>-3.162216265734763E-3</v>
          </cell>
          <cell r="CG125">
            <v>-2.8861851009502004E-2</v>
          </cell>
          <cell r="CH125">
            <v>8.4713424406623883E-3</v>
          </cell>
          <cell r="CI125">
            <v>-1.0564309657666193E-2</v>
          </cell>
          <cell r="CJ125">
            <v>-7.9496979831417125E-3</v>
          </cell>
          <cell r="CK125">
            <v>-2.4207137647443977E-3</v>
          </cell>
          <cell r="CL125">
            <v>-2.0234403742050988E-3</v>
          </cell>
          <cell r="CM125">
            <v>-2.2418228592429257E-2</v>
          </cell>
        </row>
        <row r="126">
          <cell r="B126" t="str">
            <v>y/y change - reported</v>
          </cell>
          <cell r="R126" t="str">
            <v>NM</v>
          </cell>
          <cell r="S126" t="str">
            <v>NM</v>
          </cell>
          <cell r="T126" t="str">
            <v>NM</v>
          </cell>
          <cell r="U126" t="str">
            <v>NM</v>
          </cell>
          <cell r="V126" t="str">
            <v>NM</v>
          </cell>
          <cell r="W126" t="str">
            <v>NM</v>
          </cell>
          <cell r="X126" t="str">
            <v>NM</v>
          </cell>
          <cell r="Y126" t="str">
            <v>NM</v>
          </cell>
          <cell r="Z126">
            <v>0.11234749302471481</v>
          </cell>
          <cell r="AA126">
            <v>5.8912919265229791E-2</v>
          </cell>
          <cell r="AB126">
            <v>0.16608699872203436</v>
          </cell>
          <cell r="AC126">
            <v>0.14322874329377333</v>
          </cell>
          <cell r="AD126">
            <v>0.14788612210069041</v>
          </cell>
          <cell r="AE126">
            <v>0.16299572548088337</v>
          </cell>
          <cell r="AF126">
            <v>0.15488176832791822</v>
          </cell>
          <cell r="AG126">
            <v>0.11087065090727477</v>
          </cell>
          <cell r="AH126">
            <v>0.17601354845382144</v>
          </cell>
          <cell r="AI126">
            <v>0.17584170192060777</v>
          </cell>
          <cell r="AJ126">
            <v>0.19130146251818569</v>
          </cell>
          <cell r="AK126">
            <v>0.16438079269403971</v>
          </cell>
          <cell r="AL126">
            <v>0.18681003047105249</v>
          </cell>
          <cell r="AM126">
            <v>8.3678696670220987E-2</v>
          </cell>
          <cell r="AN126">
            <v>7.9669413887835105E-2</v>
          </cell>
          <cell r="AO126">
            <v>7.970176115181804E-3</v>
          </cell>
          <cell r="AP126">
            <v>8.6075790863660684E-2</v>
          </cell>
          <cell r="AQ126">
            <v>4.7508812542747414E-2</v>
          </cell>
          <cell r="AR126">
            <v>0.2682214264701408</v>
          </cell>
          <cell r="AS126">
            <v>0.26471339749595435</v>
          </cell>
          <cell r="AT126">
            <v>0.23802236109339803</v>
          </cell>
          <cell r="AU126">
            <v>0.20495029268880649</v>
          </cell>
          <cell r="AW126">
            <v>8.3678696670220987E-2</v>
          </cell>
          <cell r="AX126">
            <v>7.9669413887835105E-2</v>
          </cell>
          <cell r="AY126">
            <v>7.970176115181804E-3</v>
          </cell>
          <cell r="AZ126">
            <v>4.7508812542747414E-2</v>
          </cell>
          <cell r="BB126">
            <v>3.2847559565116757E-2</v>
          </cell>
          <cell r="BC126">
            <v>3.4728452593528081E-2</v>
          </cell>
          <cell r="BD126">
            <v>1.5137122988035046E-2</v>
          </cell>
          <cell r="BE126">
            <v>-1.1025019626582977E-2</v>
          </cell>
          <cell r="BF126">
            <v>1.7973954013356552E-2</v>
          </cell>
          <cell r="BG126">
            <v>-4.7433832690145561E-2</v>
          </cell>
          <cell r="BH126">
            <v>-3.5518318747765898E-3</v>
          </cell>
          <cell r="BI126">
            <v>-1.6637715342077142E-2</v>
          </cell>
          <cell r="BJ126">
            <v>8.5759207203772725E-4</v>
          </cell>
          <cell r="BK126">
            <v>-1.696389139670218E-2</v>
          </cell>
          <cell r="BL126">
            <v>-3.4735895899323688E-2</v>
          </cell>
          <cell r="BM126">
            <v>-3.4152062410463091E-2</v>
          </cell>
          <cell r="BN126">
            <v>1.1068667157584589E-2</v>
          </cell>
          <cell r="BO126">
            <v>-1.2908340313509625E-2</v>
          </cell>
          <cell r="BP126">
            <v>-1.8095526120974537E-2</v>
          </cell>
          <cell r="BQ126">
            <v>-2.5718267430566266E-2</v>
          </cell>
          <cell r="BR126">
            <v>-6.5060744498407486E-2</v>
          </cell>
          <cell r="BS126">
            <v>-2.768619303554487E-2</v>
          </cell>
          <cell r="BT126">
            <v>-1.3919995253704354E-2</v>
          </cell>
          <cell r="BU126">
            <v>-3.3248016567494987E-2</v>
          </cell>
          <cell r="BV126">
            <v>2.3160685271228498E-3</v>
          </cell>
          <cell r="BW126">
            <v>4.6643904769978928E-2</v>
          </cell>
          <cell r="BX126">
            <v>4.5405982905982967E-2</v>
          </cell>
          <cell r="BY126">
            <v>1.1694806904072541E-2</v>
          </cell>
          <cell r="BZ126">
            <v>2.5924172219027986E-2</v>
          </cell>
          <cell r="CA126">
            <v>8.0839536719066185E-3</v>
          </cell>
          <cell r="CB126">
            <v>1.3667056943615918E-2</v>
          </cell>
          <cell r="CC126">
            <v>-3.273273940444188E-3</v>
          </cell>
          <cell r="CD126">
            <v>-1.4511574969174768E-2</v>
          </cell>
          <cell r="CE126">
            <v>1.0245266577462164E-3</v>
          </cell>
          <cell r="CF126">
            <v>-1.3637279258712165E-2</v>
          </cell>
          <cell r="CG126">
            <v>-4.2732867998487079E-2</v>
          </cell>
          <cell r="CH126">
            <v>-7.1244629329836329E-3</v>
          </cell>
          <cell r="CI126">
            <v>-1.3662316476345859E-2</v>
          </cell>
          <cell r="CJ126">
            <v>-1.9172827051484043E-2</v>
          </cell>
          <cell r="CK126">
            <v>-6.1575274677090341E-3</v>
          </cell>
          <cell r="CL126">
            <v>-2.0234403742050988E-3</v>
          </cell>
          <cell r="CM126">
            <v>-2.2418228592429257E-2</v>
          </cell>
          <cell r="CN126">
            <v>-1.0152171023087853E-3</v>
          </cell>
          <cell r="CO126">
            <v>-7.7650489797466138E-3</v>
          </cell>
          <cell r="CP126">
            <v>-1.0275725244620615E-3</v>
          </cell>
          <cell r="CQ126">
            <v>2.108562263643643E-3</v>
          </cell>
          <cell r="CR126">
            <v>5.3328387157303148E-4</v>
          </cell>
          <cell r="CS126">
            <v>1.851187131994525E-2</v>
          </cell>
          <cell r="CT126">
            <v>4.9852886327756973E-3</v>
          </cell>
          <cell r="CU126">
            <v>2.5948853587515197E-2</v>
          </cell>
          <cell r="CV126">
            <v>2.8614938522436795E-2</v>
          </cell>
          <cell r="CW126">
            <v>2.9129825253447095E-2</v>
          </cell>
          <cell r="CX126">
            <v>2.6935570808306109E-2</v>
          </cell>
          <cell r="CY126">
            <v>2.7633624082127106E-2</v>
          </cell>
          <cell r="CZ126">
            <v>3.1279807028461448E-2</v>
          </cell>
          <cell r="DA126">
            <v>3.1922377635146493E-2</v>
          </cell>
          <cell r="DB126">
            <v>3.2148527727746012E-2</v>
          </cell>
          <cell r="DC126">
            <v>3.1961885595692685E-2</v>
          </cell>
          <cell r="DD126">
            <v>3.1822550683763273E-2</v>
          </cell>
          <cell r="DE126">
            <v>3.2608938222545403E-2</v>
          </cell>
          <cell r="DF126">
            <v>3.1297774928015221E-2</v>
          </cell>
          <cell r="DG126">
            <v>3.1486898772992822E-2</v>
          </cell>
          <cell r="DH126">
            <v>2.9511759295452578E-2</v>
          </cell>
          <cell r="DI126">
            <v>3.1233798986369798E-2</v>
          </cell>
        </row>
        <row r="128">
          <cell r="B128" t="str">
            <v>Adjustment Factor</v>
          </cell>
          <cell r="U128">
            <v>1.5720069554384781</v>
          </cell>
          <cell r="V128">
            <v>1.6771284295801929</v>
          </cell>
          <cell r="W128">
            <v>1.536398657884926</v>
          </cell>
          <cell r="X128">
            <v>1.5055182234880513</v>
          </cell>
          <cell r="Y128">
            <v>1.5651255402845903</v>
          </cell>
          <cell r="Z128">
            <v>1.5961338008149342</v>
          </cell>
          <cell r="AA128">
            <v>1.5501420766323981</v>
          </cell>
          <cell r="AB128">
            <v>1.5911880270186747</v>
          </cell>
          <cell r="AC128">
            <v>1.5512283164544269</v>
          </cell>
          <cell r="AD128">
            <v>1.5927967105121525</v>
          </cell>
          <cell r="AE128">
            <v>1.6075414409978663</v>
          </cell>
          <cell r="AF128">
            <v>1.5853006377323204</v>
          </cell>
          <cell r="AG128">
            <v>1.5831240979814556</v>
          </cell>
          <cell r="AH128">
            <v>1.554885136059073</v>
          </cell>
          <cell r="AI128">
            <v>1.6033357906376704</v>
          </cell>
          <cell r="AJ128">
            <v>1.6205687302524219</v>
          </cell>
          <cell r="AK128">
            <v>1.5903723517404627</v>
          </cell>
          <cell r="AL128">
            <v>1.5808340402881049</v>
          </cell>
          <cell r="AM128">
            <v>1.5553890089777371</v>
          </cell>
          <cell r="AN128">
            <v>1.631997776001668</v>
          </cell>
          <cell r="AO128">
            <v>1.6364964519270906</v>
          </cell>
          <cell r="AP128">
            <v>1.5998339942820252</v>
          </cell>
          <cell r="AQ128">
            <v>1.6132168727414153</v>
          </cell>
          <cell r="AR128">
            <v>1.614202711426727</v>
          </cell>
          <cell r="AS128">
            <v>1.6750849584725807</v>
          </cell>
          <cell r="AT128">
            <v>1.7027919894752228</v>
          </cell>
          <cell r="AU128">
            <v>1.6512499730686641</v>
          </cell>
          <cell r="AW128">
            <v>1.5553890089777371</v>
          </cell>
          <cell r="AX128">
            <v>1.631997776001668</v>
          </cell>
          <cell r="AY128">
            <v>1.6364964519270906</v>
          </cell>
          <cell r="AZ128">
            <v>1.6132168727414153</v>
          </cell>
          <cell r="BA128">
            <v>1.6080295496756032</v>
          </cell>
          <cell r="BB128">
            <v>1.614202711426727</v>
          </cell>
          <cell r="BC128">
            <v>1.6750849584725807</v>
          </cell>
          <cell r="BD128">
            <v>1.7027919894752228</v>
          </cell>
          <cell r="BE128">
            <v>1.6663695183321352</v>
          </cell>
          <cell r="BF128">
            <v>1.6631194403601477</v>
          </cell>
          <cell r="BG128">
            <v>1.6612172438462149</v>
          </cell>
          <cell r="BH128">
            <v>1.705428522021363</v>
          </cell>
          <cell r="BI128">
            <v>1.686182349806665</v>
          </cell>
          <cell r="BJ128">
            <v>1.6763356342018114</v>
          </cell>
          <cell r="BK128">
            <v>1.6822433344368757</v>
          </cell>
          <cell r="BL128">
            <v>1.6567038080078365</v>
          </cell>
          <cell r="BM128">
            <v>1.7097655839377695</v>
          </cell>
          <cell r="BN128">
            <v>1.7416656756649622</v>
          </cell>
          <cell r="BO128">
            <v>1.7400005273288159</v>
          </cell>
          <cell r="BP128">
            <v>1.7109751090333614</v>
          </cell>
          <cell r="BQ128">
            <v>1.681903234429297</v>
          </cell>
          <cell r="BR128">
            <v>1.757902152853988</v>
          </cell>
          <cell r="BS128">
            <v>1.7829063604240283</v>
          </cell>
          <cell r="BT128">
            <v>1.7366970559807737</v>
          </cell>
          <cell r="BU128">
            <v>1.7380186876681709</v>
          </cell>
          <cell r="BV128">
            <v>1.6872278403570016</v>
          </cell>
          <cell r="BW128">
            <v>1.7504640371229698</v>
          </cell>
          <cell r="BX128">
            <v>1.8030845239684872</v>
          </cell>
          <cell r="BY128">
            <v>1.7651921739472751</v>
          </cell>
          <cell r="BZ128">
            <v>1.7497964991443349</v>
          </cell>
          <cell r="CA128">
            <v>1.7398763068767487</v>
          </cell>
          <cell r="CB128">
            <v>1.819031132723717</v>
          </cell>
          <cell r="CC128">
            <v>1.8530027259960899</v>
          </cell>
          <cell r="CD128">
            <v>1.8211897314205587</v>
          </cell>
          <cell r="CE128">
            <v>1.8064545843339803</v>
          </cell>
          <cell r="CF128">
            <v>1.8033267861527129</v>
          </cell>
          <cell r="CG128">
            <v>1.8827228954771695</v>
          </cell>
          <cell r="CH128">
            <v>1.9072574825156474</v>
          </cell>
          <cell r="CI128">
            <v>1.8826683072596238</v>
          </cell>
          <cell r="CJ128">
            <v>1.8679370158681201</v>
          </cell>
          <cell r="CK128">
            <v>1.8786217512284649</v>
          </cell>
          <cell r="CL128">
            <v>1.9604067726615735</v>
          </cell>
          <cell r="CM128">
            <v>1.9906519969540215</v>
          </cell>
          <cell r="CN128">
            <v>2.0081112589078902</v>
          </cell>
          <cell r="CO128">
            <v>1.9585820370932254</v>
          </cell>
          <cell r="CP128">
            <v>1.9433108594358404</v>
          </cell>
          <cell r="CQ128">
            <v>2.0383800694582384</v>
          </cell>
          <cell r="CR128">
            <v>2.0622063741562711</v>
          </cell>
          <cell r="CS128">
            <v>2.0858849359194238</v>
          </cell>
          <cell r="CT128">
            <v>2.0304502801407067</v>
          </cell>
          <cell r="CU128">
            <v>1.9782120689479359</v>
          </cell>
          <cell r="CV128">
            <v>2.0762466965751112</v>
          </cell>
          <cell r="CW128">
            <v>2.1007488515809927</v>
          </cell>
          <cell r="CX128">
            <v>2.1251955819308077</v>
          </cell>
          <cell r="CY128">
            <v>2.0677447850393289</v>
          </cell>
          <cell r="CZ128">
            <v>2.010240935710998</v>
          </cell>
          <cell r="DA128">
            <v>2.1109929628650317</v>
          </cell>
          <cell r="DB128">
            <v>2.1361124218862311</v>
          </cell>
          <cell r="DC128">
            <v>2.1610975587426111</v>
          </cell>
          <cell r="DD128">
            <v>2.1021929212071453</v>
          </cell>
          <cell r="DE128">
            <v>2.042905837220732</v>
          </cell>
          <cell r="DF128">
            <v>2.1464843481992109</v>
          </cell>
          <cell r="DG128">
            <v>2.1722450329782474</v>
          </cell>
          <cell r="DH128">
            <v>2.1980354272090943</v>
          </cell>
          <cell r="DI128">
            <v>2.1373567300354339</v>
          </cell>
        </row>
        <row r="129">
          <cell r="AW129">
            <v>-0.23032527673654823</v>
          </cell>
          <cell r="AX129">
            <v>-0.33263876623801769</v>
          </cell>
          <cell r="AY129">
            <v>-0.28288934461801496</v>
          </cell>
          <cell r="AZ129">
            <v>-0.25245476904962927</v>
          </cell>
          <cell r="BA129">
            <v>-0.27249297125296112</v>
          </cell>
          <cell r="BB129">
            <v>-0.25146893036431761</v>
          </cell>
          <cell r="BC129">
            <v>-0.28186220395403394</v>
          </cell>
          <cell r="BD129">
            <v>-0.32560557644769816</v>
          </cell>
          <cell r="BE129" t="str">
            <v>NM</v>
          </cell>
          <cell r="BF129">
            <v>-0.28234799620477835</v>
          </cell>
          <cell r="BG129">
            <v>-0.31116934392498807</v>
          </cell>
          <cell r="BH129">
            <v>-0.28264304855517763</v>
          </cell>
          <cell r="BI129">
            <v>-0.21495833460398117</v>
          </cell>
          <cell r="BJ129">
            <v>-0.30386238560016854</v>
          </cell>
          <cell r="BK129">
            <v>-0.27802544714363298</v>
          </cell>
          <cell r="BL129">
            <v>-0.27379812249409419</v>
          </cell>
          <cell r="BM129">
            <v>-0.19863136262711611</v>
          </cell>
          <cell r="BN129">
            <v>-0.27853634453705811</v>
          </cell>
          <cell r="BO129">
            <v>-0.24412645679816825</v>
          </cell>
          <cell r="BP129">
            <v>-0.24920372069529995</v>
          </cell>
          <cell r="BQ129">
            <v>-0.20845593381266903</v>
          </cell>
          <cell r="BR129">
            <v>-0.19522284714601201</v>
          </cell>
          <cell r="BS129">
            <v>-0.2251257680900276</v>
          </cell>
          <cell r="BT129">
            <v>-0.16083615085034575</v>
          </cell>
          <cell r="BU129">
            <v>-0.19736479603211521</v>
          </cell>
          <cell r="BV129">
            <v>-0.19601133101776314</v>
          </cell>
          <cell r="BW129">
            <v>-0.14706916970814965</v>
          </cell>
          <cell r="BX129">
            <v>-0.20494760454556871</v>
          </cell>
          <cell r="BY129">
            <v>-0.22683969856268504</v>
          </cell>
          <cell r="BZ129">
            <v>-0.19195107367119912</v>
          </cell>
          <cell r="CA129">
            <v>-0.20564898495204531</v>
          </cell>
          <cell r="CB129">
            <v>-0.20936643319920356</v>
          </cell>
          <cell r="CC129">
            <v>-0.20885294410700261</v>
          </cell>
          <cell r="CD129">
            <v>-0.17481825261137729</v>
          </cell>
          <cell r="CE129">
            <v>-0.19999922327178332</v>
          </cell>
          <cell r="CF129">
            <v>-0.17295779882752416</v>
          </cell>
          <cell r="CG129">
            <v>-0.20932731372785174</v>
          </cell>
          <cell r="CH129">
            <v>-0.20690742234693227</v>
          </cell>
          <cell r="CI129">
            <v>-0.20938190194539708</v>
          </cell>
          <cell r="CJ129">
            <v>-0.19920663506173408</v>
          </cell>
          <cell r="CK129">
            <v>-0.24452049930232111</v>
          </cell>
          <cell r="CL129">
            <v>-0.24223639914459372</v>
          </cell>
          <cell r="CM129">
            <v>-0.25653901428193371</v>
          </cell>
          <cell r="CN129">
            <v>-0.24776530424294951</v>
          </cell>
          <cell r="CO129">
            <v>-0.24841260630159678</v>
          </cell>
          <cell r="CP129">
            <v>-0.24841260630159678</v>
          </cell>
          <cell r="CQ129">
            <v>-0.24841260630159678</v>
          </cell>
          <cell r="CR129">
            <v>-0.24841260630159678</v>
          </cell>
          <cell r="CS129">
            <v>-0.24841260630159678</v>
          </cell>
          <cell r="CT129">
            <v>-0.24918193742173278</v>
          </cell>
          <cell r="CU129">
            <v>-0.24918193742173278</v>
          </cell>
          <cell r="CV129">
            <v>-0.24918193742173278</v>
          </cell>
          <cell r="CW129">
            <v>-0.24918193742173278</v>
          </cell>
          <cell r="CX129">
            <v>-0.24918193742173278</v>
          </cell>
          <cell r="CY129">
            <v>-0.24990808830349875</v>
          </cell>
          <cell r="CZ129">
            <v>-0.24990808830349875</v>
          </cell>
          <cell r="DA129">
            <v>-0.24990808830349875</v>
          </cell>
          <cell r="DB129">
            <v>-0.24990808830349875</v>
          </cell>
          <cell r="DC129">
            <v>-0.24990808830349875</v>
          </cell>
          <cell r="DD129">
            <v>-0.2506519919872634</v>
          </cell>
          <cell r="DE129">
            <v>-0.2506519919872634</v>
          </cell>
          <cell r="DF129">
            <v>-0.2506519919872634</v>
          </cell>
          <cell r="DG129">
            <v>-0.2506519919872634</v>
          </cell>
          <cell r="DH129">
            <v>-0.2506519919872634</v>
          </cell>
          <cell r="DI129">
            <v>-0.25139387805126079</v>
          </cell>
        </row>
        <row r="130">
          <cell r="B130" t="str">
            <v>Outpatient Visits</v>
          </cell>
          <cell r="R130" t="str">
            <v>NM</v>
          </cell>
          <cell r="S130" t="str">
            <v>NM</v>
          </cell>
          <cell r="T130" t="str">
            <v>NM</v>
          </cell>
          <cell r="U130">
            <v>22040</v>
          </cell>
          <cell r="V130">
            <v>99632</v>
          </cell>
          <cell r="W130">
            <v>21582</v>
          </cell>
          <cell r="X130">
            <v>22719</v>
          </cell>
          <cell r="Y130">
            <v>23273</v>
          </cell>
          <cell r="Z130">
            <v>25164</v>
          </cell>
          <cell r="AA130">
            <v>92738</v>
          </cell>
          <cell r="AB130">
            <v>26782</v>
          </cell>
          <cell r="AC130">
            <v>27487</v>
          </cell>
          <cell r="AD130">
            <v>27536</v>
          </cell>
          <cell r="AE130">
            <v>29614</v>
          </cell>
          <cell r="AF130">
            <v>111419</v>
          </cell>
          <cell r="AG130">
            <v>29495</v>
          </cell>
          <cell r="AH130">
            <v>32463</v>
          </cell>
          <cell r="AI130">
            <v>32737</v>
          </cell>
          <cell r="AJ130">
            <v>35746</v>
          </cell>
          <cell r="AK130">
            <v>130441</v>
          </cell>
          <cell r="AL130">
            <v>34918</v>
          </cell>
          <cell r="AM130">
            <v>35200</v>
          </cell>
          <cell r="AN130">
            <v>36374</v>
          </cell>
          <cell r="AO130">
            <v>36596</v>
          </cell>
          <cell r="AP130">
            <v>143088</v>
          </cell>
          <cell r="AQ130">
            <v>37841</v>
          </cell>
          <cell r="AR130">
            <v>47570</v>
          </cell>
          <cell r="AS130">
            <v>47875</v>
          </cell>
          <cell r="AT130">
            <v>48078</v>
          </cell>
          <cell r="AU130">
            <v>181364</v>
          </cell>
          <cell r="AW130">
            <v>35200</v>
          </cell>
          <cell r="AX130">
            <v>36374</v>
          </cell>
          <cell r="AY130">
            <v>36596</v>
          </cell>
          <cell r="AZ130">
            <v>37841</v>
          </cell>
          <cell r="BA130">
            <v>146011</v>
          </cell>
          <cell r="BB130">
            <v>47570</v>
          </cell>
          <cell r="BC130">
            <v>47875</v>
          </cell>
          <cell r="BD130">
            <v>48078</v>
          </cell>
          <cell r="BE130">
            <v>46346</v>
          </cell>
          <cell r="BF130">
            <v>189869</v>
          </cell>
          <cell r="BG130">
            <v>49910</v>
          </cell>
          <cell r="BH130">
            <v>53032</v>
          </cell>
          <cell r="BI130">
            <v>50221</v>
          </cell>
          <cell r="BJ130">
            <v>50853</v>
          </cell>
          <cell r="BK130">
            <v>204016</v>
          </cell>
          <cell r="BL130">
            <v>53633</v>
          </cell>
          <cell r="BM130">
            <v>54016</v>
          </cell>
          <cell r="BN130">
            <v>56130</v>
          </cell>
          <cell r="BO130">
            <v>56132</v>
          </cell>
          <cell r="BP130">
            <v>219911</v>
          </cell>
          <cell r="BQ130">
            <v>56122</v>
          </cell>
          <cell r="BR130">
            <v>55940</v>
          </cell>
          <cell r="BS130">
            <v>56720</v>
          </cell>
          <cell r="BT130">
            <v>56403</v>
          </cell>
          <cell r="BU130">
            <v>225185</v>
          </cell>
          <cell r="BV130">
            <v>57288</v>
          </cell>
          <cell r="BW130">
            <v>58221</v>
          </cell>
          <cell r="BX130">
            <v>60143</v>
          </cell>
          <cell r="BY130">
            <v>58313</v>
          </cell>
          <cell r="BZ130">
            <v>233965</v>
          </cell>
          <cell r="CA130">
            <v>60294</v>
          </cell>
          <cell r="CB130">
            <v>61981</v>
          </cell>
          <cell r="CC130">
            <v>61957</v>
          </cell>
          <cell r="CD130">
            <v>60906</v>
          </cell>
          <cell r="CE130">
            <v>245138</v>
          </cell>
          <cell r="CF130">
            <v>65439</v>
          </cell>
          <cell r="CG130">
            <v>65265</v>
          </cell>
          <cell r="CH130">
            <v>69143</v>
          </cell>
          <cell r="CI130">
            <v>70301</v>
          </cell>
          <cell r="CJ130">
            <v>270148</v>
          </cell>
          <cell r="CK130">
            <v>74204</v>
          </cell>
          <cell r="CL130">
            <v>74420</v>
          </cell>
          <cell r="CM130">
            <v>75454</v>
          </cell>
          <cell r="CN130">
            <v>84855.486073434455</v>
          </cell>
          <cell r="CO130">
            <v>308933.48607343447</v>
          </cell>
          <cell r="CP130">
            <v>86225.247990595599</v>
          </cell>
          <cell r="CQ130">
            <v>87903.054606449441</v>
          </cell>
          <cell r="CR130">
            <v>88232.238878476099</v>
          </cell>
          <cell r="CS130">
            <v>91205.213952278398</v>
          </cell>
          <cell r="CT130">
            <v>353565.75542779954</v>
          </cell>
          <cell r="CU130">
            <v>91340.274857297351</v>
          </cell>
          <cell r="CV130">
            <v>92006.496109366228</v>
          </cell>
          <cell r="CW130">
            <v>92370.818536415027</v>
          </cell>
          <cell r="CX130">
            <v>95257.354656561845</v>
          </cell>
          <cell r="CY130">
            <v>370974.94415964046</v>
          </cell>
          <cell r="CZ130">
            <v>95731.642121170822</v>
          </cell>
          <cell r="DA130">
            <v>96395.590416064937</v>
          </cell>
          <cell r="DB130">
            <v>96774.310574878444</v>
          </cell>
          <cell r="DC130">
            <v>99753.329339395219</v>
          </cell>
          <cell r="DD130">
            <v>388654.87245150941</v>
          </cell>
          <cell r="DE130">
            <v>100417.9352888914</v>
          </cell>
          <cell r="DF130">
            <v>100892.09264489739</v>
          </cell>
          <cell r="DG130">
            <v>101282.91400478319</v>
          </cell>
          <cell r="DH130">
            <v>104183.59630403272</v>
          </cell>
          <cell r="DI130">
            <v>406776.5382426047</v>
          </cell>
        </row>
        <row r="131">
          <cell r="B131" t="str">
            <v>Surgeries (same-store)</v>
          </cell>
          <cell r="R131">
            <v>33297</v>
          </cell>
          <cell r="S131">
            <v>35067</v>
          </cell>
          <cell r="T131">
            <v>36801</v>
          </cell>
          <cell r="U131">
            <v>38277</v>
          </cell>
          <cell r="V131">
            <v>143442</v>
          </cell>
          <cell r="W131">
            <v>37019</v>
          </cell>
          <cell r="X131">
            <v>39242</v>
          </cell>
          <cell r="Y131">
            <v>39850</v>
          </cell>
          <cell r="Z131">
            <v>41255</v>
          </cell>
          <cell r="AA131">
            <v>157366</v>
          </cell>
          <cell r="AB131">
            <v>43287</v>
          </cell>
          <cell r="AC131">
            <v>44779</v>
          </cell>
          <cell r="AD131">
            <v>45138</v>
          </cell>
          <cell r="AE131">
            <v>46351</v>
          </cell>
          <cell r="AF131">
            <v>179555</v>
          </cell>
          <cell r="AG131">
            <v>46346</v>
          </cell>
          <cell r="AH131">
            <v>50993</v>
          </cell>
          <cell r="AI131">
            <v>50701</v>
          </cell>
          <cell r="AJ131">
            <v>51787</v>
          </cell>
          <cell r="AK131">
            <v>199827</v>
          </cell>
          <cell r="AL131">
            <v>50962</v>
          </cell>
          <cell r="AM131">
            <v>53145</v>
          </cell>
          <cell r="AN131">
            <v>51781</v>
          </cell>
          <cell r="AO131">
            <v>51184</v>
          </cell>
          <cell r="AP131">
            <v>207072</v>
          </cell>
          <cell r="AQ131">
            <v>53985</v>
          </cell>
          <cell r="AR131">
            <v>63335</v>
          </cell>
          <cell r="AS131">
            <v>64658</v>
          </cell>
          <cell r="AT131">
            <v>62555</v>
          </cell>
          <cell r="AU131">
            <v>244533</v>
          </cell>
          <cell r="AW131">
            <v>53145</v>
          </cell>
          <cell r="AX131">
            <v>51781</v>
          </cell>
          <cell r="AY131">
            <v>51184</v>
          </cell>
          <cell r="AZ131">
            <v>53985</v>
          </cell>
          <cell r="BA131">
            <v>210095</v>
          </cell>
          <cell r="BB131">
            <v>63335</v>
          </cell>
          <cell r="BC131">
            <v>64658</v>
          </cell>
          <cell r="BD131">
            <v>62555</v>
          </cell>
          <cell r="BE131">
            <v>61973</v>
          </cell>
          <cell r="BF131">
            <v>252521</v>
          </cell>
          <cell r="BG131">
            <v>65303</v>
          </cell>
          <cell r="BH131">
            <v>68724</v>
          </cell>
          <cell r="BI131">
            <v>65970</v>
          </cell>
          <cell r="BJ131">
            <v>67003</v>
          </cell>
          <cell r="BK131">
            <v>267000</v>
          </cell>
          <cell r="BL131">
            <v>69549</v>
          </cell>
          <cell r="BM131">
            <v>68967</v>
          </cell>
          <cell r="BN131">
            <v>69768</v>
          </cell>
          <cell r="BO131">
            <v>68929</v>
          </cell>
          <cell r="BP131">
            <v>277213</v>
          </cell>
          <cell r="BQ131">
            <v>69800</v>
          </cell>
          <cell r="BR131">
            <v>69649</v>
          </cell>
          <cell r="BS131">
            <v>67518</v>
          </cell>
          <cell r="BT131">
            <v>67898</v>
          </cell>
          <cell r="BU131">
            <v>274865</v>
          </cell>
          <cell r="BV131">
            <v>68347</v>
          </cell>
          <cell r="BW131">
            <v>68994</v>
          </cell>
          <cell r="BX131">
            <v>66337</v>
          </cell>
          <cell r="BY131">
            <v>66774</v>
          </cell>
          <cell r="BZ131">
            <v>270452</v>
          </cell>
          <cell r="CA131">
            <v>76018</v>
          </cell>
          <cell r="CB131">
            <v>76402</v>
          </cell>
          <cell r="CC131">
            <v>75264</v>
          </cell>
          <cell r="CD131">
            <v>74477</v>
          </cell>
          <cell r="CE131">
            <v>302161</v>
          </cell>
          <cell r="CF131">
            <v>78527</v>
          </cell>
          <cell r="CG131">
            <v>78233</v>
          </cell>
          <cell r="CH131">
            <v>78108</v>
          </cell>
          <cell r="CI131">
            <v>81502</v>
          </cell>
          <cell r="CJ131">
            <v>316370</v>
          </cell>
          <cell r="CK131">
            <v>85943</v>
          </cell>
          <cell r="CL131">
            <v>84893</v>
          </cell>
          <cell r="CM131">
            <v>82322</v>
          </cell>
          <cell r="CO131">
            <v>253158</v>
          </cell>
        </row>
        <row r="132">
          <cell r="B132" t="str">
            <v>y/y change - restated</v>
          </cell>
          <cell r="R132" t="str">
            <v>NM</v>
          </cell>
          <cell r="S132" t="str">
            <v>NM</v>
          </cell>
          <cell r="T132" t="str">
            <v>NM</v>
          </cell>
          <cell r="U132" t="str">
            <v>NM</v>
          </cell>
          <cell r="V132" t="str">
            <v>NM</v>
          </cell>
          <cell r="W132" t="str">
            <v>NM</v>
          </cell>
          <cell r="X132" t="str">
            <v>NM</v>
          </cell>
          <cell r="Y132" t="str">
            <v>NM</v>
          </cell>
          <cell r="Z132" t="str">
            <v>NM</v>
          </cell>
          <cell r="AA132" t="str">
            <v>NM</v>
          </cell>
          <cell r="AB132" t="str">
            <v>NM</v>
          </cell>
          <cell r="AC132" t="str">
            <v>NM</v>
          </cell>
          <cell r="AD132" t="str">
            <v>NM</v>
          </cell>
          <cell r="AE132" t="str">
            <v>NM</v>
          </cell>
          <cell r="AF132" t="str">
            <v>NM</v>
          </cell>
          <cell r="AG132" t="str">
            <v>NM</v>
          </cell>
          <cell r="AH132">
            <v>5.105057752197828E-3</v>
          </cell>
          <cell r="AI132" t="str">
            <v>NM</v>
          </cell>
          <cell r="AJ132">
            <v>8.3923981618505561E-3</v>
          </cell>
          <cell r="AK132">
            <v>6.7297985867422971E-2</v>
          </cell>
          <cell r="AL132">
            <v>-1.3969507004101822E-2</v>
          </cell>
          <cell r="AM132">
            <v>8.6630633345263774E-4</v>
          </cell>
          <cell r="AN132">
            <v>-1.7027981320475338E-2</v>
          </cell>
          <cell r="AO132">
            <v>-2.5010953006838532E-2</v>
          </cell>
          <cell r="AP132">
            <v>-1.2936992935658198E-2</v>
          </cell>
          <cell r="AQ132">
            <v>2.2927522501184239E-2</v>
          </cell>
          <cell r="AR132">
            <v>1.7560489701487825E-2</v>
          </cell>
          <cell r="AS132">
            <v>7.2129734031969317E-2</v>
          </cell>
          <cell r="AT132">
            <v>5.9159174412895199E-2</v>
          </cell>
          <cell r="AU132">
            <v>0.15662189007662475</v>
          </cell>
          <cell r="AW132">
            <v>8.6630633345263774E-4</v>
          </cell>
          <cell r="AX132">
            <v>-1.7027981320475338E-2</v>
          </cell>
          <cell r="AY132">
            <v>-2.5010953006838532E-2</v>
          </cell>
          <cell r="AZ132">
            <v>2.2927522501184239E-2</v>
          </cell>
          <cell r="BB132">
            <v>1.7560489701487825E-2</v>
          </cell>
          <cell r="BC132">
            <v>7.2129734031969317E-2</v>
          </cell>
          <cell r="BD132">
            <v>5.9159174412895199E-2</v>
          </cell>
          <cell r="BE132">
            <v>2.0501251482018201E-2</v>
          </cell>
          <cell r="BF132">
            <v>4.2015523708524016E-2</v>
          </cell>
          <cell r="BG132">
            <v>3.2687076981466223E-2</v>
          </cell>
          <cell r="BH132">
            <v>4.7662212345389587E-3</v>
          </cell>
          <cell r="BI132">
            <v>-8.6556667568298273E-3</v>
          </cell>
          <cell r="BJ132">
            <v>1.924305576683194E-2</v>
          </cell>
          <cell r="BK132">
            <v>7.823460285025452E-2</v>
          </cell>
          <cell r="BL132">
            <v>-2.0229625977319143E-2</v>
          </cell>
          <cell r="BM132">
            <v>-1.5516601478859138E-2</v>
          </cell>
          <cell r="BN132">
            <v>1.1878344863594847E-2</v>
          </cell>
          <cell r="BO132">
            <v>4.5030603322646634E-3</v>
          </cell>
          <cell r="BP132">
            <v>1.549547041390853E-2</v>
          </cell>
          <cell r="BQ132">
            <v>-7.9167673436900676E-3</v>
          </cell>
          <cell r="BR132">
            <v>-7.6652371521791496E-3</v>
          </cell>
          <cell r="BS132">
            <v>-3.2249742002063986E-2</v>
          </cell>
          <cell r="BT132">
            <v>-1.4957419953865569E-2</v>
          </cell>
          <cell r="BU132">
            <v>-1.0931871912141955E-2</v>
          </cell>
          <cell r="BV132">
            <v>-2.0816618911174811E-2</v>
          </cell>
          <cell r="BW132">
            <v>-9.4042986977559417E-3</v>
          </cell>
          <cell r="BX132">
            <v>-1.7491631861133339E-2</v>
          </cell>
          <cell r="BY132">
            <v>4.8758465011287111E-3</v>
          </cell>
          <cell r="BZ132">
            <v>2.7436673192144934E-3</v>
          </cell>
          <cell r="CA132">
            <v>4.1870537121554863E-2</v>
          </cell>
          <cell r="CB132">
            <v>4.4428040244969269E-2</v>
          </cell>
          <cell r="CC132">
            <v>5.5344448027819348E-2</v>
          </cell>
          <cell r="CD132">
            <v>5.1578560939794516E-2</v>
          </cell>
          <cell r="CE132">
            <v>6.8915381349936355E-2</v>
          </cell>
          <cell r="CF132">
            <v>5.1327343010010296E-3</v>
          </cell>
          <cell r="CG132">
            <v>1.4977725433968914E-3</v>
          </cell>
          <cell r="CH132">
            <v>2.3870023870022905E-3</v>
          </cell>
          <cell r="CI132">
            <v>7.8274740629906692E-3</v>
          </cell>
          <cell r="CJ132">
            <v>5.7412799938962866E-3</v>
          </cell>
          <cell r="CK132">
            <v>3.7658166714961805E-2</v>
          </cell>
          <cell r="CL132">
            <v>2.8893817644135789E-2</v>
          </cell>
          <cell r="CM132">
            <v>8.045062144125481E-3</v>
          </cell>
        </row>
        <row r="133">
          <cell r="B133" t="str">
            <v>ER Visits (same-store)</v>
          </cell>
          <cell r="R133" t="str">
            <v>ND</v>
          </cell>
          <cell r="S133" t="str">
            <v>ND</v>
          </cell>
          <cell r="T133" t="str">
            <v>ND</v>
          </cell>
          <cell r="U133" t="str">
            <v>ND</v>
          </cell>
          <cell r="V133">
            <v>0</v>
          </cell>
          <cell r="W133" t="str">
            <v>ND</v>
          </cell>
          <cell r="X133" t="str">
            <v>ND</v>
          </cell>
          <cell r="Y133" t="str">
            <v>ND</v>
          </cell>
          <cell r="Z133" t="str">
            <v>ND</v>
          </cell>
          <cell r="AA133">
            <v>0</v>
          </cell>
          <cell r="AB133" t="str">
            <v>ND</v>
          </cell>
          <cell r="AC133" t="str">
            <v>ND</v>
          </cell>
          <cell r="AD133" t="str">
            <v>ND</v>
          </cell>
          <cell r="AE133" t="str">
            <v>ND</v>
          </cell>
          <cell r="AF133">
            <v>0</v>
          </cell>
          <cell r="AG133" t="str">
            <v>ND</v>
          </cell>
          <cell r="AH133" t="str">
            <v>ND</v>
          </cell>
          <cell r="AI133" t="str">
            <v>ND</v>
          </cell>
          <cell r="AJ133" t="str">
            <v>ND</v>
          </cell>
          <cell r="AK133">
            <v>0</v>
          </cell>
          <cell r="AL133" t="str">
            <v>ND</v>
          </cell>
          <cell r="AM133" t="str">
            <v>ND</v>
          </cell>
          <cell r="AN133" t="str">
            <v>ND</v>
          </cell>
          <cell r="AO133" t="str">
            <v>ND</v>
          </cell>
          <cell r="AP133">
            <v>0</v>
          </cell>
          <cell r="AQ133" t="str">
            <v>ND</v>
          </cell>
          <cell r="AR133" t="str">
            <v>ND</v>
          </cell>
          <cell r="AS133" t="str">
            <v>ND</v>
          </cell>
          <cell r="AT133" t="str">
            <v>ND</v>
          </cell>
          <cell r="AU133">
            <v>0</v>
          </cell>
          <cell r="AW133" t="str">
            <v>ND</v>
          </cell>
          <cell r="AX133" t="str">
            <v>ND</v>
          </cell>
          <cell r="AY133" t="str">
            <v>ND</v>
          </cell>
          <cell r="AZ133" t="str">
            <v>ND</v>
          </cell>
          <cell r="BA133">
            <v>0</v>
          </cell>
          <cell r="BB133" t="str">
            <v>ND</v>
          </cell>
          <cell r="BC133" t="str">
            <v>ND</v>
          </cell>
          <cell r="BD133" t="str">
            <v>ND</v>
          </cell>
          <cell r="BE133" t="str">
            <v>ND</v>
          </cell>
          <cell r="BF133">
            <v>0</v>
          </cell>
          <cell r="BG133" t="str">
            <v>ND</v>
          </cell>
          <cell r="BH133" t="str">
            <v>ND</v>
          </cell>
          <cell r="BI133" t="str">
            <v>ND</v>
          </cell>
          <cell r="BJ133" t="str">
            <v>ND</v>
          </cell>
          <cell r="BK133">
            <v>0</v>
          </cell>
          <cell r="BL133">
            <v>334149</v>
          </cell>
          <cell r="BM133">
            <v>323831</v>
          </cell>
          <cell r="BN133">
            <v>333847</v>
          </cell>
          <cell r="BO133">
            <v>279841</v>
          </cell>
          <cell r="BP133">
            <v>1271668</v>
          </cell>
          <cell r="BQ133">
            <v>356202</v>
          </cell>
          <cell r="BR133">
            <v>330424</v>
          </cell>
          <cell r="BS133">
            <v>326765</v>
          </cell>
          <cell r="BT133">
            <v>328983</v>
          </cell>
          <cell r="BU133">
            <v>1342374</v>
          </cell>
          <cell r="BV133">
            <v>354819</v>
          </cell>
          <cell r="BW133">
            <v>348824</v>
          </cell>
          <cell r="BX133">
            <v>355213</v>
          </cell>
          <cell r="BY133">
            <v>337082</v>
          </cell>
          <cell r="BZ133">
            <v>1395938</v>
          </cell>
          <cell r="CA133">
            <v>332884</v>
          </cell>
          <cell r="CB133">
            <v>333938</v>
          </cell>
          <cell r="CC133">
            <v>329431</v>
          </cell>
          <cell r="CD133">
            <v>331076</v>
          </cell>
          <cell r="CE133">
            <v>1327329</v>
          </cell>
          <cell r="CF133">
            <v>360256</v>
          </cell>
          <cell r="CG133">
            <v>344483</v>
          </cell>
          <cell r="CH133">
            <v>359404</v>
          </cell>
          <cell r="CI133">
            <v>368461</v>
          </cell>
          <cell r="CJ133">
            <v>1432604</v>
          </cell>
          <cell r="CK133">
            <v>393133</v>
          </cell>
          <cell r="CL133">
            <v>392461</v>
          </cell>
          <cell r="CM133">
            <v>392181</v>
          </cell>
          <cell r="CO133">
            <v>1177775</v>
          </cell>
          <cell r="CT133">
            <v>1.989642610532361</v>
          </cell>
          <cell r="CY133">
            <v>2.0379133055501586</v>
          </cell>
          <cell r="DD133">
            <v>2.0746334318117023</v>
          </cell>
        </row>
        <row r="134">
          <cell r="B134" t="str">
            <v>y/y % change - as reported</v>
          </cell>
          <cell r="R134" t="str">
            <v>NM</v>
          </cell>
          <cell r="S134" t="str">
            <v>NM</v>
          </cell>
          <cell r="T134" t="str">
            <v>NM</v>
          </cell>
          <cell r="U134" t="str">
            <v>NM</v>
          </cell>
          <cell r="V134" t="str">
            <v>NM</v>
          </cell>
          <cell r="W134" t="str">
            <v>NM</v>
          </cell>
          <cell r="X134" t="str">
            <v>NM</v>
          </cell>
          <cell r="Y134" t="str">
            <v>NM</v>
          </cell>
          <cell r="Z134" t="str">
            <v>NM</v>
          </cell>
          <cell r="AA134" t="str">
            <v>NM</v>
          </cell>
          <cell r="AB134" t="str">
            <v>NM</v>
          </cell>
          <cell r="AC134" t="str">
            <v>NM</v>
          </cell>
          <cell r="AD134" t="str">
            <v>NM</v>
          </cell>
          <cell r="AE134" t="str">
            <v>NM</v>
          </cell>
          <cell r="AF134" t="str">
            <v>NM</v>
          </cell>
          <cell r="AG134" t="str">
            <v>NM</v>
          </cell>
          <cell r="AH134" t="str">
            <v>NM</v>
          </cell>
          <cell r="AI134" t="str">
            <v>NM</v>
          </cell>
          <cell r="AJ134" t="str">
            <v>NM</v>
          </cell>
          <cell r="AK134" t="str">
            <v>NM</v>
          </cell>
          <cell r="AL134" t="str">
            <v>NM</v>
          </cell>
          <cell r="AM134" t="str">
            <v>NM</v>
          </cell>
          <cell r="AN134" t="str">
            <v>NM</v>
          </cell>
          <cell r="AO134" t="str">
            <v>NM</v>
          </cell>
          <cell r="AP134" t="str">
            <v>NM</v>
          </cell>
          <cell r="AQ134" t="str">
            <v>NM</v>
          </cell>
          <cell r="AR134" t="str">
            <v>NM</v>
          </cell>
          <cell r="AS134" t="str">
            <v>NM</v>
          </cell>
          <cell r="AT134" t="str">
            <v>NM</v>
          </cell>
          <cell r="AU134" t="str">
            <v>NM</v>
          </cell>
          <cell r="AW134" t="str">
            <v>NM</v>
          </cell>
          <cell r="AX134" t="str">
            <v>NM</v>
          </cell>
          <cell r="AY134" t="str">
            <v>NM</v>
          </cell>
          <cell r="AZ134" t="str">
            <v>NM</v>
          </cell>
          <cell r="BB134" t="str">
            <v>NM</v>
          </cell>
          <cell r="BC134" t="str">
            <v>NM</v>
          </cell>
          <cell r="BD134" t="str">
            <v>NM</v>
          </cell>
          <cell r="BE134" t="str">
            <v>NM</v>
          </cell>
          <cell r="BF134" t="str">
            <v>NM</v>
          </cell>
          <cell r="BG134" t="str">
            <v>NM</v>
          </cell>
          <cell r="BH134" t="str">
            <v>NM</v>
          </cell>
          <cell r="BI134" t="str">
            <v>NM</v>
          </cell>
          <cell r="BJ134" t="str">
            <v>NM</v>
          </cell>
          <cell r="BK134" t="str">
            <v>NM</v>
          </cell>
          <cell r="BL134">
            <v>3.6011707292874506E-2</v>
          </cell>
          <cell r="BM134">
            <v>2.0290430415481175E-2</v>
          </cell>
          <cell r="BN134">
            <v>2.9559430337196435E-2</v>
          </cell>
          <cell r="BO134">
            <v>-0.17045067157564597</v>
          </cell>
          <cell r="BP134">
            <v>3.6765035591032946E-2</v>
          </cell>
          <cell r="BQ134">
            <v>6.2969074995300023E-2</v>
          </cell>
          <cell r="BR134">
            <v>1.5542448988373092E-2</v>
          </cell>
          <cell r="BS134">
            <v>-1.2606629056285623E-2</v>
          </cell>
          <cell r="BT134">
            <v>-2.0111099527901466E-2</v>
          </cell>
          <cell r="BU134">
            <v>2.2004275690688413E-2</v>
          </cell>
          <cell r="BV134">
            <v>-2.3494864540560823E-2</v>
          </cell>
          <cell r="BW134">
            <v>5.5711587816570596E-2</v>
          </cell>
          <cell r="BX134">
            <v>0.12855599682287533</v>
          </cell>
          <cell r="BY134">
            <v>6.4202862861725274E-2</v>
          </cell>
          <cell r="BZ134">
            <v>7.3620075433620258E-2</v>
          </cell>
          <cell r="CA134">
            <v>-2.8473032920849906E-2</v>
          </cell>
          <cell r="CB134">
            <v>-6.4828616225897084E-3</v>
          </cell>
          <cell r="CC134">
            <v>-7.2581803030857595E-2</v>
          </cell>
          <cell r="CD134">
            <v>-2.0221420559973224E-2</v>
          </cell>
          <cell r="CE134">
            <v>-2.4449597418776392E-2</v>
          </cell>
          <cell r="CF134">
            <v>4.9525718414244801E-2</v>
          </cell>
          <cell r="CG134">
            <v>-1.7213549439690778E-3</v>
          </cell>
          <cell r="CH134">
            <v>6.9172258254304175E-3</v>
          </cell>
          <cell r="CI134">
            <v>-6.3642566089838759E-3</v>
          </cell>
          <cell r="CJ134">
            <v>1.3278107496581981E-2</v>
          </cell>
          <cell r="CK134">
            <v>6.1320018324346748E-3</v>
          </cell>
          <cell r="CL134">
            <v>3.7913388429752004E-2</v>
          </cell>
          <cell r="CM134">
            <v>4.1541513628070348E-2</v>
          </cell>
          <cell r="CT134">
            <v>-0.24876816735714868</v>
          </cell>
          <cell r="CY134">
            <v>-0.24905940793110926</v>
          </cell>
          <cell r="DD134">
            <v>-0.24965896585820779</v>
          </cell>
        </row>
        <row r="136">
          <cell r="B136" t="str">
            <v>Pricing</v>
          </cell>
        </row>
        <row r="137">
          <cell r="B137" t="str">
            <v>Inpatient Revenue Per Admission</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5797.751135286192</v>
          </cell>
          <cell r="AM137">
            <v>6056.1359440824253</v>
          </cell>
          <cell r="AN137">
            <v>5940.1433783924658</v>
          </cell>
          <cell r="AO137">
            <v>5952.1821518018642</v>
          </cell>
          <cell r="AP137">
            <v>5937.9780922757045</v>
          </cell>
          <cell r="AQ137">
            <v>6183.1568166717989</v>
          </cell>
          <cell r="AR137">
            <v>5946.0012911555841</v>
          </cell>
          <cell r="AS137">
            <v>6121.8256835455531</v>
          </cell>
          <cell r="AT137">
            <v>5884.7884373629595</v>
          </cell>
          <cell r="AU137">
            <v>6028.2890809591872</v>
          </cell>
          <cell r="AW137">
            <v>6056.1359440824253</v>
          </cell>
          <cell r="AX137">
            <v>5940.1433783924658</v>
          </cell>
          <cell r="AY137">
            <v>5952.1821518018642</v>
          </cell>
          <cell r="AZ137">
            <v>6183.1568166717989</v>
          </cell>
          <cell r="BA137">
            <v>6036.0873372810647</v>
          </cell>
          <cell r="BB137">
            <v>5946.0012911555841</v>
          </cell>
          <cell r="BC137">
            <v>6121.8256835455531</v>
          </cell>
          <cell r="BD137">
            <v>5884.7884373629595</v>
          </cell>
          <cell r="BE137">
            <v>6270.6414809489588</v>
          </cell>
          <cell r="BF137">
            <v>6053.7804817568731</v>
          </cell>
          <cell r="BG137">
            <v>6153.1229299700599</v>
          </cell>
          <cell r="BH137">
            <v>6419.4072788219801</v>
          </cell>
          <cell r="BI137">
            <v>6650.4441924332896</v>
          </cell>
          <cell r="BJ137">
            <v>6496.3112955352517</v>
          </cell>
          <cell r="BK137">
            <v>6428.075174643941</v>
          </cell>
          <cell r="BL137">
            <v>6771.3959593485979</v>
          </cell>
          <cell r="BM137">
            <v>7065.6825396825379</v>
          </cell>
          <cell r="BN137">
            <v>6896.7802354620044</v>
          </cell>
          <cell r="BO137">
            <v>7116.1844596197943</v>
          </cell>
          <cell r="BP137">
            <v>6959.0373800956313</v>
          </cell>
          <cell r="BQ137">
            <v>7287.6495710918325</v>
          </cell>
          <cell r="BR137">
            <v>7667.2639921960736</v>
          </cell>
          <cell r="BS137">
            <v>7436.9640569787989</v>
          </cell>
          <cell r="BT137">
            <v>7653.0433113032577</v>
          </cell>
          <cell r="BU137">
            <v>7506.6176926530798</v>
          </cell>
          <cell r="BV137">
            <v>7567.5701227192576</v>
          </cell>
          <cell r="BW137">
            <v>7848.9782289249806</v>
          </cell>
          <cell r="BX137">
            <v>7460.37780745093</v>
          </cell>
          <cell r="BY137">
            <v>7750.3985985539384</v>
          </cell>
          <cell r="BZ137">
            <v>7583.6662201398531</v>
          </cell>
          <cell r="CA137">
            <v>7671.7521229077702</v>
          </cell>
          <cell r="CB137">
            <v>7666.0535836989284</v>
          </cell>
          <cell r="CC137">
            <v>7875.5909766775894</v>
          </cell>
          <cell r="CD137">
            <v>8171.1068115629378</v>
          </cell>
          <cell r="CE137">
            <v>7840.8823897095108</v>
          </cell>
          <cell r="CF137">
            <v>8279.9328013749073</v>
          </cell>
          <cell r="CG137">
            <v>8285.8936377407481</v>
          </cell>
          <cell r="CH137">
            <v>8124.3216333600121</v>
          </cell>
          <cell r="CI137">
            <v>8524.803455289657</v>
          </cell>
          <cell r="CJ137">
            <v>8305.9065454790798</v>
          </cell>
          <cell r="CK137">
            <v>8469.6903676514121</v>
          </cell>
          <cell r="CL137">
            <v>8752.7178401817073</v>
          </cell>
          <cell r="CM137">
            <v>8629.3753118189215</v>
          </cell>
          <cell r="CN137">
            <v>8873.9033110868804</v>
          </cell>
          <cell r="CO137">
            <v>8681.0504871718585</v>
          </cell>
          <cell r="CP137">
            <v>8734.9280405490354</v>
          </cell>
          <cell r="CQ137">
            <v>9031.1276965414982</v>
          </cell>
          <cell r="CR137">
            <v>8997.9997998004255</v>
          </cell>
          <cell r="CS137">
            <v>9050.5377075441593</v>
          </cell>
          <cell r="CT137">
            <v>8948.9511635769759</v>
          </cell>
          <cell r="CU137">
            <v>8696.5999192884756</v>
          </cell>
          <cell r="CV137">
            <v>8958.9918771852663</v>
          </cell>
          <cell r="CW137">
            <v>8930.9341966806478</v>
          </cell>
          <cell r="CX137">
            <v>8984.9945747924758</v>
          </cell>
          <cell r="CY137">
            <v>8888.0326416545067</v>
          </cell>
          <cell r="CZ137">
            <v>8783.1075843556027</v>
          </cell>
          <cell r="DA137">
            <v>9030.7609209044149</v>
          </cell>
          <cell r="DB137">
            <v>9007.7282141713094</v>
          </cell>
          <cell r="DC137">
            <v>9082.5169246851328</v>
          </cell>
          <cell r="DD137">
            <v>8971.2538935578195</v>
          </cell>
          <cell r="DE137">
            <v>8897.6847752160156</v>
          </cell>
          <cell r="DF137">
            <v>9139.0714095113253</v>
          </cell>
          <cell r="DG137">
            <v>9119.5083390891668</v>
          </cell>
          <cell r="DH137">
            <v>9190.8998788134995</v>
          </cell>
          <cell r="DI137">
            <v>9081.961310341374</v>
          </cell>
        </row>
        <row r="138">
          <cell r="B138" t="str">
            <v>y/y change - reported</v>
          </cell>
          <cell r="R138" t="str">
            <v>NM</v>
          </cell>
          <cell r="S138" t="str">
            <v>NM</v>
          </cell>
          <cell r="T138" t="str">
            <v>NM</v>
          </cell>
          <cell r="U138" t="str">
            <v>NM</v>
          </cell>
          <cell r="V138" t="str">
            <v>NM</v>
          </cell>
          <cell r="W138" t="str">
            <v>NM</v>
          </cell>
          <cell r="X138" t="str">
            <v>NM</v>
          </cell>
          <cell r="Y138" t="str">
            <v>NM</v>
          </cell>
          <cell r="Z138" t="str">
            <v>NM</v>
          </cell>
          <cell r="AA138" t="str">
            <v>NM</v>
          </cell>
          <cell r="AB138" t="str">
            <v>NM</v>
          </cell>
          <cell r="AC138" t="str">
            <v>NM</v>
          </cell>
          <cell r="AD138" t="str">
            <v>NM</v>
          </cell>
          <cell r="AE138" t="str">
            <v>NM</v>
          </cell>
          <cell r="AF138" t="str">
            <v>NM</v>
          </cell>
          <cell r="AG138" t="str">
            <v>NM</v>
          </cell>
          <cell r="AH138" t="str">
            <v>NM</v>
          </cell>
          <cell r="AI138" t="str">
            <v>NM</v>
          </cell>
          <cell r="AJ138" t="str">
            <v>NM</v>
          </cell>
          <cell r="AK138" t="str">
            <v>NM</v>
          </cell>
          <cell r="AL138" t="str">
            <v>NM</v>
          </cell>
          <cell r="AM138" t="str">
            <v>NM</v>
          </cell>
          <cell r="AN138" t="str">
            <v>NM</v>
          </cell>
          <cell r="AO138" t="str">
            <v>NM</v>
          </cell>
          <cell r="AP138" t="str">
            <v>NM</v>
          </cell>
          <cell r="AQ138">
            <v>6.6475030126760037E-2</v>
          </cell>
          <cell r="AR138">
            <v>-1.8185630894639315E-2</v>
          </cell>
          <cell r="AS138">
            <v>3.0585508392602989E-2</v>
          </cell>
          <cell r="AT138">
            <v>-1.1322522180962302E-2</v>
          </cell>
          <cell r="AU138">
            <v>1.5209047133562414E-2</v>
          </cell>
          <cell r="AW138" t="str">
            <v>NM</v>
          </cell>
          <cell r="AX138" t="str">
            <v>NM</v>
          </cell>
          <cell r="AY138" t="str">
            <v>NM</v>
          </cell>
          <cell r="AZ138">
            <v>6.6475030126760037E-2</v>
          </cell>
          <cell r="BB138">
            <v>1.3033725323964518E-2</v>
          </cell>
          <cell r="BC138">
            <v>1.3651596118670506E-2</v>
          </cell>
          <cell r="BD138">
            <v>-1.8541972970689269E-3</v>
          </cell>
          <cell r="BE138">
            <v>2.4562495534363293E-2</v>
          </cell>
          <cell r="BF138">
            <v>1.2387062947272653E-2</v>
          </cell>
          <cell r="BG138">
            <v>1.6494181260132468E-2</v>
          </cell>
          <cell r="BH138">
            <v>5.1987738136831441E-2</v>
          </cell>
          <cell r="BI138">
            <v>8.00730002796044E-2</v>
          </cell>
          <cell r="BJ138" t="str">
            <v>NM</v>
          </cell>
          <cell r="BK138">
            <v>4.1188156323142655E-2</v>
          </cell>
          <cell r="BL138">
            <v>9.4397606892006714E-2</v>
          </cell>
          <cell r="BM138">
            <v>7.7231929325471738E-2</v>
          </cell>
          <cell r="BN138">
            <v>4.2685877225417057E-2</v>
          </cell>
          <cell r="BO138">
            <v>7.0983621720152934E-2</v>
          </cell>
          <cell r="BP138">
            <v>7.1428870261687649E-2</v>
          </cell>
          <cell r="BQ138">
            <v>5.8327036669894916E-2</v>
          </cell>
          <cell r="BR138">
            <v>5.6723485005195418E-2</v>
          </cell>
          <cell r="BS138">
            <v>6.9519264779230205E-2</v>
          </cell>
          <cell r="BT138">
            <v>6.9641738201118741E-2</v>
          </cell>
          <cell r="BU138">
            <v>6.3375450631211416E-2</v>
          </cell>
          <cell r="BV138">
            <v>3.7013402370694504E-2</v>
          </cell>
          <cell r="BW138">
            <v>2.3700010448819864E-2</v>
          </cell>
          <cell r="BX138">
            <v>3.1482941550806665E-3</v>
          </cell>
          <cell r="BY138">
            <v>1.2721120643194306E-2</v>
          </cell>
          <cell r="BZ138">
            <v>1.0023986951827268E-2</v>
          </cell>
          <cell r="CA138">
            <v>1.3766902519441349E-2</v>
          </cell>
          <cell r="CB138">
            <v>-2.3305536069897603E-2</v>
          </cell>
          <cell r="CC138">
            <v>5.565578311757502E-2</v>
          </cell>
          <cell r="CD138">
            <v>6.5972348066906328E-2</v>
          </cell>
          <cell r="CE138">
            <v>2.685394441180966E-2</v>
          </cell>
          <cell r="CF138">
            <v>6.3315581592139347E-2</v>
          </cell>
          <cell r="CG138">
            <v>6.535559644100708E-2</v>
          </cell>
          <cell r="CH138">
            <v>6.2017304886731406E-2</v>
          </cell>
          <cell r="CI138">
            <v>5.3604840046091784E-2</v>
          </cell>
          <cell r="CJ138">
            <v>6.0938468433844317E-2</v>
          </cell>
          <cell r="CK138">
            <v>3.7603144608600481E-2</v>
          </cell>
          <cell r="CL138">
            <v>6.4168870788790411E-2</v>
          </cell>
          <cell r="CM138">
            <v>6.9758840371357822E-2</v>
          </cell>
          <cell r="CN138">
            <v>3.7555494708278792E-2</v>
          </cell>
          <cell r="CO138">
            <v>5.1466608762441357E-2</v>
          </cell>
          <cell r="CP138">
            <v>3.1193284228995699E-2</v>
          </cell>
          <cell r="CQ138">
            <v>2.6641767714433717E-2</v>
          </cell>
          <cell r="CR138">
            <v>2.6863967819791279E-2</v>
          </cell>
          <cell r="CS138">
            <v>1.9904926869847239E-2</v>
          </cell>
          <cell r="CT138">
            <v>2.6205381072866407E-2</v>
          </cell>
          <cell r="CU138">
            <v>-4.387914941329174E-3</v>
          </cell>
          <cell r="CV138">
            <v>-7.9874653288156683E-3</v>
          </cell>
          <cell r="CW138">
            <v>-7.4533901546947057E-3</v>
          </cell>
          <cell r="CX138">
            <v>-7.2419048314722456E-3</v>
          </cell>
          <cell r="CY138">
            <v>-6.7217574519994328E-3</v>
          </cell>
          <cell r="CZ138">
            <v>9.9472973196408354E-3</v>
          </cell>
          <cell r="DA138">
            <v>8.0108392443030141E-3</v>
          </cell>
          <cell r="DB138">
            <v>8.5986544967717737E-3</v>
          </cell>
          <cell r="DC138">
            <v>1.0853913052574882E-2</v>
          </cell>
          <cell r="DD138">
            <v>9.3632927846472036E-3</v>
          </cell>
          <cell r="DE138">
            <v>1.3045176750936971E-2</v>
          </cell>
          <cell r="DF138">
            <v>1.199350636735308E-2</v>
          </cell>
          <cell r="DG138">
            <v>1.24093580823188E-2</v>
          </cell>
          <cell r="DH138">
            <v>1.1933140893334748E-2</v>
          </cell>
          <cell r="DI138">
            <v>1.2340238956234595E-2</v>
          </cell>
        </row>
        <row r="139">
          <cell r="B139" t="str">
            <v>Revenue Per Outpatient Visit</v>
          </cell>
          <cell r="R139" t="str">
            <v>NM</v>
          </cell>
          <cell r="S139" t="str">
            <v>NM</v>
          </cell>
          <cell r="T139" t="str">
            <v>NM</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8675.7430265192743</v>
          </cell>
          <cell r="AM139">
            <v>8567.6749999999993</v>
          </cell>
          <cell r="AN139">
            <v>9066.6131852422059</v>
          </cell>
          <cell r="AO139">
            <v>8597.6154497759326</v>
          </cell>
          <cell r="AP139">
            <v>8728.5382282231913</v>
          </cell>
          <cell r="AQ139">
            <v>8728.6957532834767</v>
          </cell>
          <cell r="AR139">
            <v>8380.4330460374185</v>
          </cell>
          <cell r="AS139">
            <v>8677.8169817232374</v>
          </cell>
          <cell r="AT139">
            <v>8611.2280668913008</v>
          </cell>
          <cell r="AU139">
            <v>8592.7796420458326</v>
          </cell>
          <cell r="AW139">
            <v>8567.6749999999993</v>
          </cell>
          <cell r="AX139">
            <v>9066.6131852422059</v>
          </cell>
          <cell r="AY139">
            <v>8597.6154497759326</v>
          </cell>
          <cell r="AZ139">
            <v>8728.6957532834767</v>
          </cell>
          <cell r="BA139">
            <v>8741.204833882377</v>
          </cell>
          <cell r="BB139">
            <v>8380.4330460374185</v>
          </cell>
          <cell r="BC139">
            <v>8677.8169817232374</v>
          </cell>
          <cell r="BD139">
            <v>8611.2280668913008</v>
          </cell>
          <cell r="BE139">
            <v>8861.9920813015142</v>
          </cell>
          <cell r="BF139">
            <v>8631.4047896181055</v>
          </cell>
          <cell r="BG139">
            <v>9048.787317170907</v>
          </cell>
          <cell r="BH139">
            <v>8991.4621172122497</v>
          </cell>
          <cell r="BI139">
            <v>8733.8093626172322</v>
          </cell>
          <cell r="BJ139">
            <v>9414.9578195976646</v>
          </cell>
          <cell r="BK139">
            <v>9047.6221668888702</v>
          </cell>
          <cell r="BL139">
            <v>9594.5796804206366</v>
          </cell>
          <cell r="BM139">
            <v>9043.048281990521</v>
          </cell>
          <cell r="BN139">
            <v>9486.9013896312135</v>
          </cell>
          <cell r="BO139">
            <v>9463.8164326943624</v>
          </cell>
          <cell r="BP139">
            <v>9398.2479594017586</v>
          </cell>
          <cell r="BQ139">
            <v>9515.4639000748375</v>
          </cell>
          <cell r="BR139">
            <v>9642.2222381122629</v>
          </cell>
          <cell r="BS139">
            <v>9575.4729901269402</v>
          </cell>
          <cell r="BT139">
            <v>9323.8603974965863</v>
          </cell>
          <cell r="BU139">
            <v>9514.076439372071</v>
          </cell>
          <cell r="BV139">
            <v>9725.9947458455517</v>
          </cell>
          <cell r="BW139">
            <v>9387.1501520070069</v>
          </cell>
          <cell r="BX139">
            <v>9364.2702558901292</v>
          </cell>
          <cell r="BY139">
            <v>10047.988853257422</v>
          </cell>
          <cell r="BZ139">
            <v>9525.1168337144445</v>
          </cell>
          <cell r="CA139">
            <v>9804.1194148671511</v>
          </cell>
          <cell r="CB139">
            <v>9625.7035059131031</v>
          </cell>
          <cell r="CC139">
            <v>9803.8853559726904</v>
          </cell>
          <cell r="CD139">
            <v>9910.6056874527967</v>
          </cell>
          <cell r="CE139">
            <v>9785.4065057233074</v>
          </cell>
          <cell r="CF139">
            <v>10062.618224606122</v>
          </cell>
          <cell r="CG139">
            <v>10250.795495288441</v>
          </cell>
          <cell r="CH139">
            <v>9977.1390307044821</v>
          </cell>
          <cell r="CI139">
            <v>10547.012190438258</v>
          </cell>
          <cell r="CJ139">
            <v>10212.256503842338</v>
          </cell>
          <cell r="CK139">
            <v>10826.805832569675</v>
          </cell>
          <cell r="CL139">
            <v>10960.352055898953</v>
          </cell>
          <cell r="CM139">
            <v>10864.036366527953</v>
          </cell>
          <cell r="CN139">
            <v>11054.858373602299</v>
          </cell>
          <cell r="CO139">
            <v>10930.709142881033</v>
          </cell>
          <cell r="CP139">
            <v>11035.194404181702</v>
          </cell>
          <cell r="CQ139">
            <v>11191.652570743772</v>
          </cell>
          <cell r="CR139">
            <v>11102.31458848275</v>
          </cell>
          <cell r="CS139">
            <v>11120.985124201898</v>
          </cell>
          <cell r="CT139">
            <v>11112.973078858598</v>
          </cell>
          <cell r="CU139">
            <v>10911.902393731085</v>
          </cell>
          <cell r="CV139">
            <v>11033.255111076445</v>
          </cell>
          <cell r="CW139">
            <v>10952.673745096745</v>
          </cell>
          <cell r="CX139">
            <v>10974.780521186485</v>
          </cell>
          <cell r="CY139">
            <v>10968.296837159951</v>
          </cell>
          <cell r="CZ139">
            <v>10955.826535033913</v>
          </cell>
          <cell r="DA139">
            <v>11062.15110347512</v>
          </cell>
          <cell r="DB139">
            <v>10989.13788331624</v>
          </cell>
          <cell r="DC139">
            <v>11037.386629251783</v>
          </cell>
          <cell r="DD139">
            <v>11011.42546042016</v>
          </cell>
          <cell r="DE139">
            <v>11036.154360280394</v>
          </cell>
          <cell r="DF139">
            <v>11137.115654341982</v>
          </cell>
          <cell r="DG139">
            <v>11069.461520233996</v>
          </cell>
          <cell r="DH139">
            <v>11113.812432532188</v>
          </cell>
          <cell r="DI139">
            <v>11089.378520636594</v>
          </cell>
        </row>
        <row r="140">
          <cell r="B140" t="str">
            <v>y/y change - reported</v>
          </cell>
          <cell r="R140" t="str">
            <v>NM</v>
          </cell>
          <cell r="S140" t="str">
            <v>NM</v>
          </cell>
          <cell r="T140" t="str">
            <v>NM</v>
          </cell>
          <cell r="U140" t="str">
            <v>NM</v>
          </cell>
          <cell r="V140" t="str">
            <v>NM</v>
          </cell>
          <cell r="W140" t="str">
            <v>NM</v>
          </cell>
          <cell r="X140" t="str">
            <v>NM</v>
          </cell>
          <cell r="Y140" t="str">
            <v>NM</v>
          </cell>
          <cell r="Z140" t="str">
            <v>NM</v>
          </cell>
          <cell r="AA140" t="str">
            <v>NM</v>
          </cell>
          <cell r="AB140" t="str">
            <v>NM</v>
          </cell>
          <cell r="AC140" t="str">
            <v>NM</v>
          </cell>
          <cell r="AD140" t="str">
            <v>NM</v>
          </cell>
          <cell r="AE140" t="str">
            <v>NM</v>
          </cell>
          <cell r="AF140" t="str">
            <v>NM</v>
          </cell>
          <cell r="AG140" t="str">
            <v>NM</v>
          </cell>
          <cell r="AH140" t="str">
            <v>NM</v>
          </cell>
          <cell r="AI140" t="str">
            <v>NM</v>
          </cell>
          <cell r="AJ140" t="str">
            <v>NM</v>
          </cell>
          <cell r="AK140" t="str">
            <v>NM</v>
          </cell>
          <cell r="AL140" t="str">
            <v>NM</v>
          </cell>
          <cell r="AM140" t="str">
            <v>NM</v>
          </cell>
          <cell r="AN140" t="str">
            <v>NM</v>
          </cell>
          <cell r="AO140" t="str">
            <v>NM</v>
          </cell>
          <cell r="AP140" t="str">
            <v>NM</v>
          </cell>
          <cell r="AQ140">
            <v>6.1035379450891103E-3</v>
          </cell>
          <cell r="AR140">
            <v>-2.1854465063460116E-2</v>
          </cell>
          <cell r="AS140">
            <v>-4.288218716023029E-2</v>
          </cell>
          <cell r="AT140">
            <v>1.5833014624679898E-3</v>
          </cell>
          <cell r="AU140">
            <v>-1.5553416004800424E-2</v>
          </cell>
          <cell r="AW140" t="str">
            <v>NM</v>
          </cell>
          <cell r="AX140" t="str">
            <v>NM</v>
          </cell>
          <cell r="AY140" t="str">
            <v>NM</v>
          </cell>
          <cell r="AZ140">
            <v>6.1035379450891103E-3</v>
          </cell>
          <cell r="BB140">
            <v>-2.1854465063460116E-2</v>
          </cell>
          <cell r="BC140">
            <v>-4.288218716023029E-2</v>
          </cell>
          <cell r="BD140">
            <v>1.5833014624679898E-3</v>
          </cell>
          <cell r="BE140">
            <v>1.5271047563766293E-2</v>
          </cell>
          <cell r="BF140">
            <v>-1.2561202528817095E-2</v>
          </cell>
          <cell r="BG140">
            <v>7.9751758347322177E-2</v>
          </cell>
          <cell r="BH140">
            <v>3.6143322237562225E-2</v>
          </cell>
          <cell r="BI140">
            <v>1.4235053905636841E-2</v>
          </cell>
          <cell r="BJ140">
            <v>6.239745344197356E-2</v>
          </cell>
          <cell r="BK140">
            <v>4.822127885502403E-2</v>
          </cell>
          <cell r="BL140">
            <v>6.0316630739462473E-2</v>
          </cell>
          <cell r="BM140">
            <v>5.7372387389054147E-3</v>
          </cell>
          <cell r="BN140">
            <v>8.6227211488882904E-2</v>
          </cell>
          <cell r="BO140">
            <v>5.1894670197030202E-3</v>
          </cell>
          <cell r="BP140">
            <v>3.8753363706550026E-2</v>
          </cell>
          <cell r="BQ140">
            <v>-8.2458828818993135E-3</v>
          </cell>
          <cell r="BR140">
            <v>6.6257962739733722E-2</v>
          </cell>
          <cell r="BS140">
            <v>9.3361991295211055E-3</v>
          </cell>
          <cell r="BT140">
            <v>-1.478854077455205E-2</v>
          </cell>
          <cell r="BU140">
            <v>1.2324475845994387E-2</v>
          </cell>
          <cell r="BV140">
            <v>2.212512684421597E-2</v>
          </cell>
          <cell r="BW140">
            <v>-2.6453661801845496E-2</v>
          </cell>
          <cell r="BX140">
            <v>-2.2056637249624922E-2</v>
          </cell>
          <cell r="BY140">
            <v>7.7664017358653359E-2</v>
          </cell>
          <cell r="BZ140">
            <v>1.1604273323562175E-3</v>
          </cell>
          <cell r="CA140">
            <v>8.0325633586189049E-3</v>
          </cell>
          <cell r="CB140">
            <v>2.5412755739833592E-2</v>
          </cell>
          <cell r="CC140">
            <v>4.6946007331008399E-2</v>
          </cell>
          <cell r="CD140">
            <v>-1.3672702847404961E-2</v>
          </cell>
          <cell r="CE140">
            <v>2.732666449691834E-2</v>
          </cell>
          <cell r="CF140">
            <v>2.6366346512158856E-2</v>
          </cell>
          <cell r="CG140">
            <v>6.4939875718314166E-2</v>
          </cell>
          <cell r="CH140">
            <v>1.767194009732509E-2</v>
          </cell>
          <cell r="CI140">
            <v>6.4214693133354706E-2</v>
          </cell>
          <cell r="CJ140">
            <v>4.3621079805869378E-2</v>
          </cell>
          <cell r="CK140">
            <v>7.5943217849096634E-2</v>
          </cell>
          <cell r="CL140">
            <v>6.9219658214491275E-2</v>
          </cell>
          <cell r="CM140">
            <v>8.8892951485797456E-2</v>
          </cell>
          <cell r="CN140">
            <v>4.8150715481721562E-2</v>
          </cell>
          <cell r="CO140">
            <v>7.0351997011471212E-2</v>
          </cell>
          <cell r="CP140">
            <v>1.924746548840317E-2</v>
          </cell>
          <cell r="CQ140">
            <v>2.1103383692892441E-2</v>
          </cell>
          <cell r="CR140">
            <v>2.1932752608315287E-2</v>
          </cell>
          <cell r="CS140">
            <v>5.9816913401171679E-3</v>
          </cell>
          <cell r="CT140">
            <v>1.6674484115815291E-2</v>
          </cell>
          <cell r="CU140">
            <v>-1.1172617892793668E-2</v>
          </cell>
          <cell r="CV140">
            <v>-1.4153178779101494E-2</v>
          </cell>
          <cell r="CW140">
            <v>-1.3478346536967889E-2</v>
          </cell>
          <cell r="CX140">
            <v>-1.3146731281677204E-2</v>
          </cell>
          <cell r="CY140">
            <v>-1.3018680120253423E-2</v>
          </cell>
          <cell r="CZ140">
            <v>4.0253422105445136E-3</v>
          </cell>
          <cell r="DA140">
            <v>2.6189906884022118E-3</v>
          </cell>
          <cell r="DB140">
            <v>3.3292453576296843E-3</v>
          </cell>
          <cell r="DC140">
            <v>5.7045430607416403E-3</v>
          </cell>
          <cell r="DD140">
            <v>3.9321167087758013E-3</v>
          </cell>
          <cell r="DE140">
            <v>7.3319730820502471E-3</v>
          </cell>
          <cell r="DF140">
            <v>6.7766703026965747E-3</v>
          </cell>
          <cell r="DG140">
            <v>7.3093665554695431E-3</v>
          </cell>
          <cell r="DH140">
            <v>6.9242662097073193E-3</v>
          </cell>
          <cell r="DI140">
            <v>7.0792887348356537E-3</v>
          </cell>
        </row>
        <row r="141">
          <cell r="B141" t="str">
            <v>Revenue Per Adjusted Admission</v>
          </cell>
          <cell r="R141" t="str">
            <v>NM</v>
          </cell>
          <cell r="S141" t="str">
            <v>NM</v>
          </cell>
          <cell r="T141" t="str">
            <v>NM</v>
          </cell>
          <cell r="U141" t="str">
            <v>NM</v>
          </cell>
          <cell r="V141">
            <v>0</v>
          </cell>
          <cell r="W141" t="str">
            <v>NM</v>
          </cell>
          <cell r="X141" t="str">
            <v>NM</v>
          </cell>
          <cell r="Y141" t="str">
            <v>NM</v>
          </cell>
          <cell r="Z141" t="str">
            <v>NM</v>
          </cell>
          <cell r="AA141">
            <v>0</v>
          </cell>
          <cell r="AB141" t="str">
            <v>NM</v>
          </cell>
          <cell r="AC141" t="str">
            <v>NM</v>
          </cell>
          <cell r="AD141" t="str">
            <v>NM</v>
          </cell>
          <cell r="AE141" t="str">
            <v>NM</v>
          </cell>
          <cell r="AF141">
            <v>0</v>
          </cell>
          <cell r="AG141" t="str">
            <v>NM</v>
          </cell>
          <cell r="AH141">
            <v>6802.0710807215801</v>
          </cell>
          <cell r="AI141" t="str">
            <v>NM</v>
          </cell>
          <cell r="AJ141">
            <v>6802.9845310022702</v>
          </cell>
          <cell r="AK141">
            <v>3568.1611210399901</v>
          </cell>
          <cell r="AL141">
            <v>6855.1901930867571</v>
          </cell>
          <cell r="AM141">
            <v>6952.9412958135099</v>
          </cell>
          <cell r="AN141">
            <v>7150.8815262754451</v>
          </cell>
          <cell r="AO141">
            <v>6981.0929728350975</v>
          </cell>
          <cell r="AP141">
            <v>6984.2571678624026</v>
          </cell>
          <cell r="AQ141">
            <v>7150.7684580612768</v>
          </cell>
          <cell r="AR141">
            <v>6872.3004319308911</v>
          </cell>
          <cell r="AS141">
            <v>7151.9294228567578</v>
          </cell>
          <cell r="AT141">
            <v>7010.06970675091</v>
          </cell>
          <cell r="AU141">
            <v>7039.7194737414375</v>
          </cell>
          <cell r="AW141">
            <v>6952.9412958135099</v>
          </cell>
          <cell r="AX141">
            <v>7150.8815262754451</v>
          </cell>
          <cell r="AY141">
            <v>6981.0929728350975</v>
          </cell>
          <cell r="AZ141">
            <v>7150.7684580612768</v>
          </cell>
          <cell r="BA141">
            <v>7058.9487477631692</v>
          </cell>
          <cell r="BB141">
            <v>6872.3004319308911</v>
          </cell>
          <cell r="BC141">
            <v>7151.9294228567578</v>
          </cell>
          <cell r="BD141">
            <v>7010.06970675091</v>
          </cell>
          <cell r="BE141">
            <v>7306.9044660730315</v>
          </cell>
          <cell r="BF141">
            <v>7081.5315542339695</v>
          </cell>
          <cell r="BG141">
            <v>7305.6893581727709</v>
          </cell>
          <cell r="BH141">
            <v>7483.3046042009537</v>
          </cell>
          <cell r="BI141">
            <v>7498.2578397212546</v>
          </cell>
          <cell r="BJ141">
            <v>7673.8706145570532</v>
          </cell>
          <cell r="BK141">
            <v>7490.4473286114981</v>
          </cell>
          <cell r="BL141">
            <v>7890.4828422134024</v>
          </cell>
          <cell r="BM141">
            <v>7886.5355056870585</v>
          </cell>
          <cell r="BN141">
            <v>7999.7496415321939</v>
          </cell>
          <cell r="BO141">
            <v>8114.6030639613291</v>
          </cell>
          <cell r="BP141">
            <v>7972.6219719587316</v>
          </cell>
          <cell r="BQ141">
            <v>8190.884528694447</v>
          </cell>
          <cell r="BR141">
            <v>8518.747736013378</v>
          </cell>
          <cell r="BS141">
            <v>8376.0219249349684</v>
          </cell>
          <cell r="BT141">
            <v>8361.7944571879816</v>
          </cell>
          <cell r="BU141">
            <v>8359.0493036096159</v>
          </cell>
          <cell r="BV141">
            <v>8446.7219816706838</v>
          </cell>
          <cell r="BW141">
            <v>8508.4277729913629</v>
          </cell>
          <cell r="BX141">
            <v>8308.3616597424334</v>
          </cell>
          <cell r="BY141">
            <v>8746.379720487661</v>
          </cell>
          <cell r="BZ141">
            <v>8415.5874601421583</v>
          </cell>
          <cell r="CA141">
            <v>8578.5338467831807</v>
          </cell>
          <cell r="CB141">
            <v>8548.3992822740584</v>
          </cell>
          <cell r="CC141">
            <v>8763.2531149928291</v>
          </cell>
          <cell r="CD141">
            <v>8955.4614507603237</v>
          </cell>
          <cell r="CE141">
            <v>8708.9752835507752</v>
          </cell>
          <cell r="CF141">
            <v>9074.0644932913092</v>
          </cell>
          <cell r="CG141">
            <v>9207.146500384335</v>
          </cell>
          <cell r="CH141">
            <v>9005.6826781512718</v>
          </cell>
          <cell r="CI141">
            <v>9472.8937557937134</v>
          </cell>
          <cell r="CJ141">
            <v>9191.6921367524301</v>
          </cell>
          <cell r="CK141">
            <v>9572.1011729558359</v>
          </cell>
          <cell r="CL141">
            <v>9834.2417779182142</v>
          </cell>
          <cell r="CM141">
            <v>9741.4589104339793</v>
          </cell>
          <cell r="CN141">
            <v>9968.7855512719616</v>
          </cell>
          <cell r="CO141">
            <v>9782.0931476848673</v>
          </cell>
          <cell r="CP141">
            <v>9851.5102023137351</v>
          </cell>
          <cell r="CQ141">
            <v>10131.730082992752</v>
          </cell>
          <cell r="CR141">
            <v>10081.89548055361</v>
          </cell>
          <cell r="CS141">
            <v>10128.386068997963</v>
          </cell>
          <cell r="CT141">
            <v>10047.188835606083</v>
          </cell>
          <cell r="CU141">
            <v>9792.0515399140004</v>
          </cell>
          <cell r="CV141">
            <v>10034.21042273917</v>
          </cell>
          <cell r="CW141">
            <v>9990.2838111955243</v>
          </cell>
          <cell r="CX141">
            <v>10038.496838257772</v>
          </cell>
          <cell r="CY141">
            <v>9962.2422164172494</v>
          </cell>
          <cell r="CZ141">
            <v>9875.0013901067723</v>
          </cell>
          <cell r="DA141">
            <v>10099.859793979844</v>
          </cell>
          <cell r="DB141">
            <v>10061.560453943255</v>
          </cell>
          <cell r="DC141">
            <v>10132.813998248466</v>
          </cell>
          <cell r="DD141">
            <v>10040.928630047994</v>
          </cell>
          <cell r="DE141">
            <v>9989.3760183213453</v>
          </cell>
          <cell r="DF141">
            <v>10206.27064421791</v>
          </cell>
          <cell r="DG141">
            <v>10171.794290459577</v>
          </cell>
          <cell r="DH141">
            <v>10238.980057259574</v>
          </cell>
          <cell r="DI141">
            <v>10150.173014093969</v>
          </cell>
        </row>
        <row r="142">
          <cell r="B142" t="str">
            <v>y/y change - reported</v>
          </cell>
          <cell r="R142" t="str">
            <v>NM</v>
          </cell>
          <cell r="S142" t="str">
            <v>NM</v>
          </cell>
          <cell r="T142" t="str">
            <v>NM</v>
          </cell>
          <cell r="U142" t="str">
            <v>NM</v>
          </cell>
          <cell r="V142" t="str">
            <v>NM</v>
          </cell>
          <cell r="W142" t="str">
            <v>NM</v>
          </cell>
          <cell r="X142" t="str">
            <v>NM</v>
          </cell>
          <cell r="Y142" t="str">
            <v>NM</v>
          </cell>
          <cell r="Z142" t="str">
            <v>NM</v>
          </cell>
          <cell r="AA142" t="str">
            <v>NM</v>
          </cell>
          <cell r="AB142" t="str">
            <v>NM</v>
          </cell>
          <cell r="AC142" t="str">
            <v>NM</v>
          </cell>
          <cell r="AD142" t="str">
            <v>NM</v>
          </cell>
          <cell r="AE142" t="str">
            <v>NM</v>
          </cell>
          <cell r="AF142" t="str">
            <v>NM</v>
          </cell>
          <cell r="AG142" t="str">
            <v>NM</v>
          </cell>
          <cell r="AH142" t="str">
            <v>NM</v>
          </cell>
          <cell r="AI142" t="str">
            <v>NM</v>
          </cell>
          <cell r="AJ142" t="str">
            <v>NM</v>
          </cell>
          <cell r="AK142" t="str">
            <v>NM</v>
          </cell>
          <cell r="AL142" t="str">
            <v>NM</v>
          </cell>
          <cell r="AM142">
            <v>2.2180040946576662E-2</v>
          </cell>
          <cell r="AN142" t="str">
            <v>NM</v>
          </cell>
          <cell r="AO142">
            <v>2.6180927065343029E-2</v>
          </cell>
          <cell r="AP142">
            <v>0.95738278932503573</v>
          </cell>
          <cell r="AQ142">
            <v>4.3117441916141308E-2</v>
          </cell>
          <cell r="AR142">
            <v>-1.1598093591150271E-2</v>
          </cell>
          <cell r="AS142">
            <v>1.4654089533738812E-4</v>
          </cell>
          <cell r="AT142">
            <v>4.1507445938002707E-3</v>
          </cell>
          <cell r="AU142">
            <v>7.9410457756683428E-3</v>
          </cell>
          <cell r="AW142">
            <v>2.2180040946576662E-2</v>
          </cell>
          <cell r="AX142" t="str">
            <v>NM</v>
          </cell>
          <cell r="AY142">
            <v>2.6180927065343029E-2</v>
          </cell>
          <cell r="AZ142">
            <v>4.3117441916141308E-2</v>
          </cell>
          <cell r="BB142">
            <v>-2.465822348723834E-3</v>
          </cell>
          <cell r="BC142">
            <v>4.5712345166462054E-3</v>
          </cell>
          <cell r="BD142">
            <v>7.9296276073366201E-3</v>
          </cell>
          <cell r="BE142">
            <v>4.1475685487947889E-2</v>
          </cell>
          <cell r="BF142">
            <v>1.238830229375254E-2</v>
          </cell>
          <cell r="BG142">
            <v>4.8224776066252195E-2</v>
          </cell>
          <cell r="BH142">
            <v>3.0593997204344747E-2</v>
          </cell>
          <cell r="BI142">
            <v>3.9117353476331607E-2</v>
          </cell>
          <cell r="BJ142">
            <v>3.1925388358209128E-2</v>
          </cell>
          <cell r="BK142">
            <v>3.7714361703163002E-2</v>
          </cell>
          <cell r="BL142">
            <v>7.1044449246351116E-2</v>
          </cell>
          <cell r="BM142">
            <v>3.9604415102911572E-2</v>
          </cell>
          <cell r="BN142">
            <v>4.9089449032622134E-2</v>
          </cell>
          <cell r="BO142">
            <v>3.0669509636723991E-2</v>
          </cell>
          <cell r="BP142">
            <v>4.7669756283055031E-2</v>
          </cell>
          <cell r="BQ142">
            <v>1.7674603240876774E-2</v>
          </cell>
          <cell r="BR142">
            <v>7.556106276374841E-2</v>
          </cell>
          <cell r="BS142">
            <v>3.9742520844365581E-2</v>
          </cell>
          <cell r="BT142">
            <v>2.8499238510798941E-2</v>
          </cell>
          <cell r="BU142">
            <v>3.9949854677393981E-2</v>
          </cell>
          <cell r="BV142">
            <v>2.8376375060262582E-2</v>
          </cell>
          <cell r="BW142">
            <v>-1.2114413223422993E-3</v>
          </cell>
          <cell r="BX142">
            <v>-8.0778519682611627E-3</v>
          </cell>
          <cell r="BY142">
            <v>4.5993149588732241E-2</v>
          </cell>
          <cell r="BZ142">
            <v>6.11354851365431E-3</v>
          </cell>
          <cell r="CA142">
            <v>1.560509099252072E-2</v>
          </cell>
          <cell r="CB142">
            <v>4.6978725505055774E-3</v>
          </cell>
          <cell r="CC142">
            <v>5.4751041646939669E-2</v>
          </cell>
          <cell r="CD142">
            <v>2.393487727050414E-2</v>
          </cell>
          <cell r="CE142">
            <v>2.4254061328367493E-2</v>
          </cell>
          <cell r="CF142">
            <v>5.1657932673271567E-2</v>
          </cell>
          <cell r="CG142">
            <v>7.298537999946153E-2</v>
          </cell>
          <cell r="CH142">
            <v>3.7575720184023886E-2</v>
          </cell>
          <cell r="CI142">
            <v>6.5121566685169441E-2</v>
          </cell>
          <cell r="CJ142">
            <v>5.683196919152933E-2</v>
          </cell>
          <cell r="CK142">
            <v>6.5894024691687481E-2</v>
          </cell>
          <cell r="CL142">
            <v>7.2795877794077146E-2</v>
          </cell>
          <cell r="CM142">
            <v>7.9005553768899617E-2</v>
          </cell>
          <cell r="CN142">
            <v>6.4999498208214046E-2</v>
          </cell>
          <cell r="CO142">
            <v>7.0516879436248514E-2</v>
          </cell>
          <cell r="CP142">
            <v>3.8676306226448132E-2</v>
          </cell>
          <cell r="CQ142">
            <v>3.4438611282414211E-2</v>
          </cell>
          <cell r="CR142">
            <v>3.7191732445729597E-2</v>
          </cell>
          <cell r="CS142">
            <v>1.6010026186754178E-2</v>
          </cell>
          <cell r="CT142">
            <v>3.1544106916625347E-2</v>
          </cell>
          <cell r="CU142">
            <v>-6.0354870652998827E-3</v>
          </cell>
          <cell r="CV142">
            <v>-9.6251735345060929E-3</v>
          </cell>
          <cell r="CW142">
            <v>-9.0867505554677042E-3</v>
          </cell>
          <cell r="CX142">
            <v>-8.8749806857516544E-3</v>
          </cell>
          <cell r="CY142">
            <v>-8.3881661915973238E-3</v>
          </cell>
          <cell r="CZ142">
            <v>8.4711410938407283E-3</v>
          </cell>
          <cell r="DA142">
            <v>6.5425547676278839E-3</v>
          </cell>
          <cell r="DB142">
            <v>7.1345963833235881E-3</v>
          </cell>
          <cell r="DC142">
            <v>9.3955461171479904E-3</v>
          </cell>
          <cell r="DD142">
            <v>7.8984642133146377E-3</v>
          </cell>
          <cell r="DE142">
            <v>1.1582239201420208E-2</v>
          </cell>
          <cell r="DF142">
            <v>1.0535874003072099E-2</v>
          </cell>
          <cell r="DG142">
            <v>1.0955938397519516E-2</v>
          </cell>
          <cell r="DH142">
            <v>1.0477450689360346E-2</v>
          </cell>
          <cell r="DI142">
            <v>1.0879908429889396E-2</v>
          </cell>
        </row>
        <row r="143">
          <cell r="B143" t="str">
            <v>y/y change - restated</v>
          </cell>
          <cell r="CA143">
            <v>1.2629839471199222E-2</v>
          </cell>
          <cell r="CB143">
            <v>2.3452157598498058E-3</v>
          </cell>
          <cell r="CC143">
            <v>5.4766490129995127E-2</v>
          </cell>
          <cell r="CD143">
            <v>2.0396536007292632E-2</v>
          </cell>
          <cell r="CE143">
            <v>2.2185702547247388E-2</v>
          </cell>
          <cell r="CF143">
            <v>5.1448435689455341E-2</v>
          </cell>
          <cell r="CG143">
            <v>7.2826846888837116E-2</v>
          </cell>
          <cell r="CH143">
            <v>3.815561959654179E-2</v>
          </cell>
          <cell r="CI143">
            <v>6.6178953292065357E-2</v>
          </cell>
          <cell r="CJ143">
            <v>5.6738404879733029E-2</v>
          </cell>
          <cell r="CK143">
            <v>5.9323108125237667E-2</v>
          </cell>
          <cell r="CL143">
            <v>6.3269111249223187E-2</v>
          </cell>
          <cell r="CM143">
            <v>6.8540183112919539E-2</v>
          </cell>
        </row>
        <row r="144">
          <cell r="B144" t="str">
            <v>Utilization &amp; Other Metrics</v>
          </cell>
        </row>
        <row r="145">
          <cell r="B145" t="str">
            <v>Patient Days</v>
          </cell>
          <cell r="R145">
            <v>152245</v>
          </cell>
          <cell r="S145">
            <v>174669</v>
          </cell>
          <cell r="T145">
            <v>163221</v>
          </cell>
          <cell r="U145" t="str">
            <v>ND</v>
          </cell>
          <cell r="V145">
            <v>490135</v>
          </cell>
          <cell r="W145">
            <v>178125</v>
          </cell>
          <cell r="X145">
            <v>206644</v>
          </cell>
          <cell r="Y145">
            <v>185146</v>
          </cell>
          <cell r="Z145" t="str">
            <v>ND</v>
          </cell>
          <cell r="AA145">
            <v>569915</v>
          </cell>
          <cell r="AB145">
            <v>201323</v>
          </cell>
          <cell r="AC145">
            <v>229154</v>
          </cell>
          <cell r="AD145">
            <v>208401</v>
          </cell>
          <cell r="AE145" t="str">
            <v>ND</v>
          </cell>
          <cell r="AF145">
            <v>638878</v>
          </cell>
          <cell r="AG145">
            <v>221650</v>
          </cell>
          <cell r="AH145">
            <v>262803</v>
          </cell>
          <cell r="AI145">
            <v>239247</v>
          </cell>
          <cell r="AJ145">
            <v>245708</v>
          </cell>
          <cell r="AK145">
            <v>969408</v>
          </cell>
          <cell r="AL145">
            <v>260545</v>
          </cell>
          <cell r="AM145">
            <v>282101</v>
          </cell>
          <cell r="AN145">
            <v>246734</v>
          </cell>
          <cell r="AO145">
            <v>240402</v>
          </cell>
          <cell r="AP145">
            <v>1029782</v>
          </cell>
          <cell r="AQ145">
            <v>261376</v>
          </cell>
          <cell r="AR145">
            <v>338571</v>
          </cell>
          <cell r="AS145">
            <v>305453</v>
          </cell>
          <cell r="AT145">
            <v>288011</v>
          </cell>
          <cell r="AU145">
            <v>1193411</v>
          </cell>
          <cell r="AW145">
            <v>282101</v>
          </cell>
          <cell r="AX145">
            <v>246734</v>
          </cell>
          <cell r="AY145">
            <v>240402</v>
          </cell>
          <cell r="AZ145">
            <v>261376</v>
          </cell>
          <cell r="BA145">
            <v>1030613</v>
          </cell>
          <cell r="BB145">
            <v>338571</v>
          </cell>
          <cell r="BC145">
            <v>305453</v>
          </cell>
          <cell r="BD145">
            <v>288011</v>
          </cell>
          <cell r="BE145">
            <v>295408</v>
          </cell>
          <cell r="BF145">
            <v>1227443</v>
          </cell>
          <cell r="BG145">
            <v>331847</v>
          </cell>
          <cell r="BH145">
            <v>321624</v>
          </cell>
          <cell r="BI145">
            <v>307663</v>
          </cell>
          <cell r="BJ145">
            <v>316831</v>
          </cell>
          <cell r="BK145">
            <v>1277965</v>
          </cell>
          <cell r="BL145">
            <v>350903</v>
          </cell>
          <cell r="BM145">
            <v>321035</v>
          </cell>
          <cell r="BN145">
            <v>317403</v>
          </cell>
          <cell r="BO145">
            <v>317744</v>
          </cell>
          <cell r="BP145">
            <v>1307085</v>
          </cell>
          <cell r="BQ145">
            <v>365023</v>
          </cell>
          <cell r="BR145">
            <v>317431</v>
          </cell>
          <cell r="BS145">
            <v>303622</v>
          </cell>
          <cell r="BT145">
            <v>323897</v>
          </cell>
          <cell r="BU145">
            <v>1309973</v>
          </cell>
          <cell r="BV145">
            <v>356813</v>
          </cell>
          <cell r="BW145">
            <v>325577</v>
          </cell>
          <cell r="BX145">
            <v>306871</v>
          </cell>
          <cell r="BY145">
            <v>318648</v>
          </cell>
          <cell r="BZ145">
            <v>1307909</v>
          </cell>
          <cell r="CA145">
            <v>345558</v>
          </cell>
          <cell r="CB145">
            <v>310291</v>
          </cell>
          <cell r="CC145">
            <v>298308</v>
          </cell>
          <cell r="CD145">
            <v>304329</v>
          </cell>
          <cell r="CE145">
            <v>1258486</v>
          </cell>
          <cell r="CF145">
            <v>349607</v>
          </cell>
          <cell r="CG145">
            <v>311890</v>
          </cell>
          <cell r="CH145">
            <v>311537</v>
          </cell>
          <cell r="CI145">
            <v>328340</v>
          </cell>
          <cell r="CJ145">
            <v>1301374</v>
          </cell>
          <cell r="CK145">
            <v>361573</v>
          </cell>
          <cell r="CL145">
            <v>324806</v>
          </cell>
          <cell r="CM145">
            <v>318357</v>
          </cell>
          <cell r="CO145">
            <v>1004736</v>
          </cell>
        </row>
        <row r="146">
          <cell r="B146" t="str">
            <v>y/y change - restated</v>
          </cell>
          <cell r="BB146">
            <v>1.5500803142758368E-3</v>
          </cell>
          <cell r="BC146">
            <v>2.7955954312021802E-2</v>
          </cell>
          <cell r="BD146">
            <v>4.0089102387568243E-3</v>
          </cell>
          <cell r="BE146">
            <v>-1.6506528701650702E-2</v>
          </cell>
          <cell r="BF146">
            <v>4.1090623517285874E-3</v>
          </cell>
          <cell r="BG146">
            <v>-1.6111195116238375E-2</v>
          </cell>
          <cell r="BH146">
            <v>-1.7413938482971014E-2</v>
          </cell>
          <cell r="BI146">
            <v>6.9681279333888568E-3</v>
          </cell>
          <cell r="BJ146">
            <v>9.9518980966437631E-3</v>
          </cell>
          <cell r="BK146">
            <v>5.9616239270884552E-2</v>
          </cell>
          <cell r="BL146">
            <v>-2.7063970898121292E-2</v>
          </cell>
          <cell r="BM146">
            <v>-5.8527521870402888E-3</v>
          </cell>
          <cell r="BN146">
            <v>-7.5977150575456953E-3</v>
          </cell>
          <cell r="BO146">
            <v>-1.466784919094255E-2</v>
          </cell>
          <cell r="BP146">
            <v>1.8024957513657069E-2</v>
          </cell>
          <cell r="BQ146">
            <v>3.6240585708729789E-2</v>
          </cell>
          <cell r="BR146">
            <v>-1.9181866215134735E-2</v>
          </cell>
          <cell r="BS146">
            <v>-3.3337259983508116E-2</v>
          </cell>
          <cell r="BT146">
            <v>9.1443846935150841E-3</v>
          </cell>
          <cell r="BU146">
            <v>6.0023484111362269E-3</v>
          </cell>
          <cell r="BV146">
            <v>-2.4498734191057858E-2</v>
          </cell>
          <cell r="BW146">
            <v>2.5662269910626145E-2</v>
          </cell>
          <cell r="BX146">
            <v>2.9398840013820537E-2</v>
          </cell>
          <cell r="BY146">
            <v>2.1858576582074463E-3</v>
          </cell>
          <cell r="BZ146">
            <v>1.7428961714627045E-2</v>
          </cell>
          <cell r="CA146">
            <v>-1.3933871892843563E-2</v>
          </cell>
          <cell r="CB146">
            <v>-2.987981791350891E-2</v>
          </cell>
          <cell r="CC146">
            <v>-2.7904233374936083E-2</v>
          </cell>
          <cell r="CD146">
            <v>-5.0633266783129516E-2</v>
          </cell>
          <cell r="CE146">
            <v>-1.9250491744000064E-2</v>
          </cell>
          <cell r="CF146">
            <v>-3.5282138451901646E-2</v>
          </cell>
          <cell r="CG146">
            <v>-4.6152528740202037E-2</v>
          </cell>
          <cell r="CH146">
            <v>-2.4395055851838432E-2</v>
          </cell>
          <cell r="CI146">
            <v>-4.2486490584965675E-2</v>
          </cell>
          <cell r="CJ146">
            <v>-3.6516702117499356E-2</v>
          </cell>
          <cell r="CK146">
            <v>-4.9849819862669897E-2</v>
          </cell>
          <cell r="CL146">
            <v>-5.3339045837012988E-2</v>
          </cell>
          <cell r="CM146">
            <v>-5.2322777688474487E-2</v>
          </cell>
        </row>
        <row r="147">
          <cell r="B147" t="str">
            <v>Adj. Patient Days</v>
          </cell>
          <cell r="V147">
            <v>822019.34283228789</v>
          </cell>
          <cell r="W147">
            <v>273671.01093575242</v>
          </cell>
          <cell r="X147">
            <v>311106.30777446489</v>
          </cell>
          <cell r="Y147">
            <v>289776.73328153073</v>
          </cell>
          <cell r="Z147" t="str">
            <v>ND</v>
          </cell>
          <cell r="AA147">
            <v>883449.22160395316</v>
          </cell>
          <cell r="AB147">
            <v>320342.74716348061</v>
          </cell>
          <cell r="AC147">
            <v>355470.17362879775</v>
          </cell>
          <cell r="AD147">
            <v>331940.4272674431</v>
          </cell>
          <cell r="AE147" t="str">
            <v>ND</v>
          </cell>
          <cell r="AF147">
            <v>1012813.7008331494</v>
          </cell>
          <cell r="AG147">
            <v>350899.45631758962</v>
          </cell>
          <cell r="AH147">
            <v>408628.47841173253</v>
          </cell>
          <cell r="AI147">
            <v>383593.27790269075</v>
          </cell>
          <cell r="AJ147">
            <v>398186.70157286205</v>
          </cell>
          <cell r="AK147">
            <v>1541719.6807560185</v>
          </cell>
          <cell r="AL147">
            <v>411878.40502686432</v>
          </cell>
          <cell r="AM147">
            <v>438776.7948216286</v>
          </cell>
          <cell r="AN147">
            <v>402669.33926399553</v>
          </cell>
          <cell r="AO147">
            <v>393417.02003617643</v>
          </cell>
          <cell r="AP147">
            <v>1647480.2502997324</v>
          </cell>
          <cell r="AQ147">
            <v>421656.1733296602</v>
          </cell>
          <cell r="AR147">
            <v>546522.22621045844</v>
          </cell>
          <cell r="AS147">
            <v>511659.7258203252</v>
          </cell>
          <cell r="AT147">
            <v>490422.82368074841</v>
          </cell>
          <cell r="AU147">
            <v>1970619.8816098475</v>
          </cell>
          <cell r="AW147">
            <v>438776.7948216286</v>
          </cell>
          <cell r="AX147">
            <v>402669.33926399553</v>
          </cell>
          <cell r="AY147">
            <v>393417.02003617643</v>
          </cell>
          <cell r="AZ147">
            <v>421656.1733296602</v>
          </cell>
          <cell r="BA147">
            <v>1657256.1582798224</v>
          </cell>
          <cell r="BB147">
            <v>546522.22621045844</v>
          </cell>
          <cell r="BC147">
            <v>511659.7258203252</v>
          </cell>
          <cell r="BD147">
            <v>490422.82368074841</v>
          </cell>
          <cell r="BE147">
            <v>492258.88667145942</v>
          </cell>
          <cell r="BF147">
            <v>2041384.3152339808</v>
          </cell>
          <cell r="BG147">
            <v>551269.95871863491</v>
          </cell>
          <cell r="BH147">
            <v>548506.74296659883</v>
          </cell>
          <cell r="BI147">
            <v>518775.92028856801</v>
          </cell>
          <cell r="BJ147">
            <v>531115.09531979414</v>
          </cell>
          <cell r="BK147">
            <v>2149848.1028936217</v>
          </cell>
          <cell r="BL147">
            <v>581342.33634137386</v>
          </cell>
          <cell r="BM147">
            <v>548894.59423946182</v>
          </cell>
          <cell r="BN147">
            <v>552809.91045308602</v>
          </cell>
          <cell r="BO147">
            <v>552874.72755556728</v>
          </cell>
          <cell r="BP147">
            <v>2236389.9003908713</v>
          </cell>
          <cell r="BQ147">
            <v>613933.36434108531</v>
          </cell>
          <cell r="BR147">
            <v>558012.63828259427</v>
          </cell>
          <cell r="BS147">
            <v>541329.59496466431</v>
          </cell>
          <cell r="BT147">
            <v>562510.96634100471</v>
          </cell>
          <cell r="BU147">
            <v>2276757.5543407369</v>
          </cell>
          <cell r="BV147">
            <v>602024.82740130275</v>
          </cell>
          <cell r="BW147">
            <v>569910.82981438516</v>
          </cell>
          <cell r="BX147">
            <v>553314.35095473367</v>
          </cell>
          <cell r="BY147">
            <v>562474.95584395132</v>
          </cell>
          <cell r="BZ147">
            <v>2288574.589399368</v>
          </cell>
          <cell r="CA147">
            <v>601228.17685171554</v>
          </cell>
          <cell r="CB147">
            <v>564428.98920397484</v>
          </cell>
          <cell r="CC147">
            <v>552765.53718644159</v>
          </cell>
          <cell r="CD147">
            <v>554240.84977348719</v>
          </cell>
          <cell r="CE147">
            <v>2273397.8040201333</v>
          </cell>
          <cell r="CF147">
            <v>630455.66772649146</v>
          </cell>
          <cell r="CG147">
            <v>587202.44387037435</v>
          </cell>
          <cell r="CH147">
            <v>594181.27433047723</v>
          </cell>
          <cell r="CI147">
            <v>618155.31200562487</v>
          </cell>
          <cell r="CJ147">
            <v>2430884.666088359</v>
          </cell>
          <cell r="CK147">
            <v>679258.90245692967</v>
          </cell>
          <cell r="CL147">
            <v>636751.88220111502</v>
          </cell>
          <cell r="CM147">
            <v>633737.99779429147</v>
          </cell>
          <cell r="CO147">
            <v>1967857.8816208988</v>
          </cell>
        </row>
        <row r="148">
          <cell r="B148" t="str">
            <v>y/y change - restated</v>
          </cell>
        </row>
        <row r="150">
          <cell r="B150" t="str">
            <v>Length of Stay</v>
          </cell>
          <cell r="R150">
            <v>4.4089368972807046</v>
          </cell>
          <cell r="S150">
            <v>4.6366966632157363</v>
          </cell>
          <cell r="T150">
            <v>4.4833543921331644</v>
          </cell>
          <cell r="U150" t="str">
            <v>NM</v>
          </cell>
          <cell r="V150">
            <v>3.3311018832532504</v>
          </cell>
          <cell r="W150">
            <v>4.42711569529017</v>
          </cell>
          <cell r="X150">
            <v>4.5980152196163946</v>
          </cell>
          <cell r="Y150">
            <v>4.4957991355446554</v>
          </cell>
          <cell r="Z150" t="str">
            <v>NM</v>
          </cell>
          <cell r="AA150">
            <v>3.3808602903227718</v>
          </cell>
          <cell r="AB150">
            <v>4.4440201315615209</v>
          </cell>
          <cell r="AC150">
            <v>4.5954878171061866</v>
          </cell>
          <cell r="AD150">
            <v>4.4864696131407289</v>
          </cell>
          <cell r="AE150" t="str">
            <v>NM</v>
          </cell>
          <cell r="AF150">
            <v>3.3561214948361542</v>
          </cell>
          <cell r="AG150">
            <v>4.3820802277535043</v>
          </cell>
          <cell r="AH150">
            <v>4.4920518255162039</v>
          </cell>
          <cell r="AI150">
            <v>4.4092701806118688</v>
          </cell>
          <cell r="AJ150">
            <v>4.2656157772299572</v>
          </cell>
          <cell r="AK150">
            <v>4.3875137476408366</v>
          </cell>
          <cell r="AL150">
            <v>4.3339654340702296</v>
          </cell>
          <cell r="AM150">
            <v>4.451016898341722</v>
          </cell>
          <cell r="AN150">
            <v>4.2870000347499744</v>
          </cell>
          <cell r="AO150">
            <v>4.1811952135800752</v>
          </cell>
          <cell r="AP150">
            <v>4.3169116229154962</v>
          </cell>
          <cell r="AQ150">
            <v>4.2356220324425937</v>
          </cell>
          <cell r="AR150">
            <v>4.3714783731439635</v>
          </cell>
          <cell r="AS150">
            <v>4.307190095463711</v>
          </cell>
          <cell r="AT150">
            <v>4.2100716269551235</v>
          </cell>
          <cell r="AU150">
            <v>4.285353662302593</v>
          </cell>
          <cell r="AW150">
            <v>4.451016898341722</v>
          </cell>
          <cell r="AX150">
            <v>4.2870000347499744</v>
          </cell>
          <cell r="AY150">
            <v>4.1811952135800752</v>
          </cell>
          <cell r="AZ150">
            <v>4.2356220324425937</v>
          </cell>
          <cell r="BA150">
            <v>4.291753075315027</v>
          </cell>
          <cell r="BB150">
            <v>4.3714783731439635</v>
          </cell>
          <cell r="BC150">
            <v>4.307190095463711</v>
          </cell>
          <cell r="BD150">
            <v>4.2100716269551235</v>
          </cell>
          <cell r="BE150">
            <v>4.2474191229331417</v>
          </cell>
          <cell r="BF150">
            <v>4.2868573344462799</v>
          </cell>
          <cell r="BG150">
            <v>4.3963726451339395</v>
          </cell>
          <cell r="BH150">
            <v>4.2782233927930085</v>
          </cell>
          <cell r="BI150">
            <v>4.2036781483556274</v>
          </cell>
          <cell r="BJ150">
            <v>4.2137945710143772</v>
          </cell>
          <cell r="BK150">
            <v>4.2736015944515229</v>
          </cell>
          <cell r="BL150">
            <v>4.2965960573037831</v>
          </cell>
          <cell r="BM150">
            <v>4.2183722274781879</v>
          </cell>
          <cell r="BN150">
            <v>4.193958853609228</v>
          </cell>
          <cell r="BO150">
            <v>4.1888891818493423</v>
          </cell>
          <cell r="BP150">
            <v>4.2258227209683517</v>
          </cell>
          <cell r="BQ150">
            <v>4.4351656095842138</v>
          </cell>
          <cell r="BR150">
            <v>4.3007085856738341</v>
          </cell>
          <cell r="BS150">
            <v>4.1908955388692579</v>
          </cell>
          <cell r="BT150">
            <v>4.2305190564509809</v>
          </cell>
          <cell r="BU150">
            <v>4.2932902029031101</v>
          </cell>
          <cell r="BV150">
            <v>4.2803349288036374</v>
          </cell>
          <cell r="BW150">
            <v>4.1966615106986334</v>
          </cell>
          <cell r="BX150">
            <v>4.097623180664975</v>
          </cell>
          <cell r="BY150">
            <v>4.1813481701156059</v>
          </cell>
          <cell r="BZ150">
            <v>4.191505521763375</v>
          </cell>
          <cell r="CA150">
            <v>4.2403916948902962</v>
          </cell>
          <cell r="CB150">
            <v>4.1002563560441887</v>
          </cell>
          <cell r="CC150">
            <v>4.107002230360437</v>
          </cell>
          <cell r="CD150">
            <v>4.1032385934634883</v>
          </cell>
          <cell r="CE150">
            <v>4.1401651478764352</v>
          </cell>
          <cell r="CF150">
            <v>4.2917628283820282</v>
          </cell>
          <cell r="CG150">
            <v>4.2183780566976843</v>
          </cell>
          <cell r="CH150">
            <v>4.0878219679573817</v>
          </cell>
          <cell r="CI150">
            <v>4.1224920272204502</v>
          </cell>
          <cell r="CJ150">
            <v>4.1810809855647975</v>
          </cell>
          <cell r="CK150">
            <v>4.2812503700195368</v>
          </cell>
          <cell r="CL150">
            <v>4.1916941978112741</v>
          </cell>
          <cell r="CM150">
            <v>4.1797783788041905</v>
          </cell>
          <cell r="CN150">
            <v>0</v>
          </cell>
          <cell r="CO150">
            <v>3.1175703672083053</v>
          </cell>
        </row>
        <row r="151">
          <cell r="B151" t="str">
            <v>Average daily census</v>
          </cell>
          <cell r="R151">
            <v>1654.8369565217392</v>
          </cell>
          <cell r="S151">
            <v>1940.7666666666667</v>
          </cell>
          <cell r="T151">
            <v>1793.6373626373627</v>
          </cell>
          <cell r="U151" t="str">
            <v>NM</v>
          </cell>
          <cell r="V151">
            <v>1342.8356164383561</v>
          </cell>
          <cell r="W151">
            <v>1936.141304347826</v>
          </cell>
          <cell r="X151">
            <v>2296.0444444444443</v>
          </cell>
          <cell r="Y151">
            <v>2034.5714285714287</v>
          </cell>
          <cell r="Z151" t="str">
            <v>NM</v>
          </cell>
          <cell r="AA151">
            <v>1561.4109589041095</v>
          </cell>
          <cell r="AB151">
            <v>2188.2934782608695</v>
          </cell>
          <cell r="AC151">
            <v>2546.1555555555556</v>
          </cell>
          <cell r="AD151">
            <v>2290.1208791208792</v>
          </cell>
          <cell r="AE151" t="str">
            <v>NM</v>
          </cell>
          <cell r="AF151">
            <v>1750.3506849315067</v>
          </cell>
          <cell r="AG151">
            <v>2409.2391304347825</v>
          </cell>
          <cell r="AH151">
            <v>2920.0333333333333</v>
          </cell>
          <cell r="AI151">
            <v>2629.0879120879122</v>
          </cell>
          <cell r="AJ151">
            <v>2670.7391304347825</v>
          </cell>
          <cell r="AK151">
            <v>2655.9123287671232</v>
          </cell>
          <cell r="AL151">
            <v>2832.0108695652175</v>
          </cell>
          <cell r="AM151">
            <v>3100.0109890109889</v>
          </cell>
          <cell r="AN151">
            <v>2711.3626373626375</v>
          </cell>
          <cell r="AO151">
            <v>2613.0652173913045</v>
          </cell>
          <cell r="AP151">
            <v>2813.6120218579235</v>
          </cell>
          <cell r="AQ151">
            <v>2841.0434782608695</v>
          </cell>
          <cell r="AR151">
            <v>3761.9</v>
          </cell>
          <cell r="AS151">
            <v>3356.6263736263736</v>
          </cell>
          <cell r="AT151">
            <v>3130.554347826087</v>
          </cell>
          <cell r="AU151">
            <v>3269.6191780821919</v>
          </cell>
          <cell r="AW151">
            <v>3100.0109890109889</v>
          </cell>
          <cell r="AX151">
            <v>2711.3626373626375</v>
          </cell>
          <cell r="AY151">
            <v>2613.0652173913045</v>
          </cell>
          <cell r="AZ151">
            <v>2841.0434782608695</v>
          </cell>
          <cell r="BA151">
            <v>2815.8825136612022</v>
          </cell>
          <cell r="BB151">
            <v>3761.9</v>
          </cell>
          <cell r="BC151">
            <v>3356.6263736263736</v>
          </cell>
          <cell r="BD151">
            <v>3130.554347826087</v>
          </cell>
          <cell r="BE151">
            <v>3210.9565217391305</v>
          </cell>
          <cell r="BF151">
            <v>3362.8575342465751</v>
          </cell>
          <cell r="BG151">
            <v>3687.1888888888889</v>
          </cell>
          <cell r="BH151">
            <v>3534.3296703296705</v>
          </cell>
          <cell r="BI151">
            <v>3344.163043478261</v>
          </cell>
          <cell r="BJ151">
            <v>3443.8152173913045</v>
          </cell>
          <cell r="BK151">
            <v>3501.2739726027398</v>
          </cell>
          <cell r="BL151">
            <v>3898.9222222222224</v>
          </cell>
          <cell r="BM151">
            <v>3527.8571428571427</v>
          </cell>
          <cell r="BN151">
            <v>3450.032608695652</v>
          </cell>
          <cell r="BO151">
            <v>3453.7391304347825</v>
          </cell>
          <cell r="BP151">
            <v>3581.0547945205481</v>
          </cell>
          <cell r="BQ151">
            <v>4011.2417582417584</v>
          </cell>
          <cell r="BR151">
            <v>3488.2527472527472</v>
          </cell>
          <cell r="BS151">
            <v>3300.2391304347825</v>
          </cell>
          <cell r="BT151">
            <v>3520.6195652173915</v>
          </cell>
          <cell r="BU151">
            <v>3579.1612021857923</v>
          </cell>
          <cell r="BV151">
            <v>3964.588888888889</v>
          </cell>
          <cell r="BW151">
            <v>3577.7692307692309</v>
          </cell>
          <cell r="BX151">
            <v>3335.554347826087</v>
          </cell>
          <cell r="BY151">
            <v>3463.5652173913045</v>
          </cell>
          <cell r="BZ151">
            <v>3583.3123287671233</v>
          </cell>
          <cell r="CA151">
            <v>3839.5333333333333</v>
          </cell>
          <cell r="CB151">
            <v>3409.7912087912086</v>
          </cell>
          <cell r="CC151">
            <v>3242.478260869565</v>
          </cell>
          <cell r="CD151">
            <v>3307.9239130434785</v>
          </cell>
          <cell r="CE151">
            <v>3447.9068493150685</v>
          </cell>
          <cell r="CF151">
            <v>3884.5222222222224</v>
          </cell>
          <cell r="CG151">
            <v>3427.3626373626375</v>
          </cell>
          <cell r="CH151">
            <v>3386.271739130435</v>
          </cell>
          <cell r="CI151">
            <v>3568.913043478261</v>
          </cell>
          <cell r="CJ151">
            <v>3565.4082191780822</v>
          </cell>
          <cell r="CK151">
            <v>3973.3296703296705</v>
          </cell>
          <cell r="CL151">
            <v>3569.2967032967031</v>
          </cell>
          <cell r="CM151">
            <v>3460.4021739130435</v>
          </cell>
          <cell r="CN151">
            <v>0</v>
          </cell>
          <cell r="CO151">
            <v>2745.1803278688526</v>
          </cell>
        </row>
        <row r="152">
          <cell r="B152" t="str">
            <v>Occupany Rate</v>
          </cell>
          <cell r="R152">
            <v>0.46899999999999997</v>
          </cell>
          <cell r="S152">
            <v>0.54400000000000004</v>
          </cell>
          <cell r="T152">
            <v>0.44800000000000001</v>
          </cell>
          <cell r="U152" t="str">
            <v>ND</v>
          </cell>
          <cell r="V152" t="str">
            <v>ND</v>
          </cell>
          <cell r="W152">
            <v>0.443</v>
          </cell>
          <cell r="X152">
            <v>0.52600000000000002</v>
          </cell>
          <cell r="Y152">
            <v>0.47099999999999997</v>
          </cell>
          <cell r="Z152" t="str">
            <v>ND</v>
          </cell>
          <cell r="AA152" t="str">
            <v>ND</v>
          </cell>
          <cell r="AB152">
            <v>0.44600000000000001</v>
          </cell>
          <cell r="AC152">
            <v>0.51900000000000002</v>
          </cell>
          <cell r="AD152">
            <v>0.48199999999999998</v>
          </cell>
          <cell r="AE152" t="str">
            <v>ND</v>
          </cell>
          <cell r="AF152" t="str">
            <v>ND</v>
          </cell>
          <cell r="AG152">
            <v>0.46800000000000003</v>
          </cell>
          <cell r="AH152">
            <v>0.51800000000000002</v>
          </cell>
          <cell r="AI152">
            <v>0.46</v>
          </cell>
          <cell r="AJ152">
            <v>0.45200000000000001</v>
          </cell>
          <cell r="AK152">
            <v>0.47699999999999998</v>
          </cell>
          <cell r="AL152">
            <v>0.48499999999999999</v>
          </cell>
          <cell r="AM152">
            <v>0.52400000000000002</v>
          </cell>
          <cell r="AN152">
            <v>0.45800000000000002</v>
          </cell>
          <cell r="AO152">
            <v>0.48</v>
          </cell>
          <cell r="AP152">
            <v>0.48899999999999999</v>
          </cell>
          <cell r="AQ152">
            <v>0.45600000000000002</v>
          </cell>
          <cell r="AR152">
            <v>0.51600000000000001</v>
          </cell>
          <cell r="AS152">
            <v>0.45900000000000002</v>
          </cell>
          <cell r="AT152">
            <v>0.42499999999999999</v>
          </cell>
          <cell r="AU152">
            <v>0.46800000000000003</v>
          </cell>
          <cell r="AW152">
            <v>0.52400000000000002</v>
          </cell>
          <cell r="AX152">
            <v>0.45800000000000002</v>
          </cell>
          <cell r="AY152">
            <v>0.48</v>
          </cell>
          <cell r="AZ152">
            <v>0.45600000000000002</v>
          </cell>
          <cell r="BA152">
            <v>0</v>
          </cell>
          <cell r="BB152">
            <v>0.51600000000000001</v>
          </cell>
          <cell r="BC152">
            <v>0.45900000000000002</v>
          </cell>
          <cell r="BD152">
            <v>0.42499999999999999</v>
          </cell>
          <cell r="BE152">
            <v>0.438</v>
          </cell>
          <cell r="BF152">
            <v>0</v>
          </cell>
          <cell r="BG152">
            <v>0.502</v>
          </cell>
          <cell r="BH152">
            <v>0.434</v>
          </cell>
          <cell r="BI152">
            <v>0.432</v>
          </cell>
          <cell r="BJ152">
            <v>0.44</v>
          </cell>
          <cell r="BK152">
            <v>0.46100000000000002</v>
          </cell>
          <cell r="BL152">
            <v>0.49199999999999999</v>
          </cell>
          <cell r="BM152">
            <v>0.44800000000000001</v>
          </cell>
          <cell r="BN152">
            <v>0.42399999999999999</v>
          </cell>
          <cell r="BO152">
            <v>0.42799999999999999</v>
          </cell>
          <cell r="BP152">
            <v>0.45</v>
          </cell>
          <cell r="BQ152">
            <v>0.51</v>
          </cell>
          <cell r="BR152">
            <v>0.442</v>
          </cell>
          <cell r="BS152">
            <v>0.41899999999999998</v>
          </cell>
          <cell r="BT152">
            <v>0.44400000000000001</v>
          </cell>
          <cell r="BU152">
            <v>0.45</v>
          </cell>
          <cell r="BV152">
            <v>0.496</v>
          </cell>
          <cell r="BW152">
            <v>0.44800000000000001</v>
          </cell>
          <cell r="BX152">
            <v>0.42499999999999999</v>
          </cell>
          <cell r="BY152">
            <v>0.442</v>
          </cell>
          <cell r="BZ152">
            <v>0.44900000000000001</v>
          </cell>
          <cell r="CA152">
            <v>0.48899999999999999</v>
          </cell>
          <cell r="CB152">
            <v>0.435</v>
          </cell>
          <cell r="CC152">
            <v>0.41399999999999998</v>
          </cell>
          <cell r="CD152">
            <v>0.41899999999999998</v>
          </cell>
          <cell r="CE152">
            <v>0.435</v>
          </cell>
          <cell r="CF152">
            <v>0.47299999999999998</v>
          </cell>
          <cell r="CG152">
            <v>0.41699999999999998</v>
          </cell>
          <cell r="CH152">
            <v>0.40500000000000003</v>
          </cell>
          <cell r="CI152">
            <v>0.40699999999999997</v>
          </cell>
          <cell r="CJ152">
            <v>0.42099999999999999</v>
          </cell>
          <cell r="CK152">
            <v>0.45300000000000001</v>
          </cell>
          <cell r="CL152">
            <v>0.40300000000000002</v>
          </cell>
          <cell r="CM152">
            <v>0.38900000000000001</v>
          </cell>
        </row>
        <row r="155">
          <cell r="B155" t="str">
            <v>Same-Store Gross Revenue</v>
          </cell>
          <cell r="D155" t="str">
            <v>NM</v>
          </cell>
          <cell r="E155" t="str">
            <v>NM</v>
          </cell>
          <cell r="F155" t="str">
            <v>NM</v>
          </cell>
          <cell r="G155" t="str">
            <v>NM</v>
          </cell>
          <cell r="H155" t="str">
            <v>NM</v>
          </cell>
          <cell r="I155" t="str">
            <v>NM</v>
          </cell>
          <cell r="J155" t="str">
            <v>NM</v>
          </cell>
          <cell r="K155" t="str">
            <v>NM</v>
          </cell>
          <cell r="L155" t="str">
            <v>NM</v>
          </cell>
          <cell r="M155" t="str">
            <v>NM</v>
          </cell>
          <cell r="N155" t="str">
            <v>NM</v>
          </cell>
          <cell r="O155" t="str">
            <v>NM</v>
          </cell>
          <cell r="P155" t="str">
            <v>NM</v>
          </cell>
          <cell r="Q155">
            <v>0</v>
          </cell>
          <cell r="R155" t="str">
            <v>NM</v>
          </cell>
          <cell r="S155" t="str">
            <v>NM</v>
          </cell>
          <cell r="T155" t="str">
            <v>NM</v>
          </cell>
          <cell r="U155" t="str">
            <v>NM</v>
          </cell>
          <cell r="V155">
            <v>0</v>
          </cell>
          <cell r="W155" t="str">
            <v>NM</v>
          </cell>
          <cell r="X155" t="str">
            <v>NM</v>
          </cell>
          <cell r="Y155" t="str">
            <v>NM</v>
          </cell>
          <cell r="Z155" t="str">
            <v>NM</v>
          </cell>
          <cell r="AA155">
            <v>0</v>
          </cell>
          <cell r="AB155" t="str">
            <v>NM</v>
          </cell>
          <cell r="AC155" t="str">
            <v>NM</v>
          </cell>
          <cell r="AD155" t="str">
            <v>NM</v>
          </cell>
          <cell r="AE155" t="str">
            <v>NM</v>
          </cell>
          <cell r="AF155">
            <v>0</v>
          </cell>
          <cell r="AG155" t="str">
            <v>NM</v>
          </cell>
          <cell r="AH155">
            <v>618.76400000000001</v>
          </cell>
          <cell r="AI155" t="str">
            <v>NM</v>
          </cell>
          <cell r="AJ155">
            <v>635.04499999999996</v>
          </cell>
          <cell r="AK155">
            <v>1253.809</v>
          </cell>
          <cell r="AL155">
            <v>651.48299999999995</v>
          </cell>
          <cell r="AM155">
            <v>685.41399999999999</v>
          </cell>
          <cell r="AN155">
            <v>671.66800000000001</v>
          </cell>
          <cell r="AO155">
            <v>656.86500000000001</v>
          </cell>
          <cell r="AP155">
            <v>2665.4300000000003</v>
          </cell>
          <cell r="AQ155">
            <v>711.85900000000004</v>
          </cell>
          <cell r="AR155">
            <v>859.17499999999995</v>
          </cell>
          <cell r="AS155">
            <v>849.59199999999998</v>
          </cell>
          <cell r="AT155">
            <v>816.58900000000006</v>
          </cell>
          <cell r="AU155">
            <v>3237.2150000000001</v>
          </cell>
          <cell r="AW155">
            <v>685.41399999999999</v>
          </cell>
          <cell r="AX155">
            <v>671.66800000000001</v>
          </cell>
          <cell r="AY155">
            <v>656.86500000000001</v>
          </cell>
          <cell r="AZ155">
            <v>711.85900000000004</v>
          </cell>
          <cell r="BA155">
            <v>2725.806</v>
          </cell>
          <cell r="BB155">
            <v>859.17499999999995</v>
          </cell>
          <cell r="BC155">
            <v>849.59199999999998</v>
          </cell>
          <cell r="BD155">
            <v>816.58900000000006</v>
          </cell>
          <cell r="BE155">
            <v>846.84100000000001</v>
          </cell>
          <cell r="BF155">
            <v>3372.1969999999997</v>
          </cell>
          <cell r="BG155">
            <v>916.07500000000005</v>
          </cell>
          <cell r="BH155">
            <v>959.42700000000002</v>
          </cell>
          <cell r="BI155">
            <v>925.36</v>
          </cell>
          <cell r="BJ155">
            <v>967.23</v>
          </cell>
          <cell r="BK155">
            <v>3768.0920000000001</v>
          </cell>
          <cell r="BL155">
            <v>1067.606</v>
          </cell>
          <cell r="BM155">
            <v>1026.1959999999999</v>
          </cell>
          <cell r="BN155">
            <v>1054.4549999999999</v>
          </cell>
          <cell r="BO155">
            <v>1071.0139999999999</v>
          </cell>
          <cell r="BP155">
            <v>4219.2709999999997</v>
          </cell>
          <cell r="BQ155">
            <v>1133.8150000000001</v>
          </cell>
          <cell r="BR155">
            <v>1105.299</v>
          </cell>
          <cell r="BS155">
            <v>1081.914</v>
          </cell>
          <cell r="BT155">
            <v>1111.826</v>
          </cell>
          <cell r="BU155">
            <v>4432.8540000000003</v>
          </cell>
          <cell r="BV155">
            <v>1188.0229999999999</v>
          </cell>
          <cell r="BW155">
            <v>1155.453</v>
          </cell>
          <cell r="BX155">
            <v>1121.903</v>
          </cell>
          <cell r="BY155">
            <v>1176.5630000000001</v>
          </cell>
          <cell r="BZ155">
            <v>4594.9359999999997</v>
          </cell>
          <cell r="CA155">
            <v>1216.316</v>
          </cell>
          <cell r="CB155">
            <v>1176.7470000000001</v>
          </cell>
          <cell r="CC155">
            <v>1179.4549999999999</v>
          </cell>
          <cell r="CD155">
            <v>1209.6500000000001</v>
          </cell>
          <cell r="CE155">
            <v>4782.1679999999997</v>
          </cell>
          <cell r="CF155">
            <v>1332.971</v>
          </cell>
          <cell r="CG155">
            <v>1281.644</v>
          </cell>
          <cell r="CH155">
            <v>1309.0119999999999</v>
          </cell>
          <cell r="CI155">
            <v>1420.432</v>
          </cell>
          <cell r="CJ155">
            <v>5344.0589999999993</v>
          </cell>
          <cell r="CK155">
            <v>1518.7</v>
          </cell>
          <cell r="CL155">
            <v>1493.9</v>
          </cell>
          <cell r="CM155">
            <v>1477</v>
          </cell>
          <cell r="CN155">
            <v>1685.0061297917275</v>
          </cell>
          <cell r="CO155">
            <v>6174.6061297917277</v>
          </cell>
          <cell r="CP155">
            <v>1749.946240270453</v>
          </cell>
          <cell r="CQ155">
            <v>1748.3017764068638</v>
          </cell>
          <cell r="CR155">
            <v>1727.0014888007336</v>
          </cell>
          <cell r="CS155">
            <v>1774.4609769352023</v>
          </cell>
          <cell r="CT155">
            <v>6999.710482413253</v>
          </cell>
          <cell r="CU155">
            <v>1808.7387179919394</v>
          </cell>
          <cell r="CV155">
            <v>1781.0200924392448</v>
          </cell>
          <cell r="CW155">
            <v>1761.1587791980387</v>
          </cell>
          <cell r="CX155">
            <v>1806.0845996925368</v>
          </cell>
          <cell r="CY155">
            <v>7157.0021893217599</v>
          </cell>
          <cell r="CZ155">
            <v>1881.1170686709002</v>
          </cell>
          <cell r="DA155">
            <v>1849.8988829022953</v>
          </cell>
          <cell r="DB155">
            <v>1830.7465494006099</v>
          </cell>
          <cell r="DC155">
            <v>1881.3219862595788</v>
          </cell>
          <cell r="DD155">
            <v>7443.0844872333846</v>
          </cell>
          <cell r="DE155">
            <v>1964.9563156098177</v>
          </cell>
          <cell r="DF155">
            <v>1927.8969063987906</v>
          </cell>
          <cell r="DG155">
            <v>1909.0801770309545</v>
          </cell>
          <cell r="DH155">
            <v>1957.1362860311051</v>
          </cell>
          <cell r="DI155">
            <v>7759.0696850706681</v>
          </cell>
        </row>
        <row r="156">
          <cell r="B156" t="str">
            <v>y/y change - restated</v>
          </cell>
          <cell r="AL156">
            <v>7.8721396165181812E-2</v>
          </cell>
          <cell r="AM156">
            <v>6.950885361728143E-2</v>
          </cell>
          <cell r="AN156">
            <v>4.7590676201542559E-2</v>
          </cell>
          <cell r="AO156">
            <v>3.6664757043903817E-2</v>
          </cell>
          <cell r="AP156" t="str">
            <v>NM</v>
          </cell>
          <cell r="AQ156" t="str">
            <v>NM</v>
          </cell>
          <cell r="AR156">
            <v>3.7911697624523955E-2</v>
          </cell>
          <cell r="AS156">
            <v>5.1326916746894602E-2</v>
          </cell>
          <cell r="AT156">
            <v>4.6098918273542067E-2</v>
          </cell>
          <cell r="AU156">
            <v>0.1565472230776761</v>
          </cell>
          <cell r="AW156">
            <v>6.950885361728143E-2</v>
          </cell>
          <cell r="AX156">
            <v>4.7590676201542559E-2</v>
          </cell>
          <cell r="AY156">
            <v>3.6664757043903817E-2</v>
          </cell>
          <cell r="AZ156" t="str">
            <v>NM</v>
          </cell>
          <cell r="BB156">
            <v>3.7911697624523955E-2</v>
          </cell>
          <cell r="BC156">
            <v>5.1326916746894602E-2</v>
          </cell>
          <cell r="BD156">
            <v>4.6098918273542067E-2</v>
          </cell>
          <cell r="BE156">
            <v>4.6772443084195148E-2</v>
          </cell>
          <cell r="BF156">
            <v>4.5476501095019772E-2</v>
          </cell>
          <cell r="BG156">
            <v>6.541037620096013E-2</v>
          </cell>
          <cell r="BH156">
            <v>4.0918421372402758E-2</v>
          </cell>
          <cell r="BI156">
            <v>4.5076667491108946E-2</v>
          </cell>
          <cell r="BJ156">
            <v>6.078951351280204E-2</v>
          </cell>
          <cell r="BK156">
            <v>0.13209494944153755</v>
          </cell>
          <cell r="BL156">
            <v>6.8250154843370492E-2</v>
          </cell>
          <cell r="BM156">
            <v>7.0758841464050759E-2</v>
          </cell>
          <cell r="BN156">
            <v>6.5409540899528995E-2</v>
          </cell>
          <cell r="BO156">
            <v>4.6410789516879047E-2</v>
          </cell>
          <cell r="BP156">
            <v>0.10134086620546778</v>
          </cell>
          <cell r="BQ156">
            <v>3.1245281783272238E-2</v>
          </cell>
          <cell r="BR156">
            <v>3.8713321254313371E-2</v>
          </cell>
          <cell r="BS156">
            <v>3.3528337358236682E-2</v>
          </cell>
          <cell r="BT156">
            <v>3.2831916528175631E-2</v>
          </cell>
          <cell r="BU156">
            <v>4.4459434974309486E-2</v>
          </cell>
          <cell r="BV156" t="str">
            <v>NM</v>
          </cell>
          <cell r="BW156" t="str">
            <v>NM</v>
          </cell>
          <cell r="BX156" t="str">
            <v>NM</v>
          </cell>
          <cell r="BY156">
            <v>7.9496806181749591E-2</v>
          </cell>
          <cell r="BZ156">
            <v>5.3771775768920005E-2</v>
          </cell>
          <cell r="CA156">
            <v>4.4312508317556842E-2</v>
          </cell>
          <cell r="CB156">
            <v>3.9745000066268243E-2</v>
          </cell>
          <cell r="CC156">
            <v>5.1298552548660448E-2</v>
          </cell>
          <cell r="CD156">
            <v>2.123086326574386E-2</v>
          </cell>
          <cell r="CE156">
            <v>4.9455441296749392E-2</v>
          </cell>
          <cell r="CF156">
            <v>4.8144123345579048E-2</v>
          </cell>
          <cell r="CG156">
            <v>4.1901437361647531E-2</v>
          </cell>
          <cell r="CH156">
            <v>4.6906415901954768E-2</v>
          </cell>
          <cell r="CI156">
            <v>5.4868408056446549E-2</v>
          </cell>
          <cell r="CJ156">
            <v>4.9466769150887657E-2</v>
          </cell>
          <cell r="CK156">
            <v>0.21035098345500347</v>
          </cell>
          <cell r="CL156">
            <v>0.21994241225054423</v>
          </cell>
          <cell r="CM156">
            <v>0.21103095877247213</v>
          </cell>
        </row>
        <row r="157">
          <cell r="B157" t="str">
            <v>y/y change - reported</v>
          </cell>
          <cell r="AL157" t="str">
            <v>NM</v>
          </cell>
          <cell r="AM157">
            <v>0.10771473453529934</v>
          </cell>
          <cell r="AN157" t="str">
            <v>NM</v>
          </cell>
          <cell r="AO157">
            <v>3.4359769780094362E-2</v>
          </cell>
          <cell r="AP157">
            <v>1.1258660609391065</v>
          </cell>
          <cell r="AQ157">
            <v>9.2674712924205371E-2</v>
          </cell>
          <cell r="AR157">
            <v>0.25351247567163782</v>
          </cell>
          <cell r="AS157">
            <v>0.26489872972956885</v>
          </cell>
          <cell r="AT157">
            <v>0.24316107571571033</v>
          </cell>
          <cell r="AU157">
            <v>0.21451885812045335</v>
          </cell>
          <cell r="AW157">
            <v>0.10771473453529934</v>
          </cell>
          <cell r="AX157" t="str">
            <v>NM</v>
          </cell>
          <cell r="AY157">
            <v>3.4359769780094362E-2</v>
          </cell>
          <cell r="AZ157">
            <v>9.2674712924205371E-2</v>
          </cell>
          <cell r="BB157">
            <v>3.0300740969916307E-2</v>
          </cell>
          <cell r="BC157">
            <v>3.9458439011379465E-2</v>
          </cell>
          <cell r="BD157">
            <v>2.3186782343713297E-2</v>
          </cell>
          <cell r="BE157">
            <v>2.9993395614834162E-2</v>
          </cell>
          <cell r="BF157">
            <v>3.0775974296907593E-2</v>
          </cell>
          <cell r="BG157">
            <v>-1.496542583339755E-3</v>
          </cell>
          <cell r="BH157">
            <v>2.6933500595120785E-2</v>
          </cell>
          <cell r="BI157">
            <v>2.1828814742179681E-2</v>
          </cell>
          <cell r="BJ157">
            <v>3.2810359390199384E-2</v>
          </cell>
          <cell r="BK157">
            <v>2.0110687970432695E-2</v>
          </cell>
          <cell r="BL157">
            <v>3.3840760753781396E-2</v>
          </cell>
          <cell r="BM157">
            <v>4.0997802361237845E-3</v>
          </cell>
          <cell r="BN157">
            <v>6.0701470962498005E-2</v>
          </cell>
          <cell r="BO157">
            <v>1.7365276855574985E-2</v>
          </cell>
          <cell r="BP157">
            <v>2.8711620842079899E-2</v>
          </cell>
          <cell r="BQ157">
            <v>-8.4982243625674192E-3</v>
          </cell>
          <cell r="BR157">
            <v>5.5842592668406965E-3</v>
          </cell>
          <cell r="BS157">
            <v>1.0956008705004461E-2</v>
          </cell>
          <cell r="BT157">
            <v>1.4182533992290303E-2</v>
          </cell>
          <cell r="BU157">
            <v>5.373584679715826E-3</v>
          </cell>
          <cell r="BV157">
            <v>3.0758165216576483E-2</v>
          </cell>
          <cell r="BW157">
            <v>4.5375957093962915E-2</v>
          </cell>
          <cell r="BX157">
            <v>3.6961348129333826E-2</v>
          </cell>
          <cell r="BY157">
            <v>5.8225837496155064E-2</v>
          </cell>
          <cell r="BZ157">
            <v>3.2196209417219901E-2</v>
          </cell>
          <cell r="CA157">
            <v>2.3815195497056907E-2</v>
          </cell>
          <cell r="CB157">
            <v>1.8429135585783296E-2</v>
          </cell>
          <cell r="CC157">
            <v>5.1298552548660448E-2</v>
          </cell>
          <cell r="CD157">
            <v>9.0759695354405423E-3</v>
          </cell>
          <cell r="CE157">
            <v>2.530343691850323E-2</v>
          </cell>
          <cell r="CF157">
            <v>3.7316179760766177E-2</v>
          </cell>
          <cell r="CG157">
            <v>2.713363739163821E-2</v>
          </cell>
          <cell r="CH157">
            <v>3.01835504254091E-2</v>
          </cell>
          <cell r="CI157">
            <v>5.0569538755335319E-2</v>
          </cell>
          <cell r="CJ157">
            <v>3.6569512623740863E-2</v>
          </cell>
          <cell r="CK157">
            <v>5.9330752956981536E-2</v>
          </cell>
          <cell r="CL157">
            <v>7.0625139301667694E-2</v>
          </cell>
          <cell r="CM157">
            <v>5.4816160612007669E-2</v>
          </cell>
          <cell r="CN157">
            <v>6.391829250368275E-2</v>
          </cell>
          <cell r="CO157">
            <v>6.2204263433780493E-2</v>
          </cell>
          <cell r="CP157">
            <v>3.7608990992360036E-2</v>
          </cell>
          <cell r="CQ157">
            <v>3.6619789502220224E-2</v>
          </cell>
          <cell r="CR157">
            <v>3.7744850068371916E-2</v>
          </cell>
          <cell r="CS157">
            <v>3.4818273051297588E-2</v>
          </cell>
          <cell r="CT157">
            <v>3.6686652027043465E-2</v>
          </cell>
          <cell r="CU157">
            <v>1.9756752552028356E-2</v>
          </cell>
          <cell r="CV157">
            <v>1.8714341238973198E-2</v>
          </cell>
          <cell r="CW157">
            <v>1.9778379242177069E-2</v>
          </cell>
          <cell r="CX157">
            <v>1.7821537451871095E-2</v>
          </cell>
          <cell r="CY157">
            <v>1.9013662459252956E-2</v>
          </cell>
          <cell r="CZ157">
            <v>4.0015923781028473E-2</v>
          </cell>
          <cell r="DA157">
            <v>3.8673786306765212E-2</v>
          </cell>
          <cell r="DB157">
            <v>3.9512490880724949E-2</v>
          </cell>
          <cell r="DC157">
            <v>4.1657731082946015E-2</v>
          </cell>
          <cell r="DD157">
            <v>3.9972364174829966E-2</v>
          </cell>
          <cell r="DE157">
            <v>4.4568861946563398E-2</v>
          </cell>
          <cell r="DF157">
            <v>4.2163398344305492E-2</v>
          </cell>
          <cell r="DG157">
            <v>4.2787805693798031E-2</v>
          </cell>
          <cell r="DH157">
            <v>4.0298417987587154E-2</v>
          </cell>
          <cell r="DI157">
            <v>4.2453528289148279E-2</v>
          </cell>
        </row>
        <row r="158">
          <cell r="B158" t="str">
            <v>Same-store outpatient revenue</v>
          </cell>
          <cell r="AL158">
            <v>302.939595</v>
          </cell>
          <cell r="AM158">
            <v>301.58215999999999</v>
          </cell>
          <cell r="AN158">
            <v>329.78898800000002</v>
          </cell>
          <cell r="AO158">
            <v>314.63833499999998</v>
          </cell>
          <cell r="AP158">
            <v>1248.9490780000001</v>
          </cell>
          <cell r="AQ158">
            <v>330.30257600000004</v>
          </cell>
          <cell r="AR158">
            <v>398.65719999999999</v>
          </cell>
          <cell r="AS158">
            <v>415.45048800000001</v>
          </cell>
          <cell r="AT158">
            <v>414.01062300000001</v>
          </cell>
          <cell r="AU158">
            <v>1558.4208870000002</v>
          </cell>
          <cell r="AW158">
            <v>301.58215999999999</v>
          </cell>
          <cell r="AX158">
            <v>329.78898800000002</v>
          </cell>
          <cell r="AY158">
            <v>314.63833499999998</v>
          </cell>
          <cell r="AZ158">
            <v>330.30257600000004</v>
          </cell>
          <cell r="BA158">
            <v>1276.3120589999999</v>
          </cell>
          <cell r="BB158">
            <v>398.65719999999999</v>
          </cell>
          <cell r="BC158">
            <v>415.45048800000001</v>
          </cell>
          <cell r="BD158">
            <v>414.01062300000001</v>
          </cell>
          <cell r="BE158">
            <v>410.71788499999997</v>
          </cell>
          <cell r="BF158">
            <v>1638.8361960000002</v>
          </cell>
          <cell r="BG158">
            <v>451.62497500000001</v>
          </cell>
          <cell r="BH158">
            <v>476.835219</v>
          </cell>
          <cell r="BI158">
            <v>438.62063999999998</v>
          </cell>
          <cell r="BJ158">
            <v>478.77884999999998</v>
          </cell>
          <cell r="BK158">
            <v>1845.8596839999998</v>
          </cell>
          <cell r="BL158">
            <v>514.58609200000001</v>
          </cell>
          <cell r="BM158">
            <v>488.46929599999993</v>
          </cell>
          <cell r="BN158">
            <v>532.499775</v>
          </cell>
          <cell r="BO158">
            <v>531.22294399999998</v>
          </cell>
          <cell r="BP158">
            <v>2066.7781070000001</v>
          </cell>
          <cell r="BQ158">
            <v>534.02686500000004</v>
          </cell>
          <cell r="BR158">
            <v>539.38591199999996</v>
          </cell>
          <cell r="BS158">
            <v>543.12082799999996</v>
          </cell>
          <cell r="BT158">
            <v>525.89369799999997</v>
          </cell>
          <cell r="BU158">
            <v>2142.4273029999999</v>
          </cell>
          <cell r="BV158">
            <v>557.18278699999996</v>
          </cell>
          <cell r="BW158">
            <v>546.529269</v>
          </cell>
          <cell r="BX158">
            <v>563.19530599999996</v>
          </cell>
          <cell r="BY158">
            <v>585.92837400000008</v>
          </cell>
          <cell r="BZ158">
            <v>2228.54396</v>
          </cell>
          <cell r="CA158">
            <v>591.12957600000004</v>
          </cell>
          <cell r="CB158">
            <v>596.61072899999999</v>
          </cell>
          <cell r="CC158">
            <v>607.41932499999996</v>
          </cell>
          <cell r="CD158">
            <v>603.61535000000003</v>
          </cell>
          <cell r="CE158">
            <v>2398.7749800000001</v>
          </cell>
          <cell r="CF158">
            <v>658.48767399999997</v>
          </cell>
          <cell r="CG158">
            <v>669.01816800000006</v>
          </cell>
          <cell r="CH158">
            <v>689.84932400000002</v>
          </cell>
          <cell r="CI158">
            <v>741.46550400000001</v>
          </cell>
          <cell r="CJ158">
            <v>2758.8206700000001</v>
          </cell>
          <cell r="CK158">
            <v>803.39230000000009</v>
          </cell>
          <cell r="CL158">
            <v>815.66940000000011</v>
          </cell>
          <cell r="CM158">
            <v>819.73500000000013</v>
          </cell>
          <cell r="CN158">
            <v>938.0653807650001</v>
          </cell>
          <cell r="CO158">
            <v>3376.8620807650004</v>
          </cell>
          <cell r="CP158">
            <v>951.51237412500006</v>
          </cell>
          <cell r="CQ158">
            <v>983.7804470625</v>
          </cell>
          <cell r="CR158">
            <v>979.58207287499999</v>
          </cell>
          <cell r="CS158">
            <v>1014.2918276129393</v>
          </cell>
          <cell r="CT158">
            <v>3929.1667216754395</v>
          </cell>
          <cell r="CU158">
            <v>996.69616385939821</v>
          </cell>
          <cell r="CV158">
            <v>1015.1311434509</v>
          </cell>
          <cell r="CW158">
            <v>1011.7074389968886</v>
          </cell>
          <cell r="CX158">
            <v>1045.4285603845876</v>
          </cell>
          <cell r="CY158">
            <v>4068.9633066917741</v>
          </cell>
          <cell r="CZ158">
            <v>1048.8192649934936</v>
          </cell>
          <cell r="DA158">
            <v>1066.3425868912084</v>
          </cell>
          <cell r="DB158">
            <v>1063.466242470208</v>
          </cell>
          <cell r="DC158">
            <v>1101.0160634739905</v>
          </cell>
          <cell r="DD158">
            <v>4279.6441578289005</v>
          </cell>
          <cell r="DE158">
            <v>1108.2278343888534</v>
          </cell>
          <cell r="DF158">
            <v>1123.6469043948082</v>
          </cell>
          <cell r="DG158">
            <v>1121.1473192331164</v>
          </cell>
          <cell r="DH158">
            <v>1157.8769478696734</v>
          </cell>
          <cell r="DI158">
            <v>4510.8990058864511</v>
          </cell>
        </row>
        <row r="159">
          <cell r="B159" t="str">
            <v>% of net revenue</v>
          </cell>
          <cell r="AL159">
            <v>0.46500000000000002</v>
          </cell>
          <cell r="AM159">
            <v>0.44</v>
          </cell>
          <cell r="AN159">
            <v>0.49099999999999999</v>
          </cell>
          <cell r="AO159">
            <v>0.47899999999999998</v>
          </cell>
          <cell r="AQ159">
            <v>0.46400000000000002</v>
          </cell>
          <cell r="AR159">
            <v>0.46400000000000002</v>
          </cell>
          <cell r="AS159">
            <v>0.48899999999999999</v>
          </cell>
          <cell r="AT159">
            <v>0.50700000000000001</v>
          </cell>
          <cell r="AW159">
            <v>0.44</v>
          </cell>
          <cell r="AX159">
            <v>0.49099999999999999</v>
          </cell>
          <cell r="AY159">
            <v>0.47899999999999998</v>
          </cell>
          <cell r="AZ159">
            <v>0.46400000000000002</v>
          </cell>
          <cell r="BB159">
            <v>0.46400000000000002</v>
          </cell>
          <cell r="BC159">
            <v>0.48899999999999999</v>
          </cell>
          <cell r="BD159">
            <v>0.50700000000000001</v>
          </cell>
          <cell r="BE159">
            <v>0.48499999999999999</v>
          </cell>
          <cell r="BG159">
            <v>0.49299999999999999</v>
          </cell>
          <cell r="BH159">
            <v>0.497</v>
          </cell>
          <cell r="BI159">
            <v>0.47399999999999998</v>
          </cell>
          <cell r="BJ159">
            <v>0.495</v>
          </cell>
          <cell r="BL159">
            <v>0.48199999999999998</v>
          </cell>
          <cell r="BM159">
            <v>0.47599999999999998</v>
          </cell>
          <cell r="BN159">
            <v>0.505</v>
          </cell>
          <cell r="BO159">
            <v>0.496</v>
          </cell>
          <cell r="BQ159">
            <v>0.47099999999999997</v>
          </cell>
          <cell r="BR159">
            <v>0.48799999999999999</v>
          </cell>
          <cell r="BS159">
            <v>0.502</v>
          </cell>
          <cell r="BT159">
            <v>0.47299999999999998</v>
          </cell>
          <cell r="BV159">
            <v>0.46899999999999997</v>
          </cell>
          <cell r="BW159">
            <v>0.47299999999999998</v>
          </cell>
          <cell r="BX159">
            <v>0.502</v>
          </cell>
          <cell r="BY159">
            <v>0.498</v>
          </cell>
          <cell r="BZ159">
            <v>0.48499999999999999</v>
          </cell>
          <cell r="CA159">
            <v>0.48599999999999999</v>
          </cell>
          <cell r="CB159">
            <v>0.50700000000000001</v>
          </cell>
          <cell r="CC159">
            <v>0.51500000000000001</v>
          </cell>
          <cell r="CD159">
            <v>0.499</v>
          </cell>
          <cell r="CF159">
            <v>0.49399999999999999</v>
          </cell>
          <cell r="CG159">
            <v>0.52200000000000002</v>
          </cell>
          <cell r="CH159">
            <v>0.52700000000000002</v>
          </cell>
          <cell r="CI159">
            <v>0.52200000000000002</v>
          </cell>
          <cell r="CK159">
            <v>0.52900000000000003</v>
          </cell>
          <cell r="CL159">
            <v>0.54600000000000004</v>
          </cell>
          <cell r="CM159">
            <v>0.55500000000000005</v>
          </cell>
          <cell r="CN159">
            <v>0.55671333426006475</v>
          </cell>
          <cell r="CO159">
            <v>0.54689513950890722</v>
          </cell>
          <cell r="CP159">
            <v>0.54373806019203452</v>
          </cell>
          <cell r="CQ159">
            <v>0.56270631325695974</v>
          </cell>
          <cell r="CR159">
            <v>0.56721553468679553</v>
          </cell>
          <cell r="CS159">
            <v>0.57160559786713083</v>
          </cell>
          <cell r="CT159">
            <v>0.56133274819686563</v>
          </cell>
          <cell r="CU159">
            <v>0.55104485459675989</v>
          </cell>
          <cell r="CV159">
            <v>0.56997175257051669</v>
          </cell>
          <cell r="CW159">
            <v>0.57445555218909894</v>
          </cell>
          <cell r="CX159">
            <v>0.57883698280942031</v>
          </cell>
          <cell r="CY159">
            <v>0.56852900125735095</v>
          </cell>
          <cell r="CZ159">
            <v>0.55755129888568544</v>
          </cell>
          <cell r="DA159">
            <v>0.57643290492625732</v>
          </cell>
          <cell r="DB159">
            <v>0.58089211902018278</v>
          </cell>
          <cell r="DC159">
            <v>0.58523531405860885</v>
          </cell>
          <cell r="DD159">
            <v>0.57498261173435317</v>
          </cell>
          <cell r="DE159">
            <v>0.56399616906746275</v>
          </cell>
          <cell r="DF159">
            <v>0.58283557625169968</v>
          </cell>
          <cell r="DG159">
            <v>0.58727094478386477</v>
          </cell>
          <cell r="DH159">
            <v>0.59161794512417054</v>
          </cell>
          <cell r="DI159">
            <v>0.58137111650974516</v>
          </cell>
        </row>
        <row r="160">
          <cell r="B160" t="str">
            <v>y/y change - reported</v>
          </cell>
          <cell r="AL160">
            <v>0.11456446236445861</v>
          </cell>
          <cell r="AM160">
            <v>6.5078989178552815E-2</v>
          </cell>
          <cell r="AN160">
            <v>6.8386153267365968E-2</v>
          </cell>
          <cell r="AO160">
            <v>1.8074855689455216E-2</v>
          </cell>
          <cell r="AP160">
            <v>6.5031504400453466E-2</v>
          </cell>
          <cell r="AQ160">
            <v>-7.6979254374901718E-2</v>
          </cell>
          <cell r="AR160">
            <v>3.0300740969916085E-2</v>
          </cell>
          <cell r="AS160">
            <v>4.3727262169537262E-2</v>
          </cell>
          <cell r="AT160">
            <v>5.8685099282168585E-2</v>
          </cell>
          <cell r="AU160">
            <v>1.5993496722178202E-2</v>
          </cell>
          <cell r="BB160">
            <v>3.0300740969916085E-2</v>
          </cell>
          <cell r="BC160">
            <v>4.3727262169537262E-2</v>
          </cell>
          <cell r="BD160">
            <v>5.8685099282168585E-2</v>
          </cell>
          <cell r="BE160">
            <v>6.7407685626483804E-2</v>
          </cell>
          <cell r="BF160">
            <v>4.998425433207121E-2</v>
          </cell>
          <cell r="BG160">
            <v>6.7813892638640905E-2</v>
          </cell>
          <cell r="BH160">
            <v>2.4871385132078538E-2</v>
          </cell>
          <cell r="BI160">
            <v>-2.7415947414069941E-2</v>
          </cell>
          <cell r="BJ160">
            <v>5.6283322103613198E-2</v>
          </cell>
          <cell r="BK160">
            <v>2.9791704031067345E-2</v>
          </cell>
          <cell r="BL160">
            <v>8.7272200067260997E-3</v>
          </cell>
          <cell r="BM160">
            <v>-4.0258041380733078E-2</v>
          </cell>
          <cell r="BN160">
            <v>9.317192415522757E-2</v>
          </cell>
          <cell r="BO160">
            <v>9.2263546407302943E-3</v>
          </cell>
          <cell r="BP160">
            <v>1.6828017272629392E-2</v>
          </cell>
          <cell r="BQ160">
            <v>-3.9100131018043771E-2</v>
          </cell>
          <cell r="BR160">
            <v>2.0218541626233266E-2</v>
          </cell>
          <cell r="BS160">
            <v>6.9442785117304062E-3</v>
          </cell>
          <cell r="BT160">
            <v>-2.8930488707786917E-2</v>
          </cell>
          <cell r="BU160">
            <v>-1.0604446907717446E-2</v>
          </cell>
          <cell r="BV160">
            <v>2.638127279527458E-2</v>
          </cell>
          <cell r="BW160">
            <v>1.3243499396402569E-2</v>
          </cell>
          <cell r="BX160">
            <v>3.6961348129333826E-2</v>
          </cell>
          <cell r="BY160">
            <v>0.11415743567248482</v>
          </cell>
          <cell r="BZ160">
            <v>3.5924083346711155E-2</v>
          </cell>
          <cell r="CA160">
            <v>6.092576761528723E-2</v>
          </cell>
          <cell r="CB160">
            <v>9.1635458228313205E-2</v>
          </cell>
          <cell r="CC160">
            <v>7.8523415463267465E-2</v>
          </cell>
          <cell r="CD160">
            <v>-9.347047655062779E-4</v>
          </cell>
          <cell r="CE160">
            <v>5.6223083109276484E-2</v>
          </cell>
          <cell r="CF160">
            <v>6.3141478841947096E-2</v>
          </cell>
          <cell r="CG160">
            <v>6.8055296251862796E-2</v>
          </cell>
          <cell r="CH160">
            <v>3.01835504254091E-2</v>
          </cell>
          <cell r="CI160">
            <v>8.8089879425168771E-2</v>
          </cell>
          <cell r="CJ160">
            <v>6.2374734521953856E-2</v>
          </cell>
          <cell r="CK160">
            <v>0.12753715958600265</v>
          </cell>
          <cell r="CL160">
            <v>0.11557504973036381</v>
          </cell>
          <cell r="CM160">
            <v>0.10249146730633596</v>
          </cell>
          <cell r="CN160">
            <v>0.13250000000000001</v>
          </cell>
          <cell r="CO160">
            <v>0.1198245136341245</v>
          </cell>
          <cell r="CP160">
            <v>6.25E-2</v>
          </cell>
          <cell r="CQ160">
            <v>6.25E-2</v>
          </cell>
          <cell r="CR160">
            <v>6.25E-2</v>
          </cell>
          <cell r="CS160">
            <v>6.25E-2</v>
          </cell>
          <cell r="CT160">
            <v>6.25E-2</v>
          </cell>
          <cell r="CU160">
            <v>3.3460323221877392E-2</v>
          </cell>
          <cell r="CV160">
            <v>3.1867574195046239E-2</v>
          </cell>
          <cell r="CW160">
            <v>3.279497145920926E-2</v>
          </cell>
          <cell r="CX160">
            <v>3.069800221591687E-2</v>
          </cell>
          <cell r="CY160">
            <v>3.2186761804407826E-2</v>
          </cell>
          <cell r="CZ160">
            <v>5.2295878146319558E-2</v>
          </cell>
          <cell r="DA160">
            <v>5.0448105912913738E-2</v>
          </cell>
          <cell r="DB160">
            <v>5.1159852619684504E-2</v>
          </cell>
          <cell r="DC160">
            <v>5.3171976733592891E-2</v>
          </cell>
          <cell r="DD160">
            <v>5.1777525442572303E-2</v>
          </cell>
          <cell r="DE160">
            <v>5.664328581505243E-2</v>
          </cell>
          <cell r="DF160">
            <v>5.3739124937946553E-2</v>
          </cell>
          <cell r="DG160">
            <v>5.4238747276949134E-2</v>
          </cell>
          <cell r="DH160">
            <v>5.164400982150244E-2</v>
          </cell>
          <cell r="DI160">
            <v>5.4035999145982228E-2</v>
          </cell>
        </row>
        <row r="161">
          <cell r="B161" t="str">
            <v>Same-store inpatient revenue</v>
          </cell>
          <cell r="AL161">
            <v>348.54340500000001</v>
          </cell>
          <cell r="AM161">
            <v>383.83184000000006</v>
          </cell>
          <cell r="AN161">
            <v>341.87901199999999</v>
          </cell>
          <cell r="AO161">
            <v>342.22666500000003</v>
          </cell>
          <cell r="AP161">
            <v>1416.4809220000002</v>
          </cell>
          <cell r="AQ161">
            <v>381.55642400000005</v>
          </cell>
          <cell r="AR161">
            <v>460.51780000000002</v>
          </cell>
          <cell r="AS161">
            <v>434.14151199999998</v>
          </cell>
          <cell r="AT161">
            <v>402.57837700000005</v>
          </cell>
          <cell r="AU161">
            <v>1678.7941130000002</v>
          </cell>
          <cell r="AW161">
            <v>383.83184000000006</v>
          </cell>
          <cell r="AX161">
            <v>341.87901199999999</v>
          </cell>
          <cell r="AY161">
            <v>342.22666500000003</v>
          </cell>
          <cell r="AZ161">
            <v>381.55642400000005</v>
          </cell>
          <cell r="BA161">
            <v>1449.4939410000002</v>
          </cell>
          <cell r="BB161">
            <v>460.51780000000002</v>
          </cell>
          <cell r="BC161">
            <v>434.14151199999998</v>
          </cell>
          <cell r="BD161">
            <v>402.57837700000005</v>
          </cell>
          <cell r="BE161">
            <v>436.12311500000004</v>
          </cell>
          <cell r="BF161">
            <v>1733.3608040000001</v>
          </cell>
          <cell r="BG161">
            <v>464.45002500000004</v>
          </cell>
          <cell r="BH161">
            <v>482.59178100000003</v>
          </cell>
          <cell r="BI161">
            <v>486.73936000000003</v>
          </cell>
          <cell r="BJ161">
            <v>488.45115000000004</v>
          </cell>
          <cell r="BK161">
            <v>1922.2323160000003</v>
          </cell>
          <cell r="BL161">
            <v>553.01990799999999</v>
          </cell>
          <cell r="BM161">
            <v>537.72670399999993</v>
          </cell>
          <cell r="BN161">
            <v>521.95522499999993</v>
          </cell>
          <cell r="BO161">
            <v>539.79105599999991</v>
          </cell>
          <cell r="BP161">
            <v>2152.4928929999996</v>
          </cell>
          <cell r="BQ161">
            <v>599.78813500000001</v>
          </cell>
          <cell r="BR161">
            <v>565.91308800000002</v>
          </cell>
          <cell r="BS161">
            <v>538.79317200000003</v>
          </cell>
          <cell r="BT161">
            <v>585.93230200000005</v>
          </cell>
          <cell r="BU161">
            <v>2290.4266970000003</v>
          </cell>
          <cell r="BV161">
            <v>630.84021299999995</v>
          </cell>
          <cell r="BW161">
            <v>608.92373099999998</v>
          </cell>
          <cell r="BX161">
            <v>558.70769400000006</v>
          </cell>
          <cell r="BY161">
            <v>590.63462600000003</v>
          </cell>
          <cell r="BZ161">
            <v>2366.3920399999997</v>
          </cell>
          <cell r="CA161">
            <v>625.18642399999999</v>
          </cell>
          <cell r="CB161">
            <v>580.13627100000008</v>
          </cell>
          <cell r="CC161">
            <v>572.03567499999997</v>
          </cell>
          <cell r="CD161">
            <v>606.03465000000006</v>
          </cell>
          <cell r="CE161">
            <v>2383.39302</v>
          </cell>
          <cell r="CF161">
            <v>674.48332600000003</v>
          </cell>
          <cell r="CG161">
            <v>612.62583199999995</v>
          </cell>
          <cell r="CH161">
            <v>619.16267599999992</v>
          </cell>
          <cell r="CI161">
            <v>678.96649600000001</v>
          </cell>
          <cell r="CJ161">
            <v>2585.2383300000001</v>
          </cell>
          <cell r="CK161">
            <v>715.30769999999995</v>
          </cell>
          <cell r="CL161">
            <v>678.23060000000009</v>
          </cell>
          <cell r="CM161">
            <v>657.26499999999999</v>
          </cell>
          <cell r="CN161">
            <v>746.94074902672742</v>
          </cell>
          <cell r="CO161">
            <v>2797.7440490267272</v>
          </cell>
          <cell r="CP161">
            <v>798.43386614545295</v>
          </cell>
          <cell r="CQ161">
            <v>764.52132934436383</v>
          </cell>
          <cell r="CR161">
            <v>747.41941592573357</v>
          </cell>
          <cell r="CS161">
            <v>760.16914932226291</v>
          </cell>
          <cell r="CT161">
            <v>3070.543760737813</v>
          </cell>
          <cell r="CU161">
            <v>812.04255413254123</v>
          </cell>
          <cell r="CV161">
            <v>765.88894898834462</v>
          </cell>
          <cell r="CW161">
            <v>749.45134020115006</v>
          </cell>
          <cell r="CX161">
            <v>760.65603930794907</v>
          </cell>
          <cell r="CY161">
            <v>3088.038882629985</v>
          </cell>
          <cell r="CZ161">
            <v>832.2978036774067</v>
          </cell>
          <cell r="DA161">
            <v>783.55629601108694</v>
          </cell>
          <cell r="DB161">
            <v>767.28030693040182</v>
          </cell>
          <cell r="DC161">
            <v>780.30592278558822</v>
          </cell>
          <cell r="DD161">
            <v>3163.4403294044837</v>
          </cell>
          <cell r="DE161">
            <v>856.72848122096434</v>
          </cell>
          <cell r="DF161">
            <v>804.25000200398233</v>
          </cell>
          <cell r="DG161">
            <v>787.93285779783798</v>
          </cell>
          <cell r="DH161">
            <v>799.25933816143174</v>
          </cell>
          <cell r="DI161">
            <v>3248.1706791842162</v>
          </cell>
        </row>
        <row r="162">
          <cell r="B162" t="str">
            <v>% of net revenue</v>
          </cell>
          <cell r="AL162">
            <v>0.53500000000000003</v>
          </cell>
          <cell r="AM162">
            <v>0.56000000000000005</v>
          </cell>
          <cell r="AN162">
            <v>0.50900000000000001</v>
          </cell>
          <cell r="AO162">
            <v>0.52100000000000002</v>
          </cell>
          <cell r="AQ162">
            <v>0.53600000000000003</v>
          </cell>
          <cell r="AR162">
            <v>0.53600000000000003</v>
          </cell>
          <cell r="AS162">
            <v>0.51100000000000001</v>
          </cell>
          <cell r="AT162">
            <v>0.49299999999999999</v>
          </cell>
          <cell r="AW162">
            <v>0.56000000000000005</v>
          </cell>
          <cell r="AX162">
            <v>0.50900000000000001</v>
          </cell>
          <cell r="AY162">
            <v>0.52100000000000002</v>
          </cell>
          <cell r="AZ162">
            <v>0.53600000000000003</v>
          </cell>
          <cell r="BB162">
            <v>0.53600000000000003</v>
          </cell>
          <cell r="BC162">
            <v>0.51100000000000001</v>
          </cell>
          <cell r="BD162">
            <v>0.49299999999999999</v>
          </cell>
          <cell r="BE162">
            <v>0.51500000000000001</v>
          </cell>
          <cell r="BG162">
            <v>0.50700000000000001</v>
          </cell>
          <cell r="BH162">
            <v>0.503</v>
          </cell>
          <cell r="BI162">
            <v>0.52600000000000002</v>
          </cell>
          <cell r="BJ162">
            <v>0.505</v>
          </cell>
          <cell r="BL162">
            <v>0.51800000000000002</v>
          </cell>
          <cell r="BM162">
            <v>0.52400000000000002</v>
          </cell>
          <cell r="BN162">
            <v>0.495</v>
          </cell>
          <cell r="BO162">
            <v>0.504</v>
          </cell>
          <cell r="BQ162">
            <v>0.52900000000000003</v>
          </cell>
          <cell r="BR162">
            <v>0.51200000000000001</v>
          </cell>
          <cell r="BS162">
            <v>0.498</v>
          </cell>
          <cell r="BT162">
            <v>0.52700000000000002</v>
          </cell>
          <cell r="BV162">
            <v>0.53100000000000003</v>
          </cell>
          <cell r="BW162">
            <v>0.52700000000000002</v>
          </cell>
          <cell r="BX162">
            <v>0.498</v>
          </cell>
          <cell r="BY162">
            <v>0.502</v>
          </cell>
          <cell r="BZ162">
            <v>0.51500000000000001</v>
          </cell>
          <cell r="CA162">
            <v>0.51400000000000001</v>
          </cell>
          <cell r="CB162">
            <v>0.49299999999999999</v>
          </cell>
          <cell r="CC162">
            <v>0.48499999999999999</v>
          </cell>
          <cell r="CD162">
            <v>0.501</v>
          </cell>
          <cell r="CF162">
            <v>0.50600000000000001</v>
          </cell>
          <cell r="CG162">
            <v>0.47799999999999998</v>
          </cell>
          <cell r="CH162">
            <v>0.47299999999999998</v>
          </cell>
          <cell r="CI162">
            <v>0.47799999999999998</v>
          </cell>
          <cell r="CK162">
            <v>0.47099999999999997</v>
          </cell>
          <cell r="CL162">
            <v>0.45400000000000001</v>
          </cell>
          <cell r="CM162">
            <v>0.44500000000000001</v>
          </cell>
          <cell r="CN162">
            <v>0.44328666573993519</v>
          </cell>
          <cell r="CO162">
            <v>0.45310486049109283</v>
          </cell>
          <cell r="CP162">
            <v>0.45626193980796548</v>
          </cell>
          <cell r="CQ162">
            <v>0.4372936867430402</v>
          </cell>
          <cell r="CR162">
            <v>0.43278446531320447</v>
          </cell>
          <cell r="CS162">
            <v>0.42839440213286917</v>
          </cell>
          <cell r="CT162">
            <v>0.43866725180313432</v>
          </cell>
          <cell r="CU162">
            <v>0.44895514540324011</v>
          </cell>
          <cell r="CV162">
            <v>0.4300282474294832</v>
          </cell>
          <cell r="CW162">
            <v>0.42554444781090112</v>
          </cell>
          <cell r="CX162">
            <v>0.42116301719057969</v>
          </cell>
          <cell r="CY162">
            <v>0.43147099874264899</v>
          </cell>
          <cell r="CZ162">
            <v>0.44244870111431461</v>
          </cell>
          <cell r="DA162">
            <v>0.42356709507374268</v>
          </cell>
          <cell r="DB162">
            <v>0.41910788097981722</v>
          </cell>
          <cell r="DC162">
            <v>0.41476468594139104</v>
          </cell>
          <cell r="DD162">
            <v>0.42501738826564678</v>
          </cell>
          <cell r="DE162">
            <v>0.43600383093253731</v>
          </cell>
          <cell r="DF162">
            <v>0.41716442374830032</v>
          </cell>
          <cell r="DG162">
            <v>0.41272905521613523</v>
          </cell>
          <cell r="DH162">
            <v>0.4083820548758294</v>
          </cell>
          <cell r="DI162">
            <v>0.41862888349025473</v>
          </cell>
        </row>
        <row r="163">
          <cell r="B163" t="str">
            <v>y/y change - reported</v>
          </cell>
          <cell r="AL163" t="str">
            <v>NM</v>
          </cell>
          <cell r="AM163" t="str">
            <v>NM</v>
          </cell>
          <cell r="AN163" t="str">
            <v>NM</v>
          </cell>
          <cell r="AO163" t="str">
            <v>NM</v>
          </cell>
          <cell r="AP163" t="str">
            <v>NM</v>
          </cell>
          <cell r="AQ163">
            <v>9.4717095565185261E-2</v>
          </cell>
          <cell r="AR163">
            <v>0.19979051242856749</v>
          </cell>
          <cell r="AS163">
            <v>0.26986886226288731</v>
          </cell>
          <cell r="AT163">
            <v>0.17635011579240922</v>
          </cell>
          <cell r="AU163">
            <v>0.18518653299588883</v>
          </cell>
          <cell r="AW163" t="str">
            <v>NM</v>
          </cell>
          <cell r="AX163" t="str">
            <v>NM</v>
          </cell>
          <cell r="AY163" t="str">
            <v>NM</v>
          </cell>
          <cell r="AZ163">
            <v>9.4717095565185261E-2</v>
          </cell>
          <cell r="BB163">
            <v>0.19979051242856749</v>
          </cell>
          <cell r="BC163">
            <v>0.26986886226288731</v>
          </cell>
          <cell r="BD163">
            <v>0.17635011579240922</v>
          </cell>
          <cell r="BE163">
            <v>0.14301080408490252</v>
          </cell>
          <cell r="BF163">
            <v>0.19583859923150926</v>
          </cell>
          <cell r="BG163">
            <v>-6.0776896270414271E-2</v>
          </cell>
          <cell r="BH163">
            <v>2.8979184859254659E-2</v>
          </cell>
          <cell r="BI163">
            <v>7.0681188355351754E-2</v>
          </cell>
          <cell r="BJ163">
            <v>1.0793084286919941E-2</v>
          </cell>
          <cell r="BK163">
            <v>1.0984094938821132E-2</v>
          </cell>
          <cell r="BL163">
            <v>5.8358723459404738E-2</v>
          </cell>
          <cell r="BM163">
            <v>4.8104153075157141E-2</v>
          </cell>
          <cell r="BN163">
            <v>2.9504368875365783E-2</v>
          </cell>
          <cell r="BO163">
            <v>2.5504199070419453E-2</v>
          </cell>
          <cell r="BP163">
            <v>4.0386366561516507E-2</v>
          </cell>
          <cell r="BQ163">
            <v>2.0436652358369223E-2</v>
          </cell>
          <cell r="BR163">
            <v>-7.9785342107466795E-3</v>
          </cell>
          <cell r="BS163">
            <v>1.5032444223976205E-2</v>
          </cell>
          <cell r="BT163">
            <v>5.6273113466278613E-2</v>
          </cell>
          <cell r="BU163">
            <v>2.0793461272635483E-2</v>
          </cell>
          <cell r="BV163">
            <v>3.4655171512291361E-2</v>
          </cell>
          <cell r="BW163">
            <v>7.6002205836949832E-2</v>
          </cell>
          <cell r="BX163">
            <v>3.6961348129333826E-2</v>
          </cell>
          <cell r="BY163">
            <v>8.0253708217643549E-3</v>
          </cell>
          <cell r="BZ163">
            <v>2.8709941706023034E-2</v>
          </cell>
          <cell r="CA163">
            <v>-8.9623154698921237E-3</v>
          </cell>
          <cell r="CB163">
            <v>-4.7275969935880013E-2</v>
          </cell>
          <cell r="CC163">
            <v>2.3855016036345988E-2</v>
          </cell>
          <cell r="CD163">
            <v>1.9248106325112424E-2</v>
          </cell>
          <cell r="CE163">
            <v>-4.0402378984686349E-3</v>
          </cell>
          <cell r="CF163">
            <v>1.3285689109937548E-2</v>
          </cell>
          <cell r="CG163">
            <v>-1.4116709491560187E-2</v>
          </cell>
          <cell r="CH163">
            <v>3.01835504254091E-2</v>
          </cell>
          <cell r="CI163">
            <v>1.2444031300504754E-2</v>
          </cell>
          <cell r="CJ163">
            <v>1.0379407870314994E-2</v>
          </cell>
          <cell r="CK163">
            <v>-8.0620583643374877E-3</v>
          </cell>
          <cell r="CL163">
            <v>2.1142464796128468E-2</v>
          </cell>
          <cell r="CM163">
            <v>8.3836134828008113E-4</v>
          </cell>
          <cell r="CN163">
            <v>-1.1277164562510045E-2</v>
          </cell>
          <cell r="CO163">
            <v>9.2927794699937394E-5</v>
          </cell>
          <cell r="CP163">
            <v>9.4274861244350028E-3</v>
          </cell>
          <cell r="CQ163">
            <v>5.115941246607747E-3</v>
          </cell>
          <cell r="CR163">
            <v>6.9951795254974414E-3</v>
          </cell>
          <cell r="CS163">
            <v>5.3440948881267047E-5</v>
          </cell>
          <cell r="CT163">
            <v>5.4293058405623373E-3</v>
          </cell>
          <cell r="CU163">
            <v>3.4258858203781717E-3</v>
          </cell>
          <cell r="CV163">
            <v>1.7888574085351827E-3</v>
          </cell>
          <cell r="CW163">
            <v>2.7185864216543454E-3</v>
          </cell>
          <cell r="CX163">
            <v>6.4050216470912247E-4</v>
          </cell>
          <cell r="CY163">
            <v>2.1610125531563718E-3</v>
          </cell>
          <cell r="CZ163">
            <v>2.4943581394577308E-2</v>
          </cell>
          <cell r="DA163">
            <v>2.3067765954945418E-2</v>
          </cell>
          <cell r="DB163">
            <v>2.3789358658650839E-2</v>
          </cell>
          <cell r="DC163">
            <v>2.5832810708394049E-2</v>
          </cell>
          <cell r="DD163">
            <v>2.4417259510113976E-2</v>
          </cell>
          <cell r="DE163">
            <v>2.9353288493149554E-2</v>
          </cell>
          <cell r="DF163">
            <v>2.6409979854979726E-2</v>
          </cell>
          <cell r="DG163">
            <v>2.6916565798566161E-2</v>
          </cell>
          <cell r="DH163">
            <v>2.4289723840852373E-2</v>
          </cell>
          <cell r="DI163">
            <v>2.6784241508257756E-2</v>
          </cell>
        </row>
        <row r="164">
          <cell r="B164" t="str">
            <v>Net revenue</v>
          </cell>
          <cell r="AL164">
            <v>651483</v>
          </cell>
          <cell r="AM164">
            <v>685414</v>
          </cell>
          <cell r="AN164">
            <v>671668</v>
          </cell>
          <cell r="AO164">
            <v>656865</v>
          </cell>
          <cell r="AP164">
            <v>2665430</v>
          </cell>
          <cell r="AQ164">
            <v>711859</v>
          </cell>
          <cell r="AR164">
            <v>859175</v>
          </cell>
          <cell r="AS164">
            <v>849592</v>
          </cell>
          <cell r="AT164">
            <v>816589</v>
          </cell>
          <cell r="AU164">
            <v>3237215</v>
          </cell>
          <cell r="AW164">
            <v>685414</v>
          </cell>
          <cell r="AX164">
            <v>671668</v>
          </cell>
          <cell r="AY164">
            <v>656865</v>
          </cell>
          <cell r="AZ164">
            <v>711859</v>
          </cell>
          <cell r="BA164">
            <v>2725806</v>
          </cell>
          <cell r="BB164">
            <v>859175</v>
          </cell>
          <cell r="BC164">
            <v>849592</v>
          </cell>
          <cell r="BD164">
            <v>816589</v>
          </cell>
          <cell r="BE164">
            <v>846841</v>
          </cell>
          <cell r="BF164">
            <v>3372197</v>
          </cell>
          <cell r="BG164">
            <v>916075</v>
          </cell>
          <cell r="BH164">
            <v>959427</v>
          </cell>
          <cell r="BI164">
            <v>925360</v>
          </cell>
          <cell r="BJ164">
            <v>967230</v>
          </cell>
          <cell r="BK164">
            <v>3768092</v>
          </cell>
          <cell r="BL164">
            <v>1067606</v>
          </cell>
          <cell r="BM164">
            <v>1026196</v>
          </cell>
          <cell r="BN164">
            <v>1054455</v>
          </cell>
          <cell r="BO164">
            <v>1071014</v>
          </cell>
          <cell r="BP164">
            <v>4219271</v>
          </cell>
          <cell r="BQ164">
            <v>1133815</v>
          </cell>
          <cell r="BR164">
            <v>1105299</v>
          </cell>
          <cell r="BS164">
            <v>1081914</v>
          </cell>
          <cell r="BT164">
            <v>1111826</v>
          </cell>
          <cell r="BU164">
            <v>4432854</v>
          </cell>
          <cell r="BV164">
            <v>1188023</v>
          </cell>
          <cell r="BW164">
            <v>1155453</v>
          </cell>
          <cell r="BX164">
            <v>1121903</v>
          </cell>
          <cell r="BY164">
            <v>1176563</v>
          </cell>
          <cell r="BZ164">
            <v>4594936</v>
          </cell>
          <cell r="CA164">
            <v>1216316</v>
          </cell>
          <cell r="CB164">
            <v>1176747</v>
          </cell>
          <cell r="CC164">
            <v>1179455</v>
          </cell>
          <cell r="CD164">
            <v>1209650</v>
          </cell>
          <cell r="CE164">
            <v>4782168</v>
          </cell>
          <cell r="CF164">
            <v>1332971</v>
          </cell>
          <cell r="CG164">
            <v>1281644</v>
          </cell>
          <cell r="CH164">
            <v>1309012</v>
          </cell>
          <cell r="CI164">
            <v>1420432</v>
          </cell>
          <cell r="CJ164">
            <v>5344059</v>
          </cell>
          <cell r="CK164">
            <v>1325992</v>
          </cell>
          <cell r="CL164">
            <v>1299430</v>
          </cell>
          <cell r="CM164">
            <v>1274050</v>
          </cell>
          <cell r="CO164">
            <v>3899472</v>
          </cell>
          <cell r="CT164">
            <v>0</v>
          </cell>
          <cell r="CY164">
            <v>0</v>
          </cell>
          <cell r="DD164">
            <v>0</v>
          </cell>
          <cell r="DI164">
            <v>0</v>
          </cell>
        </row>
        <row r="165">
          <cell r="B165" t="str">
            <v>y/y change - restated</v>
          </cell>
          <cell r="AL165">
            <v>6.9023118740964673E-2</v>
          </cell>
          <cell r="AM165">
            <v>6.0237721045923065E-2</v>
          </cell>
          <cell r="AN165">
            <v>3.7923004294365681E-2</v>
          </cell>
          <cell r="AO165">
            <v>-1.0538994278831426E-3</v>
          </cell>
          <cell r="AP165">
            <v>4.0949380139468694E-2</v>
          </cell>
          <cell r="AQ165">
            <v>-5.9075834739932276E-2</v>
          </cell>
          <cell r="AR165">
            <v>3.0300740969916307E-2</v>
          </cell>
          <cell r="AS165">
            <v>3.9458439011379687E-2</v>
          </cell>
          <cell r="AT165">
            <v>3.4100709038435539E-2</v>
          </cell>
          <cell r="AU165">
            <v>1.9649228683596531E-2</v>
          </cell>
          <cell r="AW165">
            <v>6.0237721045923065E-2</v>
          </cell>
          <cell r="AX165">
            <v>3.7923004294365681E-2</v>
          </cell>
          <cell r="AY165">
            <v>-1.0538994278831426E-3</v>
          </cell>
          <cell r="AZ165">
            <v>-5.9075834739932276E-2</v>
          </cell>
          <cell r="BB165">
            <v>3.0300740969916307E-2</v>
          </cell>
          <cell r="BC165">
            <v>3.9458439011379687E-2</v>
          </cell>
          <cell r="BD165">
            <v>3.4100709038435539E-2</v>
          </cell>
          <cell r="BE165">
            <v>3.9147763388134971E-2</v>
          </cell>
          <cell r="BF165">
            <v>3.5735708711128078E-2</v>
          </cell>
          <cell r="BG165">
            <v>8.7165353203568774E-3</v>
          </cell>
          <cell r="BH165">
            <v>1.5392381913951203E-2</v>
          </cell>
          <cell r="BI165">
            <v>2.5094521256620261E-2</v>
          </cell>
          <cell r="BJ165">
            <v>5.4562542385077739E-2</v>
          </cell>
          <cell r="BK165">
            <v>4.6931562409961991E-2</v>
          </cell>
          <cell r="BL165">
            <v>5.7570711518401874E-2</v>
          </cell>
          <cell r="BM165">
            <v>2.9422209203644245E-2</v>
          </cell>
          <cell r="BN165">
            <v>6.5913570887035533E-2</v>
          </cell>
          <cell r="BO165">
            <v>2.5287215476943681E-2</v>
          </cell>
          <cell r="BP165">
            <v>4.1685995914009011E-2</v>
          </cell>
          <cell r="BQ165">
            <v>2.3912344581951572E-2</v>
          </cell>
          <cell r="BR165">
            <v>3.8713321254313593E-2</v>
          </cell>
          <cell r="BS165">
            <v>3.3528337358236682E-2</v>
          </cell>
          <cell r="BT165">
            <v>3.2831916528175631E-2</v>
          </cell>
          <cell r="BU165">
            <v>3.2652508789948964E-2</v>
          </cell>
          <cell r="BV165">
            <v>3.0818981973164572E-2</v>
          </cell>
          <cell r="BW165">
            <v>4.5311647624725504E-2</v>
          </cell>
          <cell r="BX165">
            <v>5.8175442170711023E-2</v>
          </cell>
          <cell r="BY165">
            <v>7.9496806181749369E-2</v>
          </cell>
          <cell r="BZ165">
            <v>5.3771775768920005E-2</v>
          </cell>
          <cell r="CA165">
            <v>4.4312508317556842E-2</v>
          </cell>
          <cell r="CB165">
            <v>3.9745000066268243E-2</v>
          </cell>
          <cell r="CC165">
            <v>5.129855254866067E-2</v>
          </cell>
          <cell r="CD165">
            <v>2.1230863265743638E-2</v>
          </cell>
          <cell r="CE165">
            <v>4.9455441296749614E-2</v>
          </cell>
          <cell r="CF165">
            <v>4.8144123345579048E-2</v>
          </cell>
          <cell r="CG165">
            <v>4.1901437361647531E-2</v>
          </cell>
          <cell r="CH165">
            <v>4.6906415901954768E-2</v>
          </cell>
          <cell r="CI165">
            <v>5.4868408056446549E-2</v>
          </cell>
          <cell r="CJ165">
            <v>4.9466769150887879E-2</v>
          </cell>
          <cell r="CK165">
            <v>5.6769422040868323E-2</v>
          </cell>
          <cell r="CL165">
            <v>6.1135128690491092E-2</v>
          </cell>
          <cell r="CM165">
            <v>4.4626941790161245E-2</v>
          </cell>
        </row>
        <row r="166">
          <cell r="B166" t="str">
            <v>Same-Store EBITDA</v>
          </cell>
          <cell r="AL166">
            <v>151675</v>
          </cell>
          <cell r="AM166">
            <v>177688</v>
          </cell>
          <cell r="AN166">
            <v>169752</v>
          </cell>
          <cell r="AO166">
            <v>155596</v>
          </cell>
          <cell r="AP166">
            <v>654711</v>
          </cell>
          <cell r="AQ166">
            <v>164962</v>
          </cell>
          <cell r="AR166">
            <v>215556</v>
          </cell>
          <cell r="AS166">
            <v>205982</v>
          </cell>
          <cell r="AT166">
            <v>171230</v>
          </cell>
          <cell r="AU166">
            <v>757730</v>
          </cell>
          <cell r="AW166">
            <v>177688</v>
          </cell>
          <cell r="AX166">
            <v>169752</v>
          </cell>
          <cell r="AY166">
            <v>155596</v>
          </cell>
          <cell r="AZ166">
            <v>164962</v>
          </cell>
          <cell r="BA166">
            <v>667998</v>
          </cell>
          <cell r="BB166">
            <v>215556</v>
          </cell>
          <cell r="BC166">
            <v>205982</v>
          </cell>
          <cell r="BD166">
            <v>171230</v>
          </cell>
          <cell r="BE166">
            <v>175959</v>
          </cell>
          <cell r="BF166">
            <v>768727</v>
          </cell>
          <cell r="BG166">
            <v>204236</v>
          </cell>
          <cell r="BH166">
            <v>191291</v>
          </cell>
          <cell r="BI166">
            <v>184743</v>
          </cell>
          <cell r="BJ166">
            <v>201774</v>
          </cell>
          <cell r="BK166">
            <v>782044</v>
          </cell>
          <cell r="BL166">
            <v>214787</v>
          </cell>
          <cell r="BM166">
            <v>164275</v>
          </cell>
          <cell r="BN166">
            <v>168355</v>
          </cell>
          <cell r="BO166">
            <v>170802</v>
          </cell>
          <cell r="BP166">
            <v>718219</v>
          </cell>
          <cell r="BQ166">
            <v>202080</v>
          </cell>
          <cell r="BR166">
            <v>183508</v>
          </cell>
          <cell r="BS166">
            <v>160100</v>
          </cell>
          <cell r="BT166">
            <v>175474</v>
          </cell>
          <cell r="BU166">
            <v>721162</v>
          </cell>
          <cell r="BV166">
            <v>214133</v>
          </cell>
          <cell r="BW166">
            <v>200133</v>
          </cell>
          <cell r="BX166">
            <v>180094</v>
          </cell>
          <cell r="BY166">
            <v>200284</v>
          </cell>
          <cell r="BZ166">
            <v>794644</v>
          </cell>
          <cell r="CA166">
            <v>227178</v>
          </cell>
          <cell r="CB166">
            <v>209989</v>
          </cell>
          <cell r="CC166">
            <v>197461</v>
          </cell>
          <cell r="CD166">
            <v>209608</v>
          </cell>
          <cell r="CE166">
            <v>844236</v>
          </cell>
          <cell r="CF166">
            <v>243369</v>
          </cell>
          <cell r="CG166">
            <v>225503</v>
          </cell>
          <cell r="CH166">
            <v>216559</v>
          </cell>
          <cell r="CI166">
            <v>271554</v>
          </cell>
          <cell r="CJ166">
            <v>956985</v>
          </cell>
          <cell r="CK166">
            <v>263993</v>
          </cell>
          <cell r="CL166">
            <v>255397</v>
          </cell>
          <cell r="CM166">
            <v>259577</v>
          </cell>
          <cell r="CO166">
            <v>778967</v>
          </cell>
          <cell r="CT166">
            <v>0</v>
          </cell>
          <cell r="CY166">
            <v>0</v>
          </cell>
          <cell r="DD166">
            <v>0</v>
          </cell>
          <cell r="DI166">
            <v>0</v>
          </cell>
        </row>
        <row r="167">
          <cell r="B167" t="str">
            <v>y/y change - restated</v>
          </cell>
          <cell r="AL167">
            <v>9.1281261691656734E-2</v>
          </cell>
          <cell r="AM167">
            <v>4.5771021299386039E-2</v>
          </cell>
          <cell r="AN167">
            <v>1.2043021009706001E-2</v>
          </cell>
          <cell r="AO167">
            <v>4.6488803946382884E-3</v>
          </cell>
          <cell r="AP167" t="str">
            <v>NM</v>
          </cell>
          <cell r="AQ167">
            <v>5.994230015485158E-2</v>
          </cell>
          <cell r="AR167">
            <v>8.2086705086243272E-2</v>
          </cell>
          <cell r="AS167">
            <v>7.5309570047401353E-2</v>
          </cell>
          <cell r="AT167">
            <v>-1.2229593308335729E-2</v>
          </cell>
          <cell r="AU167">
            <v>0.13152801753746712</v>
          </cell>
          <cell r="AW167">
            <v>-0.18143665955692323</v>
          </cell>
          <cell r="AX167">
            <v>-0.18954610342177003</v>
          </cell>
          <cell r="AY167">
            <v>-0.1945751481740301</v>
          </cell>
          <cell r="AZ167" t="str">
            <v>NM</v>
          </cell>
          <cell r="BA167" t="str">
            <v>NM</v>
          </cell>
          <cell r="BB167">
            <v>8.2086705086243272E-2</v>
          </cell>
          <cell r="BC167">
            <v>7.5309570047401353E-2</v>
          </cell>
          <cell r="BD167">
            <v>-1.2229593308335729E-2</v>
          </cell>
          <cell r="BE167">
            <v>-5.0379397066283804E-2</v>
          </cell>
          <cell r="BF167">
            <v>2.5784490074779454E-2</v>
          </cell>
          <cell r="BG167">
            <v>-5.9136788085114245E-2</v>
          </cell>
          <cell r="BH167">
            <v>-8.6711577298964393E-2</v>
          </cell>
          <cell r="BI167">
            <v>-4.3699044956906574E-2</v>
          </cell>
          <cell r="BJ167">
            <v>6.9908266610106518E-2</v>
          </cell>
          <cell r="BK167">
            <v>7.7198335680681573E-3</v>
          </cell>
          <cell r="BL167">
            <v>-1.7024626213347882E-2</v>
          </cell>
          <cell r="BM167">
            <v>-0.15048480930833874</v>
          </cell>
          <cell r="BN167">
            <v>-9.3261737158737756E-2</v>
          </cell>
          <cell r="BO167">
            <v>-0.15415661785461365</v>
          </cell>
          <cell r="BP167">
            <v>-8.9998099461514047E-2</v>
          </cell>
          <cell r="BQ167">
            <v>-8.5167931985169254E-2</v>
          </cell>
          <cell r="BR167">
            <v>0.16584076643541468</v>
          </cell>
          <cell r="BS167">
            <v>-7.8131387870028601E-2</v>
          </cell>
          <cell r="BT167">
            <v>-1.843024380254632E-3</v>
          </cell>
          <cell r="BU167">
            <v>-6.4079866301650634E-3</v>
          </cell>
          <cell r="BV167">
            <v>3.5609614547564838E-2</v>
          </cell>
          <cell r="BW167">
            <v>7.8517807968183417E-2</v>
          </cell>
          <cell r="BX167">
            <v>0.13577397281871795</v>
          </cell>
          <cell r="BY167">
            <v>0.14932028026603472</v>
          </cell>
          <cell r="BZ167">
            <v>9.6950354218317658E-2</v>
          </cell>
          <cell r="CA167">
            <v>7.3828104689471985E-2</v>
          </cell>
          <cell r="CB167">
            <v>6.4712563252309563E-2</v>
          </cell>
          <cell r="CC167">
            <v>9.644515025653555E-2</v>
          </cell>
          <cell r="CD167">
            <v>5.0092931681437136E-2</v>
          </cell>
          <cell r="CE167">
            <v>7.055984519264058E-2</v>
          </cell>
          <cell r="CF167">
            <v>6.2672477032172491E-2</v>
          </cell>
          <cell r="CG167">
            <v>5.7597246062788932E-2</v>
          </cell>
          <cell r="CH167">
            <v>7.643327931922328E-2</v>
          </cell>
          <cell r="CI167">
            <v>0.25304084608427613</v>
          </cell>
          <cell r="CJ167">
            <v>0.11300103276949702</v>
          </cell>
          <cell r="CK167">
            <v>6.5704009010281839E-2</v>
          </cell>
          <cell r="CL167">
            <v>7.4202435280015244E-2</v>
          </cell>
          <cell r="CM167">
            <v>0.14197663931721705</v>
          </cell>
        </row>
        <row r="168">
          <cell r="B168" t="str">
            <v>Margin</v>
          </cell>
          <cell r="AL168">
            <v>0.23281497752051858</v>
          </cell>
          <cell r="AM168">
            <v>0.25924185966437802</v>
          </cell>
          <cell r="AN168">
            <v>0.25273200450222433</v>
          </cell>
          <cell r="AO168">
            <v>0.23687667937856333</v>
          </cell>
          <cell r="AP168">
            <v>0.24563053616114472</v>
          </cell>
          <cell r="AQ168">
            <v>0.23173409340894754</v>
          </cell>
          <cell r="AR168">
            <v>0.25088718829109319</v>
          </cell>
          <cell r="AS168">
            <v>0.2424481398129926</v>
          </cell>
          <cell r="AT168">
            <v>0.20968932963828804</v>
          </cell>
          <cell r="AU168">
            <v>0.2340684817041809</v>
          </cell>
          <cell r="AW168">
            <v>0.25924185966437802</v>
          </cell>
          <cell r="AX168">
            <v>0.25273200450222433</v>
          </cell>
          <cell r="AY168">
            <v>0.23687667937856333</v>
          </cell>
          <cell r="AZ168">
            <v>0.23173409340894754</v>
          </cell>
          <cell r="BA168">
            <v>0.24506439563197088</v>
          </cell>
          <cell r="BB168">
            <v>0.25088718829109319</v>
          </cell>
          <cell r="BC168">
            <v>0.2424481398129926</v>
          </cell>
          <cell r="BD168">
            <v>0.20968932963828804</v>
          </cell>
          <cell r="BE168">
            <v>0.20778280692597548</v>
          </cell>
          <cell r="BF168">
            <v>0.22796028820380304</v>
          </cell>
          <cell r="BG168">
            <v>0.22294681112354336</v>
          </cell>
          <cell r="BH168">
            <v>0.19938046354751326</v>
          </cell>
          <cell r="BI168">
            <v>0.19964446269559954</v>
          </cell>
          <cell r="BJ168">
            <v>0.20861015477187433</v>
          </cell>
          <cell r="BK168">
            <v>0.20754376485499823</v>
          </cell>
          <cell r="BL168">
            <v>0.20118564339278722</v>
          </cell>
          <cell r="BM168">
            <v>0.16008150489769984</v>
          </cell>
          <cell r="BN168">
            <v>0.15966067779089671</v>
          </cell>
          <cell r="BO168">
            <v>0.15947690693118857</v>
          </cell>
          <cell r="BP168">
            <v>0.17022348173416688</v>
          </cell>
          <cell r="BQ168">
            <v>0.17823013454575923</v>
          </cell>
          <cell r="BR168">
            <v>0.16602566364395516</v>
          </cell>
          <cell r="BS168">
            <v>0.14797848997240076</v>
          </cell>
          <cell r="BT168">
            <v>0.15782505535938177</v>
          </cell>
          <cell r="BU168">
            <v>0.1626857099286374</v>
          </cell>
          <cell r="BV168">
            <v>0.18024314344082565</v>
          </cell>
          <cell r="BW168">
            <v>0.17320739138675481</v>
          </cell>
          <cell r="BX168">
            <v>0.16052546432267317</v>
          </cell>
          <cell r="BY168">
            <v>0.1702280285883544</v>
          </cell>
          <cell r="BZ168">
            <v>0.17293907902090475</v>
          </cell>
          <cell r="CA168">
            <v>0.18677547610982673</v>
          </cell>
          <cell r="CB168">
            <v>0.17844872347242016</v>
          </cell>
          <cell r="CC168">
            <v>0.1674171545332378</v>
          </cell>
          <cell r="CD168">
            <v>0.17327987434381845</v>
          </cell>
          <cell r="CE168">
            <v>0.17653833993285054</v>
          </cell>
          <cell r="CF168">
            <v>0.18257636512722333</v>
          </cell>
          <cell r="CG168">
            <v>0.17594823523536957</v>
          </cell>
          <cell r="CH168">
            <v>0.16543698606277102</v>
          </cell>
          <cell r="CI168">
            <v>0.19117705036214336</v>
          </cell>
          <cell r="CJ168">
            <v>0.17907455737296313</v>
          </cell>
          <cell r="CK168">
            <v>0.19909094474174807</v>
          </cell>
          <cell r="CL168">
            <v>0.19654540837136283</v>
          </cell>
          <cell r="CM168">
            <v>0.20374161139672697</v>
          </cell>
        </row>
        <row r="169">
          <cell r="B169" t="str">
            <v>Acquired</v>
          </cell>
        </row>
        <row r="170">
          <cell r="B170" t="str">
            <v>Patient days</v>
          </cell>
          <cell r="R170">
            <v>42015</v>
          </cell>
          <cell r="S170">
            <v>39094</v>
          </cell>
          <cell r="T170">
            <v>24052</v>
          </cell>
          <cell r="U170" t="str">
            <v>NM</v>
          </cell>
          <cell r="V170">
            <v>105161</v>
          </cell>
          <cell r="W170">
            <v>31306</v>
          </cell>
          <cell r="X170">
            <v>32191</v>
          </cell>
          <cell r="Y170">
            <v>31150</v>
          </cell>
          <cell r="Z170" t="str">
            <v>NM</v>
          </cell>
          <cell r="AA170">
            <v>94647</v>
          </cell>
          <cell r="AB170">
            <v>22379</v>
          </cell>
          <cell r="AC170">
            <v>40163</v>
          </cell>
          <cell r="AD170">
            <v>44648</v>
          </cell>
          <cell r="AE170" t="str">
            <v>NM</v>
          </cell>
          <cell r="AF170">
            <v>107190</v>
          </cell>
          <cell r="AG170">
            <v>40697</v>
          </cell>
          <cell r="AH170">
            <v>23720</v>
          </cell>
          <cell r="AI170">
            <v>25301</v>
          </cell>
          <cell r="AJ170">
            <v>20739</v>
          </cell>
          <cell r="AK170">
            <v>110457</v>
          </cell>
          <cell r="AL170">
            <v>57107</v>
          </cell>
          <cell r="AM170">
            <v>70929</v>
          </cell>
          <cell r="AN170">
            <v>65905</v>
          </cell>
          <cell r="AO170">
            <v>64738</v>
          </cell>
          <cell r="AP170">
            <v>258679</v>
          </cell>
          <cell r="AQ170">
            <v>56331</v>
          </cell>
          <cell r="AR170">
            <v>31964</v>
          </cell>
          <cell r="AS170">
            <v>39778</v>
          </cell>
          <cell r="AT170">
            <v>37384</v>
          </cell>
          <cell r="AU170">
            <v>165457</v>
          </cell>
          <cell r="AW170">
            <v>70929</v>
          </cell>
          <cell r="AX170">
            <v>65905</v>
          </cell>
          <cell r="AY170">
            <v>64738</v>
          </cell>
          <cell r="AZ170">
            <v>56331</v>
          </cell>
          <cell r="BA170">
            <v>257903</v>
          </cell>
          <cell r="BB170">
            <v>31964</v>
          </cell>
          <cell r="BC170">
            <v>39778</v>
          </cell>
          <cell r="BD170">
            <v>37384</v>
          </cell>
          <cell r="BE170">
            <v>38532</v>
          </cell>
          <cell r="BF170">
            <v>147658</v>
          </cell>
          <cell r="BG170">
            <v>50650</v>
          </cell>
          <cell r="BH170">
            <v>25614</v>
          </cell>
          <cell r="BI170">
            <v>14760</v>
          </cell>
          <cell r="BJ170">
            <v>17026</v>
          </cell>
          <cell r="BK170">
            <v>108050</v>
          </cell>
          <cell r="BL170">
            <v>16471</v>
          </cell>
          <cell r="BM170">
            <v>10935</v>
          </cell>
          <cell r="BN170">
            <v>2454</v>
          </cell>
          <cell r="BO170">
            <v>5471</v>
          </cell>
          <cell r="BP170">
            <v>35331</v>
          </cell>
          <cell r="BQ170">
            <v>4636</v>
          </cell>
          <cell r="BR170">
            <v>0</v>
          </cell>
          <cell r="BS170">
            <v>0</v>
          </cell>
          <cell r="BT170">
            <v>0</v>
          </cell>
          <cell r="BU170">
            <v>4636</v>
          </cell>
          <cell r="BV170">
            <v>0</v>
          </cell>
          <cell r="BW170">
            <v>0</v>
          </cell>
          <cell r="BX170">
            <v>0</v>
          </cell>
          <cell r="BY170">
            <v>6601</v>
          </cell>
          <cell r="BZ170">
            <v>6601</v>
          </cell>
          <cell r="CA170">
            <v>21342</v>
          </cell>
          <cell r="CB170">
            <v>21418</v>
          </cell>
          <cell r="CC170">
            <v>25617</v>
          </cell>
          <cell r="CD170">
            <v>39045</v>
          </cell>
          <cell r="CE170">
            <v>107422</v>
          </cell>
          <cell r="CF170">
            <v>31588</v>
          </cell>
          <cell r="CG170">
            <v>31217</v>
          </cell>
          <cell r="CH170">
            <v>24397</v>
          </cell>
          <cell r="CI170">
            <v>36576</v>
          </cell>
          <cell r="CJ170">
            <v>123778</v>
          </cell>
          <cell r="CK170">
            <v>39532</v>
          </cell>
          <cell r="CL170">
            <v>37118</v>
          </cell>
          <cell r="CM170">
            <v>39256</v>
          </cell>
          <cell r="CO170">
            <v>115906</v>
          </cell>
        </row>
        <row r="171">
          <cell r="B171" t="str">
            <v>Admissions</v>
          </cell>
          <cell r="R171">
            <v>5106</v>
          </cell>
          <cell r="S171">
            <v>5121</v>
          </cell>
          <cell r="T171">
            <v>2305</v>
          </cell>
          <cell r="U171">
            <v>2623</v>
          </cell>
          <cell r="V171">
            <v>15155</v>
          </cell>
          <cell r="W171">
            <v>4324</v>
          </cell>
          <cell r="X171">
            <v>5135</v>
          </cell>
          <cell r="Y171">
            <v>4926</v>
          </cell>
          <cell r="Z171">
            <v>4106</v>
          </cell>
          <cell r="AA171">
            <v>18491</v>
          </cell>
          <cell r="AB171">
            <v>2612</v>
          </cell>
          <cell r="AC171">
            <v>7240</v>
          </cell>
          <cell r="AD171">
            <v>8256</v>
          </cell>
          <cell r="AE171">
            <v>7786</v>
          </cell>
          <cell r="AF171">
            <v>25894</v>
          </cell>
          <cell r="AG171">
            <v>7403</v>
          </cell>
          <cell r="AH171">
            <v>2724</v>
          </cell>
          <cell r="AI171">
            <v>2714</v>
          </cell>
          <cell r="AJ171">
            <v>1646</v>
          </cell>
          <cell r="AK171">
            <v>14487</v>
          </cell>
          <cell r="AL171">
            <v>9901</v>
          </cell>
          <cell r="AM171">
            <v>12773</v>
          </cell>
          <cell r="AN171">
            <v>11873</v>
          </cell>
          <cell r="AO171">
            <v>11541</v>
          </cell>
          <cell r="AP171">
            <v>46088</v>
          </cell>
          <cell r="AQ171">
            <v>9758</v>
          </cell>
          <cell r="AR171">
            <v>4242</v>
          </cell>
          <cell r="AS171">
            <v>5941</v>
          </cell>
          <cell r="AT171">
            <v>5421</v>
          </cell>
          <cell r="AU171">
            <v>25362</v>
          </cell>
          <cell r="AW171">
            <v>12773</v>
          </cell>
          <cell r="AX171">
            <v>11873</v>
          </cell>
          <cell r="AY171">
            <v>11541</v>
          </cell>
          <cell r="AZ171">
            <v>9758</v>
          </cell>
          <cell r="BA171">
            <v>45945</v>
          </cell>
          <cell r="BB171">
            <v>4242</v>
          </cell>
          <cell r="BC171">
            <v>5941</v>
          </cell>
          <cell r="BD171">
            <v>5421</v>
          </cell>
          <cell r="BE171">
            <v>6040</v>
          </cell>
          <cell r="BF171">
            <v>21644</v>
          </cell>
          <cell r="BG171">
            <v>8969</v>
          </cell>
          <cell r="BH171">
            <v>3042</v>
          </cell>
          <cell r="BI171">
            <v>3461</v>
          </cell>
          <cell r="BJ171">
            <v>4029</v>
          </cell>
          <cell r="BK171">
            <v>19501</v>
          </cell>
          <cell r="BL171">
            <v>3688</v>
          </cell>
          <cell r="BM171">
            <v>2519</v>
          </cell>
          <cell r="BN171">
            <v>656</v>
          </cell>
          <cell r="BO171">
            <v>1677</v>
          </cell>
          <cell r="BP171">
            <v>8540</v>
          </cell>
          <cell r="BQ171">
            <v>1249</v>
          </cell>
          <cell r="BR171">
            <v>0</v>
          </cell>
          <cell r="BS171">
            <v>0</v>
          </cell>
          <cell r="BT171">
            <v>0</v>
          </cell>
          <cell r="BU171">
            <v>1249</v>
          </cell>
          <cell r="BV171">
            <v>0</v>
          </cell>
          <cell r="BW171">
            <v>0</v>
          </cell>
          <cell r="BX171">
            <v>0</v>
          </cell>
          <cell r="BY171">
            <v>1361</v>
          </cell>
          <cell r="BZ171">
            <v>1361</v>
          </cell>
          <cell r="CA171">
            <v>3990</v>
          </cell>
          <cell r="CB171">
            <v>4220</v>
          </cell>
          <cell r="CC171">
            <v>5932</v>
          </cell>
          <cell r="CD171">
            <v>8716</v>
          </cell>
          <cell r="CE171">
            <v>22858</v>
          </cell>
          <cell r="CF171">
            <v>6883</v>
          </cell>
          <cell r="CG171">
            <v>6817</v>
          </cell>
          <cell r="CH171">
            <v>5200</v>
          </cell>
          <cell r="CI171">
            <v>8684</v>
          </cell>
          <cell r="CJ171">
            <v>27584</v>
          </cell>
          <cell r="CK171">
            <v>8923</v>
          </cell>
          <cell r="CL171">
            <v>8979</v>
          </cell>
          <cell r="CM171">
            <v>8538</v>
          </cell>
          <cell r="CO171">
            <v>26440</v>
          </cell>
        </row>
        <row r="172">
          <cell r="B172" t="str">
            <v>Adjusted admissions</v>
          </cell>
          <cell r="R172" t="str">
            <v>NM</v>
          </cell>
          <cell r="S172" t="str">
            <v>NM</v>
          </cell>
          <cell r="T172" t="str">
            <v>NM</v>
          </cell>
          <cell r="U172">
            <v>462</v>
          </cell>
          <cell r="V172">
            <v>462</v>
          </cell>
          <cell r="W172">
            <v>6773</v>
          </cell>
          <cell r="X172">
            <v>7834</v>
          </cell>
          <cell r="Y172">
            <v>7810</v>
          </cell>
          <cell r="Z172">
            <v>7410</v>
          </cell>
          <cell r="AA172">
            <v>29827</v>
          </cell>
          <cell r="AB172">
            <v>4712</v>
          </cell>
          <cell r="AC172">
            <v>11667</v>
          </cell>
          <cell r="AD172">
            <v>13641</v>
          </cell>
          <cell r="AE172">
            <v>12338</v>
          </cell>
          <cell r="AF172">
            <v>42358</v>
          </cell>
          <cell r="AG172">
            <v>11261</v>
          </cell>
          <cell r="AH172">
            <v>4354</v>
          </cell>
          <cell r="AI172">
            <v>4441</v>
          </cell>
          <cell r="AJ172">
            <v>2344</v>
          </cell>
          <cell r="AK172">
            <v>22400</v>
          </cell>
          <cell r="AL172">
            <v>16665</v>
          </cell>
          <cell r="AM172">
            <v>22465</v>
          </cell>
          <cell r="AN172">
            <v>20877</v>
          </cell>
          <cell r="AO172">
            <v>20659</v>
          </cell>
          <cell r="AP172">
            <v>80666</v>
          </cell>
          <cell r="AQ172">
            <v>17638</v>
          </cell>
          <cell r="AR172">
            <v>6616</v>
          </cell>
          <cell r="AS172">
            <v>9874</v>
          </cell>
          <cell r="AT172">
            <v>9010</v>
          </cell>
          <cell r="AU172">
            <v>43138</v>
          </cell>
          <cell r="AW172">
            <v>22465</v>
          </cell>
          <cell r="AX172">
            <v>20877</v>
          </cell>
          <cell r="AY172">
            <v>20659</v>
          </cell>
          <cell r="AZ172">
            <v>17638</v>
          </cell>
          <cell r="BA172">
            <v>81639</v>
          </cell>
          <cell r="BB172">
            <v>6616</v>
          </cell>
          <cell r="BC172">
            <v>9874</v>
          </cell>
          <cell r="BD172">
            <v>9010</v>
          </cell>
          <cell r="BE172">
            <v>10038</v>
          </cell>
          <cell r="BF172">
            <v>35538</v>
          </cell>
          <cell r="BG172">
            <v>14780</v>
          </cell>
          <cell r="BH172">
            <v>6512</v>
          </cell>
          <cell r="BI172">
            <v>6958</v>
          </cell>
          <cell r="BJ172">
            <v>7670</v>
          </cell>
          <cell r="BK172">
            <v>35920</v>
          </cell>
          <cell r="BL172">
            <v>6775</v>
          </cell>
          <cell r="BM172">
            <v>8658</v>
          </cell>
          <cell r="BN172">
            <v>1035</v>
          </cell>
          <cell r="BO172">
            <v>2856</v>
          </cell>
          <cell r="BP172">
            <v>19324</v>
          </cell>
          <cell r="BQ172">
            <v>1900</v>
          </cell>
          <cell r="BR172">
            <v>0</v>
          </cell>
          <cell r="BS172">
            <v>0</v>
          </cell>
          <cell r="BT172">
            <v>0</v>
          </cell>
          <cell r="BU172">
            <v>1900</v>
          </cell>
          <cell r="BV172">
            <v>0</v>
          </cell>
          <cell r="BW172">
            <v>0</v>
          </cell>
          <cell r="BX172">
            <v>0</v>
          </cell>
          <cell r="BY172">
            <v>2543</v>
          </cell>
          <cell r="BZ172">
            <v>2543</v>
          </cell>
          <cell r="CA172">
            <v>7144</v>
          </cell>
          <cell r="CB172">
            <v>7758</v>
          </cell>
          <cell r="CC172">
            <v>11806</v>
          </cell>
          <cell r="CD172">
            <v>16950</v>
          </cell>
          <cell r="CE172">
            <v>43658</v>
          </cell>
          <cell r="CF172">
            <v>12743</v>
          </cell>
          <cell r="CG172">
            <v>13015</v>
          </cell>
          <cell r="CH172">
            <v>9743</v>
          </cell>
          <cell r="CI172">
            <v>19253</v>
          </cell>
          <cell r="CJ172">
            <v>54754</v>
          </cell>
          <cell r="CK172">
            <v>19156</v>
          </cell>
          <cell r="CL172">
            <v>20286</v>
          </cell>
          <cell r="CM172">
            <v>19586</v>
          </cell>
          <cell r="CO172">
            <v>59028</v>
          </cell>
        </row>
        <row r="173">
          <cell r="B173" t="str">
            <v>Surgeries</v>
          </cell>
          <cell r="R173" t="str">
            <v>NM</v>
          </cell>
          <cell r="S173" t="str">
            <v>NM</v>
          </cell>
          <cell r="T173" t="str">
            <v>NM</v>
          </cell>
          <cell r="U173" t="str">
            <v>NM</v>
          </cell>
          <cell r="V173">
            <v>0</v>
          </cell>
          <cell r="W173" t="str">
            <v>NM</v>
          </cell>
          <cell r="X173" t="str">
            <v>NM</v>
          </cell>
          <cell r="Y173" t="str">
            <v>NM</v>
          </cell>
          <cell r="Z173" t="str">
            <v>NM</v>
          </cell>
          <cell r="AA173">
            <v>0</v>
          </cell>
          <cell r="AB173" t="str">
            <v>NM</v>
          </cell>
          <cell r="AC173" t="str">
            <v>NM</v>
          </cell>
          <cell r="AD173" t="str">
            <v>NM</v>
          </cell>
          <cell r="AE173" t="str">
            <v>NM</v>
          </cell>
          <cell r="AF173">
            <v>0</v>
          </cell>
          <cell r="AG173" t="str">
            <v>NM</v>
          </cell>
          <cell r="AH173">
            <v>1789</v>
          </cell>
          <cell r="AI173" t="str">
            <v>NM</v>
          </cell>
          <cell r="AJ173">
            <v>606</v>
          </cell>
          <cell r="AK173">
            <v>2395</v>
          </cell>
          <cell r="AL173">
            <v>5532</v>
          </cell>
          <cell r="AM173">
            <v>8165</v>
          </cell>
          <cell r="AN173">
            <v>7958</v>
          </cell>
          <cell r="AO173">
            <v>7973</v>
          </cell>
          <cell r="AP173">
            <v>29628</v>
          </cell>
          <cell r="AQ173">
            <v>7151</v>
          </cell>
          <cell r="AR173">
            <v>3222</v>
          </cell>
          <cell r="AS173">
            <v>5348</v>
          </cell>
          <cell r="AT173">
            <v>5089</v>
          </cell>
          <cell r="AU173">
            <v>20810</v>
          </cell>
          <cell r="AW173">
            <v>8165</v>
          </cell>
          <cell r="AX173">
            <v>7958</v>
          </cell>
          <cell r="AY173">
            <v>7973</v>
          </cell>
          <cell r="AZ173">
            <v>7151</v>
          </cell>
          <cell r="BA173">
            <v>31247</v>
          </cell>
          <cell r="BB173">
            <v>3222</v>
          </cell>
          <cell r="BC173">
            <v>5348</v>
          </cell>
          <cell r="BD173">
            <v>5089</v>
          </cell>
          <cell r="BE173">
            <v>5270</v>
          </cell>
          <cell r="BF173">
            <v>18929</v>
          </cell>
          <cell r="BG173">
            <v>7222</v>
          </cell>
          <cell r="BH173">
            <v>3662</v>
          </cell>
          <cell r="BI173">
            <v>3233</v>
          </cell>
          <cell r="BJ173">
            <v>3421</v>
          </cell>
          <cell r="BK173">
            <v>17538</v>
          </cell>
          <cell r="BL173">
            <v>2642</v>
          </cell>
          <cell r="BM173">
            <v>2156</v>
          </cell>
          <cell r="BN173">
            <v>454</v>
          </cell>
          <cell r="BO173">
            <v>1491</v>
          </cell>
          <cell r="BP173">
            <v>6743</v>
          </cell>
          <cell r="BQ173">
            <v>727</v>
          </cell>
          <cell r="BR173">
            <v>0</v>
          </cell>
          <cell r="BS173">
            <v>0</v>
          </cell>
          <cell r="BT173">
            <v>0</v>
          </cell>
          <cell r="BU173">
            <v>727</v>
          </cell>
          <cell r="BV173">
            <v>0</v>
          </cell>
          <cell r="BW173">
            <v>0</v>
          </cell>
          <cell r="BX173">
            <v>0</v>
          </cell>
          <cell r="BY173">
            <v>1111</v>
          </cell>
          <cell r="BZ173">
            <v>1111</v>
          </cell>
          <cell r="CA173">
            <v>3824</v>
          </cell>
          <cell r="CB173">
            <v>4126</v>
          </cell>
          <cell r="CC173">
            <v>4862</v>
          </cell>
          <cell r="CD173">
            <v>7145</v>
          </cell>
          <cell r="CE173">
            <v>19957</v>
          </cell>
          <cell r="CF173">
            <v>4370</v>
          </cell>
          <cell r="CG173">
            <v>4269</v>
          </cell>
          <cell r="CH173">
            <v>3557</v>
          </cell>
          <cell r="CI173">
            <v>13927</v>
          </cell>
          <cell r="CJ173">
            <v>26123</v>
          </cell>
          <cell r="CK173">
            <v>13972</v>
          </cell>
          <cell r="CL173">
            <v>15271</v>
          </cell>
          <cell r="CM173">
            <v>14908</v>
          </cell>
          <cell r="CO173">
            <v>44151</v>
          </cell>
        </row>
        <row r="174">
          <cell r="B174" t="str">
            <v>Emergency room visits</v>
          </cell>
          <cell r="R174" t="str">
            <v>NM</v>
          </cell>
          <cell r="S174" t="str">
            <v>NM</v>
          </cell>
          <cell r="T174" t="str">
            <v>NM</v>
          </cell>
          <cell r="U174" t="str">
            <v>NM</v>
          </cell>
          <cell r="V174">
            <v>0</v>
          </cell>
          <cell r="W174" t="str">
            <v>NM</v>
          </cell>
          <cell r="X174" t="str">
            <v>NM</v>
          </cell>
          <cell r="Y174" t="str">
            <v>NM</v>
          </cell>
          <cell r="Z174" t="str">
            <v>NM</v>
          </cell>
          <cell r="AA174">
            <v>0</v>
          </cell>
          <cell r="AB174" t="str">
            <v>NM</v>
          </cell>
          <cell r="AC174" t="str">
            <v>NM</v>
          </cell>
          <cell r="AD174" t="str">
            <v>NM</v>
          </cell>
          <cell r="AE174" t="str">
            <v>NM</v>
          </cell>
          <cell r="AF174">
            <v>0</v>
          </cell>
          <cell r="AG174" t="str">
            <v>NM</v>
          </cell>
          <cell r="AH174" t="str">
            <v>NM</v>
          </cell>
          <cell r="AI174" t="str">
            <v>NM</v>
          </cell>
          <cell r="AJ174" t="str">
            <v>NM</v>
          </cell>
          <cell r="AK174">
            <v>0</v>
          </cell>
          <cell r="AL174" t="str">
            <v>NM</v>
          </cell>
          <cell r="AM174" t="str">
            <v>NM</v>
          </cell>
          <cell r="AN174" t="str">
            <v>NM</v>
          </cell>
          <cell r="AO174" t="str">
            <v>NM</v>
          </cell>
          <cell r="AP174">
            <v>0</v>
          </cell>
          <cell r="AQ174" t="str">
            <v>NM</v>
          </cell>
          <cell r="AR174" t="str">
            <v>NM</v>
          </cell>
          <cell r="AS174" t="str">
            <v>NM</v>
          </cell>
          <cell r="AT174" t="str">
            <v>NM</v>
          </cell>
          <cell r="AU174">
            <v>0</v>
          </cell>
          <cell r="AW174" t="str">
            <v>NM</v>
          </cell>
          <cell r="AX174" t="str">
            <v>NM</v>
          </cell>
          <cell r="AY174" t="str">
            <v>NM</v>
          </cell>
          <cell r="AZ174" t="str">
            <v>NM</v>
          </cell>
          <cell r="BA174">
            <v>0</v>
          </cell>
          <cell r="BB174" t="str">
            <v>NM</v>
          </cell>
          <cell r="BC174" t="str">
            <v>NM</v>
          </cell>
          <cell r="BD174" t="str">
            <v>NM</v>
          </cell>
          <cell r="BE174" t="str">
            <v>NM</v>
          </cell>
          <cell r="BF174">
            <v>0</v>
          </cell>
          <cell r="BG174" t="str">
            <v>NM</v>
          </cell>
          <cell r="BH174" t="str">
            <v>NM</v>
          </cell>
          <cell r="BI174" t="str">
            <v>NM</v>
          </cell>
          <cell r="BJ174" t="str">
            <v>NM</v>
          </cell>
          <cell r="BK174">
            <v>0</v>
          </cell>
          <cell r="BL174">
            <v>18956</v>
          </cell>
          <cell r="BM174">
            <v>12259</v>
          </cell>
          <cell r="BN174">
            <v>4153</v>
          </cell>
          <cell r="BO174">
            <v>64826</v>
          </cell>
          <cell r="BP174">
            <v>100194</v>
          </cell>
          <cell r="BQ174">
            <v>6839</v>
          </cell>
          <cell r="BR174">
            <v>0</v>
          </cell>
          <cell r="BS174">
            <v>0</v>
          </cell>
          <cell r="BT174">
            <v>0</v>
          </cell>
          <cell r="BU174">
            <v>6839</v>
          </cell>
          <cell r="BV174">
            <v>0</v>
          </cell>
          <cell r="BW174">
            <v>0</v>
          </cell>
          <cell r="BX174">
            <v>0</v>
          </cell>
          <cell r="BY174">
            <v>4354</v>
          </cell>
          <cell r="BZ174">
            <v>4354</v>
          </cell>
          <cell r="CA174">
            <v>13725</v>
          </cell>
          <cell r="CB174">
            <v>14298</v>
          </cell>
          <cell r="CC174">
            <v>31509</v>
          </cell>
          <cell r="CD174">
            <v>41268</v>
          </cell>
          <cell r="CE174">
            <v>100800</v>
          </cell>
          <cell r="CF174">
            <v>32892</v>
          </cell>
          <cell r="CG174">
            <v>33642</v>
          </cell>
          <cell r="CH174">
            <v>17135</v>
          </cell>
          <cell r="CI174">
            <v>48166</v>
          </cell>
          <cell r="CJ174">
            <v>131835</v>
          </cell>
          <cell r="CK174">
            <v>49982</v>
          </cell>
          <cell r="CL174">
            <v>61503</v>
          </cell>
          <cell r="CM174">
            <v>63191</v>
          </cell>
          <cell r="CO174">
            <v>174676</v>
          </cell>
        </row>
        <row r="175">
          <cell r="B175" t="str">
            <v>Net revenue before doubtful accounts</v>
          </cell>
          <cell r="R175" t="str">
            <v>NM</v>
          </cell>
          <cell r="S175" t="str">
            <v>NM</v>
          </cell>
          <cell r="T175" t="str">
            <v>NM</v>
          </cell>
          <cell r="U175" t="str">
            <v>NM</v>
          </cell>
          <cell r="V175">
            <v>0</v>
          </cell>
          <cell r="W175" t="str">
            <v>NM</v>
          </cell>
          <cell r="X175" t="str">
            <v>NM</v>
          </cell>
          <cell r="Y175" t="str">
            <v>NM</v>
          </cell>
          <cell r="Z175" t="str">
            <v>NM</v>
          </cell>
          <cell r="AA175">
            <v>0</v>
          </cell>
          <cell r="AB175" t="str">
            <v>NM</v>
          </cell>
          <cell r="AC175" t="str">
            <v>NM</v>
          </cell>
          <cell r="AD175" t="str">
            <v>NM</v>
          </cell>
          <cell r="AE175" t="str">
            <v>NM</v>
          </cell>
          <cell r="AF175">
            <v>0</v>
          </cell>
          <cell r="AG175" t="str">
            <v>NM</v>
          </cell>
          <cell r="AH175">
            <v>27.70799999999997</v>
          </cell>
          <cell r="AI175" t="str">
            <v>NM</v>
          </cell>
          <cell r="AJ175">
            <v>22.513000000000034</v>
          </cell>
          <cell r="AK175">
            <v>50.221000000000004</v>
          </cell>
          <cell r="AL175">
            <v>105.07000000000005</v>
          </cell>
          <cell r="AM175">
            <v>148.49300000000005</v>
          </cell>
          <cell r="AN175">
            <v>145.673</v>
          </cell>
          <cell r="AO175">
            <v>141.21899999999994</v>
          </cell>
          <cell r="AP175">
            <v>540.45500000000004</v>
          </cell>
          <cell r="AQ175">
            <v>110.322</v>
          </cell>
          <cell r="AR175">
            <v>58.273000000000025</v>
          </cell>
          <cell r="AS175">
            <v>84.672000000000025</v>
          </cell>
          <cell r="AT175">
            <v>89.002999999999929</v>
          </cell>
          <cell r="AU175">
            <v>342.27</v>
          </cell>
          <cell r="AW175">
            <v>148.49300000000005</v>
          </cell>
          <cell r="AX175">
            <v>145.673</v>
          </cell>
          <cell r="AY175">
            <v>141.21899999999994</v>
          </cell>
          <cell r="AZ175">
            <v>110.322</v>
          </cell>
          <cell r="BA175">
            <v>545.70699999999999</v>
          </cell>
          <cell r="BB175">
            <v>58.273000000000025</v>
          </cell>
          <cell r="BC175">
            <v>84.672000000000025</v>
          </cell>
          <cell r="BD175">
            <v>89.002999999999929</v>
          </cell>
          <cell r="BE175">
            <v>89.662000000000035</v>
          </cell>
          <cell r="BF175">
            <v>321.61</v>
          </cell>
          <cell r="BG175">
            <v>116.58500000000004</v>
          </cell>
          <cell r="BH175">
            <v>62.578999999999951</v>
          </cell>
          <cell r="BI175">
            <v>68.750999999999976</v>
          </cell>
          <cell r="BJ175">
            <v>85.502999999999929</v>
          </cell>
          <cell r="BK175">
            <v>333.41799999999989</v>
          </cell>
          <cell r="BL175">
            <v>75.926999999999907</v>
          </cell>
          <cell r="BM175">
            <v>72.965000000000146</v>
          </cell>
          <cell r="BN175">
            <v>15.734000000000151</v>
          </cell>
          <cell r="BO175">
            <v>25.264000000000124</v>
          </cell>
          <cell r="BP175">
            <v>189.89000000000033</v>
          </cell>
          <cell r="BQ175">
            <v>18.756999999999834</v>
          </cell>
          <cell r="BR175">
            <v>0</v>
          </cell>
          <cell r="BS175">
            <v>0</v>
          </cell>
          <cell r="BT175">
            <v>0</v>
          </cell>
          <cell r="BU175">
            <v>18.756999999999834</v>
          </cell>
          <cell r="BV175">
            <v>0</v>
          </cell>
          <cell r="BW175">
            <v>0</v>
          </cell>
          <cell r="BX175">
            <v>0</v>
          </cell>
          <cell r="BY175">
            <v>22.20699999999988</v>
          </cell>
          <cell r="BZ175">
            <v>22.20699999999988</v>
          </cell>
          <cell r="CA175">
            <v>68.702999999999975</v>
          </cell>
          <cell r="CB175">
            <v>71.039999999999964</v>
          </cell>
          <cell r="CC175">
            <v>91.204000000000178</v>
          </cell>
          <cell r="CD175">
            <v>142.40899999999988</v>
          </cell>
          <cell r="CE175">
            <v>373.35599999999999</v>
          </cell>
          <cell r="CF175">
            <v>100.67000000000007</v>
          </cell>
          <cell r="CG175">
            <v>113.70900000000006</v>
          </cell>
          <cell r="CH175">
            <v>91.231999999999971</v>
          </cell>
          <cell r="CI175">
            <v>163.34199999999987</v>
          </cell>
          <cell r="CJ175">
            <v>468.95299999999997</v>
          </cell>
          <cell r="CK175">
            <v>167.81799999999998</v>
          </cell>
          <cell r="CL175">
            <v>192.64099999999985</v>
          </cell>
          <cell r="CM175">
            <v>187.1869999999999</v>
          </cell>
          <cell r="CO175">
            <v>547.64599999999973</v>
          </cell>
        </row>
        <row r="176">
          <cell r="B176" t="str">
            <v>Net revenue per adjusted admission</v>
          </cell>
          <cell r="R176" t="str">
            <v>NM</v>
          </cell>
          <cell r="S176" t="str">
            <v>NM</v>
          </cell>
          <cell r="T176" t="str">
            <v>NM</v>
          </cell>
          <cell r="U176" t="str">
            <v>NM</v>
          </cell>
          <cell r="V176">
            <v>0</v>
          </cell>
          <cell r="W176" t="str">
            <v>NM</v>
          </cell>
          <cell r="X176" t="str">
            <v>NM</v>
          </cell>
          <cell r="Y176" t="str">
            <v>NM</v>
          </cell>
          <cell r="Z176" t="str">
            <v>NM</v>
          </cell>
          <cell r="AA176">
            <v>0</v>
          </cell>
          <cell r="AB176" t="str">
            <v>NM</v>
          </cell>
          <cell r="AC176" t="str">
            <v>NM</v>
          </cell>
          <cell r="AD176" t="str">
            <v>NM</v>
          </cell>
          <cell r="AE176" t="str">
            <v>NM</v>
          </cell>
          <cell r="AF176">
            <v>0</v>
          </cell>
          <cell r="AG176" t="str">
            <v>NM</v>
          </cell>
          <cell r="AH176">
            <v>636.38033991731675</v>
          </cell>
          <cell r="AI176" t="str">
            <v>NM</v>
          </cell>
          <cell r="AJ176">
            <v>960.45221843003549</v>
          </cell>
          <cell r="AK176">
            <v>1596.8325583473522</v>
          </cell>
          <cell r="AL176">
            <v>630.48304830483085</v>
          </cell>
          <cell r="AM176">
            <v>660.99710661028291</v>
          </cell>
          <cell r="AN176">
            <v>697.76787852660823</v>
          </cell>
          <cell r="AO176">
            <v>683.5713248463137</v>
          </cell>
          <cell r="AP176">
            <v>2672.8193582880358</v>
          </cell>
          <cell r="AQ176">
            <v>625.47907926068717</v>
          </cell>
          <cell r="AR176">
            <v>880.7889963724308</v>
          </cell>
          <cell r="AS176">
            <v>857.52481263925483</v>
          </cell>
          <cell r="AT176">
            <v>987.82463928967729</v>
          </cell>
          <cell r="AU176">
            <v>3351.6175275620499</v>
          </cell>
          <cell r="AW176">
            <v>660.99710661028291</v>
          </cell>
          <cell r="AX176">
            <v>697.76787852660823</v>
          </cell>
          <cell r="AY176">
            <v>683.5713248463137</v>
          </cell>
          <cell r="AZ176">
            <v>625.47907926068717</v>
          </cell>
          <cell r="BA176">
            <v>2667.8153892438918</v>
          </cell>
          <cell r="BB176">
            <v>880.7889963724308</v>
          </cell>
          <cell r="BC176">
            <v>857.52481263925483</v>
          </cell>
          <cell r="BD176">
            <v>987.82463928967729</v>
          </cell>
          <cell r="BE176">
            <v>893.22574217971749</v>
          </cell>
          <cell r="BF176">
            <v>3619.3641904810806</v>
          </cell>
          <cell r="BG176">
            <v>788.80243572395159</v>
          </cell>
          <cell r="BH176">
            <v>960.97972972972889</v>
          </cell>
          <cell r="BI176">
            <v>988.08565679793014</v>
          </cell>
          <cell r="BJ176">
            <v>1114.7718383311594</v>
          </cell>
          <cell r="BK176">
            <v>3852.6396605827704</v>
          </cell>
          <cell r="BL176">
            <v>1120.6937269372681</v>
          </cell>
          <cell r="BM176">
            <v>842.7465927465945</v>
          </cell>
          <cell r="BN176">
            <v>1520.1932367149905</v>
          </cell>
          <cell r="BO176">
            <v>884.59383753501822</v>
          </cell>
          <cell r="BP176">
            <v>4368.2273939338711</v>
          </cell>
          <cell r="BQ176">
            <v>987.21052631578073</v>
          </cell>
          <cell r="BR176" t="str">
            <v>NM</v>
          </cell>
          <cell r="BS176" t="str">
            <v>NM</v>
          </cell>
          <cell r="BT176" t="str">
            <v>NM</v>
          </cell>
          <cell r="BU176">
            <v>987.21052631578073</v>
          </cell>
          <cell r="BV176" t="str">
            <v>NM</v>
          </cell>
          <cell r="BW176" t="str">
            <v>NM</v>
          </cell>
          <cell r="BX176" t="str">
            <v>NM</v>
          </cell>
          <cell r="BY176">
            <v>873.2599292174549</v>
          </cell>
          <cell r="BZ176">
            <v>873.2599292174549</v>
          </cell>
          <cell r="CA176">
            <v>961.68812989921582</v>
          </cell>
          <cell r="CB176">
            <v>915.69992266047916</v>
          </cell>
          <cell r="CC176">
            <v>772.52244621379111</v>
          </cell>
          <cell r="CD176">
            <v>840.17109144542712</v>
          </cell>
          <cell r="CE176">
            <v>3490.0815902189133</v>
          </cell>
          <cell r="CF176">
            <v>790.00235423369747</v>
          </cell>
          <cell r="CG176">
            <v>873.67652708413414</v>
          </cell>
          <cell r="CH176">
            <v>936.38509699271242</v>
          </cell>
          <cell r="CI176">
            <v>848.39765231392448</v>
          </cell>
          <cell r="CJ176">
            <v>3448.4616306244684</v>
          </cell>
          <cell r="CK176">
            <v>876.05972019210685</v>
          </cell>
          <cell r="CL176">
            <v>949.62535738933184</v>
          </cell>
          <cell r="CM176">
            <v>955.71837026447417</v>
          </cell>
          <cell r="CO176">
            <v>2781.403447845913</v>
          </cell>
        </row>
        <row r="177">
          <cell r="B177" t="str">
            <v>Inpatient revenue</v>
          </cell>
          <cell r="R177">
            <v>0</v>
          </cell>
          <cell r="S177">
            <v>0</v>
          </cell>
          <cell r="T177">
            <v>0</v>
          </cell>
          <cell r="U177">
            <v>181.93187399999999</v>
          </cell>
          <cell r="V177">
            <v>181.93187399999999</v>
          </cell>
          <cell r="W177">
            <v>199.74902000000003</v>
          </cell>
          <cell r="X177">
            <v>228.54339999999999</v>
          </cell>
          <cell r="Y177">
            <v>206.78971099999998</v>
          </cell>
          <cell r="Z177">
            <v>239.222679</v>
          </cell>
          <cell r="AA177">
            <v>874.30480999999997</v>
          </cell>
          <cell r="AB177">
            <v>271.70990800000004</v>
          </cell>
          <cell r="AC177">
            <v>328.25056799999993</v>
          </cell>
          <cell r="AD177">
            <v>314.01228000000003</v>
          </cell>
          <cell r="AE177">
            <v>341.75469999999996</v>
          </cell>
          <cell r="AF177">
            <v>1255.7274560000001</v>
          </cell>
          <cell r="AG177">
            <v>337.61812600000002</v>
          </cell>
          <cell r="AH177">
            <v>363.31726400000002</v>
          </cell>
          <cell r="AI177">
            <v>338.44742099999996</v>
          </cell>
          <cell r="AJ177">
            <v>348.50574</v>
          </cell>
          <cell r="AK177">
            <v>1387.888551</v>
          </cell>
          <cell r="AL177">
            <v>50.160026000000016</v>
          </cell>
          <cell r="AM177">
            <v>63.142312000000004</v>
          </cell>
          <cell r="AN177">
            <v>77.416921000000002</v>
          </cell>
          <cell r="AO177">
            <v>64.796174999999948</v>
          </cell>
          <cell r="AP177">
            <v>255.51543399999997</v>
          </cell>
          <cell r="AQ177">
            <v>55.843867999999986</v>
          </cell>
          <cell r="AR177">
            <v>33.986671999999999</v>
          </cell>
          <cell r="AS177">
            <v>34.859016000000054</v>
          </cell>
          <cell r="AT177">
            <v>52.028806999999972</v>
          </cell>
          <cell r="AU177">
            <v>176.71836300000001</v>
          </cell>
          <cell r="AW177">
            <v>63.142312000000004</v>
          </cell>
          <cell r="AX177">
            <v>77.416921000000002</v>
          </cell>
          <cell r="AY177">
            <v>64.796174999999948</v>
          </cell>
          <cell r="AZ177">
            <v>55.843867999999986</v>
          </cell>
          <cell r="BA177">
            <v>261.19927599999994</v>
          </cell>
          <cell r="BB177">
            <v>33.986671999999999</v>
          </cell>
          <cell r="BC177">
            <v>34.859016000000054</v>
          </cell>
          <cell r="BD177">
            <v>52.028806999999972</v>
          </cell>
          <cell r="BE177">
            <v>47.11243300000001</v>
          </cell>
          <cell r="BF177">
            <v>167.98692800000003</v>
          </cell>
          <cell r="BG177">
            <v>58.075935000000015</v>
          </cell>
          <cell r="BH177">
            <v>30.455230999999969</v>
          </cell>
          <cell r="BI177">
            <v>20.257249999999942</v>
          </cell>
          <cell r="BJ177">
            <v>37.915349999999933</v>
          </cell>
          <cell r="BK177">
            <v>146.70376599999986</v>
          </cell>
          <cell r="BL177">
            <v>34.756053999999949</v>
          </cell>
          <cell r="BM177">
            <v>32.737855000000081</v>
          </cell>
          <cell r="BN177">
            <v>8.8585190000001148</v>
          </cell>
          <cell r="BO177">
            <v>14.925612000000115</v>
          </cell>
          <cell r="BP177">
            <v>91.27804000000026</v>
          </cell>
          <cell r="BQ177">
            <v>9.9224529999999049</v>
          </cell>
          <cell r="BR177">
            <v>0</v>
          </cell>
          <cell r="BS177">
            <v>0</v>
          </cell>
          <cell r="BT177">
            <v>0</v>
          </cell>
          <cell r="BU177">
            <v>9.9224529999999049</v>
          </cell>
          <cell r="BV177">
            <v>0</v>
          </cell>
          <cell r="BW177">
            <v>0</v>
          </cell>
          <cell r="BX177">
            <v>0</v>
          </cell>
          <cell r="BY177">
            <v>3.9552939999999808</v>
          </cell>
          <cell r="BZ177">
            <v>3.9552939999999808</v>
          </cell>
          <cell r="CA177">
            <v>40.453418000000056</v>
          </cell>
          <cell r="CB177">
            <v>41.261654999999905</v>
          </cell>
          <cell r="CC177">
            <v>28.986032000000023</v>
          </cell>
          <cell r="CD177">
            <v>64.58661399999994</v>
          </cell>
          <cell r="CE177">
            <v>175.28771899999992</v>
          </cell>
          <cell r="CF177">
            <v>46.638097000000016</v>
          </cell>
          <cell r="CG177">
            <v>51.562196000000085</v>
          </cell>
          <cell r="CH177">
            <v>37.551760000000058</v>
          </cell>
          <cell r="CI177">
            <v>76.493701999999871</v>
          </cell>
          <cell r="CJ177">
            <v>212.24575500000003</v>
          </cell>
          <cell r="CK177">
            <v>75.669242000000054</v>
          </cell>
          <cell r="CL177">
            <v>82.399390999999923</v>
          </cell>
          <cell r="CM177">
            <v>84.962401999999997</v>
          </cell>
          <cell r="CO177">
            <v>243.03103499999997</v>
          </cell>
        </row>
        <row r="178">
          <cell r="B178" t="str">
            <v>Outpatient revenue</v>
          </cell>
          <cell r="R178">
            <v>0</v>
          </cell>
          <cell r="S178">
            <v>0</v>
          </cell>
          <cell r="T178">
            <v>0</v>
          </cell>
          <cell r="U178">
            <v>225.98712600000002</v>
          </cell>
          <cell r="V178">
            <v>225.98712600000002</v>
          </cell>
          <cell r="W178">
            <v>234.48798000000002</v>
          </cell>
          <cell r="X178">
            <v>252.60060000000001</v>
          </cell>
          <cell r="Y178">
            <v>266.41328899999996</v>
          </cell>
          <cell r="Z178">
            <v>251.99432099999999</v>
          </cell>
          <cell r="AA178">
            <v>1005.49619</v>
          </cell>
          <cell r="AB178">
            <v>224.11109200000001</v>
          </cell>
          <cell r="AC178">
            <v>251.69743199999999</v>
          </cell>
          <cell r="AD178">
            <v>278.46371999999997</v>
          </cell>
          <cell r="AE178">
            <v>252.60129999999998</v>
          </cell>
          <cell r="AF178">
            <v>1006.873544</v>
          </cell>
          <cell r="AG178">
            <v>271.80087400000002</v>
          </cell>
          <cell r="AH178">
            <v>283.15473600000001</v>
          </cell>
          <cell r="AI178">
            <v>308.67957899999999</v>
          </cell>
          <cell r="AJ178">
            <v>309.05225999999999</v>
          </cell>
          <cell r="AK178">
            <v>1172.687449</v>
          </cell>
          <cell r="AL178">
            <v>54.909973999999977</v>
          </cell>
          <cell r="AM178">
            <v>85.350688000000048</v>
          </cell>
          <cell r="AN178">
            <v>68.256079</v>
          </cell>
          <cell r="AO178">
            <v>76.422824999999989</v>
          </cell>
          <cell r="AP178">
            <v>284.93956600000001</v>
          </cell>
          <cell r="AQ178">
            <v>54.478132000000016</v>
          </cell>
          <cell r="AR178">
            <v>24.286328000000026</v>
          </cell>
          <cell r="AS178">
            <v>49.812983999999972</v>
          </cell>
          <cell r="AT178">
            <v>36.974192999999957</v>
          </cell>
          <cell r="AU178">
            <v>165.55163699999997</v>
          </cell>
          <cell r="AW178">
            <v>85.350688000000048</v>
          </cell>
          <cell r="AX178">
            <v>68.256079</v>
          </cell>
          <cell r="AY178">
            <v>76.422824999999989</v>
          </cell>
          <cell r="AZ178">
            <v>54.478132000000016</v>
          </cell>
          <cell r="BA178">
            <v>284.50772400000005</v>
          </cell>
          <cell r="BB178">
            <v>24.286328000000026</v>
          </cell>
          <cell r="BC178">
            <v>49.812983999999972</v>
          </cell>
          <cell r="BD178">
            <v>36.974192999999957</v>
          </cell>
          <cell r="BE178">
            <v>42.549567000000025</v>
          </cell>
          <cell r="BF178">
            <v>153.62307199999998</v>
          </cell>
          <cell r="BG178">
            <v>58.509065000000021</v>
          </cell>
          <cell r="BH178">
            <v>32.123768999999982</v>
          </cell>
          <cell r="BI178">
            <v>48.493750000000034</v>
          </cell>
          <cell r="BJ178">
            <v>47.587649999999996</v>
          </cell>
          <cell r="BK178">
            <v>186.71423400000003</v>
          </cell>
          <cell r="BL178">
            <v>41.170945999999958</v>
          </cell>
          <cell r="BM178">
            <v>40.227145000000121</v>
          </cell>
          <cell r="BN178">
            <v>6.8754810000000361</v>
          </cell>
          <cell r="BO178">
            <v>10.338388000000009</v>
          </cell>
          <cell r="BP178">
            <v>98.611960000000124</v>
          </cell>
          <cell r="BQ178">
            <v>8.8345469999999295</v>
          </cell>
          <cell r="BR178">
            <v>0</v>
          </cell>
          <cell r="BS178">
            <v>0</v>
          </cell>
          <cell r="BT178">
            <v>0</v>
          </cell>
          <cell r="BU178">
            <v>8.8345469999999295</v>
          </cell>
          <cell r="BV178">
            <v>0</v>
          </cell>
          <cell r="BW178">
            <v>0</v>
          </cell>
          <cell r="BX178">
            <v>0</v>
          </cell>
          <cell r="BY178">
            <v>18.251705999999899</v>
          </cell>
          <cell r="BZ178">
            <v>18.251705999999899</v>
          </cell>
          <cell r="CA178">
            <v>28.249581999999918</v>
          </cell>
          <cell r="CB178">
            <v>29.778345000000058</v>
          </cell>
          <cell r="CC178">
            <v>62.217968000000155</v>
          </cell>
          <cell r="CD178">
            <v>77.822385999999938</v>
          </cell>
          <cell r="CE178">
            <v>198.06828100000007</v>
          </cell>
          <cell r="CF178">
            <v>54.031903000000057</v>
          </cell>
          <cell r="CG178">
            <v>62.146803999999975</v>
          </cell>
          <cell r="CH178">
            <v>53.680239999999912</v>
          </cell>
          <cell r="CI178">
            <v>86.848298</v>
          </cell>
          <cell r="CJ178">
            <v>256.70724499999994</v>
          </cell>
          <cell r="CK178">
            <v>92.14875799999993</v>
          </cell>
          <cell r="CL178">
            <v>110.24160899999993</v>
          </cell>
          <cell r="CM178">
            <v>102.2245979999999</v>
          </cell>
          <cell r="CO178">
            <v>304.61496499999976</v>
          </cell>
        </row>
        <row r="179">
          <cell r="B179" t="str">
            <v>Net revenue</v>
          </cell>
          <cell r="R179" t="str">
            <v>NM</v>
          </cell>
          <cell r="S179" t="str">
            <v>NM</v>
          </cell>
          <cell r="T179" t="str">
            <v>NM</v>
          </cell>
          <cell r="U179" t="str">
            <v>NM</v>
          </cell>
          <cell r="V179">
            <v>0</v>
          </cell>
          <cell r="W179" t="str">
            <v>NM</v>
          </cell>
          <cell r="X179" t="str">
            <v>NM</v>
          </cell>
          <cell r="Y179" t="str">
            <v>NM</v>
          </cell>
          <cell r="Z179" t="str">
            <v>NM</v>
          </cell>
          <cell r="AA179">
            <v>0</v>
          </cell>
          <cell r="AB179" t="str">
            <v>NM</v>
          </cell>
          <cell r="AC179" t="str">
            <v>NM</v>
          </cell>
          <cell r="AD179" t="str">
            <v>NM</v>
          </cell>
          <cell r="AE179" t="str">
            <v>NM</v>
          </cell>
          <cell r="AF179">
            <v>0</v>
          </cell>
          <cell r="AG179" t="str">
            <v>NM</v>
          </cell>
          <cell r="AH179">
            <v>27.70799999999997</v>
          </cell>
          <cell r="AI179" t="str">
            <v>NM</v>
          </cell>
          <cell r="AJ179">
            <v>22.513000000000034</v>
          </cell>
          <cell r="AK179">
            <v>50.221000000000004</v>
          </cell>
          <cell r="AL179">
            <v>105.07000000000005</v>
          </cell>
          <cell r="AM179">
            <v>148.49300000000005</v>
          </cell>
          <cell r="AN179">
            <v>145.673</v>
          </cell>
          <cell r="AO179">
            <v>141.21899999999994</v>
          </cell>
          <cell r="AP179">
            <v>540.45500000000004</v>
          </cell>
          <cell r="AQ179">
            <v>110.322</v>
          </cell>
          <cell r="AR179">
            <v>58.273000000000025</v>
          </cell>
          <cell r="AS179">
            <v>84.672000000000025</v>
          </cell>
          <cell r="AT179">
            <v>89.002999999999929</v>
          </cell>
          <cell r="AU179">
            <v>342.27</v>
          </cell>
          <cell r="AW179">
            <v>148.49300000000005</v>
          </cell>
          <cell r="AX179">
            <v>145.673</v>
          </cell>
          <cell r="AY179">
            <v>141.21899999999994</v>
          </cell>
          <cell r="AZ179">
            <v>110.322</v>
          </cell>
          <cell r="BA179">
            <v>545.70699999999999</v>
          </cell>
          <cell r="BB179">
            <v>58.273000000000025</v>
          </cell>
          <cell r="BC179">
            <v>84.672000000000025</v>
          </cell>
          <cell r="BD179">
            <v>89.002999999999929</v>
          </cell>
          <cell r="BE179">
            <v>89.662000000000035</v>
          </cell>
          <cell r="BF179">
            <v>321.61</v>
          </cell>
          <cell r="BG179">
            <v>116.58500000000004</v>
          </cell>
          <cell r="BH179">
            <v>62.578999999999951</v>
          </cell>
          <cell r="BI179">
            <v>68.750999999999976</v>
          </cell>
          <cell r="BJ179">
            <v>85.502999999999929</v>
          </cell>
          <cell r="BK179">
            <v>333.41799999999989</v>
          </cell>
          <cell r="BL179">
            <v>75.926999999999907</v>
          </cell>
          <cell r="BM179">
            <v>72.965000000000146</v>
          </cell>
          <cell r="BN179">
            <v>15.734000000000151</v>
          </cell>
          <cell r="BO179">
            <v>25.264000000000124</v>
          </cell>
          <cell r="BP179">
            <v>189.89000000000033</v>
          </cell>
          <cell r="BQ179">
            <v>18.756999999999834</v>
          </cell>
          <cell r="BR179">
            <v>0</v>
          </cell>
          <cell r="BS179">
            <v>0</v>
          </cell>
          <cell r="BT179">
            <v>0</v>
          </cell>
          <cell r="BU179">
            <v>18.756999999999834</v>
          </cell>
          <cell r="BV179">
            <v>0</v>
          </cell>
          <cell r="BW179">
            <v>0</v>
          </cell>
          <cell r="BX179">
            <v>0</v>
          </cell>
          <cell r="BY179">
            <v>22.20699999999988</v>
          </cell>
          <cell r="BZ179">
            <v>22.20699999999988</v>
          </cell>
          <cell r="CA179">
            <v>68.702999999999975</v>
          </cell>
          <cell r="CB179">
            <v>71.039999999999964</v>
          </cell>
          <cell r="CC179">
            <v>91.204000000000178</v>
          </cell>
          <cell r="CD179">
            <v>142.40899999999988</v>
          </cell>
          <cell r="CE179">
            <v>373.35599999999999</v>
          </cell>
          <cell r="CF179">
            <v>100.67000000000007</v>
          </cell>
          <cell r="CG179">
            <v>113.70900000000006</v>
          </cell>
          <cell r="CH179">
            <v>91.231999999999971</v>
          </cell>
          <cell r="CI179">
            <v>163.34199999999987</v>
          </cell>
          <cell r="CJ179">
            <v>468.95299999999997</v>
          </cell>
          <cell r="CK179">
            <v>167.81799999999998</v>
          </cell>
          <cell r="CL179">
            <v>192.64099999999985</v>
          </cell>
          <cell r="CM179">
            <v>187.1869999999999</v>
          </cell>
          <cell r="CO179">
            <v>547.64599999999973</v>
          </cell>
        </row>
        <row r="180">
          <cell r="B180" t="str">
            <v>Same hospital operating Adjusted EBITDA</v>
          </cell>
        </row>
        <row r="181">
          <cell r="B181" t="str">
            <v>EBITDA Margin</v>
          </cell>
        </row>
        <row r="183">
          <cell r="B183" t="str">
            <v>ORIGINALLY REPORTED</v>
          </cell>
        </row>
        <row r="184">
          <cell r="B184" t="str">
            <v>Continuing Operations</v>
          </cell>
        </row>
        <row r="185">
          <cell r="B185" t="str">
            <v>Occupancy</v>
          </cell>
          <cell r="D185" t="str">
            <v>ND</v>
          </cell>
          <cell r="E185" t="str">
            <v>ND</v>
          </cell>
          <cell r="F185">
            <v>0.47799999999999998</v>
          </cell>
          <cell r="G185">
            <v>0.45600000000000002</v>
          </cell>
          <cell r="H185">
            <v>0.433</v>
          </cell>
          <cell r="I185">
            <v>0.436</v>
          </cell>
          <cell r="J185">
            <v>0.432</v>
          </cell>
          <cell r="K185">
            <v>0.44800000000000001</v>
          </cell>
          <cell r="L185">
            <v>0.47099999999999997</v>
          </cell>
          <cell r="M185">
            <v>0.46100000000000002</v>
          </cell>
          <cell r="N185">
            <v>0.54700000000000004</v>
          </cell>
          <cell r="O185">
            <v>0.44700000000000001</v>
          </cell>
          <cell r="P185" t="str">
            <v>ND</v>
          </cell>
          <cell r="Q185">
            <v>0.47099999999999997</v>
          </cell>
          <cell r="R185">
            <v>0.45300000000000001</v>
          </cell>
          <cell r="S185">
            <v>0.504</v>
          </cell>
          <cell r="T185">
            <v>0.45300000000000001</v>
          </cell>
          <cell r="U185" t="str">
            <v>ND</v>
          </cell>
          <cell r="V185">
            <v>0.46200000000000002</v>
          </cell>
          <cell r="W185">
            <v>0.44700000000000001</v>
          </cell>
          <cell r="X185">
            <v>0.52800000000000002</v>
          </cell>
          <cell r="Y185">
            <v>0.47599999999999998</v>
          </cell>
          <cell r="Z185" t="str">
            <v>ND</v>
          </cell>
          <cell r="AA185">
            <v>0.47199999999999998</v>
          </cell>
          <cell r="AB185">
            <v>0.45500000000000002</v>
          </cell>
          <cell r="AC185">
            <v>0.51600000000000001</v>
          </cell>
          <cell r="AD185">
            <v>0.48199999999999998</v>
          </cell>
          <cell r="AE185" t="str">
            <v>ND</v>
          </cell>
          <cell r="AF185">
            <v>0.47899999999999998</v>
          </cell>
          <cell r="AG185">
            <v>0.48099999999999998</v>
          </cell>
          <cell r="AH185">
            <v>0.53</v>
          </cell>
          <cell r="AI185">
            <v>0.47499999999999998</v>
          </cell>
          <cell r="AJ185">
            <v>0.45800000000000002</v>
          </cell>
          <cell r="AK185">
            <v>0.48499999999999999</v>
          </cell>
          <cell r="AL185">
            <v>0.48</v>
          </cell>
          <cell r="AM185">
            <v>0.51400000000000001</v>
          </cell>
          <cell r="AN185">
            <v>0.45400000000000001</v>
          </cell>
          <cell r="AO185">
            <v>0.46600000000000003</v>
          </cell>
          <cell r="AP185">
            <v>0.47899999999999998</v>
          </cell>
          <cell r="AQ185">
            <v>0.45800000000000002</v>
          </cell>
          <cell r="AR185">
            <v>0.51600000000000001</v>
          </cell>
          <cell r="AS185">
            <v>0.45700000000000002</v>
          </cell>
          <cell r="AT185">
            <v>0.42399999999999999</v>
          </cell>
          <cell r="AU185">
            <v>0.46300000000000002</v>
          </cell>
          <cell r="AW185">
            <v>0.51400000000000001</v>
          </cell>
          <cell r="AX185">
            <v>0.45400000000000001</v>
          </cell>
          <cell r="AY185">
            <v>0.46600000000000003</v>
          </cell>
          <cell r="AZ185">
            <v>0.45800000000000002</v>
          </cell>
          <cell r="BB185">
            <v>0.51600000000000001</v>
          </cell>
          <cell r="BC185">
            <v>0.45700000000000002</v>
          </cell>
          <cell r="BD185">
            <v>0.42399999999999999</v>
          </cell>
          <cell r="BE185">
            <v>0.439</v>
          </cell>
          <cell r="BG185">
            <v>0.497</v>
          </cell>
          <cell r="BH185">
            <v>0.443</v>
          </cell>
          <cell r="BI185">
            <v>0.42199999999999999</v>
          </cell>
          <cell r="BJ185">
            <v>0.436</v>
          </cell>
          <cell r="BK185">
            <v>0.45</v>
          </cell>
          <cell r="BL185">
            <v>0.48899999999999999</v>
          </cell>
          <cell r="BM185">
            <v>0.442</v>
          </cell>
          <cell r="BN185">
            <v>0.42199999999999999</v>
          </cell>
          <cell r="BO185">
            <v>0.42099999999999999</v>
          </cell>
          <cell r="BP185">
            <v>0.44800000000000001</v>
          </cell>
          <cell r="BQ185">
            <v>0.51</v>
          </cell>
          <cell r="BR185">
            <v>0.442</v>
          </cell>
          <cell r="BS185">
            <v>0.41899999999999998</v>
          </cell>
          <cell r="BT185">
            <v>0.44400000000000001</v>
          </cell>
          <cell r="BU185">
            <v>0.44900000000000001</v>
          </cell>
          <cell r="BV185">
            <v>0.496</v>
          </cell>
          <cell r="BW185">
            <v>0.44800000000000001</v>
          </cell>
          <cell r="BX185">
            <v>0.42499999999999999</v>
          </cell>
          <cell r="BY185">
            <v>0.442</v>
          </cell>
          <cell r="BZ185">
            <v>0.44900000000000001</v>
          </cell>
          <cell r="CA185">
            <v>0.48899999999999999</v>
          </cell>
          <cell r="CB185">
            <v>0.438</v>
          </cell>
          <cell r="CC185">
            <v>0.41599999999999998</v>
          </cell>
          <cell r="CD185">
            <v>0.42599999999999999</v>
          </cell>
          <cell r="CE185">
            <v>0.435</v>
          </cell>
          <cell r="CF185">
            <v>0.48299999999999998</v>
          </cell>
          <cell r="CG185">
            <v>0.42699999999999999</v>
          </cell>
          <cell r="CH185">
            <v>0.41099999999999998</v>
          </cell>
          <cell r="CI185">
            <v>0.41</v>
          </cell>
          <cell r="CJ185">
            <v>0.42799999999999999</v>
          </cell>
          <cell r="CK185">
            <v>0.45200000000000001</v>
          </cell>
          <cell r="CL185">
            <v>0.39600000000000002</v>
          </cell>
          <cell r="CM185">
            <v>0.38900000000000001</v>
          </cell>
        </row>
        <row r="186">
          <cell r="B186" t="str">
            <v>Patient days</v>
          </cell>
          <cell r="D186" t="str">
            <v>ND</v>
          </cell>
          <cell r="E186" t="str">
            <v>ND</v>
          </cell>
          <cell r="F186">
            <v>290026</v>
          </cell>
          <cell r="G186">
            <v>284168</v>
          </cell>
          <cell r="H186">
            <v>317636</v>
          </cell>
          <cell r="I186">
            <v>340485</v>
          </cell>
          <cell r="J186">
            <v>419488</v>
          </cell>
          <cell r="K186">
            <v>494977</v>
          </cell>
          <cell r="L186">
            <v>615248</v>
          </cell>
          <cell r="M186">
            <v>161915</v>
          </cell>
          <cell r="N186">
            <v>188740</v>
          </cell>
          <cell r="O186">
            <v>181338</v>
          </cell>
          <cell r="P186" t="str">
            <v>ND</v>
          </cell>
          <cell r="Q186">
            <v>718035</v>
          </cell>
          <cell r="R186">
            <v>194260</v>
          </cell>
          <cell r="S186">
            <v>213763</v>
          </cell>
          <cell r="T186">
            <v>187273</v>
          </cell>
          <cell r="U186" t="str">
            <v>ND</v>
          </cell>
          <cell r="V186">
            <v>791617</v>
          </cell>
          <cell r="W186">
            <v>209431</v>
          </cell>
          <cell r="X186">
            <v>238835</v>
          </cell>
          <cell r="Y186">
            <v>216296</v>
          </cell>
          <cell r="Z186" t="str">
            <v>ND</v>
          </cell>
          <cell r="AA186">
            <v>880624</v>
          </cell>
          <cell r="AB186">
            <v>223702</v>
          </cell>
          <cell r="AC186">
            <v>269317</v>
          </cell>
          <cell r="AD186">
            <v>253049</v>
          </cell>
          <cell r="AE186" t="str">
            <v>ND</v>
          </cell>
          <cell r="AF186">
            <v>1000480</v>
          </cell>
          <cell r="AG186">
            <v>262347</v>
          </cell>
          <cell r="AH186">
            <v>286523</v>
          </cell>
          <cell r="AI186">
            <v>264548</v>
          </cell>
          <cell r="AJ186">
            <v>266447</v>
          </cell>
          <cell r="AK186">
            <v>1079865</v>
          </cell>
          <cell r="AL186">
            <v>317652</v>
          </cell>
          <cell r="AM186">
            <v>353030</v>
          </cell>
          <cell r="AN186">
            <v>312639</v>
          </cell>
          <cell r="AO186">
            <v>305140</v>
          </cell>
          <cell r="AP186">
            <v>1288461</v>
          </cell>
          <cell r="AQ186">
            <v>317707</v>
          </cell>
          <cell r="AR186">
            <v>370535</v>
          </cell>
          <cell r="AS186">
            <v>345231</v>
          </cell>
          <cell r="AT186">
            <v>325395</v>
          </cell>
          <cell r="AU186">
            <v>1349727</v>
          </cell>
          <cell r="AW186">
            <v>353030</v>
          </cell>
          <cell r="AX186">
            <v>312639</v>
          </cell>
          <cell r="AY186">
            <v>305140</v>
          </cell>
          <cell r="AZ186">
            <v>317707</v>
          </cell>
          <cell r="BA186">
            <v>1288516</v>
          </cell>
          <cell r="BB186">
            <v>370535</v>
          </cell>
          <cell r="BC186">
            <v>345231</v>
          </cell>
          <cell r="BD186">
            <v>325395</v>
          </cell>
          <cell r="BE186">
            <v>333940</v>
          </cell>
          <cell r="BF186">
            <v>1375101</v>
          </cell>
          <cell r="BG186">
            <v>382497</v>
          </cell>
          <cell r="BH186">
            <v>347238</v>
          </cell>
          <cell r="BI186">
            <v>322423</v>
          </cell>
          <cell r="BJ186">
            <v>333857</v>
          </cell>
          <cell r="BK186">
            <v>1348371</v>
          </cell>
          <cell r="BL186">
            <v>367374</v>
          </cell>
          <cell r="BM186">
            <v>331970</v>
          </cell>
          <cell r="BN186">
            <v>319857</v>
          </cell>
          <cell r="BO186">
            <v>323215</v>
          </cell>
          <cell r="BP186">
            <v>1332424</v>
          </cell>
          <cell r="BQ186">
            <v>369659</v>
          </cell>
          <cell r="BR186">
            <v>317431</v>
          </cell>
          <cell r="BS186">
            <v>303622</v>
          </cell>
          <cell r="BT186">
            <v>323897</v>
          </cell>
          <cell r="BU186">
            <v>1314609</v>
          </cell>
          <cell r="BV186">
            <v>356813</v>
          </cell>
          <cell r="BW186">
            <v>325577</v>
          </cell>
          <cell r="BX186">
            <v>306871</v>
          </cell>
          <cell r="BY186">
            <v>325249</v>
          </cell>
          <cell r="BZ186">
            <v>1302409</v>
          </cell>
          <cell r="CA186">
            <v>366900</v>
          </cell>
          <cell r="CB186">
            <v>331709</v>
          </cell>
          <cell r="CC186">
            <v>323925</v>
          </cell>
          <cell r="CD186">
            <v>343374</v>
          </cell>
          <cell r="CE186">
            <v>1353040</v>
          </cell>
          <cell r="CF186">
            <v>381195</v>
          </cell>
          <cell r="CG186">
            <v>343107</v>
          </cell>
          <cell r="CH186">
            <v>335934</v>
          </cell>
          <cell r="CI186">
            <v>364916</v>
          </cell>
          <cell r="CJ186">
            <v>1424500</v>
          </cell>
          <cell r="CK186">
            <v>401105</v>
          </cell>
          <cell r="CL186">
            <v>361924</v>
          </cell>
          <cell r="CM186">
            <v>357613</v>
          </cell>
          <cell r="CO186">
            <v>1120642</v>
          </cell>
        </row>
        <row r="187">
          <cell r="B187" t="str">
            <v>Admissions</v>
          </cell>
          <cell r="D187" t="str">
            <v>ND</v>
          </cell>
          <cell r="E187">
            <v>40217</v>
          </cell>
          <cell r="F187">
            <v>46756</v>
          </cell>
          <cell r="G187">
            <v>48826</v>
          </cell>
          <cell r="H187">
            <v>55985</v>
          </cell>
          <cell r="I187">
            <v>63729</v>
          </cell>
          <cell r="J187">
            <v>82701</v>
          </cell>
          <cell r="K187">
            <v>100677</v>
          </cell>
          <cell r="L187">
            <v>123713</v>
          </cell>
          <cell r="M187" t="str">
            <v>ND</v>
          </cell>
          <cell r="N187" t="str">
            <v>ND</v>
          </cell>
          <cell r="O187" t="str">
            <v>ND</v>
          </cell>
          <cell r="P187" t="str">
            <v>ND</v>
          </cell>
          <cell r="Q187">
            <v>144172</v>
          </cell>
          <cell r="R187" t="str">
            <v>ND</v>
          </cell>
          <cell r="S187" t="str">
            <v>ND</v>
          </cell>
          <cell r="T187" t="str">
            <v>ND</v>
          </cell>
          <cell r="U187" t="str">
            <v>ND</v>
          </cell>
          <cell r="V187">
            <v>161895</v>
          </cell>
          <cell r="W187" t="str">
            <v>ND</v>
          </cell>
          <cell r="X187" t="str">
            <v>ND</v>
          </cell>
          <cell r="Y187" t="str">
            <v>ND</v>
          </cell>
          <cell r="Z187" t="str">
            <v>ND</v>
          </cell>
          <cell r="AA187">
            <v>187062</v>
          </cell>
          <cell r="AB187" t="str">
            <v>ND</v>
          </cell>
          <cell r="AC187" t="str">
            <v>ND</v>
          </cell>
          <cell r="AD187" t="str">
            <v>ND</v>
          </cell>
          <cell r="AE187" t="str">
            <v>ND</v>
          </cell>
          <cell r="AF187">
            <v>216256</v>
          </cell>
          <cell r="AG187" t="str">
            <v>ND</v>
          </cell>
          <cell r="AH187">
            <v>61228</v>
          </cell>
          <cell r="AI187" t="str">
            <v>ND</v>
          </cell>
          <cell r="AJ187">
            <v>59248</v>
          </cell>
          <cell r="AK187">
            <v>235434</v>
          </cell>
          <cell r="AL187">
            <v>70018</v>
          </cell>
          <cell r="AM187">
            <v>76152</v>
          </cell>
          <cell r="AN187">
            <v>69427</v>
          </cell>
          <cell r="AO187">
            <v>69037</v>
          </cell>
          <cell r="AP187">
            <v>284634</v>
          </cell>
          <cell r="AQ187">
            <v>71467</v>
          </cell>
          <cell r="AR187">
            <v>81692</v>
          </cell>
          <cell r="AS187">
            <v>76858</v>
          </cell>
          <cell r="AT187">
            <v>73831</v>
          </cell>
          <cell r="AU187">
            <v>301362</v>
          </cell>
          <cell r="AW187">
            <v>76152</v>
          </cell>
          <cell r="AX187">
            <v>69427</v>
          </cell>
          <cell r="AY187">
            <v>69037</v>
          </cell>
          <cell r="AZ187">
            <v>71467</v>
          </cell>
          <cell r="BA187">
            <v>286083</v>
          </cell>
          <cell r="BB187">
            <v>81692</v>
          </cell>
          <cell r="BC187">
            <v>76858</v>
          </cell>
          <cell r="BD187">
            <v>73831</v>
          </cell>
          <cell r="BE187">
            <v>75590</v>
          </cell>
          <cell r="BF187">
            <v>307971</v>
          </cell>
          <cell r="BG187">
            <v>84451</v>
          </cell>
          <cell r="BH187">
            <v>78219</v>
          </cell>
          <cell r="BI187">
            <v>76650</v>
          </cell>
          <cell r="BJ187">
            <v>79218</v>
          </cell>
          <cell r="BK187">
            <v>316096</v>
          </cell>
          <cell r="BL187">
            <v>85358</v>
          </cell>
          <cell r="BM187">
            <v>78623</v>
          </cell>
          <cell r="BN187">
            <v>76337</v>
          </cell>
          <cell r="BO187">
            <v>77531</v>
          </cell>
          <cell r="BP187">
            <v>316486</v>
          </cell>
          <cell r="BQ187">
            <v>83551</v>
          </cell>
          <cell r="BR187">
            <v>73809</v>
          </cell>
          <cell r="BS187">
            <v>72448</v>
          </cell>
          <cell r="BT187">
            <v>76562</v>
          </cell>
          <cell r="BU187">
            <v>306370</v>
          </cell>
          <cell r="BV187">
            <v>83361</v>
          </cell>
          <cell r="BW187">
            <v>77580</v>
          </cell>
          <cell r="BX187">
            <v>74890</v>
          </cell>
          <cell r="BY187">
            <v>77568</v>
          </cell>
          <cell r="BZ187">
            <v>310366</v>
          </cell>
          <cell r="CA187">
            <v>85482</v>
          </cell>
          <cell r="CB187">
            <v>79896</v>
          </cell>
          <cell r="CC187">
            <v>78566</v>
          </cell>
          <cell r="CD187">
            <v>82884</v>
          </cell>
          <cell r="CE187">
            <v>324575</v>
          </cell>
          <cell r="CF187">
            <v>88343</v>
          </cell>
          <cell r="CG187">
            <v>80753</v>
          </cell>
          <cell r="CH187">
            <v>81411</v>
          </cell>
          <cell r="CI187">
            <v>88330</v>
          </cell>
          <cell r="CJ187">
            <v>338637</v>
          </cell>
          <cell r="CK187">
            <v>93378</v>
          </cell>
          <cell r="CL187">
            <v>86467</v>
          </cell>
          <cell r="CM187">
            <v>84704</v>
          </cell>
          <cell r="CO187">
            <v>264549</v>
          </cell>
        </row>
        <row r="188">
          <cell r="B188" t="str">
            <v>Adjusted admissions</v>
          </cell>
          <cell r="D188" t="str">
            <v>ND</v>
          </cell>
          <cell r="E188" t="str">
            <v>ND</v>
          </cell>
          <cell r="F188" t="str">
            <v>ND</v>
          </cell>
          <cell r="G188" t="str">
            <v>ND</v>
          </cell>
          <cell r="H188" t="str">
            <v>ND</v>
          </cell>
          <cell r="I188" t="str">
            <v>ND</v>
          </cell>
          <cell r="J188" t="str">
            <v>ND</v>
          </cell>
          <cell r="K188" t="str">
            <v>ND</v>
          </cell>
          <cell r="L188" t="str">
            <v>ND</v>
          </cell>
          <cell r="M188" t="str">
            <v>ND</v>
          </cell>
          <cell r="N188" t="str">
            <v>ND</v>
          </cell>
          <cell r="O188" t="str">
            <v>ND</v>
          </cell>
          <cell r="P188" t="str">
            <v>ND</v>
          </cell>
          <cell r="Q188" t="str">
            <v>ND</v>
          </cell>
          <cell r="R188" t="str">
            <v>ND</v>
          </cell>
          <cell r="S188" t="str">
            <v>ND</v>
          </cell>
          <cell r="T188" t="str">
            <v>ND</v>
          </cell>
          <cell r="U188" t="str">
            <v>ND</v>
          </cell>
          <cell r="V188" t="str">
            <v>ND</v>
          </cell>
          <cell r="W188" t="str">
            <v>ND</v>
          </cell>
          <cell r="X188" t="str">
            <v>ND</v>
          </cell>
          <cell r="Y188" t="str">
            <v>ND</v>
          </cell>
          <cell r="Z188" t="str">
            <v>ND</v>
          </cell>
          <cell r="AA188" t="str">
            <v>ND</v>
          </cell>
          <cell r="AB188" t="str">
            <v>ND</v>
          </cell>
          <cell r="AC188" t="str">
            <v>ND</v>
          </cell>
          <cell r="AD188" t="str">
            <v>ND</v>
          </cell>
          <cell r="AE188" t="str">
            <v>ND</v>
          </cell>
          <cell r="AF188" t="str">
            <v>ND</v>
          </cell>
          <cell r="AG188" t="str">
            <v>ND</v>
          </cell>
          <cell r="AH188">
            <v>95321</v>
          </cell>
          <cell r="AI188" t="str">
            <v>ND</v>
          </cell>
          <cell r="AJ188">
            <v>95692</v>
          </cell>
          <cell r="AK188">
            <v>373936</v>
          </cell>
          <cell r="AL188">
            <v>111700</v>
          </cell>
          <cell r="AM188">
            <v>121044</v>
          </cell>
          <cell r="AN188">
            <v>114805</v>
          </cell>
          <cell r="AO188">
            <v>114751</v>
          </cell>
          <cell r="AP188">
            <v>462388</v>
          </cell>
          <cell r="AQ188">
            <v>117188</v>
          </cell>
          <cell r="AR188">
            <v>131636</v>
          </cell>
          <cell r="AS188">
            <v>128666</v>
          </cell>
          <cell r="AT188">
            <v>125498</v>
          </cell>
          <cell r="AU188">
            <v>498168</v>
          </cell>
          <cell r="AW188">
            <v>121044</v>
          </cell>
          <cell r="AX188">
            <v>114805</v>
          </cell>
          <cell r="AY188">
            <v>114751</v>
          </cell>
          <cell r="AZ188">
            <v>117188</v>
          </cell>
          <cell r="BA188">
            <v>467788</v>
          </cell>
          <cell r="BB188">
            <v>131636</v>
          </cell>
          <cell r="BC188">
            <v>128666</v>
          </cell>
          <cell r="BD188">
            <v>125498</v>
          </cell>
          <cell r="BE188">
            <v>125934</v>
          </cell>
          <cell r="BF188">
            <v>511734</v>
          </cell>
          <cell r="BG188">
            <v>140172</v>
          </cell>
          <cell r="BH188">
            <v>134721</v>
          </cell>
          <cell r="BI188">
            <v>130368</v>
          </cell>
          <cell r="BJ188">
            <v>133712</v>
          </cell>
          <cell r="BK188">
            <v>528634</v>
          </cell>
          <cell r="BL188">
            <v>142078</v>
          </cell>
          <cell r="BM188">
            <v>138778</v>
          </cell>
          <cell r="BN188">
            <v>132846</v>
          </cell>
          <cell r="BO188">
            <v>134842</v>
          </cell>
          <cell r="BP188">
            <v>543312</v>
          </cell>
          <cell r="BQ188">
            <v>140324</v>
          </cell>
          <cell r="BR188">
            <v>129749</v>
          </cell>
          <cell r="BS188">
            <v>129168</v>
          </cell>
          <cell r="BT188">
            <v>132965</v>
          </cell>
          <cell r="BU188">
            <v>531552</v>
          </cell>
          <cell r="BV188">
            <v>140649</v>
          </cell>
          <cell r="BW188">
            <v>135801</v>
          </cell>
          <cell r="BX188">
            <v>135033</v>
          </cell>
          <cell r="BY188">
            <v>137063</v>
          </cell>
          <cell r="BZ188">
            <v>542231</v>
          </cell>
          <cell r="CA188">
            <v>148930</v>
          </cell>
          <cell r="CB188">
            <v>145415</v>
          </cell>
          <cell r="CC188">
            <v>146397</v>
          </cell>
          <cell r="CD188">
            <v>152024</v>
          </cell>
          <cell r="CE188">
            <v>587987</v>
          </cell>
          <cell r="CF188">
            <v>159642</v>
          </cell>
          <cell r="CG188">
            <v>152216</v>
          </cell>
          <cell r="CH188">
            <v>155097</v>
          </cell>
          <cell r="CI188">
            <v>169200</v>
          </cell>
          <cell r="CJ188">
            <v>635934</v>
          </cell>
          <cell r="CK188">
            <v>177815</v>
          </cell>
          <cell r="CL188">
            <v>172194</v>
          </cell>
          <cell r="CM188">
            <v>171206</v>
          </cell>
          <cell r="CO188">
            <v>521215</v>
          </cell>
        </row>
        <row r="189">
          <cell r="B189" t="str">
            <v>Average length of stay</v>
          </cell>
          <cell r="D189" t="str">
            <v>ND</v>
          </cell>
          <cell r="E189">
            <v>5.5</v>
          </cell>
          <cell r="F189">
            <v>5.6</v>
          </cell>
          <cell r="G189">
            <v>5.3</v>
          </cell>
          <cell r="H189">
            <v>5.3</v>
          </cell>
          <cell r="I189">
            <v>4.9000000000000004</v>
          </cell>
          <cell r="J189">
            <v>4.7</v>
          </cell>
          <cell r="K189">
            <v>4.5999999999999996</v>
          </cell>
          <cell r="L189">
            <v>4.5999999999999996</v>
          </cell>
          <cell r="M189" t="str">
            <v>ND</v>
          </cell>
          <cell r="N189" t="str">
            <v>ND</v>
          </cell>
          <cell r="O189" t="str">
            <v>ND</v>
          </cell>
          <cell r="P189" t="str">
            <v>ND</v>
          </cell>
          <cell r="Q189">
            <v>4.5</v>
          </cell>
          <cell r="R189" t="str">
            <v>ND</v>
          </cell>
          <cell r="S189" t="str">
            <v>ND</v>
          </cell>
          <cell r="T189" t="str">
            <v>ND</v>
          </cell>
          <cell r="U189" t="str">
            <v>ND</v>
          </cell>
          <cell r="V189">
            <v>4.5</v>
          </cell>
          <cell r="W189" t="str">
            <v>ND</v>
          </cell>
          <cell r="X189" t="str">
            <v>ND</v>
          </cell>
          <cell r="Y189" t="str">
            <v>ND</v>
          </cell>
          <cell r="Z189" t="str">
            <v>ND</v>
          </cell>
          <cell r="AA189">
            <v>4.5</v>
          </cell>
          <cell r="AB189" t="str">
            <v>ND</v>
          </cell>
          <cell r="AC189" t="str">
            <v>ND</v>
          </cell>
          <cell r="AD189" t="str">
            <v>ND</v>
          </cell>
          <cell r="AE189" t="str">
            <v>ND</v>
          </cell>
          <cell r="AF189">
            <v>4.4000000000000004</v>
          </cell>
          <cell r="AG189" t="str">
            <v>ND</v>
          </cell>
          <cell r="AH189">
            <v>4.7</v>
          </cell>
          <cell r="AI189" t="str">
            <v>ND</v>
          </cell>
          <cell r="AJ189">
            <v>4.5</v>
          </cell>
          <cell r="AK189">
            <v>4.4000000000000004</v>
          </cell>
          <cell r="AL189">
            <v>4.5</v>
          </cell>
          <cell r="AM189">
            <v>4.5999999999999996</v>
          </cell>
          <cell r="AN189">
            <v>4.5</v>
          </cell>
          <cell r="AO189">
            <v>4.4000000000000004</v>
          </cell>
          <cell r="AP189">
            <v>4.5</v>
          </cell>
          <cell r="AQ189">
            <v>4.4000000000000004</v>
          </cell>
          <cell r="AR189">
            <v>4.5</v>
          </cell>
          <cell r="AS189">
            <v>4.5</v>
          </cell>
          <cell r="AT189">
            <v>4.4000000000000004</v>
          </cell>
          <cell r="AU189">
            <v>4.5</v>
          </cell>
          <cell r="AW189">
            <v>4.5999999999999996</v>
          </cell>
          <cell r="AX189">
            <v>4.5</v>
          </cell>
          <cell r="AY189">
            <v>4.4000000000000004</v>
          </cell>
          <cell r="AZ189">
            <v>4.4000000000000004</v>
          </cell>
          <cell r="BB189">
            <v>4.5</v>
          </cell>
          <cell r="BC189">
            <v>4.5</v>
          </cell>
          <cell r="BD189">
            <v>4.4000000000000004</v>
          </cell>
          <cell r="BE189" t="str">
            <v>ND</v>
          </cell>
          <cell r="BG189">
            <v>4.5</v>
          </cell>
          <cell r="BH189">
            <v>4.4000000000000004</v>
          </cell>
          <cell r="BI189">
            <v>4.2</v>
          </cell>
          <cell r="BJ189">
            <v>4.2</v>
          </cell>
          <cell r="BK189">
            <v>4.3</v>
          </cell>
          <cell r="BL189">
            <v>4.3</v>
          </cell>
          <cell r="BM189">
            <v>4.2</v>
          </cell>
          <cell r="BN189">
            <v>4.2</v>
          </cell>
          <cell r="BO189">
            <v>4.2</v>
          </cell>
          <cell r="BP189">
            <v>4.2</v>
          </cell>
          <cell r="BQ189">
            <v>4.4000000000000004</v>
          </cell>
          <cell r="BR189">
            <v>4.3</v>
          </cell>
          <cell r="BS189">
            <v>4.2</v>
          </cell>
          <cell r="BT189">
            <v>4.2</v>
          </cell>
          <cell r="BU189">
            <v>4.3</v>
          </cell>
          <cell r="BV189">
            <v>4.3</v>
          </cell>
          <cell r="BW189">
            <v>4.2</v>
          </cell>
          <cell r="BX189">
            <v>4.0999999999999996</v>
          </cell>
          <cell r="BY189">
            <v>4.2</v>
          </cell>
          <cell r="BZ189">
            <v>4.2</v>
          </cell>
          <cell r="CA189">
            <v>4.3</v>
          </cell>
          <cell r="CB189">
            <v>4.2</v>
          </cell>
          <cell r="CC189">
            <v>4.0999999999999996</v>
          </cell>
          <cell r="CD189">
            <v>4.0999999999999996</v>
          </cell>
          <cell r="CE189">
            <v>4.2</v>
          </cell>
          <cell r="CF189">
            <v>4.3</v>
          </cell>
          <cell r="CG189">
            <v>4.2</v>
          </cell>
          <cell r="CH189">
            <v>4.0999999999999996</v>
          </cell>
          <cell r="CI189">
            <v>4.0999999999999996</v>
          </cell>
          <cell r="CJ189">
            <v>4.2</v>
          </cell>
          <cell r="CK189">
            <v>4.9000000000000004</v>
          </cell>
          <cell r="CL189">
            <v>4.2</v>
          </cell>
          <cell r="CM189">
            <v>4.2</v>
          </cell>
        </row>
        <row r="190">
          <cell r="B190" t="str">
            <v>Surgeries</v>
          </cell>
          <cell r="D190" t="str">
            <v>ND</v>
          </cell>
          <cell r="E190" t="str">
            <v>ND</v>
          </cell>
          <cell r="F190" t="str">
            <v>ND</v>
          </cell>
          <cell r="G190" t="str">
            <v>ND</v>
          </cell>
          <cell r="H190" t="str">
            <v>ND</v>
          </cell>
          <cell r="I190" t="str">
            <v>ND</v>
          </cell>
          <cell r="J190" t="str">
            <v>ND</v>
          </cell>
          <cell r="K190" t="str">
            <v>ND</v>
          </cell>
          <cell r="L190" t="str">
            <v>ND</v>
          </cell>
          <cell r="M190" t="str">
            <v>ND</v>
          </cell>
          <cell r="N190" t="str">
            <v>ND</v>
          </cell>
          <cell r="O190" t="str">
            <v>ND</v>
          </cell>
          <cell r="P190" t="str">
            <v>ND</v>
          </cell>
          <cell r="Q190" t="str">
            <v>ND</v>
          </cell>
          <cell r="R190" t="str">
            <v>ND</v>
          </cell>
          <cell r="S190" t="str">
            <v>ND</v>
          </cell>
          <cell r="T190" t="str">
            <v>ND</v>
          </cell>
          <cell r="U190" t="str">
            <v>ND</v>
          </cell>
          <cell r="V190" t="str">
            <v>ND</v>
          </cell>
          <cell r="W190" t="str">
            <v>ND</v>
          </cell>
          <cell r="X190" t="str">
            <v>ND</v>
          </cell>
          <cell r="Y190" t="str">
            <v>ND</v>
          </cell>
          <cell r="Z190" t="str">
            <v>ND</v>
          </cell>
          <cell r="AA190" t="str">
            <v>ND</v>
          </cell>
          <cell r="AB190" t="str">
            <v>ND</v>
          </cell>
          <cell r="AC190" t="str">
            <v>ND</v>
          </cell>
          <cell r="AD190" t="str">
            <v>ND</v>
          </cell>
          <cell r="AE190" t="str">
            <v>ND</v>
          </cell>
          <cell r="AF190" t="str">
            <v>ND</v>
          </cell>
          <cell r="AG190" t="str">
            <v>ND</v>
          </cell>
          <cell r="AH190">
            <v>52782</v>
          </cell>
          <cell r="AI190" t="str">
            <v>ND</v>
          </cell>
          <cell r="AJ190">
            <v>52393</v>
          </cell>
          <cell r="AK190">
            <v>209103</v>
          </cell>
          <cell r="AL190">
            <v>56494</v>
          </cell>
          <cell r="AM190">
            <v>61310</v>
          </cell>
          <cell r="AN190">
            <v>59739</v>
          </cell>
          <cell r="AO190">
            <v>59157</v>
          </cell>
          <cell r="AP190">
            <v>236741</v>
          </cell>
          <cell r="AQ190">
            <v>61136</v>
          </cell>
          <cell r="AR190">
            <v>66557</v>
          </cell>
          <cell r="AS190">
            <v>70006</v>
          </cell>
          <cell r="AT190">
            <v>67644</v>
          </cell>
          <cell r="AU190">
            <v>263632</v>
          </cell>
          <cell r="AW190">
            <v>61310</v>
          </cell>
          <cell r="AX190">
            <v>59739</v>
          </cell>
          <cell r="AY190">
            <v>59157</v>
          </cell>
          <cell r="AZ190">
            <v>61136</v>
          </cell>
          <cell r="BA190">
            <v>241342</v>
          </cell>
          <cell r="BB190">
            <v>66557</v>
          </cell>
          <cell r="BC190">
            <v>70006</v>
          </cell>
          <cell r="BD190">
            <v>67644</v>
          </cell>
          <cell r="BE190">
            <v>67243</v>
          </cell>
          <cell r="BF190">
            <v>271450</v>
          </cell>
          <cell r="BG190">
            <v>72525</v>
          </cell>
          <cell r="BH190">
            <v>72386</v>
          </cell>
          <cell r="BI190">
            <v>69203</v>
          </cell>
          <cell r="BJ190">
            <v>70424</v>
          </cell>
          <cell r="BK190">
            <v>281693</v>
          </cell>
          <cell r="BL190">
            <v>72191</v>
          </cell>
          <cell r="BM190">
            <v>71123</v>
          </cell>
          <cell r="BN190">
            <v>70222</v>
          </cell>
          <cell r="BO190">
            <v>70420</v>
          </cell>
          <cell r="BP190">
            <v>284150</v>
          </cell>
          <cell r="BQ190">
            <v>70527</v>
          </cell>
          <cell r="BR190">
            <v>69649</v>
          </cell>
          <cell r="BS190">
            <v>67518</v>
          </cell>
          <cell r="BT190">
            <v>67898</v>
          </cell>
          <cell r="BU190">
            <v>275951</v>
          </cell>
          <cell r="BV190">
            <v>68347</v>
          </cell>
          <cell r="BW190">
            <v>68994</v>
          </cell>
          <cell r="BX190">
            <v>66337</v>
          </cell>
          <cell r="BY190">
            <v>67885</v>
          </cell>
          <cell r="BZ190">
            <v>268758</v>
          </cell>
          <cell r="CA190">
            <v>79842</v>
          </cell>
          <cell r="CB190">
            <v>80528</v>
          </cell>
          <cell r="CC190">
            <v>80126</v>
          </cell>
          <cell r="CD190">
            <v>81622</v>
          </cell>
          <cell r="CE190">
            <v>316474</v>
          </cell>
          <cell r="CF190">
            <v>82897</v>
          </cell>
          <cell r="CG190">
            <v>82502</v>
          </cell>
          <cell r="CH190">
            <v>81665</v>
          </cell>
          <cell r="CI190">
            <v>95429</v>
          </cell>
          <cell r="CJ190">
            <v>342421</v>
          </cell>
          <cell r="CK190">
            <v>99915</v>
          </cell>
          <cell r="CL190">
            <v>100164</v>
          </cell>
          <cell r="CM190">
            <v>97230</v>
          </cell>
          <cell r="CO190">
            <v>297309</v>
          </cell>
        </row>
        <row r="191">
          <cell r="B191" t="str">
            <v>Emergency room visits</v>
          </cell>
          <cell r="D191" t="str">
            <v>ND</v>
          </cell>
          <cell r="E191" t="str">
            <v>ND</v>
          </cell>
          <cell r="F191" t="str">
            <v>ND</v>
          </cell>
          <cell r="G191" t="str">
            <v>ND</v>
          </cell>
          <cell r="H191" t="str">
            <v>ND</v>
          </cell>
          <cell r="I191" t="str">
            <v>ND</v>
          </cell>
          <cell r="J191" t="str">
            <v>ND</v>
          </cell>
          <cell r="K191" t="str">
            <v>ND</v>
          </cell>
          <cell r="L191" t="str">
            <v>ND</v>
          </cell>
          <cell r="M191" t="str">
            <v>ND</v>
          </cell>
          <cell r="N191" t="str">
            <v>ND</v>
          </cell>
          <cell r="O191" t="str">
            <v>ND</v>
          </cell>
          <cell r="P191" t="str">
            <v>ND</v>
          </cell>
          <cell r="Q191" t="str">
            <v>ND</v>
          </cell>
          <cell r="R191" t="str">
            <v>ND</v>
          </cell>
          <cell r="S191" t="str">
            <v>ND</v>
          </cell>
          <cell r="T191" t="str">
            <v>ND</v>
          </cell>
          <cell r="U191" t="str">
            <v>ND</v>
          </cell>
          <cell r="V191" t="str">
            <v>ND</v>
          </cell>
          <cell r="W191" t="str">
            <v>ND</v>
          </cell>
          <cell r="X191" t="str">
            <v>ND</v>
          </cell>
          <cell r="Y191" t="str">
            <v>ND</v>
          </cell>
          <cell r="Z191" t="str">
            <v>ND</v>
          </cell>
          <cell r="AA191" t="str">
            <v>ND</v>
          </cell>
          <cell r="AB191" t="str">
            <v>ND</v>
          </cell>
          <cell r="AC191" t="str">
            <v>ND</v>
          </cell>
          <cell r="AD191" t="str">
            <v>ND</v>
          </cell>
          <cell r="AE191" t="str">
            <v>ND</v>
          </cell>
          <cell r="AF191" t="str">
            <v>ND</v>
          </cell>
          <cell r="AG191" t="str">
            <v>ND</v>
          </cell>
          <cell r="AH191" t="str">
            <v>ND</v>
          </cell>
          <cell r="AI191" t="str">
            <v>ND</v>
          </cell>
          <cell r="AJ191" t="str">
            <v>ND</v>
          </cell>
          <cell r="AK191" t="str">
            <v>ND</v>
          </cell>
          <cell r="AL191" t="str">
            <v>ND</v>
          </cell>
          <cell r="AM191" t="str">
            <v>ND</v>
          </cell>
          <cell r="AN191" t="str">
            <v>ND</v>
          </cell>
          <cell r="AO191" t="str">
            <v>ND</v>
          </cell>
          <cell r="AP191" t="str">
            <v>ND</v>
          </cell>
          <cell r="AQ191" t="str">
            <v>ND</v>
          </cell>
          <cell r="AR191" t="str">
            <v>ND</v>
          </cell>
          <cell r="AS191" t="str">
            <v>ND</v>
          </cell>
          <cell r="AT191" t="str">
            <v>ND</v>
          </cell>
          <cell r="AU191" t="str">
            <v>ND</v>
          </cell>
          <cell r="AW191" t="str">
            <v>ND</v>
          </cell>
          <cell r="AX191" t="str">
            <v>ND</v>
          </cell>
          <cell r="AY191" t="str">
            <v>ND</v>
          </cell>
          <cell r="AZ191" t="str">
            <v>ND</v>
          </cell>
          <cell r="BB191" t="str">
            <v>ND</v>
          </cell>
          <cell r="BC191" t="str">
            <v>ND</v>
          </cell>
          <cell r="BD191" t="str">
            <v>ND</v>
          </cell>
          <cell r="BE191" t="str">
            <v>ND</v>
          </cell>
          <cell r="BG191" t="str">
            <v>ND</v>
          </cell>
          <cell r="BH191" t="str">
            <v>ND</v>
          </cell>
          <cell r="BI191" t="str">
            <v>ND</v>
          </cell>
          <cell r="BJ191" t="str">
            <v>ND</v>
          </cell>
          <cell r="BK191">
            <v>1310033</v>
          </cell>
          <cell r="BL191">
            <v>353105</v>
          </cell>
          <cell r="BM191">
            <v>336090</v>
          </cell>
          <cell r="BN191">
            <v>338000</v>
          </cell>
          <cell r="BO191">
            <v>344667</v>
          </cell>
          <cell r="BP191">
            <v>1371862</v>
          </cell>
          <cell r="BQ191">
            <v>363041</v>
          </cell>
          <cell r="BR191">
            <v>330424</v>
          </cell>
          <cell r="BS191">
            <v>326765</v>
          </cell>
          <cell r="BT191">
            <v>328983</v>
          </cell>
          <cell r="BU191">
            <v>1349213</v>
          </cell>
          <cell r="BV191">
            <v>354819</v>
          </cell>
          <cell r="BW191">
            <v>348824</v>
          </cell>
          <cell r="BX191">
            <v>355213</v>
          </cell>
          <cell r="BY191">
            <v>341436</v>
          </cell>
          <cell r="BZ191">
            <v>1375507</v>
          </cell>
          <cell r="CA191">
            <v>346609</v>
          </cell>
          <cell r="CB191">
            <v>348236</v>
          </cell>
          <cell r="CC191">
            <v>360940</v>
          </cell>
          <cell r="CD191">
            <v>372344</v>
          </cell>
          <cell r="CE191">
            <v>1421461</v>
          </cell>
          <cell r="CF191">
            <v>393148</v>
          </cell>
          <cell r="CG191">
            <v>378125</v>
          </cell>
          <cell r="CH191">
            <v>376539</v>
          </cell>
          <cell r="CI191">
            <v>416627</v>
          </cell>
          <cell r="CJ191">
            <v>1562028</v>
          </cell>
          <cell r="CK191">
            <v>443115</v>
          </cell>
          <cell r="CL191">
            <v>453964</v>
          </cell>
          <cell r="CM191">
            <v>455372</v>
          </cell>
          <cell r="CO191">
            <v>1352451</v>
          </cell>
        </row>
        <row r="192">
          <cell r="B192" t="str">
            <v>Net revenue (in thousands)</v>
          </cell>
          <cell r="D192" t="str">
            <v>ND</v>
          </cell>
          <cell r="E192" t="str">
            <v>ND</v>
          </cell>
          <cell r="F192" t="str">
            <v>ND</v>
          </cell>
          <cell r="G192" t="str">
            <v>ND</v>
          </cell>
          <cell r="H192" t="str">
            <v>ND</v>
          </cell>
          <cell r="I192" t="str">
            <v>ND</v>
          </cell>
          <cell r="J192" t="str">
            <v>ND</v>
          </cell>
          <cell r="K192" t="str">
            <v>ND</v>
          </cell>
          <cell r="L192" t="str">
            <v>ND</v>
          </cell>
          <cell r="M192" t="str">
            <v>ND</v>
          </cell>
          <cell r="N192" t="str">
            <v>ND</v>
          </cell>
          <cell r="O192" t="str">
            <v>ND</v>
          </cell>
          <cell r="P192" t="str">
            <v>ND</v>
          </cell>
          <cell r="Q192" t="str">
            <v>ND</v>
          </cell>
          <cell r="R192" t="str">
            <v>ND</v>
          </cell>
          <cell r="S192" t="str">
            <v>ND</v>
          </cell>
          <cell r="T192" t="str">
            <v>ND</v>
          </cell>
          <cell r="U192" t="str">
            <v>ND</v>
          </cell>
          <cell r="V192" t="str">
            <v>ND</v>
          </cell>
          <cell r="W192" t="str">
            <v>ND</v>
          </cell>
          <cell r="X192" t="str">
            <v>ND</v>
          </cell>
          <cell r="Y192" t="str">
            <v>ND</v>
          </cell>
          <cell r="Z192" t="str">
            <v>ND</v>
          </cell>
          <cell r="AA192" t="str">
            <v>ND</v>
          </cell>
          <cell r="AB192" t="str">
            <v>ND</v>
          </cell>
          <cell r="AC192" t="str">
            <v>ND</v>
          </cell>
          <cell r="AD192" t="str">
            <v>ND</v>
          </cell>
          <cell r="AE192" t="str">
            <v>ND</v>
          </cell>
          <cell r="AF192" t="str">
            <v>ND</v>
          </cell>
          <cell r="AG192" t="str">
            <v>ND</v>
          </cell>
          <cell r="AH192" t="str">
            <v>ND</v>
          </cell>
          <cell r="AI192" t="str">
            <v>ND</v>
          </cell>
          <cell r="AJ192" t="str">
            <v>ND</v>
          </cell>
          <cell r="AK192" t="str">
            <v>ND</v>
          </cell>
          <cell r="AL192" t="str">
            <v>ND</v>
          </cell>
          <cell r="AM192" t="str">
            <v>ND</v>
          </cell>
          <cell r="AN192" t="str">
            <v>ND</v>
          </cell>
          <cell r="AO192" t="str">
            <v>ND</v>
          </cell>
          <cell r="AP192" t="str">
            <v>ND</v>
          </cell>
          <cell r="AQ192" t="str">
            <v>ND</v>
          </cell>
          <cell r="AR192" t="str">
            <v>ND</v>
          </cell>
          <cell r="AS192" t="str">
            <v>ND</v>
          </cell>
          <cell r="AT192" t="str">
            <v>ND</v>
          </cell>
          <cell r="AU192" t="str">
            <v>ND</v>
          </cell>
          <cell r="AW192" t="str">
            <v>ND</v>
          </cell>
          <cell r="AX192" t="str">
            <v>ND</v>
          </cell>
          <cell r="AY192" t="str">
            <v>ND</v>
          </cell>
          <cell r="AZ192" t="str">
            <v>ND</v>
          </cell>
          <cell r="BB192" t="str">
            <v>ND</v>
          </cell>
          <cell r="BC192" t="str">
            <v>ND</v>
          </cell>
          <cell r="BD192" t="str">
            <v>ND</v>
          </cell>
          <cell r="BE192" t="str">
            <v>ND</v>
          </cell>
          <cell r="BG192">
            <v>1032660.0000000001</v>
          </cell>
          <cell r="BH192">
            <v>1022006</v>
          </cell>
          <cell r="BI192">
            <v>994111</v>
          </cell>
          <cell r="BJ192">
            <v>1052733</v>
          </cell>
          <cell r="BK192">
            <v>4101510</v>
          </cell>
          <cell r="BL192">
            <v>1143533</v>
          </cell>
          <cell r="BM192">
            <v>1099161</v>
          </cell>
          <cell r="BN192">
            <v>1070189</v>
          </cell>
          <cell r="BO192">
            <v>1096278</v>
          </cell>
          <cell r="BP192">
            <v>4409161</v>
          </cell>
          <cell r="BQ192">
            <v>1152572</v>
          </cell>
          <cell r="BR192">
            <v>1105299</v>
          </cell>
          <cell r="BS192">
            <v>1081914</v>
          </cell>
          <cell r="BT192">
            <v>1111826</v>
          </cell>
          <cell r="BU192">
            <v>4451611</v>
          </cell>
          <cell r="BV192">
            <v>1188023</v>
          </cell>
          <cell r="BW192">
            <v>1155453</v>
          </cell>
          <cell r="BX192">
            <v>1121903</v>
          </cell>
          <cell r="BY192">
            <v>1198770</v>
          </cell>
          <cell r="BZ192">
            <v>4617143</v>
          </cell>
          <cell r="CA192">
            <v>1285019</v>
          </cell>
          <cell r="CB192">
            <v>1247787</v>
          </cell>
          <cell r="CC192">
            <v>1270659</v>
          </cell>
          <cell r="CD192">
            <v>1352059</v>
          </cell>
          <cell r="CE192">
            <v>5114997</v>
          </cell>
          <cell r="CF192">
            <v>1433641</v>
          </cell>
          <cell r="CG192">
            <v>1395353</v>
          </cell>
          <cell r="CH192">
            <v>1400244</v>
          </cell>
          <cell r="CI192">
            <v>1583774</v>
          </cell>
          <cell r="CJ192">
            <v>5804451</v>
          </cell>
          <cell r="CK192">
            <v>1485257</v>
          </cell>
          <cell r="CL192">
            <v>1471978</v>
          </cell>
          <cell r="CM192">
            <v>1440109</v>
          </cell>
          <cell r="CO192">
            <v>4397344</v>
          </cell>
        </row>
        <row r="193">
          <cell r="B193" t="str">
            <v>Net revenue per adjusted admission</v>
          </cell>
          <cell r="D193" t="str">
            <v>ND</v>
          </cell>
          <cell r="E193" t="str">
            <v>ND</v>
          </cell>
          <cell r="F193" t="str">
            <v>ND</v>
          </cell>
          <cell r="G193" t="str">
            <v>ND</v>
          </cell>
          <cell r="H193" t="str">
            <v>ND</v>
          </cell>
          <cell r="I193" t="str">
            <v>ND</v>
          </cell>
          <cell r="J193" t="str">
            <v>ND</v>
          </cell>
          <cell r="K193" t="str">
            <v>ND</v>
          </cell>
          <cell r="L193" t="str">
            <v>ND</v>
          </cell>
          <cell r="M193" t="str">
            <v>ND</v>
          </cell>
          <cell r="N193" t="str">
            <v>ND</v>
          </cell>
          <cell r="O193" t="str">
            <v>ND</v>
          </cell>
          <cell r="P193" t="str">
            <v>ND</v>
          </cell>
          <cell r="Q193" t="str">
            <v>ND</v>
          </cell>
          <cell r="R193" t="str">
            <v>ND</v>
          </cell>
          <cell r="S193" t="str">
            <v>ND</v>
          </cell>
          <cell r="T193" t="str">
            <v>ND</v>
          </cell>
          <cell r="U193" t="str">
            <v>ND</v>
          </cell>
          <cell r="V193" t="str">
            <v>ND</v>
          </cell>
          <cell r="W193" t="str">
            <v>ND</v>
          </cell>
          <cell r="X193" t="str">
            <v>ND</v>
          </cell>
          <cell r="Y193" t="str">
            <v>ND</v>
          </cell>
          <cell r="Z193" t="str">
            <v>ND</v>
          </cell>
          <cell r="AA193" t="str">
            <v>ND</v>
          </cell>
          <cell r="AB193" t="str">
            <v>ND</v>
          </cell>
          <cell r="AC193" t="str">
            <v>ND</v>
          </cell>
          <cell r="AD193" t="str">
            <v>ND</v>
          </cell>
          <cell r="AE193" t="str">
            <v>ND</v>
          </cell>
          <cell r="AF193" t="str">
            <v>ND</v>
          </cell>
          <cell r="AG193" t="str">
            <v>ND</v>
          </cell>
          <cell r="AH193" t="str">
            <v>ND</v>
          </cell>
          <cell r="AI193" t="str">
            <v>ND</v>
          </cell>
          <cell r="AJ193" t="str">
            <v>ND</v>
          </cell>
          <cell r="AK193" t="str">
            <v>ND</v>
          </cell>
          <cell r="AL193" t="str">
            <v>ND</v>
          </cell>
          <cell r="AM193" t="str">
            <v>ND</v>
          </cell>
          <cell r="AN193" t="str">
            <v>ND</v>
          </cell>
          <cell r="AO193" t="str">
            <v>ND</v>
          </cell>
          <cell r="AP193" t="str">
            <v>ND</v>
          </cell>
          <cell r="AQ193" t="str">
            <v>ND</v>
          </cell>
          <cell r="AR193" t="str">
            <v>ND</v>
          </cell>
          <cell r="AS193" t="str">
            <v>ND</v>
          </cell>
          <cell r="AT193" t="str">
            <v>ND</v>
          </cell>
          <cell r="AU193" t="str">
            <v>ND</v>
          </cell>
          <cell r="AW193" t="str">
            <v>ND</v>
          </cell>
          <cell r="AX193" t="str">
            <v>ND</v>
          </cell>
          <cell r="AY193" t="str">
            <v>ND</v>
          </cell>
          <cell r="AZ193" t="str">
            <v>ND</v>
          </cell>
          <cell r="BB193" t="str">
            <v>ND</v>
          </cell>
          <cell r="BC193" t="str">
            <v>ND</v>
          </cell>
          <cell r="BD193" t="str">
            <v>ND</v>
          </cell>
          <cell r="BE193" t="str">
            <v>ND</v>
          </cell>
          <cell r="BG193">
            <v>7367.0918585737527</v>
          </cell>
          <cell r="BH193">
            <v>7586.0927398104232</v>
          </cell>
          <cell r="BI193">
            <v>7625.4218826705937</v>
          </cell>
          <cell r="BJ193">
            <v>7873.1377886801483</v>
          </cell>
          <cell r="BK193">
            <v>7758.6950517749519</v>
          </cell>
          <cell r="BL193">
            <v>8048.6282183026233</v>
          </cell>
          <cell r="BM193">
            <v>7920.2827537505946</v>
          </cell>
          <cell r="BN193">
            <v>8055.8616744200044</v>
          </cell>
          <cell r="BO193">
            <v>8130.0929977306778</v>
          </cell>
          <cell r="BP193">
            <v>8115.3388844715373</v>
          </cell>
          <cell r="BQ193">
            <v>8213.648413671217</v>
          </cell>
          <cell r="BR193">
            <v>8518.7477360133798</v>
          </cell>
          <cell r="BS193">
            <v>8376.0219249349684</v>
          </cell>
          <cell r="BT193">
            <v>8361.7944571879816</v>
          </cell>
          <cell r="BU193">
            <v>8374.7422641623016</v>
          </cell>
          <cell r="BV193">
            <v>8446.7219816706838</v>
          </cell>
          <cell r="BW193">
            <v>8508.4277729913629</v>
          </cell>
          <cell r="BX193">
            <v>8308.3616597424334</v>
          </cell>
          <cell r="BY193">
            <v>8746.1240451471222</v>
          </cell>
          <cell r="BZ193">
            <v>8515.0848992403608</v>
          </cell>
          <cell r="CA193">
            <v>8628</v>
          </cell>
          <cell r="CB193">
            <v>8581</v>
          </cell>
          <cell r="CC193">
            <v>8680</v>
          </cell>
          <cell r="CD193">
            <v>8894</v>
          </cell>
          <cell r="CE193">
            <v>8699</v>
          </cell>
          <cell r="CF193">
            <v>8980</v>
          </cell>
          <cell r="CG193">
            <v>9167</v>
          </cell>
          <cell r="CH193">
            <v>9028</v>
          </cell>
          <cell r="CI193">
            <v>9360</v>
          </cell>
          <cell r="CJ193">
            <v>9127</v>
          </cell>
          <cell r="CK193">
            <v>8353</v>
          </cell>
          <cell r="CL193">
            <v>8548</v>
          </cell>
          <cell r="CM193">
            <v>8412</v>
          </cell>
          <cell r="CO193">
            <v>25313</v>
          </cell>
        </row>
        <row r="194">
          <cell r="B194" t="str">
            <v>Total inpatient revenue percentage</v>
          </cell>
          <cell r="D194" t="str">
            <v>ND</v>
          </cell>
          <cell r="E194" t="str">
            <v>ND</v>
          </cell>
          <cell r="F194" t="str">
            <v>ND</v>
          </cell>
          <cell r="G194" t="str">
            <v>ND</v>
          </cell>
          <cell r="H194" t="str">
            <v>ND</v>
          </cell>
          <cell r="I194" t="str">
            <v>ND</v>
          </cell>
          <cell r="J194" t="str">
            <v>ND</v>
          </cell>
          <cell r="K194" t="str">
            <v>ND</v>
          </cell>
          <cell r="L194" t="str">
            <v>ND</v>
          </cell>
          <cell r="M194" t="str">
            <v>ND</v>
          </cell>
          <cell r="N194" t="str">
            <v>ND</v>
          </cell>
          <cell r="O194" t="str">
            <v>ND</v>
          </cell>
          <cell r="P194" t="str">
            <v>ND</v>
          </cell>
          <cell r="Q194" t="str">
            <v>ND</v>
          </cell>
          <cell r="R194" t="str">
            <v>ND</v>
          </cell>
          <cell r="S194" t="str">
            <v>ND</v>
          </cell>
          <cell r="T194" t="str">
            <v>ND</v>
          </cell>
          <cell r="U194" t="str">
            <v>ND</v>
          </cell>
          <cell r="V194" t="str">
            <v>ND</v>
          </cell>
          <cell r="W194" t="str">
            <v>ND</v>
          </cell>
          <cell r="X194" t="str">
            <v>ND</v>
          </cell>
          <cell r="Y194" t="str">
            <v>ND</v>
          </cell>
          <cell r="Z194" t="str">
            <v>ND</v>
          </cell>
          <cell r="AA194" t="str">
            <v>ND</v>
          </cell>
          <cell r="AB194" t="str">
            <v>ND</v>
          </cell>
          <cell r="AC194" t="str">
            <v>ND</v>
          </cell>
          <cell r="AD194" t="str">
            <v>ND</v>
          </cell>
          <cell r="AE194" t="str">
            <v>ND</v>
          </cell>
          <cell r="AF194" t="str">
            <v>ND</v>
          </cell>
          <cell r="AG194" t="str">
            <v>ND</v>
          </cell>
          <cell r="AH194">
            <v>0.56200000000000006</v>
          </cell>
          <cell r="AI194" t="str">
            <v>ND</v>
          </cell>
          <cell r="AJ194">
            <v>0.53</v>
          </cell>
          <cell r="AK194">
            <v>0.54200000000000004</v>
          </cell>
          <cell r="AL194">
            <v>0.52700000000000002</v>
          </cell>
          <cell r="AM194">
            <v>0.53600000000000003</v>
          </cell>
          <cell r="AN194">
            <v>0.51300000000000001</v>
          </cell>
          <cell r="AO194">
            <v>0.51</v>
          </cell>
          <cell r="AP194">
            <v>0.52100000000000002</v>
          </cell>
          <cell r="AQ194">
            <v>0.53200000000000003</v>
          </cell>
          <cell r="AR194">
            <v>0.53900000000000003</v>
          </cell>
          <cell r="AS194">
            <v>0.502</v>
          </cell>
          <cell r="AT194">
            <v>0.502</v>
          </cell>
          <cell r="AU194">
            <v>0.52100000000000002</v>
          </cell>
          <cell r="AW194">
            <v>0.53600000000000003</v>
          </cell>
          <cell r="AX194">
            <v>0.51300000000000001</v>
          </cell>
          <cell r="AY194">
            <v>0.51</v>
          </cell>
          <cell r="AZ194">
            <v>0.53200000000000003</v>
          </cell>
          <cell r="BB194">
            <v>0.53900000000000003</v>
          </cell>
          <cell r="BC194">
            <v>0.502</v>
          </cell>
          <cell r="BD194">
            <v>0.502</v>
          </cell>
          <cell r="BE194">
            <v>0.51600000000000001</v>
          </cell>
          <cell r="BG194">
            <v>0.50600000000000001</v>
          </cell>
          <cell r="BH194">
            <v>0.502</v>
          </cell>
          <cell r="BI194">
            <v>0.51</v>
          </cell>
          <cell r="BJ194">
            <v>0.5</v>
          </cell>
          <cell r="BK194">
            <v>0.502</v>
          </cell>
          <cell r="BL194">
            <v>0.51400000000000001</v>
          </cell>
          <cell r="BM194">
            <v>0.51900000000000002</v>
          </cell>
          <cell r="BN194">
            <v>0.496</v>
          </cell>
          <cell r="BO194">
            <v>0.50600000000000001</v>
          </cell>
          <cell r="BP194">
            <v>0.50700000000000001</v>
          </cell>
          <cell r="BQ194">
            <v>0.52900000000000003</v>
          </cell>
          <cell r="BR194">
            <v>0.51200000000000001</v>
          </cell>
          <cell r="BS194">
            <v>0.498</v>
          </cell>
          <cell r="BT194">
            <v>0.52700000000000002</v>
          </cell>
          <cell r="BU194">
            <v>0.51800000000000002</v>
          </cell>
          <cell r="BV194">
            <v>0.53100000000000003</v>
          </cell>
          <cell r="BW194">
            <v>0.52700000000000002</v>
          </cell>
          <cell r="BX194">
            <v>0.498</v>
          </cell>
          <cell r="BY194">
            <v>0.496</v>
          </cell>
          <cell r="BZ194">
            <v>0.51300000000000001</v>
          </cell>
          <cell r="CA194">
            <v>0.51800000000000002</v>
          </cell>
          <cell r="CB194">
            <v>0.498</v>
          </cell>
          <cell r="CC194">
            <v>0.47299999999999998</v>
          </cell>
          <cell r="CD194">
            <v>0.496</v>
          </cell>
          <cell r="CE194">
            <v>0.496</v>
          </cell>
          <cell r="CF194">
            <v>0.503</v>
          </cell>
          <cell r="CG194">
            <v>0.47599999999999998</v>
          </cell>
          <cell r="CH194">
            <v>0.46899999999999997</v>
          </cell>
          <cell r="CI194">
            <v>0.47699999999999998</v>
          </cell>
          <cell r="CJ194">
            <v>0.48099999999999998</v>
          </cell>
          <cell r="CK194">
            <v>0.46899999999999997</v>
          </cell>
          <cell r="CL194">
            <v>0.45100000000000001</v>
          </cell>
          <cell r="CM194">
            <v>0.44600000000000001</v>
          </cell>
        </row>
        <row r="195">
          <cell r="B195" t="str">
            <v>Total outpatient revenue percentage</v>
          </cell>
          <cell r="D195" t="str">
            <v>ND</v>
          </cell>
          <cell r="E195" t="str">
            <v>ND</v>
          </cell>
          <cell r="F195" t="str">
            <v>ND</v>
          </cell>
          <cell r="G195" t="str">
            <v>ND</v>
          </cell>
          <cell r="H195" t="str">
            <v>ND</v>
          </cell>
          <cell r="I195" t="str">
            <v>ND</v>
          </cell>
          <cell r="J195" t="str">
            <v>ND</v>
          </cell>
          <cell r="K195" t="str">
            <v>ND</v>
          </cell>
          <cell r="L195" t="str">
            <v>ND</v>
          </cell>
          <cell r="M195" t="str">
            <v>ND</v>
          </cell>
          <cell r="N195" t="str">
            <v>ND</v>
          </cell>
          <cell r="O195" t="str">
            <v>ND</v>
          </cell>
          <cell r="P195" t="str">
            <v>ND</v>
          </cell>
          <cell r="Q195" t="str">
            <v>ND</v>
          </cell>
          <cell r="R195" t="str">
            <v>ND</v>
          </cell>
          <cell r="S195" t="str">
            <v>ND</v>
          </cell>
          <cell r="T195" t="str">
            <v>ND</v>
          </cell>
          <cell r="U195" t="str">
            <v>ND</v>
          </cell>
          <cell r="V195" t="str">
            <v>ND</v>
          </cell>
          <cell r="W195" t="str">
            <v>ND</v>
          </cell>
          <cell r="X195" t="str">
            <v>ND</v>
          </cell>
          <cell r="Y195" t="str">
            <v>ND</v>
          </cell>
          <cell r="Z195" t="str">
            <v>ND</v>
          </cell>
          <cell r="AA195" t="str">
            <v>ND</v>
          </cell>
          <cell r="AB195" t="str">
            <v>ND</v>
          </cell>
          <cell r="AC195" t="str">
            <v>ND</v>
          </cell>
          <cell r="AD195" t="str">
            <v>ND</v>
          </cell>
          <cell r="AE195" t="str">
            <v>ND</v>
          </cell>
          <cell r="AF195" t="str">
            <v>ND</v>
          </cell>
          <cell r="AG195" t="str">
            <v>ND</v>
          </cell>
          <cell r="AH195">
            <v>0.438</v>
          </cell>
          <cell r="AI195" t="str">
            <v>ND</v>
          </cell>
          <cell r="AJ195">
            <v>0.47</v>
          </cell>
          <cell r="AK195">
            <v>0.45800000000000002</v>
          </cell>
          <cell r="AL195">
            <v>0.47299999999999998</v>
          </cell>
          <cell r="AM195">
            <v>0.46400000000000002</v>
          </cell>
          <cell r="AN195">
            <v>0.48699999999999999</v>
          </cell>
          <cell r="AO195">
            <v>0.49</v>
          </cell>
          <cell r="AP195">
            <v>0.47899999999999998</v>
          </cell>
          <cell r="AQ195">
            <v>0.46800000000000003</v>
          </cell>
          <cell r="AR195">
            <v>0.46100000000000002</v>
          </cell>
          <cell r="AS195">
            <v>0.498</v>
          </cell>
          <cell r="AT195">
            <v>0.498</v>
          </cell>
          <cell r="AU195">
            <v>0.47899999999999998</v>
          </cell>
          <cell r="AW195">
            <v>0.46400000000000002</v>
          </cell>
          <cell r="AX195">
            <v>0.48699999999999999</v>
          </cell>
          <cell r="AY195">
            <v>0.49</v>
          </cell>
          <cell r="AZ195">
            <v>0.46800000000000003</v>
          </cell>
          <cell r="BB195">
            <v>0.46100000000000002</v>
          </cell>
          <cell r="BC195">
            <v>0.498</v>
          </cell>
          <cell r="BD195">
            <v>0.498</v>
          </cell>
          <cell r="BE195">
            <v>0.48399999999999999</v>
          </cell>
          <cell r="BG195">
            <v>0.49399999999999999</v>
          </cell>
          <cell r="BH195">
            <v>0.498</v>
          </cell>
          <cell r="BI195">
            <v>0.49</v>
          </cell>
          <cell r="BJ195">
            <v>0.5</v>
          </cell>
          <cell r="BK195">
            <v>0.498</v>
          </cell>
          <cell r="BL195">
            <v>0.48599999999999999</v>
          </cell>
          <cell r="BM195">
            <v>0.48099999999999998</v>
          </cell>
          <cell r="BN195">
            <v>0.504</v>
          </cell>
          <cell r="BO195">
            <v>0.49399999999999999</v>
          </cell>
          <cell r="BP195">
            <v>0.49299999999999999</v>
          </cell>
          <cell r="BQ195">
            <v>0.47099999999999997</v>
          </cell>
          <cell r="BR195">
            <v>0.48799999999999999</v>
          </cell>
          <cell r="BS195">
            <v>0.502</v>
          </cell>
          <cell r="BT195">
            <v>0.47299999999999998</v>
          </cell>
          <cell r="BU195">
            <v>0.48199999999999998</v>
          </cell>
          <cell r="BV195">
            <v>0.46899999999999997</v>
          </cell>
          <cell r="BW195">
            <v>0.47299999999999998</v>
          </cell>
          <cell r="BX195">
            <v>0.502</v>
          </cell>
          <cell r="BY195">
            <v>0.504</v>
          </cell>
          <cell r="BZ195">
            <v>0.48699999999999999</v>
          </cell>
          <cell r="CA195">
            <v>0.48199999999999998</v>
          </cell>
          <cell r="CB195">
            <v>0.502</v>
          </cell>
          <cell r="CC195">
            <v>0.52700000000000002</v>
          </cell>
          <cell r="CD195">
            <v>0.504</v>
          </cell>
          <cell r="CE195">
            <v>0.504</v>
          </cell>
          <cell r="CF195">
            <v>0.497</v>
          </cell>
          <cell r="CG195">
            <v>0.52400000000000002</v>
          </cell>
          <cell r="CH195">
            <v>0.53100000000000003</v>
          </cell>
          <cell r="CI195">
            <v>0.52300000000000002</v>
          </cell>
          <cell r="CJ195">
            <v>0.51900000000000002</v>
          </cell>
          <cell r="CK195">
            <v>0.53100000000000003</v>
          </cell>
          <cell r="CL195">
            <v>0.54900000000000004</v>
          </cell>
          <cell r="CM195">
            <v>0.55400000000000005</v>
          </cell>
        </row>
        <row r="196">
          <cell r="B196" t="str">
            <v>Same Hospitals</v>
          </cell>
        </row>
        <row r="197">
          <cell r="B197" t="str">
            <v>Occupancy</v>
          </cell>
          <cell r="D197" t="str">
            <v>ND</v>
          </cell>
          <cell r="E197" t="str">
            <v>ND</v>
          </cell>
          <cell r="F197" t="str">
            <v>ND</v>
          </cell>
          <cell r="G197" t="str">
            <v>ND</v>
          </cell>
          <cell r="H197" t="str">
            <v>ND</v>
          </cell>
          <cell r="I197" t="str">
            <v>ND</v>
          </cell>
          <cell r="J197" t="str">
            <v>ND</v>
          </cell>
          <cell r="K197" t="str">
            <v>ND</v>
          </cell>
          <cell r="L197" t="str">
            <v>ND</v>
          </cell>
          <cell r="M197">
            <v>0.46100000000000002</v>
          </cell>
          <cell r="N197">
            <v>0.52200000000000002</v>
          </cell>
          <cell r="O197">
            <v>0.432</v>
          </cell>
          <cell r="P197" t="str">
            <v>ND</v>
          </cell>
          <cell r="Q197" t="str">
            <v>ND</v>
          </cell>
          <cell r="R197">
            <v>0.46899999999999997</v>
          </cell>
          <cell r="S197">
            <v>0.54400000000000004</v>
          </cell>
          <cell r="T197">
            <v>0.44800000000000001</v>
          </cell>
          <cell r="U197" t="str">
            <v>ND</v>
          </cell>
          <cell r="V197" t="str">
            <v>ND</v>
          </cell>
          <cell r="W197">
            <v>0.443</v>
          </cell>
          <cell r="X197">
            <v>0.52600000000000002</v>
          </cell>
          <cell r="Y197">
            <v>0.47099999999999997</v>
          </cell>
          <cell r="Z197" t="str">
            <v>ND</v>
          </cell>
          <cell r="AA197" t="str">
            <v>ND</v>
          </cell>
          <cell r="AB197">
            <v>0.44600000000000001</v>
          </cell>
          <cell r="AC197">
            <v>0.51900000000000002</v>
          </cell>
          <cell r="AD197">
            <v>0.48199999999999998</v>
          </cell>
          <cell r="AE197" t="str">
            <v>ND</v>
          </cell>
          <cell r="AF197" t="str">
            <v>ND</v>
          </cell>
          <cell r="AG197">
            <v>0.46800000000000003</v>
          </cell>
          <cell r="AH197">
            <v>0.51800000000000002</v>
          </cell>
          <cell r="AI197">
            <v>0.46</v>
          </cell>
          <cell r="AJ197">
            <v>0.45200000000000001</v>
          </cell>
          <cell r="AK197">
            <v>0.47699999999999998</v>
          </cell>
          <cell r="AL197">
            <v>0.48499999999999999</v>
          </cell>
          <cell r="AM197">
            <v>0.52400000000000002</v>
          </cell>
          <cell r="AN197">
            <v>0.45800000000000002</v>
          </cell>
          <cell r="AO197">
            <v>0.48</v>
          </cell>
          <cell r="AP197">
            <v>0.48899999999999999</v>
          </cell>
          <cell r="AQ197">
            <v>0.45600000000000002</v>
          </cell>
          <cell r="AR197">
            <v>0.51600000000000001</v>
          </cell>
          <cell r="AS197">
            <v>0.45900000000000002</v>
          </cell>
          <cell r="AT197">
            <v>0.42499999999999999</v>
          </cell>
          <cell r="AU197">
            <v>0.46800000000000003</v>
          </cell>
          <cell r="AW197">
            <v>0.52400000000000002</v>
          </cell>
          <cell r="AX197">
            <v>0.45800000000000002</v>
          </cell>
          <cell r="AY197">
            <v>0.48</v>
          </cell>
          <cell r="AZ197">
            <v>0.45600000000000002</v>
          </cell>
          <cell r="BB197">
            <v>0.51600000000000001</v>
          </cell>
          <cell r="BC197">
            <v>0.45900000000000002</v>
          </cell>
          <cell r="BD197">
            <v>0.42499999999999999</v>
          </cell>
          <cell r="BE197">
            <v>0.438</v>
          </cell>
          <cell r="BG197">
            <v>0.502</v>
          </cell>
          <cell r="BH197">
            <v>0.434</v>
          </cell>
          <cell r="BI197">
            <v>0.432</v>
          </cell>
          <cell r="BJ197">
            <v>0.44</v>
          </cell>
          <cell r="BK197">
            <v>0.46100000000000002</v>
          </cell>
          <cell r="BL197">
            <v>0.49199999999999999</v>
          </cell>
          <cell r="BM197">
            <v>0.44800000000000001</v>
          </cell>
          <cell r="BN197">
            <v>0.42399999999999999</v>
          </cell>
          <cell r="BO197">
            <v>0.42799999999999999</v>
          </cell>
          <cell r="BP197">
            <v>0.45</v>
          </cell>
          <cell r="BQ197">
            <v>0.51</v>
          </cell>
          <cell r="BR197">
            <v>0.442</v>
          </cell>
          <cell r="BS197">
            <v>0.41899999999999998</v>
          </cell>
          <cell r="BT197">
            <v>0.44400000000000001</v>
          </cell>
          <cell r="BU197">
            <v>0.45</v>
          </cell>
          <cell r="BV197">
            <v>0.496</v>
          </cell>
          <cell r="BW197">
            <v>0.44800000000000001</v>
          </cell>
          <cell r="BX197">
            <v>0.42499999999999999</v>
          </cell>
          <cell r="BY197">
            <v>0.442</v>
          </cell>
          <cell r="BZ197">
            <v>0.44900000000000001</v>
          </cell>
          <cell r="CA197">
            <v>0.48899999999999999</v>
          </cell>
          <cell r="CB197">
            <v>0.435</v>
          </cell>
          <cell r="CC197">
            <v>0.41399999999999998</v>
          </cell>
          <cell r="CD197">
            <v>0.41899999999999998</v>
          </cell>
          <cell r="CE197">
            <v>0.435</v>
          </cell>
          <cell r="CF197">
            <v>0.47299999999999998</v>
          </cell>
          <cell r="CG197">
            <v>0.41699999999999998</v>
          </cell>
          <cell r="CH197">
            <v>0.40500000000000003</v>
          </cell>
          <cell r="CI197">
            <v>0.40699999999999997</v>
          </cell>
          <cell r="CJ197">
            <v>0.42099999999999999</v>
          </cell>
          <cell r="CK197">
            <v>0.45300000000000001</v>
          </cell>
          <cell r="CL197">
            <v>0.40300000000000002</v>
          </cell>
          <cell r="CM197">
            <v>0.38900000000000001</v>
          </cell>
        </row>
        <row r="198">
          <cell r="B198" t="str">
            <v>Patient days</v>
          </cell>
          <cell r="D198" t="str">
            <v>ND</v>
          </cell>
          <cell r="E198" t="str">
            <v>ND</v>
          </cell>
          <cell r="F198" t="str">
            <v>ND</v>
          </cell>
          <cell r="G198" t="str">
            <v>ND</v>
          </cell>
          <cell r="H198" t="str">
            <v>ND</v>
          </cell>
          <cell r="I198" t="str">
            <v>ND</v>
          </cell>
          <cell r="J198" t="str">
            <v>ND</v>
          </cell>
          <cell r="K198" t="str">
            <v>ND</v>
          </cell>
          <cell r="L198" t="str">
            <v>ND</v>
          </cell>
          <cell r="M198">
            <v>132801</v>
          </cell>
          <cell r="N198">
            <v>159078</v>
          </cell>
          <cell r="O198">
            <v>134801</v>
          </cell>
          <cell r="P198" t="str">
            <v>ND</v>
          </cell>
          <cell r="Q198" t="str">
            <v>ND</v>
          </cell>
          <cell r="R198">
            <v>152245</v>
          </cell>
          <cell r="S198">
            <v>174669</v>
          </cell>
          <cell r="T198">
            <v>163221</v>
          </cell>
          <cell r="U198" t="str">
            <v>ND</v>
          </cell>
          <cell r="V198" t="str">
            <v>ND</v>
          </cell>
          <cell r="W198">
            <v>178125</v>
          </cell>
          <cell r="X198">
            <v>206644</v>
          </cell>
          <cell r="Y198">
            <v>185146</v>
          </cell>
          <cell r="Z198" t="str">
            <v>ND</v>
          </cell>
          <cell r="AA198" t="str">
            <v>ND</v>
          </cell>
          <cell r="AB198">
            <v>201323</v>
          </cell>
          <cell r="AC198">
            <v>229154</v>
          </cell>
          <cell r="AD198">
            <v>208401</v>
          </cell>
          <cell r="AE198" t="str">
            <v>ND</v>
          </cell>
          <cell r="AF198" t="str">
            <v>ND</v>
          </cell>
          <cell r="AG198">
            <v>221650</v>
          </cell>
          <cell r="AH198">
            <v>262803</v>
          </cell>
          <cell r="AI198">
            <v>239247</v>
          </cell>
          <cell r="AJ198">
            <v>245708</v>
          </cell>
          <cell r="AK198">
            <v>904567</v>
          </cell>
          <cell r="AL198">
            <v>260545</v>
          </cell>
          <cell r="AM198">
            <v>282101</v>
          </cell>
          <cell r="AN198">
            <v>246734</v>
          </cell>
          <cell r="AO198">
            <v>240402</v>
          </cell>
          <cell r="AP198">
            <v>1025992</v>
          </cell>
          <cell r="AQ198">
            <v>261376</v>
          </cell>
          <cell r="AR198">
            <v>338571</v>
          </cell>
          <cell r="AS198">
            <v>305453</v>
          </cell>
          <cell r="AT198">
            <v>288011</v>
          </cell>
          <cell r="AU198">
            <v>1059666</v>
          </cell>
          <cell r="AW198">
            <v>282101</v>
          </cell>
          <cell r="AX198">
            <v>246734</v>
          </cell>
          <cell r="AY198">
            <v>240402</v>
          </cell>
          <cell r="AZ198">
            <v>261376</v>
          </cell>
          <cell r="BA198">
            <v>1030613</v>
          </cell>
          <cell r="BB198">
            <v>338571</v>
          </cell>
          <cell r="BC198">
            <v>305453</v>
          </cell>
          <cell r="BD198">
            <v>288011</v>
          </cell>
          <cell r="BE198">
            <v>295408</v>
          </cell>
          <cell r="BF198">
            <v>1227443</v>
          </cell>
          <cell r="BG198">
            <v>331847</v>
          </cell>
          <cell r="BH198">
            <v>321624</v>
          </cell>
          <cell r="BI198">
            <v>307663</v>
          </cell>
          <cell r="BJ198">
            <v>316831</v>
          </cell>
          <cell r="BK198">
            <v>1195940</v>
          </cell>
          <cell r="BL198">
            <v>350903</v>
          </cell>
          <cell r="BM198">
            <v>321035</v>
          </cell>
          <cell r="BN198">
            <v>317403</v>
          </cell>
          <cell r="BO198">
            <v>317744</v>
          </cell>
          <cell r="BP198">
            <v>1266207</v>
          </cell>
          <cell r="BQ198">
            <v>365023</v>
          </cell>
          <cell r="BR198">
            <v>317431</v>
          </cell>
          <cell r="BS198">
            <v>303622</v>
          </cell>
          <cell r="BT198">
            <v>323897</v>
          </cell>
          <cell r="BU198">
            <v>1300305</v>
          </cell>
          <cell r="BV198">
            <v>356813</v>
          </cell>
          <cell r="BW198">
            <v>325577</v>
          </cell>
          <cell r="BX198">
            <v>306871</v>
          </cell>
          <cell r="BY198">
            <v>318648</v>
          </cell>
          <cell r="BZ198">
            <v>1295808</v>
          </cell>
          <cell r="CA198">
            <v>345558</v>
          </cell>
          <cell r="CB198">
            <v>310291</v>
          </cell>
          <cell r="CC198">
            <v>298308</v>
          </cell>
          <cell r="CD198">
            <v>304329</v>
          </cell>
          <cell r="CE198">
            <v>1245618</v>
          </cell>
          <cell r="CF198">
            <v>349607</v>
          </cell>
          <cell r="CG198">
            <v>311890</v>
          </cell>
          <cell r="CH198">
            <v>311537</v>
          </cell>
          <cell r="CI198">
            <v>328340</v>
          </cell>
          <cell r="CJ198">
            <v>1300722</v>
          </cell>
          <cell r="CK198">
            <v>361573</v>
          </cell>
          <cell r="CL198">
            <v>324806</v>
          </cell>
          <cell r="CM198">
            <v>318357</v>
          </cell>
          <cell r="CO198">
            <v>1004736</v>
          </cell>
        </row>
        <row r="199">
          <cell r="B199" t="str">
            <v>Admissions</v>
          </cell>
          <cell r="D199" t="str">
            <v>ND</v>
          </cell>
          <cell r="E199">
            <v>33010</v>
          </cell>
          <cell r="F199">
            <v>40844</v>
          </cell>
          <cell r="G199">
            <v>48085</v>
          </cell>
          <cell r="H199">
            <v>47195</v>
          </cell>
          <cell r="I199">
            <v>59071</v>
          </cell>
          <cell r="J199">
            <v>60123</v>
          </cell>
          <cell r="K199">
            <v>78009</v>
          </cell>
          <cell r="L199">
            <v>101025</v>
          </cell>
          <cell r="M199">
            <v>26831</v>
          </cell>
          <cell r="N199">
            <v>34438</v>
          </cell>
          <cell r="O199">
            <v>29950</v>
          </cell>
          <cell r="P199" t="str">
            <v>ND</v>
          </cell>
          <cell r="Q199">
            <v>108673</v>
          </cell>
          <cell r="R199">
            <v>34531</v>
          </cell>
          <cell r="S199">
            <v>37671</v>
          </cell>
          <cell r="T199">
            <v>36406</v>
          </cell>
          <cell r="U199" t="str">
            <v>ND</v>
          </cell>
          <cell r="V199">
            <v>140545</v>
          </cell>
          <cell r="W199">
            <v>40235</v>
          </cell>
          <cell r="X199">
            <v>44942</v>
          </cell>
          <cell r="Y199">
            <v>41182</v>
          </cell>
          <cell r="Z199" t="str">
            <v>ND</v>
          </cell>
          <cell r="AA199">
            <v>166521</v>
          </cell>
          <cell r="AB199">
            <v>45302</v>
          </cell>
          <cell r="AC199">
            <v>49865</v>
          </cell>
          <cell r="AD199">
            <v>46451</v>
          </cell>
          <cell r="AE199" t="str">
            <v>ND</v>
          </cell>
          <cell r="AF199">
            <v>188576</v>
          </cell>
          <cell r="AG199">
            <v>50581</v>
          </cell>
          <cell r="AH199">
            <v>58504</v>
          </cell>
          <cell r="AI199">
            <v>54260</v>
          </cell>
          <cell r="AJ199">
            <v>57602</v>
          </cell>
          <cell r="AK199">
            <v>203875</v>
          </cell>
          <cell r="AL199">
            <v>60117</v>
          </cell>
          <cell r="AM199">
            <v>63379</v>
          </cell>
          <cell r="AN199">
            <v>57554</v>
          </cell>
          <cell r="AO199">
            <v>57496</v>
          </cell>
          <cell r="AP199">
            <v>237494</v>
          </cell>
          <cell r="AQ199">
            <v>61709</v>
          </cell>
          <cell r="AR199">
            <v>77450</v>
          </cell>
          <cell r="AS199">
            <v>70917</v>
          </cell>
          <cell r="AT199">
            <v>68410</v>
          </cell>
          <cell r="AU199">
            <v>247590</v>
          </cell>
          <cell r="AW199">
            <v>63379</v>
          </cell>
          <cell r="AX199">
            <v>57554</v>
          </cell>
          <cell r="AY199">
            <v>57496</v>
          </cell>
          <cell r="AZ199">
            <v>61709</v>
          </cell>
          <cell r="BA199">
            <v>240138</v>
          </cell>
          <cell r="BB199">
            <v>77450</v>
          </cell>
          <cell r="BC199">
            <v>70917</v>
          </cell>
          <cell r="BD199">
            <v>68410</v>
          </cell>
          <cell r="BE199">
            <v>69550</v>
          </cell>
          <cell r="BF199">
            <v>286327</v>
          </cell>
          <cell r="BG199">
            <v>75482</v>
          </cell>
          <cell r="BH199">
            <v>75177</v>
          </cell>
          <cell r="BI199">
            <v>73189</v>
          </cell>
          <cell r="BJ199">
            <v>75189</v>
          </cell>
          <cell r="BK199">
            <v>279240</v>
          </cell>
          <cell r="BL199">
            <v>81670</v>
          </cell>
          <cell r="BM199">
            <v>76104</v>
          </cell>
          <cell r="BN199">
            <v>75681</v>
          </cell>
          <cell r="BO199">
            <v>75854</v>
          </cell>
          <cell r="BP199">
            <v>299253</v>
          </cell>
          <cell r="BQ199">
            <v>82302</v>
          </cell>
          <cell r="BR199">
            <v>73809</v>
          </cell>
          <cell r="BS199">
            <v>72448</v>
          </cell>
          <cell r="BT199">
            <v>76562</v>
          </cell>
          <cell r="BU199">
            <v>302606</v>
          </cell>
          <cell r="BV199">
            <v>83361</v>
          </cell>
          <cell r="BW199">
            <v>77580</v>
          </cell>
          <cell r="BX199">
            <v>74890</v>
          </cell>
          <cell r="BY199">
            <v>76207</v>
          </cell>
          <cell r="BZ199">
            <v>309005</v>
          </cell>
          <cell r="CA199">
            <v>81492</v>
          </cell>
          <cell r="CB199">
            <v>75676</v>
          </cell>
          <cell r="CC199">
            <v>72634</v>
          </cell>
          <cell r="CD199">
            <v>74168</v>
          </cell>
          <cell r="CE199">
            <v>301785</v>
          </cell>
          <cell r="CF199">
            <v>81460</v>
          </cell>
          <cell r="CG199">
            <v>73936</v>
          </cell>
          <cell r="CH199">
            <v>76211</v>
          </cell>
          <cell r="CI199">
            <v>79646</v>
          </cell>
          <cell r="CJ199">
            <v>311053</v>
          </cell>
          <cell r="CK199">
            <v>84455</v>
          </cell>
          <cell r="CL199">
            <v>77488</v>
          </cell>
          <cell r="CM199">
            <v>76166</v>
          </cell>
          <cell r="CO199">
            <v>238109</v>
          </cell>
        </row>
        <row r="200">
          <cell r="B200" t="str">
            <v>Adjusted admissions</v>
          </cell>
          <cell r="D200" t="str">
            <v>ND</v>
          </cell>
          <cell r="E200" t="str">
            <v>ND</v>
          </cell>
          <cell r="F200" t="str">
            <v>ND</v>
          </cell>
          <cell r="G200" t="str">
            <v>ND</v>
          </cell>
          <cell r="H200" t="str">
            <v>ND</v>
          </cell>
          <cell r="I200" t="str">
            <v>ND</v>
          </cell>
          <cell r="J200" t="str">
            <v>ND</v>
          </cell>
          <cell r="K200" t="str">
            <v>ND</v>
          </cell>
          <cell r="L200" t="str">
            <v>ND</v>
          </cell>
          <cell r="M200" t="str">
            <v>ND</v>
          </cell>
          <cell r="N200" t="str">
            <v>ND</v>
          </cell>
          <cell r="O200" t="str">
            <v>ND</v>
          </cell>
          <cell r="P200" t="str">
            <v>ND</v>
          </cell>
          <cell r="Q200" t="str">
            <v>ND</v>
          </cell>
          <cell r="R200" t="str">
            <v>ND</v>
          </cell>
          <cell r="S200" t="str">
            <v>ND</v>
          </cell>
          <cell r="T200" t="str">
            <v>ND</v>
          </cell>
          <cell r="U200" t="str">
            <v>ND</v>
          </cell>
          <cell r="V200" t="str">
            <v>ND</v>
          </cell>
          <cell r="W200" t="str">
            <v>ND</v>
          </cell>
          <cell r="X200" t="str">
            <v>ND</v>
          </cell>
          <cell r="Y200" t="str">
            <v>ND</v>
          </cell>
          <cell r="Z200" t="str">
            <v>ND</v>
          </cell>
          <cell r="AA200" t="str">
            <v>ND</v>
          </cell>
          <cell r="AB200" t="str">
            <v>ND</v>
          </cell>
          <cell r="AC200" t="str">
            <v>ND</v>
          </cell>
          <cell r="AD200">
            <v>73987</v>
          </cell>
          <cell r="AE200" t="str">
            <v>ND</v>
          </cell>
          <cell r="AF200" t="str">
            <v>ND</v>
          </cell>
          <cell r="AG200">
            <v>80076</v>
          </cell>
          <cell r="AH200">
            <v>90967</v>
          </cell>
          <cell r="AI200">
            <v>86997</v>
          </cell>
          <cell r="AJ200">
            <v>93348</v>
          </cell>
          <cell r="AK200">
            <v>325137</v>
          </cell>
          <cell r="AL200">
            <v>95035</v>
          </cell>
          <cell r="AM200">
            <v>98579</v>
          </cell>
          <cell r="AN200">
            <v>93928</v>
          </cell>
          <cell r="AO200">
            <v>94092</v>
          </cell>
          <cell r="AP200">
            <v>380411</v>
          </cell>
          <cell r="AQ200">
            <v>99550</v>
          </cell>
          <cell r="AR200">
            <v>125020</v>
          </cell>
          <cell r="AS200">
            <v>118792</v>
          </cell>
          <cell r="AT200">
            <v>116488</v>
          </cell>
          <cell r="AU200">
            <v>402684</v>
          </cell>
          <cell r="AW200">
            <v>98579</v>
          </cell>
          <cell r="AX200">
            <v>93928</v>
          </cell>
          <cell r="AY200">
            <v>94092</v>
          </cell>
          <cell r="AZ200">
            <v>99550</v>
          </cell>
          <cell r="BA200">
            <v>386149</v>
          </cell>
          <cell r="BB200">
            <v>125020</v>
          </cell>
          <cell r="BC200">
            <v>118792</v>
          </cell>
          <cell r="BD200">
            <v>116488</v>
          </cell>
          <cell r="BE200">
            <v>115896</v>
          </cell>
          <cell r="BF200">
            <v>476196</v>
          </cell>
          <cell r="BG200">
            <v>125392</v>
          </cell>
          <cell r="BH200">
            <v>128209</v>
          </cell>
          <cell r="BI200">
            <v>123410</v>
          </cell>
          <cell r="BJ200">
            <v>126042</v>
          </cell>
          <cell r="BK200">
            <v>464188</v>
          </cell>
          <cell r="BL200">
            <v>135303</v>
          </cell>
          <cell r="BM200">
            <v>130120</v>
          </cell>
          <cell r="BN200">
            <v>131811</v>
          </cell>
          <cell r="BO200">
            <v>131986</v>
          </cell>
          <cell r="BP200">
            <v>511393</v>
          </cell>
          <cell r="BQ200">
            <v>138424</v>
          </cell>
          <cell r="BR200">
            <v>129749</v>
          </cell>
          <cell r="BS200">
            <v>129168</v>
          </cell>
          <cell r="BT200">
            <v>132965</v>
          </cell>
          <cell r="BU200">
            <v>525808</v>
          </cell>
          <cell r="BV200">
            <v>140649</v>
          </cell>
          <cell r="BW200">
            <v>135801</v>
          </cell>
          <cell r="BX200">
            <v>135033</v>
          </cell>
          <cell r="BY200">
            <v>134520</v>
          </cell>
          <cell r="BZ200">
            <v>539691</v>
          </cell>
          <cell r="CA200">
            <v>141786</v>
          </cell>
          <cell r="CB200">
            <v>137657</v>
          </cell>
          <cell r="CC200">
            <v>134591</v>
          </cell>
          <cell r="CD200">
            <v>135074</v>
          </cell>
          <cell r="CE200">
            <v>544534</v>
          </cell>
          <cell r="CF200">
            <v>146899</v>
          </cell>
          <cell r="CG200">
            <v>139201</v>
          </cell>
          <cell r="CH200">
            <v>145354</v>
          </cell>
          <cell r="CI200">
            <v>149947</v>
          </cell>
          <cell r="CJ200">
            <v>581056</v>
          </cell>
          <cell r="CK200">
            <v>158659</v>
          </cell>
          <cell r="CL200">
            <v>151908</v>
          </cell>
          <cell r="CM200">
            <v>151620</v>
          </cell>
          <cell r="CO200">
            <v>462187</v>
          </cell>
        </row>
        <row r="201">
          <cell r="B201" t="str">
            <v>Average length of stay</v>
          </cell>
          <cell r="D201" t="str">
            <v>ND</v>
          </cell>
          <cell r="E201" t="str">
            <v>ND</v>
          </cell>
          <cell r="F201" t="str">
            <v>ND</v>
          </cell>
          <cell r="G201" t="str">
            <v>ND</v>
          </cell>
          <cell r="H201" t="str">
            <v>ND</v>
          </cell>
          <cell r="I201" t="str">
            <v>ND</v>
          </cell>
          <cell r="J201" t="str">
            <v>ND</v>
          </cell>
          <cell r="K201" t="str">
            <v>ND</v>
          </cell>
          <cell r="L201" t="str">
            <v>ND</v>
          </cell>
          <cell r="M201" t="str">
            <v>ND</v>
          </cell>
          <cell r="N201" t="str">
            <v>ND</v>
          </cell>
          <cell r="O201" t="str">
            <v>ND</v>
          </cell>
          <cell r="P201" t="str">
            <v>ND</v>
          </cell>
          <cell r="Q201" t="str">
            <v>ND</v>
          </cell>
          <cell r="R201" t="str">
            <v>ND</v>
          </cell>
          <cell r="S201" t="str">
            <v>ND</v>
          </cell>
          <cell r="T201" t="str">
            <v>ND</v>
          </cell>
          <cell r="U201" t="str">
            <v>ND</v>
          </cell>
          <cell r="V201" t="str">
            <v>ND</v>
          </cell>
          <cell r="W201" t="str">
            <v>ND</v>
          </cell>
          <cell r="X201" t="str">
            <v>ND</v>
          </cell>
          <cell r="Y201" t="str">
            <v>ND</v>
          </cell>
          <cell r="Z201" t="str">
            <v>ND</v>
          </cell>
          <cell r="AA201" t="str">
            <v>ND</v>
          </cell>
          <cell r="AB201" t="str">
            <v>ND</v>
          </cell>
          <cell r="AC201" t="str">
            <v>ND</v>
          </cell>
          <cell r="AD201" t="str">
            <v>ND</v>
          </cell>
          <cell r="AE201" t="str">
            <v>ND</v>
          </cell>
          <cell r="AF201" t="str">
            <v>ND</v>
          </cell>
          <cell r="AG201" t="str">
            <v>ND</v>
          </cell>
          <cell r="AH201">
            <v>4.5</v>
          </cell>
          <cell r="AI201" t="str">
            <v>ND</v>
          </cell>
          <cell r="AJ201">
            <v>4.3</v>
          </cell>
          <cell r="AK201">
            <v>4.4000000000000004</v>
          </cell>
          <cell r="AL201">
            <v>4.3</v>
          </cell>
          <cell r="AM201">
            <v>4.5</v>
          </cell>
          <cell r="AN201">
            <v>4.3</v>
          </cell>
          <cell r="AO201">
            <v>4.2</v>
          </cell>
          <cell r="AP201">
            <v>4.3</v>
          </cell>
          <cell r="AQ201">
            <v>4.2</v>
          </cell>
          <cell r="AR201">
            <v>4.4000000000000004</v>
          </cell>
          <cell r="AS201">
            <v>4.3</v>
          </cell>
          <cell r="AT201">
            <v>4.2</v>
          </cell>
          <cell r="AU201">
            <v>4.3</v>
          </cell>
          <cell r="AW201">
            <v>4.5</v>
          </cell>
          <cell r="AX201">
            <v>4.3</v>
          </cell>
          <cell r="AY201">
            <v>4.2</v>
          </cell>
          <cell r="AZ201">
            <v>4.2</v>
          </cell>
          <cell r="BB201">
            <v>4.4000000000000004</v>
          </cell>
          <cell r="BC201">
            <v>4.3</v>
          </cell>
          <cell r="BD201">
            <v>4.2</v>
          </cell>
          <cell r="BE201" t="str">
            <v>ND</v>
          </cell>
          <cell r="BG201">
            <v>4.4000000000000004</v>
          </cell>
          <cell r="BH201">
            <v>4.3</v>
          </cell>
          <cell r="BI201">
            <v>4.2</v>
          </cell>
          <cell r="BJ201">
            <v>4.2</v>
          </cell>
          <cell r="BK201">
            <v>4.3</v>
          </cell>
          <cell r="BL201">
            <v>4.3</v>
          </cell>
          <cell r="BM201">
            <v>4.2</v>
          </cell>
          <cell r="BN201">
            <v>4.2</v>
          </cell>
          <cell r="BO201">
            <v>4.2</v>
          </cell>
          <cell r="BP201">
            <v>4.2</v>
          </cell>
          <cell r="BQ201">
            <v>4.4000000000000004</v>
          </cell>
          <cell r="BR201">
            <v>4.3</v>
          </cell>
          <cell r="BS201">
            <v>4.2</v>
          </cell>
          <cell r="BT201">
            <v>4.2</v>
          </cell>
          <cell r="BU201" t="str">
            <v>ND</v>
          </cell>
          <cell r="BV201">
            <v>4.3</v>
          </cell>
          <cell r="BW201">
            <v>4.2</v>
          </cell>
          <cell r="BX201">
            <v>4.0999999999999996</v>
          </cell>
          <cell r="BY201">
            <v>4.2</v>
          </cell>
          <cell r="BZ201">
            <v>4.2</v>
          </cell>
          <cell r="CA201">
            <v>4.2</v>
          </cell>
          <cell r="CB201">
            <v>4.0999999999999996</v>
          </cell>
          <cell r="CC201">
            <v>4.0999999999999996</v>
          </cell>
          <cell r="CD201">
            <v>4.0999999999999996</v>
          </cell>
          <cell r="CE201">
            <v>4.0999999999999996</v>
          </cell>
          <cell r="CF201">
            <v>4.3</v>
          </cell>
          <cell r="CG201">
            <v>4.2</v>
          </cell>
          <cell r="CH201">
            <v>4.0999999999999996</v>
          </cell>
          <cell r="CI201">
            <v>4.0999999999999996</v>
          </cell>
          <cell r="CJ201">
            <v>4.2</v>
          </cell>
          <cell r="CK201">
            <v>4.9000000000000004</v>
          </cell>
          <cell r="CL201">
            <v>4.2</v>
          </cell>
          <cell r="CM201">
            <v>4.2</v>
          </cell>
        </row>
        <row r="202">
          <cell r="B202" t="str">
            <v>Surgeries</v>
          </cell>
          <cell r="D202" t="str">
            <v>ND</v>
          </cell>
          <cell r="E202" t="str">
            <v>ND</v>
          </cell>
          <cell r="F202" t="str">
            <v>ND</v>
          </cell>
          <cell r="G202" t="str">
            <v>ND</v>
          </cell>
          <cell r="H202" t="str">
            <v>ND</v>
          </cell>
          <cell r="I202" t="str">
            <v>ND</v>
          </cell>
          <cell r="J202" t="str">
            <v>ND</v>
          </cell>
          <cell r="K202" t="str">
            <v>ND</v>
          </cell>
          <cell r="L202" t="str">
            <v>ND</v>
          </cell>
          <cell r="M202" t="str">
            <v>ND</v>
          </cell>
          <cell r="N202" t="str">
            <v>ND</v>
          </cell>
          <cell r="O202" t="str">
            <v>ND</v>
          </cell>
          <cell r="P202" t="str">
            <v>ND</v>
          </cell>
          <cell r="Q202" t="str">
            <v>ND</v>
          </cell>
          <cell r="R202" t="str">
            <v>ND</v>
          </cell>
          <cell r="S202" t="str">
            <v>ND</v>
          </cell>
          <cell r="T202" t="str">
            <v>ND</v>
          </cell>
          <cell r="U202" t="str">
            <v>ND</v>
          </cell>
          <cell r="V202" t="str">
            <v>ND</v>
          </cell>
          <cell r="W202" t="str">
            <v>ND</v>
          </cell>
          <cell r="X202" t="str">
            <v>ND</v>
          </cell>
          <cell r="Y202" t="str">
            <v>ND</v>
          </cell>
          <cell r="Z202" t="str">
            <v>ND</v>
          </cell>
          <cell r="AA202" t="str">
            <v>ND</v>
          </cell>
          <cell r="AB202" t="str">
            <v>ND</v>
          </cell>
          <cell r="AC202" t="str">
            <v>ND</v>
          </cell>
          <cell r="AD202" t="str">
            <v>ND</v>
          </cell>
          <cell r="AE202" t="str">
            <v>ND</v>
          </cell>
          <cell r="AF202" t="str">
            <v>ND</v>
          </cell>
          <cell r="AG202" t="str">
            <v>ND</v>
          </cell>
          <cell r="AH202">
            <v>50993</v>
          </cell>
          <cell r="AI202" t="str">
            <v>ND</v>
          </cell>
          <cell r="AJ202">
            <v>51787</v>
          </cell>
          <cell r="AK202">
            <v>188453</v>
          </cell>
          <cell r="AL202">
            <v>50962</v>
          </cell>
          <cell r="AM202">
            <v>53145</v>
          </cell>
          <cell r="AN202">
            <v>51781</v>
          </cell>
          <cell r="AO202">
            <v>51184</v>
          </cell>
          <cell r="AP202">
            <v>206911</v>
          </cell>
          <cell r="AQ202">
            <v>53985</v>
          </cell>
          <cell r="AR202">
            <v>63335</v>
          </cell>
          <cell r="AS202">
            <v>64658</v>
          </cell>
          <cell r="AT202">
            <v>62555</v>
          </cell>
          <cell r="AU202">
            <v>221595</v>
          </cell>
          <cell r="AW202">
            <v>53145</v>
          </cell>
          <cell r="AX202">
            <v>51781</v>
          </cell>
          <cell r="AY202">
            <v>51184</v>
          </cell>
          <cell r="AZ202">
            <v>53985</v>
          </cell>
          <cell r="BA202">
            <v>210095</v>
          </cell>
          <cell r="BB202">
            <v>63335</v>
          </cell>
          <cell r="BC202">
            <v>64658</v>
          </cell>
          <cell r="BD202">
            <v>62555</v>
          </cell>
          <cell r="BE202">
            <v>61973</v>
          </cell>
          <cell r="BF202">
            <v>252521</v>
          </cell>
          <cell r="BG202">
            <v>65303</v>
          </cell>
          <cell r="BH202">
            <v>68724</v>
          </cell>
          <cell r="BI202">
            <v>65970</v>
          </cell>
          <cell r="BJ202">
            <v>67003</v>
          </cell>
          <cell r="BK202">
            <v>250903</v>
          </cell>
          <cell r="BL202">
            <v>69549</v>
          </cell>
          <cell r="BM202">
            <v>68967</v>
          </cell>
          <cell r="BN202">
            <v>69768</v>
          </cell>
          <cell r="BO202">
            <v>68929</v>
          </cell>
          <cell r="BP202">
            <v>271051</v>
          </cell>
          <cell r="BQ202">
            <v>69800</v>
          </cell>
          <cell r="BR202">
            <v>69649</v>
          </cell>
          <cell r="BS202">
            <v>67518</v>
          </cell>
          <cell r="BT202">
            <v>67898</v>
          </cell>
          <cell r="BU202">
            <v>273602</v>
          </cell>
          <cell r="BV202">
            <v>68347</v>
          </cell>
          <cell r="BW202">
            <v>68994</v>
          </cell>
          <cell r="BX202">
            <v>66337</v>
          </cell>
          <cell r="BY202">
            <v>66774</v>
          </cell>
          <cell r="BZ202">
            <v>267647</v>
          </cell>
          <cell r="CA202">
            <v>76018</v>
          </cell>
          <cell r="CB202">
            <v>76402</v>
          </cell>
          <cell r="CC202">
            <v>75264</v>
          </cell>
          <cell r="CD202">
            <v>74477</v>
          </cell>
          <cell r="CE202">
            <v>296517</v>
          </cell>
          <cell r="CF202">
            <v>78527</v>
          </cell>
          <cell r="CG202">
            <v>78233</v>
          </cell>
          <cell r="CH202">
            <v>78108</v>
          </cell>
          <cell r="CI202">
            <v>81502</v>
          </cell>
          <cell r="CJ202">
            <v>316298</v>
          </cell>
          <cell r="CK202">
            <v>85943</v>
          </cell>
          <cell r="CL202">
            <v>84893</v>
          </cell>
          <cell r="CM202">
            <v>82322</v>
          </cell>
          <cell r="CO202">
            <v>253158</v>
          </cell>
        </row>
        <row r="203">
          <cell r="B203" t="str">
            <v>Emergency room visits</v>
          </cell>
          <cell r="D203" t="str">
            <v>ND</v>
          </cell>
          <cell r="E203" t="str">
            <v>ND</v>
          </cell>
          <cell r="F203" t="str">
            <v>ND</v>
          </cell>
          <cell r="G203" t="str">
            <v>ND</v>
          </cell>
          <cell r="H203" t="str">
            <v>ND</v>
          </cell>
          <cell r="I203" t="str">
            <v>ND</v>
          </cell>
          <cell r="J203" t="str">
            <v>ND</v>
          </cell>
          <cell r="K203" t="str">
            <v>ND</v>
          </cell>
          <cell r="L203" t="str">
            <v>ND</v>
          </cell>
          <cell r="M203" t="str">
            <v>ND</v>
          </cell>
          <cell r="N203" t="str">
            <v>ND</v>
          </cell>
          <cell r="O203" t="str">
            <v>ND</v>
          </cell>
          <cell r="P203" t="str">
            <v>ND</v>
          </cell>
          <cell r="Q203" t="str">
            <v>ND</v>
          </cell>
          <cell r="R203" t="str">
            <v>ND</v>
          </cell>
          <cell r="S203" t="str">
            <v>ND</v>
          </cell>
          <cell r="T203" t="str">
            <v>ND</v>
          </cell>
          <cell r="U203" t="str">
            <v>ND</v>
          </cell>
          <cell r="V203" t="str">
            <v>ND</v>
          </cell>
          <cell r="W203" t="str">
            <v>ND</v>
          </cell>
          <cell r="X203" t="str">
            <v>ND</v>
          </cell>
          <cell r="Y203" t="str">
            <v>ND</v>
          </cell>
          <cell r="Z203" t="str">
            <v>ND</v>
          </cell>
          <cell r="AA203" t="str">
            <v>ND</v>
          </cell>
          <cell r="AB203" t="str">
            <v>ND</v>
          </cell>
          <cell r="AC203" t="str">
            <v>ND</v>
          </cell>
          <cell r="AD203" t="str">
            <v>ND</v>
          </cell>
          <cell r="AE203" t="str">
            <v>ND</v>
          </cell>
          <cell r="AF203" t="str">
            <v>ND</v>
          </cell>
          <cell r="AG203" t="str">
            <v>ND</v>
          </cell>
          <cell r="AH203" t="str">
            <v>ND</v>
          </cell>
          <cell r="AI203" t="str">
            <v>ND</v>
          </cell>
          <cell r="AJ203" t="str">
            <v>ND</v>
          </cell>
          <cell r="AK203" t="str">
            <v>ND</v>
          </cell>
          <cell r="AL203" t="str">
            <v>ND</v>
          </cell>
          <cell r="AM203" t="str">
            <v>ND</v>
          </cell>
          <cell r="AN203" t="str">
            <v>ND</v>
          </cell>
          <cell r="AO203" t="str">
            <v>ND</v>
          </cell>
          <cell r="AP203" t="str">
            <v>ND</v>
          </cell>
          <cell r="AQ203" t="str">
            <v>ND</v>
          </cell>
          <cell r="AR203" t="str">
            <v>ND</v>
          </cell>
          <cell r="AS203" t="str">
            <v>ND</v>
          </cell>
          <cell r="AT203" t="str">
            <v>ND</v>
          </cell>
          <cell r="AU203" t="str">
            <v>ND</v>
          </cell>
          <cell r="AW203" t="str">
            <v>ND</v>
          </cell>
          <cell r="AX203" t="str">
            <v>ND</v>
          </cell>
          <cell r="AY203" t="str">
            <v>ND</v>
          </cell>
          <cell r="AZ203" t="str">
            <v>ND</v>
          </cell>
          <cell r="BB203" t="str">
            <v>ND</v>
          </cell>
          <cell r="BC203" t="str">
            <v>ND</v>
          </cell>
          <cell r="BD203" t="str">
            <v>ND</v>
          </cell>
          <cell r="BE203" t="str">
            <v>ND</v>
          </cell>
          <cell r="BG203" t="str">
            <v>ND</v>
          </cell>
          <cell r="BH203" t="str">
            <v>ND</v>
          </cell>
          <cell r="BI203" t="str">
            <v>ND</v>
          </cell>
          <cell r="BJ203" t="str">
            <v>ND</v>
          </cell>
          <cell r="BK203">
            <v>1123783</v>
          </cell>
          <cell r="BL203">
            <v>334149</v>
          </cell>
          <cell r="BM203">
            <v>323831</v>
          </cell>
          <cell r="BN203">
            <v>333847</v>
          </cell>
          <cell r="BO203">
            <v>279841</v>
          </cell>
          <cell r="BP203">
            <v>1271668</v>
          </cell>
          <cell r="BQ203">
            <v>356202</v>
          </cell>
          <cell r="BR203">
            <v>330424</v>
          </cell>
          <cell r="BS203">
            <v>326765</v>
          </cell>
          <cell r="BT203">
            <v>328983</v>
          </cell>
          <cell r="BU203">
            <v>1327243</v>
          </cell>
          <cell r="BV203">
            <v>354819</v>
          </cell>
          <cell r="BW203">
            <v>348824</v>
          </cell>
          <cell r="BX203">
            <v>355213</v>
          </cell>
          <cell r="BY203">
            <v>337082</v>
          </cell>
          <cell r="BZ203">
            <v>1371153</v>
          </cell>
          <cell r="CA203">
            <v>332884</v>
          </cell>
          <cell r="CB203">
            <v>333938</v>
          </cell>
          <cell r="CC203">
            <v>329431</v>
          </cell>
          <cell r="CD203">
            <v>331076</v>
          </cell>
          <cell r="CE203">
            <v>1320661</v>
          </cell>
          <cell r="CF203">
            <v>360256</v>
          </cell>
          <cell r="CG203">
            <v>344483</v>
          </cell>
          <cell r="CH203">
            <v>359404</v>
          </cell>
          <cell r="CI203">
            <v>368461</v>
          </cell>
          <cell r="CJ203">
            <v>1430193</v>
          </cell>
          <cell r="CK203">
            <v>393133</v>
          </cell>
          <cell r="CL203">
            <v>392461</v>
          </cell>
          <cell r="CM203">
            <v>392181</v>
          </cell>
          <cell r="CO203">
            <v>1177775</v>
          </cell>
        </row>
        <row r="204">
          <cell r="B204" t="str">
            <v>Net revenue (in thousands)</v>
          </cell>
          <cell r="D204" t="str">
            <v>ND</v>
          </cell>
          <cell r="E204" t="str">
            <v>ND</v>
          </cell>
          <cell r="F204" t="str">
            <v>ND</v>
          </cell>
          <cell r="G204" t="str">
            <v>ND</v>
          </cell>
          <cell r="H204" t="str">
            <v>ND</v>
          </cell>
          <cell r="I204" t="str">
            <v>ND</v>
          </cell>
          <cell r="J204" t="str">
            <v>ND</v>
          </cell>
          <cell r="K204" t="str">
            <v>ND</v>
          </cell>
          <cell r="L204" t="str">
            <v>ND</v>
          </cell>
          <cell r="M204" t="str">
            <v>ND</v>
          </cell>
          <cell r="N204" t="str">
            <v>ND</v>
          </cell>
          <cell r="O204" t="str">
            <v>ND</v>
          </cell>
          <cell r="P204" t="str">
            <v>ND</v>
          </cell>
          <cell r="Q204" t="str">
            <v>ND</v>
          </cell>
          <cell r="R204" t="str">
            <v>ND</v>
          </cell>
          <cell r="S204" t="str">
            <v>ND</v>
          </cell>
          <cell r="T204" t="str">
            <v>ND</v>
          </cell>
          <cell r="U204" t="str">
            <v>ND</v>
          </cell>
          <cell r="V204" t="str">
            <v>ND</v>
          </cell>
          <cell r="W204" t="str">
            <v>ND</v>
          </cell>
          <cell r="X204" t="str">
            <v>ND</v>
          </cell>
          <cell r="Y204" t="str">
            <v>ND</v>
          </cell>
          <cell r="Z204" t="str">
            <v>ND</v>
          </cell>
          <cell r="AA204" t="str">
            <v>ND</v>
          </cell>
          <cell r="AB204" t="str">
            <v>ND</v>
          </cell>
          <cell r="AC204" t="str">
            <v>ND</v>
          </cell>
          <cell r="AD204" t="str">
            <v>ND</v>
          </cell>
          <cell r="AE204" t="str">
            <v>ND</v>
          </cell>
          <cell r="AF204" t="str">
            <v>ND</v>
          </cell>
          <cell r="AG204" t="str">
            <v>ND</v>
          </cell>
          <cell r="AH204">
            <v>618764</v>
          </cell>
          <cell r="AI204" t="str">
            <v>ND</v>
          </cell>
          <cell r="AJ204">
            <v>635045</v>
          </cell>
          <cell r="AK204" t="str">
            <v>ND</v>
          </cell>
          <cell r="AL204">
            <v>651483</v>
          </cell>
          <cell r="AM204">
            <v>685414</v>
          </cell>
          <cell r="AN204">
            <v>671668</v>
          </cell>
          <cell r="AO204">
            <v>656865</v>
          </cell>
          <cell r="AP204" t="str">
            <v>ND</v>
          </cell>
          <cell r="AQ204">
            <v>711859</v>
          </cell>
          <cell r="AR204">
            <v>859175</v>
          </cell>
          <cell r="AS204">
            <v>849592</v>
          </cell>
          <cell r="AT204">
            <v>816589</v>
          </cell>
          <cell r="AU204">
            <v>2905458</v>
          </cell>
          <cell r="AW204">
            <v>685414</v>
          </cell>
          <cell r="AX204">
            <v>671668</v>
          </cell>
          <cell r="AY204">
            <v>656865</v>
          </cell>
          <cell r="AZ204">
            <v>711859</v>
          </cell>
          <cell r="BA204">
            <v>2725806</v>
          </cell>
          <cell r="BB204">
            <v>859175</v>
          </cell>
          <cell r="BC204">
            <v>849592</v>
          </cell>
          <cell r="BD204">
            <v>816589</v>
          </cell>
          <cell r="BE204">
            <v>846841</v>
          </cell>
          <cell r="BF204">
            <v>3372197</v>
          </cell>
          <cell r="BG204">
            <v>916075</v>
          </cell>
          <cell r="BH204">
            <v>959427</v>
          </cell>
          <cell r="BI204">
            <v>925360</v>
          </cell>
          <cell r="BJ204">
            <v>967230</v>
          </cell>
          <cell r="BK204">
            <v>3492498</v>
          </cell>
          <cell r="BL204">
            <v>1067606</v>
          </cell>
          <cell r="BM204">
            <v>1026196</v>
          </cell>
          <cell r="BN204">
            <v>1054455</v>
          </cell>
          <cell r="BO204">
            <v>1071014</v>
          </cell>
          <cell r="BP204">
            <v>4093434</v>
          </cell>
          <cell r="BQ204">
            <v>1133815</v>
          </cell>
          <cell r="BR204">
            <v>1105299</v>
          </cell>
          <cell r="BS204">
            <v>1081914</v>
          </cell>
          <cell r="BT204">
            <v>1111826</v>
          </cell>
          <cell r="BU204">
            <v>4390898</v>
          </cell>
          <cell r="BV204">
            <v>1188023</v>
          </cell>
          <cell r="BW204">
            <v>1155453</v>
          </cell>
          <cell r="BX204">
            <v>1121903</v>
          </cell>
          <cell r="BY204">
            <v>1176563</v>
          </cell>
          <cell r="BZ204">
            <v>4594936</v>
          </cell>
          <cell r="CA204">
            <v>1216316</v>
          </cell>
          <cell r="CB204">
            <v>1176747</v>
          </cell>
          <cell r="CC204">
            <v>1179455</v>
          </cell>
          <cell r="CD204">
            <v>1209650</v>
          </cell>
          <cell r="CE204">
            <v>4741642</v>
          </cell>
          <cell r="CF204">
            <v>1332971</v>
          </cell>
          <cell r="CG204">
            <v>1281644</v>
          </cell>
          <cell r="CH204">
            <v>1309012</v>
          </cell>
          <cell r="CI204">
            <v>1420432</v>
          </cell>
          <cell r="CJ204">
            <v>5335498</v>
          </cell>
          <cell r="CK204">
            <v>1325992</v>
          </cell>
          <cell r="CL204">
            <v>1299430</v>
          </cell>
          <cell r="CM204">
            <v>1274050</v>
          </cell>
          <cell r="CO204">
            <v>3899472</v>
          </cell>
        </row>
        <row r="205">
          <cell r="B205" t="str">
            <v>Net revenue per adjusted admission</v>
          </cell>
          <cell r="D205" t="str">
            <v>ND</v>
          </cell>
          <cell r="E205" t="str">
            <v>ND</v>
          </cell>
          <cell r="F205" t="str">
            <v>ND</v>
          </cell>
          <cell r="G205" t="str">
            <v>ND</v>
          </cell>
          <cell r="H205" t="str">
            <v>ND</v>
          </cell>
          <cell r="I205" t="str">
            <v>ND</v>
          </cell>
          <cell r="J205" t="str">
            <v>ND</v>
          </cell>
          <cell r="K205" t="str">
            <v>ND</v>
          </cell>
          <cell r="L205" t="str">
            <v>ND</v>
          </cell>
          <cell r="M205" t="str">
            <v>ND</v>
          </cell>
          <cell r="N205" t="str">
            <v>ND</v>
          </cell>
          <cell r="O205" t="str">
            <v>ND</v>
          </cell>
          <cell r="P205" t="str">
            <v>ND</v>
          </cell>
          <cell r="Q205" t="str">
            <v>ND</v>
          </cell>
          <cell r="R205" t="str">
            <v>ND</v>
          </cell>
          <cell r="S205" t="str">
            <v>ND</v>
          </cell>
          <cell r="T205" t="str">
            <v>ND</v>
          </cell>
          <cell r="U205" t="str">
            <v>ND</v>
          </cell>
          <cell r="V205" t="str">
            <v>ND</v>
          </cell>
          <cell r="W205" t="str">
            <v>ND</v>
          </cell>
          <cell r="X205" t="str">
            <v>ND</v>
          </cell>
          <cell r="Y205" t="str">
            <v>ND</v>
          </cell>
          <cell r="Z205" t="str">
            <v>ND</v>
          </cell>
          <cell r="AA205" t="str">
            <v>ND</v>
          </cell>
          <cell r="AB205" t="str">
            <v>ND</v>
          </cell>
          <cell r="AC205" t="str">
            <v>ND</v>
          </cell>
          <cell r="AD205" t="str">
            <v>ND</v>
          </cell>
          <cell r="AE205" t="str">
            <v>ND</v>
          </cell>
          <cell r="AF205" t="str">
            <v>ND</v>
          </cell>
          <cell r="AG205" t="str">
            <v>ND</v>
          </cell>
          <cell r="AH205" t="str">
            <v>ND</v>
          </cell>
          <cell r="AI205" t="str">
            <v>ND</v>
          </cell>
          <cell r="AJ205" t="str">
            <v>ND</v>
          </cell>
          <cell r="AK205" t="str">
            <v>ND</v>
          </cell>
          <cell r="AL205" t="str">
            <v>ND</v>
          </cell>
          <cell r="AM205" t="str">
            <v>ND</v>
          </cell>
          <cell r="AN205" t="str">
            <v>ND</v>
          </cell>
          <cell r="AO205" t="str">
            <v>ND</v>
          </cell>
          <cell r="AP205" t="str">
            <v>ND</v>
          </cell>
          <cell r="AQ205" t="str">
            <v>ND</v>
          </cell>
          <cell r="AR205" t="str">
            <v>ND</v>
          </cell>
          <cell r="AS205" t="str">
            <v>ND</v>
          </cell>
          <cell r="AT205" t="str">
            <v>ND</v>
          </cell>
          <cell r="AU205" t="str">
            <v>ND</v>
          </cell>
          <cell r="AW205" t="str">
            <v>ND</v>
          </cell>
          <cell r="AX205" t="str">
            <v>ND</v>
          </cell>
          <cell r="AY205" t="str">
            <v>ND</v>
          </cell>
          <cell r="AZ205" t="str">
            <v>ND</v>
          </cell>
          <cell r="BB205" t="str">
            <v>ND</v>
          </cell>
          <cell r="BC205" t="str">
            <v>ND</v>
          </cell>
          <cell r="BD205" t="str">
            <v>ND</v>
          </cell>
          <cell r="BE205" t="str">
            <v>ND</v>
          </cell>
          <cell r="BG205">
            <v>7305.68935817277</v>
          </cell>
          <cell r="BH205">
            <v>7483.3046042009528</v>
          </cell>
          <cell r="BI205">
            <v>7498.2578397212537</v>
          </cell>
          <cell r="BJ205">
            <v>7673.8706145570522</v>
          </cell>
          <cell r="BK205" t="str">
            <v>ND</v>
          </cell>
          <cell r="BL205">
            <v>7890.4828422134024</v>
          </cell>
          <cell r="BM205">
            <v>7886.5355056870576</v>
          </cell>
          <cell r="BN205">
            <v>7999.7496415321939</v>
          </cell>
          <cell r="BO205">
            <v>8114.6030639613291</v>
          </cell>
          <cell r="BP205" t="str">
            <v>ND</v>
          </cell>
          <cell r="BQ205">
            <v>8190.8845286944452</v>
          </cell>
          <cell r="BR205">
            <v>8518.7477360133798</v>
          </cell>
          <cell r="BS205">
            <v>8376.0219249349684</v>
          </cell>
          <cell r="BT205">
            <v>8361.7944571879816</v>
          </cell>
          <cell r="BU205" t="str">
            <v>ND</v>
          </cell>
          <cell r="BV205">
            <v>8446.7219816706838</v>
          </cell>
          <cell r="BW205">
            <v>8508.4277729913629</v>
          </cell>
          <cell r="BX205">
            <v>8308.3616597424334</v>
          </cell>
          <cell r="BY205">
            <v>8746.3797204876591</v>
          </cell>
          <cell r="BZ205" t="str">
            <v>ND</v>
          </cell>
          <cell r="CA205">
            <v>8579</v>
          </cell>
          <cell r="CB205">
            <v>8548</v>
          </cell>
          <cell r="CC205">
            <v>8763</v>
          </cell>
          <cell r="CD205">
            <v>8955</v>
          </cell>
          <cell r="CE205">
            <v>8708</v>
          </cell>
          <cell r="CF205">
            <v>9074</v>
          </cell>
          <cell r="CG205">
            <v>9207</v>
          </cell>
          <cell r="CH205">
            <v>9006</v>
          </cell>
          <cell r="CI205">
            <v>9473</v>
          </cell>
          <cell r="CJ205">
            <v>9182</v>
          </cell>
          <cell r="CK205">
            <v>8357</v>
          </cell>
          <cell r="CL205">
            <v>8554</v>
          </cell>
          <cell r="CM205">
            <v>8403</v>
          </cell>
          <cell r="CO205">
            <v>25314</v>
          </cell>
        </row>
        <row r="206">
          <cell r="B206" t="str">
            <v>Total inpatient revenue percentage</v>
          </cell>
          <cell r="D206" t="str">
            <v>ND</v>
          </cell>
          <cell r="E206" t="str">
            <v>ND</v>
          </cell>
          <cell r="F206" t="str">
            <v>ND</v>
          </cell>
          <cell r="G206" t="str">
            <v>ND</v>
          </cell>
          <cell r="H206" t="str">
            <v>ND</v>
          </cell>
          <cell r="I206" t="str">
            <v>ND</v>
          </cell>
          <cell r="J206" t="str">
            <v>ND</v>
          </cell>
          <cell r="K206" t="str">
            <v>ND</v>
          </cell>
          <cell r="L206" t="str">
            <v>ND</v>
          </cell>
          <cell r="M206" t="str">
            <v>ND</v>
          </cell>
          <cell r="N206" t="str">
            <v>ND</v>
          </cell>
          <cell r="O206" t="str">
            <v>ND</v>
          </cell>
          <cell r="P206" t="str">
            <v>ND</v>
          </cell>
          <cell r="Q206" t="str">
            <v>ND</v>
          </cell>
          <cell r="R206" t="str">
            <v>ND</v>
          </cell>
          <cell r="S206" t="str">
            <v>ND</v>
          </cell>
          <cell r="T206" t="str">
            <v>ND</v>
          </cell>
          <cell r="U206" t="str">
            <v>ND</v>
          </cell>
          <cell r="V206" t="str">
            <v>ND</v>
          </cell>
          <cell r="W206" t="str">
            <v>ND</v>
          </cell>
          <cell r="X206" t="str">
            <v>ND</v>
          </cell>
          <cell r="Y206" t="str">
            <v>ND</v>
          </cell>
          <cell r="Z206" t="str">
            <v>ND</v>
          </cell>
          <cell r="AA206" t="str">
            <v>ND</v>
          </cell>
          <cell r="AB206" t="str">
            <v>ND</v>
          </cell>
          <cell r="AC206" t="str">
            <v>ND</v>
          </cell>
          <cell r="AD206" t="str">
            <v>ND</v>
          </cell>
          <cell r="AE206" t="str">
            <v>ND</v>
          </cell>
          <cell r="AF206" t="str">
            <v>ND</v>
          </cell>
          <cell r="AG206" t="str">
            <v>ND</v>
          </cell>
          <cell r="AH206">
            <v>0.56000000000000005</v>
          </cell>
          <cell r="AI206" t="str">
            <v>ND</v>
          </cell>
          <cell r="AJ206">
            <v>0.52700000000000002</v>
          </cell>
          <cell r="AK206">
            <v>0.53300000000000003</v>
          </cell>
          <cell r="AL206">
            <v>0.53500000000000003</v>
          </cell>
          <cell r="AM206">
            <v>0.56000000000000005</v>
          </cell>
          <cell r="AN206">
            <v>0.50900000000000001</v>
          </cell>
          <cell r="AO206">
            <v>0.52100000000000002</v>
          </cell>
          <cell r="AP206">
            <v>0.53100000000000003</v>
          </cell>
          <cell r="AQ206">
            <v>0.53600000000000003</v>
          </cell>
          <cell r="AR206">
            <v>0.53600000000000003</v>
          </cell>
          <cell r="AS206">
            <v>0.51100000000000001</v>
          </cell>
          <cell r="AT206">
            <v>0.49299999999999999</v>
          </cell>
          <cell r="AU206">
            <v>0.52500000000000002</v>
          </cell>
          <cell r="AW206">
            <v>0.56000000000000005</v>
          </cell>
          <cell r="AX206">
            <v>0.50900000000000001</v>
          </cell>
          <cell r="AY206">
            <v>0.52100000000000002</v>
          </cell>
          <cell r="AZ206">
            <v>0.53600000000000003</v>
          </cell>
          <cell r="BB206">
            <v>0.53600000000000003</v>
          </cell>
          <cell r="BC206">
            <v>0.51100000000000001</v>
          </cell>
          <cell r="BD206">
            <v>0.49299999999999999</v>
          </cell>
          <cell r="BE206">
            <v>0.51500000000000001</v>
          </cell>
          <cell r="BG206">
            <v>0.50700000000000001</v>
          </cell>
          <cell r="BH206">
            <v>0.503</v>
          </cell>
          <cell r="BI206">
            <v>0.52600000000000002</v>
          </cell>
          <cell r="BJ206">
            <v>0.505</v>
          </cell>
          <cell r="BK206">
            <v>0.51400000000000001</v>
          </cell>
          <cell r="BL206">
            <v>0.51800000000000002</v>
          </cell>
          <cell r="BM206">
            <v>0.52400000000000002</v>
          </cell>
          <cell r="BN206">
            <v>0.495</v>
          </cell>
          <cell r="BO206">
            <v>0.504</v>
          </cell>
          <cell r="BP206">
            <v>0.51</v>
          </cell>
          <cell r="BQ206">
            <v>0.52900000000000003</v>
          </cell>
          <cell r="BR206">
            <v>0.51200000000000001</v>
          </cell>
          <cell r="BS206">
            <v>0.498</v>
          </cell>
          <cell r="BT206">
            <v>0.52700000000000002</v>
          </cell>
          <cell r="BU206">
            <v>0.51700000000000002</v>
          </cell>
          <cell r="BV206">
            <v>0.53100000000000003</v>
          </cell>
          <cell r="BW206">
            <v>0.52700000000000002</v>
          </cell>
          <cell r="BX206">
            <v>0.498</v>
          </cell>
          <cell r="BY206">
            <v>0.502</v>
          </cell>
          <cell r="BZ206">
            <v>0.51500000000000001</v>
          </cell>
          <cell r="CA206">
            <v>0.51400000000000001</v>
          </cell>
          <cell r="CB206">
            <v>0.49299999999999999</v>
          </cell>
          <cell r="CC206">
            <v>0.48499999999999999</v>
          </cell>
          <cell r="CD206">
            <v>0.501</v>
          </cell>
          <cell r="CE206">
            <v>0.498</v>
          </cell>
          <cell r="CF206">
            <v>0.50600000000000001</v>
          </cell>
          <cell r="CG206">
            <v>0.47799999999999998</v>
          </cell>
          <cell r="CH206">
            <v>0.47299999999999998</v>
          </cell>
          <cell r="CI206">
            <v>0.47799999999999998</v>
          </cell>
          <cell r="CJ206">
            <v>0.48399999999999999</v>
          </cell>
          <cell r="CK206">
            <v>0.47099999999999997</v>
          </cell>
          <cell r="CL206">
            <v>0.45400000000000001</v>
          </cell>
          <cell r="CM206">
            <v>0.44500000000000001</v>
          </cell>
        </row>
        <row r="207">
          <cell r="B207" t="str">
            <v>Total outpatient revenue percentage</v>
          </cell>
          <cell r="D207" t="str">
            <v>ND</v>
          </cell>
          <cell r="E207" t="str">
            <v>ND</v>
          </cell>
          <cell r="F207" t="str">
            <v>ND</v>
          </cell>
          <cell r="G207" t="str">
            <v>ND</v>
          </cell>
          <cell r="H207" t="str">
            <v>ND</v>
          </cell>
          <cell r="I207" t="str">
            <v>ND</v>
          </cell>
          <cell r="J207" t="str">
            <v>ND</v>
          </cell>
          <cell r="K207" t="str">
            <v>ND</v>
          </cell>
          <cell r="L207" t="str">
            <v>ND</v>
          </cell>
          <cell r="M207" t="str">
            <v>ND</v>
          </cell>
          <cell r="N207" t="str">
            <v>ND</v>
          </cell>
          <cell r="O207" t="str">
            <v>ND</v>
          </cell>
          <cell r="P207" t="str">
            <v>ND</v>
          </cell>
          <cell r="Q207" t="str">
            <v>ND</v>
          </cell>
          <cell r="R207" t="str">
            <v>ND</v>
          </cell>
          <cell r="S207" t="str">
            <v>ND</v>
          </cell>
          <cell r="T207" t="str">
            <v>ND</v>
          </cell>
          <cell r="U207" t="str">
            <v>ND</v>
          </cell>
          <cell r="V207" t="str">
            <v>ND</v>
          </cell>
          <cell r="W207" t="str">
            <v>ND</v>
          </cell>
          <cell r="X207" t="str">
            <v>ND</v>
          </cell>
          <cell r="Y207" t="str">
            <v>ND</v>
          </cell>
          <cell r="Z207" t="str">
            <v>ND</v>
          </cell>
          <cell r="AA207" t="str">
            <v>ND</v>
          </cell>
          <cell r="AB207" t="str">
            <v>ND</v>
          </cell>
          <cell r="AC207" t="str">
            <v>ND</v>
          </cell>
          <cell r="AD207" t="str">
            <v>ND</v>
          </cell>
          <cell r="AE207" t="str">
            <v>ND</v>
          </cell>
          <cell r="AF207" t="str">
            <v>ND</v>
          </cell>
          <cell r="AG207" t="str">
            <v>ND</v>
          </cell>
          <cell r="AH207">
            <v>0.44</v>
          </cell>
          <cell r="AI207" t="str">
            <v>ND</v>
          </cell>
          <cell r="AJ207">
            <v>0.47299999999999998</v>
          </cell>
          <cell r="AK207">
            <v>0.46700000000000003</v>
          </cell>
          <cell r="AL207">
            <v>0.46500000000000002</v>
          </cell>
          <cell r="AM207">
            <v>0.44</v>
          </cell>
          <cell r="AN207">
            <v>0.49099999999999999</v>
          </cell>
          <cell r="AO207">
            <v>0.47899999999999998</v>
          </cell>
          <cell r="AP207">
            <v>0.46899999999999997</v>
          </cell>
          <cell r="AQ207">
            <v>0.46400000000000002</v>
          </cell>
          <cell r="AR207">
            <v>0.46400000000000002</v>
          </cell>
          <cell r="AS207">
            <v>0.48899999999999999</v>
          </cell>
          <cell r="AT207">
            <v>0.50700000000000001</v>
          </cell>
          <cell r="AU207">
            <v>0.47499999999999998</v>
          </cell>
          <cell r="AW207">
            <v>0.44</v>
          </cell>
          <cell r="AX207">
            <v>0.49099999999999999</v>
          </cell>
          <cell r="AY207">
            <v>0.47899999999999998</v>
          </cell>
          <cell r="AZ207">
            <v>0.46400000000000002</v>
          </cell>
          <cell r="BB207">
            <v>0.46400000000000002</v>
          </cell>
          <cell r="BC207">
            <v>0.48899999999999999</v>
          </cell>
          <cell r="BD207">
            <v>0.50700000000000001</v>
          </cell>
          <cell r="BE207">
            <v>0.48499999999999999</v>
          </cell>
          <cell r="BG207">
            <v>0.49299999999999999</v>
          </cell>
          <cell r="BH207">
            <v>0.497</v>
          </cell>
          <cell r="BI207">
            <v>0.47399999999999998</v>
          </cell>
          <cell r="BJ207">
            <v>0.495</v>
          </cell>
          <cell r="BK207">
            <v>0.48599999999999999</v>
          </cell>
          <cell r="BL207">
            <v>0.48199999999999998</v>
          </cell>
          <cell r="BM207">
            <v>0.47599999999999998</v>
          </cell>
          <cell r="BN207">
            <v>0.505</v>
          </cell>
          <cell r="BO207">
            <v>0.496</v>
          </cell>
          <cell r="BP207">
            <v>0.49</v>
          </cell>
          <cell r="BQ207">
            <v>0.47099999999999997</v>
          </cell>
          <cell r="BR207">
            <v>0.48799999999999999</v>
          </cell>
          <cell r="BS207">
            <v>0.502</v>
          </cell>
          <cell r="BT207">
            <v>0.47299999999999998</v>
          </cell>
          <cell r="BU207">
            <v>0.48299999999999998</v>
          </cell>
          <cell r="BV207">
            <v>0.46899999999999997</v>
          </cell>
          <cell r="BW207">
            <v>0.47299999999999998</v>
          </cell>
          <cell r="BX207">
            <v>0.502</v>
          </cell>
          <cell r="BY207">
            <v>0.498</v>
          </cell>
          <cell r="BZ207">
            <v>0.48499999999999999</v>
          </cell>
          <cell r="CA207">
            <v>0.48599999999999999</v>
          </cell>
          <cell r="CB207">
            <v>0.50700000000000001</v>
          </cell>
          <cell r="CC207">
            <v>0.51500000000000001</v>
          </cell>
          <cell r="CD207">
            <v>0.499</v>
          </cell>
          <cell r="CE207">
            <v>0.502</v>
          </cell>
          <cell r="CF207">
            <v>0.49399999999999999</v>
          </cell>
          <cell r="CG207">
            <v>0.52200000000000002</v>
          </cell>
          <cell r="CH207">
            <v>0.52700000000000002</v>
          </cell>
          <cell r="CI207">
            <v>0.52200000000000002</v>
          </cell>
          <cell r="CJ207">
            <v>0.51600000000000001</v>
          </cell>
          <cell r="CK207">
            <v>0.52900000000000003</v>
          </cell>
          <cell r="CL207">
            <v>0.54600000000000004</v>
          </cell>
          <cell r="CM207">
            <v>0.55500000000000005</v>
          </cell>
        </row>
        <row r="209">
          <cell r="B209" t="str">
            <v>Net revenue</v>
          </cell>
          <cell r="D209" t="str">
            <v>ND</v>
          </cell>
          <cell r="E209">
            <v>245247</v>
          </cell>
          <cell r="F209">
            <v>301883</v>
          </cell>
          <cell r="G209">
            <v>346767</v>
          </cell>
          <cell r="H209">
            <v>438366</v>
          </cell>
          <cell r="I209">
            <v>531094</v>
          </cell>
          <cell r="J209">
            <v>714317</v>
          </cell>
          <cell r="K209">
            <v>895482</v>
          </cell>
          <cell r="L209">
            <v>1138802</v>
          </cell>
          <cell r="M209">
            <v>305496</v>
          </cell>
          <cell r="N209">
            <v>339748</v>
          </cell>
          <cell r="O209">
            <v>352473</v>
          </cell>
          <cell r="P209" t="str">
            <v>ND</v>
          </cell>
          <cell r="Q209">
            <v>1355700</v>
          </cell>
          <cell r="R209">
            <v>370100</v>
          </cell>
          <cell r="S209">
            <v>408700</v>
          </cell>
          <cell r="T209">
            <v>391100</v>
          </cell>
          <cell r="U209" t="str">
            <v>ND</v>
          </cell>
          <cell r="V209">
            <v>1577800</v>
          </cell>
          <cell r="W209">
            <v>434200</v>
          </cell>
          <cell r="X209">
            <v>481100</v>
          </cell>
          <cell r="Y209">
            <v>473200</v>
          </cell>
          <cell r="Z209">
            <v>491217</v>
          </cell>
          <cell r="AA209">
            <v>1879800</v>
          </cell>
          <cell r="AB209">
            <v>495800</v>
          </cell>
          <cell r="AC209">
            <v>579900</v>
          </cell>
          <cell r="AD209">
            <v>592500</v>
          </cell>
          <cell r="AE209">
            <v>594356</v>
          </cell>
          <cell r="AF209">
            <v>2262600</v>
          </cell>
          <cell r="AG209">
            <v>609400</v>
          </cell>
          <cell r="AH209">
            <v>646500</v>
          </cell>
          <cell r="AI209">
            <v>647100</v>
          </cell>
          <cell r="AJ209">
            <v>657558</v>
          </cell>
          <cell r="AK209">
            <v>2560600</v>
          </cell>
          <cell r="AL209">
            <v>756553</v>
          </cell>
          <cell r="AM209">
            <v>833907</v>
          </cell>
          <cell r="AN209">
            <v>817341</v>
          </cell>
          <cell r="AO209">
            <v>798084</v>
          </cell>
          <cell r="AP209">
            <v>3205885</v>
          </cell>
          <cell r="AQ209">
            <v>822181</v>
          </cell>
          <cell r="AR209">
            <v>917448</v>
          </cell>
          <cell r="AS209">
            <v>953303</v>
          </cell>
          <cell r="AT209">
            <v>920842</v>
          </cell>
          <cell r="AU209">
            <v>3588822</v>
          </cell>
          <cell r="AW209">
            <v>833907</v>
          </cell>
          <cell r="AX209">
            <v>817341</v>
          </cell>
          <cell r="AY209">
            <v>798084</v>
          </cell>
          <cell r="AZ209">
            <v>822181</v>
          </cell>
          <cell r="BA209">
            <v>3271513</v>
          </cell>
          <cell r="BB209">
            <v>917448</v>
          </cell>
          <cell r="BC209">
            <v>953303</v>
          </cell>
          <cell r="BD209">
            <v>920842</v>
          </cell>
          <cell r="BE209">
            <v>936503</v>
          </cell>
          <cell r="BF209">
            <v>3728096</v>
          </cell>
          <cell r="BG209">
            <v>1032660</v>
          </cell>
          <cell r="BH209">
            <v>1022006</v>
          </cell>
          <cell r="BI209">
            <v>994111</v>
          </cell>
          <cell r="BJ209">
            <v>1052733</v>
          </cell>
          <cell r="BK209">
            <v>4056599</v>
          </cell>
          <cell r="BL209">
            <v>1143533</v>
          </cell>
          <cell r="BM209">
            <v>1099161</v>
          </cell>
          <cell r="BN209">
            <v>1070189</v>
          </cell>
          <cell r="BO209">
            <v>1096278</v>
          </cell>
          <cell r="BP209">
            <v>4392086</v>
          </cell>
          <cell r="BQ209">
            <v>1152572</v>
          </cell>
          <cell r="BR209">
            <v>1105299</v>
          </cell>
          <cell r="BS209">
            <v>1081914</v>
          </cell>
          <cell r="BT209">
            <v>1111826</v>
          </cell>
          <cell r="BU209">
            <v>4451611</v>
          </cell>
          <cell r="BV209">
            <v>1188023</v>
          </cell>
          <cell r="BW209">
            <v>1155453</v>
          </cell>
          <cell r="BX209">
            <v>1121903</v>
          </cell>
          <cell r="BY209">
            <v>1198770</v>
          </cell>
          <cell r="BZ209">
            <v>4617143</v>
          </cell>
          <cell r="CA209">
            <v>1285019</v>
          </cell>
          <cell r="CB209">
            <v>1247787</v>
          </cell>
          <cell r="CC209">
            <v>1270659</v>
          </cell>
          <cell r="CD209">
            <v>1352059</v>
          </cell>
          <cell r="CE209">
            <v>5114997</v>
          </cell>
          <cell r="CF209">
            <v>1433641</v>
          </cell>
          <cell r="CG209">
            <v>1395353</v>
          </cell>
          <cell r="CH209">
            <v>1400244</v>
          </cell>
          <cell r="CI209">
            <v>1583774</v>
          </cell>
          <cell r="CJ209">
            <v>5804451</v>
          </cell>
          <cell r="CK209">
            <v>1485257</v>
          </cell>
          <cell r="CL209">
            <v>1471978</v>
          </cell>
          <cell r="CM209">
            <v>1440109</v>
          </cell>
          <cell r="CO209">
            <v>4397344</v>
          </cell>
        </row>
        <row r="210">
          <cell r="B210" t="str">
            <v>Less acquisitions</v>
          </cell>
          <cell r="D210" t="str">
            <v>ND</v>
          </cell>
          <cell r="E210" t="str">
            <v>ND</v>
          </cell>
          <cell r="F210" t="str">
            <v>ND</v>
          </cell>
          <cell r="G210" t="str">
            <v>ND</v>
          </cell>
          <cell r="H210" t="str">
            <v>ND</v>
          </cell>
          <cell r="I210" t="str">
            <v>ND</v>
          </cell>
          <cell r="J210" t="str">
            <v>ND</v>
          </cell>
          <cell r="K210" t="str">
            <v>ND</v>
          </cell>
          <cell r="L210" t="str">
            <v>ND</v>
          </cell>
          <cell r="M210" t="str">
            <v>ND</v>
          </cell>
          <cell r="N210" t="str">
            <v>ND</v>
          </cell>
          <cell r="O210" t="str">
            <v>ND</v>
          </cell>
          <cell r="P210" t="str">
            <v>ND</v>
          </cell>
          <cell r="Q210" t="str">
            <v>ND</v>
          </cell>
          <cell r="R210" t="str">
            <v>ND</v>
          </cell>
          <cell r="S210" t="str">
            <v>ND</v>
          </cell>
          <cell r="T210" t="str">
            <v>ND</v>
          </cell>
          <cell r="U210" t="str">
            <v>ND</v>
          </cell>
          <cell r="V210" t="str">
            <v>ND</v>
          </cell>
          <cell r="W210" t="str">
            <v>ND</v>
          </cell>
          <cell r="X210" t="str">
            <v>ND</v>
          </cell>
          <cell r="Y210" t="str">
            <v>ND</v>
          </cell>
          <cell r="Z210" t="str">
            <v>ND</v>
          </cell>
          <cell r="AA210" t="str">
            <v>ND</v>
          </cell>
          <cell r="AB210" t="str">
            <v>ND</v>
          </cell>
          <cell r="AC210" t="str">
            <v>ND</v>
          </cell>
          <cell r="AD210" t="str">
            <v>ND</v>
          </cell>
          <cell r="AE210" t="str">
            <v>ND</v>
          </cell>
          <cell r="AF210" t="str">
            <v>ND</v>
          </cell>
          <cell r="AG210" t="str">
            <v>ND</v>
          </cell>
          <cell r="AH210">
            <v>27708</v>
          </cell>
          <cell r="AI210" t="str">
            <v>ND</v>
          </cell>
          <cell r="AJ210">
            <v>22513</v>
          </cell>
          <cell r="AK210" t="str">
            <v>ND</v>
          </cell>
          <cell r="AL210">
            <v>105070</v>
          </cell>
          <cell r="AM210">
            <v>148493</v>
          </cell>
          <cell r="AN210">
            <v>145673</v>
          </cell>
          <cell r="AO210">
            <v>141219</v>
          </cell>
          <cell r="AP210" t="str">
            <v>ND</v>
          </cell>
          <cell r="AQ210">
            <v>110322</v>
          </cell>
          <cell r="AR210">
            <v>58273</v>
          </cell>
          <cell r="AS210">
            <v>103711</v>
          </cell>
          <cell r="AT210">
            <v>104253</v>
          </cell>
          <cell r="AU210">
            <v>683364</v>
          </cell>
          <cell r="AW210">
            <v>148493</v>
          </cell>
          <cell r="AX210">
            <v>145673</v>
          </cell>
          <cell r="AY210">
            <v>141219</v>
          </cell>
          <cell r="AZ210">
            <v>110322</v>
          </cell>
          <cell r="BA210">
            <v>545707</v>
          </cell>
          <cell r="BB210">
            <v>58273</v>
          </cell>
          <cell r="BC210">
            <v>103711</v>
          </cell>
          <cell r="BD210">
            <v>104253</v>
          </cell>
          <cell r="BE210">
            <v>89662</v>
          </cell>
          <cell r="BF210">
            <v>355899</v>
          </cell>
          <cell r="BG210">
            <v>116585</v>
          </cell>
          <cell r="BH210">
            <v>62579</v>
          </cell>
          <cell r="BI210">
            <v>68751</v>
          </cell>
          <cell r="BJ210">
            <v>85503</v>
          </cell>
          <cell r="BK210">
            <v>564101</v>
          </cell>
          <cell r="BL210">
            <v>75927</v>
          </cell>
          <cell r="BM210">
            <v>72965</v>
          </cell>
          <cell r="BN210">
            <v>15734</v>
          </cell>
          <cell r="BO210">
            <v>25264</v>
          </cell>
          <cell r="BP210">
            <v>298652</v>
          </cell>
          <cell r="BQ210">
            <v>19387</v>
          </cell>
          <cell r="BR210">
            <v>0</v>
          </cell>
          <cell r="BS210">
            <v>0</v>
          </cell>
          <cell r="BT210">
            <v>0</v>
          </cell>
          <cell r="BU210">
            <v>60713</v>
          </cell>
          <cell r="BV210">
            <v>0</v>
          </cell>
          <cell r="BW210">
            <v>0</v>
          </cell>
          <cell r="BX210">
            <v>0</v>
          </cell>
          <cell r="BY210">
            <v>22207</v>
          </cell>
          <cell r="BZ210">
            <v>22207</v>
          </cell>
          <cell r="CA210">
            <v>68703</v>
          </cell>
          <cell r="CB210">
            <v>71040</v>
          </cell>
          <cell r="CC210">
            <v>91204</v>
          </cell>
          <cell r="CD210">
            <v>142409</v>
          </cell>
          <cell r="CE210">
            <v>373355</v>
          </cell>
          <cell r="CF210">
            <v>100670</v>
          </cell>
          <cell r="CG210">
            <v>113709</v>
          </cell>
          <cell r="CH210">
            <v>91232</v>
          </cell>
          <cell r="CI210">
            <v>163342</v>
          </cell>
          <cell r="CJ210">
            <v>468953</v>
          </cell>
          <cell r="CK210">
            <v>159265</v>
          </cell>
          <cell r="CL210">
            <v>172548</v>
          </cell>
          <cell r="CM210">
            <v>166059</v>
          </cell>
          <cell r="CO210">
            <v>497872</v>
          </cell>
        </row>
        <row r="211">
          <cell r="B211" t="str">
            <v>Same hospital net revenue</v>
          </cell>
          <cell r="D211" t="str">
            <v>ND</v>
          </cell>
          <cell r="E211" t="str">
            <v>ND</v>
          </cell>
          <cell r="F211" t="str">
            <v>ND</v>
          </cell>
          <cell r="G211" t="str">
            <v>ND</v>
          </cell>
          <cell r="H211" t="str">
            <v>ND</v>
          </cell>
          <cell r="I211" t="str">
            <v>ND</v>
          </cell>
          <cell r="J211" t="str">
            <v>ND</v>
          </cell>
          <cell r="K211" t="str">
            <v>ND</v>
          </cell>
          <cell r="L211" t="str">
            <v>ND</v>
          </cell>
          <cell r="M211" t="str">
            <v>ND</v>
          </cell>
          <cell r="N211" t="str">
            <v>ND</v>
          </cell>
          <cell r="O211" t="str">
            <v>ND</v>
          </cell>
          <cell r="P211" t="str">
            <v>ND</v>
          </cell>
          <cell r="Q211" t="str">
            <v>ND</v>
          </cell>
          <cell r="R211" t="str">
            <v>ND</v>
          </cell>
          <cell r="S211" t="str">
            <v>ND</v>
          </cell>
          <cell r="T211" t="str">
            <v>ND</v>
          </cell>
          <cell r="U211" t="str">
            <v>ND</v>
          </cell>
          <cell r="V211" t="str">
            <v>ND</v>
          </cell>
          <cell r="W211" t="str">
            <v>ND</v>
          </cell>
          <cell r="X211" t="str">
            <v>ND</v>
          </cell>
          <cell r="Y211" t="str">
            <v>ND</v>
          </cell>
          <cell r="Z211" t="str">
            <v>ND</v>
          </cell>
          <cell r="AA211" t="str">
            <v>ND</v>
          </cell>
          <cell r="AB211" t="str">
            <v>ND</v>
          </cell>
          <cell r="AC211" t="str">
            <v>ND</v>
          </cell>
          <cell r="AD211" t="str">
            <v>ND</v>
          </cell>
          <cell r="AE211" t="str">
            <v>ND</v>
          </cell>
          <cell r="AF211" t="str">
            <v>ND</v>
          </cell>
          <cell r="AG211" t="str">
            <v>ND</v>
          </cell>
          <cell r="AH211">
            <v>618764</v>
          </cell>
          <cell r="AI211" t="str">
            <v>ND</v>
          </cell>
          <cell r="AJ211">
            <v>635045</v>
          </cell>
          <cell r="AK211" t="str">
            <v>ND</v>
          </cell>
          <cell r="AL211">
            <v>651483</v>
          </cell>
          <cell r="AM211">
            <v>685414</v>
          </cell>
          <cell r="AN211">
            <v>671668</v>
          </cell>
          <cell r="AO211">
            <v>656865</v>
          </cell>
          <cell r="AP211" t="str">
            <v>ND</v>
          </cell>
          <cell r="AQ211">
            <v>711859</v>
          </cell>
          <cell r="AR211">
            <v>859175</v>
          </cell>
          <cell r="AS211">
            <v>849592</v>
          </cell>
          <cell r="AT211">
            <v>816589</v>
          </cell>
          <cell r="AU211">
            <v>2905458</v>
          </cell>
          <cell r="AW211">
            <v>685414</v>
          </cell>
          <cell r="AX211">
            <v>671668</v>
          </cell>
          <cell r="AY211">
            <v>656865</v>
          </cell>
          <cell r="AZ211">
            <v>711859</v>
          </cell>
          <cell r="BA211">
            <v>2725806</v>
          </cell>
          <cell r="BB211">
            <v>859175</v>
          </cell>
          <cell r="BC211">
            <v>849592</v>
          </cell>
          <cell r="BD211">
            <v>816589</v>
          </cell>
          <cell r="BE211">
            <v>846841</v>
          </cell>
          <cell r="BF211">
            <v>3372197</v>
          </cell>
          <cell r="BG211">
            <v>916075</v>
          </cell>
          <cell r="BH211">
            <v>959427</v>
          </cell>
          <cell r="BI211">
            <v>925360</v>
          </cell>
          <cell r="BJ211">
            <v>967230</v>
          </cell>
          <cell r="BK211">
            <v>3492498</v>
          </cell>
          <cell r="BL211">
            <v>1067606</v>
          </cell>
          <cell r="BM211">
            <v>1026196</v>
          </cell>
          <cell r="BN211">
            <v>1054455</v>
          </cell>
          <cell r="BO211">
            <v>1071014</v>
          </cell>
          <cell r="BP211">
            <v>4093434</v>
          </cell>
          <cell r="BQ211">
            <v>1133185</v>
          </cell>
          <cell r="BR211">
            <v>1105299</v>
          </cell>
          <cell r="BS211">
            <v>1081914</v>
          </cell>
          <cell r="BT211">
            <v>1111826</v>
          </cell>
          <cell r="BU211">
            <v>4390898</v>
          </cell>
          <cell r="BV211">
            <v>1188023</v>
          </cell>
          <cell r="BW211">
            <v>1155453</v>
          </cell>
          <cell r="BX211">
            <v>1121903</v>
          </cell>
          <cell r="BY211">
            <v>1176563</v>
          </cell>
          <cell r="BZ211">
            <v>4594936</v>
          </cell>
          <cell r="CA211">
            <v>1216316</v>
          </cell>
          <cell r="CB211">
            <v>1176747</v>
          </cell>
          <cell r="CC211">
            <v>1179455</v>
          </cell>
          <cell r="CD211">
            <v>1209650</v>
          </cell>
          <cell r="CE211">
            <v>4741642</v>
          </cell>
          <cell r="CF211">
            <v>1332971</v>
          </cell>
          <cell r="CG211">
            <v>1281644</v>
          </cell>
          <cell r="CH211">
            <v>1309012</v>
          </cell>
          <cell r="CI211">
            <v>1420432</v>
          </cell>
          <cell r="CJ211">
            <v>5335498</v>
          </cell>
          <cell r="CK211">
            <v>1325992</v>
          </cell>
          <cell r="CL211">
            <v>1299430</v>
          </cell>
          <cell r="CM211">
            <v>1274050</v>
          </cell>
          <cell r="CO211">
            <v>3899472</v>
          </cell>
        </row>
        <row r="212">
          <cell r="B212" t="str">
            <v>Same hospital operating Adjusted EBITDA</v>
          </cell>
          <cell r="D212" t="str">
            <v>ND</v>
          </cell>
          <cell r="E212" t="str">
            <v>ND</v>
          </cell>
          <cell r="F212" t="str">
            <v>ND</v>
          </cell>
          <cell r="G212" t="str">
            <v>ND</v>
          </cell>
          <cell r="H212" t="str">
            <v>ND</v>
          </cell>
          <cell r="I212" t="str">
            <v>ND</v>
          </cell>
          <cell r="J212" t="str">
            <v>ND</v>
          </cell>
          <cell r="K212" t="str">
            <v>ND</v>
          </cell>
          <cell r="L212" t="str">
            <v>ND</v>
          </cell>
          <cell r="M212" t="str">
            <v>ND</v>
          </cell>
          <cell r="N212" t="str">
            <v>ND</v>
          </cell>
          <cell r="O212" t="str">
            <v>ND</v>
          </cell>
          <cell r="P212" t="str">
            <v>ND</v>
          </cell>
          <cell r="Q212" t="str">
            <v>ND</v>
          </cell>
          <cell r="R212" t="str">
            <v>ND</v>
          </cell>
          <cell r="S212" t="str">
            <v>ND</v>
          </cell>
          <cell r="T212" t="str">
            <v>ND</v>
          </cell>
          <cell r="U212" t="str">
            <v>ND</v>
          </cell>
          <cell r="V212" t="str">
            <v>ND</v>
          </cell>
          <cell r="W212" t="str">
            <v>ND</v>
          </cell>
          <cell r="X212" t="str">
            <v>ND</v>
          </cell>
          <cell r="Y212" t="str">
            <v>ND</v>
          </cell>
          <cell r="Z212" t="str">
            <v>ND</v>
          </cell>
          <cell r="AA212" t="str">
            <v>ND</v>
          </cell>
          <cell r="AB212" t="str">
            <v>ND</v>
          </cell>
          <cell r="AC212" t="str">
            <v>ND</v>
          </cell>
          <cell r="AD212" t="str">
            <v>ND</v>
          </cell>
          <cell r="AE212" t="str">
            <v>ND</v>
          </cell>
          <cell r="AF212" t="str">
            <v>ND</v>
          </cell>
          <cell r="AG212" t="str">
            <v>ND</v>
          </cell>
          <cell r="AH212">
            <v>167333</v>
          </cell>
          <cell r="AI212" t="str">
            <v>ND</v>
          </cell>
          <cell r="AJ212">
            <v>156733</v>
          </cell>
          <cell r="AK212" t="str">
            <v>ND</v>
          </cell>
          <cell r="AL212">
            <v>151675</v>
          </cell>
          <cell r="AM212">
            <v>177688</v>
          </cell>
          <cell r="AN212">
            <v>169752</v>
          </cell>
          <cell r="AO212">
            <v>155596</v>
          </cell>
          <cell r="AP212" t="str">
            <v>ND</v>
          </cell>
          <cell r="AQ212">
            <v>164962</v>
          </cell>
          <cell r="AR212">
            <v>215556</v>
          </cell>
          <cell r="AS212">
            <v>205982</v>
          </cell>
          <cell r="AT212">
            <v>171230</v>
          </cell>
          <cell r="AU212">
            <v>689543</v>
          </cell>
          <cell r="AW212">
            <v>177688</v>
          </cell>
          <cell r="AX212">
            <v>169752</v>
          </cell>
          <cell r="AY212">
            <v>155596</v>
          </cell>
          <cell r="AZ212">
            <v>164962</v>
          </cell>
          <cell r="BA212">
            <v>667998</v>
          </cell>
          <cell r="BB212">
            <v>215556</v>
          </cell>
          <cell r="BC212">
            <v>205982</v>
          </cell>
          <cell r="BD212">
            <v>171230</v>
          </cell>
          <cell r="BE212">
            <v>175959</v>
          </cell>
          <cell r="BF212">
            <v>768727</v>
          </cell>
          <cell r="BG212">
            <v>204236</v>
          </cell>
          <cell r="BH212">
            <v>191291</v>
          </cell>
          <cell r="BI212">
            <v>184743</v>
          </cell>
          <cell r="BJ212">
            <v>201774</v>
          </cell>
          <cell r="BK212">
            <v>750471</v>
          </cell>
          <cell r="BL212">
            <v>214787</v>
          </cell>
          <cell r="BM212">
            <v>164275</v>
          </cell>
          <cell r="BN212">
            <v>168355</v>
          </cell>
          <cell r="BO212">
            <v>170802</v>
          </cell>
          <cell r="BP212">
            <v>710588</v>
          </cell>
          <cell r="BQ212">
            <v>202080</v>
          </cell>
          <cell r="BR212">
            <v>183508</v>
          </cell>
          <cell r="BS212">
            <v>160100</v>
          </cell>
          <cell r="BT212">
            <v>175474</v>
          </cell>
          <cell r="BU212">
            <v>728899</v>
          </cell>
          <cell r="BV212">
            <v>214133</v>
          </cell>
          <cell r="BW212">
            <v>200133</v>
          </cell>
          <cell r="BX212">
            <v>180094</v>
          </cell>
          <cell r="BY212">
            <v>200284</v>
          </cell>
          <cell r="BZ212">
            <v>789661</v>
          </cell>
          <cell r="CA212">
            <v>227178</v>
          </cell>
          <cell r="CB212">
            <v>209989</v>
          </cell>
          <cell r="CC212">
            <v>197461</v>
          </cell>
          <cell r="CD212">
            <v>209608</v>
          </cell>
          <cell r="CE212">
            <v>842571</v>
          </cell>
          <cell r="CF212">
            <v>243369</v>
          </cell>
          <cell r="CG212">
            <v>225503</v>
          </cell>
          <cell r="CH212">
            <v>216559</v>
          </cell>
          <cell r="CI212">
            <v>271554</v>
          </cell>
          <cell r="CJ212">
            <v>955026</v>
          </cell>
          <cell r="CK212">
            <v>263993</v>
          </cell>
          <cell r="CL212">
            <v>255397</v>
          </cell>
          <cell r="CM212">
            <v>259577</v>
          </cell>
          <cell r="CO212">
            <v>778967</v>
          </cell>
        </row>
        <row r="213">
          <cell r="B213" t="str">
            <v>RESTATED</v>
          </cell>
        </row>
        <row r="214">
          <cell r="B214" t="str">
            <v>Continuing Operations</v>
          </cell>
        </row>
        <row r="215">
          <cell r="B215" t="str">
            <v>Occupancy</v>
          </cell>
          <cell r="D215">
            <v>0.48699999999999999</v>
          </cell>
          <cell r="E215">
            <v>0.49099999999999999</v>
          </cell>
          <cell r="F215">
            <v>0.47799999999999998</v>
          </cell>
          <cell r="G215">
            <v>0.45600000000000002</v>
          </cell>
          <cell r="H215">
            <v>0.433</v>
          </cell>
          <cell r="I215">
            <v>0.436</v>
          </cell>
          <cell r="J215">
            <v>0.432</v>
          </cell>
          <cell r="K215">
            <v>0.44800000000000001</v>
          </cell>
          <cell r="L215">
            <v>0.47099999999999997</v>
          </cell>
          <cell r="M215">
            <v>0.46100000000000002</v>
          </cell>
          <cell r="N215">
            <v>0.55000000000000004</v>
          </cell>
          <cell r="O215">
            <v>0.45100000000000001</v>
          </cell>
          <cell r="P215" t="str">
            <v>ND</v>
          </cell>
          <cell r="Q215">
            <v>0.47099999999999997</v>
          </cell>
          <cell r="R215">
            <v>0.44700000000000001</v>
          </cell>
          <cell r="S215">
            <v>0.504</v>
          </cell>
          <cell r="T215">
            <v>0.45300000000000001</v>
          </cell>
          <cell r="U215" t="str">
            <v>ND</v>
          </cell>
          <cell r="V215">
            <v>0.46200000000000002</v>
          </cell>
          <cell r="W215">
            <v>0.44700000000000001</v>
          </cell>
          <cell r="X215">
            <v>0.52800000000000002</v>
          </cell>
          <cell r="Y215">
            <v>0.47099999999999997</v>
          </cell>
          <cell r="Z215" t="str">
            <v>ND</v>
          </cell>
          <cell r="AA215">
            <v>0.47199999999999998</v>
          </cell>
          <cell r="AB215">
            <v>0.45500000000000002</v>
          </cell>
          <cell r="AC215">
            <v>0.51600000000000001</v>
          </cell>
          <cell r="AD215">
            <v>0.48299999999999998</v>
          </cell>
          <cell r="AE215">
            <v>0.46899999999999997</v>
          </cell>
          <cell r="AF215">
            <v>0.47899999999999998</v>
          </cell>
          <cell r="AG215">
            <v>0.48099999999999998</v>
          </cell>
          <cell r="AH215">
            <v>0.53</v>
          </cell>
          <cell r="AI215">
            <v>0.47499999999999998</v>
          </cell>
          <cell r="AJ215">
            <v>0.45800000000000002</v>
          </cell>
          <cell r="AK215">
            <v>0.48499999999999999</v>
          </cell>
          <cell r="AL215">
            <v>0.48</v>
          </cell>
          <cell r="AM215">
            <v>0.51400000000000001</v>
          </cell>
          <cell r="AN215">
            <v>0.45400000000000001</v>
          </cell>
          <cell r="AO215">
            <v>0.45700000000000002</v>
          </cell>
          <cell r="AP215">
            <v>0.47899999999999998</v>
          </cell>
          <cell r="AQ215">
            <v>0.45900000000000002</v>
          </cell>
          <cell r="AR215">
            <v>0.52</v>
          </cell>
          <cell r="AS215">
            <v>0.45500000000000002</v>
          </cell>
          <cell r="AT215">
            <v>0.43099999999999999</v>
          </cell>
          <cell r="AW215">
            <v>0.51400000000000001</v>
          </cell>
          <cell r="AX215">
            <v>0.45400000000000001</v>
          </cell>
          <cell r="AY215">
            <v>0.45700000000000002</v>
          </cell>
          <cell r="AZ215">
            <v>0.45900000000000002</v>
          </cell>
          <cell r="BB215">
            <v>0.52</v>
          </cell>
          <cell r="BC215">
            <v>0.45500000000000002</v>
          </cell>
          <cell r="BD215">
            <v>0.43099999999999999</v>
          </cell>
          <cell r="BE215">
            <v>0.45100000000000001</v>
          </cell>
          <cell r="BF215">
            <v>0.45800000000000002</v>
          </cell>
          <cell r="BG215">
            <v>0.505</v>
          </cell>
          <cell r="BH215">
            <v>0.44800000000000001</v>
          </cell>
          <cell r="BI215">
            <v>0.438</v>
          </cell>
          <cell r="BJ215">
            <v>0.44600000000000001</v>
          </cell>
          <cell r="BK215">
            <v>0.45600000000000002</v>
          </cell>
          <cell r="BL215">
            <v>0.48699999999999999</v>
          </cell>
          <cell r="BM215">
            <v>0.44800000000000001</v>
          </cell>
          <cell r="BN215">
            <v>0.43</v>
          </cell>
          <cell r="BO215">
            <v>0.44</v>
          </cell>
          <cell r="BP215">
            <v>0.45</v>
          </cell>
          <cell r="BQ215">
            <v>0.51100000000000001</v>
          </cell>
          <cell r="BR215">
            <v>0.443</v>
          </cell>
          <cell r="BS215">
            <v>0.42199999999999999</v>
          </cell>
          <cell r="BT215">
            <v>0.44700000000000001</v>
          </cell>
          <cell r="BU215">
            <v>0.45100000000000001</v>
          </cell>
          <cell r="BV215">
            <v>0.499</v>
          </cell>
          <cell r="BW215">
            <v>0.45100000000000001</v>
          </cell>
          <cell r="BX215">
            <v>0.42499999999999999</v>
          </cell>
          <cell r="BY215">
            <v>0.443</v>
          </cell>
          <cell r="BZ215">
            <v>0.45</v>
          </cell>
          <cell r="CA215">
            <v>0.49099999999999999</v>
          </cell>
          <cell r="CB215">
            <v>0.439</v>
          </cell>
          <cell r="CC215">
            <v>0.41699999999999998</v>
          </cell>
          <cell r="CD215">
            <v>0.42699999999999999</v>
          </cell>
          <cell r="CE215">
            <v>0.439</v>
          </cell>
          <cell r="CF215">
            <v>0.48199999999999998</v>
          </cell>
          <cell r="CG215">
            <v>0.42699999999999999</v>
          </cell>
          <cell r="CH215">
            <v>0.41099999999999998</v>
          </cell>
        </row>
        <row r="216">
          <cell r="B216" t="str">
            <v>Patient days</v>
          </cell>
          <cell r="D216">
            <v>233607</v>
          </cell>
          <cell r="E216">
            <v>254754</v>
          </cell>
          <cell r="F216">
            <v>290026</v>
          </cell>
          <cell r="G216">
            <v>284168</v>
          </cell>
          <cell r="H216">
            <v>317636</v>
          </cell>
          <cell r="I216">
            <v>340485</v>
          </cell>
          <cell r="J216">
            <v>419418</v>
          </cell>
          <cell r="K216">
            <v>494977</v>
          </cell>
          <cell r="L216">
            <v>615248</v>
          </cell>
          <cell r="M216">
            <v>161915</v>
          </cell>
          <cell r="N216">
            <v>188740</v>
          </cell>
          <cell r="O216">
            <v>181338</v>
          </cell>
          <cell r="P216" t="str">
            <v>ND</v>
          </cell>
          <cell r="Q216">
            <v>718035</v>
          </cell>
          <cell r="R216">
            <v>209431</v>
          </cell>
          <cell r="S216">
            <v>213763</v>
          </cell>
          <cell r="T216">
            <v>187273</v>
          </cell>
          <cell r="U216" t="str">
            <v>ND</v>
          </cell>
          <cell r="V216">
            <v>791617</v>
          </cell>
          <cell r="W216">
            <v>209431</v>
          </cell>
          <cell r="X216">
            <v>238835</v>
          </cell>
          <cell r="Y216">
            <v>216296</v>
          </cell>
          <cell r="Z216" t="str">
            <v>ND</v>
          </cell>
          <cell r="AA216">
            <v>880624</v>
          </cell>
          <cell r="AB216">
            <v>223702</v>
          </cell>
          <cell r="AC216">
            <v>269317</v>
          </cell>
          <cell r="AD216">
            <v>253049</v>
          </cell>
          <cell r="AE216">
            <v>254412</v>
          </cell>
          <cell r="AF216">
            <v>1000480</v>
          </cell>
          <cell r="AG216">
            <v>262347</v>
          </cell>
          <cell r="AH216">
            <v>286523</v>
          </cell>
          <cell r="AI216">
            <v>264548</v>
          </cell>
          <cell r="AJ216">
            <v>266447</v>
          </cell>
          <cell r="AK216">
            <v>1079865</v>
          </cell>
          <cell r="AL216">
            <v>317652</v>
          </cell>
          <cell r="AM216">
            <v>353030</v>
          </cell>
          <cell r="AN216">
            <v>312639</v>
          </cell>
          <cell r="AO216">
            <v>302283</v>
          </cell>
          <cell r="AP216">
            <v>1275838</v>
          </cell>
          <cell r="AQ216">
            <v>315105</v>
          </cell>
          <cell r="AR216">
            <v>359930</v>
          </cell>
          <cell r="AS216">
            <v>342392</v>
          </cell>
          <cell r="AT216">
            <v>305534</v>
          </cell>
          <cell r="AW216">
            <v>353030</v>
          </cell>
          <cell r="AX216">
            <v>312639</v>
          </cell>
          <cell r="AY216">
            <v>302283</v>
          </cell>
          <cell r="AZ216">
            <v>315105</v>
          </cell>
          <cell r="BA216">
            <v>1283057</v>
          </cell>
          <cell r="BB216">
            <v>359930</v>
          </cell>
          <cell r="BC216">
            <v>342392</v>
          </cell>
          <cell r="BD216">
            <v>305534</v>
          </cell>
          <cell r="BE216">
            <v>314959</v>
          </cell>
          <cell r="BF216">
            <v>1289712</v>
          </cell>
          <cell r="BG216">
            <v>363862</v>
          </cell>
          <cell r="BH216">
            <v>325842</v>
          </cell>
          <cell r="BI216">
            <v>319833</v>
          </cell>
          <cell r="BJ216">
            <v>329575</v>
          </cell>
          <cell r="BK216">
            <v>1340873</v>
          </cell>
          <cell r="BL216">
            <v>354335</v>
          </cell>
          <cell r="BM216">
            <v>323639</v>
          </cell>
          <cell r="BN216">
            <v>314093</v>
          </cell>
          <cell r="BO216">
            <v>320962</v>
          </cell>
          <cell r="BP216">
            <v>1313029</v>
          </cell>
          <cell r="BQ216">
            <v>365774</v>
          </cell>
          <cell r="BR216">
            <v>317431</v>
          </cell>
          <cell r="BS216">
            <v>298107</v>
          </cell>
          <cell r="BT216">
            <v>317953</v>
          </cell>
          <cell r="BU216">
            <v>1285504</v>
          </cell>
          <cell r="BV216">
            <v>350441</v>
          </cell>
          <cell r="BW216">
            <v>319848</v>
          </cell>
          <cell r="BX216">
            <v>306871</v>
          </cell>
          <cell r="BY216">
            <v>320560</v>
          </cell>
          <cell r="BZ216">
            <v>1283188</v>
          </cell>
          <cell r="CA216">
            <v>362393</v>
          </cell>
          <cell r="CB216">
            <v>326981</v>
          </cell>
          <cell r="CC216">
            <v>319327</v>
          </cell>
          <cell r="CD216">
            <v>342909</v>
          </cell>
          <cell r="CE216">
            <v>1350697</v>
          </cell>
          <cell r="CF216">
            <v>380543</v>
          </cell>
          <cell r="CG216">
            <v>343107</v>
          </cell>
          <cell r="CH216">
            <v>335934</v>
          </cell>
        </row>
        <row r="217">
          <cell r="B217" t="str">
            <v>Admissions</v>
          </cell>
          <cell r="D217">
            <v>36412</v>
          </cell>
          <cell r="E217">
            <v>40217</v>
          </cell>
          <cell r="F217">
            <v>46756</v>
          </cell>
          <cell r="G217">
            <v>48826</v>
          </cell>
          <cell r="H217">
            <v>55985</v>
          </cell>
          <cell r="I217">
            <v>63729</v>
          </cell>
          <cell r="J217">
            <v>82701</v>
          </cell>
          <cell r="K217">
            <v>100677</v>
          </cell>
          <cell r="L217">
            <v>123713</v>
          </cell>
          <cell r="M217" t="str">
            <v>ND</v>
          </cell>
          <cell r="N217" t="str">
            <v>ND</v>
          </cell>
          <cell r="O217" t="str">
            <v>ND</v>
          </cell>
          <cell r="P217" t="str">
            <v>ND</v>
          </cell>
          <cell r="Q217">
            <v>143078</v>
          </cell>
          <cell r="R217" t="str">
            <v>ND</v>
          </cell>
          <cell r="S217" t="str">
            <v>ND</v>
          </cell>
          <cell r="T217" t="str">
            <v>ND</v>
          </cell>
          <cell r="U217" t="str">
            <v>ND</v>
          </cell>
          <cell r="V217">
            <v>161855</v>
          </cell>
          <cell r="W217" t="str">
            <v>ND</v>
          </cell>
          <cell r="X217" t="str">
            <v>ND</v>
          </cell>
          <cell r="Y217" t="str">
            <v>ND</v>
          </cell>
          <cell r="Z217" t="str">
            <v>ND</v>
          </cell>
          <cell r="AA217">
            <v>187062</v>
          </cell>
          <cell r="AB217" t="str">
            <v>ND</v>
          </cell>
          <cell r="AC217">
            <v>56970</v>
          </cell>
          <cell r="AD217" t="str">
            <v>ND</v>
          </cell>
          <cell r="AE217">
            <v>56530</v>
          </cell>
          <cell r="AF217">
            <v>216256</v>
          </cell>
          <cell r="AG217">
            <v>57984</v>
          </cell>
          <cell r="AH217">
            <v>61228</v>
          </cell>
          <cell r="AI217">
            <v>56974</v>
          </cell>
          <cell r="AJ217">
            <v>59248</v>
          </cell>
          <cell r="AK217">
            <v>235434</v>
          </cell>
          <cell r="AL217">
            <v>70018</v>
          </cell>
          <cell r="AM217">
            <v>76152</v>
          </cell>
          <cell r="AN217">
            <v>69427</v>
          </cell>
          <cell r="AO217">
            <v>68306</v>
          </cell>
          <cell r="AP217">
            <v>281549</v>
          </cell>
          <cell r="AQ217">
            <v>70760</v>
          </cell>
          <cell r="AR217">
            <v>79116</v>
          </cell>
          <cell r="AS217">
            <v>76088</v>
          </cell>
          <cell r="AT217">
            <v>72740</v>
          </cell>
          <cell r="AW217">
            <v>76152</v>
          </cell>
          <cell r="AX217">
            <v>69427</v>
          </cell>
          <cell r="AY217">
            <v>68306</v>
          </cell>
          <cell r="AZ217">
            <v>70760</v>
          </cell>
          <cell r="BA217">
            <v>284645</v>
          </cell>
          <cell r="BB217">
            <v>79116</v>
          </cell>
          <cell r="BC217">
            <v>76088</v>
          </cell>
          <cell r="BD217">
            <v>72740</v>
          </cell>
          <cell r="BE217">
            <v>74437</v>
          </cell>
          <cell r="BF217">
            <v>301332</v>
          </cell>
          <cell r="BG217">
            <v>83166</v>
          </cell>
          <cell r="BH217">
            <v>76471</v>
          </cell>
          <cell r="BI217">
            <v>76013</v>
          </cell>
          <cell r="BJ217">
            <v>78576</v>
          </cell>
          <cell r="BK217">
            <v>314914</v>
          </cell>
          <cell r="BL217">
            <v>82531</v>
          </cell>
          <cell r="BM217">
            <v>76757</v>
          </cell>
          <cell r="BN217">
            <v>74904</v>
          </cell>
          <cell r="BO217">
            <v>76705</v>
          </cell>
          <cell r="BP217">
            <v>310897</v>
          </cell>
          <cell r="BQ217">
            <v>83551</v>
          </cell>
          <cell r="BR217">
            <v>73809</v>
          </cell>
          <cell r="BS217">
            <v>71063</v>
          </cell>
          <cell r="BT217">
            <v>75096</v>
          </cell>
          <cell r="BU217">
            <v>300339</v>
          </cell>
          <cell r="BV217">
            <v>81788</v>
          </cell>
          <cell r="BW217">
            <v>76120</v>
          </cell>
          <cell r="BX217">
            <v>74890</v>
          </cell>
          <cell r="BY217">
            <v>76515</v>
          </cell>
          <cell r="BZ217">
            <v>306770</v>
          </cell>
          <cell r="CA217">
            <v>84766</v>
          </cell>
          <cell r="CB217">
            <v>79028</v>
          </cell>
          <cell r="CC217">
            <v>77626</v>
          </cell>
          <cell r="CD217">
            <v>82734</v>
          </cell>
          <cell r="CE217">
            <v>323917</v>
          </cell>
          <cell r="CF217">
            <v>88143</v>
          </cell>
          <cell r="CG217">
            <v>80753</v>
          </cell>
          <cell r="CH217">
            <v>81411</v>
          </cell>
        </row>
        <row r="218">
          <cell r="B218" t="str">
            <v>Adjusted admissions</v>
          </cell>
          <cell r="D218" t="str">
            <v>ND</v>
          </cell>
          <cell r="E218" t="str">
            <v>ND</v>
          </cell>
          <cell r="F218" t="str">
            <v>ND</v>
          </cell>
          <cell r="G218" t="str">
            <v>ND</v>
          </cell>
          <cell r="H218" t="str">
            <v>ND</v>
          </cell>
          <cell r="I218" t="str">
            <v>ND</v>
          </cell>
          <cell r="J218" t="str">
            <v>ND</v>
          </cell>
          <cell r="K218" t="str">
            <v>ND</v>
          </cell>
          <cell r="L218" t="str">
            <v>ND</v>
          </cell>
          <cell r="M218" t="str">
            <v>ND</v>
          </cell>
          <cell r="N218" t="str">
            <v>ND</v>
          </cell>
          <cell r="O218" t="str">
            <v>ND</v>
          </cell>
          <cell r="P218" t="str">
            <v>ND</v>
          </cell>
          <cell r="Q218" t="str">
            <v>ND</v>
          </cell>
          <cell r="R218" t="str">
            <v>ND</v>
          </cell>
          <cell r="S218" t="str">
            <v>ND</v>
          </cell>
          <cell r="T218" t="str">
            <v>ND</v>
          </cell>
          <cell r="U218" t="str">
            <v>ND</v>
          </cell>
          <cell r="V218" t="str">
            <v>ND</v>
          </cell>
          <cell r="W218" t="str">
            <v>ND</v>
          </cell>
          <cell r="X218" t="str">
            <v>ND</v>
          </cell>
          <cell r="Y218" t="str">
            <v>ND</v>
          </cell>
          <cell r="Z218" t="str">
            <v>ND</v>
          </cell>
          <cell r="AA218" t="str">
            <v>ND</v>
          </cell>
          <cell r="AB218" t="str">
            <v>ND</v>
          </cell>
          <cell r="AC218">
            <v>88894</v>
          </cell>
          <cell r="AD218" t="str">
            <v>ND</v>
          </cell>
          <cell r="AE218">
            <v>90706</v>
          </cell>
          <cell r="AF218">
            <v>344155</v>
          </cell>
          <cell r="AG218">
            <v>91523</v>
          </cell>
          <cell r="AH218">
            <v>95235</v>
          </cell>
          <cell r="AI218">
            <v>91530</v>
          </cell>
          <cell r="AJ218">
            <v>96154</v>
          </cell>
          <cell r="AK218">
            <v>374392</v>
          </cell>
          <cell r="AL218">
            <v>111533</v>
          </cell>
          <cell r="AM218">
            <v>121129</v>
          </cell>
          <cell r="AN218">
            <v>114905</v>
          </cell>
          <cell r="AO218">
            <v>113411</v>
          </cell>
          <cell r="AP218">
            <v>456076</v>
          </cell>
          <cell r="AQ218">
            <v>115827</v>
          </cell>
          <cell r="AR218">
            <v>131277</v>
          </cell>
          <cell r="AS218">
            <v>128666</v>
          </cell>
          <cell r="AT218">
            <v>123565</v>
          </cell>
          <cell r="AW218">
            <v>121129</v>
          </cell>
          <cell r="AX218">
            <v>114905</v>
          </cell>
          <cell r="AY218">
            <v>113411</v>
          </cell>
          <cell r="AZ218">
            <v>115827</v>
          </cell>
          <cell r="BA218">
            <v>465272</v>
          </cell>
          <cell r="BB218">
            <v>131277</v>
          </cell>
          <cell r="BC218">
            <v>128666</v>
          </cell>
          <cell r="BD218">
            <v>123565</v>
          </cell>
          <cell r="BE218">
            <v>123430</v>
          </cell>
          <cell r="BF218">
            <v>497946</v>
          </cell>
          <cell r="BG218">
            <v>135627</v>
          </cell>
          <cell r="BH218">
            <v>133489</v>
          </cell>
          <cell r="BI218">
            <v>129411</v>
          </cell>
          <cell r="BJ218">
            <v>133422</v>
          </cell>
          <cell r="BK218">
            <v>529528</v>
          </cell>
          <cell r="BL218">
            <v>137571</v>
          </cell>
          <cell r="BM218">
            <v>131684</v>
          </cell>
          <cell r="BN218">
            <v>130468</v>
          </cell>
          <cell r="BO218">
            <v>131472</v>
          </cell>
          <cell r="BP218">
            <v>533064</v>
          </cell>
          <cell r="BQ218">
            <v>140515</v>
          </cell>
          <cell r="BR218">
            <v>129646</v>
          </cell>
          <cell r="BS218">
            <v>126237</v>
          </cell>
          <cell r="BT218">
            <v>129419</v>
          </cell>
          <cell r="BU218">
            <v>519407</v>
          </cell>
          <cell r="BV218">
            <v>137480</v>
          </cell>
          <cell r="BW218">
            <v>132719</v>
          </cell>
          <cell r="BX218">
            <v>135033</v>
          </cell>
          <cell r="BY218">
            <v>134977</v>
          </cell>
          <cell r="BZ218">
            <v>534917</v>
          </cell>
          <cell r="CA218">
            <v>147365</v>
          </cell>
          <cell r="CB218">
            <v>143338</v>
          </cell>
          <cell r="CC218">
            <v>144133</v>
          </cell>
          <cell r="CD218">
            <v>151548</v>
          </cell>
          <cell r="CE218">
            <v>586060</v>
          </cell>
          <cell r="CF218">
            <v>159044</v>
          </cell>
          <cell r="CG218">
            <v>152216</v>
          </cell>
          <cell r="CH218">
            <v>155097</v>
          </cell>
        </row>
        <row r="219">
          <cell r="B219" t="str">
            <v>Average length of stay</v>
          </cell>
          <cell r="D219">
            <v>5.6</v>
          </cell>
          <cell r="E219">
            <v>5.5</v>
          </cell>
          <cell r="F219">
            <v>5.6</v>
          </cell>
          <cell r="G219">
            <v>5.3</v>
          </cell>
          <cell r="H219">
            <v>5.3</v>
          </cell>
          <cell r="I219">
            <v>4.9000000000000004</v>
          </cell>
          <cell r="J219">
            <v>4.7</v>
          </cell>
          <cell r="K219">
            <v>4.5999999999999996</v>
          </cell>
          <cell r="L219">
            <v>4.5999999999999996</v>
          </cell>
          <cell r="M219" t="str">
            <v>ND</v>
          </cell>
          <cell r="N219" t="str">
            <v>ND</v>
          </cell>
          <cell r="O219" t="str">
            <v>ND</v>
          </cell>
          <cell r="P219" t="str">
            <v>ND</v>
          </cell>
          <cell r="Q219">
            <v>4.5</v>
          </cell>
          <cell r="R219" t="str">
            <v>ND</v>
          </cell>
          <cell r="S219" t="str">
            <v>ND</v>
          </cell>
          <cell r="T219" t="str">
            <v>ND</v>
          </cell>
          <cell r="U219" t="str">
            <v>ND</v>
          </cell>
          <cell r="V219">
            <v>4.5</v>
          </cell>
          <cell r="W219" t="str">
            <v>ND</v>
          </cell>
          <cell r="X219" t="str">
            <v>ND</v>
          </cell>
          <cell r="Y219" t="str">
            <v>ND</v>
          </cell>
          <cell r="Z219" t="str">
            <v>ND</v>
          </cell>
          <cell r="AA219">
            <v>4.5</v>
          </cell>
          <cell r="AB219" t="str">
            <v>ND</v>
          </cell>
          <cell r="AC219">
            <v>4.7</v>
          </cell>
          <cell r="AD219" t="str">
            <v>ND</v>
          </cell>
          <cell r="AE219">
            <v>4.5</v>
          </cell>
          <cell r="AF219">
            <v>4.4000000000000004</v>
          </cell>
          <cell r="AG219">
            <v>4.5</v>
          </cell>
          <cell r="AH219">
            <v>4.7</v>
          </cell>
          <cell r="AI219">
            <v>4.5999999999999996</v>
          </cell>
          <cell r="AJ219">
            <v>4.5</v>
          </cell>
          <cell r="AK219">
            <v>4.5999999999999996</v>
          </cell>
          <cell r="AL219">
            <v>4.5</v>
          </cell>
          <cell r="AM219">
            <v>4.5999999999999996</v>
          </cell>
          <cell r="AN219">
            <v>4.5</v>
          </cell>
          <cell r="AO219">
            <v>4.4000000000000004</v>
          </cell>
          <cell r="AP219">
            <v>4.5</v>
          </cell>
          <cell r="AQ219" t="str">
            <v>ND</v>
          </cell>
          <cell r="AR219">
            <v>4.5</v>
          </cell>
          <cell r="AS219">
            <v>4.5</v>
          </cell>
          <cell r="AT219">
            <v>4.2</v>
          </cell>
          <cell r="AW219">
            <v>4.5999999999999996</v>
          </cell>
          <cell r="AX219">
            <v>4.5</v>
          </cell>
          <cell r="AY219">
            <v>4.4000000000000004</v>
          </cell>
          <cell r="AZ219" t="str">
            <v>ND</v>
          </cell>
          <cell r="BB219">
            <v>4.5</v>
          </cell>
          <cell r="BC219">
            <v>4.5</v>
          </cell>
          <cell r="BD219">
            <v>4.2</v>
          </cell>
          <cell r="BE219">
            <v>4.2</v>
          </cell>
          <cell r="BF219">
            <v>4.3</v>
          </cell>
          <cell r="BG219">
            <v>4.4000000000000004</v>
          </cell>
          <cell r="BH219">
            <v>4.3</v>
          </cell>
          <cell r="BI219">
            <v>4.2</v>
          </cell>
          <cell r="BJ219">
            <v>4.2</v>
          </cell>
          <cell r="BK219">
            <v>4.3</v>
          </cell>
          <cell r="BL219">
            <v>4.3</v>
          </cell>
          <cell r="BM219">
            <v>4.2</v>
          </cell>
          <cell r="BN219">
            <v>4.2</v>
          </cell>
          <cell r="BO219">
            <v>4.2</v>
          </cell>
          <cell r="BP219">
            <v>4.2</v>
          </cell>
          <cell r="BQ219">
            <v>4.4000000000000004</v>
          </cell>
          <cell r="BR219">
            <v>4.3</v>
          </cell>
          <cell r="BS219">
            <v>4.2</v>
          </cell>
          <cell r="BT219">
            <v>4.2</v>
          </cell>
          <cell r="BU219">
            <v>4.3</v>
          </cell>
          <cell r="BV219">
            <v>4.3</v>
          </cell>
          <cell r="BW219">
            <v>4.2</v>
          </cell>
          <cell r="BX219">
            <v>4.0999999999999996</v>
          </cell>
          <cell r="BY219">
            <v>4.2</v>
          </cell>
          <cell r="BZ219">
            <v>4.2</v>
          </cell>
          <cell r="CA219">
            <v>4.3</v>
          </cell>
          <cell r="CB219">
            <v>4.0999999999999996</v>
          </cell>
          <cell r="CC219">
            <v>4.0999999999999996</v>
          </cell>
          <cell r="CD219">
            <v>4.0999999999999996</v>
          </cell>
          <cell r="CE219">
            <v>4.2</v>
          </cell>
          <cell r="CF219">
            <v>5</v>
          </cell>
          <cell r="CG219">
            <v>4.2</v>
          </cell>
          <cell r="CH219">
            <v>4.0999999999999996</v>
          </cell>
        </row>
        <row r="220">
          <cell r="B220" t="str">
            <v>Surgeries</v>
          </cell>
          <cell r="D220" t="str">
            <v>ND</v>
          </cell>
          <cell r="E220" t="str">
            <v>ND</v>
          </cell>
          <cell r="F220" t="str">
            <v>ND</v>
          </cell>
          <cell r="G220" t="str">
            <v>ND</v>
          </cell>
          <cell r="H220" t="str">
            <v>ND</v>
          </cell>
          <cell r="I220" t="str">
            <v>ND</v>
          </cell>
          <cell r="J220" t="str">
            <v>ND</v>
          </cell>
          <cell r="K220" t="str">
            <v>ND</v>
          </cell>
          <cell r="L220" t="str">
            <v>ND</v>
          </cell>
          <cell r="M220" t="str">
            <v>ND</v>
          </cell>
          <cell r="N220" t="str">
            <v>ND</v>
          </cell>
          <cell r="O220" t="str">
            <v>ND</v>
          </cell>
          <cell r="P220" t="str">
            <v>ND</v>
          </cell>
          <cell r="Q220" t="str">
            <v>ND</v>
          </cell>
          <cell r="R220" t="str">
            <v>ND</v>
          </cell>
          <cell r="S220" t="str">
            <v>ND</v>
          </cell>
          <cell r="T220" t="str">
            <v>ND</v>
          </cell>
          <cell r="U220" t="str">
            <v>ND</v>
          </cell>
          <cell r="V220" t="str">
            <v>ND</v>
          </cell>
          <cell r="W220" t="str">
            <v>ND</v>
          </cell>
          <cell r="X220" t="str">
            <v>ND</v>
          </cell>
          <cell r="Y220" t="str">
            <v>ND</v>
          </cell>
          <cell r="Z220" t="str">
            <v>ND</v>
          </cell>
          <cell r="AA220" t="str">
            <v>ND</v>
          </cell>
          <cell r="AB220" t="str">
            <v>ND</v>
          </cell>
          <cell r="AC220">
            <v>50734</v>
          </cell>
          <cell r="AD220" t="str">
            <v>ND</v>
          </cell>
          <cell r="AE220">
            <v>51356</v>
          </cell>
          <cell r="AF220">
            <v>203502</v>
          </cell>
          <cell r="AG220">
            <v>51684</v>
          </cell>
          <cell r="AH220">
            <v>53099</v>
          </cell>
          <cell r="AI220">
            <v>52678</v>
          </cell>
          <cell r="AJ220">
            <v>53083</v>
          </cell>
          <cell r="AK220">
            <v>210422</v>
          </cell>
          <cell r="AL220">
            <v>57064</v>
          </cell>
          <cell r="AM220">
            <v>62242</v>
          </cell>
          <cell r="AN220">
            <v>60308</v>
          </cell>
          <cell r="AO220">
            <v>59061</v>
          </cell>
          <cell r="AP220">
            <v>236767</v>
          </cell>
          <cell r="AQ220">
            <v>60728</v>
          </cell>
          <cell r="AR220">
            <v>66953</v>
          </cell>
          <cell r="AS220">
            <v>69316</v>
          </cell>
          <cell r="AT220">
            <v>66546</v>
          </cell>
          <cell r="AW220">
            <v>62242</v>
          </cell>
          <cell r="AX220">
            <v>60308</v>
          </cell>
          <cell r="AY220">
            <v>59061</v>
          </cell>
          <cell r="AZ220">
            <v>60728</v>
          </cell>
          <cell r="BA220">
            <v>242339</v>
          </cell>
          <cell r="BB220">
            <v>66953</v>
          </cell>
          <cell r="BC220">
            <v>69316</v>
          </cell>
          <cell r="BD220">
            <v>66546</v>
          </cell>
          <cell r="BE220">
            <v>66095</v>
          </cell>
          <cell r="BF220">
            <v>265442</v>
          </cell>
          <cell r="BG220">
            <v>73353</v>
          </cell>
          <cell r="BH220">
            <v>70935</v>
          </cell>
          <cell r="BI220">
            <v>68949</v>
          </cell>
          <cell r="BJ220">
            <v>69828</v>
          </cell>
          <cell r="BK220">
            <v>285144</v>
          </cell>
          <cell r="BL220">
            <v>70615</v>
          </cell>
          <cell r="BM220">
            <v>70187</v>
          </cell>
          <cell r="BN220">
            <v>69288</v>
          </cell>
          <cell r="BO220">
            <v>69473</v>
          </cell>
          <cell r="BP220">
            <v>279563</v>
          </cell>
          <cell r="BQ220">
            <v>70533</v>
          </cell>
          <cell r="BR220">
            <v>69692</v>
          </cell>
          <cell r="BS220">
            <v>66438</v>
          </cell>
          <cell r="BT220">
            <v>66450</v>
          </cell>
          <cell r="BU220">
            <v>269712</v>
          </cell>
          <cell r="BV220">
            <v>72963</v>
          </cell>
          <cell r="BW220">
            <v>73152</v>
          </cell>
          <cell r="BX220">
            <v>71317</v>
          </cell>
          <cell r="BY220">
            <v>70824</v>
          </cell>
          <cell r="BZ220">
            <v>282680</v>
          </cell>
          <cell r="CA220">
            <v>78126</v>
          </cell>
          <cell r="CB220">
            <v>78116</v>
          </cell>
          <cell r="CC220">
            <v>77922</v>
          </cell>
          <cell r="CD220">
            <v>80869</v>
          </cell>
          <cell r="CE220">
            <v>314564</v>
          </cell>
          <cell r="CF220">
            <v>82824</v>
          </cell>
          <cell r="CG220">
            <v>82509</v>
          </cell>
          <cell r="CH220">
            <v>81665</v>
          </cell>
        </row>
        <row r="221">
          <cell r="B221" t="str">
            <v>Emergency room visits</v>
          </cell>
          <cell r="D221" t="str">
            <v>ND</v>
          </cell>
          <cell r="E221" t="str">
            <v>ND</v>
          </cell>
          <cell r="F221" t="str">
            <v>ND</v>
          </cell>
          <cell r="G221" t="str">
            <v>ND</v>
          </cell>
          <cell r="H221" t="str">
            <v>ND</v>
          </cell>
          <cell r="I221" t="str">
            <v>ND</v>
          </cell>
          <cell r="J221" t="str">
            <v>ND</v>
          </cell>
          <cell r="K221" t="str">
            <v>ND</v>
          </cell>
          <cell r="L221" t="str">
            <v>ND</v>
          </cell>
          <cell r="M221" t="str">
            <v>ND</v>
          </cell>
          <cell r="N221" t="str">
            <v>ND</v>
          </cell>
          <cell r="O221" t="str">
            <v>ND</v>
          </cell>
          <cell r="P221" t="str">
            <v>ND</v>
          </cell>
          <cell r="Q221" t="str">
            <v>ND</v>
          </cell>
          <cell r="R221" t="str">
            <v>ND</v>
          </cell>
          <cell r="S221" t="str">
            <v>ND</v>
          </cell>
          <cell r="T221" t="str">
            <v>ND</v>
          </cell>
          <cell r="U221" t="str">
            <v>ND</v>
          </cell>
          <cell r="V221" t="str">
            <v>ND</v>
          </cell>
          <cell r="W221" t="str">
            <v>ND</v>
          </cell>
          <cell r="X221" t="str">
            <v>ND</v>
          </cell>
          <cell r="Y221" t="str">
            <v>ND</v>
          </cell>
          <cell r="Z221" t="str">
            <v>ND</v>
          </cell>
          <cell r="AA221" t="str">
            <v>ND</v>
          </cell>
          <cell r="AB221" t="str">
            <v>ND</v>
          </cell>
          <cell r="AC221" t="str">
            <v>ND</v>
          </cell>
          <cell r="AD221" t="str">
            <v>ND</v>
          </cell>
          <cell r="AE221" t="str">
            <v>ND</v>
          </cell>
          <cell r="AF221" t="str">
            <v>ND</v>
          </cell>
          <cell r="AG221" t="str">
            <v>ND</v>
          </cell>
          <cell r="AH221" t="str">
            <v>ND</v>
          </cell>
          <cell r="AI221" t="str">
            <v>ND</v>
          </cell>
          <cell r="AJ221" t="str">
            <v>ND</v>
          </cell>
          <cell r="AK221" t="str">
            <v>ND</v>
          </cell>
          <cell r="AL221" t="str">
            <v>ND</v>
          </cell>
          <cell r="AM221" t="str">
            <v>ND</v>
          </cell>
          <cell r="AN221" t="str">
            <v>ND</v>
          </cell>
          <cell r="AO221" t="str">
            <v>ND</v>
          </cell>
          <cell r="AP221" t="str">
            <v>ND</v>
          </cell>
          <cell r="AQ221" t="str">
            <v>ND</v>
          </cell>
          <cell r="AR221" t="str">
            <v>ND</v>
          </cell>
          <cell r="AS221" t="str">
            <v>ND</v>
          </cell>
          <cell r="AT221" t="str">
            <v>ND</v>
          </cell>
          <cell r="AW221" t="str">
            <v>ND</v>
          </cell>
          <cell r="AX221" t="str">
            <v>ND</v>
          </cell>
          <cell r="AY221" t="str">
            <v>ND</v>
          </cell>
          <cell r="AZ221" t="str">
            <v>ND</v>
          </cell>
          <cell r="BB221" t="str">
            <v>ND</v>
          </cell>
          <cell r="BC221" t="str">
            <v>ND</v>
          </cell>
          <cell r="BD221" t="str">
            <v>ND</v>
          </cell>
          <cell r="BE221" t="str">
            <v>ND</v>
          </cell>
          <cell r="BF221">
            <v>333356</v>
          </cell>
          <cell r="BG221">
            <v>339286</v>
          </cell>
          <cell r="BH221">
            <v>325303</v>
          </cell>
          <cell r="BI221">
            <v>324262</v>
          </cell>
          <cell r="BJ221">
            <v>337341</v>
          </cell>
          <cell r="BK221">
            <v>1326192</v>
          </cell>
          <cell r="BL221">
            <v>338548</v>
          </cell>
          <cell r="BM221">
            <v>325367</v>
          </cell>
          <cell r="BN221">
            <v>330937</v>
          </cell>
          <cell r="BO221">
            <v>335735</v>
          </cell>
          <cell r="BP221">
            <v>1330587</v>
          </cell>
          <cell r="BQ221">
            <v>363356</v>
          </cell>
          <cell r="BR221">
            <v>330416</v>
          </cell>
          <cell r="BS221">
            <v>314750</v>
          </cell>
          <cell r="BT221">
            <v>316746</v>
          </cell>
          <cell r="BU221">
            <v>1300216</v>
          </cell>
          <cell r="BV221">
            <v>342640</v>
          </cell>
          <cell r="BW221">
            <v>336117</v>
          </cell>
          <cell r="BX221">
            <v>355213</v>
          </cell>
          <cell r="BY221">
            <v>337909</v>
          </cell>
          <cell r="BZ221">
            <v>1360595</v>
          </cell>
          <cell r="CA221">
            <v>343256</v>
          </cell>
          <cell r="CB221">
            <v>345077</v>
          </cell>
          <cell r="CC221">
            <v>356935</v>
          </cell>
          <cell r="CD221">
            <v>370821</v>
          </cell>
          <cell r="CE221">
            <v>1413831</v>
          </cell>
          <cell r="CF221">
            <v>390737</v>
          </cell>
          <cell r="CG221">
            <v>378125</v>
          </cell>
          <cell r="CH221">
            <v>376539</v>
          </cell>
        </row>
        <row r="222">
          <cell r="B222" t="str">
            <v>Net revenue (in thousands)</v>
          </cell>
          <cell r="D222" t="str">
            <v>ND</v>
          </cell>
          <cell r="E222" t="str">
            <v>ND</v>
          </cell>
          <cell r="F222" t="str">
            <v>ND</v>
          </cell>
          <cell r="G222" t="str">
            <v>ND</v>
          </cell>
          <cell r="H222" t="str">
            <v>ND</v>
          </cell>
          <cell r="I222" t="str">
            <v>ND</v>
          </cell>
          <cell r="J222" t="str">
            <v>ND</v>
          </cell>
          <cell r="K222" t="str">
            <v>ND</v>
          </cell>
          <cell r="L222" t="str">
            <v>ND</v>
          </cell>
          <cell r="M222" t="str">
            <v>ND</v>
          </cell>
          <cell r="N222" t="str">
            <v>ND</v>
          </cell>
          <cell r="O222" t="str">
            <v>ND</v>
          </cell>
          <cell r="P222" t="str">
            <v>ND</v>
          </cell>
          <cell r="Q222" t="str">
            <v>ND</v>
          </cell>
          <cell r="R222" t="str">
            <v>ND</v>
          </cell>
          <cell r="S222" t="str">
            <v>ND</v>
          </cell>
          <cell r="T222" t="str">
            <v>ND</v>
          </cell>
          <cell r="U222" t="str">
            <v>ND</v>
          </cell>
          <cell r="V222" t="str">
            <v>ND</v>
          </cell>
          <cell r="W222" t="str">
            <v>ND</v>
          </cell>
          <cell r="X222" t="str">
            <v>ND</v>
          </cell>
          <cell r="Y222" t="str">
            <v>ND</v>
          </cell>
          <cell r="Z222" t="str">
            <v>ND</v>
          </cell>
          <cell r="AA222" t="str">
            <v>ND</v>
          </cell>
          <cell r="AB222" t="str">
            <v>ND</v>
          </cell>
          <cell r="AC222" t="str">
            <v>ND</v>
          </cell>
          <cell r="AD222" t="str">
            <v>ND</v>
          </cell>
          <cell r="AE222" t="str">
            <v>ND</v>
          </cell>
          <cell r="AF222" t="str">
            <v>ND</v>
          </cell>
          <cell r="AG222" t="str">
            <v>ND</v>
          </cell>
          <cell r="AH222" t="str">
            <v>ND</v>
          </cell>
          <cell r="AI222" t="str">
            <v>ND</v>
          </cell>
          <cell r="AJ222" t="str">
            <v>ND</v>
          </cell>
          <cell r="AK222" t="str">
            <v>ND</v>
          </cell>
          <cell r="AL222" t="str">
            <v>ND</v>
          </cell>
          <cell r="AM222" t="str">
            <v>ND</v>
          </cell>
          <cell r="AN222" t="str">
            <v>ND</v>
          </cell>
          <cell r="AO222" t="str">
            <v>ND</v>
          </cell>
          <cell r="AP222" t="str">
            <v>ND</v>
          </cell>
          <cell r="AQ222" t="str">
            <v>ND</v>
          </cell>
          <cell r="AR222" t="str">
            <v>ND</v>
          </cell>
          <cell r="AS222" t="str">
            <v>ND</v>
          </cell>
          <cell r="AT222" t="str">
            <v>ND</v>
          </cell>
          <cell r="AW222" t="str">
            <v>ND</v>
          </cell>
          <cell r="AX222" t="str">
            <v>ND</v>
          </cell>
          <cell r="AY222" t="str">
            <v>ND</v>
          </cell>
          <cell r="AZ222" t="str">
            <v>ND</v>
          </cell>
          <cell r="BB222" t="str">
            <v>ND</v>
          </cell>
          <cell r="BC222" t="str">
            <v>ND</v>
          </cell>
          <cell r="BD222" t="str">
            <v>ND</v>
          </cell>
          <cell r="BE222" t="str">
            <v>ND</v>
          </cell>
          <cell r="BF222" t="str">
            <v>ND</v>
          </cell>
          <cell r="BG222" t="str">
            <v>ND</v>
          </cell>
          <cell r="BH222" t="str">
            <v>ND</v>
          </cell>
          <cell r="BI222" t="str">
            <v>ND</v>
          </cell>
          <cell r="BJ222" t="str">
            <v>ND</v>
          </cell>
          <cell r="BK222" t="str">
            <v>ND</v>
          </cell>
          <cell r="BL222" t="str">
            <v>ND</v>
          </cell>
          <cell r="BM222" t="str">
            <v>ND</v>
          </cell>
          <cell r="BN222" t="str">
            <v>ND</v>
          </cell>
          <cell r="BO222" t="str">
            <v>ND</v>
          </cell>
          <cell r="BP222" t="str">
            <v>ND</v>
          </cell>
          <cell r="BQ222" t="str">
            <v>ND</v>
          </cell>
          <cell r="BR222" t="str">
            <v>ND</v>
          </cell>
          <cell r="BS222">
            <v>1060224</v>
          </cell>
          <cell r="BT222">
            <v>1089918</v>
          </cell>
          <cell r="BU222">
            <v>4360466</v>
          </cell>
          <cell r="BV222">
            <v>1164705</v>
          </cell>
          <cell r="BW222">
            <v>1131765</v>
          </cell>
          <cell r="BX222">
            <v>1121903</v>
          </cell>
          <cell r="BY222">
            <v>1184502</v>
          </cell>
          <cell r="BZ222">
            <v>4556809</v>
          </cell>
          <cell r="CA222">
            <v>1271744</v>
          </cell>
          <cell r="CB222">
            <v>1230101</v>
          </cell>
          <cell r="CC222">
            <v>1250362</v>
          </cell>
          <cell r="CD222">
            <v>1346549</v>
          </cell>
          <cell r="CE222">
            <v>5092166</v>
          </cell>
          <cell r="CF222">
            <v>1254760</v>
          </cell>
          <cell r="CG222">
            <v>1224566</v>
          </cell>
          <cell r="CH222">
            <v>1219622</v>
          </cell>
        </row>
        <row r="223">
          <cell r="B223" t="str">
            <v>Net revenue per adjusted admission</v>
          </cell>
          <cell r="D223" t="str">
            <v>ND</v>
          </cell>
          <cell r="E223" t="str">
            <v>ND</v>
          </cell>
          <cell r="F223" t="str">
            <v>ND</v>
          </cell>
          <cell r="G223" t="str">
            <v>ND</v>
          </cell>
          <cell r="H223" t="str">
            <v>ND</v>
          </cell>
          <cell r="I223" t="str">
            <v>ND</v>
          </cell>
          <cell r="J223" t="str">
            <v>ND</v>
          </cell>
          <cell r="K223" t="str">
            <v>ND</v>
          </cell>
          <cell r="L223" t="str">
            <v>ND</v>
          </cell>
          <cell r="M223" t="str">
            <v>ND</v>
          </cell>
          <cell r="N223" t="str">
            <v>ND</v>
          </cell>
          <cell r="O223" t="str">
            <v>ND</v>
          </cell>
          <cell r="P223" t="str">
            <v>ND</v>
          </cell>
          <cell r="Q223" t="str">
            <v>ND</v>
          </cell>
          <cell r="R223" t="str">
            <v>ND</v>
          </cell>
          <cell r="S223" t="str">
            <v>ND</v>
          </cell>
          <cell r="T223" t="str">
            <v>ND</v>
          </cell>
          <cell r="U223" t="str">
            <v>ND</v>
          </cell>
          <cell r="V223" t="str">
            <v>ND</v>
          </cell>
          <cell r="W223" t="str">
            <v>ND</v>
          </cell>
          <cell r="X223" t="str">
            <v>ND</v>
          </cell>
          <cell r="Y223" t="str">
            <v>ND</v>
          </cell>
          <cell r="Z223" t="str">
            <v>ND</v>
          </cell>
          <cell r="AA223" t="str">
            <v>ND</v>
          </cell>
          <cell r="AB223" t="str">
            <v>ND</v>
          </cell>
          <cell r="AC223" t="str">
            <v>ND</v>
          </cell>
          <cell r="AD223" t="str">
            <v>ND</v>
          </cell>
          <cell r="AE223" t="str">
            <v>ND</v>
          </cell>
          <cell r="AF223" t="str">
            <v>ND</v>
          </cell>
          <cell r="AG223" t="str">
            <v>ND</v>
          </cell>
          <cell r="AH223" t="str">
            <v>ND</v>
          </cell>
          <cell r="AI223" t="str">
            <v>ND</v>
          </cell>
          <cell r="AJ223" t="str">
            <v>ND</v>
          </cell>
          <cell r="AK223" t="str">
            <v>ND</v>
          </cell>
          <cell r="AL223" t="str">
            <v>ND</v>
          </cell>
          <cell r="AM223" t="str">
            <v>ND</v>
          </cell>
          <cell r="AN223" t="str">
            <v>ND</v>
          </cell>
          <cell r="AO223" t="str">
            <v>ND</v>
          </cell>
          <cell r="AP223" t="str">
            <v>ND</v>
          </cell>
          <cell r="AQ223" t="str">
            <v>ND</v>
          </cell>
          <cell r="AR223" t="str">
            <v>ND</v>
          </cell>
          <cell r="AS223" t="str">
            <v>ND</v>
          </cell>
          <cell r="AT223" t="str">
            <v>ND</v>
          </cell>
          <cell r="AW223" t="str">
            <v>ND</v>
          </cell>
          <cell r="AX223" t="str">
            <v>ND</v>
          </cell>
          <cell r="AY223" t="str">
            <v>ND</v>
          </cell>
          <cell r="AZ223" t="str">
            <v>ND</v>
          </cell>
          <cell r="BB223" t="str">
            <v>ND</v>
          </cell>
          <cell r="BC223" t="str">
            <v>ND</v>
          </cell>
          <cell r="BD223" t="str">
            <v>ND</v>
          </cell>
          <cell r="BE223" t="str">
            <v>ND</v>
          </cell>
          <cell r="BF223" t="str">
            <v>ND</v>
          </cell>
          <cell r="BG223" t="str">
            <v>ND</v>
          </cell>
          <cell r="BH223" t="str">
            <v>ND</v>
          </cell>
          <cell r="BI223" t="str">
            <v>ND</v>
          </cell>
          <cell r="BJ223" t="str">
            <v>ND</v>
          </cell>
          <cell r="BK223" t="str">
            <v>ND</v>
          </cell>
          <cell r="BL223" t="str">
            <v>ND</v>
          </cell>
          <cell r="BM223" t="str">
            <v>ND</v>
          </cell>
          <cell r="BN223" t="str">
            <v>ND</v>
          </cell>
          <cell r="BO223" t="str">
            <v>ND</v>
          </cell>
          <cell r="BP223" t="str">
            <v>ND</v>
          </cell>
          <cell r="BQ223" t="str">
            <v>ND</v>
          </cell>
          <cell r="BR223" t="str">
            <v>ND</v>
          </cell>
          <cell r="BS223">
            <v>8398.6786758240451</v>
          </cell>
          <cell r="BT223">
            <v>8421.6227910894067</v>
          </cell>
          <cell r="BU223">
            <v>8395.0851644278955</v>
          </cell>
          <cell r="BV223">
            <v>8472</v>
          </cell>
          <cell r="BW223">
            <v>8528</v>
          </cell>
          <cell r="BX223">
            <v>8308</v>
          </cell>
          <cell r="BY223">
            <v>8776</v>
          </cell>
          <cell r="BZ223">
            <v>8519</v>
          </cell>
          <cell r="CA223">
            <v>8630</v>
          </cell>
          <cell r="CB223">
            <v>8582</v>
          </cell>
          <cell r="CC223">
            <v>8675</v>
          </cell>
          <cell r="CD223">
            <v>8885</v>
          </cell>
          <cell r="CE223">
            <v>8689</v>
          </cell>
          <cell r="CF223">
            <v>7889</v>
          </cell>
          <cell r="CG223">
            <v>8045</v>
          </cell>
          <cell r="CH223">
            <v>7864</v>
          </cell>
        </row>
        <row r="224">
          <cell r="B224" t="str">
            <v>Total inpatient revenue percentage</v>
          </cell>
          <cell r="D224" t="str">
            <v>ND</v>
          </cell>
          <cell r="E224" t="str">
            <v>ND</v>
          </cell>
          <cell r="F224" t="str">
            <v>ND</v>
          </cell>
          <cell r="G224" t="str">
            <v>ND</v>
          </cell>
          <cell r="H224" t="str">
            <v>ND</v>
          </cell>
          <cell r="I224" t="str">
            <v>ND</v>
          </cell>
          <cell r="J224" t="str">
            <v>ND</v>
          </cell>
          <cell r="K224" t="str">
            <v>ND</v>
          </cell>
          <cell r="L224" t="str">
            <v>ND</v>
          </cell>
          <cell r="M224" t="str">
            <v>ND</v>
          </cell>
          <cell r="N224" t="str">
            <v>ND</v>
          </cell>
          <cell r="O224" t="str">
            <v>ND</v>
          </cell>
          <cell r="P224" t="str">
            <v>ND</v>
          </cell>
          <cell r="Q224" t="str">
            <v>ND</v>
          </cell>
          <cell r="R224" t="str">
            <v>ND</v>
          </cell>
          <cell r="S224" t="str">
            <v>ND</v>
          </cell>
          <cell r="T224" t="str">
            <v>ND</v>
          </cell>
          <cell r="U224" t="str">
            <v>ND</v>
          </cell>
          <cell r="V224" t="str">
            <v>ND</v>
          </cell>
          <cell r="W224" t="str">
            <v>ND</v>
          </cell>
          <cell r="X224" t="str">
            <v>ND</v>
          </cell>
          <cell r="Y224" t="str">
            <v>ND</v>
          </cell>
          <cell r="Z224" t="str">
            <v>ND</v>
          </cell>
          <cell r="AA224" t="str">
            <v>ND</v>
          </cell>
          <cell r="AB224" t="str">
            <v>ND</v>
          </cell>
          <cell r="AC224">
            <v>0.56599999999999995</v>
          </cell>
          <cell r="AD224" t="str">
            <v>ND</v>
          </cell>
          <cell r="AE224">
            <v>0.56699999999999995</v>
          </cell>
          <cell r="AF224">
            <v>0.55500000000000005</v>
          </cell>
          <cell r="AG224">
            <v>0.55400000000000005</v>
          </cell>
          <cell r="AH224">
            <v>0.56200000000000006</v>
          </cell>
          <cell r="AI224">
            <v>0.52300000000000002</v>
          </cell>
          <cell r="AJ224">
            <v>0.52900000000000003</v>
          </cell>
          <cell r="AK224">
            <v>0.54300000000000004</v>
          </cell>
          <cell r="AL224">
            <v>0.52700000000000002</v>
          </cell>
          <cell r="AM224">
            <v>0.54500000000000004</v>
          </cell>
          <cell r="AN224">
            <v>0.51300000000000001</v>
          </cell>
          <cell r="AO224">
            <v>0.51100000000000001</v>
          </cell>
          <cell r="AP224">
            <v>0.52400000000000002</v>
          </cell>
          <cell r="AQ224">
            <v>0.53600000000000003</v>
          </cell>
          <cell r="AR224">
            <v>0.54</v>
          </cell>
          <cell r="AS224">
            <v>0.50700000000000001</v>
          </cell>
          <cell r="AT224">
            <v>0.496</v>
          </cell>
          <cell r="AW224">
            <v>0.54500000000000004</v>
          </cell>
          <cell r="AX224">
            <v>0.51300000000000001</v>
          </cell>
          <cell r="AY224">
            <v>0.51100000000000001</v>
          </cell>
          <cell r="AZ224">
            <v>0.46400000000000002</v>
          </cell>
          <cell r="BB224">
            <v>0.54</v>
          </cell>
          <cell r="BC224">
            <v>0.50700000000000001</v>
          </cell>
          <cell r="BD224">
            <v>0.496</v>
          </cell>
          <cell r="BE224">
            <v>0.51500000000000001</v>
          </cell>
          <cell r="BF224">
            <v>0.51300000000000001</v>
          </cell>
          <cell r="BG224">
            <v>0.50700000000000001</v>
          </cell>
          <cell r="BH224">
            <v>0.48399999999999999</v>
          </cell>
          <cell r="BI224">
            <v>0.50800000000000001</v>
          </cell>
          <cell r="BJ224">
            <v>0.49299999999999999</v>
          </cell>
          <cell r="BK224">
            <v>0.49</v>
          </cell>
          <cell r="BL224">
            <v>0.51600000000000001</v>
          </cell>
          <cell r="BM224">
            <v>0.52</v>
          </cell>
          <cell r="BN224">
            <v>0.499</v>
          </cell>
          <cell r="BO224">
            <v>0.50900000000000001</v>
          </cell>
          <cell r="BP224">
            <v>0.51100000000000001</v>
          </cell>
          <cell r="BQ224">
            <v>0.53</v>
          </cell>
          <cell r="BR224">
            <v>0.51500000000000001</v>
          </cell>
          <cell r="BS224">
            <v>0.50700000000000001</v>
          </cell>
          <cell r="BT224">
            <v>0.52700000000000002</v>
          </cell>
          <cell r="BU224">
            <v>0.52200000000000002</v>
          </cell>
          <cell r="BV224">
            <v>0.53300000000000003</v>
          </cell>
          <cell r="BW224">
            <v>0.52800000000000002</v>
          </cell>
          <cell r="BX224">
            <v>0.498</v>
          </cell>
          <cell r="BY224">
            <v>0.497</v>
          </cell>
          <cell r="BZ224">
            <v>0.51400000000000001</v>
          </cell>
          <cell r="CA224">
            <v>0.51900000000000002</v>
          </cell>
          <cell r="CB224">
            <v>0.501</v>
          </cell>
          <cell r="CC224">
            <v>0.48499999999999999</v>
          </cell>
          <cell r="CD224">
            <v>0.495</v>
          </cell>
          <cell r="CE224">
            <v>0.5</v>
          </cell>
          <cell r="CF224">
            <v>0.504</v>
          </cell>
          <cell r="CG224">
            <v>0.47599999999999998</v>
          </cell>
          <cell r="CH224">
            <v>0.46899999999999997</v>
          </cell>
        </row>
        <row r="225">
          <cell r="B225" t="str">
            <v>Total outpatient revenue percentage</v>
          </cell>
          <cell r="D225" t="str">
            <v>ND</v>
          </cell>
          <cell r="E225" t="str">
            <v>ND</v>
          </cell>
          <cell r="F225" t="str">
            <v>ND</v>
          </cell>
          <cell r="G225" t="str">
            <v>ND</v>
          </cell>
          <cell r="H225" t="str">
            <v>ND</v>
          </cell>
          <cell r="I225" t="str">
            <v>ND</v>
          </cell>
          <cell r="J225" t="str">
            <v>ND</v>
          </cell>
          <cell r="K225" t="str">
            <v>ND</v>
          </cell>
          <cell r="L225" t="str">
            <v>ND</v>
          </cell>
          <cell r="M225" t="str">
            <v>ND</v>
          </cell>
          <cell r="N225" t="str">
            <v>ND</v>
          </cell>
          <cell r="O225" t="str">
            <v>ND</v>
          </cell>
          <cell r="P225" t="str">
            <v>ND</v>
          </cell>
          <cell r="Q225" t="str">
            <v>ND</v>
          </cell>
          <cell r="R225" t="str">
            <v>ND</v>
          </cell>
          <cell r="S225" t="str">
            <v>ND</v>
          </cell>
          <cell r="T225" t="str">
            <v>ND</v>
          </cell>
          <cell r="U225" t="str">
            <v>ND</v>
          </cell>
          <cell r="V225" t="str">
            <v>ND</v>
          </cell>
          <cell r="W225" t="str">
            <v>ND</v>
          </cell>
          <cell r="X225" t="str">
            <v>ND</v>
          </cell>
          <cell r="Y225" t="str">
            <v>ND</v>
          </cell>
          <cell r="Z225" t="str">
            <v>ND</v>
          </cell>
          <cell r="AA225" t="str">
            <v>ND</v>
          </cell>
          <cell r="AB225" t="str">
            <v>ND</v>
          </cell>
          <cell r="AC225">
            <v>0.434</v>
          </cell>
          <cell r="AD225" t="str">
            <v>ND</v>
          </cell>
          <cell r="AE225">
            <v>0.433</v>
          </cell>
          <cell r="AF225">
            <v>0.44400000000000001</v>
          </cell>
          <cell r="AG225">
            <v>0.44600000000000001</v>
          </cell>
          <cell r="AH225">
            <v>0.438</v>
          </cell>
          <cell r="AI225">
            <v>0.47699999999999998</v>
          </cell>
          <cell r="AJ225">
            <v>0.47099999999999997</v>
          </cell>
          <cell r="AK225">
            <v>0.45700000000000002</v>
          </cell>
          <cell r="AL225">
            <v>0.47299999999999998</v>
          </cell>
          <cell r="AM225">
            <v>0.45500000000000002</v>
          </cell>
          <cell r="AN225">
            <v>0.48699999999999999</v>
          </cell>
          <cell r="AO225">
            <v>0.48899999999999999</v>
          </cell>
          <cell r="AP225">
            <v>0.47599999999999998</v>
          </cell>
          <cell r="AQ225">
            <v>0.46400000000000002</v>
          </cell>
          <cell r="AR225">
            <v>0.46</v>
          </cell>
          <cell r="AS225">
            <v>0.49299999999999999</v>
          </cell>
          <cell r="AT225">
            <v>0.504</v>
          </cell>
          <cell r="AW225">
            <v>0.45500000000000002</v>
          </cell>
          <cell r="AX225">
            <v>0.48699999999999999</v>
          </cell>
          <cell r="AY225">
            <v>0.48899999999999999</v>
          </cell>
          <cell r="AZ225">
            <v>0.53600000000000003</v>
          </cell>
          <cell r="BB225">
            <v>0.46</v>
          </cell>
          <cell r="BC225">
            <v>0.49299999999999999</v>
          </cell>
          <cell r="BD225">
            <v>0.504</v>
          </cell>
          <cell r="BE225">
            <v>0.48499999999999999</v>
          </cell>
          <cell r="BF225">
            <v>0.48699999999999999</v>
          </cell>
          <cell r="BG225">
            <v>0.49299999999999999</v>
          </cell>
          <cell r="BH225">
            <v>0.51600000000000001</v>
          </cell>
          <cell r="BI225">
            <v>0.49199999999999999</v>
          </cell>
          <cell r="BJ225">
            <v>0.50700000000000001</v>
          </cell>
          <cell r="BK225">
            <v>0.51</v>
          </cell>
          <cell r="BL225">
            <v>0.48399999999999999</v>
          </cell>
          <cell r="BM225">
            <v>0.48</v>
          </cell>
          <cell r="BN225">
            <v>0.501</v>
          </cell>
          <cell r="BO225">
            <v>0.49099999999999999</v>
          </cell>
          <cell r="BP225">
            <v>0.48899999999999999</v>
          </cell>
          <cell r="BQ225">
            <v>0.47</v>
          </cell>
          <cell r="BR225">
            <v>0.48499999999999999</v>
          </cell>
          <cell r="BS225">
            <v>0.49299999999999999</v>
          </cell>
          <cell r="BT225">
            <v>0.47299999999999998</v>
          </cell>
          <cell r="BU225">
            <v>0.47799999999999998</v>
          </cell>
          <cell r="BV225">
            <v>0.46700000000000003</v>
          </cell>
          <cell r="BW225">
            <v>0.47199999999999998</v>
          </cell>
          <cell r="BX225">
            <v>0.502</v>
          </cell>
          <cell r="BY225">
            <v>0.503</v>
          </cell>
          <cell r="BZ225">
            <v>0.48599999999999999</v>
          </cell>
          <cell r="CA225">
            <v>0.48099999999999998</v>
          </cell>
          <cell r="CB225">
            <v>0.499</v>
          </cell>
          <cell r="CC225">
            <v>0.51500000000000001</v>
          </cell>
          <cell r="CD225">
            <v>0.505</v>
          </cell>
          <cell r="CE225">
            <v>0.5</v>
          </cell>
          <cell r="CF225">
            <v>0.496</v>
          </cell>
          <cell r="CG225">
            <v>0.52400000000000002</v>
          </cell>
          <cell r="CH225">
            <v>0.53100000000000003</v>
          </cell>
        </row>
        <row r="226">
          <cell r="B226" t="str">
            <v>Same Hospitals</v>
          </cell>
        </row>
        <row r="227">
          <cell r="B227" t="str">
            <v>Occupancy</v>
          </cell>
          <cell r="D227" t="str">
            <v>ND</v>
          </cell>
          <cell r="E227" t="str">
            <v>ND</v>
          </cell>
          <cell r="F227" t="str">
            <v>ND</v>
          </cell>
          <cell r="G227" t="str">
            <v>ND</v>
          </cell>
          <cell r="H227" t="str">
            <v>ND</v>
          </cell>
          <cell r="I227" t="str">
            <v>ND</v>
          </cell>
          <cell r="J227" t="str">
            <v>ND</v>
          </cell>
          <cell r="K227" t="str">
            <v>ND</v>
          </cell>
          <cell r="L227" t="str">
            <v>ND</v>
          </cell>
          <cell r="M227">
            <v>0.45</v>
          </cell>
          <cell r="N227">
            <v>0.54</v>
          </cell>
          <cell r="O227">
            <v>0.437</v>
          </cell>
          <cell r="P227" t="str">
            <v>ND</v>
          </cell>
          <cell r="Q227" t="str">
            <v>ND</v>
          </cell>
          <cell r="R227">
            <v>0.442</v>
          </cell>
          <cell r="S227">
            <v>0.505</v>
          </cell>
          <cell r="T227">
            <v>0.435</v>
          </cell>
          <cell r="U227" t="str">
            <v>ND</v>
          </cell>
          <cell r="V227" t="str">
            <v>ND</v>
          </cell>
          <cell r="W227">
            <v>0.435</v>
          </cell>
          <cell r="X227">
            <v>0.51600000000000001</v>
          </cell>
          <cell r="Y227">
            <v>0.45700000000000002</v>
          </cell>
          <cell r="Z227" t="str">
            <v>ND</v>
          </cell>
          <cell r="AA227" t="str">
            <v>ND</v>
          </cell>
          <cell r="AB227">
            <v>0.443</v>
          </cell>
          <cell r="AC227">
            <v>0.50700000000000001</v>
          </cell>
          <cell r="AD227">
            <v>0.47</v>
          </cell>
          <cell r="AE227">
            <v>0.45700000000000002</v>
          </cell>
          <cell r="AF227">
            <v>0.47099999999999997</v>
          </cell>
          <cell r="AG227">
            <v>0.46700000000000003</v>
          </cell>
          <cell r="AH227">
            <v>0.51700000000000002</v>
          </cell>
          <cell r="AI227">
            <v>0.46</v>
          </cell>
          <cell r="AJ227">
            <v>0.44500000000000001</v>
          </cell>
          <cell r="AK227">
            <v>0.47499999999999998</v>
          </cell>
          <cell r="AL227">
            <v>0.46800000000000003</v>
          </cell>
          <cell r="AM227">
            <v>0.502</v>
          </cell>
          <cell r="AN227">
            <v>0.441</v>
          </cell>
          <cell r="AO227">
            <v>0.44900000000000001</v>
          </cell>
          <cell r="AP227">
            <v>0.47299999999999998</v>
          </cell>
          <cell r="AQ227">
            <v>0.44800000000000001</v>
          </cell>
          <cell r="AR227">
            <v>0.51400000000000001</v>
          </cell>
          <cell r="AS227">
            <v>0.44500000000000001</v>
          </cell>
          <cell r="AT227">
            <v>0.43099999999999999</v>
          </cell>
          <cell r="AW227">
            <v>0.502</v>
          </cell>
          <cell r="AX227">
            <v>0.441</v>
          </cell>
          <cell r="AY227">
            <v>0.44900000000000001</v>
          </cell>
          <cell r="AZ227">
            <v>0.44800000000000001</v>
          </cell>
          <cell r="BB227">
            <v>0.51400000000000001</v>
          </cell>
          <cell r="BC227">
            <v>0.44500000000000001</v>
          </cell>
          <cell r="BD227">
            <v>0.43099999999999999</v>
          </cell>
          <cell r="BE227">
            <v>0.45100000000000001</v>
          </cell>
          <cell r="BF227">
            <v>0.46800000000000003</v>
          </cell>
          <cell r="BG227">
            <v>0.50600000000000001</v>
          </cell>
          <cell r="BH227">
            <v>0.45100000000000001</v>
          </cell>
          <cell r="BI227">
            <v>0.438</v>
          </cell>
          <cell r="BJ227">
            <v>0.45200000000000001</v>
          </cell>
          <cell r="BK227">
            <v>0.45300000000000001</v>
          </cell>
          <cell r="BL227">
            <v>0.48799999999999999</v>
          </cell>
          <cell r="BM227">
            <v>0.44800000000000001</v>
          </cell>
          <cell r="BN227" t="str">
            <v>ND</v>
          </cell>
          <cell r="BO227" t="str">
            <v>ND</v>
          </cell>
          <cell r="BP227">
            <v>0.45200000000000001</v>
          </cell>
          <cell r="BQ227" t="str">
            <v>ND</v>
          </cell>
          <cell r="BR227" t="str">
            <v>ND</v>
          </cell>
          <cell r="BS227" t="str">
            <v>ND</v>
          </cell>
          <cell r="BT227">
            <v>0.44700000000000001</v>
          </cell>
          <cell r="BU227">
            <v>0.45100000000000001</v>
          </cell>
          <cell r="BV227">
            <v>0.499</v>
          </cell>
          <cell r="BW227">
            <v>0.45100000000000001</v>
          </cell>
          <cell r="BX227">
            <v>0.42499999999999999</v>
          </cell>
          <cell r="BY227">
            <v>0.443</v>
          </cell>
          <cell r="BZ227">
            <v>0.45</v>
          </cell>
          <cell r="CA227">
            <v>0.49099999999999999</v>
          </cell>
          <cell r="CB227">
            <v>0.439</v>
          </cell>
          <cell r="CC227">
            <v>0.41699999999999998</v>
          </cell>
          <cell r="CD227">
            <v>0.42699999999999999</v>
          </cell>
          <cell r="CE227">
            <v>0.439</v>
          </cell>
          <cell r="CF227">
            <v>0.48199999999999998</v>
          </cell>
          <cell r="CG227">
            <v>0.42699999999999999</v>
          </cell>
          <cell r="CH227">
            <v>0.41099999999999998</v>
          </cell>
        </row>
        <row r="228">
          <cell r="B228" t="str">
            <v>Patient days</v>
          </cell>
          <cell r="D228" t="str">
            <v>ND</v>
          </cell>
          <cell r="E228" t="str">
            <v>ND</v>
          </cell>
          <cell r="F228" t="str">
            <v>ND</v>
          </cell>
          <cell r="G228" t="str">
            <v>ND</v>
          </cell>
          <cell r="H228" t="str">
            <v>ND</v>
          </cell>
          <cell r="I228" t="str">
            <v>ND</v>
          </cell>
          <cell r="J228" t="str">
            <v>ND</v>
          </cell>
          <cell r="K228" t="str">
            <v>ND</v>
          </cell>
          <cell r="L228" t="str">
            <v>ND</v>
          </cell>
          <cell r="M228">
            <v>146021</v>
          </cell>
          <cell r="N228">
            <v>171322</v>
          </cell>
          <cell r="O228">
            <v>159801</v>
          </cell>
          <cell r="P228" t="str">
            <v>ND</v>
          </cell>
          <cell r="Q228" t="str">
            <v>ND</v>
          </cell>
          <cell r="R228">
            <v>177764</v>
          </cell>
          <cell r="S228">
            <v>201018</v>
          </cell>
          <cell r="T228">
            <v>172926</v>
          </cell>
          <cell r="U228" t="str">
            <v>ND</v>
          </cell>
          <cell r="V228" t="str">
            <v>ND</v>
          </cell>
          <cell r="W228">
            <v>196393</v>
          </cell>
          <cell r="X228">
            <v>227729</v>
          </cell>
          <cell r="Y228">
            <v>203827</v>
          </cell>
          <cell r="Z228" t="str">
            <v>ND</v>
          </cell>
          <cell r="AA228" t="str">
            <v>ND</v>
          </cell>
          <cell r="AB228">
            <v>211124</v>
          </cell>
          <cell r="AC228">
            <v>258483</v>
          </cell>
          <cell r="AD228">
            <v>235798</v>
          </cell>
          <cell r="AE228">
            <v>242274</v>
          </cell>
          <cell r="AF228">
            <v>885605</v>
          </cell>
          <cell r="AG228">
            <v>249087</v>
          </cell>
          <cell r="AH228">
            <v>273244</v>
          </cell>
          <cell r="AI228">
            <v>249387</v>
          </cell>
          <cell r="AJ228">
            <v>247147</v>
          </cell>
          <cell r="AK228">
            <v>1014645</v>
          </cell>
          <cell r="AL228">
            <v>272917</v>
          </cell>
          <cell r="AM228">
            <v>338047</v>
          </cell>
          <cell r="AN228">
            <v>297146</v>
          </cell>
          <cell r="AO228">
            <v>286861</v>
          </cell>
          <cell r="AP228">
            <v>1061891</v>
          </cell>
          <cell r="AQ228">
            <v>300366</v>
          </cell>
          <cell r="AR228">
            <v>337281</v>
          </cell>
          <cell r="AS228">
            <v>327324</v>
          </cell>
          <cell r="AT228">
            <v>305534</v>
          </cell>
          <cell r="AW228">
            <v>338047</v>
          </cell>
          <cell r="AX228">
            <v>297146</v>
          </cell>
          <cell r="AY228">
            <v>286861</v>
          </cell>
          <cell r="AZ228">
            <v>300366</v>
          </cell>
          <cell r="BA228">
            <v>1222420</v>
          </cell>
          <cell r="BB228">
            <v>337281</v>
          </cell>
          <cell r="BC228">
            <v>327324</v>
          </cell>
          <cell r="BD228">
            <v>305534</v>
          </cell>
          <cell r="BE228">
            <v>313709</v>
          </cell>
          <cell r="BF228">
            <v>1206064</v>
          </cell>
          <cell r="BG228">
            <v>360664</v>
          </cell>
          <cell r="BH228">
            <v>322925</v>
          </cell>
          <cell r="BI228">
            <v>319833</v>
          </cell>
          <cell r="BJ228">
            <v>322474</v>
          </cell>
          <cell r="BK228">
            <v>1283942</v>
          </cell>
          <cell r="BL228">
            <v>352257</v>
          </cell>
          <cell r="BM228">
            <v>323639</v>
          </cell>
          <cell r="BN228" t="str">
            <v>ND</v>
          </cell>
          <cell r="BO228" t="str">
            <v>ND</v>
          </cell>
          <cell r="BP228">
            <v>1302157</v>
          </cell>
          <cell r="BQ228" t="str">
            <v>ND</v>
          </cell>
          <cell r="BR228" t="str">
            <v>ND</v>
          </cell>
          <cell r="BS228" t="str">
            <v>ND</v>
          </cell>
          <cell r="BT228">
            <v>317953</v>
          </cell>
          <cell r="BU228">
            <v>1285504</v>
          </cell>
          <cell r="BV228">
            <v>350441</v>
          </cell>
          <cell r="BW228">
            <v>319848</v>
          </cell>
          <cell r="BX228">
            <v>306871</v>
          </cell>
          <cell r="BY228">
            <v>320560</v>
          </cell>
          <cell r="BZ228">
            <v>1283188</v>
          </cell>
          <cell r="CA228">
            <v>362393</v>
          </cell>
          <cell r="CB228">
            <v>326981</v>
          </cell>
          <cell r="CC228">
            <v>319327</v>
          </cell>
          <cell r="CD228">
            <v>342909</v>
          </cell>
          <cell r="CE228">
            <v>1350697</v>
          </cell>
          <cell r="CF228">
            <v>380543</v>
          </cell>
          <cell r="CG228">
            <v>343107</v>
          </cell>
          <cell r="CH228">
            <v>335934</v>
          </cell>
        </row>
        <row r="229">
          <cell r="B229" t="str">
            <v>Admissions</v>
          </cell>
          <cell r="D229">
            <v>31969</v>
          </cell>
          <cell r="E229">
            <v>39203</v>
          </cell>
          <cell r="F229">
            <v>46756</v>
          </cell>
          <cell r="G229">
            <v>46538</v>
          </cell>
          <cell r="H229">
            <v>54942</v>
          </cell>
          <cell r="I229">
            <v>59071</v>
          </cell>
          <cell r="J229">
            <v>75267</v>
          </cell>
          <cell r="K229">
            <v>95787</v>
          </cell>
          <cell r="L229">
            <v>105235</v>
          </cell>
          <cell r="M229">
            <v>32586</v>
          </cell>
          <cell r="N229">
            <v>37010</v>
          </cell>
          <cell r="O229">
            <v>34219</v>
          </cell>
          <cell r="P229" t="str">
            <v>ND</v>
          </cell>
          <cell r="Q229">
            <v>134285</v>
          </cell>
          <cell r="R229">
            <v>39021</v>
          </cell>
          <cell r="S229">
            <v>42669</v>
          </cell>
          <cell r="T229">
            <v>38609</v>
          </cell>
          <cell r="U229" t="str">
            <v>ND</v>
          </cell>
          <cell r="V229">
            <v>158830</v>
          </cell>
          <cell r="W229">
            <v>44486</v>
          </cell>
          <cell r="X229">
            <v>50004</v>
          </cell>
          <cell r="Y229">
            <v>45712</v>
          </cell>
          <cell r="Z229" t="str">
            <v>ND</v>
          </cell>
          <cell r="AA229">
            <v>184533</v>
          </cell>
          <cell r="AB229">
            <v>47631</v>
          </cell>
          <cell r="AC229">
            <v>56894</v>
          </cell>
          <cell r="AD229">
            <v>53468</v>
          </cell>
          <cell r="AE229">
            <v>56431</v>
          </cell>
          <cell r="AF229">
            <v>198214</v>
          </cell>
          <cell r="AG229">
            <v>57894</v>
          </cell>
          <cell r="AH229">
            <v>61145</v>
          </cell>
          <cell r="AI229">
            <v>56872</v>
          </cell>
          <cell r="AJ229">
            <v>57999</v>
          </cell>
          <cell r="AK229">
            <v>232816</v>
          </cell>
          <cell r="AL229">
            <v>63371</v>
          </cell>
          <cell r="AM229">
            <v>76067</v>
          </cell>
          <cell r="AN229">
            <v>69327</v>
          </cell>
          <cell r="AO229">
            <v>68226</v>
          </cell>
          <cell r="AP229">
            <v>247452</v>
          </cell>
          <cell r="AQ229">
            <v>70671</v>
          </cell>
          <cell r="AR229">
            <v>77064</v>
          </cell>
          <cell r="AS229">
            <v>75985</v>
          </cell>
          <cell r="AT229">
            <v>72740</v>
          </cell>
          <cell r="AW229">
            <v>76067</v>
          </cell>
          <cell r="AX229">
            <v>69327</v>
          </cell>
          <cell r="AY229">
            <v>68226</v>
          </cell>
          <cell r="AZ229">
            <v>70671</v>
          </cell>
          <cell r="BA229">
            <v>284291</v>
          </cell>
          <cell r="BB229">
            <v>77064</v>
          </cell>
          <cell r="BC229">
            <v>75985</v>
          </cell>
          <cell r="BD229">
            <v>72740</v>
          </cell>
          <cell r="BE229">
            <v>74165</v>
          </cell>
          <cell r="BF229">
            <v>281652</v>
          </cell>
          <cell r="BG229">
            <v>82473</v>
          </cell>
          <cell r="BH229">
            <v>75770</v>
          </cell>
          <cell r="BI229">
            <v>76013</v>
          </cell>
          <cell r="BJ229">
            <v>76600</v>
          </cell>
          <cell r="BK229">
            <v>300702</v>
          </cell>
          <cell r="BL229">
            <v>81997</v>
          </cell>
          <cell r="BM229">
            <v>76757</v>
          </cell>
          <cell r="BN229" t="str">
            <v>ND</v>
          </cell>
          <cell r="BO229" t="str">
            <v>ND</v>
          </cell>
          <cell r="BP229">
            <v>308103</v>
          </cell>
          <cell r="BQ229" t="str">
            <v>ND</v>
          </cell>
          <cell r="BR229" t="str">
            <v>ND</v>
          </cell>
          <cell r="BS229" t="str">
            <v>ND</v>
          </cell>
          <cell r="BT229">
            <v>75096</v>
          </cell>
          <cell r="BU229">
            <v>300339</v>
          </cell>
          <cell r="BV229">
            <v>81788</v>
          </cell>
          <cell r="BW229">
            <v>76120</v>
          </cell>
          <cell r="BX229">
            <v>74890</v>
          </cell>
          <cell r="BY229">
            <v>76515</v>
          </cell>
          <cell r="BZ229">
            <v>306770</v>
          </cell>
          <cell r="CA229">
            <v>84766</v>
          </cell>
          <cell r="CB229">
            <v>79028</v>
          </cell>
          <cell r="CC229">
            <v>77626</v>
          </cell>
          <cell r="CD229">
            <v>82734</v>
          </cell>
          <cell r="CE229">
            <v>323917</v>
          </cell>
          <cell r="CF229">
            <v>88143</v>
          </cell>
          <cell r="CG229">
            <v>80753</v>
          </cell>
          <cell r="CH229">
            <v>81411</v>
          </cell>
        </row>
        <row r="230">
          <cell r="B230" t="str">
            <v>Adjusted admissions</v>
          </cell>
          <cell r="D230" t="str">
            <v>ND</v>
          </cell>
          <cell r="E230" t="str">
            <v>ND</v>
          </cell>
          <cell r="F230" t="str">
            <v>ND</v>
          </cell>
          <cell r="G230" t="str">
            <v>ND</v>
          </cell>
          <cell r="H230" t="str">
            <v>ND</v>
          </cell>
          <cell r="I230" t="str">
            <v>ND</v>
          </cell>
          <cell r="J230" t="str">
            <v>ND</v>
          </cell>
          <cell r="K230" t="str">
            <v>ND</v>
          </cell>
          <cell r="L230" t="str">
            <v>ND</v>
          </cell>
          <cell r="M230" t="str">
            <v>ND</v>
          </cell>
          <cell r="N230" t="str">
            <v>ND</v>
          </cell>
          <cell r="O230" t="str">
            <v>ND</v>
          </cell>
          <cell r="P230" t="str">
            <v>ND</v>
          </cell>
          <cell r="Q230" t="str">
            <v>ND</v>
          </cell>
          <cell r="R230" t="str">
            <v>ND</v>
          </cell>
          <cell r="S230" t="str">
            <v>ND</v>
          </cell>
          <cell r="T230" t="str">
            <v>ND</v>
          </cell>
          <cell r="U230" t="str">
            <v>ND</v>
          </cell>
          <cell r="V230" t="str">
            <v>ND</v>
          </cell>
          <cell r="W230" t="str">
            <v>ND</v>
          </cell>
          <cell r="X230" t="str">
            <v>ND</v>
          </cell>
          <cell r="Y230">
            <v>71703</v>
          </cell>
          <cell r="Z230" t="str">
            <v>ND</v>
          </cell>
          <cell r="AA230" t="str">
            <v>ND</v>
          </cell>
          <cell r="AB230">
            <v>76478</v>
          </cell>
          <cell r="AC230">
            <v>88823</v>
          </cell>
          <cell r="AD230">
            <v>85682</v>
          </cell>
          <cell r="AE230">
            <v>90706</v>
          </cell>
          <cell r="AF230">
            <v>316239</v>
          </cell>
          <cell r="AG230">
            <v>91433</v>
          </cell>
          <cell r="AH230">
            <v>94692</v>
          </cell>
          <cell r="AI230">
            <v>91497</v>
          </cell>
          <cell r="AJ230">
            <v>94050</v>
          </cell>
          <cell r="AK230">
            <v>370531</v>
          </cell>
          <cell r="AL230">
            <v>100186</v>
          </cell>
          <cell r="AM230">
            <v>121044</v>
          </cell>
          <cell r="AN230">
            <v>114885</v>
          </cell>
          <cell r="AO230">
            <v>113331</v>
          </cell>
          <cell r="AP230">
            <v>394830</v>
          </cell>
          <cell r="AQ230">
            <v>115812</v>
          </cell>
          <cell r="AR230">
            <v>125569</v>
          </cell>
          <cell r="AS230">
            <v>128367</v>
          </cell>
          <cell r="AT230">
            <v>123565</v>
          </cell>
          <cell r="AW230">
            <v>121044</v>
          </cell>
          <cell r="AX230">
            <v>114885</v>
          </cell>
          <cell r="AY230">
            <v>113331</v>
          </cell>
          <cell r="AZ230">
            <v>115812</v>
          </cell>
          <cell r="BA230">
            <v>465072</v>
          </cell>
          <cell r="BB230">
            <v>125569</v>
          </cell>
          <cell r="BC230">
            <v>128367</v>
          </cell>
          <cell r="BD230">
            <v>123565</v>
          </cell>
          <cell r="BE230">
            <v>122949</v>
          </cell>
          <cell r="BF230">
            <v>465041</v>
          </cell>
          <cell r="BG230">
            <v>134480</v>
          </cell>
          <cell r="BH230">
            <v>127578</v>
          </cell>
          <cell r="BI230">
            <v>129411</v>
          </cell>
          <cell r="BJ230">
            <v>129921</v>
          </cell>
          <cell r="BK230">
            <v>503375</v>
          </cell>
          <cell r="BL230">
            <v>136721</v>
          </cell>
          <cell r="BM230">
            <v>131684</v>
          </cell>
          <cell r="BN230" t="str">
            <v>ND</v>
          </cell>
          <cell r="BO230" t="str">
            <v>ND</v>
          </cell>
          <cell r="BP230">
            <v>528828</v>
          </cell>
          <cell r="BQ230" t="str">
            <v>ND</v>
          </cell>
          <cell r="BR230" t="str">
            <v>ND</v>
          </cell>
          <cell r="BS230" t="str">
            <v>ND</v>
          </cell>
          <cell r="BT230">
            <v>129419</v>
          </cell>
          <cell r="BU230">
            <v>519407</v>
          </cell>
          <cell r="BV230">
            <v>137480</v>
          </cell>
          <cell r="BW230">
            <v>132719</v>
          </cell>
          <cell r="BX230">
            <v>135033</v>
          </cell>
          <cell r="BY230">
            <v>134977</v>
          </cell>
          <cell r="BZ230">
            <v>534917</v>
          </cell>
          <cell r="CA230">
            <v>147365</v>
          </cell>
          <cell r="CB230">
            <v>143338</v>
          </cell>
          <cell r="CC230">
            <v>144133</v>
          </cell>
          <cell r="CD230">
            <v>151548</v>
          </cell>
          <cell r="CE230">
            <v>586060</v>
          </cell>
          <cell r="CF230">
            <v>159044</v>
          </cell>
          <cell r="CG230">
            <v>152216</v>
          </cell>
          <cell r="CH230">
            <v>155097</v>
          </cell>
        </row>
        <row r="231">
          <cell r="B231" t="str">
            <v>Average length of stay</v>
          </cell>
          <cell r="D231" t="str">
            <v>ND</v>
          </cell>
          <cell r="E231" t="str">
            <v>ND</v>
          </cell>
          <cell r="F231" t="str">
            <v>ND</v>
          </cell>
          <cell r="G231" t="str">
            <v>ND</v>
          </cell>
          <cell r="H231" t="str">
            <v>ND</v>
          </cell>
          <cell r="I231" t="str">
            <v>ND</v>
          </cell>
          <cell r="J231" t="str">
            <v>ND</v>
          </cell>
          <cell r="K231" t="str">
            <v>ND</v>
          </cell>
          <cell r="L231" t="str">
            <v>ND</v>
          </cell>
          <cell r="M231" t="str">
            <v>ND</v>
          </cell>
          <cell r="N231" t="str">
            <v>ND</v>
          </cell>
          <cell r="O231" t="str">
            <v>ND</v>
          </cell>
          <cell r="P231" t="str">
            <v>ND</v>
          </cell>
          <cell r="Q231" t="str">
            <v>ND</v>
          </cell>
          <cell r="R231" t="str">
            <v>ND</v>
          </cell>
          <cell r="S231" t="str">
            <v>ND</v>
          </cell>
          <cell r="T231" t="str">
            <v>ND</v>
          </cell>
          <cell r="U231" t="str">
            <v>ND</v>
          </cell>
          <cell r="V231" t="str">
            <v>ND</v>
          </cell>
          <cell r="W231" t="str">
            <v>ND</v>
          </cell>
          <cell r="X231" t="str">
            <v>ND</v>
          </cell>
          <cell r="Y231" t="str">
            <v>ND</v>
          </cell>
          <cell r="Z231" t="str">
            <v>ND</v>
          </cell>
          <cell r="AA231" t="str">
            <v>ND</v>
          </cell>
          <cell r="AB231" t="str">
            <v>ND</v>
          </cell>
          <cell r="AC231">
            <v>4.5</v>
          </cell>
          <cell r="AD231" t="str">
            <v>ND</v>
          </cell>
          <cell r="AE231">
            <v>4.3</v>
          </cell>
          <cell r="AF231">
            <v>4.5</v>
          </cell>
          <cell r="AG231">
            <v>4.3</v>
          </cell>
          <cell r="AH231">
            <v>4.5</v>
          </cell>
          <cell r="AI231">
            <v>4.4000000000000004</v>
          </cell>
          <cell r="AJ231">
            <v>4.3</v>
          </cell>
          <cell r="AK231">
            <v>4.4000000000000004</v>
          </cell>
          <cell r="AL231">
            <v>4.3</v>
          </cell>
          <cell r="AM231">
            <v>4.4000000000000004</v>
          </cell>
          <cell r="AN231">
            <v>4.3</v>
          </cell>
          <cell r="AO231">
            <v>4.2</v>
          </cell>
          <cell r="AP231">
            <v>4.3</v>
          </cell>
          <cell r="AQ231" t="str">
            <v>ND</v>
          </cell>
          <cell r="AR231">
            <v>4.4000000000000004</v>
          </cell>
          <cell r="AS231">
            <v>4.3</v>
          </cell>
          <cell r="AT231">
            <v>4.2</v>
          </cell>
          <cell r="AW231">
            <v>4.4000000000000004</v>
          </cell>
          <cell r="AX231">
            <v>4.3</v>
          </cell>
          <cell r="AY231">
            <v>4.2</v>
          </cell>
          <cell r="AZ231" t="str">
            <v>ND</v>
          </cell>
          <cell r="BB231">
            <v>4.4000000000000004</v>
          </cell>
          <cell r="BC231">
            <v>4.3</v>
          </cell>
          <cell r="BD231">
            <v>4.2</v>
          </cell>
          <cell r="BE231">
            <v>4.2</v>
          </cell>
          <cell r="BF231">
            <v>4.3</v>
          </cell>
          <cell r="BG231">
            <v>4.4000000000000004</v>
          </cell>
          <cell r="BH231">
            <v>4.3</v>
          </cell>
          <cell r="BI231">
            <v>4.2</v>
          </cell>
          <cell r="BJ231">
            <v>4.2</v>
          </cell>
          <cell r="BK231">
            <v>4.3</v>
          </cell>
          <cell r="BL231">
            <v>4.3</v>
          </cell>
          <cell r="BM231">
            <v>4.2</v>
          </cell>
          <cell r="BN231" t="str">
            <v>ND</v>
          </cell>
          <cell r="BO231" t="str">
            <v>ND</v>
          </cell>
          <cell r="BP231" t="str">
            <v>ND</v>
          </cell>
          <cell r="BQ231" t="str">
            <v>ND</v>
          </cell>
          <cell r="BR231" t="str">
            <v>ND</v>
          </cell>
          <cell r="BS231" t="str">
            <v>ND</v>
          </cell>
          <cell r="BT231">
            <v>4.2</v>
          </cell>
          <cell r="BU231">
            <v>4.3</v>
          </cell>
          <cell r="BV231">
            <v>4.3</v>
          </cell>
          <cell r="BW231">
            <v>4.2</v>
          </cell>
          <cell r="BX231">
            <v>4.0999999999999996</v>
          </cell>
          <cell r="BY231">
            <v>4.2</v>
          </cell>
          <cell r="BZ231">
            <v>4.2</v>
          </cell>
          <cell r="CA231">
            <v>4.3</v>
          </cell>
          <cell r="CB231">
            <v>4.0999999999999996</v>
          </cell>
          <cell r="CC231">
            <v>4.0999999999999996</v>
          </cell>
          <cell r="CD231">
            <v>4.0999999999999996</v>
          </cell>
          <cell r="CE231">
            <v>4.2</v>
          </cell>
          <cell r="CF231">
            <v>5</v>
          </cell>
          <cell r="CG231">
            <v>4.2</v>
          </cell>
          <cell r="CH231">
            <v>4.0999999999999996</v>
          </cell>
        </row>
        <row r="232">
          <cell r="B232" t="str">
            <v>Surgeries</v>
          </cell>
          <cell r="D232" t="str">
            <v>ND</v>
          </cell>
          <cell r="E232" t="str">
            <v>ND</v>
          </cell>
          <cell r="F232" t="str">
            <v>ND</v>
          </cell>
          <cell r="G232" t="str">
            <v>ND</v>
          </cell>
          <cell r="H232" t="str">
            <v>ND</v>
          </cell>
          <cell r="I232" t="str">
            <v>ND</v>
          </cell>
          <cell r="J232" t="str">
            <v>ND</v>
          </cell>
          <cell r="K232" t="str">
            <v>ND</v>
          </cell>
          <cell r="L232" t="str">
            <v>ND</v>
          </cell>
          <cell r="M232" t="str">
            <v>ND</v>
          </cell>
          <cell r="N232" t="str">
            <v>ND</v>
          </cell>
          <cell r="O232" t="str">
            <v>ND</v>
          </cell>
          <cell r="P232" t="str">
            <v>ND</v>
          </cell>
          <cell r="Q232" t="str">
            <v>ND</v>
          </cell>
          <cell r="R232" t="str">
            <v>ND</v>
          </cell>
          <cell r="S232" t="str">
            <v>ND</v>
          </cell>
          <cell r="T232" t="str">
            <v>ND</v>
          </cell>
          <cell r="U232" t="str">
            <v>ND</v>
          </cell>
          <cell r="V232" t="str">
            <v>ND</v>
          </cell>
          <cell r="W232" t="str">
            <v>ND</v>
          </cell>
          <cell r="X232" t="str">
            <v>ND</v>
          </cell>
          <cell r="Y232" t="str">
            <v>ND</v>
          </cell>
          <cell r="Z232" t="str">
            <v>ND</v>
          </cell>
          <cell r="AA232" t="str">
            <v>ND</v>
          </cell>
          <cell r="AB232" t="str">
            <v>ND</v>
          </cell>
          <cell r="AC232">
            <v>50734</v>
          </cell>
          <cell r="AD232" t="str">
            <v>ND</v>
          </cell>
          <cell r="AE232">
            <v>51356</v>
          </cell>
          <cell r="AF232">
            <v>187227</v>
          </cell>
          <cell r="AG232">
            <v>51684</v>
          </cell>
          <cell r="AH232">
            <v>53099</v>
          </cell>
          <cell r="AI232">
            <v>52678</v>
          </cell>
          <cell r="AJ232">
            <v>52497</v>
          </cell>
          <cell r="AK232">
            <v>209786</v>
          </cell>
          <cell r="AL232">
            <v>52775</v>
          </cell>
          <cell r="AM232">
            <v>62242</v>
          </cell>
          <cell r="AN232">
            <v>60308</v>
          </cell>
          <cell r="AO232">
            <v>59061</v>
          </cell>
          <cell r="AP232">
            <v>211420</v>
          </cell>
          <cell r="AQ232">
            <v>60728</v>
          </cell>
          <cell r="AR232">
            <v>63236</v>
          </cell>
          <cell r="AS232">
            <v>68398</v>
          </cell>
          <cell r="AT232">
            <v>66546</v>
          </cell>
          <cell r="AW232">
            <v>62242</v>
          </cell>
          <cell r="AX232">
            <v>60308</v>
          </cell>
          <cell r="AY232">
            <v>59061</v>
          </cell>
          <cell r="AZ232">
            <v>60728</v>
          </cell>
          <cell r="BA232">
            <v>242339</v>
          </cell>
          <cell r="BB232">
            <v>63236</v>
          </cell>
          <cell r="BC232">
            <v>68398</v>
          </cell>
          <cell r="BD232">
            <v>66546</v>
          </cell>
          <cell r="BE232">
            <v>65738</v>
          </cell>
          <cell r="BF232">
            <v>247627</v>
          </cell>
          <cell r="BG232">
            <v>70985</v>
          </cell>
          <cell r="BH232">
            <v>70054</v>
          </cell>
          <cell r="BI232">
            <v>68949</v>
          </cell>
          <cell r="BJ232">
            <v>68620</v>
          </cell>
          <cell r="BK232">
            <v>272983</v>
          </cell>
          <cell r="BL232">
            <v>70357</v>
          </cell>
          <cell r="BM232">
            <v>70187</v>
          </cell>
          <cell r="BN232" t="str">
            <v>ND</v>
          </cell>
          <cell r="BO232" t="str">
            <v>ND</v>
          </cell>
          <cell r="BP232">
            <v>277903</v>
          </cell>
          <cell r="BQ232" t="str">
            <v>ND</v>
          </cell>
          <cell r="BR232" t="str">
            <v>ND</v>
          </cell>
          <cell r="BS232" t="str">
            <v>ND</v>
          </cell>
          <cell r="BT232">
            <v>66450</v>
          </cell>
          <cell r="BU232">
            <v>269712</v>
          </cell>
          <cell r="BV232">
            <v>72963</v>
          </cell>
          <cell r="BW232">
            <v>73152</v>
          </cell>
          <cell r="BX232">
            <v>71317</v>
          </cell>
          <cell r="BY232">
            <v>70824</v>
          </cell>
          <cell r="BZ232">
            <v>282680</v>
          </cell>
          <cell r="CA232">
            <v>78126</v>
          </cell>
          <cell r="CB232">
            <v>78116</v>
          </cell>
          <cell r="CC232">
            <v>77922</v>
          </cell>
          <cell r="CD232">
            <v>80869</v>
          </cell>
          <cell r="CE232">
            <v>314564</v>
          </cell>
          <cell r="CF232">
            <v>82824</v>
          </cell>
          <cell r="CG232">
            <v>82509</v>
          </cell>
          <cell r="CH232">
            <v>81665</v>
          </cell>
        </row>
        <row r="233">
          <cell r="B233" t="str">
            <v>Emergency room visits</v>
          </cell>
          <cell r="D233" t="str">
            <v>ND</v>
          </cell>
          <cell r="E233" t="str">
            <v>ND</v>
          </cell>
          <cell r="F233" t="str">
            <v>ND</v>
          </cell>
          <cell r="G233" t="str">
            <v>ND</v>
          </cell>
          <cell r="H233" t="str">
            <v>ND</v>
          </cell>
          <cell r="I233" t="str">
            <v>ND</v>
          </cell>
          <cell r="J233" t="str">
            <v>ND</v>
          </cell>
          <cell r="K233" t="str">
            <v>ND</v>
          </cell>
          <cell r="L233" t="str">
            <v>ND</v>
          </cell>
          <cell r="M233" t="str">
            <v>ND</v>
          </cell>
          <cell r="N233" t="str">
            <v>ND</v>
          </cell>
          <cell r="O233" t="str">
            <v>ND</v>
          </cell>
          <cell r="P233" t="str">
            <v>ND</v>
          </cell>
          <cell r="Q233" t="str">
            <v>ND</v>
          </cell>
          <cell r="R233" t="str">
            <v>ND</v>
          </cell>
          <cell r="S233" t="str">
            <v>ND</v>
          </cell>
          <cell r="T233" t="str">
            <v>ND</v>
          </cell>
          <cell r="U233" t="str">
            <v>ND</v>
          </cell>
          <cell r="V233" t="str">
            <v>ND</v>
          </cell>
          <cell r="W233" t="str">
            <v>ND</v>
          </cell>
          <cell r="X233" t="str">
            <v>ND</v>
          </cell>
          <cell r="Y233" t="str">
            <v>ND</v>
          </cell>
          <cell r="Z233" t="str">
            <v>ND</v>
          </cell>
          <cell r="AA233" t="str">
            <v>ND</v>
          </cell>
          <cell r="AB233" t="str">
            <v>ND</v>
          </cell>
          <cell r="AC233" t="str">
            <v>ND</v>
          </cell>
          <cell r="AD233" t="str">
            <v>ND</v>
          </cell>
          <cell r="AE233" t="str">
            <v>ND</v>
          </cell>
          <cell r="AF233" t="str">
            <v>ND</v>
          </cell>
          <cell r="AG233" t="str">
            <v>ND</v>
          </cell>
          <cell r="AH233" t="str">
            <v>ND</v>
          </cell>
          <cell r="AI233" t="str">
            <v>ND</v>
          </cell>
          <cell r="AJ233" t="str">
            <v>ND</v>
          </cell>
          <cell r="AK233" t="str">
            <v>ND</v>
          </cell>
          <cell r="AL233" t="str">
            <v>ND</v>
          </cell>
          <cell r="AM233" t="str">
            <v>ND</v>
          </cell>
          <cell r="AN233" t="str">
            <v>ND</v>
          </cell>
          <cell r="AO233" t="str">
            <v>ND</v>
          </cell>
          <cell r="AP233" t="str">
            <v>ND</v>
          </cell>
          <cell r="AQ233" t="str">
            <v>ND</v>
          </cell>
          <cell r="AR233" t="str">
            <v>ND</v>
          </cell>
          <cell r="AS233" t="str">
            <v>ND</v>
          </cell>
          <cell r="AT233" t="str">
            <v>ND</v>
          </cell>
          <cell r="AW233" t="str">
            <v>ND</v>
          </cell>
          <cell r="AX233" t="str">
            <v>ND</v>
          </cell>
          <cell r="AY233" t="str">
            <v>ND</v>
          </cell>
          <cell r="AZ233" t="str">
            <v>ND</v>
          </cell>
          <cell r="BB233" t="str">
            <v>ND</v>
          </cell>
          <cell r="BC233" t="str">
            <v>ND</v>
          </cell>
          <cell r="BD233" t="str">
            <v>ND</v>
          </cell>
          <cell r="BE233" t="str">
            <v>ND</v>
          </cell>
          <cell r="BF233">
            <v>1124758</v>
          </cell>
          <cell r="BG233">
            <v>322534</v>
          </cell>
          <cell r="BH233">
            <v>317391</v>
          </cell>
          <cell r="BI233">
            <v>324262</v>
          </cell>
          <cell r="BJ233" t="str">
            <v>ND</v>
          </cell>
          <cell r="BK233">
            <v>1226573</v>
          </cell>
          <cell r="BL233">
            <v>335101</v>
          </cell>
          <cell r="BM233">
            <v>325367</v>
          </cell>
          <cell r="BN233" t="str">
            <v>ND</v>
          </cell>
          <cell r="BO233" t="str">
            <v>ND</v>
          </cell>
          <cell r="BP233">
            <v>1313472</v>
          </cell>
          <cell r="BQ233" t="str">
            <v>ND</v>
          </cell>
          <cell r="BR233" t="str">
            <v>ND</v>
          </cell>
          <cell r="BS233" t="str">
            <v>ND</v>
          </cell>
          <cell r="BT233">
            <v>316746</v>
          </cell>
          <cell r="BU233">
            <v>1300216</v>
          </cell>
          <cell r="BV233">
            <v>342640</v>
          </cell>
          <cell r="BW233">
            <v>336117</v>
          </cell>
          <cell r="BX233">
            <v>355213</v>
          </cell>
          <cell r="BY233">
            <v>337909</v>
          </cell>
          <cell r="BZ233">
            <v>1360595</v>
          </cell>
          <cell r="CA233">
            <v>343256</v>
          </cell>
          <cell r="CB233">
            <v>345077</v>
          </cell>
          <cell r="CC233">
            <v>356935</v>
          </cell>
          <cell r="CD233">
            <v>370821</v>
          </cell>
          <cell r="CE233">
            <v>1413831</v>
          </cell>
          <cell r="CF233">
            <v>390737</v>
          </cell>
          <cell r="CG233">
            <v>378125</v>
          </cell>
          <cell r="CH233">
            <v>376539</v>
          </cell>
        </row>
        <row r="234">
          <cell r="B234" t="str">
            <v>Net revenue (in thousands)</v>
          </cell>
          <cell r="D234" t="str">
            <v>ND</v>
          </cell>
          <cell r="E234" t="str">
            <v>ND</v>
          </cell>
          <cell r="F234" t="str">
            <v>ND</v>
          </cell>
          <cell r="G234" t="str">
            <v>ND</v>
          </cell>
          <cell r="H234" t="str">
            <v>ND</v>
          </cell>
          <cell r="I234" t="str">
            <v>ND</v>
          </cell>
          <cell r="J234" t="str">
            <v>ND</v>
          </cell>
          <cell r="K234" t="str">
            <v>ND</v>
          </cell>
          <cell r="L234" t="str">
            <v>ND</v>
          </cell>
          <cell r="M234" t="str">
            <v>ND</v>
          </cell>
          <cell r="N234" t="str">
            <v>ND</v>
          </cell>
          <cell r="O234" t="str">
            <v>ND</v>
          </cell>
          <cell r="P234" t="str">
            <v>ND</v>
          </cell>
          <cell r="Q234" t="str">
            <v>ND</v>
          </cell>
          <cell r="R234" t="str">
            <v>ND</v>
          </cell>
          <cell r="S234" t="str">
            <v>ND</v>
          </cell>
          <cell r="T234" t="str">
            <v>ND</v>
          </cell>
          <cell r="U234" t="str">
            <v>ND</v>
          </cell>
          <cell r="V234" t="str">
            <v>ND</v>
          </cell>
          <cell r="W234" t="str">
            <v>ND</v>
          </cell>
          <cell r="X234" t="str">
            <v>ND</v>
          </cell>
          <cell r="Y234" t="str">
            <v>ND</v>
          </cell>
          <cell r="Z234" t="str">
            <v>ND</v>
          </cell>
          <cell r="AA234" t="str">
            <v>ND</v>
          </cell>
          <cell r="AB234" t="str">
            <v>ND</v>
          </cell>
          <cell r="AC234">
            <v>576335</v>
          </cell>
          <cell r="AD234" t="str">
            <v>ND</v>
          </cell>
          <cell r="AE234">
            <v>589310</v>
          </cell>
          <cell r="AF234" t="str">
            <v>ND</v>
          </cell>
          <cell r="AG234">
            <v>603940</v>
          </cell>
          <cell r="AH234">
            <v>640868</v>
          </cell>
          <cell r="AI234">
            <v>641155</v>
          </cell>
          <cell r="AJ234">
            <v>633633</v>
          </cell>
          <cell r="AK234" t="str">
            <v>ND</v>
          </cell>
          <cell r="AL234" t="str">
            <v>ND</v>
          </cell>
          <cell r="AM234">
            <v>827792</v>
          </cell>
          <cell r="AN234">
            <v>808114</v>
          </cell>
          <cell r="AO234">
            <v>780604</v>
          </cell>
          <cell r="AP234">
            <v>2799034</v>
          </cell>
          <cell r="AQ234" t="str">
            <v>ND</v>
          </cell>
          <cell r="AR234">
            <v>859833</v>
          </cell>
          <cell r="AS234">
            <v>921712</v>
          </cell>
          <cell r="AT234">
            <v>885447</v>
          </cell>
          <cell r="AW234">
            <v>827792</v>
          </cell>
          <cell r="AX234">
            <v>808114</v>
          </cell>
          <cell r="AY234">
            <v>780604</v>
          </cell>
          <cell r="AZ234">
            <v>809002</v>
          </cell>
          <cell r="BA234">
            <v>3225512</v>
          </cell>
          <cell r="BB234">
            <v>859833</v>
          </cell>
          <cell r="BC234">
            <v>921712</v>
          </cell>
          <cell r="BD234">
            <v>885447</v>
          </cell>
          <cell r="BE234">
            <v>911802</v>
          </cell>
          <cell r="BF234">
            <v>3328424</v>
          </cell>
          <cell r="BG234">
            <v>999397</v>
          </cell>
          <cell r="BH234">
            <v>958382</v>
          </cell>
          <cell r="BI234">
            <v>989718</v>
          </cell>
          <cell r="BJ234">
            <v>1023512</v>
          </cell>
          <cell r="BK234">
            <v>3831031</v>
          </cell>
          <cell r="BL234">
            <v>1099462</v>
          </cell>
          <cell r="BM234">
            <v>1064104</v>
          </cell>
          <cell r="BN234">
            <v>1046816</v>
          </cell>
          <cell r="BO234">
            <v>1076483</v>
          </cell>
          <cell r="BP234">
            <v>4244161</v>
          </cell>
          <cell r="BQ234" t="str">
            <v>ND</v>
          </cell>
          <cell r="BR234" t="str">
            <v>ND</v>
          </cell>
          <cell r="BS234" t="str">
            <v>ND</v>
          </cell>
          <cell r="BT234">
            <v>1089918</v>
          </cell>
          <cell r="BU234">
            <v>4360466</v>
          </cell>
          <cell r="BV234">
            <v>1164705</v>
          </cell>
          <cell r="BW234">
            <v>1131765</v>
          </cell>
          <cell r="BX234">
            <v>1121903</v>
          </cell>
          <cell r="BY234">
            <v>1184502</v>
          </cell>
          <cell r="BZ234">
            <v>4556809</v>
          </cell>
          <cell r="CA234">
            <v>1271744</v>
          </cell>
          <cell r="CB234">
            <v>1230101</v>
          </cell>
          <cell r="CC234">
            <v>1250362</v>
          </cell>
          <cell r="CD234">
            <v>1346549</v>
          </cell>
          <cell r="CE234">
            <v>5092166</v>
          </cell>
          <cell r="CF234">
            <v>1254760</v>
          </cell>
          <cell r="CG234">
            <v>1224566</v>
          </cell>
          <cell r="CH234">
            <v>1219622</v>
          </cell>
        </row>
        <row r="235">
          <cell r="B235" t="str">
            <v>Net revenue per adjusted admission</v>
          </cell>
          <cell r="D235" t="str">
            <v>ND</v>
          </cell>
          <cell r="E235" t="str">
            <v>ND</v>
          </cell>
          <cell r="F235" t="str">
            <v>ND</v>
          </cell>
          <cell r="G235" t="str">
            <v>ND</v>
          </cell>
          <cell r="H235" t="str">
            <v>ND</v>
          </cell>
          <cell r="I235" t="str">
            <v>ND</v>
          </cell>
          <cell r="J235" t="str">
            <v>ND</v>
          </cell>
          <cell r="K235" t="str">
            <v>ND</v>
          </cell>
          <cell r="L235" t="str">
            <v>ND</v>
          </cell>
          <cell r="M235" t="str">
            <v>ND</v>
          </cell>
          <cell r="N235" t="str">
            <v>ND</v>
          </cell>
          <cell r="O235" t="str">
            <v>ND</v>
          </cell>
          <cell r="P235" t="str">
            <v>ND</v>
          </cell>
          <cell r="Q235" t="str">
            <v>ND</v>
          </cell>
          <cell r="R235" t="str">
            <v>ND</v>
          </cell>
          <cell r="S235" t="str">
            <v>ND</v>
          </cell>
          <cell r="T235" t="str">
            <v>ND</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W235" t="str">
            <v>ND</v>
          </cell>
          <cell r="AX235" t="str">
            <v>ND</v>
          </cell>
          <cell r="AY235" t="str">
            <v>ND</v>
          </cell>
          <cell r="AZ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v>8472</v>
          </cell>
          <cell r="BW235">
            <v>8528</v>
          </cell>
          <cell r="BX235">
            <v>8308</v>
          </cell>
          <cell r="BY235">
            <v>8776</v>
          </cell>
          <cell r="BZ235">
            <v>8519</v>
          </cell>
          <cell r="CA235">
            <v>8630</v>
          </cell>
          <cell r="CB235">
            <v>8582</v>
          </cell>
          <cell r="CC235">
            <v>8675</v>
          </cell>
          <cell r="CD235">
            <v>8885</v>
          </cell>
          <cell r="CE235">
            <v>8689</v>
          </cell>
          <cell r="CF235">
            <v>7889</v>
          </cell>
          <cell r="CG235">
            <v>8045</v>
          </cell>
          <cell r="CH235">
            <v>7864</v>
          </cell>
        </row>
        <row r="236">
          <cell r="B236" t="str">
            <v>Total inpatient revenue percentage</v>
          </cell>
          <cell r="D236" t="str">
            <v>ND</v>
          </cell>
          <cell r="E236" t="str">
            <v>ND</v>
          </cell>
          <cell r="F236" t="str">
            <v>ND</v>
          </cell>
          <cell r="G236" t="str">
            <v>ND</v>
          </cell>
          <cell r="H236" t="str">
            <v>ND</v>
          </cell>
          <cell r="I236" t="str">
            <v>ND</v>
          </cell>
          <cell r="J236" t="str">
            <v>ND</v>
          </cell>
          <cell r="K236" t="str">
            <v>ND</v>
          </cell>
          <cell r="L236" t="str">
            <v>ND</v>
          </cell>
          <cell r="M236" t="str">
            <v>ND</v>
          </cell>
          <cell r="N236" t="str">
            <v>ND</v>
          </cell>
          <cell r="O236" t="str">
            <v>ND</v>
          </cell>
          <cell r="P236" t="str">
            <v>ND</v>
          </cell>
          <cell r="Q236" t="str">
            <v>ND</v>
          </cell>
          <cell r="R236" t="str">
            <v>ND</v>
          </cell>
          <cell r="S236" t="str">
            <v>ND</v>
          </cell>
          <cell r="T236" t="str">
            <v>ND</v>
          </cell>
          <cell r="U236" t="str">
            <v>ND</v>
          </cell>
          <cell r="V236" t="str">
            <v>ND</v>
          </cell>
          <cell r="W236" t="str">
            <v>ND</v>
          </cell>
          <cell r="X236" t="str">
            <v>ND</v>
          </cell>
          <cell r="Y236" t="str">
            <v>ND</v>
          </cell>
          <cell r="Z236" t="str">
            <v>ND</v>
          </cell>
          <cell r="AA236" t="str">
            <v>ND</v>
          </cell>
          <cell r="AB236" t="str">
            <v>ND</v>
          </cell>
          <cell r="AC236">
            <v>0.56499999999999995</v>
          </cell>
          <cell r="AD236" t="str">
            <v>ND</v>
          </cell>
          <cell r="AE236">
            <v>0.56599999999999995</v>
          </cell>
          <cell r="AF236">
            <v>0.55600000000000005</v>
          </cell>
          <cell r="AG236">
            <v>0.55100000000000005</v>
          </cell>
          <cell r="AH236">
            <v>0.56000000000000005</v>
          </cell>
          <cell r="AI236">
            <v>0.51900000000000002</v>
          </cell>
          <cell r="AJ236">
            <v>0.52900000000000003</v>
          </cell>
          <cell r="AK236">
            <v>0.54</v>
          </cell>
          <cell r="AL236">
            <v>0.54100000000000004</v>
          </cell>
          <cell r="AM236">
            <v>0.54200000000000004</v>
          </cell>
          <cell r="AN236">
            <v>0.51700000000000002</v>
          </cell>
          <cell r="AO236">
            <v>0.50800000000000001</v>
          </cell>
          <cell r="AP236">
            <v>0.53400000000000003</v>
          </cell>
          <cell r="AQ236">
            <v>0.53300000000000003</v>
          </cell>
          <cell r="AR236">
            <v>0.53700000000000003</v>
          </cell>
          <cell r="AS236">
            <v>0.505</v>
          </cell>
          <cell r="AT236">
            <v>0.496</v>
          </cell>
          <cell r="AW236">
            <v>0.54200000000000004</v>
          </cell>
          <cell r="AX236">
            <v>0.51700000000000002</v>
          </cell>
          <cell r="AY236">
            <v>0.50800000000000001</v>
          </cell>
          <cell r="AZ236">
            <v>0.46700000000000003</v>
          </cell>
          <cell r="BB236">
            <v>0.53700000000000003</v>
          </cell>
          <cell r="BC236">
            <v>0.505</v>
          </cell>
          <cell r="BD236">
            <v>0.496</v>
          </cell>
          <cell r="BE236">
            <v>0.51600000000000001</v>
          </cell>
          <cell r="BF236">
            <v>0.51600000000000001</v>
          </cell>
          <cell r="BG236">
            <v>0.51</v>
          </cell>
          <cell r="BH236">
            <v>0.499</v>
          </cell>
          <cell r="BI236">
            <v>0.50900000000000001</v>
          </cell>
          <cell r="BJ236">
            <v>0.501</v>
          </cell>
          <cell r="BK236">
            <v>0.50600000000000001</v>
          </cell>
          <cell r="BL236">
            <v>0.51700000000000002</v>
          </cell>
          <cell r="BM236">
            <v>0.52</v>
          </cell>
          <cell r="BN236" t="str">
            <v>ND</v>
          </cell>
          <cell r="BO236" t="str">
            <v>ND</v>
          </cell>
          <cell r="BP236">
            <v>0.51100000000000001</v>
          </cell>
          <cell r="BQ236" t="str">
            <v>ND</v>
          </cell>
          <cell r="BR236" t="str">
            <v>ND</v>
          </cell>
          <cell r="BS236" t="str">
            <v>ND</v>
          </cell>
          <cell r="BT236">
            <v>0.52700000000000002</v>
          </cell>
          <cell r="BU236">
            <v>0.52200000000000002</v>
          </cell>
          <cell r="BV236">
            <v>0.53300000000000003</v>
          </cell>
          <cell r="BW236">
            <v>0.52800000000000002</v>
          </cell>
          <cell r="BX236">
            <v>0.498</v>
          </cell>
          <cell r="BY236">
            <v>0.497</v>
          </cell>
          <cell r="BZ236">
            <v>0.51400000000000001</v>
          </cell>
          <cell r="CA236">
            <v>0.51900000000000002</v>
          </cell>
          <cell r="CB236">
            <v>0.501</v>
          </cell>
          <cell r="CC236">
            <v>0.48499999999999999</v>
          </cell>
          <cell r="CD236">
            <v>0.495</v>
          </cell>
          <cell r="CE236">
            <v>0.5</v>
          </cell>
          <cell r="CF236">
            <v>0.504</v>
          </cell>
          <cell r="CG236">
            <v>0.47599999999999998</v>
          </cell>
          <cell r="CH236">
            <v>0.46899999999999997</v>
          </cell>
        </row>
        <row r="237">
          <cell r="B237" t="str">
            <v>Total outpatient revenue percentage</v>
          </cell>
          <cell r="D237" t="str">
            <v>ND</v>
          </cell>
          <cell r="E237" t="str">
            <v>ND</v>
          </cell>
          <cell r="F237" t="str">
            <v>ND</v>
          </cell>
          <cell r="G237" t="str">
            <v>ND</v>
          </cell>
          <cell r="H237" t="str">
            <v>ND</v>
          </cell>
          <cell r="I237" t="str">
            <v>ND</v>
          </cell>
          <cell r="J237" t="str">
            <v>ND</v>
          </cell>
          <cell r="K237" t="str">
            <v>ND</v>
          </cell>
          <cell r="L237" t="str">
            <v>ND</v>
          </cell>
          <cell r="M237" t="str">
            <v>ND</v>
          </cell>
          <cell r="N237" t="str">
            <v>ND</v>
          </cell>
          <cell r="O237" t="str">
            <v>ND</v>
          </cell>
          <cell r="P237" t="str">
            <v>ND</v>
          </cell>
          <cell r="Q237" t="str">
            <v>ND</v>
          </cell>
          <cell r="R237" t="str">
            <v>ND</v>
          </cell>
          <cell r="S237" t="str">
            <v>ND</v>
          </cell>
          <cell r="T237" t="str">
            <v>ND</v>
          </cell>
          <cell r="U237" t="str">
            <v>ND</v>
          </cell>
          <cell r="V237" t="str">
            <v>ND</v>
          </cell>
          <cell r="W237" t="str">
            <v>ND</v>
          </cell>
          <cell r="X237" t="str">
            <v>ND</v>
          </cell>
          <cell r="Y237" t="str">
            <v>ND</v>
          </cell>
          <cell r="Z237" t="str">
            <v>ND</v>
          </cell>
          <cell r="AA237" t="str">
            <v>ND</v>
          </cell>
          <cell r="AB237" t="str">
            <v>ND</v>
          </cell>
          <cell r="AC237">
            <v>0.435</v>
          </cell>
          <cell r="AD237" t="str">
            <v>ND</v>
          </cell>
          <cell r="AE237">
            <v>0.434</v>
          </cell>
          <cell r="AF237">
            <v>0.44400000000000001</v>
          </cell>
          <cell r="AG237">
            <v>0.44900000000000001</v>
          </cell>
          <cell r="AH237">
            <v>0.44</v>
          </cell>
          <cell r="AI237">
            <v>0.48099999999999998</v>
          </cell>
          <cell r="AJ237">
            <v>0.47099999999999997</v>
          </cell>
          <cell r="AK237">
            <v>0.46</v>
          </cell>
          <cell r="AL237">
            <v>0.45900000000000002</v>
          </cell>
          <cell r="AM237">
            <v>0.45800000000000002</v>
          </cell>
          <cell r="AN237">
            <v>0.48299999999999998</v>
          </cell>
          <cell r="AO237">
            <v>0.49199999999999999</v>
          </cell>
          <cell r="AP237">
            <v>0.46600000000000003</v>
          </cell>
          <cell r="AQ237">
            <v>0.46700000000000003</v>
          </cell>
          <cell r="AR237">
            <v>0.46300000000000002</v>
          </cell>
          <cell r="AS237">
            <v>0.495</v>
          </cell>
          <cell r="AT237">
            <v>0.504</v>
          </cell>
          <cell r="AW237">
            <v>0.45800000000000002</v>
          </cell>
          <cell r="AX237">
            <v>0.48299999999999998</v>
          </cell>
          <cell r="AY237">
            <v>0.49199999999999999</v>
          </cell>
          <cell r="AZ237">
            <v>0.53300000000000003</v>
          </cell>
          <cell r="BB237">
            <v>0.46300000000000002</v>
          </cell>
          <cell r="BC237">
            <v>0.495</v>
          </cell>
          <cell r="BD237">
            <v>0.504</v>
          </cell>
          <cell r="BE237">
            <v>0.48399999999999999</v>
          </cell>
          <cell r="BF237">
            <v>0.48399999999999999</v>
          </cell>
          <cell r="BG237">
            <v>0.49</v>
          </cell>
          <cell r="BH237">
            <v>0.501</v>
          </cell>
          <cell r="BI237">
            <v>0.49099999999999999</v>
          </cell>
          <cell r="BJ237">
            <v>0.499</v>
          </cell>
          <cell r="BK237">
            <v>0.49399999999999999</v>
          </cell>
          <cell r="BL237">
            <v>0.48299999999999998</v>
          </cell>
          <cell r="BM237">
            <v>0.48</v>
          </cell>
          <cell r="BN237" t="str">
            <v>ND</v>
          </cell>
          <cell r="BO237" t="str">
            <v>ND</v>
          </cell>
          <cell r="BP237">
            <v>0.48899999999999999</v>
          </cell>
          <cell r="BQ237" t="str">
            <v>ND</v>
          </cell>
          <cell r="BR237" t="str">
            <v>ND</v>
          </cell>
          <cell r="BS237" t="str">
            <v>ND</v>
          </cell>
          <cell r="BT237">
            <v>0.47299999999999998</v>
          </cell>
          <cell r="BU237">
            <v>0.47799999999999998</v>
          </cell>
          <cell r="BV237">
            <v>0.46700000000000003</v>
          </cell>
          <cell r="BW237">
            <v>0.47199999999999998</v>
          </cell>
          <cell r="BX237">
            <v>0.502</v>
          </cell>
          <cell r="BY237">
            <v>0.503</v>
          </cell>
          <cell r="BZ237">
            <v>0.48599999999999999</v>
          </cell>
          <cell r="CA237">
            <v>0.48099999999999998</v>
          </cell>
          <cell r="CB237">
            <v>0.499</v>
          </cell>
          <cell r="CC237">
            <v>0.51500000000000001</v>
          </cell>
          <cell r="CD237">
            <v>0.505</v>
          </cell>
          <cell r="CE237">
            <v>0.5</v>
          </cell>
          <cell r="CF237">
            <v>0.496</v>
          </cell>
          <cell r="CG237">
            <v>0.52400000000000002</v>
          </cell>
          <cell r="CH237">
            <v>0.53100000000000003</v>
          </cell>
        </row>
        <row r="239">
          <cell r="B239" t="str">
            <v>Net revenue</v>
          </cell>
          <cell r="D239">
            <v>211793</v>
          </cell>
          <cell r="E239">
            <v>245247</v>
          </cell>
          <cell r="F239">
            <v>301883</v>
          </cell>
          <cell r="G239">
            <v>346767</v>
          </cell>
          <cell r="H239">
            <v>438366</v>
          </cell>
          <cell r="I239">
            <v>531094</v>
          </cell>
          <cell r="J239">
            <v>714317</v>
          </cell>
          <cell r="K239">
            <v>895482</v>
          </cell>
          <cell r="L239">
            <v>1138800</v>
          </cell>
          <cell r="M239">
            <v>305500</v>
          </cell>
          <cell r="N239">
            <v>339700</v>
          </cell>
          <cell r="O239">
            <v>352500</v>
          </cell>
          <cell r="P239" t="str">
            <v>ND</v>
          </cell>
          <cell r="Q239">
            <v>1355700</v>
          </cell>
          <cell r="R239">
            <v>370100</v>
          </cell>
          <cell r="S239">
            <v>408700</v>
          </cell>
          <cell r="T239">
            <v>391100</v>
          </cell>
          <cell r="U239" t="str">
            <v>ND</v>
          </cell>
          <cell r="V239">
            <v>1577800</v>
          </cell>
          <cell r="W239">
            <v>434200</v>
          </cell>
          <cell r="X239">
            <v>481100</v>
          </cell>
          <cell r="Y239">
            <v>473200</v>
          </cell>
          <cell r="Z239" t="str">
            <v>ND</v>
          </cell>
          <cell r="AA239">
            <v>1879800</v>
          </cell>
          <cell r="AB239">
            <v>495800</v>
          </cell>
          <cell r="AC239">
            <v>579900</v>
          </cell>
          <cell r="AD239">
            <v>592500</v>
          </cell>
          <cell r="AE239">
            <v>594356</v>
          </cell>
          <cell r="AF239">
            <v>2262600</v>
          </cell>
          <cell r="AG239">
            <v>609419</v>
          </cell>
          <cell r="AH239">
            <v>646472</v>
          </cell>
          <cell r="AI239">
            <v>647127</v>
          </cell>
          <cell r="AJ239">
            <v>657558</v>
          </cell>
          <cell r="AK239">
            <v>2560576</v>
          </cell>
          <cell r="AL239">
            <v>756553</v>
          </cell>
          <cell r="AM239">
            <v>833907</v>
          </cell>
          <cell r="AN239">
            <v>817341</v>
          </cell>
          <cell r="AO239">
            <v>789661</v>
          </cell>
          <cell r="AP239">
            <v>3174832</v>
          </cell>
          <cell r="AR239">
            <v>908159</v>
          </cell>
          <cell r="AS239">
            <v>944883</v>
          </cell>
          <cell r="AT239">
            <v>902707</v>
          </cell>
          <cell r="AW239">
            <v>833907</v>
          </cell>
          <cell r="AX239">
            <v>817341</v>
          </cell>
          <cell r="AY239">
            <v>789661</v>
          </cell>
          <cell r="AZ239">
            <v>814938</v>
          </cell>
          <cell r="BA239">
            <v>3255847</v>
          </cell>
          <cell r="BB239">
            <v>908159</v>
          </cell>
          <cell r="BC239">
            <v>944883</v>
          </cell>
          <cell r="BD239">
            <v>902707</v>
          </cell>
          <cell r="BE239">
            <v>917186</v>
          </cell>
          <cell r="BF239">
            <v>3599177</v>
          </cell>
          <cell r="BG239">
            <v>1009489</v>
          </cell>
          <cell r="BH239">
            <v>996866</v>
          </cell>
          <cell r="BI239">
            <v>989250</v>
          </cell>
          <cell r="BJ239">
            <v>1044599</v>
          </cell>
          <cell r="BK239">
            <v>4050425</v>
          </cell>
          <cell r="BL239">
            <v>1107336</v>
          </cell>
          <cell r="BM239">
            <v>1064104</v>
          </cell>
          <cell r="BN239">
            <v>1046816</v>
          </cell>
          <cell r="BO239">
            <v>1076483</v>
          </cell>
          <cell r="BP239">
            <v>4292687</v>
          </cell>
          <cell r="BQ239">
            <v>1152504</v>
          </cell>
          <cell r="BR239">
            <v>1105367</v>
          </cell>
          <cell r="BS239">
            <v>1060224</v>
          </cell>
          <cell r="BT239">
            <v>1089918</v>
          </cell>
          <cell r="BU239">
            <v>4360466</v>
          </cell>
          <cell r="BV239">
            <v>1164705</v>
          </cell>
          <cell r="BW239">
            <v>1131765</v>
          </cell>
          <cell r="BX239">
            <v>1121903</v>
          </cell>
          <cell r="BY239">
            <v>1184502</v>
          </cell>
          <cell r="BZ239">
            <v>4556809</v>
          </cell>
          <cell r="CA239">
            <v>1271744</v>
          </cell>
          <cell r="CB239">
            <v>1230101</v>
          </cell>
          <cell r="CC239">
            <v>1250362</v>
          </cell>
          <cell r="CD239">
            <v>1346549</v>
          </cell>
          <cell r="CE239">
            <v>5092166</v>
          </cell>
          <cell r="CF239">
            <v>1254760</v>
          </cell>
          <cell r="CG239">
            <v>1224566</v>
          </cell>
          <cell r="CH239">
            <v>1219622</v>
          </cell>
        </row>
        <row r="240">
          <cell r="B240" t="str">
            <v>Less acquisitions</v>
          </cell>
          <cell r="D240" t="str">
            <v>ND</v>
          </cell>
          <cell r="E240" t="str">
            <v>ND</v>
          </cell>
          <cell r="F240" t="str">
            <v>ND</v>
          </cell>
          <cell r="G240" t="str">
            <v>ND</v>
          </cell>
          <cell r="H240" t="str">
            <v>ND</v>
          </cell>
          <cell r="I240" t="str">
            <v>ND</v>
          </cell>
          <cell r="J240" t="str">
            <v>ND</v>
          </cell>
          <cell r="K240" t="str">
            <v>ND</v>
          </cell>
          <cell r="L240" t="str">
            <v>ND</v>
          </cell>
          <cell r="M240" t="str">
            <v>ND</v>
          </cell>
          <cell r="N240" t="str">
            <v>ND</v>
          </cell>
          <cell r="O240" t="str">
            <v>ND</v>
          </cell>
          <cell r="P240" t="str">
            <v>ND</v>
          </cell>
          <cell r="Q240" t="str">
            <v>ND</v>
          </cell>
          <cell r="R240" t="str">
            <v>ND</v>
          </cell>
          <cell r="S240" t="str">
            <v>ND</v>
          </cell>
          <cell r="T240" t="str">
            <v>ND</v>
          </cell>
          <cell r="U240" t="str">
            <v>ND</v>
          </cell>
          <cell r="V240" t="str">
            <v>ND</v>
          </cell>
          <cell r="W240" t="str">
            <v>ND</v>
          </cell>
          <cell r="X240" t="str">
            <v>ND</v>
          </cell>
          <cell r="Y240" t="str">
            <v>ND</v>
          </cell>
          <cell r="Z240" t="str">
            <v>ND</v>
          </cell>
          <cell r="AA240" t="str">
            <v>ND</v>
          </cell>
          <cell r="AB240" t="str">
            <v>ND</v>
          </cell>
          <cell r="AC240">
            <v>3613</v>
          </cell>
          <cell r="AD240" t="str">
            <v>ND</v>
          </cell>
          <cell r="AE240">
            <v>5046</v>
          </cell>
          <cell r="AF240" t="str">
            <v>ND</v>
          </cell>
          <cell r="AG240">
            <v>5479</v>
          </cell>
          <cell r="AH240">
            <v>5604</v>
          </cell>
          <cell r="AI240">
            <v>5972</v>
          </cell>
          <cell r="AJ240">
            <v>23925</v>
          </cell>
          <cell r="AK240" t="str">
            <v>ND</v>
          </cell>
          <cell r="AL240">
            <v>68727</v>
          </cell>
          <cell r="AM240">
            <v>6115</v>
          </cell>
          <cell r="AN240">
            <v>9227</v>
          </cell>
          <cell r="AO240">
            <v>9057</v>
          </cell>
          <cell r="AP240">
            <v>375798</v>
          </cell>
          <cell r="AR240">
            <v>48326</v>
          </cell>
          <cell r="AS240">
            <v>23171</v>
          </cell>
          <cell r="AT240">
            <v>17260</v>
          </cell>
          <cell r="AW240">
            <v>6115</v>
          </cell>
          <cell r="AX240">
            <v>9227</v>
          </cell>
          <cell r="AY240">
            <v>9057</v>
          </cell>
          <cell r="AZ240">
            <v>5936</v>
          </cell>
          <cell r="BA240">
            <v>30335</v>
          </cell>
          <cell r="BB240">
            <v>48326</v>
          </cell>
          <cell r="BC240">
            <v>23171</v>
          </cell>
          <cell r="BD240">
            <v>17260</v>
          </cell>
          <cell r="BE240">
            <v>5384</v>
          </cell>
          <cell r="BF240">
            <v>270753</v>
          </cell>
          <cell r="BG240">
            <v>10092</v>
          </cell>
          <cell r="BH240">
            <v>38484</v>
          </cell>
          <cell r="BI240">
            <v>-468</v>
          </cell>
          <cell r="BJ240">
            <v>21087</v>
          </cell>
          <cell r="BK240">
            <v>219394</v>
          </cell>
          <cell r="BL240">
            <v>7874</v>
          </cell>
          <cell r="BM240">
            <v>0</v>
          </cell>
          <cell r="BN240">
            <v>0</v>
          </cell>
          <cell r="BO240">
            <v>0</v>
          </cell>
          <cell r="BP240">
            <v>48526</v>
          </cell>
          <cell r="BQ240" t="str">
            <v>ND</v>
          </cell>
          <cell r="BR240" t="str">
            <v>ND</v>
          </cell>
          <cell r="BS240" t="str">
            <v>ND</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t="str">
            <v>-</v>
          </cell>
        </row>
        <row r="241">
          <cell r="B241" t="str">
            <v>Same hospital net revenue</v>
          </cell>
          <cell r="D241" t="str">
            <v>ND</v>
          </cell>
          <cell r="E241" t="str">
            <v>ND</v>
          </cell>
          <cell r="F241" t="str">
            <v>ND</v>
          </cell>
          <cell r="G241" t="str">
            <v>ND</v>
          </cell>
          <cell r="H241" t="str">
            <v>ND</v>
          </cell>
          <cell r="I241" t="str">
            <v>ND</v>
          </cell>
          <cell r="J241" t="str">
            <v>ND</v>
          </cell>
          <cell r="K241" t="str">
            <v>ND</v>
          </cell>
          <cell r="L241" t="str">
            <v>ND</v>
          </cell>
          <cell r="M241" t="str">
            <v>ND</v>
          </cell>
          <cell r="N241" t="str">
            <v>ND</v>
          </cell>
          <cell r="O241" t="str">
            <v>ND</v>
          </cell>
          <cell r="P241" t="str">
            <v>ND</v>
          </cell>
          <cell r="Q241" t="str">
            <v>ND</v>
          </cell>
          <cell r="R241" t="str">
            <v>ND</v>
          </cell>
          <cell r="S241" t="str">
            <v>ND</v>
          </cell>
          <cell r="T241" t="str">
            <v>ND</v>
          </cell>
          <cell r="U241" t="str">
            <v>ND</v>
          </cell>
          <cell r="V241" t="str">
            <v>ND</v>
          </cell>
          <cell r="W241" t="str">
            <v>ND</v>
          </cell>
          <cell r="X241" t="str">
            <v>ND</v>
          </cell>
          <cell r="Y241" t="str">
            <v>ND</v>
          </cell>
          <cell r="Z241" t="str">
            <v>ND</v>
          </cell>
          <cell r="AA241" t="str">
            <v>ND</v>
          </cell>
          <cell r="AB241" t="str">
            <v>ND</v>
          </cell>
          <cell r="AC241">
            <v>576335</v>
          </cell>
          <cell r="AD241" t="str">
            <v>ND</v>
          </cell>
          <cell r="AE241">
            <v>589310</v>
          </cell>
          <cell r="AF241" t="str">
            <v>ND</v>
          </cell>
          <cell r="AG241">
            <v>603940</v>
          </cell>
          <cell r="AH241">
            <v>640868</v>
          </cell>
          <cell r="AI241">
            <v>641155</v>
          </cell>
          <cell r="AJ241">
            <v>633633</v>
          </cell>
          <cell r="AK241" t="str">
            <v>ND</v>
          </cell>
          <cell r="AL241">
            <v>687826</v>
          </cell>
          <cell r="AM241">
            <v>827792</v>
          </cell>
          <cell r="AN241">
            <v>808114</v>
          </cell>
          <cell r="AO241">
            <v>780604</v>
          </cell>
          <cell r="AP241">
            <v>2799034</v>
          </cell>
          <cell r="AR241">
            <v>859833</v>
          </cell>
          <cell r="AS241">
            <v>921712</v>
          </cell>
          <cell r="AT241">
            <v>885447</v>
          </cell>
          <cell r="AW241">
            <v>827792</v>
          </cell>
          <cell r="AX241">
            <v>808114</v>
          </cell>
          <cell r="AY241">
            <v>780604</v>
          </cell>
          <cell r="AZ241">
            <v>809002</v>
          </cell>
          <cell r="BA241">
            <v>3225512</v>
          </cell>
          <cell r="BB241">
            <v>859833</v>
          </cell>
          <cell r="BC241">
            <v>921712</v>
          </cell>
          <cell r="BD241">
            <v>885447</v>
          </cell>
          <cell r="BE241">
            <v>911802</v>
          </cell>
          <cell r="BF241">
            <v>3328424</v>
          </cell>
          <cell r="BG241">
            <v>999397</v>
          </cell>
          <cell r="BH241">
            <v>958382</v>
          </cell>
          <cell r="BI241">
            <v>989718</v>
          </cell>
          <cell r="BJ241">
            <v>1023512</v>
          </cell>
          <cell r="BK241">
            <v>3831031</v>
          </cell>
          <cell r="BL241">
            <v>1099462</v>
          </cell>
          <cell r="BM241">
            <v>1064104</v>
          </cell>
          <cell r="BN241">
            <v>1046816</v>
          </cell>
          <cell r="BO241">
            <v>1076483</v>
          </cell>
          <cell r="BP241">
            <v>4244161</v>
          </cell>
          <cell r="BQ241" t="str">
            <v>ND</v>
          </cell>
          <cell r="BR241" t="str">
            <v>ND</v>
          </cell>
          <cell r="BS241" t="str">
            <v>ND</v>
          </cell>
          <cell r="BT241">
            <v>1089918</v>
          </cell>
          <cell r="BU241">
            <v>4360466</v>
          </cell>
          <cell r="BV241">
            <v>1164705</v>
          </cell>
          <cell r="BW241">
            <v>1131765</v>
          </cell>
          <cell r="BX241">
            <v>1121903</v>
          </cell>
          <cell r="BY241">
            <v>1184502</v>
          </cell>
          <cell r="BZ241">
            <v>4556809</v>
          </cell>
          <cell r="CA241">
            <v>1271744</v>
          </cell>
          <cell r="CB241">
            <v>1230101</v>
          </cell>
          <cell r="CC241">
            <v>1250362</v>
          </cell>
          <cell r="CD241">
            <v>1346549</v>
          </cell>
          <cell r="CE241">
            <v>5092166</v>
          </cell>
          <cell r="CF241">
            <v>1254760</v>
          </cell>
          <cell r="CG241">
            <v>1224566</v>
          </cell>
          <cell r="CH241">
            <v>1219622</v>
          </cell>
        </row>
        <row r="242">
          <cell r="B242" t="str">
            <v>Same hospital operating Adjusted EBITDA</v>
          </cell>
          <cell r="D242" t="str">
            <v>ND</v>
          </cell>
          <cell r="E242" t="str">
            <v>ND</v>
          </cell>
          <cell r="F242" t="str">
            <v>ND</v>
          </cell>
          <cell r="G242" t="str">
            <v>ND</v>
          </cell>
          <cell r="H242" t="str">
            <v>ND</v>
          </cell>
          <cell r="I242" t="str">
            <v>ND</v>
          </cell>
          <cell r="J242" t="str">
            <v>ND</v>
          </cell>
          <cell r="K242" t="str">
            <v>ND</v>
          </cell>
          <cell r="L242" t="str">
            <v>ND</v>
          </cell>
          <cell r="M242" t="str">
            <v>ND</v>
          </cell>
          <cell r="N242" t="str">
            <v>ND</v>
          </cell>
          <cell r="O242" t="str">
            <v>ND</v>
          </cell>
          <cell r="P242" t="str">
            <v>ND</v>
          </cell>
          <cell r="Q242" t="str">
            <v>ND</v>
          </cell>
          <cell r="R242" t="str">
            <v>ND</v>
          </cell>
          <cell r="S242" t="str">
            <v>ND</v>
          </cell>
          <cell r="T242" t="str">
            <v>ND</v>
          </cell>
          <cell r="U242" t="str">
            <v>ND</v>
          </cell>
          <cell r="V242" t="str">
            <v>ND</v>
          </cell>
          <cell r="W242" t="str">
            <v>ND</v>
          </cell>
          <cell r="X242" t="str">
            <v>ND</v>
          </cell>
          <cell r="Y242" t="str">
            <v>ND</v>
          </cell>
          <cell r="Z242" t="str">
            <v>ND</v>
          </cell>
          <cell r="AA242" t="str">
            <v>ND</v>
          </cell>
          <cell r="AB242" t="str">
            <v>ND</v>
          </cell>
          <cell r="AC242">
            <v>151938</v>
          </cell>
          <cell r="AD242" t="str">
            <v>ND</v>
          </cell>
          <cell r="AE242">
            <v>156733</v>
          </cell>
          <cell r="AF242" t="str">
            <v>ND</v>
          </cell>
          <cell r="AG242">
            <v>138988</v>
          </cell>
          <cell r="AH242">
            <v>169911</v>
          </cell>
          <cell r="AI242">
            <v>167732</v>
          </cell>
          <cell r="AJ242">
            <v>154876</v>
          </cell>
          <cell r="AK242" t="str">
            <v>ND</v>
          </cell>
          <cell r="AL242">
            <v>155633</v>
          </cell>
          <cell r="AM242">
            <v>199204</v>
          </cell>
          <cell r="AN242">
            <v>191556</v>
          </cell>
          <cell r="AO242">
            <v>173350</v>
          </cell>
          <cell r="AP242">
            <v>669652</v>
          </cell>
          <cell r="AR242">
            <v>217073</v>
          </cell>
          <cell r="AS242">
            <v>209453</v>
          </cell>
          <cell r="AT242">
            <v>193185</v>
          </cell>
          <cell r="AW242">
            <v>199204</v>
          </cell>
          <cell r="AX242">
            <v>191556</v>
          </cell>
          <cell r="AY242">
            <v>173350</v>
          </cell>
          <cell r="AZ242">
            <v>185294</v>
          </cell>
          <cell r="BA242">
            <v>749404</v>
          </cell>
          <cell r="BB242">
            <v>217073</v>
          </cell>
          <cell r="BC242">
            <v>209453</v>
          </cell>
          <cell r="BD242">
            <v>193185</v>
          </cell>
          <cell r="BE242">
            <v>188590</v>
          </cell>
          <cell r="BF242">
            <v>776053</v>
          </cell>
          <cell r="BG242">
            <v>218507</v>
          </cell>
          <cell r="BH242">
            <v>193375</v>
          </cell>
          <cell r="BI242">
            <v>185671</v>
          </cell>
          <cell r="BJ242">
            <v>201931</v>
          </cell>
          <cell r="BK242">
            <v>789250</v>
          </cell>
          <cell r="BL242">
            <v>220893</v>
          </cell>
          <cell r="BM242">
            <v>157404</v>
          </cell>
          <cell r="BN242">
            <v>173669</v>
          </cell>
          <cell r="BO242">
            <v>175798</v>
          </cell>
          <cell r="BP242">
            <v>725813</v>
          </cell>
          <cell r="BQ242">
            <v>206770</v>
          </cell>
          <cell r="BR242">
            <v>185563</v>
          </cell>
          <cell r="BS242">
            <v>158565</v>
          </cell>
          <cell r="BT242">
            <v>174263</v>
          </cell>
          <cell r="BU242">
            <v>724412</v>
          </cell>
          <cell r="BV242">
            <v>211559</v>
          </cell>
          <cell r="BW242">
            <v>197226</v>
          </cell>
          <cell r="BX242">
            <v>180092</v>
          </cell>
          <cell r="BY242">
            <v>199609</v>
          </cell>
          <cell r="BZ242">
            <v>788593</v>
          </cell>
          <cell r="CA242">
            <v>229016</v>
          </cell>
          <cell r="CB242">
            <v>213222</v>
          </cell>
          <cell r="CC242">
            <v>201182</v>
          </cell>
          <cell r="CD242">
            <v>216716</v>
          </cell>
          <cell r="CE242">
            <v>859824</v>
          </cell>
          <cell r="CF242">
            <v>247717</v>
          </cell>
          <cell r="CG242">
            <v>237755</v>
          </cell>
          <cell r="CH242">
            <v>227305</v>
          </cell>
        </row>
        <row r="246">
          <cell r="B246" t="str">
            <v>Medicare</v>
          </cell>
          <cell r="D246" t="str">
            <v>ND</v>
          </cell>
          <cell r="E246">
            <v>117718.56</v>
          </cell>
          <cell r="F246">
            <v>150941.5</v>
          </cell>
          <cell r="G246">
            <v>176851.17</v>
          </cell>
          <cell r="H246">
            <v>232333.98</v>
          </cell>
          <cell r="I246">
            <v>292101.7</v>
          </cell>
          <cell r="J246">
            <v>371444.84</v>
          </cell>
          <cell r="K246">
            <v>465650.64</v>
          </cell>
          <cell r="L246">
            <v>558012.98</v>
          </cell>
          <cell r="M246" t="str">
            <v>ND</v>
          </cell>
          <cell r="N246" t="str">
            <v>ND</v>
          </cell>
          <cell r="O246" t="str">
            <v>ND</v>
          </cell>
          <cell r="P246" t="str">
            <v>ND</v>
          </cell>
          <cell r="Q246">
            <v>637182.28999999992</v>
          </cell>
          <cell r="R246" t="str">
            <v>ND</v>
          </cell>
          <cell r="S246" t="str">
            <v>ND</v>
          </cell>
          <cell r="T246" t="str">
            <v>ND</v>
          </cell>
          <cell r="U246" t="str">
            <v>ND</v>
          </cell>
          <cell r="V246">
            <v>757328.15999999992</v>
          </cell>
          <cell r="W246" t="str">
            <v>ND</v>
          </cell>
          <cell r="X246" t="str">
            <v>ND</v>
          </cell>
          <cell r="Y246" t="str">
            <v>ND</v>
          </cell>
          <cell r="Z246" t="str">
            <v>ND</v>
          </cell>
          <cell r="AA246">
            <v>883506.47</v>
          </cell>
          <cell r="AB246" t="str">
            <v>ND</v>
          </cell>
          <cell r="AC246" t="str">
            <v>ND</v>
          </cell>
          <cell r="AD246" t="str">
            <v>ND</v>
          </cell>
          <cell r="AE246" t="str">
            <v>ND</v>
          </cell>
          <cell r="AF246">
            <v>859788.38</v>
          </cell>
          <cell r="AG246" t="str">
            <v>ND</v>
          </cell>
          <cell r="AH246" t="str">
            <v>ND</v>
          </cell>
          <cell r="AI246" t="str">
            <v>ND</v>
          </cell>
          <cell r="AJ246" t="str">
            <v>ND</v>
          </cell>
          <cell r="AK246">
            <v>896201.6</v>
          </cell>
          <cell r="AL246" t="str">
            <v>ND</v>
          </cell>
          <cell r="AM246" t="str">
            <v>ND</v>
          </cell>
          <cell r="AN246" t="str">
            <v>ND</v>
          </cell>
          <cell r="AO246" t="str">
            <v>ND</v>
          </cell>
          <cell r="AP246">
            <v>1122059.75</v>
          </cell>
          <cell r="AQ246" t="str">
            <v>ND</v>
          </cell>
          <cell r="AR246" t="str">
            <v>ND</v>
          </cell>
          <cell r="AS246" t="str">
            <v>ND</v>
          </cell>
          <cell r="AT246" t="str">
            <v>ND</v>
          </cell>
          <cell r="AU246">
            <v>1244086.5499999998</v>
          </cell>
          <cell r="AW246" t="str">
            <v>ND</v>
          </cell>
          <cell r="AX246" t="str">
            <v>ND</v>
          </cell>
          <cell r="AY246" t="str">
            <v>ND</v>
          </cell>
          <cell r="AZ246" t="str">
            <v>ND</v>
          </cell>
          <cell r="BB246" t="str">
            <v>ND</v>
          </cell>
          <cell r="BC246" t="str">
            <v>ND</v>
          </cell>
          <cell r="BD246" t="str">
            <v>ND</v>
          </cell>
          <cell r="BE246" t="str">
            <v>ND</v>
          </cell>
          <cell r="BG246" t="str">
            <v>ND</v>
          </cell>
          <cell r="BH246" t="str">
            <v>ND</v>
          </cell>
          <cell r="BI246" t="str">
            <v>ND</v>
          </cell>
          <cell r="BJ246" t="str">
            <v>ND</v>
          </cell>
          <cell r="BK246">
            <v>1419809.65</v>
          </cell>
          <cell r="BL246" t="str">
            <v>ND</v>
          </cell>
          <cell r="BM246" t="str">
            <v>ND</v>
          </cell>
          <cell r="BN246" t="str">
            <v>ND</v>
          </cell>
          <cell r="BO246" t="str">
            <v>ND</v>
          </cell>
          <cell r="BP246">
            <v>1405467.52</v>
          </cell>
          <cell r="BQ246" t="str">
            <v>ND</v>
          </cell>
          <cell r="BR246" t="str">
            <v>ND</v>
          </cell>
          <cell r="BS246" t="str">
            <v>ND</v>
          </cell>
          <cell r="BT246" t="str">
            <v>ND</v>
          </cell>
          <cell r="BU246">
            <v>1424515.52</v>
          </cell>
          <cell r="BV246" t="str">
            <v>ND</v>
          </cell>
          <cell r="BW246" t="str">
            <v>ND</v>
          </cell>
          <cell r="BX246" t="str">
            <v>ND</v>
          </cell>
          <cell r="BY246" t="str">
            <v>ND</v>
          </cell>
          <cell r="BZ246">
            <v>1477485.76</v>
          </cell>
          <cell r="CA246" t="str">
            <v>ND</v>
          </cell>
          <cell r="CB246" t="str">
            <v>ND</v>
          </cell>
          <cell r="CC246" t="str">
            <v>ND</v>
          </cell>
          <cell r="CD246" t="str">
            <v>ND</v>
          </cell>
          <cell r="CE246">
            <v>1649767.6800000002</v>
          </cell>
          <cell r="CF246" t="str">
            <v>ND</v>
          </cell>
          <cell r="CG246" t="str">
            <v>ND</v>
          </cell>
          <cell r="CH246" t="str">
            <v>ND</v>
          </cell>
          <cell r="CI246" t="str">
            <v>ND</v>
          </cell>
          <cell r="CJ246">
            <v>1802033.7200000002</v>
          </cell>
          <cell r="CK246">
            <v>479285</v>
          </cell>
          <cell r="CL246">
            <v>494507</v>
          </cell>
          <cell r="CM246">
            <v>454076</v>
          </cell>
          <cell r="CO246">
            <v>1427868</v>
          </cell>
        </row>
        <row r="247">
          <cell r="B247" t="str">
            <v>Medicaid</v>
          </cell>
          <cell r="D247" t="str">
            <v>ND</v>
          </cell>
          <cell r="E247">
            <v>26977.170000000002</v>
          </cell>
          <cell r="F247">
            <v>33207.129999999997</v>
          </cell>
          <cell r="G247">
            <v>41612.04</v>
          </cell>
          <cell r="H247">
            <v>52603.92</v>
          </cell>
          <cell r="I247">
            <v>63731.28</v>
          </cell>
          <cell r="J247">
            <v>92861.21</v>
          </cell>
          <cell r="K247">
            <v>125367.48000000001</v>
          </cell>
          <cell r="L247">
            <v>148044.26</v>
          </cell>
          <cell r="M247" t="str">
            <v>ND</v>
          </cell>
          <cell r="N247" t="str">
            <v>ND</v>
          </cell>
          <cell r="O247" t="str">
            <v>ND</v>
          </cell>
          <cell r="P247" t="str">
            <v>ND</v>
          </cell>
          <cell r="Q247">
            <v>162684.84</v>
          </cell>
          <cell r="R247" t="str">
            <v>ND</v>
          </cell>
          <cell r="S247" t="str">
            <v>ND</v>
          </cell>
          <cell r="T247" t="str">
            <v>ND</v>
          </cell>
          <cell r="U247" t="str">
            <v>ND</v>
          </cell>
          <cell r="V247">
            <v>189332.03999999998</v>
          </cell>
          <cell r="W247" t="str">
            <v>ND</v>
          </cell>
          <cell r="X247" t="str">
            <v>ND</v>
          </cell>
          <cell r="Y247" t="str">
            <v>ND</v>
          </cell>
          <cell r="Z247" t="str">
            <v>ND</v>
          </cell>
          <cell r="AA247">
            <v>225576.12</v>
          </cell>
          <cell r="AB247" t="str">
            <v>ND</v>
          </cell>
          <cell r="AC247" t="str">
            <v>ND</v>
          </cell>
          <cell r="AD247" t="str">
            <v>ND</v>
          </cell>
          <cell r="AE247" t="str">
            <v>ND</v>
          </cell>
          <cell r="AF247">
            <v>203634.09</v>
          </cell>
          <cell r="AG247" t="str">
            <v>ND</v>
          </cell>
          <cell r="AH247" t="str">
            <v>ND</v>
          </cell>
          <cell r="AI247" t="str">
            <v>ND</v>
          </cell>
          <cell r="AJ247" t="str">
            <v>ND</v>
          </cell>
          <cell r="AK247">
            <v>230451.84</v>
          </cell>
          <cell r="AL247" t="str">
            <v>ND</v>
          </cell>
          <cell r="AM247" t="str">
            <v>ND</v>
          </cell>
          <cell r="AN247" t="str">
            <v>ND</v>
          </cell>
          <cell r="AO247" t="str">
            <v>ND</v>
          </cell>
          <cell r="AP247">
            <v>288529.64999999997</v>
          </cell>
          <cell r="AQ247" t="str">
            <v>ND</v>
          </cell>
          <cell r="AR247" t="str">
            <v>ND</v>
          </cell>
          <cell r="AS247" t="str">
            <v>ND</v>
          </cell>
          <cell r="AT247" t="str">
            <v>ND</v>
          </cell>
          <cell r="AU247">
            <v>355453.30000000005</v>
          </cell>
          <cell r="AW247" t="str">
            <v>ND</v>
          </cell>
          <cell r="AX247" t="str">
            <v>ND</v>
          </cell>
          <cell r="AY247" t="str">
            <v>ND</v>
          </cell>
          <cell r="AZ247" t="str">
            <v>ND</v>
          </cell>
          <cell r="BB247" t="str">
            <v>ND</v>
          </cell>
          <cell r="BC247" t="str">
            <v>ND</v>
          </cell>
          <cell r="BD247" t="str">
            <v>ND</v>
          </cell>
          <cell r="BE247" t="str">
            <v>ND</v>
          </cell>
          <cell r="BG247" t="str">
            <v>ND</v>
          </cell>
          <cell r="BH247" t="str">
            <v>ND</v>
          </cell>
          <cell r="BI247" t="str">
            <v>ND</v>
          </cell>
          <cell r="BJ247" t="str">
            <v>ND</v>
          </cell>
          <cell r="BK247">
            <v>365093.91</v>
          </cell>
          <cell r="BL247" t="str">
            <v>ND</v>
          </cell>
          <cell r="BM247" t="str">
            <v>ND</v>
          </cell>
          <cell r="BN247" t="str">
            <v>ND</v>
          </cell>
          <cell r="BO247" t="str">
            <v>ND</v>
          </cell>
          <cell r="BP247">
            <v>351366.88</v>
          </cell>
          <cell r="BQ247" t="str">
            <v>ND</v>
          </cell>
          <cell r="BR247" t="str">
            <v>ND</v>
          </cell>
          <cell r="BS247" t="str">
            <v>ND</v>
          </cell>
          <cell r="BT247" t="str">
            <v>ND</v>
          </cell>
          <cell r="BU247">
            <v>356128.88</v>
          </cell>
          <cell r="BV247" t="str">
            <v>ND</v>
          </cell>
          <cell r="BW247" t="str">
            <v>ND</v>
          </cell>
          <cell r="BX247" t="str">
            <v>ND</v>
          </cell>
          <cell r="BY247" t="str">
            <v>ND</v>
          </cell>
          <cell r="BZ247">
            <v>415542.87</v>
          </cell>
          <cell r="CA247" t="str">
            <v>ND</v>
          </cell>
          <cell r="CB247" t="str">
            <v>ND</v>
          </cell>
          <cell r="CC247" t="str">
            <v>ND</v>
          </cell>
          <cell r="CD247" t="str">
            <v>ND</v>
          </cell>
          <cell r="CE247">
            <v>463997.16000000003</v>
          </cell>
          <cell r="CF247" t="str">
            <v>ND</v>
          </cell>
          <cell r="CG247" t="str">
            <v>ND</v>
          </cell>
          <cell r="CH247" t="str">
            <v>ND</v>
          </cell>
          <cell r="CI247" t="str">
            <v>ND</v>
          </cell>
          <cell r="CJ247">
            <v>523171.08000000007</v>
          </cell>
          <cell r="CK247">
            <v>158889</v>
          </cell>
          <cell r="CL247">
            <v>119657</v>
          </cell>
          <cell r="CM247">
            <v>146850</v>
          </cell>
          <cell r="CO247">
            <v>425396</v>
          </cell>
        </row>
        <row r="248">
          <cell r="B248" t="str">
            <v>Commercial insurance</v>
          </cell>
          <cell r="D248" t="str">
            <v>ND</v>
          </cell>
          <cell r="E248">
            <v>100551.26999999999</v>
          </cell>
          <cell r="F248">
            <v>117734.37000000001</v>
          </cell>
          <cell r="G248">
            <v>128303.79</v>
          </cell>
          <cell r="H248">
            <v>153428.09999999998</v>
          </cell>
          <cell r="I248">
            <v>175261.02000000002</v>
          </cell>
          <cell r="J248">
            <v>250010.94999999998</v>
          </cell>
          <cell r="K248">
            <v>304463.88</v>
          </cell>
          <cell r="L248">
            <v>432744.76</v>
          </cell>
          <cell r="M248" t="str">
            <v>ND</v>
          </cell>
          <cell r="N248" t="str">
            <v>ND</v>
          </cell>
          <cell r="O248" t="str">
            <v>ND</v>
          </cell>
          <cell r="P248" t="str">
            <v>ND</v>
          </cell>
          <cell r="Q248">
            <v>555839.87</v>
          </cell>
          <cell r="R248" t="str">
            <v>ND</v>
          </cell>
          <cell r="S248" t="str">
            <v>ND</v>
          </cell>
          <cell r="T248" t="str">
            <v>ND</v>
          </cell>
          <cell r="U248" t="str">
            <v>ND</v>
          </cell>
          <cell r="V248">
            <v>631106.80000000005</v>
          </cell>
          <cell r="W248" t="str">
            <v>ND</v>
          </cell>
          <cell r="X248" t="str">
            <v>ND</v>
          </cell>
          <cell r="Y248" t="str">
            <v>ND</v>
          </cell>
          <cell r="Z248" t="str">
            <v>ND</v>
          </cell>
          <cell r="AA248">
            <v>770718.40999999992</v>
          </cell>
          <cell r="AB248" t="str">
            <v>ND</v>
          </cell>
          <cell r="AC248" t="str">
            <v>ND</v>
          </cell>
          <cell r="AD248" t="str">
            <v>ND</v>
          </cell>
          <cell r="AE248" t="str">
            <v>ND</v>
          </cell>
          <cell r="AF248">
            <v>1199178.53</v>
          </cell>
          <cell r="AG248" t="str">
            <v>ND</v>
          </cell>
          <cell r="AH248" t="str">
            <v>ND</v>
          </cell>
          <cell r="AI248" t="str">
            <v>ND</v>
          </cell>
          <cell r="AJ248" t="str">
            <v>ND</v>
          </cell>
          <cell r="AK248">
            <v>1203470.72</v>
          </cell>
          <cell r="AL248" t="str">
            <v>ND</v>
          </cell>
          <cell r="AM248" t="str">
            <v>ND</v>
          </cell>
          <cell r="AN248" t="str">
            <v>ND</v>
          </cell>
          <cell r="AO248" t="str">
            <v>ND</v>
          </cell>
          <cell r="AP248">
            <v>1474707.1</v>
          </cell>
          <cell r="AQ248" t="str">
            <v>ND</v>
          </cell>
          <cell r="AR248" t="str">
            <v>ND</v>
          </cell>
          <cell r="AS248" t="str">
            <v>ND</v>
          </cell>
          <cell r="AT248" t="str">
            <v>ND</v>
          </cell>
          <cell r="AU248">
            <v>1670630.51</v>
          </cell>
          <cell r="AW248" t="str">
            <v>ND</v>
          </cell>
          <cell r="AX248" t="str">
            <v>ND</v>
          </cell>
          <cell r="AY248" t="str">
            <v>ND</v>
          </cell>
          <cell r="AZ248" t="str">
            <v>ND</v>
          </cell>
          <cell r="BB248" t="str">
            <v>ND</v>
          </cell>
          <cell r="BC248" t="str">
            <v>ND</v>
          </cell>
          <cell r="BD248" t="str">
            <v>ND</v>
          </cell>
          <cell r="BE248" t="str">
            <v>ND</v>
          </cell>
          <cell r="BG248" t="str">
            <v>ND</v>
          </cell>
          <cell r="BH248" t="str">
            <v>ND</v>
          </cell>
          <cell r="BI248" t="str">
            <v>ND</v>
          </cell>
          <cell r="BJ248" t="str">
            <v>ND</v>
          </cell>
          <cell r="BK248">
            <v>1906601.5299999998</v>
          </cell>
          <cell r="BL248" t="str">
            <v>ND</v>
          </cell>
          <cell r="BM248" t="str">
            <v>ND</v>
          </cell>
          <cell r="BN248" t="str">
            <v>ND</v>
          </cell>
          <cell r="BO248" t="str">
            <v>ND</v>
          </cell>
          <cell r="BP248">
            <v>2196043</v>
          </cell>
          <cell r="BQ248" t="str">
            <v>ND</v>
          </cell>
          <cell r="BR248" t="str">
            <v>ND</v>
          </cell>
          <cell r="BS248" t="str">
            <v>ND</v>
          </cell>
          <cell r="BT248" t="str">
            <v>ND</v>
          </cell>
          <cell r="BU248">
            <v>2270321.61</v>
          </cell>
          <cell r="BV248" t="str">
            <v>ND</v>
          </cell>
          <cell r="BW248" t="str">
            <v>ND</v>
          </cell>
          <cell r="BX248" t="str">
            <v>ND</v>
          </cell>
          <cell r="BY248" t="str">
            <v>ND</v>
          </cell>
          <cell r="BZ248">
            <v>2262400.0699999998</v>
          </cell>
          <cell r="CA248" t="str">
            <v>ND</v>
          </cell>
          <cell r="CB248" t="str">
            <v>ND</v>
          </cell>
          <cell r="CC248" t="str">
            <v>ND</v>
          </cell>
          <cell r="CD248" t="str">
            <v>ND</v>
          </cell>
          <cell r="CE248">
            <v>2577762</v>
          </cell>
          <cell r="CF248" t="str">
            <v>ND</v>
          </cell>
          <cell r="CG248" t="str">
            <v>ND</v>
          </cell>
          <cell r="CH248" t="str">
            <v>ND</v>
          </cell>
          <cell r="CI248" t="str">
            <v>ND</v>
          </cell>
          <cell r="CJ248">
            <v>2906506.0000000005</v>
          </cell>
          <cell r="CK248">
            <v>833918</v>
          </cell>
          <cell r="CL248">
            <v>821888</v>
          </cell>
          <cell r="CM248">
            <v>842236</v>
          </cell>
          <cell r="CO248">
            <v>2498042</v>
          </cell>
        </row>
        <row r="249">
          <cell r="B249" t="str">
            <v>Self−pay</v>
          </cell>
          <cell r="D249" t="str">
            <v>ND</v>
          </cell>
          <cell r="E249">
            <v>0</v>
          </cell>
          <cell r="F249">
            <v>0</v>
          </cell>
          <cell r="G249">
            <v>0</v>
          </cell>
          <cell r="H249">
            <v>0</v>
          </cell>
          <cell r="I249">
            <v>0</v>
          </cell>
          <cell r="J249">
            <v>0</v>
          </cell>
          <cell r="K249">
            <v>0</v>
          </cell>
          <cell r="L249">
            <v>0</v>
          </cell>
          <cell r="M249" t="str">
            <v>ND</v>
          </cell>
          <cell r="N249" t="str">
            <v>ND</v>
          </cell>
          <cell r="O249" t="str">
            <v>ND</v>
          </cell>
          <cell r="P249" t="str">
            <v>ND</v>
          </cell>
          <cell r="Q249">
            <v>0</v>
          </cell>
          <cell r="R249" t="str">
            <v>ND</v>
          </cell>
          <cell r="S249" t="str">
            <v>ND</v>
          </cell>
          <cell r="T249" t="str">
            <v>ND</v>
          </cell>
          <cell r="U249" t="str">
            <v>ND</v>
          </cell>
          <cell r="V249">
            <v>0</v>
          </cell>
          <cell r="W249" t="str">
            <v>ND</v>
          </cell>
          <cell r="X249" t="str">
            <v>ND</v>
          </cell>
          <cell r="Y249" t="str">
            <v>ND</v>
          </cell>
          <cell r="Z249" t="str">
            <v>ND</v>
          </cell>
          <cell r="AA249">
            <v>0</v>
          </cell>
          <cell r="AB249" t="str">
            <v>ND</v>
          </cell>
          <cell r="AC249" t="str">
            <v>ND</v>
          </cell>
          <cell r="AD249" t="str">
            <v>ND</v>
          </cell>
          <cell r="AE249" t="str">
            <v>ND</v>
          </cell>
          <cell r="AF249">
            <v>0</v>
          </cell>
          <cell r="AG249" t="str">
            <v>ND</v>
          </cell>
          <cell r="AH249" t="str">
            <v>ND</v>
          </cell>
          <cell r="AI249" t="str">
            <v>ND</v>
          </cell>
          <cell r="AJ249" t="str">
            <v>ND</v>
          </cell>
          <cell r="AK249">
            <v>230451.84</v>
          </cell>
          <cell r="AL249" t="str">
            <v>ND</v>
          </cell>
          <cell r="AM249" t="str">
            <v>ND</v>
          </cell>
          <cell r="AN249" t="str">
            <v>ND</v>
          </cell>
          <cell r="AO249" t="str">
            <v>ND</v>
          </cell>
          <cell r="AP249">
            <v>320588.5</v>
          </cell>
          <cell r="AQ249" t="str">
            <v>ND</v>
          </cell>
          <cell r="AR249" t="str">
            <v>ND</v>
          </cell>
          <cell r="AS249" t="str">
            <v>ND</v>
          </cell>
          <cell r="AT249" t="str">
            <v>ND</v>
          </cell>
          <cell r="AU249">
            <v>284362.64</v>
          </cell>
          <cell r="AW249" t="str">
            <v>ND</v>
          </cell>
          <cell r="AX249" t="str">
            <v>ND</v>
          </cell>
          <cell r="AY249" t="str">
            <v>ND</v>
          </cell>
          <cell r="AZ249" t="str">
            <v>ND</v>
          </cell>
          <cell r="BB249" t="str">
            <v>ND</v>
          </cell>
          <cell r="BC249" t="str">
            <v>ND</v>
          </cell>
          <cell r="BD249" t="str">
            <v>ND</v>
          </cell>
          <cell r="BE249" t="str">
            <v>ND</v>
          </cell>
          <cell r="BG249" t="str">
            <v>ND</v>
          </cell>
          <cell r="BH249" t="str">
            <v>ND</v>
          </cell>
          <cell r="BI249" t="str">
            <v>ND</v>
          </cell>
          <cell r="BJ249" t="str">
            <v>ND</v>
          </cell>
          <cell r="BK249">
            <v>365093.91</v>
          </cell>
          <cell r="BL249" t="str">
            <v>ND</v>
          </cell>
          <cell r="BM249" t="str">
            <v>ND</v>
          </cell>
          <cell r="BN249" t="str">
            <v>ND</v>
          </cell>
          <cell r="BO249" t="str">
            <v>ND</v>
          </cell>
          <cell r="BP249">
            <v>439208.60000000003</v>
          </cell>
          <cell r="BQ249" t="str">
            <v>ND</v>
          </cell>
          <cell r="BR249" t="str">
            <v>ND</v>
          </cell>
          <cell r="BS249" t="str">
            <v>ND</v>
          </cell>
          <cell r="BT249" t="str">
            <v>ND</v>
          </cell>
          <cell r="BU249">
            <v>400644.99</v>
          </cell>
          <cell r="BV249" t="str">
            <v>ND</v>
          </cell>
          <cell r="BW249" t="str">
            <v>ND</v>
          </cell>
          <cell r="BX249" t="str">
            <v>ND</v>
          </cell>
          <cell r="BY249" t="str">
            <v>ND</v>
          </cell>
          <cell r="BZ249">
            <v>461714.30000000005</v>
          </cell>
          <cell r="CA249" t="str">
            <v>ND</v>
          </cell>
          <cell r="CB249" t="str">
            <v>ND</v>
          </cell>
          <cell r="CC249" t="str">
            <v>ND</v>
          </cell>
          <cell r="CD249" t="str">
            <v>ND</v>
          </cell>
          <cell r="CE249">
            <v>463997.16000000003</v>
          </cell>
          <cell r="CF249" t="str">
            <v>ND</v>
          </cell>
          <cell r="CG249" t="str">
            <v>ND</v>
          </cell>
          <cell r="CH249" t="str">
            <v>ND</v>
          </cell>
          <cell r="CI249" t="str">
            <v>ND</v>
          </cell>
          <cell r="CJ249">
            <v>581301.20000000007</v>
          </cell>
          <cell r="CK249">
            <v>165267</v>
          </cell>
          <cell r="CL249">
            <v>188050</v>
          </cell>
          <cell r="CM249">
            <v>198223</v>
          </cell>
          <cell r="CO249">
            <v>551540</v>
          </cell>
        </row>
        <row r="250">
          <cell r="B250" t="str">
            <v>Other</v>
          </cell>
          <cell r="D250" t="str">
            <v>ND</v>
          </cell>
          <cell r="E250">
            <v>0</v>
          </cell>
          <cell r="F250">
            <v>0</v>
          </cell>
          <cell r="G250">
            <v>0</v>
          </cell>
          <cell r="H250">
            <v>0</v>
          </cell>
          <cell r="I250">
            <v>0</v>
          </cell>
          <cell r="J250">
            <v>0</v>
          </cell>
          <cell r="K250">
            <v>0</v>
          </cell>
          <cell r="L250">
            <v>0</v>
          </cell>
          <cell r="M250" t="str">
            <v>ND</v>
          </cell>
          <cell r="N250" t="str">
            <v>ND</v>
          </cell>
          <cell r="O250" t="str">
            <v>ND</v>
          </cell>
          <cell r="P250" t="str">
            <v>ND</v>
          </cell>
          <cell r="Q250">
            <v>0</v>
          </cell>
          <cell r="R250" t="str">
            <v>ND</v>
          </cell>
          <cell r="S250" t="str">
            <v>ND</v>
          </cell>
          <cell r="T250" t="str">
            <v>ND</v>
          </cell>
          <cell r="U250" t="str">
            <v>ND</v>
          </cell>
          <cell r="V250">
            <v>0</v>
          </cell>
          <cell r="W250" t="str">
            <v>ND</v>
          </cell>
          <cell r="X250" t="str">
            <v>ND</v>
          </cell>
          <cell r="Y250" t="str">
            <v>ND</v>
          </cell>
          <cell r="Z250" t="str">
            <v>ND</v>
          </cell>
          <cell r="AA250">
            <v>0</v>
          </cell>
          <cell r="AB250" t="str">
            <v>ND</v>
          </cell>
          <cell r="AC250" t="str">
            <v>ND</v>
          </cell>
          <cell r="AD250" t="str">
            <v>ND</v>
          </cell>
          <cell r="AE250" t="str">
            <v>ND</v>
          </cell>
          <cell r="AF250">
            <v>0</v>
          </cell>
          <cell r="AG250" t="str">
            <v>ND</v>
          </cell>
          <cell r="AH250" t="str">
            <v>ND</v>
          </cell>
          <cell r="AI250" t="str">
            <v>ND</v>
          </cell>
          <cell r="AJ250" t="str">
            <v>ND</v>
          </cell>
          <cell r="AK250">
            <v>0</v>
          </cell>
          <cell r="AL250" t="str">
            <v>ND</v>
          </cell>
          <cell r="AM250" t="str">
            <v>ND</v>
          </cell>
          <cell r="AN250" t="str">
            <v>ND</v>
          </cell>
          <cell r="AO250" t="str">
            <v>ND</v>
          </cell>
          <cell r="AP250">
            <v>0</v>
          </cell>
          <cell r="AQ250" t="str">
            <v>ND</v>
          </cell>
          <cell r="AR250" t="str">
            <v>ND</v>
          </cell>
          <cell r="AS250" t="str">
            <v>ND</v>
          </cell>
          <cell r="AT250" t="str">
            <v>ND</v>
          </cell>
          <cell r="AU250">
            <v>0</v>
          </cell>
          <cell r="AW250" t="str">
            <v>ND</v>
          </cell>
          <cell r="AX250" t="str">
            <v>ND</v>
          </cell>
          <cell r="AY250" t="str">
            <v>ND</v>
          </cell>
          <cell r="AZ250" t="str">
            <v>ND</v>
          </cell>
          <cell r="BB250" t="str">
            <v>ND</v>
          </cell>
          <cell r="BC250" t="str">
            <v>ND</v>
          </cell>
          <cell r="BD250" t="str">
            <v>ND</v>
          </cell>
          <cell r="BE250" t="str">
            <v>ND</v>
          </cell>
          <cell r="BG250" t="str">
            <v>ND</v>
          </cell>
          <cell r="BH250" t="str">
            <v>ND</v>
          </cell>
          <cell r="BI250" t="str">
            <v>ND</v>
          </cell>
          <cell r="BJ250" t="str">
            <v>ND</v>
          </cell>
          <cell r="BK250">
            <v>0</v>
          </cell>
          <cell r="BL250" t="str">
            <v>ND</v>
          </cell>
          <cell r="BM250" t="str">
            <v>ND</v>
          </cell>
          <cell r="BN250" t="str">
            <v>ND</v>
          </cell>
          <cell r="BO250" t="str">
            <v>ND</v>
          </cell>
          <cell r="BP250">
            <v>0</v>
          </cell>
          <cell r="BQ250" t="str">
            <v>ND</v>
          </cell>
          <cell r="BR250" t="str">
            <v>ND</v>
          </cell>
          <cell r="BS250" t="str">
            <v>ND</v>
          </cell>
          <cell r="BT250" t="str">
            <v>ND</v>
          </cell>
          <cell r="BU250">
            <v>0</v>
          </cell>
          <cell r="BV250" t="str">
            <v>ND</v>
          </cell>
          <cell r="BW250" t="str">
            <v>ND</v>
          </cell>
          <cell r="BX250" t="str">
            <v>ND</v>
          </cell>
          <cell r="BY250" t="str">
            <v>ND</v>
          </cell>
          <cell r="BZ250">
            <v>0</v>
          </cell>
          <cell r="CA250" t="str">
            <v>ND</v>
          </cell>
          <cell r="CB250" t="str">
            <v>ND</v>
          </cell>
          <cell r="CC250" t="str">
            <v>ND</v>
          </cell>
          <cell r="CD250" t="str">
            <v>ND</v>
          </cell>
          <cell r="CE250">
            <v>0</v>
          </cell>
          <cell r="CF250" t="str">
            <v>ND</v>
          </cell>
          <cell r="CG250" t="str">
            <v>ND</v>
          </cell>
          <cell r="CH250" t="str">
            <v>ND</v>
          </cell>
          <cell r="CI250" t="str">
            <v>ND</v>
          </cell>
          <cell r="CJ250">
            <v>0</v>
          </cell>
          <cell r="CK250">
            <v>49159</v>
          </cell>
          <cell r="CL250">
            <v>62439</v>
          </cell>
          <cell r="CM250">
            <v>22802</v>
          </cell>
          <cell r="CO250">
            <v>134400</v>
          </cell>
        </row>
        <row r="251">
          <cell r="B251" t="str">
            <v>TOTAL</v>
          </cell>
          <cell r="D251" t="str">
            <v>ND</v>
          </cell>
          <cell r="E251">
            <v>245247</v>
          </cell>
          <cell r="F251">
            <v>301883</v>
          </cell>
          <cell r="G251">
            <v>346767</v>
          </cell>
          <cell r="H251">
            <v>438366</v>
          </cell>
          <cell r="I251">
            <v>531094</v>
          </cell>
          <cell r="J251">
            <v>714317</v>
          </cell>
          <cell r="K251">
            <v>895482</v>
          </cell>
          <cell r="L251">
            <v>1138802</v>
          </cell>
          <cell r="M251" t="str">
            <v>ND</v>
          </cell>
          <cell r="N251" t="str">
            <v>ND</v>
          </cell>
          <cell r="O251" t="str">
            <v>ND</v>
          </cell>
          <cell r="P251" t="str">
            <v>ND</v>
          </cell>
          <cell r="Q251">
            <v>1355707</v>
          </cell>
          <cell r="R251" t="str">
            <v>ND</v>
          </cell>
          <cell r="S251" t="str">
            <v>ND</v>
          </cell>
          <cell r="T251" t="str">
            <v>ND</v>
          </cell>
          <cell r="U251" t="str">
            <v>ND</v>
          </cell>
          <cell r="V251">
            <v>1577767</v>
          </cell>
          <cell r="W251" t="str">
            <v>ND</v>
          </cell>
          <cell r="X251" t="str">
            <v>ND</v>
          </cell>
          <cell r="Y251" t="str">
            <v>ND</v>
          </cell>
          <cell r="Z251" t="str">
            <v>ND</v>
          </cell>
          <cell r="AA251">
            <v>1879800.9999999998</v>
          </cell>
          <cell r="AB251" t="str">
            <v>ND</v>
          </cell>
          <cell r="AC251" t="str">
            <v>ND</v>
          </cell>
          <cell r="AD251" t="str">
            <v>ND</v>
          </cell>
          <cell r="AE251" t="str">
            <v>ND</v>
          </cell>
          <cell r="AF251">
            <v>2262601</v>
          </cell>
          <cell r="AG251" t="str">
            <v>ND</v>
          </cell>
          <cell r="AH251" t="str">
            <v>ND</v>
          </cell>
          <cell r="AI251" t="str">
            <v>ND</v>
          </cell>
          <cell r="AJ251" t="str">
            <v>ND</v>
          </cell>
          <cell r="AK251">
            <v>2560576</v>
          </cell>
          <cell r="AL251" t="str">
            <v>ND</v>
          </cell>
          <cell r="AM251" t="str">
            <v>ND</v>
          </cell>
          <cell r="AN251" t="str">
            <v>ND</v>
          </cell>
          <cell r="AO251" t="str">
            <v>ND</v>
          </cell>
          <cell r="AP251">
            <v>3205885</v>
          </cell>
          <cell r="AQ251" t="str">
            <v>ND</v>
          </cell>
          <cell r="AR251" t="str">
            <v>ND</v>
          </cell>
          <cell r="AS251" t="str">
            <v>ND</v>
          </cell>
          <cell r="AT251" t="str">
            <v>ND</v>
          </cell>
          <cell r="AU251">
            <v>3554533</v>
          </cell>
          <cell r="AW251" t="str">
            <v>ND</v>
          </cell>
          <cell r="AX251" t="str">
            <v>ND</v>
          </cell>
          <cell r="AY251" t="str">
            <v>ND</v>
          </cell>
          <cell r="AZ251" t="str">
            <v>ND</v>
          </cell>
          <cell r="BB251" t="str">
            <v>ND</v>
          </cell>
          <cell r="BC251" t="str">
            <v>ND</v>
          </cell>
          <cell r="BD251" t="str">
            <v>ND</v>
          </cell>
          <cell r="BE251" t="str">
            <v>ND</v>
          </cell>
          <cell r="BG251" t="str">
            <v>ND</v>
          </cell>
          <cell r="BH251" t="str">
            <v>ND</v>
          </cell>
          <cell r="BI251" t="str">
            <v>ND</v>
          </cell>
          <cell r="BJ251" t="str">
            <v>ND</v>
          </cell>
          <cell r="BK251">
            <v>4056599</v>
          </cell>
          <cell r="BL251" t="str">
            <v>ND</v>
          </cell>
          <cell r="BM251" t="str">
            <v>ND</v>
          </cell>
          <cell r="BN251" t="str">
            <v>ND</v>
          </cell>
          <cell r="BO251" t="str">
            <v>ND</v>
          </cell>
          <cell r="BP251">
            <v>4392086</v>
          </cell>
          <cell r="BQ251" t="str">
            <v>ND</v>
          </cell>
          <cell r="BR251" t="str">
            <v>ND</v>
          </cell>
          <cell r="BS251" t="str">
            <v>ND</v>
          </cell>
          <cell r="BT251" t="str">
            <v>ND</v>
          </cell>
          <cell r="BU251">
            <v>4451611</v>
          </cell>
          <cell r="BV251" t="str">
            <v>ND</v>
          </cell>
          <cell r="BW251" t="str">
            <v>ND</v>
          </cell>
          <cell r="BX251" t="str">
            <v>ND</v>
          </cell>
          <cell r="BY251" t="str">
            <v>ND</v>
          </cell>
          <cell r="BZ251">
            <v>4617143</v>
          </cell>
          <cell r="CA251" t="str">
            <v>ND</v>
          </cell>
          <cell r="CB251" t="str">
            <v>ND</v>
          </cell>
          <cell r="CC251" t="str">
            <v>ND</v>
          </cell>
          <cell r="CD251" t="str">
            <v>ND</v>
          </cell>
          <cell r="CE251">
            <v>5155524</v>
          </cell>
          <cell r="CF251" t="str">
            <v>ND</v>
          </cell>
          <cell r="CG251" t="str">
            <v>ND</v>
          </cell>
          <cell r="CH251" t="str">
            <v>ND</v>
          </cell>
          <cell r="CI251" t="str">
            <v>ND</v>
          </cell>
          <cell r="CJ251">
            <v>5813012.0000000009</v>
          </cell>
          <cell r="CK251">
            <v>1686518</v>
          </cell>
          <cell r="CL251">
            <v>1686541</v>
          </cell>
          <cell r="CM251">
            <v>1664187</v>
          </cell>
          <cell r="CO251">
            <v>5037246</v>
          </cell>
        </row>
        <row r="252">
          <cell r="CJ252">
            <v>523171.08000000007</v>
          </cell>
        </row>
        <row r="253">
          <cell r="B253" t="str">
            <v>Medicare</v>
          </cell>
          <cell r="D253" t="str">
            <v>ND</v>
          </cell>
          <cell r="E253">
            <v>0.48</v>
          </cell>
          <cell r="F253">
            <v>0.5</v>
          </cell>
          <cell r="G253">
            <v>0.51</v>
          </cell>
          <cell r="H253">
            <v>0.53</v>
          </cell>
          <cell r="I253">
            <v>0.55000000000000004</v>
          </cell>
          <cell r="J253">
            <v>0.52</v>
          </cell>
          <cell r="K253">
            <v>0.52</v>
          </cell>
          <cell r="L253">
            <v>0.49</v>
          </cell>
          <cell r="M253" t="str">
            <v>ND</v>
          </cell>
          <cell r="N253" t="str">
            <v>ND</v>
          </cell>
          <cell r="O253" t="str">
            <v>ND</v>
          </cell>
          <cell r="P253" t="str">
            <v>ND</v>
          </cell>
          <cell r="Q253">
            <v>0.46999999999999992</v>
          </cell>
          <cell r="R253" t="str">
            <v>ND</v>
          </cell>
          <cell r="S253" t="str">
            <v>ND</v>
          </cell>
          <cell r="T253" t="str">
            <v>ND</v>
          </cell>
          <cell r="U253" t="str">
            <v>ND</v>
          </cell>
          <cell r="V253">
            <v>0.47999999999999993</v>
          </cell>
          <cell r="W253" t="str">
            <v>ND</v>
          </cell>
          <cell r="X253" t="str">
            <v>ND</v>
          </cell>
          <cell r="Y253" t="str">
            <v>ND</v>
          </cell>
          <cell r="Z253" t="str">
            <v>ND</v>
          </cell>
          <cell r="AA253">
            <v>0.47000000000000003</v>
          </cell>
          <cell r="AB253" t="str">
            <v>ND</v>
          </cell>
          <cell r="AC253" t="str">
            <v>ND</v>
          </cell>
          <cell r="AD253" t="str">
            <v>ND</v>
          </cell>
          <cell r="AE253" t="str">
            <v>ND</v>
          </cell>
          <cell r="AF253">
            <v>0.38</v>
          </cell>
          <cell r="AG253" t="str">
            <v>ND</v>
          </cell>
          <cell r="AH253" t="str">
            <v>ND</v>
          </cell>
          <cell r="AI253" t="str">
            <v>ND</v>
          </cell>
          <cell r="AJ253" t="str">
            <v>ND</v>
          </cell>
          <cell r="AK253">
            <v>0.35</v>
          </cell>
          <cell r="AL253" t="str">
            <v>ND</v>
          </cell>
          <cell r="AM253" t="str">
            <v>ND</v>
          </cell>
          <cell r="AN253" t="str">
            <v>ND</v>
          </cell>
          <cell r="AO253" t="str">
            <v>ND</v>
          </cell>
          <cell r="AP253">
            <v>0.35</v>
          </cell>
          <cell r="AQ253" t="str">
            <v>ND</v>
          </cell>
          <cell r="AR253" t="str">
            <v>ND</v>
          </cell>
          <cell r="AS253" t="str">
            <v>ND</v>
          </cell>
          <cell r="AT253" t="str">
            <v>ND</v>
          </cell>
          <cell r="AU253">
            <v>0.34999999999999992</v>
          </cell>
          <cell r="AW253" t="str">
            <v>ND</v>
          </cell>
          <cell r="AX253" t="str">
            <v>ND</v>
          </cell>
          <cell r="AY253" t="str">
            <v>ND</v>
          </cell>
          <cell r="AZ253" t="str">
            <v>ND</v>
          </cell>
          <cell r="BB253" t="str">
            <v>ND</v>
          </cell>
          <cell r="BC253" t="str">
            <v>ND</v>
          </cell>
          <cell r="BD253" t="str">
            <v>ND</v>
          </cell>
          <cell r="BE253" t="str">
            <v>ND</v>
          </cell>
          <cell r="BG253" t="str">
            <v>ND</v>
          </cell>
          <cell r="BH253" t="str">
            <v>ND</v>
          </cell>
          <cell r="BI253" t="str">
            <v>ND</v>
          </cell>
          <cell r="BJ253" t="str">
            <v>ND</v>
          </cell>
          <cell r="BK253">
            <v>0.35</v>
          </cell>
          <cell r="BL253" t="str">
            <v>ND</v>
          </cell>
          <cell r="BM253" t="str">
            <v>ND</v>
          </cell>
          <cell r="BN253" t="str">
            <v>ND</v>
          </cell>
          <cell r="BO253" t="str">
            <v>ND</v>
          </cell>
          <cell r="BP253">
            <v>0.32</v>
          </cell>
          <cell r="BQ253" t="str">
            <v>ND</v>
          </cell>
          <cell r="BR253" t="str">
            <v>ND</v>
          </cell>
          <cell r="BS253" t="str">
            <v>ND</v>
          </cell>
          <cell r="BT253" t="str">
            <v>ND</v>
          </cell>
          <cell r="BU253">
            <v>0.32</v>
          </cell>
          <cell r="BV253" t="str">
            <v>ND</v>
          </cell>
          <cell r="BW253" t="str">
            <v>ND</v>
          </cell>
          <cell r="BX253" t="str">
            <v>ND</v>
          </cell>
          <cell r="BY253" t="str">
            <v>ND</v>
          </cell>
          <cell r="BZ253">
            <v>0.32</v>
          </cell>
          <cell r="CA253" t="str">
            <v>ND</v>
          </cell>
          <cell r="CB253" t="str">
            <v>ND</v>
          </cell>
          <cell r="CC253" t="str">
            <v>ND</v>
          </cell>
          <cell r="CD253" t="str">
            <v>ND</v>
          </cell>
          <cell r="CE253">
            <v>0.32</v>
          </cell>
          <cell r="CF253" t="str">
            <v>ND</v>
          </cell>
          <cell r="CG253" t="str">
            <v>ND</v>
          </cell>
          <cell r="CH253" t="str">
            <v>ND</v>
          </cell>
          <cell r="CI253" t="str">
            <v>ND</v>
          </cell>
          <cell r="CJ253">
            <v>0.31</v>
          </cell>
          <cell r="CK253">
            <v>0.28418611600943483</v>
          </cell>
          <cell r="CL253">
            <v>0.29320781409998337</v>
          </cell>
          <cell r="CM253">
            <v>0.27285154853390875</v>
          </cell>
        </row>
        <row r="254">
          <cell r="B254" t="str">
            <v>Medicaid</v>
          </cell>
          <cell r="D254" t="str">
            <v>ND</v>
          </cell>
          <cell r="E254">
            <v>0.11000000000000001</v>
          </cell>
          <cell r="F254">
            <v>0.10999999999999999</v>
          </cell>
          <cell r="G254">
            <v>0.12000000000000001</v>
          </cell>
          <cell r="H254">
            <v>0.12</v>
          </cell>
          <cell r="I254">
            <v>0.12</v>
          </cell>
          <cell r="J254">
            <v>0.13</v>
          </cell>
          <cell r="K254">
            <v>0.14000000000000001</v>
          </cell>
          <cell r="L254">
            <v>0.13</v>
          </cell>
          <cell r="M254" t="str">
            <v>ND</v>
          </cell>
          <cell r="N254" t="str">
            <v>ND</v>
          </cell>
          <cell r="O254" t="str">
            <v>ND</v>
          </cell>
          <cell r="P254" t="str">
            <v>ND</v>
          </cell>
          <cell r="Q254">
            <v>0.12</v>
          </cell>
          <cell r="R254" t="str">
            <v>ND</v>
          </cell>
          <cell r="S254" t="str">
            <v>ND</v>
          </cell>
          <cell r="T254" t="str">
            <v>ND</v>
          </cell>
          <cell r="U254" t="str">
            <v>ND</v>
          </cell>
          <cell r="V254">
            <v>0.11999999999999998</v>
          </cell>
          <cell r="W254" t="str">
            <v>ND</v>
          </cell>
          <cell r="X254" t="str">
            <v>ND</v>
          </cell>
          <cell r="Y254" t="str">
            <v>ND</v>
          </cell>
          <cell r="Z254" t="str">
            <v>ND</v>
          </cell>
          <cell r="AA254">
            <v>0.12000000000000001</v>
          </cell>
          <cell r="AB254" t="str">
            <v>ND</v>
          </cell>
          <cell r="AC254" t="str">
            <v>ND</v>
          </cell>
          <cell r="AD254" t="str">
            <v>ND</v>
          </cell>
          <cell r="AE254" t="str">
            <v>ND</v>
          </cell>
          <cell r="AF254">
            <v>0.09</v>
          </cell>
          <cell r="AG254" t="str">
            <v>ND</v>
          </cell>
          <cell r="AH254" t="str">
            <v>ND</v>
          </cell>
          <cell r="AI254" t="str">
            <v>ND</v>
          </cell>
          <cell r="AJ254" t="str">
            <v>ND</v>
          </cell>
          <cell r="AK254">
            <v>0.09</v>
          </cell>
          <cell r="AL254" t="str">
            <v>ND</v>
          </cell>
          <cell r="AM254" t="str">
            <v>ND</v>
          </cell>
          <cell r="AN254" t="str">
            <v>ND</v>
          </cell>
          <cell r="AO254" t="str">
            <v>ND</v>
          </cell>
          <cell r="AP254">
            <v>8.9999999999999983E-2</v>
          </cell>
          <cell r="AQ254" t="str">
            <v>ND</v>
          </cell>
          <cell r="AR254" t="str">
            <v>ND</v>
          </cell>
          <cell r="AS254" t="str">
            <v>ND</v>
          </cell>
          <cell r="AT254" t="str">
            <v>ND</v>
          </cell>
          <cell r="AU254">
            <v>0.10000000000000002</v>
          </cell>
          <cell r="AW254" t="str">
            <v>ND</v>
          </cell>
          <cell r="AX254" t="str">
            <v>ND</v>
          </cell>
          <cell r="AY254" t="str">
            <v>ND</v>
          </cell>
          <cell r="AZ254" t="str">
            <v>ND</v>
          </cell>
          <cell r="BB254" t="str">
            <v>ND</v>
          </cell>
          <cell r="BC254" t="str">
            <v>ND</v>
          </cell>
          <cell r="BD254" t="str">
            <v>ND</v>
          </cell>
          <cell r="BE254" t="str">
            <v>ND</v>
          </cell>
          <cell r="BG254" t="str">
            <v>ND</v>
          </cell>
          <cell r="BH254" t="str">
            <v>ND</v>
          </cell>
          <cell r="BI254" t="str">
            <v>ND</v>
          </cell>
          <cell r="BJ254" t="str">
            <v>ND</v>
          </cell>
          <cell r="BK254">
            <v>0.09</v>
          </cell>
          <cell r="BL254" t="str">
            <v>ND</v>
          </cell>
          <cell r="BM254" t="str">
            <v>ND</v>
          </cell>
          <cell r="BN254" t="str">
            <v>ND</v>
          </cell>
          <cell r="BO254" t="str">
            <v>ND</v>
          </cell>
          <cell r="BP254">
            <v>0.08</v>
          </cell>
          <cell r="BQ254" t="str">
            <v>ND</v>
          </cell>
          <cell r="BR254" t="str">
            <v>ND</v>
          </cell>
          <cell r="BS254" t="str">
            <v>ND</v>
          </cell>
          <cell r="BT254" t="str">
            <v>ND</v>
          </cell>
          <cell r="BU254">
            <v>0.08</v>
          </cell>
          <cell r="BV254" t="str">
            <v>ND</v>
          </cell>
          <cell r="BW254" t="str">
            <v>ND</v>
          </cell>
          <cell r="BX254" t="str">
            <v>ND</v>
          </cell>
          <cell r="BY254" t="str">
            <v>ND</v>
          </cell>
          <cell r="BZ254">
            <v>0.09</v>
          </cell>
          <cell r="CA254" t="str">
            <v>ND</v>
          </cell>
          <cell r="CB254" t="str">
            <v>ND</v>
          </cell>
          <cell r="CC254" t="str">
            <v>ND</v>
          </cell>
          <cell r="CD254" t="str">
            <v>ND</v>
          </cell>
          <cell r="CE254">
            <v>0.09</v>
          </cell>
          <cell r="CF254" t="str">
            <v>ND</v>
          </cell>
          <cell r="CG254" t="str">
            <v>ND</v>
          </cell>
          <cell r="CH254" t="str">
            <v>ND</v>
          </cell>
          <cell r="CI254" t="str">
            <v>ND</v>
          </cell>
          <cell r="CJ254">
            <v>0.09</v>
          </cell>
          <cell r="CK254">
            <v>9.4211268424054764E-2</v>
          </cell>
          <cell r="CL254">
            <v>7.0948171434907309E-2</v>
          </cell>
          <cell r="CM254">
            <v>8.8241285384394907E-2</v>
          </cell>
        </row>
        <row r="255">
          <cell r="B255" t="str">
            <v>Commercial insurance</v>
          </cell>
          <cell r="D255" t="str">
            <v>ND</v>
          </cell>
          <cell r="E255">
            <v>0.41</v>
          </cell>
          <cell r="F255">
            <v>0.39</v>
          </cell>
          <cell r="G255">
            <v>0.37</v>
          </cell>
          <cell r="H255">
            <v>0.34999999999999992</v>
          </cell>
          <cell r="I255">
            <v>0.33</v>
          </cell>
          <cell r="J255">
            <v>0.35</v>
          </cell>
          <cell r="K255">
            <v>0.34</v>
          </cell>
          <cell r="L255">
            <v>0.38</v>
          </cell>
          <cell r="M255" t="str">
            <v>ND</v>
          </cell>
          <cell r="N255" t="str">
            <v>ND</v>
          </cell>
          <cell r="O255" t="str">
            <v>ND</v>
          </cell>
          <cell r="P255" t="str">
            <v>ND</v>
          </cell>
          <cell r="Q255">
            <v>0.41</v>
          </cell>
          <cell r="R255" t="str">
            <v>ND</v>
          </cell>
          <cell r="S255" t="str">
            <v>ND</v>
          </cell>
          <cell r="T255" t="str">
            <v>ND</v>
          </cell>
          <cell r="U255" t="str">
            <v>ND</v>
          </cell>
          <cell r="V255">
            <v>0.4</v>
          </cell>
          <cell r="W255" t="str">
            <v>ND</v>
          </cell>
          <cell r="X255" t="str">
            <v>ND</v>
          </cell>
          <cell r="Y255" t="str">
            <v>ND</v>
          </cell>
          <cell r="Z255" t="str">
            <v>ND</v>
          </cell>
          <cell r="AA255">
            <v>0.41000000000000003</v>
          </cell>
          <cell r="AB255" t="str">
            <v>ND</v>
          </cell>
          <cell r="AC255" t="str">
            <v>ND</v>
          </cell>
          <cell r="AD255" t="str">
            <v>ND</v>
          </cell>
          <cell r="AE255" t="str">
            <v>ND</v>
          </cell>
          <cell r="AF255">
            <v>0.53</v>
          </cell>
          <cell r="AG255" t="str">
            <v>ND</v>
          </cell>
          <cell r="AH255" t="str">
            <v>ND</v>
          </cell>
          <cell r="AI255" t="str">
            <v>ND</v>
          </cell>
          <cell r="AJ255" t="str">
            <v>ND</v>
          </cell>
          <cell r="AK255">
            <v>0.47</v>
          </cell>
          <cell r="AL255" t="str">
            <v>ND</v>
          </cell>
          <cell r="AM255" t="str">
            <v>ND</v>
          </cell>
          <cell r="AN255" t="str">
            <v>ND</v>
          </cell>
          <cell r="AO255" t="str">
            <v>ND</v>
          </cell>
          <cell r="AP255">
            <v>0.46</v>
          </cell>
          <cell r="AQ255" t="str">
            <v>ND</v>
          </cell>
          <cell r="AR255" t="str">
            <v>ND</v>
          </cell>
          <cell r="AS255" t="str">
            <v>ND</v>
          </cell>
          <cell r="AT255" t="str">
            <v>ND</v>
          </cell>
          <cell r="AU255">
            <v>0.47000000000000003</v>
          </cell>
          <cell r="AW255" t="str">
            <v>ND</v>
          </cell>
          <cell r="AX255" t="str">
            <v>ND</v>
          </cell>
          <cell r="AY255" t="str">
            <v>ND</v>
          </cell>
          <cell r="AZ255" t="str">
            <v>ND</v>
          </cell>
          <cell r="BB255" t="str">
            <v>ND</v>
          </cell>
          <cell r="BC255" t="str">
            <v>ND</v>
          </cell>
          <cell r="BD255" t="str">
            <v>ND</v>
          </cell>
          <cell r="BE255" t="str">
            <v>ND</v>
          </cell>
          <cell r="BG255" t="str">
            <v>ND</v>
          </cell>
          <cell r="BH255" t="str">
            <v>ND</v>
          </cell>
          <cell r="BI255" t="str">
            <v>ND</v>
          </cell>
          <cell r="BJ255" t="str">
            <v>ND</v>
          </cell>
          <cell r="BK255">
            <v>0.47</v>
          </cell>
          <cell r="BL255" t="str">
            <v>ND</v>
          </cell>
          <cell r="BM255" t="str">
            <v>ND</v>
          </cell>
          <cell r="BN255" t="str">
            <v>ND</v>
          </cell>
          <cell r="BO255" t="str">
            <v>ND</v>
          </cell>
          <cell r="BP255">
            <v>0.5</v>
          </cell>
          <cell r="BQ255" t="str">
            <v>ND</v>
          </cell>
          <cell r="BR255" t="str">
            <v>ND</v>
          </cell>
          <cell r="BS255" t="str">
            <v>ND</v>
          </cell>
          <cell r="BT255" t="str">
            <v>ND</v>
          </cell>
          <cell r="BU255">
            <v>0.51</v>
          </cell>
          <cell r="BV255" t="str">
            <v>ND</v>
          </cell>
          <cell r="BW255" t="str">
            <v>ND</v>
          </cell>
          <cell r="BX255" t="str">
            <v>ND</v>
          </cell>
          <cell r="BY255" t="str">
            <v>ND</v>
          </cell>
          <cell r="BZ255">
            <v>0.49</v>
          </cell>
          <cell r="CA255" t="str">
            <v>ND</v>
          </cell>
          <cell r="CB255" t="str">
            <v>ND</v>
          </cell>
          <cell r="CC255" t="str">
            <v>ND</v>
          </cell>
          <cell r="CD255" t="str">
            <v>ND</v>
          </cell>
          <cell r="CE255">
            <v>0.5</v>
          </cell>
          <cell r="CF255" t="str">
            <v>ND</v>
          </cell>
          <cell r="CG255" t="str">
            <v>ND</v>
          </cell>
          <cell r="CH255" t="str">
            <v>ND</v>
          </cell>
          <cell r="CI255" t="str">
            <v>ND</v>
          </cell>
          <cell r="CJ255">
            <v>0.5</v>
          </cell>
          <cell r="CK255">
            <v>0.49446136951992209</v>
          </cell>
          <cell r="CL255">
            <v>0.48732168384877689</v>
          </cell>
          <cell r="CM255">
            <v>0.5060945674975228</v>
          </cell>
        </row>
        <row r="256">
          <cell r="B256" t="str">
            <v>Self−pay</v>
          </cell>
          <cell r="D256" t="str">
            <v>ND</v>
          </cell>
          <cell r="E256">
            <v>0</v>
          </cell>
          <cell r="F256">
            <v>0</v>
          </cell>
          <cell r="G256">
            <v>0</v>
          </cell>
          <cell r="H256">
            <v>0</v>
          </cell>
          <cell r="I256">
            <v>0</v>
          </cell>
          <cell r="J256">
            <v>0</v>
          </cell>
          <cell r="K256">
            <v>0</v>
          </cell>
          <cell r="L256">
            <v>0</v>
          </cell>
          <cell r="M256" t="str">
            <v>ND</v>
          </cell>
          <cell r="N256" t="str">
            <v>ND</v>
          </cell>
          <cell r="O256" t="str">
            <v>ND</v>
          </cell>
          <cell r="P256" t="str">
            <v>ND</v>
          </cell>
          <cell r="Q256">
            <v>0</v>
          </cell>
          <cell r="R256" t="str">
            <v>ND</v>
          </cell>
          <cell r="S256" t="str">
            <v>ND</v>
          </cell>
          <cell r="T256" t="str">
            <v>ND</v>
          </cell>
          <cell r="U256" t="str">
            <v>ND</v>
          </cell>
          <cell r="V256">
            <v>0</v>
          </cell>
          <cell r="W256" t="str">
            <v>ND</v>
          </cell>
          <cell r="X256" t="str">
            <v>ND</v>
          </cell>
          <cell r="Y256" t="str">
            <v>ND</v>
          </cell>
          <cell r="Z256" t="str">
            <v>ND</v>
          </cell>
          <cell r="AA256">
            <v>0</v>
          </cell>
          <cell r="AB256" t="str">
            <v>ND</v>
          </cell>
          <cell r="AC256" t="str">
            <v>ND</v>
          </cell>
          <cell r="AD256" t="str">
            <v>ND</v>
          </cell>
          <cell r="AE256" t="str">
            <v>ND</v>
          </cell>
          <cell r="AF256">
            <v>0</v>
          </cell>
          <cell r="AG256" t="str">
            <v>ND</v>
          </cell>
          <cell r="AH256" t="str">
            <v>ND</v>
          </cell>
          <cell r="AI256" t="str">
            <v>ND</v>
          </cell>
          <cell r="AJ256" t="str">
            <v>ND</v>
          </cell>
          <cell r="AK256">
            <v>0.09</v>
          </cell>
          <cell r="AL256" t="str">
            <v>ND</v>
          </cell>
          <cell r="AM256" t="str">
            <v>ND</v>
          </cell>
          <cell r="AN256" t="str">
            <v>ND</v>
          </cell>
          <cell r="AO256" t="str">
            <v>ND</v>
          </cell>
          <cell r="AP256">
            <v>0.1</v>
          </cell>
          <cell r="AQ256" t="str">
            <v>ND</v>
          </cell>
          <cell r="AR256" t="str">
            <v>ND</v>
          </cell>
          <cell r="AS256" t="str">
            <v>ND</v>
          </cell>
          <cell r="AT256" t="str">
            <v>ND</v>
          </cell>
          <cell r="AU256">
            <v>0.08</v>
          </cell>
          <cell r="AW256" t="str">
            <v>ND</v>
          </cell>
          <cell r="AX256" t="str">
            <v>ND</v>
          </cell>
          <cell r="AY256" t="str">
            <v>ND</v>
          </cell>
          <cell r="AZ256" t="str">
            <v>ND</v>
          </cell>
          <cell r="BB256" t="str">
            <v>ND</v>
          </cell>
          <cell r="BC256" t="str">
            <v>ND</v>
          </cell>
          <cell r="BD256" t="str">
            <v>ND</v>
          </cell>
          <cell r="BE256" t="str">
            <v>ND</v>
          </cell>
          <cell r="BG256" t="str">
            <v>ND</v>
          </cell>
          <cell r="BH256" t="str">
            <v>ND</v>
          </cell>
          <cell r="BI256" t="str">
            <v>ND</v>
          </cell>
          <cell r="BJ256" t="str">
            <v>ND</v>
          </cell>
          <cell r="BK256">
            <v>0.09</v>
          </cell>
          <cell r="BL256" t="str">
            <v>ND</v>
          </cell>
          <cell r="BM256" t="str">
            <v>ND</v>
          </cell>
          <cell r="BN256" t="str">
            <v>ND</v>
          </cell>
          <cell r="BO256" t="str">
            <v>ND</v>
          </cell>
          <cell r="BP256">
            <v>0.1</v>
          </cell>
          <cell r="BQ256" t="str">
            <v>ND</v>
          </cell>
          <cell r="BR256" t="str">
            <v>ND</v>
          </cell>
          <cell r="BS256" t="str">
            <v>ND</v>
          </cell>
          <cell r="BT256" t="str">
            <v>ND</v>
          </cell>
          <cell r="BU256">
            <v>0.09</v>
          </cell>
          <cell r="BV256" t="str">
            <v>ND</v>
          </cell>
          <cell r="BW256" t="str">
            <v>ND</v>
          </cell>
          <cell r="BX256" t="str">
            <v>ND</v>
          </cell>
          <cell r="BY256" t="str">
            <v>ND</v>
          </cell>
          <cell r="BZ256">
            <v>0.1</v>
          </cell>
          <cell r="CA256" t="str">
            <v>ND</v>
          </cell>
          <cell r="CB256" t="str">
            <v>ND</v>
          </cell>
          <cell r="CC256" t="str">
            <v>ND</v>
          </cell>
          <cell r="CD256" t="str">
            <v>ND</v>
          </cell>
          <cell r="CE256">
            <v>0.09</v>
          </cell>
          <cell r="CF256" t="str">
            <v>ND</v>
          </cell>
          <cell r="CG256" t="str">
            <v>ND</v>
          </cell>
          <cell r="CH256" t="str">
            <v>ND</v>
          </cell>
          <cell r="CI256" t="str">
            <v>ND</v>
          </cell>
          <cell r="CJ256">
            <v>0.1</v>
          </cell>
          <cell r="CK256">
            <v>9.7993024681622132E-2</v>
          </cell>
          <cell r="CL256">
            <v>0.11150040230270121</v>
          </cell>
          <cell r="CM256">
            <v>0.11911101336568547</v>
          </cell>
        </row>
        <row r="257">
          <cell r="B257" t="str">
            <v>Other</v>
          </cell>
          <cell r="D257" t="str">
            <v>ND</v>
          </cell>
          <cell r="E257">
            <v>0</v>
          </cell>
          <cell r="F257">
            <v>0</v>
          </cell>
          <cell r="G257">
            <v>0</v>
          </cell>
          <cell r="H257">
            <v>0</v>
          </cell>
          <cell r="I257">
            <v>0</v>
          </cell>
          <cell r="J257">
            <v>0</v>
          </cell>
          <cell r="K257">
            <v>0</v>
          </cell>
          <cell r="L257">
            <v>0</v>
          </cell>
          <cell r="M257" t="str">
            <v>ND</v>
          </cell>
          <cell r="N257" t="str">
            <v>ND</v>
          </cell>
          <cell r="O257" t="str">
            <v>ND</v>
          </cell>
          <cell r="P257" t="str">
            <v>ND</v>
          </cell>
          <cell r="Q257">
            <v>0</v>
          </cell>
          <cell r="R257" t="str">
            <v>ND</v>
          </cell>
          <cell r="S257" t="str">
            <v>ND</v>
          </cell>
          <cell r="T257" t="str">
            <v>ND</v>
          </cell>
          <cell r="U257" t="str">
            <v>ND</v>
          </cell>
          <cell r="V257">
            <v>0</v>
          </cell>
          <cell r="W257" t="str">
            <v>ND</v>
          </cell>
          <cell r="X257" t="str">
            <v>ND</v>
          </cell>
          <cell r="Y257" t="str">
            <v>ND</v>
          </cell>
          <cell r="Z257" t="str">
            <v>ND</v>
          </cell>
          <cell r="AA257">
            <v>0</v>
          </cell>
          <cell r="AB257" t="str">
            <v>ND</v>
          </cell>
          <cell r="AC257" t="str">
            <v>ND</v>
          </cell>
          <cell r="AD257" t="str">
            <v>ND</v>
          </cell>
          <cell r="AE257" t="str">
            <v>ND</v>
          </cell>
          <cell r="AF257">
            <v>0</v>
          </cell>
          <cell r="AG257" t="str">
            <v>ND</v>
          </cell>
          <cell r="AH257" t="str">
            <v>ND</v>
          </cell>
          <cell r="AI257" t="str">
            <v>ND</v>
          </cell>
          <cell r="AJ257" t="str">
            <v>ND</v>
          </cell>
          <cell r="AK257">
            <v>0</v>
          </cell>
          <cell r="AL257" t="str">
            <v>ND</v>
          </cell>
          <cell r="AM257" t="str">
            <v>ND</v>
          </cell>
          <cell r="AN257" t="str">
            <v>ND</v>
          </cell>
          <cell r="AO257" t="str">
            <v>ND</v>
          </cell>
          <cell r="AP257">
            <v>0</v>
          </cell>
          <cell r="AQ257" t="str">
            <v>ND</v>
          </cell>
          <cell r="AR257" t="str">
            <v>ND</v>
          </cell>
          <cell r="AS257" t="str">
            <v>ND</v>
          </cell>
          <cell r="AT257" t="str">
            <v>ND</v>
          </cell>
          <cell r="AU257">
            <v>0</v>
          </cell>
          <cell r="AW257" t="str">
            <v>ND</v>
          </cell>
          <cell r="AX257" t="str">
            <v>ND</v>
          </cell>
          <cell r="AY257" t="str">
            <v>ND</v>
          </cell>
          <cell r="AZ257" t="str">
            <v>ND</v>
          </cell>
          <cell r="BB257" t="str">
            <v>ND</v>
          </cell>
          <cell r="BC257" t="str">
            <v>ND</v>
          </cell>
          <cell r="BD257" t="str">
            <v>ND</v>
          </cell>
          <cell r="BE257" t="str">
            <v>ND</v>
          </cell>
          <cell r="BG257" t="str">
            <v>ND</v>
          </cell>
          <cell r="BH257" t="str">
            <v>ND</v>
          </cell>
          <cell r="BI257" t="str">
            <v>ND</v>
          </cell>
          <cell r="BJ257" t="str">
            <v>ND</v>
          </cell>
          <cell r="BK257">
            <v>0</v>
          </cell>
          <cell r="BL257" t="str">
            <v>ND</v>
          </cell>
          <cell r="BM257" t="str">
            <v>ND</v>
          </cell>
          <cell r="BN257" t="str">
            <v>ND</v>
          </cell>
          <cell r="BO257" t="str">
            <v>ND</v>
          </cell>
          <cell r="BP257">
            <v>0</v>
          </cell>
          <cell r="BQ257" t="str">
            <v>ND</v>
          </cell>
          <cell r="BR257" t="str">
            <v>ND</v>
          </cell>
          <cell r="BS257" t="str">
            <v>ND</v>
          </cell>
          <cell r="BT257" t="str">
            <v>ND</v>
          </cell>
          <cell r="BU257">
            <v>0</v>
          </cell>
          <cell r="BV257" t="str">
            <v>ND</v>
          </cell>
          <cell r="BW257" t="str">
            <v>ND</v>
          </cell>
          <cell r="BX257" t="str">
            <v>ND</v>
          </cell>
          <cell r="BY257" t="str">
            <v>ND</v>
          </cell>
          <cell r="BZ257">
            <v>0</v>
          </cell>
          <cell r="CA257" t="str">
            <v>ND</v>
          </cell>
          <cell r="CB257" t="str">
            <v>ND</v>
          </cell>
          <cell r="CC257" t="str">
            <v>ND</v>
          </cell>
          <cell r="CD257" t="str">
            <v>ND</v>
          </cell>
          <cell r="CE257">
            <v>0</v>
          </cell>
          <cell r="CF257" t="str">
            <v>ND</v>
          </cell>
          <cell r="CG257" t="str">
            <v>ND</v>
          </cell>
          <cell r="CH257" t="str">
            <v>ND</v>
          </cell>
          <cell r="CI257" t="str">
            <v>ND</v>
          </cell>
          <cell r="CJ257">
            <v>0</v>
          </cell>
          <cell r="CK257">
            <v>2.914822136496616E-2</v>
          </cell>
          <cell r="CL257">
            <v>3.7021928313631269E-2</v>
          </cell>
          <cell r="CM257">
            <v>1.3701585218488067E-2</v>
          </cell>
        </row>
        <row r="258">
          <cell r="B258" t="str">
            <v>TOTAL</v>
          </cell>
          <cell r="D258" t="str">
            <v>ND</v>
          </cell>
          <cell r="E258">
            <v>1</v>
          </cell>
          <cell r="F258">
            <v>1</v>
          </cell>
          <cell r="G258">
            <v>1</v>
          </cell>
          <cell r="H258">
            <v>1</v>
          </cell>
          <cell r="I258">
            <v>1</v>
          </cell>
          <cell r="J258">
            <v>1</v>
          </cell>
          <cell r="K258">
            <v>1</v>
          </cell>
          <cell r="L258">
            <v>1</v>
          </cell>
          <cell r="M258" t="str">
            <v>ND</v>
          </cell>
          <cell r="N258" t="str">
            <v>ND</v>
          </cell>
          <cell r="O258" t="str">
            <v>ND</v>
          </cell>
          <cell r="P258" t="str">
            <v>ND</v>
          </cell>
          <cell r="Q258">
            <v>0.99999999999999978</v>
          </cell>
          <cell r="R258" t="str">
            <v>ND</v>
          </cell>
          <cell r="S258" t="str">
            <v>ND</v>
          </cell>
          <cell r="T258" t="str">
            <v>ND</v>
          </cell>
          <cell r="U258" t="str">
            <v>ND</v>
          </cell>
          <cell r="V258">
            <v>0.99999999999999989</v>
          </cell>
          <cell r="W258" t="str">
            <v>ND</v>
          </cell>
          <cell r="X258" t="str">
            <v>ND</v>
          </cell>
          <cell r="Y258" t="str">
            <v>ND</v>
          </cell>
          <cell r="Z258" t="str">
            <v>ND</v>
          </cell>
          <cell r="AA258">
            <v>1</v>
          </cell>
          <cell r="AB258" t="str">
            <v>ND</v>
          </cell>
          <cell r="AC258" t="str">
            <v>ND</v>
          </cell>
          <cell r="AD258" t="str">
            <v>ND</v>
          </cell>
          <cell r="AE258" t="str">
            <v>ND</v>
          </cell>
          <cell r="AF258">
            <v>1</v>
          </cell>
          <cell r="AG258" t="str">
            <v>ND</v>
          </cell>
          <cell r="AH258" t="str">
            <v>ND</v>
          </cell>
          <cell r="AI258" t="str">
            <v>ND</v>
          </cell>
          <cell r="AJ258" t="str">
            <v>ND</v>
          </cell>
          <cell r="AK258">
            <v>0.99999999999999989</v>
          </cell>
          <cell r="AL258" t="str">
            <v>ND</v>
          </cell>
          <cell r="AM258" t="str">
            <v>ND</v>
          </cell>
          <cell r="AN258" t="str">
            <v>ND</v>
          </cell>
          <cell r="AO258" t="str">
            <v>ND</v>
          </cell>
          <cell r="AP258">
            <v>0.99999999999999989</v>
          </cell>
          <cell r="AQ258" t="str">
            <v>ND</v>
          </cell>
          <cell r="AR258" t="str">
            <v>ND</v>
          </cell>
          <cell r="AS258" t="str">
            <v>ND</v>
          </cell>
          <cell r="AT258" t="str">
            <v>ND</v>
          </cell>
          <cell r="AU258">
            <v>0.99999999999999989</v>
          </cell>
          <cell r="AW258" t="str">
            <v>ND</v>
          </cell>
          <cell r="AX258" t="str">
            <v>ND</v>
          </cell>
          <cell r="AY258" t="str">
            <v>ND</v>
          </cell>
          <cell r="AZ258" t="str">
            <v>ND</v>
          </cell>
          <cell r="BB258" t="str">
            <v>ND</v>
          </cell>
          <cell r="BC258" t="str">
            <v>ND</v>
          </cell>
          <cell r="BD258" t="str">
            <v>ND</v>
          </cell>
          <cell r="BE258" t="str">
            <v>ND</v>
          </cell>
          <cell r="BG258" t="str">
            <v>ND</v>
          </cell>
          <cell r="BH258" t="str">
            <v>ND</v>
          </cell>
          <cell r="BI258" t="str">
            <v>ND</v>
          </cell>
          <cell r="BJ258" t="str">
            <v>ND</v>
          </cell>
          <cell r="BK258">
            <v>0.99999999999999989</v>
          </cell>
          <cell r="BL258" t="str">
            <v>ND</v>
          </cell>
          <cell r="BM258" t="str">
            <v>ND</v>
          </cell>
          <cell r="BN258" t="str">
            <v>ND</v>
          </cell>
          <cell r="BO258" t="str">
            <v>ND</v>
          </cell>
          <cell r="BP258">
            <v>1</v>
          </cell>
          <cell r="BQ258" t="str">
            <v>ND</v>
          </cell>
          <cell r="BR258" t="str">
            <v>ND</v>
          </cell>
          <cell r="BS258" t="str">
            <v>ND</v>
          </cell>
          <cell r="BT258" t="str">
            <v>ND</v>
          </cell>
          <cell r="BU258">
            <v>1</v>
          </cell>
          <cell r="BV258" t="str">
            <v>ND</v>
          </cell>
          <cell r="BW258" t="str">
            <v>ND</v>
          </cell>
          <cell r="BX258" t="str">
            <v>ND</v>
          </cell>
          <cell r="BY258" t="str">
            <v>ND</v>
          </cell>
          <cell r="BZ258">
            <v>1</v>
          </cell>
          <cell r="CA258" t="str">
            <v>ND</v>
          </cell>
          <cell r="CB258" t="str">
            <v>ND</v>
          </cell>
          <cell r="CC258" t="str">
            <v>ND</v>
          </cell>
          <cell r="CD258" t="str">
            <v>ND</v>
          </cell>
          <cell r="CE258">
            <v>1</v>
          </cell>
          <cell r="CF258" t="str">
            <v>ND</v>
          </cell>
          <cell r="CG258" t="str">
            <v>ND</v>
          </cell>
          <cell r="CH258" t="str">
            <v>ND</v>
          </cell>
          <cell r="CI258" t="str">
            <v>ND</v>
          </cell>
          <cell r="CJ258">
            <v>1</v>
          </cell>
          <cell r="CK258">
            <v>0.99999999999999989</v>
          </cell>
          <cell r="CL258">
            <v>1</v>
          </cell>
          <cell r="CM258">
            <v>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refreshError="1">
        <row r="1">
          <cell r="A1" t="str">
            <v>HMA</v>
          </cell>
        </row>
        <row r="2">
          <cell r="A2">
            <v>41284</v>
          </cell>
        </row>
        <row r="4">
          <cell r="B4" t="str">
            <v>HMA Q1 Comps Table</v>
          </cell>
          <cell r="C4" t="str">
            <v>Historicals</v>
          </cell>
          <cell r="K4" t="str">
            <v>Trends</v>
          </cell>
        </row>
        <row r="5">
          <cell r="B5" t="str">
            <v>($ millions, enrollment 000's)</v>
          </cell>
          <cell r="C5" t="str">
            <v>1Q11A</v>
          </cell>
          <cell r="D5" t="str">
            <v>4Q11A</v>
          </cell>
          <cell r="F5" t="str">
            <v>1Q12E</v>
          </cell>
          <cell r="G5" t="str">
            <v>1Q12A</v>
          </cell>
          <cell r="I5" t="str">
            <v>A. vs E</v>
          </cell>
          <cell r="K5" t="str">
            <v>Q-Q ΔE</v>
          </cell>
          <cell r="L5" t="str">
            <v>YOY ΔE</v>
          </cell>
        </row>
        <row r="7">
          <cell r="B7" t="str">
            <v>Revenue</v>
          </cell>
          <cell r="C7">
            <v>1433.6410000000001</v>
          </cell>
          <cell r="D7">
            <v>1583.7739999999999</v>
          </cell>
          <cell r="F7">
            <v>1686.518</v>
          </cell>
          <cell r="G7">
            <v>1686.518</v>
          </cell>
          <cell r="I7">
            <v>0</v>
          </cell>
          <cell r="K7">
            <v>6.4872892218208023E-2</v>
          </cell>
          <cell r="L7">
            <v>0.17638795207447333</v>
          </cell>
        </row>
        <row r="8">
          <cell r="B8" t="str">
            <v>Salaries &amp; benefits</v>
          </cell>
          <cell r="C8">
            <v>571.39300000000003</v>
          </cell>
          <cell r="D8">
            <v>637.75099999999998</v>
          </cell>
          <cell r="F8">
            <v>659.08399999999995</v>
          </cell>
          <cell r="G8">
            <v>659.08399999999995</v>
          </cell>
          <cell r="I8">
            <v>0</v>
          </cell>
          <cell r="K8">
            <v>3.3450359152709996E-2</v>
          </cell>
          <cell r="L8">
            <v>0.15346880343301361</v>
          </cell>
        </row>
        <row r="9">
          <cell r="B9" t="str">
            <v>Supplies &amp; other</v>
          </cell>
          <cell r="C9">
            <v>195.00299999999999</v>
          </cell>
          <cell r="D9">
            <v>216.35</v>
          </cell>
          <cell r="F9">
            <v>234.44300000000001</v>
          </cell>
          <cell r="G9">
            <v>234.44300000000001</v>
          </cell>
          <cell r="I9">
            <v>0</v>
          </cell>
          <cell r="K9">
            <v>8.3628379939912234E-2</v>
          </cell>
          <cell r="L9">
            <v>0.2022532986672001</v>
          </cell>
        </row>
        <row r="10">
          <cell r="B10" t="str">
            <v>Other operating expenses</v>
          </cell>
          <cell r="C10">
            <v>243.99600000000001</v>
          </cell>
          <cell r="D10">
            <v>305.86500000000001</v>
          </cell>
          <cell r="F10">
            <v>311.77999999999997</v>
          </cell>
          <cell r="G10">
            <v>311.77999999999997</v>
          </cell>
          <cell r="I10">
            <v>0</v>
          </cell>
          <cell r="K10">
            <v>1.933859709348873E-2</v>
          </cell>
          <cell r="L10">
            <v>0.27780783291529354</v>
          </cell>
        </row>
        <row r="11">
          <cell r="B11" t="str">
            <v>Provision for doubtful accounts</v>
          </cell>
          <cell r="C11">
            <v>172.80199999999999</v>
          </cell>
          <cell r="D11">
            <v>195.12700000000001</v>
          </cell>
          <cell r="F11">
            <v>201.261</v>
          </cell>
          <cell r="G11">
            <v>201.261</v>
          </cell>
          <cell r="I11">
            <v>0</v>
          </cell>
          <cell r="K11">
            <v>3.1435936595140435E-2</v>
          </cell>
          <cell r="L11">
            <v>0.16469138088679536</v>
          </cell>
        </row>
        <row r="12">
          <cell r="B12" t="str">
            <v xml:space="preserve">EBITDAR </v>
          </cell>
          <cell r="C12">
            <v>250.44700000000014</v>
          </cell>
          <cell r="D12">
            <v>266.91399999999987</v>
          </cell>
          <cell r="F12">
            <v>284.54000000000025</v>
          </cell>
          <cell r="G12">
            <v>279.95000000000027</v>
          </cell>
          <cell r="I12">
            <v>-1.6131299641526597E-2</v>
          </cell>
          <cell r="K12">
            <v>4.8839701177159744E-2</v>
          </cell>
          <cell r="L12">
            <v>0.11780137114838718</v>
          </cell>
        </row>
        <row r="13">
          <cell r="B13" t="str">
            <v>Rent expense</v>
          </cell>
          <cell r="C13">
            <v>36.018000000000001</v>
          </cell>
          <cell r="D13">
            <v>43.540999999999997</v>
          </cell>
          <cell r="F13">
            <v>45.024999999999999</v>
          </cell>
          <cell r="G13">
            <v>45.024999999999999</v>
          </cell>
          <cell r="I13">
            <v>0</v>
          </cell>
          <cell r="K13">
            <v>3.4082818492914724E-2</v>
          </cell>
          <cell r="L13">
            <v>0.25006940973957459</v>
          </cell>
          <cell r="O13" t="str">
            <v>EPS</v>
          </cell>
          <cell r="P13">
            <v>0.23</v>
          </cell>
        </row>
        <row r="14">
          <cell r="B14" t="str">
            <v xml:space="preserve">HCIT incentive payments </v>
          </cell>
          <cell r="F14">
            <v>-4.59</v>
          </cell>
          <cell r="G14">
            <v>-4.59</v>
          </cell>
          <cell r="O14" t="str">
            <v>Revenue</v>
          </cell>
          <cell r="P14">
            <v>1638</v>
          </cell>
          <cell r="Q14" t="str">
            <v>$1582 - $1701</v>
          </cell>
        </row>
        <row r="15">
          <cell r="B15" t="str">
            <v>EBITDA</v>
          </cell>
          <cell r="C15">
            <v>214.42900000000014</v>
          </cell>
          <cell r="D15">
            <v>223.37299999999988</v>
          </cell>
          <cell r="F15">
            <v>239.51500000000027</v>
          </cell>
          <cell r="G15">
            <v>239.51500000000027</v>
          </cell>
          <cell r="I15">
            <v>0</v>
          </cell>
          <cell r="K15">
            <v>7.2264776853068202E-2</v>
          </cell>
          <cell r="L15">
            <v>0.11698977283856249</v>
          </cell>
          <cell r="O15" t="str">
            <v>EBITDA</v>
          </cell>
          <cell r="P15">
            <v>230</v>
          </cell>
          <cell r="Q15" t="str">
            <v>$215-$241</v>
          </cell>
        </row>
        <row r="16">
          <cell r="B16" t="str">
            <v>Depreciation &amp; amortizaton</v>
          </cell>
          <cell r="C16">
            <v>65.372</v>
          </cell>
          <cell r="D16">
            <v>73.465999999999994</v>
          </cell>
          <cell r="F16">
            <v>78.394000000000005</v>
          </cell>
          <cell r="G16">
            <v>78.394000000000005</v>
          </cell>
          <cell r="I16">
            <v>0</v>
          </cell>
          <cell r="K16">
            <v>6.7078648626575754E-2</v>
          </cell>
          <cell r="L16">
            <v>0.19919843358012623</v>
          </cell>
        </row>
        <row r="17">
          <cell r="B17" t="str">
            <v>Operating income</v>
          </cell>
          <cell r="C17">
            <v>149.05700000000013</v>
          </cell>
          <cell r="D17">
            <v>149.90699999999987</v>
          </cell>
          <cell r="F17">
            <v>161.12100000000027</v>
          </cell>
          <cell r="G17">
            <v>161.12100000000027</v>
          </cell>
          <cell r="I17">
            <v>0</v>
          </cell>
          <cell r="K17">
            <v>7.4806379955575153E-2</v>
          </cell>
          <cell r="L17">
            <v>8.0935481057582859E-2</v>
          </cell>
        </row>
        <row r="18">
          <cell r="B18" t="str">
            <v>Interest expense</v>
          </cell>
          <cell r="C18">
            <v>-51.036999999999999</v>
          </cell>
          <cell r="D18">
            <v>-52.826999999999998</v>
          </cell>
          <cell r="F18">
            <v>-88.763000000000005</v>
          </cell>
          <cell r="G18">
            <v>-54.296000000000006</v>
          </cell>
          <cell r="I18">
            <v>-0.38830368509401436</v>
          </cell>
        </row>
        <row r="19">
          <cell r="B19" t="str">
            <v>Interest income</v>
          </cell>
          <cell r="C19">
            <v>0.13400000000000001</v>
          </cell>
          <cell r="D19">
            <v>3.3420000000000001</v>
          </cell>
          <cell r="F19">
            <v>0</v>
          </cell>
          <cell r="I19" t="e">
            <v>#DIV/0!</v>
          </cell>
        </row>
        <row r="20">
          <cell r="B20" t="str">
            <v>Interest expense, net</v>
          </cell>
          <cell r="C20">
            <v>-50.902999999999999</v>
          </cell>
          <cell r="D20">
            <v>-70.659000000000006</v>
          </cell>
          <cell r="F20">
            <v>-88.763000000000005</v>
          </cell>
          <cell r="G20">
            <v>-88.763000000000005</v>
          </cell>
          <cell r="I20">
            <v>0</v>
          </cell>
          <cell r="K20">
            <v>0.25621647631582678</v>
          </cell>
          <cell r="L20">
            <v>0.74376755790424931</v>
          </cell>
        </row>
        <row r="21">
          <cell r="B21" t="str">
            <v>Minority interests</v>
          </cell>
          <cell r="C21" t="e">
            <v>#REF!</v>
          </cell>
          <cell r="D21" t="e">
            <v>#REF!</v>
          </cell>
          <cell r="F21" t="e">
            <v>#REF!</v>
          </cell>
          <cell r="G21">
            <v>-6.9059999999999997</v>
          </cell>
          <cell r="I21" t="e">
            <v>#REF!</v>
          </cell>
          <cell r="K21" t="e">
            <v>#REF!</v>
          </cell>
          <cell r="L21" t="e">
            <v>#REF!</v>
          </cell>
        </row>
        <row r="22">
          <cell r="B22" t="str">
            <v>Gain (loss) on asset sales</v>
          </cell>
          <cell r="C22">
            <v>0.06</v>
          </cell>
          <cell r="D22">
            <v>0</v>
          </cell>
          <cell r="F22">
            <v>0</v>
          </cell>
          <cell r="G22">
            <v>0</v>
          </cell>
          <cell r="I22" t="str">
            <v>nm</v>
          </cell>
          <cell r="K22" t="str">
            <v>nm</v>
          </cell>
          <cell r="L22" t="str">
            <v>nm</v>
          </cell>
        </row>
        <row r="23">
          <cell r="B23" t="str">
            <v>Early debt extinguishment &amp; other</v>
          </cell>
          <cell r="C23">
            <v>0</v>
          </cell>
          <cell r="D23">
            <v>-24.594999999999999</v>
          </cell>
          <cell r="F23">
            <v>0</v>
          </cell>
          <cell r="G23">
            <v>-1.64</v>
          </cell>
          <cell r="I23" t="str">
            <v>nm</v>
          </cell>
          <cell r="K23" t="str">
            <v>nm</v>
          </cell>
          <cell r="L23" t="str">
            <v>nm</v>
          </cell>
        </row>
        <row r="24">
          <cell r="B24" t="str">
            <v>Pretax income</v>
          </cell>
          <cell r="C24">
            <v>98.214000000000141</v>
          </cell>
          <cell r="D24">
            <v>54.640999999999863</v>
          </cell>
          <cell r="F24">
            <v>70.718000000000259</v>
          </cell>
          <cell r="G24">
            <v>63.812000000000253</v>
          </cell>
          <cell r="I24">
            <v>-9.765547668203256E-2</v>
          </cell>
          <cell r="K24">
            <v>0.16784099851760415</v>
          </cell>
          <cell r="L24">
            <v>-0.35027592807542551</v>
          </cell>
        </row>
        <row r="25">
          <cell r="B25" t="str">
            <v>Income tax expense (benefit)</v>
          </cell>
          <cell r="C25">
            <v>35.503999999999998</v>
          </cell>
          <cell r="D25">
            <v>16.893000000000001</v>
          </cell>
          <cell r="F25">
            <v>24.727</v>
          </cell>
          <cell r="G25">
            <v>24.727</v>
          </cell>
          <cell r="I25">
            <v>0</v>
          </cell>
          <cell r="K25">
            <v>0.46374237849997035</v>
          </cell>
          <cell r="L25">
            <v>-0.30354326273095988</v>
          </cell>
        </row>
        <row r="26">
          <cell r="B26" t="str">
            <v>Net income from continuing ops</v>
          </cell>
          <cell r="C26">
            <v>62.710000000000143</v>
          </cell>
          <cell r="D26">
            <v>37.747999999999863</v>
          </cell>
          <cell r="F26">
            <v>45.991000000000255</v>
          </cell>
          <cell r="G26">
            <v>39.08500000000025</v>
          </cell>
          <cell r="I26">
            <v>-0.15015981387662736</v>
          </cell>
          <cell r="K26">
            <v>3.5419095051403726E-2</v>
          </cell>
          <cell r="L26">
            <v>-0.37673417317811897</v>
          </cell>
        </row>
        <row r="27">
          <cell r="B27" t="str">
            <v>Income (loss) discontinued ops, net</v>
          </cell>
          <cell r="C27">
            <v>-0.59799999999999998</v>
          </cell>
          <cell r="D27">
            <v>-1.2270000000000001</v>
          </cell>
          <cell r="F27">
            <v>-1.395</v>
          </cell>
          <cell r="G27">
            <v>-1.395</v>
          </cell>
          <cell r="I27" t="str">
            <v>nm</v>
          </cell>
          <cell r="K27" t="str">
            <v>nm</v>
          </cell>
          <cell r="L27" t="str">
            <v>nm</v>
          </cell>
        </row>
        <row r="28">
          <cell r="B28" t="str">
            <v>Net income as reported</v>
          </cell>
          <cell r="C28">
            <v>62.112000000000144</v>
          </cell>
          <cell r="D28">
            <v>36.520999999999866</v>
          </cell>
          <cell r="F28">
            <v>44.596000000000252</v>
          </cell>
          <cell r="G28">
            <v>37.690000000000246</v>
          </cell>
          <cell r="I28">
            <v>-0.1548569378419582</v>
          </cell>
          <cell r="K28">
            <v>3.2008981134152625E-2</v>
          </cell>
          <cell r="L28">
            <v>-0.39319294178258368</v>
          </cell>
        </row>
        <row r="29">
          <cell r="B29" t="str">
            <v>Operating EPS from Continuing Operations</v>
          </cell>
        </row>
        <row r="30">
          <cell r="B30" t="str">
            <v>Gain (loss) on asset sales</v>
          </cell>
          <cell r="C30">
            <v>-3.8310220538823422E-2</v>
          </cell>
          <cell r="D30">
            <v>0.29035432741392886</v>
          </cell>
          <cell r="F30">
            <v>8.5052848668781905E-2</v>
          </cell>
          <cell r="I30" t="str">
            <v>nm</v>
          </cell>
          <cell r="K30" t="str">
            <v>nm</v>
          </cell>
          <cell r="L30" t="str">
            <v>nm</v>
          </cell>
        </row>
        <row r="31">
          <cell r="B31" t="str">
            <v>Early extinguishment of debt &amp; related charges</v>
          </cell>
          <cell r="C31">
            <v>0</v>
          </cell>
          <cell r="D31">
            <v>0</v>
          </cell>
          <cell r="F31">
            <v>0</v>
          </cell>
          <cell r="I31" t="str">
            <v>nm</v>
          </cell>
          <cell r="K31" t="str">
            <v>nm</v>
          </cell>
          <cell r="L31" t="str">
            <v>nm</v>
          </cell>
        </row>
        <row r="32">
          <cell r="B32" t="str">
            <v>Other one-time items, after-tax</v>
          </cell>
          <cell r="C32">
            <v>0</v>
          </cell>
          <cell r="D32">
            <v>0</v>
          </cell>
          <cell r="F32">
            <v>0</v>
          </cell>
          <cell r="G32">
            <v>-23.012910000000002</v>
          </cell>
          <cell r="I32" t="str">
            <v>nm</v>
          </cell>
          <cell r="K32" t="str">
            <v>nm</v>
          </cell>
          <cell r="L32" t="str">
            <v>nm</v>
          </cell>
        </row>
        <row r="33">
          <cell r="B33" t="str">
            <v>Operating net income</v>
          </cell>
          <cell r="C33">
            <v>56.083689779461317</v>
          </cell>
          <cell r="D33">
            <v>35.583354327413979</v>
          </cell>
          <cell r="F33">
            <v>61.577000000000261</v>
          </cell>
          <cell r="G33">
            <v>62.097910000000255</v>
          </cell>
          <cell r="I33">
            <v>8.4594897445473549E-3</v>
          </cell>
          <cell r="K33">
            <v>0.74513929824089242</v>
          </cell>
          <cell r="L33">
            <v>0.10723652891221569</v>
          </cell>
        </row>
        <row r="35">
          <cell r="B35" t="str">
            <v>Operating EPS - Fully Diluted</v>
          </cell>
          <cell r="C35">
            <v>0.22103950221876786</v>
          </cell>
          <cell r="D35">
            <v>0.25403855768028943</v>
          </cell>
          <cell r="F35">
            <v>0.24081830589873351</v>
          </cell>
          <cell r="G35">
            <v>0.2428555058877831</v>
          </cell>
          <cell r="I35">
            <v>8.4594897445473549E-3</v>
          </cell>
          <cell r="K35">
            <v>-4.4021080479367036E-2</v>
          </cell>
          <cell r="L35">
            <v>9.8697307268740708E-2</v>
          </cell>
        </row>
        <row r="36">
          <cell r="B36" t="str">
            <v>GAAP EPS - Fully Diluted</v>
          </cell>
          <cell r="C36">
            <v>0.22119049214313077</v>
          </cell>
          <cell r="D36">
            <v>0.12527340332458389</v>
          </cell>
          <cell r="F36">
            <v>0.15285550588778313</v>
          </cell>
          <cell r="G36">
            <v>0.18274837655630022</v>
          </cell>
          <cell r="I36">
            <v>-0.16357393281306576</v>
          </cell>
          <cell r="K36">
            <v>0.4587962943961732</v>
          </cell>
          <cell r="L36">
            <v>-0.17379641961262482</v>
          </cell>
        </row>
        <row r="37">
          <cell r="B37" t="str">
            <v>Wtd. Avg Shares Outstanding - Diluted</v>
          </cell>
          <cell r="C37">
            <v>253.727</v>
          </cell>
          <cell r="D37">
            <v>256.03199999999998</v>
          </cell>
          <cell r="F37">
            <v>255.69900000000001</v>
          </cell>
          <cell r="G37">
            <v>255.69900000000001</v>
          </cell>
          <cell r="I37">
            <v>0</v>
          </cell>
          <cell r="K37">
            <v>-1.3006186726658431E-3</v>
          </cell>
          <cell r="L37">
            <v>7.7721330406304023E-3</v>
          </cell>
        </row>
        <row r="39">
          <cell r="B39" t="str">
            <v>Margins &amp; Ratios</v>
          </cell>
        </row>
        <row r="40">
          <cell r="B40" t="str">
            <v>SWB as % of revenue</v>
          </cell>
          <cell r="C40">
            <v>0.39856072754615696</v>
          </cell>
          <cell r="D40">
            <v>0.40267803360833049</v>
          </cell>
          <cell r="F40">
            <v>0.39079571045194889</v>
          </cell>
          <cell r="G40">
            <v>0.39079571045194889</v>
          </cell>
          <cell r="I40">
            <v>0</v>
          </cell>
          <cell r="K40">
            <v>-120</v>
          </cell>
          <cell r="L40">
            <v>-80</v>
          </cell>
        </row>
        <row r="41">
          <cell r="B41" t="str">
            <v>Supplies expense</v>
          </cell>
          <cell r="C41">
            <v>0.13601940792708911</v>
          </cell>
          <cell r="D41">
            <v>0.13660408618906486</v>
          </cell>
          <cell r="F41">
            <v>0.13901007875397714</v>
          </cell>
          <cell r="G41">
            <v>0.13901007875397714</v>
          </cell>
          <cell r="I41">
            <v>0</v>
          </cell>
          <cell r="K41">
            <v>20</v>
          </cell>
          <cell r="L41">
            <v>30</v>
          </cell>
        </row>
        <row r="42">
          <cell r="B42" t="str">
            <v>Other operating expense</v>
          </cell>
          <cell r="C42">
            <v>0.17019323526601149</v>
          </cell>
          <cell r="D42">
            <v>0.19312414523789381</v>
          </cell>
          <cell r="F42">
            <v>0.18486609689312533</v>
          </cell>
          <cell r="G42">
            <v>0.18486609689312533</v>
          </cell>
          <cell r="I42">
            <v>0</v>
          </cell>
          <cell r="K42">
            <v>-80</v>
          </cell>
          <cell r="L42">
            <v>150</v>
          </cell>
        </row>
        <row r="43">
          <cell r="B43" t="str">
            <v>Bad Debt</v>
          </cell>
          <cell r="C43">
            <v>0.12053366219297577</v>
          </cell>
          <cell r="D43">
            <v>0.12320381569592632</v>
          </cell>
          <cell r="F43">
            <v>0.11933522203735744</v>
          </cell>
          <cell r="G43">
            <v>0.11933522203735744</v>
          </cell>
          <cell r="I43">
            <v>0</v>
          </cell>
          <cell r="K43">
            <v>-40</v>
          </cell>
          <cell r="L43">
            <v>-10</v>
          </cell>
        </row>
        <row r="44">
          <cell r="B44" t="str">
            <v>Rent Expense</v>
          </cell>
          <cell r="C44">
            <v>2.5123444432741528E-2</v>
          </cell>
          <cell r="D44">
            <v>2.7491927509859362E-2</v>
          </cell>
          <cell r="F44">
            <v>2.6697017167916379E-2</v>
          </cell>
          <cell r="G44">
            <v>2.6697017167916379E-2</v>
          </cell>
          <cell r="I44">
            <v>0</v>
          </cell>
          <cell r="K44">
            <v>-10</v>
          </cell>
          <cell r="L44">
            <v>20</v>
          </cell>
        </row>
        <row r="45">
          <cell r="B45" t="str">
            <v>EBITDA margin</v>
          </cell>
          <cell r="C45">
            <v>0.14956952263502518</v>
          </cell>
          <cell r="D45">
            <v>0.14103843098825963</v>
          </cell>
          <cell r="F45">
            <v>0.14201745845582453</v>
          </cell>
          <cell r="G45">
            <v>0.14201745845582453</v>
          </cell>
          <cell r="I45">
            <v>0</v>
          </cell>
          <cell r="K45">
            <v>10</v>
          </cell>
          <cell r="L45">
            <v>-80</v>
          </cell>
        </row>
        <row r="46">
          <cell r="B46" t="str">
            <v>Depreciation and Amortization</v>
          </cell>
          <cell r="C46">
            <v>4.5598584303880814E-2</v>
          </cell>
          <cell r="D46">
            <v>4.6386668805018898E-2</v>
          </cell>
          <cell r="F46">
            <v>4.6482753222912537E-2</v>
          </cell>
          <cell r="G46">
            <v>4.6482753222912537E-2</v>
          </cell>
          <cell r="I46">
            <v>0</v>
          </cell>
          <cell r="K46">
            <v>0</v>
          </cell>
          <cell r="L46">
            <v>10</v>
          </cell>
        </row>
        <row r="47">
          <cell r="B47" t="str">
            <v>Operating margin</v>
          </cell>
          <cell r="C47">
            <v>0.10397093833114435</v>
          </cell>
          <cell r="D47">
            <v>9.4651762183240715E-2</v>
          </cell>
          <cell r="F47">
            <v>9.5534705232911993E-2</v>
          </cell>
          <cell r="G47">
            <v>9.5534705232911993E-2</v>
          </cell>
          <cell r="I47">
            <v>0</v>
          </cell>
          <cell r="K47">
            <v>10</v>
          </cell>
          <cell r="L47">
            <v>-80</v>
          </cell>
        </row>
        <row r="48">
          <cell r="B48" t="str">
            <v>Pretax margin</v>
          </cell>
          <cell r="C48">
            <v>6.8506690308103732E-2</v>
          </cell>
          <cell r="D48">
            <v>3.4500503228364572E-2</v>
          </cell>
          <cell r="F48">
            <v>4.1931363910732204E-2</v>
          </cell>
          <cell r="G48">
            <v>3.7836536580101873E-2</v>
          </cell>
          <cell r="I48">
            <v>-40</v>
          </cell>
          <cell r="K48">
            <v>30</v>
          </cell>
          <cell r="L48">
            <v>-310</v>
          </cell>
        </row>
        <row r="49">
          <cell r="B49" t="str">
            <v>Tax Rate</v>
          </cell>
          <cell r="C49">
            <v>0.36149632435294304</v>
          </cell>
          <cell r="D49">
            <v>0.30916344869237466</v>
          </cell>
          <cell r="F49">
            <v>0.34965638168500113</v>
          </cell>
          <cell r="G49">
            <v>0.38749764934494924</v>
          </cell>
          <cell r="I49">
            <v>380</v>
          </cell>
          <cell r="K49">
            <v>780</v>
          </cell>
          <cell r="L49">
            <v>260</v>
          </cell>
        </row>
        <row r="55">
          <cell r="I55">
            <v>198</v>
          </cell>
        </row>
        <row r="60">
          <cell r="O60" t="str">
            <v>Q311</v>
          </cell>
        </row>
        <row r="61">
          <cell r="M61" t="str">
            <v>SS</v>
          </cell>
        </row>
        <row r="68">
          <cell r="L68">
            <v>198</v>
          </cell>
        </row>
        <row r="70">
          <cell r="I70">
            <v>193</v>
          </cell>
        </row>
      </sheetData>
      <sheetData sheetId="20" refreshError="1">
        <row r="1">
          <cell r="A1" t="str">
            <v>HMA</v>
          </cell>
        </row>
        <row r="2">
          <cell r="A2">
            <v>41284</v>
          </cell>
        </row>
        <row r="4">
          <cell r="B4" t="str">
            <v>HMA Q1 Forecasts &amp; Comps</v>
          </cell>
          <cell r="C4" t="str">
            <v>Historicals</v>
          </cell>
          <cell r="F4" t="str">
            <v>MS (E)</v>
          </cell>
          <cell r="G4" t="str">
            <v>Cons (E)</v>
          </cell>
          <cell r="I4" t="str">
            <v>Diff.</v>
          </cell>
          <cell r="K4" t="str">
            <v>Trends (MS - exp.)</v>
          </cell>
        </row>
        <row r="5">
          <cell r="B5" t="str">
            <v>($ millions, enrollment 000's)</v>
          </cell>
          <cell r="C5" t="str">
            <v>1Q11A</v>
          </cell>
          <cell r="D5" t="str">
            <v>4Q11A</v>
          </cell>
          <cell r="F5" t="str">
            <v>1Q12E</v>
          </cell>
          <cell r="G5" t="str">
            <v>1Q12E</v>
          </cell>
          <cell r="I5" t="str">
            <v>MS - Cons</v>
          </cell>
          <cell r="K5" t="str">
            <v>Q-Q ΔE</v>
          </cell>
          <cell r="L5" t="str">
            <v>YOY ΔE</v>
          </cell>
        </row>
        <row r="7">
          <cell r="B7" t="str">
            <v>Revenue</v>
          </cell>
          <cell r="C7">
            <v>1433.6410000000001</v>
          </cell>
          <cell r="D7">
            <v>1583.7739999999999</v>
          </cell>
          <cell r="F7">
            <v>1686.518</v>
          </cell>
          <cell r="G7" t="str">
            <v>Manual Calculation</v>
          </cell>
          <cell r="I7" t="e">
            <v>#VALUE!</v>
          </cell>
          <cell r="K7">
            <v>6.4872892218208023E-2</v>
          </cell>
          <cell r="L7">
            <v>0.17638795207447333</v>
          </cell>
        </row>
        <row r="8">
          <cell r="B8" t="str">
            <v>Salaries &amp; benefits</v>
          </cell>
          <cell r="C8">
            <v>571.39300000000003</v>
          </cell>
          <cell r="D8">
            <v>637.75099999999998</v>
          </cell>
          <cell r="F8">
            <v>659.08399999999995</v>
          </cell>
          <cell r="K8">
            <v>3.3450359152709996E-2</v>
          </cell>
          <cell r="L8">
            <v>0.15346880343301361</v>
          </cell>
        </row>
        <row r="9">
          <cell r="B9" t="str">
            <v>Supplies &amp; other</v>
          </cell>
          <cell r="C9">
            <v>195.00299999999999</v>
          </cell>
          <cell r="D9">
            <v>216.35</v>
          </cell>
          <cell r="F9">
            <v>234.44300000000001</v>
          </cell>
          <cell r="K9">
            <v>8.3628379939912234E-2</v>
          </cell>
          <cell r="L9">
            <v>0.2022532986672001</v>
          </cell>
          <cell r="N9" t="str">
            <v>4Q/11 EPS</v>
          </cell>
          <cell r="O9" t="str">
            <v>Manual Calculation</v>
          </cell>
        </row>
        <row r="10">
          <cell r="B10" t="str">
            <v>Other operating expenses</v>
          </cell>
          <cell r="C10">
            <v>243.99600000000001</v>
          </cell>
          <cell r="D10">
            <v>305.86500000000001</v>
          </cell>
          <cell r="F10">
            <v>311.77999999999997</v>
          </cell>
          <cell r="K10">
            <v>1.933859709348873E-2</v>
          </cell>
          <cell r="L10">
            <v>0.27780783291529354</v>
          </cell>
          <cell r="N10" t="str">
            <v>FY11 EPS</v>
          </cell>
          <cell r="O10" t="str">
            <v>Manual Calculation</v>
          </cell>
        </row>
        <row r="11">
          <cell r="B11" t="str">
            <v>Provision for doubtful accounts</v>
          </cell>
          <cell r="C11">
            <v>172.80199999999999</v>
          </cell>
          <cell r="D11">
            <v>195.12700000000001</v>
          </cell>
          <cell r="F11">
            <v>201.261</v>
          </cell>
          <cell r="K11">
            <v>3.1435936595140435E-2</v>
          </cell>
          <cell r="L11">
            <v>0.16469138088679536</v>
          </cell>
          <cell r="N11" t="str">
            <v>FY12 EPS</v>
          </cell>
          <cell r="O11" t="str">
            <v>Manual Calculation</v>
          </cell>
        </row>
        <row r="12">
          <cell r="B12" t="str">
            <v xml:space="preserve">EBITDAR </v>
          </cell>
          <cell r="C12">
            <v>250.44700000000014</v>
          </cell>
          <cell r="D12">
            <v>266.91399999999987</v>
          </cell>
          <cell r="F12">
            <v>284.54000000000025</v>
          </cell>
          <cell r="K12">
            <v>6.603625137684932E-2</v>
          </cell>
          <cell r="L12">
            <v>0.13612860205951782</v>
          </cell>
        </row>
        <row r="13">
          <cell r="B13" t="str">
            <v>Rent expense</v>
          </cell>
          <cell r="C13">
            <v>36.018000000000001</v>
          </cell>
          <cell r="D13">
            <v>43.540999999999997</v>
          </cell>
          <cell r="F13">
            <v>45.024999999999999</v>
          </cell>
          <cell r="K13">
            <v>3.4082818492914724E-2</v>
          </cell>
          <cell r="L13">
            <v>0.25006940973957459</v>
          </cell>
        </row>
        <row r="14">
          <cell r="B14" t="str">
            <v>EBITDA</v>
          </cell>
          <cell r="C14">
            <v>214.42900000000014</v>
          </cell>
          <cell r="D14">
            <v>223.37299999999988</v>
          </cell>
          <cell r="F14">
            <v>239.51500000000027</v>
          </cell>
          <cell r="G14" t="str">
            <v>Manual Calculation</v>
          </cell>
          <cell r="I14" t="e">
            <v>#VALUE!</v>
          </cell>
          <cell r="K14">
            <v>7.2264776853068202E-2</v>
          </cell>
          <cell r="L14">
            <v>0.11698977283856249</v>
          </cell>
          <cell r="N14" t="str">
            <v xml:space="preserve">Ranges from 215 to 240. There are some estimates in the 240s excluded for whatever reason. </v>
          </cell>
        </row>
        <row r="15">
          <cell r="B15" t="str">
            <v>Depreciation &amp; amortizaton</v>
          </cell>
          <cell r="C15">
            <v>65.372</v>
          </cell>
          <cell r="D15">
            <v>73.465999999999994</v>
          </cell>
          <cell r="F15">
            <v>78.394000000000005</v>
          </cell>
          <cell r="K15">
            <v>6.7078648626575754E-2</v>
          </cell>
          <cell r="L15">
            <v>0.19919843358012623</v>
          </cell>
        </row>
        <row r="16">
          <cell r="B16" t="str">
            <v>Operating income</v>
          </cell>
          <cell r="C16">
            <v>149.05700000000013</v>
          </cell>
          <cell r="D16">
            <v>149.90699999999987</v>
          </cell>
          <cell r="F16">
            <v>161.12100000000027</v>
          </cell>
          <cell r="G16" t="str">
            <v>Manual Calculation</v>
          </cell>
          <cell r="I16" t="e">
            <v>#VALUE!</v>
          </cell>
          <cell r="K16">
            <v>7.4806379955575153E-2</v>
          </cell>
          <cell r="L16">
            <v>8.0935481057582859E-2</v>
          </cell>
        </row>
        <row r="17">
          <cell r="B17" t="str">
            <v>Interest expense</v>
          </cell>
          <cell r="C17">
            <v>-51.036999999999999</v>
          </cell>
          <cell r="D17">
            <v>-70.659000000000006</v>
          </cell>
          <cell r="F17">
            <v>-88.763000000000005</v>
          </cell>
        </row>
        <row r="18">
          <cell r="B18" t="str">
            <v>Interest income</v>
          </cell>
          <cell r="C18">
            <v>0.13400000000000001</v>
          </cell>
          <cell r="D18">
            <v>0</v>
          </cell>
          <cell r="F18">
            <v>0</v>
          </cell>
        </row>
        <row r="19">
          <cell r="B19" t="str">
            <v>Interest expense, net</v>
          </cell>
          <cell r="C19">
            <v>-50.902999999999999</v>
          </cell>
          <cell r="D19">
            <v>-70.659000000000006</v>
          </cell>
          <cell r="F19">
            <v>-88.763000000000005</v>
          </cell>
          <cell r="K19">
            <v>0.25621647631582678</v>
          </cell>
          <cell r="L19">
            <v>0.74376755790424931</v>
          </cell>
        </row>
        <row r="20">
          <cell r="B20" t="str">
            <v>Minority interests</v>
          </cell>
          <cell r="C20" t="e">
            <v>#REF!</v>
          </cell>
          <cell r="D20" t="e">
            <v>#REF!</v>
          </cell>
          <cell r="F20" t="e">
            <v>#REF!</v>
          </cell>
          <cell r="K20" t="e">
            <v>#REF!</v>
          </cell>
          <cell r="L20" t="e">
            <v>#REF!</v>
          </cell>
        </row>
        <row r="21">
          <cell r="B21" t="str">
            <v>Gain (loss) on asset sales</v>
          </cell>
          <cell r="C21">
            <v>0.06</v>
          </cell>
          <cell r="D21">
            <v>0</v>
          </cell>
          <cell r="F21">
            <v>0</v>
          </cell>
          <cell r="K21" t="str">
            <v>nm</v>
          </cell>
          <cell r="L21" t="str">
            <v>nm</v>
          </cell>
        </row>
        <row r="22">
          <cell r="B22" t="str">
            <v>Early debt extinguishment &amp; other</v>
          </cell>
          <cell r="C22">
            <v>0</v>
          </cell>
          <cell r="D22">
            <v>-24.594999999999999</v>
          </cell>
          <cell r="F22">
            <v>0</v>
          </cell>
          <cell r="K22" t="str">
            <v>nm</v>
          </cell>
          <cell r="L22" t="str">
            <v>nm</v>
          </cell>
        </row>
        <row r="23">
          <cell r="B23" t="str">
            <v>Pretax income</v>
          </cell>
          <cell r="C23">
            <v>98.214000000000141</v>
          </cell>
          <cell r="D23">
            <v>54.640999999999863</v>
          </cell>
          <cell r="F23">
            <v>70.718000000000259</v>
          </cell>
          <cell r="K23">
            <v>0.29422960780367191</v>
          </cell>
          <cell r="L23">
            <v>-0.27996008715661558</v>
          </cell>
        </row>
        <row r="24">
          <cell r="B24" t="str">
            <v>Income tax expense (benefit)</v>
          </cell>
          <cell r="C24">
            <v>35.503999999999998</v>
          </cell>
          <cell r="D24">
            <v>16.893000000000001</v>
          </cell>
          <cell r="F24">
            <v>24.727</v>
          </cell>
          <cell r="K24">
            <v>0.46374237849997035</v>
          </cell>
          <cell r="L24">
            <v>-0.30354326273095988</v>
          </cell>
        </row>
        <row r="25">
          <cell r="B25" t="str">
            <v>Net income from continuing ops</v>
          </cell>
          <cell r="C25">
            <v>62.710000000000143</v>
          </cell>
          <cell r="D25">
            <v>37.747999999999863</v>
          </cell>
          <cell r="F25">
            <v>45.991000000000255</v>
          </cell>
          <cell r="K25">
            <v>0.21836918512240189</v>
          </cell>
          <cell r="L25">
            <v>-0.26660819645989231</v>
          </cell>
        </row>
        <row r="26">
          <cell r="B26" t="str">
            <v>Income (loss) discontinued ops, net</v>
          </cell>
          <cell r="C26">
            <v>-0.59799999999999998</v>
          </cell>
          <cell r="D26">
            <v>-1.2270000000000001</v>
          </cell>
          <cell r="F26">
            <v>-1.395</v>
          </cell>
          <cell r="K26" t="str">
            <v>nm</v>
          </cell>
          <cell r="L26" t="str">
            <v>nm</v>
          </cell>
        </row>
        <row r="27">
          <cell r="B27" t="str">
            <v>Net income as reported</v>
          </cell>
          <cell r="C27">
            <v>62.112000000000144</v>
          </cell>
          <cell r="D27">
            <v>36.520999999999866</v>
          </cell>
          <cell r="F27">
            <v>44.596000000000252</v>
          </cell>
          <cell r="K27">
            <v>0.22110566523371245</v>
          </cell>
          <cell r="L27">
            <v>-0.28200669757856534</v>
          </cell>
        </row>
        <row r="28">
          <cell r="B28" t="str">
            <v>Operating EPS from Continuing Operations</v>
          </cell>
        </row>
        <row r="29">
          <cell r="B29" t="str">
            <v>Gain (loss) on asset sales</v>
          </cell>
          <cell r="C29">
            <v>-3.8310220538823422E-2</v>
          </cell>
          <cell r="D29">
            <v>0</v>
          </cell>
          <cell r="F29">
            <v>0</v>
          </cell>
          <cell r="K29" t="str">
            <v>nm</v>
          </cell>
          <cell r="L29" t="str">
            <v>nm</v>
          </cell>
        </row>
        <row r="30">
          <cell r="B30" t="str">
            <v>Early extinguishment of debt &amp; related charges</v>
          </cell>
          <cell r="C30">
            <v>0</v>
          </cell>
          <cell r="D30">
            <v>15.064</v>
          </cell>
          <cell r="F30">
            <v>0</v>
          </cell>
          <cell r="K30" t="str">
            <v>nm</v>
          </cell>
          <cell r="L30" t="str">
            <v>nm</v>
          </cell>
        </row>
        <row r="31">
          <cell r="B31" t="str">
            <v>Other one-time items</v>
          </cell>
          <cell r="C31">
            <v>0</v>
          </cell>
          <cell r="D31">
            <v>17.903999999999996</v>
          </cell>
          <cell r="F31">
            <v>22.492000000000001</v>
          </cell>
          <cell r="K31" t="str">
            <v>nm</v>
          </cell>
          <cell r="L31" t="str">
            <v>nm</v>
          </cell>
        </row>
        <row r="32">
          <cell r="B32" t="str">
            <v>Operating net income</v>
          </cell>
          <cell r="C32">
            <v>56.083689779461317</v>
          </cell>
          <cell r="D32">
            <v>65.041999999999859</v>
          </cell>
          <cell r="F32">
            <v>61.577000000000261</v>
          </cell>
          <cell r="K32">
            <v>-5.3273269579650173E-2</v>
          </cell>
          <cell r="L32">
            <v>9.7948445299165687E-2</v>
          </cell>
        </row>
        <row r="34">
          <cell r="B34" t="str">
            <v>Operating EPS - Fully Diluted</v>
          </cell>
          <cell r="C34">
            <v>0.22103950221876786</v>
          </cell>
          <cell r="D34">
            <v>0.25403855768028943</v>
          </cell>
          <cell r="F34">
            <v>0.24081830589873351</v>
          </cell>
          <cell r="G34" t="str">
            <v>Manual Calculation</v>
          </cell>
          <cell r="I34" t="e">
            <v>#VALUE!</v>
          </cell>
          <cell r="K34">
            <v>-5.2040335539118243E-2</v>
          </cell>
          <cell r="L34">
            <v>8.9480855147737959E-2</v>
          </cell>
          <cell r="N34" t="str">
            <v>Only includes 8 estimates bc of all of the moving parts</v>
          </cell>
        </row>
        <row r="35">
          <cell r="B35" t="str">
            <v>GAAP EPS - Fully Diluted</v>
          </cell>
          <cell r="C35">
            <v>0.14062524903176468</v>
          </cell>
          <cell r="D35">
            <v>0.19665798185985484</v>
          </cell>
          <cell r="F35">
            <v>0.15285550588778313</v>
          </cell>
          <cell r="K35">
            <v>-0.22273429004924317</v>
          </cell>
          <cell r="L35">
            <v>8.6970561405056435E-2</v>
          </cell>
        </row>
        <row r="36">
          <cell r="B36" t="str">
            <v>Wtd. Avg Shares Outstanding - Diluted</v>
          </cell>
          <cell r="C36">
            <v>250.97200000000001</v>
          </cell>
          <cell r="D36">
            <v>256.03199999999998</v>
          </cell>
          <cell r="F36">
            <v>255.69900000000001</v>
          </cell>
          <cell r="K36">
            <v>-1.3006186726658431E-3</v>
          </cell>
          <cell r="L36">
            <v>1.8834770412635704E-2</v>
          </cell>
        </row>
        <row r="38">
          <cell r="B38" t="str">
            <v>Margins &amp; Ratios</v>
          </cell>
        </row>
        <row r="39">
          <cell r="B39" t="str">
            <v>SWB as % of revenue</v>
          </cell>
          <cell r="C39">
            <v>0.39856072754615696</v>
          </cell>
          <cell r="D39">
            <v>0.40267803360833049</v>
          </cell>
          <cell r="F39">
            <v>0.39079571045194889</v>
          </cell>
          <cell r="K39">
            <v>-120</v>
          </cell>
          <cell r="L39">
            <v>-80</v>
          </cell>
        </row>
        <row r="40">
          <cell r="B40" t="str">
            <v>Supplies expense</v>
          </cell>
          <cell r="C40">
            <v>0.13601940792708911</v>
          </cell>
          <cell r="D40">
            <v>0.13660408618906486</v>
          </cell>
          <cell r="F40">
            <v>0.13901007875397714</v>
          </cell>
          <cell r="K40">
            <v>20</v>
          </cell>
          <cell r="L40">
            <v>30</v>
          </cell>
        </row>
        <row r="41">
          <cell r="B41" t="str">
            <v>Other operating expense</v>
          </cell>
          <cell r="C41">
            <v>0.17019323526601149</v>
          </cell>
          <cell r="D41">
            <v>0.19312414523789381</v>
          </cell>
          <cell r="F41">
            <v>0.18486609689312533</v>
          </cell>
          <cell r="K41">
            <v>-80</v>
          </cell>
          <cell r="L41">
            <v>150</v>
          </cell>
        </row>
        <row r="42">
          <cell r="B42" t="str">
            <v>Bad Debt</v>
          </cell>
          <cell r="C42">
            <v>0.12053366219297577</v>
          </cell>
          <cell r="D42">
            <v>0.12320381569592632</v>
          </cell>
          <cell r="F42">
            <v>0.11933522203735744</v>
          </cell>
          <cell r="K42">
            <v>-40</v>
          </cell>
          <cell r="L42">
            <v>-10</v>
          </cell>
        </row>
        <row r="43">
          <cell r="B43" t="str">
            <v>Rent Expense</v>
          </cell>
          <cell r="C43">
            <v>2.5123444432741528E-2</v>
          </cell>
          <cell r="D43">
            <v>2.7491927509859362E-2</v>
          </cell>
          <cell r="F43">
            <v>2.6697017167916379E-2</v>
          </cell>
          <cell r="G43" t="e">
            <v>#REF!</v>
          </cell>
          <cell r="I43" t="e">
            <v>#REF!</v>
          </cell>
          <cell r="K43">
            <v>-10</v>
          </cell>
          <cell r="L43">
            <v>20</v>
          </cell>
        </row>
        <row r="44">
          <cell r="B44" t="str">
            <v>EBITDA margin</v>
          </cell>
          <cell r="C44">
            <v>0.14956952263502518</v>
          </cell>
          <cell r="D44">
            <v>0.14103843098825963</v>
          </cell>
          <cell r="F44">
            <v>0.14201745845582453</v>
          </cell>
          <cell r="G44" t="e">
            <v>#VALUE!</v>
          </cell>
          <cell r="I44" t="e">
            <v>#VALUE!</v>
          </cell>
          <cell r="K44">
            <v>10</v>
          </cell>
          <cell r="L44">
            <v>-80</v>
          </cell>
        </row>
        <row r="45">
          <cell r="B45" t="str">
            <v>Depreciation and Amortization</v>
          </cell>
          <cell r="C45">
            <v>4.5598584303880814E-2</v>
          </cell>
          <cell r="D45">
            <v>4.6386668805018898E-2</v>
          </cell>
          <cell r="F45">
            <v>4.6482753222912537E-2</v>
          </cell>
          <cell r="K45">
            <v>0</v>
          </cell>
          <cell r="L45">
            <v>10</v>
          </cell>
        </row>
        <row r="46">
          <cell r="B46" t="str">
            <v>Operating margin</v>
          </cell>
          <cell r="C46">
            <v>0.10397093833114435</v>
          </cell>
          <cell r="D46">
            <v>9.4651762183240715E-2</v>
          </cell>
          <cell r="F46">
            <v>9.5534705232911993E-2</v>
          </cell>
          <cell r="G46" t="e">
            <v>#VALUE!</v>
          </cell>
          <cell r="I46" t="e">
            <v>#VALUE!</v>
          </cell>
          <cell r="K46">
            <v>10</v>
          </cell>
          <cell r="L46">
            <v>-80</v>
          </cell>
        </row>
        <row r="47">
          <cell r="B47" t="str">
            <v>Pretax margin</v>
          </cell>
          <cell r="C47">
            <v>6.8506690308103732E-2</v>
          </cell>
          <cell r="D47">
            <v>3.4500503228364572E-2</v>
          </cell>
          <cell r="F47">
            <v>4.1931363910732204E-2</v>
          </cell>
          <cell r="K47">
            <v>70</v>
          </cell>
          <cell r="L47">
            <v>-270</v>
          </cell>
        </row>
        <row r="49">
          <cell r="B49" t="str">
            <v>Morgan Stanley View on the Quarter:</v>
          </cell>
          <cell r="F49" t="str">
            <v>Sentiment Swing Factors:</v>
          </cell>
        </row>
        <row r="50">
          <cell r="B50" t="str">
            <v>It will be important for HMA to show some positive Q1 operating momentum  as the company continues to work through various overhangs that have plagued the stock in recent months (FL Medicaid, disappointing Q4 Results, wrongful termination suit / retiremen</v>
          </cell>
          <cell r="F50" t="str">
            <v>+</v>
          </cell>
          <cell r="G50" t="str">
            <v xml:space="preserve">1.  Weak Q4 volumes show signs of stabilization. 
2.  Greather than expected margin improvement in recently acquired Tennova (formerly Merch Health). 
3.  Updated color on projected ramp of Integris JV. </v>
          </cell>
        </row>
        <row r="54">
          <cell r="F54" t="str">
            <v>–</v>
          </cell>
          <cell r="G54" t="str">
            <v>1.  Tennova margins ramp more slowly than anticipated. 
2.  State budget pressures continuing to weigh on Medicaid rates (significant exposure to FL and MS)
3.  Volumes show signs of pressure following recent subpoenas related to physician referrals at ho</v>
          </cell>
        </row>
        <row r="59">
          <cell r="B59" t="str">
            <v>Questions/Focus Areas for the Conference Call:</v>
          </cell>
          <cell r="F59" t="str">
            <v>Company Guidance Summary</v>
          </cell>
        </row>
        <row r="60">
          <cell r="B60" t="str">
            <v>1.  Updates on wrongful termination lawsuit / General Council resignation as well as subpoenas announced in August.  
2.  Integration of Tennova (formerly Mercy Health) and updates on M&amp;A opportunities looking out to 2012 including Integris Health JV. 
4.</v>
          </cell>
          <cell r="F60" t="str">
            <v>2012 Guidance Offered
Consolidated Revenues:  $6,300mm-$6,500mm
EBITDA: $875mm-$925mm
Operating EPS:  $0.80-$090 (excludes impact of SWAP, ~$0.20 a share)
HITECH receipts of $90mm-$120mm
SS Admissions: -2% - 0%</v>
          </cell>
        </row>
      </sheetData>
      <sheetData sheetId="21"/>
      <sheetData sheetId="22" refreshError="1">
        <row r="1">
          <cell r="A1" t="str">
            <v>Guidance</v>
          </cell>
        </row>
        <row r="2">
          <cell r="A2" t="str">
            <v xml:space="preserve"> - We have continued to focus on three main operating initiatives. Emergency room operations,
physician recruitment and retention and market service development while closely managing our
resource consumption. As you can see from our results we are making</v>
          </cell>
        </row>
        <row r="4">
          <cell r="A4" t="str">
            <v>- Bad debt expense to be 12.0% to 12.5% of net revenue for the year</v>
          </cell>
        </row>
        <row r="5">
          <cell r="A5" t="str">
            <v>-5% of net revenues on cap ex</v>
          </cell>
        </row>
        <row r="6">
          <cell r="A6" t="str">
            <v xml:space="preserve"> - EPS of $0.45 to $0.49</v>
          </cell>
        </row>
        <row r="7">
          <cell r="A7" t="str">
            <v xml:space="preserve"> Revenue of 4.55 ti 4.65 billion</v>
          </cell>
        </row>
        <row r="8">
          <cell r="A8" t="str">
            <v>- Admissions growth of 2 to 3%</v>
          </cell>
        </row>
        <row r="9">
          <cell r="A9" t="str">
            <v>- SGA to be largely flat</v>
          </cell>
        </row>
        <row r="10">
          <cell r="A10" t="str">
            <v>- Leverage at 4.6x</v>
          </cell>
        </row>
        <row r="11">
          <cell r="A11" t="str">
            <v>- Minimum of $150 mm of debt paydown</v>
          </cell>
        </row>
        <row r="12">
          <cell r="A12" t="str">
            <v>- Medicare prob more positive than -0.5%. This is included in 4th Quarter. Beg of year people were thinking 2,2.5% increase</v>
          </cell>
        </row>
        <row r="13">
          <cell r="A13" t="str">
            <v>-2010 wont see a medicare increase</v>
          </cell>
        </row>
        <row r="16">
          <cell r="C16" t="str">
            <v>Q4</v>
          </cell>
          <cell r="D16">
            <v>2009</v>
          </cell>
          <cell r="E16">
            <v>2010</v>
          </cell>
          <cell r="F16">
            <v>2011</v>
          </cell>
        </row>
        <row r="17">
          <cell r="A17" t="str">
            <v>Rev</v>
          </cell>
          <cell r="C17">
            <v>1158</v>
          </cell>
          <cell r="D17">
            <v>4635</v>
          </cell>
          <cell r="E17">
            <v>4867</v>
          </cell>
          <cell r="F17">
            <v>5046</v>
          </cell>
        </row>
        <row r="18">
          <cell r="A18" t="str">
            <v>EBITDA</v>
          </cell>
          <cell r="C18">
            <v>162</v>
          </cell>
          <cell r="D18">
            <v>671</v>
          </cell>
          <cell r="E18">
            <v>696</v>
          </cell>
          <cell r="F18">
            <v>706</v>
          </cell>
        </row>
        <row r="19">
          <cell r="A19" t="str">
            <v>EPS</v>
          </cell>
          <cell r="C19">
            <v>0.11</v>
          </cell>
          <cell r="D19">
            <v>0.48</v>
          </cell>
          <cell r="E19">
            <v>0.55000000000000004</v>
          </cell>
          <cell r="F19">
            <v>0.6</v>
          </cell>
        </row>
        <row r="22">
          <cell r="A22" t="str">
            <v>Cap Ex</v>
          </cell>
          <cell r="D22">
            <v>222</v>
          </cell>
          <cell r="E22">
            <v>223</v>
          </cell>
          <cell r="F22">
            <v>253</v>
          </cell>
        </row>
        <row r="23">
          <cell r="A23" t="str">
            <v>Net Debt</v>
          </cell>
          <cell r="D23">
            <v>2920</v>
          </cell>
          <cell r="E23">
            <v>2789</v>
          </cell>
          <cell r="F23">
            <v>2871</v>
          </cell>
        </row>
        <row r="25">
          <cell r="A25" t="str">
            <v>2010 Guidance</v>
          </cell>
          <cell r="D25" t="str">
            <v>Consenses</v>
          </cell>
        </row>
        <row r="26">
          <cell r="D26" t="str">
            <v>FY2010</v>
          </cell>
          <cell r="E26" t="str">
            <v>Q1</v>
          </cell>
        </row>
        <row r="27">
          <cell r="A27" t="str">
            <v>Reveues: $5,075 to $5,150</v>
          </cell>
          <cell r="D27">
            <v>5046.82</v>
          </cell>
          <cell r="E27">
            <v>1289.45</v>
          </cell>
        </row>
        <row r="28">
          <cell r="A28" t="str">
            <v>Bad Debt - 12 - 13%</v>
          </cell>
        </row>
        <row r="29">
          <cell r="A29" t="str">
            <v>EBITDA</v>
          </cell>
          <cell r="B29" t="str">
            <v>715 to 735</v>
          </cell>
          <cell r="D29">
            <v>722</v>
          </cell>
          <cell r="E29">
            <v>191.3</v>
          </cell>
        </row>
        <row r="30">
          <cell r="A30" t="str">
            <v xml:space="preserve">EPS </v>
          </cell>
          <cell r="B30" t="str">
            <v>0.53 to 0.58</v>
          </cell>
          <cell r="D30">
            <v>0.56999999999999995</v>
          </cell>
          <cell r="E30">
            <v>0.17</v>
          </cell>
        </row>
        <row r="34">
          <cell r="A34" t="str">
            <v>Q409 Call</v>
          </cell>
        </row>
        <row r="35">
          <cell r="A35" t="str">
            <v>Primary objective is improving ER admissions</v>
          </cell>
        </row>
        <row r="36">
          <cell r="A36" t="str">
            <v>Not much seasonal flu</v>
          </cell>
        </row>
        <row r="37">
          <cell r="A37" t="str">
            <v>624 physicians for year, over 600 initial 2009 goal</v>
          </cell>
        </row>
        <row r="38">
          <cell r="A38" t="str">
            <v>All in bad debt was 24% for Q4 vs. 22.7% for same qtr a year ago</v>
          </cell>
        </row>
        <row r="39">
          <cell r="A39" t="str">
            <v>Assumes minimum paydowns in guidance (210 to 220 mm) in interest expense</v>
          </cell>
        </row>
      </sheetData>
      <sheetData sheetId="23"/>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Balance Sheet &amp; Cash Flow"/>
      <sheetName val="Drivers"/>
      <sheetName val="Scenarios"/>
      <sheetName val="Revenue Assumptions"/>
      <sheetName val="Expense Assumptions"/>
      <sheetName val="Guidance"/>
      <sheetName val="Debt"/>
      <sheetName val="Valuation"/>
      <sheetName val="mwareSettings"/>
      <sheetName val="MWA RR"/>
      <sheetName val="MW-Cache"/>
      <sheetName val="mwareDates"/>
      <sheetName val="Summary Financials"/>
      <sheetName val="Charts"/>
      <sheetName val="Q Comps"/>
      <sheetName val="Notes"/>
      <sheetName val="Facilities"/>
      <sheetName val="What Changed"/>
      <sheetName val="Preview Page"/>
      <sheetName val="Acquisitions"/>
      <sheetName val="One Pager"/>
      <sheetName val="Quarterly Comps"/>
    </sheetNames>
    <sheetDataSet>
      <sheetData sheetId="0" refreshError="1"/>
      <sheetData sheetId="1" refreshError="1"/>
      <sheetData sheetId="2" refreshError="1">
        <row r="1">
          <cell r="A1" t="str">
            <v>Community Health Systems</v>
          </cell>
          <cell r="CM1" t="str">
            <v>ElementName</v>
          </cell>
          <cell r="CN1" t="str">
            <v>ScaleOverride</v>
          </cell>
          <cell r="CO1" t="str">
            <v>UnitOverride</v>
          </cell>
          <cell r="CP1" t="str">
            <v>ReverseSign</v>
          </cell>
          <cell r="CQ1" t="str">
            <v>IsDrivingAssumption</v>
          </cell>
        </row>
        <row r="2">
          <cell r="A2" t="str">
            <v>Andrew Schenker (212) 761-6857</v>
          </cell>
        </row>
        <row r="3">
          <cell r="A3" t="str">
            <v>INCOME STATEMENT</v>
          </cell>
        </row>
        <row r="4">
          <cell r="B4" t="str">
            <v>Fiscal year ends on December 31</v>
          </cell>
          <cell r="G4">
            <v>36981</v>
          </cell>
          <cell r="H4">
            <v>37072</v>
          </cell>
          <cell r="I4">
            <v>37164</v>
          </cell>
          <cell r="J4">
            <v>37256</v>
          </cell>
          <cell r="K4">
            <v>37256</v>
          </cell>
          <cell r="L4">
            <v>37346</v>
          </cell>
          <cell r="M4">
            <v>37437</v>
          </cell>
          <cell r="N4">
            <v>37529</v>
          </cell>
          <cell r="O4">
            <v>37621</v>
          </cell>
          <cell r="P4">
            <v>37621</v>
          </cell>
          <cell r="Q4">
            <v>37711</v>
          </cell>
          <cell r="R4">
            <v>37802</v>
          </cell>
          <cell r="S4">
            <v>37894</v>
          </cell>
          <cell r="T4">
            <v>37986</v>
          </cell>
          <cell r="U4">
            <v>37986</v>
          </cell>
          <cell r="V4">
            <v>38077</v>
          </cell>
          <cell r="W4">
            <v>38168</v>
          </cell>
          <cell r="X4">
            <v>38260</v>
          </cell>
          <cell r="Y4">
            <v>38352</v>
          </cell>
          <cell r="Z4">
            <v>38352</v>
          </cell>
          <cell r="AA4">
            <v>38442</v>
          </cell>
          <cell r="AB4">
            <v>38533</v>
          </cell>
          <cell r="AC4">
            <v>38625</v>
          </cell>
          <cell r="AD4">
            <v>38717</v>
          </cell>
          <cell r="AE4">
            <v>38717</v>
          </cell>
          <cell r="AF4">
            <v>38807</v>
          </cell>
          <cell r="AG4">
            <v>38898</v>
          </cell>
          <cell r="AH4">
            <v>38990</v>
          </cell>
          <cell r="AI4">
            <v>39082</v>
          </cell>
          <cell r="AJ4">
            <v>39082</v>
          </cell>
          <cell r="AK4">
            <v>39172</v>
          </cell>
          <cell r="AL4">
            <v>39263</v>
          </cell>
          <cell r="AM4">
            <v>39355</v>
          </cell>
          <cell r="AN4">
            <v>39447</v>
          </cell>
          <cell r="AO4">
            <v>39447</v>
          </cell>
          <cell r="AP4">
            <v>39538</v>
          </cell>
          <cell r="AQ4">
            <v>39629</v>
          </cell>
          <cell r="AR4">
            <v>39721</v>
          </cell>
          <cell r="AS4">
            <v>39813</v>
          </cell>
          <cell r="AT4">
            <v>39813</v>
          </cell>
          <cell r="AU4">
            <v>39903</v>
          </cell>
          <cell r="AV4">
            <v>39994</v>
          </cell>
          <cell r="AW4">
            <v>40086</v>
          </cell>
          <cell r="AX4">
            <v>40178</v>
          </cell>
          <cell r="AY4">
            <v>40178</v>
          </cell>
          <cell r="AZ4">
            <v>40268</v>
          </cell>
          <cell r="BA4">
            <v>40359</v>
          </cell>
          <cell r="BB4">
            <v>40451</v>
          </cell>
          <cell r="BC4">
            <v>40543</v>
          </cell>
          <cell r="BD4">
            <v>40543</v>
          </cell>
          <cell r="BE4">
            <v>40633</v>
          </cell>
          <cell r="BF4">
            <v>40724</v>
          </cell>
          <cell r="BG4">
            <v>40816</v>
          </cell>
          <cell r="BH4">
            <v>40908</v>
          </cell>
          <cell r="BI4">
            <v>40908</v>
          </cell>
          <cell r="BJ4">
            <v>40999</v>
          </cell>
          <cell r="BK4">
            <v>41090</v>
          </cell>
          <cell r="BL4">
            <v>41182</v>
          </cell>
          <cell r="BM4">
            <v>41274</v>
          </cell>
          <cell r="BN4">
            <v>41274</v>
          </cell>
          <cell r="BO4">
            <v>41364</v>
          </cell>
          <cell r="BP4">
            <v>41455</v>
          </cell>
          <cell r="BQ4">
            <v>41547</v>
          </cell>
          <cell r="BR4">
            <v>41639</v>
          </cell>
          <cell r="BS4">
            <v>41639</v>
          </cell>
          <cell r="BT4">
            <v>41729</v>
          </cell>
          <cell r="BU4">
            <v>41820</v>
          </cell>
          <cell r="BV4">
            <v>41912</v>
          </cell>
          <cell r="BW4">
            <v>42004</v>
          </cell>
          <cell r="BX4">
            <v>42004</v>
          </cell>
          <cell r="BY4">
            <v>42094</v>
          </cell>
          <cell r="BZ4">
            <v>42185</v>
          </cell>
          <cell r="CA4">
            <v>42277</v>
          </cell>
          <cell r="CB4">
            <v>42369</v>
          </cell>
          <cell r="CC4">
            <v>42369</v>
          </cell>
          <cell r="CD4">
            <v>42460</v>
          </cell>
          <cell r="CE4">
            <v>42551</v>
          </cell>
          <cell r="CF4">
            <v>42643</v>
          </cell>
          <cell r="CG4">
            <v>42735</v>
          </cell>
          <cell r="CH4">
            <v>42735</v>
          </cell>
        </row>
        <row r="5">
          <cell r="B5" t="str">
            <v>($ Million, except per share data)</v>
          </cell>
          <cell r="D5" t="str">
            <v>1998A</v>
          </cell>
          <cell r="E5" t="str">
            <v>1999A</v>
          </cell>
          <cell r="F5" t="str">
            <v>2000A</v>
          </cell>
          <cell r="G5" t="str">
            <v>1Q01A</v>
          </cell>
          <cell r="H5" t="str">
            <v>2Q01A</v>
          </cell>
          <cell r="I5" t="str">
            <v>3Q01A</v>
          </cell>
          <cell r="J5" t="str">
            <v>4Q01A</v>
          </cell>
          <cell r="K5" t="str">
            <v>2001A</v>
          </cell>
          <cell r="L5" t="str">
            <v>1Q02A</v>
          </cell>
          <cell r="M5" t="str">
            <v>2Q02A</v>
          </cell>
          <cell r="N5" t="str">
            <v>3Q02A</v>
          </cell>
          <cell r="O5" t="str">
            <v>4Q02A</v>
          </cell>
          <cell r="P5" t="str">
            <v>2002A</v>
          </cell>
          <cell r="Q5" t="str">
            <v>1Q03A</v>
          </cell>
          <cell r="R5" t="str">
            <v>2Q03A</v>
          </cell>
          <cell r="S5" t="str">
            <v>3Q03A</v>
          </cell>
          <cell r="T5" t="str">
            <v>4Q03A</v>
          </cell>
          <cell r="U5" t="str">
            <v>2003A</v>
          </cell>
          <cell r="V5" t="str">
            <v>1Q04A</v>
          </cell>
          <cell r="W5" t="str">
            <v>2Q04A</v>
          </cell>
          <cell r="X5" t="str">
            <v>3Q04A</v>
          </cell>
          <cell r="Y5" t="str">
            <v>4Q04A</v>
          </cell>
          <cell r="Z5" t="str">
            <v>2004A</v>
          </cell>
          <cell r="AA5" t="str">
            <v>1Q05A</v>
          </cell>
          <cell r="AB5" t="str">
            <v>2Q05A</v>
          </cell>
          <cell r="AC5" t="str">
            <v>3Q05A</v>
          </cell>
          <cell r="AD5" t="str">
            <v>4Q05A</v>
          </cell>
          <cell r="AE5" t="str">
            <v>2005A</v>
          </cell>
          <cell r="AF5" t="str">
            <v>1Q06A</v>
          </cell>
          <cell r="AG5" t="str">
            <v>2Q06A</v>
          </cell>
          <cell r="AH5" t="str">
            <v>3Q06A</v>
          </cell>
          <cell r="AI5" t="str">
            <v>4Q06A</v>
          </cell>
          <cell r="AJ5" t="str">
            <v>2006A</v>
          </cell>
          <cell r="AK5" t="str">
            <v>1Q07A</v>
          </cell>
          <cell r="AL5" t="str">
            <v>2Q07A</v>
          </cell>
          <cell r="AM5" t="str">
            <v>3Q07A</v>
          </cell>
          <cell r="AN5" t="str">
            <v>4Q07A</v>
          </cell>
          <cell r="AO5" t="str">
            <v>2007A</v>
          </cell>
          <cell r="AP5" t="str">
            <v>1Q08A</v>
          </cell>
          <cell r="AQ5" t="str">
            <v>2Q08A</v>
          </cell>
          <cell r="AR5" t="str">
            <v>3Q08A</v>
          </cell>
          <cell r="AS5" t="str">
            <v>4Q08A</v>
          </cell>
          <cell r="AT5" t="str">
            <v>2008A</v>
          </cell>
          <cell r="AU5" t="str">
            <v>1Q09</v>
          </cell>
          <cell r="AV5" t="str">
            <v>2Q09</v>
          </cell>
          <cell r="AW5" t="str">
            <v>3Q09</v>
          </cell>
          <cell r="AX5" t="str">
            <v>4Q09</v>
          </cell>
          <cell r="AY5" t="str">
            <v>2009A</v>
          </cell>
          <cell r="AZ5" t="str">
            <v>1Q10A</v>
          </cell>
          <cell r="BA5" t="str">
            <v>2Q10A</v>
          </cell>
          <cell r="BB5" t="str">
            <v>3Q10A</v>
          </cell>
          <cell r="BC5" t="str">
            <v>4Q10A</v>
          </cell>
          <cell r="BD5" t="str">
            <v>2010A</v>
          </cell>
          <cell r="BE5" t="str">
            <v>1Q11A</v>
          </cell>
          <cell r="BF5" t="str">
            <v>2Q11A</v>
          </cell>
          <cell r="BG5" t="str">
            <v>3Q11A</v>
          </cell>
          <cell r="BH5" t="str">
            <v>4Q11A</v>
          </cell>
          <cell r="BI5" t="str">
            <v>2011A</v>
          </cell>
          <cell r="BJ5" t="str">
            <v>1Q12A</v>
          </cell>
          <cell r="BK5" t="str">
            <v>2Q12A</v>
          </cell>
          <cell r="BL5" t="str">
            <v>3Q12A</v>
          </cell>
          <cell r="BM5" t="str">
            <v>4Q12E</v>
          </cell>
          <cell r="BN5" t="str">
            <v>2012E</v>
          </cell>
          <cell r="BO5" t="str">
            <v>1Q13E</v>
          </cell>
          <cell r="BP5" t="str">
            <v>2Q13E</v>
          </cell>
          <cell r="BQ5" t="str">
            <v>3Q13E</v>
          </cell>
          <cell r="BR5" t="str">
            <v>4Q13E</v>
          </cell>
          <cell r="BS5" t="str">
            <v>2013E</v>
          </cell>
          <cell r="BT5" t="str">
            <v>1Q14E</v>
          </cell>
          <cell r="BU5" t="str">
            <v>2Q14E</v>
          </cell>
          <cell r="BV5" t="str">
            <v>3Q14E</v>
          </cell>
          <cell r="BW5" t="str">
            <v>4Q14E</v>
          </cell>
          <cell r="BX5" t="str">
            <v>2014E</v>
          </cell>
          <cell r="BY5" t="str">
            <v>1Q15E</v>
          </cell>
          <cell r="BZ5" t="str">
            <v>2Q15E</v>
          </cell>
          <cell r="CA5" t="str">
            <v>3Q15E</v>
          </cell>
          <cell r="CB5" t="str">
            <v>4Q15E</v>
          </cell>
          <cell r="CC5" t="str">
            <v>2015E</v>
          </cell>
          <cell r="CD5" t="str">
            <v>1Q16E</v>
          </cell>
          <cell r="CE5" t="str">
            <v>2Q16E</v>
          </cell>
          <cell r="CF5" t="str">
            <v>3Q16E</v>
          </cell>
          <cell r="CG5" t="str">
            <v>4Q16E</v>
          </cell>
          <cell r="CH5" t="str">
            <v>2016E</v>
          </cell>
        </row>
        <row r="7">
          <cell r="B7" t="str">
            <v># of days in period</v>
          </cell>
          <cell r="D7">
            <v>365</v>
          </cell>
          <cell r="E7">
            <v>365</v>
          </cell>
          <cell r="F7">
            <v>366</v>
          </cell>
          <cell r="G7">
            <v>90</v>
          </cell>
          <cell r="H7">
            <v>91</v>
          </cell>
          <cell r="I7">
            <v>92</v>
          </cell>
          <cell r="J7">
            <v>92</v>
          </cell>
          <cell r="K7">
            <v>365</v>
          </cell>
          <cell r="L7">
            <v>90</v>
          </cell>
          <cell r="M7">
            <v>91</v>
          </cell>
          <cell r="N7">
            <v>92</v>
          </cell>
          <cell r="O7">
            <v>92</v>
          </cell>
          <cell r="P7">
            <v>365</v>
          </cell>
          <cell r="Q7">
            <v>90</v>
          </cell>
          <cell r="R7">
            <v>91</v>
          </cell>
          <cell r="S7">
            <v>92</v>
          </cell>
          <cell r="T7">
            <v>92</v>
          </cell>
          <cell r="U7">
            <v>365</v>
          </cell>
          <cell r="V7">
            <v>91</v>
          </cell>
          <cell r="W7">
            <v>91</v>
          </cell>
          <cell r="X7">
            <v>92</v>
          </cell>
          <cell r="Y7">
            <v>92</v>
          </cell>
          <cell r="Z7">
            <v>366</v>
          </cell>
          <cell r="AA7">
            <v>90</v>
          </cell>
          <cell r="AB7">
            <v>91</v>
          </cell>
          <cell r="AC7">
            <v>92</v>
          </cell>
          <cell r="AD7">
            <v>92</v>
          </cell>
          <cell r="AE7">
            <v>365</v>
          </cell>
          <cell r="AF7">
            <v>90</v>
          </cell>
          <cell r="AG7">
            <v>91</v>
          </cell>
          <cell r="AH7">
            <v>92</v>
          </cell>
          <cell r="AI7">
            <v>92</v>
          </cell>
          <cell r="AJ7">
            <v>365</v>
          </cell>
          <cell r="AK7">
            <v>90</v>
          </cell>
          <cell r="AL7">
            <v>91</v>
          </cell>
          <cell r="AM7">
            <v>92</v>
          </cell>
          <cell r="AN7">
            <v>92</v>
          </cell>
          <cell r="AO7">
            <v>365</v>
          </cell>
          <cell r="AP7">
            <v>91</v>
          </cell>
          <cell r="AQ7">
            <v>91</v>
          </cell>
          <cell r="AR7">
            <v>92</v>
          </cell>
          <cell r="AS7">
            <v>92</v>
          </cell>
          <cell r="AT7">
            <v>366</v>
          </cell>
          <cell r="AU7">
            <v>90</v>
          </cell>
          <cell r="AV7">
            <v>91</v>
          </cell>
          <cell r="AW7">
            <v>92</v>
          </cell>
          <cell r="AX7">
            <v>92</v>
          </cell>
          <cell r="AY7">
            <v>365</v>
          </cell>
          <cell r="AZ7">
            <v>90</v>
          </cell>
          <cell r="BA7">
            <v>91</v>
          </cell>
          <cell r="BB7">
            <v>92</v>
          </cell>
          <cell r="BC7">
            <v>92</v>
          </cell>
          <cell r="BD7">
            <v>365</v>
          </cell>
          <cell r="BE7">
            <v>90</v>
          </cell>
          <cell r="BF7">
            <v>91</v>
          </cell>
          <cell r="BG7">
            <v>92</v>
          </cell>
          <cell r="BH7">
            <v>92</v>
          </cell>
          <cell r="BI7">
            <v>365</v>
          </cell>
          <cell r="BJ7">
            <v>91</v>
          </cell>
          <cell r="BK7">
            <v>91</v>
          </cell>
          <cell r="BL7">
            <v>92</v>
          </cell>
          <cell r="BM7">
            <v>92</v>
          </cell>
          <cell r="BN7">
            <v>366</v>
          </cell>
          <cell r="BO7">
            <v>90</v>
          </cell>
          <cell r="BP7">
            <v>91</v>
          </cell>
          <cell r="BQ7">
            <v>92</v>
          </cell>
          <cell r="BR7">
            <v>92</v>
          </cell>
          <cell r="BS7">
            <v>365</v>
          </cell>
          <cell r="BT7">
            <v>90</v>
          </cell>
          <cell r="BU7">
            <v>91</v>
          </cell>
          <cell r="BV7">
            <v>92</v>
          </cell>
          <cell r="BW7">
            <v>92</v>
          </cell>
          <cell r="BX7">
            <v>365</v>
          </cell>
          <cell r="BY7">
            <v>90</v>
          </cell>
          <cell r="BZ7">
            <v>91</v>
          </cell>
          <cell r="CA7">
            <v>92</v>
          </cell>
          <cell r="CB7">
            <v>92</v>
          </cell>
          <cell r="CC7">
            <v>365</v>
          </cell>
          <cell r="CD7">
            <v>91</v>
          </cell>
          <cell r="CE7">
            <v>91</v>
          </cell>
          <cell r="CF7">
            <v>92</v>
          </cell>
          <cell r="CG7">
            <v>92</v>
          </cell>
          <cell r="CH7">
            <v>366</v>
          </cell>
        </row>
        <row r="9">
          <cell r="B9" t="str">
            <v>Gross Revenue</v>
          </cell>
          <cell r="D9">
            <v>854.85</v>
          </cell>
          <cell r="E9">
            <v>1079.953</v>
          </cell>
          <cell r="F9">
            <v>1337.501</v>
          </cell>
          <cell r="G9">
            <v>398.64499999999998</v>
          </cell>
          <cell r="H9">
            <v>400.90899999999999</v>
          </cell>
          <cell r="I9">
            <v>416.56900000000002</v>
          </cell>
          <cell r="J9">
            <v>477.50200000000001</v>
          </cell>
          <cell r="K9">
            <v>1693.625</v>
          </cell>
          <cell r="L9">
            <v>533.51900000000001</v>
          </cell>
          <cell r="M9">
            <v>530.58199999999999</v>
          </cell>
          <cell r="N9">
            <v>552.84100000000001</v>
          </cell>
          <cell r="O9">
            <v>583.47500000000002</v>
          </cell>
          <cell r="P9">
            <v>2200.4169999999999</v>
          </cell>
          <cell r="Q9">
            <v>659.27700000000004</v>
          </cell>
          <cell r="R9">
            <v>657.29300000000001</v>
          </cell>
          <cell r="S9">
            <v>723.02200000000005</v>
          </cell>
          <cell r="T9">
            <v>795.03200000000004</v>
          </cell>
          <cell r="U9">
            <v>2834.6240000000003</v>
          </cell>
          <cell r="V9">
            <v>822.37599999999998</v>
          </cell>
          <cell r="W9">
            <v>813.66899999999998</v>
          </cell>
          <cell r="X9">
            <v>844.03399999999999</v>
          </cell>
          <cell r="Y9">
            <v>871.673</v>
          </cell>
          <cell r="Z9">
            <v>3351.7520000000004</v>
          </cell>
          <cell r="AA9">
            <v>914.10799999999995</v>
          </cell>
          <cell r="AB9">
            <v>918.71799999999996</v>
          </cell>
          <cell r="AC9">
            <v>929.26900000000001</v>
          </cell>
          <cell r="AD9">
            <v>982.07</v>
          </cell>
          <cell r="AE9">
            <v>3744.1650000000004</v>
          </cell>
          <cell r="AF9">
            <v>1026.5619999999999</v>
          </cell>
          <cell r="AG9">
            <v>1061.0540000000001</v>
          </cell>
          <cell r="AH9">
            <v>1123.4829999999999</v>
          </cell>
          <cell r="AI9">
            <v>1154.4770000000001</v>
          </cell>
          <cell r="AJ9">
            <v>4365.576</v>
          </cell>
          <cell r="AK9">
            <v>1203.9970000000001</v>
          </cell>
          <cell r="AL9">
            <v>1249.1279999999999</v>
          </cell>
          <cell r="AM9">
            <v>2352.087</v>
          </cell>
          <cell r="AN9">
            <v>2528.3420000000001</v>
          </cell>
          <cell r="AO9">
            <v>7333.5540000000001</v>
          </cell>
          <cell r="AP9">
            <v>2727.5540000000001</v>
          </cell>
          <cell r="AQ9">
            <v>2690.6</v>
          </cell>
          <cell r="AR9">
            <v>2772.86</v>
          </cell>
          <cell r="AS9">
            <v>2761.538</v>
          </cell>
          <cell r="AT9">
            <v>10952.552000000001</v>
          </cell>
          <cell r="AU9">
            <v>2892.39</v>
          </cell>
          <cell r="AV9">
            <v>3016.9609999999998</v>
          </cell>
          <cell r="AW9">
            <v>3086.7570000000001</v>
          </cell>
          <cell r="AX9">
            <v>3091.1460000000002</v>
          </cell>
          <cell r="AY9">
            <v>12087.254000000001</v>
          </cell>
          <cell r="AZ9">
            <v>3160.7220000000002</v>
          </cell>
          <cell r="BA9">
            <v>3171.0239999999999</v>
          </cell>
          <cell r="BB9">
            <v>3252.0549999999998</v>
          </cell>
          <cell r="BC9">
            <v>3402.6990000000001</v>
          </cell>
          <cell r="BD9">
            <v>12986.5</v>
          </cell>
          <cell r="BE9">
            <v>3405.3420000000001</v>
          </cell>
          <cell r="BF9">
            <v>3433.8290000000002</v>
          </cell>
          <cell r="BG9">
            <v>3436</v>
          </cell>
          <cell r="BH9">
            <v>3442.5140000000001</v>
          </cell>
          <cell r="BI9">
            <v>13717.685000000001</v>
          </cell>
          <cell r="BJ9">
            <v>3783.491</v>
          </cell>
          <cell r="BK9">
            <v>3746.4279999999999</v>
          </cell>
          <cell r="BL9">
            <v>3696.6610000000001</v>
          </cell>
          <cell r="BM9">
            <v>3685.7264728238288</v>
          </cell>
          <cell r="BN9">
            <v>14912.306472823828</v>
          </cell>
          <cell r="BO9">
            <v>3923.4796183906001</v>
          </cell>
          <cell r="BP9">
            <v>3962.5899612323274</v>
          </cell>
          <cell r="BQ9">
            <v>3908.7846154990521</v>
          </cell>
          <cell r="BR9">
            <v>3912.5049248054725</v>
          </cell>
          <cell r="BS9">
            <v>15707.359119927452</v>
          </cell>
          <cell r="BT9">
            <v>4099.4855213759165</v>
          </cell>
          <cell r="BU9">
            <v>4132.335485220854</v>
          </cell>
          <cell r="BV9">
            <v>4054.3770591486718</v>
          </cell>
          <cell r="BW9">
            <v>4036.3689527255106</v>
          </cell>
          <cell r="BX9">
            <v>16322.567018470952</v>
          </cell>
          <cell r="BY9">
            <v>4247.8015974055352</v>
          </cell>
          <cell r="BZ9">
            <v>4289.7036016015345</v>
          </cell>
          <cell r="CA9">
            <v>4211.431414399246</v>
          </cell>
          <cell r="CB9">
            <v>4204.9901259326261</v>
          </cell>
          <cell r="CC9">
            <v>16953.926739338942</v>
          </cell>
          <cell r="CD9">
            <v>4427.3203550911248</v>
          </cell>
          <cell r="CE9">
            <v>4468.3721899447692</v>
          </cell>
          <cell r="CF9">
            <v>4388.3224613121483</v>
          </cell>
          <cell r="CG9">
            <v>4373.7958731234166</v>
          </cell>
          <cell r="CH9">
            <v>17657.810879471461</v>
          </cell>
        </row>
        <row r="10">
          <cell r="B10" t="str">
            <v>Provision for bad debt</v>
          </cell>
          <cell r="D10">
            <v>122.303</v>
          </cell>
          <cell r="E10">
            <v>95.149000000000001</v>
          </cell>
          <cell r="F10">
            <v>122.303</v>
          </cell>
          <cell r="G10">
            <v>36.972999999999999</v>
          </cell>
          <cell r="H10">
            <v>36.985999999999997</v>
          </cell>
          <cell r="I10">
            <v>38.384</v>
          </cell>
          <cell r="J10">
            <v>43.883000000000003</v>
          </cell>
          <cell r="K10">
            <v>156.226</v>
          </cell>
          <cell r="L10">
            <v>49.896999999999998</v>
          </cell>
          <cell r="M10">
            <v>47.722000000000001</v>
          </cell>
          <cell r="N10">
            <v>52.350999999999999</v>
          </cell>
          <cell r="O10">
            <v>51.363999999999997</v>
          </cell>
          <cell r="P10">
            <v>201.334</v>
          </cell>
          <cell r="Q10">
            <v>62.341000000000001</v>
          </cell>
          <cell r="R10">
            <v>62.078000000000003</v>
          </cell>
          <cell r="S10">
            <v>70.69</v>
          </cell>
          <cell r="T10">
            <v>81.409000000000006</v>
          </cell>
          <cell r="U10">
            <v>276.51800000000003</v>
          </cell>
          <cell r="V10">
            <v>86.111000000000004</v>
          </cell>
          <cell r="W10">
            <v>81.721000000000004</v>
          </cell>
          <cell r="X10">
            <v>88.400999999999996</v>
          </cell>
          <cell r="Y10">
            <v>89.975999999999999</v>
          </cell>
          <cell r="Z10">
            <v>346.209</v>
          </cell>
          <cell r="AA10">
            <v>93.994</v>
          </cell>
          <cell r="AB10">
            <v>91.581999999999994</v>
          </cell>
          <cell r="AC10">
            <v>92.98</v>
          </cell>
          <cell r="AD10">
            <v>99.983000000000004</v>
          </cell>
          <cell r="AE10">
            <v>378.53899999999999</v>
          </cell>
          <cell r="AF10">
            <v>107.59099999999999</v>
          </cell>
          <cell r="AG10">
            <v>115.70399999999999</v>
          </cell>
          <cell r="AH10">
            <v>192.43899999999999</v>
          </cell>
          <cell r="AI10">
            <v>132.047</v>
          </cell>
          <cell r="AJ10">
            <v>547.78099999999995</v>
          </cell>
          <cell r="AK10">
            <v>135.69900000000001</v>
          </cell>
          <cell r="AL10">
            <v>148.661</v>
          </cell>
          <cell r="AM10">
            <v>279.60399999999998</v>
          </cell>
          <cell r="AN10">
            <v>361.13</v>
          </cell>
          <cell r="AO10">
            <v>925.09399999999994</v>
          </cell>
          <cell r="AP10">
            <v>297.08</v>
          </cell>
          <cell r="AQ10">
            <v>291.04500000000002</v>
          </cell>
          <cell r="AR10">
            <v>326.21300000000002</v>
          </cell>
          <cell r="AS10">
            <v>316.35399999999998</v>
          </cell>
          <cell r="AT10">
            <v>1230.692</v>
          </cell>
          <cell r="AU10">
            <v>335.45100000000002</v>
          </cell>
          <cell r="AV10">
            <v>362.46199999999999</v>
          </cell>
          <cell r="AW10">
            <v>378.35700000000003</v>
          </cell>
          <cell r="AX10">
            <v>381.72</v>
          </cell>
          <cell r="AY10">
            <v>1457.99</v>
          </cell>
          <cell r="AZ10">
            <v>378.07400000000001</v>
          </cell>
          <cell r="BA10">
            <v>381.45</v>
          </cell>
          <cell r="BB10">
            <v>403.077</v>
          </cell>
          <cell r="BC10">
            <v>425.91500000000002</v>
          </cell>
          <cell r="BD10">
            <v>1588.5160000000001</v>
          </cell>
          <cell r="BE10">
            <v>407.87099999999998</v>
          </cell>
          <cell r="BF10">
            <v>433.00200000000001</v>
          </cell>
          <cell r="BG10">
            <v>450.29599999999999</v>
          </cell>
          <cell r="BH10">
            <v>436.68900000000002</v>
          </cell>
          <cell r="BI10">
            <v>1727.8580000000002</v>
          </cell>
          <cell r="BJ10">
            <v>486.45600000000002</v>
          </cell>
          <cell r="BK10">
            <v>503.45400000000001</v>
          </cell>
          <cell r="BL10">
            <v>484.63099999999997</v>
          </cell>
          <cell r="BM10">
            <v>479.14444146709775</v>
          </cell>
          <cell r="BN10">
            <v>1953.6854414670979</v>
          </cell>
          <cell r="BO10">
            <v>518.96624638953028</v>
          </cell>
          <cell r="BP10">
            <v>535.58675634313227</v>
          </cell>
          <cell r="BQ10">
            <v>516.12666225141368</v>
          </cell>
          <cell r="BR10">
            <v>513.20144111839136</v>
          </cell>
          <cell r="BS10">
            <v>2083.8811061024676</v>
          </cell>
          <cell r="BT10">
            <v>412.83726086863396</v>
          </cell>
          <cell r="BU10">
            <v>423.95312243043958</v>
          </cell>
          <cell r="BV10">
            <v>406.58666494950353</v>
          </cell>
          <cell r="BW10">
            <v>400.09667808605957</v>
          </cell>
          <cell r="BX10">
            <v>1643.4737263346365</v>
          </cell>
          <cell r="BY10">
            <v>365.51897242302198</v>
          </cell>
          <cell r="BZ10">
            <v>377.10699734643839</v>
          </cell>
          <cell r="CA10">
            <v>363.17617642862672</v>
          </cell>
          <cell r="CB10">
            <v>359.01401005482813</v>
          </cell>
          <cell r="CC10">
            <v>1464.8161562529151</v>
          </cell>
          <cell r="CD10">
            <v>336.98309389888084</v>
          </cell>
          <cell r="CE10">
            <v>347.49523431572595</v>
          </cell>
          <cell r="CF10">
            <v>334.66705638966914</v>
          </cell>
          <cell r="CG10">
            <v>330.75648295148073</v>
          </cell>
          <cell r="CH10">
            <v>1349.9018675557568</v>
          </cell>
        </row>
        <row r="11">
          <cell r="B11" t="str">
            <v>Net Revenue</v>
          </cell>
          <cell r="D11">
            <v>732.54700000000003</v>
          </cell>
          <cell r="E11">
            <v>984.80399999999997</v>
          </cell>
          <cell r="F11">
            <v>1215.1979999999999</v>
          </cell>
          <cell r="G11">
            <v>361.67199999999997</v>
          </cell>
          <cell r="H11">
            <v>363.923</v>
          </cell>
          <cell r="I11">
            <v>378.185</v>
          </cell>
          <cell r="J11">
            <v>433.61900000000003</v>
          </cell>
          <cell r="K11">
            <v>1537.3989999999999</v>
          </cell>
          <cell r="L11">
            <v>483.62200000000001</v>
          </cell>
          <cell r="M11">
            <v>482.86</v>
          </cell>
          <cell r="N11">
            <v>500.49</v>
          </cell>
          <cell r="O11">
            <v>532.11099999999999</v>
          </cell>
          <cell r="P11">
            <v>1999.0829999999999</v>
          </cell>
          <cell r="Q11">
            <v>596.93600000000004</v>
          </cell>
          <cell r="R11">
            <v>595.21500000000003</v>
          </cell>
          <cell r="S11">
            <v>652.33200000000011</v>
          </cell>
          <cell r="T11">
            <v>713.62300000000005</v>
          </cell>
          <cell r="U11">
            <v>2558.1060000000002</v>
          </cell>
          <cell r="V11">
            <v>736.26499999999999</v>
          </cell>
          <cell r="W11">
            <v>731.94799999999998</v>
          </cell>
          <cell r="X11">
            <v>755.63300000000004</v>
          </cell>
          <cell r="Y11">
            <v>781.697</v>
          </cell>
          <cell r="Z11">
            <v>3005.5430000000006</v>
          </cell>
          <cell r="AA11">
            <v>820.11399999999992</v>
          </cell>
          <cell r="AB11">
            <v>827.13599999999997</v>
          </cell>
          <cell r="AC11">
            <v>836.28899999999999</v>
          </cell>
          <cell r="AD11">
            <v>882.08699999999999</v>
          </cell>
          <cell r="AE11">
            <v>3365.6260000000002</v>
          </cell>
          <cell r="AF11">
            <v>918.97099999999989</v>
          </cell>
          <cell r="AG11">
            <v>945.35000000000014</v>
          </cell>
          <cell r="AH11">
            <v>931.04399999999998</v>
          </cell>
          <cell r="AI11">
            <v>1022.4300000000001</v>
          </cell>
          <cell r="AJ11">
            <v>3817.7950000000001</v>
          </cell>
          <cell r="AK11">
            <v>1068.298</v>
          </cell>
          <cell r="AL11">
            <v>1100.4669999999999</v>
          </cell>
          <cell r="AM11">
            <v>2072.4830000000002</v>
          </cell>
          <cell r="AN11">
            <v>2167.212</v>
          </cell>
          <cell r="AO11">
            <v>6408.46</v>
          </cell>
          <cell r="AP11">
            <v>2430.4740000000002</v>
          </cell>
          <cell r="AQ11">
            <v>2399.5549999999998</v>
          </cell>
          <cell r="AR11">
            <v>2446.6469999999999</v>
          </cell>
          <cell r="AS11">
            <v>2445.1840000000002</v>
          </cell>
          <cell r="AT11">
            <v>9721.86</v>
          </cell>
          <cell r="AU11">
            <v>2556.9389999999999</v>
          </cell>
          <cell r="AV11">
            <v>2654.4989999999998</v>
          </cell>
          <cell r="AW11">
            <v>2708.4</v>
          </cell>
          <cell r="AX11">
            <v>2709.4260000000004</v>
          </cell>
          <cell r="AY11">
            <v>10629.264000000001</v>
          </cell>
          <cell r="AZ11">
            <v>2782.6480000000001</v>
          </cell>
          <cell r="BA11">
            <v>2789.5740000000001</v>
          </cell>
          <cell r="BB11">
            <v>2848.9780000000001</v>
          </cell>
          <cell r="BC11">
            <v>2976.7840000000001</v>
          </cell>
          <cell r="BD11">
            <v>11397.984</v>
          </cell>
          <cell r="BE11">
            <v>2997.471</v>
          </cell>
          <cell r="BF11">
            <v>3000.8270000000002</v>
          </cell>
          <cell r="BG11">
            <v>2985.7040000000002</v>
          </cell>
          <cell r="BH11">
            <v>3005.8250000000003</v>
          </cell>
          <cell r="BI11">
            <v>11989.827000000001</v>
          </cell>
          <cell r="BJ11">
            <v>3297.0349999999999</v>
          </cell>
          <cell r="BK11">
            <v>3242.9739999999997</v>
          </cell>
          <cell r="BL11">
            <v>3212.03</v>
          </cell>
          <cell r="BM11">
            <v>3206.582031356731</v>
          </cell>
          <cell r="BN11">
            <v>12958.62103135673</v>
          </cell>
          <cell r="BO11">
            <v>3404.5133720010699</v>
          </cell>
          <cell r="BP11">
            <v>3427.0032048891953</v>
          </cell>
          <cell r="BQ11">
            <v>3392.6579532476385</v>
          </cell>
          <cell r="BR11">
            <v>3399.3034836870811</v>
          </cell>
          <cell r="BS11">
            <v>13623.478013824984</v>
          </cell>
          <cell r="BT11">
            <v>3686.6482605072824</v>
          </cell>
          <cell r="BU11">
            <v>3708.3823627904144</v>
          </cell>
          <cell r="BV11">
            <v>3647.7903941991681</v>
          </cell>
          <cell r="BW11">
            <v>3636.2722746394511</v>
          </cell>
          <cell r="BX11">
            <v>14679.093292136316</v>
          </cell>
          <cell r="BY11">
            <v>3882.282624982513</v>
          </cell>
          <cell r="BZ11">
            <v>3912.5966042550963</v>
          </cell>
          <cell r="CA11">
            <v>3848.2552379706194</v>
          </cell>
          <cell r="CB11">
            <v>3845.9761158777978</v>
          </cell>
          <cell r="CC11">
            <v>15489.110583086027</v>
          </cell>
          <cell r="CD11">
            <v>4090.3372611922441</v>
          </cell>
          <cell r="CE11">
            <v>4120.8769556290436</v>
          </cell>
          <cell r="CF11">
            <v>4053.6554049224792</v>
          </cell>
          <cell r="CG11">
            <v>4043.0393901719358</v>
          </cell>
          <cell r="CH11">
            <v>16307.909011915704</v>
          </cell>
          <cell r="CM11" t="str">
            <v>mstag:revenueNet</v>
          </cell>
          <cell r="CN11">
            <v>6</v>
          </cell>
          <cell r="CO11" t="str">
            <v>ISO4217:USD</v>
          </cell>
          <cell r="CP11" t="b">
            <v>0</v>
          </cell>
        </row>
        <row r="12">
          <cell r="B12" t="str">
            <v>Salaries &amp; benefits</v>
          </cell>
          <cell r="D12">
            <v>517.39200000000005</v>
          </cell>
          <cell r="E12">
            <v>419.32</v>
          </cell>
          <cell r="F12">
            <v>517.39200000000005</v>
          </cell>
          <cell r="G12">
            <v>153.73400000000001</v>
          </cell>
          <cell r="H12">
            <v>156.047</v>
          </cell>
          <cell r="I12">
            <v>163.32</v>
          </cell>
          <cell r="J12">
            <v>192.947</v>
          </cell>
          <cell r="K12">
            <v>666.048</v>
          </cell>
          <cell r="L12">
            <v>217.16399999999999</v>
          </cell>
          <cell r="M12">
            <v>214.215</v>
          </cell>
          <cell r="N12">
            <v>221.459</v>
          </cell>
          <cell r="O12">
            <v>233.89599999999999</v>
          </cell>
          <cell r="P12">
            <v>886.73399999999992</v>
          </cell>
          <cell r="Q12">
            <v>268.77199999999999</v>
          </cell>
          <cell r="R12">
            <v>263.30700000000002</v>
          </cell>
          <cell r="S12">
            <v>288.32799999999997</v>
          </cell>
          <cell r="T12">
            <v>318.23500000000001</v>
          </cell>
          <cell r="U12">
            <v>1138.6419999999998</v>
          </cell>
          <cell r="V12">
            <v>330.428</v>
          </cell>
          <cell r="W12">
            <v>327.40300000000002</v>
          </cell>
          <cell r="X12">
            <v>338.44200000000001</v>
          </cell>
          <cell r="Y12">
            <v>347.90499999999997</v>
          </cell>
          <cell r="Z12">
            <v>1344.1779999999999</v>
          </cell>
          <cell r="AA12">
            <v>362.78800000000001</v>
          </cell>
          <cell r="AB12">
            <v>365.09699999999998</v>
          </cell>
          <cell r="AC12">
            <v>371.88099999999997</v>
          </cell>
          <cell r="AD12">
            <v>389.19600000000003</v>
          </cell>
          <cell r="AE12">
            <v>1488.962</v>
          </cell>
          <cell r="AF12">
            <v>407.66800000000001</v>
          </cell>
          <cell r="AG12">
            <v>420.14699999999999</v>
          </cell>
          <cell r="AH12">
            <v>450.137</v>
          </cell>
          <cell r="AI12">
            <v>463.27100000000002</v>
          </cell>
          <cell r="AJ12">
            <v>1741.223</v>
          </cell>
          <cell r="AK12">
            <v>486.33600000000001</v>
          </cell>
          <cell r="AL12">
            <v>495.08499999999998</v>
          </cell>
          <cell r="AM12">
            <v>951.5</v>
          </cell>
          <cell r="AN12">
            <v>1055.942</v>
          </cell>
          <cell r="AO12">
            <v>2988.8630000000003</v>
          </cell>
          <cell r="AP12">
            <v>1087.77</v>
          </cell>
          <cell r="AQ12">
            <v>1079.376</v>
          </cell>
          <cell r="AR12">
            <v>1091.7260000000001</v>
          </cell>
          <cell r="AS12">
            <v>1102.807</v>
          </cell>
          <cell r="AT12">
            <v>4361.6790000000001</v>
          </cell>
          <cell r="AU12">
            <v>1164.144</v>
          </cell>
          <cell r="AV12">
            <v>1201.68</v>
          </cell>
          <cell r="AW12">
            <v>1239.1469999999999</v>
          </cell>
          <cell r="AX12">
            <v>1228.0630000000001</v>
          </cell>
          <cell r="AY12">
            <v>4833.0339999999997</v>
          </cell>
          <cell r="AZ12">
            <v>1282.8309999999999</v>
          </cell>
          <cell r="BA12">
            <v>1267.7619999999999</v>
          </cell>
          <cell r="BB12">
            <v>1303.3889999999999</v>
          </cell>
          <cell r="BC12">
            <v>1383.989</v>
          </cell>
          <cell r="BD12">
            <v>5237.9709999999995</v>
          </cell>
          <cell r="BE12">
            <v>1402.1210000000001</v>
          </cell>
          <cell r="BF12">
            <v>1384.096</v>
          </cell>
          <cell r="BG12">
            <v>1393.1510000000001</v>
          </cell>
          <cell r="BH12">
            <v>1421.31</v>
          </cell>
          <cell r="BI12">
            <v>5600.6779999999999</v>
          </cell>
          <cell r="BJ12">
            <v>1524.9749999999999</v>
          </cell>
          <cell r="BK12">
            <v>1497.4459999999999</v>
          </cell>
          <cell r="BL12">
            <v>1525.1110000000001</v>
          </cell>
          <cell r="BM12">
            <v>1537.5950326470795</v>
          </cell>
          <cell r="BN12">
            <v>6085.1270326470794</v>
          </cell>
          <cell r="BO12">
            <v>1599.5559166389407</v>
          </cell>
          <cell r="BP12">
            <v>1557.6237768439082</v>
          </cell>
          <cell r="BQ12">
            <v>1635.9327954426171</v>
          </cell>
          <cell r="BR12">
            <v>1669.9568233634841</v>
          </cell>
          <cell r="BS12">
            <v>6463.0693122889497</v>
          </cell>
          <cell r="BT12">
            <v>1711.2511272712536</v>
          </cell>
          <cell r="BU12">
            <v>1656.9932367110202</v>
          </cell>
          <cell r="BV12">
            <v>1730.6147012216447</v>
          </cell>
          <cell r="BW12">
            <v>1754.9547867020403</v>
          </cell>
          <cell r="BX12">
            <v>6853.8138519059585</v>
          </cell>
          <cell r="BY12">
            <v>1793.0444391728936</v>
          </cell>
          <cell r="BZ12">
            <v>1736.7702379148507</v>
          </cell>
          <cell r="CA12">
            <v>1814.7125553856415</v>
          </cell>
          <cell r="CB12">
            <v>1840.2664851063769</v>
          </cell>
          <cell r="CC12">
            <v>7184.7937175797633</v>
          </cell>
          <cell r="CD12">
            <v>1879.8829726786812</v>
          </cell>
          <cell r="CE12">
            <v>1820.2297287556455</v>
          </cell>
          <cell r="CF12">
            <v>1902.5205353475162</v>
          </cell>
          <cell r="CG12">
            <v>1928.1439753503562</v>
          </cell>
          <cell r="CH12">
            <v>7530.7772121321996</v>
          </cell>
          <cell r="CM12" t="str">
            <v>mstag:laborAndRelatedExpenseTotal</v>
          </cell>
          <cell r="CN12">
            <v>6</v>
          </cell>
          <cell r="CO12" t="str">
            <v>ISO4217:USD</v>
          </cell>
          <cell r="CP12" t="b">
            <v>0</v>
          </cell>
        </row>
        <row r="13">
          <cell r="B13" t="str">
            <v>Supplies</v>
          </cell>
          <cell r="D13">
            <v>154.21100000000001</v>
          </cell>
          <cell r="E13">
            <v>126.693</v>
          </cell>
          <cell r="F13">
            <v>154.21100000000001</v>
          </cell>
          <cell r="G13">
            <v>46.759</v>
          </cell>
          <cell r="H13">
            <v>46.128999999999998</v>
          </cell>
          <cell r="I13">
            <v>48.142000000000003</v>
          </cell>
          <cell r="J13">
            <v>54.978000000000002</v>
          </cell>
          <cell r="K13">
            <v>196.00800000000001</v>
          </cell>
          <cell r="L13">
            <v>64</v>
          </cell>
          <cell r="M13">
            <v>61.905000000000001</v>
          </cell>
          <cell r="N13">
            <v>62.96</v>
          </cell>
          <cell r="O13">
            <v>65.822000000000003</v>
          </cell>
          <cell r="P13">
            <v>254.68700000000001</v>
          </cell>
          <cell r="Q13">
            <v>76.819999999999993</v>
          </cell>
          <cell r="R13">
            <v>76.152000000000001</v>
          </cell>
          <cell r="S13">
            <v>84.228999999999999</v>
          </cell>
          <cell r="T13">
            <v>95.177000000000007</v>
          </cell>
          <cell r="U13">
            <v>332.37799999999999</v>
          </cell>
          <cell r="V13">
            <v>99.391999999999996</v>
          </cell>
          <cell r="W13">
            <v>96.644999999999996</v>
          </cell>
          <cell r="X13">
            <v>103.839</v>
          </cell>
          <cell r="Y13">
            <v>106.292</v>
          </cell>
          <cell r="Z13">
            <v>406.16800000000001</v>
          </cell>
          <cell r="AA13">
            <v>113.569</v>
          </cell>
          <cell r="AB13">
            <v>110.429</v>
          </cell>
          <cell r="AC13">
            <v>110.48099999999999</v>
          </cell>
          <cell r="AD13">
            <v>114.64400000000001</v>
          </cell>
          <cell r="AE13">
            <v>449.12299999999999</v>
          </cell>
          <cell r="AF13">
            <v>122.82</v>
          </cell>
          <cell r="AG13">
            <v>125.7</v>
          </cell>
          <cell r="AH13">
            <v>130.036</v>
          </cell>
          <cell r="AI13">
            <v>131.79499999999999</v>
          </cell>
          <cell r="AJ13">
            <v>510.351</v>
          </cell>
          <cell r="AK13">
            <v>140.50800000000001</v>
          </cell>
          <cell r="AL13">
            <v>146.03299999999999</v>
          </cell>
          <cell r="AM13">
            <v>318.50599999999997</v>
          </cell>
          <cell r="AN13">
            <v>365.19799999999998</v>
          </cell>
          <cell r="AO13">
            <v>970.245</v>
          </cell>
          <cell r="AP13">
            <v>386.40899999999999</v>
          </cell>
          <cell r="AQ13">
            <v>377.58600000000001</v>
          </cell>
          <cell r="AR13">
            <v>383.142</v>
          </cell>
          <cell r="AS13">
            <v>388.54700000000003</v>
          </cell>
          <cell r="AT13">
            <v>1535.684</v>
          </cell>
          <cell r="AU13">
            <v>402.45400000000001</v>
          </cell>
          <cell r="AV13">
            <v>419.95600000000002</v>
          </cell>
          <cell r="AW13">
            <v>428.12</v>
          </cell>
          <cell r="AX13">
            <v>431.78</v>
          </cell>
          <cell r="AY13">
            <v>1682.3100000000002</v>
          </cell>
          <cell r="AZ13">
            <v>430.452</v>
          </cell>
          <cell r="BA13">
            <v>438.60199999999998</v>
          </cell>
          <cell r="BB13">
            <v>443.113</v>
          </cell>
          <cell r="BC13">
            <v>458.96199999999999</v>
          </cell>
          <cell r="BD13">
            <v>1771.1289999999999</v>
          </cell>
          <cell r="BE13">
            <v>464.15600000000001</v>
          </cell>
          <cell r="BF13">
            <v>449.279</v>
          </cell>
          <cell r="BG13">
            <v>459.14600000000002</v>
          </cell>
          <cell r="BH13">
            <v>467.86399999999998</v>
          </cell>
          <cell r="BI13">
            <v>1840.4449999999999</v>
          </cell>
          <cell r="BJ13">
            <v>498.57900000000001</v>
          </cell>
          <cell r="BK13">
            <v>489.72899999999998</v>
          </cell>
          <cell r="BL13">
            <v>484.21199999999999</v>
          </cell>
          <cell r="BM13">
            <v>489.02654671771529</v>
          </cell>
          <cell r="BN13">
            <v>1961.5465467177153</v>
          </cell>
          <cell r="BO13">
            <v>525.48905422708913</v>
          </cell>
          <cell r="BP13">
            <v>511.87062782175065</v>
          </cell>
          <cell r="BQ13">
            <v>521.90630437694256</v>
          </cell>
          <cell r="BR13">
            <v>533.68955134749137</v>
          </cell>
          <cell r="BS13">
            <v>2092.9555377732736</v>
          </cell>
          <cell r="BT13">
            <v>568.68320075275506</v>
          </cell>
          <cell r="BU13">
            <v>551.51481215903334</v>
          </cell>
          <cell r="BV13">
            <v>559.67301918373266</v>
          </cell>
          <cell r="BW13">
            <v>568.04489460138018</v>
          </cell>
          <cell r="BX13">
            <v>2247.9159266969014</v>
          </cell>
          <cell r="BY13">
            <v>590.95649662056394</v>
          </cell>
          <cell r="BZ13">
            <v>573.64362974504547</v>
          </cell>
          <cell r="CA13">
            <v>582.86567810792974</v>
          </cell>
          <cell r="CB13">
            <v>591.64310887407134</v>
          </cell>
          <cell r="CC13">
            <v>2339.1089133476107</v>
          </cell>
          <cell r="CD13">
            <v>615.37438868517529</v>
          </cell>
          <cell r="CE13">
            <v>596.67594358172914</v>
          </cell>
          <cell r="CF13">
            <v>606.83588277062188</v>
          </cell>
          <cell r="CG13">
            <v>614.89724070871489</v>
          </cell>
          <cell r="CH13">
            <v>2433.7834557462411</v>
          </cell>
          <cell r="CM13" t="str">
            <v>mstag:hospitalSuppliesExpense</v>
          </cell>
          <cell r="CN13">
            <v>6</v>
          </cell>
          <cell r="CO13" t="str">
            <v>ISO4217:USD</v>
          </cell>
          <cell r="CP13" t="b">
            <v>0</v>
          </cell>
        </row>
        <row r="14">
          <cell r="B14" t="str">
            <v>Other operating expenses</v>
          </cell>
          <cell r="D14">
            <v>259.47399999999999</v>
          </cell>
          <cell r="E14">
            <v>226.363</v>
          </cell>
          <cell r="F14">
            <v>259.47399999999999</v>
          </cell>
          <cell r="G14">
            <v>74.09</v>
          </cell>
          <cell r="H14">
            <v>78.070999999999998</v>
          </cell>
          <cell r="I14">
            <v>81.741</v>
          </cell>
          <cell r="J14">
            <v>89.909000000000006</v>
          </cell>
          <cell r="K14">
            <v>323.81099999999998</v>
          </cell>
          <cell r="L14">
            <v>97.909000000000006</v>
          </cell>
          <cell r="M14">
            <v>105.745</v>
          </cell>
          <cell r="N14">
            <v>114.76</v>
          </cell>
          <cell r="O14">
            <v>122.89400000000001</v>
          </cell>
          <cell r="P14">
            <v>441.30799999999999</v>
          </cell>
          <cell r="Q14">
            <v>128.631</v>
          </cell>
          <cell r="R14">
            <v>136.10599999999999</v>
          </cell>
          <cell r="S14">
            <v>153.47800000000001</v>
          </cell>
          <cell r="T14">
            <v>162.20500000000001</v>
          </cell>
          <cell r="U14">
            <v>580.41999999999996</v>
          </cell>
          <cell r="V14">
            <v>161.72399999999999</v>
          </cell>
          <cell r="W14">
            <v>166.32</v>
          </cell>
          <cell r="X14">
            <v>171.38399999999999</v>
          </cell>
          <cell r="Y14">
            <v>176.89</v>
          </cell>
          <cell r="Z14">
            <v>676.31799999999998</v>
          </cell>
          <cell r="AA14">
            <v>180.83199999999999</v>
          </cell>
          <cell r="AB14">
            <v>189.446</v>
          </cell>
          <cell r="AC14">
            <v>194.102</v>
          </cell>
          <cell r="AD14">
            <v>204.43600000000001</v>
          </cell>
          <cell r="AE14">
            <v>768.81600000000003</v>
          </cell>
          <cell r="AF14">
            <v>207.04300000000001</v>
          </cell>
          <cell r="AG14">
            <v>219.113</v>
          </cell>
          <cell r="AH14">
            <v>235.02099999999999</v>
          </cell>
          <cell r="AI14">
            <v>235.91399999999999</v>
          </cell>
          <cell r="AJ14">
            <v>897.09100000000001</v>
          </cell>
          <cell r="AK14">
            <v>245.25899999999999</v>
          </cell>
          <cell r="AL14">
            <v>258.55599999999998</v>
          </cell>
          <cell r="AM14">
            <v>464.12700000000001</v>
          </cell>
          <cell r="AN14">
            <v>512.26099999999997</v>
          </cell>
          <cell r="AO14">
            <v>1480.203</v>
          </cell>
          <cell r="AP14">
            <v>526.16700000000003</v>
          </cell>
          <cell r="AQ14">
            <v>526.09799999999996</v>
          </cell>
          <cell r="AR14">
            <v>529.36300000000006</v>
          </cell>
          <cell r="AS14">
            <v>516.82299999999998</v>
          </cell>
          <cell r="AT14">
            <v>2098.451</v>
          </cell>
          <cell r="AU14">
            <v>539.72400000000005</v>
          </cell>
          <cell r="AV14">
            <v>567.81299999999999</v>
          </cell>
          <cell r="AW14">
            <v>567.62400000000002</v>
          </cell>
          <cell r="AX14">
            <v>557.06100000000004</v>
          </cell>
          <cell r="AY14">
            <v>2232.2220000000002</v>
          </cell>
          <cell r="AZ14">
            <v>584.25300000000004</v>
          </cell>
          <cell r="BA14">
            <v>587.827</v>
          </cell>
          <cell r="BB14">
            <v>606.07299999999998</v>
          </cell>
          <cell r="BC14">
            <v>628.44299999999998</v>
          </cell>
          <cell r="BD14">
            <v>2406.5959999999995</v>
          </cell>
          <cell r="BE14">
            <v>624.79499999999996</v>
          </cell>
          <cell r="BF14">
            <v>654.73699999999997</v>
          </cell>
          <cell r="BG14">
            <v>623.60799999999995</v>
          </cell>
          <cell r="BH14">
            <v>622.50099999999998</v>
          </cell>
          <cell r="BI14">
            <v>2525.6409999999996</v>
          </cell>
          <cell r="BJ14">
            <v>708.94299999999998</v>
          </cell>
          <cell r="BK14">
            <v>736.22500000000002</v>
          </cell>
          <cell r="BL14">
            <v>694.85699999999997</v>
          </cell>
          <cell r="BM14">
            <v>683.19103430962991</v>
          </cell>
          <cell r="BN14">
            <v>2823.2160343096302</v>
          </cell>
          <cell r="BO14">
            <v>740.02245182354932</v>
          </cell>
          <cell r="BP14">
            <v>762.11205890854228</v>
          </cell>
          <cell r="BQ14">
            <v>741.74788587647936</v>
          </cell>
          <cell r="BR14">
            <v>738.41805766110815</v>
          </cell>
          <cell r="BS14">
            <v>2982.300454269679</v>
          </cell>
          <cell r="BT14">
            <v>790.68907215403556</v>
          </cell>
          <cell r="BU14">
            <v>809.52754920792825</v>
          </cell>
          <cell r="BV14">
            <v>783.40060000189874</v>
          </cell>
          <cell r="BW14">
            <v>774.851647428756</v>
          </cell>
          <cell r="BX14">
            <v>3158.4688687926191</v>
          </cell>
          <cell r="BY14">
            <v>826.92910207561761</v>
          </cell>
          <cell r="BZ14">
            <v>846.82796555533719</v>
          </cell>
          <cell r="CA14">
            <v>819.73157722142639</v>
          </cell>
          <cell r="CB14">
            <v>810.78852918101779</v>
          </cell>
          <cell r="CC14">
            <v>3304.2771740333992</v>
          </cell>
          <cell r="CD14">
            <v>865.13798240714289</v>
          </cell>
          <cell r="CE14">
            <v>885.75297409439281</v>
          </cell>
          <cell r="CF14">
            <v>857.59291934191458</v>
          </cell>
          <cell r="CG14">
            <v>847.88834376276077</v>
          </cell>
          <cell r="CH14">
            <v>3456.3722196062108</v>
          </cell>
          <cell r="CM14" t="str">
            <v>mstag:otherOperatingExpense</v>
          </cell>
          <cell r="CN14">
            <v>6</v>
          </cell>
          <cell r="CO14" t="str">
            <v>ISO4217:USD</v>
          </cell>
          <cell r="CP14" t="b">
            <v>0</v>
          </cell>
        </row>
        <row r="15">
          <cell r="B15" t="str">
            <v>Rent expense</v>
          </cell>
          <cell r="D15">
            <v>31.385000000000002</v>
          </cell>
          <cell r="E15">
            <v>25.521999999999998</v>
          </cell>
          <cell r="F15">
            <v>31.385000000000002</v>
          </cell>
          <cell r="G15">
            <v>9.8409999999999993</v>
          </cell>
          <cell r="H15">
            <v>9.8460000000000001</v>
          </cell>
          <cell r="I15">
            <v>10.956</v>
          </cell>
          <cell r="J15">
            <v>12.177999999999999</v>
          </cell>
          <cell r="K15">
            <v>42.820999999999998</v>
          </cell>
          <cell r="L15">
            <v>12.148999999999999</v>
          </cell>
          <cell r="M15">
            <v>13.475</v>
          </cell>
          <cell r="N15">
            <v>13.997</v>
          </cell>
          <cell r="O15">
            <v>14.769</v>
          </cell>
          <cell r="P15">
            <v>54.389999999999993</v>
          </cell>
          <cell r="Q15">
            <v>16.138999999999999</v>
          </cell>
          <cell r="R15">
            <v>16.917000000000002</v>
          </cell>
          <cell r="S15">
            <v>18.004000000000001</v>
          </cell>
          <cell r="T15">
            <v>19.082999999999995</v>
          </cell>
          <cell r="U15">
            <v>70.143000000000001</v>
          </cell>
          <cell r="V15">
            <v>19.698</v>
          </cell>
          <cell r="W15">
            <v>20.11</v>
          </cell>
          <cell r="X15">
            <v>20.951000000000001</v>
          </cell>
          <cell r="Y15">
            <v>20.629000000000005</v>
          </cell>
          <cell r="Z15">
            <v>81.388000000000005</v>
          </cell>
          <cell r="AA15">
            <v>20.827999999999999</v>
          </cell>
          <cell r="AB15">
            <v>22.012</v>
          </cell>
          <cell r="AC15">
            <v>22.327999999999999</v>
          </cell>
          <cell r="AD15">
            <v>22.041999999999991</v>
          </cell>
          <cell r="AE15">
            <v>87.21</v>
          </cell>
          <cell r="AF15">
            <v>22.981999999999999</v>
          </cell>
          <cell r="AG15">
            <v>23.646000000000001</v>
          </cell>
          <cell r="AH15">
            <v>24.49</v>
          </cell>
          <cell r="AI15">
            <v>25.986000000000001</v>
          </cell>
          <cell r="AJ15">
            <v>97.103999999999999</v>
          </cell>
          <cell r="AK15">
            <v>25.995999999999999</v>
          </cell>
          <cell r="AL15">
            <v>28.244</v>
          </cell>
          <cell r="AM15">
            <v>49.06</v>
          </cell>
          <cell r="AN15">
            <v>56.600999999999999</v>
          </cell>
          <cell r="AO15">
            <v>159.90100000000001</v>
          </cell>
          <cell r="AP15">
            <v>59.856999999999999</v>
          </cell>
          <cell r="AQ15">
            <v>58.478999999999999</v>
          </cell>
          <cell r="AR15">
            <v>58.841999999999999</v>
          </cell>
          <cell r="AS15">
            <v>55.279000000000003</v>
          </cell>
          <cell r="AT15">
            <v>232.45699999999999</v>
          </cell>
          <cell r="AU15">
            <v>59.942999999999998</v>
          </cell>
          <cell r="AV15">
            <v>61.2</v>
          </cell>
          <cell r="AW15">
            <v>62.683</v>
          </cell>
          <cell r="AX15">
            <v>62.920999999999999</v>
          </cell>
          <cell r="AY15">
            <v>246.74699999999999</v>
          </cell>
          <cell r="AZ15">
            <v>64.421000000000006</v>
          </cell>
          <cell r="BA15">
            <v>63.23</v>
          </cell>
          <cell r="BB15">
            <v>64.465000000000003</v>
          </cell>
          <cell r="BC15">
            <v>65.405000000000001</v>
          </cell>
          <cell r="BD15">
            <v>257.52100000000002</v>
          </cell>
          <cell r="BE15">
            <v>64.757000000000005</v>
          </cell>
          <cell r="BF15">
            <v>62.430999999999997</v>
          </cell>
          <cell r="BG15">
            <v>64.480999999999995</v>
          </cell>
          <cell r="BH15">
            <v>64.698999999999998</v>
          </cell>
          <cell r="BI15">
            <v>256.36799999999999</v>
          </cell>
          <cell r="BJ15">
            <v>67.224000000000004</v>
          </cell>
          <cell r="BK15">
            <v>66.462999999999994</v>
          </cell>
          <cell r="BL15">
            <v>68.637</v>
          </cell>
          <cell r="BM15">
            <v>68.904434999999992</v>
          </cell>
          <cell r="BN15">
            <v>271.22843499999999</v>
          </cell>
          <cell r="BO15">
            <v>68.568480000000008</v>
          </cell>
          <cell r="BP15">
            <v>67.792259999999999</v>
          </cell>
          <cell r="BQ15">
            <v>70.009740000000008</v>
          </cell>
          <cell r="BR15">
            <v>70.282523699999999</v>
          </cell>
          <cell r="BS15">
            <v>276.65300370000006</v>
          </cell>
          <cell r="BT15">
            <v>69.939849600000016</v>
          </cell>
          <cell r="BU15">
            <v>69.148105200000003</v>
          </cell>
          <cell r="BV15">
            <v>71.409934800000016</v>
          </cell>
          <cell r="BW15">
            <v>71.688174173999997</v>
          </cell>
          <cell r="BX15">
            <v>282.18606377400005</v>
          </cell>
          <cell r="BY15">
            <v>71.688345840000011</v>
          </cell>
          <cell r="BZ15">
            <v>70.876807830000004</v>
          </cell>
          <cell r="CA15">
            <v>73.195183170000007</v>
          </cell>
          <cell r="CB15">
            <v>73.480378528349988</v>
          </cell>
          <cell r="CC15">
            <v>289.24071536835004</v>
          </cell>
          <cell r="CD15">
            <v>73.838996215200012</v>
          </cell>
          <cell r="CE15">
            <v>73.003112064900009</v>
          </cell>
          <cell r="CF15">
            <v>75.391038665100012</v>
          </cell>
          <cell r="CG15">
            <v>75.684789884200484</v>
          </cell>
          <cell r="CH15">
            <v>297.91793682940056</v>
          </cell>
          <cell r="CM15" t="str">
            <v>mstag:otherOperatingExpense</v>
          </cell>
          <cell r="CN15">
            <v>6</v>
          </cell>
          <cell r="CO15" t="str">
            <v>ISO4217:USD</v>
          </cell>
          <cell r="CP15" t="b">
            <v>0</v>
          </cell>
        </row>
        <row r="16">
          <cell r="B16" t="str">
            <v xml:space="preserve">Electronic health records incentive reimbursement </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H16">
            <v>-23.17</v>
          </cell>
          <cell r="BI16">
            <v>-23.17</v>
          </cell>
          <cell r="BJ16">
            <v>-26.167999999999999</v>
          </cell>
          <cell r="BK16">
            <v>-16.802</v>
          </cell>
          <cell r="BL16">
            <v>-30.622</v>
          </cell>
          <cell r="BM16">
            <v>-42.5</v>
          </cell>
          <cell r="BN16">
            <v>-116.092</v>
          </cell>
          <cell r="BO16">
            <v>-37.5</v>
          </cell>
          <cell r="BP16">
            <v>-37.5</v>
          </cell>
          <cell r="BQ16">
            <v>-37.5</v>
          </cell>
          <cell r="BR16">
            <v>-37.5</v>
          </cell>
          <cell r="BS16">
            <v>-150</v>
          </cell>
          <cell r="BT16">
            <v>-25</v>
          </cell>
          <cell r="BU16">
            <v>-25</v>
          </cell>
          <cell r="BV16">
            <v>-25</v>
          </cell>
          <cell r="BW16">
            <v>-25</v>
          </cell>
          <cell r="BX16">
            <v>-100</v>
          </cell>
          <cell r="BY16">
            <v>-12.5</v>
          </cell>
          <cell r="BZ16">
            <v>-12.5</v>
          </cell>
          <cell r="CA16">
            <v>-12.5</v>
          </cell>
          <cell r="CB16">
            <v>-12.5</v>
          </cell>
          <cell r="CC16">
            <v>-50</v>
          </cell>
          <cell r="CD16">
            <v>-12.5</v>
          </cell>
          <cell r="CE16">
            <v>-12.5</v>
          </cell>
          <cell r="CF16">
            <v>-12.5</v>
          </cell>
          <cell r="CG16">
            <v>-12.5</v>
          </cell>
          <cell r="CH16">
            <v>-50</v>
          </cell>
          <cell r="CM16" t="str">
            <v>mstag:otherOperatingExpense</v>
          </cell>
          <cell r="CN16">
            <v>6</v>
          </cell>
          <cell r="CO16" t="str">
            <v>ISO4217:USD</v>
          </cell>
          <cell r="CP16" t="b">
            <v>0</v>
          </cell>
        </row>
        <row r="17">
          <cell r="B17" t="str">
            <v>EBITDA</v>
          </cell>
          <cell r="D17">
            <v>-229.91499999999996</v>
          </cell>
          <cell r="E17">
            <v>186.90599999999995</v>
          </cell>
          <cell r="F17">
            <v>252.73599999999988</v>
          </cell>
          <cell r="G17">
            <v>77.24799999999999</v>
          </cell>
          <cell r="H17">
            <v>73.830000000000041</v>
          </cell>
          <cell r="I17">
            <v>74.02600000000001</v>
          </cell>
          <cell r="J17">
            <v>83.607000000000028</v>
          </cell>
          <cell r="K17">
            <v>308.71100000000001</v>
          </cell>
          <cell r="L17">
            <v>92.400000000000034</v>
          </cell>
          <cell r="M17">
            <v>87.519999999999982</v>
          </cell>
          <cell r="N17">
            <v>87.314000000000021</v>
          </cell>
          <cell r="O17">
            <v>94.730000000000018</v>
          </cell>
          <cell r="P17">
            <v>361.96399999999994</v>
          </cell>
          <cell r="Q17">
            <v>106.57400000000007</v>
          </cell>
          <cell r="R17">
            <v>102.73300000000006</v>
          </cell>
          <cell r="S17">
            <v>108.29300000000012</v>
          </cell>
          <cell r="T17">
            <v>118.923</v>
          </cell>
          <cell r="U17">
            <v>436.52300000000059</v>
          </cell>
          <cell r="V17">
            <v>125.02300000000002</v>
          </cell>
          <cell r="W17">
            <v>121.47000000000003</v>
          </cell>
          <cell r="X17">
            <v>121.01700000000005</v>
          </cell>
          <cell r="Y17">
            <v>129.98099999999999</v>
          </cell>
          <cell r="Z17">
            <v>497.49100000000089</v>
          </cell>
          <cell r="AA17">
            <v>142.09699999999987</v>
          </cell>
          <cell r="AB17">
            <v>140.15200000000004</v>
          </cell>
          <cell r="AC17">
            <v>137.49700000000007</v>
          </cell>
          <cell r="AD17">
            <v>151.76899999999989</v>
          </cell>
          <cell r="AE17">
            <v>571.51500000000033</v>
          </cell>
          <cell r="AF17">
            <v>158.45799999999986</v>
          </cell>
          <cell r="AG17">
            <v>156.74400000000014</v>
          </cell>
          <cell r="AH17">
            <v>91.360000000000014</v>
          </cell>
          <cell r="AI17">
            <v>165.46400000000006</v>
          </cell>
          <cell r="AJ17">
            <v>572.02600000000029</v>
          </cell>
          <cell r="AK17">
            <v>170.19899999999996</v>
          </cell>
          <cell r="AL17">
            <v>172.54899999999986</v>
          </cell>
          <cell r="AM17">
            <v>289.29000000000042</v>
          </cell>
          <cell r="AN17">
            <v>177.21000000000004</v>
          </cell>
          <cell r="AO17">
            <v>809.2480000000005</v>
          </cell>
          <cell r="AP17">
            <v>370.27100000000019</v>
          </cell>
          <cell r="AQ17">
            <v>358.01599999999985</v>
          </cell>
          <cell r="AR17">
            <v>383.57399999999961</v>
          </cell>
          <cell r="AS17">
            <v>381.72800000000007</v>
          </cell>
          <cell r="AT17">
            <v>1493.5889999999999</v>
          </cell>
          <cell r="AU17">
            <v>390.67399999999952</v>
          </cell>
          <cell r="AV17">
            <v>403.84999999999991</v>
          </cell>
          <cell r="AW17">
            <v>410.82600000000048</v>
          </cell>
          <cell r="AX17">
            <v>429.60100000000057</v>
          </cell>
          <cell r="AY17">
            <v>1634.9510000000009</v>
          </cell>
          <cell r="AZ17">
            <v>420.69100000000026</v>
          </cell>
          <cell r="BA17">
            <v>432.15300000000025</v>
          </cell>
          <cell r="BB17">
            <v>431.9380000000001</v>
          </cell>
          <cell r="BC17">
            <v>439.98499999999967</v>
          </cell>
          <cell r="BD17">
            <v>1724.7669999999998</v>
          </cell>
          <cell r="BE17">
            <v>441.64199999999983</v>
          </cell>
          <cell r="BF17">
            <v>450.28400000000011</v>
          </cell>
          <cell r="BG17">
            <v>445.31800000000067</v>
          </cell>
          <cell r="BH17">
            <v>452.62100000000009</v>
          </cell>
          <cell r="BI17">
            <v>1789.8650000000016</v>
          </cell>
          <cell r="BJ17">
            <v>523.48199999999997</v>
          </cell>
          <cell r="BK17">
            <v>469.91299999999956</v>
          </cell>
          <cell r="BL17">
            <v>469.83499999999958</v>
          </cell>
          <cell r="BM17">
            <v>470.36498268230616</v>
          </cell>
          <cell r="BN17">
            <v>1933.5949826823035</v>
          </cell>
          <cell r="BO17">
            <v>508.37746931149104</v>
          </cell>
          <cell r="BP17">
            <v>565.10448131499425</v>
          </cell>
          <cell r="BQ17">
            <v>460.56122755159959</v>
          </cell>
          <cell r="BR17">
            <v>424.45652761499741</v>
          </cell>
          <cell r="BS17">
            <v>1958.4997057930832</v>
          </cell>
          <cell r="BT17">
            <v>571.08501072923855</v>
          </cell>
          <cell r="BU17">
            <v>646.19865951243264</v>
          </cell>
          <cell r="BV17">
            <v>527.69213899189162</v>
          </cell>
          <cell r="BW17">
            <v>491.7327717332746</v>
          </cell>
          <cell r="BX17">
            <v>2236.7085809668388</v>
          </cell>
          <cell r="BY17">
            <v>612.16424127343726</v>
          </cell>
          <cell r="BZ17">
            <v>696.97796320986345</v>
          </cell>
          <cell r="CA17">
            <v>570.25024408562194</v>
          </cell>
          <cell r="CB17">
            <v>542.29761418798171</v>
          </cell>
          <cell r="CC17">
            <v>2421.690062756903</v>
          </cell>
          <cell r="CD17">
            <v>668.60292120604481</v>
          </cell>
          <cell r="CE17">
            <v>757.71519713237603</v>
          </cell>
          <cell r="CF17">
            <v>623.81502879732625</v>
          </cell>
          <cell r="CG17">
            <v>588.92504046590284</v>
          </cell>
          <cell r="CH17">
            <v>2639.0581876016531</v>
          </cell>
        </row>
        <row r="18">
          <cell r="B18" t="str">
            <v>Depreciation &amp; amortization</v>
          </cell>
          <cell r="D18">
            <v>97.623999999999995</v>
          </cell>
          <cell r="E18">
            <v>81.650999999999996</v>
          </cell>
          <cell r="F18">
            <v>97.623999999999995</v>
          </cell>
          <cell r="G18">
            <v>28.506999999999998</v>
          </cell>
          <cell r="H18">
            <v>28.660999999999998</v>
          </cell>
          <cell r="I18">
            <v>30.631</v>
          </cell>
          <cell r="J18">
            <v>31.869</v>
          </cell>
          <cell r="K18">
            <v>119.66799999999999</v>
          </cell>
          <cell r="L18">
            <v>28.484000000000002</v>
          </cell>
          <cell r="M18">
            <v>28.951000000000001</v>
          </cell>
          <cell r="N18">
            <v>28.981999999999999</v>
          </cell>
          <cell r="O18">
            <v>31.800999999999998</v>
          </cell>
          <cell r="P18">
            <v>118.218</v>
          </cell>
          <cell r="Q18">
            <v>33.241999999999997</v>
          </cell>
          <cell r="R18">
            <v>34.357999999999997</v>
          </cell>
          <cell r="S18">
            <v>36.374000000000002</v>
          </cell>
          <cell r="T18">
            <v>39.792000000000002</v>
          </cell>
          <cell r="U18">
            <v>143.76599999999999</v>
          </cell>
          <cell r="V18">
            <v>38.451000000000001</v>
          </cell>
          <cell r="W18">
            <v>38.706000000000003</v>
          </cell>
          <cell r="X18">
            <v>39.311999999999998</v>
          </cell>
          <cell r="Y18">
            <v>41.603999999999999</v>
          </cell>
          <cell r="Z18">
            <v>158.07300000000001</v>
          </cell>
          <cell r="AA18">
            <v>40.246000000000002</v>
          </cell>
          <cell r="AB18">
            <v>40.482999999999997</v>
          </cell>
          <cell r="AC18">
            <v>40.49</v>
          </cell>
          <cell r="AD18">
            <v>43.792999999999999</v>
          </cell>
          <cell r="AE18">
            <v>165.012</v>
          </cell>
          <cell r="AF18">
            <v>42.506</v>
          </cell>
          <cell r="AG18">
            <v>47.183</v>
          </cell>
          <cell r="AH18">
            <v>49.951000000000001</v>
          </cell>
          <cell r="AI18">
            <v>49.131</v>
          </cell>
          <cell r="AJ18">
            <v>188.77099999999999</v>
          </cell>
          <cell r="AK18">
            <v>51.27</v>
          </cell>
          <cell r="AL18">
            <v>53.348999999999997</v>
          </cell>
          <cell r="AM18">
            <v>106.435</v>
          </cell>
          <cell r="AN18">
            <v>115.104</v>
          </cell>
          <cell r="AO18">
            <v>326.15800000000002</v>
          </cell>
          <cell r="AP18">
            <v>122.715</v>
          </cell>
          <cell r="AQ18">
            <v>124.94199999999999</v>
          </cell>
          <cell r="AR18">
            <v>130.50700000000001</v>
          </cell>
          <cell r="AS18">
            <v>125.78700000000001</v>
          </cell>
          <cell r="AT18">
            <v>503.95100000000002</v>
          </cell>
          <cell r="AU18">
            <v>135.53200000000001</v>
          </cell>
          <cell r="AV18">
            <v>142.447</v>
          </cell>
          <cell r="AW18">
            <v>143.55799999999999</v>
          </cell>
          <cell r="AX18">
            <v>144.64500000000001</v>
          </cell>
          <cell r="AY18">
            <v>566.18200000000002</v>
          </cell>
          <cell r="AZ18">
            <v>147.679</v>
          </cell>
          <cell r="BA18">
            <v>153.381</v>
          </cell>
          <cell r="BB18">
            <v>151.119</v>
          </cell>
          <cell r="BC18">
            <v>157.66</v>
          </cell>
          <cell r="BD18">
            <v>609.83899999999994</v>
          </cell>
          <cell r="BE18">
            <v>160.67699999999999</v>
          </cell>
          <cell r="BF18">
            <v>161.376</v>
          </cell>
          <cell r="BG18">
            <v>161.51499999999999</v>
          </cell>
          <cell r="BH18">
            <v>171.62799999999999</v>
          </cell>
          <cell r="BI18">
            <v>655.19599999999991</v>
          </cell>
          <cell r="BJ18">
            <v>174.35400000000001</v>
          </cell>
          <cell r="BK18">
            <v>179.80099999999999</v>
          </cell>
          <cell r="BL18">
            <v>182.20699999999999</v>
          </cell>
          <cell r="BM18">
            <v>182.53677060000001</v>
          </cell>
          <cell r="BN18">
            <v>718.89877060000003</v>
          </cell>
          <cell r="BO18">
            <v>183.70643073500003</v>
          </cell>
          <cell r="BP18">
            <v>185.426269966625</v>
          </cell>
          <cell r="BQ18">
            <v>187.10311321745939</v>
          </cell>
          <cell r="BR18">
            <v>188.7380353870229</v>
          </cell>
          <cell r="BS18">
            <v>744.97384930610735</v>
          </cell>
          <cell r="BT18">
            <v>189.01958450234733</v>
          </cell>
          <cell r="BU18">
            <v>189.29409488978865</v>
          </cell>
          <cell r="BV18">
            <v>189.56174251754393</v>
          </cell>
          <cell r="BW18">
            <v>189.82269895460533</v>
          </cell>
          <cell r="BX18">
            <v>757.69812086428533</v>
          </cell>
          <cell r="BY18">
            <v>190.07713148074018</v>
          </cell>
          <cell r="BZ18">
            <v>190.32520319372168</v>
          </cell>
          <cell r="CA18">
            <v>190.56707311387865</v>
          </cell>
          <cell r="CB18">
            <v>190.80289628603168</v>
          </cell>
          <cell r="CC18">
            <v>761.77230407437219</v>
          </cell>
          <cell r="CD18">
            <v>191.03282387888089</v>
          </cell>
          <cell r="CE18">
            <v>191.25700328190885</v>
          </cell>
          <cell r="CF18">
            <v>191.47557819986116</v>
          </cell>
          <cell r="CG18">
            <v>191.68868874486463</v>
          </cell>
          <cell r="CH18">
            <v>765.45409410551554</v>
          </cell>
          <cell r="CM18" t="str">
            <v>mstag:depreciationInIncomeStatement</v>
          </cell>
          <cell r="CN18">
            <v>6</v>
          </cell>
          <cell r="CO18" t="str">
            <v>ISO4217:USD</v>
          </cell>
          <cell r="CP18" t="b">
            <v>0</v>
          </cell>
        </row>
        <row r="19">
          <cell r="B19" t="str">
            <v>Operating income</v>
          </cell>
          <cell r="D19">
            <v>-327.53899999999999</v>
          </cell>
          <cell r="E19">
            <v>105.25499999999995</v>
          </cell>
          <cell r="F19">
            <v>155.11199999999988</v>
          </cell>
          <cell r="G19">
            <v>48.740999999999993</v>
          </cell>
          <cell r="H19">
            <v>45.16900000000004</v>
          </cell>
          <cell r="I19">
            <v>43.39500000000001</v>
          </cell>
          <cell r="J19">
            <v>51.738000000000028</v>
          </cell>
          <cell r="K19">
            <v>189.04300000000001</v>
          </cell>
          <cell r="L19">
            <v>63.916000000000032</v>
          </cell>
          <cell r="M19">
            <v>58.568999999999981</v>
          </cell>
          <cell r="N19">
            <v>58.332000000000022</v>
          </cell>
          <cell r="O19">
            <v>62.929000000000016</v>
          </cell>
          <cell r="P19">
            <v>243.74599999999992</v>
          </cell>
          <cell r="Q19">
            <v>73.332000000000079</v>
          </cell>
          <cell r="R19">
            <v>68.375000000000057</v>
          </cell>
          <cell r="S19">
            <v>71.919000000000125</v>
          </cell>
          <cell r="T19">
            <v>79.131</v>
          </cell>
          <cell r="U19">
            <v>292.75700000000063</v>
          </cell>
          <cell r="V19">
            <v>86.572000000000031</v>
          </cell>
          <cell r="W19">
            <v>82.764000000000024</v>
          </cell>
          <cell r="X19">
            <v>81.705000000000055</v>
          </cell>
          <cell r="Y19">
            <v>88.376999999999995</v>
          </cell>
          <cell r="Z19">
            <v>339.41800000000092</v>
          </cell>
          <cell r="AA19">
            <v>101.85099999999986</v>
          </cell>
          <cell r="AB19">
            <v>99.66900000000004</v>
          </cell>
          <cell r="AC19">
            <v>97.007000000000062</v>
          </cell>
          <cell r="AD19">
            <v>107.97599999999989</v>
          </cell>
          <cell r="AE19">
            <v>406.50300000000033</v>
          </cell>
          <cell r="AF19">
            <v>115.95199999999986</v>
          </cell>
          <cell r="AG19">
            <v>109.56100000000015</v>
          </cell>
          <cell r="AH19">
            <v>41.409000000000013</v>
          </cell>
          <cell r="AI19">
            <v>116.33300000000006</v>
          </cell>
          <cell r="AJ19">
            <v>383.25500000000034</v>
          </cell>
          <cell r="AK19">
            <v>118.92899999999995</v>
          </cell>
          <cell r="AL19">
            <v>119.19999999999987</v>
          </cell>
          <cell r="AM19">
            <v>182.85500000000042</v>
          </cell>
          <cell r="AN19">
            <v>62.106000000000037</v>
          </cell>
          <cell r="AO19">
            <v>483.09000000000049</v>
          </cell>
          <cell r="AP19">
            <v>247.55600000000018</v>
          </cell>
          <cell r="AQ19">
            <v>233.07399999999984</v>
          </cell>
          <cell r="AR19">
            <v>253.06699999999961</v>
          </cell>
          <cell r="AS19">
            <v>255.94100000000006</v>
          </cell>
          <cell r="AT19">
            <v>989.63799999999992</v>
          </cell>
          <cell r="AU19">
            <v>255.14199999999951</v>
          </cell>
          <cell r="AV19">
            <v>261.40299999999991</v>
          </cell>
          <cell r="AW19">
            <v>267.26800000000048</v>
          </cell>
          <cell r="AX19">
            <v>284.95600000000059</v>
          </cell>
          <cell r="AY19">
            <v>1068.7690000000009</v>
          </cell>
          <cell r="AZ19">
            <v>273.01200000000028</v>
          </cell>
          <cell r="BA19">
            <v>278.77200000000028</v>
          </cell>
          <cell r="BB19">
            <v>280.81900000000007</v>
          </cell>
          <cell r="BC19">
            <v>282.3249999999997</v>
          </cell>
          <cell r="BD19">
            <v>1114.9279999999999</v>
          </cell>
          <cell r="BE19">
            <v>280.9649999999998</v>
          </cell>
          <cell r="BF19">
            <v>288.90800000000013</v>
          </cell>
          <cell r="BG19">
            <v>283.80300000000068</v>
          </cell>
          <cell r="BH19">
            <v>280.99300000000011</v>
          </cell>
          <cell r="BI19">
            <v>1134.6690000000017</v>
          </cell>
          <cell r="BJ19">
            <v>349.12799999999993</v>
          </cell>
          <cell r="BK19">
            <v>290.11199999999957</v>
          </cell>
          <cell r="BL19">
            <v>287.62799999999959</v>
          </cell>
          <cell r="BM19">
            <v>287.82821208230615</v>
          </cell>
          <cell r="BN19">
            <v>1214.6962120823034</v>
          </cell>
          <cell r="BO19">
            <v>324.67103857649101</v>
          </cell>
          <cell r="BP19">
            <v>379.67821134836925</v>
          </cell>
          <cell r="BQ19">
            <v>273.45811433414019</v>
          </cell>
          <cell r="BR19">
            <v>235.71849222797451</v>
          </cell>
          <cell r="BS19">
            <v>1213.525856486976</v>
          </cell>
          <cell r="BT19">
            <v>378.15819049709</v>
          </cell>
          <cell r="BU19">
            <v>452.9227454525473</v>
          </cell>
          <cell r="BV19">
            <v>334.1754299901188</v>
          </cell>
          <cell r="BW19">
            <v>298.00436839632198</v>
          </cell>
          <cell r="BX19">
            <v>1463.2607343360796</v>
          </cell>
          <cell r="BY19">
            <v>417.95996518488482</v>
          </cell>
          <cell r="BZ19">
            <v>502.25652406952713</v>
          </cell>
          <cell r="CA19">
            <v>375.12462659000516</v>
          </cell>
          <cell r="CB19">
            <v>346.78633752793905</v>
          </cell>
          <cell r="CC19">
            <v>1642.1274533723549</v>
          </cell>
          <cell r="CD19">
            <v>472.4323486480921</v>
          </cell>
          <cell r="CE19">
            <v>560.84979963247156</v>
          </cell>
          <cell r="CF19">
            <v>426.37458779549632</v>
          </cell>
          <cell r="CG19">
            <v>390.94274097138725</v>
          </cell>
          <cell r="CH19">
            <v>1850.5994770474504</v>
          </cell>
        </row>
        <row r="20">
          <cell r="B20" t="str">
            <v>Interest expense, net</v>
          </cell>
          <cell r="D20">
            <v>127.37</v>
          </cell>
          <cell r="E20">
            <v>116.491</v>
          </cell>
          <cell r="F20">
            <v>127.37</v>
          </cell>
          <cell r="G20">
            <v>27.553000000000001</v>
          </cell>
          <cell r="H20">
            <v>25.620999999999999</v>
          </cell>
          <cell r="I20">
            <v>23.541</v>
          </cell>
          <cell r="J20">
            <v>17.832999999999998</v>
          </cell>
          <cell r="K20">
            <v>94.548000000000002</v>
          </cell>
          <cell r="L20">
            <v>16.728999999999999</v>
          </cell>
          <cell r="M20">
            <v>16.521999999999998</v>
          </cell>
          <cell r="N20">
            <v>14.788</v>
          </cell>
          <cell r="O20">
            <v>14.821</v>
          </cell>
          <cell r="P20">
            <v>62.86</v>
          </cell>
          <cell r="Q20">
            <v>17.015999999999998</v>
          </cell>
          <cell r="R20">
            <v>16.667000000000002</v>
          </cell>
          <cell r="S20">
            <v>18.468</v>
          </cell>
          <cell r="T20">
            <v>18.940999999999999</v>
          </cell>
          <cell r="U20">
            <v>71.091999999999999</v>
          </cell>
          <cell r="V20">
            <v>18.771999999999998</v>
          </cell>
          <cell r="W20">
            <v>18.488</v>
          </cell>
          <cell r="X20">
            <v>19.158999999999999</v>
          </cell>
          <cell r="Y20">
            <v>21.587</v>
          </cell>
          <cell r="Z20">
            <v>78.006</v>
          </cell>
          <cell r="AA20">
            <v>22.780999999999999</v>
          </cell>
          <cell r="AB20">
            <v>23.012</v>
          </cell>
          <cell r="AC20">
            <v>24.17</v>
          </cell>
          <cell r="AD20">
            <v>24.65</v>
          </cell>
          <cell r="AE20">
            <v>94.613</v>
          </cell>
          <cell r="AF20">
            <v>21.786999999999999</v>
          </cell>
          <cell r="AG20">
            <v>23.87</v>
          </cell>
          <cell r="AH20">
            <v>27.494</v>
          </cell>
          <cell r="AI20">
            <v>29.148</v>
          </cell>
          <cell r="AJ20">
            <v>102.29900000000001</v>
          </cell>
          <cell r="AK20">
            <v>30.404</v>
          </cell>
          <cell r="AL20">
            <v>31.155000000000001</v>
          </cell>
          <cell r="AM20">
            <v>139.50700000000001</v>
          </cell>
          <cell r="AN20">
            <v>171.756</v>
          </cell>
          <cell r="AO20">
            <v>372.822</v>
          </cell>
          <cell r="AP20">
            <v>165.702</v>
          </cell>
          <cell r="AQ20">
            <v>154.36099999999999</v>
          </cell>
          <cell r="AR20">
            <v>167.785</v>
          </cell>
          <cell r="AS20">
            <v>167.614</v>
          </cell>
          <cell r="AT20">
            <v>655.46199999999999</v>
          </cell>
          <cell r="AU20">
            <v>163.81</v>
          </cell>
          <cell r="AV20">
            <v>161.47300000000001</v>
          </cell>
          <cell r="AW20">
            <v>161.82300000000001</v>
          </cell>
          <cell r="AX20">
            <v>161.755</v>
          </cell>
          <cell r="AY20">
            <v>648.86099999999999</v>
          </cell>
          <cell r="AZ20">
            <v>160.45599999999999</v>
          </cell>
          <cell r="BA20">
            <v>161.84100000000001</v>
          </cell>
          <cell r="BB20">
            <v>164.011</v>
          </cell>
          <cell r="BC20">
            <v>165.61799999999999</v>
          </cell>
          <cell r="BD20">
            <v>651.92599999999993</v>
          </cell>
          <cell r="BE20">
            <v>164.172</v>
          </cell>
          <cell r="BF20">
            <v>163.22999999999999</v>
          </cell>
          <cell r="BG20">
            <v>159.47999999999999</v>
          </cell>
          <cell r="BH20">
            <v>158.482</v>
          </cell>
          <cell r="BI20">
            <v>645.36399999999992</v>
          </cell>
          <cell r="BJ20">
            <v>152.17500000000001</v>
          </cell>
          <cell r="BK20">
            <v>151.607</v>
          </cell>
          <cell r="BL20">
            <v>158.565</v>
          </cell>
          <cell r="BM20">
            <v>163.95736928293522</v>
          </cell>
          <cell r="BN20">
            <v>626.30436928293523</v>
          </cell>
          <cell r="BO20">
            <v>164.94627459623908</v>
          </cell>
          <cell r="BP20">
            <v>164.84055985625329</v>
          </cell>
          <cell r="BQ20">
            <v>164.83336787965044</v>
          </cell>
          <cell r="BR20">
            <v>164.77382155128257</v>
          </cell>
          <cell r="BS20">
            <v>659.39402388342535</v>
          </cell>
          <cell r="BT20">
            <v>164.70118930957739</v>
          </cell>
          <cell r="BU20">
            <v>164.64123454684361</v>
          </cell>
          <cell r="BV20">
            <v>164.55229036356087</v>
          </cell>
          <cell r="BW20">
            <v>164.40818555151299</v>
          </cell>
          <cell r="BX20">
            <v>658.30289977149482</v>
          </cell>
          <cell r="BY20">
            <v>164.28733910515757</v>
          </cell>
          <cell r="BZ20">
            <v>164.21381276065003</v>
          </cell>
          <cell r="CA20">
            <v>164.1075974411776</v>
          </cell>
          <cell r="CB20">
            <v>163.94325405238743</v>
          </cell>
          <cell r="CC20">
            <v>656.55200335937275</v>
          </cell>
          <cell r="CD20">
            <v>163.79415924022263</v>
          </cell>
          <cell r="CE20">
            <v>163.69745198874816</v>
          </cell>
          <cell r="CF20">
            <v>163.57346847676286</v>
          </cell>
          <cell r="CG20">
            <v>163.38373760870576</v>
          </cell>
          <cell r="CH20">
            <v>654.44881731443934</v>
          </cell>
          <cell r="CM20" t="str">
            <v>mstag:otherInterestIncomeExpense</v>
          </cell>
          <cell r="CN20">
            <v>6</v>
          </cell>
          <cell r="CO20" t="str">
            <v>ISO4217:USD</v>
          </cell>
          <cell r="CP20" t="b">
            <v>1</v>
          </cell>
        </row>
        <row r="21">
          <cell r="B21" t="str">
            <v>Equity gains (losses) of affiliates</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14.304</v>
          </cell>
          <cell r="AN21">
            <v>10.848000000000001</v>
          </cell>
          <cell r="AO21">
            <v>25.152000000000001</v>
          </cell>
          <cell r="AP21">
            <v>12.884</v>
          </cell>
          <cell r="AQ21">
            <v>10.507999999999999</v>
          </cell>
          <cell r="AR21">
            <v>8.6910000000000007</v>
          </cell>
          <cell r="AS21">
            <v>9.9809999999999999</v>
          </cell>
          <cell r="AT21">
            <v>42.064</v>
          </cell>
          <cell r="AU21">
            <v>12.919</v>
          </cell>
          <cell r="AV21">
            <v>11.782999999999999</v>
          </cell>
          <cell r="AW21">
            <v>7.0010000000000003</v>
          </cell>
          <cell r="AX21">
            <v>4.82</v>
          </cell>
          <cell r="AY21">
            <v>36.522999999999996</v>
          </cell>
          <cell r="AZ21">
            <v>12.587999999999999</v>
          </cell>
          <cell r="BA21">
            <v>10.977</v>
          </cell>
          <cell r="BB21">
            <v>9.5350000000000001</v>
          </cell>
          <cell r="BC21">
            <v>12.332000000000001</v>
          </cell>
          <cell r="BD21">
            <v>45.431999999999995</v>
          </cell>
          <cell r="BE21">
            <v>18.13</v>
          </cell>
          <cell r="BF21">
            <v>12.016999999999999</v>
          </cell>
          <cell r="BG21">
            <v>8.1940000000000008</v>
          </cell>
          <cell r="BH21">
            <v>11.146000000000001</v>
          </cell>
          <cell r="BI21">
            <v>49.487000000000002</v>
          </cell>
          <cell r="BJ21">
            <v>12.013</v>
          </cell>
          <cell r="BK21">
            <v>13.180999999999999</v>
          </cell>
          <cell r="BL21">
            <v>7.4189999999999996</v>
          </cell>
          <cell r="BM21">
            <v>12</v>
          </cell>
          <cell r="BN21">
            <v>44.613</v>
          </cell>
          <cell r="BO21">
            <v>11.7704388551718</v>
          </cell>
          <cell r="BP21">
            <v>11.887769883696983</v>
          </cell>
          <cell r="BQ21">
            <v>11.726353846497156</v>
          </cell>
          <cell r="BR21">
            <v>11.724929726689806</v>
          </cell>
          <cell r="BS21">
            <v>47.10949231205575</v>
          </cell>
          <cell r="BT21">
            <v>14.348760104492687</v>
          </cell>
          <cell r="BU21">
            <v>14.46372181487204</v>
          </cell>
          <cell r="BV21">
            <v>14.190868821077427</v>
          </cell>
          <cell r="BW21">
            <v>14.112285467076241</v>
          </cell>
          <cell r="BX21">
            <v>57.115636207518399</v>
          </cell>
          <cell r="BY21">
            <v>14.868468283072284</v>
          </cell>
          <cell r="BZ21">
            <v>15.015094187035361</v>
          </cell>
          <cell r="CA21">
            <v>14.741141517280298</v>
          </cell>
          <cell r="CB21">
            <v>14.702140625551541</v>
          </cell>
          <cell r="CC21">
            <v>59.326844612939489</v>
          </cell>
          <cell r="CD21">
            <v>15.497549593171593</v>
          </cell>
          <cell r="CE21">
            <v>15.641175326634384</v>
          </cell>
          <cell r="CF21">
            <v>15.361001065660234</v>
          </cell>
          <cell r="CG21">
            <v>15.292800607542821</v>
          </cell>
          <cell r="CH21">
            <v>61.792526593009036</v>
          </cell>
          <cell r="CM21" t="str">
            <v>mstag:incomeLossFromInvestmentsUnderTheEquityMethodNonOperatingPreTax</v>
          </cell>
          <cell r="CN21">
            <v>6</v>
          </cell>
          <cell r="CO21" t="str">
            <v>ISO4217:USD</v>
          </cell>
          <cell r="CP21" t="b">
            <v>0</v>
          </cell>
        </row>
        <row r="22">
          <cell r="B22" t="str">
            <v>(Loss)/gain from early retirement of debt</v>
          </cell>
          <cell r="D22">
            <v>0</v>
          </cell>
          <cell r="E22">
            <v>0</v>
          </cell>
          <cell r="F22">
            <v>0</v>
          </cell>
          <cell r="G22">
            <v>0</v>
          </cell>
          <cell r="H22">
            <v>0</v>
          </cell>
          <cell r="I22">
            <v>0</v>
          </cell>
          <cell r="J22">
            <v>-6.2430000000000003</v>
          </cell>
          <cell r="K22">
            <v>-6.2430000000000003</v>
          </cell>
          <cell r="L22">
            <v>0</v>
          </cell>
          <cell r="M22">
            <v>0</v>
          </cell>
          <cell r="N22">
            <v>-8.6460000000000008</v>
          </cell>
          <cell r="O22">
            <v>0</v>
          </cell>
          <cell r="P22">
            <v>-8.6460000000000008</v>
          </cell>
          <cell r="Q22">
            <v>0</v>
          </cell>
          <cell r="R22">
            <v>0</v>
          </cell>
          <cell r="S22">
            <v>0</v>
          </cell>
          <cell r="T22">
            <v>0</v>
          </cell>
          <cell r="U22">
            <v>0</v>
          </cell>
          <cell r="V22">
            <v>0</v>
          </cell>
          <cell r="W22">
            <v>0</v>
          </cell>
          <cell r="X22">
            <v>-0.78800000000000003</v>
          </cell>
          <cell r="Y22">
            <v>0</v>
          </cell>
          <cell r="Z22">
            <v>-0.78800000000000003</v>
          </cell>
          <cell r="AA22">
            <v>0</v>
          </cell>
          <cell r="AB22">
            <v>0</v>
          </cell>
          <cell r="AC22">
            <v>0</v>
          </cell>
          <cell r="AD22">
            <v>0</v>
          </cell>
          <cell r="AE22">
            <v>0</v>
          </cell>
          <cell r="AF22">
            <v>0</v>
          </cell>
          <cell r="AG22">
            <v>0</v>
          </cell>
          <cell r="AH22">
            <v>0</v>
          </cell>
          <cell r="AI22">
            <v>0</v>
          </cell>
          <cell r="AJ22">
            <v>0</v>
          </cell>
          <cell r="AK22">
            <v>0</v>
          </cell>
          <cell r="AL22">
            <v>0</v>
          </cell>
          <cell r="AM22">
            <v>-27.291</v>
          </cell>
          <cell r="AN22">
            <v>-9.7000000000000003E-2</v>
          </cell>
          <cell r="AO22">
            <v>-27.388000000000002</v>
          </cell>
          <cell r="AP22">
            <v>-1.3280000000000001</v>
          </cell>
          <cell r="AQ22">
            <v>0</v>
          </cell>
          <cell r="AR22">
            <v>0</v>
          </cell>
          <cell r="AS22">
            <v>3.8530000000000002</v>
          </cell>
          <cell r="AT22">
            <v>2.5250000000000004</v>
          </cell>
          <cell r="AU22">
            <v>2.4119999999999999</v>
          </cell>
          <cell r="AV22">
            <v>-6.0000000000000001E-3</v>
          </cell>
          <cell r="AW22">
            <v>-2.1000000000000001E-2</v>
          </cell>
          <cell r="AX22">
            <v>0</v>
          </cell>
          <cell r="AY22">
            <v>2.3850000000000002</v>
          </cell>
          <cell r="AZ22">
            <v>0</v>
          </cell>
          <cell r="BA22">
            <v>0</v>
          </cell>
          <cell r="BB22">
            <v>0</v>
          </cell>
          <cell r="BC22">
            <v>0</v>
          </cell>
          <cell r="BD22">
            <v>0</v>
          </cell>
          <cell r="BE22">
            <v>0</v>
          </cell>
          <cell r="BF22">
            <v>0</v>
          </cell>
          <cell r="BG22">
            <v>0</v>
          </cell>
          <cell r="BH22">
            <v>-66.019000000000005</v>
          </cell>
          <cell r="BI22">
            <v>-66.019000000000005</v>
          </cell>
          <cell r="BJ22">
            <v>-63.429000000000002</v>
          </cell>
          <cell r="BK22">
            <v>0</v>
          </cell>
          <cell r="BL22">
            <v>-52.024000000000001</v>
          </cell>
          <cell r="BM22">
            <v>0</v>
          </cell>
          <cell r="BN22">
            <v>-115.453</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M22" t="str">
            <v>mstag:gainLossOnRedemptionAndExtinguishmentOfDebt</v>
          </cell>
          <cell r="CN22">
            <v>6</v>
          </cell>
          <cell r="CO22" t="str">
            <v>ISO4217:USD</v>
          </cell>
          <cell r="CP22" t="b">
            <v>0</v>
          </cell>
        </row>
        <row r="23">
          <cell r="B23" t="str">
            <v>Gain (loss) from hospital sales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-12.477</v>
          </cell>
          <cell r="AY23">
            <v>-12.477</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M23" t="str">
            <v>mstag:gainsLossesFromSaleOfOperatingAssetsRecurringIncomeStatement</v>
          </cell>
          <cell r="CN23">
            <v>6</v>
          </cell>
          <cell r="CO23" t="str">
            <v>ISO4217:USD</v>
          </cell>
          <cell r="CP23" t="b">
            <v>0</v>
          </cell>
        </row>
        <row r="24">
          <cell r="B24" t="str">
            <v>Pretax income</v>
          </cell>
          <cell r="D24">
            <v>-454.90899999999999</v>
          </cell>
          <cell r="E24">
            <v>-11.236000000000047</v>
          </cell>
          <cell r="F24">
            <v>27.741999999999877</v>
          </cell>
          <cell r="G24">
            <v>21.187999999999992</v>
          </cell>
          <cell r="H24">
            <v>19.548000000000041</v>
          </cell>
          <cell r="I24">
            <v>19.85400000000001</v>
          </cell>
          <cell r="J24">
            <v>27.662000000000027</v>
          </cell>
          <cell r="K24">
            <v>88.25200000000001</v>
          </cell>
          <cell r="L24">
            <v>47.187000000000033</v>
          </cell>
          <cell r="M24">
            <v>42.046999999999983</v>
          </cell>
          <cell r="N24">
            <v>34.898000000000025</v>
          </cell>
          <cell r="O24">
            <v>48.108000000000018</v>
          </cell>
          <cell r="P24">
            <v>172.2399999999999</v>
          </cell>
          <cell r="Q24">
            <v>56.316000000000081</v>
          </cell>
          <cell r="R24">
            <v>51.708000000000055</v>
          </cell>
          <cell r="S24">
            <v>53.451000000000121</v>
          </cell>
          <cell r="T24">
            <v>60.19</v>
          </cell>
          <cell r="U24">
            <v>221.66500000000065</v>
          </cell>
          <cell r="V24">
            <v>67.80000000000004</v>
          </cell>
          <cell r="W24">
            <v>64.276000000000025</v>
          </cell>
          <cell r="X24">
            <v>61.75800000000006</v>
          </cell>
          <cell r="Y24">
            <v>66.789999999999992</v>
          </cell>
          <cell r="Z24">
            <v>260.62400000000093</v>
          </cell>
          <cell r="AA24">
            <v>79.069999999999851</v>
          </cell>
          <cell r="AB24">
            <v>76.657000000000039</v>
          </cell>
          <cell r="AC24">
            <v>72.83700000000006</v>
          </cell>
          <cell r="AD24">
            <v>83.32599999999988</v>
          </cell>
          <cell r="AE24">
            <v>311.89000000000033</v>
          </cell>
          <cell r="AF24">
            <v>94.16499999999985</v>
          </cell>
          <cell r="AG24">
            <v>85.691000000000145</v>
          </cell>
          <cell r="AH24">
            <v>13.915000000000013</v>
          </cell>
          <cell r="AI24">
            <v>87.185000000000059</v>
          </cell>
          <cell r="AJ24">
            <v>280.95600000000036</v>
          </cell>
          <cell r="AK24">
            <v>88.524999999999949</v>
          </cell>
          <cell r="AL24">
            <v>88.044999999999874</v>
          </cell>
          <cell r="AM24">
            <v>30.361000000000409</v>
          </cell>
          <cell r="AN24">
            <v>-98.898999999999958</v>
          </cell>
          <cell r="AO24">
            <v>108.03200000000048</v>
          </cell>
          <cell r="AP24">
            <v>93.410000000000181</v>
          </cell>
          <cell r="AQ24">
            <v>89.220999999999847</v>
          </cell>
          <cell r="AR24">
            <v>93.972999999999615</v>
          </cell>
          <cell r="AS24">
            <v>102.16100000000006</v>
          </cell>
          <cell r="AT24">
            <v>378.76499999999993</v>
          </cell>
          <cell r="AU24">
            <v>106.66299999999951</v>
          </cell>
          <cell r="AV24">
            <v>111.70699999999989</v>
          </cell>
          <cell r="AW24">
            <v>112.42500000000048</v>
          </cell>
          <cell r="AX24">
            <v>115.54400000000059</v>
          </cell>
          <cell r="AY24">
            <v>446.33900000000091</v>
          </cell>
          <cell r="AZ24">
            <v>125.14400000000029</v>
          </cell>
          <cell r="BA24">
            <v>127.90800000000027</v>
          </cell>
          <cell r="BB24">
            <v>126.34300000000007</v>
          </cell>
          <cell r="BC24">
            <v>129.0389999999997</v>
          </cell>
          <cell r="BD24">
            <v>508.43399999999997</v>
          </cell>
          <cell r="BE24">
            <v>134.9229999999998</v>
          </cell>
          <cell r="BF24">
            <v>137.69500000000014</v>
          </cell>
          <cell r="BG24">
            <v>132.51700000000068</v>
          </cell>
          <cell r="BH24">
            <v>67.638000000000105</v>
          </cell>
          <cell r="BI24">
            <v>472.77300000000179</v>
          </cell>
          <cell r="BJ24">
            <v>145.53699999999992</v>
          </cell>
          <cell r="BK24">
            <v>151.68599999999958</v>
          </cell>
          <cell r="BL24">
            <v>84.457999999999586</v>
          </cell>
          <cell r="BM24">
            <v>133.18155032615172</v>
          </cell>
          <cell r="BN24">
            <v>514.86255032614986</v>
          </cell>
          <cell r="BO24">
            <v>170.12794407808681</v>
          </cell>
          <cell r="BP24">
            <v>224.70937812066549</v>
          </cell>
          <cell r="BQ24">
            <v>118.95669510030827</v>
          </cell>
          <cell r="BR24">
            <v>78.32092783435813</v>
          </cell>
          <cell r="BS24">
            <v>592.1149451334179</v>
          </cell>
          <cell r="BT24">
            <v>238.50055045243508</v>
          </cell>
          <cell r="BU24">
            <v>312.63317246610842</v>
          </cell>
          <cell r="BV24">
            <v>194.36001722187754</v>
          </cell>
          <cell r="BW24">
            <v>154.94427030657167</v>
          </cell>
          <cell r="BX24">
            <v>900.43801044699319</v>
          </cell>
          <cell r="BY24">
            <v>278.83259911308983</v>
          </cell>
          <cell r="BZ24">
            <v>362.71757259539544</v>
          </cell>
          <cell r="CA24">
            <v>236.26967024394821</v>
          </cell>
          <cell r="CB24">
            <v>204.61329950169559</v>
          </cell>
          <cell r="CC24">
            <v>1082.4331414541323</v>
          </cell>
          <cell r="CD24">
            <v>335.18172545988512</v>
          </cell>
          <cell r="CE24">
            <v>423.36485989220779</v>
          </cell>
          <cell r="CF24">
            <v>289.79246775764165</v>
          </cell>
          <cell r="CG24">
            <v>250.88062589234656</v>
          </cell>
          <cell r="CH24">
            <v>1299.2196790020816</v>
          </cell>
        </row>
        <row r="25">
          <cell r="B25" t="str">
            <v>Tax expense (benefit)</v>
          </cell>
          <cell r="D25">
            <v>18.172999999999998</v>
          </cell>
          <cell r="E25">
            <v>5.5529999999999999</v>
          </cell>
          <cell r="F25">
            <v>18.172999999999998</v>
          </cell>
          <cell r="G25">
            <v>10.34</v>
          </cell>
          <cell r="H25">
            <v>9.8970000000000002</v>
          </cell>
          <cell r="I25">
            <v>9.8130000000000006</v>
          </cell>
          <cell r="J25">
            <v>13.459</v>
          </cell>
          <cell r="K25">
            <v>43.509</v>
          </cell>
          <cell r="L25">
            <v>19.25</v>
          </cell>
          <cell r="M25">
            <v>17.050999999999998</v>
          </cell>
          <cell r="N25">
            <v>14.396999999999998</v>
          </cell>
          <cell r="O25">
            <v>19.321999999999999</v>
          </cell>
          <cell r="P25">
            <v>70.02</v>
          </cell>
          <cell r="Q25">
            <v>22.405000000000001</v>
          </cell>
          <cell r="R25">
            <v>20.411999999999999</v>
          </cell>
          <cell r="S25">
            <v>21.117000000000001</v>
          </cell>
          <cell r="T25">
            <v>24.271999999999998</v>
          </cell>
          <cell r="U25">
            <v>88.205999999999989</v>
          </cell>
          <cell r="V25">
            <v>26.701000000000001</v>
          </cell>
          <cell r="W25">
            <v>25.202000000000002</v>
          </cell>
          <cell r="X25">
            <v>24.029</v>
          </cell>
          <cell r="Y25">
            <v>25.658000000000001</v>
          </cell>
          <cell r="Z25">
            <v>101.59</v>
          </cell>
          <cell r="AA25">
            <v>30.491</v>
          </cell>
          <cell r="AB25">
            <v>29.39</v>
          </cell>
          <cell r="AC25">
            <v>28.056000000000001</v>
          </cell>
          <cell r="AD25">
            <v>32.097999999999999</v>
          </cell>
          <cell r="AE25">
            <v>120.035</v>
          </cell>
          <cell r="AF25">
            <v>36.298000000000002</v>
          </cell>
          <cell r="AG25">
            <v>32.866999999999997</v>
          </cell>
          <cell r="AH25">
            <v>5.0730000000000004</v>
          </cell>
          <cell r="AI25">
            <v>32.444000000000003</v>
          </cell>
          <cell r="AJ25">
            <v>106.682</v>
          </cell>
          <cell r="AK25">
            <v>34.008000000000003</v>
          </cell>
          <cell r="AL25">
            <v>33.656999999999996</v>
          </cell>
          <cell r="AM25">
            <v>9.58</v>
          </cell>
          <cell r="AN25">
            <v>-38.057000000000002</v>
          </cell>
          <cell r="AO25">
            <v>39.187999999999988</v>
          </cell>
          <cell r="AP25">
            <v>32.234999999999999</v>
          </cell>
          <cell r="AQ25">
            <v>31.148</v>
          </cell>
          <cell r="AR25">
            <v>32.191000000000003</v>
          </cell>
          <cell r="AS25">
            <v>35.253</v>
          </cell>
          <cell r="AT25">
            <v>130.827</v>
          </cell>
          <cell r="AU25">
            <v>35.531999999999996</v>
          </cell>
          <cell r="AV25">
            <v>37.209000000000003</v>
          </cell>
          <cell r="AW25">
            <v>37.064</v>
          </cell>
          <cell r="AX25">
            <v>31.417999999999999</v>
          </cell>
          <cell r="AY25">
            <v>141.22300000000001</v>
          </cell>
          <cell r="AZ25">
            <v>40.148000000000003</v>
          </cell>
          <cell r="BA25">
            <v>41.566000000000003</v>
          </cell>
          <cell r="BB25">
            <v>41.488999999999997</v>
          </cell>
          <cell r="BC25">
            <v>36.79</v>
          </cell>
          <cell r="BD25">
            <v>159.99299999999999</v>
          </cell>
          <cell r="BE25">
            <v>43.781999999999996</v>
          </cell>
          <cell r="BF25">
            <v>44.820999999999998</v>
          </cell>
          <cell r="BG25">
            <v>36.716999999999999</v>
          </cell>
          <cell r="BH25">
            <v>12.023</v>
          </cell>
          <cell r="BI25">
            <v>137.34299999999999</v>
          </cell>
          <cell r="BJ25">
            <v>45.819000000000003</v>
          </cell>
          <cell r="BK25">
            <v>49.518999999999998</v>
          </cell>
          <cell r="BL25">
            <v>25.7</v>
          </cell>
          <cell r="BM25">
            <v>43.949911607630071</v>
          </cell>
          <cell r="BN25">
            <v>164.98791160763005</v>
          </cell>
          <cell r="BO25">
            <v>56.142221545768649</v>
          </cell>
          <cell r="BP25">
            <v>74.154094779819616</v>
          </cell>
          <cell r="BQ25">
            <v>39.255709383101731</v>
          </cell>
          <cell r="BR25">
            <v>25.845906185338183</v>
          </cell>
          <cell r="BS25">
            <v>195.39793189402818</v>
          </cell>
          <cell r="BT25">
            <v>78.705181649303583</v>
          </cell>
          <cell r="BU25">
            <v>103.16894691381579</v>
          </cell>
          <cell r="BV25">
            <v>64.138805683219587</v>
          </cell>
          <cell r="BW25">
            <v>51.131609201168651</v>
          </cell>
          <cell r="BX25">
            <v>297.1445434475076</v>
          </cell>
          <cell r="BY25">
            <v>92.014757707319646</v>
          </cell>
          <cell r="BZ25">
            <v>119.69679895648051</v>
          </cell>
          <cell r="CA25">
            <v>77.968991180502911</v>
          </cell>
          <cell r="CB25">
            <v>67.522388835559553</v>
          </cell>
          <cell r="CC25">
            <v>357.20293667986266</v>
          </cell>
          <cell r="CD25">
            <v>110.60996940176209</v>
          </cell>
          <cell r="CE25">
            <v>139.71040376442858</v>
          </cell>
          <cell r="CF25">
            <v>95.631514360021754</v>
          </cell>
          <cell r="CG25">
            <v>82.790606544474372</v>
          </cell>
          <cell r="CH25">
            <v>428.7424940706868</v>
          </cell>
          <cell r="CM25" t="str">
            <v>mstag:taxExpenseIncome</v>
          </cell>
          <cell r="CN25">
            <v>6</v>
          </cell>
          <cell r="CO25" t="str">
            <v>ISO4217:USD</v>
          </cell>
          <cell r="CP25" t="b">
            <v>0</v>
          </cell>
        </row>
        <row r="26">
          <cell r="B26" t="str">
            <v>Net income from continuing operations</v>
          </cell>
          <cell r="D26">
            <v>-473.08199999999999</v>
          </cell>
          <cell r="E26">
            <v>-16.789000000000048</v>
          </cell>
          <cell r="F26">
            <v>9.5689999999998783</v>
          </cell>
          <cell r="G26">
            <v>10.847999999999992</v>
          </cell>
          <cell r="H26">
            <v>9.6510000000000407</v>
          </cell>
          <cell r="I26">
            <v>10.041000000000009</v>
          </cell>
          <cell r="J26">
            <v>14.203000000000028</v>
          </cell>
          <cell r="K26">
            <v>44.743000000000009</v>
          </cell>
          <cell r="L26">
            <v>27.937000000000033</v>
          </cell>
          <cell r="M26">
            <v>24.995999999999984</v>
          </cell>
          <cell r="N26">
            <v>20.501000000000026</v>
          </cell>
          <cell r="O26">
            <v>28.786000000000019</v>
          </cell>
          <cell r="P26">
            <v>102.2199999999999</v>
          </cell>
          <cell r="Q26">
            <v>33.91100000000008</v>
          </cell>
          <cell r="R26">
            <v>31.296000000000056</v>
          </cell>
          <cell r="S26">
            <v>32.334000000000117</v>
          </cell>
          <cell r="T26">
            <v>35.917999999999999</v>
          </cell>
          <cell r="U26">
            <v>133.45900000000066</v>
          </cell>
          <cell r="V26">
            <v>41.099000000000039</v>
          </cell>
          <cell r="W26">
            <v>39.074000000000026</v>
          </cell>
          <cell r="X26">
            <v>37.729000000000056</v>
          </cell>
          <cell r="Y26">
            <v>41.131999999999991</v>
          </cell>
          <cell r="Z26">
            <v>159.03400000000093</v>
          </cell>
          <cell r="AA26">
            <v>48.578999999999851</v>
          </cell>
          <cell r="AB26">
            <v>47.267000000000039</v>
          </cell>
          <cell r="AC26">
            <v>44.781000000000063</v>
          </cell>
          <cell r="AD26">
            <v>51.227999999999881</v>
          </cell>
          <cell r="AE26">
            <v>191.85500000000033</v>
          </cell>
          <cell r="AF26">
            <v>57.866999999999848</v>
          </cell>
          <cell r="AG26">
            <v>52.824000000000147</v>
          </cell>
          <cell r="AH26">
            <v>8.842000000000013</v>
          </cell>
          <cell r="AI26">
            <v>54.741000000000057</v>
          </cell>
          <cell r="AJ26">
            <v>174.27400000000034</v>
          </cell>
          <cell r="AK26">
            <v>54.516999999999946</v>
          </cell>
          <cell r="AL26">
            <v>54.387999999999877</v>
          </cell>
          <cell r="AM26">
            <v>20.781000000000411</v>
          </cell>
          <cell r="AN26">
            <v>-60.841999999999956</v>
          </cell>
          <cell r="AO26">
            <v>68.844000000000491</v>
          </cell>
          <cell r="AP26">
            <v>61.175000000000182</v>
          </cell>
          <cell r="AQ26">
            <v>58.072999999999851</v>
          </cell>
          <cell r="AR26">
            <v>61.781999999999613</v>
          </cell>
          <cell r="AS26">
            <v>66.908000000000058</v>
          </cell>
          <cell r="AT26">
            <v>247.93799999999993</v>
          </cell>
          <cell r="AU26">
            <v>71.130999999999517</v>
          </cell>
          <cell r="AV26">
            <v>74.497999999999891</v>
          </cell>
          <cell r="AW26">
            <v>75.361000000000473</v>
          </cell>
          <cell r="AX26">
            <v>84.126000000000602</v>
          </cell>
          <cell r="AY26">
            <v>305.11600000000089</v>
          </cell>
          <cell r="AZ26">
            <v>84.996000000000294</v>
          </cell>
          <cell r="BA26">
            <v>86.342000000000269</v>
          </cell>
          <cell r="BB26">
            <v>84.85400000000007</v>
          </cell>
          <cell r="BC26">
            <v>92.248999999999711</v>
          </cell>
          <cell r="BD26">
            <v>348.44099999999997</v>
          </cell>
          <cell r="BE26">
            <v>91.140999999999806</v>
          </cell>
          <cell r="BF26">
            <v>92.874000000000137</v>
          </cell>
          <cell r="BG26">
            <v>95.800000000000679</v>
          </cell>
          <cell r="BH26">
            <v>55.615000000000109</v>
          </cell>
          <cell r="BI26">
            <v>335.43000000000177</v>
          </cell>
          <cell r="BJ26">
            <v>99.717999999999918</v>
          </cell>
          <cell r="BK26">
            <v>102.16699999999958</v>
          </cell>
          <cell r="BL26">
            <v>58.757999999999583</v>
          </cell>
          <cell r="BM26">
            <v>89.231638718521651</v>
          </cell>
          <cell r="BN26">
            <v>349.8746387185198</v>
          </cell>
          <cell r="BO26">
            <v>113.98572253231816</v>
          </cell>
          <cell r="BP26">
            <v>150.55528334084588</v>
          </cell>
          <cell r="BQ26">
            <v>79.700985717206535</v>
          </cell>
          <cell r="BR26">
            <v>52.475021649019951</v>
          </cell>
          <cell r="BS26">
            <v>396.71701323938976</v>
          </cell>
          <cell r="BT26">
            <v>159.79536880313151</v>
          </cell>
          <cell r="BU26">
            <v>209.46422555229265</v>
          </cell>
          <cell r="BV26">
            <v>130.22121153865794</v>
          </cell>
          <cell r="BW26">
            <v>103.81266110540301</v>
          </cell>
          <cell r="BX26">
            <v>603.29346699948564</v>
          </cell>
          <cell r="BY26">
            <v>186.8178414057702</v>
          </cell>
          <cell r="BZ26">
            <v>243.02077363891493</v>
          </cell>
          <cell r="CA26">
            <v>158.3006790634453</v>
          </cell>
          <cell r="CB26">
            <v>137.09091066613604</v>
          </cell>
          <cell r="CC26">
            <v>725.23020477426962</v>
          </cell>
          <cell r="CD26">
            <v>224.57175605812301</v>
          </cell>
          <cell r="CE26">
            <v>283.65445612777921</v>
          </cell>
          <cell r="CF26">
            <v>194.16095339761989</v>
          </cell>
          <cell r="CG26">
            <v>168.09001934787219</v>
          </cell>
          <cell r="CH26">
            <v>870.47718493139485</v>
          </cell>
        </row>
        <row r="27">
          <cell r="B27" t="str">
            <v>Discontinued Operations:</v>
          </cell>
        </row>
        <row r="28">
          <cell r="B28" t="str">
            <v>(Loss)/income of discontinued operations</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-1.9650000000000001</v>
          </cell>
          <cell r="Y28">
            <v>-0.41299999999999998</v>
          </cell>
          <cell r="Z28">
            <v>-2.3780000000000001</v>
          </cell>
          <cell r="AA28">
            <v>-4.0860000000000003</v>
          </cell>
          <cell r="AB28">
            <v>-1.151</v>
          </cell>
          <cell r="AC28">
            <v>-1.18</v>
          </cell>
          <cell r="AD28">
            <v>-2.7010000000000001</v>
          </cell>
          <cell r="AE28">
            <v>-9.1180000000000003</v>
          </cell>
          <cell r="AF28">
            <v>-0.65700000000000003</v>
          </cell>
          <cell r="AG28">
            <v>0</v>
          </cell>
          <cell r="AH28">
            <v>0</v>
          </cell>
          <cell r="AI28">
            <v>0</v>
          </cell>
          <cell r="AJ28">
            <v>-0.65700000000000003</v>
          </cell>
          <cell r="AK28">
            <v>0</v>
          </cell>
          <cell r="AL28">
            <v>0</v>
          </cell>
          <cell r="AM28">
            <v>-3.3820000000000001</v>
          </cell>
          <cell r="AN28">
            <v>-1.496</v>
          </cell>
          <cell r="AO28">
            <v>-4.8780000000000001</v>
          </cell>
          <cell r="AP28">
            <v>-0.98299999999999998</v>
          </cell>
          <cell r="AQ28">
            <v>-1.8540000000000001</v>
          </cell>
          <cell r="AR28">
            <v>-1.038</v>
          </cell>
          <cell r="AS28">
            <v>6.867</v>
          </cell>
          <cell r="AT28">
            <v>2.992</v>
          </cell>
          <cell r="AU28">
            <v>2.1749999999999998</v>
          </cell>
          <cell r="AV28">
            <v>-0.50800000000000001</v>
          </cell>
          <cell r="AW28">
            <v>0</v>
          </cell>
          <cell r="AX28">
            <v>0</v>
          </cell>
          <cell r="AY28">
            <v>1.6669999999999998</v>
          </cell>
          <cell r="AZ28">
            <v>0</v>
          </cell>
          <cell r="BA28">
            <v>0</v>
          </cell>
          <cell r="BB28">
            <v>0</v>
          </cell>
          <cell r="BC28">
            <v>0</v>
          </cell>
          <cell r="BD28">
            <v>0</v>
          </cell>
          <cell r="BE28">
            <v>-1.214</v>
          </cell>
          <cell r="BF28">
            <v>0.23499999999999999</v>
          </cell>
          <cell r="BG28">
            <v>-3.1030000000000002</v>
          </cell>
          <cell r="BH28">
            <v>-3.2229999999999999</v>
          </cell>
          <cell r="BI28">
            <v>-7.3049999999999997</v>
          </cell>
          <cell r="BJ28">
            <v>-0.46600000000000003</v>
          </cell>
          <cell r="BK28">
            <v>0</v>
          </cell>
          <cell r="BL28">
            <v>0</v>
          </cell>
          <cell r="BM28">
            <v>0</v>
          </cell>
          <cell r="BN28">
            <v>-0.46600000000000003</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row>
        <row r="29">
          <cell r="B29" t="str">
            <v>Impairment on discontinued operations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-1.625</v>
          </cell>
          <cell r="Y29">
            <v>0</v>
          </cell>
          <cell r="Z29">
            <v>-1.625</v>
          </cell>
          <cell r="AA29">
            <v>0</v>
          </cell>
          <cell r="AB29">
            <v>-4.4710000000000001</v>
          </cell>
          <cell r="AC29">
            <v>0</v>
          </cell>
          <cell r="AD29">
            <v>0</v>
          </cell>
          <cell r="AE29">
            <v>-4.4710000000000001</v>
          </cell>
          <cell r="AF29">
            <v>0</v>
          </cell>
          <cell r="AG29">
            <v>0</v>
          </cell>
          <cell r="AH29">
            <v>0</v>
          </cell>
          <cell r="AI29">
            <v>0</v>
          </cell>
          <cell r="AJ29">
            <v>0</v>
          </cell>
          <cell r="AK29">
            <v>0</v>
          </cell>
          <cell r="AL29">
            <v>0</v>
          </cell>
          <cell r="AM29">
            <v>0</v>
          </cell>
          <cell r="AN29">
            <v>0</v>
          </cell>
          <cell r="AO29">
            <v>0</v>
          </cell>
          <cell r="AP29">
            <v>0</v>
          </cell>
          <cell r="AQ29">
            <v>0</v>
          </cell>
          <cell r="AR29">
            <v>0</v>
          </cell>
          <cell r="AS29">
            <v>-3.25</v>
          </cell>
          <cell r="AT29">
            <v>-3.25</v>
          </cell>
          <cell r="AU29">
            <v>0</v>
          </cell>
          <cell r="AV29">
            <v>0</v>
          </cell>
          <cell r="AW29">
            <v>0</v>
          </cell>
          <cell r="AX29">
            <v>0</v>
          </cell>
          <cell r="AY29">
            <v>0</v>
          </cell>
          <cell r="AZ29">
            <v>0</v>
          </cell>
          <cell r="BA29">
            <v>0</v>
          </cell>
          <cell r="BB29">
            <v>0</v>
          </cell>
          <cell r="BC29">
            <v>0</v>
          </cell>
          <cell r="BD29">
            <v>0</v>
          </cell>
          <cell r="BE29">
            <v>-8.3680000000000003</v>
          </cell>
          <cell r="BF29">
            <v>-39.561999999999998</v>
          </cell>
          <cell r="BG29">
            <v>0</v>
          </cell>
          <cell r="BH29">
            <v>0</v>
          </cell>
          <cell r="BI29">
            <v>-47.93</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row>
        <row r="30">
          <cell r="B30" t="str">
            <v>(Loss)/gain on sale</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-2.02</v>
          </cell>
          <cell r="Y30">
            <v>0</v>
          </cell>
          <cell r="Z30">
            <v>-2.02</v>
          </cell>
          <cell r="AA30">
            <v>-7.6180000000000003</v>
          </cell>
          <cell r="AB30">
            <v>0</v>
          </cell>
          <cell r="AC30">
            <v>0</v>
          </cell>
          <cell r="AD30">
            <v>0</v>
          </cell>
          <cell r="AE30">
            <v>-7.6180000000000003</v>
          </cell>
          <cell r="AF30">
            <v>-2.5590000000000002</v>
          </cell>
          <cell r="AG30">
            <v>0</v>
          </cell>
          <cell r="AH30">
            <v>0</v>
          </cell>
          <cell r="AI30">
            <v>0</v>
          </cell>
          <cell r="AJ30">
            <v>-2.5590000000000002</v>
          </cell>
          <cell r="AK30">
            <v>0</v>
          </cell>
          <cell r="AL30">
            <v>0</v>
          </cell>
          <cell r="AM30">
            <v>-2.4279999999999999</v>
          </cell>
          <cell r="AN30">
            <v>-16.113</v>
          </cell>
          <cell r="AO30">
            <v>-18.541</v>
          </cell>
          <cell r="AP30">
            <v>9.6170000000000009</v>
          </cell>
          <cell r="AQ30">
            <v>-8.9999999999999993E-3</v>
          </cell>
          <cell r="AR30">
            <v>0</v>
          </cell>
          <cell r="AS30">
            <v>0</v>
          </cell>
          <cell r="AT30">
            <v>9.6080000000000005</v>
          </cell>
          <cell r="AU30">
            <v>-0.40500000000000003</v>
          </cell>
          <cell r="AV30">
            <v>0</v>
          </cell>
          <cell r="AW30">
            <v>0</v>
          </cell>
          <cell r="AX30">
            <v>0</v>
          </cell>
          <cell r="AY30">
            <v>-0.40500000000000003</v>
          </cell>
          <cell r="AZ30">
            <v>0</v>
          </cell>
          <cell r="BA30">
            <v>0</v>
          </cell>
          <cell r="BB30">
            <v>0</v>
          </cell>
          <cell r="BC30">
            <v>0</v>
          </cell>
          <cell r="BD30">
            <v>0</v>
          </cell>
          <cell r="BE30">
            <v>-3.234</v>
          </cell>
          <cell r="BF30">
            <v>0</v>
          </cell>
          <cell r="BG30">
            <v>-6.6000000000000003E-2</v>
          </cell>
          <cell r="BH30">
            <v>0.72799999999999998</v>
          </cell>
          <cell r="BI30">
            <v>-2.5720000000000001</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row>
        <row r="31">
          <cell r="B31" t="str">
            <v>Discontinued operations, net</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-5.61</v>
          </cell>
          <cell r="Y31">
            <v>-0.41299999999999998</v>
          </cell>
          <cell r="Z31">
            <v>-6.0230000000000006</v>
          </cell>
          <cell r="AA31">
            <v>-11.704000000000001</v>
          </cell>
          <cell r="AB31">
            <v>-5.6219999999999999</v>
          </cell>
          <cell r="AC31">
            <v>-1.18</v>
          </cell>
          <cell r="AD31">
            <v>-2.7010000000000001</v>
          </cell>
          <cell r="AE31">
            <v>-21.207000000000001</v>
          </cell>
          <cell r="AF31">
            <v>-3.2160000000000002</v>
          </cell>
          <cell r="AG31">
            <v>0</v>
          </cell>
          <cell r="AH31">
            <v>0</v>
          </cell>
          <cell r="AI31">
            <v>0</v>
          </cell>
          <cell r="AJ31">
            <v>-3.2160000000000002</v>
          </cell>
          <cell r="AK31">
            <v>0</v>
          </cell>
          <cell r="AL31">
            <v>0</v>
          </cell>
          <cell r="AM31">
            <v>-5.8100000000000005</v>
          </cell>
          <cell r="AN31">
            <v>-17.608999999999998</v>
          </cell>
          <cell r="AO31">
            <v>-23.418999999999997</v>
          </cell>
          <cell r="AP31">
            <v>8.6340000000000003</v>
          </cell>
          <cell r="AQ31">
            <v>-1.863</v>
          </cell>
          <cell r="AR31">
            <v>-1.038</v>
          </cell>
          <cell r="AS31">
            <v>3.617</v>
          </cell>
          <cell r="AT31">
            <v>9.3500000000000014</v>
          </cell>
          <cell r="AU31">
            <v>1.7699999999999998</v>
          </cell>
          <cell r="AV31">
            <v>-0.50800000000000001</v>
          </cell>
          <cell r="AW31">
            <v>0</v>
          </cell>
          <cell r="AX31">
            <v>0</v>
          </cell>
          <cell r="AY31">
            <v>1.2619999999999998</v>
          </cell>
          <cell r="AZ31">
            <v>0</v>
          </cell>
          <cell r="BA31">
            <v>0</v>
          </cell>
          <cell r="BB31">
            <v>0</v>
          </cell>
          <cell r="BC31">
            <v>0</v>
          </cell>
          <cell r="BD31">
            <v>0</v>
          </cell>
          <cell r="BE31">
            <v>-12.816000000000001</v>
          </cell>
          <cell r="BF31">
            <v>-39.326999999999998</v>
          </cell>
          <cell r="BG31">
            <v>-3.169</v>
          </cell>
          <cell r="BH31">
            <v>-2.4950000000000001</v>
          </cell>
          <cell r="BI31">
            <v>-57.806999999999995</v>
          </cell>
          <cell r="BJ31">
            <v>-0.46600000000000003</v>
          </cell>
          <cell r="BK31">
            <v>0</v>
          </cell>
          <cell r="BL31">
            <v>0</v>
          </cell>
          <cell r="BM31">
            <v>0</v>
          </cell>
          <cell r="BN31">
            <v>-0.46600000000000003</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M31" t="str">
            <v>mstag:incomeLossFromDiscontinuedOperationsNetOfTax</v>
          </cell>
          <cell r="CN31">
            <v>6</v>
          </cell>
          <cell r="CO31" t="str">
            <v>ISO4217:USD</v>
          </cell>
          <cell r="CP31" t="b">
            <v>0</v>
          </cell>
        </row>
        <row r="32">
          <cell r="B32" t="str">
            <v>Net income/(loss)</v>
          </cell>
          <cell r="D32">
            <v>-473.08199999999999</v>
          </cell>
          <cell r="E32">
            <v>-16.789000000000048</v>
          </cell>
          <cell r="F32">
            <v>9.5689999999998783</v>
          </cell>
          <cell r="G32">
            <v>10.847999999999992</v>
          </cell>
          <cell r="H32">
            <v>9.6510000000000407</v>
          </cell>
          <cell r="I32">
            <v>10.041000000000009</v>
          </cell>
          <cell r="J32">
            <v>14.203000000000028</v>
          </cell>
          <cell r="K32">
            <v>44.743000000000009</v>
          </cell>
          <cell r="L32">
            <v>27.937000000000033</v>
          </cell>
          <cell r="M32">
            <v>24.995999999999984</v>
          </cell>
          <cell r="N32">
            <v>20.501000000000026</v>
          </cell>
          <cell r="O32">
            <v>28.786000000000019</v>
          </cell>
          <cell r="P32">
            <v>102.2199999999999</v>
          </cell>
          <cell r="Q32">
            <v>33.91100000000008</v>
          </cell>
          <cell r="R32">
            <v>31.296000000000056</v>
          </cell>
          <cell r="S32">
            <v>32.334000000000117</v>
          </cell>
          <cell r="T32">
            <v>35.917999999999999</v>
          </cell>
          <cell r="U32">
            <v>133.45900000000066</v>
          </cell>
          <cell r="V32">
            <v>41.099000000000039</v>
          </cell>
          <cell r="W32">
            <v>39.074000000000026</v>
          </cell>
          <cell r="X32">
            <v>32.119000000000057</v>
          </cell>
          <cell r="Y32">
            <v>40.718999999999994</v>
          </cell>
          <cell r="Z32">
            <v>153.01100000000093</v>
          </cell>
          <cell r="AA32">
            <v>36.874999999999851</v>
          </cell>
          <cell r="AB32">
            <v>41.645000000000039</v>
          </cell>
          <cell r="AC32">
            <v>43.601000000000063</v>
          </cell>
          <cell r="AD32">
            <v>48.52699999999988</v>
          </cell>
          <cell r="AE32">
            <v>170.64800000000034</v>
          </cell>
          <cell r="AF32">
            <v>54.650999999999847</v>
          </cell>
          <cell r="AG32">
            <v>52.824000000000147</v>
          </cell>
          <cell r="AH32">
            <v>8.842000000000013</v>
          </cell>
          <cell r="AI32">
            <v>54.741000000000057</v>
          </cell>
          <cell r="AJ32">
            <v>171.05800000000033</v>
          </cell>
          <cell r="AK32">
            <v>54.516999999999946</v>
          </cell>
          <cell r="AL32">
            <v>54.387999999999877</v>
          </cell>
          <cell r="AM32">
            <v>14.97100000000041</v>
          </cell>
          <cell r="AN32">
            <v>-78.450999999999951</v>
          </cell>
          <cell r="AO32">
            <v>45.425000000000495</v>
          </cell>
          <cell r="AP32">
            <v>69.809000000000182</v>
          </cell>
          <cell r="AQ32">
            <v>56.209999999999852</v>
          </cell>
          <cell r="AR32">
            <v>60.743999999999616</v>
          </cell>
          <cell r="AS32">
            <v>70.525000000000063</v>
          </cell>
          <cell r="AT32">
            <v>257.28799999999995</v>
          </cell>
          <cell r="AU32">
            <v>72.900999999999513</v>
          </cell>
          <cell r="AV32">
            <v>73.989999999999895</v>
          </cell>
          <cell r="AW32">
            <v>75.361000000000473</v>
          </cell>
          <cell r="AX32">
            <v>84.126000000000602</v>
          </cell>
          <cell r="AY32">
            <v>306.3780000000009</v>
          </cell>
          <cell r="AZ32">
            <v>84.996000000000294</v>
          </cell>
          <cell r="BA32">
            <v>86.342000000000269</v>
          </cell>
          <cell r="BB32">
            <v>84.85400000000007</v>
          </cell>
          <cell r="BC32">
            <v>92.248999999999711</v>
          </cell>
          <cell r="BD32">
            <v>348.44099999999997</v>
          </cell>
          <cell r="BE32">
            <v>78.324999999999804</v>
          </cell>
          <cell r="BF32">
            <v>53.547000000000139</v>
          </cell>
          <cell r="BG32">
            <v>92.631000000000682</v>
          </cell>
          <cell r="BH32">
            <v>53.120000000000111</v>
          </cell>
          <cell r="BI32">
            <v>277.62300000000175</v>
          </cell>
          <cell r="BJ32">
            <v>99.251999999999924</v>
          </cell>
          <cell r="BK32">
            <v>102.16699999999958</v>
          </cell>
          <cell r="BL32">
            <v>58.757999999999583</v>
          </cell>
          <cell r="BM32">
            <v>89.231638718521651</v>
          </cell>
          <cell r="BN32">
            <v>349.4086387185198</v>
          </cell>
          <cell r="BO32">
            <v>113.98572253231816</v>
          </cell>
          <cell r="BP32">
            <v>150.55528334084588</v>
          </cell>
          <cell r="BQ32">
            <v>79.700985717206535</v>
          </cell>
          <cell r="BR32">
            <v>52.475021649019951</v>
          </cell>
          <cell r="BS32">
            <v>396.71701323938976</v>
          </cell>
          <cell r="BT32">
            <v>159.79536880313151</v>
          </cell>
          <cell r="BU32">
            <v>209.46422555229265</v>
          </cell>
          <cell r="BV32">
            <v>130.22121153865794</v>
          </cell>
          <cell r="BW32">
            <v>103.81266110540301</v>
          </cell>
          <cell r="BX32">
            <v>603.29346699948564</v>
          </cell>
          <cell r="BY32">
            <v>186.8178414057702</v>
          </cell>
          <cell r="BZ32">
            <v>243.02077363891493</v>
          </cell>
          <cell r="CA32">
            <v>158.3006790634453</v>
          </cell>
          <cell r="CB32">
            <v>137.09091066613604</v>
          </cell>
          <cell r="CC32">
            <v>725.23020477426962</v>
          </cell>
          <cell r="CD32">
            <v>224.57175605812301</v>
          </cell>
          <cell r="CE32">
            <v>283.65445612777921</v>
          </cell>
          <cell r="CF32">
            <v>194.16095339761989</v>
          </cell>
          <cell r="CG32">
            <v>168.09001934787219</v>
          </cell>
          <cell r="CH32">
            <v>870.47718493139485</v>
          </cell>
          <cell r="CM32" t="str">
            <v>mstag:netIncomeAsReported</v>
          </cell>
          <cell r="CN32">
            <v>6</v>
          </cell>
          <cell r="CO32" t="str">
            <v>ISO4217:USD</v>
          </cell>
          <cell r="CP32" t="b">
            <v>0</v>
          </cell>
        </row>
        <row r="33">
          <cell r="B33" t="str">
            <v>Net income attributable to noncontrolling interests</v>
          </cell>
          <cell r="D33">
            <v>0</v>
          </cell>
          <cell r="E33">
            <v>0</v>
          </cell>
          <cell r="F33">
            <v>0</v>
          </cell>
          <cell r="G33">
            <v>0</v>
          </cell>
          <cell r="H33">
            <v>0</v>
          </cell>
          <cell r="I33">
            <v>0</v>
          </cell>
          <cell r="J33">
            <v>0</v>
          </cell>
          <cell r="K33">
            <v>0</v>
          </cell>
          <cell r="L33">
            <v>0.76100000000000001</v>
          </cell>
          <cell r="M33">
            <v>0.755</v>
          </cell>
          <cell r="N33">
            <v>0.34499999999999997</v>
          </cell>
          <cell r="O33">
            <v>0.375</v>
          </cell>
          <cell r="P33">
            <v>2.2359999999999998</v>
          </cell>
          <cell r="Q33">
            <v>0.372</v>
          </cell>
          <cell r="R33">
            <v>0.68</v>
          </cell>
          <cell r="S33">
            <v>0.65100000000000002</v>
          </cell>
          <cell r="T33">
            <v>0.28399999999999997</v>
          </cell>
          <cell r="U33">
            <v>1.9870000000000001</v>
          </cell>
          <cell r="V33">
            <v>0.373</v>
          </cell>
          <cell r="W33">
            <v>0.63500000000000001</v>
          </cell>
          <cell r="X33">
            <v>0.08</v>
          </cell>
          <cell r="Y33">
            <v>0.49</v>
          </cell>
          <cell r="Z33">
            <v>1.5780000000000001</v>
          </cell>
          <cell r="AA33">
            <v>0.88700000000000001</v>
          </cell>
          <cell r="AB33">
            <v>1.117</v>
          </cell>
          <cell r="AC33">
            <v>0.71499999999999997</v>
          </cell>
          <cell r="AD33">
            <v>0.38500000000000001</v>
          </cell>
          <cell r="AE33">
            <v>3.1040000000000001</v>
          </cell>
          <cell r="AF33">
            <v>0.61299999999999999</v>
          </cell>
          <cell r="AG33">
            <v>0.45500000000000002</v>
          </cell>
          <cell r="AH33">
            <v>0.60099999999999998</v>
          </cell>
          <cell r="AI33">
            <v>1.1259999999999999</v>
          </cell>
          <cell r="AJ33">
            <v>2.7949999999999999</v>
          </cell>
          <cell r="AK33">
            <v>0.193</v>
          </cell>
          <cell r="AL33">
            <v>0.625</v>
          </cell>
          <cell r="AM33">
            <v>4.5110000000000001</v>
          </cell>
          <cell r="AN33">
            <v>9.8070000000000004</v>
          </cell>
          <cell r="AO33">
            <v>15.136000000000001</v>
          </cell>
          <cell r="AP33">
            <v>9.6820000000000004</v>
          </cell>
          <cell r="AQ33">
            <v>8.3170000000000002</v>
          </cell>
          <cell r="AR33">
            <v>10.36</v>
          </cell>
          <cell r="AS33">
            <v>10.625</v>
          </cell>
          <cell r="AT33">
            <v>38.984000000000002</v>
          </cell>
          <cell r="AU33">
            <v>13.986000000000001</v>
          </cell>
          <cell r="AV33">
            <v>14.555</v>
          </cell>
          <cell r="AW33">
            <v>15.648999999999999</v>
          </cell>
          <cell r="AX33">
            <v>19.038</v>
          </cell>
          <cell r="AY33">
            <v>63.227999999999994</v>
          </cell>
          <cell r="AZ33">
            <v>14.989000000000001</v>
          </cell>
          <cell r="BA33">
            <v>16.277000000000001</v>
          </cell>
          <cell r="BB33">
            <v>14.452999999999999</v>
          </cell>
          <cell r="BC33">
            <v>22.739000000000001</v>
          </cell>
          <cell r="BD33">
            <v>68.457999999999998</v>
          </cell>
          <cell r="BE33">
            <v>17.001000000000001</v>
          </cell>
          <cell r="BF33">
            <v>18.158000000000001</v>
          </cell>
          <cell r="BG33">
            <v>18.327000000000002</v>
          </cell>
          <cell r="BH33">
            <v>22.189</v>
          </cell>
          <cell r="BI33">
            <v>75.675000000000011</v>
          </cell>
          <cell r="BJ33">
            <v>23.777999999999999</v>
          </cell>
          <cell r="BK33">
            <v>18.808</v>
          </cell>
          <cell r="BL33">
            <v>14.525</v>
          </cell>
          <cell r="BM33">
            <v>14.800377757559835</v>
          </cell>
          <cell r="BN33">
            <v>71.911377757559833</v>
          </cell>
          <cell r="BO33">
            <v>15.77238806593021</v>
          </cell>
          <cell r="BP33">
            <v>15.929611644153955</v>
          </cell>
          <cell r="BQ33">
            <v>15.713314154306188</v>
          </cell>
          <cell r="BR33">
            <v>15.711405833764339</v>
          </cell>
          <cell r="BS33">
            <v>63.126719698154695</v>
          </cell>
          <cell r="BT33">
            <v>15.107194567158727</v>
          </cell>
          <cell r="BU33">
            <v>15.228232825086701</v>
          </cell>
          <cell r="BV33">
            <v>14.94095760162009</v>
          </cell>
          <cell r="BW33">
            <v>14.85822055605027</v>
          </cell>
          <cell r="BX33">
            <v>60.13460554991579</v>
          </cell>
          <cell r="BY33">
            <v>15.654373035177532</v>
          </cell>
          <cell r="BZ33">
            <v>15.808749165492943</v>
          </cell>
          <cell r="CA33">
            <v>15.520316140336542</v>
          </cell>
          <cell r="CB33">
            <v>15.479253772902124</v>
          </cell>
          <cell r="CC33">
            <v>62.462692113909142</v>
          </cell>
          <cell r="CD33">
            <v>16.31670578595352</v>
          </cell>
          <cell r="CE33">
            <v>16.467923165327914</v>
          </cell>
          <cell r="CF33">
            <v>16.172939693416563</v>
          </cell>
          <cell r="CG33">
            <v>16.101134353941511</v>
          </cell>
          <cell r="CH33">
            <v>65.058702998639518</v>
          </cell>
          <cell r="CM33" t="str">
            <v>mstag:netIncomeAttributableToNoncontrollingInterest</v>
          </cell>
          <cell r="CN33">
            <v>6</v>
          </cell>
          <cell r="CO33" t="str">
            <v>ISO4217:USD</v>
          </cell>
          <cell r="CP33" t="b">
            <v>0</v>
          </cell>
        </row>
        <row r="34">
          <cell r="B34" t="str">
            <v>Reported Net income/(loss) -- (GAAP)</v>
          </cell>
          <cell r="D34">
            <v>-473.08199999999999</v>
          </cell>
          <cell r="E34">
            <v>-16.789000000000048</v>
          </cell>
          <cell r="F34">
            <v>9.5689999999998783</v>
          </cell>
          <cell r="G34">
            <v>10.847999999999992</v>
          </cell>
          <cell r="H34">
            <v>9.6510000000000407</v>
          </cell>
          <cell r="I34">
            <v>10.041000000000009</v>
          </cell>
          <cell r="J34">
            <v>14.203000000000028</v>
          </cell>
          <cell r="K34">
            <v>44.743000000000009</v>
          </cell>
          <cell r="L34">
            <v>27.176000000000034</v>
          </cell>
          <cell r="M34">
            <v>24.240999999999985</v>
          </cell>
          <cell r="N34">
            <v>20.156000000000027</v>
          </cell>
          <cell r="O34">
            <v>28.411000000000019</v>
          </cell>
          <cell r="P34">
            <v>99.983999999999895</v>
          </cell>
          <cell r="Q34">
            <v>33.53900000000008</v>
          </cell>
          <cell r="R34">
            <v>30.616000000000057</v>
          </cell>
          <cell r="S34">
            <v>31.683000000000117</v>
          </cell>
          <cell r="T34">
            <v>35.634</v>
          </cell>
          <cell r="U34">
            <v>131.47200000000066</v>
          </cell>
          <cell r="V34">
            <v>40.726000000000042</v>
          </cell>
          <cell r="W34">
            <v>38.439000000000028</v>
          </cell>
          <cell r="X34">
            <v>32.039000000000058</v>
          </cell>
          <cell r="Y34">
            <v>40.228999999999992</v>
          </cell>
          <cell r="Z34">
            <v>151.43300000000093</v>
          </cell>
          <cell r="AA34">
            <v>35.98799999999985</v>
          </cell>
          <cell r="AB34">
            <v>40.528000000000041</v>
          </cell>
          <cell r="AC34">
            <v>42.88600000000006</v>
          </cell>
          <cell r="AD34">
            <v>48.141999999999882</v>
          </cell>
          <cell r="AE34">
            <v>167.54400000000032</v>
          </cell>
          <cell r="AF34">
            <v>54.037999999999847</v>
          </cell>
          <cell r="AG34">
            <v>52.369000000000149</v>
          </cell>
          <cell r="AH34">
            <v>8.2410000000000139</v>
          </cell>
          <cell r="AI34">
            <v>53.615000000000059</v>
          </cell>
          <cell r="AJ34">
            <v>168.26300000000035</v>
          </cell>
          <cell r="AK34">
            <v>54.323999999999948</v>
          </cell>
          <cell r="AL34">
            <v>53.762999999999877</v>
          </cell>
          <cell r="AM34">
            <v>10.460000000000409</v>
          </cell>
          <cell r="AN34">
            <v>-88.257999999999953</v>
          </cell>
          <cell r="AO34">
            <v>30.289000000000492</v>
          </cell>
          <cell r="AP34">
            <v>60.12700000000018</v>
          </cell>
          <cell r="AQ34">
            <v>47.892999999999851</v>
          </cell>
          <cell r="AR34">
            <v>50.383999999999617</v>
          </cell>
          <cell r="AS34">
            <v>59.900000000000063</v>
          </cell>
          <cell r="AT34">
            <v>218.30399999999995</v>
          </cell>
          <cell r="AU34">
            <v>58.914999999999509</v>
          </cell>
          <cell r="AV34">
            <v>59.434999999999896</v>
          </cell>
          <cell r="AW34">
            <v>59.712000000000472</v>
          </cell>
          <cell r="AX34">
            <v>65.088000000000605</v>
          </cell>
          <cell r="AY34">
            <v>243.15000000000089</v>
          </cell>
          <cell r="AZ34">
            <v>70.007000000000289</v>
          </cell>
          <cell r="BA34">
            <v>70.065000000000268</v>
          </cell>
          <cell r="BB34">
            <v>70.401000000000067</v>
          </cell>
          <cell r="BC34">
            <v>69.509999999999707</v>
          </cell>
          <cell r="BD34">
            <v>279.98299999999995</v>
          </cell>
          <cell r="BE34">
            <v>61.323999999999799</v>
          </cell>
          <cell r="BF34">
            <v>35.389000000000138</v>
          </cell>
          <cell r="BG34">
            <v>74.304000000000684</v>
          </cell>
          <cell r="BH34">
            <v>30.931000000000111</v>
          </cell>
          <cell r="BI34">
            <v>201.94800000000174</v>
          </cell>
          <cell r="BJ34">
            <v>75.473999999999933</v>
          </cell>
          <cell r="BK34">
            <v>83.358999999999583</v>
          </cell>
          <cell r="BL34">
            <v>44.232999999999585</v>
          </cell>
          <cell r="BM34">
            <v>74.431260960961822</v>
          </cell>
          <cell r="BN34">
            <v>277.49726096095998</v>
          </cell>
          <cell r="BO34">
            <v>98.213334466387948</v>
          </cell>
          <cell r="BP34">
            <v>134.62567169669191</v>
          </cell>
          <cell r="BQ34">
            <v>63.987671562900346</v>
          </cell>
          <cell r="BR34">
            <v>36.763615815255612</v>
          </cell>
          <cell r="BS34">
            <v>333.59029354123504</v>
          </cell>
          <cell r="BT34">
            <v>144.68817423597278</v>
          </cell>
          <cell r="BU34">
            <v>194.23599272720594</v>
          </cell>
          <cell r="BV34">
            <v>115.28025393703786</v>
          </cell>
          <cell r="BW34">
            <v>88.954440549352739</v>
          </cell>
          <cell r="BX34">
            <v>543.15886144956983</v>
          </cell>
          <cell r="BY34">
            <v>171.16346837059265</v>
          </cell>
          <cell r="BZ34">
            <v>227.21202447342199</v>
          </cell>
          <cell r="CA34">
            <v>142.78036292310875</v>
          </cell>
          <cell r="CB34">
            <v>121.61165689323391</v>
          </cell>
          <cell r="CC34">
            <v>662.76751266036047</v>
          </cell>
          <cell r="CD34">
            <v>208.25505027216948</v>
          </cell>
          <cell r="CE34">
            <v>267.18653296245128</v>
          </cell>
          <cell r="CF34">
            <v>177.98801370420333</v>
          </cell>
          <cell r="CG34">
            <v>151.98888499393067</v>
          </cell>
          <cell r="CH34">
            <v>805.4184819327553</v>
          </cell>
        </row>
        <row r="35">
          <cell r="B35" t="str">
            <v xml:space="preserve">Add: Convertible notes interest, net </v>
          </cell>
          <cell r="D35">
            <v>0</v>
          </cell>
          <cell r="E35">
            <v>0</v>
          </cell>
          <cell r="F35">
            <v>0</v>
          </cell>
          <cell r="G35">
            <v>0</v>
          </cell>
          <cell r="H35">
            <v>0</v>
          </cell>
          <cell r="I35">
            <v>0</v>
          </cell>
          <cell r="J35">
            <v>0</v>
          </cell>
          <cell r="K35">
            <v>0</v>
          </cell>
          <cell r="L35">
            <v>2.1890000000000001</v>
          </cell>
          <cell r="M35">
            <v>0</v>
          </cell>
          <cell r="N35">
            <v>2.1890000000000001</v>
          </cell>
          <cell r="O35">
            <v>2.1890000000000001</v>
          </cell>
          <cell r="P35">
            <v>8.7569999999999997</v>
          </cell>
          <cell r="Q35">
            <v>2.1890000000000001</v>
          </cell>
          <cell r="R35">
            <v>2.1890000000000001</v>
          </cell>
          <cell r="S35">
            <v>2.1890000000000001</v>
          </cell>
          <cell r="T35">
            <v>2.19</v>
          </cell>
          <cell r="U35">
            <v>8.7569999999999997</v>
          </cell>
          <cell r="V35">
            <v>2.1890000000000001</v>
          </cell>
          <cell r="W35">
            <v>2.1890000000000001</v>
          </cell>
          <cell r="X35">
            <v>2.1890000000000001</v>
          </cell>
          <cell r="Y35">
            <v>2.19</v>
          </cell>
          <cell r="Z35">
            <v>8.7569999999999997</v>
          </cell>
          <cell r="AA35">
            <v>2.1890000000000001</v>
          </cell>
          <cell r="AB35">
            <v>2.1890000000000001</v>
          </cell>
          <cell r="AC35">
            <v>2.1890000000000001</v>
          </cell>
          <cell r="AD35">
            <v>1.998</v>
          </cell>
          <cell r="AE35">
            <v>8.5649999999999995</v>
          </cell>
          <cell r="AF35">
            <v>0.13500000000000001</v>
          </cell>
          <cell r="AG35">
            <v>0</v>
          </cell>
          <cell r="AH35">
            <v>0</v>
          </cell>
          <cell r="AI35">
            <v>0</v>
          </cell>
          <cell r="AJ35">
            <v>0.13500000000000001</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M35" t="str">
            <v>mstag:impactOfAssumedConversionOfConvertibleBonds</v>
          </cell>
          <cell r="CN35">
            <v>6</v>
          </cell>
          <cell r="CO35" t="str">
            <v>ISO4217:USD</v>
          </cell>
          <cell r="CP35" t="b">
            <v>0</v>
          </cell>
        </row>
        <row r="36">
          <cell r="B36" t="str">
            <v>Net income attributable to common (GAAP)</v>
          </cell>
          <cell r="D36">
            <v>-473.08199999999999</v>
          </cell>
          <cell r="E36">
            <v>-16.789000000000048</v>
          </cell>
          <cell r="F36">
            <v>9.5689999999998783</v>
          </cell>
          <cell r="G36">
            <v>10.847999999999992</v>
          </cell>
          <cell r="H36">
            <v>9.6510000000000407</v>
          </cell>
          <cell r="I36">
            <v>10.041000000000009</v>
          </cell>
          <cell r="J36">
            <v>14.203000000000028</v>
          </cell>
          <cell r="K36">
            <v>44.743000000000009</v>
          </cell>
          <cell r="L36">
            <v>29.365000000000034</v>
          </cell>
          <cell r="M36">
            <v>24.240999999999985</v>
          </cell>
          <cell r="N36">
            <v>22.345000000000027</v>
          </cell>
          <cell r="O36">
            <v>30.600000000000019</v>
          </cell>
          <cell r="P36">
            <v>108.7409999999999</v>
          </cell>
          <cell r="Q36">
            <v>35.72800000000008</v>
          </cell>
          <cell r="R36">
            <v>32.805000000000057</v>
          </cell>
          <cell r="S36">
            <v>33.872000000000114</v>
          </cell>
          <cell r="T36">
            <v>37.823999999999998</v>
          </cell>
          <cell r="U36">
            <v>140.22900000000067</v>
          </cell>
          <cell r="V36">
            <v>42.915000000000042</v>
          </cell>
          <cell r="W36">
            <v>40.628000000000029</v>
          </cell>
          <cell r="X36">
            <v>34.228000000000058</v>
          </cell>
          <cell r="Y36">
            <v>42.41899999999999</v>
          </cell>
          <cell r="Z36">
            <v>160.19000000000094</v>
          </cell>
          <cell r="AA36">
            <v>38.17699999999985</v>
          </cell>
          <cell r="AB36">
            <v>42.717000000000041</v>
          </cell>
          <cell r="AC36">
            <v>45.07500000000006</v>
          </cell>
          <cell r="AD36">
            <v>50.13999999999988</v>
          </cell>
          <cell r="AE36">
            <v>176.10900000000032</v>
          </cell>
          <cell r="AF36">
            <v>54.172999999999845</v>
          </cell>
          <cell r="AG36">
            <v>52.369000000000149</v>
          </cell>
          <cell r="AH36">
            <v>8.2410000000000139</v>
          </cell>
          <cell r="AI36">
            <v>53.615000000000059</v>
          </cell>
          <cell r="AJ36">
            <v>168.39800000000034</v>
          </cell>
          <cell r="AK36">
            <v>54.323999999999948</v>
          </cell>
          <cell r="AL36">
            <v>53.762999999999877</v>
          </cell>
          <cell r="AM36">
            <v>10.460000000000409</v>
          </cell>
          <cell r="AN36">
            <v>-88.257999999999953</v>
          </cell>
          <cell r="AO36">
            <v>30.289000000000492</v>
          </cell>
          <cell r="AP36">
            <v>60.12700000000018</v>
          </cell>
          <cell r="AQ36">
            <v>47.892999999999851</v>
          </cell>
          <cell r="AR36">
            <v>50.383999999999617</v>
          </cell>
          <cell r="AS36">
            <v>59.900000000000063</v>
          </cell>
          <cell r="AT36">
            <v>218.30399999999995</v>
          </cell>
          <cell r="AU36">
            <v>58.914999999999509</v>
          </cell>
          <cell r="AV36">
            <v>59.434999999999896</v>
          </cell>
          <cell r="AW36">
            <v>59.712000000000472</v>
          </cell>
          <cell r="AX36">
            <v>65.088000000000605</v>
          </cell>
          <cell r="AY36">
            <v>243.15000000000089</v>
          </cell>
          <cell r="AZ36">
            <v>70.007000000000289</v>
          </cell>
          <cell r="BA36">
            <v>70.065000000000268</v>
          </cell>
          <cell r="BB36">
            <v>70.401000000000067</v>
          </cell>
          <cell r="BC36">
            <v>69.509999999999707</v>
          </cell>
          <cell r="BD36">
            <v>279.98299999999995</v>
          </cell>
          <cell r="BE36">
            <v>61.323999999999799</v>
          </cell>
          <cell r="BF36">
            <v>35.389000000000138</v>
          </cell>
          <cell r="BG36">
            <v>74.304000000000684</v>
          </cell>
          <cell r="BH36">
            <v>30.931000000000111</v>
          </cell>
          <cell r="BI36">
            <v>201.94800000000174</v>
          </cell>
          <cell r="BJ36">
            <v>75.473999999999933</v>
          </cell>
          <cell r="BK36">
            <v>83.358999999999583</v>
          </cell>
          <cell r="BL36">
            <v>44.232999999999585</v>
          </cell>
          <cell r="BM36">
            <v>74.431260960961822</v>
          </cell>
          <cell r="BN36">
            <v>277.49726096095998</v>
          </cell>
          <cell r="BO36">
            <v>98.213334466387948</v>
          </cell>
          <cell r="BP36">
            <v>134.62567169669191</v>
          </cell>
          <cell r="BQ36">
            <v>63.987671562900346</v>
          </cell>
          <cell r="BR36">
            <v>36.763615815255612</v>
          </cell>
          <cell r="BS36">
            <v>333.59029354123504</v>
          </cell>
          <cell r="BT36">
            <v>144.68817423597278</v>
          </cell>
          <cell r="BU36">
            <v>194.23599272720594</v>
          </cell>
          <cell r="BV36">
            <v>115.28025393703786</v>
          </cell>
          <cell r="BW36">
            <v>88.954440549352739</v>
          </cell>
          <cell r="BX36">
            <v>543.15886144956983</v>
          </cell>
          <cell r="BY36">
            <v>171.16346837059265</v>
          </cell>
          <cell r="BZ36">
            <v>227.21202447342199</v>
          </cell>
          <cell r="CA36">
            <v>142.78036292310875</v>
          </cell>
          <cell r="CB36">
            <v>121.61165689323391</v>
          </cell>
          <cell r="CC36">
            <v>662.76751266036047</v>
          </cell>
          <cell r="CD36">
            <v>208.25505027216948</v>
          </cell>
          <cell r="CE36">
            <v>267.18653296245128</v>
          </cell>
          <cell r="CF36">
            <v>177.98801370420333</v>
          </cell>
          <cell r="CG36">
            <v>151.98888499393067</v>
          </cell>
          <cell r="CH36">
            <v>805.4184819327553</v>
          </cell>
        </row>
        <row r="37">
          <cell r="B37" t="str">
            <v>Non-operating Adjustments</v>
          </cell>
        </row>
        <row r="38">
          <cell r="B38" t="str">
            <v>Discontinued operations, net</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5.61</v>
          </cell>
          <cell r="Y38">
            <v>0.41299999999999998</v>
          </cell>
          <cell r="Z38">
            <v>6.0230000000000006</v>
          </cell>
          <cell r="AA38">
            <v>11.704000000000001</v>
          </cell>
          <cell r="AB38">
            <v>5.6219999999999999</v>
          </cell>
          <cell r="AC38">
            <v>1.18</v>
          </cell>
          <cell r="AD38">
            <v>2.7010000000000001</v>
          </cell>
          <cell r="AE38">
            <v>21.207000000000001</v>
          </cell>
          <cell r="AF38">
            <v>3.2160000000000002</v>
          </cell>
          <cell r="AG38">
            <v>0</v>
          </cell>
          <cell r="AH38">
            <v>0</v>
          </cell>
          <cell r="AI38">
            <v>0</v>
          </cell>
          <cell r="AJ38">
            <v>3.2160000000000002</v>
          </cell>
          <cell r="AK38">
            <v>0</v>
          </cell>
          <cell r="AL38">
            <v>0</v>
          </cell>
          <cell r="AM38">
            <v>5.8100000000000005</v>
          </cell>
          <cell r="AN38">
            <v>17.608999999999998</v>
          </cell>
          <cell r="AO38">
            <v>23.418999999999997</v>
          </cell>
          <cell r="AP38">
            <v>-8.6340000000000003</v>
          </cell>
          <cell r="AQ38">
            <v>1.863</v>
          </cell>
          <cell r="AR38">
            <v>1.038</v>
          </cell>
          <cell r="AS38">
            <v>-3.617</v>
          </cell>
          <cell r="AT38">
            <v>-9.3500000000000014</v>
          </cell>
          <cell r="AU38">
            <v>-1.7699999999999998</v>
          </cell>
          <cell r="AV38">
            <v>0.50800000000000001</v>
          </cell>
          <cell r="AW38">
            <v>0</v>
          </cell>
          <cell r="AX38">
            <v>0</v>
          </cell>
          <cell r="AY38">
            <v>-1.2619999999999998</v>
          </cell>
          <cell r="AZ38">
            <v>0</v>
          </cell>
          <cell r="BA38">
            <v>0</v>
          </cell>
          <cell r="BB38">
            <v>0</v>
          </cell>
          <cell r="BC38">
            <v>0</v>
          </cell>
          <cell r="BD38">
            <v>0</v>
          </cell>
          <cell r="BE38">
            <v>12.816000000000001</v>
          </cell>
          <cell r="BF38">
            <v>39.326999999999998</v>
          </cell>
          <cell r="BG38">
            <v>3.169</v>
          </cell>
          <cell r="BH38">
            <v>2.4950000000000001</v>
          </cell>
          <cell r="BI38">
            <v>57.806999999999995</v>
          </cell>
          <cell r="BJ38">
            <v>0.46600000000000003</v>
          </cell>
          <cell r="BK38">
            <v>0</v>
          </cell>
          <cell r="BL38">
            <v>0</v>
          </cell>
          <cell r="BM38">
            <v>0</v>
          </cell>
          <cell r="BN38">
            <v>0.46600000000000003</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row>
        <row r="39">
          <cell r="B39" t="str">
            <v>Other "one time" items</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0.6</v>
          </cell>
          <cell r="X39">
            <v>3.0880000000000001</v>
          </cell>
          <cell r="Y39">
            <v>0.60000000000000009</v>
          </cell>
          <cell r="Z39">
            <v>4.2880000000000003</v>
          </cell>
          <cell r="AA39">
            <v>0</v>
          </cell>
          <cell r="AB39">
            <v>0</v>
          </cell>
          <cell r="AC39">
            <v>0</v>
          </cell>
          <cell r="AD39">
            <v>0</v>
          </cell>
          <cell r="AE39">
            <v>0</v>
          </cell>
          <cell r="AF39">
            <v>0</v>
          </cell>
          <cell r="AG39">
            <v>0</v>
          </cell>
          <cell r="AH39">
            <v>40</v>
          </cell>
          <cell r="AI39">
            <v>0</v>
          </cell>
          <cell r="AJ39">
            <v>40</v>
          </cell>
          <cell r="AK39">
            <v>0</v>
          </cell>
          <cell r="AL39">
            <v>0</v>
          </cell>
          <cell r="AM39">
            <v>0</v>
          </cell>
          <cell r="AN39">
            <v>105.4</v>
          </cell>
          <cell r="AO39">
            <v>105.4</v>
          </cell>
          <cell r="AP39">
            <v>0</v>
          </cell>
          <cell r="AQ39">
            <v>5.625</v>
          </cell>
          <cell r="AR39">
            <v>2.4</v>
          </cell>
          <cell r="AS39">
            <v>2.1</v>
          </cell>
          <cell r="AT39">
            <v>10.125</v>
          </cell>
          <cell r="AU39">
            <v>0</v>
          </cell>
          <cell r="AV39">
            <v>0</v>
          </cell>
          <cell r="AW39">
            <v>0</v>
          </cell>
          <cell r="AX39">
            <v>4.7609999999999992</v>
          </cell>
          <cell r="AY39">
            <v>4.7609999999999992</v>
          </cell>
          <cell r="AZ39">
            <v>0</v>
          </cell>
          <cell r="BA39">
            <v>0</v>
          </cell>
          <cell r="BB39">
            <v>0</v>
          </cell>
          <cell r="BC39">
            <v>0</v>
          </cell>
          <cell r="BD39">
            <v>0</v>
          </cell>
          <cell r="BE39">
            <v>0</v>
          </cell>
          <cell r="BF39">
            <v>0</v>
          </cell>
          <cell r="BG39">
            <v>0</v>
          </cell>
          <cell r="BH39">
            <v>0</v>
          </cell>
          <cell r="BI39">
            <v>0</v>
          </cell>
          <cell r="BJ39">
            <v>-33.764027519999999</v>
          </cell>
          <cell r="BK39">
            <v>0</v>
          </cell>
          <cell r="BL39">
            <v>0</v>
          </cell>
          <cell r="BM39">
            <v>0</v>
          </cell>
          <cell r="BN39">
            <v>-33.764027519999999</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M39" t="str">
            <v>mstag:oneTimeItemsNotAllocatedToOtherExpenseIncomeItemsNetOfTax</v>
          </cell>
          <cell r="CN39">
            <v>6</v>
          </cell>
          <cell r="CO39" t="str">
            <v>ISO4217:USD</v>
          </cell>
          <cell r="CP39" t="b">
            <v>0</v>
          </cell>
        </row>
        <row r="40">
          <cell r="B40" t="str">
            <v>Early retirement of debt, net</v>
          </cell>
          <cell r="D40">
            <v>0</v>
          </cell>
          <cell r="E40">
            <v>0</v>
          </cell>
          <cell r="F40">
            <v>0</v>
          </cell>
          <cell r="G40">
            <v>0</v>
          </cell>
          <cell r="H40">
            <v>0</v>
          </cell>
          <cell r="I40">
            <v>0</v>
          </cell>
          <cell r="J40">
            <v>3.8079999999999998</v>
          </cell>
          <cell r="K40">
            <v>3.8079999999999998</v>
          </cell>
          <cell r="L40">
            <v>0</v>
          </cell>
          <cell r="M40">
            <v>0</v>
          </cell>
          <cell r="N40">
            <v>5.274</v>
          </cell>
          <cell r="O40">
            <v>0</v>
          </cell>
          <cell r="P40">
            <v>5.274</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17.5</v>
          </cell>
          <cell r="AN40">
            <v>6.0236999999999999E-2</v>
          </cell>
          <cell r="AO40">
            <v>17.560237000000001</v>
          </cell>
          <cell r="AP40">
            <v>0.9</v>
          </cell>
          <cell r="AQ40">
            <v>0</v>
          </cell>
          <cell r="AR40">
            <v>0</v>
          </cell>
          <cell r="AS40">
            <v>-2.5</v>
          </cell>
          <cell r="AT40">
            <v>-1.6</v>
          </cell>
          <cell r="AU40">
            <v>-1.5</v>
          </cell>
          <cell r="AV40">
            <v>3.8400000000000001E-3</v>
          </cell>
          <cell r="AW40">
            <v>1.3440000000000001E-2</v>
          </cell>
          <cell r="AX40">
            <v>0</v>
          </cell>
          <cell r="AY40">
            <v>-1.48272</v>
          </cell>
          <cell r="AZ40">
            <v>0</v>
          </cell>
          <cell r="BA40">
            <v>0</v>
          </cell>
          <cell r="BB40">
            <v>0</v>
          </cell>
          <cell r="BC40">
            <v>0</v>
          </cell>
          <cell r="BD40">
            <v>0</v>
          </cell>
          <cell r="BE40">
            <v>0</v>
          </cell>
          <cell r="BF40">
            <v>0</v>
          </cell>
          <cell r="BG40">
            <v>0</v>
          </cell>
          <cell r="BH40">
            <v>42</v>
          </cell>
          <cell r="BI40">
            <v>42</v>
          </cell>
          <cell r="BJ40">
            <v>39.095189760000004</v>
          </cell>
          <cell r="BK40">
            <v>0</v>
          </cell>
          <cell r="BL40">
            <v>33.303330000000003</v>
          </cell>
          <cell r="BM40">
            <v>0</v>
          </cell>
          <cell r="BN40">
            <v>72.398519759999999</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M40" t="str">
            <v>mstag:oneTimeItemsNotAllocatedToOtherExpenseIncomeItemsNetOfTax</v>
          </cell>
          <cell r="CN40">
            <v>6</v>
          </cell>
          <cell r="CO40" t="str">
            <v>ISO4217:USD</v>
          </cell>
          <cell r="CP40" t="b">
            <v>0</v>
          </cell>
        </row>
        <row r="41">
          <cell r="B41" t="str">
            <v>Total non-operating adjustments</v>
          </cell>
          <cell r="D41">
            <v>0</v>
          </cell>
          <cell r="E41">
            <v>0</v>
          </cell>
          <cell r="F41">
            <v>0</v>
          </cell>
          <cell r="G41">
            <v>0</v>
          </cell>
          <cell r="H41">
            <v>0</v>
          </cell>
          <cell r="I41">
            <v>0</v>
          </cell>
          <cell r="J41">
            <v>3.8079999999999998</v>
          </cell>
          <cell r="K41">
            <v>3.8079999999999998</v>
          </cell>
          <cell r="L41">
            <v>0</v>
          </cell>
          <cell r="M41">
            <v>0</v>
          </cell>
          <cell r="N41">
            <v>5.274</v>
          </cell>
          <cell r="O41">
            <v>0</v>
          </cell>
          <cell r="P41">
            <v>5.274</v>
          </cell>
          <cell r="Q41">
            <v>0</v>
          </cell>
          <cell r="R41">
            <v>0</v>
          </cell>
          <cell r="S41">
            <v>0</v>
          </cell>
          <cell r="T41">
            <v>0</v>
          </cell>
          <cell r="U41">
            <v>0</v>
          </cell>
          <cell r="V41">
            <v>0</v>
          </cell>
          <cell r="W41">
            <v>0.6</v>
          </cell>
          <cell r="X41">
            <v>8.6980000000000004</v>
          </cell>
          <cell r="Y41">
            <v>1.0130000000000001</v>
          </cell>
          <cell r="Z41">
            <v>10.311</v>
          </cell>
          <cell r="AA41">
            <v>11.704000000000001</v>
          </cell>
          <cell r="AB41">
            <v>5.6219999999999999</v>
          </cell>
          <cell r="AC41">
            <v>1.18</v>
          </cell>
          <cell r="AD41">
            <v>2.7010000000000001</v>
          </cell>
          <cell r="AE41">
            <v>21.207000000000001</v>
          </cell>
          <cell r="AF41">
            <v>3.2160000000000002</v>
          </cell>
          <cell r="AG41">
            <v>0</v>
          </cell>
          <cell r="AH41">
            <v>40</v>
          </cell>
          <cell r="AI41">
            <v>0</v>
          </cell>
          <cell r="AJ41">
            <v>43.216000000000001</v>
          </cell>
          <cell r="AK41">
            <v>0</v>
          </cell>
          <cell r="AL41">
            <v>0</v>
          </cell>
          <cell r="AM41">
            <v>23.310000000000002</v>
          </cell>
          <cell r="AN41">
            <v>123.069237</v>
          </cell>
          <cell r="AO41">
            <v>146.37923700000002</v>
          </cell>
          <cell r="AP41">
            <v>-7.734</v>
          </cell>
          <cell r="AQ41">
            <v>7.4879999999999995</v>
          </cell>
          <cell r="AR41">
            <v>3.4379999999999997</v>
          </cell>
          <cell r="AS41">
            <v>-4.0169999999999995</v>
          </cell>
          <cell r="AT41">
            <v>-0.82500000000000151</v>
          </cell>
          <cell r="AU41">
            <v>-3.2699999999999996</v>
          </cell>
          <cell r="AV41">
            <v>0.51183999999999996</v>
          </cell>
          <cell r="AW41">
            <v>1.3440000000000001E-2</v>
          </cell>
          <cell r="AX41">
            <v>4.7609999999999992</v>
          </cell>
          <cell r="AY41">
            <v>2.0162799999999996</v>
          </cell>
          <cell r="AZ41">
            <v>0</v>
          </cell>
          <cell r="BA41">
            <v>0</v>
          </cell>
          <cell r="BB41">
            <v>0</v>
          </cell>
          <cell r="BC41">
            <v>0</v>
          </cell>
          <cell r="BD41">
            <v>0</v>
          </cell>
          <cell r="BE41">
            <v>12.816000000000001</v>
          </cell>
          <cell r="BF41">
            <v>39.326999999999998</v>
          </cell>
          <cell r="BG41">
            <v>3.169</v>
          </cell>
          <cell r="BH41">
            <v>44.494999999999997</v>
          </cell>
          <cell r="BI41">
            <v>99.806999999999988</v>
          </cell>
          <cell r="BJ41">
            <v>5.7971622400000058</v>
          </cell>
          <cell r="BK41">
            <v>0</v>
          </cell>
          <cell r="BL41">
            <v>33.303330000000003</v>
          </cell>
          <cell r="BM41">
            <v>0</v>
          </cell>
          <cell r="BN41">
            <v>39.100492240000001</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row>
        <row r="42">
          <cell r="B42" t="str">
            <v>Operating net income</v>
          </cell>
          <cell r="D42">
            <v>-473.08199999999999</v>
          </cell>
          <cell r="E42">
            <v>-16.789000000000048</v>
          </cell>
          <cell r="F42">
            <v>9.5689999999998783</v>
          </cell>
          <cell r="G42">
            <v>10.847999999999992</v>
          </cell>
          <cell r="H42">
            <v>9.6510000000000407</v>
          </cell>
          <cell r="I42">
            <v>10.041000000000009</v>
          </cell>
          <cell r="J42">
            <v>18.011000000000028</v>
          </cell>
          <cell r="K42">
            <v>48.551000000000009</v>
          </cell>
          <cell r="L42">
            <v>27.176000000000034</v>
          </cell>
          <cell r="M42">
            <v>24.240999999999985</v>
          </cell>
          <cell r="N42">
            <v>25.430000000000028</v>
          </cell>
          <cell r="O42">
            <v>28.411000000000019</v>
          </cell>
          <cell r="P42">
            <v>105.2579999999999</v>
          </cell>
          <cell r="Q42">
            <v>33.53900000000008</v>
          </cell>
          <cell r="R42">
            <v>30.616000000000057</v>
          </cell>
          <cell r="S42">
            <v>31.683000000000117</v>
          </cell>
          <cell r="T42">
            <v>35.634</v>
          </cell>
          <cell r="U42">
            <v>131.47200000000066</v>
          </cell>
          <cell r="V42">
            <v>40.726000000000042</v>
          </cell>
          <cell r="W42">
            <v>39.03900000000003</v>
          </cell>
          <cell r="X42">
            <v>40.737000000000059</v>
          </cell>
          <cell r="Y42">
            <v>41.24199999999999</v>
          </cell>
          <cell r="Z42">
            <v>161.74400000000094</v>
          </cell>
          <cell r="AA42">
            <v>47.691999999999851</v>
          </cell>
          <cell r="AB42">
            <v>46.150000000000041</v>
          </cell>
          <cell r="AC42">
            <v>44.066000000000059</v>
          </cell>
          <cell r="AD42">
            <v>50.842999999999883</v>
          </cell>
          <cell r="AE42">
            <v>188.75100000000032</v>
          </cell>
          <cell r="AF42">
            <v>57.253999999999849</v>
          </cell>
          <cell r="AG42">
            <v>52.369000000000149</v>
          </cell>
          <cell r="AH42">
            <v>48.241000000000014</v>
          </cell>
          <cell r="AI42">
            <v>53.615000000000059</v>
          </cell>
          <cell r="AJ42">
            <v>211.47900000000035</v>
          </cell>
          <cell r="AK42">
            <v>54.323999999999948</v>
          </cell>
          <cell r="AL42">
            <v>53.762999999999877</v>
          </cell>
          <cell r="AM42">
            <v>33.770000000000408</v>
          </cell>
          <cell r="AN42">
            <v>34.811237000000048</v>
          </cell>
          <cell r="AO42">
            <v>176.66823700000052</v>
          </cell>
          <cell r="AP42">
            <v>52.393000000000178</v>
          </cell>
          <cell r="AQ42">
            <v>55.380999999999851</v>
          </cell>
          <cell r="AR42">
            <v>53.821999999999619</v>
          </cell>
          <cell r="AS42">
            <v>55.883000000000067</v>
          </cell>
          <cell r="AT42">
            <v>217.47899999999996</v>
          </cell>
          <cell r="AU42">
            <v>55.644999999999513</v>
          </cell>
          <cell r="AV42">
            <v>59.946839999999895</v>
          </cell>
          <cell r="AW42">
            <v>59.725440000000475</v>
          </cell>
          <cell r="AX42">
            <v>69.849000000000601</v>
          </cell>
          <cell r="AY42">
            <v>245.16628000000088</v>
          </cell>
          <cell r="AZ42">
            <v>70.007000000000289</v>
          </cell>
          <cell r="BA42">
            <v>70.065000000000268</v>
          </cell>
          <cell r="BB42">
            <v>70.401000000000067</v>
          </cell>
          <cell r="BC42">
            <v>69.509999999999707</v>
          </cell>
          <cell r="BD42">
            <v>279.98299999999995</v>
          </cell>
          <cell r="BE42">
            <v>74.139999999999802</v>
          </cell>
          <cell r="BF42">
            <v>74.716000000000136</v>
          </cell>
          <cell r="BG42">
            <v>77.473000000000681</v>
          </cell>
          <cell r="BH42">
            <v>75.426000000000101</v>
          </cell>
          <cell r="BI42">
            <v>301.7550000000017</v>
          </cell>
          <cell r="BJ42">
            <v>81.271162239999938</v>
          </cell>
          <cell r="BK42">
            <v>83.358999999999583</v>
          </cell>
          <cell r="BL42">
            <v>77.536329999999595</v>
          </cell>
          <cell r="BM42">
            <v>74.431260960961822</v>
          </cell>
          <cell r="BN42">
            <v>316.59775320095997</v>
          </cell>
          <cell r="BO42">
            <v>98.213334466387948</v>
          </cell>
          <cell r="BP42">
            <v>134.62567169669191</v>
          </cell>
          <cell r="BQ42">
            <v>63.987671562900346</v>
          </cell>
          <cell r="BR42">
            <v>36.763615815255612</v>
          </cell>
          <cell r="BS42">
            <v>333.59029354123504</v>
          </cell>
          <cell r="BT42">
            <v>144.68817423597278</v>
          </cell>
          <cell r="BU42">
            <v>194.23599272720594</v>
          </cell>
          <cell r="BV42">
            <v>115.28025393703786</v>
          </cell>
          <cell r="BW42">
            <v>88.954440549352739</v>
          </cell>
          <cell r="BX42">
            <v>543.15886144956983</v>
          </cell>
          <cell r="BY42">
            <v>171.16346837059265</v>
          </cell>
          <cell r="BZ42">
            <v>227.21202447342199</v>
          </cell>
          <cell r="CA42">
            <v>142.78036292310875</v>
          </cell>
          <cell r="CB42">
            <v>121.61165689323391</v>
          </cell>
          <cell r="CC42">
            <v>662.76751266036047</v>
          </cell>
          <cell r="CD42">
            <v>208.25505027216948</v>
          </cell>
          <cell r="CE42">
            <v>267.18653296245128</v>
          </cell>
          <cell r="CF42">
            <v>177.98801370420333</v>
          </cell>
          <cell r="CG42">
            <v>151.98888499393067</v>
          </cell>
          <cell r="CH42">
            <v>805.4184819327553</v>
          </cell>
        </row>
        <row r="44">
          <cell r="B44" t="str">
            <v>Operating EPS - Fully Diluted</v>
          </cell>
          <cell r="D44">
            <v>-6.8377107548707965</v>
          </cell>
          <cell r="E44">
            <v>-0.30780072904900868</v>
          </cell>
          <cell r="F44">
            <v>0.13830594741156463</v>
          </cell>
          <cell r="G44">
            <v>0.12386895924724933</v>
          </cell>
          <cell r="H44">
            <v>0.11027471361053616</v>
          </cell>
          <cell r="I44">
            <v>0.11431865976314495</v>
          </cell>
          <cell r="J44">
            <v>0.18400727406469042</v>
          </cell>
          <cell r="K44">
            <v>0.53795270696437081</v>
          </cell>
          <cell r="L44">
            <v>0.27146649631038561</v>
          </cell>
          <cell r="M44">
            <v>0.24278964531258224</v>
          </cell>
          <cell r="N44">
            <v>0.25452316105472567</v>
          </cell>
          <cell r="O44">
            <v>0.28229563548806719</v>
          </cell>
          <cell r="P44">
            <v>1.0520111294408638</v>
          </cell>
          <cell r="Q44">
            <v>0.3313663249714231</v>
          </cell>
          <cell r="R44">
            <v>0.30441221777482153</v>
          </cell>
          <cell r="S44">
            <v>0.31327236280454229</v>
          </cell>
          <cell r="T44">
            <v>0.34805333431487118</v>
          </cell>
          <cell r="U44">
            <v>1.2972760727151846</v>
          </cell>
          <cell r="V44">
            <v>0.3932220737673619</v>
          </cell>
          <cell r="W44">
            <v>0.37824074256287193</v>
          </cell>
          <cell r="X44">
            <v>0.39794329894809471</v>
          </cell>
          <cell r="Y44">
            <v>0.44538332171130879</v>
          </cell>
          <cell r="Z44">
            <v>1.6105695819127668</v>
          </cell>
          <cell r="AA44">
            <v>0.50853789254173432</v>
          </cell>
          <cell r="AB44">
            <v>0.48665580598377378</v>
          </cell>
          <cell r="AC44">
            <v>0.46945584571635884</v>
          </cell>
          <cell r="AD44">
            <v>0.53706206994684247</v>
          </cell>
          <cell r="AE44">
            <v>2.0015829380848844</v>
          </cell>
          <cell r="AF44">
            <v>0.58435420012434314</v>
          </cell>
          <cell r="AG44">
            <v>0.54060937037316481</v>
          </cell>
          <cell r="AH44">
            <v>0.50642055837566935</v>
          </cell>
          <cell r="AI44">
            <v>0.56648528712557511</v>
          </cell>
          <cell r="AJ44">
            <v>2.198977459997836</v>
          </cell>
          <cell r="AK44">
            <v>0.57567776084452693</v>
          </cell>
          <cell r="AL44">
            <v>0.56803180039867651</v>
          </cell>
          <cell r="AM44">
            <v>0.3560668203198194</v>
          </cell>
          <cell r="AN44">
            <v>0.37166079817219044</v>
          </cell>
          <cell r="AO44">
            <v>1.8666943660516144</v>
          </cell>
          <cell r="AP44">
            <v>0.55146624837205127</v>
          </cell>
          <cell r="AQ44">
            <v>0.57982605888298322</v>
          </cell>
          <cell r="AR44">
            <v>0.5655947877259313</v>
          </cell>
          <cell r="AS44">
            <v>0.60852852460444573</v>
          </cell>
          <cell r="AT44">
            <v>2.3065192590312042</v>
          </cell>
          <cell r="AU44">
            <v>0.61225630504612205</v>
          </cell>
          <cell r="AV44">
            <v>0.65824184689361487</v>
          </cell>
          <cell r="AW44">
            <v>0.64911377412868254</v>
          </cell>
          <cell r="AX44">
            <v>0.75350327403748263</v>
          </cell>
          <cell r="AY44">
            <v>2.6789071536374749</v>
          </cell>
          <cell r="AZ44">
            <v>0.75408957630231133</v>
          </cell>
          <cell r="BA44">
            <v>0.73976961653580553</v>
          </cell>
          <cell r="BB44">
            <v>0.76139890439282287</v>
          </cell>
          <cell r="BC44">
            <v>0.75736279541071172</v>
          </cell>
          <cell r="BD44">
            <v>3.0123174252658913</v>
          </cell>
          <cell r="BE44">
            <v>0.80467288544007365</v>
          </cell>
          <cell r="BF44">
            <v>0.81404410204532596</v>
          </cell>
          <cell r="BG44">
            <v>0.8621754270866675</v>
          </cell>
          <cell r="BH44">
            <v>0.84830285444362086</v>
          </cell>
          <cell r="BI44">
            <v>3.3281918446742962</v>
          </cell>
          <cell r="BJ44">
            <v>0.91467292025237557</v>
          </cell>
          <cell r="BK44">
            <v>0.93106673794654349</v>
          </cell>
          <cell r="BL44">
            <v>0.86142863491428179</v>
          </cell>
          <cell r="BM44">
            <v>0.84646612225624018</v>
          </cell>
          <cell r="BN44">
            <v>3.5361432880023078</v>
          </cell>
          <cell r="BO44">
            <v>1.0463676980125527</v>
          </cell>
          <cell r="BP44">
            <v>1.456586815731274</v>
          </cell>
          <cell r="BQ44">
            <v>0.6653396540785802</v>
          </cell>
          <cell r="BR44">
            <v>0.38380580006884402</v>
          </cell>
          <cell r="BS44">
            <v>3.552099967891261</v>
          </cell>
          <cell r="BT44">
            <v>1.3557023844932725</v>
          </cell>
          <cell r="BU44">
            <v>1.8988104257211025</v>
          </cell>
          <cell r="BV44">
            <v>1.0308841735269729</v>
          </cell>
          <cell r="BW44">
            <v>0.76689652885675952</v>
          </cell>
          <cell r="BX44">
            <v>5.0278982596626509</v>
          </cell>
          <cell r="BY44">
            <v>1.6242075529654725</v>
          </cell>
          <cell r="BZ44">
            <v>2.2291816819619927</v>
          </cell>
          <cell r="CA44">
            <v>1.3092800764717833</v>
          </cell>
          <cell r="CB44">
            <v>1.1031524067505605</v>
          </cell>
          <cell r="CC44">
            <v>6.2369585571675437</v>
          </cell>
          <cell r="CD44">
            <v>1.9906141967260214</v>
          </cell>
          <cell r="CE44">
            <v>2.6178281171439499</v>
          </cell>
          <cell r="CF44">
            <v>1.6544627903731051</v>
          </cell>
          <cell r="CG44">
            <v>1.3997556396476969</v>
          </cell>
          <cell r="CH44">
            <v>7.6281454430076749</v>
          </cell>
        </row>
        <row r="45">
          <cell r="B45" t="str">
            <v>y/y growth</v>
          </cell>
          <cell r="E45" t="str">
            <v>nm</v>
          </cell>
          <cell r="F45" t="str">
            <v>nm</v>
          </cell>
          <cell r="K45">
            <v>2.8895847722553483</v>
          </cell>
          <cell r="L45">
            <v>1.1915619373900075</v>
          </cell>
          <cell r="M45">
            <v>1.2016801256002987</v>
          </cell>
          <cell r="N45">
            <v>1.2264358380518825</v>
          </cell>
          <cell r="O45">
            <v>0.53415476058203049</v>
          </cell>
          <cell r="P45">
            <v>0.9555829273121208</v>
          </cell>
          <cell r="Q45">
            <v>0.2206527489585679</v>
          </cell>
          <cell r="R45">
            <v>0.25381054609187559</v>
          </cell>
          <cell r="S45">
            <v>0.23082065108088456</v>
          </cell>
          <cell r="T45">
            <v>0.23293912678853168</v>
          </cell>
          <cell r="U45">
            <v>0.23313911460677916</v>
          </cell>
          <cell r="V45">
            <v>0.18666878356234062</v>
          </cell>
          <cell r="W45">
            <v>0.24252812626155018</v>
          </cell>
          <cell r="X45">
            <v>0.27027898466862377</v>
          </cell>
          <cell r="Y45">
            <v>0.27964101417970255</v>
          </cell>
          <cell r="Z45">
            <v>0.2415010311119532</v>
          </cell>
          <cell r="AA45">
            <v>0.29325876258563133</v>
          </cell>
          <cell r="AB45">
            <v>0.28662978685560536</v>
          </cell>
          <cell r="AC45">
            <v>0.1797053674664133</v>
          </cell>
          <cell r="AD45">
            <v>0.20584234695469483</v>
          </cell>
          <cell r="AE45">
            <v>0.2427795486536739</v>
          </cell>
          <cell r="AF45">
            <v>0.14908684032112074</v>
          </cell>
          <cell r="AG45">
            <v>0.11086596260846826</v>
          </cell>
          <cell r="AH45">
            <v>7.8739487422730514E-2</v>
          </cell>
          <cell r="AI45">
            <v>5.4785505857162686E-2</v>
          </cell>
          <cell r="AJ45">
            <v>9.8619206907218482E-2</v>
          </cell>
          <cell r="AK45">
            <v>-1.4847911212018228E-2</v>
          </cell>
          <cell r="AL45">
            <v>5.0725036465022688E-2</v>
          </cell>
          <cell r="AM45">
            <v>-0.29689501259211437</v>
          </cell>
          <cell r="AN45">
            <v>-0.34391800348770074</v>
          </cell>
          <cell r="AO45">
            <v>-0.151108003602069</v>
          </cell>
          <cell r="AP45">
            <v>-4.2057404539923571E-2</v>
          </cell>
          <cell r="AQ45">
            <v>2.0763377113796944E-2</v>
          </cell>
          <cell r="AR45">
            <v>0.58845125535121134</v>
          </cell>
          <cell r="AS45">
            <v>0.63732233153767925</v>
          </cell>
          <cell r="AT45">
            <v>0.23561698207184101</v>
          </cell>
          <cell r="AU45">
            <v>0.11023350359795403</v>
          </cell>
          <cell r="AV45">
            <v>0.13524019282903077</v>
          </cell>
          <cell r="AW45">
            <v>0.14766576392712771</v>
          </cell>
          <cell r="AX45">
            <v>0.23823821492554198</v>
          </cell>
          <cell r="AY45">
            <v>0.16145015618151959</v>
          </cell>
          <cell r="AZ45">
            <v>0.23165669358930452</v>
          </cell>
          <cell r="BA45">
            <v>0.12385686207423263</v>
          </cell>
          <cell r="BB45">
            <v>0.17298220241106854</v>
          </cell>
          <cell r="BC45">
            <v>5.1221029904073845E-3</v>
          </cell>
          <cell r="BD45">
            <v>0.12445756889174198</v>
          </cell>
          <cell r="BE45">
            <v>6.707864785215345E-2</v>
          </cell>
          <cell r="BF45">
            <v>0.10040218447647686</v>
          </cell>
          <cell r="BG45">
            <v>0.13235706291724814</v>
          </cell>
          <cell r="BH45">
            <v>0.12007463211022018</v>
          </cell>
          <cell r="BI45">
            <v>0.10486093422924148</v>
          </cell>
          <cell r="BJ45">
            <v>0.13670155513211202</v>
          </cell>
          <cell r="BK45">
            <v>0.14375466342326226</v>
          </cell>
          <cell r="BL45">
            <v>-8.6617195169802486E-4</v>
          </cell>
          <cell r="BM45">
            <v>-2.5480456481240199E-2</v>
          </cell>
          <cell r="BN45">
            <v>5.6539118035203284E-2</v>
          </cell>
          <cell r="BO45">
            <v>0.17937986836689901</v>
          </cell>
          <cell r="BP45">
            <v>0.5881669240582339</v>
          </cell>
          <cell r="BQ45">
            <v>-0.18412039204775843</v>
          </cell>
          <cell r="BR45">
            <v>-0.5115435899694174</v>
          </cell>
          <cell r="BS45">
            <v>4.2001988635255172E-2</v>
          </cell>
          <cell r="BT45">
            <v>0.4732029517385965</v>
          </cell>
          <cell r="BU45">
            <v>0.44278569071740281</v>
          </cell>
          <cell r="BV45">
            <v>0.80160101346579737</v>
          </cell>
          <cell r="BW45">
            <v>1.4196325246234287</v>
          </cell>
          <cell r="BX45">
            <v>0.62822142000492609</v>
          </cell>
          <cell r="BY45">
            <v>0.18298174176585547</v>
          </cell>
          <cell r="BZ45">
            <v>0.16977302344024947</v>
          </cell>
          <cell r="CA45">
            <v>0.23855003824931309</v>
          </cell>
          <cell r="CB45">
            <v>0.36712294678265822</v>
          </cell>
          <cell r="CC45">
            <v>0.22020933413768073</v>
          </cell>
          <cell r="CD45">
            <v>0.21670267759045636</v>
          </cell>
          <cell r="CE45">
            <v>0.17593482819262163</v>
          </cell>
          <cell r="CF45">
            <v>0.24658608551131711</v>
          </cell>
          <cell r="CG45">
            <v>0.24978878568660345</v>
          </cell>
          <cell r="CH45">
            <v>0.21523530732487361</v>
          </cell>
        </row>
        <row r="46">
          <cell r="B46" t="str">
            <v>GAAP EPS, continuing operations (ex. disc. Ops)</v>
          </cell>
          <cell r="D46">
            <v>-6.8377107548707965</v>
          </cell>
          <cell r="E46">
            <v>-0.30780072904900868</v>
          </cell>
          <cell r="F46">
            <v>0.13830594741156463</v>
          </cell>
          <cell r="G46">
            <v>0.12386895924724933</v>
          </cell>
          <cell r="H46">
            <v>0.11027471361053616</v>
          </cell>
          <cell r="I46">
            <v>0.11431865976314495</v>
          </cell>
          <cell r="J46">
            <v>0.14510328763204702</v>
          </cell>
          <cell r="K46">
            <v>0.49575946875876586</v>
          </cell>
          <cell r="L46">
            <v>0.27146649631038561</v>
          </cell>
          <cell r="M46">
            <v>0.24278964531258224</v>
          </cell>
          <cell r="N46">
            <v>0.20592056315463433</v>
          </cell>
          <cell r="O46">
            <v>0.28229563548806719</v>
          </cell>
          <cell r="P46">
            <v>1.0033481754727798</v>
          </cell>
          <cell r="Q46">
            <v>0.3313663249714231</v>
          </cell>
          <cell r="R46">
            <v>0.30441221777482153</v>
          </cell>
          <cell r="S46">
            <v>0.31327236280454229</v>
          </cell>
          <cell r="T46">
            <v>0.34805333431487118</v>
          </cell>
          <cell r="U46">
            <v>1.2972760727151846</v>
          </cell>
          <cell r="V46">
            <v>0.3932220737673619</v>
          </cell>
          <cell r="W46">
            <v>0.37273612323771127</v>
          </cell>
          <cell r="X46">
            <v>0.36931615206388202</v>
          </cell>
          <cell r="Y46">
            <v>0.43923048525370179</v>
          </cell>
          <cell r="Z46">
            <v>1.5700647029546264</v>
          </cell>
          <cell r="AA46">
            <v>0.48622098937672437</v>
          </cell>
          <cell r="AB46">
            <v>0.46461791609572312</v>
          </cell>
          <cell r="AC46">
            <v>0.44723902923655973</v>
          </cell>
          <cell r="AD46">
            <v>0.51675492179003635</v>
          </cell>
          <cell r="AE46">
            <v>1.9146991685745709</v>
          </cell>
          <cell r="AF46">
            <v>0.58297958448342257</v>
          </cell>
          <cell r="AG46">
            <v>0.54060937037316481</v>
          </cell>
          <cell r="AH46">
            <v>8.6511718695174156E-2</v>
          </cell>
          <cell r="AI46">
            <v>0.56648528712557511</v>
          </cell>
          <cell r="AJ46">
            <v>1.7819163942979626</v>
          </cell>
          <cell r="AK46">
            <v>0.57567776084452693</v>
          </cell>
          <cell r="AL46">
            <v>0.56803180039867651</v>
          </cell>
          <cell r="AM46">
            <v>0.17154892409249448</v>
          </cell>
          <cell r="AN46">
            <v>-0.75428126067646006</v>
          </cell>
          <cell r="AO46">
            <v>0.56748413135464026</v>
          </cell>
          <cell r="AP46">
            <v>0.54199323435233793</v>
          </cell>
          <cell r="AQ46">
            <v>0.52093363041082141</v>
          </cell>
          <cell r="AR46">
            <v>0.54037410676754538</v>
          </cell>
          <cell r="AS46">
            <v>0.61288425729313056</v>
          </cell>
          <cell r="AT46">
            <v>2.2161055791667525</v>
          </cell>
          <cell r="AU46">
            <v>0.62876065328170816</v>
          </cell>
          <cell r="AV46">
            <v>0.65819968205736878</v>
          </cell>
          <cell r="AW46">
            <v>0.64896770422740946</v>
          </cell>
          <cell r="AX46">
            <v>0.70214349669360621</v>
          </cell>
          <cell r="AY46">
            <v>2.6430857195331332</v>
          </cell>
          <cell r="AZ46">
            <v>0.75408957630231133</v>
          </cell>
          <cell r="BA46">
            <v>0.73976961653580553</v>
          </cell>
          <cell r="BB46">
            <v>0.76139890439282287</v>
          </cell>
          <cell r="BC46">
            <v>0.75736279541071172</v>
          </cell>
          <cell r="BD46">
            <v>3.0123174252658913</v>
          </cell>
          <cell r="BE46">
            <v>0.80467288544007365</v>
          </cell>
          <cell r="BF46">
            <v>0.81404410204532596</v>
          </cell>
          <cell r="BG46">
            <v>0.8621754270866675</v>
          </cell>
          <cell r="BH46">
            <v>0.3759362979958174</v>
          </cell>
          <cell r="BI46">
            <v>2.8649549224151145</v>
          </cell>
          <cell r="BJ46">
            <v>0.85467292025237529</v>
          </cell>
          <cell r="BK46">
            <v>0.93106673794654349</v>
          </cell>
          <cell r="BL46">
            <v>0.49142863491428174</v>
          </cell>
          <cell r="BM46">
            <v>0.82668771047805834</v>
          </cell>
          <cell r="BN46">
            <v>3.0872621104908076</v>
          </cell>
          <cell r="BO46">
            <v>1.0787468282860138</v>
          </cell>
          <cell r="BP46">
            <v>1.4786893972974957</v>
          </cell>
          <cell r="BQ46">
            <v>0.70282205693269884</v>
          </cell>
          <cell r="BR46">
            <v>0.40380091127651407</v>
          </cell>
          <cell r="BS46">
            <v>3.6640591937927138</v>
          </cell>
          <cell r="BT46">
            <v>1.5892130116096044</v>
          </cell>
          <cell r="BU46">
            <v>2.1334319034363673</v>
          </cell>
          <cell r="BV46">
            <v>1.2662049300560665</v>
          </cell>
          <cell r="BW46">
            <v>0.97704981839723282</v>
          </cell>
          <cell r="BX46">
            <v>5.9658996634992771</v>
          </cell>
          <cell r="BY46">
            <v>1.8800099765108906</v>
          </cell>
          <cell r="BZ46">
            <v>2.4956310879866459</v>
          </cell>
          <cell r="CA46">
            <v>1.5682581645524101</v>
          </cell>
          <cell r="CB46">
            <v>1.335747226880686</v>
          </cell>
          <cell r="CC46">
            <v>7.2796464559306671</v>
          </cell>
          <cell r="CD46">
            <v>2.2874131723175717</v>
          </cell>
          <cell r="CE46">
            <v>2.934699514683742</v>
          </cell>
          <cell r="CF46">
            <v>1.9549688064205517</v>
          </cell>
          <cell r="CG46">
            <v>1.6694019046674606</v>
          </cell>
          <cell r="CH46">
            <v>8.8464833980893314</v>
          </cell>
        </row>
        <row r="47">
          <cell r="B47" t="str">
            <v>Reported GAAP EPS, (cont &amp; discont. Ops)</v>
          </cell>
          <cell r="D47">
            <v>-6.8377107548707965</v>
          </cell>
          <cell r="E47">
            <v>-0.30780072904900868</v>
          </cell>
          <cell r="F47">
            <v>0.13830594741156463</v>
          </cell>
          <cell r="G47">
            <v>0.12386895924724933</v>
          </cell>
          <cell r="H47">
            <v>0.11027471361053616</v>
          </cell>
          <cell r="I47">
            <v>0.11431865976314495</v>
          </cell>
          <cell r="J47">
            <v>0.14510328763204702</v>
          </cell>
          <cell r="K47">
            <v>0.49575946875876586</v>
          </cell>
          <cell r="L47">
            <v>0.27146649631038561</v>
          </cell>
          <cell r="M47">
            <v>0.24278964531258224</v>
          </cell>
          <cell r="N47">
            <v>0.20592056315463433</v>
          </cell>
          <cell r="O47">
            <v>0.28229563548806719</v>
          </cell>
          <cell r="P47">
            <v>1.0033481754727798</v>
          </cell>
          <cell r="Q47">
            <v>0.3313663249714231</v>
          </cell>
          <cell r="R47">
            <v>0.30441221777482153</v>
          </cell>
          <cell r="S47">
            <v>0.31327236280454229</v>
          </cell>
          <cell r="T47">
            <v>0.34805333431487118</v>
          </cell>
          <cell r="U47">
            <v>1.2972760727151846</v>
          </cell>
          <cell r="V47">
            <v>0.3932220737673619</v>
          </cell>
          <cell r="W47">
            <v>0.37273612323771127</v>
          </cell>
          <cell r="X47">
            <v>0.3173089324976795</v>
          </cell>
          <cell r="Y47">
            <v>0.43499528282538236</v>
          </cell>
          <cell r="Z47">
            <v>1.5131708396232644</v>
          </cell>
          <cell r="AA47">
            <v>0.38921535501625415</v>
          </cell>
          <cell r="AB47">
            <v>0.43005598097206948</v>
          </cell>
          <cell r="AC47">
            <v>0.45747967237411902</v>
          </cell>
          <cell r="AD47">
            <v>0.50960981410523409</v>
          </cell>
          <cell r="AE47">
            <v>1.7864581161344795</v>
          </cell>
          <cell r="AF47">
            <v>0.55160780085619254</v>
          </cell>
          <cell r="AG47">
            <v>0.54060937037316481</v>
          </cell>
          <cell r="AH47">
            <v>8.6511718695174156E-2</v>
          </cell>
          <cell r="AI47">
            <v>0.56648528712557511</v>
          </cell>
          <cell r="AJ47">
            <v>1.7499003199633092</v>
          </cell>
          <cell r="AK47">
            <v>0.57567776084452693</v>
          </cell>
          <cell r="AL47">
            <v>0.56803180039867651</v>
          </cell>
          <cell r="AM47">
            <v>0.11028898254502255</v>
          </cell>
          <cell r="AN47">
            <v>-0.94228305432183068</v>
          </cell>
          <cell r="AO47">
            <v>0.32003662125941801</v>
          </cell>
          <cell r="AP47">
            <v>0.63287101551478853</v>
          </cell>
          <cell r="AQ47">
            <v>0.50142845810084147</v>
          </cell>
          <cell r="AR47">
            <v>0.52946616225304344</v>
          </cell>
          <cell r="AS47">
            <v>0.65227097013056379</v>
          </cell>
          <cell r="AT47">
            <v>2.3152689699858287</v>
          </cell>
          <cell r="AU47">
            <v>0.64823578419969985</v>
          </cell>
          <cell r="AV47">
            <v>0.65262162559564441</v>
          </cell>
          <cell r="AW47">
            <v>0.64896770422740946</v>
          </cell>
          <cell r="AX47">
            <v>0.70214349669360621</v>
          </cell>
          <cell r="AY47">
            <v>2.6568754659366371</v>
          </cell>
          <cell r="AZ47">
            <v>0.75408957630231133</v>
          </cell>
          <cell r="BA47">
            <v>0.73976961653580553</v>
          </cell>
          <cell r="BB47">
            <v>0.76139890439282287</v>
          </cell>
          <cell r="BC47">
            <v>0.75736279541071172</v>
          </cell>
          <cell r="BD47">
            <v>3.0123174252658913</v>
          </cell>
          <cell r="BE47">
            <v>0.66557539825636691</v>
          </cell>
          <cell r="BF47">
            <v>0.38556944599927861</v>
          </cell>
          <cell r="BG47">
            <v>0.8269085092128583</v>
          </cell>
          <cell r="BH47">
            <v>0.34787547517826339</v>
          </cell>
          <cell r="BI47">
            <v>2.2273754756285293</v>
          </cell>
          <cell r="BJ47">
            <v>0.84942828526636549</v>
          </cell>
          <cell r="BK47">
            <v>0.93106673794654349</v>
          </cell>
          <cell r="BL47">
            <v>0.49142863491428174</v>
          </cell>
          <cell r="BM47">
            <v>0.82668771047805834</v>
          </cell>
          <cell r="BN47">
            <v>3.0820863756166554</v>
          </cell>
          <cell r="BO47">
            <v>1.0787468282860138</v>
          </cell>
          <cell r="BP47">
            <v>1.4786893972974957</v>
          </cell>
          <cell r="BQ47">
            <v>0.70282205693269884</v>
          </cell>
          <cell r="BR47">
            <v>0.40380091127651407</v>
          </cell>
          <cell r="BS47">
            <v>3.6640591937927138</v>
          </cell>
          <cell r="BT47">
            <v>1.5892130116096044</v>
          </cell>
          <cell r="BU47">
            <v>2.1334319034363673</v>
          </cell>
          <cell r="BV47">
            <v>1.2662049300560665</v>
          </cell>
          <cell r="BW47">
            <v>0.97704981839723282</v>
          </cell>
          <cell r="BX47">
            <v>5.9658996634992771</v>
          </cell>
          <cell r="BY47">
            <v>1.8800099765108906</v>
          </cell>
          <cell r="BZ47">
            <v>2.4956310879866459</v>
          </cell>
          <cell r="CA47">
            <v>1.5682581645524101</v>
          </cell>
          <cell r="CB47">
            <v>1.335747226880686</v>
          </cell>
          <cell r="CC47">
            <v>7.2796464559306671</v>
          </cell>
          <cell r="CD47">
            <v>2.2874131723175717</v>
          </cell>
          <cell r="CE47">
            <v>2.934699514683742</v>
          </cell>
          <cell r="CF47">
            <v>1.9549688064205517</v>
          </cell>
          <cell r="CG47">
            <v>1.6694019046674606</v>
          </cell>
          <cell r="CH47">
            <v>8.8464833980893314</v>
          </cell>
        </row>
        <row r="49">
          <cell r="B49" t="str">
            <v>EBITDA (Ex-HCIT)</v>
          </cell>
          <cell r="D49">
            <v>-229.91499999999996</v>
          </cell>
          <cell r="E49">
            <v>186.90599999999995</v>
          </cell>
          <cell r="F49">
            <v>252.73599999999988</v>
          </cell>
          <cell r="G49">
            <v>77.24799999999999</v>
          </cell>
          <cell r="H49">
            <v>73.830000000000041</v>
          </cell>
          <cell r="I49">
            <v>74.02600000000001</v>
          </cell>
          <cell r="J49">
            <v>83.607000000000028</v>
          </cell>
          <cell r="K49">
            <v>308.71100000000001</v>
          </cell>
          <cell r="L49">
            <v>92.400000000000034</v>
          </cell>
          <cell r="M49">
            <v>87.519999999999982</v>
          </cell>
          <cell r="N49">
            <v>87.314000000000021</v>
          </cell>
          <cell r="O49">
            <v>94.730000000000018</v>
          </cell>
          <cell r="P49">
            <v>361.96399999999994</v>
          </cell>
          <cell r="Q49">
            <v>106.57400000000007</v>
          </cell>
          <cell r="R49">
            <v>102.73300000000006</v>
          </cell>
          <cell r="S49">
            <v>108.29300000000012</v>
          </cell>
          <cell r="T49">
            <v>118.923</v>
          </cell>
          <cell r="U49">
            <v>436.52300000000059</v>
          </cell>
          <cell r="V49">
            <v>125.02300000000002</v>
          </cell>
          <cell r="W49">
            <v>121.47000000000003</v>
          </cell>
          <cell r="X49">
            <v>121.01700000000005</v>
          </cell>
          <cell r="Y49">
            <v>129.98099999999999</v>
          </cell>
          <cell r="Z49">
            <v>497.49100000000089</v>
          </cell>
          <cell r="AA49">
            <v>142.09699999999987</v>
          </cell>
          <cell r="AB49">
            <v>140.15200000000004</v>
          </cell>
          <cell r="AC49">
            <v>137.49700000000007</v>
          </cell>
          <cell r="AD49">
            <v>151.76899999999989</v>
          </cell>
          <cell r="AE49">
            <v>571.51500000000033</v>
          </cell>
          <cell r="AF49">
            <v>158.45799999999986</v>
          </cell>
          <cell r="AG49">
            <v>156.74400000000014</v>
          </cell>
          <cell r="AH49">
            <v>91.360000000000014</v>
          </cell>
          <cell r="AI49">
            <v>165.46400000000006</v>
          </cell>
          <cell r="AJ49">
            <v>572.02600000000029</v>
          </cell>
          <cell r="AK49">
            <v>170.19899999999996</v>
          </cell>
          <cell r="AL49">
            <v>172.54899999999986</v>
          </cell>
          <cell r="AM49">
            <v>289.29000000000042</v>
          </cell>
          <cell r="AN49">
            <v>177.21000000000004</v>
          </cell>
          <cell r="AO49">
            <v>809.2480000000005</v>
          </cell>
          <cell r="AP49">
            <v>370.27100000000019</v>
          </cell>
          <cell r="AQ49">
            <v>358.01599999999985</v>
          </cell>
          <cell r="AR49">
            <v>383.57399999999961</v>
          </cell>
          <cell r="AS49">
            <v>381.72800000000007</v>
          </cell>
          <cell r="AT49">
            <v>1493.5889999999999</v>
          </cell>
          <cell r="AU49">
            <v>390.67399999999952</v>
          </cell>
          <cell r="AV49">
            <v>403.84999999999991</v>
          </cell>
          <cell r="AW49">
            <v>410.82600000000048</v>
          </cell>
          <cell r="AX49">
            <v>429.60100000000057</v>
          </cell>
          <cell r="AY49">
            <v>1634.9510000000009</v>
          </cell>
          <cell r="AZ49">
            <v>420.69100000000026</v>
          </cell>
          <cell r="BA49">
            <v>432.15300000000025</v>
          </cell>
          <cell r="BB49">
            <v>431.9380000000001</v>
          </cell>
          <cell r="BC49">
            <v>439.98499999999967</v>
          </cell>
          <cell r="BD49">
            <v>1724.7669999999998</v>
          </cell>
          <cell r="BE49">
            <v>441.64199999999983</v>
          </cell>
          <cell r="BF49">
            <v>450.28400000000011</v>
          </cell>
          <cell r="BG49">
            <v>445.31800000000067</v>
          </cell>
          <cell r="BH49">
            <v>429.45100000000008</v>
          </cell>
          <cell r="BI49">
            <v>1766.6950000000015</v>
          </cell>
          <cell r="BJ49">
            <v>497.31399999999996</v>
          </cell>
          <cell r="BK49">
            <v>453.11099999999954</v>
          </cell>
          <cell r="BL49">
            <v>439.21299999999957</v>
          </cell>
          <cell r="BM49">
            <v>427.86498268230616</v>
          </cell>
          <cell r="BN49">
            <v>1817.5029826823034</v>
          </cell>
          <cell r="BO49">
            <v>470.87746931149104</v>
          </cell>
          <cell r="BP49">
            <v>527.60448131499425</v>
          </cell>
          <cell r="BQ49">
            <v>423.06122755159959</v>
          </cell>
          <cell r="BR49">
            <v>386.95652761499741</v>
          </cell>
          <cell r="BS49">
            <v>1808.4997057930832</v>
          </cell>
          <cell r="BT49">
            <v>546.08501072923855</v>
          </cell>
          <cell r="BU49">
            <v>621.19865951243264</v>
          </cell>
          <cell r="BV49">
            <v>502.69213899189162</v>
          </cell>
          <cell r="BW49">
            <v>466.7327717332746</v>
          </cell>
          <cell r="BX49">
            <v>2136.7085809668388</v>
          </cell>
          <cell r="BY49">
            <v>599.66424127343726</v>
          </cell>
          <cell r="BZ49">
            <v>684.47796320986345</v>
          </cell>
          <cell r="CA49">
            <v>557.75024408562194</v>
          </cell>
          <cell r="CB49">
            <v>529.79761418798171</v>
          </cell>
          <cell r="CC49">
            <v>2371.690062756903</v>
          </cell>
          <cell r="CD49">
            <v>656.10292120604481</v>
          </cell>
          <cell r="CE49">
            <v>745.21519713237603</v>
          </cell>
          <cell r="CF49">
            <v>611.31502879732625</v>
          </cell>
          <cell r="CG49">
            <v>576.42504046590284</v>
          </cell>
          <cell r="CH49">
            <v>2589.0581876016531</v>
          </cell>
        </row>
        <row r="50">
          <cell r="B50" t="str">
            <v>Adjusted EBITDA Reconciliation</v>
          </cell>
        </row>
        <row r="51">
          <cell r="B51" t="str">
            <v>Operating income</v>
          </cell>
          <cell r="D51">
            <v>-327.53899999999999</v>
          </cell>
          <cell r="E51">
            <v>105.25499999999995</v>
          </cell>
          <cell r="F51">
            <v>155.11199999999988</v>
          </cell>
          <cell r="G51">
            <v>48.740999999999993</v>
          </cell>
          <cell r="H51">
            <v>45.16900000000004</v>
          </cell>
          <cell r="I51">
            <v>43.39500000000001</v>
          </cell>
          <cell r="J51">
            <v>51.738000000000028</v>
          </cell>
          <cell r="K51">
            <v>189.04300000000006</v>
          </cell>
          <cell r="L51">
            <v>63.916000000000032</v>
          </cell>
          <cell r="M51">
            <v>58.568999999999981</v>
          </cell>
          <cell r="N51">
            <v>58.332000000000022</v>
          </cell>
          <cell r="O51">
            <v>62.929000000000016</v>
          </cell>
          <cell r="P51">
            <v>243.74600000000004</v>
          </cell>
          <cell r="Q51">
            <v>73.332000000000079</v>
          </cell>
          <cell r="R51">
            <v>68.375000000000057</v>
          </cell>
          <cell r="S51">
            <v>71.919000000000125</v>
          </cell>
          <cell r="T51">
            <v>79.131</v>
          </cell>
          <cell r="U51">
            <v>292.75700000000029</v>
          </cell>
          <cell r="V51">
            <v>86.572000000000031</v>
          </cell>
          <cell r="W51">
            <v>82.764000000000024</v>
          </cell>
          <cell r="X51">
            <v>81.705000000000055</v>
          </cell>
          <cell r="Y51">
            <v>88.376999999999995</v>
          </cell>
          <cell r="Z51">
            <v>339.41800000000012</v>
          </cell>
          <cell r="AA51">
            <v>101.85099999999986</v>
          </cell>
          <cell r="AB51">
            <v>99.66900000000004</v>
          </cell>
          <cell r="AC51">
            <v>97.007000000000062</v>
          </cell>
          <cell r="AD51">
            <v>107.97599999999989</v>
          </cell>
          <cell r="AE51">
            <v>406.50299999999982</v>
          </cell>
          <cell r="AF51">
            <v>115.95199999999986</v>
          </cell>
          <cell r="AG51">
            <v>109.56100000000015</v>
          </cell>
          <cell r="AH51">
            <v>41.409000000000013</v>
          </cell>
          <cell r="AI51">
            <v>116.33300000000006</v>
          </cell>
          <cell r="AJ51">
            <v>383.25500000000011</v>
          </cell>
          <cell r="AK51">
            <v>118.92899999999995</v>
          </cell>
          <cell r="AL51">
            <v>119.19999999999987</v>
          </cell>
          <cell r="AM51">
            <v>182.85500000000042</v>
          </cell>
          <cell r="AN51">
            <v>62.106000000000037</v>
          </cell>
          <cell r="AO51">
            <v>483.09000000000032</v>
          </cell>
          <cell r="AP51">
            <v>247.55600000000018</v>
          </cell>
          <cell r="AQ51">
            <v>233.07399999999984</v>
          </cell>
          <cell r="AR51">
            <v>253.06699999999961</v>
          </cell>
          <cell r="AS51">
            <v>255.94100000000006</v>
          </cell>
          <cell r="AT51">
            <v>989.63799999999969</v>
          </cell>
          <cell r="AU51">
            <v>255.14199999999951</v>
          </cell>
          <cell r="AV51">
            <v>261.40299999999991</v>
          </cell>
          <cell r="AW51">
            <v>267.26800000000048</v>
          </cell>
          <cell r="AX51">
            <v>284.95600000000059</v>
          </cell>
          <cell r="AY51">
            <v>1068.7690000000005</v>
          </cell>
          <cell r="AZ51">
            <v>273.01200000000028</v>
          </cell>
          <cell r="BA51">
            <v>278.77200000000028</v>
          </cell>
          <cell r="BB51">
            <v>280.81900000000007</v>
          </cell>
          <cell r="BC51">
            <v>282.3249999999997</v>
          </cell>
          <cell r="BD51">
            <v>1114.9280000000003</v>
          </cell>
          <cell r="BE51">
            <v>280.9649999999998</v>
          </cell>
          <cell r="BF51">
            <v>288.90800000000013</v>
          </cell>
          <cell r="BG51">
            <v>283.80300000000068</v>
          </cell>
          <cell r="BH51">
            <v>280.99300000000011</v>
          </cell>
          <cell r="BI51">
            <v>1134.6690000000008</v>
          </cell>
          <cell r="BJ51">
            <v>349.12799999999993</v>
          </cell>
          <cell r="BK51">
            <v>290.11199999999957</v>
          </cell>
          <cell r="BL51">
            <v>287.62799999999959</v>
          </cell>
          <cell r="BM51">
            <v>285.13891960908694</v>
          </cell>
          <cell r="BN51">
            <v>1212.006919609086</v>
          </cell>
          <cell r="BO51">
            <v>323.3037798191541</v>
          </cell>
          <cell r="BP51">
            <v>377.66216809322179</v>
          </cell>
          <cell r="BQ51">
            <v>272.06370913346154</v>
          </cell>
          <cell r="BR51">
            <v>231.36981965895089</v>
          </cell>
          <cell r="BS51">
            <v>1204.3994767047884</v>
          </cell>
          <cell r="BT51">
            <v>388.85297965751977</v>
          </cell>
          <cell r="BU51">
            <v>462.81068519808002</v>
          </cell>
          <cell r="BV51">
            <v>344.72143876436098</v>
          </cell>
          <cell r="BW51">
            <v>305.24017039100841</v>
          </cell>
          <cell r="BX51">
            <v>1501.6252740109692</v>
          </cell>
          <cell r="BY51">
            <v>428.25146993517512</v>
          </cell>
          <cell r="BZ51">
            <v>511.91629116901015</v>
          </cell>
          <cell r="CA51">
            <v>385.63612616784553</v>
          </cell>
          <cell r="CB51">
            <v>353.85441292853147</v>
          </cell>
          <cell r="CC51">
            <v>1679.6583002005623</v>
          </cell>
          <cell r="CD51">
            <v>483.47833510693613</v>
          </cell>
          <cell r="CE51">
            <v>571.42113655432161</v>
          </cell>
          <cell r="CF51">
            <v>438.00493516874428</v>
          </cell>
          <cell r="CG51">
            <v>398.97156289350949</v>
          </cell>
          <cell r="CH51">
            <v>1891.8759697235118</v>
          </cell>
        </row>
        <row r="52">
          <cell r="B52" t="str">
            <v>Depreciation</v>
          </cell>
          <cell r="D52">
            <v>97.623999999999995</v>
          </cell>
          <cell r="E52">
            <v>81.650999999999996</v>
          </cell>
          <cell r="F52">
            <v>97.623999999999995</v>
          </cell>
          <cell r="G52">
            <v>28.506999999999998</v>
          </cell>
          <cell r="H52">
            <v>28.660999999999998</v>
          </cell>
          <cell r="I52">
            <v>30.631</v>
          </cell>
          <cell r="J52">
            <v>31.869</v>
          </cell>
          <cell r="K52">
            <v>119.66799999999999</v>
          </cell>
          <cell r="L52">
            <v>28.484000000000002</v>
          </cell>
          <cell r="M52">
            <v>28.951000000000001</v>
          </cell>
          <cell r="N52">
            <v>28.981999999999999</v>
          </cell>
          <cell r="O52">
            <v>31.800999999999998</v>
          </cell>
          <cell r="P52">
            <v>118.218</v>
          </cell>
          <cell r="Q52">
            <v>33.241999999999997</v>
          </cell>
          <cell r="R52">
            <v>34.357999999999997</v>
          </cell>
          <cell r="S52">
            <v>36.374000000000002</v>
          </cell>
          <cell r="T52">
            <v>39.792000000000002</v>
          </cell>
          <cell r="U52">
            <v>143.76599999999999</v>
          </cell>
          <cell r="V52">
            <v>38.451000000000001</v>
          </cell>
          <cell r="W52">
            <v>38.706000000000003</v>
          </cell>
          <cell r="X52">
            <v>39.311999999999998</v>
          </cell>
          <cell r="Y52">
            <v>41.603999999999999</v>
          </cell>
          <cell r="Z52">
            <v>158.07300000000001</v>
          </cell>
          <cell r="AA52">
            <v>40.246000000000002</v>
          </cell>
          <cell r="AB52">
            <v>40.482999999999997</v>
          </cell>
          <cell r="AC52">
            <v>40.49</v>
          </cell>
          <cell r="AD52">
            <v>43.792999999999999</v>
          </cell>
          <cell r="AE52">
            <v>165.012</v>
          </cell>
          <cell r="AF52">
            <v>42.506</v>
          </cell>
          <cell r="AG52">
            <v>47.183</v>
          </cell>
          <cell r="AH52">
            <v>49.951000000000001</v>
          </cell>
          <cell r="AI52">
            <v>49.131</v>
          </cell>
          <cell r="AJ52">
            <v>188.77099999999999</v>
          </cell>
          <cell r="AK52">
            <v>51.27</v>
          </cell>
          <cell r="AL52">
            <v>53.348999999999997</v>
          </cell>
          <cell r="AM52">
            <v>106.435</v>
          </cell>
          <cell r="AN52">
            <v>115.104</v>
          </cell>
          <cell r="AO52">
            <v>326.15800000000002</v>
          </cell>
          <cell r="AP52">
            <v>122.715</v>
          </cell>
          <cell r="AQ52">
            <v>124.94199999999999</v>
          </cell>
          <cell r="AR52">
            <v>130.50700000000001</v>
          </cell>
          <cell r="AS52">
            <v>125.78700000000001</v>
          </cell>
          <cell r="AT52">
            <v>503.95100000000002</v>
          </cell>
          <cell r="AU52">
            <v>135.53200000000001</v>
          </cell>
          <cell r="AV52">
            <v>142.447</v>
          </cell>
          <cell r="AW52">
            <v>143.55799999999999</v>
          </cell>
          <cell r="AX52">
            <v>144.64500000000001</v>
          </cell>
          <cell r="AY52">
            <v>566.18200000000002</v>
          </cell>
          <cell r="AZ52">
            <v>147.679</v>
          </cell>
          <cell r="BA52">
            <v>153.381</v>
          </cell>
          <cell r="BB52">
            <v>151.119</v>
          </cell>
          <cell r="BC52">
            <v>157.66</v>
          </cell>
          <cell r="BD52">
            <v>609.83899999999994</v>
          </cell>
          <cell r="BE52">
            <v>160.67699999999999</v>
          </cell>
          <cell r="BF52">
            <v>161.376</v>
          </cell>
          <cell r="BG52">
            <v>161.51499999999999</v>
          </cell>
          <cell r="BH52">
            <v>171.62799999999999</v>
          </cell>
          <cell r="BI52">
            <v>655.19599999999991</v>
          </cell>
          <cell r="BJ52">
            <v>174.35400000000001</v>
          </cell>
          <cell r="BK52">
            <v>179.80099999999999</v>
          </cell>
          <cell r="BL52">
            <v>182.20699999999999</v>
          </cell>
          <cell r="BM52">
            <v>182.53677060000001</v>
          </cell>
          <cell r="BN52">
            <v>718.89877060000003</v>
          </cell>
          <cell r="BO52">
            <v>183.70643073500003</v>
          </cell>
          <cell r="BP52">
            <v>185.426269966625</v>
          </cell>
          <cell r="BQ52">
            <v>187.10311321745939</v>
          </cell>
          <cell r="BR52">
            <v>188.7380353870229</v>
          </cell>
          <cell r="BS52">
            <v>744.97384930610735</v>
          </cell>
          <cell r="BT52">
            <v>189.01958450234733</v>
          </cell>
          <cell r="BU52">
            <v>189.29409488978865</v>
          </cell>
          <cell r="BV52">
            <v>189.56174251754393</v>
          </cell>
          <cell r="BW52">
            <v>189.82269895460533</v>
          </cell>
          <cell r="BX52">
            <v>757.69812086428533</v>
          </cell>
          <cell r="BY52">
            <v>190.07713148074018</v>
          </cell>
          <cell r="BZ52">
            <v>190.32520319372168</v>
          </cell>
          <cell r="CA52">
            <v>190.56707311387865</v>
          </cell>
          <cell r="CB52">
            <v>190.80289628603168</v>
          </cell>
          <cell r="CC52">
            <v>761.77230407437219</v>
          </cell>
          <cell r="CD52">
            <v>191.03282387888089</v>
          </cell>
          <cell r="CE52">
            <v>191.25700328190885</v>
          </cell>
          <cell r="CF52">
            <v>191.47557819986116</v>
          </cell>
          <cell r="CG52">
            <v>191.68868874486463</v>
          </cell>
          <cell r="CH52">
            <v>765.45409410551554</v>
          </cell>
        </row>
        <row r="53">
          <cell r="B53" t="str">
            <v>Equity gains (losses) of affiliates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14.304</v>
          </cell>
          <cell r="AN53">
            <v>10.848000000000001</v>
          </cell>
          <cell r="AO53">
            <v>25.152000000000001</v>
          </cell>
          <cell r="AP53">
            <v>12.884</v>
          </cell>
          <cell r="AQ53">
            <v>10.507999999999999</v>
          </cell>
          <cell r="AR53">
            <v>8.6910000000000007</v>
          </cell>
          <cell r="AS53">
            <v>9.9809999999999999</v>
          </cell>
          <cell r="AT53">
            <v>42.064</v>
          </cell>
          <cell r="AU53">
            <v>12.919</v>
          </cell>
          <cell r="AV53">
            <v>11.782999999999999</v>
          </cell>
          <cell r="AW53">
            <v>7.0010000000000003</v>
          </cell>
          <cell r="AX53">
            <v>4.82</v>
          </cell>
          <cell r="AY53">
            <v>36.522999999999996</v>
          </cell>
          <cell r="AZ53">
            <v>12.587999999999999</v>
          </cell>
          <cell r="BA53">
            <v>10.977</v>
          </cell>
          <cell r="BB53">
            <v>9.5350000000000001</v>
          </cell>
          <cell r="BC53">
            <v>12.332000000000001</v>
          </cell>
          <cell r="BD53">
            <v>45.431999999999995</v>
          </cell>
          <cell r="BE53">
            <v>18.13</v>
          </cell>
          <cell r="BF53">
            <v>12.016999999999999</v>
          </cell>
          <cell r="BG53">
            <v>8.1940000000000008</v>
          </cell>
          <cell r="BH53">
            <v>11.146000000000001</v>
          </cell>
          <cell r="BI53">
            <v>49.487000000000002</v>
          </cell>
          <cell r="BJ53">
            <v>12.013</v>
          </cell>
          <cell r="BK53">
            <v>13.180999999999999</v>
          </cell>
          <cell r="BL53">
            <v>7.4189999999999996</v>
          </cell>
          <cell r="BM53">
            <v>12</v>
          </cell>
          <cell r="BN53">
            <v>44.613</v>
          </cell>
          <cell r="BO53">
            <v>11.7704388551718</v>
          </cell>
          <cell r="BP53">
            <v>11.887769883696983</v>
          </cell>
          <cell r="BQ53">
            <v>11.726353846497156</v>
          </cell>
          <cell r="BR53">
            <v>11.724929726689806</v>
          </cell>
          <cell r="BS53">
            <v>47.10949231205575</v>
          </cell>
          <cell r="BT53">
            <v>14.348760104492687</v>
          </cell>
          <cell r="BU53">
            <v>14.46372181487204</v>
          </cell>
          <cell r="BV53">
            <v>14.190868821077427</v>
          </cell>
          <cell r="BW53">
            <v>14.112285467076241</v>
          </cell>
          <cell r="BX53">
            <v>57.115636207518399</v>
          </cell>
          <cell r="BY53">
            <v>14.868468283072284</v>
          </cell>
          <cell r="BZ53">
            <v>15.015094187035361</v>
          </cell>
          <cell r="CA53">
            <v>14.741141517280298</v>
          </cell>
          <cell r="CB53">
            <v>14.702140625551541</v>
          </cell>
          <cell r="CC53">
            <v>59.326844612939489</v>
          </cell>
          <cell r="CD53">
            <v>15.497549593171593</v>
          </cell>
          <cell r="CE53">
            <v>15.641175326634384</v>
          </cell>
          <cell r="CF53">
            <v>15.361001065660234</v>
          </cell>
          <cell r="CG53">
            <v>15.292800607542821</v>
          </cell>
          <cell r="CH53">
            <v>61.792526593009036</v>
          </cell>
        </row>
        <row r="54">
          <cell r="B54" t="str">
            <v>Adjusted EBITDA</v>
          </cell>
          <cell r="D54">
            <v>-229.91499999999999</v>
          </cell>
          <cell r="E54">
            <v>186.90599999999995</v>
          </cell>
          <cell r="F54">
            <v>252.73599999999988</v>
          </cell>
          <cell r="G54">
            <v>77.24799999999999</v>
          </cell>
          <cell r="H54">
            <v>73.830000000000041</v>
          </cell>
          <cell r="I54">
            <v>74.02600000000001</v>
          </cell>
          <cell r="J54">
            <v>83.607000000000028</v>
          </cell>
          <cell r="K54">
            <v>308.71100000000007</v>
          </cell>
          <cell r="L54">
            <v>92.400000000000034</v>
          </cell>
          <cell r="M54">
            <v>87.519999999999982</v>
          </cell>
          <cell r="N54">
            <v>87.314000000000021</v>
          </cell>
          <cell r="O54">
            <v>94.730000000000018</v>
          </cell>
          <cell r="P54">
            <v>361.96400000000006</v>
          </cell>
          <cell r="Q54">
            <v>106.57400000000007</v>
          </cell>
          <cell r="R54">
            <v>102.73300000000006</v>
          </cell>
          <cell r="S54">
            <v>108.29300000000012</v>
          </cell>
          <cell r="T54">
            <v>118.923</v>
          </cell>
          <cell r="U54">
            <v>436.52300000000025</v>
          </cell>
          <cell r="V54">
            <v>125.02300000000002</v>
          </cell>
          <cell r="W54">
            <v>121.47000000000003</v>
          </cell>
          <cell r="X54">
            <v>121.01700000000005</v>
          </cell>
          <cell r="Y54">
            <v>129.98099999999999</v>
          </cell>
          <cell r="Z54">
            <v>497.4910000000001</v>
          </cell>
          <cell r="AA54">
            <v>142.09699999999987</v>
          </cell>
          <cell r="AB54">
            <v>140.15200000000004</v>
          </cell>
          <cell r="AC54">
            <v>137.49700000000007</v>
          </cell>
          <cell r="AD54">
            <v>151.76899999999989</v>
          </cell>
          <cell r="AE54">
            <v>571.51499999999987</v>
          </cell>
          <cell r="AF54">
            <v>158.45799999999986</v>
          </cell>
          <cell r="AG54">
            <v>156.74400000000014</v>
          </cell>
          <cell r="AH54">
            <v>91.360000000000014</v>
          </cell>
          <cell r="AI54">
            <v>165.46400000000006</v>
          </cell>
          <cell r="AJ54">
            <v>572.02600000000007</v>
          </cell>
          <cell r="AK54">
            <v>170.19899999999996</v>
          </cell>
          <cell r="AL54">
            <v>172.54899999999986</v>
          </cell>
          <cell r="AM54">
            <v>303.59400000000039</v>
          </cell>
          <cell r="AN54">
            <v>188.05800000000005</v>
          </cell>
          <cell r="AO54">
            <v>834.40000000000032</v>
          </cell>
          <cell r="AP54">
            <v>383.1550000000002</v>
          </cell>
          <cell r="AQ54">
            <v>368.52399999999983</v>
          </cell>
          <cell r="AR54">
            <v>392.26499999999959</v>
          </cell>
          <cell r="AS54">
            <v>391.70900000000006</v>
          </cell>
          <cell r="AT54">
            <v>1535.6529999999998</v>
          </cell>
          <cell r="AU54">
            <v>403.59299999999951</v>
          </cell>
          <cell r="AV54">
            <v>415.63299999999992</v>
          </cell>
          <cell r="AW54">
            <v>417.82700000000045</v>
          </cell>
          <cell r="AX54">
            <v>434.42100000000056</v>
          </cell>
          <cell r="AY54">
            <v>1671.4740000000004</v>
          </cell>
          <cell r="AZ54">
            <v>433.27900000000028</v>
          </cell>
          <cell r="BA54">
            <v>443.13000000000022</v>
          </cell>
          <cell r="BB54">
            <v>441.47300000000013</v>
          </cell>
          <cell r="BC54">
            <v>452.31699999999967</v>
          </cell>
          <cell r="BD54">
            <v>1770.1990000000003</v>
          </cell>
          <cell r="BE54">
            <v>459.77199999999982</v>
          </cell>
          <cell r="BF54">
            <v>462.3010000000001</v>
          </cell>
          <cell r="BG54">
            <v>453.51200000000068</v>
          </cell>
          <cell r="BH54">
            <v>463.76700000000011</v>
          </cell>
          <cell r="BI54">
            <v>1839.3520000000008</v>
          </cell>
          <cell r="BJ54">
            <v>535.495</v>
          </cell>
          <cell r="BK54">
            <v>483.09399999999954</v>
          </cell>
          <cell r="BL54">
            <v>477.25399999999956</v>
          </cell>
          <cell r="BM54">
            <v>482.36498268230616</v>
          </cell>
          <cell r="BN54">
            <v>1978.2079826823053</v>
          </cell>
          <cell r="BO54">
            <v>520.14790816666289</v>
          </cell>
          <cell r="BP54">
            <v>576.99225119869118</v>
          </cell>
          <cell r="BQ54">
            <v>472.28758139809673</v>
          </cell>
          <cell r="BR54">
            <v>436.19404238941382</v>
          </cell>
          <cell r="BS54">
            <v>2005.6217831528647</v>
          </cell>
          <cell r="BT54">
            <v>583.09085836151382</v>
          </cell>
          <cell r="BU54">
            <v>658.32418479380351</v>
          </cell>
          <cell r="BV54">
            <v>539.65301991531874</v>
          </cell>
          <cell r="BW54">
            <v>503.70503680317933</v>
          </cell>
          <cell r="BX54">
            <v>2284.7730998738152</v>
          </cell>
          <cell r="BY54">
            <v>624.41020585835804</v>
          </cell>
          <cell r="BZ54">
            <v>709.34599899686179</v>
          </cell>
          <cell r="CA54">
            <v>582.45034262751756</v>
          </cell>
          <cell r="CB54">
            <v>554.50932455928455</v>
          </cell>
          <cell r="CC54">
            <v>2470.7158720420221</v>
          </cell>
          <cell r="CD54">
            <v>681.09380508266395</v>
          </cell>
          <cell r="CE54">
            <v>770.33059363511438</v>
          </cell>
          <cell r="CF54">
            <v>636.25912931005985</v>
          </cell>
          <cell r="CG54">
            <v>601.38098504463176</v>
          </cell>
          <cell r="CH54">
            <v>2689.0645130724697</v>
          </cell>
        </row>
        <row r="56">
          <cell r="B56" t="str">
            <v>Wtd. avg shares outstanding - basic</v>
          </cell>
          <cell r="D56">
            <v>67.610399000000001</v>
          </cell>
          <cell r="E56">
            <v>54.545029999999997</v>
          </cell>
          <cell r="F56">
            <v>67.610399000000001</v>
          </cell>
          <cell r="G56">
            <v>85.528371000000007</v>
          </cell>
          <cell r="H56">
            <v>85.713342999999995</v>
          </cell>
          <cell r="I56">
            <v>85.944772999999998</v>
          </cell>
          <cell r="J56">
            <v>96.147000000000006</v>
          </cell>
          <cell r="K56">
            <v>88.382442999999995</v>
          </cell>
          <cell r="L56">
            <v>98.111557000000005</v>
          </cell>
          <cell r="M56">
            <v>98.267874000000006</v>
          </cell>
          <cell r="N56">
            <v>98.533822000000001</v>
          </cell>
          <cell r="O56">
            <v>98.572000000000003</v>
          </cell>
          <cell r="P56">
            <v>98.421052000000003</v>
          </cell>
          <cell r="Q56">
            <v>98.354944000000003</v>
          </cell>
          <cell r="R56">
            <v>98.256321999999997</v>
          </cell>
          <cell r="S56">
            <v>98.409887999999995</v>
          </cell>
          <cell r="T56">
            <v>98.468999999999994</v>
          </cell>
          <cell r="U56">
            <v>98.391848999999993</v>
          </cell>
          <cell r="V56">
            <v>98.698285999999996</v>
          </cell>
          <cell r="W56">
            <v>98.779917999999995</v>
          </cell>
          <cell r="X56">
            <v>97.794824000000006</v>
          </cell>
          <cell r="Y56">
            <v>87.369</v>
          </cell>
          <cell r="Z56">
            <v>95.643732999999997</v>
          </cell>
          <cell r="AA56">
            <v>87.926338000000001</v>
          </cell>
          <cell r="AB56">
            <v>89.149815000000004</v>
          </cell>
          <cell r="AC56">
            <v>88.325411000000003</v>
          </cell>
          <cell r="AD56">
            <v>89.010999999999996</v>
          </cell>
          <cell r="AE56">
            <v>88.601168000000001</v>
          </cell>
          <cell r="AF56">
            <v>96.552447999999998</v>
          </cell>
          <cell r="AG56">
            <v>95.769030000000001</v>
          </cell>
          <cell r="AH56">
            <v>94.119020000000006</v>
          </cell>
          <cell r="AI56">
            <v>93.539000000000001</v>
          </cell>
          <cell r="AJ56">
            <v>94.983645999999993</v>
          </cell>
          <cell r="AK56">
            <v>93.402545000000003</v>
          </cell>
          <cell r="AL56">
            <v>93.518991</v>
          </cell>
          <cell r="AM56">
            <v>93.651645000000002</v>
          </cell>
          <cell r="AN56">
            <v>93.664000000000001</v>
          </cell>
          <cell r="AO56">
            <v>93.517336999999998</v>
          </cell>
          <cell r="AP56">
            <v>94.107532000000006</v>
          </cell>
          <cell r="AQ56">
            <v>94.192295000000001</v>
          </cell>
          <cell r="AR56">
            <v>94.045000000000002</v>
          </cell>
          <cell r="AS56">
            <v>91.515000000000001</v>
          </cell>
          <cell r="AT56">
            <v>93.371781999999996</v>
          </cell>
          <cell r="AU56">
            <v>90.604766999999995</v>
          </cell>
          <cell r="AV56">
            <v>90.358582999999996</v>
          </cell>
          <cell r="AW56">
            <v>90.923051999999998</v>
          </cell>
          <cell r="AX56">
            <v>91.177999999999997</v>
          </cell>
          <cell r="AY56">
            <v>90.614885999999998</v>
          </cell>
          <cell r="AZ56">
            <v>91.615274999999997</v>
          </cell>
          <cell r="BA56">
            <v>93.358771000000004</v>
          </cell>
          <cell r="BB56">
            <v>91.484465999999998</v>
          </cell>
          <cell r="BC56">
            <v>90.421999999999997</v>
          </cell>
          <cell r="BD56">
            <v>91.718790999999996</v>
          </cell>
          <cell r="BE56">
            <v>91.008404999999996</v>
          </cell>
          <cell r="BF56">
            <v>91.130672000000004</v>
          </cell>
          <cell r="BG56">
            <v>89.412310000000005</v>
          </cell>
          <cell r="BH56">
            <v>88.344999999999999</v>
          </cell>
          <cell r="BI56">
            <v>89.966932999999997</v>
          </cell>
          <cell r="BJ56">
            <v>88.674779000000001</v>
          </cell>
          <cell r="BK56">
            <v>89.147471999999993</v>
          </cell>
          <cell r="BL56">
            <v>89.26</v>
          </cell>
          <cell r="BM56">
            <v>89.28630299999999</v>
          </cell>
          <cell r="BN56">
            <v>90.358582999999996</v>
          </cell>
          <cell r="BO56">
            <v>90.28630299999999</v>
          </cell>
          <cell r="BP56">
            <v>90.28630299999999</v>
          </cell>
          <cell r="BQ56">
            <v>90.28630299999999</v>
          </cell>
          <cell r="BR56">
            <v>90.28630299999999</v>
          </cell>
          <cell r="BS56">
            <v>90.358582999999996</v>
          </cell>
          <cell r="BT56">
            <v>90.28630299999999</v>
          </cell>
          <cell r="BU56">
            <v>90.28630299999999</v>
          </cell>
          <cell r="BV56">
            <v>90.28630299999999</v>
          </cell>
          <cell r="BW56">
            <v>90.28630299999999</v>
          </cell>
          <cell r="BX56">
            <v>90.358582999999996</v>
          </cell>
          <cell r="BY56">
            <v>90.28630299999999</v>
          </cell>
          <cell r="BZ56">
            <v>90.28630299999999</v>
          </cell>
          <cell r="CA56">
            <v>90.28630299999999</v>
          </cell>
          <cell r="CB56">
            <v>90.28630299999999</v>
          </cell>
          <cell r="CC56">
            <v>90.358582999999996</v>
          </cell>
          <cell r="CD56">
            <v>90.28630299999999</v>
          </cell>
          <cell r="CE56">
            <v>90.28630299999999</v>
          </cell>
          <cell r="CF56">
            <v>90.28630299999999</v>
          </cell>
          <cell r="CG56">
            <v>90.28630299999999</v>
          </cell>
          <cell r="CH56">
            <v>90.358582999999996</v>
          </cell>
          <cell r="CM56" t="str">
            <v>mstag:averageBasicSharesOutstanding</v>
          </cell>
          <cell r="CN56">
            <v>6</v>
          </cell>
          <cell r="CO56" t="str">
            <v>ms_eqr_gcim_Decimal:ms_eqr_gcim_decimal</v>
          </cell>
          <cell r="CP56" t="b">
            <v>0</v>
          </cell>
        </row>
        <row r="57">
          <cell r="B57" t="str">
            <v>Wtd. avg shares outstanding - diluted</v>
          </cell>
          <cell r="D57">
            <v>69.187190999999999</v>
          </cell>
          <cell r="E57">
            <v>54.545029999999997</v>
          </cell>
          <cell r="F57">
            <v>69.187190999999999</v>
          </cell>
          <cell r="G57">
            <v>87.576419999999999</v>
          </cell>
          <cell r="H57">
            <v>87.517797000000002</v>
          </cell>
          <cell r="I57">
            <v>87.833430000000007</v>
          </cell>
          <cell r="J57">
            <v>97.882000000000005</v>
          </cell>
          <cell r="K57">
            <v>90.251428000000004</v>
          </cell>
          <cell r="L57">
            <v>108.171728</v>
          </cell>
          <cell r="M57">
            <v>99.843631999999999</v>
          </cell>
          <cell r="N57">
            <v>108.51271800000001</v>
          </cell>
          <cell r="O57">
            <v>108.39700000000001</v>
          </cell>
          <cell r="P57">
            <v>108.378131</v>
          </cell>
          <cell r="Q57">
            <v>107.82025</v>
          </cell>
          <cell r="R57">
            <v>107.765057</v>
          </cell>
          <cell r="S57">
            <v>108.123167</v>
          </cell>
          <cell r="T57">
            <v>108.673</v>
          </cell>
          <cell r="U57">
            <v>108.094956</v>
          </cell>
          <cell r="V57">
            <v>109.136803</v>
          </cell>
          <cell r="W57">
            <v>108.999363</v>
          </cell>
          <cell r="X57">
            <v>107.86963900000001</v>
          </cell>
          <cell r="Y57">
            <v>97.516000000000005</v>
          </cell>
          <cell r="Z57">
            <v>105.86378999999999</v>
          </cell>
          <cell r="AA57">
            <v>98.087085999999999</v>
          </cell>
          <cell r="AB57">
            <v>99.328929000000002</v>
          </cell>
          <cell r="AC57">
            <v>98.528968000000006</v>
          </cell>
          <cell r="AD57">
            <v>98.388999999999996</v>
          </cell>
          <cell r="AE57">
            <v>98.579977</v>
          </cell>
          <cell r="AF57">
            <v>98.209271000000001</v>
          </cell>
          <cell r="AG57">
            <v>96.870315000000005</v>
          </cell>
          <cell r="AH57">
            <v>95.258770999999996</v>
          </cell>
          <cell r="AI57">
            <v>94.644999999999996</v>
          </cell>
          <cell r="AJ57">
            <v>96.232910000000004</v>
          </cell>
          <cell r="AK57">
            <v>94.365291999999997</v>
          </cell>
          <cell r="AL57">
            <v>94.647869999999998</v>
          </cell>
          <cell r="AM57">
            <v>94.841748999999993</v>
          </cell>
          <cell r="AN57">
            <v>93.664000000000001</v>
          </cell>
          <cell r="AO57">
            <v>94.642294000000007</v>
          </cell>
          <cell r="AP57">
            <v>95.006720999999999</v>
          </cell>
          <cell r="AQ57">
            <v>95.513126999999997</v>
          </cell>
          <cell r="AR57">
            <v>95.16</v>
          </cell>
          <cell r="AS57">
            <v>91.832999999999998</v>
          </cell>
          <cell r="AT57">
            <v>94.288829000000007</v>
          </cell>
          <cell r="AU57">
            <v>90.885140000000007</v>
          </cell>
          <cell r="AV57">
            <v>91.071146999999996</v>
          </cell>
          <cell r="AW57">
            <v>92.010741999999993</v>
          </cell>
          <cell r="AX57">
            <v>92.698999999999998</v>
          </cell>
          <cell r="AY57">
            <v>91.517274</v>
          </cell>
          <cell r="AZ57">
            <v>92.836450999999997</v>
          </cell>
          <cell r="BA57">
            <v>94.711918999999995</v>
          </cell>
          <cell r="BB57">
            <v>92.462701999999993</v>
          </cell>
          <cell r="BC57">
            <v>91.778999999999996</v>
          </cell>
          <cell r="BD57">
            <v>92.946048000000005</v>
          </cell>
          <cell r="BE57">
            <v>92.136819000000003</v>
          </cell>
          <cell r="BF57">
            <v>91.783725000000004</v>
          </cell>
          <cell r="BG57">
            <v>89.857583000000005</v>
          </cell>
          <cell r="BH57">
            <v>88.914000000000001</v>
          </cell>
          <cell r="BI57">
            <v>90.666347999999999</v>
          </cell>
          <cell r="BJ57">
            <v>88.852704000000003</v>
          </cell>
          <cell r="BK57">
            <v>89.530638999999994</v>
          </cell>
          <cell r="BL57">
            <v>90.009</v>
          </cell>
          <cell r="BM57">
            <v>90.035523714172058</v>
          </cell>
          <cell r="BN57">
            <v>90.035523714172058</v>
          </cell>
          <cell r="BO57">
            <v>91.043914930842462</v>
          </cell>
          <cell r="BP57">
            <v>91.043914930842462</v>
          </cell>
          <cell r="BQ57">
            <v>91.043914930842462</v>
          </cell>
          <cell r="BR57">
            <v>91.043914930842462</v>
          </cell>
          <cell r="BS57">
            <v>91.043914930842462</v>
          </cell>
          <cell r="BT57">
            <v>91.169963832926271</v>
          </cell>
          <cell r="BU57">
            <v>91.422061637093861</v>
          </cell>
          <cell r="BV57">
            <v>91.674159441261466</v>
          </cell>
          <cell r="BW57">
            <v>91.926257245429071</v>
          </cell>
          <cell r="BX57">
            <v>91.926257245429071</v>
          </cell>
          <cell r="BY57">
            <v>92.178355049596661</v>
          </cell>
          <cell r="BZ57">
            <v>92.430452853764265</v>
          </cell>
          <cell r="CA57">
            <v>92.68255065793187</v>
          </cell>
          <cell r="CB57">
            <v>92.93464846209946</v>
          </cell>
          <cell r="CC57">
            <v>92.93464846209946</v>
          </cell>
          <cell r="CD57">
            <v>93.186746266267065</v>
          </cell>
          <cell r="CE57">
            <v>93.438844070434669</v>
          </cell>
          <cell r="CF57">
            <v>93.690941874602274</v>
          </cell>
          <cell r="CG57">
            <v>93.943039678769864</v>
          </cell>
          <cell r="CH57">
            <v>93.943039678769864</v>
          </cell>
          <cell r="CM57" t="str">
            <v>mstag:averageDilutedSharesOutstanding</v>
          </cell>
          <cell r="CN57">
            <v>6</v>
          </cell>
          <cell r="CO57" t="str">
            <v>ms_eqr_gcim_Decimal:ms_eqr_gcim_decimal</v>
          </cell>
          <cell r="CP57" t="b">
            <v>0</v>
          </cell>
        </row>
        <row r="58">
          <cell r="B58" t="str">
            <v>End of period shares outstanding</v>
          </cell>
          <cell r="D58">
            <v>55.632717</v>
          </cell>
          <cell r="E58">
            <v>55.620806999999999</v>
          </cell>
          <cell r="F58">
            <v>86.137581999999995</v>
          </cell>
          <cell r="G58">
            <v>86.134371999999999</v>
          </cell>
          <cell r="H58">
            <v>86.320635999999993</v>
          </cell>
          <cell r="I58">
            <v>86.462547999999998</v>
          </cell>
          <cell r="J58">
            <v>98.469448999999997</v>
          </cell>
          <cell r="K58">
            <v>98.469448999999997</v>
          </cell>
          <cell r="L58">
            <v>98.479740000000007</v>
          </cell>
          <cell r="M58">
            <v>98.784952000000004</v>
          </cell>
          <cell r="N58">
            <v>98.802955999999995</v>
          </cell>
          <cell r="O58">
            <v>98.811485000000005</v>
          </cell>
          <cell r="P58">
            <v>98.811485000000005</v>
          </cell>
          <cell r="Q58">
            <v>98.252009999999999</v>
          </cell>
          <cell r="R58">
            <v>98.478505999999996</v>
          </cell>
          <cell r="S58">
            <v>98.486645999999993</v>
          </cell>
          <cell r="T58">
            <v>98.681983000000002</v>
          </cell>
          <cell r="U58">
            <v>98.681983000000002</v>
          </cell>
          <cell r="V58">
            <v>98.761771999999993</v>
          </cell>
          <cell r="W58">
            <v>99.050212000000002</v>
          </cell>
          <cell r="X58">
            <v>87.182616999999993</v>
          </cell>
          <cell r="Y58">
            <v>87.616184000000004</v>
          </cell>
          <cell r="Z58">
            <v>87.616184000000004</v>
          </cell>
          <cell r="AA58">
            <v>89.138368999999997</v>
          </cell>
          <cell r="AB58">
            <v>90.219087999999999</v>
          </cell>
          <cell r="AC58">
            <v>88.513946000000004</v>
          </cell>
          <cell r="AD58">
            <v>93.564288000000005</v>
          </cell>
          <cell r="AE58">
            <v>93.564288000000005</v>
          </cell>
          <cell r="AF58">
            <v>98.468051000000003</v>
          </cell>
          <cell r="AG58">
            <v>94.857259999999997</v>
          </cell>
          <cell r="AH58">
            <v>95.129312999999996</v>
          </cell>
          <cell r="AI58">
            <v>94.050944999999999</v>
          </cell>
          <cell r="AJ58">
            <v>94.050944999999999</v>
          </cell>
          <cell r="AK58">
            <v>94.747968999999998</v>
          </cell>
          <cell r="AL58">
            <v>94.905471000000006</v>
          </cell>
          <cell r="AM58">
            <v>95.604375000000005</v>
          </cell>
          <cell r="AN58">
            <v>95.635536000000002</v>
          </cell>
          <cell r="AO58">
            <v>95.635536000000002</v>
          </cell>
          <cell r="AP58">
            <v>96.219791000000001</v>
          </cell>
          <cell r="AQ58">
            <v>95.969221000000005</v>
          </cell>
          <cell r="AR58">
            <v>95.767194000000003</v>
          </cell>
          <cell r="AS58">
            <v>91.507616999999996</v>
          </cell>
          <cell r="AT58">
            <v>91.507616999999996</v>
          </cell>
          <cell r="AU58">
            <v>92.479259999999996</v>
          </cell>
          <cell r="AV58">
            <v>92.726675999999998</v>
          </cell>
          <cell r="AW58">
            <v>92.935041999999996</v>
          </cell>
          <cell r="AX58">
            <v>93.037987999999999</v>
          </cell>
          <cell r="AY58">
            <v>93.037987999999999</v>
          </cell>
          <cell r="AZ58">
            <v>94.692446000000004</v>
          </cell>
          <cell r="BA58">
            <v>95.565207000000001</v>
          </cell>
          <cell r="BB58">
            <v>92.740092000000004</v>
          </cell>
          <cell r="BC58">
            <v>92.669313000000002</v>
          </cell>
          <cell r="BD58">
            <v>92.669313000000002</v>
          </cell>
          <cell r="BE58">
            <v>93.951711000000003</v>
          </cell>
          <cell r="BF58">
            <v>92.234875000000002</v>
          </cell>
          <cell r="BG58">
            <v>90.778442999999996</v>
          </cell>
          <cell r="BH58">
            <v>90.571529999999996</v>
          </cell>
          <cell r="BI58">
            <v>90.571529999999996</v>
          </cell>
          <cell r="BJ58">
            <v>90.883229</v>
          </cell>
          <cell r="BK58">
            <v>90.941883000000004</v>
          </cell>
          <cell r="BL58">
            <v>91.186302999999995</v>
          </cell>
          <cell r="BM58">
            <v>91.186302999999995</v>
          </cell>
          <cell r="BN58">
            <v>91.186302999999995</v>
          </cell>
          <cell r="BO58">
            <v>91.186302999999995</v>
          </cell>
          <cell r="BP58">
            <v>91.186302999999995</v>
          </cell>
          <cell r="BQ58">
            <v>91.186302999999995</v>
          </cell>
          <cell r="BR58">
            <v>91.186302999999995</v>
          </cell>
          <cell r="BS58">
            <v>91.186302999999995</v>
          </cell>
          <cell r="BT58">
            <v>91.186302999999995</v>
          </cell>
          <cell r="BU58">
            <v>91.186302999999995</v>
          </cell>
          <cell r="BV58">
            <v>91.186302999999995</v>
          </cell>
          <cell r="BW58">
            <v>91.186302999999995</v>
          </cell>
          <cell r="BX58">
            <v>92.186302999999995</v>
          </cell>
          <cell r="BY58">
            <v>91.186302999999995</v>
          </cell>
          <cell r="BZ58">
            <v>91.186302999999995</v>
          </cell>
          <cell r="CA58">
            <v>91.186302999999995</v>
          </cell>
          <cell r="CB58">
            <v>91.186302999999995</v>
          </cell>
          <cell r="CC58">
            <v>93.186302999999995</v>
          </cell>
          <cell r="CD58">
            <v>91.186302999999995</v>
          </cell>
          <cell r="CE58">
            <v>91.186302999999995</v>
          </cell>
          <cell r="CF58">
            <v>91.186302999999995</v>
          </cell>
          <cell r="CG58">
            <v>91.186302999999995</v>
          </cell>
          <cell r="CH58">
            <v>94.186302999999995</v>
          </cell>
          <cell r="CM58" t="str">
            <v>mstag:periodEndBasicSharesOutstanding</v>
          </cell>
          <cell r="CN58">
            <v>6</v>
          </cell>
          <cell r="CO58" t="str">
            <v>ms_eqr_gcim_Decimal:ms_eqr_gcim_decimal</v>
          </cell>
          <cell r="CP58" t="b">
            <v>0</v>
          </cell>
        </row>
        <row r="60">
          <cell r="B60" t="str">
            <v>Share repurchase</v>
          </cell>
        </row>
        <row r="61">
          <cell r="B61" t="str">
            <v>Authorization</v>
          </cell>
          <cell r="D61">
            <v>0</v>
          </cell>
          <cell r="E61">
            <v>0</v>
          </cell>
          <cell r="F61">
            <v>0</v>
          </cell>
          <cell r="G61">
            <v>0</v>
          </cell>
          <cell r="H61">
            <v>0</v>
          </cell>
          <cell r="I61">
            <v>0</v>
          </cell>
          <cell r="J61">
            <v>0</v>
          </cell>
          <cell r="K61">
            <v>0</v>
          </cell>
          <cell r="L61">
            <v>0</v>
          </cell>
          <cell r="M61">
            <v>0</v>
          </cell>
          <cell r="N61">
            <v>0</v>
          </cell>
          <cell r="O61">
            <v>0</v>
          </cell>
          <cell r="P61">
            <v>0</v>
          </cell>
          <cell r="Q61">
            <v>5</v>
          </cell>
          <cell r="R61">
            <v>5</v>
          </cell>
          <cell r="S61">
            <v>5</v>
          </cell>
          <cell r="T61">
            <v>5</v>
          </cell>
          <cell r="U61">
            <v>5</v>
          </cell>
          <cell r="V61">
            <v>5</v>
          </cell>
          <cell r="W61">
            <v>5</v>
          </cell>
          <cell r="X61">
            <v>5</v>
          </cell>
          <cell r="Y61">
            <v>5</v>
          </cell>
          <cell r="Z61">
            <v>5</v>
          </cell>
          <cell r="AA61">
            <v>5</v>
          </cell>
          <cell r="AB61">
            <v>5</v>
          </cell>
          <cell r="AC61">
            <v>5</v>
          </cell>
          <cell r="AD61">
            <v>5</v>
          </cell>
          <cell r="AE61">
            <v>5</v>
          </cell>
          <cell r="AF61">
            <v>5</v>
          </cell>
          <cell r="AG61">
            <v>5</v>
          </cell>
          <cell r="AH61">
            <v>5</v>
          </cell>
          <cell r="AI61">
            <v>5</v>
          </cell>
          <cell r="AJ61">
            <v>5</v>
          </cell>
          <cell r="AK61">
            <v>5</v>
          </cell>
          <cell r="AL61">
            <v>5</v>
          </cell>
          <cell r="AM61">
            <v>5</v>
          </cell>
          <cell r="AN61">
            <v>5</v>
          </cell>
          <cell r="AO61">
            <v>5</v>
          </cell>
          <cell r="AP61">
            <v>5</v>
          </cell>
          <cell r="AQ61">
            <v>5</v>
          </cell>
          <cell r="AR61">
            <v>5</v>
          </cell>
          <cell r="AS61">
            <v>5</v>
          </cell>
          <cell r="AT61">
            <v>5</v>
          </cell>
          <cell r="AU61">
            <v>5</v>
          </cell>
          <cell r="AV61">
            <v>5</v>
          </cell>
          <cell r="AW61">
            <v>5</v>
          </cell>
          <cell r="AX61">
            <v>5</v>
          </cell>
          <cell r="AY61">
            <v>5</v>
          </cell>
          <cell r="AZ61">
            <v>3</v>
          </cell>
          <cell r="BA61">
            <v>3</v>
          </cell>
          <cell r="BB61">
            <v>4</v>
          </cell>
          <cell r="BC61">
            <v>4</v>
          </cell>
          <cell r="BD61">
            <v>4</v>
          </cell>
          <cell r="BE61">
            <v>4</v>
          </cell>
          <cell r="BF61">
            <v>4</v>
          </cell>
          <cell r="BG61">
            <v>4</v>
          </cell>
          <cell r="BH61">
            <v>4</v>
          </cell>
          <cell r="BI61">
            <v>4</v>
          </cell>
          <cell r="BJ61">
            <v>4</v>
          </cell>
          <cell r="BK61">
            <v>4</v>
          </cell>
          <cell r="BL61">
            <v>4</v>
          </cell>
          <cell r="BM61">
            <v>4</v>
          </cell>
          <cell r="BN61">
            <v>4</v>
          </cell>
          <cell r="BO61">
            <v>4</v>
          </cell>
          <cell r="BP61">
            <v>4</v>
          </cell>
          <cell r="BQ61">
            <v>4</v>
          </cell>
          <cell r="BR61">
            <v>4</v>
          </cell>
          <cell r="BS61">
            <v>4</v>
          </cell>
          <cell r="BT61">
            <v>4</v>
          </cell>
          <cell r="BU61">
            <v>4</v>
          </cell>
          <cell r="BV61">
            <v>4</v>
          </cell>
          <cell r="BW61">
            <v>4</v>
          </cell>
          <cell r="BX61">
            <v>4</v>
          </cell>
          <cell r="BY61">
            <v>4</v>
          </cell>
          <cell r="BZ61">
            <v>4</v>
          </cell>
          <cell r="CA61">
            <v>4</v>
          </cell>
          <cell r="CB61">
            <v>4</v>
          </cell>
          <cell r="CC61">
            <v>4</v>
          </cell>
          <cell r="CD61">
            <v>4</v>
          </cell>
          <cell r="CE61">
            <v>4</v>
          </cell>
          <cell r="CF61">
            <v>4</v>
          </cell>
          <cell r="CG61">
            <v>4</v>
          </cell>
          <cell r="CH61">
            <v>4</v>
          </cell>
        </row>
        <row r="62">
          <cell r="B62" t="str">
            <v>Number of shares repurchased</v>
          </cell>
          <cell r="D62">
            <v>0</v>
          </cell>
          <cell r="E62">
            <v>0</v>
          </cell>
          <cell r="F62">
            <v>0</v>
          </cell>
          <cell r="G62">
            <v>0</v>
          </cell>
          <cell r="H62">
            <v>0</v>
          </cell>
          <cell r="I62">
            <v>0</v>
          </cell>
          <cell r="J62">
            <v>0</v>
          </cell>
          <cell r="K62">
            <v>0</v>
          </cell>
          <cell r="L62">
            <v>0</v>
          </cell>
          <cell r="M62">
            <v>0</v>
          </cell>
          <cell r="N62">
            <v>0</v>
          </cell>
          <cell r="O62">
            <v>0</v>
          </cell>
          <cell r="P62">
            <v>0</v>
          </cell>
          <cell r="Q62">
            <v>0.56999999999999995</v>
          </cell>
          <cell r="R62">
            <v>0.69</v>
          </cell>
          <cell r="S62">
            <v>0.76</v>
          </cell>
          <cell r="T62">
            <v>0.79</v>
          </cell>
          <cell r="U62">
            <v>0</v>
          </cell>
          <cell r="V62">
            <v>0</v>
          </cell>
          <cell r="W62">
            <v>0</v>
          </cell>
          <cell r="X62">
            <v>0</v>
          </cell>
          <cell r="Y62">
            <v>0</v>
          </cell>
          <cell r="Z62">
            <v>0</v>
          </cell>
          <cell r="AA62">
            <v>0.92310000000000003</v>
          </cell>
          <cell r="AB62">
            <v>0.18940000000000001</v>
          </cell>
          <cell r="AC62">
            <v>1.9172000000000002</v>
          </cell>
          <cell r="AD62">
            <v>0</v>
          </cell>
          <cell r="AE62">
            <v>0</v>
          </cell>
          <cell r="AF62">
            <v>0.22500000000000001</v>
          </cell>
          <cell r="AG62">
            <v>3.5998000000000001</v>
          </cell>
          <cell r="AH62">
            <v>1.1752000000000002</v>
          </cell>
          <cell r="AI62">
            <v>0</v>
          </cell>
          <cell r="AJ62">
            <v>0</v>
          </cell>
          <cell r="AK62">
            <v>0</v>
          </cell>
          <cell r="AL62">
            <v>0</v>
          </cell>
          <cell r="AM62">
            <v>0</v>
          </cell>
          <cell r="AN62">
            <v>0</v>
          </cell>
          <cell r="AO62">
            <v>0</v>
          </cell>
          <cell r="AP62">
            <v>0</v>
          </cell>
          <cell r="AQ62">
            <v>0.3054</v>
          </cell>
          <cell r="AR62">
            <v>0.21160000000000001</v>
          </cell>
          <cell r="AS62">
            <v>4.269609</v>
          </cell>
          <cell r="AT62">
            <v>4.7866090000000003</v>
          </cell>
          <cell r="AU62">
            <v>0</v>
          </cell>
          <cell r="AV62">
            <v>0</v>
          </cell>
          <cell r="AW62">
            <v>0</v>
          </cell>
          <cell r="AX62">
            <v>0</v>
          </cell>
          <cell r="AY62">
            <v>0</v>
          </cell>
          <cell r="AZ62">
            <v>0</v>
          </cell>
          <cell r="BA62">
            <v>0.35599999999999998</v>
          </cell>
          <cell r="BB62">
            <v>2.8648000000000002</v>
          </cell>
          <cell r="BC62">
            <v>0.19500000000000001</v>
          </cell>
          <cell r="BD62">
            <v>0.45127200000000001</v>
          </cell>
          <cell r="BE62">
            <v>0</v>
          </cell>
          <cell r="BF62">
            <v>1.763566</v>
          </cell>
          <cell r="BG62">
            <v>1.7062999999999999</v>
          </cell>
          <cell r="BH62">
            <v>0</v>
          </cell>
          <cell r="BI62">
            <v>3.4698660000000001</v>
          </cell>
          <cell r="BJ62">
            <v>0</v>
          </cell>
          <cell r="BK62">
            <v>0</v>
          </cell>
          <cell r="BL62">
            <v>0</v>
          </cell>
          <cell r="BM62">
            <v>0</v>
          </cell>
          <cell r="BO62">
            <v>0</v>
          </cell>
          <cell r="BP62">
            <v>0</v>
          </cell>
          <cell r="BQ62">
            <v>0</v>
          </cell>
          <cell r="BR62">
            <v>0</v>
          </cell>
          <cell r="BT62">
            <v>0</v>
          </cell>
          <cell r="BU62">
            <v>0</v>
          </cell>
          <cell r="BV62">
            <v>0</v>
          </cell>
          <cell r="BW62">
            <v>0</v>
          </cell>
          <cell r="BY62">
            <v>0</v>
          </cell>
          <cell r="BZ62">
            <v>0</v>
          </cell>
          <cell r="CA62">
            <v>0</v>
          </cell>
          <cell r="CB62">
            <v>0</v>
          </cell>
          <cell r="CD62">
            <v>0</v>
          </cell>
          <cell r="CE62">
            <v>0</v>
          </cell>
          <cell r="CF62">
            <v>0</v>
          </cell>
          <cell r="CG62">
            <v>0</v>
          </cell>
        </row>
        <row r="63">
          <cell r="B63" t="str">
            <v>Average repurchase price</v>
          </cell>
          <cell r="D63">
            <v>0</v>
          </cell>
          <cell r="E63">
            <v>0</v>
          </cell>
          <cell r="F63">
            <v>0</v>
          </cell>
          <cell r="G63">
            <v>0</v>
          </cell>
          <cell r="H63">
            <v>0</v>
          </cell>
          <cell r="I63">
            <v>0</v>
          </cell>
          <cell r="J63">
            <v>0</v>
          </cell>
          <cell r="K63">
            <v>0</v>
          </cell>
          <cell r="L63">
            <v>0</v>
          </cell>
          <cell r="M63">
            <v>0</v>
          </cell>
          <cell r="N63">
            <v>0</v>
          </cell>
          <cell r="O63">
            <v>0</v>
          </cell>
          <cell r="P63">
            <v>0</v>
          </cell>
          <cell r="Q63">
            <v>18.04</v>
          </cell>
          <cell r="R63">
            <v>18.12</v>
          </cell>
          <cell r="S63">
            <v>18.45</v>
          </cell>
          <cell r="T63">
            <v>18.57</v>
          </cell>
          <cell r="U63">
            <v>0</v>
          </cell>
          <cell r="V63">
            <v>0</v>
          </cell>
          <cell r="W63">
            <v>0</v>
          </cell>
          <cell r="X63">
            <v>0</v>
          </cell>
          <cell r="Y63">
            <v>0</v>
          </cell>
          <cell r="Z63">
            <v>0</v>
          </cell>
          <cell r="AA63">
            <v>20.64</v>
          </cell>
          <cell r="AB63">
            <v>23.26</v>
          </cell>
          <cell r="AC63">
            <v>31.2</v>
          </cell>
          <cell r="AD63">
            <v>0</v>
          </cell>
          <cell r="AE63">
            <v>0</v>
          </cell>
          <cell r="AF63">
            <v>36.049999999999997</v>
          </cell>
          <cell r="AG63">
            <v>35.950000000000003</v>
          </cell>
          <cell r="AH63">
            <v>35.229999999999997</v>
          </cell>
          <cell r="AI63">
            <v>0</v>
          </cell>
          <cell r="AJ63">
            <v>0</v>
          </cell>
          <cell r="AK63">
            <v>0</v>
          </cell>
          <cell r="AL63">
            <v>0</v>
          </cell>
          <cell r="AM63">
            <v>0</v>
          </cell>
          <cell r="AN63">
            <v>0</v>
          </cell>
          <cell r="AO63">
            <v>0</v>
          </cell>
          <cell r="AP63">
            <v>0</v>
          </cell>
          <cell r="AQ63">
            <v>33.340000000000003</v>
          </cell>
          <cell r="AR63">
            <v>33.03</v>
          </cell>
          <cell r="AS63">
            <v>17.079999999999998</v>
          </cell>
          <cell r="AT63">
            <v>18.8</v>
          </cell>
          <cell r="AU63">
            <v>0</v>
          </cell>
          <cell r="AV63">
            <v>0</v>
          </cell>
          <cell r="AW63">
            <v>0</v>
          </cell>
          <cell r="AX63">
            <v>0</v>
          </cell>
          <cell r="AY63">
            <v>0</v>
          </cell>
          <cell r="AZ63">
            <v>0</v>
          </cell>
          <cell r="BA63">
            <v>34.24</v>
          </cell>
          <cell r="BB63">
            <v>32.225000000000001</v>
          </cell>
          <cell r="BC63">
            <v>30.88</v>
          </cell>
          <cell r="BD63">
            <v>30.81</v>
          </cell>
          <cell r="BE63">
            <v>0</v>
          </cell>
          <cell r="BF63">
            <v>28.31</v>
          </cell>
          <cell r="BG63">
            <v>20.93</v>
          </cell>
          <cell r="BH63">
            <v>0</v>
          </cell>
          <cell r="BI63">
            <v>24.68</v>
          </cell>
          <cell r="BJ63">
            <v>0</v>
          </cell>
          <cell r="BK63">
            <v>0</v>
          </cell>
          <cell r="BL63">
            <v>0</v>
          </cell>
          <cell r="BM63">
            <v>0</v>
          </cell>
          <cell r="BO63">
            <v>0</v>
          </cell>
          <cell r="BP63">
            <v>0</v>
          </cell>
          <cell r="BQ63">
            <v>0</v>
          </cell>
          <cell r="BR63">
            <v>0</v>
          </cell>
          <cell r="BT63">
            <v>0</v>
          </cell>
          <cell r="BU63">
            <v>0</v>
          </cell>
          <cell r="BV63">
            <v>0</v>
          </cell>
          <cell r="BW63">
            <v>0</v>
          </cell>
          <cell r="BY63">
            <v>0</v>
          </cell>
          <cell r="BZ63">
            <v>0</v>
          </cell>
          <cell r="CA63">
            <v>0</v>
          </cell>
          <cell r="CB63">
            <v>0</v>
          </cell>
          <cell r="CD63">
            <v>0</v>
          </cell>
          <cell r="CE63">
            <v>0</v>
          </cell>
          <cell r="CF63">
            <v>0</v>
          </cell>
          <cell r="CG63">
            <v>0</v>
          </cell>
        </row>
        <row r="64">
          <cell r="B64" t="str">
            <v>Amount repurchased ($)</v>
          </cell>
          <cell r="D64">
            <v>0</v>
          </cell>
          <cell r="E64">
            <v>0</v>
          </cell>
          <cell r="F64">
            <v>0</v>
          </cell>
          <cell r="G64">
            <v>8.2000000000000003E-2</v>
          </cell>
          <cell r="H64">
            <v>8.9999999999999941E-3</v>
          </cell>
          <cell r="I64">
            <v>0</v>
          </cell>
          <cell r="J64">
            <v>0</v>
          </cell>
          <cell r="K64">
            <v>9.0999999999999998E-2</v>
          </cell>
          <cell r="L64">
            <v>0</v>
          </cell>
          <cell r="M64">
            <v>0</v>
          </cell>
          <cell r="N64">
            <v>0</v>
          </cell>
          <cell r="O64">
            <v>0</v>
          </cell>
          <cell r="P64">
            <v>0</v>
          </cell>
          <cell r="Q64">
            <v>10.29</v>
          </cell>
          <cell r="R64">
            <v>2.2430000000000003</v>
          </cell>
          <cell r="S64">
            <v>1.527000000000001</v>
          </cell>
          <cell r="T64">
            <v>0.64799999999999969</v>
          </cell>
          <cell r="U64">
            <v>14.708</v>
          </cell>
          <cell r="V64">
            <v>0</v>
          </cell>
          <cell r="W64">
            <v>0</v>
          </cell>
          <cell r="X64">
            <v>290.48099999999999</v>
          </cell>
          <cell r="Y64">
            <v>3.8999999999987267E-2</v>
          </cell>
          <cell r="Z64">
            <v>290.52</v>
          </cell>
          <cell r="AA64">
            <v>4.3899999999999997</v>
          </cell>
          <cell r="AB64">
            <v>6.8240000000000007</v>
          </cell>
          <cell r="AC64">
            <v>68.638999999999996</v>
          </cell>
          <cell r="AD64">
            <v>0</v>
          </cell>
          <cell r="AE64">
            <v>79.852999999999994</v>
          </cell>
          <cell r="AF64">
            <v>8.1120000000000001</v>
          </cell>
          <cell r="AG64">
            <v>129.554</v>
          </cell>
          <cell r="AH64">
            <v>0</v>
          </cell>
          <cell r="AI64">
            <v>38.650000000000006</v>
          </cell>
          <cell r="AJ64">
            <v>176.316</v>
          </cell>
          <cell r="AK64">
            <v>0</v>
          </cell>
          <cell r="AL64">
            <v>0</v>
          </cell>
          <cell r="AM64">
            <v>0</v>
          </cell>
          <cell r="AN64">
            <v>0</v>
          </cell>
          <cell r="AO64">
            <v>0</v>
          </cell>
          <cell r="AP64">
            <v>0</v>
          </cell>
          <cell r="AQ64">
            <v>10.194000000000001</v>
          </cell>
          <cell r="AR64">
            <v>6.9019999999999992</v>
          </cell>
          <cell r="AS64">
            <v>73.091999999999999</v>
          </cell>
          <cell r="AT64">
            <v>90.188000000000002</v>
          </cell>
          <cell r="AU64">
            <v>0</v>
          </cell>
          <cell r="AV64">
            <v>0</v>
          </cell>
          <cell r="AW64">
            <v>0</v>
          </cell>
          <cell r="AX64">
            <v>0</v>
          </cell>
          <cell r="AY64">
            <v>0</v>
          </cell>
          <cell r="AZ64">
            <v>0.04</v>
          </cell>
          <cell r="BA64">
            <v>12.202000000000002</v>
          </cell>
          <cell r="BB64">
            <v>95.69</v>
          </cell>
          <cell r="BC64">
            <v>6.0289999999999964</v>
          </cell>
          <cell r="BD64">
            <v>113.961</v>
          </cell>
          <cell r="BE64">
            <v>0</v>
          </cell>
          <cell r="BF64">
            <v>50.002000000000002</v>
          </cell>
          <cell r="BG64">
            <v>35.788000000000004</v>
          </cell>
          <cell r="BH64">
            <v>0</v>
          </cell>
          <cell r="BI64">
            <v>85.79</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row>
        <row r="66">
          <cell r="B66" t="str">
            <v>Fiscal year ends on December 31</v>
          </cell>
        </row>
        <row r="67">
          <cell r="B67" t="str">
            <v>($ Million, except per share data)</v>
          </cell>
          <cell r="D67" t="str">
            <v>1998A</v>
          </cell>
          <cell r="E67" t="str">
            <v>1999A</v>
          </cell>
          <cell r="F67" t="str">
            <v>2000A</v>
          </cell>
          <cell r="G67" t="str">
            <v>1Q01A</v>
          </cell>
          <cell r="H67" t="str">
            <v>2Q01A</v>
          </cell>
          <cell r="I67" t="str">
            <v>3Q01A</v>
          </cell>
          <cell r="J67" t="str">
            <v>4Q01A</v>
          </cell>
          <cell r="K67" t="str">
            <v>2001A</v>
          </cell>
          <cell r="L67" t="str">
            <v>1Q02A</v>
          </cell>
          <cell r="M67" t="str">
            <v>2Q02A</v>
          </cell>
          <cell r="N67" t="str">
            <v>3Q02A</v>
          </cell>
          <cell r="O67" t="str">
            <v>4Q02A</v>
          </cell>
          <cell r="P67" t="str">
            <v>2002A</v>
          </cell>
          <cell r="Q67" t="str">
            <v>1Q03A</v>
          </cell>
          <cell r="R67" t="str">
            <v>2Q03A</v>
          </cell>
          <cell r="S67" t="str">
            <v>3Q03A</v>
          </cell>
          <cell r="T67" t="str">
            <v>4Q03A</v>
          </cell>
          <cell r="U67" t="str">
            <v>2003A</v>
          </cell>
          <cell r="V67" t="str">
            <v>1Q04A</v>
          </cell>
          <cell r="W67" t="str">
            <v>2Q04A</v>
          </cell>
          <cell r="X67" t="str">
            <v>3Q04A</v>
          </cell>
          <cell r="Y67" t="str">
            <v>4Q04A</v>
          </cell>
          <cell r="Z67" t="str">
            <v>2004A</v>
          </cell>
          <cell r="AA67" t="str">
            <v>1Q05A</v>
          </cell>
          <cell r="AB67" t="str">
            <v>2Q05A</v>
          </cell>
          <cell r="AC67" t="str">
            <v>3Q05A</v>
          </cell>
          <cell r="AD67" t="str">
            <v>4Q05A</v>
          </cell>
          <cell r="AE67" t="str">
            <v>2005A</v>
          </cell>
          <cell r="AF67" t="str">
            <v>1Q06A</v>
          </cell>
          <cell r="AG67" t="str">
            <v>2Q06A</v>
          </cell>
          <cell r="AH67" t="str">
            <v>3Q06A</v>
          </cell>
          <cell r="AI67" t="str">
            <v>4Q06A</v>
          </cell>
          <cell r="AJ67" t="str">
            <v>2006A</v>
          </cell>
          <cell r="AK67" t="str">
            <v>1Q07A</v>
          </cell>
          <cell r="AL67" t="str">
            <v>2Q07A</v>
          </cell>
          <cell r="AM67" t="str">
            <v>3Q07A</v>
          </cell>
          <cell r="AN67" t="str">
            <v>4Q07A</v>
          </cell>
          <cell r="AO67" t="str">
            <v>2007A</v>
          </cell>
          <cell r="AP67" t="str">
            <v>1Q08A</v>
          </cell>
          <cell r="AQ67" t="str">
            <v>2Q08A</v>
          </cell>
          <cell r="AR67" t="str">
            <v>3Q08A</v>
          </cell>
          <cell r="AS67" t="str">
            <v>4Q08A</v>
          </cell>
          <cell r="AT67" t="str">
            <v>2008A</v>
          </cell>
          <cell r="AU67" t="str">
            <v>1Q09</v>
          </cell>
          <cell r="AV67" t="str">
            <v>2Q09</v>
          </cell>
          <cell r="AW67" t="str">
            <v>3Q09</v>
          </cell>
          <cell r="AX67" t="str">
            <v>4Q09</v>
          </cell>
          <cell r="AY67" t="str">
            <v>2009A</v>
          </cell>
          <cell r="AZ67" t="str">
            <v>1Q10A</v>
          </cell>
          <cell r="BA67" t="str">
            <v>2Q10A</v>
          </cell>
          <cell r="BB67" t="str">
            <v>3Q10A</v>
          </cell>
          <cell r="BC67" t="str">
            <v>4Q10A</v>
          </cell>
          <cell r="BD67" t="str">
            <v>2010A</v>
          </cell>
          <cell r="BE67" t="str">
            <v>1Q11A</v>
          </cell>
          <cell r="BF67" t="str">
            <v>2Q11A</v>
          </cell>
          <cell r="BG67" t="str">
            <v>3Q11A</v>
          </cell>
          <cell r="BH67" t="str">
            <v>4Q11A</v>
          </cell>
          <cell r="BI67" t="str">
            <v>2011A</v>
          </cell>
          <cell r="BJ67" t="str">
            <v>1Q12A</v>
          </cell>
          <cell r="BK67" t="str">
            <v>2Q12A</v>
          </cell>
          <cell r="BL67" t="str">
            <v>3Q12A</v>
          </cell>
          <cell r="BM67" t="str">
            <v>4Q12E</v>
          </cell>
          <cell r="BN67" t="str">
            <v>2012E</v>
          </cell>
          <cell r="BO67" t="str">
            <v>1Q13E</v>
          </cell>
          <cell r="BP67" t="str">
            <v>2Q13E</v>
          </cell>
          <cell r="BQ67" t="str">
            <v>3Q13E</v>
          </cell>
          <cell r="BR67" t="str">
            <v>4Q13E</v>
          </cell>
          <cell r="BS67" t="str">
            <v>2013E</v>
          </cell>
          <cell r="BT67" t="str">
            <v>1Q14E</v>
          </cell>
          <cell r="BU67" t="str">
            <v>2Q14E</v>
          </cell>
          <cell r="BV67" t="str">
            <v>3Q14E</v>
          </cell>
          <cell r="BW67" t="str">
            <v>4Q14E</v>
          </cell>
          <cell r="BX67" t="str">
            <v>2014E</v>
          </cell>
          <cell r="BY67" t="str">
            <v>1Q15E</v>
          </cell>
          <cell r="BZ67" t="str">
            <v>2Q15E</v>
          </cell>
          <cell r="CA67" t="str">
            <v>3Q15E</v>
          </cell>
          <cell r="CB67" t="str">
            <v>4Q15E</v>
          </cell>
          <cell r="CC67" t="str">
            <v>2015E</v>
          </cell>
          <cell r="CD67" t="str">
            <v>1Q16E</v>
          </cell>
          <cell r="CE67" t="str">
            <v>2Q16E</v>
          </cell>
          <cell r="CF67" t="str">
            <v>3Q16E</v>
          </cell>
          <cell r="CG67" t="str">
            <v>4Q16E</v>
          </cell>
          <cell r="CH67" t="str">
            <v>2016E</v>
          </cell>
        </row>
        <row r="69">
          <cell r="B69" t="str">
            <v>Margins</v>
          </cell>
        </row>
        <row r="70">
          <cell r="B70" t="str">
            <v>EBITDA Margin</v>
          </cell>
          <cell r="D70">
            <v>-0.26895361759372988</v>
          </cell>
          <cell r="E70">
            <v>0.17306864280204781</v>
          </cell>
          <cell r="F70">
            <v>0.18896135404758568</v>
          </cell>
          <cell r="G70">
            <v>0.19377641761466968</v>
          </cell>
          <cell r="H70">
            <v>0.18415650434387865</v>
          </cell>
          <cell r="I70">
            <v>0.17770405383021781</v>
          </cell>
          <cell r="J70">
            <v>0.17509246034571588</v>
          </cell>
          <cell r="K70">
            <v>0.18227824931729283</v>
          </cell>
          <cell r="L70">
            <v>0.17318970833278671</v>
          </cell>
          <cell r="M70">
            <v>0.16495094066515634</v>
          </cell>
          <cell r="N70">
            <v>0.15793691133617083</v>
          </cell>
          <cell r="O70">
            <v>0.16235485667766403</v>
          </cell>
          <cell r="P70">
            <v>0.16449791107776393</v>
          </cell>
          <cell r="Q70">
            <v>0.16165284091512377</v>
          </cell>
          <cell r="R70">
            <v>0.15629711559380682</v>
          </cell>
          <cell r="S70">
            <v>0.14977829167023979</v>
          </cell>
          <cell r="T70">
            <v>0.14958265830809325</v>
          </cell>
          <cell r="U70">
            <v>0.15399679110880321</v>
          </cell>
          <cell r="V70">
            <v>0.15202656692315927</v>
          </cell>
          <cell r="W70">
            <v>0.14928674928011271</v>
          </cell>
          <cell r="X70">
            <v>0.14337929514687803</v>
          </cell>
          <cell r="Y70">
            <v>0.14911669857848067</v>
          </cell>
          <cell r="Z70">
            <v>0.14842715093479472</v>
          </cell>
          <cell r="AA70">
            <v>0.15544880911227105</v>
          </cell>
          <cell r="AB70">
            <v>0.15255170792343248</v>
          </cell>
          <cell r="AC70">
            <v>0.14796253829623077</v>
          </cell>
          <cell r="AD70">
            <v>0.15453990041443064</v>
          </cell>
          <cell r="AE70">
            <v>0.15264151018985536</v>
          </cell>
          <cell r="AF70">
            <v>0.15435794428393013</v>
          </cell>
          <cell r="AG70">
            <v>0.14772480948189265</v>
          </cell>
          <cell r="AH70">
            <v>8.131854242565309E-2</v>
          </cell>
          <cell r="AI70">
            <v>0.14332377344892971</v>
          </cell>
          <cell r="AJ70">
            <v>0.13103104836566815</v>
          </cell>
          <cell r="AK70">
            <v>0.1413616479110828</v>
          </cell>
          <cell r="AL70">
            <v>0.13813556336900612</v>
          </cell>
          <cell r="AM70">
            <v>0.12907430720037158</v>
          </cell>
          <cell r="AN70">
            <v>7.4379969165563858E-2</v>
          </cell>
          <cell r="AO70">
            <v>0.11377839448649323</v>
          </cell>
          <cell r="AP70">
            <v>0.14047567894164523</v>
          </cell>
          <cell r="AQ70">
            <v>0.13696721920761162</v>
          </cell>
          <cell r="AR70">
            <v>0.14146585114286317</v>
          </cell>
          <cell r="AS70">
            <v>0.14184450838626883</v>
          </cell>
          <cell r="AT70">
            <v>0.14020960594389323</v>
          </cell>
          <cell r="AU70">
            <v>0.13953616213581141</v>
          </cell>
          <cell r="AV70">
            <v>0.1377654533817308</v>
          </cell>
          <cell r="AW70">
            <v>0.13536115735705806</v>
          </cell>
          <cell r="AX70">
            <v>0.1405371988252902</v>
          </cell>
          <cell r="AY70">
            <v>0.13828401388768699</v>
          </cell>
          <cell r="AZ70">
            <v>0.13708228689520946</v>
          </cell>
          <cell r="BA70">
            <v>0.13974350241436212</v>
          </cell>
          <cell r="BB70">
            <v>0.13575200911423704</v>
          </cell>
          <cell r="BC70">
            <v>0.13292888968433578</v>
          </cell>
          <cell r="BD70">
            <v>0.13631070727293731</v>
          </cell>
          <cell r="BE70">
            <v>0.13501492654775932</v>
          </cell>
          <cell r="BF70">
            <v>0.13463134011623762</v>
          </cell>
          <cell r="BG70">
            <v>0.13198835855646121</v>
          </cell>
          <cell r="BH70">
            <v>0.13471753491779556</v>
          </cell>
          <cell r="BI70">
            <v>0.13408618145117057</v>
          </cell>
          <cell r="BJ70">
            <v>0.14153463031893032</v>
          </cell>
          <cell r="BK70">
            <v>0.12894789383380637</v>
          </cell>
          <cell r="BL70">
            <v>0.12910407527225232</v>
          </cell>
          <cell r="BM70">
            <v>0.13087378736294042</v>
          </cell>
          <cell r="BN70">
            <v>0.13265607076191666</v>
          </cell>
          <cell r="BO70">
            <v>0.13257311334779562</v>
          </cell>
          <cell r="BP70">
            <v>0.14560988061940483</v>
          </cell>
          <cell r="BQ70">
            <v>0.12082722069806286</v>
          </cell>
          <cell r="BR70">
            <v>0.11148715484648269</v>
          </cell>
          <cell r="BS70">
            <v>0.12768675929796455</v>
          </cell>
          <cell r="BT70">
            <v>0.14223513055994649</v>
          </cell>
          <cell r="BU70">
            <v>0.15931044010058615</v>
          </cell>
          <cell r="BV70">
            <v>0.13310380658789386</v>
          </cell>
          <cell r="BW70">
            <v>0.12479162403205446</v>
          </cell>
          <cell r="BX70">
            <v>0.13997633443859162</v>
          </cell>
          <cell r="BY70">
            <v>0.14699608527849659</v>
          </cell>
          <cell r="BZ70">
            <v>0.16536014253572948</v>
          </cell>
          <cell r="CA70">
            <v>0.13830222680014917</v>
          </cell>
          <cell r="CB70">
            <v>0.13186935235342551</v>
          </cell>
          <cell r="CC70">
            <v>0.14573118723635342</v>
          </cell>
          <cell r="CD70">
            <v>0.15383883488337391</v>
          </cell>
          <cell r="CE70">
            <v>0.17239624652767252</v>
          </cell>
          <cell r="CF70">
            <v>0.14498914674556815</v>
          </cell>
          <cell r="CG70">
            <v>0.13749635385136832</v>
          </cell>
          <cell r="CH70">
            <v>0.15228753617464044</v>
          </cell>
        </row>
        <row r="71">
          <cell r="B71" t="str">
            <v>Operating margin</v>
          </cell>
          <cell r="D71">
            <v>-0.38315376966719306</v>
          </cell>
          <cell r="E71">
            <v>9.7462574760197859E-2</v>
          </cell>
          <cell r="F71">
            <v>0.11597150207738154</v>
          </cell>
          <cell r="G71">
            <v>0.12226667837298849</v>
          </cell>
          <cell r="H71">
            <v>0.11266646545724851</v>
          </cell>
          <cell r="I71">
            <v>0.10417241801478269</v>
          </cell>
          <cell r="J71">
            <v>0.10835137863296913</v>
          </cell>
          <cell r="K71">
            <v>0.11162034098457452</v>
          </cell>
          <cell r="L71">
            <v>0.11980079434846749</v>
          </cell>
          <cell r="M71">
            <v>0.11038633048237592</v>
          </cell>
          <cell r="N71">
            <v>0.10551315839454747</v>
          </cell>
          <cell r="O71">
            <v>0.10785209306311326</v>
          </cell>
          <cell r="P71">
            <v>0.11077263991325277</v>
          </cell>
          <cell r="Q71">
            <v>0.11123093934719408</v>
          </cell>
          <cell r="R71">
            <v>0.10402514555913429</v>
          </cell>
          <cell r="S71">
            <v>9.9470002295919235E-2</v>
          </cell>
          <cell r="T71">
            <v>9.9531842743436738E-2</v>
          </cell>
          <cell r="U71">
            <v>0.10327895339911064</v>
          </cell>
          <cell r="V71">
            <v>0.10527058182631793</v>
          </cell>
          <cell r="W71">
            <v>0.10171703727191281</v>
          </cell>
          <cell r="X71">
            <v>9.6802972392107486E-2</v>
          </cell>
          <cell r="Y71">
            <v>0.10138779106385078</v>
          </cell>
          <cell r="Z71">
            <v>0.10126584544441261</v>
          </cell>
          <cell r="AA71">
            <v>0.11142118874356188</v>
          </cell>
          <cell r="AB71">
            <v>0.10848704390248155</v>
          </cell>
          <cell r="AC71">
            <v>0.10439065545068227</v>
          </cell>
          <cell r="AD71">
            <v>0.10994735609477928</v>
          </cell>
          <cell r="AE71">
            <v>0.10856973450689281</v>
          </cell>
          <cell r="AF71">
            <v>0.11295177495368021</v>
          </cell>
          <cell r="AG71">
            <v>0.10325676167282734</v>
          </cell>
          <cell r="AH71">
            <v>3.6857700561557245E-2</v>
          </cell>
          <cell r="AI71">
            <v>0.1007668407426047</v>
          </cell>
          <cell r="AJ71">
            <v>8.779024806806715E-2</v>
          </cell>
          <cell r="AK71">
            <v>9.8778485328451765E-2</v>
          </cell>
          <cell r="AL71">
            <v>9.542656957493538E-2</v>
          </cell>
          <cell r="AM71">
            <v>7.7741597143303129E-2</v>
          </cell>
          <cell r="AN71">
            <v>2.4563923709688022E-2</v>
          </cell>
          <cell r="AO71">
            <v>6.587392688456381E-2</v>
          </cell>
          <cell r="AP71">
            <v>9.0761172831042083E-2</v>
          </cell>
          <cell r="AQ71">
            <v>8.662528803984236E-2</v>
          </cell>
          <cell r="AR71">
            <v>9.126569678959616E-2</v>
          </cell>
          <cell r="AS71">
            <v>9.2680600448011241E-2</v>
          </cell>
          <cell r="AT71">
            <v>9.0356841035769547E-2</v>
          </cell>
          <cell r="AU71">
            <v>8.8211479088227907E-2</v>
          </cell>
          <cell r="AV71">
            <v>8.6644474356811343E-2</v>
          </cell>
          <cell r="AW71">
            <v>8.6585370989682858E-2</v>
          </cell>
          <cell r="AX71">
            <v>9.2184581381791919E-2</v>
          </cell>
          <cell r="AY71">
            <v>8.8421158354081153E-2</v>
          </cell>
          <cell r="AZ71">
            <v>8.6376467148961619E-2</v>
          </cell>
          <cell r="BA71">
            <v>8.7912295838820612E-2</v>
          </cell>
          <cell r="BB71">
            <v>8.6351245597014833E-2</v>
          </cell>
          <cell r="BC71">
            <v>8.2970900452846316E-2</v>
          </cell>
          <cell r="BD71">
            <v>8.5852847187463902E-2</v>
          </cell>
          <cell r="BE71">
            <v>8.2507131442304413E-2</v>
          </cell>
          <cell r="BF71">
            <v>8.4135814567353265E-2</v>
          </cell>
          <cell r="BG71">
            <v>8.2596915017462358E-2</v>
          </cell>
          <cell r="BH71">
            <v>8.1624359407107744E-2</v>
          </cell>
          <cell r="BI71">
            <v>8.271577893791858E-2</v>
          </cell>
          <cell r="BJ71">
            <v>9.2276683095056905E-2</v>
          </cell>
          <cell r="BK71">
            <v>7.7436961286857661E-2</v>
          </cell>
          <cell r="BL71">
            <v>7.7807513320804794E-2</v>
          </cell>
          <cell r="BM71">
            <v>7.744791893862546E-2</v>
          </cell>
          <cell r="BN71">
            <v>8.1297645135222404E-2</v>
          </cell>
          <cell r="BO71">
            <v>8.2402308987085393E-2</v>
          </cell>
          <cell r="BP71">
            <v>9.5306900736146949E-2</v>
          </cell>
          <cell r="BQ71">
            <v>6.9603146731257268E-2</v>
          </cell>
          <cell r="BR71">
            <v>5.9199455788364393E-2</v>
          </cell>
          <cell r="BS71">
            <v>7.6697885134918181E-2</v>
          </cell>
          <cell r="BT71">
            <v>9.4850385600577861E-2</v>
          </cell>
          <cell r="BU71">
            <v>0.11199312451707374</v>
          </cell>
          <cell r="BV71">
            <v>8.5021223921345451E-2</v>
          </cell>
          <cell r="BW71">
            <v>7.570287597008668E-2</v>
          </cell>
          <cell r="BX71">
            <v>9.2018382495870077E-2</v>
          </cell>
          <cell r="BY71">
            <v>0.10080931782862829</v>
          </cell>
          <cell r="BZ71">
            <v>0.11932705827703484</v>
          </cell>
          <cell r="CA71">
            <v>9.1561867173260841E-2</v>
          </cell>
          <cell r="CB71">
            <v>8.423878377937899E-2</v>
          </cell>
          <cell r="CC71">
            <v>9.9091803871527356E-2</v>
          </cell>
          <cell r="CD71">
            <v>0.10918978917930799</v>
          </cell>
          <cell r="CE71">
            <v>0.12786596506814257</v>
          </cell>
          <cell r="CF71">
            <v>9.9799307775434623E-2</v>
          </cell>
          <cell r="CG71">
            <v>9.1310970826268462E-2</v>
          </cell>
          <cell r="CH71">
            <v>0.10715803769676947</v>
          </cell>
        </row>
        <row r="72">
          <cell r="B72" t="str">
            <v>Pretax margin</v>
          </cell>
          <cell r="D72">
            <v>-0.53215066970813596</v>
          </cell>
          <cell r="E72">
            <v>-1.0404156477180069E-2</v>
          </cell>
          <cell r="F72">
            <v>2.0741666735202349E-2</v>
          </cell>
          <cell r="G72">
            <v>5.3150045780080001E-2</v>
          </cell>
          <cell r="H72">
            <v>4.8759194729976231E-2</v>
          </cell>
          <cell r="I72">
            <v>4.766077168488296E-2</v>
          </cell>
          <cell r="J72">
            <v>5.7930647410900954E-2</v>
          </cell>
          <cell r="K72">
            <v>5.2108347479518792E-2</v>
          </cell>
          <cell r="L72">
            <v>8.8444835141766334E-2</v>
          </cell>
          <cell r="M72">
            <v>7.9246940152511741E-2</v>
          </cell>
          <cell r="N72">
            <v>6.3124840596120807E-2</v>
          </cell>
          <cell r="O72">
            <v>8.2450833369038981E-2</v>
          </cell>
          <cell r="P72">
            <v>7.8276072217220605E-2</v>
          </cell>
          <cell r="Q72">
            <v>8.5420847382814927E-2</v>
          </cell>
          <cell r="R72">
            <v>7.866811300287703E-2</v>
          </cell>
          <cell r="S72">
            <v>7.3927211066883325E-2</v>
          </cell>
          <cell r="T72">
            <v>7.5707644472172181E-2</v>
          </cell>
          <cell r="U72">
            <v>7.8199083899663804E-2</v>
          </cell>
          <cell r="V72">
            <v>8.2444040195725612E-2</v>
          </cell>
          <cell r="W72">
            <v>7.8995267117218465E-2</v>
          </cell>
          <cell r="X72">
            <v>7.3170038173817717E-2</v>
          </cell>
          <cell r="Y72">
            <v>7.6622770236086227E-2</v>
          </cell>
          <cell r="Z72">
            <v>7.7757542920836892E-2</v>
          </cell>
          <cell r="AA72">
            <v>8.6499625864777302E-2</v>
          </cell>
          <cell r="AB72">
            <v>8.3439096654250866E-2</v>
          </cell>
          <cell r="AC72">
            <v>7.8380963961995995E-2</v>
          </cell>
          <cell r="AD72">
            <v>8.4847312309713027E-2</v>
          </cell>
          <cell r="AE72">
            <v>8.3300281905311413E-2</v>
          </cell>
          <cell r="AF72">
            <v>9.1728507386791891E-2</v>
          </cell>
          <cell r="AG72">
            <v>8.0760262908391223E-2</v>
          </cell>
          <cell r="AH72">
            <v>1.2385590169143649E-2</v>
          </cell>
          <cell r="AI72">
            <v>7.5519044554374012E-2</v>
          </cell>
          <cell r="AJ72">
            <v>6.4357143249825541E-2</v>
          </cell>
          <cell r="AK72">
            <v>7.3525930712451892E-2</v>
          </cell>
          <cell r="AL72">
            <v>7.0485170454909249E-2</v>
          </cell>
          <cell r="AM72">
            <v>1.2908110966983964E-2</v>
          </cell>
          <cell r="AN72">
            <v>-3.9116148052755505E-2</v>
          </cell>
          <cell r="AO72">
            <v>1.4731193088644397E-2</v>
          </cell>
          <cell r="AP72">
            <v>3.4246801346554522E-2</v>
          </cell>
          <cell r="AQ72">
            <v>3.3160261651676147E-2</v>
          </cell>
          <cell r="AR72">
            <v>3.3890279350562096E-2</v>
          </cell>
          <cell r="AS72">
            <v>3.6994240166168292E-2</v>
          </cell>
          <cell r="AT72">
            <v>3.4582351218236614E-2</v>
          </cell>
          <cell r="AU72">
            <v>3.6877115465065058E-2</v>
          </cell>
          <cell r="AV72">
            <v>3.7026332126931669E-2</v>
          </cell>
          <cell r="AW72">
            <v>3.6421720271469532E-2</v>
          </cell>
          <cell r="AX72">
            <v>3.7379017361198918E-2</v>
          </cell>
          <cell r="AY72">
            <v>3.6926418523181598E-2</v>
          </cell>
          <cell r="AZ72">
            <v>3.9593485285956909E-2</v>
          </cell>
          <cell r="BA72">
            <v>4.0336496980155394E-2</v>
          </cell>
          <cell r="BB72">
            <v>3.8850203947965234E-2</v>
          </cell>
          <cell r="BC72">
            <v>3.7922543251695112E-2</v>
          </cell>
          <cell r="BD72">
            <v>3.9150964463096287E-2</v>
          </cell>
          <cell r="BE72">
            <v>3.9620983736728878E-2</v>
          </cell>
          <cell r="BF72">
            <v>4.0099550676518873E-2</v>
          </cell>
          <cell r="BG72">
            <v>3.8567229336437914E-2</v>
          </cell>
          <cell r="BH72">
            <v>1.9647850379112503E-2</v>
          </cell>
          <cell r="BI72">
            <v>3.4464488723862791E-2</v>
          </cell>
          <cell r="BJ72">
            <v>3.8466326469390286E-2</v>
          </cell>
          <cell r="BK72">
            <v>4.0488166328032885E-2</v>
          </cell>
          <cell r="BL72">
            <v>2.2847104454533317E-2</v>
          </cell>
          <cell r="BM72">
            <v>3.6174065357058874E-2</v>
          </cell>
          <cell r="BN72">
            <v>3.4535374536748771E-2</v>
          </cell>
          <cell r="BO72">
            <v>4.3361495566497377E-2</v>
          </cell>
          <cell r="BP72">
            <v>5.6707703880313431E-2</v>
          </cell>
          <cell r="BQ72">
            <v>3.0433167033205928E-2</v>
          </cell>
          <cell r="BR72">
            <v>2.0039589914830926E-2</v>
          </cell>
          <cell r="BS72">
            <v>3.7706728479127996E-2</v>
          </cell>
          <cell r="BT72">
            <v>5.817589258615849E-2</v>
          </cell>
          <cell r="BU72">
            <v>7.5652457758574501E-2</v>
          </cell>
          <cell r="BV72">
            <v>4.7936463147780925E-2</v>
          </cell>
          <cell r="BW72">
            <v>3.8427861124138291E-2</v>
          </cell>
          <cell r="BX72">
            <v>5.517811313725024E-2</v>
          </cell>
          <cell r="BY72">
            <v>6.5636491823901619E-2</v>
          </cell>
          <cell r="BZ72">
            <v>8.4549020357130467E-2</v>
          </cell>
          <cell r="CA72">
            <v>5.6097680419418955E-2</v>
          </cell>
          <cell r="CB72">
            <v>4.8710359021550222E-2</v>
          </cell>
          <cell r="CC72">
            <v>6.3858376756871504E-2</v>
          </cell>
          <cell r="CD72">
            <v>7.5698163251982489E-2</v>
          </cell>
          <cell r="CE72">
            <v>9.4735656284058237E-2</v>
          </cell>
          <cell r="CF72">
            <v>6.6029136565791333E-2</v>
          </cell>
          <cell r="CG72">
            <v>5.7418010811578823E-2</v>
          </cell>
          <cell r="CH72">
            <v>7.358930160693164E-2</v>
          </cell>
        </row>
        <row r="73">
          <cell r="B73" t="str">
            <v>Net margin</v>
          </cell>
          <cell r="D73">
            <v>-0.55340937006492363</v>
          </cell>
          <cell r="E73">
            <v>-1.5546046911300813E-2</v>
          </cell>
          <cell r="F73">
            <v>7.1543871742898724E-3</v>
          </cell>
          <cell r="G73">
            <v>2.7212181264031889E-2</v>
          </cell>
          <cell r="H73">
            <v>2.4072794574329936E-2</v>
          </cell>
          <cell r="I73">
            <v>2.4104049989317516E-2</v>
          </cell>
          <cell r="J73">
            <v>3.7719213741513179E-2</v>
          </cell>
          <cell r="K73">
            <v>2.8666912687283198E-2</v>
          </cell>
          <cell r="L73">
            <v>5.0937267463764237E-2</v>
          </cell>
          <cell r="M73">
            <v>4.5687565729708106E-2</v>
          </cell>
          <cell r="N73">
            <v>4.5998759136894746E-2</v>
          </cell>
          <cell r="O73">
            <v>4.8692746047388526E-2</v>
          </cell>
          <cell r="P73">
            <v>4.7835478457037874E-2</v>
          </cell>
          <cell r="Q73">
            <v>5.0872395063076788E-2</v>
          </cell>
          <cell r="R73">
            <v>4.6578922946083491E-2</v>
          </cell>
          <cell r="S73">
            <v>4.38202433674219E-2</v>
          </cell>
          <cell r="T73">
            <v>4.4820837400255588E-2</v>
          </cell>
          <cell r="U73">
            <v>4.6380754555101718E-2</v>
          </cell>
          <cell r="V73">
            <v>4.9522359601933963E-2</v>
          </cell>
          <cell r="W73">
            <v>4.7978969335196534E-2</v>
          </cell>
          <cell r="X73">
            <v>4.8264643367447353E-2</v>
          </cell>
          <cell r="Y73">
            <v>4.7313614164944867E-2</v>
          </cell>
          <cell r="Z73">
            <v>4.8256553587497204E-2</v>
          </cell>
          <cell r="AA73">
            <v>5.2173266178613308E-2</v>
          </cell>
          <cell r="AB73">
            <v>5.0233042130447041E-2</v>
          </cell>
          <cell r="AC73">
            <v>4.742006889286101E-2</v>
          </cell>
          <cell r="AD73">
            <v>5.1771258667915605E-2</v>
          </cell>
          <cell r="AE73">
            <v>5.041204113600771E-2</v>
          </cell>
          <cell r="AF73">
            <v>5.5772569021646873E-2</v>
          </cell>
          <cell r="AG73">
            <v>4.9355640711971439E-2</v>
          </cell>
          <cell r="AH73">
            <v>4.2938789460988745E-2</v>
          </cell>
          <cell r="AI73">
            <v>4.6440942522025172E-2</v>
          </cell>
          <cell r="AJ73">
            <v>4.8442404851043792E-2</v>
          </cell>
          <cell r="AK73">
            <v>4.5119713753439539E-2</v>
          </cell>
          <cell r="AL73">
            <v>4.3040425000480241E-2</v>
          </cell>
          <cell r="AM73">
            <v>1.4357462117685446E-2</v>
          </cell>
          <cell r="AN73">
            <v>1.3768405144557202E-2</v>
          </cell>
          <cell r="AO73">
            <v>2.4090398325286828E-2</v>
          </cell>
          <cell r="AP73">
            <v>1.9208785600578458E-2</v>
          </cell>
          <cell r="AQ73">
            <v>2.058314130677167E-2</v>
          </cell>
          <cell r="AR73">
            <v>1.9410283966734568E-2</v>
          </cell>
          <cell r="AS73">
            <v>2.0236187226103739E-2</v>
          </cell>
          <cell r="AT73">
            <v>1.9856468154636465E-2</v>
          </cell>
          <cell r="AU73">
            <v>1.9238415289777492E-2</v>
          </cell>
          <cell r="AV73">
            <v>1.986994197140762E-2</v>
          </cell>
          <cell r="AW73">
            <v>1.9348928341298158E-2</v>
          </cell>
          <cell r="AX73">
            <v>2.2596473929086688E-2</v>
          </cell>
          <cell r="AY73">
            <v>2.0283041954773255E-2</v>
          </cell>
          <cell r="AZ73">
            <v>2.2149053285926534E-2</v>
          </cell>
          <cell r="BA73">
            <v>2.209538622224249E-2</v>
          </cell>
          <cell r="BB73">
            <v>2.1648157857108833E-2</v>
          </cell>
          <cell r="BC73">
            <v>2.0427901498192964E-2</v>
          </cell>
          <cell r="BD73">
            <v>2.1559542601932772E-2</v>
          </cell>
          <cell r="BE73">
            <v>2.1771675209127248E-2</v>
          </cell>
          <cell r="BF73">
            <v>2.1758800452789037E-2</v>
          </cell>
          <cell r="BG73">
            <v>2.2547438882421618E-2</v>
          </cell>
          <cell r="BH73">
            <v>2.1910150546954957E-2</v>
          </cell>
          <cell r="BI73">
            <v>2.1997516344776955E-2</v>
          </cell>
          <cell r="BJ73">
            <v>2.1480469291455945E-2</v>
          </cell>
          <cell r="BK73">
            <v>2.225026078173652E-2</v>
          </cell>
          <cell r="BL73">
            <v>2.09746931081859E-2</v>
          </cell>
          <cell r="BM73">
            <v>2.0216623789229445E-2</v>
          </cell>
          <cell r="BN73">
            <v>2.1236390134341795E-2</v>
          </cell>
          <cell r="BO73">
            <v>2.5032202029553238E-2</v>
          </cell>
          <cell r="BP73">
            <v>3.3974161599809996E-2</v>
          </cell>
          <cell r="BQ73">
            <v>1.6370221912247972E-2</v>
          </cell>
          <cell r="BR73">
            <v>9.4065252429367217E-3</v>
          </cell>
          <cell r="BS73">
            <v>2.124350808101574E-2</v>
          </cell>
          <cell r="BT73">
            <v>3.5292848032726191E-2</v>
          </cell>
          <cell r="BU73">
            <v>4.7002146698244922E-2</v>
          </cell>
          <cell r="BV73">
            <v>2.8432430309013219E-2</v>
          </cell>
          <cell r="BW73">
            <v>2.2061666953172653E-2</v>
          </cell>
          <cell r="BX73">
            <v>3.3284335801957672E-2</v>
          </cell>
          <cell r="BY73">
            <v>4.0291449522014078E-2</v>
          </cell>
          <cell r="BZ73">
            <v>5.2962843639277411E-2</v>
          </cell>
          <cell r="CA73">
            <v>3.3900445881010696E-2</v>
          </cell>
          <cell r="CB73">
            <v>2.8950940544438648E-2</v>
          </cell>
          <cell r="CC73">
            <v>3.910011242710397E-2</v>
          </cell>
          <cell r="CD73">
            <v>4.7032769378828256E-2</v>
          </cell>
          <cell r="CE73">
            <v>5.9787889710319016E-2</v>
          </cell>
          <cell r="CF73">
            <v>4.0554521499080183E-2</v>
          </cell>
          <cell r="CG73">
            <v>3.4785067243757808E-2</v>
          </cell>
          <cell r="CH73">
            <v>4.5619832076644211E-2</v>
          </cell>
        </row>
        <row r="74">
          <cell r="B74" t="str">
            <v>Effective tax rate</v>
          </cell>
          <cell r="D74">
            <v>-3.9948649070473435E-2</v>
          </cell>
          <cell r="E74">
            <v>-0.4942150231399054</v>
          </cell>
          <cell r="F74">
            <v>0.65507173239132288</v>
          </cell>
          <cell r="G74">
            <v>0.48801208231074211</v>
          </cell>
          <cell r="H74">
            <v>0.50629220380601492</v>
          </cell>
          <cell r="I74">
            <v>0.49425808401329685</v>
          </cell>
          <cell r="J74">
            <v>0.48655194852143685</v>
          </cell>
          <cell r="K74">
            <v>0.49300865702760271</v>
          </cell>
          <cell r="L74">
            <v>0.40795134253078147</v>
          </cell>
          <cell r="M74">
            <v>0.40552239160938963</v>
          </cell>
          <cell r="N74">
            <v>0.41254513152616162</v>
          </cell>
          <cell r="O74">
            <v>0.40163798120894639</v>
          </cell>
          <cell r="P74">
            <v>0.4065257779842083</v>
          </cell>
          <cell r="Q74">
            <v>0.39784430712408497</v>
          </cell>
          <cell r="R74">
            <v>0.39475516361104623</v>
          </cell>
          <cell r="S74">
            <v>0.3950721221305486</v>
          </cell>
          <cell r="T74">
            <v>0.4032563548762253</v>
          </cell>
          <cell r="U74">
            <v>0.3979247964270396</v>
          </cell>
          <cell r="V74">
            <v>0.39382005899704992</v>
          </cell>
          <cell r="W74">
            <v>0.39209036032111505</v>
          </cell>
          <cell r="X74">
            <v>0.38908319569934224</v>
          </cell>
          <cell r="Y74">
            <v>0.38415930528522241</v>
          </cell>
          <cell r="Z74">
            <v>0.38979526060531511</v>
          </cell>
          <cell r="AA74">
            <v>0.38562033641077598</v>
          </cell>
          <cell r="AB74">
            <v>0.38339616734283871</v>
          </cell>
          <cell r="AC74">
            <v>0.38518884632810219</v>
          </cell>
          <cell r="AD74">
            <v>0.38520989847106601</v>
          </cell>
          <cell r="AE74">
            <v>0.38486325306999219</v>
          </cell>
          <cell r="AF74">
            <v>0.38547230924441206</v>
          </cell>
          <cell r="AG74">
            <v>0.38355253177113047</v>
          </cell>
          <cell r="AH74">
            <v>0.364570607258354</v>
          </cell>
          <cell r="AI74">
            <v>0.37212823306761461</v>
          </cell>
          <cell r="AJ74">
            <v>0.37971070203163437</v>
          </cell>
          <cell r="AK74">
            <v>0.384162665913584</v>
          </cell>
          <cell r="AL74">
            <v>0.38227042989380483</v>
          </cell>
          <cell r="AM74">
            <v>0.31553637890714636</v>
          </cell>
          <cell r="AN74">
            <v>0.38480672200932281</v>
          </cell>
          <cell r="AO74">
            <v>0.36274437203791299</v>
          </cell>
          <cell r="AP74">
            <v>0.34509153195589271</v>
          </cell>
          <cell r="AQ74">
            <v>0.34911063538853021</v>
          </cell>
          <cell r="AR74">
            <v>0.34255584050738119</v>
          </cell>
          <cell r="AS74">
            <v>0.34507297305233875</v>
          </cell>
          <cell r="AT74">
            <v>0.34540414241020162</v>
          </cell>
          <cell r="AU74">
            <v>0.33312395113582177</v>
          </cell>
          <cell r="AV74">
            <v>0.3330946135873315</v>
          </cell>
          <cell r="AW74">
            <v>0.32967756281965616</v>
          </cell>
          <cell r="AX74">
            <v>0.2719137298345205</v>
          </cell>
          <cell r="AY74">
            <v>0.31640300309854108</v>
          </cell>
          <cell r="AZ74">
            <v>0.3208144217861017</v>
          </cell>
          <cell r="BA74">
            <v>0.32496794571097909</v>
          </cell>
          <cell r="BB74">
            <v>0.3283838439802757</v>
          </cell>
          <cell r="BC74">
            <v>0.28510760312773725</v>
          </cell>
          <cell r="BD74">
            <v>0.31467801130530215</v>
          </cell>
          <cell r="BE74">
            <v>0.32449619412553871</v>
          </cell>
          <cell r="BF74">
            <v>0.32550927775155203</v>
          </cell>
          <cell r="BG74">
            <v>0.27707388486005424</v>
          </cell>
          <cell r="BH74">
            <v>0.17775510807534198</v>
          </cell>
          <cell r="BI74">
            <v>0.29050516844235919</v>
          </cell>
          <cell r="BJ74">
            <v>0.31482715735517447</v>
          </cell>
          <cell r="BK74">
            <v>0.32645728676344643</v>
          </cell>
          <cell r="BL74">
            <v>0.30429325818750297</v>
          </cell>
          <cell r="BM74">
            <v>0.33</v>
          </cell>
          <cell r="BN74">
            <v>0.32049989201284124</v>
          </cell>
          <cell r="BO74">
            <v>0.32</v>
          </cell>
          <cell r="BP74">
            <v>0.32</v>
          </cell>
          <cell r="BQ74">
            <v>0.32</v>
          </cell>
          <cell r="BR74">
            <v>0.32</v>
          </cell>
          <cell r="BS74">
            <v>0.31999999999999956</v>
          </cell>
          <cell r="BT74">
            <v>0.33</v>
          </cell>
          <cell r="BU74">
            <v>0.33</v>
          </cell>
          <cell r="BV74">
            <v>0.33</v>
          </cell>
          <cell r="BW74">
            <v>0.33</v>
          </cell>
          <cell r="BX74">
            <v>0.32999999999999935</v>
          </cell>
          <cell r="BY74">
            <v>0.33</v>
          </cell>
          <cell r="BZ74">
            <v>0.33</v>
          </cell>
          <cell r="CA74">
            <v>0.33</v>
          </cell>
          <cell r="CB74">
            <v>0.33</v>
          </cell>
          <cell r="CC74">
            <v>0.3300000000000004</v>
          </cell>
          <cell r="CD74">
            <v>0.33</v>
          </cell>
          <cell r="CE74">
            <v>0.33</v>
          </cell>
          <cell r="CF74">
            <v>0.33</v>
          </cell>
          <cell r="CG74">
            <v>0.33</v>
          </cell>
          <cell r="CH74">
            <v>0.32999999999999918</v>
          </cell>
        </row>
        <row r="76">
          <cell r="B76" t="str">
            <v>Ratios (% of net revenue)</v>
          </cell>
        </row>
        <row r="77">
          <cell r="B77" t="str">
            <v xml:space="preserve">Provision for bad debt as % of revenue </v>
          </cell>
          <cell r="D77">
            <v>0.14306954436450839</v>
          </cell>
          <cell r="E77">
            <v>8.8104760114560546E-2</v>
          </cell>
          <cell r="F77">
            <v>9.1441426959680772E-2</v>
          </cell>
          <cell r="G77">
            <v>9.2746679376387517E-2</v>
          </cell>
          <cell r="H77">
            <v>9.2255349717766374E-2</v>
          </cell>
          <cell r="I77">
            <v>9.2143198365696913E-2</v>
          </cell>
          <cell r="J77">
            <v>9.1901185754195799E-2</v>
          </cell>
          <cell r="K77">
            <v>9.2243560410362385E-2</v>
          </cell>
          <cell r="L77">
            <v>9.3524316847197572E-2</v>
          </cell>
          <cell r="M77">
            <v>8.9942742120916283E-2</v>
          </cell>
          <cell r="N77">
            <v>9.4694496247564847E-2</v>
          </cell>
          <cell r="O77">
            <v>8.8031192424696855E-2</v>
          </cell>
          <cell r="P77">
            <v>9.1498111494321313E-2</v>
          </cell>
          <cell r="Q77">
            <v>9.4559646400526637E-2</v>
          </cell>
          <cell r="R77">
            <v>9.4444943122777819E-2</v>
          </cell>
          <cell r="S77">
            <v>9.7770192331630285E-2</v>
          </cell>
          <cell r="T77">
            <v>0.10239713621590074</v>
          </cell>
          <cell r="U77">
            <v>9.7550151272267502E-2</v>
          </cell>
          <cell r="V77">
            <v>0.1047100109925387</v>
          </cell>
          <cell r="W77">
            <v>0.10043518924771622</v>
          </cell>
          <cell r="X77">
            <v>0.10473630209209581</v>
          </cell>
          <cell r="Y77">
            <v>0.10322219456149268</v>
          </cell>
          <cell r="Z77">
            <v>0.10329195000107405</v>
          </cell>
          <cell r="AA77">
            <v>0.10282592428903368</v>
          </cell>
          <cell r="AB77">
            <v>9.9684560441833076E-2</v>
          </cell>
          <cell r="AC77">
            <v>0.10005714168878979</v>
          </cell>
          <cell r="AD77">
            <v>0.10180842506135</v>
          </cell>
          <cell r="AE77">
            <v>0.10110104656178345</v>
          </cell>
          <cell r="AF77">
            <v>0.10480711345247536</v>
          </cell>
          <cell r="AG77">
            <v>0.10904628793633499</v>
          </cell>
          <cell r="AH77">
            <v>0.17128786105352728</v>
          </cell>
          <cell r="AI77">
            <v>0.11437819895935561</v>
          </cell>
          <cell r="AJ77">
            <v>0.12547737114186078</v>
          </cell>
          <cell r="AK77">
            <v>0.11270709146285249</v>
          </cell>
          <cell r="AL77">
            <v>0.11901182264747889</v>
          </cell>
          <cell r="AM77">
            <v>0.11887485454407086</v>
          </cell>
          <cell r="AN77">
            <v>0.14283273386274484</v>
          </cell>
          <cell r="AO77">
            <v>0.12614538598883979</v>
          </cell>
          <cell r="AP77">
            <v>0.10891810024659455</v>
          </cell>
          <cell r="AQ77">
            <v>0.1081710399167472</v>
          </cell>
          <cell r="AR77">
            <v>0.117644958634767</v>
          </cell>
          <cell r="AS77">
            <v>0.11455717792041971</v>
          </cell>
          <cell r="AT77">
            <v>0.11236577557449623</v>
          </cell>
          <cell r="AU77">
            <v>0.11597709852405798</v>
          </cell>
          <cell r="AV77">
            <v>0.12014142708507004</v>
          </cell>
          <cell r="AW77">
            <v>0.12257427455416803</v>
          </cell>
          <cell r="AX77">
            <v>0.12348818205286971</v>
          </cell>
          <cell r="AY77">
            <v>0.12062210325025022</v>
          </cell>
          <cell r="AZ77">
            <v>0.11961634082339415</v>
          </cell>
          <cell r="BA77">
            <v>0.12029237243237516</v>
          </cell>
          <cell r="BB77">
            <v>0.12394532072797047</v>
          </cell>
          <cell r="BC77">
            <v>0.1251697549504085</v>
          </cell>
          <cell r="BD77">
            <v>0.12232056366226467</v>
          </cell>
          <cell r="BE77">
            <v>0.1197738729325865</v>
          </cell>
          <cell r="BF77">
            <v>0.12609888261762597</v>
          </cell>
          <cell r="BG77">
            <v>0.13105238649592549</v>
          </cell>
          <cell r="BH77">
            <v>0.1268517716994034</v>
          </cell>
          <cell r="BI77">
            <v>0.12595842520075362</v>
          </cell>
          <cell r="BJ77">
            <v>0.12857332024841608</v>
          </cell>
          <cell r="BK77">
            <v>0.13438240371895577</v>
          </cell>
          <cell r="BL77">
            <v>0.13109965993635878</v>
          </cell>
          <cell r="BM77">
            <v>0.13</v>
          </cell>
          <cell r="BN77">
            <v>0.13101162083997483</v>
          </cell>
          <cell r="BO77">
            <v>0.13227193635898349</v>
          </cell>
          <cell r="BP77">
            <v>0.13516078160571779</v>
          </cell>
          <cell r="BQ77">
            <v>0.13204274807183702</v>
          </cell>
          <cell r="BR77">
            <v>0.131174362283526</v>
          </cell>
          <cell r="BS77">
            <v>0.13266909416101083</v>
          </cell>
          <cell r="BT77">
            <v>0.10070045128101981</v>
          </cell>
          <cell r="BU77">
            <v>0.10258996045252673</v>
          </cell>
          <cell r="BV77">
            <v>0.10027929556453288</v>
          </cell>
          <cell r="BW77">
            <v>9.9126986840993123E-2</v>
          </cell>
          <cell r="BX77">
            <v>0.10068720958381411</v>
          </cell>
          <cell r="BY77">
            <v>8.6041936810924841E-2</v>
          </cell>
          <cell r="BZ77">
            <v>8.7902892358816889E-2</v>
          </cell>
          <cell r="CA77">
            <v>8.6228888843226631E-2</v>
          </cell>
          <cell r="CB77">
            <v>8.5380870885745377E-2</v>
          </cell>
          <cell r="CC77">
            <v>8.6399816324205167E-2</v>
          </cell>
          <cell r="CD77">
            <v>7.6104567968502249E-2</v>
          </cell>
          <cell r="CE77">
            <v>7.7758052049627671E-2</v>
          </cell>
          <cell r="CF77">
            <v>7.6253402497982931E-2</v>
          </cell>
          <cell r="CG77">
            <v>7.5623188619637197E-2</v>
          </cell>
          <cell r="CH77">
            <v>7.6447860766541545E-2</v>
          </cell>
        </row>
        <row r="78">
          <cell r="B78" t="str">
            <v xml:space="preserve">Salaries &amp; benefits as % of revenue </v>
          </cell>
          <cell r="D78">
            <v>0.60524302509212147</v>
          </cell>
          <cell r="E78">
            <v>0.38827615646236457</v>
          </cell>
          <cell r="F78">
            <v>0.38683485096459747</v>
          </cell>
          <cell r="G78">
            <v>0.38564136010736372</v>
          </cell>
          <cell r="H78">
            <v>0.3892329680800381</v>
          </cell>
          <cell r="I78">
            <v>0.39205989884028813</v>
          </cell>
          <cell r="J78">
            <v>0.40407579444693426</v>
          </cell>
          <cell r="K78">
            <v>0.39326769503284376</v>
          </cell>
          <cell r="L78">
            <v>0.40704079892187528</v>
          </cell>
          <cell r="M78">
            <v>0.40373589756154565</v>
          </cell>
          <cell r="N78">
            <v>0.4005835312503957</v>
          </cell>
          <cell r="O78">
            <v>0.40086721796135222</v>
          </cell>
          <cell r="P78">
            <v>0.40298452520590411</v>
          </cell>
          <cell r="Q78">
            <v>0.40767689453750089</v>
          </cell>
          <cell r="R78">
            <v>0.40059303841665744</v>
          </cell>
          <cell r="S78">
            <v>0.39878177980752999</v>
          </cell>
          <cell r="T78">
            <v>0.40027948560561083</v>
          </cell>
          <cell r="U78">
            <v>0.40169066514641794</v>
          </cell>
          <cell r="V78">
            <v>0.40179674504119772</v>
          </cell>
          <cell r="W78">
            <v>0.40237860850050822</v>
          </cell>
          <cell r="X78">
            <v>0.40098147704950277</v>
          </cell>
          <cell r="Y78">
            <v>0.39912329508886929</v>
          </cell>
          <cell r="Z78">
            <v>0.40103742759010802</v>
          </cell>
          <cell r="AA78">
            <v>0.39687651787316164</v>
          </cell>
          <cell r="AB78">
            <v>0.39739833115275852</v>
          </cell>
          <cell r="AC78">
            <v>0.40018659828316661</v>
          </cell>
          <cell r="AD78">
            <v>0.39630168928895088</v>
          </cell>
          <cell r="AE78">
            <v>0.39767531612522411</v>
          </cell>
          <cell r="AF78">
            <v>0.39711970635967436</v>
          </cell>
          <cell r="AG78">
            <v>0.39597136432264518</v>
          </cell>
          <cell r="AH78">
            <v>0.40066204829089541</v>
          </cell>
          <cell r="AI78">
            <v>0.40128213901186421</v>
          </cell>
          <cell r="AJ78">
            <v>0.39885298068341957</v>
          </cell>
          <cell r="AK78">
            <v>0.40393456129874078</v>
          </cell>
          <cell r="AL78">
            <v>0.3963444899161655</v>
          </cell>
          <cell r="AM78">
            <v>0.40453435608461763</v>
          </cell>
          <cell r="AN78">
            <v>0.41764207532050646</v>
          </cell>
          <cell r="AO78">
            <v>0.40755996342291884</v>
          </cell>
          <cell r="AP78">
            <v>0.39880786961504699</v>
          </cell>
          <cell r="AQ78">
            <v>0.40116553928491788</v>
          </cell>
          <cell r="AR78">
            <v>0.39371839905368466</v>
          </cell>
          <cell r="AS78">
            <v>0.39934521994627631</v>
          </cell>
          <cell r="AT78">
            <v>0.39823403714495026</v>
          </cell>
          <cell r="AU78">
            <v>0.40248514204515989</v>
          </cell>
          <cell r="AV78">
            <v>0.39830809877887058</v>
          </cell>
          <cell r="AW78">
            <v>0.40143976347992405</v>
          </cell>
          <cell r="AX78">
            <v>0.39728404934610012</v>
          </cell>
          <cell r="AY78">
            <v>0.39984549013365644</v>
          </cell>
          <cell r="AZ78">
            <v>0.40586644443896042</v>
          </cell>
          <cell r="BA78">
            <v>0.39979577574941089</v>
          </cell>
          <cell r="BB78">
            <v>0.40078934704363856</v>
          </cell>
          <cell r="BC78">
            <v>0.40673271423655161</v>
          </cell>
          <cell r="BD78">
            <v>0.40333969891810723</v>
          </cell>
          <cell r="BE78">
            <v>0.41174161068110049</v>
          </cell>
          <cell r="BF78">
            <v>0.40307656554825527</v>
          </cell>
          <cell r="BG78">
            <v>0.40545721769499421</v>
          </cell>
          <cell r="BH78">
            <v>0.41286978063124796</v>
          </cell>
          <cell r="BI78">
            <v>0.40828157229153456</v>
          </cell>
          <cell r="BJ78">
            <v>0.40306029537271265</v>
          </cell>
          <cell r="BK78">
            <v>0.39969966058336098</v>
          </cell>
          <cell r="BL78">
            <v>0.4125644737237199</v>
          </cell>
          <cell r="BM78">
            <v>0.41750610794907372</v>
          </cell>
          <cell r="BN78">
            <v>0.40813991329629512</v>
          </cell>
          <cell r="BO78">
            <v>0.40769133256923917</v>
          </cell>
          <cell r="BP78">
            <v>0.39308532506583671</v>
          </cell>
          <cell r="BQ78">
            <v>0.41853035656046428</v>
          </cell>
          <cell r="BR78">
            <v>0.427182970890575</v>
          </cell>
          <cell r="BS78">
            <v>0.41155483130791942</v>
          </cell>
          <cell r="BT78">
            <v>0.41741846109019998</v>
          </cell>
          <cell r="BU78">
            <v>0.40097101974927346</v>
          </cell>
          <cell r="BV78">
            <v>0.42683849871028967</v>
          </cell>
          <cell r="BW78">
            <v>0.43515392504721784</v>
          </cell>
          <cell r="BX78">
            <v>0.41997599597883289</v>
          </cell>
          <cell r="BY78">
            <v>0.42208341452441672</v>
          </cell>
          <cell r="BZ78">
            <v>0.40484405478111368</v>
          </cell>
          <cell r="CA78">
            <v>0.43087368662447811</v>
          </cell>
          <cell r="CB78">
            <v>0.43800785738845033</v>
          </cell>
          <cell r="CC78">
            <v>0.42385076678775008</v>
          </cell>
          <cell r="CD78">
            <v>0.42456315749277157</v>
          </cell>
          <cell r="CE78">
            <v>0.40731587030742478</v>
          </cell>
          <cell r="CF78">
            <v>0.43349496617573074</v>
          </cell>
          <cell r="CG78">
            <v>0.44120609956188633</v>
          </cell>
          <cell r="CH78">
            <v>0.42653671127398302</v>
          </cell>
        </row>
        <row r="79">
          <cell r="B79" t="str">
            <v xml:space="preserve">Supplies expense % of revenue </v>
          </cell>
          <cell r="D79">
            <v>0.18039539100426977</v>
          </cell>
          <cell r="E79">
            <v>0.11731343864038528</v>
          </cell>
          <cell r="F79">
            <v>0.11529785772122789</v>
          </cell>
          <cell r="G79">
            <v>0.11729483625782339</v>
          </cell>
          <cell r="H79">
            <v>0.11506102382336141</v>
          </cell>
          <cell r="I79">
            <v>0.11556788911320814</v>
          </cell>
          <cell r="J79">
            <v>0.11513669052695068</v>
          </cell>
          <cell r="K79">
            <v>0.11573282161045097</v>
          </cell>
          <cell r="L79">
            <v>0.11995823953786088</v>
          </cell>
          <cell r="M79">
            <v>0.11667376578926537</v>
          </cell>
          <cell r="N79">
            <v>0.11388446225949234</v>
          </cell>
          <cell r="O79">
            <v>0.11281031749432281</v>
          </cell>
          <cell r="P79">
            <v>0.1157448792660664</v>
          </cell>
          <cell r="Q79">
            <v>0.11652158349221949</v>
          </cell>
          <cell r="R79">
            <v>0.11585700745329708</v>
          </cell>
          <cell r="S79">
            <v>0.11649576361438517</v>
          </cell>
          <cell r="T79">
            <v>0.1197146781513197</v>
          </cell>
          <cell r="U79">
            <v>0.11725646858278203</v>
          </cell>
          <cell r="V79">
            <v>0.12085955815831201</v>
          </cell>
          <cell r="W79">
            <v>0.11877679990266311</v>
          </cell>
          <cell r="X79">
            <v>0.12302703445595793</v>
          </cell>
          <cell r="Y79">
            <v>0.12194022299646771</v>
          </cell>
          <cell r="Z79">
            <v>0.12118080335299269</v>
          </cell>
          <cell r="AA79">
            <v>0.12424024294722287</v>
          </cell>
          <cell r="AB79">
            <v>0.12019901645553914</v>
          </cell>
          <cell r="AC79">
            <v>0.11889022446675827</v>
          </cell>
          <cell r="AD79">
            <v>0.11673709613367683</v>
          </cell>
          <cell r="AE79">
            <v>0.1199527798587936</v>
          </cell>
          <cell r="AF79">
            <v>0.11964206740557318</v>
          </cell>
          <cell r="AG79">
            <v>0.11846710911979974</v>
          </cell>
          <cell r="AH79">
            <v>0.11574362940961279</v>
          </cell>
          <cell r="AI79">
            <v>0.11415991830066773</v>
          </cell>
          <cell r="AJ79">
            <v>0.11690347390584885</v>
          </cell>
          <cell r="AK79">
            <v>0.11670128746167972</v>
          </cell>
          <cell r="AL79">
            <v>0.1169079549894006</v>
          </cell>
          <cell r="AM79">
            <v>0.13541420874312896</v>
          </cell>
          <cell r="AN79">
            <v>0.14444169341014781</v>
          </cell>
          <cell r="AO79">
            <v>0.13230215527150957</v>
          </cell>
          <cell r="AP79">
            <v>0.14166868923585013</v>
          </cell>
          <cell r="AQ79">
            <v>0.14033524121013902</v>
          </cell>
          <cell r="AR79">
            <v>0.13817574634132268</v>
          </cell>
          <cell r="AS79">
            <v>0.14069949426732495</v>
          </cell>
          <cell r="AT79">
            <v>0.14021243633447253</v>
          </cell>
          <cell r="AU79">
            <v>0.13914237015063669</v>
          </cell>
          <cell r="AV79">
            <v>0.1391983522491673</v>
          </cell>
          <cell r="AW79">
            <v>0.13869572499552119</v>
          </cell>
          <cell r="AX79">
            <v>0.13968282313420327</v>
          </cell>
          <cell r="AY79">
            <v>0.13918049542104435</v>
          </cell>
          <cell r="AZ79">
            <v>0.13618787099909449</v>
          </cell>
          <cell r="BA79">
            <v>0.13831557250906962</v>
          </cell>
          <cell r="BB79">
            <v>0.13625630562828736</v>
          </cell>
          <cell r="BC79">
            <v>0.13488175122160379</v>
          </cell>
          <cell r="BD79">
            <v>0.136382320101644</v>
          </cell>
          <cell r="BE79">
            <v>0.13630231559708247</v>
          </cell>
          <cell r="BF79">
            <v>0.13083907206794512</v>
          </cell>
          <cell r="BG79">
            <v>0.13362805587892898</v>
          </cell>
          <cell r="BH79">
            <v>0.13590765353459708</v>
          </cell>
          <cell r="BI79">
            <v>0.13416585961844144</v>
          </cell>
          <cell r="BJ79">
            <v>0.1317775038978552</v>
          </cell>
          <cell r="BK79">
            <v>0.1307189141229993</v>
          </cell>
          <cell r="BL79">
            <v>0.13098631440643327</v>
          </cell>
          <cell r="BM79">
            <v>0.13278630970366317</v>
          </cell>
          <cell r="BN79">
            <v>0.13156442858204015</v>
          </cell>
          <cell r="BO79">
            <v>0.13393550706158261</v>
          </cell>
          <cell r="BP79">
            <v>0.12917678525469131</v>
          </cell>
          <cell r="BQ79">
            <v>0.13352237467856171</v>
          </cell>
          <cell r="BR79">
            <v>0.13652034884272962</v>
          </cell>
          <cell r="BS79">
            <v>0.13327517224317739</v>
          </cell>
          <cell r="BT79">
            <v>0.1367014296468991</v>
          </cell>
          <cell r="BU79">
            <v>0.13152030968620509</v>
          </cell>
          <cell r="BV79">
            <v>0.13603163955165309</v>
          </cell>
          <cell r="BW79">
            <v>0.1388093317699611</v>
          </cell>
          <cell r="BX79">
            <v>0.13574379583040411</v>
          </cell>
          <cell r="BY79">
            <v>0.1370912725953318</v>
          </cell>
          <cell r="BZ79">
            <v>0.13177505903657613</v>
          </cell>
          <cell r="CA79">
            <v>0.13638138016341519</v>
          </cell>
          <cell r="CB79">
            <v>0.138782508379558</v>
          </cell>
          <cell r="CC79">
            <v>0.13598851234910231</v>
          </cell>
          <cell r="CD79">
            <v>0.13696199337243647</v>
          </cell>
          <cell r="CE79">
            <v>0.13158045219630421</v>
          </cell>
          <cell r="CF79">
            <v>0.13626124912864115</v>
          </cell>
          <cell r="CG79">
            <v>0.13867322955086328</v>
          </cell>
          <cell r="CH79">
            <v>0.1358491052569703</v>
          </cell>
        </row>
        <row r="80">
          <cell r="B80" t="str">
            <v xml:space="preserve">Other operating expenses as % of revenue </v>
          </cell>
          <cell r="D80">
            <v>0.30353161373340348</v>
          </cell>
          <cell r="E80">
            <v>0.20960449204733911</v>
          </cell>
          <cell r="F80">
            <v>0.19399910729038708</v>
          </cell>
          <cell r="G80">
            <v>0.18585458239787281</v>
          </cell>
          <cell r="H80">
            <v>0.19473496479250901</v>
          </cell>
          <cell r="I80">
            <v>0.19622439499818756</v>
          </cell>
          <cell r="J80">
            <v>0.18829031082592326</v>
          </cell>
          <cell r="K80">
            <v>0.19119403646025535</v>
          </cell>
          <cell r="L80">
            <v>0.1835154886705066</v>
          </cell>
          <cell r="M80">
            <v>0.19930001394694882</v>
          </cell>
          <cell r="N80">
            <v>0.20758228857845204</v>
          </cell>
          <cell r="O80">
            <v>0.21062427696130939</v>
          </cell>
          <cell r="P80">
            <v>0.20055653087573855</v>
          </cell>
          <cell r="Q80">
            <v>0.19510918779208131</v>
          </cell>
          <cell r="R80">
            <v>0.20707051497581747</v>
          </cell>
          <cell r="S80">
            <v>0.21227293222059632</v>
          </cell>
          <cell r="T80">
            <v>0.20402323428490929</v>
          </cell>
          <cell r="U80">
            <v>0.20476084306066691</v>
          </cell>
          <cell r="V80">
            <v>0.19665457163146785</v>
          </cell>
          <cell r="W80">
            <v>0.2044074433215472</v>
          </cell>
          <cell r="X80">
            <v>0.20305343149683541</v>
          </cell>
          <cell r="Y80">
            <v>0.20293160393863294</v>
          </cell>
          <cell r="Z80">
            <v>0.20178044198974146</v>
          </cell>
          <cell r="AA80">
            <v>0.19782345193346956</v>
          </cell>
          <cell r="AB80">
            <v>0.20620691006380631</v>
          </cell>
          <cell r="AC80">
            <v>0.20887600899201417</v>
          </cell>
          <cell r="AD80">
            <v>0.20816846049670593</v>
          </cell>
          <cell r="AE80">
            <v>0.20533710453465592</v>
          </cell>
          <cell r="AF80">
            <v>0.20168582121683837</v>
          </cell>
          <cell r="AG80">
            <v>0.2065050412137365</v>
          </cell>
          <cell r="AH80">
            <v>0.20918963615826852</v>
          </cell>
          <cell r="AI80">
            <v>0.20434707664163076</v>
          </cell>
          <cell r="AJ80">
            <v>0.20549201296690289</v>
          </cell>
          <cell r="AK80">
            <v>0.2037039959401892</v>
          </cell>
          <cell r="AL80">
            <v>0.20698919566289442</v>
          </cell>
          <cell r="AM80">
            <v>0.19732560912925415</v>
          </cell>
          <cell r="AN80">
            <v>0.20260747952610839</v>
          </cell>
          <cell r="AO80">
            <v>0.20183979009358899</v>
          </cell>
          <cell r="AP80">
            <v>0.192908004754443</v>
          </cell>
          <cell r="AQ80">
            <v>0.19553185163160633</v>
          </cell>
          <cell r="AR80">
            <v>0.19090866469998485</v>
          </cell>
          <cell r="AS80">
            <v>0.18715042125076678</v>
          </cell>
          <cell r="AT80">
            <v>0.19159470779047658</v>
          </cell>
          <cell r="AU80">
            <v>0.18660139192847441</v>
          </cell>
          <cell r="AV80">
            <v>0.18820694069296887</v>
          </cell>
          <cell r="AW80">
            <v>0.1838900826984437</v>
          </cell>
          <cell r="AX80">
            <v>0.18021180494224473</v>
          </cell>
          <cell r="AY80">
            <v>0.18467569226227892</v>
          </cell>
          <cell r="AZ80">
            <v>0.18484795562532866</v>
          </cell>
          <cell r="BA80">
            <v>0.18537450363037303</v>
          </cell>
          <cell r="BB80">
            <v>0.18636615924392422</v>
          </cell>
          <cell r="BC80">
            <v>0.18468956554781954</v>
          </cell>
          <cell r="BD80">
            <v>0.18531521195087203</v>
          </cell>
          <cell r="BE80">
            <v>0.18347496374813452</v>
          </cell>
          <cell r="BF80">
            <v>0.19067256989209419</v>
          </cell>
          <cell r="BG80">
            <v>0.18149243306169963</v>
          </cell>
          <cell r="BH80">
            <v>0.18082744180561067</v>
          </cell>
          <cell r="BI80">
            <v>0.18411568715858392</v>
          </cell>
          <cell r="BJ80">
            <v>0.18737800618529288</v>
          </cell>
          <cell r="BK80">
            <v>0.19651385266178878</v>
          </cell>
          <cell r="BL80">
            <v>0.18796881834715165</v>
          </cell>
          <cell r="BM80">
            <v>0.18550816285433808</v>
          </cell>
          <cell r="BN80">
            <v>0.18935856162148984</v>
          </cell>
          <cell r="BO80">
            <v>0.18861531277321372</v>
          </cell>
          <cell r="BP80">
            <v>0.19232825722503036</v>
          </cell>
          <cell r="BQ80">
            <v>0.18976574589047213</v>
          </cell>
          <cell r="BR80">
            <v>0.18889088341552962</v>
          </cell>
          <cell r="BS80">
            <v>0.18990719809128506</v>
          </cell>
          <cell r="BT80">
            <v>0.1925854872650693</v>
          </cell>
          <cell r="BU80">
            <v>0.19560625045244026</v>
          </cell>
          <cell r="BV80">
            <v>0.19293243209471134</v>
          </cell>
          <cell r="BW80">
            <v>0.191845547479807</v>
          </cell>
          <cell r="BX80">
            <v>0.1932538276361645</v>
          </cell>
          <cell r="BY80">
            <v>0.19437259528654144</v>
          </cell>
          <cell r="BZ80">
            <v>0.19710564088666693</v>
          </cell>
          <cell r="CA80">
            <v>0.19434419857630972</v>
          </cell>
          <cell r="CB80">
            <v>0.19269146321432348</v>
          </cell>
          <cell r="CC80">
            <v>0.19464063747127364</v>
          </cell>
          <cell r="CD80">
            <v>0.19509944636130919</v>
          </cell>
          <cell r="CE80">
            <v>0.19791370129286553</v>
          </cell>
          <cell r="CF80">
            <v>0.19511620965524892</v>
          </cell>
          <cell r="CG80">
            <v>0.19372781680355305</v>
          </cell>
          <cell r="CH80">
            <v>0.19547650973328742</v>
          </cell>
        </row>
        <row r="81">
          <cell r="B81" t="str">
            <v xml:space="preserve">Rent exp as % of revenue </v>
          </cell>
          <cell r="D81">
            <v>3.6714043399426799E-2</v>
          </cell>
          <cell r="E81">
            <v>2.3632509933302653E-2</v>
          </cell>
          <cell r="F81">
            <v>2.346540301652111E-2</v>
          </cell>
          <cell r="G81">
            <v>2.4686124245882929E-2</v>
          </cell>
          <cell r="H81">
            <v>2.4559189242446541E-2</v>
          </cell>
          <cell r="I81">
            <v>2.6300564852401401E-2</v>
          </cell>
          <cell r="J81">
            <v>2.5503558100280207E-2</v>
          </cell>
          <cell r="K81">
            <v>2.5283637168794743E-2</v>
          </cell>
          <cell r="L81">
            <v>2.2771447689772996E-2</v>
          </cell>
          <cell r="M81">
            <v>2.5396639916167529E-2</v>
          </cell>
          <cell r="N81">
            <v>2.5318310327924302E-2</v>
          </cell>
          <cell r="O81">
            <v>2.5312138480654698E-2</v>
          </cell>
          <cell r="P81">
            <v>2.4718042080205706E-2</v>
          </cell>
          <cell r="Q81">
            <v>2.4479846862547911E-2</v>
          </cell>
          <cell r="R81">
            <v>2.5737380437643488E-2</v>
          </cell>
          <cell r="S81">
            <v>2.4901040355618503E-2</v>
          </cell>
          <cell r="T81">
            <v>2.4002807434166166E-2</v>
          </cell>
          <cell r="U81">
            <v>2.4745080829062335E-2</v>
          </cell>
          <cell r="V81">
            <v>2.3952547253324515E-2</v>
          </cell>
          <cell r="W81">
            <v>2.4715209747452588E-2</v>
          </cell>
          <cell r="X81">
            <v>2.4822459758730098E-2</v>
          </cell>
          <cell r="Y81">
            <v>2.3665984836056645E-2</v>
          </cell>
          <cell r="Z81">
            <v>2.4282226131288949E-2</v>
          </cell>
          <cell r="AA81">
            <v>2.2785053844841092E-2</v>
          </cell>
          <cell r="AB81">
            <v>2.3959473962630536E-2</v>
          </cell>
          <cell r="AC81">
            <v>2.402748827304042E-2</v>
          </cell>
          <cell r="AD81">
            <v>2.2444428604885588E-2</v>
          </cell>
          <cell r="AE81">
            <v>2.3292242729687388E-2</v>
          </cell>
          <cell r="AF81">
            <v>2.2387347281508572E-2</v>
          </cell>
          <cell r="AG81">
            <v>2.2285387925590969E-2</v>
          </cell>
          <cell r="AH81">
            <v>2.179828266204295E-2</v>
          </cell>
          <cell r="AI81">
            <v>2.2508893637551895E-2</v>
          </cell>
          <cell r="AJ81">
            <v>2.2243112936299814E-2</v>
          </cell>
          <cell r="AK81">
            <v>2.1591415925454962E-2</v>
          </cell>
          <cell r="AL81">
            <v>2.2610973415054345E-2</v>
          </cell>
          <cell r="AM81">
            <v>2.0858072001588377E-2</v>
          </cell>
          <cell r="AN81">
            <v>2.2386607508003267E-2</v>
          </cell>
          <cell r="AO81">
            <v>2.1804025715226206E-2</v>
          </cell>
          <cell r="AP81">
            <v>2.1945303374378656E-2</v>
          </cell>
          <cell r="AQ81">
            <v>2.1734557347803465E-2</v>
          </cell>
          <cell r="AR81">
            <v>2.1220689107996796E-2</v>
          </cell>
          <cell r="AS81">
            <v>2.0017468526596412E-2</v>
          </cell>
          <cell r="AT81">
            <v>2.1224003319043814E-2</v>
          </cell>
          <cell r="AU81">
            <v>2.0724383641210209E-2</v>
          </cell>
          <cell r="AV81">
            <v>2.028531359868424E-2</v>
          </cell>
          <cell r="AW81">
            <v>2.0307073086737959E-2</v>
          </cell>
          <cell r="AX81">
            <v>2.0355233948833214E-2</v>
          </cell>
          <cell r="AY81">
            <v>2.041381772898956E-2</v>
          </cell>
          <cell r="AZ81">
            <v>2.0381735565481559E-2</v>
          </cell>
          <cell r="BA81">
            <v>1.9939931075892203E-2</v>
          </cell>
          <cell r="BB81">
            <v>1.9822850474546096E-2</v>
          </cell>
          <cell r="BC81">
            <v>1.9221506221972617E-2</v>
          </cell>
          <cell r="BD81">
            <v>1.9829900281061102E-2</v>
          </cell>
          <cell r="BE81">
            <v>1.9016298509811937E-2</v>
          </cell>
          <cell r="BF81">
            <v>1.8181161612881712E-2</v>
          </cell>
          <cell r="BG81">
            <v>1.8766298020954596E-2</v>
          </cell>
          <cell r="BH81">
            <v>1.8794113836574085E-2</v>
          </cell>
          <cell r="BI81">
            <v>1.8688867691596649E-2</v>
          </cell>
          <cell r="BJ81">
            <v>1.7767717697755855E-2</v>
          </cell>
          <cell r="BK81">
            <v>1.7740364955632405E-2</v>
          </cell>
          <cell r="BL81">
            <v>1.8567296270877963E-2</v>
          </cell>
          <cell r="BM81">
            <v>1.871545667532129E-2</v>
          </cell>
          <cell r="BN81">
            <v>1.8193157730752651E-2</v>
          </cell>
          <cell r="BO81">
            <v>1.7819121494169532E-2</v>
          </cell>
          <cell r="BP81">
            <v>1.761124685691607E-2</v>
          </cell>
          <cell r="BQ81">
            <v>1.8262065327661007E-2</v>
          </cell>
          <cell r="BR81">
            <v>1.833544782026543E-2</v>
          </cell>
          <cell r="BS81">
            <v>1.8005428748442086E-2</v>
          </cell>
          <cell r="BT81">
            <v>1.7735551542207455E-2</v>
          </cell>
          <cell r="BU81">
            <v>1.7562670884530375E-2</v>
          </cell>
          <cell r="BV81">
            <v>1.8309818128547293E-2</v>
          </cell>
          <cell r="BW81">
            <v>1.8483514222026386E-2</v>
          </cell>
          <cell r="BX81">
            <v>1.8019262063310854E-2</v>
          </cell>
          <cell r="BY81">
            <v>1.7800253283474916E-2</v>
          </cell>
          <cell r="BZ81">
            <v>1.7594458359648908E-2</v>
          </cell>
          <cell r="CA81">
            <v>1.8331383358013913E-2</v>
          </cell>
          <cell r="CB81">
            <v>1.8451626957639928E-2</v>
          </cell>
          <cell r="CC81">
            <v>1.8041560922186502E-2</v>
          </cell>
          <cell r="CD81">
            <v>1.7760807912001655E-2</v>
          </cell>
          <cell r="CE81">
            <v>1.7565799352031158E-2</v>
          </cell>
          <cell r="CF81">
            <v>1.829532696067428E-2</v>
          </cell>
          <cell r="CG81">
            <v>1.8448520850676869E-2</v>
          </cell>
          <cell r="CH81">
            <v>1.8014522111927962E-2</v>
          </cell>
        </row>
        <row r="82">
          <cell r="B82" t="str">
            <v>HCIT as % of net revenues</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-7.7083662555205304E-3</v>
          </cell>
          <cell r="BI82">
            <v>-1.9324715861204669E-3</v>
          </cell>
          <cell r="BJ82">
            <v>-7.936828089480397E-3</v>
          </cell>
          <cell r="BK82">
            <v>-5.1810467799001782E-3</v>
          </cell>
          <cell r="BL82">
            <v>-9.5335348673580254E-3</v>
          </cell>
          <cell r="BM82">
            <v>-1.3268533652427868E-2</v>
          </cell>
          <cell r="BN82">
            <v>-8.96110008981452E-3</v>
          </cell>
          <cell r="BO82">
            <v>-1.1014790045591343E-2</v>
          </cell>
          <cell r="BP82">
            <v>-1.0942505086222258E-2</v>
          </cell>
          <cell r="BQ82">
            <v>-1.105328050064786E-2</v>
          </cell>
          <cell r="BR82">
            <v>-1.1043574014819688E-2</v>
          </cell>
          <cell r="BS82">
            <v>-1.1013365955255915E-2</v>
          </cell>
          <cell r="BT82">
            <v>-6.7809306506120487E-3</v>
          </cell>
          <cell r="BU82">
            <v>-6.7411977777095322E-3</v>
          </cell>
          <cell r="BV82">
            <v>-6.8531675989210363E-3</v>
          </cell>
          <cell r="BW82">
            <v>-6.8825143072866364E-3</v>
          </cell>
          <cell r="BX82">
            <v>-6.8139892313047847E-3</v>
          </cell>
          <cell r="BY82">
            <v>-3.2194787131801191E-3</v>
          </cell>
          <cell r="BZ82">
            <v>-3.1945443219643234E-3</v>
          </cell>
          <cell r="CA82">
            <v>-3.2479513698638854E-3</v>
          </cell>
          <cell r="CB82">
            <v>-3.2535478970121268E-3</v>
          </cell>
          <cell r="CC82">
            <v>-3.2287067067439329E-3</v>
          </cell>
          <cell r="CD82">
            <v>-3.0555697558078757E-3</v>
          </cell>
          <cell r="CE82">
            <v>-3.0329398758003039E-3</v>
          </cell>
          <cell r="CF82">
            <v>-3.0832283195207991E-3</v>
          </cell>
          <cell r="CG82">
            <v>-3.0948669905408403E-3</v>
          </cell>
          <cell r="CH82">
            <v>-3.0664609317388068E-3</v>
          </cell>
        </row>
        <row r="83">
          <cell r="B83" t="str">
            <v>Depreciation &amp; amortization as % of net revenues</v>
          </cell>
          <cell r="D83">
            <v>0.13326653443396805</v>
          </cell>
          <cell r="E83">
            <v>8.291091425298841E-2</v>
          </cell>
          <cell r="F83">
            <v>8.0335879420473044E-2</v>
          </cell>
          <cell r="G83">
            <v>7.8820035833572957E-2</v>
          </cell>
          <cell r="H83">
            <v>7.8755670842458422E-2</v>
          </cell>
          <cell r="I83">
            <v>8.0994751246083269E-2</v>
          </cell>
          <cell r="J83">
            <v>7.3495395727585733E-2</v>
          </cell>
          <cell r="K83">
            <v>7.7837958786235714E-2</v>
          </cell>
          <cell r="L83">
            <v>5.8897237925487261E-2</v>
          </cell>
          <cell r="M83">
            <v>5.9957337530547154E-2</v>
          </cell>
          <cell r="N83">
            <v>5.7907250894123755E-2</v>
          </cell>
          <cell r="O83">
            <v>5.976384626515896E-2</v>
          </cell>
          <cell r="P83">
            <v>5.9136113908226928E-2</v>
          </cell>
          <cell r="Q83">
            <v>5.568771191551522E-2</v>
          </cell>
          <cell r="R83">
            <v>5.7723679678771525E-2</v>
          </cell>
          <cell r="S83">
            <v>5.5759950454676445E-2</v>
          </cell>
          <cell r="T83">
            <v>5.5760534624024166E-2</v>
          </cell>
          <cell r="U83">
            <v>5.620017309681459E-2</v>
          </cell>
          <cell r="V83">
            <v>5.2224402898412937E-2</v>
          </cell>
          <cell r="W83">
            <v>5.2880805740298499E-2</v>
          </cell>
          <cell r="X83">
            <v>5.2025255646590336E-2</v>
          </cell>
          <cell r="Y83">
            <v>5.3222668118209485E-2</v>
          </cell>
          <cell r="Z83">
            <v>5.2593824144256125E-2</v>
          </cell>
          <cell r="AA83">
            <v>4.9073665368473171E-2</v>
          </cell>
          <cell r="AB83">
            <v>4.8943583642835034E-2</v>
          </cell>
          <cell r="AC83">
            <v>4.8416277148210729E-2</v>
          </cell>
          <cell r="AD83">
            <v>4.9647030281593542E-2</v>
          </cell>
          <cell r="AE83">
            <v>4.9028620530029182E-2</v>
          </cell>
          <cell r="AF83">
            <v>4.625390790351383E-2</v>
          </cell>
          <cell r="AG83">
            <v>4.9910615116094563E-2</v>
          </cell>
          <cell r="AH83">
            <v>5.3650525646478577E-2</v>
          </cell>
          <cell r="AI83">
            <v>4.8053167454006632E-2</v>
          </cell>
          <cell r="AJ83">
            <v>4.9445033062278092E-2</v>
          </cell>
          <cell r="AK83">
            <v>4.7992226888003163E-2</v>
          </cell>
          <cell r="AL83">
            <v>4.8478509578206347E-2</v>
          </cell>
          <cell r="AM83">
            <v>5.1356271679912448E-2</v>
          </cell>
          <cell r="AN83">
            <v>5.3111555307002727E-2</v>
          </cell>
          <cell r="AO83">
            <v>5.0894910789799734E-2</v>
          </cell>
          <cell r="AP83">
            <v>5.0490151303819744E-2</v>
          </cell>
          <cell r="AQ83">
            <v>5.2068821093911165E-2</v>
          </cell>
          <cell r="AR83">
            <v>5.3341164458951373E-2</v>
          </cell>
          <cell r="AS83">
            <v>5.1442754410302043E-2</v>
          </cell>
          <cell r="AT83">
            <v>5.1836891294464227E-2</v>
          </cell>
          <cell r="AU83">
            <v>5.3005566421412485E-2</v>
          </cell>
          <cell r="AV83">
            <v>5.3662480189293732E-2</v>
          </cell>
          <cell r="AW83">
            <v>5.3004726037512918E-2</v>
          </cell>
          <cell r="AX83">
            <v>5.3385846301024643E-2</v>
          </cell>
          <cell r="AY83">
            <v>5.3266340924451587E-2</v>
          </cell>
          <cell r="AZ83">
            <v>5.3071390991602241E-2</v>
          </cell>
          <cell r="BA83">
            <v>5.4983664172379008E-2</v>
          </cell>
          <cell r="BB83">
            <v>5.3043231643066388E-2</v>
          </cell>
          <cell r="BC83">
            <v>5.2963197867228522E-2</v>
          </cell>
          <cell r="BD83">
            <v>5.350411090241923E-2</v>
          </cell>
          <cell r="BE83">
            <v>5.3604188330762831E-2</v>
          </cell>
          <cell r="BF83">
            <v>5.3777175425307758E-2</v>
          </cell>
          <cell r="BG83">
            <v>5.4096119374191134E-2</v>
          </cell>
          <cell r="BH83">
            <v>5.7098467142964071E-2</v>
          </cell>
          <cell r="BI83">
            <v>5.4645992807068847E-2</v>
          </cell>
          <cell r="BJ83">
            <v>5.2882059183478498E-2</v>
          </cell>
          <cell r="BK83">
            <v>5.5443244380004281E-2</v>
          </cell>
          <cell r="BL83">
            <v>5.6726431571311596E-2</v>
          </cell>
          <cell r="BM83">
            <v>5.6988124317920143E-2</v>
          </cell>
          <cell r="BN83">
            <v>5.5491539794225345E-2</v>
          </cell>
          <cell r="BO83">
            <v>5.3959673721893163E-2</v>
          </cell>
          <cell r="BP83">
            <v>5.4107410726107086E-2</v>
          </cell>
          <cell r="BQ83">
            <v>5.5149418478321409E-2</v>
          </cell>
          <cell r="BR83">
            <v>5.5582465685553195E-2</v>
          </cell>
          <cell r="BS83">
            <v>4.7441002613954841E-2</v>
          </cell>
          <cell r="BT83">
            <v>5.1269147764716846E-2</v>
          </cell>
          <cell r="BU83">
            <v>5.1042757272183222E-2</v>
          </cell>
          <cell r="BV83">
            <v>5.1963935672649772E-2</v>
          </cell>
          <cell r="BW83">
            <v>5.2258297656113409E-2</v>
          </cell>
          <cell r="BX83">
            <v>4.6431128130827178E-2</v>
          </cell>
          <cell r="BY83">
            <v>4.8955942293166535E-2</v>
          </cell>
          <cell r="BZ83">
            <v>4.8640183775136771E-2</v>
          </cell>
          <cell r="CA83">
            <v>4.9516206893693869E-2</v>
          </cell>
          <cell r="CB83">
            <v>4.9662908956419304E-2</v>
          </cell>
          <cell r="CC83">
            <v>4.494092146068375E-2</v>
          </cell>
          <cell r="CD83">
            <v>4.6697129520870483E-2</v>
          </cell>
          <cell r="CE83">
            <v>4.6405679342381677E-2</v>
          </cell>
          <cell r="CF83">
            <v>4.72290340161945E-2</v>
          </cell>
          <cell r="CG83">
            <v>4.7460079620523121E-2</v>
          </cell>
          <cell r="CH83">
            <v>4.3356203040780118E-2</v>
          </cell>
        </row>
        <row r="84">
          <cell r="B84" t="str">
            <v>Interest expense, net as % of net revenues</v>
          </cell>
          <cell r="D84">
            <v>0.17387280270071409</v>
          </cell>
          <cell r="E84">
            <v>0.11828851223187559</v>
          </cell>
          <cell r="F84">
            <v>0.10481419488840503</v>
          </cell>
          <cell r="G84">
            <v>7.6182286712822678E-2</v>
          </cell>
          <cell r="H84">
            <v>7.0402255422163482E-2</v>
          </cell>
          <cell r="I84">
            <v>6.2247312823089228E-2</v>
          </cell>
          <cell r="J84">
            <v>4.1125965421256905E-2</v>
          </cell>
          <cell r="K84">
            <v>6.149867405923902E-2</v>
          </cell>
          <cell r="L84">
            <v>3.4591064922604844E-2</v>
          </cell>
          <cell r="M84">
            <v>3.421695729611067E-2</v>
          </cell>
          <cell r="N84">
            <v>2.954704389698096E-2</v>
          </cell>
          <cell r="O84">
            <v>2.7853211078139713E-2</v>
          </cell>
          <cell r="P84">
            <v>3.1444417265316146E-2</v>
          </cell>
          <cell r="Q84">
            <v>2.8505568436147256E-2</v>
          </cell>
          <cell r="R84">
            <v>2.8001646463882798E-2</v>
          </cell>
          <cell r="S84">
            <v>2.8310737477235514E-2</v>
          </cell>
          <cell r="T84">
            <v>2.6542025691436513E-2</v>
          </cell>
          <cell r="U84">
            <v>2.7790873403994984E-2</v>
          </cell>
          <cell r="V84">
            <v>2.5496254745234391E-2</v>
          </cell>
          <cell r="W84">
            <v>2.525862492963981E-2</v>
          </cell>
          <cell r="X84">
            <v>2.5354901122634926E-2</v>
          </cell>
          <cell r="Y84">
            <v>2.761555948148707E-2</v>
          </cell>
          <cell r="Z84">
            <v>2.5954045575125689E-2</v>
          </cell>
          <cell r="AA84">
            <v>2.77778455190376E-2</v>
          </cell>
          <cell r="AB84">
            <v>2.7821301454658002E-2</v>
          </cell>
          <cell r="AC84">
            <v>2.8901492187509346E-2</v>
          </cell>
          <cell r="AD84">
            <v>2.7945089316586683E-2</v>
          </cell>
          <cell r="AE84">
            <v>2.8111560821077564E-2</v>
          </cell>
          <cell r="AF84">
            <v>2.3708038664985078E-2</v>
          </cell>
          <cell r="AG84">
            <v>2.5249907441688261E-2</v>
          </cell>
          <cell r="AH84">
            <v>2.9530290727398489E-2</v>
          </cell>
          <cell r="AI84">
            <v>2.8508553152783073E-2</v>
          </cell>
          <cell r="AJ84">
            <v>2.67953098581773E-2</v>
          </cell>
          <cell r="AK84">
            <v>2.8460223645462222E-2</v>
          </cell>
          <cell r="AL84">
            <v>2.8310708090292579E-2</v>
          </cell>
          <cell r="AM84">
            <v>6.7313941779015798E-2</v>
          </cell>
          <cell r="AN84">
            <v>7.9252052867924319E-2</v>
          </cell>
          <cell r="AO84">
            <v>5.8176535392278329E-2</v>
          </cell>
          <cell r="AP84">
            <v>6.817682476751448E-2</v>
          </cell>
          <cell r="AQ84">
            <v>6.4329011004123679E-2</v>
          </cell>
          <cell r="AR84">
            <v>6.8577526713089379E-2</v>
          </cell>
          <cell r="AS84">
            <v>6.8548624561587182E-2</v>
          </cell>
          <cell r="AT84">
            <v>6.7421460502414141E-2</v>
          </cell>
          <cell r="AU84">
            <v>6.4064883831800451E-2</v>
          </cell>
          <cell r="AV84">
            <v>6.0829934386865479E-2</v>
          </cell>
          <cell r="AW84">
            <v>5.9748560035445285E-2</v>
          </cell>
          <cell r="AX84">
            <v>5.9700837003852467E-2</v>
          </cell>
          <cell r="AY84">
            <v>6.1044772243873134E-2</v>
          </cell>
          <cell r="AZ84">
            <v>5.7663060509270302E-2</v>
          </cell>
          <cell r="BA84">
            <v>5.8016385297540059E-2</v>
          </cell>
          <cell r="BB84">
            <v>5.7568363111263052E-2</v>
          </cell>
          <cell r="BC84">
            <v>5.5636552736107153E-2</v>
          </cell>
          <cell r="BD84">
            <v>5.7196605996288459E-2</v>
          </cell>
          <cell r="BE84">
            <v>5.4770171254367429E-2</v>
          </cell>
          <cell r="BF84">
            <v>5.4395005110257931E-2</v>
          </cell>
          <cell r="BG84">
            <v>5.3414538078791464E-2</v>
          </cell>
          <cell r="BH84">
            <v>5.2724959037868134E-2</v>
          </cell>
          <cell r="BI84">
            <v>5.3825964294564037E-2</v>
          </cell>
          <cell r="BJ84">
            <v>4.6155106027081914E-2</v>
          </cell>
          <cell r="BK84">
            <v>4.6749372643752313E-2</v>
          </cell>
          <cell r="BL84">
            <v>4.9365977279166133E-2</v>
          </cell>
          <cell r="BM84">
            <v>5.118762051515692E-2</v>
          </cell>
          <cell r="BN84">
            <v>4.8344210969167016E-2</v>
          </cell>
          <cell r="BO84">
            <v>4.8449295559467476E-2</v>
          </cell>
          <cell r="BP84">
            <v>4.8100497723807367E-2</v>
          </cell>
          <cell r="BQ84">
            <v>4.8585318694406812E-2</v>
          </cell>
          <cell r="BR84">
            <v>4.852511717350081E-2</v>
          </cell>
          <cell r="BS84">
            <v>4.8414317958246147E-2</v>
          </cell>
          <cell r="BT84">
            <v>4.467309371126283E-2</v>
          </cell>
          <cell r="BU84">
            <v>4.4395164977861439E-2</v>
          </cell>
          <cell r="BV84">
            <v>4.5108176985912067E-2</v>
          </cell>
          <cell r="BW84">
            <v>4.5261667571732972E-2</v>
          </cell>
          <cell r="BX84">
            <v>4.4856688699796789E-2</v>
          </cell>
          <cell r="BY84">
            <v>4.2313567287524688E-2</v>
          </cell>
          <cell r="BZ84">
            <v>4.1967064251411765E-2</v>
          </cell>
          <cell r="CA84">
            <v>4.2641079673131507E-2</v>
          </cell>
          <cell r="CB84">
            <v>4.2671778356117594E-2</v>
          </cell>
          <cell r="CC84">
            <v>4.2396277131451436E-2</v>
          </cell>
          <cell r="CD84">
            <v>4.0038758332192267E-2</v>
          </cell>
          <cell r="CE84">
            <v>3.9718762376286403E-2</v>
          </cell>
          <cell r="CF84">
            <v>4.0346748026383834E-2</v>
          </cell>
          <cell r="CG84">
            <v>4.0452074905309561E-2</v>
          </cell>
          <cell r="CH84">
            <v>4.0136834602347911E-2</v>
          </cell>
        </row>
        <row r="86">
          <cell r="B86" t="str">
            <v>YOY % Change</v>
          </cell>
        </row>
        <row r="87">
          <cell r="B87" t="str">
            <v>Revenue growth</v>
          </cell>
          <cell r="E87">
            <v>0.2633245598643037</v>
          </cell>
          <cell r="F87">
            <v>0.23848074869924885</v>
          </cell>
          <cell r="K87">
            <v>0.26626073550599227</v>
          </cell>
          <cell r="L87">
            <v>0.33833109658969773</v>
          </cell>
          <cell r="M87">
            <v>0.32344746563434601</v>
          </cell>
          <cell r="N87">
            <v>0.32712947914991264</v>
          </cell>
          <cell r="O87">
            <v>0.22193205473484934</v>
          </cell>
          <cell r="P87">
            <v>0.29923507269909222</v>
          </cell>
          <cell r="Q87">
            <v>0.23571419199691124</v>
          </cell>
          <cell r="R87">
            <v>0.23881511246141041</v>
          </cell>
          <cell r="S87">
            <v>0.30782991854800934</v>
          </cell>
          <cell r="T87">
            <v>0.36258108745019069</v>
          </cell>
          <cell r="U87">
            <v>0.28822127805775022</v>
          </cell>
          <cell r="V87">
            <v>0.24739070223896764</v>
          </cell>
          <cell r="W87">
            <v>0.23790912119861307</v>
          </cell>
          <cell r="X87">
            <v>0.16736973425428259</v>
          </cell>
          <cell r="Y87">
            <v>9.6399893337626663E-2</v>
          </cell>
          <cell r="Z87">
            <v>0.1824326612630105</v>
          </cell>
          <cell r="AA87">
            <v>0.11154508400050589</v>
          </cell>
          <cell r="AB87">
            <v>0.12910532415515408</v>
          </cell>
          <cell r="AC87">
            <v>0.10098526836596622</v>
          </cell>
          <cell r="AD87">
            <v>0.12664955780436027</v>
          </cell>
          <cell r="AE87">
            <v>0.11707697944239315</v>
          </cell>
          <cell r="AF87">
            <v>0.12302047460475118</v>
          </cell>
          <cell r="AG87">
            <v>0.15492893357918325</v>
          </cell>
          <cell r="AH87">
            <v>0.20899653383465933</v>
          </cell>
          <cell r="AI87">
            <v>0.17555469569378968</v>
          </cell>
          <cell r="AJ87">
            <v>0.1659678459683267</v>
          </cell>
          <cell r="AK87">
            <v>0.17284391980221381</v>
          </cell>
          <cell r="AL87">
            <v>0.17725205314715353</v>
          </cell>
          <cell r="AM87">
            <v>1.0935670588696045</v>
          </cell>
          <cell r="AN87">
            <v>1.1900323696357744</v>
          </cell>
          <cell r="AO87">
            <v>0.67985942748448314</v>
          </cell>
          <cell r="AP87">
            <v>1.2654159437274344</v>
          </cell>
          <cell r="AQ87">
            <v>1.1539826182745085</v>
          </cell>
          <cell r="AR87">
            <v>0.17889346780114868</v>
          </cell>
          <cell r="AS87">
            <v>9.2232775471039918E-2</v>
          </cell>
          <cell r="AT87">
            <v>0.49348487786412987</v>
          </cell>
          <cell r="AU87">
            <v>6.0433633944552367E-2</v>
          </cell>
          <cell r="AV87">
            <v>0.12129673678733366</v>
          </cell>
          <cell r="AW87">
            <v>0.1132033351846109</v>
          </cell>
          <cell r="AX87">
            <v>0.11935667732980693</v>
          </cell>
          <cell r="AY87">
            <v>0.10360160810010299</v>
          </cell>
          <cell r="AZ87">
            <v>9.2771721655793504E-2</v>
          </cell>
          <cell r="BA87">
            <v>5.1065625309707485E-2</v>
          </cell>
          <cell r="BB87">
            <v>5.3550700622044367E-2</v>
          </cell>
          <cell r="BC87">
            <v>0.10078883365586733</v>
          </cell>
          <cell r="BD87">
            <v>7.4396219356356541E-2</v>
          </cell>
          <cell r="BE87">
            <v>7.7393709411963441E-2</v>
          </cell>
          <cell r="BF87">
            <v>8.2877013860507054E-2</v>
          </cell>
          <cell r="BG87">
            <v>5.65626965103605E-2</v>
          </cell>
          <cell r="BH87">
            <v>1.1701005584096702E-2</v>
          </cell>
          <cell r="BI87">
            <v>5.6303468987024985E-2</v>
          </cell>
          <cell r="BJ87">
            <v>0.11104582153569309</v>
          </cell>
          <cell r="BK87">
            <v>9.1035109785606583E-2</v>
          </cell>
          <cell r="BL87">
            <v>7.5861757857974332E-2</v>
          </cell>
          <cell r="BM87">
            <v>6.9475972891684057E-2</v>
          </cell>
          <cell r="BN87">
            <v>8.6791686012854363E-2</v>
          </cell>
          <cell r="BO87">
            <v>3.6999854999152815E-2</v>
          </cell>
          <cell r="BP87">
            <v>5.769814907221682E-2</v>
          </cell>
          <cell r="BQ87">
            <v>5.7382490712308165E-2</v>
          </cell>
          <cell r="BR87">
            <v>6.1554379971089812E-2</v>
          </cell>
          <cell r="BS87">
            <v>5.3319285702117636E-2</v>
          </cell>
          <cell r="BT87">
            <v>4.4900481940678416E-2</v>
          </cell>
          <cell r="BU87">
            <v>4.2876499344164154E-2</v>
          </cell>
          <cell r="BV87">
            <v>3.7287634832139371E-2</v>
          </cell>
          <cell r="BW87">
            <v>3.166884305756712E-2</v>
          </cell>
          <cell r="BX87">
            <v>3.9201596191177579E-2</v>
          </cell>
          <cell r="BY87">
            <v>3.6219727334968477E-2</v>
          </cell>
          <cell r="BZ87">
            <v>3.8121057582591433E-2</v>
          </cell>
          <cell r="CA87">
            <v>3.8776533215891806E-2</v>
          </cell>
          <cell r="CB87">
            <v>4.1797280805538239E-2</v>
          </cell>
          <cell r="CC87">
            <v>3.8714589423237911E-2</v>
          </cell>
          <cell r="CD87">
            <v>4.2309759023094307E-2</v>
          </cell>
          <cell r="CE87">
            <v>4.1696784036133971E-2</v>
          </cell>
          <cell r="CF87">
            <v>4.2049630122152237E-2</v>
          </cell>
          <cell r="CG87">
            <v>4.0175100826116639E-2</v>
          </cell>
          <cell r="CH87">
            <v>4.1560982994395701E-2</v>
          </cell>
        </row>
        <row r="88">
          <cell r="B88" t="str">
            <v>EBITDA growth</v>
          </cell>
          <cell r="E88">
            <v>-1.8129352151882216</v>
          </cell>
          <cell r="F88">
            <v>0.35220913186307534</v>
          </cell>
          <cell r="K88">
            <v>0.22147616485186195</v>
          </cell>
          <cell r="L88">
            <v>0.19614747307373714</v>
          </cell>
          <cell r="M88">
            <v>0.18542597859948451</v>
          </cell>
          <cell r="N88">
            <v>0.17950449841947447</v>
          </cell>
          <cell r="O88">
            <v>0.1330390995969235</v>
          </cell>
          <cell r="P88">
            <v>0.17250114184463761</v>
          </cell>
          <cell r="Q88">
            <v>0.15339826839826864</v>
          </cell>
          <cell r="R88">
            <v>0.17382312614259687</v>
          </cell>
          <cell r="S88">
            <v>0.24027074695925155</v>
          </cell>
          <cell r="T88">
            <v>0.25538900031668921</v>
          </cell>
          <cell r="U88">
            <v>0.20598457305146556</v>
          </cell>
          <cell r="V88">
            <v>0.17310976410756784</v>
          </cell>
          <cell r="W88">
            <v>0.18238540683130022</v>
          </cell>
          <cell r="X88">
            <v>0.11749605237642258</v>
          </cell>
          <cell r="Y88">
            <v>9.2984536212507241E-2</v>
          </cell>
          <cell r="Z88">
            <v>0.13966732566210771</v>
          </cell>
          <cell r="AA88">
            <v>0.13656687169560677</v>
          </cell>
          <cell r="AB88">
            <v>0.15379929200625675</v>
          </cell>
          <cell r="AC88">
            <v>0.13617921449052628</v>
          </cell>
          <cell r="AD88">
            <v>0.16762449896523268</v>
          </cell>
          <cell r="AE88">
            <v>0.14879465156153437</v>
          </cell>
          <cell r="AF88">
            <v>0.11513965812086124</v>
          </cell>
          <cell r="AG88">
            <v>0.11838575261145112</v>
          </cell>
          <cell r="AH88">
            <v>-0.33554913925394758</v>
          </cell>
          <cell r="AI88">
            <v>9.0235818909000898E-2</v>
          </cell>
          <cell r="AJ88">
            <v>8.9411476514178467E-4</v>
          </cell>
          <cell r="AK88">
            <v>7.409534387661143E-2</v>
          </cell>
          <cell r="AL88">
            <v>0.10083320573674093</v>
          </cell>
          <cell r="AM88">
            <v>2.1664842381786382</v>
          </cell>
          <cell r="AN88">
            <v>7.0988251220809317E-2</v>
          </cell>
          <cell r="AO88">
            <v>0.41470492599986719</v>
          </cell>
          <cell r="AP88">
            <v>1.175518070023915</v>
          </cell>
          <cell r="AQ88">
            <v>1.0748656903256473</v>
          </cell>
          <cell r="AR88">
            <v>0.32591517162708383</v>
          </cell>
          <cell r="AS88">
            <v>1.1540996557756333</v>
          </cell>
          <cell r="AT88">
            <v>0.84565052987464795</v>
          </cell>
          <cell r="AU88">
            <v>5.5102884103803262E-2</v>
          </cell>
          <cell r="AV88">
            <v>0.12802221129781932</v>
          </cell>
          <cell r="AW88">
            <v>7.1047568396191751E-2</v>
          </cell>
          <cell r="AX88">
            <v>0.12541128761841014</v>
          </cell>
          <cell r="AY88">
            <v>9.4645849694930062E-2</v>
          </cell>
          <cell r="AZ88">
            <v>7.6833881957849126E-2</v>
          </cell>
          <cell r="BA88">
            <v>7.0082951590938025E-2</v>
          </cell>
          <cell r="BB88">
            <v>5.1389152585278541E-2</v>
          </cell>
          <cell r="BC88">
            <v>2.4171265895561511E-2</v>
          </cell>
          <cell r="BD88">
            <v>5.493497970275496E-2</v>
          </cell>
          <cell r="BE88">
            <v>4.9801398175857159E-2</v>
          </cell>
          <cell r="BF88">
            <v>4.1955048327791067E-2</v>
          </cell>
          <cell r="BG88">
            <v>3.0976667947715919E-2</v>
          </cell>
          <cell r="BH88">
            <v>2.8719160880485539E-2</v>
          </cell>
          <cell r="BI88">
            <v>3.7743069063822299E-2</v>
          </cell>
          <cell r="BJ88">
            <v>0.18530846251035937</v>
          </cell>
          <cell r="BK88">
            <v>4.3592488296273935E-2</v>
          </cell>
          <cell r="BL88">
            <v>5.5055039320213606E-2</v>
          </cell>
          <cell r="BM88">
            <v>3.3261139472288814E-2</v>
          </cell>
          <cell r="BN88">
            <v>7.8799624669504853E-2</v>
          </cell>
          <cell r="BO88">
            <v>-3.1465818205489104E-2</v>
          </cell>
          <cell r="BP88">
            <v>0.19828231621565551</v>
          </cell>
          <cell r="BQ88">
            <v>-2.2706221650321212E-2</v>
          </cell>
          <cell r="BR88">
            <v>-0.10171115616859772</v>
          </cell>
          <cell r="BS88">
            <v>9.5642350092250972E-3</v>
          </cell>
          <cell r="BT88">
            <v>0.13976514107726068</v>
          </cell>
          <cell r="BU88">
            <v>0.15808589914353899</v>
          </cell>
          <cell r="BV88">
            <v>0.16359274075245778</v>
          </cell>
          <cell r="BW88">
            <v>0.17841850229493428</v>
          </cell>
          <cell r="BX88">
            <v>0.1589998512489279</v>
          </cell>
          <cell r="BY88">
            <v>7.0008579339399191E-2</v>
          </cell>
          <cell r="BZ88">
            <v>7.6884445269834512E-2</v>
          </cell>
          <cell r="CA88">
            <v>7.8460298711332532E-2</v>
          </cell>
          <cell r="CB88">
            <v>0.10017806412043084</v>
          </cell>
          <cell r="CC88">
            <v>8.0602542253468634E-2</v>
          </cell>
          <cell r="CD88">
            <v>9.0861974427915548E-2</v>
          </cell>
          <cell r="CE88">
            <v>8.6062481295474447E-2</v>
          </cell>
          <cell r="CF88">
            <v>9.2462718279410661E-2</v>
          </cell>
          <cell r="CG88">
            <v>8.4462177676731587E-2</v>
          </cell>
          <cell r="CH88">
            <v>8.8431536483589035E-2</v>
          </cell>
        </row>
        <row r="89">
          <cell r="B89" t="str">
            <v>Adjusted EBITDA growth</v>
          </cell>
          <cell r="E89">
            <v>-1.8129352151882214</v>
          </cell>
          <cell r="F89">
            <v>0.35220913186307534</v>
          </cell>
          <cell r="K89">
            <v>0.22147616485186217</v>
          </cell>
          <cell r="L89">
            <v>0.19614747307373714</v>
          </cell>
          <cell r="M89">
            <v>0.18542597859948451</v>
          </cell>
          <cell r="N89">
            <v>0.17950449841947447</v>
          </cell>
          <cell r="O89">
            <v>0.1330390995969235</v>
          </cell>
          <cell r="P89">
            <v>0.17250114184463783</v>
          </cell>
          <cell r="Q89">
            <v>0.15339826839826864</v>
          </cell>
          <cell r="R89">
            <v>0.17382312614259687</v>
          </cell>
          <cell r="S89">
            <v>0.24027074695925155</v>
          </cell>
          <cell r="T89">
            <v>0.25538900031668921</v>
          </cell>
          <cell r="U89">
            <v>0.20598457305146423</v>
          </cell>
          <cell r="V89">
            <v>0.17310976410756784</v>
          </cell>
          <cell r="W89">
            <v>0.18238540683130022</v>
          </cell>
          <cell r="X89">
            <v>0.11749605237642258</v>
          </cell>
          <cell r="Y89">
            <v>9.2984536212507241E-2</v>
          </cell>
          <cell r="Z89">
            <v>0.13966732566210682</v>
          </cell>
          <cell r="AA89">
            <v>0.13656687169560677</v>
          </cell>
          <cell r="AB89">
            <v>0.15379929200625675</v>
          </cell>
          <cell r="AC89">
            <v>0.13617921449052628</v>
          </cell>
          <cell r="AD89">
            <v>0.16762449896523268</v>
          </cell>
          <cell r="AE89">
            <v>0.14879465156153526</v>
          </cell>
          <cell r="AF89">
            <v>0.11513965812086124</v>
          </cell>
          <cell r="AG89">
            <v>0.11838575261145112</v>
          </cell>
          <cell r="AH89">
            <v>-0.33554913925394758</v>
          </cell>
          <cell r="AI89">
            <v>9.0235818909000898E-2</v>
          </cell>
          <cell r="AJ89">
            <v>8.9411476514200672E-4</v>
          </cell>
          <cell r="AK89">
            <v>7.409534387661143E-2</v>
          </cell>
          <cell r="AL89">
            <v>0.10083320573674093</v>
          </cell>
          <cell r="AM89">
            <v>2.3230516637478145</v>
          </cell>
          <cell r="AN89">
            <v>0.13654934003771202</v>
          </cell>
          <cell r="AO89">
            <v>0.45867495533419844</v>
          </cell>
          <cell r="AP89">
            <v>1.2512176922308611</v>
          </cell>
          <cell r="AQ89">
            <v>1.135764333609584</v>
          </cell>
          <cell r="AR89">
            <v>0.29207098954524491</v>
          </cell>
          <cell r="AS89">
            <v>1.0829159089217155</v>
          </cell>
          <cell r="AT89">
            <v>0.84042785234899231</v>
          </cell>
          <cell r="AU89">
            <v>5.3341337056802773E-2</v>
          </cell>
          <cell r="AV89">
            <v>0.12783156592243694</v>
          </cell>
          <cell r="AW89">
            <v>6.5165130715207464E-2</v>
          </cell>
          <cell r="AX89">
            <v>0.10904012927964502</v>
          </cell>
          <cell r="AY89">
            <v>8.8445110972335872E-2</v>
          </cell>
          <cell r="AZ89">
            <v>7.3554298513603511E-2</v>
          </cell>
          <cell r="BA89">
            <v>6.6156922092327264E-2</v>
          </cell>
          <cell r="BB89">
            <v>5.6592800369530183E-2</v>
          </cell>
          <cell r="BC89">
            <v>4.1195061933007482E-2</v>
          </cell>
          <cell r="BD89">
            <v>5.9064633969777569E-2</v>
          </cell>
          <cell r="BE89">
            <v>6.1145358995011279E-2</v>
          </cell>
          <cell r="BF89">
            <v>4.3262699433574525E-2</v>
          </cell>
          <cell r="BG89">
            <v>2.7270070876362906E-2</v>
          </cell>
          <cell r="BH89">
            <v>2.5314104930834969E-2</v>
          </cell>
          <cell r="BI89">
            <v>3.9065099460569463E-2</v>
          </cell>
          <cell r="BJ89">
            <v>0.16469684974291643</v>
          </cell>
          <cell r="BK89">
            <v>4.4977190185613747E-2</v>
          </cell>
          <cell r="BL89">
            <v>5.2351426202611684E-2</v>
          </cell>
          <cell r="BM89">
            <v>3.4303195805408304E-2</v>
          </cell>
          <cell r="BN89">
            <v>7.4029707314904991E-2</v>
          </cell>
          <cell r="BO89">
            <v>-3.1212897582001742E-2</v>
          </cell>
          <cell r="BP89">
            <v>0.19019529934866553</v>
          </cell>
          <cell r="BQ89">
            <v>-1.3327963312159685E-2</v>
          </cell>
          <cell r="BR89">
            <v>-9.9740108604563615E-2</v>
          </cell>
          <cell r="BS89">
            <v>1.0611961414369819E-2</v>
          </cell>
          <cell r="BT89">
            <v>0.14156402120752198</v>
          </cell>
          <cell r="BU89">
            <v>0.1592975373481722</v>
          </cell>
          <cell r="BV89">
            <v>0.16475259746180537</v>
          </cell>
          <cell r="BW89">
            <v>0.17910258963024983</v>
          </cell>
          <cell r="BX89">
            <v>0.16025993803872818</v>
          </cell>
          <cell r="BY89">
            <v>6.9189918964040364E-2</v>
          </cell>
          <cell r="BZ89">
            <v>7.6043327133423988E-2</v>
          </cell>
          <cell r="CA89">
            <v>7.7433546196119751E-2</v>
          </cell>
          <cell r="CB89">
            <v>9.8559983834808351E-2</v>
          </cell>
          <cell r="CC89">
            <v>7.9569725484613718E-2</v>
          </cell>
          <cell r="CD89">
            <v>8.9721891649006569E-2</v>
          </cell>
          <cell r="CE89">
            <v>8.5133727020286321E-2</v>
          </cell>
          <cell r="CF89">
            <v>9.1205160814955777E-2</v>
          </cell>
          <cell r="CG89">
            <v>8.3298141148988147E-2</v>
          </cell>
          <cell r="CH89">
            <v>8.7319600559931487E-2</v>
          </cell>
        </row>
        <row r="90">
          <cell r="B90" t="str">
            <v>Provision for bad debt expense</v>
          </cell>
          <cell r="E90">
            <v>-0.22202235431673789</v>
          </cell>
          <cell r="F90">
            <v>0.28538397671021243</v>
          </cell>
          <cell r="K90">
            <v>0.27736850281677472</v>
          </cell>
          <cell r="L90">
            <v>0.34955237605820466</v>
          </cell>
          <cell r="M90">
            <v>0.2902719948088468</v>
          </cell>
          <cell r="N90">
            <v>0.36387557315548147</v>
          </cell>
          <cell r="O90">
            <v>0.17047603855707205</v>
          </cell>
          <cell r="P90">
            <v>0.28873554978044624</v>
          </cell>
          <cell r="Q90">
            <v>0.24939375112732232</v>
          </cell>
          <cell r="R90">
            <v>0.30082561502032612</v>
          </cell>
          <cell r="S90">
            <v>0.35030849458463065</v>
          </cell>
          <cell r="T90">
            <v>0.58494276146717561</v>
          </cell>
          <cell r="U90">
            <v>0.37342922705553971</v>
          </cell>
          <cell r="V90">
            <v>0.38129000176448891</v>
          </cell>
          <cell r="W90">
            <v>0.31642449821192686</v>
          </cell>
          <cell r="X90">
            <v>0.25054463148960249</v>
          </cell>
          <cell r="Y90">
            <v>0.10523406502966504</v>
          </cell>
          <cell r="Z90">
            <v>0.2520306092189295</v>
          </cell>
          <cell r="AA90">
            <v>9.154463425114101E-2</v>
          </cell>
          <cell r="AB90">
            <v>0.12066665850882874</v>
          </cell>
          <cell r="AC90">
            <v>5.1798056583070462E-2</v>
          </cell>
          <cell r="AD90">
            <v>0.11121854716813373</v>
          </cell>
          <cell r="AE90">
            <v>9.3382898769240441E-2</v>
          </cell>
          <cell r="AF90">
            <v>0.14465816967040435</v>
          </cell>
          <cell r="AG90">
            <v>0.26339236967963142</v>
          </cell>
          <cell r="AH90">
            <v>1.0696816519681649</v>
          </cell>
          <cell r="AI90">
            <v>0.32069451806807159</v>
          </cell>
          <cell r="AJ90">
            <v>0.44709263774670505</v>
          </cell>
          <cell r="AK90">
            <v>0.26124861744941508</v>
          </cell>
          <cell r="AL90">
            <v>0.28483889926018113</v>
          </cell>
          <cell r="AM90">
            <v>0.45294872660947094</v>
          </cell>
          <cell r="AN90">
            <v>1.7348595575817702</v>
          </cell>
          <cell r="AO90">
            <v>0.68880264193172103</v>
          </cell>
          <cell r="AP90">
            <v>1.1892571058003374</v>
          </cell>
          <cell r="AQ90">
            <v>0.95777641748676534</v>
          </cell>
          <cell r="AR90">
            <v>0.16669647072287974</v>
          </cell>
          <cell r="AS90">
            <v>-0.12398859136599016</v>
          </cell>
          <cell r="AT90">
            <v>0.33034264626081256</v>
          </cell>
          <cell r="AU90">
            <v>0.12916049548943054</v>
          </cell>
          <cell r="AV90">
            <v>0.24538129842464218</v>
          </cell>
          <cell r="AW90">
            <v>0.15984648067367035</v>
          </cell>
          <cell r="AX90">
            <v>0.20662296035453975</v>
          </cell>
          <cell r="AY90">
            <v>0.18469121437370184</v>
          </cell>
          <cell r="AZ90">
            <v>0.12706177653368145</v>
          </cell>
          <cell r="BA90">
            <v>5.238618117209537E-2</v>
          </cell>
          <cell r="BB90">
            <v>6.5335120005708847E-2</v>
          </cell>
          <cell r="BC90">
            <v>0.11577858115896467</v>
          </cell>
          <cell r="BD90">
            <v>8.952461951042201E-2</v>
          </cell>
          <cell r="BE90">
            <v>7.8812613403725029E-2</v>
          </cell>
          <cell r="BF90">
            <v>0.13514746362563912</v>
          </cell>
          <cell r="BG90">
            <v>0.11714635168962761</v>
          </cell>
          <cell r="BH90">
            <v>2.5296127161522852E-2</v>
          </cell>
          <cell r="BI90">
            <v>8.7718348445970928E-2</v>
          </cell>
          <cell r="BJ90">
            <v>0.19267121222151129</v>
          </cell>
          <cell r="BK90">
            <v>0.16270594593096566</v>
          </cell>
          <cell r="BL90">
            <v>7.6249844546698142E-2</v>
          </cell>
          <cell r="BM90">
            <v>9.6018404893692066E-2</v>
          </cell>
          <cell r="BN90">
            <v>0.13039392196269706</v>
          </cell>
          <cell r="BO90">
            <v>6.683080564229904E-2</v>
          </cell>
          <cell r="BP90">
            <v>6.3824612264739677E-2</v>
          </cell>
          <cell r="BQ90">
            <v>6.498895500166868E-2</v>
          </cell>
          <cell r="BR90">
            <v>7.1143990938396406E-2</v>
          </cell>
          <cell r="BS90">
            <v>6.6655845704569838E-2</v>
          </cell>
          <cell r="BT90">
            <v>-0.2045028373243809</v>
          </cell>
          <cell r="BU90">
            <v>-0.20843415113795605</v>
          </cell>
          <cell r="BV90">
            <v>-0.21223637922033578</v>
          </cell>
          <cell r="BW90">
            <v>-0.22037948536782381</v>
          </cell>
          <cell r="BX90">
            <v>-0.21133631742288372</v>
          </cell>
          <cell r="BY90">
            <v>-0.11461814552569105</v>
          </cell>
          <cell r="BZ90">
            <v>-0.11049928104484263</v>
          </cell>
          <cell r="CA90">
            <v>-0.10676929159337101</v>
          </cell>
          <cell r="CB90">
            <v>-0.10267060508698989</v>
          </cell>
          <cell r="CC90">
            <v>-0.10870679079053214</v>
          </cell>
          <cell r="CD90">
            <v>-7.8071265711741278E-2</v>
          </cell>
          <cell r="CE90">
            <v>-7.8525056691301165E-2</v>
          </cell>
          <cell r="CF90">
            <v>-7.8501057655454565E-2</v>
          </cell>
          <cell r="CG90">
            <v>-7.8700450918493314E-2</v>
          </cell>
          <cell r="CH90">
            <v>-7.8448796677114352E-2</v>
          </cell>
        </row>
        <row r="91">
          <cell r="B91" t="str">
            <v>Salaries &amp; benefits expense</v>
          </cell>
          <cell r="E91">
            <v>-0.18955066951170496</v>
          </cell>
          <cell r="F91">
            <v>0.23388343031574954</v>
          </cell>
          <cell r="K91">
            <v>0.28731793301790498</v>
          </cell>
          <cell r="L91">
            <v>0.41259578232531502</v>
          </cell>
          <cell r="M91">
            <v>0.3727594891282755</v>
          </cell>
          <cell r="N91">
            <v>0.35598212098946869</v>
          </cell>
          <cell r="O91">
            <v>0.21222926503132977</v>
          </cell>
          <cell r="P91">
            <v>0.33133648025367535</v>
          </cell>
          <cell r="Q91">
            <v>0.23764528190676182</v>
          </cell>
          <cell r="R91">
            <v>0.22917162663679025</v>
          </cell>
          <cell r="S91">
            <v>0.30194753882208425</v>
          </cell>
          <cell r="T91">
            <v>0.36058333618360305</v>
          </cell>
          <cell r="U91">
            <v>0.28408519353041606</v>
          </cell>
          <cell r="V91">
            <v>0.22939889571830396</v>
          </cell>
          <cell r="W91">
            <v>0.24342687433300303</v>
          </cell>
          <cell r="X91">
            <v>0.17380899531089611</v>
          </cell>
          <cell r="Y91">
            <v>9.3232988200543598E-2</v>
          </cell>
          <cell r="Z91">
            <v>0.18050976514128236</v>
          </cell>
          <cell r="AA91">
            <v>9.7933589163146095E-2</v>
          </cell>
          <cell r="AB91">
            <v>0.11513028286240501</v>
          </cell>
          <cell r="AC91">
            <v>9.8802749067786966E-2</v>
          </cell>
          <cell r="AD91">
            <v>0.11868469840904861</v>
          </cell>
          <cell r="AE91">
            <v>0.10771192505754446</v>
          </cell>
          <cell r="AF91">
            <v>0.12370861219224438</v>
          </cell>
          <cell r="AG91">
            <v>0.1507818470159985</v>
          </cell>
          <cell r="AH91">
            <v>0.21043290730099162</v>
          </cell>
          <cell r="AI91">
            <v>0.19032826647755874</v>
          </cell>
          <cell r="AJ91">
            <v>0.16942071053525876</v>
          </cell>
          <cell r="AK91">
            <v>0.19297075070891023</v>
          </cell>
          <cell r="AL91">
            <v>0.17836138303974569</v>
          </cell>
          <cell r="AM91">
            <v>1.1138009095008852</v>
          </cell>
          <cell r="AN91">
            <v>1.2793181528738038</v>
          </cell>
          <cell r="AO91">
            <v>0.71653085216540346</v>
          </cell>
          <cell r="AP91">
            <v>1.2366635412554281</v>
          </cell>
          <cell r="AQ91">
            <v>1.1801832008644979</v>
          </cell>
          <cell r="AR91">
            <v>0.14737362059905434</v>
          </cell>
          <cell r="AS91">
            <v>4.4382172505686768E-2</v>
          </cell>
          <cell r="AT91">
            <v>0.45931044681539435</v>
          </cell>
          <cell r="AU91">
            <v>7.0211533688187888E-2</v>
          </cell>
          <cell r="AV91">
            <v>0.11330991239382771</v>
          </cell>
          <cell r="AW91">
            <v>0.1350347981086828</v>
          </cell>
          <cell r="AX91">
            <v>0.11357925729524765</v>
          </cell>
          <cell r="AY91">
            <v>0.10806732911798411</v>
          </cell>
          <cell r="AZ91">
            <v>0.10195216399345775</v>
          </cell>
          <cell r="BA91">
            <v>5.4991345449703743E-2</v>
          </cell>
          <cell r="BB91">
            <v>5.1843727983846843E-2</v>
          </cell>
          <cell r="BC91">
            <v>0.12696905614777076</v>
          </cell>
          <cell r="BD91">
            <v>8.3785257873211672E-2</v>
          </cell>
          <cell r="BE91">
            <v>9.2989645557365108E-2</v>
          </cell>
          <cell r="BF91">
            <v>9.1763280489555621E-2</v>
          </cell>
          <cell r="BG91">
            <v>6.8868158316511829E-2</v>
          </cell>
          <cell r="BH91">
            <v>2.6966254789597244E-2</v>
          </cell>
          <cell r="BI91">
            <v>6.9245706018609132E-2</v>
          </cell>
          <cell r="BJ91">
            <v>8.7620112672158745E-2</v>
          </cell>
          <cell r="BK91">
            <v>8.189460846646468E-2</v>
          </cell>
          <cell r="BL91">
            <v>9.4720529217579452E-2</v>
          </cell>
          <cell r="BM91">
            <v>8.1485669172421504E-2</v>
          </cell>
          <cell r="BN91">
            <v>8.641460845480764E-2</v>
          </cell>
          <cell r="BO91">
            <v>4.891466019437285E-2</v>
          </cell>
          <cell r="BP91">
            <v>4.0195080833386188E-2</v>
          </cell>
          <cell r="BQ91">
            <v>7.2672755519352705E-2</v>
          </cell>
          <cell r="BR91">
            <v>8.6158849329376785E-2</v>
          </cell>
          <cell r="BS91">
            <v>6.2132437475695967E-2</v>
          </cell>
          <cell r="BT91">
            <v>6.9830816405723084E-2</v>
          </cell>
          <cell r="BU91">
            <v>6.3797671267796785E-2</v>
          </cell>
          <cell r="BV91">
            <v>5.7878574020552964E-2</v>
          </cell>
          <cell r="BW91">
            <v>5.0919107260994467E-2</v>
          </cell>
          <cell r="BX91">
            <v>6.0465561772605536E-2</v>
          </cell>
          <cell r="BY91">
            <v>4.7800232813833166E-2</v>
          </cell>
          <cell r="BZ91">
            <v>4.8148413738710927E-2</v>
          </cell>
          <cell r="CA91">
            <v>4.8596777933836766E-2</v>
          </cell>
          <cell r="CB91">
            <v>4.86298491947037E-2</v>
          </cell>
          <cell r="CC91">
            <v>4.8297948968616389E-2</v>
          </cell>
          <cell r="CD91">
            <v>4.8433336038546271E-2</v>
          </cell>
          <cell r="CE91">
            <v>4.8056967059893374E-2</v>
          </cell>
          <cell r="CF91">
            <v>4.838908289363264E-2</v>
          </cell>
          <cell r="CG91">
            <v>4.7770242828945708E-2</v>
          </cell>
          <cell r="CH91">
            <v>4.8161360293583533E-2</v>
          </cell>
        </row>
        <row r="92">
          <cell r="B92" t="str">
            <v>Supplies expense</v>
          </cell>
          <cell r="E92">
            <v>-0.1784438204797324</v>
          </cell>
          <cell r="F92">
            <v>0.21720221322409294</v>
          </cell>
          <cell r="K92">
            <v>0.27103773401378617</v>
          </cell>
          <cell r="L92">
            <v>0.36872046023225469</v>
          </cell>
          <cell r="M92">
            <v>0.34199744195625326</v>
          </cell>
          <cell r="N92">
            <v>0.30779776494536981</v>
          </cell>
          <cell r="O92">
            <v>0.19724253337698716</v>
          </cell>
          <cell r="P92">
            <v>0.29937043385984241</v>
          </cell>
          <cell r="Q92">
            <v>0.20031249999999989</v>
          </cell>
          <cell r="R92">
            <v>0.23014296098861164</v>
          </cell>
          <cell r="S92">
            <v>0.33781766200762386</v>
          </cell>
          <cell r="T92">
            <v>0.44597550970800048</v>
          </cell>
          <cell r="U92">
            <v>0.30504501603929524</v>
          </cell>
          <cell r="V92">
            <v>0.29382973184066663</v>
          </cell>
          <cell r="W92">
            <v>0.26910652379451605</v>
          </cell>
          <cell r="X92">
            <v>0.23281767562241029</v>
          </cell>
          <cell r="Y92">
            <v>0.11678241591981253</v>
          </cell>
          <cell r="Z92">
            <v>0.22200626996973338</v>
          </cell>
          <cell r="AA92">
            <v>0.14263723438506126</v>
          </cell>
          <cell r="AB92">
            <v>0.14262507113663414</v>
          </cell>
          <cell r="AC92">
            <v>6.3964406436887833E-2</v>
          </cell>
          <cell r="AD92">
            <v>7.857599819365535E-2</v>
          </cell>
          <cell r="AE92">
            <v>0.10575673120482154</v>
          </cell>
          <cell r="AF92">
            <v>8.1457087761624969E-2</v>
          </cell>
          <cell r="AG92">
            <v>0.13828794972335157</v>
          </cell>
          <cell r="AH92">
            <v>0.17699875996777736</v>
          </cell>
          <cell r="AI92">
            <v>0.14960224695579338</v>
          </cell>
          <cell r="AJ92">
            <v>0.13632791017160106</v>
          </cell>
          <cell r="AK92">
            <v>0.14401563263312189</v>
          </cell>
          <cell r="AL92">
            <v>0.16175815433571983</v>
          </cell>
          <cell r="AM92">
            <v>1.4493678673598076</v>
          </cell>
          <cell r="AN92">
            <v>1.7709548920672256</v>
          </cell>
          <cell r="AO92">
            <v>0.90113274981336366</v>
          </cell>
          <cell r="AP92">
            <v>1.7500854043897855</v>
          </cell>
          <cell r="AQ92">
            <v>1.5856210582539565</v>
          </cell>
          <cell r="AR92">
            <v>0.20293495255976346</v>
          </cell>
          <cell r="AS92">
            <v>6.3935180367910238E-2</v>
          </cell>
          <cell r="AT92">
            <v>0.58277960721261124</v>
          </cell>
          <cell r="AU92">
            <v>4.1523359963147932E-2</v>
          </cell>
          <cell r="AV92">
            <v>0.1122128468746193</v>
          </cell>
          <cell r="AW92">
            <v>0.11739250721664551</v>
          </cell>
          <cell r="AX92">
            <v>0.11126839224083551</v>
          </cell>
          <cell r="AY92">
            <v>9.5479278289023028E-2</v>
          </cell>
          <cell r="AZ92">
            <v>6.9568199098530403E-2</v>
          </cell>
          <cell r="BA92">
            <v>4.4399889512234614E-2</v>
          </cell>
          <cell r="BB92">
            <v>3.5020554984583674E-2</v>
          </cell>
          <cell r="BC92">
            <v>6.2953355875677408E-2</v>
          </cell>
          <cell r="BD92">
            <v>5.2795858076097657E-2</v>
          </cell>
          <cell r="BE92">
            <v>7.8299090258611814E-2</v>
          </cell>
          <cell r="BF92">
            <v>2.4343254248726742E-2</v>
          </cell>
          <cell r="BG92">
            <v>3.6182644156230959E-2</v>
          </cell>
          <cell r="BH92">
            <v>1.9395941276184159E-2</v>
          </cell>
          <cell r="BI92">
            <v>3.91366185071782E-2</v>
          </cell>
          <cell r="BJ92">
            <v>7.4162566033833421E-2</v>
          </cell>
          <cell r="BK92">
            <v>9.0033141989721344E-2</v>
          </cell>
          <cell r="BL92">
            <v>5.4592656801975892E-2</v>
          </cell>
          <cell r="BM92">
            <v>4.4913690021663788E-2</v>
          </cell>
          <cell r="BN92">
            <v>6.5719159588194964E-2</v>
          </cell>
          <cell r="BO92">
            <v>5.3981880775022084E-2</v>
          </cell>
          <cell r="BP92">
            <v>4.5220177842243192E-2</v>
          </cell>
          <cell r="BQ92">
            <v>7.7854749507368926E-2</v>
          </cell>
          <cell r="BR92">
            <v>9.1405993529035667E-2</v>
          </cell>
          <cell r="BS92">
            <v>6.7015687614013109E-2</v>
          </cell>
          <cell r="BT92">
            <v>6.6478881170383364E-2</v>
          </cell>
          <cell r="BU92">
            <v>6.1796358283569441E-2</v>
          </cell>
          <cell r="BV92">
            <v>5.6781217324529232E-2</v>
          </cell>
          <cell r="BW92">
            <v>4.8966428277158247E-2</v>
          </cell>
          <cell r="BX92">
            <v>5.8450474501087646E-2</v>
          </cell>
          <cell r="BY92">
            <v>3.9174802163167488E-2</v>
          </cell>
          <cell r="BZ92">
            <v>4.0131854741271011E-2</v>
          </cell>
          <cell r="CA92">
            <v>4.1447252626526154E-2</v>
          </cell>
          <cell r="CB92">
            <v>4.159596483616057E-2</v>
          </cell>
          <cell r="CC92">
            <v>4.0587165747552945E-2</v>
          </cell>
          <cell r="CD92">
            <v>4.1326844552233233E-2</v>
          </cell>
          <cell r="CE92">
            <v>4.0158394896756544E-2</v>
          </cell>
          <cell r="CF92">
            <v>4.1131744555937155E-2</v>
          </cell>
          <cell r="CG92">
            <v>3.9356055847157068E-2</v>
          </cell>
          <cell r="CH92">
            <v>4.0493238481207117E-2</v>
          </cell>
        </row>
        <row r="93">
          <cell r="B93" t="str">
            <v>Other operating expense</v>
          </cell>
          <cell r="E93">
            <v>-0.12760816112597018</v>
          </cell>
          <cell r="F93">
            <v>0.14627390518768513</v>
          </cell>
          <cell r="K93">
            <v>0.24795162521100367</v>
          </cell>
          <cell r="L93">
            <v>0.32148738021325407</v>
          </cell>
          <cell r="M93">
            <v>0.35447221119237637</v>
          </cell>
          <cell r="N93">
            <v>0.40394661185940972</v>
          </cell>
          <cell r="O93">
            <v>0.36687094729115</v>
          </cell>
          <cell r="P93">
            <v>0.36285672815315118</v>
          </cell>
          <cell r="Q93">
            <v>0.31378116414221369</v>
          </cell>
          <cell r="R93">
            <v>0.287115230034517</v>
          </cell>
          <cell r="S93">
            <v>0.33738236319275017</v>
          </cell>
          <cell r="T93">
            <v>0.31987729262616571</v>
          </cell>
          <cell r="U93">
            <v>0.31522655379009668</v>
          </cell>
          <cell r="V93">
            <v>0.25727079786365636</v>
          </cell>
          <cell r="W93">
            <v>0.22198874406712421</v>
          </cell>
          <cell r="X93">
            <v>0.11666818697142256</v>
          </cell>
          <cell r="Y93">
            <v>9.0533584044881321E-2</v>
          </cell>
          <cell r="Z93">
            <v>0.16522173598428735</v>
          </cell>
          <cell r="AA93">
            <v>0.11815191313596007</v>
          </cell>
          <cell r="AB93">
            <v>0.13904521404521408</v>
          </cell>
          <cell r="AC93">
            <v>0.13255613126079457</v>
          </cell>
          <cell r="AD93">
            <v>0.15572389620668226</v>
          </cell>
          <cell r="AE93">
            <v>0.13676702379649819</v>
          </cell>
          <cell r="AF93">
            <v>0.14494669085117695</v>
          </cell>
          <cell r="AG93">
            <v>0.15659871414545568</v>
          </cell>
          <cell r="AH93">
            <v>0.21081184119689644</v>
          </cell>
          <cell r="AI93">
            <v>0.15397483809113854</v>
          </cell>
          <cell r="AJ93">
            <v>0.16684746415267115</v>
          </cell>
          <cell r="AK93">
            <v>0.18458001477953845</v>
          </cell>
          <cell r="AL93">
            <v>0.18001213985477804</v>
          </cell>
          <cell r="AM93">
            <v>0.97483203628611936</v>
          </cell>
          <cell r="AN93">
            <v>1.1713887264002985</v>
          </cell>
          <cell r="AO93">
            <v>0.65000317693522724</v>
          </cell>
          <cell r="AP93">
            <v>1.1453524641297568</v>
          </cell>
          <cell r="AQ93">
            <v>1.034754559940593</v>
          </cell>
          <cell r="AR93">
            <v>0.14055635634212194</v>
          </cell>
          <cell r="AS93">
            <v>8.9056164728527065E-3</v>
          </cell>
          <cell r="AT93">
            <v>0.41767784553875376</v>
          </cell>
          <cell r="AU93">
            <v>2.5765583930577263E-2</v>
          </cell>
          <cell r="AV93">
            <v>7.9291310744386001E-2</v>
          </cell>
          <cell r="AW93">
            <v>7.2277435332654516E-2</v>
          </cell>
          <cell r="AX93">
            <v>7.78564421475052E-2</v>
          </cell>
          <cell r="AY93">
            <v>6.3747497558913846E-2</v>
          </cell>
          <cell r="AZ93">
            <v>8.250327945394309E-2</v>
          </cell>
          <cell r="BA93">
            <v>3.524751987009811E-2</v>
          </cell>
          <cell r="BB93">
            <v>6.7736741223063168E-2</v>
          </cell>
          <cell r="BC93">
            <v>0.12814036523827732</v>
          </cell>
          <cell r="BD93">
            <v>7.8116782291366871E-2</v>
          </cell>
          <cell r="BE93">
            <v>6.9391171290519527E-2</v>
          </cell>
          <cell r="BF93">
            <v>0.11382600663120268</v>
          </cell>
          <cell r="BG93">
            <v>2.8932158337361846E-2</v>
          </cell>
          <cell r="BH93">
            <v>-9.4551136698157734E-3</v>
          </cell>
          <cell r="BI93">
            <v>4.9466133908641075E-2</v>
          </cell>
          <cell r="BJ93">
            <v>0.13468097535991808</v>
          </cell>
          <cell r="BK93">
            <v>0.12445913397287778</v>
          </cell>
          <cell r="BL93">
            <v>0.11425286397865331</v>
          </cell>
          <cell r="BM93">
            <v>9.7159374522746811E-2</v>
          </cell>
          <cell r="BN93">
            <v>0.11773914336985536</v>
          </cell>
          <cell r="BO93">
            <v>4.3847439613723838E-2</v>
          </cell>
          <cell r="BP93">
            <v>3.5169983824529183E-2</v>
          </cell>
          <cell r="BQ93">
            <v>6.7490761531336707E-2</v>
          </cell>
          <cell r="BR93">
            <v>8.0911705129717904E-2</v>
          </cell>
          <cell r="BS93">
            <v>5.637111166407216E-2</v>
          </cell>
          <cell r="BT93">
            <v>6.6894651867467347E-2</v>
          </cell>
          <cell r="BU93">
            <v>6.0651017510131355E-2</v>
          </cell>
          <cell r="BV93">
            <v>5.4597210001446905E-2</v>
          </cell>
          <cell r="BW93">
            <v>4.7806386604923867E-2</v>
          </cell>
          <cell r="BX93">
            <v>5.7514871305833992E-2</v>
          </cell>
          <cell r="BY93">
            <v>4.5835387440130937E-2</v>
          </cell>
          <cell r="BZ93">
            <v>4.6078619162082335E-2</v>
          </cell>
          <cell r="CA93">
            <v>4.637769117333268E-2</v>
          </cell>
          <cell r="CB93">
            <v>4.6390938169948326E-2</v>
          </cell>
          <cell r="CC93">
            <v>4.616851479228945E-2</v>
          </cell>
          <cell r="CD93">
            <v>4.6207448239364624E-2</v>
          </cell>
          <cell r="CE93">
            <v>4.5967356520297376E-2</v>
          </cell>
          <cell r="CF93">
            <v>4.618905833844078E-2</v>
          </cell>
          <cell r="CG93">
            <v>4.5769480469024737E-2</v>
          </cell>
          <cell r="CH93">
            <v>4.6033902659022852E-2</v>
          </cell>
        </row>
        <row r="95">
          <cell r="B95" t="str">
            <v>MW items</v>
          </cell>
        </row>
        <row r="96">
          <cell r="B96" t="str">
            <v>Unrecorded Goodwill</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M96" t="str">
            <v>mstag:unrecordedGoodwillFromPoolingAndAmortizedOrWrittenOffGoodwill</v>
          </cell>
          <cell r="CN96">
            <v>6</v>
          </cell>
          <cell r="CO96" t="str">
            <v>ISO4217:USD</v>
          </cell>
          <cell r="CP96" t="b">
            <v>0</v>
          </cell>
        </row>
        <row r="97">
          <cell r="B97" t="str">
            <v>Statutory tax</v>
          </cell>
          <cell r="F97">
            <v>0.40299999999999997</v>
          </cell>
          <cell r="G97">
            <v>0.41</v>
          </cell>
          <cell r="H97">
            <v>0.41</v>
          </cell>
          <cell r="I97">
            <v>0.41</v>
          </cell>
          <cell r="J97">
            <v>0.41</v>
          </cell>
          <cell r="K97">
            <v>0.41</v>
          </cell>
          <cell r="L97">
            <v>0.40699999999999997</v>
          </cell>
          <cell r="M97">
            <v>0.40699999999999997</v>
          </cell>
          <cell r="N97">
            <v>0.40699999999999997</v>
          </cell>
          <cell r="O97">
            <v>0.40699999999999997</v>
          </cell>
          <cell r="P97">
            <v>0.40699999999999997</v>
          </cell>
          <cell r="Q97">
            <v>0.39499999999999996</v>
          </cell>
          <cell r="R97">
            <v>0.39499999999999996</v>
          </cell>
          <cell r="S97">
            <v>0.39499999999999996</v>
          </cell>
          <cell r="T97">
            <v>0.39499999999999996</v>
          </cell>
          <cell r="U97">
            <v>0.39499999999999996</v>
          </cell>
          <cell r="V97">
            <v>0.38700000000000001</v>
          </cell>
          <cell r="W97">
            <v>0.38700000000000001</v>
          </cell>
          <cell r="X97">
            <v>0.38700000000000001</v>
          </cell>
          <cell r="Y97">
            <v>0.38700000000000001</v>
          </cell>
          <cell r="Z97">
            <v>0.38700000000000001</v>
          </cell>
          <cell r="AA97">
            <v>0.38</v>
          </cell>
          <cell r="AB97">
            <v>0.38</v>
          </cell>
          <cell r="AC97">
            <v>0.38</v>
          </cell>
          <cell r="AD97">
            <v>0.38</v>
          </cell>
          <cell r="AE97">
            <v>0.38</v>
          </cell>
          <cell r="AF97">
            <v>0.377</v>
          </cell>
          <cell r="AG97">
            <v>0.377</v>
          </cell>
          <cell r="AH97">
            <v>0.377</v>
          </cell>
          <cell r="AI97">
            <v>0.377</v>
          </cell>
          <cell r="AJ97">
            <v>0.377</v>
          </cell>
          <cell r="AK97">
            <v>0.37899999999999995</v>
          </cell>
          <cell r="AL97">
            <v>0.37899999999999995</v>
          </cell>
          <cell r="AM97">
            <v>0.37899999999999995</v>
          </cell>
          <cell r="AN97">
            <v>0.37899999999999995</v>
          </cell>
          <cell r="AO97">
            <v>0.37899999999999995</v>
          </cell>
          <cell r="AP97">
            <v>0.375</v>
          </cell>
          <cell r="AQ97">
            <v>0.375</v>
          </cell>
          <cell r="AR97">
            <v>0.375</v>
          </cell>
          <cell r="AS97">
            <v>0.375</v>
          </cell>
          <cell r="AT97">
            <v>0.375</v>
          </cell>
          <cell r="AU97">
            <v>0.36</v>
          </cell>
          <cell r="AV97">
            <v>0.36</v>
          </cell>
          <cell r="AW97">
            <v>0.36</v>
          </cell>
          <cell r="AX97">
            <v>0.36</v>
          </cell>
          <cell r="AY97">
            <v>0.36</v>
          </cell>
          <cell r="AZ97">
            <v>0.36299999999999999</v>
          </cell>
          <cell r="BA97">
            <v>0.36299999999999999</v>
          </cell>
          <cell r="BB97">
            <v>0.36299999999999999</v>
          </cell>
          <cell r="BC97">
            <v>0.36299999999999999</v>
          </cell>
          <cell r="BD97">
            <v>0.36299999999999999</v>
          </cell>
          <cell r="BE97">
            <v>0.35899999999999999</v>
          </cell>
          <cell r="BF97">
            <v>0.35899999999999999</v>
          </cell>
          <cell r="BG97">
            <v>0.35899999999999999</v>
          </cell>
          <cell r="BH97">
            <v>0.35899999999999999</v>
          </cell>
          <cell r="BI97">
            <v>0.35899999999999999</v>
          </cell>
          <cell r="BJ97">
            <v>0.35</v>
          </cell>
          <cell r="BK97">
            <v>0.35</v>
          </cell>
          <cell r="BL97">
            <v>0.35</v>
          </cell>
          <cell r="BM97">
            <v>0.35</v>
          </cell>
          <cell r="BN97">
            <v>0.35</v>
          </cell>
          <cell r="BO97">
            <v>0.35</v>
          </cell>
          <cell r="BP97">
            <v>0.35</v>
          </cell>
          <cell r="BQ97">
            <v>0.35</v>
          </cell>
          <cell r="BR97">
            <v>0.35</v>
          </cell>
          <cell r="BS97">
            <v>0.35</v>
          </cell>
          <cell r="BT97">
            <v>0.35</v>
          </cell>
          <cell r="BU97">
            <v>0.35</v>
          </cell>
          <cell r="BV97">
            <v>0.35</v>
          </cell>
          <cell r="BW97">
            <v>0.35</v>
          </cell>
          <cell r="BX97">
            <v>0.35</v>
          </cell>
          <cell r="BY97">
            <v>0.35</v>
          </cell>
          <cell r="BZ97">
            <v>0.35</v>
          </cell>
          <cell r="CA97">
            <v>0.35</v>
          </cell>
          <cell r="CB97">
            <v>0.35</v>
          </cell>
          <cell r="CC97">
            <v>0.35</v>
          </cell>
          <cell r="CD97">
            <v>0.35</v>
          </cell>
          <cell r="CE97">
            <v>0.35</v>
          </cell>
          <cell r="CF97">
            <v>0.35</v>
          </cell>
          <cell r="CG97">
            <v>0.35</v>
          </cell>
          <cell r="CH97">
            <v>0.35</v>
          </cell>
          <cell r="CM97" t="str">
            <v>mstag:statutoryTaxRate</v>
          </cell>
          <cell r="CN97">
            <v>0</v>
          </cell>
          <cell r="CO97" t="str">
            <v>ms_eqr_gcim_Decimal:ms_eqr_gcim_decimal</v>
          </cell>
          <cell r="CP97" t="b">
            <v>0</v>
          </cell>
        </row>
        <row r="98">
          <cell r="F98" t="str">
            <v>2000-FY</v>
          </cell>
          <cell r="G98" t="str">
            <v>2001-Q1</v>
          </cell>
          <cell r="H98" t="str">
            <v>2001-Q2</v>
          </cell>
          <cell r="I98" t="str">
            <v>2001-Q3</v>
          </cell>
          <cell r="J98" t="str">
            <v>2001-Q4</v>
          </cell>
          <cell r="K98" t="str">
            <v>2001-FY</v>
          </cell>
          <cell r="L98" t="str">
            <v>2002-Q1</v>
          </cell>
          <cell r="M98" t="str">
            <v>2002-Q2</v>
          </cell>
          <cell r="N98" t="str">
            <v>2002-Q3</v>
          </cell>
          <cell r="O98" t="str">
            <v>2002-Q4</v>
          </cell>
          <cell r="P98" t="str">
            <v>2002-FY</v>
          </cell>
          <cell r="Q98" t="str">
            <v>2003-Q1</v>
          </cell>
          <cell r="R98" t="str">
            <v>2003-Q2</v>
          </cell>
          <cell r="S98" t="str">
            <v>2003-Q3</v>
          </cell>
          <cell r="T98" t="str">
            <v>2003-Q4</v>
          </cell>
          <cell r="U98" t="str">
            <v>2003-FY</v>
          </cell>
          <cell r="V98" t="str">
            <v>2004-Q1</v>
          </cell>
          <cell r="W98" t="str">
            <v>2004-Q2</v>
          </cell>
          <cell r="X98" t="str">
            <v>2004-Q3</v>
          </cell>
          <cell r="Y98" t="str">
            <v>2004-Q4</v>
          </cell>
          <cell r="Z98" t="str">
            <v>2004-FY</v>
          </cell>
          <cell r="AA98" t="str">
            <v>2005-Q1</v>
          </cell>
          <cell r="AB98" t="str">
            <v>2005-Q2</v>
          </cell>
          <cell r="AC98" t="str">
            <v>2005-Q3</v>
          </cell>
          <cell r="AD98" t="str">
            <v>2005-Q4</v>
          </cell>
          <cell r="AE98" t="str">
            <v>2005-FY</v>
          </cell>
          <cell r="AF98" t="str">
            <v>2006-Q1</v>
          </cell>
          <cell r="AG98" t="str">
            <v>2006-Q2</v>
          </cell>
          <cell r="AH98" t="str">
            <v>2006-Q3</v>
          </cell>
          <cell r="AI98" t="str">
            <v>2006-Q4</v>
          </cell>
          <cell r="AJ98" t="str">
            <v>2006-FY</v>
          </cell>
          <cell r="AK98" t="str">
            <v>2007-Q1</v>
          </cell>
          <cell r="AL98" t="str">
            <v>2007-Q2</v>
          </cell>
          <cell r="AM98" t="str">
            <v>2007-Q3</v>
          </cell>
          <cell r="AN98" t="str">
            <v>2007-Q4</v>
          </cell>
          <cell r="AO98" t="str">
            <v>2007-FY</v>
          </cell>
          <cell r="AP98" t="str">
            <v>2008-Q1</v>
          </cell>
          <cell r="AQ98" t="str">
            <v>2008-Q2</v>
          </cell>
          <cell r="AR98" t="str">
            <v>2008-Q3</v>
          </cell>
          <cell r="AS98" t="str">
            <v>2008-Q4</v>
          </cell>
          <cell r="AT98" t="str">
            <v>2008-FY</v>
          </cell>
          <cell r="AU98" t="str">
            <v>2009-Q1</v>
          </cell>
          <cell r="AV98" t="str">
            <v>2009-Q2</v>
          </cell>
          <cell r="AW98" t="str">
            <v>2009-Q3</v>
          </cell>
          <cell r="AX98" t="str">
            <v>2009-Q4</v>
          </cell>
          <cell r="AY98" t="str">
            <v>2009-FY</v>
          </cell>
          <cell r="AZ98" t="str">
            <v>2010-Q1</v>
          </cell>
          <cell r="BA98" t="str">
            <v>2010-Q2</v>
          </cell>
          <cell r="BB98" t="str">
            <v>2010-Q3</v>
          </cell>
          <cell r="BC98" t="str">
            <v>2010-Q4</v>
          </cell>
          <cell r="BD98" t="str">
            <v>2010-FY</v>
          </cell>
          <cell r="BE98" t="str">
            <v>2011-Q1</v>
          </cell>
          <cell r="BF98" t="str">
            <v>2011-Q2</v>
          </cell>
          <cell r="BG98" t="str">
            <v>2011-Q3</v>
          </cell>
          <cell r="BH98" t="str">
            <v>2011-Q4</v>
          </cell>
          <cell r="BI98" t="str">
            <v>2011-FY</v>
          </cell>
          <cell r="BJ98" t="str">
            <v>2012-Q1</v>
          </cell>
          <cell r="BK98" t="str">
            <v>2012-Q2</v>
          </cell>
          <cell r="BL98" t="str">
            <v>2012-Q3</v>
          </cell>
          <cell r="BM98" t="str">
            <v>2012-Q4</v>
          </cell>
          <cell r="BN98" t="str">
            <v>2012-FY</v>
          </cell>
          <cell r="BO98" t="str">
            <v>2013-Q1</v>
          </cell>
          <cell r="BP98" t="str">
            <v>2013-Q2</v>
          </cell>
          <cell r="BQ98" t="str">
            <v>2013-Q3</v>
          </cell>
          <cell r="BR98" t="str">
            <v>2013-Q4</v>
          </cell>
          <cell r="BS98" t="str">
            <v>2013-FY</v>
          </cell>
          <cell r="BT98" t="str">
            <v>2014-Q1</v>
          </cell>
          <cell r="BU98" t="str">
            <v>2014-Q2</v>
          </cell>
          <cell r="BV98" t="str">
            <v>2014-Q3</v>
          </cell>
          <cell r="BW98" t="str">
            <v>2014-Q4</v>
          </cell>
          <cell r="BX98" t="str">
            <v>2014-FY</v>
          </cell>
          <cell r="BY98" t="str">
            <v>2015-Q1</v>
          </cell>
          <cell r="BZ98" t="str">
            <v>2015-Q2</v>
          </cell>
          <cell r="CA98" t="str">
            <v>2015-Q3</v>
          </cell>
          <cell r="CB98" t="str">
            <v>2015-Q4</v>
          </cell>
          <cell r="CC98" t="str">
            <v>2015-FY</v>
          </cell>
          <cell r="CD98" t="str">
            <v>2015-Q1</v>
          </cell>
          <cell r="CE98" t="str">
            <v>2015-Q2</v>
          </cell>
          <cell r="CF98" t="str">
            <v>2015-Q3</v>
          </cell>
          <cell r="CG98" t="str">
            <v>2015-Q4</v>
          </cell>
          <cell r="CH98" t="str">
            <v>2015-FY</v>
          </cell>
        </row>
        <row r="101">
          <cell r="B101" t="str">
            <v>Revenue and EPS Variance</v>
          </cell>
        </row>
        <row r="102">
          <cell r="B102" t="str">
            <v>Revenue Reported</v>
          </cell>
          <cell r="K102">
            <v>1693.625</v>
          </cell>
          <cell r="P102">
            <v>2200.4169999999999</v>
          </cell>
          <cell r="U102">
            <v>2834.6239999999998</v>
          </cell>
          <cell r="Z102">
            <v>3332.6410000000001</v>
          </cell>
        </row>
        <row r="103">
          <cell r="B103" t="str">
            <v xml:space="preserve">EPS Reported-GAAP </v>
          </cell>
          <cell r="K103">
            <v>0.5</v>
          </cell>
          <cell r="P103">
            <v>1</v>
          </cell>
          <cell r="U103">
            <v>1.3</v>
          </cell>
          <cell r="Z103">
            <v>1.51</v>
          </cell>
        </row>
        <row r="105">
          <cell r="B105" t="str">
            <v>Revenue Calculated</v>
          </cell>
          <cell r="K105">
            <v>1693.625</v>
          </cell>
          <cell r="P105">
            <v>2200.4169999999999</v>
          </cell>
          <cell r="U105">
            <v>2834.6240000000003</v>
          </cell>
          <cell r="Z105">
            <v>3351.7520000000004</v>
          </cell>
        </row>
        <row r="106">
          <cell r="B106" t="str">
            <v xml:space="preserve">EPS Calculated-GAAP </v>
          </cell>
          <cell r="K106">
            <v>0.49575946875876586</v>
          </cell>
          <cell r="P106">
            <v>1.0033481754727798</v>
          </cell>
          <cell r="U106">
            <v>1.2972760727151846</v>
          </cell>
          <cell r="Z106">
            <v>1.5131708396232644</v>
          </cell>
        </row>
        <row r="108">
          <cell r="B108" t="str">
            <v>Revenue Variance</v>
          </cell>
          <cell r="K108">
            <v>0</v>
          </cell>
          <cell r="P108">
            <v>0</v>
          </cell>
          <cell r="U108">
            <v>0</v>
          </cell>
          <cell r="Z108">
            <v>-19.111000000000331</v>
          </cell>
        </row>
        <row r="109">
          <cell r="B109" t="str">
            <v xml:space="preserve">EPS Variance-GAAP </v>
          </cell>
          <cell r="K109">
            <v>4.2405312412341356E-3</v>
          </cell>
          <cell r="P109">
            <v>-3.3481754727797686E-3</v>
          </cell>
          <cell r="U109">
            <v>2.7239272848154084E-3</v>
          </cell>
          <cell r="Z109">
            <v>-3.1708396232643654E-3</v>
          </cell>
        </row>
      </sheetData>
      <sheetData sheetId="3" refreshError="1">
        <row r="1">
          <cell r="A1" t="str">
            <v>Community Health Systems</v>
          </cell>
          <cell r="CL1" t="str">
            <v>ElementName</v>
          </cell>
          <cell r="CM1" t="str">
            <v>ScaleOverride</v>
          </cell>
          <cell r="CN1" t="str">
            <v>UnitOverride</v>
          </cell>
          <cell r="CO1" t="str">
            <v>ReverseSign</v>
          </cell>
          <cell r="CP1" t="str">
            <v>IsDrivingAssumption</v>
          </cell>
        </row>
        <row r="2">
          <cell r="A2" t="str">
            <v>Andrew Schenker (212) 761-6857</v>
          </cell>
        </row>
        <row r="3">
          <cell r="A3" t="str">
            <v>Balance Sheet &amp; Cash Flow Statement</v>
          </cell>
        </row>
        <row r="4">
          <cell r="B4" t="str">
            <v>Fiscal year ends on December 31</v>
          </cell>
          <cell r="G4">
            <v>36981</v>
          </cell>
          <cell r="H4">
            <v>37072</v>
          </cell>
          <cell r="I4">
            <v>37164</v>
          </cell>
          <cell r="J4">
            <v>37256</v>
          </cell>
          <cell r="K4">
            <v>37256</v>
          </cell>
          <cell r="L4">
            <v>37346</v>
          </cell>
          <cell r="M4">
            <v>37437</v>
          </cell>
          <cell r="N4">
            <v>37529</v>
          </cell>
          <cell r="O4">
            <v>37621</v>
          </cell>
          <cell r="P4">
            <v>37621</v>
          </cell>
          <cell r="Q4">
            <v>37711</v>
          </cell>
          <cell r="R4">
            <v>37802</v>
          </cell>
          <cell r="S4">
            <v>37894</v>
          </cell>
          <cell r="T4">
            <v>37986</v>
          </cell>
          <cell r="U4">
            <v>37986</v>
          </cell>
          <cell r="V4">
            <v>38077</v>
          </cell>
          <cell r="W4">
            <v>38168</v>
          </cell>
          <cell r="X4">
            <v>38260</v>
          </cell>
          <cell r="Y4">
            <v>38352</v>
          </cell>
          <cell r="Z4">
            <v>38352</v>
          </cell>
          <cell r="AA4">
            <v>38442</v>
          </cell>
          <cell r="AB4">
            <v>38533</v>
          </cell>
          <cell r="AC4">
            <v>38625</v>
          </cell>
          <cell r="AD4">
            <v>38717</v>
          </cell>
          <cell r="AE4">
            <v>38717</v>
          </cell>
          <cell r="AF4">
            <v>38807</v>
          </cell>
          <cell r="AG4">
            <v>38898</v>
          </cell>
          <cell r="AH4">
            <v>38990</v>
          </cell>
          <cell r="AI4">
            <v>39082</v>
          </cell>
          <cell r="AJ4">
            <v>39082</v>
          </cell>
          <cell r="AK4">
            <v>39172</v>
          </cell>
          <cell r="AL4">
            <v>39263</v>
          </cell>
          <cell r="AM4">
            <v>39355</v>
          </cell>
          <cell r="AN4">
            <v>39447</v>
          </cell>
          <cell r="AO4">
            <v>39447</v>
          </cell>
          <cell r="AP4">
            <v>39538</v>
          </cell>
          <cell r="AQ4">
            <v>39629</v>
          </cell>
          <cell r="AR4">
            <v>39721</v>
          </cell>
          <cell r="AS4">
            <v>39813</v>
          </cell>
          <cell r="AT4">
            <v>39813</v>
          </cell>
          <cell r="AU4">
            <v>39903</v>
          </cell>
          <cell r="AV4">
            <v>39994</v>
          </cell>
          <cell r="AW4">
            <v>40086</v>
          </cell>
          <cell r="AX4">
            <v>40178</v>
          </cell>
          <cell r="AY4">
            <v>40178</v>
          </cell>
          <cell r="AZ4">
            <v>40268</v>
          </cell>
          <cell r="BA4">
            <v>40359</v>
          </cell>
          <cell r="BB4">
            <v>40451</v>
          </cell>
          <cell r="BC4">
            <v>40543</v>
          </cell>
          <cell r="BD4">
            <v>40543</v>
          </cell>
          <cell r="BE4">
            <v>40633</v>
          </cell>
          <cell r="BF4">
            <v>40724</v>
          </cell>
          <cell r="BG4">
            <v>40816</v>
          </cell>
          <cell r="BH4">
            <v>40908</v>
          </cell>
          <cell r="BI4">
            <v>40908</v>
          </cell>
          <cell r="BJ4">
            <v>40999</v>
          </cell>
          <cell r="BK4">
            <v>41090</v>
          </cell>
          <cell r="BL4">
            <v>41182</v>
          </cell>
          <cell r="BM4">
            <v>41274</v>
          </cell>
          <cell r="BN4">
            <v>41274</v>
          </cell>
          <cell r="BO4">
            <v>41364</v>
          </cell>
          <cell r="BP4">
            <v>41455</v>
          </cell>
          <cell r="BQ4">
            <v>41547</v>
          </cell>
          <cell r="BR4">
            <v>41639</v>
          </cell>
          <cell r="BS4">
            <v>41639</v>
          </cell>
          <cell r="BT4">
            <v>41729</v>
          </cell>
          <cell r="BU4">
            <v>41820</v>
          </cell>
          <cell r="BV4">
            <v>41912</v>
          </cell>
          <cell r="BW4">
            <v>42004</v>
          </cell>
          <cell r="BX4">
            <v>42004</v>
          </cell>
          <cell r="BY4">
            <v>42094</v>
          </cell>
          <cell r="BZ4">
            <v>42185</v>
          </cell>
          <cell r="CA4">
            <v>42277</v>
          </cell>
          <cell r="CB4">
            <v>42369</v>
          </cell>
          <cell r="CC4">
            <v>42369</v>
          </cell>
          <cell r="CD4">
            <v>42460</v>
          </cell>
          <cell r="CE4">
            <v>42551</v>
          </cell>
          <cell r="CF4">
            <v>42643</v>
          </cell>
          <cell r="CG4">
            <v>42735</v>
          </cell>
          <cell r="CH4">
            <v>42735</v>
          </cell>
        </row>
        <row r="5">
          <cell r="B5" t="str">
            <v>($ Million, except per share data)</v>
          </cell>
          <cell r="D5" t="str">
            <v>1998A</v>
          </cell>
          <cell r="E5" t="str">
            <v>1999A</v>
          </cell>
          <cell r="F5" t="str">
            <v>2000A</v>
          </cell>
          <cell r="G5" t="str">
            <v>1Q01A</v>
          </cell>
          <cell r="H5" t="str">
            <v>2Q01A</v>
          </cell>
          <cell r="I5" t="str">
            <v>3Q01A</v>
          </cell>
          <cell r="J5" t="str">
            <v>4Q01A</v>
          </cell>
          <cell r="K5" t="str">
            <v>2001A</v>
          </cell>
          <cell r="L5" t="str">
            <v>1Q02A</v>
          </cell>
          <cell r="M5" t="str">
            <v>2Q02A</v>
          </cell>
          <cell r="N5" t="str">
            <v>3Q02A</v>
          </cell>
          <cell r="O5" t="str">
            <v>4Q02A</v>
          </cell>
          <cell r="P5" t="str">
            <v>2002A</v>
          </cell>
          <cell r="Q5" t="str">
            <v>1Q03A</v>
          </cell>
          <cell r="R5" t="str">
            <v>2Q03A</v>
          </cell>
          <cell r="S5" t="str">
            <v>3Q03A</v>
          </cell>
          <cell r="T5" t="str">
            <v>4Q03A</v>
          </cell>
          <cell r="U5" t="str">
            <v>2003A</v>
          </cell>
          <cell r="V5" t="str">
            <v>1Q04A</v>
          </cell>
          <cell r="W5" t="str">
            <v>2Q04A</v>
          </cell>
          <cell r="X5" t="str">
            <v>3Q04A</v>
          </cell>
          <cell r="Y5" t="str">
            <v>4Q04A</v>
          </cell>
          <cell r="Z5" t="str">
            <v>2004A</v>
          </cell>
          <cell r="AA5" t="str">
            <v>1Q05A</v>
          </cell>
          <cell r="AB5" t="str">
            <v>2Q05A</v>
          </cell>
          <cell r="AC5" t="str">
            <v>3Q05A</v>
          </cell>
          <cell r="AD5" t="str">
            <v>4Q05A</v>
          </cell>
          <cell r="AE5" t="str">
            <v>2005A</v>
          </cell>
          <cell r="AF5" t="str">
            <v>1Q06A</v>
          </cell>
          <cell r="AG5" t="str">
            <v>2Q06A</v>
          </cell>
          <cell r="AH5" t="str">
            <v>3Q06A</v>
          </cell>
          <cell r="AI5" t="str">
            <v>4Q06A</v>
          </cell>
          <cell r="AJ5" t="str">
            <v>2006A</v>
          </cell>
          <cell r="AK5" t="str">
            <v>1Q07A</v>
          </cell>
          <cell r="AL5" t="str">
            <v>2Q07A</v>
          </cell>
          <cell r="AM5" t="str">
            <v>3Q07A</v>
          </cell>
          <cell r="AN5" t="str">
            <v>4Q07A</v>
          </cell>
          <cell r="AO5" t="str">
            <v>2007A</v>
          </cell>
          <cell r="AP5" t="str">
            <v>1Q08A</v>
          </cell>
          <cell r="AQ5" t="str">
            <v>2Q08A</v>
          </cell>
          <cell r="AR5" t="str">
            <v>3Q08A</v>
          </cell>
          <cell r="AS5" t="str">
            <v>4Q08A</v>
          </cell>
          <cell r="AT5" t="str">
            <v>2008A</v>
          </cell>
          <cell r="AU5" t="str">
            <v>1Q09</v>
          </cell>
          <cell r="AV5" t="str">
            <v>2Q09</v>
          </cell>
          <cell r="AW5" t="str">
            <v>3Q09</v>
          </cell>
          <cell r="AX5" t="str">
            <v>4Q09</v>
          </cell>
          <cell r="AY5" t="str">
            <v>2009A</v>
          </cell>
          <cell r="AZ5" t="str">
            <v>1Q10A</v>
          </cell>
          <cell r="BA5" t="str">
            <v>2Q10A</v>
          </cell>
          <cell r="BB5" t="str">
            <v>3Q10A</v>
          </cell>
          <cell r="BC5" t="str">
            <v>4Q10A</v>
          </cell>
          <cell r="BD5" t="str">
            <v>2010A</v>
          </cell>
          <cell r="BE5" t="str">
            <v>1Q11A</v>
          </cell>
          <cell r="BF5" t="str">
            <v>2Q11A</v>
          </cell>
          <cell r="BG5" t="str">
            <v>3Q11A</v>
          </cell>
          <cell r="BH5" t="str">
            <v>4Q11A</v>
          </cell>
          <cell r="BI5" t="str">
            <v>2011A</v>
          </cell>
          <cell r="BJ5" t="str">
            <v>1Q12A</v>
          </cell>
          <cell r="BK5" t="str">
            <v>2Q12A</v>
          </cell>
          <cell r="BL5" t="str">
            <v>3Q12A</v>
          </cell>
          <cell r="BM5" t="str">
            <v>4Q12E</v>
          </cell>
          <cell r="BN5" t="str">
            <v>2012E</v>
          </cell>
          <cell r="BO5" t="str">
            <v>1Q13E</v>
          </cell>
          <cell r="BP5" t="str">
            <v>2Q13E</v>
          </cell>
          <cell r="BQ5" t="str">
            <v>3Q13E</v>
          </cell>
          <cell r="BR5" t="str">
            <v>4Q13E</v>
          </cell>
          <cell r="BS5" t="str">
            <v>2013E</v>
          </cell>
          <cell r="BT5" t="str">
            <v>1Q14E</v>
          </cell>
          <cell r="BU5" t="str">
            <v>2Q14E</v>
          </cell>
          <cell r="BV5" t="str">
            <v>3Q14E</v>
          </cell>
          <cell r="BW5" t="str">
            <v>4Q14E</v>
          </cell>
          <cell r="BX5" t="str">
            <v>2014E</v>
          </cell>
          <cell r="BY5" t="str">
            <v>1Q15E</v>
          </cell>
          <cell r="BZ5" t="str">
            <v>2Q15E</v>
          </cell>
          <cell r="CA5" t="str">
            <v>3Q15E</v>
          </cell>
          <cell r="CB5" t="str">
            <v>4Q15E</v>
          </cell>
          <cell r="CC5" t="str">
            <v>2015E</v>
          </cell>
          <cell r="CD5" t="str">
            <v>1Q16E</v>
          </cell>
          <cell r="CE5" t="str">
            <v>2Q16E</v>
          </cell>
          <cell r="CF5" t="str">
            <v>3Q16E</v>
          </cell>
          <cell r="CG5" t="str">
            <v>4Q16E</v>
          </cell>
          <cell r="CH5" t="str">
            <v>2016E</v>
          </cell>
        </row>
        <row r="7">
          <cell r="B7" t="str">
            <v># of days in period</v>
          </cell>
          <cell r="D7">
            <v>365</v>
          </cell>
          <cell r="E7">
            <v>365</v>
          </cell>
          <cell r="F7">
            <v>366</v>
          </cell>
          <cell r="G7">
            <v>90</v>
          </cell>
          <cell r="H7">
            <v>91</v>
          </cell>
          <cell r="I7">
            <v>92</v>
          </cell>
          <cell r="J7">
            <v>92</v>
          </cell>
          <cell r="K7">
            <v>365</v>
          </cell>
          <cell r="L7">
            <v>90</v>
          </cell>
          <cell r="M7">
            <v>91</v>
          </cell>
          <cell r="N7">
            <v>92</v>
          </cell>
          <cell r="O7">
            <v>92</v>
          </cell>
          <cell r="P7">
            <v>365</v>
          </cell>
          <cell r="Q7">
            <v>90</v>
          </cell>
          <cell r="R7">
            <v>91</v>
          </cell>
          <cell r="S7">
            <v>92</v>
          </cell>
          <cell r="T7">
            <v>92</v>
          </cell>
          <cell r="U7">
            <v>365</v>
          </cell>
          <cell r="V7">
            <v>91</v>
          </cell>
          <cell r="W7">
            <v>91</v>
          </cell>
          <cell r="X7">
            <v>92</v>
          </cell>
          <cell r="Y7">
            <v>92</v>
          </cell>
          <cell r="Z7">
            <v>366</v>
          </cell>
          <cell r="AA7">
            <v>90</v>
          </cell>
          <cell r="AB7">
            <v>91</v>
          </cell>
          <cell r="AC7">
            <v>92</v>
          </cell>
          <cell r="AD7">
            <v>92</v>
          </cell>
          <cell r="AE7">
            <v>365</v>
          </cell>
          <cell r="AF7">
            <v>90</v>
          </cell>
          <cell r="AG7">
            <v>91</v>
          </cell>
          <cell r="AH7">
            <v>92</v>
          </cell>
          <cell r="AI7">
            <v>92</v>
          </cell>
          <cell r="AJ7">
            <v>365</v>
          </cell>
          <cell r="AK7">
            <v>90</v>
          </cell>
          <cell r="AL7">
            <v>91</v>
          </cell>
          <cell r="AM7">
            <v>92</v>
          </cell>
          <cell r="AN7">
            <v>92</v>
          </cell>
          <cell r="AO7">
            <v>365</v>
          </cell>
          <cell r="AP7">
            <v>91</v>
          </cell>
          <cell r="AQ7">
            <v>91</v>
          </cell>
          <cell r="AR7">
            <v>92</v>
          </cell>
          <cell r="AS7">
            <v>92</v>
          </cell>
          <cell r="AT7">
            <v>366</v>
          </cell>
          <cell r="AU7">
            <v>90</v>
          </cell>
          <cell r="AV7">
            <v>91</v>
          </cell>
          <cell r="AW7">
            <v>92</v>
          </cell>
          <cell r="AX7">
            <v>92</v>
          </cell>
          <cell r="AY7">
            <v>365</v>
          </cell>
          <cell r="AZ7">
            <v>90</v>
          </cell>
          <cell r="BA7">
            <v>91</v>
          </cell>
          <cell r="BB7">
            <v>92</v>
          </cell>
          <cell r="BC7">
            <v>92</v>
          </cell>
          <cell r="BD7">
            <v>365</v>
          </cell>
          <cell r="BE7">
            <v>90</v>
          </cell>
          <cell r="BF7">
            <v>91</v>
          </cell>
          <cell r="BG7">
            <v>92</v>
          </cell>
          <cell r="BH7">
            <v>92</v>
          </cell>
          <cell r="BI7">
            <v>365</v>
          </cell>
          <cell r="BJ7">
            <v>91</v>
          </cell>
          <cell r="BK7">
            <v>91</v>
          </cell>
          <cell r="BL7">
            <v>92</v>
          </cell>
          <cell r="BM7">
            <v>92</v>
          </cell>
          <cell r="BN7">
            <v>366</v>
          </cell>
          <cell r="BO7">
            <v>90</v>
          </cell>
          <cell r="BP7">
            <v>91</v>
          </cell>
          <cell r="BQ7">
            <v>92</v>
          </cell>
          <cell r="BR7">
            <v>92</v>
          </cell>
          <cell r="BS7">
            <v>365</v>
          </cell>
          <cell r="BT7">
            <v>90</v>
          </cell>
          <cell r="BU7">
            <v>91</v>
          </cell>
          <cell r="BV7">
            <v>92</v>
          </cell>
          <cell r="BW7">
            <v>92</v>
          </cell>
          <cell r="BX7">
            <v>365</v>
          </cell>
          <cell r="BY7">
            <v>90</v>
          </cell>
          <cell r="BZ7">
            <v>91</v>
          </cell>
          <cell r="CA7">
            <v>92</v>
          </cell>
          <cell r="CB7">
            <v>92</v>
          </cell>
          <cell r="CC7">
            <v>365</v>
          </cell>
          <cell r="CD7">
            <v>91</v>
          </cell>
          <cell r="CE7">
            <v>91</v>
          </cell>
          <cell r="CF7">
            <v>92</v>
          </cell>
          <cell r="CG7">
            <v>92</v>
          </cell>
          <cell r="CH7">
            <v>366</v>
          </cell>
        </row>
        <row r="9">
          <cell r="B9" t="str">
            <v>Cash and cash equivalents</v>
          </cell>
          <cell r="E9">
            <v>4.282</v>
          </cell>
          <cell r="F9">
            <v>13.74</v>
          </cell>
          <cell r="G9">
            <v>23.216000000000001</v>
          </cell>
          <cell r="H9">
            <v>35.74</v>
          </cell>
          <cell r="I9">
            <v>17.699000000000002</v>
          </cell>
          <cell r="J9">
            <v>8.3859999999999992</v>
          </cell>
          <cell r="K9">
            <v>8.3859999999999992</v>
          </cell>
          <cell r="L9">
            <v>23.698</v>
          </cell>
          <cell r="M9">
            <v>20.024000000000001</v>
          </cell>
          <cell r="N9">
            <v>117.53</v>
          </cell>
          <cell r="O9">
            <v>132.84399999999999</v>
          </cell>
          <cell r="P9">
            <v>132.84399999999999</v>
          </cell>
          <cell r="Q9">
            <v>19.562999999999999</v>
          </cell>
          <cell r="R9">
            <v>25.306000000000001</v>
          </cell>
          <cell r="S9">
            <v>62.642000000000003</v>
          </cell>
          <cell r="T9">
            <v>16.331</v>
          </cell>
          <cell r="U9">
            <v>16.331</v>
          </cell>
          <cell r="V9">
            <v>16.100000000000001</v>
          </cell>
          <cell r="W9">
            <v>18.605</v>
          </cell>
          <cell r="X9">
            <v>19.952000000000002</v>
          </cell>
          <cell r="Y9">
            <v>82.498000000000005</v>
          </cell>
          <cell r="Z9">
            <v>82.498000000000005</v>
          </cell>
          <cell r="AA9">
            <v>218.447</v>
          </cell>
          <cell r="AB9">
            <v>272.36399999999998</v>
          </cell>
          <cell r="AC9">
            <v>184.28</v>
          </cell>
          <cell r="AD9">
            <v>104.108</v>
          </cell>
          <cell r="AE9">
            <v>104.108</v>
          </cell>
          <cell r="AF9">
            <v>111.95099999999999</v>
          </cell>
          <cell r="AG9">
            <v>24.157</v>
          </cell>
          <cell r="AH9">
            <v>13.444000000000001</v>
          </cell>
          <cell r="AI9">
            <v>40.566000000000003</v>
          </cell>
          <cell r="AJ9">
            <v>40.566000000000003</v>
          </cell>
          <cell r="AK9">
            <v>62.878</v>
          </cell>
          <cell r="AL9">
            <v>21.356999999999999</v>
          </cell>
          <cell r="AM9">
            <v>118.855</v>
          </cell>
          <cell r="AN9">
            <v>132.874</v>
          </cell>
          <cell r="AO9">
            <v>132.874</v>
          </cell>
          <cell r="AP9">
            <v>164.35300000000001</v>
          </cell>
          <cell r="AQ9">
            <v>264.072</v>
          </cell>
          <cell r="AR9">
            <v>341.88400000000001</v>
          </cell>
          <cell r="AS9">
            <v>220.655</v>
          </cell>
          <cell r="AT9">
            <v>220.655</v>
          </cell>
          <cell r="AU9">
            <v>532.13199999999995</v>
          </cell>
          <cell r="AV9">
            <v>268.82499999999999</v>
          </cell>
          <cell r="AW9">
            <v>432.815</v>
          </cell>
          <cell r="AX9">
            <v>344.541</v>
          </cell>
          <cell r="AY9">
            <v>344.541</v>
          </cell>
          <cell r="AZ9">
            <v>480.06599999999997</v>
          </cell>
          <cell r="BA9">
            <v>548.75400000000002</v>
          </cell>
          <cell r="BB9">
            <v>567.74900000000002</v>
          </cell>
          <cell r="BC9">
            <v>299.16899999999998</v>
          </cell>
          <cell r="BD9">
            <v>299.16899999999998</v>
          </cell>
          <cell r="BE9">
            <v>270.71600000000001</v>
          </cell>
          <cell r="BF9">
            <v>191.43199999999999</v>
          </cell>
          <cell r="BG9">
            <v>266.31200000000001</v>
          </cell>
          <cell r="BH9">
            <v>129.86500000000001</v>
          </cell>
          <cell r="BI9">
            <v>129.86500000000001</v>
          </cell>
          <cell r="BJ9">
            <v>129.298</v>
          </cell>
          <cell r="BK9">
            <v>115.10899999999999</v>
          </cell>
          <cell r="BL9">
            <v>240.65</v>
          </cell>
          <cell r="BM9">
            <v>445.45809460720977</v>
          </cell>
          <cell r="BN9">
            <v>445.45809460720977</v>
          </cell>
          <cell r="BO9">
            <v>466.30999742770706</v>
          </cell>
          <cell r="BP9">
            <v>433.74526256173965</v>
          </cell>
          <cell r="BQ9">
            <v>489.32432255684199</v>
          </cell>
          <cell r="BR9">
            <v>624.29351333893169</v>
          </cell>
          <cell r="BS9">
            <v>624.29351333893169</v>
          </cell>
          <cell r="BT9">
            <v>721.74749601339943</v>
          </cell>
          <cell r="BU9">
            <v>816.14875408698788</v>
          </cell>
          <cell r="BV9">
            <v>1006.3688825181539</v>
          </cell>
          <cell r="BW9">
            <v>1277.2841526402267</v>
          </cell>
          <cell r="BX9">
            <v>1277.2841526402267</v>
          </cell>
          <cell r="BY9">
            <v>1393.0775108555317</v>
          </cell>
          <cell r="BZ9">
            <v>1512.5684550643248</v>
          </cell>
          <cell r="CA9">
            <v>1732.9665331672541</v>
          </cell>
          <cell r="CB9">
            <v>2038.4672991928715</v>
          </cell>
          <cell r="CC9">
            <v>2038.4672991928715</v>
          </cell>
          <cell r="CD9">
            <v>2210.0699320946778</v>
          </cell>
          <cell r="CE9">
            <v>2347.930503911185</v>
          </cell>
          <cell r="CF9">
            <v>2606.8171704476367</v>
          </cell>
          <cell r="CG9">
            <v>2955.0692816938868</v>
          </cell>
          <cell r="CH9">
            <v>2955.0692816938868</v>
          </cell>
          <cell r="CL9" t="str">
            <v>mstag:cashAndCashEquivalents</v>
          </cell>
          <cell r="CM9">
            <v>6</v>
          </cell>
          <cell r="CN9" t="str">
            <v>ISO4217:USD</v>
          </cell>
          <cell r="CO9" t="b">
            <v>0</v>
          </cell>
          <cell r="CP9" t="b">
            <v>0</v>
          </cell>
        </row>
        <row r="10">
          <cell r="B10" t="str">
            <v>Gross accounts receivable</v>
          </cell>
          <cell r="E10">
            <v>260.84899999999999</v>
          </cell>
          <cell r="F10">
            <v>362.76100000000002</v>
          </cell>
          <cell r="J10">
            <v>433.93200000000002</v>
          </cell>
          <cell r="K10">
            <v>433.93200000000002</v>
          </cell>
          <cell r="O10">
            <v>473.55200000000002</v>
          </cell>
          <cell r="P10">
            <v>473.55200000000002</v>
          </cell>
          <cell r="R10">
            <v>496.56700000000001</v>
          </cell>
          <cell r="S10">
            <v>590.84300000000007</v>
          </cell>
          <cell r="T10">
            <v>662.774</v>
          </cell>
          <cell r="U10">
            <v>662.774</v>
          </cell>
          <cell r="V10">
            <v>787.77499999999998</v>
          </cell>
          <cell r="W10">
            <v>755.82900000000006</v>
          </cell>
          <cell r="X10">
            <v>860.23</v>
          </cell>
          <cell r="Y10">
            <v>883.35500000000002</v>
          </cell>
          <cell r="Z10">
            <v>883.35500000000002</v>
          </cell>
          <cell r="AA10">
            <v>902.89900000000011</v>
          </cell>
          <cell r="AB10">
            <v>914.95699999999999</v>
          </cell>
          <cell r="AC10">
            <v>962.14799999999991</v>
          </cell>
          <cell r="AD10">
            <v>1002.053</v>
          </cell>
          <cell r="AE10">
            <v>1002.053</v>
          </cell>
          <cell r="AF10">
            <v>1039.914</v>
          </cell>
          <cell r="AG10">
            <v>1078.4639999999999</v>
          </cell>
          <cell r="AH10">
            <v>1206.4639999999999</v>
          </cell>
          <cell r="AI10">
            <v>1252.549</v>
          </cell>
          <cell r="AJ10">
            <v>1252.549</v>
          </cell>
          <cell r="AK10">
            <v>1314.8509999999999</v>
          </cell>
          <cell r="AL10">
            <v>1374.9960000000001</v>
          </cell>
          <cell r="AM10">
            <v>2831.1750000000002</v>
          </cell>
          <cell r="AN10">
            <v>2567.3140000000003</v>
          </cell>
          <cell r="AO10">
            <v>2567.3140000000003</v>
          </cell>
          <cell r="AP10">
            <v>2662.424</v>
          </cell>
          <cell r="AQ10">
            <v>2656.5129999999999</v>
          </cell>
          <cell r="AR10">
            <v>2752.1030000000001</v>
          </cell>
          <cell r="AS10">
            <v>2716.8590000000004</v>
          </cell>
          <cell r="AT10">
            <v>2716.8590000000004</v>
          </cell>
          <cell r="AU10">
            <v>2838.7530000000002</v>
          </cell>
          <cell r="AV10">
            <v>2932.6210000000001</v>
          </cell>
          <cell r="AW10">
            <v>3043.6350000000002</v>
          </cell>
          <cell r="AX10">
            <v>3035.0910000000003</v>
          </cell>
          <cell r="AY10">
            <v>3035.0910000000003</v>
          </cell>
          <cell r="AZ10">
            <v>3159.3360000000002</v>
          </cell>
          <cell r="BA10">
            <v>3175.0060000000003</v>
          </cell>
          <cell r="BB10">
            <v>3205.5549999999998</v>
          </cell>
          <cell r="BC10">
            <v>3353.74</v>
          </cell>
          <cell r="BD10">
            <v>3353.74</v>
          </cell>
          <cell r="BE10">
            <v>3466.0569999999998</v>
          </cell>
          <cell r="BF10">
            <v>3585.808</v>
          </cell>
          <cell r="BG10">
            <v>3613.1279999999997</v>
          </cell>
          <cell r="BH10">
            <v>3725.5010000000002</v>
          </cell>
          <cell r="BI10">
            <v>3725.5010000000002</v>
          </cell>
          <cell r="BJ10">
            <v>4015.627</v>
          </cell>
          <cell r="BK10">
            <v>4160.3429999999998</v>
          </cell>
          <cell r="BL10">
            <v>4290.3050000000003</v>
          </cell>
        </row>
        <row r="11">
          <cell r="B11" t="str">
            <v>Allowance for doubtful accounts</v>
          </cell>
          <cell r="E11">
            <v>-34.499000000000002</v>
          </cell>
          <cell r="F11">
            <v>-52.935000000000002</v>
          </cell>
          <cell r="J11">
            <v>-63.88</v>
          </cell>
          <cell r="K11">
            <v>-63.88</v>
          </cell>
          <cell r="O11">
            <v>-73.11</v>
          </cell>
          <cell r="P11">
            <v>-73.11</v>
          </cell>
          <cell r="R11">
            <v>-85.481999999999999</v>
          </cell>
          <cell r="S11">
            <v>-98.721000000000004</v>
          </cell>
          <cell r="T11">
            <v>-103.67700000000001</v>
          </cell>
          <cell r="U11">
            <v>-103.67700000000001</v>
          </cell>
          <cell r="V11">
            <v>-203.9</v>
          </cell>
          <cell r="W11">
            <v>-203.45099999999999</v>
          </cell>
          <cell r="X11">
            <v>-282.32</v>
          </cell>
          <cell r="Y11">
            <v>-286.09399999999999</v>
          </cell>
          <cell r="Z11">
            <v>-286.09399999999999</v>
          </cell>
          <cell r="AA11">
            <v>-296.358</v>
          </cell>
          <cell r="AB11">
            <v>-300.31299999999999</v>
          </cell>
          <cell r="AC11">
            <v>-332.286</v>
          </cell>
          <cell r="AD11">
            <v>-346.024</v>
          </cell>
          <cell r="AE11">
            <v>-346.024</v>
          </cell>
          <cell r="AF11">
            <v>-340.84699999999998</v>
          </cell>
          <cell r="AG11">
            <v>-350.77600000000001</v>
          </cell>
          <cell r="AH11">
            <v>-460.92599999999999</v>
          </cell>
          <cell r="AI11">
            <v>-478.565</v>
          </cell>
          <cell r="AJ11">
            <v>-478.565</v>
          </cell>
          <cell r="AK11">
            <v>-497.35399999999998</v>
          </cell>
          <cell r="AL11">
            <v>-498.47300000000001</v>
          </cell>
          <cell r="AM11">
            <v>-1001.57</v>
          </cell>
          <cell r="AN11">
            <v>-1033.5160000000001</v>
          </cell>
          <cell r="AO11">
            <v>-1033.5160000000001</v>
          </cell>
          <cell r="AP11">
            <v>-1036.7660000000001</v>
          </cell>
          <cell r="AQ11">
            <v>-1052.8109999999999</v>
          </cell>
          <cell r="AR11">
            <v>-1109.2829999999999</v>
          </cell>
          <cell r="AS11">
            <v>-1102.9000000000001</v>
          </cell>
          <cell r="AT11">
            <v>-1102.9000000000001</v>
          </cell>
          <cell r="AU11">
            <v>-1194.8340000000001</v>
          </cell>
          <cell r="AV11">
            <v>-1274.6980000000001</v>
          </cell>
          <cell r="AW11">
            <v>-1367.29</v>
          </cell>
          <cell r="AX11">
            <v>-1417.1880000000001</v>
          </cell>
          <cell r="AY11">
            <v>-1417.1880000000001</v>
          </cell>
          <cell r="AZ11">
            <v>-1447.229</v>
          </cell>
          <cell r="BA11">
            <v>-1493.2070000000001</v>
          </cell>
          <cell r="BB11">
            <v>-1554.1489999999999</v>
          </cell>
          <cell r="BC11">
            <v>-1639.1980000000001</v>
          </cell>
          <cell r="BD11">
            <v>-1639.1980000000001</v>
          </cell>
          <cell r="BE11">
            <v>-1699.9349999999999</v>
          </cell>
          <cell r="BF11">
            <v>-1793.404</v>
          </cell>
          <cell r="BG11">
            <v>-1840.0029999999999</v>
          </cell>
          <cell r="BH11">
            <v>-1891.3340000000001</v>
          </cell>
          <cell r="BI11">
            <v>-1891.3340000000001</v>
          </cell>
          <cell r="BJ11">
            <v>-1996.09</v>
          </cell>
          <cell r="BK11">
            <v>-2105.0509999999999</v>
          </cell>
          <cell r="BL11">
            <v>-2199.0880000000002</v>
          </cell>
        </row>
        <row r="12">
          <cell r="B12" t="str">
            <v>Patient accounts receivable, net</v>
          </cell>
          <cell r="E12">
            <v>226.35</v>
          </cell>
          <cell r="F12">
            <v>309.82600000000002</v>
          </cell>
          <cell r="G12">
            <v>313.11700000000002</v>
          </cell>
          <cell r="H12">
            <v>316.49900000000002</v>
          </cell>
          <cell r="I12">
            <v>334.53800000000001</v>
          </cell>
          <cell r="J12">
            <v>370.05200000000002</v>
          </cell>
          <cell r="K12">
            <v>370.05200000000002</v>
          </cell>
          <cell r="L12">
            <v>408.83699999999999</v>
          </cell>
          <cell r="M12">
            <v>375.84199999999998</v>
          </cell>
          <cell r="N12">
            <v>390.77499999999998</v>
          </cell>
          <cell r="O12">
            <v>400.44200000000001</v>
          </cell>
          <cell r="P12">
            <v>400.44200000000001</v>
          </cell>
          <cell r="Q12">
            <v>464.79599999999999</v>
          </cell>
          <cell r="R12">
            <v>411.08499999999998</v>
          </cell>
          <cell r="S12">
            <v>492.12200000000001</v>
          </cell>
          <cell r="T12">
            <v>559.09699999999998</v>
          </cell>
          <cell r="U12">
            <v>559.09699999999998</v>
          </cell>
          <cell r="V12">
            <v>583.875</v>
          </cell>
          <cell r="W12">
            <v>552.37800000000004</v>
          </cell>
          <cell r="X12">
            <v>577.91</v>
          </cell>
          <cell r="Y12">
            <v>597.26099999999997</v>
          </cell>
          <cell r="Z12">
            <v>597.26099999999997</v>
          </cell>
          <cell r="AA12">
            <v>606.54100000000005</v>
          </cell>
          <cell r="AB12">
            <v>614.64400000000001</v>
          </cell>
          <cell r="AC12">
            <v>629.86199999999997</v>
          </cell>
          <cell r="AD12">
            <v>656.029</v>
          </cell>
          <cell r="AE12">
            <v>656.029</v>
          </cell>
          <cell r="AF12">
            <v>699.06700000000001</v>
          </cell>
          <cell r="AG12">
            <v>727.68799999999999</v>
          </cell>
          <cell r="AH12">
            <v>745.53800000000001</v>
          </cell>
          <cell r="AI12">
            <v>773.98400000000004</v>
          </cell>
          <cell r="AJ12">
            <v>773.98400000000004</v>
          </cell>
          <cell r="AK12">
            <v>817.49699999999996</v>
          </cell>
          <cell r="AL12">
            <v>876.52300000000002</v>
          </cell>
          <cell r="AM12">
            <v>1829.605</v>
          </cell>
          <cell r="AN12">
            <v>1533.798</v>
          </cell>
          <cell r="AO12">
            <v>1533.798</v>
          </cell>
          <cell r="AP12">
            <v>1625.6579999999999</v>
          </cell>
          <cell r="AQ12">
            <v>1603.702</v>
          </cell>
          <cell r="AR12">
            <v>1642.82</v>
          </cell>
          <cell r="AS12">
            <v>1613.9590000000001</v>
          </cell>
          <cell r="AT12">
            <v>1613.9590000000001</v>
          </cell>
          <cell r="AU12">
            <v>1643.9190000000001</v>
          </cell>
          <cell r="AV12">
            <v>1657.923</v>
          </cell>
          <cell r="AW12">
            <v>1676.345</v>
          </cell>
          <cell r="AX12">
            <v>1617.903</v>
          </cell>
          <cell r="AY12">
            <v>1617.903</v>
          </cell>
          <cell r="AZ12">
            <v>1712.107</v>
          </cell>
          <cell r="BA12">
            <v>1681.799</v>
          </cell>
          <cell r="BB12">
            <v>1651.4059999999999</v>
          </cell>
          <cell r="BC12">
            <v>1714.5419999999999</v>
          </cell>
          <cell r="BD12">
            <v>1714.5419999999999</v>
          </cell>
          <cell r="BE12">
            <v>1766.1220000000001</v>
          </cell>
          <cell r="BF12">
            <v>1792.404</v>
          </cell>
          <cell r="BG12">
            <v>1773.125</v>
          </cell>
          <cell r="BH12">
            <v>1834.1669999999999</v>
          </cell>
          <cell r="BI12">
            <v>1834.1669999999999</v>
          </cell>
          <cell r="BJ12">
            <v>2019.537</v>
          </cell>
          <cell r="BK12">
            <v>2055.2919999999999</v>
          </cell>
          <cell r="BL12">
            <v>2091.2170000000001</v>
          </cell>
          <cell r="BM12">
            <v>1960.8979832371622</v>
          </cell>
          <cell r="BN12">
            <v>1960.8979832371622</v>
          </cell>
          <cell r="BO12">
            <v>2095.732018020648</v>
          </cell>
          <cell r="BP12">
            <v>2152.1060718884714</v>
          </cell>
          <cell r="BQ12">
            <v>2189.97284543047</v>
          </cell>
          <cell r="BR12">
            <v>2060.3590280596218</v>
          </cell>
          <cell r="BS12">
            <v>2060.3590280596218</v>
          </cell>
          <cell r="BT12">
            <v>2167.0555859586148</v>
          </cell>
          <cell r="BU12">
            <v>2221.6748467589937</v>
          </cell>
          <cell r="BV12">
            <v>2249.5962425914472</v>
          </cell>
          <cell r="BW12">
            <v>2103.694728011365</v>
          </cell>
          <cell r="BX12">
            <v>2103.694728011365</v>
          </cell>
          <cell r="BY12">
            <v>2221.9450050952919</v>
          </cell>
          <cell r="BZ12">
            <v>2282.795865090322</v>
          </cell>
          <cell r="CA12">
            <v>2313.9378147145144</v>
          </cell>
          <cell r="CB12">
            <v>2168.7940363779448</v>
          </cell>
          <cell r="CC12">
            <v>2168.7940363779448</v>
          </cell>
          <cell r="CD12">
            <v>2266.1759450323339</v>
          </cell>
          <cell r="CE12">
            <v>2353.4266759119391</v>
          </cell>
          <cell r="CF12">
            <v>2387.3855578221196</v>
          </cell>
          <cell r="CG12">
            <v>2232.178970666188</v>
          </cell>
          <cell r="CH12">
            <v>2232.178970666188</v>
          </cell>
          <cell r="CL12" t="str">
            <v>mstag:tradeReceivablesCurrent</v>
          </cell>
          <cell r="CM12">
            <v>6</v>
          </cell>
          <cell r="CN12" t="str">
            <v>ISO4217:USD</v>
          </cell>
          <cell r="CO12" t="b">
            <v>0</v>
          </cell>
          <cell r="CP12" t="b">
            <v>0</v>
          </cell>
        </row>
        <row r="13">
          <cell r="B13" t="str">
            <v>Supplies</v>
          </cell>
          <cell r="E13">
            <v>32.134</v>
          </cell>
          <cell r="F13">
            <v>39.679000000000002</v>
          </cell>
          <cell r="G13">
            <v>40.247</v>
          </cell>
          <cell r="H13">
            <v>41.86</v>
          </cell>
          <cell r="I13">
            <v>42.668999999999997</v>
          </cell>
          <cell r="J13">
            <v>47.466000000000001</v>
          </cell>
          <cell r="K13">
            <v>47.466000000000001</v>
          </cell>
          <cell r="L13">
            <v>49.996000000000002</v>
          </cell>
          <cell r="M13">
            <v>53.802</v>
          </cell>
          <cell r="N13">
            <v>56.476999999999997</v>
          </cell>
          <cell r="O13">
            <v>60.456000000000003</v>
          </cell>
          <cell r="P13">
            <v>60.456000000000003</v>
          </cell>
          <cell r="Q13">
            <v>63.774999999999999</v>
          </cell>
          <cell r="R13">
            <v>64.176000000000002</v>
          </cell>
          <cell r="S13">
            <v>70.536000000000001</v>
          </cell>
          <cell r="T13">
            <v>77.418000000000006</v>
          </cell>
          <cell r="U13">
            <v>77.418000000000006</v>
          </cell>
          <cell r="V13">
            <v>79.227000000000004</v>
          </cell>
          <cell r="W13">
            <v>82.808000000000007</v>
          </cell>
          <cell r="X13">
            <v>85.653000000000006</v>
          </cell>
          <cell r="Y13">
            <v>88.266999999999996</v>
          </cell>
          <cell r="Z13">
            <v>88.266999999999996</v>
          </cell>
          <cell r="AA13">
            <v>86.313999999999993</v>
          </cell>
          <cell r="AB13">
            <v>88.635000000000005</v>
          </cell>
          <cell r="AC13">
            <v>90.213999999999999</v>
          </cell>
          <cell r="AD13">
            <v>95.2</v>
          </cell>
          <cell r="AE13">
            <v>95.2</v>
          </cell>
          <cell r="AF13">
            <v>94.864000000000004</v>
          </cell>
          <cell r="AG13">
            <v>102.874</v>
          </cell>
          <cell r="AH13">
            <v>106.718</v>
          </cell>
          <cell r="AI13">
            <v>113.32</v>
          </cell>
          <cell r="AJ13">
            <v>113.32</v>
          </cell>
          <cell r="AK13">
            <v>113.315</v>
          </cell>
          <cell r="AL13">
            <v>121.964</v>
          </cell>
          <cell r="AM13">
            <v>274.45499999999998</v>
          </cell>
          <cell r="AN13">
            <v>262.90300000000002</v>
          </cell>
          <cell r="AO13">
            <v>262.90300000000002</v>
          </cell>
          <cell r="AP13">
            <v>264.06099999999998</v>
          </cell>
          <cell r="AQ13">
            <v>266.40300000000002</v>
          </cell>
          <cell r="AR13">
            <v>267.32</v>
          </cell>
          <cell r="AS13">
            <v>272.93700000000001</v>
          </cell>
          <cell r="AT13">
            <v>272.93700000000001</v>
          </cell>
          <cell r="AU13">
            <v>275.38</v>
          </cell>
          <cell r="AV13">
            <v>286.59399999999999</v>
          </cell>
          <cell r="AW13">
            <v>289.14499999999998</v>
          </cell>
          <cell r="AX13">
            <v>302.60899999999998</v>
          </cell>
          <cell r="AY13">
            <v>302.60899999999998</v>
          </cell>
          <cell r="AZ13">
            <v>303.53100000000001</v>
          </cell>
          <cell r="BA13">
            <v>307.37299999999999</v>
          </cell>
          <cell r="BB13">
            <v>313.77</v>
          </cell>
          <cell r="BC13">
            <v>329.11399999999998</v>
          </cell>
          <cell r="BD13">
            <v>329.11399999999998</v>
          </cell>
          <cell r="BE13">
            <v>329.27499999999998</v>
          </cell>
          <cell r="BF13">
            <v>342.26799999999997</v>
          </cell>
          <cell r="BG13">
            <v>336.46199999999999</v>
          </cell>
          <cell r="BH13">
            <v>346.61099999999999</v>
          </cell>
          <cell r="BI13">
            <v>346.61099999999999</v>
          </cell>
          <cell r="BJ13">
            <v>354.07400000000001</v>
          </cell>
          <cell r="BK13">
            <v>358.59699999999998</v>
          </cell>
          <cell r="BL13">
            <v>364.97199999999998</v>
          </cell>
          <cell r="BM13">
            <v>362.74060277411093</v>
          </cell>
          <cell r="BN13">
            <v>362.74060277411093</v>
          </cell>
          <cell r="BO13">
            <v>400.43791852029966</v>
          </cell>
          <cell r="BP13">
            <v>398.68847826991146</v>
          </cell>
          <cell r="BQ13">
            <v>391.15763633676647</v>
          </cell>
          <cell r="BR13">
            <v>393.67864709828092</v>
          </cell>
          <cell r="BS13">
            <v>393.67864709828092</v>
          </cell>
          <cell r="BT13">
            <v>427.15594047595931</v>
          </cell>
          <cell r="BU13">
            <v>423.05281015893411</v>
          </cell>
          <cell r="BV13">
            <v>412.86658576977499</v>
          </cell>
          <cell r="BW13">
            <v>412.69059399177803</v>
          </cell>
          <cell r="BX13">
            <v>412.69059399177803</v>
          </cell>
          <cell r="BY13">
            <v>445.55366925638566</v>
          </cell>
          <cell r="BZ13">
            <v>441.53503104799569</v>
          </cell>
          <cell r="CA13">
            <v>431.17262775424194</v>
          </cell>
          <cell r="CB13">
            <v>431.00497814946215</v>
          </cell>
          <cell r="CC13">
            <v>431.00497814946215</v>
          </cell>
          <cell r="CD13">
            <v>460.12962775319221</v>
          </cell>
          <cell r="CE13">
            <v>460.80354781665966</v>
          </cell>
          <cell r="CF13">
            <v>450.18888110318687</v>
          </cell>
          <cell r="CG13">
            <v>449.57452109019408</v>
          </cell>
          <cell r="CH13">
            <v>449.57452109019408</v>
          </cell>
          <cell r="CL13" t="str">
            <v>mstag:inventories</v>
          </cell>
          <cell r="CM13">
            <v>6</v>
          </cell>
          <cell r="CN13" t="str">
            <v>ISO4217:USD</v>
          </cell>
          <cell r="CO13" t="b">
            <v>0</v>
          </cell>
          <cell r="CP13" t="b">
            <v>0</v>
          </cell>
        </row>
        <row r="14">
          <cell r="B14" t="str">
            <v>Prepaid income taxes</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99.417000000000002</v>
          </cell>
          <cell r="AO14">
            <v>99.417000000000002</v>
          </cell>
          <cell r="AP14">
            <v>110.16</v>
          </cell>
          <cell r="AQ14">
            <v>0</v>
          </cell>
          <cell r="AR14">
            <v>0</v>
          </cell>
          <cell r="AS14">
            <v>92.71</v>
          </cell>
          <cell r="AT14">
            <v>92.71</v>
          </cell>
          <cell r="AU14">
            <v>0</v>
          </cell>
          <cell r="AV14">
            <v>0</v>
          </cell>
          <cell r="AW14">
            <v>0</v>
          </cell>
          <cell r="AX14">
            <v>45.414000000000001</v>
          </cell>
          <cell r="AY14">
            <v>45.414000000000001</v>
          </cell>
          <cell r="AZ14">
            <v>13.865</v>
          </cell>
          <cell r="BA14">
            <v>75.997</v>
          </cell>
          <cell r="BB14">
            <v>100.86799999999999</v>
          </cell>
          <cell r="BC14">
            <v>118.464</v>
          </cell>
          <cell r="BD14">
            <v>118.464</v>
          </cell>
          <cell r="BE14">
            <v>65.03</v>
          </cell>
          <cell r="BF14">
            <v>0</v>
          </cell>
          <cell r="BG14">
            <v>0</v>
          </cell>
          <cell r="BH14">
            <v>101.389</v>
          </cell>
          <cell r="BI14">
            <v>101.389</v>
          </cell>
          <cell r="BJ14">
            <v>49.768999999999998</v>
          </cell>
          <cell r="BK14">
            <v>16.721</v>
          </cell>
          <cell r="BL14">
            <v>20.233000000000001</v>
          </cell>
          <cell r="BM14">
            <v>20.233000000000001</v>
          </cell>
          <cell r="BN14">
            <v>20.233000000000001</v>
          </cell>
          <cell r="BO14">
            <v>20.233000000000001</v>
          </cell>
          <cell r="BP14">
            <v>20.233000000000001</v>
          </cell>
          <cell r="BQ14">
            <v>20.233000000000001</v>
          </cell>
          <cell r="BR14">
            <v>20.233000000000001</v>
          </cell>
          <cell r="BS14">
            <v>20.233000000000001</v>
          </cell>
          <cell r="BT14">
            <v>20.233000000000001</v>
          </cell>
          <cell r="BU14">
            <v>20.233000000000001</v>
          </cell>
          <cell r="BV14">
            <v>20.233000000000001</v>
          </cell>
          <cell r="BW14">
            <v>20.233000000000001</v>
          </cell>
          <cell r="BX14">
            <v>20.233000000000001</v>
          </cell>
          <cell r="BY14">
            <v>20.233000000000001</v>
          </cell>
          <cell r="BZ14">
            <v>20.233000000000001</v>
          </cell>
          <cell r="CA14">
            <v>20.233000000000001</v>
          </cell>
          <cell r="CB14">
            <v>20.233000000000001</v>
          </cell>
          <cell r="CC14">
            <v>20.233000000000001</v>
          </cell>
          <cell r="CD14">
            <v>20.233000000000001</v>
          </cell>
          <cell r="CE14">
            <v>20.233000000000001</v>
          </cell>
          <cell r="CF14">
            <v>20.233000000000001</v>
          </cell>
          <cell r="CG14">
            <v>20.233000000000001</v>
          </cell>
          <cell r="CH14">
            <v>20.233000000000001</v>
          </cell>
          <cell r="CL14" t="str">
            <v>mstag:prepaidExpensesCurrent</v>
          </cell>
          <cell r="CM14">
            <v>6</v>
          </cell>
          <cell r="CN14" t="str">
            <v>ISO4217:USD</v>
          </cell>
          <cell r="CO14" t="b">
            <v>0</v>
          </cell>
          <cell r="CP14" t="b">
            <v>0</v>
          </cell>
        </row>
        <row r="15">
          <cell r="B15" t="str">
            <v>Deferred income taxes</v>
          </cell>
          <cell r="E15">
            <v>5.8620000000000001</v>
          </cell>
          <cell r="F15">
            <v>2.2330000000000001</v>
          </cell>
          <cell r="G15">
            <v>2.2330000000000001</v>
          </cell>
          <cell r="H15">
            <v>2.2330000000000001</v>
          </cell>
          <cell r="I15">
            <v>2.2330000000000001</v>
          </cell>
          <cell r="J15">
            <v>33.411000000000001</v>
          </cell>
          <cell r="K15">
            <v>33.411000000000001</v>
          </cell>
          <cell r="L15">
            <v>33.411000000000001</v>
          </cell>
          <cell r="M15">
            <v>33.411000000000001</v>
          </cell>
          <cell r="N15">
            <v>33.411000000000001</v>
          </cell>
          <cell r="O15">
            <v>15.683999999999999</v>
          </cell>
          <cell r="P15">
            <v>15.683999999999999</v>
          </cell>
          <cell r="Q15">
            <v>15.683999999999999</v>
          </cell>
          <cell r="R15">
            <v>15.683999999999999</v>
          </cell>
          <cell r="S15">
            <v>15.683999999999999</v>
          </cell>
          <cell r="T15">
            <v>0</v>
          </cell>
          <cell r="U15">
            <v>0</v>
          </cell>
          <cell r="V15">
            <v>0</v>
          </cell>
          <cell r="W15">
            <v>0</v>
          </cell>
          <cell r="X15">
            <v>0</v>
          </cell>
          <cell r="Y15">
            <v>0</v>
          </cell>
          <cell r="Z15">
            <v>0</v>
          </cell>
          <cell r="AA15">
            <v>0</v>
          </cell>
          <cell r="AB15">
            <v>0</v>
          </cell>
          <cell r="AC15">
            <v>0</v>
          </cell>
          <cell r="AD15">
            <v>4.1280000000000001</v>
          </cell>
          <cell r="AE15">
            <v>4.1280000000000001</v>
          </cell>
          <cell r="AF15">
            <v>4.1280000000000001</v>
          </cell>
          <cell r="AG15">
            <v>4.1280000000000001</v>
          </cell>
          <cell r="AH15">
            <v>4.1280000000000001</v>
          </cell>
          <cell r="AI15">
            <v>13.249000000000001</v>
          </cell>
          <cell r="AJ15">
            <v>13.249000000000001</v>
          </cell>
          <cell r="AK15">
            <v>13.249000000000001</v>
          </cell>
          <cell r="AL15">
            <v>13.249000000000001</v>
          </cell>
          <cell r="AM15">
            <v>53.156999999999996</v>
          </cell>
          <cell r="AN15">
            <v>113.741</v>
          </cell>
          <cell r="AO15">
            <v>113.741</v>
          </cell>
          <cell r="AP15">
            <v>113.741</v>
          </cell>
          <cell r="AQ15">
            <v>88.531000000000006</v>
          </cell>
          <cell r="AR15">
            <v>111.101</v>
          </cell>
          <cell r="AS15">
            <v>91.875</v>
          </cell>
          <cell r="AT15">
            <v>91.875</v>
          </cell>
          <cell r="AU15">
            <v>91.875</v>
          </cell>
          <cell r="AV15">
            <v>91.875</v>
          </cell>
          <cell r="AW15">
            <v>91.875</v>
          </cell>
          <cell r="AX15">
            <v>80.713999999999999</v>
          </cell>
          <cell r="AY15">
            <v>80.713999999999999</v>
          </cell>
          <cell r="AZ15">
            <v>78.962000000000003</v>
          </cell>
          <cell r="BA15">
            <v>78.962000000000003</v>
          </cell>
          <cell r="BB15">
            <v>78.620999999999995</v>
          </cell>
          <cell r="BC15">
            <v>115.819</v>
          </cell>
          <cell r="BD15">
            <v>115.819</v>
          </cell>
          <cell r="BE15">
            <v>115.819</v>
          </cell>
          <cell r="BF15">
            <v>115.819</v>
          </cell>
          <cell r="BG15">
            <v>115.819</v>
          </cell>
          <cell r="BH15">
            <v>89.796999999999997</v>
          </cell>
          <cell r="BI15">
            <v>89.796999999999997</v>
          </cell>
          <cell r="BJ15">
            <v>89.796999999999997</v>
          </cell>
          <cell r="BK15">
            <v>89.796999999999997</v>
          </cell>
          <cell r="BL15">
            <v>89.796999999999997</v>
          </cell>
          <cell r="BM15">
            <v>89.796999999999997</v>
          </cell>
          <cell r="BN15">
            <v>89.796999999999997</v>
          </cell>
          <cell r="BO15">
            <v>89.796999999999997</v>
          </cell>
          <cell r="BP15">
            <v>89.796999999999997</v>
          </cell>
          <cell r="BQ15">
            <v>89.796999999999997</v>
          </cell>
          <cell r="BR15">
            <v>89.796999999999997</v>
          </cell>
          <cell r="BS15">
            <v>89.796999999999997</v>
          </cell>
          <cell r="BT15">
            <v>89.796999999999997</v>
          </cell>
          <cell r="BU15">
            <v>89.796999999999997</v>
          </cell>
          <cell r="BV15">
            <v>89.796999999999997</v>
          </cell>
          <cell r="BW15">
            <v>89.796999999999997</v>
          </cell>
          <cell r="BX15">
            <v>89.796999999999997</v>
          </cell>
          <cell r="BY15">
            <v>89.796999999999997</v>
          </cell>
          <cell r="BZ15">
            <v>89.796999999999997</v>
          </cell>
          <cell r="CA15">
            <v>89.796999999999997</v>
          </cell>
          <cell r="CB15">
            <v>89.796999999999997</v>
          </cell>
          <cell r="CC15">
            <v>89.796999999999997</v>
          </cell>
          <cell r="CD15">
            <v>89.796999999999997</v>
          </cell>
          <cell r="CE15">
            <v>89.796999999999997</v>
          </cell>
          <cell r="CF15">
            <v>89.796999999999997</v>
          </cell>
          <cell r="CG15">
            <v>89.796999999999997</v>
          </cell>
          <cell r="CH15">
            <v>89.796999999999997</v>
          </cell>
          <cell r="CL15" t="str">
            <v>mstag:deferredTaxAssetsCurrent</v>
          </cell>
          <cell r="CM15">
            <v>6</v>
          </cell>
          <cell r="CN15" t="str">
            <v>ISO4217:USD</v>
          </cell>
          <cell r="CO15" t="b">
            <v>0</v>
          </cell>
          <cell r="CP15" t="b">
            <v>0</v>
          </cell>
        </row>
        <row r="16">
          <cell r="B16" t="str">
            <v>Prepaid expenses and taxes</v>
          </cell>
          <cell r="E16">
            <v>9.8460000000000001</v>
          </cell>
          <cell r="F16">
            <v>19.989000000000001</v>
          </cell>
          <cell r="G16">
            <v>17.733000000000001</v>
          </cell>
          <cell r="H16">
            <v>14.169</v>
          </cell>
          <cell r="I16">
            <v>13.180999999999999</v>
          </cell>
          <cell r="J16">
            <v>14.846</v>
          </cell>
          <cell r="K16">
            <v>14.846</v>
          </cell>
          <cell r="L16">
            <v>17.113</v>
          </cell>
          <cell r="M16">
            <v>16.506</v>
          </cell>
          <cell r="N16">
            <v>25.06</v>
          </cell>
          <cell r="O16">
            <v>22.106999999999999</v>
          </cell>
          <cell r="P16">
            <v>22.106999999999999</v>
          </cell>
          <cell r="Q16">
            <v>20.58</v>
          </cell>
          <cell r="R16">
            <v>25.59</v>
          </cell>
          <cell r="S16">
            <v>25.416</v>
          </cell>
          <cell r="T16">
            <v>24.314</v>
          </cell>
          <cell r="U16">
            <v>24.314</v>
          </cell>
          <cell r="V16">
            <v>24.088000000000001</v>
          </cell>
          <cell r="W16">
            <v>32.32</v>
          </cell>
          <cell r="X16">
            <v>35.029000000000003</v>
          </cell>
          <cell r="Y16">
            <v>30.483000000000001</v>
          </cell>
          <cell r="Z16">
            <v>30.483000000000001</v>
          </cell>
          <cell r="AA16">
            <v>29.76</v>
          </cell>
          <cell r="AB16">
            <v>29.652999999999999</v>
          </cell>
          <cell r="AC16">
            <v>36.531999999999996</v>
          </cell>
          <cell r="AD16">
            <v>33.377000000000002</v>
          </cell>
          <cell r="AE16">
            <v>33.377000000000002</v>
          </cell>
          <cell r="AF16">
            <v>32.445</v>
          </cell>
          <cell r="AG16">
            <v>31.187999999999999</v>
          </cell>
          <cell r="AH16">
            <v>36.844999999999999</v>
          </cell>
          <cell r="AI16">
            <v>32.384999999999998</v>
          </cell>
          <cell r="AJ16">
            <v>32.384999999999998</v>
          </cell>
          <cell r="AK16">
            <v>35.712000000000003</v>
          </cell>
          <cell r="AL16">
            <v>36.286999999999999</v>
          </cell>
          <cell r="AM16">
            <v>200.374</v>
          </cell>
          <cell r="AN16">
            <v>70.338999999999999</v>
          </cell>
          <cell r="AO16">
            <v>70.338999999999999</v>
          </cell>
          <cell r="AP16">
            <v>83.852000000000004</v>
          </cell>
          <cell r="AQ16">
            <v>89.724000000000004</v>
          </cell>
          <cell r="AR16">
            <v>91.239000000000004</v>
          </cell>
          <cell r="AS16">
            <v>72.900000000000006</v>
          </cell>
          <cell r="AT16">
            <v>72.900000000000006</v>
          </cell>
          <cell r="AU16">
            <v>88.716999999999999</v>
          </cell>
          <cell r="AV16">
            <v>94.597999999999999</v>
          </cell>
          <cell r="AW16">
            <v>91.191999999999993</v>
          </cell>
          <cell r="AX16">
            <v>89.474999999999994</v>
          </cell>
          <cell r="AY16">
            <v>89.474999999999994</v>
          </cell>
          <cell r="AZ16">
            <v>98.103999999999999</v>
          </cell>
          <cell r="BA16">
            <v>98.78</v>
          </cell>
          <cell r="BB16">
            <v>99.65</v>
          </cell>
          <cell r="BC16">
            <v>100.754</v>
          </cell>
          <cell r="BD16">
            <v>100.754</v>
          </cell>
          <cell r="BE16">
            <v>112.486</v>
          </cell>
          <cell r="BF16">
            <v>117.458</v>
          </cell>
          <cell r="BG16">
            <v>119.07299999999999</v>
          </cell>
          <cell r="BH16">
            <v>112.613</v>
          </cell>
          <cell r="BI16">
            <v>112.613</v>
          </cell>
          <cell r="BJ16">
            <v>129.154</v>
          </cell>
          <cell r="BK16">
            <v>126.883</v>
          </cell>
          <cell r="BL16">
            <v>132.80699999999999</v>
          </cell>
          <cell r="BM16">
            <v>133.5565640939794</v>
          </cell>
          <cell r="BN16">
            <v>133.5565640939794</v>
          </cell>
          <cell r="BO16">
            <v>140.58713403494716</v>
          </cell>
          <cell r="BP16">
            <v>139.421960899059</v>
          </cell>
          <cell r="BQ16">
            <v>142.89597413479416</v>
          </cell>
          <cell r="BR16">
            <v>144.6689712946843</v>
          </cell>
          <cell r="BS16">
            <v>144.6689712946843</v>
          </cell>
          <cell r="BT16">
            <v>150.15598414502634</v>
          </cell>
          <cell r="BU16">
            <v>148.07993538826264</v>
          </cell>
          <cell r="BV16">
            <v>150.95011231501036</v>
          </cell>
          <cell r="BW16">
            <v>151.85565372788608</v>
          </cell>
          <cell r="BX16">
            <v>151.85565372788608</v>
          </cell>
          <cell r="BY16">
            <v>157.20986985416022</v>
          </cell>
          <cell r="BZ16">
            <v>155.07762354171305</v>
          </cell>
          <cell r="CA16">
            <v>158.147280979698</v>
          </cell>
          <cell r="CB16">
            <v>159.10179549660666</v>
          </cell>
          <cell r="CC16">
            <v>159.10179549660666</v>
          </cell>
          <cell r="CD16">
            <v>164.67962079471479</v>
          </cell>
          <cell r="CE16">
            <v>162.39160458631403</v>
          </cell>
          <cell r="CF16">
            <v>165.65702168406813</v>
          </cell>
          <cell r="CG16">
            <v>166.57249682342959</v>
          </cell>
          <cell r="CH16">
            <v>166.57249682342959</v>
          </cell>
          <cell r="CL16" t="str">
            <v>mstag:prepaidExpensesCurrent</v>
          </cell>
          <cell r="CM16">
            <v>6</v>
          </cell>
          <cell r="CN16" t="str">
            <v>ISO4217:USD</v>
          </cell>
          <cell r="CO16" t="b">
            <v>0</v>
          </cell>
          <cell r="CP16" t="b">
            <v>0</v>
          </cell>
        </row>
        <row r="17">
          <cell r="B17" t="str">
            <v>Other current assets</v>
          </cell>
          <cell r="E17">
            <v>22.021999999999998</v>
          </cell>
          <cell r="F17">
            <v>23.11</v>
          </cell>
          <cell r="G17">
            <v>21.82</v>
          </cell>
          <cell r="H17">
            <v>15.33</v>
          </cell>
          <cell r="I17">
            <v>17.510000000000002</v>
          </cell>
          <cell r="J17">
            <v>20.398</v>
          </cell>
          <cell r="K17">
            <v>20.398</v>
          </cell>
          <cell r="L17">
            <v>22.22</v>
          </cell>
          <cell r="M17">
            <v>18.253</v>
          </cell>
          <cell r="N17">
            <v>13.94</v>
          </cell>
          <cell r="O17">
            <v>16.193000000000001</v>
          </cell>
          <cell r="P17">
            <v>16.193000000000001</v>
          </cell>
          <cell r="Q17">
            <v>17.431000000000001</v>
          </cell>
          <cell r="R17">
            <v>16.091999999999999</v>
          </cell>
          <cell r="S17">
            <v>19.16</v>
          </cell>
          <cell r="T17">
            <v>18.920000000000002</v>
          </cell>
          <cell r="U17">
            <v>18.920000000000002</v>
          </cell>
          <cell r="V17">
            <v>16.695</v>
          </cell>
          <cell r="W17">
            <v>16.061</v>
          </cell>
          <cell r="X17">
            <v>19.641999999999999</v>
          </cell>
          <cell r="Y17">
            <v>16.940000000000001</v>
          </cell>
          <cell r="Z17">
            <v>16.940000000000001</v>
          </cell>
          <cell r="AA17">
            <v>15.132</v>
          </cell>
          <cell r="AB17">
            <v>16.253</v>
          </cell>
          <cell r="AC17">
            <v>19.902999999999999</v>
          </cell>
          <cell r="AD17">
            <v>21.367000000000001</v>
          </cell>
          <cell r="AE17">
            <v>21.367000000000001</v>
          </cell>
          <cell r="AF17">
            <v>53.454999999999998</v>
          </cell>
          <cell r="AG17">
            <v>49.607999999999997</v>
          </cell>
          <cell r="AH17">
            <v>55.286999999999999</v>
          </cell>
          <cell r="AI17">
            <v>47.88</v>
          </cell>
          <cell r="AJ17">
            <v>47.88</v>
          </cell>
          <cell r="AK17">
            <v>49.353999999999999</v>
          </cell>
          <cell r="AL17">
            <v>62.933</v>
          </cell>
          <cell r="AM17">
            <v>233.33799999999999</v>
          </cell>
          <cell r="AN17">
            <v>339.82600000000002</v>
          </cell>
          <cell r="AO17">
            <v>339.82600000000002</v>
          </cell>
          <cell r="AP17">
            <v>244.56700000000001</v>
          </cell>
          <cell r="AQ17">
            <v>191.226</v>
          </cell>
          <cell r="AR17">
            <v>197.78700000000001</v>
          </cell>
          <cell r="AS17">
            <v>240.01400000000001</v>
          </cell>
          <cell r="AT17">
            <v>240.01400000000001</v>
          </cell>
          <cell r="AU17">
            <v>195.113</v>
          </cell>
          <cell r="AV17">
            <v>199.61600000000001</v>
          </cell>
          <cell r="AW17">
            <v>213.26</v>
          </cell>
          <cell r="AX17">
            <v>194.339</v>
          </cell>
          <cell r="AY17">
            <v>194.339</v>
          </cell>
          <cell r="AZ17">
            <v>190.97499999999999</v>
          </cell>
          <cell r="BA17">
            <v>188.53800000000001</v>
          </cell>
          <cell r="BB17">
            <v>171.90600000000001</v>
          </cell>
          <cell r="BC17">
            <v>193.33099999999999</v>
          </cell>
          <cell r="BD17">
            <v>193.33099999999999</v>
          </cell>
          <cell r="BE17">
            <v>176.54499999999999</v>
          </cell>
          <cell r="BF17">
            <v>175.10900000000001</v>
          </cell>
          <cell r="BG17">
            <v>225.73699999999999</v>
          </cell>
          <cell r="BH17">
            <v>231.64699999999999</v>
          </cell>
          <cell r="BI17">
            <v>231.64699999999999</v>
          </cell>
          <cell r="BJ17">
            <v>328.84699999999998</v>
          </cell>
          <cell r="BK17">
            <v>234.76400000000001</v>
          </cell>
          <cell r="BL17">
            <v>267.73500000000001</v>
          </cell>
          <cell r="BM17">
            <v>267.73500000000001</v>
          </cell>
          <cell r="BN17">
            <v>267.73500000000001</v>
          </cell>
          <cell r="BO17">
            <v>267.73500000000001</v>
          </cell>
          <cell r="BP17">
            <v>267.73500000000001</v>
          </cell>
          <cell r="BQ17">
            <v>267.73500000000001</v>
          </cell>
          <cell r="BR17">
            <v>267.73500000000001</v>
          </cell>
          <cell r="BS17">
            <v>267.73500000000001</v>
          </cell>
          <cell r="BT17">
            <v>267.73500000000001</v>
          </cell>
          <cell r="BU17">
            <v>267.73500000000001</v>
          </cell>
          <cell r="BV17">
            <v>267.73500000000001</v>
          </cell>
          <cell r="BW17">
            <v>267.73500000000001</v>
          </cell>
          <cell r="BX17">
            <v>267.73500000000001</v>
          </cell>
          <cell r="BY17">
            <v>267.73500000000001</v>
          </cell>
          <cell r="BZ17">
            <v>267.73500000000001</v>
          </cell>
          <cell r="CA17">
            <v>267.73500000000001</v>
          </cell>
          <cell r="CB17">
            <v>267.73500000000001</v>
          </cell>
          <cell r="CC17">
            <v>267.73500000000001</v>
          </cell>
          <cell r="CD17">
            <v>267.73500000000001</v>
          </cell>
          <cell r="CE17">
            <v>267.73500000000001</v>
          </cell>
          <cell r="CF17">
            <v>267.73500000000001</v>
          </cell>
          <cell r="CG17">
            <v>267.73500000000001</v>
          </cell>
          <cell r="CH17">
            <v>267.73500000000001</v>
          </cell>
          <cell r="CL17" t="str">
            <v>mstag:otherAssetsOperatingCurrent</v>
          </cell>
          <cell r="CM17">
            <v>6</v>
          </cell>
          <cell r="CN17" t="str">
            <v>ISO4217:USD</v>
          </cell>
          <cell r="CO17" t="b">
            <v>0</v>
          </cell>
          <cell r="CP17" t="b">
            <v>0</v>
          </cell>
        </row>
        <row r="18">
          <cell r="B18" t="str">
            <v>Total Current Assets</v>
          </cell>
          <cell r="E18">
            <v>300.49599999999998</v>
          </cell>
          <cell r="F18">
            <v>408.577</v>
          </cell>
          <cell r="G18">
            <v>418.36600000000004</v>
          </cell>
          <cell r="H18">
            <v>425.83100000000002</v>
          </cell>
          <cell r="I18">
            <v>427.83</v>
          </cell>
          <cell r="J18">
            <v>494.55900000000008</v>
          </cell>
          <cell r="K18">
            <v>494.55900000000008</v>
          </cell>
          <cell r="L18">
            <v>555.27499999999998</v>
          </cell>
          <cell r="M18">
            <v>517.83799999999997</v>
          </cell>
          <cell r="N18">
            <v>637.19299999999998</v>
          </cell>
          <cell r="O18">
            <v>647.72600000000011</v>
          </cell>
          <cell r="P18">
            <v>647.72600000000011</v>
          </cell>
          <cell r="Q18">
            <v>601.82900000000006</v>
          </cell>
          <cell r="R18">
            <v>557.93299999999999</v>
          </cell>
          <cell r="S18">
            <v>685.56000000000006</v>
          </cell>
          <cell r="T18">
            <v>696.07999999999993</v>
          </cell>
          <cell r="U18">
            <v>696.07999999999993</v>
          </cell>
          <cell r="V18">
            <v>719.98500000000001</v>
          </cell>
          <cell r="W18">
            <v>702.17200000000014</v>
          </cell>
          <cell r="X18">
            <v>738.18600000000004</v>
          </cell>
          <cell r="Y18">
            <v>815.44900000000007</v>
          </cell>
          <cell r="Z18">
            <v>815.44900000000007</v>
          </cell>
          <cell r="AA18">
            <v>956.19399999999996</v>
          </cell>
          <cell r="AB18">
            <v>1021.549</v>
          </cell>
          <cell r="AC18">
            <v>960.79100000000005</v>
          </cell>
          <cell r="AD18">
            <v>914.20900000000006</v>
          </cell>
          <cell r="AE18">
            <v>914.20900000000006</v>
          </cell>
          <cell r="AF18">
            <v>995.9100000000002</v>
          </cell>
          <cell r="AG18">
            <v>939.64300000000003</v>
          </cell>
          <cell r="AH18">
            <v>961.96</v>
          </cell>
          <cell r="AI18">
            <v>1021.3840000000001</v>
          </cell>
          <cell r="AJ18">
            <v>1021.3840000000001</v>
          </cell>
          <cell r="AK18">
            <v>1092.0049999999999</v>
          </cell>
          <cell r="AL18">
            <v>1132.3130000000001</v>
          </cell>
          <cell r="AM18">
            <v>2709.7840000000001</v>
          </cell>
          <cell r="AN18">
            <v>2552.8979999999997</v>
          </cell>
          <cell r="AO18">
            <v>2552.8979999999997</v>
          </cell>
          <cell r="AP18">
            <v>2606.3919999999998</v>
          </cell>
          <cell r="AQ18">
            <v>2503.6580000000004</v>
          </cell>
          <cell r="AR18">
            <v>2652.1509999999998</v>
          </cell>
          <cell r="AS18">
            <v>2605.0500000000006</v>
          </cell>
          <cell r="AT18">
            <v>2605.0500000000006</v>
          </cell>
          <cell r="AU18">
            <v>2827.136</v>
          </cell>
          <cell r="AV18">
            <v>2599.431</v>
          </cell>
          <cell r="AW18">
            <v>2794.6320000000001</v>
          </cell>
          <cell r="AX18">
            <v>2674.9949999999999</v>
          </cell>
          <cell r="AY18">
            <v>2674.9949999999999</v>
          </cell>
          <cell r="AZ18">
            <v>2877.6099999999997</v>
          </cell>
          <cell r="BA18">
            <v>2980.203</v>
          </cell>
          <cell r="BB18">
            <v>2983.9700000000003</v>
          </cell>
          <cell r="BC18">
            <v>2871.1929999999998</v>
          </cell>
          <cell r="BD18">
            <v>2871.1929999999998</v>
          </cell>
          <cell r="BE18">
            <v>2835.9929999999999</v>
          </cell>
          <cell r="BF18">
            <v>2734.49</v>
          </cell>
          <cell r="BG18">
            <v>2836.5279999999998</v>
          </cell>
          <cell r="BH18">
            <v>2846.0889999999999</v>
          </cell>
          <cell r="BI18">
            <v>2846.0889999999999</v>
          </cell>
          <cell r="BJ18">
            <v>3100.4759999999997</v>
          </cell>
          <cell r="BK18">
            <v>2997.163</v>
          </cell>
          <cell r="BL18">
            <v>3207.4110000000005</v>
          </cell>
          <cell r="BM18">
            <v>3280.4182447124626</v>
          </cell>
          <cell r="BN18">
            <v>3280.4182447124626</v>
          </cell>
          <cell r="BO18">
            <v>3480.8320680036022</v>
          </cell>
          <cell r="BP18">
            <v>3501.7267736191816</v>
          </cell>
          <cell r="BQ18">
            <v>3591.1157784588727</v>
          </cell>
          <cell r="BR18">
            <v>3600.7651597915192</v>
          </cell>
          <cell r="BS18">
            <v>3600.7651597915192</v>
          </cell>
          <cell r="BT18">
            <v>3843.880006593</v>
          </cell>
          <cell r="BU18">
            <v>3986.7213463931785</v>
          </cell>
          <cell r="BV18">
            <v>4197.5468231943869</v>
          </cell>
          <cell r="BW18">
            <v>4323.2901283712563</v>
          </cell>
          <cell r="BX18">
            <v>4323.2901283712563</v>
          </cell>
          <cell r="BY18">
            <v>4595.5510550613699</v>
          </cell>
          <cell r="BZ18">
            <v>4769.7419747443555</v>
          </cell>
          <cell r="CA18">
            <v>5013.9892566157087</v>
          </cell>
          <cell r="CB18">
            <v>5175.1331092168857</v>
          </cell>
          <cell r="CC18">
            <v>5175.1331092168857</v>
          </cell>
          <cell r="CD18">
            <v>5478.8201256749198</v>
          </cell>
          <cell r="CE18">
            <v>5702.3173322260982</v>
          </cell>
          <cell r="CF18">
            <v>5987.8136310570117</v>
          </cell>
          <cell r="CG18">
            <v>6181.1602702736982</v>
          </cell>
          <cell r="CH18">
            <v>6181.1602702736982</v>
          </cell>
        </row>
        <row r="20">
          <cell r="B20" t="str">
            <v>Property &amp; equipment, net</v>
          </cell>
          <cell r="E20">
            <v>623.34299999999996</v>
          </cell>
          <cell r="F20">
            <v>708.08100000000002</v>
          </cell>
          <cell r="G20">
            <v>718.96600000000001</v>
          </cell>
          <cell r="H20">
            <v>766.70899999999995</v>
          </cell>
          <cell r="I20">
            <v>777.94399999999996</v>
          </cell>
          <cell r="J20">
            <v>866.53399999999999</v>
          </cell>
          <cell r="K20">
            <v>866.53399999999999</v>
          </cell>
          <cell r="L20">
            <v>921.13499999999999</v>
          </cell>
          <cell r="M20">
            <v>937.63499999999999</v>
          </cell>
          <cell r="N20">
            <v>981.71699999999998</v>
          </cell>
          <cell r="O20">
            <v>1029.337</v>
          </cell>
          <cell r="P20">
            <v>1029.337</v>
          </cell>
          <cell r="Q20">
            <v>1130.2660000000001</v>
          </cell>
          <cell r="R20">
            <v>1134.43</v>
          </cell>
          <cell r="S20">
            <v>1250.799</v>
          </cell>
          <cell r="T20">
            <v>1395.345</v>
          </cell>
          <cell r="U20">
            <v>1395.345</v>
          </cell>
          <cell r="V20">
            <v>1398.4490000000001</v>
          </cell>
          <cell r="W20">
            <v>1408.056</v>
          </cell>
          <cell r="X20">
            <v>1478.7470000000001</v>
          </cell>
          <cell r="Y20">
            <v>1484.548</v>
          </cell>
          <cell r="Z20">
            <v>1484.548</v>
          </cell>
          <cell r="AA20">
            <v>1477.2349999999999</v>
          </cell>
          <cell r="AB20">
            <v>1484.4690000000001</v>
          </cell>
          <cell r="AC20">
            <v>1499.69</v>
          </cell>
          <cell r="AD20">
            <v>1610.991</v>
          </cell>
          <cell r="AE20">
            <v>1610.991</v>
          </cell>
          <cell r="AF20">
            <v>1627.4580000000001</v>
          </cell>
          <cell r="AG20">
            <v>1757.2180000000001</v>
          </cell>
          <cell r="AH20">
            <v>1846.1379999999999</v>
          </cell>
          <cell r="AI20">
            <v>1986.577</v>
          </cell>
          <cell r="AJ20">
            <v>1986.577</v>
          </cell>
          <cell r="AK20">
            <v>1985.703</v>
          </cell>
          <cell r="AL20">
            <v>2089.1419999999998</v>
          </cell>
          <cell r="AM20">
            <v>5877.42</v>
          </cell>
          <cell r="AN20">
            <v>5512.5739999999996</v>
          </cell>
          <cell r="AO20">
            <v>5512.5739999999996</v>
          </cell>
          <cell r="AP20">
            <v>5438.3969999999999</v>
          </cell>
          <cell r="AQ20">
            <v>5621.7539999999999</v>
          </cell>
          <cell r="AR20">
            <v>5744.4660000000003</v>
          </cell>
          <cell r="AS20">
            <v>5869.0590000000002</v>
          </cell>
          <cell r="AT20">
            <v>5869.0590000000002</v>
          </cell>
          <cell r="AU20">
            <v>5868.2929999999997</v>
          </cell>
          <cell r="AV20">
            <v>6076.1450000000004</v>
          </cell>
          <cell r="AW20">
            <v>6053.3469999999998</v>
          </cell>
          <cell r="AX20">
            <v>6132.2460000000001</v>
          </cell>
          <cell r="AY20">
            <v>6132.2460000000001</v>
          </cell>
          <cell r="AZ20">
            <v>6111.0569999999998</v>
          </cell>
          <cell r="BA20">
            <v>6084.9859999999999</v>
          </cell>
          <cell r="BB20">
            <v>6143.57</v>
          </cell>
          <cell r="BC20">
            <v>6457.4660000000003</v>
          </cell>
          <cell r="BD20">
            <v>6457.4660000000003</v>
          </cell>
          <cell r="BE20">
            <v>6446.4170000000004</v>
          </cell>
          <cell r="BF20">
            <v>6506.424</v>
          </cell>
          <cell r="BG20">
            <v>6573.94</v>
          </cell>
          <cell r="BH20">
            <v>6855.9759999999997</v>
          </cell>
          <cell r="BI20">
            <v>6855.9759999999997</v>
          </cell>
          <cell r="BJ20">
            <v>7001.8630000000003</v>
          </cell>
          <cell r="BK20">
            <v>7048.2250000000004</v>
          </cell>
          <cell r="BL20">
            <v>7105.7939999999999</v>
          </cell>
          <cell r="BM20">
            <v>7148.2572294000001</v>
          </cell>
          <cell r="BN20">
            <v>7148.2572294000001</v>
          </cell>
          <cell r="BO20">
            <v>7164.550798665</v>
          </cell>
          <cell r="BP20">
            <v>7231.6245286983749</v>
          </cell>
          <cell r="BQ20">
            <v>7297.0214154809155</v>
          </cell>
          <cell r="BR20">
            <v>7360.7833800938924</v>
          </cell>
          <cell r="BS20">
            <v>7360.7833800938924</v>
          </cell>
          <cell r="BT20">
            <v>7371.7637955915452</v>
          </cell>
          <cell r="BU20">
            <v>7382.4697007017567</v>
          </cell>
          <cell r="BV20">
            <v>7392.9079581842125</v>
          </cell>
          <cell r="BW20">
            <v>7403.0852592296069</v>
          </cell>
          <cell r="BX20">
            <v>7403.0852592296069</v>
          </cell>
          <cell r="BY20">
            <v>7413.0081277488671</v>
          </cell>
          <cell r="BZ20">
            <v>7422.6829245551453</v>
          </cell>
          <cell r="CA20">
            <v>7432.1158514412664</v>
          </cell>
          <cell r="CB20">
            <v>7441.3129551552347</v>
          </cell>
          <cell r="CC20">
            <v>7441.3129551552347</v>
          </cell>
          <cell r="CD20">
            <v>7450.280131276354</v>
          </cell>
          <cell r="CE20">
            <v>7459.0231279944455</v>
          </cell>
          <cell r="CF20">
            <v>7467.5475497945845</v>
          </cell>
          <cell r="CG20">
            <v>7475.85886104972</v>
          </cell>
          <cell r="CH20">
            <v>7475.85886104972</v>
          </cell>
          <cell r="CL20" t="str">
            <v>mstag:propertyPlantAndEquipmentNet</v>
          </cell>
          <cell r="CM20">
            <v>6</v>
          </cell>
          <cell r="CN20" t="str">
            <v>ISO4217:USD</v>
          </cell>
          <cell r="CO20" t="b">
            <v>0</v>
          </cell>
          <cell r="CP20" t="b">
            <v>0</v>
          </cell>
        </row>
        <row r="21">
          <cell r="B21" t="str">
            <v>Goodwill</v>
          </cell>
          <cell r="E21">
            <v>877.89</v>
          </cell>
          <cell r="F21">
            <v>985.56799999999998</v>
          </cell>
          <cell r="G21">
            <v>981.596</v>
          </cell>
          <cell r="H21">
            <v>991.55700000000002</v>
          </cell>
          <cell r="I21">
            <v>986.68600000000004</v>
          </cell>
          <cell r="J21">
            <v>1000.918</v>
          </cell>
          <cell r="K21">
            <v>1000.918</v>
          </cell>
          <cell r="L21">
            <v>1013.377</v>
          </cell>
          <cell r="M21">
            <v>1021.0170000000001</v>
          </cell>
          <cell r="N21">
            <v>1048.402</v>
          </cell>
          <cell r="O21">
            <v>1029.9749999999999</v>
          </cell>
          <cell r="P21">
            <v>1029.9749999999999</v>
          </cell>
          <cell r="Q21">
            <v>1084.3530000000001</v>
          </cell>
          <cell r="R21">
            <v>1091.9179999999999</v>
          </cell>
          <cell r="S21">
            <v>1154.481</v>
          </cell>
          <cell r="T21">
            <v>1155.797</v>
          </cell>
          <cell r="U21">
            <v>1155.797</v>
          </cell>
          <cell r="V21">
            <v>1159.2329999999999</v>
          </cell>
          <cell r="W21">
            <v>1158.5509999999999</v>
          </cell>
          <cell r="X21">
            <v>1213.479</v>
          </cell>
          <cell r="Y21">
            <v>1213.7829999999999</v>
          </cell>
          <cell r="Z21">
            <v>1213.7829999999999</v>
          </cell>
          <cell r="AA21">
            <v>1205.1199999999999</v>
          </cell>
          <cell r="AB21">
            <v>1217.5129999999999</v>
          </cell>
          <cell r="AC21">
            <v>1236.623</v>
          </cell>
          <cell r="AD21">
            <v>1259.816</v>
          </cell>
          <cell r="AE21">
            <v>1259.816</v>
          </cell>
          <cell r="AF21">
            <v>1267.557</v>
          </cell>
          <cell r="AG21">
            <v>1316.9390000000001</v>
          </cell>
          <cell r="AH21">
            <v>1381.1369999999999</v>
          </cell>
          <cell r="AI21">
            <v>1336.5250000000001</v>
          </cell>
          <cell r="AJ21">
            <v>1336.5250000000001</v>
          </cell>
          <cell r="AK21">
            <v>1332.422</v>
          </cell>
          <cell r="AL21">
            <v>1344.9559999999999</v>
          </cell>
          <cell r="AM21">
            <v>4046.8130000000001</v>
          </cell>
          <cell r="AN21">
            <v>4247.7139999999999</v>
          </cell>
          <cell r="AO21">
            <v>4247.7139999999999</v>
          </cell>
          <cell r="AP21">
            <v>4375.2929999999997</v>
          </cell>
          <cell r="AQ21">
            <v>4165.0410000000002</v>
          </cell>
          <cell r="AR21">
            <v>4151.4870000000001</v>
          </cell>
          <cell r="AS21">
            <v>4166.0910000000003</v>
          </cell>
          <cell r="AT21">
            <v>4166.0910000000003</v>
          </cell>
          <cell r="AU21">
            <v>4173.4080000000004</v>
          </cell>
          <cell r="AV21">
            <v>4187.9679999999998</v>
          </cell>
          <cell r="AW21">
            <v>4187.6769999999997</v>
          </cell>
          <cell r="AX21">
            <v>4157.9269999999997</v>
          </cell>
          <cell r="AY21">
            <v>4157.9269999999997</v>
          </cell>
          <cell r="AZ21">
            <v>4159.0969999999998</v>
          </cell>
          <cell r="BA21">
            <v>4161.1959999999999</v>
          </cell>
          <cell r="BB21">
            <v>4174.04</v>
          </cell>
          <cell r="BC21">
            <v>4199.9049999999997</v>
          </cell>
          <cell r="BD21">
            <v>4199.9049999999997</v>
          </cell>
          <cell r="BE21">
            <v>4225.768</v>
          </cell>
          <cell r="BF21">
            <v>4227.97</v>
          </cell>
          <cell r="BG21">
            <v>4232.9129999999996</v>
          </cell>
          <cell r="BH21">
            <v>4264.8450000000003</v>
          </cell>
          <cell r="BI21">
            <v>4264.8450000000003</v>
          </cell>
          <cell r="BJ21">
            <v>4367.8410000000003</v>
          </cell>
          <cell r="BK21">
            <v>4372.9930000000004</v>
          </cell>
          <cell r="BL21">
            <v>4397.473</v>
          </cell>
          <cell r="BM21">
            <v>4397.473</v>
          </cell>
          <cell r="BN21">
            <v>4397.473</v>
          </cell>
          <cell r="BO21">
            <v>4397.473</v>
          </cell>
          <cell r="BP21">
            <v>4414.973</v>
          </cell>
          <cell r="BQ21">
            <v>4432.473</v>
          </cell>
          <cell r="BR21">
            <v>4449.973</v>
          </cell>
          <cell r="BS21">
            <v>4449.973</v>
          </cell>
          <cell r="BT21">
            <v>4449.973</v>
          </cell>
          <cell r="BU21">
            <v>4449.973</v>
          </cell>
          <cell r="BV21">
            <v>4449.973</v>
          </cell>
          <cell r="BW21">
            <v>4449.973</v>
          </cell>
          <cell r="BX21">
            <v>4449.973</v>
          </cell>
          <cell r="BY21">
            <v>4449.973</v>
          </cell>
          <cell r="BZ21">
            <v>4449.973</v>
          </cell>
          <cell r="CA21">
            <v>4449.973</v>
          </cell>
          <cell r="CB21">
            <v>4449.973</v>
          </cell>
          <cell r="CC21">
            <v>4449.973</v>
          </cell>
          <cell r="CD21">
            <v>4449.973</v>
          </cell>
          <cell r="CE21">
            <v>4449.973</v>
          </cell>
          <cell r="CF21">
            <v>4449.973</v>
          </cell>
          <cell r="CG21">
            <v>4449.973</v>
          </cell>
          <cell r="CH21">
            <v>4449.973</v>
          </cell>
          <cell r="CL21" t="str">
            <v>mstag:goodwill</v>
          </cell>
          <cell r="CM21">
            <v>6</v>
          </cell>
          <cell r="CN21" t="str">
            <v>ISO4217:USD</v>
          </cell>
          <cell r="CO21" t="b">
            <v>0</v>
          </cell>
          <cell r="CP21" t="b">
            <v>0</v>
          </cell>
        </row>
        <row r="22">
          <cell r="B22" t="str">
            <v>Other assets</v>
          </cell>
          <cell r="E22">
            <v>93.355000000000004</v>
          </cell>
          <cell r="F22">
            <v>111.611</v>
          </cell>
          <cell r="G22">
            <v>103.012</v>
          </cell>
          <cell r="H22">
            <v>95.989000000000004</v>
          </cell>
          <cell r="I22">
            <v>106.143</v>
          </cell>
          <cell r="J22">
            <v>98.653000000000006</v>
          </cell>
          <cell r="K22">
            <v>98.653000000000006</v>
          </cell>
          <cell r="L22">
            <v>104.274</v>
          </cell>
          <cell r="M22">
            <v>101.777</v>
          </cell>
          <cell r="N22">
            <v>101.18300000000001</v>
          </cell>
          <cell r="O22">
            <v>102.458</v>
          </cell>
          <cell r="P22">
            <v>102.458</v>
          </cell>
          <cell r="Q22">
            <v>105.27200000000001</v>
          </cell>
          <cell r="R22">
            <v>102.755</v>
          </cell>
          <cell r="S22">
            <v>96.885000000000005</v>
          </cell>
          <cell r="T22">
            <v>102.989</v>
          </cell>
          <cell r="U22">
            <v>102.989</v>
          </cell>
          <cell r="V22">
            <v>102.596</v>
          </cell>
          <cell r="W22">
            <v>112.485</v>
          </cell>
          <cell r="X22">
            <v>104.283</v>
          </cell>
          <cell r="Y22">
            <v>118.828</v>
          </cell>
          <cell r="Z22">
            <v>118.828</v>
          </cell>
          <cell r="AA22">
            <v>122.566</v>
          </cell>
          <cell r="AB22">
            <v>124.64</v>
          </cell>
          <cell r="AC22">
            <v>146.97900000000001</v>
          </cell>
          <cell r="AD22">
            <v>149.202</v>
          </cell>
          <cell r="AE22">
            <v>149.202</v>
          </cell>
          <cell r="AF22">
            <v>158.364</v>
          </cell>
          <cell r="AG22">
            <v>164.86</v>
          </cell>
          <cell r="AH22">
            <v>154.37799999999999</v>
          </cell>
          <cell r="AI22">
            <v>162.09299999999999</v>
          </cell>
          <cell r="AJ22">
            <v>162.09299999999999</v>
          </cell>
          <cell r="AK22">
            <v>198.786</v>
          </cell>
          <cell r="AL22">
            <v>226.7</v>
          </cell>
          <cell r="AM22">
            <v>804.68</v>
          </cell>
          <cell r="AN22">
            <v>1180.4570000000001</v>
          </cell>
          <cell r="AO22">
            <v>1180.4570000000001</v>
          </cell>
          <cell r="AP22">
            <v>912.26700000000005</v>
          </cell>
          <cell r="AQ22">
            <v>1069.0550000000001</v>
          </cell>
          <cell r="AR22">
            <v>1039.3</v>
          </cell>
          <cell r="AS22">
            <v>1178.0540000000001</v>
          </cell>
          <cell r="AT22">
            <v>1178.0540000000001</v>
          </cell>
          <cell r="AU22">
            <v>1045.529</v>
          </cell>
          <cell r="AV22">
            <v>1008.478</v>
          </cell>
          <cell r="AW22">
            <v>1008.027</v>
          </cell>
          <cell r="AX22">
            <v>1056.3040000000001</v>
          </cell>
          <cell r="AY22">
            <v>1056.3040000000001</v>
          </cell>
          <cell r="AZ22">
            <v>1052.848</v>
          </cell>
          <cell r="BA22">
            <v>1087.046</v>
          </cell>
          <cell r="BB22">
            <v>1117.913</v>
          </cell>
          <cell r="BC22">
            <v>1169.559</v>
          </cell>
          <cell r="BD22">
            <v>1169.559</v>
          </cell>
          <cell r="BE22">
            <v>1210.1010000000001</v>
          </cell>
          <cell r="BF22">
            <v>1356.5309999999999</v>
          </cell>
          <cell r="BG22">
            <v>1204.5409999999999</v>
          </cell>
          <cell r="BH22">
            <v>1241.93</v>
          </cell>
          <cell r="BI22">
            <v>1241.93</v>
          </cell>
          <cell r="BJ22">
            <v>1376.2360000000001</v>
          </cell>
          <cell r="BK22">
            <v>1454.625</v>
          </cell>
          <cell r="BL22">
            <v>1530.4770000000001</v>
          </cell>
          <cell r="BM22">
            <v>1530.4770000000001</v>
          </cell>
          <cell r="BN22">
            <v>1530.4770000000001</v>
          </cell>
          <cell r="BO22">
            <v>1530.4770000000001</v>
          </cell>
          <cell r="BP22">
            <v>1530.4770000000001</v>
          </cell>
          <cell r="BQ22">
            <v>1530.4770000000001</v>
          </cell>
          <cell r="BR22">
            <v>1530.4770000000001</v>
          </cell>
          <cell r="BS22">
            <v>1530.4770000000001</v>
          </cell>
          <cell r="BT22">
            <v>1530.4770000000001</v>
          </cell>
          <cell r="BU22">
            <v>1530.4770000000001</v>
          </cell>
          <cell r="BV22">
            <v>1530.4770000000001</v>
          </cell>
          <cell r="BW22">
            <v>1530.4770000000001</v>
          </cell>
          <cell r="BX22">
            <v>1530.4770000000001</v>
          </cell>
          <cell r="BY22">
            <v>1530.4770000000001</v>
          </cell>
          <cell r="BZ22">
            <v>1530.4770000000001</v>
          </cell>
          <cell r="CA22">
            <v>1530.4770000000001</v>
          </cell>
          <cell r="CB22">
            <v>1530.4770000000001</v>
          </cell>
          <cell r="CC22">
            <v>1530.4770000000001</v>
          </cell>
          <cell r="CD22">
            <v>1530.4770000000001</v>
          </cell>
          <cell r="CE22">
            <v>1530.4770000000001</v>
          </cell>
          <cell r="CF22">
            <v>1530.4770000000001</v>
          </cell>
          <cell r="CG22">
            <v>1530.4770000000001</v>
          </cell>
          <cell r="CH22">
            <v>1530.4770000000001</v>
          </cell>
          <cell r="CL22" t="str">
            <v>mstag:otherAssetsOperatingNonCurrent</v>
          </cell>
          <cell r="CM22">
            <v>6</v>
          </cell>
          <cell r="CN22" t="str">
            <v>ISO4217:USD</v>
          </cell>
          <cell r="CO22" t="b">
            <v>0</v>
          </cell>
          <cell r="CP22" t="b">
            <v>0</v>
          </cell>
        </row>
        <row r="23">
          <cell r="B23" t="str">
            <v>Total Assets</v>
          </cell>
          <cell r="E23">
            <v>1895.0839999999998</v>
          </cell>
          <cell r="F23">
            <v>2213.837</v>
          </cell>
          <cell r="G23">
            <v>2221.94</v>
          </cell>
          <cell r="H23">
            <v>2280.0860000000002</v>
          </cell>
          <cell r="I23">
            <v>2298.6030000000001</v>
          </cell>
          <cell r="J23">
            <v>2460.6640000000002</v>
          </cell>
          <cell r="K23">
            <v>2460.6640000000002</v>
          </cell>
          <cell r="L23">
            <v>2594.0610000000001</v>
          </cell>
          <cell r="M23">
            <v>2578.2669999999998</v>
          </cell>
          <cell r="N23">
            <v>2768.4949999999999</v>
          </cell>
          <cell r="O23">
            <v>2809.4960000000001</v>
          </cell>
          <cell r="P23">
            <v>2809.4960000000001</v>
          </cell>
          <cell r="Q23">
            <v>2921.7200000000003</v>
          </cell>
          <cell r="R23">
            <v>2887.0360000000001</v>
          </cell>
          <cell r="S23">
            <v>3187.7249999999999</v>
          </cell>
          <cell r="T23">
            <v>3350.2109999999998</v>
          </cell>
          <cell r="U23">
            <v>3350.2109999999998</v>
          </cell>
          <cell r="V23">
            <v>3380.2629999999999</v>
          </cell>
          <cell r="W23">
            <v>3381.2640000000001</v>
          </cell>
          <cell r="X23">
            <v>3534.6950000000002</v>
          </cell>
          <cell r="Y23">
            <v>3632.6080000000002</v>
          </cell>
          <cell r="Z23">
            <v>3632.6080000000002</v>
          </cell>
          <cell r="AA23">
            <v>3761.1149999999993</v>
          </cell>
          <cell r="AB23">
            <v>3848.1709999999998</v>
          </cell>
          <cell r="AC23">
            <v>3844.0830000000001</v>
          </cell>
          <cell r="AD23">
            <v>3934.2179999999998</v>
          </cell>
          <cell r="AE23">
            <v>3934.2179999999998</v>
          </cell>
          <cell r="AF23">
            <v>4049.2890000000007</v>
          </cell>
          <cell r="AG23">
            <v>4178.66</v>
          </cell>
          <cell r="AH23">
            <v>4343.6129999999994</v>
          </cell>
          <cell r="AI23">
            <v>4506.5789999999997</v>
          </cell>
          <cell r="AJ23">
            <v>4506.5789999999997</v>
          </cell>
          <cell r="AK23">
            <v>4608.9160000000002</v>
          </cell>
          <cell r="AL23">
            <v>4793.1109999999999</v>
          </cell>
          <cell r="AM23">
            <v>13438.697</v>
          </cell>
          <cell r="AN23">
            <v>13493.643</v>
          </cell>
          <cell r="AO23">
            <v>13493.643</v>
          </cell>
          <cell r="AP23">
            <v>13332.348999999998</v>
          </cell>
          <cell r="AQ23">
            <v>13359.508000000002</v>
          </cell>
          <cell r="AR23">
            <v>13587.404</v>
          </cell>
          <cell r="AS23">
            <v>13818.254000000003</v>
          </cell>
          <cell r="AT23">
            <v>13818.254000000003</v>
          </cell>
          <cell r="AU23">
            <v>13914.366000000002</v>
          </cell>
          <cell r="AV23">
            <v>13872.022000000001</v>
          </cell>
          <cell r="AW23">
            <v>14043.682999999999</v>
          </cell>
          <cell r="AX23">
            <v>14021.471999999998</v>
          </cell>
          <cell r="AY23">
            <v>14021.471999999998</v>
          </cell>
          <cell r="AZ23">
            <v>14200.611999999997</v>
          </cell>
          <cell r="BA23">
            <v>14313.431</v>
          </cell>
          <cell r="BB23">
            <v>14419.493000000002</v>
          </cell>
          <cell r="BC23">
            <v>14698.122999999998</v>
          </cell>
          <cell r="BD23">
            <v>14698.122999999998</v>
          </cell>
          <cell r="BE23">
            <v>14718.279000000002</v>
          </cell>
          <cell r="BF23">
            <v>14825.414999999999</v>
          </cell>
          <cell r="BG23">
            <v>14847.921999999999</v>
          </cell>
          <cell r="BH23">
            <v>15208.84</v>
          </cell>
          <cell r="BI23">
            <v>15208.84</v>
          </cell>
          <cell r="BJ23">
            <v>15846.416000000001</v>
          </cell>
          <cell r="BK23">
            <v>15873.006000000001</v>
          </cell>
          <cell r="BL23">
            <v>16241.155000000001</v>
          </cell>
          <cell r="BM23">
            <v>16356.625474112463</v>
          </cell>
          <cell r="BN23">
            <v>16356.625474112463</v>
          </cell>
          <cell r="BO23">
            <v>16573.332866668603</v>
          </cell>
          <cell r="BP23">
            <v>16678.801302317555</v>
          </cell>
          <cell r="BQ23">
            <v>16851.087193939791</v>
          </cell>
          <cell r="BR23">
            <v>16941.998539885411</v>
          </cell>
          <cell r="BS23">
            <v>16941.998539885411</v>
          </cell>
          <cell r="BT23">
            <v>17196.093802184547</v>
          </cell>
          <cell r="BU23">
            <v>17349.641047094934</v>
          </cell>
          <cell r="BV23">
            <v>17570.904781378602</v>
          </cell>
          <cell r="BW23">
            <v>17706.825387600864</v>
          </cell>
          <cell r="BX23">
            <v>17706.825387600864</v>
          </cell>
          <cell r="BY23">
            <v>17989.009182810238</v>
          </cell>
          <cell r="BZ23">
            <v>18172.874899299502</v>
          </cell>
          <cell r="CA23">
            <v>18426.555108056975</v>
          </cell>
          <cell r="CB23">
            <v>18596.896064372122</v>
          </cell>
          <cell r="CC23">
            <v>18596.896064372122</v>
          </cell>
          <cell r="CD23">
            <v>18909.550256951276</v>
          </cell>
          <cell r="CE23">
            <v>19141.790460220545</v>
          </cell>
          <cell r="CF23">
            <v>19435.811180851597</v>
          </cell>
          <cell r="CG23">
            <v>19637.469131323418</v>
          </cell>
          <cell r="CH23">
            <v>19637.469131323418</v>
          </cell>
        </row>
        <row r="25">
          <cell r="B25" t="str">
            <v>Current maturities of long-term debt</v>
          </cell>
          <cell r="E25">
            <v>27.029</v>
          </cell>
          <cell r="F25">
            <v>17.433</v>
          </cell>
          <cell r="G25">
            <v>17.143999999999998</v>
          </cell>
          <cell r="H25">
            <v>21.498999999999999</v>
          </cell>
          <cell r="I25">
            <v>42.182000000000002</v>
          </cell>
          <cell r="J25">
            <v>58.691000000000003</v>
          </cell>
          <cell r="K25">
            <v>58.691000000000003</v>
          </cell>
          <cell r="L25">
            <v>88.09</v>
          </cell>
          <cell r="M25">
            <v>31.748000000000001</v>
          </cell>
          <cell r="N25">
            <v>15.597</v>
          </cell>
          <cell r="O25">
            <v>18.529</v>
          </cell>
          <cell r="P25">
            <v>18.529</v>
          </cell>
          <cell r="Q25">
            <v>19.204000000000001</v>
          </cell>
          <cell r="R25">
            <v>17.78</v>
          </cell>
          <cell r="S25">
            <v>17.443000000000001</v>
          </cell>
          <cell r="T25">
            <v>29.677</v>
          </cell>
          <cell r="U25">
            <v>29.677</v>
          </cell>
          <cell r="V25">
            <v>22.163</v>
          </cell>
          <cell r="W25">
            <v>20.132000000000001</v>
          </cell>
          <cell r="X25">
            <v>20.687000000000001</v>
          </cell>
          <cell r="Y25">
            <v>26.867000000000001</v>
          </cell>
          <cell r="Z25">
            <v>26.867000000000001</v>
          </cell>
          <cell r="AA25">
            <v>25.04</v>
          </cell>
          <cell r="AB25">
            <v>22.831</v>
          </cell>
          <cell r="AC25">
            <v>22.79</v>
          </cell>
          <cell r="AD25">
            <v>19.123999999999999</v>
          </cell>
          <cell r="AE25">
            <v>19.123999999999999</v>
          </cell>
          <cell r="AF25">
            <v>19.283999999999999</v>
          </cell>
          <cell r="AG25">
            <v>20.620999999999999</v>
          </cell>
          <cell r="AH25">
            <v>28.384</v>
          </cell>
          <cell r="AI25">
            <v>35.396000000000001</v>
          </cell>
          <cell r="AJ25">
            <v>35.396000000000001</v>
          </cell>
          <cell r="AK25">
            <v>23.058</v>
          </cell>
          <cell r="AL25">
            <v>25.757000000000001</v>
          </cell>
          <cell r="AM25">
            <v>79.346000000000004</v>
          </cell>
          <cell r="AN25">
            <v>20.71</v>
          </cell>
          <cell r="AO25">
            <v>20.71</v>
          </cell>
          <cell r="AP25">
            <v>19.475999999999999</v>
          </cell>
          <cell r="AQ25">
            <v>24.279</v>
          </cell>
          <cell r="AR25">
            <v>19.646999999999998</v>
          </cell>
          <cell r="AS25">
            <v>29.462</v>
          </cell>
          <cell r="AT25">
            <v>29.462</v>
          </cell>
          <cell r="AU25">
            <v>32.671999999999997</v>
          </cell>
          <cell r="AV25">
            <v>56.734000000000002</v>
          </cell>
          <cell r="AW25">
            <v>62.265000000000001</v>
          </cell>
          <cell r="AX25">
            <v>66.47</v>
          </cell>
          <cell r="AY25">
            <v>66.47</v>
          </cell>
          <cell r="AZ25">
            <v>69.781000000000006</v>
          </cell>
          <cell r="BA25">
            <v>64.094999999999999</v>
          </cell>
          <cell r="BB25">
            <v>60.654000000000003</v>
          </cell>
          <cell r="BC25">
            <v>63.139000000000003</v>
          </cell>
          <cell r="BD25">
            <v>63.139000000000003</v>
          </cell>
          <cell r="BE25">
            <v>65.951999999999998</v>
          </cell>
          <cell r="BF25">
            <v>70.111999999999995</v>
          </cell>
          <cell r="BG25">
            <v>61.066000000000003</v>
          </cell>
          <cell r="BH25">
            <v>63.706000000000003</v>
          </cell>
          <cell r="BI25">
            <v>63.706000000000003</v>
          </cell>
          <cell r="BJ25">
            <v>75.388000000000005</v>
          </cell>
          <cell r="BK25">
            <v>83.876999999999995</v>
          </cell>
          <cell r="BL25">
            <v>99.194000000000003</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L25" t="str">
            <v>mstag:shortTermBorrowings</v>
          </cell>
          <cell r="CM25">
            <v>6</v>
          </cell>
          <cell r="CN25" t="str">
            <v>ISO4217:USD</v>
          </cell>
          <cell r="CO25" t="b">
            <v>0</v>
          </cell>
          <cell r="CP25" t="b">
            <v>0</v>
          </cell>
        </row>
        <row r="26">
          <cell r="B26" t="str">
            <v>Accounts payable</v>
          </cell>
          <cell r="E26">
            <v>57.392000000000003</v>
          </cell>
          <cell r="F26">
            <v>83.191000000000003</v>
          </cell>
          <cell r="G26">
            <v>84.992000000000004</v>
          </cell>
          <cell r="H26">
            <v>86.46</v>
          </cell>
          <cell r="I26">
            <v>91.81</v>
          </cell>
          <cell r="J26">
            <v>91.096000000000004</v>
          </cell>
          <cell r="K26">
            <v>91.096000000000004</v>
          </cell>
          <cell r="L26">
            <v>102.625</v>
          </cell>
          <cell r="M26">
            <v>104.34399999999999</v>
          </cell>
          <cell r="N26">
            <v>118.312</v>
          </cell>
          <cell r="O26">
            <v>111.67700000000001</v>
          </cell>
          <cell r="P26">
            <v>111.67700000000001</v>
          </cell>
          <cell r="Q26">
            <v>114.136</v>
          </cell>
          <cell r="R26">
            <v>108.735</v>
          </cell>
          <cell r="S26">
            <v>125.20699999999999</v>
          </cell>
          <cell r="T26">
            <v>154.71100000000001</v>
          </cell>
          <cell r="U26">
            <v>154.71100000000001</v>
          </cell>
          <cell r="V26">
            <v>139.74199999999999</v>
          </cell>
          <cell r="W26">
            <v>140.852</v>
          </cell>
          <cell r="X26">
            <v>147.011</v>
          </cell>
          <cell r="Y26">
            <v>162.63800000000001</v>
          </cell>
          <cell r="Z26">
            <v>162.63800000000001</v>
          </cell>
          <cell r="AA26">
            <v>151.703</v>
          </cell>
          <cell r="AB26">
            <v>147.39599999999999</v>
          </cell>
          <cell r="AC26">
            <v>154.72499999999999</v>
          </cell>
          <cell r="AD26">
            <v>189.94</v>
          </cell>
          <cell r="AE26">
            <v>189.94</v>
          </cell>
          <cell r="AF26">
            <v>158.19</v>
          </cell>
          <cell r="AG26">
            <v>197.01</v>
          </cell>
          <cell r="AH26">
            <v>210.839</v>
          </cell>
          <cell r="AI26">
            <v>247.74700000000001</v>
          </cell>
          <cell r="AJ26">
            <v>247.74700000000001</v>
          </cell>
          <cell r="AK26">
            <v>239.88900000000001</v>
          </cell>
          <cell r="AL26">
            <v>257.73</v>
          </cell>
          <cell r="AM26">
            <v>505.7</v>
          </cell>
          <cell r="AN26">
            <v>492.69299999999998</v>
          </cell>
          <cell r="AO26">
            <v>492.69299999999998</v>
          </cell>
          <cell r="AP26">
            <v>461.43700000000001</v>
          </cell>
          <cell r="AQ26">
            <v>438.51799999999997</v>
          </cell>
          <cell r="AR26">
            <v>477.06400000000002</v>
          </cell>
          <cell r="AS26">
            <v>529.42899999999997</v>
          </cell>
          <cell r="AT26">
            <v>529.42899999999997</v>
          </cell>
          <cell r="AU26">
            <v>465.39299999999997</v>
          </cell>
          <cell r="AV26">
            <v>505.96600000000001</v>
          </cell>
          <cell r="AW26">
            <v>495.37700000000001</v>
          </cell>
          <cell r="AX26">
            <v>428.565</v>
          </cell>
          <cell r="AY26">
            <v>428.565</v>
          </cell>
          <cell r="AZ26">
            <v>499.875</v>
          </cell>
          <cell r="BA26">
            <v>514.601</v>
          </cell>
          <cell r="BB26">
            <v>516.15200000000004</v>
          </cell>
          <cell r="BC26">
            <v>526.33799999999997</v>
          </cell>
          <cell r="BD26">
            <v>526.33799999999997</v>
          </cell>
          <cell r="BE26">
            <v>547.68299999999999</v>
          </cell>
          <cell r="BF26">
            <v>583.92399999999998</v>
          </cell>
          <cell r="BG26">
            <v>636.327</v>
          </cell>
          <cell r="BH26">
            <v>748.99699999999996</v>
          </cell>
          <cell r="BI26">
            <v>748.99699999999996</v>
          </cell>
          <cell r="BJ26">
            <v>822.24699999999996</v>
          </cell>
          <cell r="BK26">
            <v>770.45</v>
          </cell>
          <cell r="BL26">
            <v>809.255</v>
          </cell>
          <cell r="BM26">
            <v>810.69345763638069</v>
          </cell>
          <cell r="BN26">
            <v>810.69345763638069</v>
          </cell>
          <cell r="BO26">
            <v>887.64273959427192</v>
          </cell>
          <cell r="BP26">
            <v>816.62628025822676</v>
          </cell>
          <cell r="BQ26">
            <v>883.49787200894571</v>
          </cell>
          <cell r="BR26">
            <v>896.22279047178461</v>
          </cell>
          <cell r="BS26">
            <v>896.22279047178461</v>
          </cell>
          <cell r="BT26">
            <v>965.41548940062819</v>
          </cell>
          <cell r="BU26">
            <v>884.27027593363857</v>
          </cell>
          <cell r="BV26">
            <v>950.3718410770249</v>
          </cell>
          <cell r="BW26">
            <v>957.62156563783549</v>
          </cell>
          <cell r="BX26">
            <v>957.62156563783549</v>
          </cell>
          <cell r="BY26">
            <v>1027.3331464062612</v>
          </cell>
          <cell r="BZ26">
            <v>942.36934009111769</v>
          </cell>
          <cell r="CA26">
            <v>1012.2285536448099</v>
          </cell>
          <cell r="CB26">
            <v>1019.999345520917</v>
          </cell>
          <cell r="CC26">
            <v>1019.999345520917</v>
          </cell>
          <cell r="CD26">
            <v>1081.7650762559931</v>
          </cell>
          <cell r="CE26">
            <v>1003.8829002321565</v>
          </cell>
          <cell r="CF26">
            <v>1077.5697277721724</v>
          </cell>
          <cell r="CG26">
            <v>1085.036524542181</v>
          </cell>
          <cell r="CH26">
            <v>1085.036524542181</v>
          </cell>
          <cell r="CL26" t="str">
            <v>mstag:tradeAndOtherPayablesCurrent</v>
          </cell>
          <cell r="CM26">
            <v>6</v>
          </cell>
          <cell r="CN26" t="str">
            <v>ISO4217:USD</v>
          </cell>
          <cell r="CO26" t="b">
            <v>0</v>
          </cell>
          <cell r="CP26" t="b">
            <v>0</v>
          </cell>
        </row>
        <row r="27">
          <cell r="B27" t="str">
            <v>Accrued interest</v>
          </cell>
          <cell r="E27">
            <v>19.451000000000001</v>
          </cell>
          <cell r="F27">
            <v>27.388999999999999</v>
          </cell>
          <cell r="G27">
            <v>17.012</v>
          </cell>
          <cell r="H27">
            <v>20.277999999999999</v>
          </cell>
          <cell r="I27">
            <v>14.797000000000001</v>
          </cell>
          <cell r="J27">
            <v>6.681</v>
          </cell>
          <cell r="K27">
            <v>6.681</v>
          </cell>
          <cell r="L27">
            <v>10.298999999999999</v>
          </cell>
          <cell r="M27">
            <v>6.8010000000000002</v>
          </cell>
          <cell r="N27">
            <v>10.076000000000001</v>
          </cell>
          <cell r="O27">
            <v>6.7809999999999997</v>
          </cell>
          <cell r="P27">
            <v>6.7809999999999997</v>
          </cell>
          <cell r="Q27">
            <v>9.9130000000000003</v>
          </cell>
          <cell r="R27">
            <v>6.7670000000000003</v>
          </cell>
          <cell r="S27">
            <v>10.775</v>
          </cell>
          <cell r="T27">
            <v>7.5579999999999998</v>
          </cell>
          <cell r="U27">
            <v>7.5579999999999998</v>
          </cell>
          <cell r="V27">
            <v>10.731</v>
          </cell>
          <cell r="W27">
            <v>7.5309999999999997</v>
          </cell>
          <cell r="X27">
            <v>13.618</v>
          </cell>
          <cell r="Y27">
            <v>7.6929999999999996</v>
          </cell>
          <cell r="Z27">
            <v>7.6929999999999996</v>
          </cell>
          <cell r="AA27">
            <v>15.906000000000001</v>
          </cell>
          <cell r="AB27">
            <v>7.782</v>
          </cell>
          <cell r="AC27">
            <v>16.158000000000001</v>
          </cell>
          <cell r="AD27">
            <v>8.5909999999999993</v>
          </cell>
          <cell r="AE27">
            <v>8.5909999999999993</v>
          </cell>
          <cell r="AF27">
            <v>11.061999999999999</v>
          </cell>
          <cell r="AG27">
            <v>6.8769999999999998</v>
          </cell>
          <cell r="AH27">
            <v>12.7</v>
          </cell>
          <cell r="AI27">
            <v>7.1219999999999999</v>
          </cell>
          <cell r="AJ27">
            <v>7.1219999999999999</v>
          </cell>
          <cell r="AK27">
            <v>11.675000000000001</v>
          </cell>
          <cell r="AL27">
            <v>8.375</v>
          </cell>
          <cell r="AM27">
            <v>93.153999999999996</v>
          </cell>
          <cell r="AN27">
            <v>153.83199999999999</v>
          </cell>
          <cell r="AO27">
            <v>153.83199999999999</v>
          </cell>
          <cell r="AP27">
            <v>90.441999999999993</v>
          </cell>
          <cell r="AQ27">
            <v>147.45099999999999</v>
          </cell>
          <cell r="AR27">
            <v>82.849000000000004</v>
          </cell>
          <cell r="AS27">
            <v>152.22800000000001</v>
          </cell>
          <cell r="AT27">
            <v>152.22800000000001</v>
          </cell>
          <cell r="AU27">
            <v>83.102999999999994</v>
          </cell>
          <cell r="AV27">
            <v>143.58099999999999</v>
          </cell>
          <cell r="AW27">
            <v>83.561999999999998</v>
          </cell>
          <cell r="AX27">
            <v>145.20099999999999</v>
          </cell>
          <cell r="AY27">
            <v>145.20099999999999</v>
          </cell>
          <cell r="AZ27">
            <v>85.454999999999998</v>
          </cell>
          <cell r="BA27">
            <v>147.34800000000001</v>
          </cell>
          <cell r="BB27">
            <v>82.055999999999997</v>
          </cell>
          <cell r="BC27">
            <v>146.41499999999999</v>
          </cell>
          <cell r="BD27">
            <v>146.41499999999999</v>
          </cell>
          <cell r="BE27">
            <v>84.501999999999995</v>
          </cell>
          <cell r="BF27">
            <v>145.14599999999999</v>
          </cell>
          <cell r="BG27">
            <v>83.983999999999995</v>
          </cell>
          <cell r="BH27">
            <v>110.121</v>
          </cell>
          <cell r="BI27">
            <v>110.121</v>
          </cell>
          <cell r="BJ27">
            <v>101.15600000000001</v>
          </cell>
          <cell r="BK27">
            <v>82.742000000000004</v>
          </cell>
          <cell r="BL27">
            <v>110.864</v>
          </cell>
          <cell r="BM27">
            <v>110.864</v>
          </cell>
          <cell r="BN27">
            <v>110.864</v>
          </cell>
          <cell r="BO27">
            <v>110.864</v>
          </cell>
          <cell r="BP27">
            <v>110.864</v>
          </cell>
          <cell r="BQ27">
            <v>110.864</v>
          </cell>
          <cell r="BR27">
            <v>110.864</v>
          </cell>
          <cell r="BS27">
            <v>110.864</v>
          </cell>
          <cell r="BT27">
            <v>110.864</v>
          </cell>
          <cell r="BU27">
            <v>110.864</v>
          </cell>
          <cell r="BV27">
            <v>110.864</v>
          </cell>
          <cell r="BW27">
            <v>110.864</v>
          </cell>
          <cell r="BX27">
            <v>110.864</v>
          </cell>
          <cell r="BY27">
            <v>110.864</v>
          </cell>
          <cell r="BZ27">
            <v>110.864</v>
          </cell>
          <cell r="CA27">
            <v>110.864</v>
          </cell>
          <cell r="CB27">
            <v>110.864</v>
          </cell>
          <cell r="CC27">
            <v>110.864</v>
          </cell>
          <cell r="CD27">
            <v>110.864</v>
          </cell>
          <cell r="CE27">
            <v>110.864</v>
          </cell>
          <cell r="CF27">
            <v>110.864</v>
          </cell>
          <cell r="CG27">
            <v>110.864</v>
          </cell>
          <cell r="CH27">
            <v>110.864</v>
          </cell>
          <cell r="CL27" t="str">
            <v>mstag:accruedExpenses</v>
          </cell>
          <cell r="CM27">
            <v>6</v>
          </cell>
          <cell r="CN27" t="str">
            <v>ISO4217:USD</v>
          </cell>
          <cell r="CO27" t="b">
            <v>0</v>
          </cell>
          <cell r="CP27" t="b">
            <v>0</v>
          </cell>
        </row>
        <row r="28">
          <cell r="B28" t="str">
            <v>Accrued liabilities</v>
          </cell>
          <cell r="E28">
            <v>131.405</v>
          </cell>
          <cell r="F28">
            <v>112.86000000000001</v>
          </cell>
          <cell r="G28">
            <v>106.11799999999999</v>
          </cell>
          <cell r="H28">
            <v>111.488</v>
          </cell>
          <cell r="I28">
            <v>105.703</v>
          </cell>
          <cell r="J28">
            <v>140.779</v>
          </cell>
          <cell r="K28">
            <v>140.779</v>
          </cell>
          <cell r="L28">
            <v>153.83600000000001</v>
          </cell>
          <cell r="M28">
            <v>144.27699999999999</v>
          </cell>
          <cell r="N28">
            <v>145.45500000000001</v>
          </cell>
          <cell r="O28">
            <v>174.88400000000001</v>
          </cell>
          <cell r="P28">
            <v>174.88400000000001</v>
          </cell>
          <cell r="Q28">
            <v>155.08000000000001</v>
          </cell>
          <cell r="R28">
            <v>171.00299999999999</v>
          </cell>
          <cell r="S28">
            <v>191.251</v>
          </cell>
          <cell r="T28">
            <v>196.99199999999999</v>
          </cell>
          <cell r="U28">
            <v>196.99199999999999</v>
          </cell>
          <cell r="V28">
            <v>182.30800000000002</v>
          </cell>
          <cell r="W28">
            <v>191.50900000000001</v>
          </cell>
          <cell r="X28">
            <v>198.614</v>
          </cell>
          <cell r="Y28">
            <v>162.35399999999998</v>
          </cell>
          <cell r="Z28">
            <v>162.35399999999998</v>
          </cell>
          <cell r="AA28">
            <v>207.50099999999998</v>
          </cell>
          <cell r="AB28">
            <v>230.899</v>
          </cell>
          <cell r="AC28">
            <v>224.678</v>
          </cell>
          <cell r="AD28">
            <v>199.93700000000001</v>
          </cell>
          <cell r="AE28">
            <v>199.93700000000001</v>
          </cell>
          <cell r="AF28">
            <v>252.238</v>
          </cell>
          <cell r="AG28">
            <v>258.98899999999998</v>
          </cell>
          <cell r="AH28">
            <v>294.892</v>
          </cell>
          <cell r="AI28">
            <v>277.392</v>
          </cell>
          <cell r="AJ28">
            <v>277.392</v>
          </cell>
          <cell r="AK28">
            <v>290.57</v>
          </cell>
          <cell r="AL28">
            <v>270.15199999999999</v>
          </cell>
          <cell r="AM28">
            <v>711.30799999999999</v>
          </cell>
          <cell r="AN28">
            <v>780.7</v>
          </cell>
          <cell r="AO28">
            <v>780.7</v>
          </cell>
          <cell r="AP28">
            <v>731.27099999999996</v>
          </cell>
          <cell r="AQ28">
            <v>691.40599999999995</v>
          </cell>
          <cell r="AR28">
            <v>811.01099999999997</v>
          </cell>
          <cell r="AS28">
            <v>822.851</v>
          </cell>
          <cell r="AT28">
            <v>822.851</v>
          </cell>
          <cell r="AU28">
            <v>804.17200000000003</v>
          </cell>
          <cell r="AV28">
            <v>728.053</v>
          </cell>
          <cell r="AW28">
            <v>870.64300000000003</v>
          </cell>
          <cell r="AX28">
            <v>817.56000000000006</v>
          </cell>
          <cell r="AY28">
            <v>817.56000000000006</v>
          </cell>
          <cell r="AZ28">
            <v>876.21800000000007</v>
          </cell>
          <cell r="BA28">
            <v>775.20400000000006</v>
          </cell>
          <cell r="BB28">
            <v>921.14200000000005</v>
          </cell>
          <cell r="BC28">
            <v>906.14799999999991</v>
          </cell>
          <cell r="BD28">
            <v>906.14799999999991</v>
          </cell>
          <cell r="BE28">
            <v>907.69199999999989</v>
          </cell>
          <cell r="BF28">
            <v>863.2109999999999</v>
          </cell>
          <cell r="BG28">
            <v>904.07799999999997</v>
          </cell>
          <cell r="BH28">
            <v>988.31500000000005</v>
          </cell>
          <cell r="BI28">
            <v>988.31500000000005</v>
          </cell>
          <cell r="BJ28">
            <v>997.61800000000005</v>
          </cell>
          <cell r="BK28">
            <v>962.05600000000004</v>
          </cell>
          <cell r="BL28">
            <v>961.91</v>
          </cell>
          <cell r="BM28">
            <v>961.91</v>
          </cell>
          <cell r="BN28">
            <v>961.91</v>
          </cell>
          <cell r="BO28">
            <v>961.91</v>
          </cell>
          <cell r="BP28">
            <v>961.91</v>
          </cell>
          <cell r="BQ28">
            <v>961.91</v>
          </cell>
          <cell r="BR28">
            <v>961.91</v>
          </cell>
          <cell r="BS28">
            <v>961.91</v>
          </cell>
          <cell r="BT28">
            <v>961.91</v>
          </cell>
          <cell r="BU28">
            <v>961.91</v>
          </cell>
          <cell r="BV28">
            <v>961.91</v>
          </cell>
          <cell r="BW28">
            <v>961.91</v>
          </cell>
          <cell r="BX28">
            <v>961.91</v>
          </cell>
          <cell r="BY28">
            <v>961.91</v>
          </cell>
          <cell r="BZ28">
            <v>961.91</v>
          </cell>
          <cell r="CA28">
            <v>961.91</v>
          </cell>
          <cell r="CB28">
            <v>961.91</v>
          </cell>
          <cell r="CC28">
            <v>961.91</v>
          </cell>
          <cell r="CD28">
            <v>961.91</v>
          </cell>
          <cell r="CE28">
            <v>961.91</v>
          </cell>
          <cell r="CF28">
            <v>961.91</v>
          </cell>
          <cell r="CG28">
            <v>961.91</v>
          </cell>
          <cell r="CH28">
            <v>961.91</v>
          </cell>
          <cell r="CL28" t="str">
            <v>mstag:accruedExpenses</v>
          </cell>
          <cell r="CM28">
            <v>6</v>
          </cell>
          <cell r="CN28" t="str">
            <v>ISO4217:USD</v>
          </cell>
          <cell r="CO28" t="b">
            <v>0</v>
          </cell>
          <cell r="CP28" t="b">
            <v>0</v>
          </cell>
        </row>
        <row r="29">
          <cell r="B29" t="str">
            <v>Income taxes payable</v>
          </cell>
          <cell r="E29">
            <v>0</v>
          </cell>
          <cell r="F29">
            <v>0</v>
          </cell>
          <cell r="G29">
            <v>9.9610000000000003</v>
          </cell>
          <cell r="H29">
            <v>16.998000000000001</v>
          </cell>
          <cell r="I29">
            <v>26.023</v>
          </cell>
          <cell r="J29">
            <v>2.3250000000000002</v>
          </cell>
          <cell r="K29">
            <v>2.3250000000000002</v>
          </cell>
          <cell r="L29">
            <v>21.216999999999999</v>
          </cell>
          <cell r="M29">
            <v>23.393999999999998</v>
          </cell>
          <cell r="N29">
            <v>32.332999999999998</v>
          </cell>
          <cell r="O29">
            <v>6.5590000000000002</v>
          </cell>
          <cell r="P29">
            <v>6.5590000000000002</v>
          </cell>
          <cell r="Q29">
            <v>22.148</v>
          </cell>
          <cell r="R29">
            <v>30.431000000000001</v>
          </cell>
          <cell r="S29">
            <v>50.16</v>
          </cell>
          <cell r="T29">
            <v>9.1259999999999994</v>
          </cell>
          <cell r="U29">
            <v>9.1259999999999994</v>
          </cell>
          <cell r="V29">
            <v>23.1</v>
          </cell>
          <cell r="W29">
            <v>46.82</v>
          </cell>
          <cell r="X29">
            <v>39.676000000000002</v>
          </cell>
          <cell r="Y29">
            <v>2.8069999999999999</v>
          </cell>
          <cell r="Z29">
            <v>2.8069999999999999</v>
          </cell>
          <cell r="AA29">
            <v>22.666</v>
          </cell>
          <cell r="AB29">
            <v>27.12</v>
          </cell>
          <cell r="AC29">
            <v>21.983000000000001</v>
          </cell>
          <cell r="AD29">
            <v>19.811</v>
          </cell>
          <cell r="AE29">
            <v>19.811</v>
          </cell>
          <cell r="AF29">
            <v>31.821999999999999</v>
          </cell>
          <cell r="AG29">
            <v>50.289000000000001</v>
          </cell>
          <cell r="AH29">
            <v>0</v>
          </cell>
          <cell r="AI29">
            <v>7.6260000000000003</v>
          </cell>
          <cell r="AJ29">
            <v>7.6260000000000003</v>
          </cell>
          <cell r="AK29">
            <v>25.524000000000001</v>
          </cell>
          <cell r="AL29">
            <v>49.01</v>
          </cell>
          <cell r="AM29">
            <v>0</v>
          </cell>
          <cell r="AN29">
            <v>0</v>
          </cell>
          <cell r="AO29">
            <v>0</v>
          </cell>
          <cell r="AP29">
            <v>0</v>
          </cell>
          <cell r="AQ29">
            <v>12.224</v>
          </cell>
          <cell r="AR29">
            <v>38.311999999999998</v>
          </cell>
          <cell r="AS29">
            <v>0</v>
          </cell>
          <cell r="AT29">
            <v>0</v>
          </cell>
          <cell r="AU29">
            <v>17.667999999999999</v>
          </cell>
          <cell r="AV29">
            <v>25.92</v>
          </cell>
          <cell r="AW29">
            <v>48.250999999999998</v>
          </cell>
          <cell r="AX29">
            <v>0</v>
          </cell>
          <cell r="AY29">
            <v>0</v>
          </cell>
          <cell r="AZ29">
            <v>0</v>
          </cell>
          <cell r="BA29">
            <v>0</v>
          </cell>
          <cell r="BB29">
            <v>0</v>
          </cell>
          <cell r="BC29">
            <v>0</v>
          </cell>
          <cell r="BD29">
            <v>0</v>
          </cell>
          <cell r="BE29">
            <v>0</v>
          </cell>
          <cell r="BF29">
            <v>0.34899999999999998</v>
          </cell>
          <cell r="BG29">
            <v>17.704999999999998</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L29" t="str">
            <v>mstag:incomeTaxPayable</v>
          </cell>
          <cell r="CM29">
            <v>6</v>
          </cell>
          <cell r="CN29" t="str">
            <v>ISO4217:USD</v>
          </cell>
          <cell r="CO29" t="b">
            <v>0</v>
          </cell>
          <cell r="CP29" t="b">
            <v>0</v>
          </cell>
        </row>
        <row r="30">
          <cell r="B30" t="str">
            <v>Total Current Liabilities</v>
          </cell>
          <cell r="E30">
            <v>235.27700000000002</v>
          </cell>
          <cell r="F30">
            <v>240.87300000000002</v>
          </cell>
          <cell r="G30">
            <v>235.227</v>
          </cell>
          <cell r="H30">
            <v>256.72300000000001</v>
          </cell>
          <cell r="I30">
            <v>280.51500000000004</v>
          </cell>
          <cell r="J30">
            <v>299.572</v>
          </cell>
          <cell r="K30">
            <v>299.572</v>
          </cell>
          <cell r="L30">
            <v>376.06700000000001</v>
          </cell>
          <cell r="M30">
            <v>310.56399999999996</v>
          </cell>
          <cell r="N30">
            <v>321.77300000000002</v>
          </cell>
          <cell r="O30">
            <v>318.43000000000006</v>
          </cell>
          <cell r="P30">
            <v>318.43000000000006</v>
          </cell>
          <cell r="Q30">
            <v>320.48100000000005</v>
          </cell>
          <cell r="R30">
            <v>334.71599999999995</v>
          </cell>
          <cell r="S30">
            <v>394.83600000000001</v>
          </cell>
          <cell r="T30">
            <v>398.06399999999996</v>
          </cell>
          <cell r="U30">
            <v>398.06399999999996</v>
          </cell>
          <cell r="V30">
            <v>378.04400000000004</v>
          </cell>
          <cell r="W30">
            <v>406.84399999999999</v>
          </cell>
          <cell r="X30">
            <v>419.60599999999999</v>
          </cell>
          <cell r="Y30">
            <v>362.35900000000004</v>
          </cell>
          <cell r="Z30">
            <v>362.35900000000004</v>
          </cell>
          <cell r="AA30">
            <v>422.81599999999997</v>
          </cell>
          <cell r="AB30">
            <v>436.02800000000002</v>
          </cell>
          <cell r="AC30">
            <v>440.334</v>
          </cell>
          <cell r="AD30">
            <v>437.40299999999996</v>
          </cell>
          <cell r="AE30">
            <v>437.40299999999996</v>
          </cell>
          <cell r="AF30">
            <v>472.596</v>
          </cell>
          <cell r="AG30">
            <v>533.78599999999994</v>
          </cell>
          <cell r="AH30">
            <v>546.81500000000005</v>
          </cell>
          <cell r="AI30">
            <v>575.28300000000002</v>
          </cell>
          <cell r="AJ30">
            <v>575.28300000000002</v>
          </cell>
          <cell r="AK30">
            <v>590.71600000000001</v>
          </cell>
          <cell r="AL30">
            <v>611.024</v>
          </cell>
          <cell r="AM30">
            <v>1389.508</v>
          </cell>
          <cell r="AN30">
            <v>1447.9349999999999</v>
          </cell>
          <cell r="AO30">
            <v>1447.9349999999999</v>
          </cell>
          <cell r="AP30">
            <v>1302.626</v>
          </cell>
          <cell r="AQ30">
            <v>1313.8779999999999</v>
          </cell>
          <cell r="AR30">
            <v>1428.8829999999998</v>
          </cell>
          <cell r="AS30">
            <v>1533.9699999999998</v>
          </cell>
          <cell r="AT30">
            <v>1533.9699999999998</v>
          </cell>
          <cell r="AU30">
            <v>1403.0079999999998</v>
          </cell>
          <cell r="AV30">
            <v>1460.2540000000001</v>
          </cell>
          <cell r="AW30">
            <v>1560.0980000000002</v>
          </cell>
          <cell r="AX30">
            <v>1457.796</v>
          </cell>
          <cell r="AY30">
            <v>1457.796</v>
          </cell>
          <cell r="AZ30">
            <v>1531.3290000000002</v>
          </cell>
          <cell r="BA30">
            <v>1501.248</v>
          </cell>
          <cell r="BB30">
            <v>1580.0040000000001</v>
          </cell>
          <cell r="BC30">
            <v>1642.04</v>
          </cell>
          <cell r="BD30">
            <v>1642.04</v>
          </cell>
          <cell r="BE30">
            <v>1605.8289999999997</v>
          </cell>
          <cell r="BF30">
            <v>1662.7419999999997</v>
          </cell>
          <cell r="BG30">
            <v>1703.1599999999999</v>
          </cell>
          <cell r="BH30">
            <v>1911.1390000000001</v>
          </cell>
          <cell r="BI30">
            <v>1911.1390000000001</v>
          </cell>
          <cell r="BJ30">
            <v>1996.4090000000001</v>
          </cell>
          <cell r="BK30">
            <v>1899.125</v>
          </cell>
          <cell r="BL30">
            <v>1981.223</v>
          </cell>
          <cell r="BM30">
            <v>1883.4674576363807</v>
          </cell>
          <cell r="BN30">
            <v>1883.4674576363807</v>
          </cell>
          <cell r="BO30">
            <v>1960.4167395942718</v>
          </cell>
          <cell r="BP30">
            <v>1889.4002802582268</v>
          </cell>
          <cell r="BQ30">
            <v>1956.2718720089456</v>
          </cell>
          <cell r="BR30">
            <v>1968.9967904717846</v>
          </cell>
          <cell r="BS30">
            <v>1968.9967904717846</v>
          </cell>
          <cell r="BT30">
            <v>2038.1894894006282</v>
          </cell>
          <cell r="BU30">
            <v>1957.0442759336386</v>
          </cell>
          <cell r="BV30">
            <v>2023.1458410770247</v>
          </cell>
          <cell r="BW30">
            <v>2030.3955656378353</v>
          </cell>
          <cell r="BX30">
            <v>2030.3955656378353</v>
          </cell>
          <cell r="BY30">
            <v>2100.1071464062611</v>
          </cell>
          <cell r="BZ30">
            <v>2015.1433400911178</v>
          </cell>
          <cell r="CA30">
            <v>2085.0025536448097</v>
          </cell>
          <cell r="CB30">
            <v>2092.7733455209168</v>
          </cell>
          <cell r="CC30">
            <v>2092.7733455209168</v>
          </cell>
          <cell r="CD30">
            <v>2154.5390762559932</v>
          </cell>
          <cell r="CE30">
            <v>2076.6569002321567</v>
          </cell>
          <cell r="CF30">
            <v>2150.3437277721723</v>
          </cell>
          <cell r="CG30">
            <v>2157.8105245421812</v>
          </cell>
          <cell r="CH30">
            <v>2157.8105245421812</v>
          </cell>
        </row>
        <row r="32">
          <cell r="B32" t="str">
            <v>Long-term debt</v>
          </cell>
          <cell r="E32">
            <v>1407.604</v>
          </cell>
          <cell r="F32">
            <v>1201.5899999999999</v>
          </cell>
          <cell r="G32">
            <v>1204.6099999999999</v>
          </cell>
          <cell r="H32">
            <v>1229.5070000000001</v>
          </cell>
          <cell r="I32">
            <v>1211.586</v>
          </cell>
          <cell r="J32">
            <v>980.08299999999997</v>
          </cell>
          <cell r="K32">
            <v>980.08299999999997</v>
          </cell>
          <cell r="L32">
            <v>1008.867</v>
          </cell>
          <cell r="M32">
            <v>1025.3599999999999</v>
          </cell>
          <cell r="N32">
            <v>1178.3389999999999</v>
          </cell>
          <cell r="O32">
            <v>1173.9290000000001</v>
          </cell>
          <cell r="P32">
            <v>1173.9290000000001</v>
          </cell>
          <cell r="Q32">
            <v>1252.67</v>
          </cell>
          <cell r="R32">
            <v>1168.1969999999999</v>
          </cell>
          <cell r="S32">
            <v>1371.097</v>
          </cell>
          <cell r="T32">
            <v>1444.981</v>
          </cell>
          <cell r="U32">
            <v>1444.981</v>
          </cell>
          <cell r="V32">
            <v>1441.2940000000001</v>
          </cell>
          <cell r="W32">
            <v>1353.7819999999999</v>
          </cell>
          <cell r="X32">
            <v>1760.518</v>
          </cell>
          <cell r="Y32">
            <v>1804.8679999999999</v>
          </cell>
          <cell r="Z32">
            <v>1804.8679999999999</v>
          </cell>
          <cell r="AA32">
            <v>1794.912</v>
          </cell>
          <cell r="AB32">
            <v>1791.221</v>
          </cell>
          <cell r="AC32">
            <v>1787.2929999999999</v>
          </cell>
          <cell r="AD32">
            <v>1648.5</v>
          </cell>
          <cell r="AE32">
            <v>1648.5</v>
          </cell>
          <cell r="AF32">
            <v>1516.269</v>
          </cell>
          <cell r="AG32">
            <v>1656.9829999999999</v>
          </cell>
          <cell r="AH32">
            <v>1786.3579999999999</v>
          </cell>
          <cell r="AI32">
            <v>1905.7809999999999</v>
          </cell>
          <cell r="AJ32">
            <v>1905.7809999999999</v>
          </cell>
          <cell r="AK32">
            <v>1900.8489999999999</v>
          </cell>
          <cell r="AL32">
            <v>1974.24</v>
          </cell>
          <cell r="AM32">
            <v>9083.3829999999998</v>
          </cell>
          <cell r="AN32">
            <v>9077.3670000000002</v>
          </cell>
          <cell r="AO32">
            <v>9077.3670000000002</v>
          </cell>
          <cell r="AP32">
            <v>8886.3549999999996</v>
          </cell>
          <cell r="AQ32">
            <v>8889.9150000000009</v>
          </cell>
          <cell r="AR32">
            <v>8888.7819999999992</v>
          </cell>
          <cell r="AS32">
            <v>8937.9840000000004</v>
          </cell>
          <cell r="AT32">
            <v>8937.9840000000004</v>
          </cell>
          <cell r="AU32">
            <v>9074.9519999999993</v>
          </cell>
          <cell r="AV32">
            <v>8883.81</v>
          </cell>
          <cell r="AW32">
            <v>8864.6980000000003</v>
          </cell>
          <cell r="AX32">
            <v>8844.6380000000008</v>
          </cell>
          <cell r="AY32">
            <v>8844.6380000000008</v>
          </cell>
          <cell r="AZ32">
            <v>8831.8490000000002</v>
          </cell>
          <cell r="BA32">
            <v>8819.1620000000003</v>
          </cell>
          <cell r="BB32">
            <v>8816.223</v>
          </cell>
          <cell r="BC32">
            <v>8808.3819999999996</v>
          </cell>
          <cell r="BD32">
            <v>8808.3819999999996</v>
          </cell>
          <cell r="BE32">
            <v>8794.1460000000006</v>
          </cell>
          <cell r="BF32">
            <v>8781.4429999999993</v>
          </cell>
          <cell r="BG32">
            <v>8768.6769999999997</v>
          </cell>
          <cell r="BH32">
            <v>8782.7980000000007</v>
          </cell>
          <cell r="BI32">
            <v>8782.7980000000007</v>
          </cell>
          <cell r="BJ32">
            <v>9243.616</v>
          </cell>
          <cell r="BK32">
            <v>9241.4889999999996</v>
          </cell>
          <cell r="BL32">
            <v>9472.8690000000006</v>
          </cell>
          <cell r="BM32">
            <v>9572.0629999999983</v>
          </cell>
          <cell r="BN32">
            <v>9572.0629999999983</v>
          </cell>
          <cell r="BO32">
            <v>9572.0629999999983</v>
          </cell>
          <cell r="BP32">
            <v>9572.0629999999983</v>
          </cell>
          <cell r="BQ32">
            <v>9572.0629999999983</v>
          </cell>
          <cell r="BR32">
            <v>9572.0629999999983</v>
          </cell>
          <cell r="BS32">
            <v>9572.0629999999983</v>
          </cell>
          <cell r="BT32">
            <v>9572.0629999999983</v>
          </cell>
          <cell r="BU32">
            <v>9572.0629999999983</v>
          </cell>
          <cell r="BV32">
            <v>9572.0629999999983</v>
          </cell>
          <cell r="BW32">
            <v>9572.0629999999983</v>
          </cell>
          <cell r="BX32">
            <v>9572.0629999999983</v>
          </cell>
          <cell r="BY32">
            <v>9572.0629999999983</v>
          </cell>
          <cell r="BZ32">
            <v>9572.0629999999983</v>
          </cell>
          <cell r="CA32">
            <v>9572.0629999999983</v>
          </cell>
          <cell r="CB32">
            <v>9572.0629999999983</v>
          </cell>
          <cell r="CC32">
            <v>9572.0629999999983</v>
          </cell>
          <cell r="CD32">
            <v>9572.0629999999983</v>
          </cell>
          <cell r="CE32">
            <v>9572.0629999999983</v>
          </cell>
          <cell r="CF32">
            <v>9572.0629999999983</v>
          </cell>
          <cell r="CG32">
            <v>9572.0629999999983</v>
          </cell>
          <cell r="CH32">
            <v>9572.0629999999983</v>
          </cell>
          <cell r="CL32" t="str">
            <v>mstag:longTermDebt</v>
          </cell>
          <cell r="CM32">
            <v>6</v>
          </cell>
          <cell r="CN32" t="str">
            <v>ISO4217:USD</v>
          </cell>
          <cell r="CO32" t="b">
            <v>0</v>
          </cell>
          <cell r="CP32" t="b">
            <v>0</v>
          </cell>
        </row>
        <row r="33">
          <cell r="B33" t="str">
            <v>Deferred income taxes</v>
          </cell>
          <cell r="E33">
            <v>0</v>
          </cell>
          <cell r="F33">
            <v>0</v>
          </cell>
          <cell r="G33">
            <v>0</v>
          </cell>
          <cell r="H33">
            <v>0</v>
          </cell>
          <cell r="I33">
            <v>0</v>
          </cell>
          <cell r="J33">
            <v>44.674999999999997</v>
          </cell>
          <cell r="K33">
            <v>44.674999999999997</v>
          </cell>
          <cell r="L33">
            <v>44.674999999999997</v>
          </cell>
          <cell r="M33">
            <v>0</v>
          </cell>
          <cell r="N33">
            <v>0</v>
          </cell>
          <cell r="O33">
            <v>65.12</v>
          </cell>
          <cell r="P33">
            <v>65.12</v>
          </cell>
          <cell r="Q33">
            <v>65.12</v>
          </cell>
          <cell r="R33">
            <v>65.295000000000002</v>
          </cell>
          <cell r="S33">
            <v>65.295000000000002</v>
          </cell>
          <cell r="T33">
            <v>110.34099999999999</v>
          </cell>
          <cell r="U33">
            <v>110.34099999999999</v>
          </cell>
          <cell r="V33">
            <v>110.34099999999999</v>
          </cell>
          <cell r="W33">
            <v>110.34099999999999</v>
          </cell>
          <cell r="X33">
            <v>110.34099999999999</v>
          </cell>
          <cell r="Y33">
            <v>142.26</v>
          </cell>
          <cell r="Z33">
            <v>142.26</v>
          </cell>
          <cell r="AA33">
            <v>142.26</v>
          </cell>
          <cell r="AB33">
            <v>142.26</v>
          </cell>
          <cell r="AC33">
            <v>142.26</v>
          </cell>
          <cell r="AD33">
            <v>157.57900000000001</v>
          </cell>
          <cell r="AE33">
            <v>157.57900000000001</v>
          </cell>
          <cell r="AF33">
            <v>157.57900000000001</v>
          </cell>
          <cell r="AG33">
            <v>157.57900000000001</v>
          </cell>
          <cell r="AH33">
            <v>157.57900000000001</v>
          </cell>
          <cell r="AI33">
            <v>141.47200000000001</v>
          </cell>
          <cell r="AJ33">
            <v>141.47200000000001</v>
          </cell>
          <cell r="AK33">
            <v>141.47200000000001</v>
          </cell>
          <cell r="AL33">
            <v>141.47200000000001</v>
          </cell>
          <cell r="AM33">
            <v>329.40899999999999</v>
          </cell>
          <cell r="AN33">
            <v>407.947</v>
          </cell>
          <cell r="AO33">
            <v>407.947</v>
          </cell>
          <cell r="AP33">
            <v>407.947</v>
          </cell>
          <cell r="AQ33">
            <v>429.93400000000003</v>
          </cell>
          <cell r="AR33">
            <v>433.00900000000001</v>
          </cell>
          <cell r="AS33">
            <v>460.79300000000001</v>
          </cell>
          <cell r="AT33">
            <v>460.79300000000001</v>
          </cell>
          <cell r="AU33">
            <v>461.09800000000001</v>
          </cell>
          <cell r="AV33">
            <v>461.09800000000001</v>
          </cell>
          <cell r="AW33">
            <v>461.09800000000001</v>
          </cell>
          <cell r="AX33">
            <v>475.81200000000001</v>
          </cell>
          <cell r="AY33">
            <v>475.81200000000001</v>
          </cell>
          <cell r="AZ33">
            <v>474.74799999999999</v>
          </cell>
          <cell r="BA33">
            <v>474.74799999999999</v>
          </cell>
          <cell r="BB33">
            <v>474.74799999999999</v>
          </cell>
          <cell r="BC33">
            <v>608.17700000000002</v>
          </cell>
          <cell r="BD33">
            <v>608.17700000000002</v>
          </cell>
          <cell r="BE33">
            <v>608.17700000000002</v>
          </cell>
          <cell r="BF33">
            <v>608.17700000000002</v>
          </cell>
          <cell r="BG33">
            <v>608.17700000000002</v>
          </cell>
          <cell r="BH33">
            <v>704.72500000000002</v>
          </cell>
          <cell r="BI33">
            <v>704.72500000000002</v>
          </cell>
          <cell r="BJ33">
            <v>704.72500000000002</v>
          </cell>
          <cell r="BK33">
            <v>704.72500000000002</v>
          </cell>
          <cell r="BL33">
            <v>704.72500000000002</v>
          </cell>
          <cell r="BM33">
            <v>704.72500000000002</v>
          </cell>
          <cell r="BN33">
            <v>704.72500000000002</v>
          </cell>
          <cell r="BO33">
            <v>704.72500000000002</v>
          </cell>
          <cell r="BP33">
            <v>704.72500000000002</v>
          </cell>
          <cell r="BQ33">
            <v>704.72500000000002</v>
          </cell>
          <cell r="BR33">
            <v>704.72500000000002</v>
          </cell>
          <cell r="BS33">
            <v>704.72500000000002</v>
          </cell>
          <cell r="BT33">
            <v>704.72500000000002</v>
          </cell>
          <cell r="BU33">
            <v>704.72500000000002</v>
          </cell>
          <cell r="BV33">
            <v>704.72500000000002</v>
          </cell>
          <cell r="BW33">
            <v>704.72500000000002</v>
          </cell>
          <cell r="BX33">
            <v>704.72500000000002</v>
          </cell>
          <cell r="BY33">
            <v>704.72500000000002</v>
          </cell>
          <cell r="BZ33">
            <v>704.72500000000002</v>
          </cell>
          <cell r="CA33">
            <v>704.72500000000002</v>
          </cell>
          <cell r="CB33">
            <v>704.72500000000002</v>
          </cell>
          <cell r="CC33">
            <v>704.72500000000002</v>
          </cell>
          <cell r="CD33">
            <v>704.72500000000002</v>
          </cell>
          <cell r="CE33">
            <v>704.72500000000002</v>
          </cell>
          <cell r="CF33">
            <v>704.72500000000002</v>
          </cell>
          <cell r="CG33">
            <v>704.72500000000002</v>
          </cell>
          <cell r="CH33">
            <v>704.72500000000002</v>
          </cell>
          <cell r="CL33" t="str">
            <v>mstag:deferredTaxLiabilitiesNonCurrent</v>
          </cell>
          <cell r="CM33">
            <v>6</v>
          </cell>
          <cell r="CN33" t="str">
            <v>ISO4217:USD</v>
          </cell>
          <cell r="CO33" t="b">
            <v>0</v>
          </cell>
          <cell r="CP33" t="b">
            <v>0</v>
          </cell>
        </row>
        <row r="34">
          <cell r="B34" t="str">
            <v>Other long-term liabilities</v>
          </cell>
          <cell r="E34">
            <v>22.495000000000001</v>
          </cell>
          <cell r="F34">
            <v>15.2</v>
          </cell>
          <cell r="G34">
            <v>15.127000000000001</v>
          </cell>
          <cell r="H34">
            <v>14.015000000000001</v>
          </cell>
          <cell r="I34">
            <v>12.882</v>
          </cell>
          <cell r="J34">
            <v>20.669</v>
          </cell>
          <cell r="K34">
            <v>20.669</v>
          </cell>
          <cell r="L34">
            <v>20.722999999999999</v>
          </cell>
          <cell r="M34">
            <v>72.704999999999998</v>
          </cell>
          <cell r="N34">
            <v>81.745999999999995</v>
          </cell>
          <cell r="O34">
            <v>37.712000000000003</v>
          </cell>
          <cell r="P34">
            <v>37.712000000000003</v>
          </cell>
          <cell r="Q34">
            <v>45.972999999999999</v>
          </cell>
          <cell r="R34">
            <v>47.454999999999998</v>
          </cell>
          <cell r="S34">
            <v>49.485999999999997</v>
          </cell>
          <cell r="T34">
            <v>46.235999999999997</v>
          </cell>
          <cell r="U34">
            <v>46.235999999999997</v>
          </cell>
          <cell r="V34">
            <v>62.709000000000003</v>
          </cell>
          <cell r="W34">
            <v>65.195999999999998</v>
          </cell>
          <cell r="X34">
            <v>58.468000000000004</v>
          </cell>
          <cell r="Y34">
            <v>83.13</v>
          </cell>
          <cell r="Z34">
            <v>83.13</v>
          </cell>
          <cell r="AA34">
            <v>99.716999999999999</v>
          </cell>
          <cell r="AB34">
            <v>115.54</v>
          </cell>
          <cell r="AC34">
            <v>123.357</v>
          </cell>
          <cell r="AD34">
            <v>126.15900000000001</v>
          </cell>
          <cell r="AE34">
            <v>126.15900000000001</v>
          </cell>
          <cell r="AF34">
            <v>139.81800000000001</v>
          </cell>
          <cell r="AG34">
            <v>132.01300000000001</v>
          </cell>
          <cell r="AH34">
            <v>144.221</v>
          </cell>
          <cell r="AI34">
            <v>160.37</v>
          </cell>
          <cell r="AJ34">
            <v>160.37</v>
          </cell>
          <cell r="AK34">
            <v>195.429</v>
          </cell>
          <cell r="AL34">
            <v>205.40799999999999</v>
          </cell>
          <cell r="AM34">
            <v>416.53</v>
          </cell>
          <cell r="AN34">
            <v>483.459</v>
          </cell>
          <cell r="AO34">
            <v>483.459</v>
          </cell>
          <cell r="AP34">
            <v>679.72199999999998</v>
          </cell>
          <cell r="AQ34">
            <v>571.08500000000004</v>
          </cell>
          <cell r="AR34">
            <v>617.35</v>
          </cell>
          <cell r="AS34">
            <v>887.44500000000005</v>
          </cell>
          <cell r="AT34">
            <v>887.44500000000005</v>
          </cell>
          <cell r="AU34">
            <v>890.23699999999997</v>
          </cell>
          <cell r="AV34">
            <v>825.47299999999996</v>
          </cell>
          <cell r="AW34">
            <v>873.58699999999999</v>
          </cell>
          <cell r="AX34">
            <v>858.952</v>
          </cell>
          <cell r="AY34">
            <v>858.952</v>
          </cell>
          <cell r="AZ34">
            <v>887.34</v>
          </cell>
          <cell r="BA34">
            <v>966.28800000000001</v>
          </cell>
          <cell r="BB34">
            <v>1038.229</v>
          </cell>
          <cell r="BC34">
            <v>1001.675</v>
          </cell>
          <cell r="BD34">
            <v>1001.675</v>
          </cell>
          <cell r="BE34">
            <v>952.40599999999995</v>
          </cell>
          <cell r="BF34">
            <v>1026.069</v>
          </cell>
          <cell r="BG34">
            <v>975.16300000000001</v>
          </cell>
          <cell r="BH34">
            <v>949.99</v>
          </cell>
          <cell r="BI34">
            <v>949.99</v>
          </cell>
          <cell r="BJ34">
            <v>986.02200000000005</v>
          </cell>
          <cell r="BK34">
            <v>998.98400000000004</v>
          </cell>
          <cell r="BL34">
            <v>999.08</v>
          </cell>
          <cell r="BM34">
            <v>999.08</v>
          </cell>
          <cell r="BN34">
            <v>999.08</v>
          </cell>
          <cell r="BO34">
            <v>999.08</v>
          </cell>
          <cell r="BP34">
            <v>999.08</v>
          </cell>
          <cell r="BQ34">
            <v>999.08</v>
          </cell>
          <cell r="BR34">
            <v>999.08</v>
          </cell>
          <cell r="BS34">
            <v>999.08</v>
          </cell>
          <cell r="BT34">
            <v>999.08</v>
          </cell>
          <cell r="BU34">
            <v>999.08</v>
          </cell>
          <cell r="BV34">
            <v>999.08</v>
          </cell>
          <cell r="BW34">
            <v>999.08</v>
          </cell>
          <cell r="BX34">
            <v>999.08</v>
          </cell>
          <cell r="BY34">
            <v>999.08</v>
          </cell>
          <cell r="BZ34">
            <v>999.08</v>
          </cell>
          <cell r="CA34">
            <v>999.08</v>
          </cell>
          <cell r="CB34">
            <v>999.08</v>
          </cell>
          <cell r="CC34">
            <v>999.08</v>
          </cell>
          <cell r="CD34">
            <v>999.08</v>
          </cell>
          <cell r="CE34">
            <v>999.08</v>
          </cell>
          <cell r="CF34">
            <v>999.08</v>
          </cell>
          <cell r="CG34">
            <v>999.08</v>
          </cell>
          <cell r="CH34">
            <v>999.08</v>
          </cell>
          <cell r="CL34" t="str">
            <v>mstag:otherLiabilitiesOperatingNonCurrent</v>
          </cell>
          <cell r="CM34">
            <v>6</v>
          </cell>
          <cell r="CN34" t="str">
            <v>ISO4217:USD</v>
          </cell>
          <cell r="CO34" t="b">
            <v>0</v>
          </cell>
          <cell r="CP34" t="b">
            <v>0</v>
          </cell>
        </row>
        <row r="35">
          <cell r="B35" t="str">
            <v>Total Liabilities</v>
          </cell>
          <cell r="E35">
            <v>1665.376</v>
          </cell>
          <cell r="F35">
            <v>1457.663</v>
          </cell>
          <cell r="G35">
            <v>1454.9639999999999</v>
          </cell>
          <cell r="H35">
            <v>1500.2450000000001</v>
          </cell>
          <cell r="I35">
            <v>1504.9830000000002</v>
          </cell>
          <cell r="J35">
            <v>1344.999</v>
          </cell>
          <cell r="K35">
            <v>1344.999</v>
          </cell>
          <cell r="L35">
            <v>1450.3319999999999</v>
          </cell>
          <cell r="M35">
            <v>1408.6289999999999</v>
          </cell>
          <cell r="N35">
            <v>1581.8580000000002</v>
          </cell>
          <cell r="O35">
            <v>1595.1910000000003</v>
          </cell>
          <cell r="P35">
            <v>1595.1910000000003</v>
          </cell>
          <cell r="Q35">
            <v>1684.2440000000001</v>
          </cell>
          <cell r="R35">
            <v>1615.6629999999998</v>
          </cell>
          <cell r="S35">
            <v>1880.7140000000002</v>
          </cell>
          <cell r="T35">
            <v>1999.6220000000001</v>
          </cell>
          <cell r="U35">
            <v>1999.6220000000001</v>
          </cell>
          <cell r="V35">
            <v>1992.3880000000001</v>
          </cell>
          <cell r="W35">
            <v>1936.1629999999998</v>
          </cell>
          <cell r="X35">
            <v>2348.9329999999995</v>
          </cell>
          <cell r="Y35">
            <v>2392.6170000000002</v>
          </cell>
          <cell r="Z35">
            <v>2392.6170000000002</v>
          </cell>
          <cell r="AA35">
            <v>2459.7050000000004</v>
          </cell>
          <cell r="AB35">
            <v>2485.049</v>
          </cell>
          <cell r="AC35">
            <v>2493.2439999999997</v>
          </cell>
          <cell r="AD35">
            <v>2369.6410000000001</v>
          </cell>
          <cell r="AE35">
            <v>2369.6410000000001</v>
          </cell>
          <cell r="AF35">
            <v>2286.2620000000002</v>
          </cell>
          <cell r="AG35">
            <v>2480.3609999999999</v>
          </cell>
          <cell r="AH35">
            <v>2634.973</v>
          </cell>
          <cell r="AI35">
            <v>2782.9059999999999</v>
          </cell>
          <cell r="AJ35">
            <v>2782.9059999999999</v>
          </cell>
          <cell r="AK35">
            <v>2828.4660000000003</v>
          </cell>
          <cell r="AL35">
            <v>2932.1440000000002</v>
          </cell>
          <cell r="AM35">
            <v>11218.83</v>
          </cell>
          <cell r="AN35">
            <v>11416.708000000001</v>
          </cell>
          <cell r="AO35">
            <v>11416.708000000001</v>
          </cell>
          <cell r="AP35">
            <v>11276.65</v>
          </cell>
          <cell r="AQ35">
            <v>11204.812000000002</v>
          </cell>
          <cell r="AR35">
            <v>11368.023999999999</v>
          </cell>
          <cell r="AS35">
            <v>11820.191999999999</v>
          </cell>
          <cell r="AT35">
            <v>11820.191999999999</v>
          </cell>
          <cell r="AU35">
            <v>11829.294999999998</v>
          </cell>
          <cell r="AV35">
            <v>11630.635</v>
          </cell>
          <cell r="AW35">
            <v>11759.481</v>
          </cell>
          <cell r="AX35">
            <v>11637.198</v>
          </cell>
          <cell r="AY35">
            <v>11637.198</v>
          </cell>
          <cell r="AZ35">
            <v>11725.266</v>
          </cell>
          <cell r="BA35">
            <v>11761.446</v>
          </cell>
          <cell r="BB35">
            <v>11909.204</v>
          </cell>
          <cell r="BC35">
            <v>12060.273999999998</v>
          </cell>
          <cell r="BD35">
            <v>12060.273999999998</v>
          </cell>
          <cell r="BE35">
            <v>11960.558000000001</v>
          </cell>
          <cell r="BF35">
            <v>12078.430999999999</v>
          </cell>
          <cell r="BG35">
            <v>12055.177</v>
          </cell>
          <cell r="BH35">
            <v>12348.652000000002</v>
          </cell>
          <cell r="BI35">
            <v>12348.652000000002</v>
          </cell>
          <cell r="BJ35">
            <v>12930.772000000001</v>
          </cell>
          <cell r="BK35">
            <v>12844.323</v>
          </cell>
          <cell r="BL35">
            <v>13157.897000000001</v>
          </cell>
          <cell r="BM35">
            <v>13159.33545763638</v>
          </cell>
          <cell r="BN35">
            <v>13159.33545763638</v>
          </cell>
          <cell r="BO35">
            <v>13236.28473959427</v>
          </cell>
          <cell r="BP35">
            <v>13165.268280258226</v>
          </cell>
          <cell r="BQ35">
            <v>13232.139872008944</v>
          </cell>
          <cell r="BR35">
            <v>13244.864790471784</v>
          </cell>
          <cell r="BS35">
            <v>13244.864790471784</v>
          </cell>
          <cell r="BT35">
            <v>13314.057489400628</v>
          </cell>
          <cell r="BU35">
            <v>13232.912275933637</v>
          </cell>
          <cell r="BV35">
            <v>13299.013841077023</v>
          </cell>
          <cell r="BW35">
            <v>13306.263565637833</v>
          </cell>
          <cell r="BX35">
            <v>13306.263565637833</v>
          </cell>
          <cell r="BY35">
            <v>13375.975146406259</v>
          </cell>
          <cell r="BZ35">
            <v>13291.011340091116</v>
          </cell>
          <cell r="CA35">
            <v>13360.870553644809</v>
          </cell>
          <cell r="CB35">
            <v>13368.641345520915</v>
          </cell>
          <cell r="CC35">
            <v>13368.641345520915</v>
          </cell>
          <cell r="CD35">
            <v>13430.407076255991</v>
          </cell>
          <cell r="CE35">
            <v>13352.524900232154</v>
          </cell>
          <cell r="CF35">
            <v>13426.21172777217</v>
          </cell>
          <cell r="CG35">
            <v>13433.67852454218</v>
          </cell>
          <cell r="CH35">
            <v>13433.67852454218</v>
          </cell>
        </row>
        <row r="37">
          <cell r="B37" t="str">
            <v>Redeemable noncontrolling interests in equity</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372.95400000000001</v>
          </cell>
          <cell r="AN37">
            <v>366.13099999999997</v>
          </cell>
          <cell r="AO37">
            <v>366.13099999999997</v>
          </cell>
          <cell r="AP37">
            <v>384.12900000000002</v>
          </cell>
          <cell r="AQ37">
            <v>320.58699999999999</v>
          </cell>
          <cell r="AR37">
            <v>343.47199999999998</v>
          </cell>
          <cell r="AS37">
            <v>325.197</v>
          </cell>
          <cell r="AT37">
            <v>325.197</v>
          </cell>
          <cell r="AU37">
            <v>306.94200000000001</v>
          </cell>
          <cell r="AV37">
            <v>323.99400000000003</v>
          </cell>
          <cell r="AW37">
            <v>335.01900000000001</v>
          </cell>
          <cell r="AX37">
            <v>368.85700000000003</v>
          </cell>
          <cell r="AY37">
            <v>368.85700000000003</v>
          </cell>
          <cell r="AZ37">
            <v>374.48599999999999</v>
          </cell>
          <cell r="BA37">
            <v>388.38499999999999</v>
          </cell>
          <cell r="BB37">
            <v>384.05599999999998</v>
          </cell>
          <cell r="BC37">
            <v>387.47199999999998</v>
          </cell>
          <cell r="BD37">
            <v>387.47199999999998</v>
          </cell>
          <cell r="BE37">
            <v>385.43799999999999</v>
          </cell>
          <cell r="BF37">
            <v>376.65800000000002</v>
          </cell>
          <cell r="BG37">
            <v>383.745</v>
          </cell>
          <cell r="BH37">
            <v>395.74299999999999</v>
          </cell>
          <cell r="BI37">
            <v>395.74299999999999</v>
          </cell>
          <cell r="BJ37">
            <v>363.54</v>
          </cell>
          <cell r="BK37">
            <v>367.90899999999999</v>
          </cell>
          <cell r="BL37">
            <v>370.51400000000001</v>
          </cell>
          <cell r="BM37">
            <v>385.31437775755984</v>
          </cell>
          <cell r="BN37">
            <v>385.31437775755984</v>
          </cell>
          <cell r="BO37">
            <v>401.08676582349005</v>
          </cell>
          <cell r="BP37">
            <v>417.01637746764402</v>
          </cell>
          <cell r="BQ37">
            <v>432.72969162195022</v>
          </cell>
          <cell r="BR37">
            <v>448.44109745571456</v>
          </cell>
          <cell r="BS37">
            <v>448.44109745571456</v>
          </cell>
          <cell r="BT37">
            <v>463.54829202287328</v>
          </cell>
          <cell r="BU37">
            <v>478.77652484795999</v>
          </cell>
          <cell r="BV37">
            <v>493.71748244958007</v>
          </cell>
          <cell r="BW37">
            <v>508.57570300563032</v>
          </cell>
          <cell r="BX37">
            <v>508.57570300563032</v>
          </cell>
          <cell r="BY37">
            <v>524.23007604080783</v>
          </cell>
          <cell r="BZ37">
            <v>540.03882520630077</v>
          </cell>
          <cell r="CA37">
            <v>555.55914134663726</v>
          </cell>
          <cell r="CB37">
            <v>571.03839511953936</v>
          </cell>
          <cell r="CC37">
            <v>571.03839511953936</v>
          </cell>
          <cell r="CD37">
            <v>587.35510090549292</v>
          </cell>
          <cell r="CE37">
            <v>603.82302407082079</v>
          </cell>
          <cell r="CF37">
            <v>619.99596376423733</v>
          </cell>
          <cell r="CG37">
            <v>636.09709811817879</v>
          </cell>
          <cell r="CH37">
            <v>636.09709811817879</v>
          </cell>
          <cell r="CL37" t="str">
            <v>mstag:minorityInterestsInEquity</v>
          </cell>
          <cell r="CM37">
            <v>6</v>
          </cell>
          <cell r="CN37" t="str">
            <v>ISO4217:USD</v>
          </cell>
          <cell r="CO37" t="b">
            <v>0</v>
          </cell>
          <cell r="CP37" t="b">
            <v>0</v>
          </cell>
        </row>
        <row r="39">
          <cell r="B39" t="str">
            <v xml:space="preserve">Common stock </v>
          </cell>
          <cell r="E39">
            <v>0.56599999999999995</v>
          </cell>
          <cell r="F39">
            <v>0.871</v>
          </cell>
          <cell r="G39">
            <v>0.871</v>
          </cell>
          <cell r="H39">
            <v>0.873</v>
          </cell>
          <cell r="I39">
            <v>0.874</v>
          </cell>
          <cell r="J39">
            <v>0.99399999999999999</v>
          </cell>
          <cell r="K39">
            <v>0.99399999999999999</v>
          </cell>
          <cell r="L39">
            <v>0.99399999999999999</v>
          </cell>
          <cell r="M39">
            <v>0.998</v>
          </cell>
          <cell r="N39">
            <v>0.998</v>
          </cell>
          <cell r="O39">
            <v>0.998</v>
          </cell>
          <cell r="P39">
            <v>0.998</v>
          </cell>
          <cell r="Q39">
            <v>0.99199999999999999</v>
          </cell>
          <cell r="R39">
            <v>0.995</v>
          </cell>
          <cell r="S39">
            <v>0.995</v>
          </cell>
          <cell r="T39">
            <v>0.997</v>
          </cell>
          <cell r="U39">
            <v>0.997</v>
          </cell>
          <cell r="V39">
            <v>0.997</v>
          </cell>
          <cell r="W39">
            <v>1</v>
          </cell>
          <cell r="X39">
            <v>0.88200000000000001</v>
          </cell>
          <cell r="Y39">
            <v>0.88600000000000001</v>
          </cell>
          <cell r="Z39">
            <v>0.88600000000000001</v>
          </cell>
          <cell r="AA39">
            <v>0.90100000000000002</v>
          </cell>
          <cell r="AB39">
            <v>0.91200000000000003</v>
          </cell>
          <cell r="AC39">
            <v>0.89500000000000002</v>
          </cell>
          <cell r="AD39">
            <v>0.94499999999999995</v>
          </cell>
          <cell r="AE39">
            <v>0.94499999999999995</v>
          </cell>
          <cell r="AF39">
            <v>0.99399999999999999</v>
          </cell>
          <cell r="AG39">
            <v>0.95799999999999996</v>
          </cell>
          <cell r="AH39">
            <v>0.96099999999999997</v>
          </cell>
          <cell r="AI39">
            <v>0.95</v>
          </cell>
          <cell r="AJ39">
            <v>0.95</v>
          </cell>
          <cell r="AK39">
            <v>0.95699999999999996</v>
          </cell>
          <cell r="AL39">
            <v>0.95899999999999996</v>
          </cell>
          <cell r="AM39">
            <v>0.96599999999999997</v>
          </cell>
          <cell r="AN39">
            <v>0.96599999999999997</v>
          </cell>
          <cell r="AO39">
            <v>0.96599999999999997</v>
          </cell>
          <cell r="AP39">
            <v>0.97199999999999998</v>
          </cell>
          <cell r="AQ39">
            <v>0.96899999999999997</v>
          </cell>
          <cell r="AR39">
            <v>0.96699999999999997</v>
          </cell>
          <cell r="AS39">
            <v>0.92500000000000004</v>
          </cell>
          <cell r="AT39">
            <v>0.92500000000000004</v>
          </cell>
          <cell r="AU39">
            <v>0.93400000000000005</v>
          </cell>
          <cell r="AV39">
            <v>0.93700000000000006</v>
          </cell>
          <cell r="AW39">
            <v>0.93899999999999995</v>
          </cell>
          <cell r="AX39">
            <v>0.94</v>
          </cell>
          <cell r="AY39">
            <v>0.94</v>
          </cell>
          <cell r="AZ39">
            <v>0.95699999999999996</v>
          </cell>
          <cell r="BA39">
            <v>0.96499999999999997</v>
          </cell>
          <cell r="BB39">
            <v>0.93700000000000006</v>
          </cell>
          <cell r="BC39">
            <v>0.93600000000000005</v>
          </cell>
          <cell r="BD39">
            <v>0.93600000000000005</v>
          </cell>
          <cell r="BE39">
            <v>0.94899999999999995</v>
          </cell>
          <cell r="BF39">
            <v>0.93200000000000005</v>
          </cell>
          <cell r="BG39">
            <v>0.91800000000000004</v>
          </cell>
          <cell r="BH39">
            <v>0.91500000000000004</v>
          </cell>
          <cell r="BI39">
            <v>0.91500000000000004</v>
          </cell>
          <cell r="BJ39">
            <v>0.91900000000000004</v>
          </cell>
          <cell r="BK39">
            <v>0.91900000000000004</v>
          </cell>
          <cell r="BL39">
            <v>0.92200000000000004</v>
          </cell>
          <cell r="BM39">
            <v>0.92200000000000004</v>
          </cell>
          <cell r="BN39">
            <v>0.92200000000000004</v>
          </cell>
          <cell r="BO39">
            <v>0.92200000000000004</v>
          </cell>
          <cell r="BP39">
            <v>0.92200000000000004</v>
          </cell>
          <cell r="BQ39">
            <v>0.92200000000000004</v>
          </cell>
          <cell r="BR39">
            <v>0.92200000000000004</v>
          </cell>
          <cell r="BS39">
            <v>0.92200000000000004</v>
          </cell>
          <cell r="BT39">
            <v>0.92200000000000004</v>
          </cell>
          <cell r="BU39">
            <v>0.92200000000000004</v>
          </cell>
          <cell r="BV39">
            <v>0.92200000000000004</v>
          </cell>
          <cell r="BW39">
            <v>0.92200000000000004</v>
          </cell>
          <cell r="BX39">
            <v>0.92200000000000004</v>
          </cell>
          <cell r="BY39">
            <v>0.92200000000000004</v>
          </cell>
          <cell r="BZ39">
            <v>0.92200000000000004</v>
          </cell>
          <cell r="CA39">
            <v>0.92200000000000004</v>
          </cell>
          <cell r="CB39">
            <v>0.92200000000000004</v>
          </cell>
          <cell r="CC39">
            <v>0.92200000000000004</v>
          </cell>
          <cell r="CD39">
            <v>0.92200000000000004</v>
          </cell>
          <cell r="CE39">
            <v>0.92200000000000004</v>
          </cell>
          <cell r="CF39">
            <v>0.92200000000000004</v>
          </cell>
          <cell r="CG39">
            <v>0.92200000000000004</v>
          </cell>
          <cell r="CH39">
            <v>0.92200000000000004</v>
          </cell>
          <cell r="CL39" t="str">
            <v>mstag:commonStock</v>
          </cell>
          <cell r="CM39">
            <v>6</v>
          </cell>
          <cell r="CN39" t="str">
            <v>ISO4217:USD</v>
          </cell>
          <cell r="CO39" t="b">
            <v>0</v>
          </cell>
          <cell r="CP39" t="b">
            <v>0</v>
          </cell>
        </row>
        <row r="40">
          <cell r="B40" t="str">
            <v>Additional paid-in capital</v>
          </cell>
          <cell r="E40">
            <v>483.23700000000002</v>
          </cell>
          <cell r="F40">
            <v>998.09199999999998</v>
          </cell>
          <cell r="G40">
            <v>998.09900000000005</v>
          </cell>
          <cell r="H40">
            <v>1001.204</v>
          </cell>
          <cell r="I40">
            <v>1004.93</v>
          </cell>
          <cell r="J40">
            <v>1311.8910000000001</v>
          </cell>
          <cell r="K40">
            <v>1311.8910000000001</v>
          </cell>
          <cell r="L40">
            <v>1311.9639999999999</v>
          </cell>
          <cell r="M40">
            <v>1317.3520000000001</v>
          </cell>
          <cell r="N40">
            <v>1318.992</v>
          </cell>
          <cell r="O40">
            <v>1319.37</v>
          </cell>
          <cell r="P40">
            <v>1319.37</v>
          </cell>
          <cell r="Q40">
            <v>1309.1969999999999</v>
          </cell>
          <cell r="R40">
            <v>1313.1030000000001</v>
          </cell>
          <cell r="S40">
            <v>1312.2860000000001</v>
          </cell>
          <cell r="T40">
            <v>1315.9590000000001</v>
          </cell>
          <cell r="U40">
            <v>1315.9590000000001</v>
          </cell>
          <cell r="V40">
            <v>1317.3389999999999</v>
          </cell>
          <cell r="W40">
            <v>1324.7650000000001</v>
          </cell>
          <cell r="X40">
            <v>1037.1959999999999</v>
          </cell>
          <cell r="Y40">
            <v>1047.8879999999999</v>
          </cell>
          <cell r="Z40">
            <v>1047.8879999999999</v>
          </cell>
          <cell r="AA40">
            <v>1085.441</v>
          </cell>
          <cell r="AB40">
            <v>1109.0519999999999</v>
          </cell>
          <cell r="AC40">
            <v>1046.1980000000001</v>
          </cell>
          <cell r="AD40">
            <v>1208.93</v>
          </cell>
          <cell r="AE40">
            <v>1208.93</v>
          </cell>
          <cell r="AF40">
            <v>1334.789</v>
          </cell>
          <cell r="AG40">
            <v>1215.4949999999999</v>
          </cell>
          <cell r="AH40">
            <v>1226.854</v>
          </cell>
          <cell r="AI40">
            <v>1195.9469999999999</v>
          </cell>
          <cell r="AJ40">
            <v>1195.9469999999999</v>
          </cell>
          <cell r="AK40">
            <v>1202.4760000000001</v>
          </cell>
          <cell r="AL40">
            <v>1215.3209999999999</v>
          </cell>
          <cell r="AM40">
            <v>1227.623</v>
          </cell>
          <cell r="AN40">
            <v>1240.308</v>
          </cell>
          <cell r="AO40">
            <v>1240.308</v>
          </cell>
          <cell r="AP40">
            <v>1247.241</v>
          </cell>
          <cell r="AQ40">
            <v>1251.7460000000001</v>
          </cell>
          <cell r="AR40">
            <v>1258.6369999999999</v>
          </cell>
          <cell r="AS40">
            <v>1197.944</v>
          </cell>
          <cell r="AT40">
            <v>1197.944</v>
          </cell>
          <cell r="AU40">
            <v>1153.498</v>
          </cell>
          <cell r="AV40">
            <v>1168.125</v>
          </cell>
          <cell r="AW40">
            <v>1164.2380000000001</v>
          </cell>
          <cell r="AX40">
            <v>1158.3589999999999</v>
          </cell>
          <cell r="AY40">
            <v>1158.3589999999999</v>
          </cell>
          <cell r="AZ40">
            <v>1183.306</v>
          </cell>
          <cell r="BA40">
            <v>1208.7819999999999</v>
          </cell>
          <cell r="BB40">
            <v>1126.498</v>
          </cell>
          <cell r="BC40">
            <v>1126.751</v>
          </cell>
          <cell r="BD40">
            <v>1126.751</v>
          </cell>
          <cell r="BE40">
            <v>1149.002</v>
          </cell>
          <cell r="BF40">
            <v>1119.2049999999999</v>
          </cell>
          <cell r="BG40">
            <v>1084.415</v>
          </cell>
          <cell r="BH40">
            <v>1086.008</v>
          </cell>
          <cell r="BI40">
            <v>1086.008</v>
          </cell>
          <cell r="BJ40">
            <v>1089.4469999999999</v>
          </cell>
          <cell r="BK40">
            <v>1101.2239999999999</v>
          </cell>
          <cell r="BL40">
            <v>1104.57</v>
          </cell>
          <cell r="BM40">
            <v>1114.57</v>
          </cell>
          <cell r="BN40">
            <v>1114.57</v>
          </cell>
          <cell r="BO40">
            <v>1124.57</v>
          </cell>
          <cell r="BP40">
            <v>1134.57</v>
          </cell>
          <cell r="BQ40">
            <v>1144.57</v>
          </cell>
          <cell r="BR40">
            <v>1154.57</v>
          </cell>
          <cell r="BS40">
            <v>1154.57</v>
          </cell>
          <cell r="BT40">
            <v>1164.57</v>
          </cell>
          <cell r="BU40">
            <v>1174.57</v>
          </cell>
          <cell r="BV40">
            <v>1184.57</v>
          </cell>
          <cell r="BW40">
            <v>1194.57</v>
          </cell>
          <cell r="BX40">
            <v>1194.57</v>
          </cell>
          <cell r="BY40">
            <v>1204.57</v>
          </cell>
          <cell r="BZ40">
            <v>1214.57</v>
          </cell>
          <cell r="CA40">
            <v>1224.57</v>
          </cell>
          <cell r="CB40">
            <v>1234.57</v>
          </cell>
          <cell r="CC40">
            <v>1234.57</v>
          </cell>
          <cell r="CD40">
            <v>1244.57</v>
          </cell>
          <cell r="CE40">
            <v>1254.57</v>
          </cell>
          <cell r="CF40">
            <v>1264.57</v>
          </cell>
          <cell r="CG40">
            <v>1274.57</v>
          </cell>
          <cell r="CH40">
            <v>1274.57</v>
          </cell>
          <cell r="CL40" t="str">
            <v>mstag:additionalPaidInCapital</v>
          </cell>
          <cell r="CM40">
            <v>6</v>
          </cell>
          <cell r="CN40" t="str">
            <v>ISO4217:USD</v>
          </cell>
          <cell r="CO40" t="b">
            <v>0</v>
          </cell>
          <cell r="CP40" t="b">
            <v>0</v>
          </cell>
        </row>
        <row r="41">
          <cell r="B41" t="str">
            <v>Treasury stock</v>
          </cell>
          <cell r="E41">
            <v>-6.5869999999999997</v>
          </cell>
          <cell r="F41">
            <v>-6.5869999999999997</v>
          </cell>
          <cell r="G41">
            <v>-6.6779999999999999</v>
          </cell>
          <cell r="H41">
            <v>-6.6779999999999999</v>
          </cell>
          <cell r="I41">
            <v>-6.6779999999999999</v>
          </cell>
          <cell r="J41">
            <v>-6.6779999999999999</v>
          </cell>
          <cell r="K41">
            <v>-6.6779999999999999</v>
          </cell>
          <cell r="L41">
            <v>-6.6779999999999999</v>
          </cell>
          <cell r="M41">
            <v>-6.6779999999999999</v>
          </cell>
          <cell r="N41">
            <v>-6.6779999999999999</v>
          </cell>
          <cell r="O41">
            <v>-6.6779999999999999</v>
          </cell>
          <cell r="P41">
            <v>-6.6779999999999999</v>
          </cell>
          <cell r="Q41">
            <v>-6.6779999999999999</v>
          </cell>
          <cell r="R41">
            <v>-6.6779999999999999</v>
          </cell>
          <cell r="S41">
            <v>-6.6779999999999999</v>
          </cell>
          <cell r="T41">
            <v>-6.6779999999999999</v>
          </cell>
          <cell r="U41">
            <v>-6.6779999999999999</v>
          </cell>
          <cell r="V41">
            <v>-6.6779999999999999</v>
          </cell>
          <cell r="W41">
            <v>-6.6779999999999999</v>
          </cell>
          <cell r="X41">
            <v>-6.6779999999999999</v>
          </cell>
          <cell r="Y41">
            <v>-6.6779999999999999</v>
          </cell>
          <cell r="Z41">
            <v>-6.6779999999999999</v>
          </cell>
          <cell r="AA41">
            <v>-6.6779999999999999</v>
          </cell>
          <cell r="AB41">
            <v>-6.6779999999999999</v>
          </cell>
          <cell r="AC41">
            <v>-6.6779999999999999</v>
          </cell>
          <cell r="AD41">
            <v>-6.6779999999999999</v>
          </cell>
          <cell r="AE41">
            <v>-6.6779999999999999</v>
          </cell>
          <cell r="AF41">
            <v>-6.6779999999999999</v>
          </cell>
          <cell r="AG41">
            <v>-6.6779999999999999</v>
          </cell>
          <cell r="AH41">
            <v>-6.6779999999999999</v>
          </cell>
          <cell r="AI41">
            <v>-6.6779999999999999</v>
          </cell>
          <cell r="AJ41">
            <v>-6.6779999999999999</v>
          </cell>
          <cell r="AK41">
            <v>-6.6779999999999999</v>
          </cell>
          <cell r="AL41">
            <v>-6.6779999999999999</v>
          </cell>
          <cell r="AM41">
            <v>-6.6779999999999999</v>
          </cell>
          <cell r="AN41">
            <v>-6.6779999999999999</v>
          </cell>
          <cell r="AO41">
            <v>-6.6779999999999999</v>
          </cell>
          <cell r="AP41">
            <v>-6.6779999999999999</v>
          </cell>
          <cell r="AQ41">
            <v>-6.6779999999999999</v>
          </cell>
          <cell r="AR41">
            <v>-6.6779999999999999</v>
          </cell>
          <cell r="AS41">
            <v>-6.6779999999999999</v>
          </cell>
          <cell r="AT41">
            <v>-6.6779999999999999</v>
          </cell>
          <cell r="AU41">
            <v>-6.6779999999999999</v>
          </cell>
          <cell r="AV41">
            <v>-6.6779999999999999</v>
          </cell>
          <cell r="AW41">
            <v>-6.6779999999999999</v>
          </cell>
          <cell r="AX41">
            <v>-6.6779999999999999</v>
          </cell>
          <cell r="AY41">
            <v>-6.6779999999999999</v>
          </cell>
          <cell r="AZ41">
            <v>-6.6779999999999999</v>
          </cell>
          <cell r="BA41">
            <v>-6.6779999999999999</v>
          </cell>
          <cell r="BB41">
            <v>-6.6779999999999999</v>
          </cell>
          <cell r="BC41">
            <v>-6.6779999999999999</v>
          </cell>
          <cell r="BD41">
            <v>-6.6779999999999999</v>
          </cell>
          <cell r="BE41">
            <v>-6.6779999999999999</v>
          </cell>
          <cell r="BF41">
            <v>-6.6779999999999999</v>
          </cell>
          <cell r="BG41">
            <v>-6.6779999999999999</v>
          </cell>
          <cell r="BH41">
            <v>-6.6779999999999999</v>
          </cell>
          <cell r="BI41">
            <v>-6.6779999999999999</v>
          </cell>
          <cell r="BJ41">
            <v>-6.6779999999999999</v>
          </cell>
          <cell r="BK41">
            <v>-6.6779999999999999</v>
          </cell>
          <cell r="BL41">
            <v>-6.6779999999999999</v>
          </cell>
          <cell r="BM41">
            <v>-6.6779999999999999</v>
          </cell>
          <cell r="BN41">
            <v>-6.6779999999999999</v>
          </cell>
          <cell r="BO41">
            <v>-6.6779999999999999</v>
          </cell>
          <cell r="BP41">
            <v>-6.6779999999999999</v>
          </cell>
          <cell r="BQ41">
            <v>-6.6779999999999999</v>
          </cell>
          <cell r="BR41">
            <v>-6.6779999999999999</v>
          </cell>
          <cell r="BS41">
            <v>-6.6779999999999999</v>
          </cell>
          <cell r="BT41">
            <v>-6.6779999999999999</v>
          </cell>
          <cell r="BU41">
            <v>-6.6779999999999999</v>
          </cell>
          <cell r="BV41">
            <v>-6.6779999999999999</v>
          </cell>
          <cell r="BW41">
            <v>-6.6779999999999999</v>
          </cell>
          <cell r="BX41">
            <v>-6.6779999999999999</v>
          </cell>
          <cell r="BY41">
            <v>-6.6779999999999999</v>
          </cell>
          <cell r="BZ41">
            <v>-6.6779999999999999</v>
          </cell>
          <cell r="CA41">
            <v>-6.6779999999999999</v>
          </cell>
          <cell r="CB41">
            <v>-6.6779999999999999</v>
          </cell>
          <cell r="CC41">
            <v>-6.6779999999999999</v>
          </cell>
          <cell r="CD41">
            <v>-6.6779999999999999</v>
          </cell>
          <cell r="CE41">
            <v>-6.6779999999999999</v>
          </cell>
          <cell r="CF41">
            <v>-6.6779999999999999</v>
          </cell>
          <cell r="CG41">
            <v>-6.6779999999999999</v>
          </cell>
          <cell r="CH41">
            <v>-6.6779999999999999</v>
          </cell>
          <cell r="CL41" t="str">
            <v>mstag:treasuryStockAndInvestmentInOwnShares</v>
          </cell>
          <cell r="CM41">
            <v>6</v>
          </cell>
          <cell r="CN41" t="str">
            <v>ISO4217:USD</v>
          </cell>
          <cell r="CO41" t="b">
            <v>1</v>
          </cell>
          <cell r="CP41" t="b">
            <v>1</v>
          </cell>
        </row>
        <row r="42">
          <cell r="B42" t="str">
            <v>Accum. other comprehensive income (loss)</v>
          </cell>
          <cell r="E42">
            <v>-2.1560000000000001</v>
          </cell>
          <cell r="F42">
            <v>-0.41900000000000004</v>
          </cell>
          <cell r="G42">
            <v>-0.38100000000000001</v>
          </cell>
          <cell r="H42">
            <v>-0.27400000000000002</v>
          </cell>
          <cell r="I42">
            <v>-0.26300000000000001</v>
          </cell>
          <cell r="J42">
            <v>0.49800000000000005</v>
          </cell>
          <cell r="K42">
            <v>0.49800000000000005</v>
          </cell>
          <cell r="L42">
            <v>1.3130000000000002</v>
          </cell>
          <cell r="M42">
            <v>-2.411</v>
          </cell>
          <cell r="N42">
            <v>-7.2080000000000002</v>
          </cell>
          <cell r="O42">
            <v>-8.3290000000000006</v>
          </cell>
          <cell r="P42">
            <v>-8.3290000000000006</v>
          </cell>
          <cell r="Q42">
            <v>-8.5179999999999989</v>
          </cell>
          <cell r="R42">
            <v>-9.145999999999999</v>
          </cell>
          <cell r="S42">
            <v>-4.3739999999999997</v>
          </cell>
          <cell r="T42">
            <v>-0.105</v>
          </cell>
          <cell r="U42">
            <v>-0.105</v>
          </cell>
          <cell r="V42">
            <v>-4.9249999999999998</v>
          </cell>
          <cell r="W42">
            <v>6.4329999999999998</v>
          </cell>
          <cell r="X42">
            <v>2.742</v>
          </cell>
          <cell r="Y42">
            <v>6.0460000000000003</v>
          </cell>
          <cell r="Z42">
            <v>6.0460000000000003</v>
          </cell>
          <cell r="AA42">
            <v>-6.0910000000000011</v>
          </cell>
          <cell r="AB42">
            <v>-8.5289999999999999</v>
          </cell>
          <cell r="AC42">
            <v>-0.82699999999999996</v>
          </cell>
          <cell r="AD42">
            <v>1.9870000000000001</v>
          </cell>
          <cell r="AE42">
            <v>1.9870000000000001</v>
          </cell>
          <cell r="AF42">
            <v>20.491</v>
          </cell>
          <cell r="AG42">
            <v>22.724</v>
          </cell>
          <cell r="AH42">
            <v>13.462</v>
          </cell>
          <cell r="AI42">
            <v>5.798</v>
          </cell>
          <cell r="AJ42">
            <v>5.798</v>
          </cell>
          <cell r="AK42">
            <v>1.7150000000000001</v>
          </cell>
          <cell r="AL42">
            <v>15.622</v>
          </cell>
          <cell r="AM42">
            <v>-21.201000000000001</v>
          </cell>
          <cell r="AN42">
            <v>-81.736999999999995</v>
          </cell>
          <cell r="AO42">
            <v>-81.736999999999995</v>
          </cell>
          <cell r="AP42">
            <v>-188.03700000000001</v>
          </cell>
          <cell r="AQ42">
            <v>-77.893000000000001</v>
          </cell>
          <cell r="AR42">
            <v>-93.367000000000004</v>
          </cell>
          <cell r="AS42">
            <v>-295.57499999999999</v>
          </cell>
          <cell r="AT42">
            <v>-295.57499999999999</v>
          </cell>
          <cell r="AU42">
            <v>-283.47500000000002</v>
          </cell>
          <cell r="AV42">
            <v>-220.565</v>
          </cell>
          <cell r="AW42">
            <v>-242.24199999999999</v>
          </cell>
          <cell r="AX42">
            <v>-221.38499999999999</v>
          </cell>
          <cell r="AY42">
            <v>-221.38499999999999</v>
          </cell>
          <cell r="AZ42">
            <v>-228.11199999999999</v>
          </cell>
          <cell r="BA42">
            <v>-260.57299999999998</v>
          </cell>
          <cell r="BB42">
            <v>-288.66000000000003</v>
          </cell>
          <cell r="BC42">
            <v>-230.92699999999999</v>
          </cell>
          <cell r="BD42">
            <v>-230.92699999999999</v>
          </cell>
          <cell r="BE42">
            <v>-192.64</v>
          </cell>
          <cell r="BF42">
            <v>-200.53299999999999</v>
          </cell>
          <cell r="BG42">
            <v>-201.05099999999999</v>
          </cell>
          <cell r="BH42">
            <v>-184.47900000000001</v>
          </cell>
          <cell r="BI42">
            <v>-184.47900000000001</v>
          </cell>
          <cell r="BJ42">
            <v>-170.136</v>
          </cell>
          <cell r="BK42">
            <v>-159.54599999999999</v>
          </cell>
          <cell r="BL42">
            <v>-148.721</v>
          </cell>
          <cell r="BM42">
            <v>-148.721</v>
          </cell>
          <cell r="BN42">
            <v>-148.721</v>
          </cell>
          <cell r="BO42">
            <v>-148.721</v>
          </cell>
          <cell r="BP42">
            <v>-148.721</v>
          </cell>
          <cell r="BQ42">
            <v>-148.721</v>
          </cell>
          <cell r="BR42">
            <v>-148.721</v>
          </cell>
          <cell r="BS42">
            <v>-148.721</v>
          </cell>
          <cell r="BT42">
            <v>-148.721</v>
          </cell>
          <cell r="BU42">
            <v>-148.721</v>
          </cell>
          <cell r="BV42">
            <v>-148.721</v>
          </cell>
          <cell r="BW42">
            <v>-148.721</v>
          </cell>
          <cell r="BX42">
            <v>-148.721</v>
          </cell>
          <cell r="BY42">
            <v>-148.721</v>
          </cell>
          <cell r="BZ42">
            <v>-148.721</v>
          </cell>
          <cell r="CA42">
            <v>-148.721</v>
          </cell>
          <cell r="CB42">
            <v>-148.721</v>
          </cell>
          <cell r="CC42">
            <v>-148.721</v>
          </cell>
          <cell r="CD42">
            <v>-148.721</v>
          </cell>
          <cell r="CE42">
            <v>-148.721</v>
          </cell>
          <cell r="CF42">
            <v>-148.721</v>
          </cell>
          <cell r="CG42">
            <v>-148.721</v>
          </cell>
          <cell r="CH42">
            <v>-148.721</v>
          </cell>
          <cell r="CL42" t="str">
            <v>mstag:accumulatedOtherComprehensiveIncomeLossAndReserves</v>
          </cell>
          <cell r="CM42">
            <v>6</v>
          </cell>
          <cell r="CN42" t="str">
            <v>ISO4217:USD</v>
          </cell>
          <cell r="CO42" t="b">
            <v>0</v>
          </cell>
          <cell r="CP42" t="b">
            <v>0</v>
          </cell>
        </row>
        <row r="43">
          <cell r="B43" t="str">
            <v>Retained earnings (accumulated deficit)</v>
          </cell>
          <cell r="E43">
            <v>-245.352</v>
          </cell>
          <cell r="F43">
            <v>-235.78299999999999</v>
          </cell>
          <cell r="G43">
            <v>-224.935</v>
          </cell>
          <cell r="H43">
            <v>-215.28399999999999</v>
          </cell>
          <cell r="I43">
            <v>-205.24299999999999</v>
          </cell>
          <cell r="J43">
            <v>-191.04</v>
          </cell>
          <cell r="K43">
            <v>-191.04</v>
          </cell>
          <cell r="L43">
            <v>-163.864</v>
          </cell>
          <cell r="M43">
            <v>-139.62299999999999</v>
          </cell>
          <cell r="N43">
            <v>-119.467</v>
          </cell>
          <cell r="O43">
            <v>-91.055999999999997</v>
          </cell>
          <cell r="P43">
            <v>-91.055999999999997</v>
          </cell>
          <cell r="Q43">
            <v>-57.517000000000003</v>
          </cell>
          <cell r="R43">
            <v>-26.901</v>
          </cell>
          <cell r="S43">
            <v>4.782</v>
          </cell>
          <cell r="T43">
            <v>40.415999999999997</v>
          </cell>
          <cell r="U43">
            <v>40.415999999999997</v>
          </cell>
          <cell r="V43">
            <v>81.141999999999996</v>
          </cell>
          <cell r="W43">
            <v>119.581</v>
          </cell>
          <cell r="X43">
            <v>151.62</v>
          </cell>
          <cell r="Y43">
            <v>191.84899999999999</v>
          </cell>
          <cell r="Z43">
            <v>191.84899999999999</v>
          </cell>
          <cell r="AA43">
            <v>227.83699999999999</v>
          </cell>
          <cell r="AB43">
            <v>268.36500000000001</v>
          </cell>
          <cell r="AC43">
            <v>311.25099999999998</v>
          </cell>
          <cell r="AD43">
            <v>359.39299999999997</v>
          </cell>
          <cell r="AE43">
            <v>359.39299999999997</v>
          </cell>
          <cell r="AF43">
            <v>413.43099999999998</v>
          </cell>
          <cell r="AG43">
            <v>465.8</v>
          </cell>
          <cell r="AH43">
            <v>474.041</v>
          </cell>
          <cell r="AI43">
            <v>527.65599999999995</v>
          </cell>
          <cell r="AJ43">
            <v>527.65599999999995</v>
          </cell>
          <cell r="AK43">
            <v>581.98</v>
          </cell>
          <cell r="AL43">
            <v>635.74300000000005</v>
          </cell>
          <cell r="AM43">
            <v>646.20299999999997</v>
          </cell>
          <cell r="AN43">
            <v>557.94500000000005</v>
          </cell>
          <cell r="AO43">
            <v>557.94500000000005</v>
          </cell>
          <cell r="AP43">
            <v>618.072</v>
          </cell>
          <cell r="AQ43">
            <v>665.96500000000003</v>
          </cell>
          <cell r="AR43">
            <v>716.34900000000005</v>
          </cell>
          <cell r="AS43">
            <v>776.24900000000002</v>
          </cell>
          <cell r="AT43">
            <v>776.24900000000002</v>
          </cell>
          <cell r="AU43">
            <v>835.16399999999999</v>
          </cell>
          <cell r="AV43">
            <v>894.59900000000005</v>
          </cell>
          <cell r="AW43">
            <v>954.31100000000004</v>
          </cell>
          <cell r="AX43">
            <v>1019.399</v>
          </cell>
          <cell r="AY43">
            <v>1019.399</v>
          </cell>
          <cell r="AZ43">
            <v>1089.4059999999999</v>
          </cell>
          <cell r="BA43">
            <v>1159.471</v>
          </cell>
          <cell r="BB43">
            <v>1229.8720000000001</v>
          </cell>
          <cell r="BC43">
            <v>1299.3820000000001</v>
          </cell>
          <cell r="BD43">
            <v>1299.3820000000001</v>
          </cell>
          <cell r="BE43">
            <v>1360.7059999999999</v>
          </cell>
          <cell r="BF43">
            <v>1396.095</v>
          </cell>
          <cell r="BG43">
            <v>1470.3989999999999</v>
          </cell>
          <cell r="BH43">
            <v>1501.33</v>
          </cell>
          <cell r="BI43">
            <v>1501.33</v>
          </cell>
          <cell r="BJ43">
            <v>1576.8040000000001</v>
          </cell>
          <cell r="BK43">
            <v>1660.163</v>
          </cell>
          <cell r="BL43">
            <v>1704.396</v>
          </cell>
          <cell r="BM43">
            <v>1793.6276387185217</v>
          </cell>
          <cell r="BN43">
            <v>1793.6276387185217</v>
          </cell>
          <cell r="BO43">
            <v>1907.6133612508397</v>
          </cell>
          <cell r="BP43">
            <v>2058.1686445916857</v>
          </cell>
          <cell r="BQ43">
            <v>2137.8696303088923</v>
          </cell>
          <cell r="BR43">
            <v>2190.3446519579124</v>
          </cell>
          <cell r="BS43">
            <v>2190.3446519579124</v>
          </cell>
          <cell r="BT43">
            <v>2350.1400207610441</v>
          </cell>
          <cell r="BU43">
            <v>2559.6042463133367</v>
          </cell>
          <cell r="BV43">
            <v>2689.8254578519945</v>
          </cell>
          <cell r="BW43">
            <v>2793.6381189573976</v>
          </cell>
          <cell r="BX43">
            <v>2793.6381189573976</v>
          </cell>
          <cell r="BY43">
            <v>2980.4559603631678</v>
          </cell>
          <cell r="BZ43">
            <v>3223.4767340020826</v>
          </cell>
          <cell r="CA43">
            <v>3381.777413065528</v>
          </cell>
          <cell r="CB43">
            <v>3518.8683237316641</v>
          </cell>
          <cell r="CC43">
            <v>3518.8683237316641</v>
          </cell>
          <cell r="CD43">
            <v>3743.440079789787</v>
          </cell>
          <cell r="CE43">
            <v>4027.0945359175662</v>
          </cell>
          <cell r="CF43">
            <v>4221.2554893151864</v>
          </cell>
          <cell r="CG43">
            <v>4389.3455086630584</v>
          </cell>
          <cell r="CH43">
            <v>4389.3455086630584</v>
          </cell>
          <cell r="CL43" t="str">
            <v>mstag:retainedEarnings</v>
          </cell>
          <cell r="CM43">
            <v>6</v>
          </cell>
          <cell r="CN43" t="str">
            <v>ISO4217:USD</v>
          </cell>
          <cell r="CO43" t="b">
            <v>0</v>
          </cell>
          <cell r="CP43" t="b">
            <v>0</v>
          </cell>
        </row>
        <row r="44">
          <cell r="B44" t="str">
            <v>Total Shareholders' Equity</v>
          </cell>
          <cell r="E44">
            <v>229.708</v>
          </cell>
          <cell r="F44">
            <v>756.17399999999998</v>
          </cell>
          <cell r="G44">
            <v>766.97600000000011</v>
          </cell>
          <cell r="H44">
            <v>779.84100000000001</v>
          </cell>
          <cell r="I44">
            <v>793.61999999999989</v>
          </cell>
          <cell r="J44">
            <v>1115.665</v>
          </cell>
          <cell r="K44">
            <v>1115.665</v>
          </cell>
          <cell r="L44">
            <v>1143.7289999999998</v>
          </cell>
          <cell r="M44">
            <v>1169.6379999999999</v>
          </cell>
          <cell r="N44">
            <v>1186.6369999999997</v>
          </cell>
          <cell r="O44">
            <v>1214.3049999999998</v>
          </cell>
          <cell r="P44">
            <v>1214.3049999999998</v>
          </cell>
          <cell r="Q44">
            <v>1237.4759999999997</v>
          </cell>
          <cell r="R44">
            <v>1271.3729999999998</v>
          </cell>
          <cell r="S44">
            <v>1307.0109999999997</v>
          </cell>
          <cell r="T44">
            <v>1350.5889999999999</v>
          </cell>
          <cell r="U44">
            <v>1350.5889999999999</v>
          </cell>
          <cell r="V44">
            <v>1387.875</v>
          </cell>
          <cell r="W44">
            <v>1445.1009999999999</v>
          </cell>
          <cell r="X44">
            <v>1185.7619999999997</v>
          </cell>
          <cell r="Y44">
            <v>1239.9909999999998</v>
          </cell>
          <cell r="Z44">
            <v>1239.9909999999998</v>
          </cell>
          <cell r="AA44">
            <v>1301.4100000000001</v>
          </cell>
          <cell r="AB44">
            <v>1363.1219999999998</v>
          </cell>
          <cell r="AC44">
            <v>1350.8389999999999</v>
          </cell>
          <cell r="AD44">
            <v>1564.577</v>
          </cell>
          <cell r="AE44">
            <v>1564.577</v>
          </cell>
          <cell r="AF44">
            <v>1763.0269999999998</v>
          </cell>
          <cell r="AG44">
            <v>1698.2989999999998</v>
          </cell>
          <cell r="AH44">
            <v>1708.6399999999999</v>
          </cell>
          <cell r="AI44">
            <v>1723.6729999999998</v>
          </cell>
          <cell r="AJ44">
            <v>1723.6729999999998</v>
          </cell>
          <cell r="AK44">
            <v>1780.45</v>
          </cell>
          <cell r="AL44">
            <v>1860.9670000000001</v>
          </cell>
          <cell r="AM44">
            <v>1846.9129999999998</v>
          </cell>
          <cell r="AN44">
            <v>1710.8039999999996</v>
          </cell>
          <cell r="AO44">
            <v>1710.8039999999996</v>
          </cell>
          <cell r="AP44">
            <v>1671.5699999999997</v>
          </cell>
          <cell r="AQ44">
            <v>1834.1089999999999</v>
          </cell>
          <cell r="AR44">
            <v>1875.9079999999999</v>
          </cell>
          <cell r="AS44">
            <v>1672.8649999999998</v>
          </cell>
          <cell r="AT44">
            <v>1672.8649999999998</v>
          </cell>
          <cell r="AU44">
            <v>1699.4429999999998</v>
          </cell>
          <cell r="AV44">
            <v>1836.4179999999997</v>
          </cell>
          <cell r="AW44">
            <v>1870.5680000000002</v>
          </cell>
          <cell r="AX44">
            <v>1950.6349999999998</v>
          </cell>
          <cell r="AY44">
            <v>1950.6349999999998</v>
          </cell>
          <cell r="AZ44">
            <v>2038.8789999999999</v>
          </cell>
          <cell r="BA44">
            <v>2101.9669999999996</v>
          </cell>
          <cell r="BB44">
            <v>2061.9690000000001</v>
          </cell>
          <cell r="BC44">
            <v>2189.4639999999999</v>
          </cell>
          <cell r="BD44">
            <v>2189.4639999999999</v>
          </cell>
          <cell r="BE44">
            <v>2311.3389999999999</v>
          </cell>
          <cell r="BF44">
            <v>2309.0209999999997</v>
          </cell>
          <cell r="BG44">
            <v>2348.0029999999997</v>
          </cell>
          <cell r="BH44">
            <v>2397.0959999999995</v>
          </cell>
          <cell r="BI44">
            <v>2397.0959999999995</v>
          </cell>
          <cell r="BJ44">
            <v>2490.3559999999998</v>
          </cell>
          <cell r="BK44">
            <v>2596.0819999999999</v>
          </cell>
          <cell r="BL44">
            <v>2654.4889999999996</v>
          </cell>
          <cell r="BM44">
            <v>2753.7206387185215</v>
          </cell>
          <cell r="BN44">
            <v>2753.7206387185215</v>
          </cell>
          <cell r="BO44">
            <v>2877.7063612508396</v>
          </cell>
          <cell r="BP44">
            <v>3038.2616445916856</v>
          </cell>
          <cell r="BQ44">
            <v>3127.9626303088921</v>
          </cell>
          <cell r="BR44">
            <v>3190.4376519579123</v>
          </cell>
          <cell r="BS44">
            <v>3190.4376519579123</v>
          </cell>
          <cell r="BT44">
            <v>3360.2330207610439</v>
          </cell>
          <cell r="BU44">
            <v>3579.6972463133366</v>
          </cell>
          <cell r="BV44">
            <v>3719.9184578519944</v>
          </cell>
          <cell r="BW44">
            <v>3833.7311189573975</v>
          </cell>
          <cell r="BX44">
            <v>3833.7311189573975</v>
          </cell>
          <cell r="BY44">
            <v>4030.5489603631677</v>
          </cell>
          <cell r="BZ44">
            <v>4283.5697340020824</v>
          </cell>
          <cell r="CA44">
            <v>4451.8704130655278</v>
          </cell>
          <cell r="CB44">
            <v>4598.9613237316644</v>
          </cell>
          <cell r="CC44">
            <v>4598.9613237316644</v>
          </cell>
          <cell r="CD44">
            <v>4833.5330797897868</v>
          </cell>
          <cell r="CE44">
            <v>5127.1875359175665</v>
          </cell>
          <cell r="CF44">
            <v>5331.3484893151863</v>
          </cell>
          <cell r="CG44">
            <v>5509.4385086630582</v>
          </cell>
          <cell r="CH44">
            <v>5509.4385086630582</v>
          </cell>
        </row>
        <row r="45">
          <cell r="B45" t="str">
            <v>Noncontrolling interests in equity of consolidated subs</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78.686000000000007</v>
          </cell>
          <cell r="AV45">
            <v>80.974999999999994</v>
          </cell>
          <cell r="AW45">
            <v>78.614999999999995</v>
          </cell>
          <cell r="AX45">
            <v>64.781999999999996</v>
          </cell>
          <cell r="AY45">
            <v>64.781999999999996</v>
          </cell>
          <cell r="AZ45">
            <v>61.981000000000002</v>
          </cell>
          <cell r="BA45">
            <v>61.633000000000003</v>
          </cell>
          <cell r="BB45">
            <v>64.263999999999996</v>
          </cell>
          <cell r="BC45">
            <v>60.912999999999997</v>
          </cell>
          <cell r="BD45">
            <v>60.912999999999997</v>
          </cell>
          <cell r="BE45">
            <v>60.944000000000003</v>
          </cell>
          <cell r="BF45">
            <v>61.305</v>
          </cell>
          <cell r="BG45">
            <v>60.997</v>
          </cell>
          <cell r="BH45">
            <v>67.349000000000004</v>
          </cell>
          <cell r="BI45">
            <v>67.349000000000004</v>
          </cell>
          <cell r="BJ45">
            <v>61.747999999999998</v>
          </cell>
          <cell r="BK45">
            <v>64.691999999999993</v>
          </cell>
          <cell r="BL45">
            <v>58.255000000000003</v>
          </cell>
          <cell r="BM45">
            <v>58.255000000000003</v>
          </cell>
          <cell r="BN45">
            <v>58.255000000000003</v>
          </cell>
          <cell r="BO45">
            <v>58.255000000000003</v>
          </cell>
          <cell r="BP45">
            <v>58.255000000000003</v>
          </cell>
          <cell r="BQ45">
            <v>58.255000000000003</v>
          </cell>
          <cell r="BR45">
            <v>58.255000000000003</v>
          </cell>
          <cell r="BS45">
            <v>58.255000000000003</v>
          </cell>
          <cell r="BT45">
            <v>58.255000000000003</v>
          </cell>
          <cell r="BU45">
            <v>58.255000000000003</v>
          </cell>
          <cell r="BV45">
            <v>58.255000000000003</v>
          </cell>
          <cell r="BW45">
            <v>58.255000000000003</v>
          </cell>
          <cell r="BX45">
            <v>58.255000000000003</v>
          </cell>
          <cell r="BY45">
            <v>58.255000000000003</v>
          </cell>
          <cell r="BZ45">
            <v>58.255000000000003</v>
          </cell>
          <cell r="CA45">
            <v>58.255000000000003</v>
          </cell>
          <cell r="CB45">
            <v>58.255000000000003</v>
          </cell>
          <cell r="CC45">
            <v>58.255000000000003</v>
          </cell>
          <cell r="CD45">
            <v>58.255000000000003</v>
          </cell>
          <cell r="CE45">
            <v>58.255000000000003</v>
          </cell>
          <cell r="CF45">
            <v>58.255000000000003</v>
          </cell>
          <cell r="CG45">
            <v>58.255000000000003</v>
          </cell>
          <cell r="CH45">
            <v>58.255000000000003</v>
          </cell>
          <cell r="CL45" t="str">
            <v>mstag:minorityInterestsInEquity</v>
          </cell>
          <cell r="CM45">
            <v>6</v>
          </cell>
          <cell r="CN45" t="str">
            <v>ISO4217:USD</v>
          </cell>
          <cell r="CO45" t="b">
            <v>0</v>
          </cell>
          <cell r="CP45" t="b">
            <v>0</v>
          </cell>
        </row>
        <row r="46">
          <cell r="B46" t="str">
            <v>Liabilities &amp; Equity</v>
          </cell>
          <cell r="E46">
            <v>1895.0840000000001</v>
          </cell>
          <cell r="F46">
            <v>2213.837</v>
          </cell>
          <cell r="G46">
            <v>2221.94</v>
          </cell>
          <cell r="H46">
            <v>2280.0860000000002</v>
          </cell>
          <cell r="I46">
            <v>2298.6030000000001</v>
          </cell>
          <cell r="J46">
            <v>2460.6639999999998</v>
          </cell>
          <cell r="K46">
            <v>2460.6639999999998</v>
          </cell>
          <cell r="L46">
            <v>2594.0609999999997</v>
          </cell>
          <cell r="M46">
            <v>2578.2669999999998</v>
          </cell>
          <cell r="N46">
            <v>2768.4949999999999</v>
          </cell>
          <cell r="O46">
            <v>2809.4960000000001</v>
          </cell>
          <cell r="P46">
            <v>2809.4960000000001</v>
          </cell>
          <cell r="Q46">
            <v>2921.72</v>
          </cell>
          <cell r="R46">
            <v>2887.0359999999996</v>
          </cell>
          <cell r="S46">
            <v>3187.7249999999999</v>
          </cell>
          <cell r="T46">
            <v>3350.2110000000002</v>
          </cell>
          <cell r="U46">
            <v>3350.2110000000002</v>
          </cell>
          <cell r="V46">
            <v>3380.2629999999999</v>
          </cell>
          <cell r="W46">
            <v>3381.2639999999997</v>
          </cell>
          <cell r="X46">
            <v>3534.6949999999993</v>
          </cell>
          <cell r="Y46">
            <v>3632.6080000000002</v>
          </cell>
          <cell r="Z46">
            <v>3632.6080000000002</v>
          </cell>
          <cell r="AA46">
            <v>3761.1150000000007</v>
          </cell>
          <cell r="AB46">
            <v>3848.1709999999998</v>
          </cell>
          <cell r="AC46">
            <v>3844.0829999999996</v>
          </cell>
          <cell r="AD46">
            <v>3934.2179999999998</v>
          </cell>
          <cell r="AE46">
            <v>3934.2179999999998</v>
          </cell>
          <cell r="AF46">
            <v>4049.2889999999998</v>
          </cell>
          <cell r="AG46">
            <v>4178.66</v>
          </cell>
          <cell r="AH46">
            <v>4343.6129999999994</v>
          </cell>
          <cell r="AI46">
            <v>4506.5789999999997</v>
          </cell>
          <cell r="AJ46">
            <v>4506.5789999999997</v>
          </cell>
          <cell r="AK46">
            <v>4608.9160000000002</v>
          </cell>
          <cell r="AL46">
            <v>4793.1110000000008</v>
          </cell>
          <cell r="AM46">
            <v>13438.697</v>
          </cell>
          <cell r="AN46">
            <v>13493.643</v>
          </cell>
          <cell r="AO46">
            <v>13493.643</v>
          </cell>
          <cell r="AP46">
            <v>13332.349</v>
          </cell>
          <cell r="AQ46">
            <v>13359.508000000002</v>
          </cell>
          <cell r="AR46">
            <v>13587.403999999999</v>
          </cell>
          <cell r="AS46">
            <v>13818.253999999999</v>
          </cell>
          <cell r="AT46">
            <v>13818.253999999999</v>
          </cell>
          <cell r="AU46">
            <v>13914.365999999996</v>
          </cell>
          <cell r="AV46">
            <v>13872.022000000001</v>
          </cell>
          <cell r="AW46">
            <v>14043.682999999999</v>
          </cell>
          <cell r="AX46">
            <v>14021.472</v>
          </cell>
          <cell r="AY46">
            <v>14021.472</v>
          </cell>
          <cell r="AZ46">
            <v>14200.612000000001</v>
          </cell>
          <cell r="BA46">
            <v>14313.431</v>
          </cell>
          <cell r="BB46">
            <v>14419.492999999999</v>
          </cell>
          <cell r="BC46">
            <v>14698.122999999998</v>
          </cell>
          <cell r="BD46">
            <v>14698.122999999998</v>
          </cell>
          <cell r="BE46">
            <v>14718.279</v>
          </cell>
          <cell r="BF46">
            <v>14825.414999999997</v>
          </cell>
          <cell r="BG46">
            <v>14847.922</v>
          </cell>
          <cell r="BH46">
            <v>15208.840000000002</v>
          </cell>
          <cell r="BI46">
            <v>15208.840000000002</v>
          </cell>
          <cell r="BJ46">
            <v>15846.416000000001</v>
          </cell>
          <cell r="BK46">
            <v>15873.005999999999</v>
          </cell>
          <cell r="BL46">
            <v>16241.154999999999</v>
          </cell>
          <cell r="BM46">
            <v>16356.625474112461</v>
          </cell>
          <cell r="BN46">
            <v>16356.625474112461</v>
          </cell>
          <cell r="BO46">
            <v>16573.332866668599</v>
          </cell>
          <cell r="BP46">
            <v>16678.801302317555</v>
          </cell>
          <cell r="BQ46">
            <v>16851.087193939788</v>
          </cell>
          <cell r="BR46">
            <v>16941.998539885411</v>
          </cell>
          <cell r="BS46">
            <v>16941.998539885411</v>
          </cell>
          <cell r="BT46">
            <v>17196.093802184547</v>
          </cell>
          <cell r="BU46">
            <v>17349.641047094934</v>
          </cell>
          <cell r="BV46">
            <v>17570.904781378598</v>
          </cell>
          <cell r="BW46">
            <v>17706.82538760086</v>
          </cell>
          <cell r="BX46">
            <v>17706.82538760086</v>
          </cell>
          <cell r="BY46">
            <v>17989.009182810234</v>
          </cell>
          <cell r="BZ46">
            <v>18172.874899299502</v>
          </cell>
          <cell r="CA46">
            <v>18426.555108056975</v>
          </cell>
          <cell r="CB46">
            <v>18596.896064372118</v>
          </cell>
          <cell r="CC46">
            <v>18596.896064372118</v>
          </cell>
          <cell r="CD46">
            <v>18909.550256951272</v>
          </cell>
          <cell r="CE46">
            <v>19141.790460220542</v>
          </cell>
          <cell r="CF46">
            <v>19435.811180851597</v>
          </cell>
          <cell r="CG46">
            <v>19637.469131323418</v>
          </cell>
          <cell r="CH46">
            <v>19637.469131323418</v>
          </cell>
        </row>
        <row r="48">
          <cell r="B48" t="str">
            <v>Leverage and Liquidity Ratios</v>
          </cell>
        </row>
        <row r="49">
          <cell r="B49" t="str">
            <v>Leverage Ratios</v>
          </cell>
        </row>
        <row r="50">
          <cell r="B50" t="str">
            <v>Debt-to total capital</v>
          </cell>
          <cell r="E50">
            <v>0.86198261053474012</v>
          </cell>
          <cell r="F50">
            <v>0.61716527515989539</v>
          </cell>
          <cell r="G50">
            <v>0.61433879913311507</v>
          </cell>
          <cell r="H50">
            <v>0.61600209173807774</v>
          </cell>
          <cell r="I50">
            <v>0.61237440094403217</v>
          </cell>
          <cell r="J50">
            <v>0.48215521534840389</v>
          </cell>
          <cell r="K50">
            <v>0.48215521534840389</v>
          </cell>
          <cell r="L50">
            <v>0.48956301775438416</v>
          </cell>
          <cell r="M50">
            <v>0.47473218768552855</v>
          </cell>
          <cell r="N50">
            <v>0.50153303427368123</v>
          </cell>
          <cell r="O50">
            <v>0.49546133125696218</v>
          </cell>
          <cell r="P50">
            <v>0.49546133125696218</v>
          </cell>
          <cell r="Q50">
            <v>0.50685396616653722</v>
          </cell>
          <cell r="R50">
            <v>0.48262437178261142</v>
          </cell>
          <cell r="S50">
            <v>0.51512288211204327</v>
          </cell>
          <cell r="T50">
            <v>0.52195719524699968</v>
          </cell>
          <cell r="U50">
            <v>0.52195719524699968</v>
          </cell>
          <cell r="V50">
            <v>0.51325380558980849</v>
          </cell>
          <cell r="W50">
            <v>0.48737378126757042</v>
          </cell>
          <cell r="X50">
            <v>0.60034540323502084</v>
          </cell>
          <cell r="Y50">
            <v>0.59632109113898835</v>
          </cell>
          <cell r="Z50">
            <v>0.59632109113898835</v>
          </cell>
          <cell r="AA50">
            <v>0.58306341910999104</v>
          </cell>
          <cell r="AB50">
            <v>0.57096400763697552</v>
          </cell>
          <cell r="AC50">
            <v>0.57264399437885527</v>
          </cell>
          <cell r="AD50">
            <v>0.51594068561948958</v>
          </cell>
          <cell r="AE50">
            <v>0.51594068561948958</v>
          </cell>
          <cell r="AF50">
            <v>0.46551940531986497</v>
          </cell>
          <cell r="AG50">
            <v>0.49693489416016995</v>
          </cell>
          <cell r="AH50">
            <v>0.51505684027448628</v>
          </cell>
          <cell r="AI50">
            <v>0.52967433864960367</v>
          </cell>
          <cell r="AJ50">
            <v>0.52967433864960367</v>
          </cell>
          <cell r="AK50">
            <v>0.51936327951112704</v>
          </cell>
          <cell r="AL50">
            <v>0.51800457087918983</v>
          </cell>
          <cell r="AM50">
            <v>0.83224586230869269</v>
          </cell>
          <cell r="AN50">
            <v>0.84172237625707969</v>
          </cell>
          <cell r="AO50">
            <v>0.84172237625707969</v>
          </cell>
          <cell r="AP50">
            <v>0.84196779530245669</v>
          </cell>
          <cell r="AQ50">
            <v>0.82935827171973098</v>
          </cell>
          <cell r="AR50">
            <v>0.82605254268296702</v>
          </cell>
          <cell r="AS50">
            <v>0.84278044128597374</v>
          </cell>
          <cell r="AT50">
            <v>0.84278044128597374</v>
          </cell>
          <cell r="AU50">
            <v>0.84274706541562117</v>
          </cell>
          <cell r="AV50">
            <v>0.82959780316567877</v>
          </cell>
          <cell r="AW50">
            <v>0.82675965459140621</v>
          </cell>
          <cell r="AX50">
            <v>0.82041234081859604</v>
          </cell>
          <cell r="AY50">
            <v>0.82041234081859604</v>
          </cell>
          <cell r="AZ50">
            <v>0.8136394750920638</v>
          </cell>
          <cell r="BA50">
            <v>0.80865506247300933</v>
          </cell>
          <cell r="BB50">
            <v>0.81150031730952232</v>
          </cell>
          <cell r="BC50">
            <v>0.80205524191561595</v>
          </cell>
          <cell r="BD50">
            <v>0.80205524191561595</v>
          </cell>
          <cell r="BE50">
            <v>0.79310280315773163</v>
          </cell>
          <cell r="BF50">
            <v>0.79310915493967338</v>
          </cell>
          <cell r="BG50">
            <v>0.78993949227330817</v>
          </cell>
          <cell r="BH50">
            <v>0.78680351488846989</v>
          </cell>
          <cell r="BI50">
            <v>0.78680351488846989</v>
          </cell>
          <cell r="BJ50">
            <v>0.78912015553764137</v>
          </cell>
          <cell r="BK50">
            <v>0.78223433931851227</v>
          </cell>
          <cell r="BL50">
            <v>0.78289144805501998</v>
          </cell>
          <cell r="BM50">
            <v>0.77791393568603706</v>
          </cell>
          <cell r="BN50">
            <v>0.77791393568603706</v>
          </cell>
          <cell r="BO50">
            <v>0.76999117004045792</v>
          </cell>
          <cell r="BP50">
            <v>0.75995514874261538</v>
          </cell>
          <cell r="BQ50">
            <v>0.75445414415796697</v>
          </cell>
          <cell r="BR50">
            <v>0.75053640499054119</v>
          </cell>
          <cell r="BS50">
            <v>0.75053640499054119</v>
          </cell>
          <cell r="BT50">
            <v>0.74117607448351164</v>
          </cell>
          <cell r="BU50">
            <v>0.72924587176247102</v>
          </cell>
          <cell r="BV50">
            <v>0.72200328561122384</v>
          </cell>
          <cell r="BW50">
            <v>0.71619376026997439</v>
          </cell>
          <cell r="BX50">
            <v>0.71619376026997439</v>
          </cell>
          <cell r="BY50">
            <v>0.70625001222338946</v>
          </cell>
          <cell r="BZ50">
            <v>0.69372082322207351</v>
          </cell>
          <cell r="CA50">
            <v>0.68579023475026613</v>
          </cell>
          <cell r="CB50">
            <v>0.67894641731297856</v>
          </cell>
          <cell r="CC50">
            <v>0.67894641731297856</v>
          </cell>
          <cell r="CD50">
            <v>0.6682735976075751</v>
          </cell>
          <cell r="CE50">
            <v>0.65525659468219211</v>
          </cell>
          <cell r="CF50">
            <v>0.64665073836446163</v>
          </cell>
          <cell r="CG50">
            <v>0.63927434991869492</v>
          </cell>
          <cell r="CH50">
            <v>0.63927434991869492</v>
          </cell>
        </row>
        <row r="51">
          <cell r="B51" t="str">
            <v>Net debt-to total capital</v>
          </cell>
          <cell r="E51">
            <v>0.85940982046347469</v>
          </cell>
          <cell r="F51">
            <v>0.61020900700031433</v>
          </cell>
          <cell r="G51">
            <v>0.60266501737289624</v>
          </cell>
          <cell r="H51">
            <v>0.59840352325901458</v>
          </cell>
          <cell r="I51">
            <v>0.60372972782882384</v>
          </cell>
          <cell r="J51">
            <v>0.47826278673937855</v>
          </cell>
          <cell r="K51">
            <v>0.47826278673937855</v>
          </cell>
          <cell r="L51">
            <v>0.47898679243767306</v>
          </cell>
          <cell r="M51">
            <v>0.46573969370552359</v>
          </cell>
          <cell r="N51">
            <v>0.45216256758351886</v>
          </cell>
          <cell r="O51">
            <v>0.44026520268094532</v>
          </cell>
          <cell r="P51">
            <v>0.44026520268094532</v>
          </cell>
          <cell r="Q51">
            <v>0.49905792336660898</v>
          </cell>
          <cell r="R51">
            <v>0.47232628644678215</v>
          </cell>
          <cell r="S51">
            <v>0.49188384860831796</v>
          </cell>
          <cell r="T51">
            <v>0.51617681569080509</v>
          </cell>
          <cell r="U51">
            <v>0.51617681569080509</v>
          </cell>
          <cell r="V51">
            <v>0.50760732177101786</v>
          </cell>
          <cell r="W51">
            <v>0.48077395827975378</v>
          </cell>
          <cell r="X51">
            <v>0.59362069075928381</v>
          </cell>
          <cell r="Y51">
            <v>0.56946387796307352</v>
          </cell>
          <cell r="Z51">
            <v>0.56946387796307352</v>
          </cell>
          <cell r="AA51">
            <v>0.51307890593913807</v>
          </cell>
          <cell r="AB51">
            <v>0.48523876879264399</v>
          </cell>
          <cell r="AC51">
            <v>0.51434454883733294</v>
          </cell>
          <cell r="AD51">
            <v>0.48373105509218023</v>
          </cell>
          <cell r="AE51">
            <v>0.48373105509218023</v>
          </cell>
          <cell r="AF51">
            <v>0.43158025574641212</v>
          </cell>
          <cell r="AG51">
            <v>0.48977917908186347</v>
          </cell>
          <cell r="AH51">
            <v>0.51124118815388175</v>
          </cell>
          <cell r="AI51">
            <v>0.51860539994815613</v>
          </cell>
          <cell r="AJ51">
            <v>0.51860539994815613</v>
          </cell>
          <cell r="AK51">
            <v>0.50238921356661903</v>
          </cell>
          <cell r="AL51">
            <v>0.51247305077177618</v>
          </cell>
          <cell r="AM51">
            <v>0.82145032508777305</v>
          </cell>
          <cell r="AN51">
            <v>0.8294293368573491</v>
          </cell>
          <cell r="AO51">
            <v>0.8294293368573491</v>
          </cell>
          <cell r="AP51">
            <v>0.82642966830887865</v>
          </cell>
          <cell r="AQ51">
            <v>0.80478955608155067</v>
          </cell>
          <cell r="AR51">
            <v>0.79435064019234569</v>
          </cell>
          <cell r="AS51">
            <v>0.82204279555362614</v>
          </cell>
          <cell r="AT51">
            <v>0.82204279555362614</v>
          </cell>
          <cell r="AU51">
            <v>0.79350780373620344</v>
          </cell>
          <cell r="AV51">
            <v>0.80465338933179864</v>
          </cell>
          <cell r="AW51">
            <v>0.78667502783738241</v>
          </cell>
          <cell r="AX51">
            <v>0.7886917412794614</v>
          </cell>
          <cell r="AY51">
            <v>0.7886917412794614</v>
          </cell>
          <cell r="AZ51">
            <v>0.76975979819586082</v>
          </cell>
          <cell r="BA51">
            <v>0.75870123358431285</v>
          </cell>
          <cell r="BB51">
            <v>0.75959822452935155</v>
          </cell>
          <cell r="BC51">
            <v>0.77500801239672601</v>
          </cell>
          <cell r="BD51">
            <v>0.77500801239672601</v>
          </cell>
          <cell r="BE51">
            <v>0.76886993141526916</v>
          </cell>
          <cell r="BF51">
            <v>0.77595663521309288</v>
          </cell>
          <cell r="BG51">
            <v>0.76611429531499475</v>
          </cell>
          <cell r="BH51">
            <v>0.77525338859440041</v>
          </cell>
          <cell r="BI51">
            <v>0.77525338859440041</v>
          </cell>
          <cell r="BJ51">
            <v>0.77817138269982455</v>
          </cell>
          <cell r="BK51">
            <v>0.772578716947807</v>
          </cell>
          <cell r="BL51">
            <v>0.76320887524136005</v>
          </cell>
          <cell r="BM51">
            <v>0.74358421044375178</v>
          </cell>
          <cell r="BN51">
            <v>0.74358421044375178</v>
          </cell>
          <cell r="BO51">
            <v>0.73350313717441795</v>
          </cell>
          <cell r="BP51">
            <v>0.72579135112677706</v>
          </cell>
          <cell r="BQ51">
            <v>0.7155538981939864</v>
          </cell>
          <cell r="BR51">
            <v>0.70069068599688522</v>
          </cell>
          <cell r="BS51">
            <v>0.70069068599688522</v>
          </cell>
          <cell r="BT51">
            <v>0.68403643455544405</v>
          </cell>
          <cell r="BU51">
            <v>0.6657189564562408</v>
          </cell>
          <cell r="BV51">
            <v>0.64437779482773905</v>
          </cell>
          <cell r="BW51">
            <v>0.61849105404386551</v>
          </cell>
          <cell r="BX51">
            <v>0.61849105404386551</v>
          </cell>
          <cell r="BY51">
            <v>0.60148427893379341</v>
          </cell>
          <cell r="BZ51">
            <v>0.58255449293766803</v>
          </cell>
          <cell r="CA51">
            <v>0.56023993554725549</v>
          </cell>
          <cell r="CB51">
            <v>0.53309254162967445</v>
          </cell>
          <cell r="CC51">
            <v>0.53309254162967445</v>
          </cell>
          <cell r="CD51">
            <v>0.51341334266896699</v>
          </cell>
          <cell r="CE51">
            <v>0.49490598070542346</v>
          </cell>
          <cell r="CF51">
            <v>0.4715788823326878</v>
          </cell>
          <cell r="CG51">
            <v>0.4435382947085672</v>
          </cell>
          <cell r="CH51">
            <v>0.4435382947085672</v>
          </cell>
        </row>
        <row r="53">
          <cell r="B53" t="str">
            <v>Debt-to-equity</v>
          </cell>
          <cell r="E53">
            <v>6.2454638062235537</v>
          </cell>
          <cell r="F53">
            <v>1.6120932483793411</v>
          </cell>
          <cell r="G53">
            <v>1.5929494534379169</v>
          </cell>
          <cell r="H53">
            <v>1.6041808522506511</v>
          </cell>
          <cell r="I53">
            <v>1.5798089765882919</v>
          </cell>
          <cell r="J53">
            <v>0.93108056629902336</v>
          </cell>
          <cell r="K53">
            <v>0.93108056629902336</v>
          </cell>
          <cell r="L53">
            <v>0.95910569724121719</v>
          </cell>
          <cell r="M53">
            <v>0.90379074551271421</v>
          </cell>
          <cell r="N53">
            <v>1.0061509964715412</v>
          </cell>
          <cell r="O53">
            <v>0.98200863868632693</v>
          </cell>
          <cell r="P53">
            <v>0.98200863868632693</v>
          </cell>
          <cell r="Q53">
            <v>1.0277969027278109</v>
          </cell>
          <cell r="R53">
            <v>0.93283167095730368</v>
          </cell>
          <cell r="S53">
            <v>1.0623782049271202</v>
          </cell>
          <cell r="T53">
            <v>1.0918628835271129</v>
          </cell>
          <cell r="U53">
            <v>1.0918628835271129</v>
          </cell>
          <cell r="V53">
            <v>1.0544587949202919</v>
          </cell>
          <cell r="W53">
            <v>0.95073908328898815</v>
          </cell>
          <cell r="X53">
            <v>1.5021606359454935</v>
          </cell>
          <cell r="Y53">
            <v>1.4772163668929856</v>
          </cell>
          <cell r="Z53">
            <v>1.4772163668929856</v>
          </cell>
          <cell r="AA53">
            <v>1.3984463005509409</v>
          </cell>
          <cell r="AB53">
            <v>1.3308067803175359</v>
          </cell>
          <cell r="AC53">
            <v>1.3399694560195552</v>
          </cell>
          <cell r="AD53">
            <v>1.0658625302557816</v>
          </cell>
          <cell r="AE53">
            <v>1.0658625302557816</v>
          </cell>
          <cell r="AF53">
            <v>0.87097531688397301</v>
          </cell>
          <cell r="AG53">
            <v>0.98781427769786134</v>
          </cell>
          <cell r="AH53">
            <v>1.0620973405749603</v>
          </cell>
          <cell r="AI53">
            <v>1.1261863474104428</v>
          </cell>
          <cell r="AJ53">
            <v>1.1261863474104428</v>
          </cell>
          <cell r="AK53">
            <v>1.0805734505321687</v>
          </cell>
          <cell r="AL53">
            <v>1.0747084714559689</v>
          </cell>
          <cell r="AM53">
            <v>4.961104827352453</v>
          </cell>
          <cell r="AN53">
            <v>5.3180124666531068</v>
          </cell>
          <cell r="AO53">
            <v>5.3180124666531068</v>
          </cell>
          <cell r="AP53">
            <v>5.3278241413760723</v>
          </cell>
          <cell r="AQ53">
            <v>4.8602313166774724</v>
          </cell>
          <cell r="AR53">
            <v>4.7488624175599234</v>
          </cell>
          <cell r="AS53">
            <v>5.3605317823016208</v>
          </cell>
          <cell r="AT53">
            <v>5.3605317823016208</v>
          </cell>
          <cell r="AU53">
            <v>5.3591818025082345</v>
          </cell>
          <cell r="AV53">
            <v>4.8684689433451434</v>
          </cell>
          <cell r="AW53">
            <v>4.7723274427874305</v>
          </cell>
          <cell r="AX53">
            <v>4.5683113447672179</v>
          </cell>
          <cell r="AY53">
            <v>4.5683113447672179</v>
          </cell>
          <cell r="AZ53">
            <v>4.3659432462642469</v>
          </cell>
          <cell r="BA53">
            <v>4.2261638741236194</v>
          </cell>
          <cell r="BB53">
            <v>4.3050487179972157</v>
          </cell>
          <cell r="BC53">
            <v>4.0519145325065855</v>
          </cell>
          <cell r="BD53">
            <v>4.0519145325065855</v>
          </cell>
          <cell r="BE53">
            <v>3.8333182627039997</v>
          </cell>
          <cell r="BF53">
            <v>3.8334666510178987</v>
          </cell>
          <cell r="BG53">
            <v>3.7605330998299413</v>
          </cell>
          <cell r="BH53">
            <v>3.6905088490406737</v>
          </cell>
          <cell r="BI53">
            <v>3.6905088490406737</v>
          </cell>
          <cell r="BJ53">
            <v>3.7420368814739748</v>
          </cell>
          <cell r="BK53">
            <v>3.5920922374562902</v>
          </cell>
          <cell r="BL53">
            <v>3.6059908328872341</v>
          </cell>
          <cell r="BM53">
            <v>3.5027588880421638</v>
          </cell>
          <cell r="BN53">
            <v>3.5027588880421638</v>
          </cell>
          <cell r="BO53">
            <v>3.3476591754146869</v>
          </cell>
          <cell r="BP53">
            <v>3.1658881444941493</v>
          </cell>
          <cell r="BQ53">
            <v>3.0725590605908248</v>
          </cell>
          <cell r="BR53">
            <v>3.008600934184738</v>
          </cell>
          <cell r="BS53">
            <v>3.008600934184738</v>
          </cell>
          <cell r="BT53">
            <v>2.8636304507184955</v>
          </cell>
          <cell r="BU53">
            <v>2.6933878220416769</v>
          </cell>
          <cell r="BV53">
            <v>2.5971648161334313</v>
          </cell>
          <cell r="BW53">
            <v>2.5235307051432789</v>
          </cell>
          <cell r="BX53">
            <v>2.5235307051432789</v>
          </cell>
          <cell r="BY53">
            <v>2.4042554608052442</v>
          </cell>
          <cell r="BZ53">
            <v>2.2649950627399944</v>
          </cell>
          <cell r="CA53">
            <v>2.1825872732033011</v>
          </cell>
          <cell r="CB53">
            <v>2.1147448710293588</v>
          </cell>
          <cell r="CC53">
            <v>2.1147448710293588</v>
          </cell>
          <cell r="CD53">
            <v>2.0145324363329458</v>
          </cell>
          <cell r="CE53">
            <v>1.9007081341501868</v>
          </cell>
          <cell r="CF53">
            <v>1.8300610998062556</v>
          </cell>
          <cell r="CG53">
            <v>1.7721898893926917</v>
          </cell>
          <cell r="CH53">
            <v>1.7721898893926917</v>
          </cell>
        </row>
        <row r="54">
          <cell r="B54" t="str">
            <v>Net debt-to-equity</v>
          </cell>
          <cell r="E54">
            <v>6.2268227488811885</v>
          </cell>
          <cell r="F54">
            <v>1.5939228272857833</v>
          </cell>
          <cell r="G54">
            <v>1.5626799274032042</v>
          </cell>
          <cell r="H54">
            <v>1.558350997190453</v>
          </cell>
          <cell r="I54">
            <v>1.5575073712860061</v>
          </cell>
          <cell r="J54">
            <v>0.92356397305642823</v>
          </cell>
          <cell r="K54">
            <v>0.92356397305642823</v>
          </cell>
          <cell r="L54">
            <v>0.93838575396794166</v>
          </cell>
          <cell r="M54">
            <v>0.88667091869450199</v>
          </cell>
          <cell r="N54">
            <v>0.90710638552480682</v>
          </cell>
          <cell r="O54">
            <v>0.87260943502662036</v>
          </cell>
          <cell r="P54">
            <v>0.87260943502662036</v>
          </cell>
          <cell r="Q54">
            <v>1.0119881112845828</v>
          </cell>
          <cell r="R54">
            <v>0.91292720546999184</v>
          </cell>
          <cell r="S54">
            <v>1.0144505287254661</v>
          </cell>
          <cell r="T54">
            <v>1.0797711220808106</v>
          </cell>
          <cell r="U54">
            <v>1.0797711220808106</v>
          </cell>
          <cell r="V54">
            <v>1.0428583265784024</v>
          </cell>
          <cell r="W54">
            <v>0.93786455064386509</v>
          </cell>
          <cell r="X54">
            <v>1.4853343251006528</v>
          </cell>
          <cell r="Y54">
            <v>1.4106852388444757</v>
          </cell>
          <cell r="Z54">
            <v>1.4106852388444757</v>
          </cell>
          <cell r="AA54">
            <v>1.23059220384045</v>
          </cell>
          <cell r="AB54">
            <v>1.1309978123748279</v>
          </cell>
          <cell r="AC54">
            <v>1.2035505341495174</v>
          </cell>
          <cell r="AD54">
            <v>0.99932186143603041</v>
          </cell>
          <cell r="AE54">
            <v>0.99932186143603041</v>
          </cell>
          <cell r="AF54">
            <v>0.80747600575600953</v>
          </cell>
          <cell r="AG54">
            <v>0.97359004509806601</v>
          </cell>
          <cell r="AH54">
            <v>1.0542290944845023</v>
          </cell>
          <cell r="AI54">
            <v>1.1026517210631019</v>
          </cell>
          <cell r="AJ54">
            <v>1.1026517210631019</v>
          </cell>
          <cell r="AK54">
            <v>1.045257659580443</v>
          </cell>
          <cell r="AL54">
            <v>1.0632321798290889</v>
          </cell>
          <cell r="AM54">
            <v>4.8967514983109659</v>
          </cell>
          <cell r="AN54">
            <v>5.2403448904725503</v>
          </cell>
          <cell r="AO54">
            <v>5.2403448904725503</v>
          </cell>
          <cell r="AP54">
            <v>5.2295016062743427</v>
          </cell>
          <cell r="AQ54">
            <v>4.7162529598840646</v>
          </cell>
          <cell r="AR54">
            <v>4.5666125417664407</v>
          </cell>
          <cell r="AS54">
            <v>5.2286293275309124</v>
          </cell>
          <cell r="AT54">
            <v>5.2286293275309124</v>
          </cell>
          <cell r="AU54">
            <v>5.0460603856675403</v>
          </cell>
          <cell r="AV54">
            <v>4.7220834254510686</v>
          </cell>
          <cell r="AW54">
            <v>4.540945851741288</v>
          </cell>
          <cell r="AX54">
            <v>4.391681170490636</v>
          </cell>
          <cell r="AY54">
            <v>4.391681170490636</v>
          </cell>
          <cell r="AZ54">
            <v>4.1304873903748094</v>
          </cell>
          <cell r="BA54">
            <v>3.9650969782113612</v>
          </cell>
          <cell r="BB54">
            <v>4.0297055872323977</v>
          </cell>
          <cell r="BC54">
            <v>3.9152742406360641</v>
          </cell>
          <cell r="BD54">
            <v>3.9152742406360641</v>
          </cell>
          <cell r="BE54">
            <v>3.7161930811533921</v>
          </cell>
          <cell r="BF54">
            <v>3.7505605189385451</v>
          </cell>
          <cell r="BG54">
            <v>3.6471124610999226</v>
          </cell>
          <cell r="BH54">
            <v>3.6363328794508032</v>
          </cell>
          <cell r="BI54">
            <v>3.6363328794508032</v>
          </cell>
          <cell r="BJ54">
            <v>3.6901173968701668</v>
          </cell>
          <cell r="BK54">
            <v>3.5477527289199648</v>
          </cell>
          <cell r="BL54">
            <v>3.5153330829398812</v>
          </cell>
          <cell r="BM54">
            <v>3.3481804125834183</v>
          </cell>
          <cell r="BN54">
            <v>3.3481804125834183</v>
          </cell>
          <cell r="BO54">
            <v>3.1890216445318158</v>
          </cell>
          <cell r="BP54">
            <v>3.0235655850354308</v>
          </cell>
          <cell r="BQ54">
            <v>2.9141355114310037</v>
          </cell>
          <cell r="BR54">
            <v>2.8087893384616591</v>
          </cell>
          <cell r="BS54">
            <v>2.8087893384616591</v>
          </cell>
          <cell r="BT54">
            <v>2.6428639979493229</v>
          </cell>
          <cell r="BU54">
            <v>2.4587582866777731</v>
          </cell>
          <cell r="BV54">
            <v>2.3179331318519898</v>
          </cell>
          <cell r="BW54">
            <v>2.1792722197799912</v>
          </cell>
          <cell r="BX54">
            <v>2.1792722197799912</v>
          </cell>
          <cell r="BY54">
            <v>2.0476061411488709</v>
          </cell>
          <cell r="BZ54">
            <v>1.9020375432184873</v>
          </cell>
          <cell r="CA54">
            <v>1.7830124888129331</v>
          </cell>
          <cell r="CB54">
            <v>1.6604472598250333</v>
          </cell>
          <cell r="CC54">
            <v>1.6604472598250333</v>
          </cell>
          <cell r="CD54">
            <v>1.5477011747217226</v>
          </cell>
          <cell r="CE54">
            <v>1.4355778038717972</v>
          </cell>
          <cell r="CF54">
            <v>1.3345970503798514</v>
          </cell>
          <cell r="CG54">
            <v>1.229572376149566</v>
          </cell>
          <cell r="CH54">
            <v>1.229572376149566</v>
          </cell>
        </row>
        <row r="56">
          <cell r="B56" t="str">
            <v>Debt-to-EBITDA (annualized)</v>
          </cell>
          <cell r="E56">
            <v>7.6756925941382326</v>
          </cell>
          <cell r="F56">
            <v>4.8233057419599916</v>
          </cell>
          <cell r="G56">
            <v>3.8998344417836597</v>
          </cell>
          <cell r="H56">
            <v>4.2244974478578134</v>
          </cell>
          <cell r="I56">
            <v>4.2690167727074044</v>
          </cell>
          <cell r="J56">
            <v>3.1316512627326367</v>
          </cell>
          <cell r="K56">
            <v>3.3648752393014822</v>
          </cell>
          <cell r="L56">
            <v>2.9273003024372874</v>
          </cell>
          <cell r="M56">
            <v>3.0113454458941682</v>
          </cell>
          <cell r="N56">
            <v>3.4466098581062012</v>
          </cell>
          <cell r="O56">
            <v>3.1728571325280641</v>
          </cell>
          <cell r="P56">
            <v>3.2944104938612688</v>
          </cell>
          <cell r="Q56">
            <v>2.9426761416789038</v>
          </cell>
          <cell r="R56">
            <v>2.8781592768273208</v>
          </cell>
          <cell r="S56">
            <v>3.2318632264648799</v>
          </cell>
          <cell r="T56">
            <v>3.125506581385284</v>
          </cell>
          <cell r="U56">
            <v>3.3781908398870115</v>
          </cell>
          <cell r="V56">
            <v>2.9103844236922698</v>
          </cell>
          <cell r="W56">
            <v>2.8122299193711275</v>
          </cell>
          <cell r="X56">
            <v>3.6997660672792598</v>
          </cell>
          <cell r="Y56">
            <v>3.5423340351172805</v>
          </cell>
          <cell r="Z56">
            <v>3.681946005053351</v>
          </cell>
          <cell r="AA56">
            <v>3.1580912170646345</v>
          </cell>
          <cell r="AB56">
            <v>3.2269999616854332</v>
          </cell>
          <cell r="AC56">
            <v>3.3181822049218286</v>
          </cell>
          <cell r="AD56">
            <v>2.7695552099409926</v>
          </cell>
          <cell r="AE56">
            <v>2.9179006675240355</v>
          </cell>
          <cell r="AF56">
            <v>2.3894628661810415</v>
          </cell>
          <cell r="AG56">
            <v>2.6683761813172002</v>
          </cell>
          <cell r="AH56">
            <v>5.0067252836887928</v>
          </cell>
          <cell r="AI56">
            <v>2.9570357894346415</v>
          </cell>
          <cell r="AJ56">
            <v>3.3935118333782013</v>
          </cell>
          <cell r="AK56">
            <v>2.7872550802135172</v>
          </cell>
          <cell r="AL56">
            <v>2.8897842876000226</v>
          </cell>
          <cell r="AM56">
            <v>7.9833723092483746</v>
          </cell>
          <cell r="AN56">
            <v>12.940657574443444</v>
          </cell>
          <cell r="AO56">
            <v>11.242631430661545</v>
          </cell>
          <cell r="AP56">
            <v>5.9801910336149717</v>
          </cell>
          <cell r="AQ56">
            <v>6.1907027600561522</v>
          </cell>
          <cell r="AR56">
            <v>5.8379275836544702</v>
          </cell>
          <cell r="AS56">
            <v>5.9050216627798244</v>
          </cell>
          <cell r="AT56">
            <v>6.0039582508976705</v>
          </cell>
          <cell r="AU56">
            <v>5.7483106294488957</v>
          </cell>
          <cell r="AV56">
            <v>5.5194065611638674</v>
          </cell>
          <cell r="AW56">
            <v>5.4769752271217778</v>
          </cell>
          <cell r="AX56">
            <v>5.2283106787237648</v>
          </cell>
          <cell r="AY56">
            <v>5.4503823050354381</v>
          </cell>
          <cell r="AZ56">
            <v>5.2174219694583996</v>
          </cell>
          <cell r="BA56">
            <v>5.124874355603823</v>
          </cell>
          <cell r="BB56">
            <v>5.1800476184525959</v>
          </cell>
          <cell r="BC56">
            <v>5.0822400825931053</v>
          </cell>
          <cell r="BD56">
            <v>5.1436054841030696</v>
          </cell>
          <cell r="BE56">
            <v>4.9467253989207043</v>
          </cell>
          <cell r="BF56">
            <v>4.9009648157515908</v>
          </cell>
          <cell r="BG56">
            <v>4.9977298414486802</v>
          </cell>
          <cell r="BH56">
            <v>4.92642574680628</v>
          </cell>
          <cell r="BI56">
            <v>4.9425537680216065</v>
          </cell>
          <cell r="BJ56">
            <v>4.4261696108339539</v>
          </cell>
          <cell r="BK56">
            <v>4.9341089285926349</v>
          </cell>
          <cell r="BL56">
            <v>5.1211432498596672</v>
          </cell>
          <cell r="BM56">
            <v>5.1153730132647572</v>
          </cell>
          <cell r="BN56">
            <v>4.9503971026660043</v>
          </cell>
          <cell r="BO56">
            <v>4.6426815797428915</v>
          </cell>
          <cell r="BP56">
            <v>4.2230412629404004</v>
          </cell>
          <cell r="BQ56">
            <v>5.2385746525578538</v>
          </cell>
          <cell r="BR56">
            <v>5.6841730910807451</v>
          </cell>
          <cell r="BS56">
            <v>4.8874467387902145</v>
          </cell>
          <cell r="BT56">
            <v>4.1328955724383309</v>
          </cell>
          <cell r="BU56">
            <v>3.6930741148029851</v>
          </cell>
          <cell r="BV56">
            <v>4.5721438587505885</v>
          </cell>
          <cell r="BW56">
            <v>4.9064949730692868</v>
          </cell>
          <cell r="BX56">
            <v>4.2795306824737898</v>
          </cell>
          <cell r="BY56">
            <v>3.8555579584638195</v>
          </cell>
          <cell r="BZ56">
            <v>3.424010038244464</v>
          </cell>
          <cell r="CA56">
            <v>4.2309221216930846</v>
          </cell>
          <cell r="CB56">
            <v>4.449004217389767</v>
          </cell>
          <cell r="CC56">
            <v>3.9526375184043823</v>
          </cell>
          <cell r="CD56">
            <v>3.5693226379582517</v>
          </cell>
          <cell r="CE56">
            <v>3.1495468897779393</v>
          </cell>
          <cell r="CF56">
            <v>3.867627840345933</v>
          </cell>
          <cell r="CG56">
            <v>4.0967597008509724</v>
          </cell>
          <cell r="CH56">
            <v>3.6270753880947897</v>
          </cell>
        </row>
        <row r="57">
          <cell r="B57" t="str">
            <v>Debt-to-Adj. EBITDA</v>
          </cell>
          <cell r="E57">
            <v>7.6756925941382326</v>
          </cell>
          <cell r="F57">
            <v>4.8233057419599916</v>
          </cell>
          <cell r="G57">
            <v>3.8998344417836597</v>
          </cell>
          <cell r="H57">
            <v>4.2244974478578134</v>
          </cell>
          <cell r="I57">
            <v>4.2690167727074044</v>
          </cell>
          <cell r="J57">
            <v>3.1316512627326367</v>
          </cell>
          <cell r="K57">
            <v>3.3648752393014814</v>
          </cell>
          <cell r="L57">
            <v>2.9273003024372874</v>
          </cell>
          <cell r="M57">
            <v>3.0113454458941682</v>
          </cell>
          <cell r="N57">
            <v>3.4466098581062012</v>
          </cell>
          <cell r="O57">
            <v>3.1728571325280641</v>
          </cell>
          <cell r="P57">
            <v>3.2944104938612675</v>
          </cell>
          <cell r="Q57">
            <v>2.9426761416789038</v>
          </cell>
          <cell r="R57">
            <v>2.8781592768273208</v>
          </cell>
          <cell r="S57">
            <v>3.2318632264648799</v>
          </cell>
          <cell r="T57">
            <v>3.125506581385284</v>
          </cell>
          <cell r="U57">
            <v>3.3781908398870142</v>
          </cell>
          <cell r="V57">
            <v>2.9103844236922698</v>
          </cell>
          <cell r="W57">
            <v>2.8122299193711275</v>
          </cell>
          <cell r="X57">
            <v>3.6997660672792598</v>
          </cell>
          <cell r="Y57">
            <v>3.5423340351172805</v>
          </cell>
          <cell r="Z57">
            <v>3.6819460050533568</v>
          </cell>
          <cell r="AA57">
            <v>3.1580912170646345</v>
          </cell>
          <cell r="AB57">
            <v>3.2269999616854332</v>
          </cell>
          <cell r="AC57">
            <v>3.3181822049218286</v>
          </cell>
          <cell r="AD57">
            <v>2.7695552099409926</v>
          </cell>
          <cell r="AE57">
            <v>2.9179006675240378</v>
          </cell>
          <cell r="AF57">
            <v>2.3894628661810415</v>
          </cell>
          <cell r="AG57">
            <v>2.6683761813172002</v>
          </cell>
          <cell r="AH57">
            <v>5.0067252836887928</v>
          </cell>
          <cell r="AI57">
            <v>2.9570357894346415</v>
          </cell>
          <cell r="AJ57">
            <v>3.3935118333782026</v>
          </cell>
          <cell r="AK57">
            <v>2.7872550802135172</v>
          </cell>
          <cell r="AL57">
            <v>2.8897842876000226</v>
          </cell>
          <cell r="AM57">
            <v>7.6072312869900678</v>
          </cell>
          <cell r="AN57">
            <v>12.194184394001438</v>
          </cell>
          <cell r="AO57">
            <v>10.903735618408433</v>
          </cell>
          <cell r="AP57">
            <v>5.7791006621540868</v>
          </cell>
          <cell r="AQ57">
            <v>6.0141826294739662</v>
          </cell>
          <cell r="AR57">
            <v>5.7085828074711733</v>
          </cell>
          <cell r="AS57">
            <v>5.7545578715056767</v>
          </cell>
          <cell r="AT57">
            <v>5.8395001995893612</v>
          </cell>
          <cell r="AU57">
            <v>5.5643073761173207</v>
          </cell>
          <cell r="AV57">
            <v>5.3629339819649253</v>
          </cell>
          <cell r="AW57">
            <v>5.3852044617928758</v>
          </cell>
          <cell r="AX57">
            <v>5.1703013802058555</v>
          </cell>
          <cell r="AY57">
            <v>5.3312872350990794</v>
          </cell>
          <cell r="AZ57">
            <v>5.065840868709131</v>
          </cell>
          <cell r="BA57">
            <v>4.9979234703072661</v>
          </cell>
          <cell r="BB57">
            <v>5.0681681738615438</v>
          </cell>
          <cell r="BC57">
            <v>4.9436775596312481</v>
          </cell>
          <cell r="BD57">
            <v>5.0115953065163845</v>
          </cell>
          <cell r="BE57">
            <v>4.751663212701378</v>
          </cell>
          <cell r="BF57">
            <v>4.7735696896521738</v>
          </cell>
          <cell r="BG57">
            <v>4.9074314627490416</v>
          </cell>
          <cell r="BH57">
            <v>4.8080259008191728</v>
          </cell>
          <cell r="BI57">
            <v>4.8095764160421695</v>
          </cell>
          <cell r="BJ57">
            <v>4.3268753587215185</v>
          </cell>
          <cell r="BK57">
            <v>4.7994840113140524</v>
          </cell>
          <cell r="BL57">
            <v>5.0415341491067993</v>
          </cell>
          <cell r="BM57">
            <v>4.988115690774567</v>
          </cell>
          <cell r="BN57">
            <v>4.8387546121520453</v>
          </cell>
          <cell r="BO57">
            <v>4.53762223258334</v>
          </cell>
          <cell r="BP57">
            <v>4.1360339545425884</v>
          </cell>
          <cell r="BQ57">
            <v>5.1085069089908153</v>
          </cell>
          <cell r="BR57">
            <v>5.5312180775931052</v>
          </cell>
          <cell r="BS57">
            <v>4.7726161933445823</v>
          </cell>
          <cell r="BT57">
            <v>4.0477992039886024</v>
          </cell>
          <cell r="BU57">
            <v>3.6250522122519713</v>
          </cell>
          <cell r="BV57">
            <v>4.4708067657646628</v>
          </cell>
          <cell r="BW57">
            <v>4.7898754158090462</v>
          </cell>
          <cell r="BX57">
            <v>4.1895026690084238</v>
          </cell>
          <cell r="BY57">
            <v>3.7799425604906993</v>
          </cell>
          <cell r="BZ57">
            <v>3.3643095835327474</v>
          </cell>
          <cell r="CA57">
            <v>4.1423005465474905</v>
          </cell>
          <cell r="CB57">
            <v>4.3510257911718684</v>
          </cell>
          <cell r="CC57">
            <v>3.8742063012242616</v>
          </cell>
          <cell r="CD57">
            <v>3.5038632338993452</v>
          </cell>
          <cell r="CE57">
            <v>3.0979680181261982</v>
          </cell>
          <cell r="CF57">
            <v>3.7919838969053088</v>
          </cell>
          <cell r="CG57">
            <v>4.0119066491995605</v>
          </cell>
          <cell r="CH57">
            <v>3.5596256443335217</v>
          </cell>
        </row>
        <row r="59">
          <cell r="B59" t="str">
            <v>Net debt-to-EBITDA</v>
          </cell>
          <cell r="E59">
            <v>7.6527826822038909</v>
          </cell>
          <cell r="F59">
            <v>4.7689407128386954</v>
          </cell>
          <cell r="G59">
            <v>3.8257290519912392</v>
          </cell>
          <cell r="H59">
            <v>4.1038077478991895</v>
          </cell>
          <cell r="I59">
            <v>4.2087525708294269</v>
          </cell>
          <cell r="J59">
            <v>3.1063695099266595</v>
          </cell>
          <cell r="K59">
            <v>3.33771067438478</v>
          </cell>
          <cell r="L59">
            <v>2.8640606653620337</v>
          </cell>
          <cell r="M59">
            <v>2.9543037990533674</v>
          </cell>
          <cell r="N59">
            <v>3.1073286431807596</v>
          </cell>
          <cell r="O59">
            <v>2.8193897291364491</v>
          </cell>
          <cell r="P59">
            <v>2.9274016200506132</v>
          </cell>
          <cell r="Q59">
            <v>2.897414131951789</v>
          </cell>
          <cell r="R59">
            <v>2.8167460296400719</v>
          </cell>
          <cell r="S59">
            <v>3.0860623303925929</v>
          </cell>
          <cell r="T59">
            <v>3.0908933707421364</v>
          </cell>
          <cell r="U59">
            <v>3.340779294561794</v>
          </cell>
          <cell r="V59">
            <v>2.8783662713164602</v>
          </cell>
          <cell r="W59">
            <v>2.7741478140501976</v>
          </cell>
          <cell r="X59">
            <v>3.6583234862319602</v>
          </cell>
          <cell r="Y59">
            <v>3.3827937778043475</v>
          </cell>
          <cell r="Z59">
            <v>3.5161178795194217</v>
          </cell>
          <cell r="AA59">
            <v>2.7790287186613152</v>
          </cell>
          <cell r="AB59">
            <v>2.7424942156734713</v>
          </cell>
          <cell r="AC59">
            <v>2.9803664159646401</v>
          </cell>
          <cell r="AD59">
            <v>2.596654811651848</v>
          </cell>
          <cell r="AE59">
            <v>2.7357392194430576</v>
          </cell>
          <cell r="AF59">
            <v>2.2152567285017599</v>
          </cell>
          <cell r="AG59">
            <v>2.6299523557826405</v>
          </cell>
          <cell r="AH59">
            <v>4.9696343833217371</v>
          </cell>
          <cell r="AI59">
            <v>2.8952407476459712</v>
          </cell>
          <cell r="AJ59">
            <v>3.3225954764293912</v>
          </cell>
          <cell r="AK59">
            <v>2.6961607472059108</v>
          </cell>
          <cell r="AL59">
            <v>2.858925679796974</v>
          </cell>
          <cell r="AM59">
            <v>7.8798154196125783</v>
          </cell>
          <cell r="AN59">
            <v>12.751664127306581</v>
          </cell>
          <cell r="AO59">
            <v>11.07843701807109</v>
          </cell>
          <cell r="AP59">
            <v>5.8698293686622334</v>
          </cell>
          <cell r="AQ59">
            <v>6.0073108281267427</v>
          </cell>
          <cell r="AR59">
            <v>5.6138820157984402</v>
          </cell>
          <cell r="AS59">
            <v>5.759721367132582</v>
          </cell>
          <cell r="AT59">
            <v>5.8562234992357336</v>
          </cell>
          <cell r="AU59">
            <v>5.4124535462107319</v>
          </cell>
          <cell r="AV59">
            <v>5.3534485983368985</v>
          </cell>
          <cell r="AW59">
            <v>5.2114294829614503</v>
          </cell>
          <cell r="AX59">
            <v>5.0261621479733618</v>
          </cell>
          <cell r="AY59">
            <v>5.2396475490702752</v>
          </cell>
          <cell r="AZ59">
            <v>4.9360457613717887</v>
          </cell>
          <cell r="BA59">
            <v>4.8082905505720621</v>
          </cell>
          <cell r="BB59">
            <v>4.8487411403602625</v>
          </cell>
          <cell r="BC59">
            <v>4.91085473804291</v>
          </cell>
          <cell r="BD59">
            <v>4.9701507507970639</v>
          </cell>
          <cell r="BE59">
            <v>4.7955806019789309</v>
          </cell>
          <cell r="BF59">
            <v>4.7949719708097742</v>
          </cell>
          <cell r="BG59">
            <v>4.8469943750216418</v>
          </cell>
          <cell r="BH59">
            <v>4.8541067516858352</v>
          </cell>
          <cell r="BI59">
            <v>4.8699980166101877</v>
          </cell>
          <cell r="BJ59">
            <v>4.3647580180991925</v>
          </cell>
          <cell r="BK59">
            <v>4.8732040435016506</v>
          </cell>
          <cell r="BL59">
            <v>4.9923932486239115</v>
          </cell>
          <cell r="BM59">
            <v>4.8896290819617256</v>
          </cell>
          <cell r="BN59">
            <v>4.7319336395775657</v>
          </cell>
          <cell r="BO59">
            <v>4.4226760463556509</v>
          </cell>
          <cell r="BP59">
            <v>4.0331943657002922</v>
          </cell>
          <cell r="BQ59">
            <v>4.9684696447676027</v>
          </cell>
          <cell r="BR59">
            <v>5.3066674927841744</v>
          </cell>
          <cell r="BS59">
            <v>4.5628544936728472</v>
          </cell>
          <cell r="BT59">
            <v>3.8142774019395138</v>
          </cell>
          <cell r="BU59">
            <v>3.3713587433553469</v>
          </cell>
          <cell r="BV59">
            <v>4.0805741968926776</v>
          </cell>
          <cell r="BW59">
            <v>4.2371539880641071</v>
          </cell>
          <cell r="BX59">
            <v>3.6957197750766886</v>
          </cell>
          <cell r="BY59">
            <v>3.283621180031262</v>
          </cell>
          <cell r="BZ59">
            <v>2.8753244314888549</v>
          </cell>
          <cell r="CA59">
            <v>3.4563506691312966</v>
          </cell>
          <cell r="CB59">
            <v>3.4932520527258903</v>
          </cell>
          <cell r="CC59">
            <v>3.1035167534519399</v>
          </cell>
          <cell r="CD59">
            <v>2.7421970180756232</v>
          </cell>
          <cell r="CE59">
            <v>2.3788079431986047</v>
          </cell>
          <cell r="CF59">
            <v>2.8205204231919563</v>
          </cell>
          <cell r="CG59">
            <v>2.8423943675783669</v>
          </cell>
          <cell r="CH59">
            <v>2.5165202273790328</v>
          </cell>
        </row>
        <row r="60">
          <cell r="B60" t="str">
            <v>Net debt-to-Adj. EBITDA</v>
          </cell>
          <cell r="E60">
            <v>7.6527826822038909</v>
          </cell>
          <cell r="F60">
            <v>4.7689407128386954</v>
          </cell>
          <cell r="G60">
            <v>3.8257290519912392</v>
          </cell>
          <cell r="H60">
            <v>4.1038077478991895</v>
          </cell>
          <cell r="I60">
            <v>4.2087525708294269</v>
          </cell>
          <cell r="J60">
            <v>3.1063695099266595</v>
          </cell>
          <cell r="K60">
            <v>3.3377106743847795</v>
          </cell>
          <cell r="L60">
            <v>2.8640606653620337</v>
          </cell>
          <cell r="M60">
            <v>2.9543037990533674</v>
          </cell>
          <cell r="N60">
            <v>3.1073286431807596</v>
          </cell>
          <cell r="O60">
            <v>2.8193897291364491</v>
          </cell>
          <cell r="P60">
            <v>2.9274016200506123</v>
          </cell>
          <cell r="Q60">
            <v>2.897414131951789</v>
          </cell>
          <cell r="R60">
            <v>2.8167460296400719</v>
          </cell>
          <cell r="S60">
            <v>3.0860623303925929</v>
          </cell>
          <cell r="T60">
            <v>3.0908933707421364</v>
          </cell>
          <cell r="U60">
            <v>3.3407792945617967</v>
          </cell>
          <cell r="V60">
            <v>2.8783662713164602</v>
          </cell>
          <cell r="W60">
            <v>2.7741478140501976</v>
          </cell>
          <cell r="X60">
            <v>3.6583234862319602</v>
          </cell>
          <cell r="Y60">
            <v>3.3827937778043475</v>
          </cell>
          <cell r="Z60">
            <v>3.5161178795194274</v>
          </cell>
          <cell r="AA60">
            <v>2.7790287186613152</v>
          </cell>
          <cell r="AB60">
            <v>2.7424942156734713</v>
          </cell>
          <cell r="AC60">
            <v>2.9803664159646401</v>
          </cell>
          <cell r="AD60">
            <v>2.596654811651848</v>
          </cell>
          <cell r="AE60">
            <v>2.7357392194430599</v>
          </cell>
          <cell r="AF60">
            <v>2.2152567285017599</v>
          </cell>
          <cell r="AG60">
            <v>2.6299523557826405</v>
          </cell>
          <cell r="AH60">
            <v>4.9696343833217371</v>
          </cell>
          <cell r="AI60">
            <v>2.8952407476459712</v>
          </cell>
          <cell r="AJ60">
            <v>3.3225954764293926</v>
          </cell>
          <cell r="AK60">
            <v>2.6961607472059108</v>
          </cell>
          <cell r="AL60">
            <v>2.858925679796974</v>
          </cell>
          <cell r="AM60">
            <v>7.5085535377501635</v>
          </cell>
          <cell r="AN60">
            <v>12.016092907507254</v>
          </cell>
          <cell r="AO60">
            <v>10.74449065196548</v>
          </cell>
          <cell r="AP60">
            <v>5.672450027179428</v>
          </cell>
          <cell r="AQ60">
            <v>5.8360198886439534</v>
          </cell>
          <cell r="AR60">
            <v>5.4895011798857176</v>
          </cell>
          <cell r="AS60">
            <v>5.6129599218623678</v>
          </cell>
          <cell r="AT60">
            <v>5.695812139851907</v>
          </cell>
          <cell r="AU60">
            <v>5.2392010681858494</v>
          </cell>
          <cell r="AV60">
            <v>5.2016808493030062</v>
          </cell>
          <cell r="AW60">
            <v>5.1241081327131104</v>
          </cell>
          <cell r="AX60">
            <v>4.9703957334739899</v>
          </cell>
          <cell r="AY60">
            <v>5.1251571965821778</v>
          </cell>
          <cell r="AZ60">
            <v>4.7926394480167724</v>
          </cell>
          <cell r="BA60">
            <v>4.6891819247204394</v>
          </cell>
          <cell r="BB60">
            <v>4.7440173027227734</v>
          </cell>
          <cell r="BC60">
            <v>4.7769648762213439</v>
          </cell>
          <cell r="BD60">
            <v>4.8425922735240485</v>
          </cell>
          <cell r="BE60">
            <v>4.6064784463150845</v>
          </cell>
          <cell r="BF60">
            <v>4.670332010755132</v>
          </cell>
          <cell r="BG60">
            <v>4.7594194665100087</v>
          </cell>
          <cell r="BH60">
            <v>4.7374449929701647</v>
          </cell>
          <cell r="BI60">
            <v>4.7389727469239151</v>
          </cell>
          <cell r="BJ60">
            <v>4.2668414398465</v>
          </cell>
          <cell r="BK60">
            <v>4.7402408883032932</v>
          </cell>
          <cell r="BL60">
            <v>4.9147855899944588</v>
          </cell>
          <cell r="BM60">
            <v>4.7679876878098089</v>
          </cell>
          <cell r="BN60">
            <v>4.6252179871736976</v>
          </cell>
          <cell r="BO60">
            <v>4.3225952094195872</v>
          </cell>
          <cell r="BP60">
            <v>3.9500984724433872</v>
          </cell>
          <cell r="BQ60">
            <v>4.8451082958249652</v>
          </cell>
          <cell r="BR60">
            <v>5.1638707508610864</v>
          </cell>
          <cell r="BS60">
            <v>4.4556502419847357</v>
          </cell>
          <cell r="BT60">
            <v>3.7357413853681058</v>
          </cell>
          <cell r="BU60">
            <v>3.3092624439645992</v>
          </cell>
          <cell r="BV60">
            <v>3.9901322642673374</v>
          </cell>
          <cell r="BW60">
            <v>4.1364435980925078</v>
          </cell>
          <cell r="BX60">
            <v>3.61797332707541</v>
          </cell>
          <cell r="BY60">
            <v>3.2192226351265036</v>
          </cell>
          <cell r="BZ60">
            <v>2.8251907653820805</v>
          </cell>
          <cell r="CA60">
            <v>3.383953392191732</v>
          </cell>
          <cell r="CB60">
            <v>3.4163217281443297</v>
          </cell>
          <cell r="CC60">
            <v>3.0419344314255086</v>
          </cell>
          <cell r="CD60">
            <v>2.6919066406503918</v>
          </cell>
          <cell r="CE60">
            <v>2.3398511554826951</v>
          </cell>
          <cell r="CF60">
            <v>2.7653560443602081</v>
          </cell>
          <cell r="CG60">
            <v>2.7835220260945075</v>
          </cell>
          <cell r="CH60">
            <v>2.4697225663588349</v>
          </cell>
        </row>
        <row r="62">
          <cell r="B62" t="str">
            <v>Coverage Ratios</v>
          </cell>
        </row>
        <row r="63">
          <cell r="B63" t="str">
            <v>Interest Coverage (EBIT)</v>
          </cell>
          <cell r="F63">
            <v>1.2178063908298649</v>
          </cell>
          <cell r="G63">
            <v>1.7689906725220481</v>
          </cell>
          <cell r="H63">
            <v>1.7629678779126514</v>
          </cell>
          <cell r="I63">
            <v>1.8433796355295022</v>
          </cell>
          <cell r="J63">
            <v>2.9012504906633789</v>
          </cell>
          <cell r="K63">
            <v>1.9994394381689724</v>
          </cell>
          <cell r="L63">
            <v>3.8206706916133681</v>
          </cell>
          <cell r="M63">
            <v>3.5449098172134117</v>
          </cell>
          <cell r="N63">
            <v>3.9445496348390603</v>
          </cell>
          <cell r="O63">
            <v>4.2459348222117281</v>
          </cell>
          <cell r="P63">
            <v>3.8776010181355383</v>
          </cell>
          <cell r="Q63">
            <v>4.3095909732016979</v>
          </cell>
          <cell r="R63">
            <v>4.1024179516409705</v>
          </cell>
          <cell r="S63">
            <v>3.8942495126705721</v>
          </cell>
          <cell r="T63">
            <v>4.1777625257378173</v>
          </cell>
          <cell r="U63">
            <v>4.1180020255443743</v>
          </cell>
          <cell r="V63">
            <v>4.611762199019819</v>
          </cell>
          <cell r="W63">
            <v>4.476633491994809</v>
          </cell>
          <cell r="X63">
            <v>4.2645753953755445</v>
          </cell>
          <cell r="Y63">
            <v>4.0939917542965674</v>
          </cell>
          <cell r="Z63">
            <v>4.351178114504024</v>
          </cell>
          <cell r="AA63">
            <v>4.4708748518502199</v>
          </cell>
          <cell r="AB63">
            <v>4.3311750391100308</v>
          </cell>
          <cell r="AC63">
            <v>4.0135291683905692</v>
          </cell>
          <cell r="AD63">
            <v>4.3803651115618614</v>
          </cell>
          <cell r="AE63">
            <v>4.2964814560367</v>
          </cell>
          <cell r="AF63">
            <v>5.3220727957038534</v>
          </cell>
          <cell r="AG63">
            <v>4.5899036447423605</v>
          </cell>
          <cell r="AH63">
            <v>1.5061104240925298</v>
          </cell>
          <cell r="AI63">
            <v>3.9911143131604248</v>
          </cell>
          <cell r="AJ63">
            <v>3.7464198086002827</v>
          </cell>
          <cell r="AK63">
            <v>3.9116234705959725</v>
          </cell>
          <cell r="AL63">
            <v>3.8260311346493299</v>
          </cell>
          <cell r="AM63">
            <v>1.3107227594314292</v>
          </cell>
          <cell r="AN63">
            <v>0.3615943547823659</v>
          </cell>
          <cell r="AO63">
            <v>1.295765807811772</v>
          </cell>
          <cell r="AP63">
            <v>1.4939831746146708</v>
          </cell>
          <cell r="AQ63">
            <v>1.5099280258614538</v>
          </cell>
          <cell r="AR63">
            <v>1.5082814315940019</v>
          </cell>
          <cell r="AS63">
            <v>1.5269667211569442</v>
          </cell>
          <cell r="AT63">
            <v>1.5098327591835987</v>
          </cell>
          <cell r="AU63">
            <v>1.5575483792198248</v>
          </cell>
          <cell r="AV63">
            <v>1.6188650734178462</v>
          </cell>
          <cell r="AW63">
            <v>1.6516070027128436</v>
          </cell>
          <cell r="AX63">
            <v>1.7616518809310413</v>
          </cell>
          <cell r="AY63">
            <v>1.6471463071443666</v>
          </cell>
          <cell r="AZ63">
            <v>1.7014757939871386</v>
          </cell>
          <cell r="BA63">
            <v>1.7225054219882494</v>
          </cell>
          <cell r="BB63">
            <v>1.7121961331861892</v>
          </cell>
          <cell r="BC63">
            <v>1.704675820261081</v>
          </cell>
          <cell r="BD63">
            <v>1.7102063731159671</v>
          </cell>
          <cell r="BE63">
            <v>1.7114063299466402</v>
          </cell>
          <cell r="BF63">
            <v>1.7699442504441594</v>
          </cell>
          <cell r="BG63">
            <v>1.7795522949586198</v>
          </cell>
          <cell r="BH63">
            <v>1.7730278517434164</v>
          </cell>
          <cell r="BI63">
            <v>1.758184528421173</v>
          </cell>
          <cell r="BJ63">
            <v>2.2942533267619512</v>
          </cell>
          <cell r="BK63">
            <v>1.913579188296052</v>
          </cell>
          <cell r="BL63">
            <v>1.8139438085327757</v>
          </cell>
          <cell r="BM63">
            <v>1.7554293241971886</v>
          </cell>
          <cell r="BN63">
            <v>1.939443996764463</v>
          </cell>
          <cell r="BO63">
            <v>1.9682108617298615</v>
          </cell>
          <cell r="BP63">
            <v>2.3032352625085633</v>
          </cell>
          <cell r="BQ63">
            <v>1.6589997838949833</v>
          </cell>
          <cell r="BR63">
            <v>1.4306003322484917</v>
          </cell>
          <cell r="BS63">
            <v>1.8403343255546447</v>
          </cell>
          <cell r="BT63">
            <v>2.2961461679140784</v>
          </cell>
          <cell r="BU63">
            <v>2.7511448724634739</v>
          </cell>
          <cell r="BV63">
            <v>2.0309721141548187</v>
          </cell>
          <cell r="BW63">
            <v>1.8127651267748517</v>
          </cell>
          <cell r="BX63">
            <v>2.2229390255642043</v>
          </cell>
          <cell r="BY63">
            <v>2.5443470054314452</v>
          </cell>
          <cell r="BZ63">
            <v>3.0588326412171041</v>
          </cell>
          <cell r="CA63">
            <v>2.28602297023853</v>
          </cell>
          <cell r="CB63">
            <v>2.1154330302352671</v>
          </cell>
          <cell r="CC63">
            <v>2.5013546133373858</v>
          </cell>
          <cell r="CD63">
            <v>2.8844478725210583</v>
          </cell>
          <cell r="CE63">
            <v>3.4261532215945918</v>
          </cell>
          <cell r="CF63">
            <v>2.606520673643415</v>
          </cell>
          <cell r="CG63">
            <v>2.3926075324971006</v>
          </cell>
          <cell r="CH63">
            <v>2.8276791823348888</v>
          </cell>
        </row>
        <row r="64">
          <cell r="B64" t="str">
            <v>Interest Coverage (EBITDA)</v>
          </cell>
          <cell r="F64">
            <v>1.9842663107482128</v>
          </cell>
          <cell r="G64">
            <v>2.8036148513773451</v>
          </cell>
          <cell r="H64">
            <v>2.8816205456461512</v>
          </cell>
          <cell r="I64">
            <v>3.144556306019286</v>
          </cell>
          <cell r="J64">
            <v>4.688330623002301</v>
          </cell>
          <cell r="K64">
            <v>3.2651245927994248</v>
          </cell>
          <cell r="L64">
            <v>5.5233426983083289</v>
          </cell>
          <cell r="M64">
            <v>5.2971795182181332</v>
          </cell>
          <cell r="N64">
            <v>5.9043819312956467</v>
          </cell>
          <cell r="O64">
            <v>6.3916065042844625</v>
          </cell>
          <cell r="P64">
            <v>5.7582564428889587</v>
          </cell>
          <cell r="Q64">
            <v>6.2631640808650726</v>
          </cell>
          <cell r="R64">
            <v>6.1638567228655461</v>
          </cell>
          <cell r="S64">
            <v>5.8638184968594391</v>
          </cell>
          <cell r="T64">
            <v>6.2786019745525588</v>
          </cell>
          <cell r="U64">
            <v>6.1402548809992767</v>
          </cell>
          <cell r="V64">
            <v>6.660078840826765</v>
          </cell>
          <cell r="W64">
            <v>6.5702077022933807</v>
          </cell>
          <cell r="X64">
            <v>6.3164570175896477</v>
          </cell>
          <cell r="Y64">
            <v>6.0212627970537822</v>
          </cell>
          <cell r="Z64">
            <v>6.3775991590390602</v>
          </cell>
          <cell r="AA64">
            <v>6.237522496817518</v>
          </cell>
          <cell r="AB64">
            <v>6.0903876238484287</v>
          </cell>
          <cell r="AC64">
            <v>5.6887463798096842</v>
          </cell>
          <cell r="AD64">
            <v>6.1569574036511119</v>
          </cell>
          <cell r="AE64">
            <v>6.0405546806464265</v>
          </cell>
          <cell r="AF64">
            <v>7.2730527378712013</v>
          </cell>
          <cell r="AG64">
            <v>6.5665689149560178</v>
          </cell>
          <cell r="AH64">
            <v>3.3229068160325896</v>
          </cell>
          <cell r="AI64">
            <v>5.6766845066556906</v>
          </cell>
          <cell r="AJ64">
            <v>5.5917066637992576</v>
          </cell>
          <cell r="AK64">
            <v>5.5979147480594644</v>
          </cell>
          <cell r="AL64">
            <v>5.5384047504413374</v>
          </cell>
          <cell r="AM64">
            <v>2.0736593862673587</v>
          </cell>
          <cell r="AN64">
            <v>1.0317543491930414</v>
          </cell>
          <cell r="AO64">
            <v>2.1706015202965503</v>
          </cell>
          <cell r="AP64">
            <v>2.2345596311450686</v>
          </cell>
          <cell r="AQ64">
            <v>2.3193423209230302</v>
          </cell>
          <cell r="AR64">
            <v>2.2861042405459346</v>
          </cell>
          <cell r="AS64">
            <v>2.2774231269464367</v>
          </cell>
          <cell r="AT64">
            <v>2.2786812965511349</v>
          </cell>
          <cell r="AU64">
            <v>2.3849215554605916</v>
          </cell>
          <cell r="AV64">
            <v>2.5010373251255622</v>
          </cell>
          <cell r="AW64">
            <v>2.5387367679501707</v>
          </cell>
          <cell r="AX64">
            <v>2.6558746252047887</v>
          </cell>
          <cell r="AY64">
            <v>2.5197245635043575</v>
          </cell>
          <cell r="AZ64">
            <v>2.6218464875105965</v>
          </cell>
          <cell r="BA64">
            <v>2.6702318942665966</v>
          </cell>
          <cell r="BB64">
            <v>2.6335916493405938</v>
          </cell>
          <cell r="BC64">
            <v>2.6566254875677746</v>
          </cell>
          <cell r="BD64">
            <v>2.6456484324908041</v>
          </cell>
          <cell r="BE64">
            <v>2.6901176814560328</v>
          </cell>
          <cell r="BF64">
            <v>2.7585860442320662</v>
          </cell>
          <cell r="BG64">
            <v>2.7923125156759512</v>
          </cell>
          <cell r="BH64">
            <v>2.8559773349654858</v>
          </cell>
          <cell r="BI64">
            <v>2.7734193416428585</v>
          </cell>
          <cell r="BJ64">
            <v>3.4399999999999995</v>
          </cell>
          <cell r="BK64">
            <v>3.0995468546966798</v>
          </cell>
          <cell r="BL64">
            <v>2.9630435468104537</v>
          </cell>
          <cell r="BM64">
            <v>2.8686989287898972</v>
          </cell>
          <cell r="BN64">
            <v>3.0872732984887139</v>
          </cell>
          <cell r="BO64">
            <v>3.0818703797686613</v>
          </cell>
          <cell r="BP64">
            <v>3.4280833860441562</v>
          </cell>
          <cell r="BQ64">
            <v>2.7941060693663995</v>
          </cell>
          <cell r="BR64">
            <v>2.5760713285225743</v>
          </cell>
          <cell r="BS64">
            <v>2.9701008972266316</v>
          </cell>
          <cell r="BT64">
            <v>3.4675823290126573</v>
          </cell>
          <cell r="BU64">
            <v>3.9251420834122315</v>
          </cell>
          <cell r="BV64">
            <v>3.2070820382663392</v>
          </cell>
          <cell r="BW64">
            <v>2.9912179646471935</v>
          </cell>
          <cell r="BX64">
            <v>3.3979363190535405</v>
          </cell>
          <cell r="BY64">
            <v>3.7265728391648612</v>
          </cell>
          <cell r="BZ64">
            <v>4.2447212567819648</v>
          </cell>
          <cell r="CA64">
            <v>3.4751255032601303</v>
          </cell>
          <cell r="CB64">
            <v>3.3080723232893035</v>
          </cell>
          <cell r="CC64">
            <v>3.6888157481992563</v>
          </cell>
          <cell r="CD64">
            <v>4.0821723557941407</v>
          </cell>
          <cell r="CE64">
            <v>4.6287764841985828</v>
          </cell>
          <cell r="CF64">
            <v>3.8135170707443087</v>
          </cell>
          <cell r="CG64">
            <v>3.6042784280729419</v>
          </cell>
          <cell r="CH64">
            <v>4.0324284052849624</v>
          </cell>
        </row>
        <row r="65">
          <cell r="B65" t="str">
            <v>Cash flow-to-interest</v>
          </cell>
          <cell r="K65">
            <v>0.1804585067127267</v>
          </cell>
          <cell r="L65">
            <v>1.1452473414873152</v>
          </cell>
          <cell r="M65">
            <v>2.4968970766168375</v>
          </cell>
          <cell r="N65">
            <v>0.78747716749500896</v>
          </cell>
          <cell r="O65">
            <v>2.2610329165031127</v>
          </cell>
          <cell r="P65">
            <v>1.6328954605068322</v>
          </cell>
          <cell r="Q65">
            <v>2.92061689282085</v>
          </cell>
          <cell r="R65">
            <v>5.2594116934995769</v>
          </cell>
          <cell r="S65">
            <v>4.1317960508520413</v>
          </cell>
          <cell r="T65">
            <v>5.9809054719654542</v>
          </cell>
          <cell r="U65">
            <v>4.5418230989500472</v>
          </cell>
          <cell r="V65">
            <v>0.50011753643629475</v>
          </cell>
          <cell r="W65">
            <v>8.5666886662266748</v>
          </cell>
          <cell r="X65">
            <v>2.5484622048949541</v>
          </cell>
          <cell r="Y65">
            <v>2.3941713742674624</v>
          </cell>
          <cell r="Z65">
            <v>3.4280087773589152</v>
          </cell>
          <cell r="AA65">
            <v>3.2884615384615383</v>
          </cell>
          <cell r="AB65">
            <v>7.8025746430116847</v>
          </cell>
          <cell r="AC65">
            <v>2.984967900203559</v>
          </cell>
          <cell r="AD65">
            <v>2.8987816741557415</v>
          </cell>
          <cell r="AE65">
            <v>4.1759608235263954</v>
          </cell>
          <cell r="AF65">
            <v>6.5277643650410431</v>
          </cell>
          <cell r="AG65">
            <v>5.5487137145836956</v>
          </cell>
          <cell r="AH65">
            <v>2.4562267273479521</v>
          </cell>
          <cell r="AI65">
            <v>3.0541987829614614</v>
          </cell>
          <cell r="AJ65">
            <v>4.3445298214833059</v>
          </cell>
          <cell r="AK65">
            <v>4.1682654794143295</v>
          </cell>
          <cell r="AL65">
            <v>4.8693757855048174</v>
          </cell>
          <cell r="AM65">
            <v>2.218847748599694</v>
          </cell>
          <cell r="AN65">
            <v>2.8202278029367371</v>
          </cell>
          <cell r="AO65">
            <v>3.4238360101271761</v>
          </cell>
          <cell r="AP65">
            <v>3.9582620707801603</v>
          </cell>
          <cell r="AQ65">
            <v>3.06984432675333</v>
          </cell>
          <cell r="AR65">
            <v>1.3523479108575194</v>
          </cell>
          <cell r="AS65">
            <v>1.6481986073266728</v>
          </cell>
          <cell r="AT65">
            <v>1.8446819125480791</v>
          </cell>
          <cell r="AU65">
            <v>0.33272380538557189</v>
          </cell>
          <cell r="AV65">
            <v>2.3428845368972731</v>
          </cell>
          <cell r="AW65">
            <v>1.5989093184730463</v>
          </cell>
          <cell r="AX65">
            <v>2.2207273855405876</v>
          </cell>
          <cell r="AY65">
            <v>1.6130317241884353</v>
          </cell>
          <cell r="AZ65">
            <v>1.5837067334106587</v>
          </cell>
          <cell r="BA65">
            <v>1.7648771001963173</v>
          </cell>
          <cell r="BB65">
            <v>2.2021158920548998</v>
          </cell>
          <cell r="BC65">
            <v>1.0860189793205774</v>
          </cell>
          <cell r="BD65">
            <v>1.6589516090503202</v>
          </cell>
          <cell r="BE65">
            <v>1.8656828040085758</v>
          </cell>
          <cell r="BF65">
            <v>1.4979640511366095</v>
          </cell>
          <cell r="BG65">
            <v>2.1741529531555814</v>
          </cell>
          <cell r="BH65">
            <v>1.753148812327163</v>
          </cell>
          <cell r="BI65">
            <v>1.8234124731948107</v>
          </cell>
          <cell r="BJ65">
            <v>1.1421618790049461</v>
          </cell>
          <cell r="BK65">
            <v>2.4332169331617965</v>
          </cell>
          <cell r="BL65">
            <v>1.4769877100576869</v>
          </cell>
          <cell r="BM65">
            <v>2.7868969346676602</v>
          </cell>
          <cell r="BN65">
            <v>1.9553430312195912</v>
          </cell>
          <cell r="BO65">
            <v>1.2308854936750446</v>
          </cell>
          <cell r="BP65">
            <v>1.9498901765749601</v>
          </cell>
          <cell r="BQ65">
            <v>1.8600447765900419</v>
          </cell>
          <cell r="BR65">
            <v>2.6198735202245267</v>
          </cell>
          <cell r="BS65">
            <v>1.9278446896978552</v>
          </cell>
          <cell r="BT65">
            <v>1.401435534973007</v>
          </cell>
          <cell r="BU65">
            <v>1.4966439823651048</v>
          </cell>
          <cell r="BV65">
            <v>2.0216251777800909</v>
          </cell>
          <cell r="BW65">
            <v>2.5015077061994018</v>
          </cell>
          <cell r="BX65">
            <v>1.8551478352135671</v>
          </cell>
          <cell r="BY65">
            <v>1.86530275553739</v>
          </cell>
          <cell r="BZ65">
            <v>1.83761929077464</v>
          </cell>
          <cell r="CA65">
            <v>2.4188537156140568</v>
          </cell>
          <cell r="CB65">
            <v>2.9107358353320127</v>
          </cell>
          <cell r="CC65">
            <v>2.2578322905820869</v>
          </cell>
          <cell r="CD65">
            <v>1.9876008663787317</v>
          </cell>
          <cell r="CE65">
            <v>2.0002993948979015</v>
          </cell>
          <cell r="CF65">
            <v>2.6148107972040586</v>
          </cell>
          <cell r="CG65">
            <v>3.1364411000564685</v>
          </cell>
          <cell r="CH65">
            <v>2.4344254722001653</v>
          </cell>
        </row>
        <row r="66">
          <cell r="B66" t="str">
            <v>A = L + SE?</v>
          </cell>
          <cell r="E66" t="str">
            <v>ok</v>
          </cell>
          <cell r="F66" t="str">
            <v>ok</v>
          </cell>
          <cell r="G66" t="str">
            <v>ok</v>
          </cell>
          <cell r="H66" t="str">
            <v>ok</v>
          </cell>
          <cell r="I66" t="str">
            <v>ok</v>
          </cell>
          <cell r="J66" t="str">
            <v>ok</v>
          </cell>
          <cell r="K66" t="str">
            <v>ok</v>
          </cell>
          <cell r="L66" t="str">
            <v>ok</v>
          </cell>
          <cell r="M66" t="str">
            <v>ok</v>
          </cell>
          <cell r="N66" t="str">
            <v>ok</v>
          </cell>
          <cell r="O66" t="str">
            <v>ok</v>
          </cell>
          <cell r="P66" t="str">
            <v>ok</v>
          </cell>
          <cell r="Q66" t="str">
            <v>ok</v>
          </cell>
          <cell r="R66" t="str">
            <v>ok</v>
          </cell>
          <cell r="S66" t="str">
            <v>ok</v>
          </cell>
          <cell r="T66" t="str">
            <v>ok</v>
          </cell>
          <cell r="U66" t="str">
            <v>ok</v>
          </cell>
          <cell r="V66" t="str">
            <v>ok</v>
          </cell>
          <cell r="W66" t="str">
            <v>ok</v>
          </cell>
          <cell r="X66" t="str">
            <v>ok</v>
          </cell>
          <cell r="Y66" t="str">
            <v>ok</v>
          </cell>
          <cell r="Z66" t="str">
            <v>ok</v>
          </cell>
          <cell r="AA66" t="str">
            <v>ok</v>
          </cell>
          <cell r="AB66" t="str">
            <v>ok</v>
          </cell>
          <cell r="AC66" t="str">
            <v>ok</v>
          </cell>
          <cell r="AD66" t="str">
            <v>ok</v>
          </cell>
          <cell r="AE66" t="str">
            <v>ok</v>
          </cell>
          <cell r="AF66" t="str">
            <v>ok</v>
          </cell>
          <cell r="AG66" t="str">
            <v>ok</v>
          </cell>
          <cell r="AH66" t="str">
            <v>ok</v>
          </cell>
          <cell r="AI66" t="str">
            <v>ok</v>
          </cell>
          <cell r="AJ66" t="str">
            <v>ok</v>
          </cell>
          <cell r="AK66" t="str">
            <v>ok</v>
          </cell>
          <cell r="AL66" t="str">
            <v>ok</v>
          </cell>
          <cell r="AM66" t="str">
            <v>ok</v>
          </cell>
          <cell r="AN66" t="str">
            <v>ok</v>
          </cell>
          <cell r="AO66" t="str">
            <v>ok</v>
          </cell>
          <cell r="AP66" t="str">
            <v>ok</v>
          </cell>
          <cell r="AQ66" t="str">
            <v>ok</v>
          </cell>
          <cell r="AR66" t="str">
            <v>ok</v>
          </cell>
          <cell r="AS66" t="str">
            <v>ok</v>
          </cell>
          <cell r="AT66" t="str">
            <v>ok</v>
          </cell>
          <cell r="AU66" t="str">
            <v>ok</v>
          </cell>
          <cell r="AV66" t="str">
            <v>ok</v>
          </cell>
          <cell r="AW66" t="str">
            <v>ok</v>
          </cell>
          <cell r="AX66" t="str">
            <v>ok</v>
          </cell>
          <cell r="AY66" t="str">
            <v>ok</v>
          </cell>
          <cell r="AZ66" t="str">
            <v>ok</v>
          </cell>
          <cell r="BA66" t="str">
            <v>ok</v>
          </cell>
          <cell r="BB66" t="str">
            <v>ok</v>
          </cell>
          <cell r="BC66" t="str">
            <v>ok</v>
          </cell>
          <cell r="BD66" t="str">
            <v>ok</v>
          </cell>
          <cell r="BE66" t="str">
            <v>ok</v>
          </cell>
          <cell r="BF66" t="str">
            <v>ok</v>
          </cell>
          <cell r="BG66" t="str">
            <v>ok</v>
          </cell>
          <cell r="BH66" t="str">
            <v>ok</v>
          </cell>
          <cell r="BI66" t="str">
            <v>ok</v>
          </cell>
          <cell r="BJ66" t="str">
            <v>ok</v>
          </cell>
          <cell r="BK66" t="str">
            <v>ok</v>
          </cell>
          <cell r="BL66" t="str">
            <v>ok</v>
          </cell>
          <cell r="BM66" t="str">
            <v>ok</v>
          </cell>
          <cell r="BN66" t="str">
            <v>ok</v>
          </cell>
          <cell r="BO66" t="str">
            <v>ok</v>
          </cell>
          <cell r="BP66" t="str">
            <v>ok</v>
          </cell>
          <cell r="BQ66" t="str">
            <v>ok</v>
          </cell>
          <cell r="BR66" t="str">
            <v>ok</v>
          </cell>
          <cell r="BS66" t="str">
            <v>ok</v>
          </cell>
          <cell r="BT66" t="str">
            <v>ok</v>
          </cell>
          <cell r="BU66" t="str">
            <v>ok</v>
          </cell>
          <cell r="BV66" t="str">
            <v>ok</v>
          </cell>
          <cell r="BW66" t="str">
            <v>ok</v>
          </cell>
          <cell r="BX66" t="str">
            <v>ok</v>
          </cell>
          <cell r="BY66" t="str">
            <v>ok</v>
          </cell>
          <cell r="BZ66" t="str">
            <v>ok</v>
          </cell>
          <cell r="CA66" t="str">
            <v>ok</v>
          </cell>
          <cell r="CB66" t="str">
            <v>ok</v>
          </cell>
          <cell r="CC66" t="str">
            <v>ok</v>
          </cell>
          <cell r="CD66" t="str">
            <v>ok</v>
          </cell>
          <cell r="CE66" t="str">
            <v>ok</v>
          </cell>
          <cell r="CF66" t="str">
            <v>ok</v>
          </cell>
          <cell r="CG66" t="str">
            <v>ok</v>
          </cell>
          <cell r="CH66" t="str">
            <v>ok</v>
          </cell>
        </row>
        <row r="68">
          <cell r="B68" t="str">
            <v>Net issuance</v>
          </cell>
          <cell r="D68">
            <v>0</v>
          </cell>
          <cell r="E68">
            <v>0</v>
          </cell>
          <cell r="F68">
            <v>515.23399999999992</v>
          </cell>
          <cell r="G68">
            <v>-7.1000000000000008E-2</v>
          </cell>
          <cell r="H68">
            <v>2.2910000000000004</v>
          </cell>
          <cell r="I68">
            <v>3.4379999999999997</v>
          </cell>
          <cell r="J68">
            <v>303.46300000000002</v>
          </cell>
          <cell r="K68">
            <v>309.12099999999998</v>
          </cell>
          <cell r="L68">
            <v>0.81</v>
          </cell>
          <cell r="M68">
            <v>6.0819999999999999</v>
          </cell>
          <cell r="N68">
            <v>-2.6440000000000001</v>
          </cell>
          <cell r="O68">
            <v>0.55500000000000016</v>
          </cell>
          <cell r="P68">
            <v>4.8029999999999999</v>
          </cell>
          <cell r="Q68">
            <v>-9.7809999999999988</v>
          </cell>
          <cell r="R68">
            <v>-0.92600000000000049</v>
          </cell>
          <cell r="S68">
            <v>-0.16100000000000092</v>
          </cell>
          <cell r="T68">
            <v>2.4240000000000004</v>
          </cell>
          <cell r="U68">
            <v>-8.4440000000000008</v>
          </cell>
          <cell r="V68">
            <v>1.387</v>
          </cell>
          <cell r="W68">
            <v>1.526</v>
          </cell>
          <cell r="X68">
            <v>-288.233</v>
          </cell>
          <cell r="Y68">
            <v>6.2800000000000136</v>
          </cell>
          <cell r="Z68">
            <v>-279.04000000000002</v>
          </cell>
          <cell r="AA68">
            <v>12.951000000000001</v>
          </cell>
          <cell r="AB68">
            <v>15.722999999999999</v>
          </cell>
          <cell r="AC68">
            <v>-62.192999999999998</v>
          </cell>
          <cell r="AD68">
            <v>11.306999999999997</v>
          </cell>
          <cell r="AE68">
            <v>-22.212000000000003</v>
          </cell>
          <cell r="AF68">
            <v>-1.9290000000000003</v>
          </cell>
          <cell r="AG68">
            <v>-117.024</v>
          </cell>
          <cell r="AH68">
            <v>10.100000000000001</v>
          </cell>
          <cell r="AI68">
            <v>-30.022000000000002</v>
          </cell>
          <cell r="AJ68">
            <v>-138.875</v>
          </cell>
          <cell r="AK68">
            <v>9.8339999999999996</v>
          </cell>
          <cell r="AL68">
            <v>11.972</v>
          </cell>
          <cell r="AM68">
            <v>16.841000000000001</v>
          </cell>
          <cell r="AN68">
            <v>24.334000000000003</v>
          </cell>
          <cell r="AO68">
            <v>62.981000000000002</v>
          </cell>
          <cell r="AP68">
            <v>23.021999999999998</v>
          </cell>
          <cell r="AQ68">
            <v>12.820999999999998</v>
          </cell>
          <cell r="AR68">
            <v>16.920000000000002</v>
          </cell>
          <cell r="AS68">
            <v>-48.939</v>
          </cell>
          <cell r="AT68">
            <v>3.823999999999991</v>
          </cell>
          <cell r="AU68">
            <v>26.271999999999998</v>
          </cell>
          <cell r="AV68">
            <v>30.518000000000001</v>
          </cell>
          <cell r="AW68">
            <v>32.472000000000001</v>
          </cell>
          <cell r="AX68">
            <v>-32.002000000000002</v>
          </cell>
          <cell r="AY68">
            <v>57.26</v>
          </cell>
          <cell r="AZ68">
            <v>33.730000000000004</v>
          </cell>
          <cell r="BA68">
            <v>28.061</v>
          </cell>
          <cell r="BB68">
            <v>-85.985000000000014</v>
          </cell>
          <cell r="BC68">
            <v>5.9280000000000044</v>
          </cell>
          <cell r="BD68">
            <v>-18.265999999999991</v>
          </cell>
          <cell r="BE68">
            <v>28.042999999999999</v>
          </cell>
          <cell r="BF68">
            <v>-38.481999999999999</v>
          </cell>
          <cell r="BG68">
            <v>-24.883000000000003</v>
          </cell>
          <cell r="BH68">
            <v>10.984000000000002</v>
          </cell>
          <cell r="BI68">
            <v>-24.338000000000005</v>
          </cell>
          <cell r="BJ68">
            <v>10.802999999999999</v>
          </cell>
          <cell r="BK68">
            <v>11.09</v>
          </cell>
          <cell r="BL68">
            <v>14.565000000000001</v>
          </cell>
          <cell r="BM68">
            <v>24.800377757559836</v>
          </cell>
          <cell r="BN68">
            <v>61.258377757559835</v>
          </cell>
          <cell r="BO68">
            <v>25.772388065930208</v>
          </cell>
          <cell r="BP68">
            <v>25.929611644153955</v>
          </cell>
          <cell r="BQ68">
            <v>25.71331415430619</v>
          </cell>
          <cell r="BR68">
            <v>25.711405833764339</v>
          </cell>
          <cell r="BS68">
            <v>103.12671969815469</v>
          </cell>
          <cell r="BT68">
            <v>25.107194567158729</v>
          </cell>
          <cell r="BU68">
            <v>25.2282328250867</v>
          </cell>
          <cell r="BV68">
            <v>24.940957601620092</v>
          </cell>
          <cell r="BW68">
            <v>24.85822055605027</v>
          </cell>
          <cell r="BX68">
            <v>100.13460554991579</v>
          </cell>
          <cell r="BY68">
            <v>25.654373035177532</v>
          </cell>
          <cell r="BZ68">
            <v>25.808749165492941</v>
          </cell>
          <cell r="CA68">
            <v>25.52031614033654</v>
          </cell>
          <cell r="CB68">
            <v>25.479253772902126</v>
          </cell>
          <cell r="CC68">
            <v>102.46269211390914</v>
          </cell>
          <cell r="CD68">
            <v>26.31670578595352</v>
          </cell>
          <cell r="CE68">
            <v>26.467923165327914</v>
          </cell>
          <cell r="CF68">
            <v>26.172939693416563</v>
          </cell>
          <cell r="CG68">
            <v>26.101134353941511</v>
          </cell>
          <cell r="CH68">
            <v>105.05870299863952</v>
          </cell>
          <cell r="CL68" t="str">
            <v>mstag:netIssuanceRepurchaseOfCommonStock</v>
          </cell>
          <cell r="CM68">
            <v>6</v>
          </cell>
          <cell r="CN68" t="str">
            <v>ISO4217:USD</v>
          </cell>
          <cell r="CO68" t="b">
            <v>0</v>
          </cell>
          <cell r="CP68" t="b">
            <v>0</v>
          </cell>
        </row>
        <row r="69">
          <cell r="B69" t="str">
            <v>Retained earnings adjustments</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L69" t="str">
            <v>mstag:commonDividends</v>
          </cell>
          <cell r="CM69">
            <v>6</v>
          </cell>
          <cell r="CN69" t="str">
            <v>ISO4217:USD</v>
          </cell>
          <cell r="CO69" t="b">
            <v>0</v>
          </cell>
          <cell r="CP69" t="b">
            <v>1</v>
          </cell>
        </row>
        <row r="71">
          <cell r="B71" t="str">
            <v>Ending receivables collection period</v>
          </cell>
          <cell r="G71">
            <v>70.690790051298791</v>
          </cell>
          <cell r="H71">
            <v>71.840265496658859</v>
          </cell>
          <cell r="I71">
            <v>73.883308647546983</v>
          </cell>
          <cell r="J71">
            <v>71.297678334331579</v>
          </cell>
          <cell r="K71">
            <v>71.928010632459049</v>
          </cell>
          <cell r="L71">
            <v>68.967234531478738</v>
          </cell>
          <cell r="M71">
            <v>64.460577252903406</v>
          </cell>
          <cell r="N71">
            <v>65.030090025884462</v>
          </cell>
          <cell r="O71">
            <v>63.140089978148168</v>
          </cell>
          <cell r="P71">
            <v>65.399497947103697</v>
          </cell>
          <cell r="Q71">
            <v>63.450780172825681</v>
          </cell>
          <cell r="R71">
            <v>56.913332410355807</v>
          </cell>
          <cell r="S71">
            <v>62.619427901225684</v>
          </cell>
          <cell r="T71">
            <v>64.697929139959143</v>
          </cell>
          <cell r="U71">
            <v>61.920367406091579</v>
          </cell>
          <cell r="V71">
            <v>64.60867656643677</v>
          </cell>
          <cell r="W71">
            <v>61.777452502184552</v>
          </cell>
          <cell r="X71">
            <v>62.992391301772194</v>
          </cell>
          <cell r="Y71">
            <v>63.03741425970518</v>
          </cell>
          <cell r="Z71">
            <v>63.103983657524672</v>
          </cell>
          <cell r="AA71">
            <v>59.717987371295301</v>
          </cell>
          <cell r="AB71">
            <v>60.881145248052178</v>
          </cell>
          <cell r="AC71">
            <v>62.357943717050709</v>
          </cell>
          <cell r="AD71">
            <v>61.456584561181991</v>
          </cell>
          <cell r="AE71">
            <v>61.103415224395043</v>
          </cell>
          <cell r="AF71">
            <v>61.288095604551899</v>
          </cell>
          <cell r="AG71">
            <v>62.40927228962898</v>
          </cell>
          <cell r="AH71">
            <v>61.050764453044685</v>
          </cell>
          <cell r="AI71">
            <v>61.678602518716268</v>
          </cell>
          <cell r="AJ71">
            <v>61.606683716485456</v>
          </cell>
          <cell r="AK71">
            <v>61.108731998501653</v>
          </cell>
          <cell r="AL71">
            <v>63.855419940950817</v>
          </cell>
          <cell r="AM71">
            <v>71.563534852239741</v>
          </cell>
          <cell r="AN71">
            <v>55.811047714272831</v>
          </cell>
          <cell r="AO71">
            <v>63.084683626491262</v>
          </cell>
          <cell r="AP71">
            <v>54.237194937295463</v>
          </cell>
          <cell r="AQ71">
            <v>54.239530959637264</v>
          </cell>
          <cell r="AR71">
            <v>54.506697056468774</v>
          </cell>
          <cell r="AS71">
            <v>53.768670936268123</v>
          </cell>
          <cell r="AT71">
            <v>54.188023472417399</v>
          </cell>
          <cell r="AU71">
            <v>51.152406833103427</v>
          </cell>
          <cell r="AV71">
            <v>50.007604672383899</v>
          </cell>
          <cell r="AW71">
            <v>49.963032399375784</v>
          </cell>
          <cell r="AX71">
            <v>48.152716177107131</v>
          </cell>
          <cell r="AY71">
            <v>49.818940020492555</v>
          </cell>
          <cell r="AZ71">
            <v>48.751402369458624</v>
          </cell>
          <cell r="BA71">
            <v>48.263182177113769</v>
          </cell>
          <cell r="BB71">
            <v>46.717952802151252</v>
          </cell>
          <cell r="BC71">
            <v>46.356690380195253</v>
          </cell>
          <cell r="BD71">
            <v>47.522306932229725</v>
          </cell>
          <cell r="BE71">
            <v>46.676950508935668</v>
          </cell>
          <cell r="BF71">
            <v>47.500549386705039</v>
          </cell>
          <cell r="BG71">
            <v>47.475989522700814</v>
          </cell>
          <cell r="BH71">
            <v>49.017480829417103</v>
          </cell>
          <cell r="BI71">
            <v>47.667742561939654</v>
          </cell>
          <cell r="BJ71">
            <v>48.573623407588386</v>
          </cell>
          <cell r="BK71">
            <v>49.922638844253775</v>
          </cell>
          <cell r="BL71">
            <v>52.044795019072616</v>
          </cell>
          <cell r="BM71">
            <v>49</v>
          </cell>
          <cell r="BN71">
            <v>49.885264317728691</v>
          </cell>
          <cell r="BO71">
            <v>48.073623407588386</v>
          </cell>
          <cell r="BP71">
            <v>49.422638844253775</v>
          </cell>
          <cell r="BQ71">
            <v>51.544795019072616</v>
          </cell>
          <cell r="BR71">
            <v>48.5</v>
          </cell>
          <cell r="BS71">
            <v>49.385264317728691</v>
          </cell>
          <cell r="BT71">
            <v>47.573623407588386</v>
          </cell>
          <cell r="BU71">
            <v>48.922638844253775</v>
          </cell>
          <cell r="BV71">
            <v>51.044795019072616</v>
          </cell>
          <cell r="BW71">
            <v>48</v>
          </cell>
          <cell r="BX71">
            <v>48.885264317728691</v>
          </cell>
          <cell r="BY71">
            <v>47.073623407588386</v>
          </cell>
          <cell r="BZ71">
            <v>48.422638844253775</v>
          </cell>
          <cell r="CA71">
            <v>50.544795019072616</v>
          </cell>
          <cell r="CB71">
            <v>47.5</v>
          </cell>
          <cell r="CC71">
            <v>48.385264317728691</v>
          </cell>
          <cell r="CD71">
            <v>46.573623407588386</v>
          </cell>
          <cell r="CE71">
            <v>47.922638844253775</v>
          </cell>
          <cell r="CF71">
            <v>50.044795019072616</v>
          </cell>
          <cell r="CG71">
            <v>47</v>
          </cell>
          <cell r="CH71">
            <v>47.885264317728691</v>
          </cell>
        </row>
        <row r="72">
          <cell r="B72" t="str">
            <v>Inventory turnover</v>
          </cell>
          <cell r="G72">
            <v>3.0026834298208565</v>
          </cell>
          <cell r="H72">
            <v>2.9670329670329667</v>
          </cell>
          <cell r="I72">
            <v>3.043966345590476</v>
          </cell>
          <cell r="J72">
            <v>3.0524375342350312</v>
          </cell>
          <cell r="K72">
            <v>3.0165300691698325</v>
          </cell>
          <cell r="L72">
            <v>3.2384390751260099</v>
          </cell>
          <cell r="M72">
            <v>3.1160551652354931</v>
          </cell>
          <cell r="N72">
            <v>3.1467677107495087</v>
          </cell>
          <cell r="O72">
            <v>3.1215429403202331</v>
          </cell>
          <cell r="P72">
            <v>3.155701222857811</v>
          </cell>
          <cell r="Q72">
            <v>3.2214974519796158</v>
          </cell>
          <cell r="R72">
            <v>3.3074358015457488</v>
          </cell>
          <cell r="S72">
            <v>3.3700096404672788</v>
          </cell>
          <cell r="T72">
            <v>3.3245756800744011</v>
          </cell>
          <cell r="U72">
            <v>3.3058796435167612</v>
          </cell>
          <cell r="V72">
            <v>3.2957956252287728</v>
          </cell>
          <cell r="W72">
            <v>3.1755989759443528</v>
          </cell>
          <cell r="X72">
            <v>3.2132324612097642</v>
          </cell>
          <cell r="Y72">
            <v>3.2082431712871178</v>
          </cell>
          <cell r="Z72">
            <v>3.223217558417502</v>
          </cell>
          <cell r="AA72">
            <v>3.410814004680585</v>
          </cell>
          <cell r="AB72">
            <v>3.3832571783155636</v>
          </cell>
          <cell r="AC72">
            <v>3.3762276365087458</v>
          </cell>
          <cell r="AD72">
            <v>3.3516806722689081</v>
          </cell>
          <cell r="AE72">
            <v>3.3804948729434505</v>
          </cell>
          <cell r="AF72">
            <v>3.4772200202395007</v>
          </cell>
          <cell r="AG72">
            <v>3.3517992884499486</v>
          </cell>
          <cell r="AH72">
            <v>3.4207631327423678</v>
          </cell>
          <cell r="AI72">
            <v>3.2448729262266145</v>
          </cell>
          <cell r="AJ72">
            <v>3.3736638419146079</v>
          </cell>
          <cell r="AK72">
            <v>3.404377178661254</v>
          </cell>
          <cell r="AL72">
            <v>3.317282148830802</v>
          </cell>
          <cell r="AM72">
            <v>2.8515895137636411</v>
          </cell>
          <cell r="AN72">
            <v>3.3375769770599799</v>
          </cell>
          <cell r="AO72">
            <v>3.2277064545789194</v>
          </cell>
          <cell r="AP72">
            <v>3.455928743737243</v>
          </cell>
          <cell r="AQ72">
            <v>3.3921690071057755</v>
          </cell>
          <cell r="AR72">
            <v>3.4135306000299273</v>
          </cell>
          <cell r="AS72">
            <v>3.3171391200167069</v>
          </cell>
          <cell r="AT72">
            <v>3.3946918677224134</v>
          </cell>
          <cell r="AU72">
            <v>3.4213741012419208</v>
          </cell>
          <cell r="AV72">
            <v>3.446579481775613</v>
          </cell>
          <cell r="AW72">
            <v>3.4437531342406063</v>
          </cell>
          <cell r="AX72">
            <v>3.2677184089038995</v>
          </cell>
          <cell r="AY72">
            <v>3.3948562815405099</v>
          </cell>
          <cell r="AZ72">
            <v>3.3430028563804028</v>
          </cell>
          <cell r="BA72">
            <v>3.3393596704980597</v>
          </cell>
          <cell r="BB72">
            <v>3.3438059725276474</v>
          </cell>
          <cell r="BC72">
            <v>3.3040375067605754</v>
          </cell>
          <cell r="BD72">
            <v>3.3325515015416713</v>
          </cell>
          <cell r="BE72">
            <v>3.3071171513172883</v>
          </cell>
          <cell r="BF72">
            <v>3.2255893042878685</v>
          </cell>
          <cell r="BG72">
            <v>3.2180573140503235</v>
          </cell>
          <cell r="BH72">
            <v>3.145788794931494</v>
          </cell>
          <cell r="BI72">
            <v>3.2241381411467436</v>
          </cell>
          <cell r="BJ72">
            <v>3.410366194637279</v>
          </cell>
          <cell r="BK72">
            <v>3.4187514117519111</v>
          </cell>
          <cell r="BL72">
            <v>3.2305738522407199</v>
          </cell>
          <cell r="BM72">
            <v>3.2305738522407199</v>
          </cell>
          <cell r="BN72">
            <v>3.3225663277176576</v>
          </cell>
          <cell r="BO72">
            <v>3.1603439858876605</v>
          </cell>
          <cell r="BP72">
            <v>3.19545891906419</v>
          </cell>
          <cell r="BQ72">
            <v>3.19545891906419</v>
          </cell>
          <cell r="BR72">
            <v>3.19545891906419</v>
          </cell>
          <cell r="BS72">
            <v>3.186680185770058</v>
          </cell>
          <cell r="BT72">
            <v>3.1603439858876605</v>
          </cell>
          <cell r="BU72">
            <v>3.19545891906419</v>
          </cell>
          <cell r="BV72">
            <v>3.19545891906419</v>
          </cell>
          <cell r="BW72">
            <v>3.19545891906419</v>
          </cell>
          <cell r="BX72">
            <v>3.186680185770058</v>
          </cell>
          <cell r="BY72">
            <v>3.1603439858876605</v>
          </cell>
          <cell r="BZ72">
            <v>3.1954589190641904</v>
          </cell>
          <cell r="CA72">
            <v>3.1954589190641904</v>
          </cell>
          <cell r="CB72">
            <v>3.1954589190641904</v>
          </cell>
          <cell r="CC72">
            <v>3.186680185770058</v>
          </cell>
          <cell r="CD72">
            <v>3.19545891906419</v>
          </cell>
          <cell r="CE72">
            <v>3.19545891906419</v>
          </cell>
          <cell r="CF72">
            <v>3.19545891906419</v>
          </cell>
          <cell r="CG72">
            <v>3.19545891906419</v>
          </cell>
          <cell r="CH72">
            <v>3.19545891906419</v>
          </cell>
        </row>
        <row r="73">
          <cell r="B73" t="str">
            <v>Ending days of inventory in stock</v>
          </cell>
          <cell r="E73">
            <v>33.221103734251791</v>
          </cell>
          <cell r="F73">
            <v>35.105246745712321</v>
          </cell>
          <cell r="G73">
            <v>29.973189682992825</v>
          </cell>
          <cell r="H73">
            <v>30.670370370370371</v>
          </cell>
          <cell r="I73">
            <v>30.22372442890909</v>
          </cell>
          <cell r="J73">
            <v>30.139846915182179</v>
          </cell>
          <cell r="K73">
            <v>30.251782849363615</v>
          </cell>
          <cell r="L73">
            <v>27.79116664299082</v>
          </cell>
          <cell r="M73">
            <v>29.203590814196239</v>
          </cell>
          <cell r="N73">
            <v>29.236349313526897</v>
          </cell>
          <cell r="O73">
            <v>29.472604336675214</v>
          </cell>
          <cell r="P73">
            <v>28.925927776847296</v>
          </cell>
          <cell r="Q73">
            <v>27.937318387352704</v>
          </cell>
          <cell r="R73">
            <v>27.513761554334824</v>
          </cell>
          <cell r="S73">
            <v>27.299625168800247</v>
          </cell>
          <cell r="T73">
            <v>27.672704384922021</v>
          </cell>
          <cell r="U73">
            <v>27.60585237385245</v>
          </cell>
          <cell r="V73">
            <v>27.610935369720739</v>
          </cell>
          <cell r="W73">
            <v>28.656011256250835</v>
          </cell>
          <cell r="X73">
            <v>28.631604190056798</v>
          </cell>
          <cell r="Y73">
            <v>28.676130545020513</v>
          </cell>
          <cell r="Z73">
            <v>28.393670340262222</v>
          </cell>
          <cell r="AA73">
            <v>26.386663088780267</v>
          </cell>
          <cell r="AB73">
            <v>26.897157148812006</v>
          </cell>
          <cell r="AC73">
            <v>27.249347468506123</v>
          </cell>
          <cell r="AD73">
            <v>27.448915632443271</v>
          </cell>
          <cell r="AE73">
            <v>26.995520834635418</v>
          </cell>
          <cell r="AF73">
            <v>25.882745260911349</v>
          </cell>
          <cell r="AG73">
            <v>27.149597027954282</v>
          </cell>
          <cell r="AH73">
            <v>26.894583585577045</v>
          </cell>
          <cell r="AI73">
            <v>28.352419984281049</v>
          </cell>
          <cell r="AJ73">
            <v>27.069836464680932</v>
          </cell>
          <cell r="AK73">
            <v>26.436553670998297</v>
          </cell>
          <cell r="AL73">
            <v>27.432095286821941</v>
          </cell>
          <cell r="AM73">
            <v>32.262708063677351</v>
          </cell>
          <cell r="AN73">
            <v>27.564907306210323</v>
          </cell>
          <cell r="AO73">
            <v>28.424066081926981</v>
          </cell>
          <cell r="AP73">
            <v>26.331561426116838</v>
          </cell>
          <cell r="AQ73">
            <v>26.82649355305616</v>
          </cell>
          <cell r="AR73">
            <v>26.951567388671837</v>
          </cell>
          <cell r="AS73">
            <v>27.73474270187879</v>
          </cell>
          <cell r="AT73">
            <v>26.961091267430906</v>
          </cell>
          <cell r="AU73">
            <v>26.305220457280893</v>
          </cell>
          <cell r="AV73">
            <v>26.402988957944622</v>
          </cell>
          <cell r="AW73">
            <v>26.715039206864411</v>
          </cell>
          <cell r="AX73">
            <v>28.154200725900321</v>
          </cell>
          <cell r="AY73">
            <v>26.89436233699756</v>
          </cell>
          <cell r="AZ73">
            <v>26.92190341035079</v>
          </cell>
          <cell r="BA73">
            <v>27.250733367821834</v>
          </cell>
          <cell r="BB73">
            <v>27.513558129826361</v>
          </cell>
          <cell r="BC73">
            <v>27.844720228433747</v>
          </cell>
          <cell r="BD73">
            <v>27.382728784108181</v>
          </cell>
          <cell r="BE73">
            <v>27.214034423954793</v>
          </cell>
          <cell r="BF73">
            <v>28.211899102911548</v>
          </cell>
          <cell r="BG73">
            <v>28.58867665231438</v>
          </cell>
          <cell r="BH73">
            <v>29.245447166774429</v>
          </cell>
          <cell r="BI73">
            <v>28.315014336488787</v>
          </cell>
          <cell r="BJ73">
            <v>26.683351524858349</v>
          </cell>
          <cell r="BK73">
            <v>26.617904913234916</v>
          </cell>
          <cell r="BL73">
            <v>28.477912658207451</v>
          </cell>
          <cell r="BM73">
            <v>28.477912658207451</v>
          </cell>
          <cell r="BN73">
            <v>27.564270438627041</v>
          </cell>
          <cell r="BO73">
            <v>28.477912658207451</v>
          </cell>
          <cell r="BP73">
            <v>28.477912658207451</v>
          </cell>
          <cell r="BQ73">
            <v>28.477912658207451</v>
          </cell>
          <cell r="BR73">
            <v>28.477912658207451</v>
          </cell>
          <cell r="BS73">
            <v>28.477912658207451</v>
          </cell>
          <cell r="BT73">
            <v>28.477912658207451</v>
          </cell>
          <cell r="BU73">
            <v>28.477912658207451</v>
          </cell>
          <cell r="BV73">
            <v>28.477912658207451</v>
          </cell>
          <cell r="BW73">
            <v>28.477912658207451</v>
          </cell>
          <cell r="BX73">
            <v>28.477912658207451</v>
          </cell>
          <cell r="BY73">
            <v>28.477912658207451</v>
          </cell>
          <cell r="BZ73">
            <v>28.477912658207451</v>
          </cell>
          <cell r="CA73">
            <v>28.477912658207451</v>
          </cell>
          <cell r="CB73">
            <v>28.477912658207451</v>
          </cell>
          <cell r="CC73">
            <v>28.477912658207451</v>
          </cell>
          <cell r="CD73">
            <v>28.477912658207451</v>
          </cell>
          <cell r="CE73">
            <v>28.477912658207451</v>
          </cell>
          <cell r="CF73">
            <v>28.477912658207451</v>
          </cell>
          <cell r="CG73">
            <v>28.477912658207451</v>
          </cell>
          <cell r="CH73">
            <v>28.477912658207451</v>
          </cell>
        </row>
        <row r="74">
          <cell r="B74" t="str">
            <v>Ending payables payment period</v>
          </cell>
          <cell r="E74">
            <v>27.121609164448408</v>
          </cell>
          <cell r="F74">
            <v>32.701813061647968</v>
          </cell>
          <cell r="G74">
            <v>27.857806200675206</v>
          </cell>
          <cell r="H74">
            <v>28.074734073870552</v>
          </cell>
          <cell r="I74">
            <v>28.807754354491603</v>
          </cell>
          <cell r="J74">
            <v>24.807544533705904</v>
          </cell>
          <cell r="K74">
            <v>27.386959790685818</v>
          </cell>
          <cell r="L74">
            <v>24.365359706441769</v>
          </cell>
          <cell r="M74">
            <v>24.865604336611106</v>
          </cell>
          <cell r="N74">
            <v>27.267727009687384</v>
          </cell>
          <cell r="O74">
            <v>24.311387277218824</v>
          </cell>
          <cell r="P74">
            <v>25.202519582489774</v>
          </cell>
          <cell r="Q74">
            <v>21.661201586595336</v>
          </cell>
          <cell r="R74">
            <v>20.80658795327663</v>
          </cell>
          <cell r="S74">
            <v>21.897866111570522</v>
          </cell>
          <cell r="T74">
            <v>24.72722661074986</v>
          </cell>
          <cell r="U74">
            <v>22.273220565548087</v>
          </cell>
          <cell r="V74">
            <v>21.497170117522955</v>
          </cell>
          <cell r="W74">
            <v>21.711088676893059</v>
          </cell>
          <cell r="X74">
            <v>22.039731775480107</v>
          </cell>
          <cell r="Y74">
            <v>23.709402982473097</v>
          </cell>
          <cell r="Z74">
            <v>22.239348388092303</v>
          </cell>
          <cell r="AA74">
            <v>20.775256433080894</v>
          </cell>
          <cell r="AB74">
            <v>20.170828245399804</v>
          </cell>
          <cell r="AC74">
            <v>21.042804938622012</v>
          </cell>
          <cell r="AD74">
            <v>24.671851086299689</v>
          </cell>
          <cell r="AE74">
            <v>21.665185175850603</v>
          </cell>
          <cell r="AF74">
            <v>19.303730961817202</v>
          </cell>
          <cell r="AG74">
            <v>23.436401903367496</v>
          </cell>
          <cell r="AH74">
            <v>23.794566692100286</v>
          </cell>
          <cell r="AI74">
            <v>27.428727526534935</v>
          </cell>
          <cell r="AJ74">
            <v>23.490856770954977</v>
          </cell>
          <cell r="AK74">
            <v>24.75626158836743</v>
          </cell>
          <cell r="AL74">
            <v>26.068809368726896</v>
          </cell>
          <cell r="AM74">
            <v>26.828622718096018</v>
          </cell>
          <cell r="AN74">
            <v>23.444570474516151</v>
          </cell>
          <cell r="AO74">
            <v>25.274566037426624</v>
          </cell>
          <cell r="AP74">
            <v>20.991751926916642</v>
          </cell>
          <cell r="AQ74">
            <v>20.123010902342845</v>
          </cell>
          <cell r="AR74">
            <v>21.898617474732202</v>
          </cell>
          <cell r="AS74">
            <v>24.254569193850941</v>
          </cell>
          <cell r="AT74">
            <v>21.816987374460659</v>
          </cell>
          <cell r="AU74">
            <v>19.885549312973037</v>
          </cell>
          <cell r="AV74">
            <v>21.029448961816421</v>
          </cell>
          <cell r="AW74">
            <v>20.392352020747321</v>
          </cell>
          <cell r="AX74">
            <v>17.785154431585671</v>
          </cell>
          <cell r="AY74">
            <v>19.773126181780611</v>
          </cell>
          <cell r="AZ74">
            <v>19.581303622663583</v>
          </cell>
          <cell r="BA74">
            <v>20.411853677396522</v>
          </cell>
          <cell r="BB74">
            <v>20.184684441516215</v>
          </cell>
          <cell r="BC74">
            <v>19.593434312780559</v>
          </cell>
          <cell r="BD74">
            <v>19.942819013589219</v>
          </cell>
          <cell r="BE74">
            <v>19.787252235182283</v>
          </cell>
          <cell r="BF74">
            <v>21.356387493810566</v>
          </cell>
          <cell r="BG74">
            <v>23.644721425095071</v>
          </cell>
          <cell r="BH74">
            <v>27.434968298048116</v>
          </cell>
          <cell r="BI74">
            <v>23.055832363034011</v>
          </cell>
          <cell r="BJ74">
            <v>27.38318724595123</v>
          </cell>
          <cell r="BK74">
            <v>25.743904677976062</v>
          </cell>
          <cell r="BL74">
            <v>27.531991213602645</v>
          </cell>
          <cell r="BM74">
            <v>27.531991213602645</v>
          </cell>
          <cell r="BN74">
            <v>27.047768587783146</v>
          </cell>
          <cell r="BO74">
            <v>27.88318724595123</v>
          </cell>
          <cell r="BP74">
            <v>26.243904677976062</v>
          </cell>
          <cell r="BQ74">
            <v>28.031991213602645</v>
          </cell>
          <cell r="BR74">
            <v>28.031991213602645</v>
          </cell>
          <cell r="BS74">
            <v>27.547768587783146</v>
          </cell>
          <cell r="BT74">
            <v>28.38318724595123</v>
          </cell>
          <cell r="BU74">
            <v>26.743904677976062</v>
          </cell>
          <cell r="BV74">
            <v>28.531991213602645</v>
          </cell>
          <cell r="BW74">
            <v>28.531991213602645</v>
          </cell>
          <cell r="BX74">
            <v>28.047768587783146</v>
          </cell>
          <cell r="BY74">
            <v>28.88318724595123</v>
          </cell>
          <cell r="BZ74">
            <v>27.243904677976062</v>
          </cell>
          <cell r="CA74">
            <v>29.031991213602645</v>
          </cell>
          <cell r="CB74">
            <v>29.031991213602645</v>
          </cell>
          <cell r="CC74">
            <v>28.547768587783146</v>
          </cell>
          <cell r="CD74">
            <v>29.38318724595123</v>
          </cell>
          <cell r="CE74">
            <v>27.743904677976062</v>
          </cell>
          <cell r="CF74">
            <v>29.531991213602645</v>
          </cell>
          <cell r="CG74">
            <v>29.531991213602645</v>
          </cell>
          <cell r="CH74">
            <v>29.047768587783146</v>
          </cell>
        </row>
        <row r="75">
          <cell r="B75" t="str">
            <v>Prepaid expenses (% of oper exp)</v>
          </cell>
          <cell r="E75">
            <v>1.4669139830603169E-2</v>
          </cell>
          <cell r="F75">
            <v>2.4731178804604018E-2</v>
          </cell>
          <cell r="G75">
            <v>1.8397831182316308E-2</v>
          </cell>
          <cell r="H75">
            <v>1.4479780645830748E-2</v>
          </cell>
          <cell r="I75">
            <v>1.2977006396353921E-2</v>
          </cell>
          <cell r="J75">
            <v>1.2683302532765901E-2</v>
          </cell>
          <cell r="K75">
            <v>1.4634480189316719E-2</v>
          </cell>
          <cell r="L75">
            <v>1.2895354944399945E-2</v>
          </cell>
          <cell r="M75">
            <v>1.2341819306755273E-2</v>
          </cell>
          <cell r="N75">
            <v>1.8035992503726075E-2</v>
          </cell>
          <cell r="O75">
            <v>1.4996744372941455E-2</v>
          </cell>
          <cell r="P75">
            <v>1.4567477781955687E-2</v>
          </cell>
          <cell r="Q75">
            <v>1.2270871031104953E-2</v>
          </cell>
          <cell r="R75">
            <v>1.5324316294141006E-2</v>
          </cell>
          <cell r="S75">
            <v>1.3932330000509443E-2</v>
          </cell>
          <cell r="T75">
            <v>1.2268624816019688E-2</v>
          </cell>
          <cell r="U75">
            <v>1.3449035535443772E-2</v>
          </cell>
          <cell r="V75">
            <v>1.1700875053579883E-2</v>
          </cell>
          <cell r="W75">
            <v>1.5639024730866879E-2</v>
          </cell>
          <cell r="X75">
            <v>1.6589083221647906E-2</v>
          </cell>
          <cell r="Y75">
            <v>1.4048508027924974E-2</v>
          </cell>
          <cell r="Z75">
            <v>1.4494372758504912E-2</v>
          </cell>
          <cell r="AA75">
            <v>1.300045742350194E-2</v>
          </cell>
          <cell r="AB75">
            <v>1.2822609683425513E-2</v>
          </cell>
          <cell r="AC75">
            <v>1.5651697407365592E-2</v>
          </cell>
          <cell r="AD75">
            <v>1.3664427727518667E-2</v>
          </cell>
          <cell r="AE75">
            <v>1.3784798060452928E-2</v>
          </cell>
          <cell r="AF75">
            <v>1.2545436418937279E-2</v>
          </cell>
          <cell r="AG75">
            <v>1.1729624345177722E-2</v>
          </cell>
          <cell r="AH75">
            <v>1.3086711868573698E-2</v>
          </cell>
          <cell r="AI75">
            <v>1.1256371973710952E-2</v>
          </cell>
          <cell r="AJ75">
            <v>1.2154536151599914E-2</v>
          </cell>
          <cell r="AK75">
            <v>1.1623288331219598E-2</v>
          </cell>
          <cell r="AL75">
            <v>1.1570622138052218E-2</v>
          </cell>
          <cell r="AM75">
            <v>3.4481925078368475E-2</v>
          </cell>
          <cell r="AN75">
            <v>1.0911643614725726E-2</v>
          </cell>
          <cell r="AO75">
            <v>1.7146869790591504E-2</v>
          </cell>
          <cell r="AP75">
            <v>1.2455802857120828E-2</v>
          </cell>
          <cell r="AQ75">
            <v>1.3406884827581185E-2</v>
          </cell>
          <cell r="AR75">
            <v>1.3651985374770123E-2</v>
          </cell>
          <cell r="AS75">
            <v>1.0940648216669936E-2</v>
          </cell>
          <cell r="AT75">
            <v>1.2613830319035518E-2</v>
          </cell>
          <cell r="AU75">
            <v>1.2402363210987031E-2</v>
          </cell>
          <cell r="AV75">
            <v>1.2882939329158448E-2</v>
          </cell>
          <cell r="AW75">
            <v>1.2295237444685886E-2</v>
          </cell>
          <cell r="AX75">
            <v>1.2203492198364229E-2</v>
          </cell>
          <cell r="AY75">
            <v>1.2446008045798899E-2</v>
          </cell>
          <cell r="AZ75">
            <v>1.2523926884610846E-2</v>
          </cell>
          <cell r="BA75">
            <v>1.2834635505356901E-2</v>
          </cell>
          <cell r="BB75">
            <v>1.2724513254022365E-2</v>
          </cell>
          <cell r="BC75">
            <v>1.2222098637729181E-2</v>
          </cell>
          <cell r="BD75">
            <v>1.2576293570429824E-2</v>
          </cell>
          <cell r="BE75">
            <v>1.3260329875942721E-2</v>
          </cell>
          <cell r="BF75">
            <v>1.3936397004407105E-2</v>
          </cell>
          <cell r="BG75">
            <v>1.4420691774108324E-2</v>
          </cell>
          <cell r="BH75">
            <v>1.3461945437936017E-2</v>
          </cell>
          <cell r="BI75">
            <v>1.3769841023098542E-2</v>
          </cell>
          <cell r="BJ75">
            <v>1.395483638527723E-2</v>
          </cell>
          <cell r="BK75">
            <v>1.3715467258997086E-2</v>
          </cell>
          <cell r="BL75">
            <v>1.4586693784147483E-2</v>
          </cell>
          <cell r="BM75">
            <v>1.4586693784147483E-2</v>
          </cell>
          <cell r="BN75">
            <v>1.4210922803142319E-2</v>
          </cell>
          <cell r="BO75">
            <v>1.4586693784147483E-2</v>
          </cell>
          <cell r="BP75">
            <v>1.4586693784147483E-2</v>
          </cell>
          <cell r="BQ75">
            <v>1.4586693784147483E-2</v>
          </cell>
          <cell r="BR75">
            <v>1.4586693784147483E-2</v>
          </cell>
          <cell r="BS75">
            <v>1.4586693784147483E-2</v>
          </cell>
          <cell r="BT75">
            <v>1.4586693784147483E-2</v>
          </cell>
          <cell r="BU75">
            <v>1.4586693784147483E-2</v>
          </cell>
          <cell r="BV75">
            <v>1.4586693784147483E-2</v>
          </cell>
          <cell r="BW75">
            <v>1.4586693784147483E-2</v>
          </cell>
          <cell r="BX75">
            <v>1.4586693784147483E-2</v>
          </cell>
          <cell r="BY75">
            <v>1.4586693784147483E-2</v>
          </cell>
          <cell r="BZ75">
            <v>1.4586693784147483E-2</v>
          </cell>
          <cell r="CA75">
            <v>1.4586693784147483E-2</v>
          </cell>
          <cell r="CB75">
            <v>1.4586693784147483E-2</v>
          </cell>
          <cell r="CC75">
            <v>1.4586693784147483E-2</v>
          </cell>
          <cell r="CD75">
            <v>1.4586693784147483E-2</v>
          </cell>
          <cell r="CE75">
            <v>1.4586693784147483E-2</v>
          </cell>
          <cell r="CF75">
            <v>1.4586693784147483E-2</v>
          </cell>
          <cell r="CG75">
            <v>1.4586693784147483E-2</v>
          </cell>
          <cell r="CH75">
            <v>1.4586693784147483E-2</v>
          </cell>
        </row>
        <row r="76">
          <cell r="B76" t="str">
            <v>Balance Sheet Analysis</v>
          </cell>
        </row>
        <row r="77">
          <cell r="B77" t="str">
            <v>Accounts receivable analysis</v>
          </cell>
        </row>
        <row r="78">
          <cell r="B78" t="str">
            <v>Accounts receivable gross - ending</v>
          </cell>
          <cell r="E78">
            <v>260.84899999999999</v>
          </cell>
          <cell r="F78">
            <v>362.76100000000002</v>
          </cell>
          <cell r="J78">
            <v>433.93200000000002</v>
          </cell>
          <cell r="K78">
            <v>433.93200000000002</v>
          </cell>
          <cell r="O78">
            <v>473.55200000000002</v>
          </cell>
          <cell r="P78">
            <v>473.55200000000002</v>
          </cell>
          <cell r="R78">
            <v>496.56700000000001</v>
          </cell>
          <cell r="S78">
            <v>590.84300000000007</v>
          </cell>
          <cell r="T78">
            <v>662.774</v>
          </cell>
          <cell r="U78">
            <v>662.774</v>
          </cell>
          <cell r="V78">
            <v>787.77499999999998</v>
          </cell>
          <cell r="W78">
            <v>755.82900000000006</v>
          </cell>
          <cell r="X78">
            <v>860.23</v>
          </cell>
          <cell r="Y78">
            <v>883.35500000000002</v>
          </cell>
          <cell r="Z78">
            <v>883.35500000000002</v>
          </cell>
          <cell r="AA78">
            <v>902.89900000000011</v>
          </cell>
          <cell r="AB78">
            <v>914.95699999999999</v>
          </cell>
          <cell r="AC78">
            <v>962.14799999999991</v>
          </cell>
          <cell r="AD78">
            <v>1002.053</v>
          </cell>
          <cell r="AE78">
            <v>1002.053</v>
          </cell>
          <cell r="AF78">
            <v>1039.914</v>
          </cell>
          <cell r="AG78">
            <v>1078.4639999999999</v>
          </cell>
          <cell r="AH78">
            <v>1206.4639999999999</v>
          </cell>
          <cell r="AI78">
            <v>1252.549</v>
          </cell>
          <cell r="AJ78">
            <v>1252.549</v>
          </cell>
          <cell r="AK78">
            <v>1314.8509999999999</v>
          </cell>
          <cell r="AL78">
            <v>1374.9960000000001</v>
          </cell>
          <cell r="AM78">
            <v>2831.1750000000002</v>
          </cell>
          <cell r="AN78">
            <v>2567.3140000000003</v>
          </cell>
          <cell r="AO78">
            <v>2567.3140000000003</v>
          </cell>
          <cell r="AP78">
            <v>2662.424</v>
          </cell>
          <cell r="AQ78">
            <v>2656.5129999999999</v>
          </cell>
          <cell r="AR78">
            <v>2752.1030000000001</v>
          </cell>
          <cell r="AS78">
            <v>2716.8590000000004</v>
          </cell>
          <cell r="AT78">
            <v>2716.8590000000004</v>
          </cell>
          <cell r="AU78">
            <v>2838.7530000000002</v>
          </cell>
          <cell r="AV78">
            <v>2932.6210000000001</v>
          </cell>
          <cell r="AW78">
            <v>3043.6350000000002</v>
          </cell>
          <cell r="AX78">
            <v>3035.0910000000003</v>
          </cell>
          <cell r="AY78">
            <v>3035.0910000000003</v>
          </cell>
          <cell r="AZ78">
            <v>3159.3360000000002</v>
          </cell>
          <cell r="BA78">
            <v>3175.0060000000003</v>
          </cell>
          <cell r="BB78">
            <v>3205.5549999999998</v>
          </cell>
          <cell r="BC78">
            <v>3353.74</v>
          </cell>
          <cell r="BD78">
            <v>3353.74</v>
          </cell>
          <cell r="BE78">
            <v>3466.0569999999998</v>
          </cell>
          <cell r="BF78">
            <v>3585.808</v>
          </cell>
          <cell r="BG78">
            <v>3613.1279999999997</v>
          </cell>
          <cell r="BH78">
            <v>3725.5010000000002</v>
          </cell>
          <cell r="BI78">
            <v>3725.5010000000002</v>
          </cell>
          <cell r="BJ78">
            <v>4015.627</v>
          </cell>
          <cell r="BK78">
            <v>4160.3429999999998</v>
          </cell>
          <cell r="BL78">
            <v>4290.3050000000003</v>
          </cell>
          <cell r="BM78">
            <v>1960.8979832371622</v>
          </cell>
          <cell r="BN78">
            <v>1960.8979832371622</v>
          </cell>
          <cell r="BO78">
            <v>2095.732018020648</v>
          </cell>
          <cell r="BP78">
            <v>2152.1060718884714</v>
          </cell>
          <cell r="BQ78">
            <v>2189.97284543047</v>
          </cell>
          <cell r="BR78">
            <v>2060.3590280596218</v>
          </cell>
          <cell r="BS78">
            <v>2060.3590280596218</v>
          </cell>
          <cell r="BT78">
            <v>2167.0555859586148</v>
          </cell>
          <cell r="BU78">
            <v>2221.6748467589937</v>
          </cell>
          <cell r="BV78">
            <v>2249.5962425914472</v>
          </cell>
          <cell r="BW78">
            <v>2103.694728011365</v>
          </cell>
          <cell r="BX78">
            <v>2103.694728011365</v>
          </cell>
          <cell r="BY78">
            <v>2221.9450050952919</v>
          </cell>
          <cell r="BZ78">
            <v>2282.795865090322</v>
          </cell>
          <cell r="CA78">
            <v>2313.9378147145144</v>
          </cell>
          <cell r="CB78">
            <v>2168.7940363779448</v>
          </cell>
          <cell r="CC78">
            <v>2168.7940363779448</v>
          </cell>
          <cell r="CD78">
            <v>2266.1759450323339</v>
          </cell>
          <cell r="CE78">
            <v>2353.4266759119391</v>
          </cell>
          <cell r="CF78">
            <v>2387.3855578221196</v>
          </cell>
          <cell r="CG78">
            <v>2232.178970666188</v>
          </cell>
          <cell r="CH78">
            <v>2232.178970666188</v>
          </cell>
        </row>
        <row r="79">
          <cell r="B79" t="str">
            <v>Allowance for doubtful accounts - ending</v>
          </cell>
          <cell r="D79">
            <v>0</v>
          </cell>
          <cell r="E79">
            <v>-34.499000000000002</v>
          </cell>
          <cell r="F79">
            <v>-52.935000000000002</v>
          </cell>
          <cell r="J79">
            <v>-63.88</v>
          </cell>
          <cell r="K79">
            <v>-63.88</v>
          </cell>
          <cell r="O79">
            <v>-73.11</v>
          </cell>
          <cell r="P79">
            <v>-73.11</v>
          </cell>
          <cell r="R79">
            <v>-85.481999999999999</v>
          </cell>
          <cell r="S79">
            <v>-98.721000000000004</v>
          </cell>
          <cell r="T79">
            <v>-103.67700000000001</v>
          </cell>
          <cell r="U79">
            <v>-103.67700000000001</v>
          </cell>
          <cell r="V79">
            <v>-203.9</v>
          </cell>
          <cell r="W79">
            <v>-203.45099999999999</v>
          </cell>
          <cell r="X79">
            <v>-282.32</v>
          </cell>
          <cell r="Y79">
            <v>-286.09399999999999</v>
          </cell>
          <cell r="Z79">
            <v>-286.09399999999999</v>
          </cell>
          <cell r="AA79">
            <v>-296.358</v>
          </cell>
          <cell r="AB79">
            <v>-300.31299999999999</v>
          </cell>
          <cell r="AC79">
            <v>-332.286</v>
          </cell>
          <cell r="AD79">
            <v>-346.024</v>
          </cell>
          <cell r="AE79">
            <v>-346.024</v>
          </cell>
          <cell r="AF79">
            <v>-340.84699999999998</v>
          </cell>
          <cell r="AG79">
            <v>-350.77600000000001</v>
          </cell>
          <cell r="AH79">
            <v>-460.92599999999999</v>
          </cell>
          <cell r="AI79">
            <v>-478.565</v>
          </cell>
          <cell r="AJ79">
            <v>-478.565</v>
          </cell>
          <cell r="AK79">
            <v>-497.35399999999998</v>
          </cell>
          <cell r="AL79">
            <v>-498.47300000000001</v>
          </cell>
          <cell r="AM79">
            <v>-1001.57</v>
          </cell>
          <cell r="AN79">
            <v>-1033.5160000000001</v>
          </cell>
          <cell r="AO79">
            <v>-1033.5160000000001</v>
          </cell>
          <cell r="AP79">
            <v>-1036.7660000000001</v>
          </cell>
          <cell r="AQ79">
            <v>-1052.8109999999999</v>
          </cell>
          <cell r="AR79">
            <v>-1109.2829999999999</v>
          </cell>
          <cell r="AS79">
            <v>-1102.9000000000001</v>
          </cell>
          <cell r="AT79">
            <v>-1102.9000000000001</v>
          </cell>
          <cell r="AU79">
            <v>-1194.8340000000001</v>
          </cell>
          <cell r="AV79">
            <v>-1274.6980000000001</v>
          </cell>
          <cell r="AW79">
            <v>-1367.29</v>
          </cell>
          <cell r="AX79">
            <v>-1417.1880000000001</v>
          </cell>
          <cell r="AY79">
            <v>-1417.1880000000001</v>
          </cell>
          <cell r="AZ79">
            <v>-1447.229</v>
          </cell>
          <cell r="BA79">
            <v>-1493.2070000000001</v>
          </cell>
          <cell r="BB79">
            <v>-1554.1489999999999</v>
          </cell>
          <cell r="BC79">
            <v>-1639.1980000000001</v>
          </cell>
          <cell r="BD79">
            <v>-1639.1980000000001</v>
          </cell>
          <cell r="BE79">
            <v>-1699.9349999999999</v>
          </cell>
          <cell r="BF79">
            <v>-1793.404</v>
          </cell>
          <cell r="BG79">
            <v>-1840.0029999999999</v>
          </cell>
          <cell r="BH79">
            <v>-1891.3340000000001</v>
          </cell>
          <cell r="BI79">
            <v>-1891.3340000000001</v>
          </cell>
          <cell r="BJ79">
            <v>-1996.09</v>
          </cell>
          <cell r="BK79">
            <v>-2105.0509999999999</v>
          </cell>
          <cell r="BL79">
            <v>-2199.0880000000002</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row>
        <row r="80">
          <cell r="B80" t="str">
            <v>Accounts receivable, net - ending</v>
          </cell>
          <cell r="D80">
            <v>148.797</v>
          </cell>
          <cell r="E80">
            <v>226.35</v>
          </cell>
          <cell r="F80">
            <v>309.82600000000002</v>
          </cell>
          <cell r="G80">
            <v>313.11700000000002</v>
          </cell>
          <cell r="H80">
            <v>316.49900000000002</v>
          </cell>
          <cell r="I80">
            <v>334.53800000000001</v>
          </cell>
          <cell r="J80">
            <v>370.05200000000002</v>
          </cell>
          <cell r="K80">
            <v>370.05200000000002</v>
          </cell>
          <cell r="L80">
            <v>408.83699999999999</v>
          </cell>
          <cell r="M80">
            <v>375.84199999999998</v>
          </cell>
          <cell r="N80">
            <v>390.77499999999998</v>
          </cell>
          <cell r="O80">
            <v>400.44200000000001</v>
          </cell>
          <cell r="P80">
            <v>400.44200000000001</v>
          </cell>
          <cell r="Q80">
            <v>464.79599999999999</v>
          </cell>
          <cell r="R80">
            <v>411.08499999999998</v>
          </cell>
          <cell r="S80">
            <v>492.12200000000001</v>
          </cell>
          <cell r="T80">
            <v>559.09699999999998</v>
          </cell>
          <cell r="U80">
            <v>559.09699999999998</v>
          </cell>
          <cell r="V80">
            <v>583.875</v>
          </cell>
          <cell r="W80">
            <v>552.37800000000004</v>
          </cell>
          <cell r="X80">
            <v>577.91</v>
          </cell>
          <cell r="Y80">
            <v>597.26099999999997</v>
          </cell>
          <cell r="Z80">
            <v>597.26099999999997</v>
          </cell>
          <cell r="AA80">
            <v>606.54100000000005</v>
          </cell>
          <cell r="AB80">
            <v>614.64400000000001</v>
          </cell>
          <cell r="AC80">
            <v>629.86199999999997</v>
          </cell>
          <cell r="AD80">
            <v>656.029</v>
          </cell>
          <cell r="AE80">
            <v>656.029</v>
          </cell>
          <cell r="AF80">
            <v>699.06700000000001</v>
          </cell>
          <cell r="AG80">
            <v>727.68799999999999</v>
          </cell>
          <cell r="AH80">
            <v>745.53800000000001</v>
          </cell>
          <cell r="AI80">
            <v>773.98400000000004</v>
          </cell>
          <cell r="AJ80">
            <v>773.98400000000004</v>
          </cell>
          <cell r="AK80">
            <v>817.49699999999996</v>
          </cell>
          <cell r="AL80">
            <v>876.52300000000002</v>
          </cell>
          <cell r="AM80">
            <v>1829.605</v>
          </cell>
          <cell r="AN80">
            <v>1533.798</v>
          </cell>
          <cell r="AO80">
            <v>1533.798</v>
          </cell>
          <cell r="AP80">
            <v>1625.6579999999999</v>
          </cell>
          <cell r="AQ80">
            <v>1603.702</v>
          </cell>
          <cell r="AR80">
            <v>1642.82</v>
          </cell>
          <cell r="AS80">
            <v>1613.9590000000001</v>
          </cell>
          <cell r="AT80">
            <v>1613.9590000000001</v>
          </cell>
          <cell r="AU80">
            <v>1643.9190000000001</v>
          </cell>
          <cell r="AV80">
            <v>1657.923</v>
          </cell>
          <cell r="AW80">
            <v>1676.345</v>
          </cell>
          <cell r="AX80">
            <v>1617.903</v>
          </cell>
          <cell r="AY80">
            <v>1617.903</v>
          </cell>
          <cell r="AZ80">
            <v>1712.107</v>
          </cell>
          <cell r="BA80">
            <v>1681.799</v>
          </cell>
          <cell r="BB80">
            <v>1651.4059999999999</v>
          </cell>
          <cell r="BC80">
            <v>1714.5419999999999</v>
          </cell>
          <cell r="BD80">
            <v>1714.5419999999999</v>
          </cell>
          <cell r="BE80">
            <v>1766.1220000000001</v>
          </cell>
          <cell r="BF80">
            <v>1792.404</v>
          </cell>
          <cell r="BG80">
            <v>1773.125</v>
          </cell>
          <cell r="BH80">
            <v>1834.1669999999999</v>
          </cell>
          <cell r="BI80">
            <v>1834.1669999999999</v>
          </cell>
          <cell r="BJ80">
            <v>2019.537</v>
          </cell>
          <cell r="BK80">
            <v>2055.2919999999999</v>
          </cell>
          <cell r="BL80">
            <v>2091.2170000000001</v>
          </cell>
          <cell r="BM80">
            <v>1960.8979832371622</v>
          </cell>
          <cell r="BN80">
            <v>1960.8979832371622</v>
          </cell>
          <cell r="BO80">
            <v>2095.732018020648</v>
          </cell>
          <cell r="BP80">
            <v>2152.1060718884714</v>
          </cell>
          <cell r="BQ80">
            <v>2189.97284543047</v>
          </cell>
          <cell r="BR80">
            <v>2060.3590280596218</v>
          </cell>
          <cell r="BS80">
            <v>2060.3590280596218</v>
          </cell>
          <cell r="BT80">
            <v>2167.0555859586148</v>
          </cell>
          <cell r="BU80">
            <v>2221.6748467589937</v>
          </cell>
          <cell r="BV80">
            <v>2249.5962425914472</v>
          </cell>
          <cell r="BW80">
            <v>2103.694728011365</v>
          </cell>
          <cell r="BX80">
            <v>2103.694728011365</v>
          </cell>
          <cell r="BY80">
            <v>2221.9450050952919</v>
          </cell>
          <cell r="BZ80">
            <v>2282.795865090322</v>
          </cell>
          <cell r="CA80">
            <v>2313.9378147145144</v>
          </cell>
          <cell r="CB80">
            <v>2168.7940363779448</v>
          </cell>
          <cell r="CC80">
            <v>2168.7940363779448</v>
          </cell>
          <cell r="CD80">
            <v>2266.1759450323339</v>
          </cell>
          <cell r="CE80">
            <v>2353.4266759119391</v>
          </cell>
          <cell r="CF80">
            <v>2387.3855578221196</v>
          </cell>
          <cell r="CG80">
            <v>2232.178970666188</v>
          </cell>
          <cell r="CH80">
            <v>2232.178970666188</v>
          </cell>
        </row>
        <row r="82">
          <cell r="B82" t="str">
            <v>Allowance for doubtful accts (opening)</v>
          </cell>
          <cell r="E82">
            <v>28.771000000000001</v>
          </cell>
          <cell r="F82">
            <v>34.499000000000002</v>
          </cell>
          <cell r="K82">
            <v>52.935000000000002</v>
          </cell>
          <cell r="P82">
            <v>63.88</v>
          </cell>
          <cell r="S82">
            <v>85.481999999999999</v>
          </cell>
          <cell r="T82">
            <v>98.721000000000004</v>
          </cell>
          <cell r="U82">
            <v>73.11</v>
          </cell>
          <cell r="V82">
            <v>103.67700000000001</v>
          </cell>
          <cell r="W82">
            <v>203.9</v>
          </cell>
          <cell r="X82">
            <v>203.45099999999999</v>
          </cell>
          <cell r="Y82">
            <v>282.32</v>
          </cell>
          <cell r="Z82">
            <v>103.67700000000001</v>
          </cell>
          <cell r="AA82">
            <v>286.09399999999999</v>
          </cell>
          <cell r="AB82">
            <v>296.358</v>
          </cell>
          <cell r="AC82">
            <v>300.31299999999999</v>
          </cell>
          <cell r="AD82">
            <v>332.286</v>
          </cell>
          <cell r="AE82">
            <v>286.09399999999999</v>
          </cell>
          <cell r="AF82">
            <v>346.024</v>
          </cell>
          <cell r="AG82">
            <v>340.84699999999998</v>
          </cell>
          <cell r="AH82">
            <v>350.77600000000001</v>
          </cell>
          <cell r="AI82">
            <v>460.92599999999999</v>
          </cell>
          <cell r="AJ82">
            <v>346.024</v>
          </cell>
          <cell r="AK82">
            <v>478.565</v>
          </cell>
          <cell r="AL82">
            <v>497.35399999999998</v>
          </cell>
          <cell r="AM82">
            <v>498.47300000000001</v>
          </cell>
          <cell r="AN82">
            <v>1001.57</v>
          </cell>
          <cell r="AO82">
            <v>478.565</v>
          </cell>
          <cell r="AP82">
            <v>1033.5160000000001</v>
          </cell>
          <cell r="AQ82">
            <v>1036.7660000000001</v>
          </cell>
          <cell r="AR82">
            <v>1052.8109999999999</v>
          </cell>
          <cell r="AS82">
            <v>1109.2829999999999</v>
          </cell>
          <cell r="AT82">
            <v>1033.5160000000001</v>
          </cell>
          <cell r="AU82">
            <v>1102.9000000000001</v>
          </cell>
          <cell r="AV82">
            <v>1194.8340000000001</v>
          </cell>
          <cell r="AW82">
            <v>1274.6980000000001</v>
          </cell>
          <cell r="AX82">
            <v>1367.29</v>
          </cell>
          <cell r="AY82">
            <v>1102.9000000000001</v>
          </cell>
          <cell r="AZ82">
            <v>1417.1880000000001</v>
          </cell>
          <cell r="BA82">
            <v>1447.229</v>
          </cell>
          <cell r="BB82">
            <v>1493.2070000000001</v>
          </cell>
          <cell r="BC82">
            <v>1554.1489999999999</v>
          </cell>
          <cell r="BD82">
            <v>1417.1880000000001</v>
          </cell>
          <cell r="BE82">
            <v>1639.1980000000001</v>
          </cell>
          <cell r="BF82">
            <v>1699.9349999999999</v>
          </cell>
          <cell r="BG82">
            <v>1793.404</v>
          </cell>
          <cell r="BH82">
            <v>1840.0029999999999</v>
          </cell>
          <cell r="BI82">
            <v>1639.1980000000001</v>
          </cell>
          <cell r="BJ82">
            <v>1891.3340000000001</v>
          </cell>
          <cell r="BK82">
            <v>1996.09</v>
          </cell>
          <cell r="BL82">
            <v>2105.0509999999999</v>
          </cell>
          <cell r="BM82">
            <v>2199.0880000000002</v>
          </cell>
          <cell r="BN82">
            <v>1891.3340000000001</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row>
        <row r="83">
          <cell r="B83" t="str">
            <v>Bad debt expense</v>
          </cell>
          <cell r="D83">
            <v>122.303</v>
          </cell>
          <cell r="E83">
            <v>95.149000000000001</v>
          </cell>
          <cell r="F83">
            <v>122.303</v>
          </cell>
          <cell r="G83">
            <v>36.972999999999999</v>
          </cell>
          <cell r="H83">
            <v>36.985999999999997</v>
          </cell>
          <cell r="I83">
            <v>38.384</v>
          </cell>
          <cell r="J83">
            <v>43.883000000000003</v>
          </cell>
          <cell r="K83">
            <v>156.226</v>
          </cell>
          <cell r="L83">
            <v>49.896999999999998</v>
          </cell>
          <cell r="M83">
            <v>47.722000000000001</v>
          </cell>
          <cell r="N83">
            <v>52.350999999999999</v>
          </cell>
          <cell r="O83">
            <v>51.363999999999997</v>
          </cell>
          <cell r="P83">
            <v>201.334</v>
          </cell>
          <cell r="Q83">
            <v>62.341000000000001</v>
          </cell>
          <cell r="R83">
            <v>62.078000000000003</v>
          </cell>
          <cell r="S83">
            <v>70.69</v>
          </cell>
          <cell r="T83">
            <v>81.409000000000006</v>
          </cell>
          <cell r="U83">
            <v>276.51800000000003</v>
          </cell>
          <cell r="V83">
            <v>86.111000000000004</v>
          </cell>
          <cell r="W83">
            <v>81.721000000000004</v>
          </cell>
          <cell r="X83">
            <v>88.400999999999996</v>
          </cell>
          <cell r="Y83">
            <v>89.975999999999999</v>
          </cell>
          <cell r="Z83">
            <v>346.209</v>
          </cell>
          <cell r="AA83">
            <v>93.994</v>
          </cell>
          <cell r="AB83">
            <v>91.581999999999994</v>
          </cell>
          <cell r="AC83">
            <v>92.98</v>
          </cell>
          <cell r="AD83">
            <v>99.983000000000004</v>
          </cell>
          <cell r="AE83">
            <v>378.53899999999999</v>
          </cell>
          <cell r="AF83">
            <v>107.59099999999999</v>
          </cell>
          <cell r="AG83">
            <v>115.70399999999999</v>
          </cell>
          <cell r="AH83">
            <v>192.43899999999999</v>
          </cell>
          <cell r="AI83">
            <v>132.047</v>
          </cell>
          <cell r="AJ83">
            <v>547.78099999999995</v>
          </cell>
          <cell r="AK83">
            <v>135.69900000000001</v>
          </cell>
          <cell r="AL83">
            <v>148.661</v>
          </cell>
          <cell r="AM83">
            <v>279.60399999999998</v>
          </cell>
          <cell r="AN83">
            <v>361.13</v>
          </cell>
          <cell r="AO83">
            <v>925.09399999999994</v>
          </cell>
          <cell r="AP83">
            <v>297.08</v>
          </cell>
          <cell r="AQ83">
            <v>291.04500000000002</v>
          </cell>
          <cell r="AR83">
            <v>326.21300000000002</v>
          </cell>
          <cell r="AS83">
            <v>316.35399999999998</v>
          </cell>
          <cell r="AT83">
            <v>1230.692</v>
          </cell>
          <cell r="AU83">
            <v>335.45100000000002</v>
          </cell>
          <cell r="AV83">
            <v>362.46199999999999</v>
          </cell>
          <cell r="AW83">
            <v>378.35700000000003</v>
          </cell>
          <cell r="AX83">
            <v>381.72</v>
          </cell>
          <cell r="AY83">
            <v>1457.99</v>
          </cell>
          <cell r="AZ83">
            <v>378.07400000000001</v>
          </cell>
          <cell r="BA83">
            <v>381.45</v>
          </cell>
          <cell r="BB83">
            <v>403.077</v>
          </cell>
          <cell r="BC83">
            <v>425.91500000000002</v>
          </cell>
          <cell r="BD83">
            <v>1588.5160000000001</v>
          </cell>
          <cell r="BE83">
            <v>407.87099999999998</v>
          </cell>
          <cell r="BF83">
            <v>433.00200000000001</v>
          </cell>
          <cell r="BG83">
            <v>450.29599999999999</v>
          </cell>
          <cell r="BH83">
            <v>436.68900000000002</v>
          </cell>
          <cell r="BI83">
            <v>1727.8580000000002</v>
          </cell>
          <cell r="BJ83">
            <v>486.45600000000002</v>
          </cell>
          <cell r="BK83">
            <v>503.45400000000001</v>
          </cell>
          <cell r="BL83">
            <v>484.63099999999997</v>
          </cell>
          <cell r="BM83">
            <v>478.61918121462156</v>
          </cell>
          <cell r="BN83">
            <v>1953.1601812146218</v>
          </cell>
          <cell r="BO83">
            <v>518.96624638953028</v>
          </cell>
          <cell r="BP83">
            <v>535.58675634313227</v>
          </cell>
          <cell r="BQ83">
            <v>516.12666225141368</v>
          </cell>
          <cell r="BR83">
            <v>512.67005990589735</v>
          </cell>
          <cell r="BS83">
            <v>2083.3497248899735</v>
          </cell>
          <cell r="BT83">
            <v>412.83617652728759</v>
          </cell>
          <cell r="BU83">
            <v>423.95218542402017</v>
          </cell>
          <cell r="BV83">
            <v>406.58580823609645</v>
          </cell>
          <cell r="BW83">
            <v>399.68809594034428</v>
          </cell>
          <cell r="BX83">
            <v>1643.0622661277484</v>
          </cell>
          <cell r="BY83">
            <v>365.51765956781304</v>
          </cell>
          <cell r="BZ83">
            <v>377.10577373727614</v>
          </cell>
          <cell r="CA83">
            <v>363.17492951881025</v>
          </cell>
          <cell r="CB83">
            <v>358.65187728408227</v>
          </cell>
          <cell r="CC83">
            <v>1464.4502401079817</v>
          </cell>
          <cell r="CD83">
            <v>336.9812332453605</v>
          </cell>
          <cell r="CE83">
            <v>347.49352147593953</v>
          </cell>
          <cell r="CF83">
            <v>334.66531343763847</v>
          </cell>
          <cell r="CG83">
            <v>330.42581281906087</v>
          </cell>
          <cell r="CH83">
            <v>1349.5658809779993</v>
          </cell>
        </row>
        <row r="84">
          <cell r="B84" t="str">
            <v>as a % of net sales</v>
          </cell>
          <cell r="D84">
            <v>0.14306954436450839</v>
          </cell>
          <cell r="E84">
            <v>8.8104760114560546E-2</v>
          </cell>
          <cell r="F84">
            <v>9.1441426959680772E-2</v>
          </cell>
          <cell r="G84">
            <v>9.2746679376387517E-2</v>
          </cell>
          <cell r="H84">
            <v>9.2255349717766374E-2</v>
          </cell>
          <cell r="I84">
            <v>9.2143198365696913E-2</v>
          </cell>
          <cell r="J84">
            <v>9.1901185754195799E-2</v>
          </cell>
          <cell r="K84">
            <v>9.2243560410362385E-2</v>
          </cell>
          <cell r="L84">
            <v>9.3524316847197572E-2</v>
          </cell>
          <cell r="M84">
            <v>8.9942742120916283E-2</v>
          </cell>
          <cell r="N84">
            <v>9.4694496247564847E-2</v>
          </cell>
          <cell r="O84">
            <v>8.8031192424696855E-2</v>
          </cell>
          <cell r="P84">
            <v>9.1498111494321313E-2</v>
          </cell>
          <cell r="Q84">
            <v>9.4559646400526637E-2</v>
          </cell>
          <cell r="R84">
            <v>9.4444943122777819E-2</v>
          </cell>
          <cell r="S84">
            <v>9.7770192331630285E-2</v>
          </cell>
          <cell r="T84">
            <v>0.10239713621590074</v>
          </cell>
          <cell r="U84">
            <v>9.7550151272267502E-2</v>
          </cell>
          <cell r="V84">
            <v>0.1047100109925387</v>
          </cell>
          <cell r="W84">
            <v>0.10043518924771622</v>
          </cell>
          <cell r="X84">
            <v>0.10473630209209581</v>
          </cell>
          <cell r="Y84">
            <v>0.10322219456149268</v>
          </cell>
          <cell r="Z84">
            <v>0.10329195000107405</v>
          </cell>
          <cell r="AA84">
            <v>0.10282592428903368</v>
          </cell>
          <cell r="AB84">
            <v>9.9684560441833076E-2</v>
          </cell>
          <cell r="AC84">
            <v>0.10005714168878979</v>
          </cell>
          <cell r="AD84">
            <v>0.10180842506135</v>
          </cell>
          <cell r="AE84">
            <v>0.10110104656178345</v>
          </cell>
          <cell r="AF84">
            <v>0.10480711345247536</v>
          </cell>
          <cell r="AG84">
            <v>0.10904628793633499</v>
          </cell>
          <cell r="AH84">
            <v>0.17128786105352728</v>
          </cell>
          <cell r="AI84">
            <v>0.11437819895935561</v>
          </cell>
          <cell r="AJ84">
            <v>0.12547737114186078</v>
          </cell>
          <cell r="AK84">
            <v>0.11270709146285249</v>
          </cell>
          <cell r="AL84">
            <v>0.11901182264747889</v>
          </cell>
          <cell r="AM84">
            <v>0.11887485454407086</v>
          </cell>
          <cell r="AN84">
            <v>0.14283273386274484</v>
          </cell>
          <cell r="AO84">
            <v>0.12614538598883979</v>
          </cell>
          <cell r="AP84">
            <v>0.10891810024659455</v>
          </cell>
          <cell r="AQ84">
            <v>0.1081710399167472</v>
          </cell>
          <cell r="AR84">
            <v>0.117644958634767</v>
          </cell>
          <cell r="AS84">
            <v>0.11455717792041971</v>
          </cell>
          <cell r="AT84">
            <v>0.11236577557449623</v>
          </cell>
          <cell r="AU84">
            <v>0.11597709852405798</v>
          </cell>
          <cell r="AV84">
            <v>0.12014142708507004</v>
          </cell>
          <cell r="AW84">
            <v>0.12257427455416803</v>
          </cell>
          <cell r="AX84">
            <v>0.12348818205286971</v>
          </cell>
          <cell r="AY84">
            <v>0.12062210325025022</v>
          </cell>
          <cell r="AZ84">
            <v>0.11961634082339415</v>
          </cell>
          <cell r="BA84">
            <v>0.12029237243237516</v>
          </cell>
          <cell r="BB84">
            <v>0.12394532072797047</v>
          </cell>
          <cell r="BC84">
            <v>0.1251697549504085</v>
          </cell>
          <cell r="BD84">
            <v>0.12232056366226467</v>
          </cell>
          <cell r="BE84">
            <v>0.1197738729325865</v>
          </cell>
          <cell r="BF84">
            <v>0.12609888261762597</v>
          </cell>
          <cell r="BG84">
            <v>0.13105238649592549</v>
          </cell>
          <cell r="BH84">
            <v>0.1268517716994034</v>
          </cell>
          <cell r="BI84">
            <v>0.12595842520075362</v>
          </cell>
          <cell r="BJ84">
            <v>0.12857332024841608</v>
          </cell>
          <cell r="BK84">
            <v>0.13438240371895577</v>
          </cell>
          <cell r="BL84">
            <v>0.13109965993635878</v>
          </cell>
          <cell r="BM84">
            <v>0.13</v>
          </cell>
          <cell r="BN84">
            <v>0.1310118950111667</v>
          </cell>
          <cell r="BO84">
            <v>0.13227193635898349</v>
          </cell>
          <cell r="BP84">
            <v>0.13516078160571779</v>
          </cell>
          <cell r="BQ84">
            <v>0.13204274807183702</v>
          </cell>
          <cell r="BR84">
            <v>0.131174362283526</v>
          </cell>
          <cell r="BS84">
            <v>0.13267069687928851</v>
          </cell>
          <cell r="BT84">
            <v>0.10070045128101981</v>
          </cell>
          <cell r="BU84">
            <v>0.10258996045252673</v>
          </cell>
          <cell r="BV84">
            <v>0.10027929556453288</v>
          </cell>
          <cell r="BW84">
            <v>9.9126986840993123E-2</v>
          </cell>
          <cell r="BX84">
            <v>0.10068552699917446</v>
          </cell>
          <cell r="BY84">
            <v>8.6041936810924841E-2</v>
          </cell>
          <cell r="BZ84">
            <v>8.7902892358816889E-2</v>
          </cell>
          <cell r="CA84">
            <v>8.6228888843226631E-2</v>
          </cell>
          <cell r="CB84">
            <v>8.5380870885745377E-2</v>
          </cell>
          <cell r="CC84">
            <v>8.6395557926908881E-2</v>
          </cell>
          <cell r="CD84">
            <v>7.6104567968502249E-2</v>
          </cell>
          <cell r="CE84">
            <v>7.7758052049627671E-2</v>
          </cell>
          <cell r="CF84">
            <v>7.6253402497982931E-2</v>
          </cell>
          <cell r="CG84">
            <v>7.5623188619637197E-2</v>
          </cell>
          <cell r="CH84">
            <v>7.64409685743032E-2</v>
          </cell>
        </row>
        <row r="85">
          <cell r="B85" t="str">
            <v>Additions from acquisitions</v>
          </cell>
          <cell r="E85">
            <v>0</v>
          </cell>
          <cell r="F85">
            <v>0</v>
          </cell>
          <cell r="G85">
            <v>0</v>
          </cell>
          <cell r="H85">
            <v>0</v>
          </cell>
          <cell r="I85">
            <v>0</v>
          </cell>
          <cell r="J85">
            <v>0</v>
          </cell>
          <cell r="K85">
            <v>0</v>
          </cell>
          <cell r="L85">
            <v>0</v>
          </cell>
          <cell r="M85">
            <v>0</v>
          </cell>
          <cell r="N85">
            <v>0</v>
          </cell>
          <cell r="O85">
            <v>0</v>
          </cell>
          <cell r="P85">
            <v>0</v>
          </cell>
          <cell r="Q85">
            <v>-3.1027499999999999</v>
          </cell>
          <cell r="R85">
            <v>-3.1027499999999999</v>
          </cell>
          <cell r="S85">
            <v>-3.1027499999999999</v>
          </cell>
          <cell r="T85">
            <v>-3.1027499999999999</v>
          </cell>
          <cell r="U85">
            <v>-12.411</v>
          </cell>
          <cell r="V85">
            <v>-0.55825000000000002</v>
          </cell>
          <cell r="W85">
            <v>-0.55825000000000002</v>
          </cell>
          <cell r="X85">
            <v>-0.55825000000000002</v>
          </cell>
          <cell r="Y85">
            <v>-0.55825000000000002</v>
          </cell>
          <cell r="Z85">
            <v>-2.2330000000000001</v>
          </cell>
          <cell r="AA85">
            <v>0</v>
          </cell>
          <cell r="AB85">
            <v>0</v>
          </cell>
          <cell r="AC85">
            <v>0</v>
          </cell>
          <cell r="AD85">
            <v>0</v>
          </cell>
          <cell r="AE85">
            <v>0</v>
          </cell>
          <cell r="AF85">
            <v>-7.8102499999999999</v>
          </cell>
          <cell r="AG85">
            <v>-7.8102499999999999</v>
          </cell>
          <cell r="AH85">
            <v>-7.8102499999999999</v>
          </cell>
          <cell r="AI85">
            <v>-7.8102499999999999</v>
          </cell>
          <cell r="AJ85">
            <v>-31.241</v>
          </cell>
          <cell r="AK85">
            <v>-105.28925</v>
          </cell>
          <cell r="AL85">
            <v>-105.28925</v>
          </cell>
          <cell r="AM85">
            <v>-105.28925</v>
          </cell>
          <cell r="AN85">
            <v>-105.28925</v>
          </cell>
          <cell r="AO85">
            <v>-421.15699999999998</v>
          </cell>
          <cell r="AP85">
            <v>3.0880000000000001</v>
          </cell>
          <cell r="AQ85">
            <v>3.0880000000000001</v>
          </cell>
          <cell r="AR85">
            <v>3.0880000000000001</v>
          </cell>
          <cell r="AS85">
            <v>3.0880000000000001</v>
          </cell>
          <cell r="AT85">
            <v>12.352</v>
          </cell>
          <cell r="AU85">
            <v>0</v>
          </cell>
          <cell r="AV85">
            <v>0</v>
          </cell>
          <cell r="AW85">
            <v>0</v>
          </cell>
          <cell r="AX85">
            <v>0</v>
          </cell>
          <cell r="AY85">
            <v>0</v>
          </cell>
          <cell r="AZ85">
            <v>0</v>
          </cell>
          <cell r="BA85">
            <v>0</v>
          </cell>
          <cell r="BB85">
            <v>0</v>
          </cell>
          <cell r="BC85">
            <v>0</v>
          </cell>
          <cell r="BD85">
            <v>0</v>
          </cell>
          <cell r="BE85">
            <v>7.2385000000000002</v>
          </cell>
          <cell r="BF85">
            <v>7.2385000000000002</v>
          </cell>
          <cell r="BG85">
            <v>7.2385000000000002</v>
          </cell>
          <cell r="BH85">
            <v>7.2385000000000002</v>
          </cell>
          <cell r="BI85">
            <v>28.954000000000001</v>
          </cell>
          <cell r="BN85">
            <v>0</v>
          </cell>
          <cell r="BS85">
            <v>0</v>
          </cell>
          <cell r="BX85">
            <v>0</v>
          </cell>
          <cell r="CC85">
            <v>0</v>
          </cell>
          <cell r="CH85">
            <v>0</v>
          </cell>
        </row>
        <row r="86">
          <cell r="B86" t="str">
            <v>Write-offs</v>
          </cell>
          <cell r="E86">
            <v>-89.420999999999992</v>
          </cell>
          <cell r="F86">
            <v>-103.86699999999999</v>
          </cell>
          <cell r="J86">
            <v>19.997</v>
          </cell>
          <cell r="K86">
            <v>-145.28100000000001</v>
          </cell>
          <cell r="P86">
            <v>-192.10400000000001</v>
          </cell>
          <cell r="S86">
            <v>-54.348249999999993</v>
          </cell>
          <cell r="T86">
            <v>-73.350250000000003</v>
          </cell>
          <cell r="U86">
            <v>-233.54000000000002</v>
          </cell>
          <cell r="V86">
            <v>14.670249999999994</v>
          </cell>
          <cell r="W86">
            <v>-81.611750000000015</v>
          </cell>
          <cell r="X86">
            <v>-8.9737499999999972</v>
          </cell>
          <cell r="Y86">
            <v>-85.643749999999997</v>
          </cell>
          <cell r="Z86">
            <v>-161.55900000000003</v>
          </cell>
          <cell r="AA86">
            <v>-83.72999999999999</v>
          </cell>
          <cell r="AB86">
            <v>-87.62700000000001</v>
          </cell>
          <cell r="AC86">
            <v>-61.006999999999991</v>
          </cell>
          <cell r="AD86">
            <v>-86.245000000000005</v>
          </cell>
          <cell r="AE86">
            <v>-318.60899999999998</v>
          </cell>
          <cell r="AF86">
            <v>-104.95775000000002</v>
          </cell>
          <cell r="AG86">
            <v>-97.964749999999967</v>
          </cell>
          <cell r="AH86">
            <v>-74.478750000000019</v>
          </cell>
          <cell r="AI86">
            <v>-106.59774999999999</v>
          </cell>
          <cell r="AJ86">
            <v>-383.99899999999997</v>
          </cell>
          <cell r="AK86">
            <v>-11.620750000000029</v>
          </cell>
          <cell r="AL86">
            <v>-42.252749999999978</v>
          </cell>
          <cell r="AM86">
            <v>328.78225000000003</v>
          </cell>
          <cell r="AN86">
            <v>-223.89474999999999</v>
          </cell>
          <cell r="AO86">
            <v>51.014000000000067</v>
          </cell>
          <cell r="AP86">
            <v>-296.91800000000001</v>
          </cell>
          <cell r="AQ86">
            <v>-278.08800000000019</v>
          </cell>
          <cell r="AR86">
            <v>-272.82900000000006</v>
          </cell>
          <cell r="AS86">
            <v>-325.82499999999982</v>
          </cell>
          <cell r="AT86">
            <v>-1173.6600000000001</v>
          </cell>
          <cell r="AU86">
            <v>-243.51700000000005</v>
          </cell>
          <cell r="AV86">
            <v>-282.59799999999996</v>
          </cell>
          <cell r="AW86">
            <v>-285.76500000000016</v>
          </cell>
          <cell r="AX86">
            <v>-331.82199999999989</v>
          </cell>
          <cell r="AY86">
            <v>-1143.702</v>
          </cell>
          <cell r="AZ86">
            <v>-348.03300000000007</v>
          </cell>
          <cell r="BA86">
            <v>-335.47199999999992</v>
          </cell>
          <cell r="BB86">
            <v>-342.13500000000022</v>
          </cell>
          <cell r="BC86">
            <v>-340.86599999999981</v>
          </cell>
          <cell r="BD86">
            <v>-1366.5060000000001</v>
          </cell>
          <cell r="BE86">
            <v>-354.37250000000012</v>
          </cell>
          <cell r="BF86">
            <v>-346.77149999999995</v>
          </cell>
          <cell r="BG86">
            <v>-410.93550000000005</v>
          </cell>
          <cell r="BH86">
            <v>-392.59649999999988</v>
          </cell>
          <cell r="BI86">
            <v>-1504.6760000000002</v>
          </cell>
          <cell r="BJ86">
            <v>-381.70000000000016</v>
          </cell>
          <cell r="BK86">
            <v>-394.49299999999999</v>
          </cell>
          <cell r="BL86">
            <v>-390.59399999999971</v>
          </cell>
          <cell r="BM86">
            <v>-2677.7071812146219</v>
          </cell>
          <cell r="BN86">
            <v>-3844.4941812146217</v>
          </cell>
          <cell r="BO86">
            <v>-518.96624638953028</v>
          </cell>
          <cell r="BP86">
            <v>-535.58675634313227</v>
          </cell>
          <cell r="BQ86">
            <v>-516.12666225141368</v>
          </cell>
          <cell r="BR86">
            <v>-512.67005990589735</v>
          </cell>
          <cell r="BS86">
            <v>-2083.3497248899735</v>
          </cell>
          <cell r="BT86">
            <v>-412.83617652728759</v>
          </cell>
          <cell r="BU86">
            <v>-423.95218542402017</v>
          </cell>
          <cell r="BV86">
            <v>-406.58580823609645</v>
          </cell>
          <cell r="BW86">
            <v>-399.68809594034428</v>
          </cell>
          <cell r="BX86">
            <v>-1643.0622661277484</v>
          </cell>
          <cell r="BY86">
            <v>-365.51765956781304</v>
          </cell>
          <cell r="BZ86">
            <v>-377.10577373727614</v>
          </cell>
          <cell r="CA86">
            <v>-363.17492951881025</v>
          </cell>
          <cell r="CB86">
            <v>-358.65187728408227</v>
          </cell>
          <cell r="CC86">
            <v>-1464.4502401079817</v>
          </cell>
          <cell r="CD86">
            <v>-336.9812332453605</v>
          </cell>
          <cell r="CE86">
            <v>-347.49352147593953</v>
          </cell>
          <cell r="CF86">
            <v>-334.66531343763847</v>
          </cell>
          <cell r="CG86">
            <v>-330.42581281906087</v>
          </cell>
          <cell r="CH86">
            <v>-1349.5658809779993</v>
          </cell>
        </row>
        <row r="87">
          <cell r="B87" t="str">
            <v>Allowance for doubtful accts (closing)</v>
          </cell>
          <cell r="D87">
            <v>28.771000000000001</v>
          </cell>
          <cell r="E87">
            <v>34.499000000000002</v>
          </cell>
          <cell r="F87">
            <v>52.935000000000002</v>
          </cell>
          <cell r="J87">
            <v>63.88</v>
          </cell>
          <cell r="K87">
            <v>63.88</v>
          </cell>
          <cell r="P87">
            <v>73.11</v>
          </cell>
          <cell r="R87">
            <v>85.481999999999999</v>
          </cell>
          <cell r="S87">
            <v>98.721000000000004</v>
          </cell>
          <cell r="T87">
            <v>103.67700000000001</v>
          </cell>
          <cell r="U87">
            <v>103.67700000000001</v>
          </cell>
          <cell r="V87">
            <v>203.9</v>
          </cell>
          <cell r="W87">
            <v>203.45099999999999</v>
          </cell>
          <cell r="X87">
            <v>282.32</v>
          </cell>
          <cell r="Y87">
            <v>286.09399999999999</v>
          </cell>
          <cell r="Z87">
            <v>286.09399999999999</v>
          </cell>
          <cell r="AA87">
            <v>296.358</v>
          </cell>
          <cell r="AB87">
            <v>300.31299999999999</v>
          </cell>
          <cell r="AC87">
            <v>332.286</v>
          </cell>
          <cell r="AD87">
            <v>346.024</v>
          </cell>
          <cell r="AE87">
            <v>346.024</v>
          </cell>
          <cell r="AF87">
            <v>340.84699999999998</v>
          </cell>
          <cell r="AG87">
            <v>350.77600000000001</v>
          </cell>
          <cell r="AH87">
            <v>460.92599999999999</v>
          </cell>
          <cell r="AI87">
            <v>478.565</v>
          </cell>
          <cell r="AJ87">
            <v>478.565</v>
          </cell>
          <cell r="AK87">
            <v>497.35399999999998</v>
          </cell>
          <cell r="AL87">
            <v>498.47300000000001</v>
          </cell>
          <cell r="AM87">
            <v>1001.57</v>
          </cell>
          <cell r="AN87">
            <v>1033.5160000000001</v>
          </cell>
          <cell r="AO87">
            <v>1033.5160000000001</v>
          </cell>
          <cell r="AP87">
            <v>1036.7660000000001</v>
          </cell>
          <cell r="AQ87">
            <v>1052.8109999999999</v>
          </cell>
          <cell r="AR87">
            <v>1109.2829999999999</v>
          </cell>
          <cell r="AS87">
            <v>1102.9000000000001</v>
          </cell>
          <cell r="AT87">
            <v>1102.9000000000001</v>
          </cell>
          <cell r="AU87">
            <v>1194.8340000000001</v>
          </cell>
          <cell r="AV87">
            <v>1274.6980000000001</v>
          </cell>
          <cell r="AW87">
            <v>1367.29</v>
          </cell>
          <cell r="AX87">
            <v>1417.1880000000001</v>
          </cell>
          <cell r="AY87">
            <v>1417.1880000000001</v>
          </cell>
          <cell r="AZ87">
            <v>1447.229</v>
          </cell>
          <cell r="BA87">
            <v>1493.2070000000001</v>
          </cell>
          <cell r="BB87">
            <v>1554.1489999999999</v>
          </cell>
          <cell r="BC87">
            <v>1639.1980000000001</v>
          </cell>
          <cell r="BD87">
            <v>1639.1980000000001</v>
          </cell>
          <cell r="BE87">
            <v>1699.9349999999999</v>
          </cell>
          <cell r="BF87">
            <v>1793.404</v>
          </cell>
          <cell r="BG87">
            <v>1840.0029999999999</v>
          </cell>
          <cell r="BH87">
            <v>1891.3340000000001</v>
          </cell>
          <cell r="BI87">
            <v>1891.3340000000001</v>
          </cell>
          <cell r="BJ87">
            <v>1996.09</v>
          </cell>
          <cell r="BK87">
            <v>2105.0509999999999</v>
          </cell>
          <cell r="BL87">
            <v>2199.0880000000002</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row>
        <row r="88">
          <cell r="B88" t="str">
            <v>as a % of gross receivables</v>
          </cell>
          <cell r="E88">
            <v>0.13225659289473987</v>
          </cell>
          <cell r="F88">
            <v>0.14592252199106298</v>
          </cell>
          <cell r="K88">
            <v>0.14721200556769262</v>
          </cell>
          <cell r="P88">
            <v>0.1543864242997601</v>
          </cell>
          <cell r="U88">
            <v>0.15642888827865911</v>
          </cell>
          <cell r="V88">
            <v>0.25883024975405416</v>
          </cell>
          <cell r="W88">
            <v>0.26917596440464703</v>
          </cell>
          <cell r="X88">
            <v>0.32819129767620286</v>
          </cell>
          <cell r="Y88">
            <v>0.32387205596843849</v>
          </cell>
          <cell r="Z88">
            <v>0.32387205596843849</v>
          </cell>
          <cell r="AA88">
            <v>0.3282294032887399</v>
          </cell>
          <cell r="AB88">
            <v>0.32822635380679088</v>
          </cell>
          <cell r="AC88">
            <v>0.34535851033312964</v>
          </cell>
          <cell r="AD88">
            <v>0.34531506816505714</v>
          </cell>
          <cell r="AE88">
            <v>0.34531506816505714</v>
          </cell>
          <cell r="AF88">
            <v>0.32776460361145249</v>
          </cell>
          <cell r="AG88">
            <v>0.3252551777342591</v>
          </cell>
          <cell r="AH88">
            <v>0.38204703994483052</v>
          </cell>
          <cell r="AI88">
            <v>0.38207287698924353</v>
          </cell>
          <cell r="AJ88">
            <v>0.38207287698924353</v>
          </cell>
          <cell r="AK88">
            <v>0.37825882932742949</v>
          </cell>
          <cell r="AL88">
            <v>0.36252687280544815</v>
          </cell>
          <cell r="AM88">
            <v>0.35376477964096181</v>
          </cell>
          <cell r="AN88">
            <v>0.40256704088397444</v>
          </cell>
          <cell r="AO88">
            <v>0.40256704088397444</v>
          </cell>
          <cell r="AP88">
            <v>0.38940679621277458</v>
          </cell>
          <cell r="AQ88">
            <v>0.39631313680753677</v>
          </cell>
          <cell r="AR88">
            <v>0.4030673997303153</v>
          </cell>
          <cell r="AS88">
            <v>0.40594672009110516</v>
          </cell>
          <cell r="AT88">
            <v>0.40594672009110516</v>
          </cell>
          <cell r="AU88">
            <v>0.42090100829483934</v>
          </cell>
          <cell r="AV88">
            <v>0.43466169000358384</v>
          </cell>
          <cell r="AW88">
            <v>0.44922929326282551</v>
          </cell>
          <cell r="AX88">
            <v>0.46693426984561581</v>
          </cell>
          <cell r="AY88">
            <v>0.46693426984561581</v>
          </cell>
          <cell r="AZ88">
            <v>0.4580801155685878</v>
          </cell>
          <cell r="BA88">
            <v>0.47030052856593024</v>
          </cell>
          <cell r="BB88">
            <v>0.48482992804678127</v>
          </cell>
          <cell r="BC88">
            <v>0.4887671674011701</v>
          </cell>
          <cell r="BD88">
            <v>0.4887671674011701</v>
          </cell>
          <cell r="BE88">
            <v>0.49045211893514734</v>
          </cell>
          <cell r="BF88">
            <v>0.50013943858678434</v>
          </cell>
          <cell r="BG88">
            <v>0.50925486171538903</v>
          </cell>
          <cell r="BH88">
            <v>0.50767239090796112</v>
          </cell>
          <cell r="BI88">
            <v>0.50767239090796112</v>
          </cell>
          <cell r="BJ88">
            <v>0.49708053063693414</v>
          </cell>
          <cell r="BK88">
            <v>0.50598015596310209</v>
          </cell>
          <cell r="BL88">
            <v>0.51257148384555407</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row>
        <row r="90">
          <cell r="B90" t="str">
            <v>LTM Bad Debt Expense</v>
          </cell>
          <cell r="J90">
            <v>156.226</v>
          </cell>
          <cell r="K90">
            <v>156.226</v>
          </cell>
          <cell r="L90">
            <v>169.14999999999998</v>
          </cell>
          <cell r="M90">
            <v>179.88600000000002</v>
          </cell>
          <cell r="N90">
            <v>193.85300000000001</v>
          </cell>
          <cell r="O90">
            <v>201.334</v>
          </cell>
          <cell r="P90">
            <v>201.334</v>
          </cell>
          <cell r="Q90">
            <v>213.77799999999999</v>
          </cell>
          <cell r="R90">
            <v>228.13400000000001</v>
          </cell>
          <cell r="S90">
            <v>246.47300000000001</v>
          </cell>
          <cell r="T90">
            <v>276.51799999999997</v>
          </cell>
          <cell r="U90">
            <v>276.51799999999997</v>
          </cell>
          <cell r="V90">
            <v>300.28800000000001</v>
          </cell>
          <cell r="W90">
            <v>319.93099999999998</v>
          </cell>
          <cell r="X90">
            <v>337.642</v>
          </cell>
          <cell r="Y90">
            <v>346.209</v>
          </cell>
          <cell r="Z90">
            <v>346.209</v>
          </cell>
          <cell r="AA90">
            <v>354.09199999999998</v>
          </cell>
          <cell r="AB90">
            <v>363.95300000000003</v>
          </cell>
          <cell r="AC90">
            <v>368.53200000000004</v>
          </cell>
          <cell r="AD90">
            <v>378.53899999999999</v>
          </cell>
          <cell r="AE90">
            <v>378.53899999999999</v>
          </cell>
          <cell r="AF90">
            <v>392.13600000000002</v>
          </cell>
          <cell r="AG90">
            <v>416.25800000000004</v>
          </cell>
          <cell r="AH90">
            <v>515.71699999999998</v>
          </cell>
          <cell r="AI90">
            <v>547.78099999999995</v>
          </cell>
          <cell r="AJ90">
            <v>547.78099999999995</v>
          </cell>
          <cell r="AK90">
            <v>575.8889999999999</v>
          </cell>
          <cell r="AL90">
            <v>608.846</v>
          </cell>
          <cell r="AM90">
            <v>696.01099999999997</v>
          </cell>
          <cell r="AN90">
            <v>925.09400000000005</v>
          </cell>
          <cell r="AO90">
            <v>925.09400000000005</v>
          </cell>
          <cell r="AP90">
            <v>1086.4750000000001</v>
          </cell>
          <cell r="AQ90">
            <v>1228.8589999999999</v>
          </cell>
          <cell r="AR90">
            <v>1275.4679999999998</v>
          </cell>
          <cell r="AS90">
            <v>1230.692</v>
          </cell>
          <cell r="AT90">
            <v>1230.692</v>
          </cell>
          <cell r="AU90">
            <v>1269.0630000000001</v>
          </cell>
          <cell r="AV90">
            <v>1340.48</v>
          </cell>
          <cell r="AW90">
            <v>1392.624</v>
          </cell>
          <cell r="AX90">
            <v>1457.99</v>
          </cell>
          <cell r="AY90">
            <v>1457.99</v>
          </cell>
          <cell r="AZ90">
            <v>1500.6130000000001</v>
          </cell>
          <cell r="BA90">
            <v>1519.6010000000001</v>
          </cell>
          <cell r="BB90">
            <v>1544.3210000000001</v>
          </cell>
          <cell r="BC90">
            <v>1588.5160000000001</v>
          </cell>
          <cell r="BD90">
            <v>1588.5160000000001</v>
          </cell>
          <cell r="BE90">
            <v>1618.3130000000001</v>
          </cell>
          <cell r="BF90">
            <v>1669.865</v>
          </cell>
          <cell r="BG90">
            <v>1717.0839999999998</v>
          </cell>
          <cell r="BH90">
            <v>1727.8580000000002</v>
          </cell>
          <cell r="BI90">
            <v>1727.8580000000002</v>
          </cell>
          <cell r="BJ90">
            <v>1806.443</v>
          </cell>
          <cell r="BK90">
            <v>1876.8950000000002</v>
          </cell>
          <cell r="BL90">
            <v>1911.2300000000002</v>
          </cell>
          <cell r="BM90">
            <v>1953.1601812146214</v>
          </cell>
          <cell r="BN90">
            <v>1953.1601812146214</v>
          </cell>
          <cell r="BO90">
            <v>1985.6704276041517</v>
          </cell>
          <cell r="BP90">
            <v>2017.8031839472842</v>
          </cell>
          <cell r="BQ90">
            <v>2049.2988461986979</v>
          </cell>
          <cell r="BR90">
            <v>2083.3497248899735</v>
          </cell>
          <cell r="BS90">
            <v>2083.3497248899735</v>
          </cell>
          <cell r="BT90">
            <v>1977.2196550277311</v>
          </cell>
          <cell r="BU90">
            <v>1865.5850841086185</v>
          </cell>
          <cell r="BV90">
            <v>1756.0442300933014</v>
          </cell>
          <cell r="BW90">
            <v>1643.0622661277484</v>
          </cell>
          <cell r="BX90">
            <v>1643.0622661277484</v>
          </cell>
          <cell r="BY90">
            <v>1595.743749168274</v>
          </cell>
          <cell r="BZ90">
            <v>1548.89733748153</v>
          </cell>
          <cell r="CA90">
            <v>1505.4864587642437</v>
          </cell>
          <cell r="CB90">
            <v>1464.4502401079817</v>
          </cell>
          <cell r="CC90">
            <v>1464.4502401079817</v>
          </cell>
          <cell r="CD90">
            <v>1435.9138137855293</v>
          </cell>
          <cell r="CE90">
            <v>1406.3015615241925</v>
          </cell>
          <cell r="CF90">
            <v>1377.7919454430207</v>
          </cell>
          <cell r="CG90">
            <v>1349.5658809779993</v>
          </cell>
          <cell r="CH90">
            <v>1349.5658809779993</v>
          </cell>
        </row>
        <row r="91">
          <cell r="B91" t="str">
            <v>LTM Writeoffs</v>
          </cell>
          <cell r="W91">
            <v>-194.64000000000004</v>
          </cell>
          <cell r="X91">
            <v>-149.26550000000003</v>
          </cell>
          <cell r="Y91">
            <v>-161.55900000000003</v>
          </cell>
          <cell r="Z91">
            <v>-161.55900000000003</v>
          </cell>
          <cell r="AA91">
            <v>-259.95925</v>
          </cell>
          <cell r="AB91">
            <v>-265.97449999999998</v>
          </cell>
          <cell r="AC91">
            <v>-318.00774999999999</v>
          </cell>
          <cell r="AD91">
            <v>-318.60900000000004</v>
          </cell>
          <cell r="AE91">
            <v>-318.60900000000004</v>
          </cell>
          <cell r="AF91">
            <v>-339.83675000000005</v>
          </cell>
          <cell r="AG91">
            <v>-350.17450000000002</v>
          </cell>
          <cell r="AH91">
            <v>-363.64625000000001</v>
          </cell>
          <cell r="AI91">
            <v>-383.99900000000002</v>
          </cell>
          <cell r="AJ91">
            <v>-383.99900000000002</v>
          </cell>
          <cell r="AK91">
            <v>-290.66200000000003</v>
          </cell>
          <cell r="AL91">
            <v>-234.95000000000002</v>
          </cell>
          <cell r="AM91">
            <v>168.31100000000001</v>
          </cell>
          <cell r="AN91">
            <v>51.014000000000038</v>
          </cell>
          <cell r="AO91">
            <v>51.014000000000038</v>
          </cell>
          <cell r="AP91">
            <v>-234.28325000000001</v>
          </cell>
          <cell r="AQ91">
            <v>-470.11850000000021</v>
          </cell>
          <cell r="AR91">
            <v>-1071.7297500000002</v>
          </cell>
          <cell r="AS91">
            <v>-1173.6600000000001</v>
          </cell>
          <cell r="AT91">
            <v>-1173.6600000000001</v>
          </cell>
          <cell r="AU91">
            <v>-1120.259</v>
          </cell>
          <cell r="AV91">
            <v>-1124.7689999999998</v>
          </cell>
          <cell r="AW91">
            <v>-1137.7049999999999</v>
          </cell>
          <cell r="AX91">
            <v>-1143.702</v>
          </cell>
          <cell r="AY91">
            <v>-1143.702</v>
          </cell>
          <cell r="AZ91">
            <v>-1248.2180000000001</v>
          </cell>
          <cell r="BA91">
            <v>-1301.0920000000001</v>
          </cell>
          <cell r="BB91">
            <v>-1357.4620000000002</v>
          </cell>
          <cell r="BC91">
            <v>-1366.5060000000001</v>
          </cell>
          <cell r="BD91">
            <v>-1366.5060000000001</v>
          </cell>
          <cell r="BE91">
            <v>-1372.8455000000001</v>
          </cell>
          <cell r="BF91">
            <v>-1384.145</v>
          </cell>
          <cell r="BG91">
            <v>-1452.9454999999998</v>
          </cell>
          <cell r="BH91">
            <v>-1504.6760000000002</v>
          </cell>
          <cell r="BI91">
            <v>-1504.6760000000002</v>
          </cell>
          <cell r="BJ91">
            <v>-1532.0034999999998</v>
          </cell>
          <cell r="BK91">
            <v>-1579.7250000000001</v>
          </cell>
          <cell r="BL91">
            <v>-1559.3834999999997</v>
          </cell>
          <cell r="BM91">
            <v>-3844.4941812146217</v>
          </cell>
          <cell r="BN91">
            <v>-3844.4941812146217</v>
          </cell>
          <cell r="BO91">
            <v>-3981.7604276041516</v>
          </cell>
          <cell r="BP91">
            <v>-4122.8541839472846</v>
          </cell>
          <cell r="BQ91">
            <v>-4248.3868461986985</v>
          </cell>
          <cell r="BR91">
            <v>-2083.3497248899735</v>
          </cell>
          <cell r="BS91">
            <v>-2083.3497248899735</v>
          </cell>
          <cell r="BT91">
            <v>-1977.2196550277311</v>
          </cell>
          <cell r="BU91">
            <v>-1865.5850841086185</v>
          </cell>
          <cell r="BV91">
            <v>-1756.0442300933014</v>
          </cell>
          <cell r="BW91">
            <v>-1643.0622661277484</v>
          </cell>
          <cell r="BX91">
            <v>-1643.0622661277484</v>
          </cell>
          <cell r="BY91">
            <v>-1595.743749168274</v>
          </cell>
          <cell r="BZ91">
            <v>-1548.89733748153</v>
          </cell>
          <cell r="CA91">
            <v>-1505.4864587642437</v>
          </cell>
          <cell r="CB91">
            <v>-1464.4502401079817</v>
          </cell>
          <cell r="CC91">
            <v>-1464.4502401079817</v>
          </cell>
          <cell r="CD91">
            <v>-1435.9138137855293</v>
          </cell>
          <cell r="CE91">
            <v>-1406.3015615241925</v>
          </cell>
          <cell r="CF91">
            <v>-1377.7919454430207</v>
          </cell>
          <cell r="CG91">
            <v>-1349.5658809779993</v>
          </cell>
          <cell r="CH91">
            <v>-1349.5658809779993</v>
          </cell>
        </row>
        <row r="93">
          <cell r="B93" t="str">
            <v>Cash receipts</v>
          </cell>
          <cell r="F93">
            <v>1131.7219999999998</v>
          </cell>
          <cell r="K93">
            <v>1477.1729999999998</v>
          </cell>
          <cell r="P93">
            <v>1968.693</v>
          </cell>
          <cell r="U93">
            <v>2399.451</v>
          </cell>
          <cell r="Z93">
            <v>2967.3790000000004</v>
          </cell>
          <cell r="AA93">
            <v>810.83399999999983</v>
          </cell>
          <cell r="AB93">
            <v>819.03300000000002</v>
          </cell>
          <cell r="AC93">
            <v>821.07100000000003</v>
          </cell>
          <cell r="AD93">
            <v>855.92000000000007</v>
          </cell>
          <cell r="AE93">
            <v>3306.8580000000002</v>
          </cell>
          <cell r="AF93">
            <v>875.93299999999988</v>
          </cell>
          <cell r="AG93">
            <v>916.72900000000004</v>
          </cell>
          <cell r="AH93">
            <v>913.19399999999985</v>
          </cell>
          <cell r="AI93">
            <v>993.98399999999992</v>
          </cell>
          <cell r="AJ93">
            <v>3699.8399999999992</v>
          </cell>
          <cell r="AK93">
            <v>1024.7850000000003</v>
          </cell>
          <cell r="AL93">
            <v>1041.4409999999998</v>
          </cell>
          <cell r="AM93">
            <v>1119.4010000000001</v>
          </cell>
          <cell r="AN93">
            <v>2463.0190000000002</v>
          </cell>
          <cell r="AO93">
            <v>5648.6460000000006</v>
          </cell>
          <cell r="AP93">
            <v>2338.614</v>
          </cell>
          <cell r="AQ93">
            <v>2421.5109999999995</v>
          </cell>
          <cell r="AR93">
            <v>2407.529</v>
          </cell>
          <cell r="AS93">
            <v>2474.0450000000005</v>
          </cell>
          <cell r="AT93">
            <v>9641.6990000000005</v>
          </cell>
          <cell r="AU93">
            <v>2526.9790000000003</v>
          </cell>
          <cell r="AV93">
            <v>2640.4950000000003</v>
          </cell>
          <cell r="AW93">
            <v>2689.9780000000001</v>
          </cell>
          <cell r="AX93">
            <v>2767.8679999999995</v>
          </cell>
          <cell r="AY93">
            <v>10625.320000000002</v>
          </cell>
          <cell r="AZ93">
            <v>2688.444</v>
          </cell>
          <cell r="BA93">
            <v>2819.8819999999996</v>
          </cell>
          <cell r="BB93">
            <v>2879.3709999999992</v>
          </cell>
          <cell r="BC93">
            <v>2913.6479999999997</v>
          </cell>
          <cell r="BD93">
            <v>11301.345000000001</v>
          </cell>
          <cell r="BE93">
            <v>2945.8909999999996</v>
          </cell>
          <cell r="BF93">
            <v>2974.5450000000001</v>
          </cell>
          <cell r="BG93">
            <v>3004.9830000000006</v>
          </cell>
          <cell r="BH93">
            <v>2944.7830000000004</v>
          </cell>
          <cell r="BI93">
            <v>11870.202000000001</v>
          </cell>
          <cell r="BJ93">
            <v>3111.6649999999991</v>
          </cell>
          <cell r="BK93">
            <v>3207.2190000000001</v>
          </cell>
          <cell r="BL93">
            <v>3176.1049999999996</v>
          </cell>
          <cell r="BM93">
            <v>3333.3858448914589</v>
          </cell>
          <cell r="BN93">
            <v>12828.374844891459</v>
          </cell>
          <cell r="BO93">
            <v>3269.6793372175844</v>
          </cell>
          <cell r="BP93">
            <v>3370.6291510213714</v>
          </cell>
          <cell r="BQ93">
            <v>3354.7911797056404</v>
          </cell>
          <cell r="BR93">
            <v>3525.2536663615533</v>
          </cell>
          <cell r="BS93">
            <v>13520.35333430615</v>
          </cell>
          <cell r="BT93">
            <v>3580.1130097144869</v>
          </cell>
          <cell r="BU93">
            <v>3653.9205008818976</v>
          </cell>
          <cell r="BV93">
            <v>3620.0267448107147</v>
          </cell>
          <cell r="BW93">
            <v>3778.2949806615215</v>
          </cell>
          <cell r="BX93">
            <v>14632.355236068621</v>
          </cell>
          <cell r="BY93">
            <v>3764.3658585117691</v>
          </cell>
          <cell r="BZ93">
            <v>3852.0702768492251</v>
          </cell>
          <cell r="CA93">
            <v>3817.4378400799396</v>
          </cell>
          <cell r="CB93">
            <v>3987.1035083529282</v>
          </cell>
          <cell r="CC93">
            <v>15420.977483793864</v>
          </cell>
          <cell r="CD93">
            <v>3993.5081704349923</v>
          </cell>
          <cell r="CE93">
            <v>4034.1629838257072</v>
          </cell>
          <cell r="CF93">
            <v>4020.2332519836773</v>
          </cell>
          <cell r="CG93">
            <v>4194.1523764919621</v>
          </cell>
          <cell r="CH93">
            <v>16242.056782736337</v>
          </cell>
        </row>
        <row r="94">
          <cell r="B94" t="str">
            <v>% of (revenue - bad debt)</v>
          </cell>
          <cell r="F94">
            <v>0.93130666771999282</v>
          </cell>
          <cell r="K94">
            <v>0.96082604450763909</v>
          </cell>
          <cell r="P94">
            <v>0.98479802989670773</v>
          </cell>
          <cell r="U94">
            <v>0.93797950514951289</v>
          </cell>
          <cell r="Z94">
            <v>0.98730212810131146</v>
          </cell>
          <cell r="AA94">
            <v>0.9886844999597616</v>
          </cell>
          <cell r="AB94">
            <v>0.99020354572887659</v>
          </cell>
          <cell r="AC94">
            <v>0.98180294132769896</v>
          </cell>
          <cell r="AD94">
            <v>0.97033512567354474</v>
          </cell>
          <cell r="AE94">
            <v>0.9825387609912688</v>
          </cell>
          <cell r="AF94">
            <v>0.95316718373049858</v>
          </cell>
          <cell r="AG94">
            <v>0.96972444068334473</v>
          </cell>
          <cell r="AH94">
            <v>0.98082797375849029</v>
          </cell>
          <cell r="AI94">
            <v>0.97217804641882566</v>
          </cell>
          <cell r="AJ94">
            <v>0.96910389373971084</v>
          </cell>
          <cell r="AK94">
            <v>0.95926885569382359</v>
          </cell>
          <cell r="AL94">
            <v>0.94636277144157888</v>
          </cell>
          <cell r="AM94">
            <v>0.54012554023362314</v>
          </cell>
          <cell r="AN94">
            <v>1.1364919537174951</v>
          </cell>
          <cell r="AO94">
            <v>0.88143578956566793</v>
          </cell>
          <cell r="AP94">
            <v>0.96220490324109609</v>
          </cell>
          <cell r="AQ94">
            <v>1.0091500299013774</v>
          </cell>
          <cell r="AR94">
            <v>0.9840115881040461</v>
          </cell>
          <cell r="AS94">
            <v>1.0118032017222427</v>
          </cell>
          <cell r="AT94">
            <v>0.99175456136994355</v>
          </cell>
          <cell r="AU94">
            <v>0.98828286478480731</v>
          </cell>
          <cell r="AV94">
            <v>0.99472442822543938</v>
          </cell>
          <cell r="AW94">
            <v>0.99319819819819821</v>
          </cell>
          <cell r="AX94">
            <v>1.0215698823293196</v>
          </cell>
          <cell r="AY94">
            <v>0.99962894890935072</v>
          </cell>
          <cell r="AZ94">
            <v>0.96614591568894082</v>
          </cell>
          <cell r="BA94">
            <v>1.0108647413547731</v>
          </cell>
          <cell r="BB94">
            <v>1.01066803604661</v>
          </cell>
          <cell r="BC94">
            <v>0.97879053367661195</v>
          </cell>
          <cell r="BD94">
            <v>0.99152139536254835</v>
          </cell>
          <cell r="BE94">
            <v>0.98279216045793261</v>
          </cell>
          <cell r="BF94">
            <v>0.99124174769155293</v>
          </cell>
          <cell r="BG94">
            <v>1.0064571035842804</v>
          </cell>
          <cell r="BH94">
            <v>0.9796920978433542</v>
          </cell>
          <cell r="BI94">
            <v>0.99002279182176689</v>
          </cell>
          <cell r="BJ94">
            <v>0.94377675699530006</v>
          </cell>
          <cell r="BK94">
            <v>0.98897462637689981</v>
          </cell>
          <cell r="BL94">
            <v>0.98881548428875177</v>
          </cell>
          <cell r="BM94">
            <v>1.0406857002228005</v>
          </cell>
          <cell r="BN94">
            <v>0.99021768058721693</v>
          </cell>
          <cell r="BO94">
            <v>0.96039550442293187</v>
          </cell>
          <cell r="BP94">
            <v>0.9835500434352098</v>
          </cell>
          <cell r="BQ94">
            <v>0.98883861147695429</v>
          </cell>
          <cell r="BR94">
            <v>1.0381706609460877</v>
          </cell>
          <cell r="BS94">
            <v>0.9926973274338543</v>
          </cell>
          <cell r="BT94">
            <v>0.97105992160911658</v>
          </cell>
          <cell r="BU94">
            <v>0.98527203041889388</v>
          </cell>
          <cell r="BV94">
            <v>0.99234599979057525</v>
          </cell>
          <cell r="BW94">
            <v>1.0401667704620883</v>
          </cell>
          <cell r="BX94">
            <v>0.99704711007197766</v>
          </cell>
          <cell r="BY94">
            <v>0.96954366000805159</v>
          </cell>
          <cell r="BZ94">
            <v>0.98444873845729841</v>
          </cell>
          <cell r="CA94">
            <v>0.99190819696462973</v>
          </cell>
          <cell r="CB94">
            <v>1.0377785787817073</v>
          </cell>
          <cell r="CC94">
            <v>0.99579626852944858</v>
          </cell>
          <cell r="CD94">
            <v>0.97619542281222449</v>
          </cell>
          <cell r="CE94">
            <v>0.97882990232980194</v>
          </cell>
          <cell r="CF94">
            <v>0.99162376108762162</v>
          </cell>
          <cell r="CG94">
            <v>1.0384274994642713</v>
          </cell>
          <cell r="CH94">
            <v>0.99611265150688544</v>
          </cell>
        </row>
        <row r="96">
          <cell r="F96" t="str">
            <v>2000-FY</v>
          </cell>
          <cell r="G96" t="str">
            <v>2001-Q1</v>
          </cell>
          <cell r="H96" t="str">
            <v>2001-Q2</v>
          </cell>
          <cell r="I96" t="str">
            <v>2001-Q3</v>
          </cell>
          <cell r="J96" t="str">
            <v>2001-Q4</v>
          </cell>
          <cell r="K96" t="str">
            <v>2001-FY</v>
          </cell>
          <cell r="L96" t="str">
            <v>2002-Q1</v>
          </cell>
          <cell r="M96" t="str">
            <v>2002-Q2</v>
          </cell>
          <cell r="N96" t="str">
            <v>2002-Q3</v>
          </cell>
          <cell r="O96" t="str">
            <v>2002-Q4</v>
          </cell>
          <cell r="P96" t="str">
            <v>2002-FY</v>
          </cell>
          <cell r="Q96" t="str">
            <v>2003-Q1</v>
          </cell>
          <cell r="R96" t="str">
            <v>2003-Q2</v>
          </cell>
          <cell r="S96" t="str">
            <v>2003-Q3</v>
          </cell>
          <cell r="T96" t="str">
            <v>2003-Q4</v>
          </cell>
          <cell r="U96" t="str">
            <v>2003-FY</v>
          </cell>
          <cell r="V96" t="str">
            <v>2004-Q1</v>
          </cell>
          <cell r="W96" t="str">
            <v>2004-Q2</v>
          </cell>
          <cell r="X96" t="str">
            <v>2004-Q3</v>
          </cell>
          <cell r="Y96" t="str">
            <v>2004-Q4</v>
          </cell>
          <cell r="Z96" t="str">
            <v>2004-FY</v>
          </cell>
          <cell r="AA96" t="str">
            <v>2005-Q1</v>
          </cell>
          <cell r="AB96" t="str">
            <v>2005-Q2</v>
          </cell>
          <cell r="AC96" t="str">
            <v>2005-Q3</v>
          </cell>
          <cell r="AD96" t="str">
            <v>2005-Q4</v>
          </cell>
          <cell r="AE96" t="str">
            <v>2005-FY</v>
          </cell>
          <cell r="AF96" t="str">
            <v>2006-Q1</v>
          </cell>
          <cell r="AG96" t="str">
            <v>2006-Q2</v>
          </cell>
          <cell r="AH96" t="str">
            <v>2006-Q3</v>
          </cell>
          <cell r="AI96" t="str">
            <v>2006-Q4</v>
          </cell>
          <cell r="AJ96" t="str">
            <v>2006-FY</v>
          </cell>
          <cell r="AK96" t="str">
            <v>2007-Q1</v>
          </cell>
          <cell r="AL96" t="str">
            <v>2007-Q2</v>
          </cell>
          <cell r="AM96" t="str">
            <v>2007-Q3</v>
          </cell>
          <cell r="AN96" t="str">
            <v>2007-Q4</v>
          </cell>
          <cell r="AO96" t="str">
            <v>2007-FY</v>
          </cell>
          <cell r="AP96" t="str">
            <v>2008-Q1</v>
          </cell>
          <cell r="AQ96" t="str">
            <v>2008-Q2</v>
          </cell>
          <cell r="AR96" t="str">
            <v>2008-Q3</v>
          </cell>
          <cell r="AS96" t="str">
            <v>2008-Q4</v>
          </cell>
          <cell r="AT96" t="str">
            <v>2008-FY</v>
          </cell>
          <cell r="AU96" t="str">
            <v>2009-Q1</v>
          </cell>
          <cell r="AV96" t="str">
            <v>2009-Q2</v>
          </cell>
          <cell r="AW96" t="str">
            <v>2009-Q3</v>
          </cell>
          <cell r="AX96" t="str">
            <v>2009-Q4</v>
          </cell>
          <cell r="AY96" t="str">
            <v>2009-FY</v>
          </cell>
          <cell r="AZ96" t="str">
            <v>2010-Q1</v>
          </cell>
          <cell r="BA96" t="str">
            <v>2010-Q2</v>
          </cell>
          <cell r="BB96" t="str">
            <v>2010-Q3</v>
          </cell>
          <cell r="BC96" t="str">
            <v>2010-Q4</v>
          </cell>
          <cell r="BD96" t="str">
            <v>2010-FY</v>
          </cell>
          <cell r="BE96" t="str">
            <v>2011-Q1</v>
          </cell>
          <cell r="BF96" t="str">
            <v>2011-Q2</v>
          </cell>
          <cell r="BG96" t="str">
            <v>2011-Q3</v>
          </cell>
          <cell r="BH96" t="str">
            <v>2011-Q4</v>
          </cell>
          <cell r="BI96" t="str">
            <v>2011-FY</v>
          </cell>
          <cell r="BJ96" t="str">
            <v>2012-Q1</v>
          </cell>
          <cell r="BK96" t="str">
            <v>2012-Q2</v>
          </cell>
          <cell r="BL96" t="str">
            <v>2012-Q3</v>
          </cell>
          <cell r="BM96" t="str">
            <v>2012-Q4</v>
          </cell>
          <cell r="BN96" t="str">
            <v>2012-FY</v>
          </cell>
          <cell r="BO96" t="str">
            <v>2013-Q1</v>
          </cell>
          <cell r="BP96" t="str">
            <v>2013-Q2</v>
          </cell>
          <cell r="BQ96" t="str">
            <v>2013-Q3</v>
          </cell>
          <cell r="BR96" t="str">
            <v>2013-Q4</v>
          </cell>
          <cell r="BS96" t="str">
            <v>2013-FY</v>
          </cell>
          <cell r="BT96" t="str">
            <v>2014-Q1</v>
          </cell>
          <cell r="BU96" t="str">
            <v>2014-Q2</v>
          </cell>
          <cell r="BV96" t="str">
            <v>2014-Q3</v>
          </cell>
          <cell r="BW96" t="str">
            <v>2014-Q4</v>
          </cell>
          <cell r="BX96" t="str">
            <v>2014-FY</v>
          </cell>
          <cell r="BY96" t="str">
            <v>2015-Q1</v>
          </cell>
          <cell r="BZ96" t="str">
            <v>2015-Q2</v>
          </cell>
          <cell r="CA96" t="str">
            <v>2015-Q3</v>
          </cell>
          <cell r="CB96" t="str">
            <v>2015-Q4</v>
          </cell>
          <cell r="CC96" t="str">
            <v>2015-FY</v>
          </cell>
          <cell r="CD96" t="str">
            <v>2015-Q1</v>
          </cell>
          <cell r="CE96" t="str">
            <v>2015-Q2</v>
          </cell>
          <cell r="CF96" t="str">
            <v>2015-Q3</v>
          </cell>
          <cell r="CG96" t="str">
            <v>2015-Q4</v>
          </cell>
          <cell r="CH96" t="str">
            <v>2015-FY</v>
          </cell>
        </row>
        <row r="97">
          <cell r="B97" t="str">
            <v>Fiscal year ends on December 31</v>
          </cell>
          <cell r="D97">
            <v>0</v>
          </cell>
          <cell r="E97">
            <v>0</v>
          </cell>
          <cell r="F97">
            <v>0</v>
          </cell>
          <cell r="G97">
            <v>36981</v>
          </cell>
          <cell r="H97">
            <v>37072</v>
          </cell>
          <cell r="I97">
            <v>37164</v>
          </cell>
          <cell r="J97">
            <v>37256</v>
          </cell>
          <cell r="K97">
            <v>37256</v>
          </cell>
          <cell r="L97">
            <v>37346</v>
          </cell>
          <cell r="M97">
            <v>37437</v>
          </cell>
          <cell r="N97">
            <v>37529</v>
          </cell>
          <cell r="O97">
            <v>37621</v>
          </cell>
          <cell r="P97">
            <v>37621</v>
          </cell>
          <cell r="Q97">
            <v>37711</v>
          </cell>
          <cell r="R97">
            <v>37802</v>
          </cell>
          <cell r="S97">
            <v>37894</v>
          </cell>
          <cell r="T97">
            <v>37986</v>
          </cell>
          <cell r="U97">
            <v>37986</v>
          </cell>
          <cell r="V97">
            <v>38077</v>
          </cell>
          <cell r="W97">
            <v>38168</v>
          </cell>
          <cell r="X97">
            <v>38260</v>
          </cell>
          <cell r="Y97">
            <v>38352</v>
          </cell>
          <cell r="Z97">
            <v>38352</v>
          </cell>
          <cell r="AA97">
            <v>38442</v>
          </cell>
          <cell r="AB97">
            <v>38533</v>
          </cell>
          <cell r="AC97">
            <v>38625</v>
          </cell>
          <cell r="AD97">
            <v>38717</v>
          </cell>
          <cell r="AE97">
            <v>38717</v>
          </cell>
          <cell r="AF97">
            <v>38807</v>
          </cell>
          <cell r="AG97">
            <v>38898</v>
          </cell>
          <cell r="AH97">
            <v>38990</v>
          </cell>
          <cell r="AI97">
            <v>39082</v>
          </cell>
          <cell r="AJ97">
            <v>39082</v>
          </cell>
          <cell r="AK97">
            <v>39172</v>
          </cell>
          <cell r="AL97">
            <v>39263</v>
          </cell>
          <cell r="AM97">
            <v>39355</v>
          </cell>
          <cell r="AN97">
            <v>39447</v>
          </cell>
          <cell r="AO97">
            <v>39447</v>
          </cell>
          <cell r="AP97">
            <v>39538</v>
          </cell>
          <cell r="AQ97">
            <v>39629</v>
          </cell>
          <cell r="AR97">
            <v>39721</v>
          </cell>
          <cell r="AS97">
            <v>39813</v>
          </cell>
          <cell r="AT97">
            <v>39813</v>
          </cell>
          <cell r="AU97">
            <v>39903</v>
          </cell>
          <cell r="AV97">
            <v>39994</v>
          </cell>
          <cell r="AW97">
            <v>40086</v>
          </cell>
          <cell r="AX97">
            <v>40178</v>
          </cell>
          <cell r="AY97">
            <v>40178</v>
          </cell>
          <cell r="AZ97">
            <v>40268</v>
          </cell>
          <cell r="BA97">
            <v>40359</v>
          </cell>
          <cell r="BB97">
            <v>40451</v>
          </cell>
          <cell r="BC97">
            <v>40543</v>
          </cell>
          <cell r="BD97">
            <v>40543</v>
          </cell>
          <cell r="BE97">
            <v>40633</v>
          </cell>
          <cell r="BF97">
            <v>40724</v>
          </cell>
          <cell r="BG97">
            <v>40816</v>
          </cell>
          <cell r="BH97">
            <v>40908</v>
          </cell>
          <cell r="BI97">
            <v>40908</v>
          </cell>
          <cell r="BJ97">
            <v>40999</v>
          </cell>
          <cell r="BK97">
            <v>41090</v>
          </cell>
          <cell r="BL97">
            <v>41182</v>
          </cell>
          <cell r="BM97">
            <v>41274</v>
          </cell>
          <cell r="BN97">
            <v>41274</v>
          </cell>
          <cell r="BO97">
            <v>41364</v>
          </cell>
          <cell r="BP97">
            <v>41455</v>
          </cell>
          <cell r="BQ97">
            <v>41547</v>
          </cell>
          <cell r="BR97">
            <v>41639</v>
          </cell>
          <cell r="BS97">
            <v>41639</v>
          </cell>
          <cell r="BT97">
            <v>41729</v>
          </cell>
          <cell r="BU97">
            <v>41820</v>
          </cell>
          <cell r="BV97">
            <v>41912</v>
          </cell>
          <cell r="BW97">
            <v>42004</v>
          </cell>
          <cell r="BX97">
            <v>42004</v>
          </cell>
          <cell r="BY97">
            <v>42094</v>
          </cell>
          <cell r="BZ97">
            <v>42185</v>
          </cell>
          <cell r="CA97">
            <v>42277</v>
          </cell>
          <cell r="CB97">
            <v>42369</v>
          </cell>
          <cell r="CC97">
            <v>42369</v>
          </cell>
          <cell r="CD97">
            <v>42460</v>
          </cell>
          <cell r="CE97">
            <v>42551</v>
          </cell>
          <cell r="CF97">
            <v>42643</v>
          </cell>
          <cell r="CG97">
            <v>42735</v>
          </cell>
          <cell r="CH97">
            <v>42735</v>
          </cell>
        </row>
        <row r="98">
          <cell r="B98" t="str">
            <v>($ Million, except per share data)</v>
          </cell>
          <cell r="D98" t="str">
            <v>1998A</v>
          </cell>
          <cell r="E98" t="str">
            <v>1999A</v>
          </cell>
          <cell r="F98" t="str">
            <v>2000A</v>
          </cell>
          <cell r="G98" t="str">
            <v>1Q01A</v>
          </cell>
          <cell r="H98" t="str">
            <v>2Q01A</v>
          </cell>
          <cell r="I98" t="str">
            <v>3Q01A</v>
          </cell>
          <cell r="J98" t="str">
            <v>4Q01A</v>
          </cell>
          <cell r="K98" t="str">
            <v>2001A</v>
          </cell>
          <cell r="L98" t="str">
            <v>1Q02A</v>
          </cell>
          <cell r="M98" t="str">
            <v>2Q02A</v>
          </cell>
          <cell r="N98" t="str">
            <v>3Q02A</v>
          </cell>
          <cell r="O98" t="str">
            <v>4Q02A</v>
          </cell>
          <cell r="P98" t="str">
            <v>2002A</v>
          </cell>
          <cell r="Q98" t="str">
            <v>1Q03A</v>
          </cell>
          <cell r="R98" t="str">
            <v>2Q03A</v>
          </cell>
          <cell r="S98" t="str">
            <v>3Q03A</v>
          </cell>
          <cell r="T98" t="str">
            <v>4Q03A</v>
          </cell>
          <cell r="U98" t="str">
            <v>2003A</v>
          </cell>
          <cell r="V98" t="str">
            <v>1Q04A</v>
          </cell>
          <cell r="W98" t="str">
            <v>2Q04A</v>
          </cell>
          <cell r="X98" t="str">
            <v>3Q04A</v>
          </cell>
          <cell r="Y98" t="str">
            <v>4Q04A</v>
          </cell>
          <cell r="Z98" t="str">
            <v>2004A</v>
          </cell>
          <cell r="AA98" t="str">
            <v>1Q05A</v>
          </cell>
          <cell r="AB98" t="str">
            <v>2Q05A</v>
          </cell>
          <cell r="AC98" t="str">
            <v>3Q05A</v>
          </cell>
          <cell r="AD98" t="str">
            <v>4Q05A</v>
          </cell>
          <cell r="AE98" t="str">
            <v>2005A</v>
          </cell>
          <cell r="AF98" t="str">
            <v>1Q06A</v>
          </cell>
          <cell r="AG98" t="str">
            <v>2Q06A</v>
          </cell>
          <cell r="AH98" t="str">
            <v>3Q06A</v>
          </cell>
          <cell r="AI98" t="str">
            <v>4Q06A</v>
          </cell>
          <cell r="AJ98" t="str">
            <v>2006A</v>
          </cell>
          <cell r="AK98" t="str">
            <v>1Q07A</v>
          </cell>
          <cell r="AL98" t="str">
            <v>2Q07A</v>
          </cell>
          <cell r="AM98" t="str">
            <v>3Q07A</v>
          </cell>
          <cell r="AN98" t="str">
            <v>4Q07A</v>
          </cell>
          <cell r="AO98" t="str">
            <v>2007A</v>
          </cell>
          <cell r="AP98" t="str">
            <v>1Q08A</v>
          </cell>
          <cell r="AQ98" t="str">
            <v>2Q08A</v>
          </cell>
          <cell r="AR98" t="str">
            <v>3Q08A</v>
          </cell>
          <cell r="AS98" t="str">
            <v>4Q08A</v>
          </cell>
          <cell r="AT98" t="str">
            <v>2008A</v>
          </cell>
          <cell r="AU98" t="str">
            <v>1Q09</v>
          </cell>
          <cell r="AV98" t="str">
            <v>2Q09</v>
          </cell>
          <cell r="AW98" t="str">
            <v>3Q09</v>
          </cell>
          <cell r="AX98" t="str">
            <v>4Q09</v>
          </cell>
          <cell r="AY98" t="str">
            <v>2009A</v>
          </cell>
          <cell r="AZ98" t="str">
            <v>1Q10A</v>
          </cell>
          <cell r="BA98" t="str">
            <v>2Q10A</v>
          </cell>
          <cell r="BB98" t="str">
            <v>3Q10A</v>
          </cell>
          <cell r="BC98" t="str">
            <v>4Q10A</v>
          </cell>
          <cell r="BD98" t="str">
            <v>2010A</v>
          </cell>
          <cell r="BE98" t="str">
            <v>1Q11A</v>
          </cell>
          <cell r="BF98" t="str">
            <v>2Q11A</v>
          </cell>
          <cell r="BG98" t="str">
            <v>3Q11A</v>
          </cell>
          <cell r="BH98" t="str">
            <v>4Q11A</v>
          </cell>
          <cell r="BI98" t="str">
            <v>2011A</v>
          </cell>
          <cell r="BJ98" t="str">
            <v>1Q12A</v>
          </cell>
          <cell r="BK98" t="str">
            <v>2Q12A</v>
          </cell>
          <cell r="BL98" t="str">
            <v>3Q12A</v>
          </cell>
          <cell r="BM98" t="str">
            <v>4Q12E</v>
          </cell>
          <cell r="BN98" t="str">
            <v>2012E</v>
          </cell>
          <cell r="BO98" t="str">
            <v>1Q13E</v>
          </cell>
          <cell r="BP98" t="str">
            <v>2Q13E</v>
          </cell>
          <cell r="BQ98" t="str">
            <v>3Q13E</v>
          </cell>
          <cell r="BR98" t="str">
            <v>4Q13E</v>
          </cell>
          <cell r="BS98" t="str">
            <v>2013E</v>
          </cell>
          <cell r="BT98" t="str">
            <v>1Q14E</v>
          </cell>
          <cell r="BU98" t="str">
            <v>2Q14E</v>
          </cell>
          <cell r="BV98" t="str">
            <v>3Q14E</v>
          </cell>
          <cell r="BW98" t="str">
            <v>4Q14E</v>
          </cell>
          <cell r="BX98" t="str">
            <v>2014E</v>
          </cell>
          <cell r="BY98" t="str">
            <v>1Q15E</v>
          </cell>
          <cell r="BZ98" t="str">
            <v>2Q15E</v>
          </cell>
          <cell r="CA98" t="str">
            <v>3Q15E</v>
          </cell>
          <cell r="CB98" t="str">
            <v>4Q15E</v>
          </cell>
          <cell r="CC98" t="str">
            <v>2015E</v>
          </cell>
          <cell r="CD98" t="str">
            <v>1Q16E</v>
          </cell>
          <cell r="CE98" t="str">
            <v>2Q16E</v>
          </cell>
          <cell r="CF98" t="str">
            <v>3Q16E</v>
          </cell>
          <cell r="CG98" t="str">
            <v>4Q16E</v>
          </cell>
          <cell r="CH98" t="str">
            <v>2016E</v>
          </cell>
        </row>
        <row r="99">
          <cell r="B99" t="str">
            <v>Net Income</v>
          </cell>
          <cell r="E99">
            <v>16.879000000000001</v>
          </cell>
          <cell r="F99">
            <v>9.5690000000000008</v>
          </cell>
          <cell r="G99">
            <v>10.848000000000001</v>
          </cell>
          <cell r="H99">
            <v>9.650999999999998</v>
          </cell>
          <cell r="I99">
            <v>10.041</v>
          </cell>
          <cell r="J99">
            <v>14.203000000000003</v>
          </cell>
          <cell r="K99">
            <v>44.743000000000002</v>
          </cell>
          <cell r="L99">
            <v>27.175999999999998</v>
          </cell>
          <cell r="M99">
            <v>24.241000000000003</v>
          </cell>
          <cell r="N99">
            <v>20.155999999999992</v>
          </cell>
          <cell r="O99">
            <v>28.411000000000001</v>
          </cell>
          <cell r="P99">
            <v>99.983999999999995</v>
          </cell>
          <cell r="Q99">
            <v>33.539000000000001</v>
          </cell>
          <cell r="R99">
            <v>30.616</v>
          </cell>
          <cell r="S99">
            <v>31.682999999999993</v>
          </cell>
          <cell r="T99">
            <v>35.634000000000015</v>
          </cell>
          <cell r="U99">
            <v>131.47200000000001</v>
          </cell>
          <cell r="V99">
            <v>40.725999999999999</v>
          </cell>
          <cell r="W99">
            <v>38.439000000000007</v>
          </cell>
          <cell r="X99">
            <v>32.038999999999987</v>
          </cell>
          <cell r="Y99">
            <v>40.228999999999999</v>
          </cell>
          <cell r="Z99">
            <v>151.43299999999999</v>
          </cell>
          <cell r="AA99">
            <v>35.988</v>
          </cell>
          <cell r="AB99">
            <v>40.528000000000006</v>
          </cell>
          <cell r="AC99">
            <v>42.885999999999996</v>
          </cell>
          <cell r="AD99">
            <v>48.14200000000001</v>
          </cell>
          <cell r="AE99">
            <v>167.54400000000001</v>
          </cell>
          <cell r="AF99">
            <v>54.037999999999997</v>
          </cell>
          <cell r="AG99">
            <v>52.369</v>
          </cell>
          <cell r="AH99">
            <v>8.2409999999999997</v>
          </cell>
          <cell r="AI99">
            <v>53.615000000000009</v>
          </cell>
          <cell r="AJ99">
            <v>168.26300000000001</v>
          </cell>
          <cell r="AK99">
            <v>54.323999999999998</v>
          </cell>
          <cell r="AL99">
            <v>53.763000000000005</v>
          </cell>
          <cell r="AM99">
            <v>10.459999999999994</v>
          </cell>
          <cell r="AN99">
            <v>-88.257999999999996</v>
          </cell>
          <cell r="AO99">
            <v>30.289000000000001</v>
          </cell>
          <cell r="AP99">
            <v>60.127000000000002</v>
          </cell>
          <cell r="AQ99">
            <v>47.892999999999994</v>
          </cell>
          <cell r="AR99">
            <v>50.384</v>
          </cell>
          <cell r="AS99">
            <v>59.900000000000006</v>
          </cell>
          <cell r="AT99">
            <v>218.304</v>
          </cell>
          <cell r="AU99">
            <v>58.914999999999999</v>
          </cell>
          <cell r="AV99">
            <v>59.434999999999995</v>
          </cell>
          <cell r="AW99">
            <v>59.712000000000018</v>
          </cell>
          <cell r="AX99">
            <v>128.315</v>
          </cell>
          <cell r="AY99">
            <v>306.37700000000001</v>
          </cell>
          <cell r="AZ99">
            <v>84.995999999999995</v>
          </cell>
          <cell r="BA99">
            <v>86.341999999999999</v>
          </cell>
          <cell r="BB99">
            <v>84.854000000000028</v>
          </cell>
          <cell r="BC99">
            <v>92.248999999999967</v>
          </cell>
          <cell r="BD99">
            <v>348.44099999999997</v>
          </cell>
          <cell r="BE99">
            <v>78.325000000000003</v>
          </cell>
          <cell r="BF99">
            <v>53.547000000000011</v>
          </cell>
          <cell r="BG99">
            <v>92.630999999999958</v>
          </cell>
          <cell r="BH99">
            <v>53.120000000000005</v>
          </cell>
          <cell r="BI99">
            <v>277.62299999999999</v>
          </cell>
          <cell r="BJ99">
            <v>99.251999999999995</v>
          </cell>
          <cell r="BK99">
            <v>102.16700000000002</v>
          </cell>
          <cell r="BL99">
            <v>58.757999999999996</v>
          </cell>
          <cell r="BM99">
            <v>89.231638718521651</v>
          </cell>
          <cell r="BN99">
            <v>349.40863871852167</v>
          </cell>
          <cell r="BO99">
            <v>113.98572253231816</v>
          </cell>
          <cell r="BP99">
            <v>150.55528334084588</v>
          </cell>
          <cell r="BQ99">
            <v>79.700985717206535</v>
          </cell>
          <cell r="BR99">
            <v>52.475021649019951</v>
          </cell>
          <cell r="BS99">
            <v>396.71701323939055</v>
          </cell>
          <cell r="BT99">
            <v>159.79536880313151</v>
          </cell>
          <cell r="BU99">
            <v>209.46422555229265</v>
          </cell>
          <cell r="BV99">
            <v>130.22121153865794</v>
          </cell>
          <cell r="BW99">
            <v>103.81266110540301</v>
          </cell>
          <cell r="BX99">
            <v>603.29346699948508</v>
          </cell>
          <cell r="BY99">
            <v>186.8178414057702</v>
          </cell>
          <cell r="BZ99">
            <v>243.02077363891493</v>
          </cell>
          <cell r="CA99">
            <v>158.3006790634453</v>
          </cell>
          <cell r="CB99">
            <v>137.09091066613604</v>
          </cell>
          <cell r="CC99">
            <v>725.23020477426644</v>
          </cell>
          <cell r="CD99">
            <v>224.57175605812301</v>
          </cell>
          <cell r="CE99">
            <v>283.65445612777921</v>
          </cell>
          <cell r="CF99">
            <v>194.16095339761989</v>
          </cell>
          <cell r="CG99">
            <v>168.09001934787219</v>
          </cell>
          <cell r="CH99">
            <v>870.47718493139428</v>
          </cell>
          <cell r="CL99" t="str">
            <v>mstag:netIncomeReported</v>
          </cell>
          <cell r="CM99">
            <v>6</v>
          </cell>
          <cell r="CN99" t="str">
            <v>ISO4217:USD</v>
          </cell>
          <cell r="CO99" t="b">
            <v>0</v>
          </cell>
          <cell r="CP99" t="b">
            <v>0</v>
          </cell>
        </row>
        <row r="101">
          <cell r="B101" t="str">
            <v>Depreciation and Amortization</v>
          </cell>
          <cell r="F101">
            <v>97.623999999999995</v>
          </cell>
          <cell r="G101">
            <v>28.507000000000001</v>
          </cell>
          <cell r="H101">
            <v>28.660999999999998</v>
          </cell>
          <cell r="I101">
            <v>30.631000000000007</v>
          </cell>
          <cell r="J101">
            <v>31.869</v>
          </cell>
          <cell r="K101">
            <v>119.66800000000001</v>
          </cell>
          <cell r="L101">
            <v>28.484000000000002</v>
          </cell>
          <cell r="M101">
            <v>28.951000000000001</v>
          </cell>
          <cell r="N101">
            <v>28.981999999999999</v>
          </cell>
          <cell r="O101">
            <v>31.801000000000002</v>
          </cell>
          <cell r="P101">
            <v>118.218</v>
          </cell>
          <cell r="Q101">
            <v>33.241999999999997</v>
          </cell>
          <cell r="R101">
            <v>34.357999999999997</v>
          </cell>
          <cell r="S101">
            <v>36.374000000000009</v>
          </cell>
          <cell r="T101">
            <v>39.791999999999987</v>
          </cell>
          <cell r="U101">
            <v>143.76599999999999</v>
          </cell>
          <cell r="V101">
            <v>38.451000000000001</v>
          </cell>
          <cell r="W101">
            <v>38.705999999999996</v>
          </cell>
          <cell r="X101">
            <v>39.619</v>
          </cell>
          <cell r="Y101">
            <v>41.603999999999999</v>
          </cell>
          <cell r="Z101">
            <v>158.38</v>
          </cell>
          <cell r="AA101">
            <v>41.137</v>
          </cell>
          <cell r="AB101">
            <v>40.742999999999995</v>
          </cell>
          <cell r="AC101">
            <v>40.490000000000009</v>
          </cell>
          <cell r="AD101">
            <v>43.792000000000002</v>
          </cell>
          <cell r="AE101">
            <v>166.16200000000001</v>
          </cell>
          <cell r="AF101">
            <v>42.506</v>
          </cell>
          <cell r="AG101">
            <v>47.182999999999993</v>
          </cell>
          <cell r="AH101">
            <v>49.950999999999993</v>
          </cell>
          <cell r="AI101">
            <v>49.131</v>
          </cell>
          <cell r="AJ101">
            <v>188.77099999999999</v>
          </cell>
          <cell r="AK101">
            <v>51.27</v>
          </cell>
          <cell r="AL101">
            <v>53.348999999999997</v>
          </cell>
          <cell r="AM101">
            <v>105.78700000000001</v>
          </cell>
          <cell r="AN101">
            <v>122.17399999999998</v>
          </cell>
          <cell r="AO101">
            <v>332.58</v>
          </cell>
          <cell r="AP101">
            <v>122.47799999999999</v>
          </cell>
          <cell r="AQ101">
            <v>124.94799999999999</v>
          </cell>
          <cell r="AR101">
            <v>130.68100000000004</v>
          </cell>
          <cell r="AS101">
            <v>128.58699999999999</v>
          </cell>
          <cell r="AT101">
            <v>506.69400000000002</v>
          </cell>
          <cell r="AU101">
            <v>135.89400000000001</v>
          </cell>
          <cell r="AV101">
            <v>142.44599999999997</v>
          </cell>
          <cell r="AW101">
            <v>143.55800000000005</v>
          </cell>
          <cell r="AX101">
            <v>144.64499999999998</v>
          </cell>
          <cell r="AY101">
            <v>566.54300000000001</v>
          </cell>
          <cell r="AZ101">
            <v>147.679</v>
          </cell>
          <cell r="BA101">
            <v>153.381</v>
          </cell>
          <cell r="BB101">
            <v>151.11899999999997</v>
          </cell>
          <cell r="BC101">
            <v>157.66000000000008</v>
          </cell>
          <cell r="BD101">
            <v>609.83900000000006</v>
          </cell>
          <cell r="BE101">
            <v>161.31800000000001</v>
          </cell>
          <cell r="BF101">
            <v>163.04900000000001</v>
          </cell>
          <cell r="BG101">
            <v>161.54999999999993</v>
          </cell>
          <cell r="BH101">
            <v>171.74800000000005</v>
          </cell>
          <cell r="BI101">
            <v>657.66499999999996</v>
          </cell>
          <cell r="BJ101">
            <v>174.35400000000001</v>
          </cell>
          <cell r="BK101">
            <v>179.80099999999996</v>
          </cell>
          <cell r="BL101">
            <v>182.20699999999997</v>
          </cell>
          <cell r="BM101">
            <v>182.53677060000001</v>
          </cell>
          <cell r="BN101">
            <v>718.89877060000003</v>
          </cell>
          <cell r="BO101">
            <v>183.70643073500003</v>
          </cell>
          <cell r="BP101">
            <v>185.426269966625</v>
          </cell>
          <cell r="BQ101">
            <v>187.10311321745939</v>
          </cell>
          <cell r="BR101">
            <v>188.7380353870229</v>
          </cell>
          <cell r="BS101">
            <v>744.97384930610735</v>
          </cell>
          <cell r="BT101">
            <v>189.01958450234733</v>
          </cell>
          <cell r="BU101">
            <v>189.29409488978865</v>
          </cell>
          <cell r="BV101">
            <v>189.56174251754393</v>
          </cell>
          <cell r="BW101">
            <v>189.82269895460533</v>
          </cell>
          <cell r="BX101">
            <v>757.69812086428533</v>
          </cell>
          <cell r="BY101">
            <v>190.07713148074018</v>
          </cell>
          <cell r="BZ101">
            <v>190.32520319372168</v>
          </cell>
          <cell r="CA101">
            <v>190.56707311387865</v>
          </cell>
          <cell r="CB101">
            <v>190.80289628603168</v>
          </cell>
          <cell r="CC101">
            <v>761.77230407437219</v>
          </cell>
          <cell r="CD101">
            <v>191.03282387888089</v>
          </cell>
          <cell r="CE101">
            <v>191.25700328190885</v>
          </cell>
          <cell r="CF101">
            <v>191.47557819986116</v>
          </cell>
          <cell r="CG101">
            <v>191.68868874486463</v>
          </cell>
          <cell r="CH101">
            <v>765.45409410551554</v>
          </cell>
          <cell r="CL101" t="str">
            <v>mstag:depreciation</v>
          </cell>
          <cell r="CM101">
            <v>6</v>
          </cell>
          <cell r="CN101" t="str">
            <v>ISO4217:USD</v>
          </cell>
          <cell r="CO101" t="b">
            <v>0</v>
          </cell>
          <cell r="CP101" t="b">
            <v>0</v>
          </cell>
        </row>
        <row r="102">
          <cell r="B102" t="str">
            <v>Minority interest/net income for noncontrolling interest</v>
          </cell>
          <cell r="F102">
            <v>0</v>
          </cell>
          <cell r="G102">
            <v>0</v>
          </cell>
          <cell r="H102">
            <v>0</v>
          </cell>
          <cell r="I102">
            <v>0</v>
          </cell>
          <cell r="J102">
            <v>0.109</v>
          </cell>
          <cell r="K102">
            <v>0.109</v>
          </cell>
          <cell r="L102">
            <v>0.76100000000000001</v>
          </cell>
          <cell r="M102">
            <v>0.755</v>
          </cell>
          <cell r="N102">
            <v>0.34499999999999997</v>
          </cell>
          <cell r="O102">
            <v>0.37500000000000022</v>
          </cell>
          <cell r="P102">
            <v>2.2360000000000002</v>
          </cell>
          <cell r="Q102">
            <v>0.372</v>
          </cell>
          <cell r="R102">
            <v>0.68</v>
          </cell>
          <cell r="S102">
            <v>0.65100000000000002</v>
          </cell>
          <cell r="T102">
            <v>0.28400000000000003</v>
          </cell>
          <cell r="U102">
            <v>1.9870000000000001</v>
          </cell>
          <cell r="V102">
            <v>0.373</v>
          </cell>
          <cell r="W102">
            <v>0.63500000000000001</v>
          </cell>
          <cell r="X102">
            <v>8.0000000000000071E-2</v>
          </cell>
          <cell r="Y102">
            <v>0.49</v>
          </cell>
          <cell r="Z102">
            <v>1.5780000000000001</v>
          </cell>
          <cell r="AA102">
            <v>0.88700000000000001</v>
          </cell>
          <cell r="AB102">
            <v>1.117</v>
          </cell>
          <cell r="AC102">
            <v>0.71499999999999986</v>
          </cell>
          <cell r="AD102">
            <v>0.38500000000000023</v>
          </cell>
          <cell r="AE102">
            <v>3.1040000000000001</v>
          </cell>
          <cell r="AF102">
            <v>0.61299999999999999</v>
          </cell>
          <cell r="AG102">
            <v>0.45500000000000007</v>
          </cell>
          <cell r="AH102">
            <v>0.60099999999999998</v>
          </cell>
          <cell r="AI102">
            <v>1.1259999999999999</v>
          </cell>
          <cell r="AJ102">
            <v>2.7949999999999999</v>
          </cell>
          <cell r="AK102">
            <v>0.193</v>
          </cell>
          <cell r="AL102">
            <v>0.625</v>
          </cell>
          <cell r="AM102">
            <v>4.5109999999999992</v>
          </cell>
          <cell r="AN102">
            <v>10.667000000000002</v>
          </cell>
          <cell r="AO102">
            <v>15.996</v>
          </cell>
          <cell r="AP102">
            <v>9.6820000000000004</v>
          </cell>
          <cell r="AQ102">
            <v>8.3169999999999984</v>
          </cell>
          <cell r="AR102">
            <v>10.360000000000003</v>
          </cell>
          <cell r="AS102">
            <v>11.741999999999997</v>
          </cell>
          <cell r="AT102">
            <v>40.100999999999999</v>
          </cell>
          <cell r="AU102">
            <v>13.986000000000001</v>
          </cell>
          <cell r="AV102">
            <v>14.553999999999998</v>
          </cell>
          <cell r="AW102">
            <v>15.649000000000001</v>
          </cell>
          <cell r="AX102">
            <v>-44.189</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14.800377757559835</v>
          </cell>
          <cell r="BN102">
            <v>14.800377757559835</v>
          </cell>
          <cell r="BO102">
            <v>15.77238806593021</v>
          </cell>
          <cell r="BP102">
            <v>15.929611644153955</v>
          </cell>
          <cell r="BQ102">
            <v>15.713314154306188</v>
          </cell>
          <cell r="BR102">
            <v>15.711405833764339</v>
          </cell>
          <cell r="BS102">
            <v>63.126719698154695</v>
          </cell>
          <cell r="BT102">
            <v>15.107194567158727</v>
          </cell>
          <cell r="BU102">
            <v>15.228232825086701</v>
          </cell>
          <cell r="BV102">
            <v>14.94095760162009</v>
          </cell>
          <cell r="BW102">
            <v>14.85822055605027</v>
          </cell>
          <cell r="BX102">
            <v>60.13460554991579</v>
          </cell>
          <cell r="BY102">
            <v>15.654373035177532</v>
          </cell>
          <cell r="BZ102">
            <v>15.808749165492943</v>
          </cell>
          <cell r="CA102">
            <v>15.520316140336542</v>
          </cell>
          <cell r="CB102">
            <v>15.479253772902124</v>
          </cell>
          <cell r="CC102">
            <v>62.462692113909142</v>
          </cell>
          <cell r="CD102">
            <v>16.31670578595352</v>
          </cell>
          <cell r="CE102">
            <v>16.467923165327914</v>
          </cell>
          <cell r="CF102">
            <v>16.172939693416563</v>
          </cell>
          <cell r="CG102">
            <v>16.101134353941511</v>
          </cell>
          <cell r="CH102">
            <v>65.058702998639518</v>
          </cell>
          <cell r="CL102" t="str">
            <v>mstag:minorityInterestCashFlowStatement</v>
          </cell>
          <cell r="CM102">
            <v>6</v>
          </cell>
          <cell r="CN102" t="str">
            <v>ISO4217:USD</v>
          </cell>
          <cell r="CO102" t="b">
            <v>0</v>
          </cell>
          <cell r="CP102" t="b">
            <v>0</v>
          </cell>
        </row>
        <row r="103">
          <cell r="B103" t="str">
            <v>Stock compensation expense</v>
          </cell>
          <cell r="F103">
            <v>7.3999999999999996E-2</v>
          </cell>
          <cell r="G103">
            <v>1.0999999999999999E-2</v>
          </cell>
          <cell r="H103">
            <v>1.0999999999999999E-2</v>
          </cell>
          <cell r="I103">
            <v>1.1000000000000003E-2</v>
          </cell>
          <cell r="J103">
            <v>1.0999999999999996E-2</v>
          </cell>
          <cell r="K103">
            <v>4.3999999999999997E-2</v>
          </cell>
          <cell r="L103">
            <v>0</v>
          </cell>
          <cell r="M103">
            <v>1.2999999999999999E-2</v>
          </cell>
          <cell r="N103">
            <v>7.000000000000001E-3</v>
          </cell>
          <cell r="O103">
            <v>5.9999999999999984E-3</v>
          </cell>
          <cell r="P103">
            <v>2.5999999999999999E-2</v>
          </cell>
          <cell r="Q103">
            <v>4.0000000000000001E-3</v>
          </cell>
          <cell r="R103">
            <v>2E-3</v>
          </cell>
          <cell r="S103">
            <v>4.0000000000000001E-3</v>
          </cell>
          <cell r="T103">
            <v>2.9999999999999992E-3</v>
          </cell>
          <cell r="U103">
            <v>1.2999999999999999E-2</v>
          </cell>
          <cell r="V103">
            <v>2E-3</v>
          </cell>
          <cell r="W103">
            <v>0</v>
          </cell>
          <cell r="X103">
            <v>0</v>
          </cell>
          <cell r="Y103">
            <v>0</v>
          </cell>
          <cell r="Z103">
            <v>2E-3</v>
          </cell>
          <cell r="AA103">
            <v>0.496</v>
          </cell>
          <cell r="AB103">
            <v>1.488</v>
          </cell>
          <cell r="AC103">
            <v>1.4849999999999999</v>
          </cell>
          <cell r="AD103">
            <v>1.488</v>
          </cell>
          <cell r="AE103">
            <v>4.9569999999999999</v>
          </cell>
          <cell r="AF103">
            <v>3.6509999999999998</v>
          </cell>
          <cell r="AG103">
            <v>5.2949999999999999</v>
          </cell>
          <cell r="AH103">
            <v>5.6129999999999995</v>
          </cell>
          <cell r="AI103">
            <v>5.5140000000000011</v>
          </cell>
          <cell r="AJ103">
            <v>20.073</v>
          </cell>
          <cell r="AK103">
            <v>6.33</v>
          </cell>
          <cell r="AL103">
            <v>7.9649999999999999</v>
          </cell>
          <cell r="AM103">
            <v>11.218999999999999</v>
          </cell>
          <cell r="AN103">
            <v>13.257000000000001</v>
          </cell>
          <cell r="AO103">
            <v>38.771000000000001</v>
          </cell>
          <cell r="AP103">
            <v>13.246</v>
          </cell>
          <cell r="AQ103">
            <v>13.435</v>
          </cell>
          <cell r="AR103">
            <v>13.130999999999997</v>
          </cell>
          <cell r="AS103">
            <v>12.292999999999999</v>
          </cell>
          <cell r="AT103">
            <v>52.104999999999997</v>
          </cell>
          <cell r="AU103">
            <v>12.286</v>
          </cell>
          <cell r="AV103">
            <v>12.519</v>
          </cell>
          <cell r="AW103">
            <v>10.316000000000003</v>
          </cell>
          <cell r="AX103">
            <v>9.3799999999999972</v>
          </cell>
          <cell r="AY103">
            <v>44.500999999999998</v>
          </cell>
          <cell r="AZ103">
            <v>9.7629999999999999</v>
          </cell>
          <cell r="BA103">
            <v>10.654999999999999</v>
          </cell>
          <cell r="BB103">
            <v>9.4810000000000016</v>
          </cell>
          <cell r="BC103">
            <v>8.8800000000000026</v>
          </cell>
          <cell r="BD103">
            <v>38.779000000000003</v>
          </cell>
          <cell r="BE103">
            <v>9.9179999999999993</v>
          </cell>
          <cell r="BF103">
            <v>10.814</v>
          </cell>
          <cell r="BG103">
            <v>10.856000000000002</v>
          </cell>
          <cell r="BH103">
            <v>10.954000000000001</v>
          </cell>
          <cell r="BI103">
            <v>42.542000000000002</v>
          </cell>
          <cell r="BJ103">
            <v>10.494999999999999</v>
          </cell>
          <cell r="BK103">
            <v>10.129</v>
          </cell>
          <cell r="BL103">
            <v>10.084000000000001</v>
          </cell>
          <cell r="BM103">
            <v>10</v>
          </cell>
          <cell r="BN103">
            <v>40.707999999999998</v>
          </cell>
          <cell r="BO103">
            <v>10</v>
          </cell>
          <cell r="BP103">
            <v>10</v>
          </cell>
          <cell r="BQ103">
            <v>10</v>
          </cell>
          <cell r="BR103">
            <v>10</v>
          </cell>
          <cell r="BS103">
            <v>40</v>
          </cell>
          <cell r="BT103">
            <v>10</v>
          </cell>
          <cell r="BU103">
            <v>10</v>
          </cell>
          <cell r="BV103">
            <v>10</v>
          </cell>
          <cell r="BW103">
            <v>10</v>
          </cell>
          <cell r="BX103">
            <v>40</v>
          </cell>
          <cell r="BY103">
            <v>10</v>
          </cell>
          <cell r="BZ103">
            <v>10</v>
          </cell>
          <cell r="CA103">
            <v>10</v>
          </cell>
          <cell r="CB103">
            <v>10</v>
          </cell>
          <cell r="CC103">
            <v>40</v>
          </cell>
          <cell r="CD103">
            <v>10</v>
          </cell>
          <cell r="CE103">
            <v>10</v>
          </cell>
          <cell r="CF103">
            <v>10</v>
          </cell>
          <cell r="CG103">
            <v>10</v>
          </cell>
          <cell r="CH103">
            <v>40</v>
          </cell>
          <cell r="CL103" t="str">
            <v>mstag:stockBasedCompensationChargePreTax</v>
          </cell>
          <cell r="CM103">
            <v>6</v>
          </cell>
          <cell r="CN103" t="str">
            <v>ISO4217:USD</v>
          </cell>
          <cell r="CO103" t="b">
            <v>0</v>
          </cell>
          <cell r="CP103" t="b">
            <v>0</v>
          </cell>
        </row>
        <row r="104">
          <cell r="B104" t="str">
            <v>Loss (gain) on sale of hospitals</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2.02</v>
          </cell>
          <cell r="Y104">
            <v>0</v>
          </cell>
          <cell r="Z104">
            <v>2.02</v>
          </cell>
          <cell r="AA104">
            <v>6.2949999999999999</v>
          </cell>
          <cell r="AB104">
            <v>0</v>
          </cell>
          <cell r="AC104">
            <v>0</v>
          </cell>
          <cell r="AD104">
            <v>0</v>
          </cell>
          <cell r="AE104">
            <v>6.2949999999999999</v>
          </cell>
          <cell r="AF104">
            <v>3.9369999999999998</v>
          </cell>
          <cell r="AG104">
            <v>0</v>
          </cell>
          <cell r="AH104">
            <v>0</v>
          </cell>
          <cell r="AI104">
            <v>0</v>
          </cell>
          <cell r="AJ104">
            <v>3.9369999999999998</v>
          </cell>
          <cell r="AK104">
            <v>0</v>
          </cell>
          <cell r="AL104">
            <v>0</v>
          </cell>
          <cell r="AM104">
            <v>3.7349999999999999</v>
          </cell>
          <cell r="AN104">
            <v>0.21900000000000031</v>
          </cell>
          <cell r="AO104">
            <v>3.9540000000000002</v>
          </cell>
          <cell r="AP104">
            <v>-12.885</v>
          </cell>
          <cell r="AQ104">
            <v>-0.32600000000000051</v>
          </cell>
          <cell r="AR104">
            <v>-4.4760000000000009</v>
          </cell>
          <cell r="AS104">
            <v>0</v>
          </cell>
          <cell r="AT104">
            <v>-17.687000000000001</v>
          </cell>
          <cell r="AU104">
            <v>0.40500000000000003</v>
          </cell>
          <cell r="AV104">
            <v>0</v>
          </cell>
          <cell r="AW104">
            <v>0</v>
          </cell>
          <cell r="AX104">
            <v>0</v>
          </cell>
          <cell r="AY104">
            <v>0.40500000000000003</v>
          </cell>
          <cell r="AZ104">
            <v>0</v>
          </cell>
          <cell r="BA104">
            <v>0</v>
          </cell>
          <cell r="BB104">
            <v>0</v>
          </cell>
          <cell r="BC104">
            <v>0</v>
          </cell>
          <cell r="BD104">
            <v>0</v>
          </cell>
          <cell r="BE104">
            <v>3.234</v>
          </cell>
          <cell r="BF104">
            <v>0</v>
          </cell>
          <cell r="BG104">
            <v>6.5999999999999837E-2</v>
          </cell>
          <cell r="BH104">
            <v>-0.72799999999999976</v>
          </cell>
          <cell r="BI104">
            <v>2.5720000000000001</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L104" t="str">
            <v>mstag:gainsLossesFromSaleOfOperatingAssetsRecurring</v>
          </cell>
          <cell r="CM104">
            <v>6</v>
          </cell>
          <cell r="CN104" t="str">
            <v>ISO4217:USD</v>
          </cell>
          <cell r="CO104" t="b">
            <v>1</v>
          </cell>
          <cell r="CP104" t="b">
            <v>1</v>
          </cell>
        </row>
        <row r="105">
          <cell r="B105" t="str">
            <v>Impairment of hospitals sold</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1.625</v>
          </cell>
          <cell r="Y105">
            <v>0</v>
          </cell>
          <cell r="Z105">
            <v>1.625</v>
          </cell>
          <cell r="AA105">
            <v>0</v>
          </cell>
          <cell r="AB105">
            <v>6.718</v>
          </cell>
          <cell r="AC105">
            <v>0</v>
          </cell>
          <cell r="AD105">
            <v>0</v>
          </cell>
          <cell r="AE105">
            <v>6.718</v>
          </cell>
          <cell r="AF105">
            <v>0</v>
          </cell>
          <cell r="AG105">
            <v>0</v>
          </cell>
          <cell r="AH105">
            <v>0</v>
          </cell>
          <cell r="AI105">
            <v>0</v>
          </cell>
          <cell r="AJ105">
            <v>0</v>
          </cell>
          <cell r="AK105">
            <v>0</v>
          </cell>
          <cell r="AL105">
            <v>0</v>
          </cell>
          <cell r="AM105">
            <v>0</v>
          </cell>
          <cell r="AN105">
            <v>19.044</v>
          </cell>
          <cell r="AO105">
            <v>19.044</v>
          </cell>
          <cell r="AP105">
            <v>0</v>
          </cell>
          <cell r="AQ105">
            <v>0</v>
          </cell>
          <cell r="AR105">
            <v>0</v>
          </cell>
          <cell r="AS105">
            <v>5</v>
          </cell>
          <cell r="AT105">
            <v>5</v>
          </cell>
          <cell r="AU105">
            <v>0</v>
          </cell>
          <cell r="AV105">
            <v>0</v>
          </cell>
          <cell r="AW105">
            <v>0</v>
          </cell>
          <cell r="AX105">
            <v>12.477</v>
          </cell>
          <cell r="AY105">
            <v>12.477</v>
          </cell>
          <cell r="AZ105">
            <v>0</v>
          </cell>
          <cell r="BA105">
            <v>0</v>
          </cell>
          <cell r="BB105">
            <v>0</v>
          </cell>
          <cell r="BC105">
            <v>0</v>
          </cell>
          <cell r="BD105">
            <v>0</v>
          </cell>
          <cell r="BE105">
            <v>8.3680000000000003</v>
          </cell>
          <cell r="BF105">
            <v>39.561999999999998</v>
          </cell>
          <cell r="BG105">
            <v>0</v>
          </cell>
          <cell r="BH105">
            <v>0</v>
          </cell>
          <cell r="BI105">
            <v>47.93</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L105" t="str">
            <v>mstag:assetImpairmentNonGoodwillOneTime</v>
          </cell>
          <cell r="CM105">
            <v>6</v>
          </cell>
          <cell r="CN105" t="str">
            <v>ISO4217:USD</v>
          </cell>
          <cell r="CO105" t="b">
            <v>0</v>
          </cell>
          <cell r="CP105" t="b">
            <v>0</v>
          </cell>
        </row>
        <row r="106">
          <cell r="B106" t="str">
            <v>Loss from early extinguishment of debt</v>
          </cell>
          <cell r="F106">
            <v>0</v>
          </cell>
          <cell r="G106">
            <v>0</v>
          </cell>
          <cell r="H106">
            <v>0</v>
          </cell>
          <cell r="I106">
            <v>0</v>
          </cell>
          <cell r="J106">
            <v>3.8079999999999998</v>
          </cell>
          <cell r="K106">
            <v>3.8079999999999998</v>
          </cell>
          <cell r="L106">
            <v>0</v>
          </cell>
          <cell r="M106">
            <v>0</v>
          </cell>
          <cell r="N106">
            <v>0</v>
          </cell>
          <cell r="O106">
            <v>5.274</v>
          </cell>
          <cell r="P106">
            <v>5.274</v>
          </cell>
          <cell r="T106">
            <v>0</v>
          </cell>
          <cell r="U106">
            <v>0</v>
          </cell>
          <cell r="V106">
            <v>0</v>
          </cell>
          <cell r="W106">
            <v>0</v>
          </cell>
          <cell r="X106">
            <v>0.78800000000000003</v>
          </cell>
          <cell r="Y106">
            <v>0</v>
          </cell>
          <cell r="Z106">
            <v>0.78800000000000003</v>
          </cell>
          <cell r="AA106">
            <v>0</v>
          </cell>
          <cell r="AB106">
            <v>0</v>
          </cell>
          <cell r="AC106">
            <v>0</v>
          </cell>
          <cell r="AD106">
            <v>0</v>
          </cell>
          <cell r="AE106">
            <v>0</v>
          </cell>
          <cell r="AF106">
            <v>0</v>
          </cell>
          <cell r="AG106">
            <v>0</v>
          </cell>
          <cell r="AH106">
            <v>0</v>
          </cell>
          <cell r="AI106">
            <v>0</v>
          </cell>
          <cell r="AJ106">
            <v>0</v>
          </cell>
          <cell r="AK106">
            <v>0</v>
          </cell>
          <cell r="AL106">
            <v>0</v>
          </cell>
          <cell r="AM106">
            <v>27.291</v>
          </cell>
          <cell r="AN106">
            <v>9.7000000000001307E-2</v>
          </cell>
          <cell r="AO106">
            <v>27.388000000000002</v>
          </cell>
          <cell r="AP106">
            <v>0</v>
          </cell>
          <cell r="AQ106">
            <v>1.3280000000000001</v>
          </cell>
          <cell r="AR106">
            <v>0</v>
          </cell>
          <cell r="AS106">
            <v>-3.8529999999999998</v>
          </cell>
          <cell r="AT106">
            <v>-2.5249999999999995</v>
          </cell>
          <cell r="AU106">
            <v>-2.4119999999999999</v>
          </cell>
          <cell r="AV106">
            <v>5.9999999999997833E-3</v>
          </cell>
          <cell r="AW106">
            <v>2.1000000000000352E-2</v>
          </cell>
          <cell r="AX106">
            <v>0</v>
          </cell>
          <cell r="AY106">
            <v>-2.3849999999999998</v>
          </cell>
          <cell r="AZ106">
            <v>0</v>
          </cell>
          <cell r="BA106">
            <v>0</v>
          </cell>
          <cell r="BB106">
            <v>0</v>
          </cell>
          <cell r="BC106">
            <v>0</v>
          </cell>
          <cell r="BD106">
            <v>0</v>
          </cell>
          <cell r="BE106">
            <v>0</v>
          </cell>
          <cell r="BF106">
            <v>0</v>
          </cell>
          <cell r="BG106">
            <v>0</v>
          </cell>
          <cell r="BH106">
            <v>66.019000000000005</v>
          </cell>
          <cell r="BI106">
            <v>66.019000000000005</v>
          </cell>
          <cell r="BJ106">
            <v>63.429000000000002</v>
          </cell>
          <cell r="BK106">
            <v>0</v>
          </cell>
          <cell r="BL106">
            <v>52.024000000000001</v>
          </cell>
          <cell r="BN106">
            <v>115.453</v>
          </cell>
          <cell r="CL106" t="str">
            <v>mstag:gainLossOnRedemptionAndExtinguishmentOfDebtCashFlowStatement</v>
          </cell>
          <cell r="CM106">
            <v>6</v>
          </cell>
          <cell r="CN106" t="str">
            <v>ISO4217:USD</v>
          </cell>
          <cell r="CO106" t="b">
            <v>1</v>
          </cell>
          <cell r="CP106" t="b">
            <v>1</v>
          </cell>
        </row>
        <row r="107">
          <cell r="B107" t="str">
            <v>Excess tax benefits from stock-based comp</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-4.3600000000000003</v>
          </cell>
          <cell r="AG107">
            <v>-0.22799999999999976</v>
          </cell>
          <cell r="AH107">
            <v>-2.0010000000000003</v>
          </cell>
          <cell r="AI107">
            <v>-0.22999999999999954</v>
          </cell>
          <cell r="AJ107">
            <v>-6.819</v>
          </cell>
          <cell r="AK107">
            <v>-0.75800000000000001</v>
          </cell>
          <cell r="AL107">
            <v>-1.5369999999999999</v>
          </cell>
          <cell r="AM107">
            <v>2.0000000000000018E-2</v>
          </cell>
          <cell r="AN107">
            <v>1.0589999999999999</v>
          </cell>
          <cell r="AO107">
            <v>-1.216</v>
          </cell>
          <cell r="AP107">
            <v>0.94699999999999995</v>
          </cell>
          <cell r="AQ107">
            <v>0</v>
          </cell>
          <cell r="AR107">
            <v>-2.2250000000000001</v>
          </cell>
          <cell r="AS107">
            <v>0</v>
          </cell>
          <cell r="AT107">
            <v>-1.278</v>
          </cell>
          <cell r="AU107">
            <v>0</v>
          </cell>
          <cell r="AV107">
            <v>3.3889999999999998</v>
          </cell>
          <cell r="AW107">
            <v>0.15500000000000025</v>
          </cell>
          <cell r="AX107">
            <v>-7.2000000000000064E-2</v>
          </cell>
          <cell r="AY107">
            <v>3.472</v>
          </cell>
          <cell r="AZ107">
            <v>-4.3490000000000002</v>
          </cell>
          <cell r="BA107">
            <v>-5.754999999999999</v>
          </cell>
          <cell r="BB107">
            <v>-5.0000000000007816E-3</v>
          </cell>
          <cell r="BC107">
            <v>-0.10999999999999943</v>
          </cell>
          <cell r="BD107">
            <v>-10.218999999999999</v>
          </cell>
          <cell r="BE107">
            <v>-4.6749999999999998</v>
          </cell>
          <cell r="BF107">
            <v>1.6000000000000014E-2</v>
          </cell>
          <cell r="BG107">
            <v>4.3000000000000149E-2</v>
          </cell>
          <cell r="BH107">
            <v>-0.67400000000000038</v>
          </cell>
          <cell r="BI107">
            <v>-5.29</v>
          </cell>
          <cell r="BJ107">
            <v>-1.004</v>
          </cell>
          <cell r="BK107">
            <v>-3.2999999999999918E-2</v>
          </cell>
          <cell r="BL107">
            <v>-0.50800000000000001</v>
          </cell>
          <cell r="BM107">
            <v>0</v>
          </cell>
          <cell r="BN107">
            <v>-1.5449999999999999</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L107" t="str">
            <v>mstag:taxBenefitFromExerciseOfEsosCashFlowStatement</v>
          </cell>
          <cell r="CM107">
            <v>6</v>
          </cell>
          <cell r="CN107" t="str">
            <v>ISO4217:USD</v>
          </cell>
          <cell r="CO107" t="b">
            <v>0</v>
          </cell>
          <cell r="CP107" t="b">
            <v>0</v>
          </cell>
        </row>
        <row r="108">
          <cell r="B108" t="str">
            <v>Deferred income taxes</v>
          </cell>
          <cell r="F108">
            <v>17.21</v>
          </cell>
          <cell r="G108">
            <v>0</v>
          </cell>
          <cell r="H108">
            <v>0</v>
          </cell>
          <cell r="I108">
            <v>0</v>
          </cell>
          <cell r="J108">
            <v>25.28</v>
          </cell>
          <cell r="K108">
            <v>25.28</v>
          </cell>
          <cell r="L108">
            <v>0</v>
          </cell>
          <cell r="M108">
            <v>0</v>
          </cell>
          <cell r="N108">
            <v>0</v>
          </cell>
          <cell r="O108">
            <v>38.171999999999997</v>
          </cell>
          <cell r="P108">
            <v>38.171999999999997</v>
          </cell>
          <cell r="Q108">
            <v>0</v>
          </cell>
          <cell r="R108">
            <v>0.17499999999999999</v>
          </cell>
          <cell r="S108">
            <v>0</v>
          </cell>
          <cell r="T108">
            <v>61.399000000000001</v>
          </cell>
          <cell r="U108">
            <v>61.573999999999998</v>
          </cell>
          <cell r="V108">
            <v>0</v>
          </cell>
          <cell r="W108">
            <v>0</v>
          </cell>
          <cell r="X108">
            <v>0</v>
          </cell>
          <cell r="Y108">
            <v>41.902000000000001</v>
          </cell>
          <cell r="Z108">
            <v>41.902000000000001</v>
          </cell>
          <cell r="AA108">
            <v>0</v>
          </cell>
          <cell r="AB108">
            <v>0</v>
          </cell>
          <cell r="AC108">
            <v>0</v>
          </cell>
          <cell r="AD108">
            <v>9.8889999999999993</v>
          </cell>
          <cell r="AE108">
            <v>9.8889999999999993</v>
          </cell>
          <cell r="AF108">
            <v>0</v>
          </cell>
          <cell r="AG108">
            <v>0</v>
          </cell>
          <cell r="AH108">
            <v>0</v>
          </cell>
          <cell r="AI108">
            <v>-25.228000000000002</v>
          </cell>
          <cell r="AJ108">
            <v>-25.228000000000002</v>
          </cell>
          <cell r="AK108">
            <v>0</v>
          </cell>
          <cell r="AL108">
            <v>0</v>
          </cell>
          <cell r="AM108">
            <v>0</v>
          </cell>
          <cell r="AN108">
            <v>-39.893999999999998</v>
          </cell>
          <cell r="AO108">
            <v>-39.893999999999998</v>
          </cell>
          <cell r="AP108">
            <v>0</v>
          </cell>
          <cell r="AQ108">
            <v>0</v>
          </cell>
          <cell r="AR108">
            <v>0</v>
          </cell>
          <cell r="AS108">
            <v>159.87</v>
          </cell>
          <cell r="AT108">
            <v>159.87</v>
          </cell>
          <cell r="AU108">
            <v>0</v>
          </cell>
          <cell r="AV108">
            <v>0</v>
          </cell>
          <cell r="AW108">
            <v>0</v>
          </cell>
          <cell r="AX108">
            <v>34.268000000000001</v>
          </cell>
          <cell r="AY108">
            <v>34.268000000000001</v>
          </cell>
          <cell r="AZ108">
            <v>0</v>
          </cell>
          <cell r="BA108">
            <v>0</v>
          </cell>
          <cell r="BB108">
            <v>0</v>
          </cell>
          <cell r="BC108">
            <v>97.37</v>
          </cell>
          <cell r="BD108">
            <v>97.37</v>
          </cell>
          <cell r="BE108">
            <v>0</v>
          </cell>
          <cell r="BF108">
            <v>0</v>
          </cell>
          <cell r="BG108">
            <v>0</v>
          </cell>
          <cell r="BH108">
            <v>107.032</v>
          </cell>
          <cell r="BI108">
            <v>107.032</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L108" t="str">
            <v>mstag:deferredTax</v>
          </cell>
          <cell r="CM108">
            <v>6</v>
          </cell>
          <cell r="CN108" t="str">
            <v>ISO4217:USD</v>
          </cell>
          <cell r="CO108" t="b">
            <v>0</v>
          </cell>
          <cell r="CP108" t="b">
            <v>0</v>
          </cell>
        </row>
        <row r="109">
          <cell r="B109" t="str">
            <v>Other non-cash (income) expenses, net</v>
          </cell>
          <cell r="F109">
            <v>-5.03</v>
          </cell>
          <cell r="G109">
            <v>2.8279999999999998</v>
          </cell>
          <cell r="H109">
            <v>-2.3540000000000001</v>
          </cell>
          <cell r="I109">
            <v>2.5470000000000002</v>
          </cell>
          <cell r="J109">
            <v>-3.125</v>
          </cell>
          <cell r="K109">
            <v>-0.10400000000000009</v>
          </cell>
          <cell r="L109">
            <v>0.51900000000000002</v>
          </cell>
          <cell r="M109">
            <v>1.964</v>
          </cell>
          <cell r="N109">
            <v>0.88499999999999979</v>
          </cell>
          <cell r="O109">
            <v>-3.1819999999999999</v>
          </cell>
          <cell r="P109">
            <v>0.18599999999999994</v>
          </cell>
          <cell r="Q109">
            <v>-2.5999999999999999E-2</v>
          </cell>
          <cell r="R109">
            <v>-3.3000000000000002E-2</v>
          </cell>
          <cell r="S109">
            <v>1.6E-2</v>
          </cell>
          <cell r="T109">
            <v>0.36299999999999999</v>
          </cell>
          <cell r="U109">
            <v>0.32</v>
          </cell>
          <cell r="V109">
            <v>-0.49299999999999999</v>
          </cell>
          <cell r="W109">
            <v>0.40200000000000002</v>
          </cell>
          <cell r="X109">
            <v>1.0230000000000001</v>
          </cell>
          <cell r="Y109">
            <v>-0.26300000000000012</v>
          </cell>
          <cell r="Z109">
            <v>0.66900000000000004</v>
          </cell>
          <cell r="AA109">
            <v>-0.47099999999999997</v>
          </cell>
          <cell r="AB109">
            <v>-4.0000000000000036E-2</v>
          </cell>
          <cell r="AC109">
            <v>0.32800000000000001</v>
          </cell>
          <cell r="AD109">
            <v>0.92300000000000004</v>
          </cell>
          <cell r="AE109">
            <v>0.74</v>
          </cell>
          <cell r="AF109">
            <v>-0.59</v>
          </cell>
          <cell r="AG109">
            <v>-4.1000000000000036E-2</v>
          </cell>
          <cell r="AH109">
            <v>0.66800000000000004</v>
          </cell>
          <cell r="AI109">
            <v>0.46299999999999997</v>
          </cell>
          <cell r="AJ109">
            <v>0.5</v>
          </cell>
          <cell r="AK109">
            <v>0.13200000000000001</v>
          </cell>
          <cell r="AL109">
            <v>-1.6739999999999999</v>
          </cell>
          <cell r="AM109">
            <v>3.3620000000000001</v>
          </cell>
          <cell r="AN109">
            <v>17.196999999999999</v>
          </cell>
          <cell r="AO109">
            <v>19.016999999999999</v>
          </cell>
          <cell r="AP109">
            <v>2.77</v>
          </cell>
          <cell r="AQ109">
            <v>-0.72900000000000009</v>
          </cell>
          <cell r="AR109">
            <v>5.5370000000000008</v>
          </cell>
          <cell r="AS109">
            <v>-4.0010000000000012</v>
          </cell>
          <cell r="AT109">
            <v>3.577</v>
          </cell>
          <cell r="AU109">
            <v>-4.4889999999999999</v>
          </cell>
          <cell r="AV109">
            <v>-1.9830000000000005</v>
          </cell>
          <cell r="AW109">
            <v>19.882000000000001</v>
          </cell>
          <cell r="AX109">
            <v>9.4600000000000009</v>
          </cell>
          <cell r="AY109">
            <v>22.87</v>
          </cell>
          <cell r="AZ109">
            <v>-3.9569999999999999</v>
          </cell>
          <cell r="BA109">
            <v>1.6149999999999998</v>
          </cell>
          <cell r="BB109">
            <v>10.579000000000001</v>
          </cell>
          <cell r="BC109">
            <v>4.266</v>
          </cell>
          <cell r="BD109">
            <v>12.503</v>
          </cell>
          <cell r="BE109">
            <v>-11.173</v>
          </cell>
          <cell r="BF109">
            <v>15.486000000000001</v>
          </cell>
          <cell r="BG109">
            <v>9.9659999999999993</v>
          </cell>
          <cell r="BH109">
            <v>14.437000000000001</v>
          </cell>
          <cell r="BI109">
            <v>28.716000000000001</v>
          </cell>
          <cell r="BJ109">
            <v>2.569</v>
          </cell>
          <cell r="BK109">
            <v>13.891999999999999</v>
          </cell>
          <cell r="BL109">
            <v>6.0210000000000008</v>
          </cell>
          <cell r="BM109">
            <v>0</v>
          </cell>
          <cell r="BN109">
            <v>22.481999999999999</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L109" t="str">
            <v>mstag:otherCashFlow</v>
          </cell>
          <cell r="CM109">
            <v>6</v>
          </cell>
          <cell r="CN109" t="str">
            <v>ISO4217:USD</v>
          </cell>
          <cell r="CO109" t="b">
            <v>0</v>
          </cell>
          <cell r="CP109" t="b">
            <v>0</v>
          </cell>
        </row>
        <row r="110">
          <cell r="K110">
            <v>0</v>
          </cell>
          <cell r="P110">
            <v>0</v>
          </cell>
          <cell r="U110">
            <v>0</v>
          </cell>
          <cell r="Z110">
            <v>0</v>
          </cell>
          <cell r="AE110">
            <v>0</v>
          </cell>
          <cell r="AJ110">
            <v>0</v>
          </cell>
          <cell r="AO110">
            <v>0</v>
          </cell>
          <cell r="AT110">
            <v>0</v>
          </cell>
          <cell r="AY110">
            <v>0</v>
          </cell>
          <cell r="BD110">
            <v>0</v>
          </cell>
          <cell r="BI110">
            <v>0</v>
          </cell>
          <cell r="BN110">
            <v>0</v>
          </cell>
        </row>
        <row r="111">
          <cell r="B111" t="str">
            <v>Patient account receivable</v>
          </cell>
          <cell r="F111">
            <v>-52.988999999999997</v>
          </cell>
          <cell r="G111">
            <v>-3.29</v>
          </cell>
          <cell r="H111">
            <v>9.5670000000000002</v>
          </cell>
          <cell r="I111">
            <v>-16.222000000000001</v>
          </cell>
          <cell r="J111">
            <v>-12.995999999999999</v>
          </cell>
          <cell r="K111">
            <v>-22.940999999999999</v>
          </cell>
          <cell r="L111">
            <v>-27.683</v>
          </cell>
          <cell r="M111">
            <v>23.317999999999998</v>
          </cell>
          <cell r="N111">
            <v>-6.2509999999999977</v>
          </cell>
          <cell r="O111">
            <v>-8.4830000000000005</v>
          </cell>
          <cell r="P111">
            <v>-19.099</v>
          </cell>
          <cell r="Q111">
            <v>-63.86</v>
          </cell>
          <cell r="R111">
            <v>53.176000000000002</v>
          </cell>
          <cell r="S111">
            <v>-68.808999999999997</v>
          </cell>
          <cell r="T111">
            <v>-71.349999999999994</v>
          </cell>
          <cell r="U111">
            <v>-150.84299999999999</v>
          </cell>
          <cell r="V111">
            <v>-23.161999999999999</v>
          </cell>
          <cell r="W111">
            <v>31.497</v>
          </cell>
          <cell r="X111">
            <v>-20.048000000000002</v>
          </cell>
          <cell r="Y111">
            <v>-20.100999999999999</v>
          </cell>
          <cell r="Z111">
            <v>-31.814</v>
          </cell>
          <cell r="AA111">
            <v>-11.51</v>
          </cell>
          <cell r="AB111">
            <v>-5.206999999999999</v>
          </cell>
          <cell r="AC111">
            <v>-15.667000000000002</v>
          </cell>
          <cell r="AD111">
            <v>-15.070999999999998</v>
          </cell>
          <cell r="AE111">
            <v>-47.454999999999998</v>
          </cell>
          <cell r="AF111">
            <v>-42.326000000000001</v>
          </cell>
          <cell r="AG111">
            <v>-15.634999999999998</v>
          </cell>
          <cell r="AH111">
            <v>4.2729999999999961</v>
          </cell>
          <cell r="AI111">
            <v>-17.453000000000003</v>
          </cell>
          <cell r="AJ111">
            <v>-71.141000000000005</v>
          </cell>
          <cell r="AK111">
            <v>-33.322000000000003</v>
          </cell>
          <cell r="AL111">
            <v>-14.092999999999996</v>
          </cell>
          <cell r="AM111">
            <v>-6.1700000000000017</v>
          </cell>
          <cell r="AN111">
            <v>184.88500000000002</v>
          </cell>
          <cell r="AO111">
            <v>131.30000000000001</v>
          </cell>
          <cell r="AP111">
            <v>-100.057</v>
          </cell>
          <cell r="AQ111">
            <v>25.271000000000001</v>
          </cell>
          <cell r="AR111">
            <v>-42.406999999999996</v>
          </cell>
          <cell r="AS111">
            <v>59.756</v>
          </cell>
          <cell r="AT111">
            <v>-57.436999999999998</v>
          </cell>
          <cell r="AU111">
            <v>-18.013000000000002</v>
          </cell>
          <cell r="AV111">
            <v>26.950000000000003</v>
          </cell>
          <cell r="AW111">
            <v>-19.172000000000001</v>
          </cell>
          <cell r="AX111">
            <v>68.625</v>
          </cell>
          <cell r="AY111">
            <v>58.39</v>
          </cell>
          <cell r="AZ111">
            <v>-94.203999999999994</v>
          </cell>
          <cell r="BA111">
            <v>30.307999999999993</v>
          </cell>
          <cell r="BB111">
            <v>38.317</v>
          </cell>
          <cell r="BC111">
            <v>-1.4699999999999989</v>
          </cell>
          <cell r="BD111">
            <v>-27.048999999999999</v>
          </cell>
          <cell r="BE111">
            <v>-56.454000000000001</v>
          </cell>
          <cell r="BF111">
            <v>-26.627999999999993</v>
          </cell>
          <cell r="BG111">
            <v>-7.7230000000000203</v>
          </cell>
          <cell r="BH111">
            <v>-47.526999999999987</v>
          </cell>
          <cell r="BI111">
            <v>-138.33199999999999</v>
          </cell>
          <cell r="BJ111">
            <v>-163.48400000000001</v>
          </cell>
          <cell r="BK111">
            <v>-35.899000000000001</v>
          </cell>
          <cell r="BL111">
            <v>-28.430999999999983</v>
          </cell>
          <cell r="BM111">
            <v>130.31901676283792</v>
          </cell>
          <cell r="BN111">
            <v>-97.494983237162074</v>
          </cell>
          <cell r="BO111">
            <v>-134.83403478348578</v>
          </cell>
          <cell r="BP111">
            <v>-56.374053867823477</v>
          </cell>
          <cell r="BQ111">
            <v>-37.866773541998555</v>
          </cell>
          <cell r="BR111">
            <v>129.61381737084821</v>
          </cell>
          <cell r="BS111">
            <v>-99.461044822459598</v>
          </cell>
          <cell r="BT111">
            <v>-106.69655789899298</v>
          </cell>
          <cell r="BU111">
            <v>-54.619260800378925</v>
          </cell>
          <cell r="BV111">
            <v>-27.921395832453527</v>
          </cell>
          <cell r="BW111">
            <v>145.90151458008222</v>
          </cell>
          <cell r="BX111">
            <v>-43.335699951743209</v>
          </cell>
          <cell r="BY111">
            <v>-118.2502770839269</v>
          </cell>
          <cell r="BZ111">
            <v>-60.850859995030078</v>
          </cell>
          <cell r="CA111">
            <v>-31.141949624192421</v>
          </cell>
          <cell r="CB111">
            <v>145.14377833656954</v>
          </cell>
          <cell r="CC111">
            <v>-65.099308366579862</v>
          </cell>
          <cell r="CD111">
            <v>-97.381908654389008</v>
          </cell>
          <cell r="CE111">
            <v>-87.250730879605271</v>
          </cell>
          <cell r="CF111">
            <v>-33.95888191018048</v>
          </cell>
          <cell r="CG111">
            <v>155.20658715593163</v>
          </cell>
          <cell r="CH111">
            <v>-63.38493428824313</v>
          </cell>
          <cell r="CL111" t="str">
            <v>mstag:netDecreaseInTradeReceivables</v>
          </cell>
          <cell r="CM111">
            <v>6</v>
          </cell>
          <cell r="CN111" t="str">
            <v>ISO4217:USD</v>
          </cell>
          <cell r="CO111" t="b">
            <v>0</v>
          </cell>
          <cell r="CP111" t="b">
            <v>0</v>
          </cell>
        </row>
        <row r="112">
          <cell r="B112" t="str">
            <v>Supplies, prepaid expenses and other</v>
          </cell>
          <cell r="F112">
            <v>-15.603999999999999</v>
          </cell>
          <cell r="G112">
            <v>2.976</v>
          </cell>
          <cell r="H112">
            <v>3.2990000000000004</v>
          </cell>
          <cell r="I112">
            <v>3.7509999999999994</v>
          </cell>
          <cell r="J112">
            <v>-8.0269999999999992</v>
          </cell>
          <cell r="K112">
            <v>1.9990000000000006</v>
          </cell>
          <cell r="L112">
            <v>-3.4380000000000002</v>
          </cell>
          <cell r="M112">
            <v>1.4120000000000004</v>
          </cell>
          <cell r="N112">
            <v>-5.6180000000000003</v>
          </cell>
          <cell r="O112">
            <v>-4.9220000000000006</v>
          </cell>
          <cell r="P112">
            <v>-12.566000000000001</v>
          </cell>
          <cell r="Q112">
            <v>-0.26500000000000001</v>
          </cell>
          <cell r="R112">
            <v>-6.0600000000000005</v>
          </cell>
          <cell r="S112">
            <v>-2.573999999999999</v>
          </cell>
          <cell r="T112">
            <v>-4.8280000000000012</v>
          </cell>
          <cell r="U112">
            <v>-13.727</v>
          </cell>
          <cell r="V112">
            <v>0.68799999999999994</v>
          </cell>
          <cell r="W112">
            <v>-11.179</v>
          </cell>
          <cell r="X112">
            <v>-7.286999999999999</v>
          </cell>
          <cell r="Y112">
            <v>4.2289999999999992</v>
          </cell>
          <cell r="Z112">
            <v>-13.548999999999999</v>
          </cell>
          <cell r="AA112">
            <v>1.849</v>
          </cell>
          <cell r="AB112">
            <v>-2.4980000000000002</v>
          </cell>
          <cell r="AC112">
            <v>-10.661999999999999</v>
          </cell>
          <cell r="AD112">
            <v>-5.527000000000001</v>
          </cell>
          <cell r="AE112">
            <v>-16.838000000000001</v>
          </cell>
          <cell r="AF112">
            <v>2.798</v>
          </cell>
          <cell r="AG112">
            <v>-2.891</v>
          </cell>
          <cell r="AH112">
            <v>-4.5010000000000003</v>
          </cell>
          <cell r="AI112">
            <v>5.0000000000000711E-2</v>
          </cell>
          <cell r="AJ112">
            <v>-4.5439999999999996</v>
          </cell>
          <cell r="AK112">
            <v>-7.867</v>
          </cell>
          <cell r="AL112">
            <v>-5.5910000000000002</v>
          </cell>
          <cell r="AM112">
            <v>21.977</v>
          </cell>
          <cell r="AN112">
            <v>-40.496000000000002</v>
          </cell>
          <cell r="AO112">
            <v>-31.977000000000004</v>
          </cell>
          <cell r="AP112">
            <v>-26.584</v>
          </cell>
          <cell r="AQ112">
            <v>40.153999999999996</v>
          </cell>
          <cell r="AR112">
            <v>-10.470999999999997</v>
          </cell>
          <cell r="AS112">
            <v>-37.81</v>
          </cell>
          <cell r="AT112">
            <v>-34.710999999999999</v>
          </cell>
          <cell r="AU112">
            <v>-7.5919999999999996</v>
          </cell>
          <cell r="AV112">
            <v>12.79</v>
          </cell>
          <cell r="AW112">
            <v>13.079999999999998</v>
          </cell>
          <cell r="AX112">
            <v>-52.812999999999995</v>
          </cell>
          <cell r="AY112">
            <v>-34.534999999999997</v>
          </cell>
          <cell r="AZ112">
            <v>-6.9080000000000004</v>
          </cell>
          <cell r="BA112">
            <v>5.7610000000000001</v>
          </cell>
          <cell r="BB112">
            <v>5.9020000000000001</v>
          </cell>
          <cell r="BC112">
            <v>-44.659000000000006</v>
          </cell>
          <cell r="BD112">
            <v>-39.904000000000003</v>
          </cell>
          <cell r="BE112">
            <v>14.336</v>
          </cell>
          <cell r="BF112">
            <v>-4.9619999999999997</v>
          </cell>
          <cell r="BG112">
            <v>-40.829000000000001</v>
          </cell>
          <cell r="BH112">
            <v>-11.402999999999999</v>
          </cell>
          <cell r="BI112">
            <v>-42.857999999999997</v>
          </cell>
          <cell r="BJ112">
            <v>-125.111</v>
          </cell>
          <cell r="BK112">
            <v>85.191000000000003</v>
          </cell>
          <cell r="BL112">
            <v>-28.326999999999998</v>
          </cell>
          <cell r="BM112">
            <v>1.4818331319096387</v>
          </cell>
          <cell r="BN112">
            <v>-66.765166868090361</v>
          </cell>
          <cell r="BO112">
            <v>-44.727885687156572</v>
          </cell>
          <cell r="BP112">
            <v>2.9146133862764145</v>
          </cell>
          <cell r="BQ112">
            <v>4.0568286974098555</v>
          </cell>
          <cell r="BR112">
            <v>-4.2940079214046136</v>
          </cell>
          <cell r="BS112">
            <v>-42.050451524874916</v>
          </cell>
          <cell r="BT112">
            <v>-38.964306228020405</v>
          </cell>
          <cell r="BU112">
            <v>6.1791790737889869</v>
          </cell>
          <cell r="BV112">
            <v>7.3160474624112339</v>
          </cell>
          <cell r="BW112">
            <v>-0.72954963487870828</v>
          </cell>
          <cell r="BX112">
            <v>-26.198629326698892</v>
          </cell>
          <cell r="BY112">
            <v>-38.217291390881769</v>
          </cell>
          <cell r="BZ112">
            <v>6.1508845208371667</v>
          </cell>
          <cell r="CA112">
            <v>7.2927458557688851</v>
          </cell>
          <cell r="CB112">
            <v>-0.78686491212897636</v>
          </cell>
          <cell r="CC112">
            <v>-25.560525926404694</v>
          </cell>
          <cell r="CD112">
            <v>-34.702474901838173</v>
          </cell>
          <cell r="CE112">
            <v>1.6140961449333417</v>
          </cell>
          <cell r="CF112">
            <v>7.3492496157186906</v>
          </cell>
          <cell r="CG112">
            <v>-0.30111512636869975</v>
          </cell>
          <cell r="CH112">
            <v>-26.04024426755484</v>
          </cell>
          <cell r="CL112" t="str">
            <v>mstag:netDecreaseInInventories</v>
          </cell>
          <cell r="CM112">
            <v>6</v>
          </cell>
          <cell r="CN112" t="str">
            <v>ISO4217:USD</v>
          </cell>
          <cell r="CO112" t="b">
            <v>0</v>
          </cell>
          <cell r="CP112" t="b">
            <v>0</v>
          </cell>
        </row>
        <row r="113">
          <cell r="B113" t="str">
            <v>Accounts payable, accrued liabilities &amp; taxes</v>
          </cell>
          <cell r="F113">
            <v>17.931000000000001</v>
          </cell>
          <cell r="G113">
            <v>-5.3570000000000002</v>
          </cell>
          <cell r="H113">
            <v>8.0340000000000007</v>
          </cell>
          <cell r="I113">
            <v>0.31399999999999961</v>
          </cell>
          <cell r="J113">
            <v>-29.943999999999999</v>
          </cell>
          <cell r="K113">
            <v>-26.952999999999999</v>
          </cell>
          <cell r="L113">
            <v>30.303999999999998</v>
          </cell>
          <cell r="M113">
            <v>-3.884999999999998</v>
          </cell>
          <cell r="N113">
            <v>15.487999999999996</v>
          </cell>
          <cell r="O113">
            <v>-15.906999999999996</v>
          </cell>
          <cell r="P113">
            <v>26</v>
          </cell>
          <cell r="Q113">
            <v>-4.7</v>
          </cell>
          <cell r="R113">
            <v>24.419999999999998</v>
          </cell>
          <cell r="S113">
            <v>39.377000000000002</v>
          </cell>
          <cell r="T113">
            <v>-24.375</v>
          </cell>
          <cell r="U113">
            <v>34.722000000000001</v>
          </cell>
          <cell r="V113">
            <v>-3.8010000000000002</v>
          </cell>
          <cell r="W113">
            <v>40.212000000000003</v>
          </cell>
          <cell r="X113">
            <v>0.51599999999999824</v>
          </cell>
          <cell r="Y113">
            <v>-60.218000000000004</v>
          </cell>
          <cell r="Z113">
            <v>-23.291000000000004</v>
          </cell>
          <cell r="AA113">
            <v>66.025000000000006</v>
          </cell>
          <cell r="AB113">
            <v>24.841999999999999</v>
          </cell>
          <cell r="AC113">
            <v>4.3990000000000009</v>
          </cell>
          <cell r="AD113">
            <v>-10.310000000000002</v>
          </cell>
          <cell r="AE113">
            <v>84.956000000000003</v>
          </cell>
          <cell r="AF113">
            <v>28.370999999999999</v>
          </cell>
          <cell r="AG113">
            <v>41.617000000000004</v>
          </cell>
          <cell r="AH113">
            <v>-14.003</v>
          </cell>
          <cell r="AI113">
            <v>-3.8339999999999961</v>
          </cell>
          <cell r="AJ113">
            <v>52.151000000000003</v>
          </cell>
          <cell r="AK113">
            <v>45.688000000000002</v>
          </cell>
          <cell r="AL113">
            <v>0.66499999999999915</v>
          </cell>
          <cell r="AM113">
            <v>-0.60300000000000153</v>
          </cell>
          <cell r="AN113">
            <v>80.209000000000003</v>
          </cell>
          <cell r="AO113">
            <v>125.959</v>
          </cell>
          <cell r="AP113">
            <v>-81.965000000000003</v>
          </cell>
          <cell r="AQ113">
            <v>165.833</v>
          </cell>
          <cell r="AR113">
            <v>101.12700000000001</v>
          </cell>
          <cell r="AS113">
            <v>-65.399000000000001</v>
          </cell>
          <cell r="AT113">
            <v>119.596</v>
          </cell>
          <cell r="AU113">
            <v>68.17</v>
          </cell>
          <cell r="AV113">
            <v>3.8719999999999999</v>
          </cell>
          <cell r="AW113">
            <v>122.91300000000001</v>
          </cell>
          <cell r="AX113">
            <v>-108.85700000000001</v>
          </cell>
          <cell r="AY113">
            <v>86.097999999999999</v>
          </cell>
          <cell r="AZ113">
            <v>167.47</v>
          </cell>
          <cell r="BA113">
            <v>-53.370000000000005</v>
          </cell>
          <cell r="BB113">
            <v>58.587000000000018</v>
          </cell>
          <cell r="BC113">
            <v>-10.735000000000014</v>
          </cell>
          <cell r="BD113">
            <v>161.952</v>
          </cell>
          <cell r="BE113">
            <v>-14.938000000000001</v>
          </cell>
          <cell r="BF113">
            <v>144.45599999999999</v>
          </cell>
          <cell r="BG113">
            <v>16.64800000000001</v>
          </cell>
          <cell r="BH113">
            <v>99.944000000000017</v>
          </cell>
          <cell r="BI113">
            <v>246.11</v>
          </cell>
          <cell r="BJ113">
            <v>96.108999999999995</v>
          </cell>
          <cell r="BK113">
            <v>-44.265999999999991</v>
          </cell>
          <cell r="BL113">
            <v>51.313000000000002</v>
          </cell>
          <cell r="BM113">
            <v>1.43845763638069</v>
          </cell>
          <cell r="BN113">
            <v>104.5944576363807</v>
          </cell>
          <cell r="BO113">
            <v>76.94928195789123</v>
          </cell>
          <cell r="BP113">
            <v>-71.016459336045159</v>
          </cell>
          <cell r="BQ113">
            <v>66.871591750718949</v>
          </cell>
          <cell r="BR113">
            <v>12.7249184628389</v>
          </cell>
          <cell r="BS113">
            <v>85.52933283540392</v>
          </cell>
          <cell r="BT113">
            <v>69.192698928843583</v>
          </cell>
          <cell r="BU113">
            <v>-81.145213466989617</v>
          </cell>
          <cell r="BV113">
            <v>66.101565143386324</v>
          </cell>
          <cell r="BW113">
            <v>7.2497245608105914</v>
          </cell>
          <cell r="BX113">
            <v>61.398775166050882</v>
          </cell>
          <cell r="BY113">
            <v>69.711580768425733</v>
          </cell>
          <cell r="BZ113">
            <v>-84.963806315143529</v>
          </cell>
          <cell r="CA113">
            <v>69.859213553692257</v>
          </cell>
          <cell r="CB113">
            <v>7.7707918761070687</v>
          </cell>
          <cell r="CC113">
            <v>62.37777988308153</v>
          </cell>
          <cell r="CD113">
            <v>61.76573073507609</v>
          </cell>
          <cell r="CE113">
            <v>-77.882176023836564</v>
          </cell>
          <cell r="CF113">
            <v>73.686827540015884</v>
          </cell>
          <cell r="CG113">
            <v>7.4667967700086137</v>
          </cell>
          <cell r="CH113">
            <v>65.037179021264024</v>
          </cell>
          <cell r="CL113" t="str">
            <v>mstag:netIncreaseInTradeAndOtherPayables</v>
          </cell>
          <cell r="CM113">
            <v>6</v>
          </cell>
          <cell r="CN113" t="str">
            <v>ISO4217:USD</v>
          </cell>
          <cell r="CO113" t="b">
            <v>0</v>
          </cell>
          <cell r="CP113" t="b">
            <v>0</v>
          </cell>
        </row>
        <row r="114">
          <cell r="B114" t="str">
            <v>Other</v>
          </cell>
          <cell r="F114">
            <v>-45.8</v>
          </cell>
          <cell r="G114">
            <v>-4.968</v>
          </cell>
          <cell r="H114">
            <v>7.1040000000000001</v>
          </cell>
          <cell r="I114">
            <v>-12.535</v>
          </cell>
          <cell r="J114">
            <v>19.133000000000003</v>
          </cell>
          <cell r="K114">
            <v>8.7340000000000018</v>
          </cell>
          <cell r="L114">
            <v>-7.2640000000000002</v>
          </cell>
          <cell r="M114">
            <v>10.127000000000001</v>
          </cell>
          <cell r="N114">
            <v>7.1070000000000002</v>
          </cell>
          <cell r="O114">
            <v>17.097999999999999</v>
          </cell>
          <cell r="P114">
            <v>27.067999999999998</v>
          </cell>
          <cell r="Q114">
            <v>10.204000000000001</v>
          </cell>
          <cell r="R114">
            <v>5.4469999999999992</v>
          </cell>
          <cell r="S114">
            <v>10.343</v>
          </cell>
          <cell r="T114">
            <v>8.4260000000000019</v>
          </cell>
          <cell r="U114">
            <v>34.42</v>
          </cell>
          <cell r="V114">
            <v>8.9469999999999992</v>
          </cell>
          <cell r="W114">
            <v>5.5420000000000016</v>
          </cell>
          <cell r="X114">
            <v>6.8140000000000001</v>
          </cell>
          <cell r="Y114">
            <v>14.703999999999997</v>
          </cell>
          <cell r="Z114">
            <v>36.006999999999998</v>
          </cell>
          <cell r="AA114">
            <v>8.0129999999999999</v>
          </cell>
          <cell r="AB114">
            <v>19.996000000000002</v>
          </cell>
          <cell r="AC114">
            <v>-4.6069999999999993</v>
          </cell>
          <cell r="AD114">
            <v>1.5749999999999993</v>
          </cell>
          <cell r="AE114">
            <v>24.977</v>
          </cell>
          <cell r="AF114">
            <v>2.1760000000000002</v>
          </cell>
          <cell r="AG114">
            <v>-11.891999999999999</v>
          </cell>
          <cell r="AH114">
            <v>12.163</v>
          </cell>
          <cell r="AI114">
            <v>19.049999999999997</v>
          </cell>
          <cell r="AJ114">
            <v>21.497</v>
          </cell>
          <cell r="AK114">
            <v>4.3570000000000002</v>
          </cell>
          <cell r="AL114">
            <v>2.1689999999999996</v>
          </cell>
          <cell r="AM114">
            <v>7.0730000000000004</v>
          </cell>
          <cell r="AN114">
            <v>2.9280000000000008</v>
          </cell>
          <cell r="AO114">
            <v>16.527000000000001</v>
          </cell>
          <cell r="AP114">
            <v>67.373999999999995</v>
          </cell>
          <cell r="AQ114">
            <v>-64.47399999999999</v>
          </cell>
          <cell r="AR114">
            <v>16.631999999999994</v>
          </cell>
          <cell r="AS114">
            <v>46.14</v>
          </cell>
          <cell r="AT114">
            <v>65.671999999999997</v>
          </cell>
          <cell r="AU114">
            <v>2.2770000000000001</v>
          </cell>
          <cell r="AV114">
            <v>11.001999999999999</v>
          </cell>
          <cell r="AW114">
            <v>-9.7609999999999992</v>
          </cell>
          <cell r="AX114">
            <v>-25.57</v>
          </cell>
          <cell r="AY114">
            <v>-22.052</v>
          </cell>
          <cell r="AZ114">
            <v>-1.1299999999999999</v>
          </cell>
          <cell r="BA114">
            <v>13.495000000000001</v>
          </cell>
          <cell r="BB114">
            <v>-2.2490000000000023</v>
          </cell>
          <cell r="BC114">
            <v>-13.097999999999999</v>
          </cell>
          <cell r="BD114">
            <v>-2.9819999999999993</v>
          </cell>
          <cell r="BE114">
            <v>-0.748</v>
          </cell>
          <cell r="BF114">
            <v>1.8340000000000001</v>
          </cell>
          <cell r="BG114">
            <v>-7.6580000000000004</v>
          </cell>
          <cell r="BH114">
            <v>-21.249000000000002</v>
          </cell>
          <cell r="BI114">
            <v>-27.821000000000002</v>
          </cell>
          <cell r="BJ114">
            <v>30.701000000000001</v>
          </cell>
          <cell r="BK114">
            <v>-15.365</v>
          </cell>
          <cell r="BL114">
            <v>-8.2030000000000012</v>
          </cell>
          <cell r="BM114">
            <v>0</v>
          </cell>
          <cell r="BN114">
            <v>7.1329999999999991</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L114" t="str">
            <v>mstag:netIncreaseInOtherLiabilitiesOperating</v>
          </cell>
          <cell r="CM114">
            <v>6</v>
          </cell>
          <cell r="CN114" t="str">
            <v>ISO4217:USD</v>
          </cell>
          <cell r="CO114" t="b">
            <v>0</v>
          </cell>
          <cell r="CP114" t="b">
            <v>0</v>
          </cell>
        </row>
        <row r="115">
          <cell r="B115" t="str">
            <v>Change in Working Capital</v>
          </cell>
          <cell r="F115">
            <v>-96.461999999999989</v>
          </cell>
          <cell r="G115">
            <v>-10.638999999999999</v>
          </cell>
          <cell r="H115">
            <v>28.003999999999998</v>
          </cell>
          <cell r="I115">
            <v>-24.692</v>
          </cell>
          <cell r="J115">
            <v>-31.833999999999996</v>
          </cell>
          <cell r="K115">
            <v>-39.161000000000001</v>
          </cell>
          <cell r="L115">
            <v>-8.0809999999999995</v>
          </cell>
          <cell r="M115">
            <v>30.972000000000001</v>
          </cell>
          <cell r="N115">
            <v>10.725999999999999</v>
          </cell>
          <cell r="O115">
            <v>-12.213999999999999</v>
          </cell>
          <cell r="P115">
            <v>21.403000000000006</v>
          </cell>
          <cell r="Q115">
            <v>-58.621000000000002</v>
          </cell>
          <cell r="R115">
            <v>76.983000000000004</v>
          </cell>
          <cell r="S115">
            <v>-21.662999999999993</v>
          </cell>
          <cell r="T115">
            <v>-92.126999999999995</v>
          </cell>
          <cell r="U115">
            <v>-95.427999999999983</v>
          </cell>
          <cell r="V115">
            <v>-17.327999999999999</v>
          </cell>
          <cell r="W115">
            <v>66.072000000000003</v>
          </cell>
          <cell r="X115">
            <v>-20.005000000000003</v>
          </cell>
          <cell r="Y115">
            <v>-61.38600000000001</v>
          </cell>
          <cell r="Z115">
            <v>-32.647000000000013</v>
          </cell>
          <cell r="AA115">
            <v>64.37700000000001</v>
          </cell>
          <cell r="AB115">
            <v>37.133000000000003</v>
          </cell>
          <cell r="AC115">
            <v>-26.536999999999999</v>
          </cell>
          <cell r="AD115">
            <v>-29.333000000000002</v>
          </cell>
          <cell r="AE115">
            <v>45.640000000000015</v>
          </cell>
          <cell r="AF115">
            <v>-8.9809999999999999</v>
          </cell>
          <cell r="AG115">
            <v>11.199000000000009</v>
          </cell>
          <cell r="AH115">
            <v>-2.0680000000000049</v>
          </cell>
          <cell r="AI115">
            <v>-2.1870000000000012</v>
          </cell>
          <cell r="AJ115">
            <v>-2.0369999999999973</v>
          </cell>
          <cell r="AK115">
            <v>8.8560000000000016</v>
          </cell>
          <cell r="AL115">
            <v>-16.849999999999998</v>
          </cell>
          <cell r="AM115">
            <v>22.276999999999997</v>
          </cell>
          <cell r="AN115">
            <v>227.52600000000001</v>
          </cell>
          <cell r="AO115">
            <v>241.80900000000003</v>
          </cell>
          <cell r="AP115">
            <v>-141.232</v>
          </cell>
          <cell r="AQ115">
            <v>166.78399999999999</v>
          </cell>
          <cell r="AR115">
            <v>64.881000000000014</v>
          </cell>
          <cell r="AS115">
            <v>2.6869999999999976</v>
          </cell>
          <cell r="AT115">
            <v>93.12</v>
          </cell>
          <cell r="AU115">
            <v>44.841999999999999</v>
          </cell>
          <cell r="AV115">
            <v>54.614000000000004</v>
          </cell>
          <cell r="AW115">
            <v>107.06000000000002</v>
          </cell>
          <cell r="AX115">
            <v>-118.61500000000001</v>
          </cell>
          <cell r="AY115">
            <v>87.90100000000001</v>
          </cell>
          <cell r="AZ115">
            <v>65.228000000000009</v>
          </cell>
          <cell r="BA115">
            <v>-3.806000000000008</v>
          </cell>
          <cell r="BB115">
            <v>100.55700000000002</v>
          </cell>
          <cell r="BC115">
            <v>-69.962000000000018</v>
          </cell>
          <cell r="BD115">
            <v>92.016999999999996</v>
          </cell>
          <cell r="BE115">
            <v>-57.804000000000002</v>
          </cell>
          <cell r="BF115">
            <v>114.7</v>
          </cell>
          <cell r="BG115">
            <v>-39.562000000000012</v>
          </cell>
          <cell r="BH115">
            <v>19.765000000000029</v>
          </cell>
          <cell r="BI115">
            <v>37.099000000000018</v>
          </cell>
          <cell r="BJ115">
            <v>-161.78500000000005</v>
          </cell>
          <cell r="BK115">
            <v>-10.33899999999999</v>
          </cell>
          <cell r="BL115">
            <v>-13.64799999999998</v>
          </cell>
          <cell r="BM115">
            <v>133.23930753112825</v>
          </cell>
          <cell r="BN115">
            <v>-52.532692468871772</v>
          </cell>
          <cell r="BO115">
            <v>-102.61263851275112</v>
          </cell>
          <cell r="BP115">
            <v>-124.47589981759222</v>
          </cell>
          <cell r="BQ115">
            <v>33.06164690613025</v>
          </cell>
          <cell r="BR115">
            <v>138.0447279122825</v>
          </cell>
          <cell r="BS115">
            <v>-55.982163511930594</v>
          </cell>
          <cell r="BT115">
            <v>-76.4681651981698</v>
          </cell>
          <cell r="BU115">
            <v>-129.58529519357955</v>
          </cell>
          <cell r="BV115">
            <v>45.496216773344031</v>
          </cell>
          <cell r="BW115">
            <v>152.4216895060141</v>
          </cell>
          <cell r="BX115">
            <v>-8.135554112391219</v>
          </cell>
          <cell r="BY115">
            <v>-86.755987706382939</v>
          </cell>
          <cell r="BZ115">
            <v>-139.66378178933644</v>
          </cell>
          <cell r="CA115">
            <v>46.010009785268721</v>
          </cell>
          <cell r="CB115">
            <v>152.12770530054763</v>
          </cell>
          <cell r="CC115">
            <v>-28.282054409903026</v>
          </cell>
          <cell r="CD115">
            <v>-70.31865282115109</v>
          </cell>
          <cell r="CE115">
            <v>-163.51881075850849</v>
          </cell>
          <cell r="CF115">
            <v>47.077195245554094</v>
          </cell>
          <cell r="CG115">
            <v>162.37226879957154</v>
          </cell>
          <cell r="CH115">
            <v>-24.387999534533947</v>
          </cell>
        </row>
        <row r="116">
          <cell r="B116" t="str">
            <v>Cash Flow from Operations</v>
          </cell>
          <cell r="E116">
            <v>-11.746</v>
          </cell>
          <cell r="F116">
            <v>22.984999999999999</v>
          </cell>
          <cell r="G116">
            <v>31.555</v>
          </cell>
          <cell r="H116">
            <v>63.972999999999992</v>
          </cell>
          <cell r="I116">
            <v>18.538000000000007</v>
          </cell>
          <cell r="J116">
            <v>40.321000000000005</v>
          </cell>
          <cell r="K116">
            <v>154.38699999999997</v>
          </cell>
          <cell r="L116">
            <v>48.858999999999995</v>
          </cell>
          <cell r="M116">
            <v>86.896000000000001</v>
          </cell>
          <cell r="N116">
            <v>61.100999999999992</v>
          </cell>
          <cell r="O116">
            <v>88.643000000000001</v>
          </cell>
          <cell r="P116">
            <v>285.49899999999997</v>
          </cell>
          <cell r="Q116">
            <v>8.5099999999999909</v>
          </cell>
          <cell r="R116">
            <v>142.78100000000001</v>
          </cell>
          <cell r="S116">
            <v>47.065000000000012</v>
          </cell>
          <cell r="T116">
            <v>45.347999999999999</v>
          </cell>
          <cell r="U116">
            <v>243.70400000000001</v>
          </cell>
          <cell r="V116">
            <v>61.730999999999995</v>
          </cell>
          <cell r="W116">
            <v>144.25400000000002</v>
          </cell>
          <cell r="X116">
            <v>57.188999999999986</v>
          </cell>
          <cell r="Y116">
            <v>62.575999999999993</v>
          </cell>
          <cell r="Z116">
            <v>325.75</v>
          </cell>
          <cell r="AA116">
            <v>148.709</v>
          </cell>
          <cell r="AB116">
            <v>127.687</v>
          </cell>
          <cell r="AC116">
            <v>59.367000000000012</v>
          </cell>
          <cell r="AD116">
            <v>75.286000000000016</v>
          </cell>
          <cell r="AE116">
            <v>411.04900000000004</v>
          </cell>
          <cell r="AF116">
            <v>90.813999999999993</v>
          </cell>
          <cell r="AG116">
            <v>116.232</v>
          </cell>
          <cell r="AH116">
            <v>61.004999999999988</v>
          </cell>
          <cell r="AI116">
            <v>82.204000000000008</v>
          </cell>
          <cell r="AJ116">
            <v>350.255</v>
          </cell>
          <cell r="AK116">
            <v>120.34699999999999</v>
          </cell>
          <cell r="AL116">
            <v>95.641000000000005</v>
          </cell>
          <cell r="AM116">
            <v>188.66199999999998</v>
          </cell>
          <cell r="AN116">
            <v>283.08800000000002</v>
          </cell>
          <cell r="AO116">
            <v>687.73799999999994</v>
          </cell>
          <cell r="AP116">
            <v>55.133000000000031</v>
          </cell>
          <cell r="AQ116">
            <v>361.64999999999992</v>
          </cell>
          <cell r="AR116">
            <v>268.27300000000008</v>
          </cell>
          <cell r="AS116">
            <v>372.22500000000002</v>
          </cell>
          <cell r="AT116">
            <v>1057.2810000000002</v>
          </cell>
          <cell r="AU116">
            <v>259.42700000000002</v>
          </cell>
          <cell r="AV116">
            <v>284.97999999999996</v>
          </cell>
          <cell r="AW116">
            <v>356.35300000000007</v>
          </cell>
          <cell r="AX116">
            <v>175.66899999999998</v>
          </cell>
          <cell r="AY116">
            <v>1076.4289999999999</v>
          </cell>
          <cell r="AZ116">
            <v>299.36</v>
          </cell>
          <cell r="BA116">
            <v>242.43200000000002</v>
          </cell>
          <cell r="BB116">
            <v>356.58500000000004</v>
          </cell>
          <cell r="BC116">
            <v>290.35300000000007</v>
          </cell>
          <cell r="BD116">
            <v>1188.73</v>
          </cell>
          <cell r="BE116">
            <v>187.51100000000002</v>
          </cell>
          <cell r="BF116">
            <v>397.17400000000004</v>
          </cell>
          <cell r="BG116">
            <v>235.5499999999999</v>
          </cell>
          <cell r="BH116">
            <v>441.67300000000012</v>
          </cell>
          <cell r="BI116">
            <v>1261.9080000000001</v>
          </cell>
          <cell r="BJ116">
            <v>187.30999999999995</v>
          </cell>
          <cell r="BK116">
            <v>295.61699999999996</v>
          </cell>
          <cell r="BL116">
            <v>294.93799999999999</v>
          </cell>
          <cell r="BM116">
            <v>429.80809460720974</v>
          </cell>
          <cell r="BN116">
            <v>1207.6730946072098</v>
          </cell>
          <cell r="BO116">
            <v>220.85190282049729</v>
          </cell>
          <cell r="BP116">
            <v>237.43526513403262</v>
          </cell>
          <cell r="BQ116">
            <v>325.57905999510234</v>
          </cell>
          <cell r="BR116">
            <v>404.96919078208964</v>
          </cell>
          <cell r="BS116">
            <v>1188.835418731722</v>
          </cell>
          <cell r="BT116">
            <v>297.45398267446774</v>
          </cell>
          <cell r="BU116">
            <v>294.40125807358845</v>
          </cell>
          <cell r="BV116">
            <v>390.22012843116602</v>
          </cell>
          <cell r="BW116">
            <v>470.91527012207268</v>
          </cell>
          <cell r="BX116">
            <v>1452.990639301295</v>
          </cell>
          <cell r="BY116">
            <v>315.79335821530498</v>
          </cell>
          <cell r="BZ116">
            <v>319.49094420879311</v>
          </cell>
          <cell r="CA116">
            <v>420.39807810292916</v>
          </cell>
          <cell r="CB116">
            <v>505.50076602561745</v>
          </cell>
          <cell r="CC116">
            <v>1561.1831465526448</v>
          </cell>
          <cell r="CD116">
            <v>371.60263290180637</v>
          </cell>
          <cell r="CE116">
            <v>337.86057181650744</v>
          </cell>
          <cell r="CF116">
            <v>458.88666653645168</v>
          </cell>
          <cell r="CG116">
            <v>548.25211124624991</v>
          </cell>
          <cell r="CH116">
            <v>1716.6019825010153</v>
          </cell>
        </row>
        <row r="117">
          <cell r="B117" t="str">
            <v>as % of net income + D&amp;A</v>
          </cell>
          <cell r="F117">
            <v>0.21442631515117591</v>
          </cell>
          <cell r="G117">
            <v>0.80180409096684024</v>
          </cell>
          <cell r="H117">
            <v>1.6697901440801837</v>
          </cell>
          <cell r="I117">
            <v>0.45579268292682934</v>
          </cell>
          <cell r="J117">
            <v>0.87517364125716279</v>
          </cell>
          <cell r="K117">
            <v>0.93903084343504983</v>
          </cell>
          <cell r="L117">
            <v>0.87781171397772184</v>
          </cell>
          <cell r="M117">
            <v>1.6336291171604751</v>
          </cell>
          <cell r="N117">
            <v>1.2434572021653303</v>
          </cell>
          <cell r="O117">
            <v>1.4721816249252639</v>
          </cell>
          <cell r="P117">
            <v>1.3084160548482597</v>
          </cell>
          <cell r="Q117">
            <v>0.12743145505458126</v>
          </cell>
          <cell r="R117">
            <v>2.1975097731400255</v>
          </cell>
          <cell r="S117">
            <v>0.69155266908620727</v>
          </cell>
          <cell r="T117">
            <v>0.60122504176278735</v>
          </cell>
          <cell r="U117">
            <v>0.88543006416265202</v>
          </cell>
          <cell r="V117">
            <v>0.77965823408313017</v>
          </cell>
          <cell r="W117">
            <v>1.8699073173893317</v>
          </cell>
          <cell r="X117">
            <v>0.79808255882106671</v>
          </cell>
          <cell r="Y117">
            <v>0.76467928586267142</v>
          </cell>
          <cell r="Z117">
            <v>1.0514407077817909</v>
          </cell>
          <cell r="AA117">
            <v>1.9281555915721231</v>
          </cell>
          <cell r="AB117">
            <v>1.5711262319892705</v>
          </cell>
          <cell r="AC117">
            <v>0.71203943580886597</v>
          </cell>
          <cell r="AD117">
            <v>0.81891356842952556</v>
          </cell>
          <cell r="AE117">
            <v>1.2317698812727371</v>
          </cell>
          <cell r="AF117">
            <v>0.94064882333443811</v>
          </cell>
          <cell r="AG117">
            <v>1.1675506268081004</v>
          </cell>
          <cell r="AH117">
            <v>1.0483399780038491</v>
          </cell>
          <cell r="AI117">
            <v>0.80007007572070932</v>
          </cell>
          <cell r="AJ117">
            <v>0.98101301276629116</v>
          </cell>
          <cell r="AK117">
            <v>1.1397143777108547</v>
          </cell>
          <cell r="AL117">
            <v>0.89290649040256942</v>
          </cell>
          <cell r="AM117">
            <v>1.622940807074591</v>
          </cell>
          <cell r="AN117">
            <v>8.3467390022408345</v>
          </cell>
          <cell r="AO117">
            <v>1.8952790125362045</v>
          </cell>
          <cell r="AP117">
            <v>0.30192491990909359</v>
          </cell>
          <cell r="AQ117">
            <v>2.0923854872397172</v>
          </cell>
          <cell r="AR117">
            <v>1.4816391903460084</v>
          </cell>
          <cell r="AS117">
            <v>1.9748046284359135</v>
          </cell>
          <cell r="AT117">
            <v>1.4583226436486723</v>
          </cell>
          <cell r="AU117">
            <v>1.3316992541412358</v>
          </cell>
          <cell r="AV117">
            <v>1.4116236792962191</v>
          </cell>
          <cell r="AW117">
            <v>1.7531017858021349</v>
          </cell>
          <cell r="AX117">
            <v>0.64357048651817117</v>
          </cell>
          <cell r="AY117">
            <v>1.2331359116528431</v>
          </cell>
          <cell r="AZ117">
            <v>1.2866014827549157</v>
          </cell>
          <cell r="BA117">
            <v>1.0113005427097108</v>
          </cell>
          <cell r="BB117">
            <v>1.5111262729210546</v>
          </cell>
          <cell r="BC117">
            <v>1.161834907906478</v>
          </cell>
          <cell r="BD117">
            <v>1.240482948616271</v>
          </cell>
          <cell r="BE117">
            <v>0.78245974219985559</v>
          </cell>
          <cell r="BF117">
            <v>1.8337088404217992</v>
          </cell>
          <cell r="BG117">
            <v>0.92670183845370036</v>
          </cell>
          <cell r="BH117">
            <v>1.9641434085774767</v>
          </cell>
          <cell r="BI117">
            <v>1.349218636398628</v>
          </cell>
          <cell r="BJ117">
            <v>0.68459755999502914</v>
          </cell>
          <cell r="BK117">
            <v>1.0484062021222267</v>
          </cell>
          <cell r="BL117">
            <v>1.2239868860622913</v>
          </cell>
          <cell r="BM117">
            <v>1.5815233848738477</v>
          </cell>
          <cell r="BN117">
            <v>1.1304546650833305</v>
          </cell>
          <cell r="BO117">
            <v>0.7418801617595181</v>
          </cell>
          <cell r="BP117">
            <v>0.70669137277529515</v>
          </cell>
          <cell r="BQ117">
            <v>1.2202925715726316</v>
          </cell>
          <cell r="BR117">
            <v>1.6788858603188208</v>
          </cell>
          <cell r="BS117">
            <v>1.0412936266136974</v>
          </cell>
          <cell r="BT117">
            <v>0.85275582326876009</v>
          </cell>
          <cell r="BU117">
            <v>0.73829495958153812</v>
          </cell>
          <cell r="BV117">
            <v>1.2202655691353228</v>
          </cell>
          <cell r="BW117">
            <v>1.6037416952298755</v>
          </cell>
          <cell r="BX117">
            <v>1.0675970757335302</v>
          </cell>
          <cell r="BY117">
            <v>0.8378815875328639</v>
          </cell>
          <cell r="BZ117">
            <v>0.73726528291315907</v>
          </cell>
          <cell r="CA117">
            <v>1.2050356488359162</v>
          </cell>
          <cell r="CB117">
            <v>1.5416599987792956</v>
          </cell>
          <cell r="CC117">
            <v>1.0498860205430609</v>
          </cell>
          <cell r="CD117">
            <v>0.89412545202974614</v>
          </cell>
          <cell r="CE117">
            <v>0.71141802355425576</v>
          </cell>
          <cell r="CF117">
            <v>1.1899460474751586</v>
          </cell>
          <cell r="CG117">
            <v>1.523859247126242</v>
          </cell>
          <cell r="CH117">
            <v>1.0493117923092692</v>
          </cell>
        </row>
        <row r="119">
          <cell r="B119" t="str">
            <v>Acquisitions of facilities and other related equipment</v>
          </cell>
          <cell r="F119">
            <v>-148.21600000000001</v>
          </cell>
          <cell r="G119">
            <v>0</v>
          </cell>
          <cell r="H119">
            <v>-50.063000000000002</v>
          </cell>
          <cell r="I119">
            <v>-5.0030000000000001</v>
          </cell>
          <cell r="J119">
            <v>-95.875</v>
          </cell>
          <cell r="K119">
            <v>-150.941</v>
          </cell>
          <cell r="L119">
            <v>-56.106000000000002</v>
          </cell>
          <cell r="M119">
            <v>-14.015999999999998</v>
          </cell>
          <cell r="N119">
            <v>-57.570999999999998</v>
          </cell>
          <cell r="O119">
            <v>-28.375999999999991</v>
          </cell>
          <cell r="P119">
            <v>-156.06899999999999</v>
          </cell>
          <cell r="Q119">
            <v>-147.24100000000001</v>
          </cell>
          <cell r="R119">
            <v>-9.9349999999999739</v>
          </cell>
          <cell r="S119">
            <v>-163.05700000000002</v>
          </cell>
          <cell r="T119">
            <v>-130.339</v>
          </cell>
          <cell r="U119">
            <v>-450.572</v>
          </cell>
          <cell r="V119">
            <v>-3.9860000000000002</v>
          </cell>
          <cell r="W119">
            <v>-1.3039999999999998</v>
          </cell>
          <cell r="X119">
            <v>-126.52499999999999</v>
          </cell>
          <cell r="Y119">
            <v>-1.2179999999999893</v>
          </cell>
          <cell r="Z119">
            <v>-133.03299999999999</v>
          </cell>
          <cell r="AA119">
            <v>-24.853999999999999</v>
          </cell>
          <cell r="AB119">
            <v>-20.959000000000003</v>
          </cell>
          <cell r="AC119">
            <v>-15.14</v>
          </cell>
          <cell r="AD119">
            <v>-97.425999999999988</v>
          </cell>
          <cell r="AE119">
            <v>-158.37899999999999</v>
          </cell>
          <cell r="AF119">
            <v>-17.448</v>
          </cell>
          <cell r="AG119">
            <v>-160.56699999999998</v>
          </cell>
          <cell r="AH119">
            <v>-139.37200000000001</v>
          </cell>
          <cell r="AI119">
            <v>-67.230999999999995</v>
          </cell>
          <cell r="AJ119">
            <v>-384.61799999999999</v>
          </cell>
          <cell r="AK119">
            <v>-44.039000000000001</v>
          </cell>
          <cell r="AL119">
            <v>-143.916</v>
          </cell>
          <cell r="AM119">
            <v>-6794.1440000000002</v>
          </cell>
          <cell r="AN119">
            <v>-35.948999999999614</v>
          </cell>
          <cell r="AO119">
            <v>-7018.0479999999998</v>
          </cell>
          <cell r="AP119">
            <v>-1.7050000000000001</v>
          </cell>
          <cell r="AQ119">
            <v>-4.9409999999999998</v>
          </cell>
          <cell r="AR119">
            <v>-0.62800000000000011</v>
          </cell>
          <cell r="AS119">
            <v>-154.63300000000001</v>
          </cell>
          <cell r="AT119">
            <v>-161.90700000000001</v>
          </cell>
          <cell r="AU119">
            <v>-17.053000000000001</v>
          </cell>
          <cell r="AV119">
            <v>-193.851</v>
          </cell>
          <cell r="AW119">
            <v>-1.0370000000000061</v>
          </cell>
          <cell r="AX119">
            <v>-51.831999999999994</v>
          </cell>
          <cell r="AY119">
            <v>-263.77300000000002</v>
          </cell>
          <cell r="AZ119">
            <v>-0.18</v>
          </cell>
          <cell r="BA119">
            <v>-2.2329999999999997</v>
          </cell>
          <cell r="BB119">
            <v>-65.128</v>
          </cell>
          <cell r="BC119">
            <v>-180.71</v>
          </cell>
          <cell r="BD119">
            <v>-248.251</v>
          </cell>
          <cell r="BE119">
            <v>-45.421999999999997</v>
          </cell>
          <cell r="BF119">
            <v>-158.84200000000001</v>
          </cell>
          <cell r="BG119">
            <v>-5.1869999999999834</v>
          </cell>
          <cell r="BH119">
            <v>-205.90900000000002</v>
          </cell>
          <cell r="BI119">
            <v>-415.36</v>
          </cell>
          <cell r="BJ119">
            <v>-248.43600000000001</v>
          </cell>
          <cell r="BK119">
            <v>3.2090000000000032</v>
          </cell>
          <cell r="BL119">
            <v>-67.700000000000017</v>
          </cell>
          <cell r="BM119">
            <v>0</v>
          </cell>
          <cell r="BN119">
            <v>-312.92700000000002</v>
          </cell>
          <cell r="BP119">
            <v>-70</v>
          </cell>
          <cell r="BQ119">
            <v>-70</v>
          </cell>
          <cell r="BR119">
            <v>-70</v>
          </cell>
          <cell r="BS119">
            <v>-210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L119" t="str">
            <v>mstag:netDisposalsAcquisitions</v>
          </cell>
          <cell r="CM119">
            <v>6</v>
          </cell>
          <cell r="CN119" t="str">
            <v>ISO4217:USD</v>
          </cell>
          <cell r="CO119" t="b">
            <v>0</v>
          </cell>
          <cell r="CP119" t="b">
            <v>0</v>
          </cell>
        </row>
        <row r="120">
          <cell r="B120" t="str">
            <v>Purchases of property and equipment</v>
          </cell>
          <cell r="F120">
            <v>-63.005000000000003</v>
          </cell>
          <cell r="G120">
            <v>-18.577000000000002</v>
          </cell>
          <cell r="H120">
            <v>-20.478999999999996</v>
          </cell>
          <cell r="I120">
            <v>-25.707000000000008</v>
          </cell>
          <cell r="J120">
            <v>-18.468999999999994</v>
          </cell>
          <cell r="K120">
            <v>-83.231999999999999</v>
          </cell>
          <cell r="L120">
            <v>-18.411000000000001</v>
          </cell>
          <cell r="M120">
            <v>-32.481000000000002</v>
          </cell>
          <cell r="N120">
            <v>-30.699999999999996</v>
          </cell>
          <cell r="O120">
            <v>-22.382999999999996</v>
          </cell>
          <cell r="P120">
            <v>-103.97499999999999</v>
          </cell>
          <cell r="Q120">
            <v>-32.261000000000003</v>
          </cell>
          <cell r="R120">
            <v>-34.089999999999996</v>
          </cell>
          <cell r="S120">
            <v>-34.558000000000007</v>
          </cell>
          <cell r="T120">
            <v>-45.469999999999985</v>
          </cell>
          <cell r="U120">
            <v>-146.37899999999999</v>
          </cell>
          <cell r="V120">
            <v>-39.896999999999998</v>
          </cell>
          <cell r="W120">
            <v>-43.246000000000002</v>
          </cell>
          <cell r="X120">
            <v>-42.058999999999997</v>
          </cell>
          <cell r="Y120">
            <v>-39.084000000000003</v>
          </cell>
          <cell r="Z120">
            <v>-164.286</v>
          </cell>
          <cell r="AA120">
            <v>-33.165999999999997</v>
          </cell>
          <cell r="AB120">
            <v>-43.569000000000003</v>
          </cell>
          <cell r="AC120">
            <v>-56.194000000000003</v>
          </cell>
          <cell r="AD120">
            <v>-55.436000000000007</v>
          </cell>
          <cell r="AE120">
            <v>-188.36500000000001</v>
          </cell>
          <cell r="AF120">
            <v>-39.704000000000001</v>
          </cell>
          <cell r="AG120">
            <v>-54.49</v>
          </cell>
          <cell r="AH120">
            <v>-64.404000000000011</v>
          </cell>
          <cell r="AI120">
            <v>-65.920999999999992</v>
          </cell>
          <cell r="AJ120">
            <v>-224.51900000000001</v>
          </cell>
          <cell r="AK120">
            <v>-44.789000000000001</v>
          </cell>
          <cell r="AL120">
            <v>-64.06</v>
          </cell>
          <cell r="AM120">
            <v>-169.69400000000002</v>
          </cell>
          <cell r="AN120">
            <v>-244.24199999999996</v>
          </cell>
          <cell r="AO120">
            <v>-522.78499999999997</v>
          </cell>
          <cell r="AP120">
            <v>-141.69300000000001</v>
          </cell>
          <cell r="AQ120">
            <v>-133.91200000000001</v>
          </cell>
          <cell r="AR120">
            <v>-175.80399999999997</v>
          </cell>
          <cell r="AS120">
            <v>-240.82399999999996</v>
          </cell>
          <cell r="AT120">
            <v>-692.23299999999995</v>
          </cell>
          <cell r="AU120">
            <v>-136.02099999999999</v>
          </cell>
          <cell r="AV120">
            <v>-131.25399999999999</v>
          </cell>
          <cell r="AW120">
            <v>-130.863</v>
          </cell>
          <cell r="AX120">
            <v>-178.75000000000009</v>
          </cell>
          <cell r="AY120">
            <v>-576.88800000000003</v>
          </cell>
          <cell r="AZ120">
            <v>-126.553</v>
          </cell>
          <cell r="BA120">
            <v>-137.37099999999998</v>
          </cell>
          <cell r="BB120">
            <v>-117.92900000000003</v>
          </cell>
          <cell r="BC120">
            <v>-285.52500000000003</v>
          </cell>
          <cell r="BD120">
            <v>-667.37800000000004</v>
          </cell>
          <cell r="BE120">
            <v>-153.875</v>
          </cell>
          <cell r="BF120">
            <v>-197.50799999999998</v>
          </cell>
          <cell r="BG120">
            <v>-181.46200000000005</v>
          </cell>
          <cell r="BH120">
            <v>-243.86799999999994</v>
          </cell>
          <cell r="BI120">
            <v>-776.71299999999997</v>
          </cell>
          <cell r="BJ120">
            <v>-184.90299999999999</v>
          </cell>
          <cell r="BK120">
            <v>-201.55800000000002</v>
          </cell>
          <cell r="BL120">
            <v>-171.00800000000001</v>
          </cell>
          <cell r="BM120">
            <v>-225</v>
          </cell>
          <cell r="BN120">
            <v>-782.46900000000005</v>
          </cell>
          <cell r="BO120">
            <v>-200</v>
          </cell>
          <cell r="BP120">
            <v>-200</v>
          </cell>
          <cell r="BQ120">
            <v>-200</v>
          </cell>
          <cell r="BR120">
            <v>-200</v>
          </cell>
          <cell r="BS120">
            <v>-800</v>
          </cell>
          <cell r="BT120">
            <v>-200</v>
          </cell>
          <cell r="BU120">
            <v>-200</v>
          </cell>
          <cell r="BV120">
            <v>-200</v>
          </cell>
          <cell r="BW120">
            <v>-200</v>
          </cell>
          <cell r="BX120">
            <v>-800</v>
          </cell>
          <cell r="BY120">
            <v>-200</v>
          </cell>
          <cell r="BZ120">
            <v>-200</v>
          </cell>
          <cell r="CA120">
            <v>-200</v>
          </cell>
          <cell r="CB120">
            <v>-200</v>
          </cell>
          <cell r="CC120">
            <v>-800</v>
          </cell>
          <cell r="CD120">
            <v>-200</v>
          </cell>
          <cell r="CE120">
            <v>-200</v>
          </cell>
          <cell r="CF120">
            <v>-200</v>
          </cell>
          <cell r="CG120">
            <v>-200</v>
          </cell>
          <cell r="CH120">
            <v>-800</v>
          </cell>
          <cell r="CL120" t="str">
            <v>mstag:capitalExpenditures</v>
          </cell>
          <cell r="CM120">
            <v>6</v>
          </cell>
          <cell r="CN120" t="str">
            <v>ISO4217:USD</v>
          </cell>
          <cell r="CO120" t="b">
            <v>1</v>
          </cell>
          <cell r="CP120" t="b">
            <v>1</v>
          </cell>
        </row>
        <row r="121">
          <cell r="B121" t="str">
            <v>Proceeds from sale of property and equipment</v>
          </cell>
          <cell r="F121">
            <v>0.107</v>
          </cell>
          <cell r="G121">
            <v>5.2999999999999999E-2</v>
          </cell>
          <cell r="H121">
            <v>0</v>
          </cell>
          <cell r="I121">
            <v>0.11500000000000002</v>
          </cell>
          <cell r="J121">
            <v>0.255</v>
          </cell>
          <cell r="K121">
            <v>0.42300000000000004</v>
          </cell>
          <cell r="L121">
            <v>1.2E-2</v>
          </cell>
          <cell r="M121">
            <v>0.10200000000000001</v>
          </cell>
          <cell r="N121">
            <v>0.32600000000000001</v>
          </cell>
          <cell r="O121">
            <v>3.2999999999999974E-2</v>
          </cell>
          <cell r="P121">
            <v>0.47299999999999998</v>
          </cell>
          <cell r="Q121">
            <v>3.0000000000000001E-3</v>
          </cell>
          <cell r="R121">
            <v>0.247</v>
          </cell>
          <cell r="S121">
            <v>0.78600000000000003</v>
          </cell>
          <cell r="T121">
            <v>3.6000000000000032E-2</v>
          </cell>
          <cell r="U121">
            <v>1.0720000000000001</v>
          </cell>
          <cell r="V121">
            <v>0.83899999999999997</v>
          </cell>
          <cell r="W121">
            <v>0.13700000000000001</v>
          </cell>
          <cell r="X121">
            <v>8.8000000000000078E-2</v>
          </cell>
          <cell r="Y121">
            <v>-0.27400000000000002</v>
          </cell>
          <cell r="Z121">
            <v>0.79</v>
          </cell>
          <cell r="AA121">
            <v>2.1309999999999998</v>
          </cell>
          <cell r="AB121">
            <v>2.4000000000000021E-2</v>
          </cell>
          <cell r="AC121">
            <v>0.1030000000000002</v>
          </cell>
          <cell r="AD121">
            <v>6.7000000000000171E-2</v>
          </cell>
          <cell r="AE121">
            <v>2.3250000000000002</v>
          </cell>
          <cell r="AF121">
            <v>3.4000000000000002E-2</v>
          </cell>
          <cell r="AG121">
            <v>3.9999999999999994E-2</v>
          </cell>
          <cell r="AH121">
            <v>4.2380000000000004</v>
          </cell>
          <cell r="AI121">
            <v>0.16800000000000015</v>
          </cell>
          <cell r="AJ121">
            <v>4.4800000000000004</v>
          </cell>
          <cell r="AK121">
            <v>0.13400000000000001</v>
          </cell>
          <cell r="AL121">
            <v>0.1</v>
          </cell>
          <cell r="AM121">
            <v>0.36699999999999999</v>
          </cell>
          <cell r="AN121">
            <v>4.0490000000000004</v>
          </cell>
          <cell r="AO121">
            <v>4.6500000000000004</v>
          </cell>
          <cell r="AP121">
            <v>13.717000000000001</v>
          </cell>
          <cell r="AQ121">
            <v>-0.82800000000000118</v>
          </cell>
          <cell r="AR121">
            <v>1.0750000000000011</v>
          </cell>
          <cell r="AS121">
            <v>-0.48099999999999987</v>
          </cell>
          <cell r="AT121">
            <v>13.483000000000001</v>
          </cell>
          <cell r="AU121">
            <v>0.32600000000000001</v>
          </cell>
          <cell r="AV121">
            <v>2.899999999999997E-2</v>
          </cell>
          <cell r="AW121">
            <v>2.1659999999999999</v>
          </cell>
          <cell r="AX121">
            <v>1.4980000000000002</v>
          </cell>
          <cell r="AY121">
            <v>4.0190000000000001</v>
          </cell>
          <cell r="AZ121">
            <v>0.34599999999999997</v>
          </cell>
          <cell r="BA121">
            <v>1.9609999999999999</v>
          </cell>
          <cell r="BB121">
            <v>0.53800000000000026</v>
          </cell>
          <cell r="BC121">
            <v>5.5559999999999992</v>
          </cell>
          <cell r="BD121">
            <v>8.4009999999999998</v>
          </cell>
          <cell r="BE121">
            <v>7.5869999999999997</v>
          </cell>
          <cell r="BF121">
            <v>0.44700000000000095</v>
          </cell>
          <cell r="BG121">
            <v>1.2169999999999987</v>
          </cell>
          <cell r="BH121">
            <v>1.9090000000000007</v>
          </cell>
          <cell r="BI121">
            <v>11.16</v>
          </cell>
          <cell r="BJ121">
            <v>0.748</v>
          </cell>
          <cell r="BK121">
            <v>2.6890000000000001</v>
          </cell>
          <cell r="BL121">
            <v>1.3709999999999996</v>
          </cell>
          <cell r="BM121">
            <v>0</v>
          </cell>
          <cell r="BN121">
            <v>4.8079999999999998</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L121" t="str">
            <v>mstag:proceedsFromSaleOfPpeAndIntangibleAssets</v>
          </cell>
          <cell r="CM121">
            <v>6</v>
          </cell>
          <cell r="CN121" t="str">
            <v>ISO4217:USD</v>
          </cell>
          <cell r="CO121" t="b">
            <v>0</v>
          </cell>
          <cell r="CP121" t="b">
            <v>0</v>
          </cell>
        </row>
        <row r="122">
          <cell r="B122" t="str">
            <v>Proceeds from disposition of hospitals and other ancillary operations</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4.0880000000000001</v>
          </cell>
          <cell r="U122">
            <v>4.0880000000000001</v>
          </cell>
          <cell r="V122">
            <v>0</v>
          </cell>
          <cell r="W122">
            <v>0</v>
          </cell>
          <cell r="X122">
            <v>7.85</v>
          </cell>
          <cell r="Y122">
            <v>0</v>
          </cell>
          <cell r="Z122">
            <v>7.85</v>
          </cell>
          <cell r="AA122">
            <v>51.860999999999997</v>
          </cell>
          <cell r="AB122">
            <v>0</v>
          </cell>
          <cell r="AC122">
            <v>0.13700000000000045</v>
          </cell>
          <cell r="AD122">
            <v>0</v>
          </cell>
          <cell r="AE122">
            <v>51.997999999999998</v>
          </cell>
          <cell r="AF122">
            <v>0.5</v>
          </cell>
          <cell r="AG122">
            <v>0.25</v>
          </cell>
          <cell r="AH122">
            <v>0</v>
          </cell>
          <cell r="AI122">
            <v>0</v>
          </cell>
          <cell r="AJ122">
            <v>0.75</v>
          </cell>
          <cell r="AK122">
            <v>0</v>
          </cell>
          <cell r="AL122">
            <v>12.662000000000001</v>
          </cell>
          <cell r="AM122">
            <v>0.29999999999999893</v>
          </cell>
          <cell r="AN122">
            <v>97.033999999999992</v>
          </cell>
          <cell r="AO122">
            <v>109.996</v>
          </cell>
          <cell r="AP122">
            <v>365.68</v>
          </cell>
          <cell r="AQ122">
            <v>0.23300000000000409</v>
          </cell>
          <cell r="AR122">
            <v>-0.27800000000002001</v>
          </cell>
          <cell r="AS122">
            <v>1.0000000000331966E-3</v>
          </cell>
          <cell r="AT122">
            <v>365.63600000000002</v>
          </cell>
          <cell r="AU122">
            <v>89.909000000000006</v>
          </cell>
          <cell r="AV122">
            <v>0</v>
          </cell>
          <cell r="AW122">
            <v>-0.39500000000001023</v>
          </cell>
          <cell r="AX122">
            <v>0</v>
          </cell>
          <cell r="AY122">
            <v>89.513999999999996</v>
          </cell>
          <cell r="AZ122">
            <v>0</v>
          </cell>
          <cell r="BA122">
            <v>0</v>
          </cell>
          <cell r="BB122">
            <v>0</v>
          </cell>
          <cell r="BC122">
            <v>0</v>
          </cell>
          <cell r="BD122">
            <v>0</v>
          </cell>
          <cell r="BE122">
            <v>14.583</v>
          </cell>
          <cell r="BF122">
            <v>3.8809999999999985</v>
          </cell>
          <cell r="BG122">
            <v>154.114</v>
          </cell>
          <cell r="BH122">
            <v>0.8089999999999975</v>
          </cell>
          <cell r="BI122">
            <v>173.387</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L122" t="str">
            <v>mstag:proceedsFromSaleOfPpeAndIntangibleAssets</v>
          </cell>
          <cell r="CM122">
            <v>6</v>
          </cell>
          <cell r="CN122" t="str">
            <v>ISO4217:USD</v>
          </cell>
          <cell r="CO122" t="b">
            <v>0</v>
          </cell>
          <cell r="CP122" t="b">
            <v>0</v>
          </cell>
        </row>
        <row r="123">
          <cell r="B123" t="str">
            <v>Increase in other non-operating assets</v>
          </cell>
          <cell r="F123">
            <v>-33.326999999999998</v>
          </cell>
          <cell r="G123">
            <v>-6.2050000000000001</v>
          </cell>
          <cell r="H123">
            <v>-9.1929999999999996</v>
          </cell>
          <cell r="I123">
            <v>-9.8590000000000018</v>
          </cell>
          <cell r="J123">
            <v>-6.1039999999999992</v>
          </cell>
          <cell r="K123">
            <v>-31.361000000000001</v>
          </cell>
          <cell r="L123">
            <v>-7.1669999999999998</v>
          </cell>
          <cell r="M123">
            <v>-7.593</v>
          </cell>
          <cell r="N123">
            <v>-8.6390000000000011</v>
          </cell>
          <cell r="O123">
            <v>-8.1699999999999982</v>
          </cell>
          <cell r="P123">
            <v>-31.568999999999999</v>
          </cell>
          <cell r="Q123">
            <v>-7.4279999999999999</v>
          </cell>
          <cell r="R123">
            <v>-6.2120000000000006</v>
          </cell>
          <cell r="S123">
            <v>-7.57</v>
          </cell>
          <cell r="T123">
            <v>-7.7689999999999984</v>
          </cell>
          <cell r="U123">
            <v>-28.978999999999999</v>
          </cell>
          <cell r="V123">
            <v>-7.4080000000000004</v>
          </cell>
          <cell r="W123">
            <v>-7.444</v>
          </cell>
          <cell r="X123">
            <v>-8.7240000000000002</v>
          </cell>
          <cell r="Y123">
            <v>-6.2240000000000002</v>
          </cell>
          <cell r="Z123">
            <v>-29.8</v>
          </cell>
          <cell r="AA123">
            <v>-7.2370000000000001</v>
          </cell>
          <cell r="AB123">
            <v>-14.842000000000001</v>
          </cell>
          <cell r="AC123">
            <v>-7.7609999999999992</v>
          </cell>
          <cell r="AD123">
            <v>-5.0109999999999992</v>
          </cell>
          <cell r="AE123">
            <v>-34.850999999999999</v>
          </cell>
          <cell r="AF123">
            <v>-22.425000000000001</v>
          </cell>
          <cell r="AG123">
            <v>-1.9570000000000007</v>
          </cell>
          <cell r="AH123">
            <v>-5.0779999999999994</v>
          </cell>
          <cell r="AI123">
            <v>-6.8900000000000006</v>
          </cell>
          <cell r="AJ123">
            <v>-36.35</v>
          </cell>
          <cell r="AK123">
            <v>-7.0510000000000002</v>
          </cell>
          <cell r="AL123">
            <v>-18.311</v>
          </cell>
          <cell r="AM123">
            <v>-40.663000000000004</v>
          </cell>
          <cell r="AN123">
            <v>-6.6460000000000008</v>
          </cell>
          <cell r="AO123">
            <v>-72.671000000000006</v>
          </cell>
          <cell r="AP123">
            <v>-98.182000000000002</v>
          </cell>
          <cell r="AQ123">
            <v>-46.197999999999993</v>
          </cell>
          <cell r="AR123">
            <v>-7.7880000000000109</v>
          </cell>
          <cell r="AS123">
            <v>-38.281999999999982</v>
          </cell>
          <cell r="AT123">
            <v>-190.45</v>
          </cell>
          <cell r="AU123">
            <v>-36.344000000000001</v>
          </cell>
          <cell r="AV123">
            <v>-38.161999999999999</v>
          </cell>
          <cell r="AW123">
            <v>-36.97</v>
          </cell>
          <cell r="AX123">
            <v>-8.578000000000003</v>
          </cell>
          <cell r="AY123">
            <v>-120.054</v>
          </cell>
          <cell r="AZ123">
            <v>-36.991</v>
          </cell>
          <cell r="BA123">
            <v>-27.266999999999996</v>
          </cell>
          <cell r="BB123">
            <v>-34.244</v>
          </cell>
          <cell r="BC123">
            <v>-38.58</v>
          </cell>
          <cell r="BD123">
            <v>-137.08199999999999</v>
          </cell>
          <cell r="BE123">
            <v>-32.277000000000001</v>
          </cell>
          <cell r="BF123">
            <v>-42.933999999999997</v>
          </cell>
          <cell r="BG123">
            <v>-55.768999999999991</v>
          </cell>
          <cell r="BH123">
            <v>-57.269000000000005</v>
          </cell>
          <cell r="BI123">
            <v>-188.249</v>
          </cell>
          <cell r="BJ123">
            <v>-67.707999999999998</v>
          </cell>
          <cell r="BK123">
            <v>-94.608000000000004</v>
          </cell>
          <cell r="BL123">
            <v>-59.847999999999985</v>
          </cell>
          <cell r="BM123">
            <v>0</v>
          </cell>
          <cell r="BN123">
            <v>-222.16399999999999</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L123" t="str">
            <v>mstag:netDecreaseInInvestmentsNonOperating</v>
          </cell>
          <cell r="CM123">
            <v>6</v>
          </cell>
          <cell r="CN123" t="str">
            <v>ISO4217:USD</v>
          </cell>
          <cell r="CO123" t="b">
            <v>0</v>
          </cell>
          <cell r="CP123" t="b">
            <v>0</v>
          </cell>
        </row>
        <row r="124">
          <cell r="B124" t="str">
            <v>Cash Flow from Investing</v>
          </cell>
          <cell r="E124">
            <v>-155.541</v>
          </cell>
          <cell r="F124">
            <v>-244.441</v>
          </cell>
          <cell r="G124">
            <v>-24.728999999999999</v>
          </cell>
          <cell r="H124">
            <v>-79.734999999999999</v>
          </cell>
          <cell r="I124">
            <v>-40.454000000000008</v>
          </cell>
          <cell r="J124">
            <v>-120.193</v>
          </cell>
          <cell r="K124">
            <v>-265.11099999999999</v>
          </cell>
          <cell r="L124">
            <v>-81.671999999999997</v>
          </cell>
          <cell r="M124">
            <v>-53.988</v>
          </cell>
          <cell r="N124">
            <v>-96.583999999999989</v>
          </cell>
          <cell r="O124">
            <v>-58.895999999999987</v>
          </cell>
          <cell r="P124">
            <v>-291.14</v>
          </cell>
          <cell r="Q124">
            <v>-186.92700000000002</v>
          </cell>
          <cell r="R124">
            <v>-49.989999999999974</v>
          </cell>
          <cell r="S124">
            <v>-204.399</v>
          </cell>
          <cell r="T124">
            <v>-179.45399999999998</v>
          </cell>
          <cell r="U124">
            <v>-620.7700000000001</v>
          </cell>
          <cell r="V124">
            <v>-50.451999999999998</v>
          </cell>
          <cell r="W124">
            <v>-51.857000000000006</v>
          </cell>
          <cell r="X124">
            <v>-169.37</v>
          </cell>
          <cell r="Y124">
            <v>-46.8</v>
          </cell>
          <cell r="Z124">
            <v>-318.47899999999993</v>
          </cell>
          <cell r="AA124">
            <v>-11.264999999999999</v>
          </cell>
          <cell r="AB124">
            <v>-79.346000000000004</v>
          </cell>
          <cell r="AC124">
            <v>-78.855000000000004</v>
          </cell>
          <cell r="AD124">
            <v>-157.80599999999998</v>
          </cell>
          <cell r="AE124">
            <v>-327.27200000000005</v>
          </cell>
          <cell r="AF124">
            <v>-79.043000000000006</v>
          </cell>
          <cell r="AG124">
            <v>-216.72399999999999</v>
          </cell>
          <cell r="AH124">
            <v>-204.61600000000001</v>
          </cell>
          <cell r="AI124">
            <v>-139.87399999999997</v>
          </cell>
          <cell r="AJ124">
            <v>-640.25699999999995</v>
          </cell>
          <cell r="AK124">
            <v>-95.745000000000005</v>
          </cell>
          <cell r="AL124">
            <v>-213.52500000000001</v>
          </cell>
          <cell r="AM124">
            <v>-7003.8339999999998</v>
          </cell>
          <cell r="AN124">
            <v>-185.75399999999962</v>
          </cell>
          <cell r="AO124">
            <v>-7498.8580000000002</v>
          </cell>
          <cell r="AP124">
            <v>137.81700000000001</v>
          </cell>
          <cell r="AQ124">
            <v>-185.64600000000002</v>
          </cell>
          <cell r="AR124">
            <v>-183.423</v>
          </cell>
          <cell r="AS124">
            <v>-434.21899999999994</v>
          </cell>
          <cell r="AT124">
            <v>-665.471</v>
          </cell>
          <cell r="AU124">
            <v>-99.182999999999993</v>
          </cell>
          <cell r="AV124">
            <v>-363.238</v>
          </cell>
          <cell r="AW124">
            <v>-167.09900000000002</v>
          </cell>
          <cell r="AX124">
            <v>-237.66200000000009</v>
          </cell>
          <cell r="AY124">
            <v>-867.18200000000002</v>
          </cell>
          <cell r="AZ124">
            <v>-163.37799999999999</v>
          </cell>
          <cell r="BA124">
            <v>-164.90999999999997</v>
          </cell>
          <cell r="BB124">
            <v>-216.76300000000001</v>
          </cell>
          <cell r="BC124">
            <v>-499.25900000000001</v>
          </cell>
          <cell r="BD124">
            <v>-1044.31</v>
          </cell>
          <cell r="BE124">
            <v>-209.404</v>
          </cell>
          <cell r="BF124">
            <v>-394.95600000000002</v>
          </cell>
          <cell r="BG124">
            <v>-87.087000000000003</v>
          </cell>
          <cell r="BH124">
            <v>-504.32799999999997</v>
          </cell>
          <cell r="BI124">
            <v>-1195.7749999999999</v>
          </cell>
          <cell r="BJ124">
            <v>-500.29899999999998</v>
          </cell>
          <cell r="BK124">
            <v>-290.26800000000003</v>
          </cell>
          <cell r="BL124">
            <v>-297.185</v>
          </cell>
          <cell r="BM124">
            <v>-225</v>
          </cell>
          <cell r="BN124">
            <v>-1312.7520000000002</v>
          </cell>
          <cell r="BO124">
            <v>-200</v>
          </cell>
          <cell r="BP124">
            <v>-270</v>
          </cell>
          <cell r="BQ124">
            <v>-270</v>
          </cell>
          <cell r="BR124">
            <v>-270</v>
          </cell>
          <cell r="BS124">
            <v>-1010</v>
          </cell>
          <cell r="BT124">
            <v>-200</v>
          </cell>
          <cell r="BU124">
            <v>-200</v>
          </cell>
          <cell r="BV124">
            <v>-200</v>
          </cell>
          <cell r="BW124">
            <v>-200</v>
          </cell>
          <cell r="BX124">
            <v>-800</v>
          </cell>
          <cell r="BY124">
            <v>-200</v>
          </cell>
          <cell r="BZ124">
            <v>-200</v>
          </cell>
          <cell r="CA124">
            <v>-200</v>
          </cell>
          <cell r="CB124">
            <v>-200</v>
          </cell>
          <cell r="CC124">
            <v>-800</v>
          </cell>
          <cell r="CD124">
            <v>-200</v>
          </cell>
          <cell r="CE124">
            <v>-200</v>
          </cell>
          <cell r="CF124">
            <v>-200</v>
          </cell>
          <cell r="CG124">
            <v>-200</v>
          </cell>
          <cell r="CH124">
            <v>-800</v>
          </cell>
        </row>
        <row r="126">
          <cell r="B126" t="str">
            <v>Proceeds from exercise of stock options</v>
          </cell>
          <cell r="F126">
            <v>0.63600000000000001</v>
          </cell>
          <cell r="G126">
            <v>0</v>
          </cell>
          <cell r="H126">
            <v>2.2890000000000001</v>
          </cell>
          <cell r="I126">
            <v>3.4239999999999999</v>
          </cell>
          <cell r="J126">
            <v>-2.7280000000000002</v>
          </cell>
          <cell r="K126">
            <v>2.9849999999999999</v>
          </cell>
          <cell r="L126">
            <v>0</v>
          </cell>
          <cell r="M126">
            <v>1.4630000000000001</v>
          </cell>
          <cell r="N126">
            <v>0.9009999999999998</v>
          </cell>
          <cell r="O126">
            <v>0.17700000000000005</v>
          </cell>
          <cell r="P126">
            <v>2.5409999999999999</v>
          </cell>
          <cell r="Q126">
            <v>0.13300000000000001</v>
          </cell>
          <cell r="R126">
            <v>0.63500000000000001</v>
          </cell>
          <cell r="S126">
            <v>0.71100000000000008</v>
          </cell>
          <cell r="T126">
            <v>2.7850000000000001</v>
          </cell>
          <cell r="U126">
            <v>4.2640000000000002</v>
          </cell>
          <cell r="V126">
            <v>1.012</v>
          </cell>
          <cell r="W126">
            <v>0.89100000000000001</v>
          </cell>
          <cell r="X126">
            <v>2.1679999999999997</v>
          </cell>
          <cell r="Y126">
            <v>5.8290000000000006</v>
          </cell>
          <cell r="Z126">
            <v>9.9</v>
          </cell>
          <cell r="AA126">
            <v>15.958</v>
          </cell>
          <cell r="AB126">
            <v>19.942</v>
          </cell>
          <cell r="AC126">
            <v>4.2460000000000022</v>
          </cell>
          <cell r="AD126">
            <v>9.4339999999999975</v>
          </cell>
          <cell r="AE126">
            <v>49.58</v>
          </cell>
          <cell r="AF126">
            <v>1.919</v>
          </cell>
          <cell r="AG126">
            <v>6.7799999999999994</v>
          </cell>
          <cell r="AH126">
            <v>3.886000000000001</v>
          </cell>
          <cell r="AI126">
            <v>1.9879999999999995</v>
          </cell>
          <cell r="AJ126">
            <v>14.573</v>
          </cell>
          <cell r="AK126">
            <v>3.3109999999999999</v>
          </cell>
          <cell r="AL126">
            <v>3.3819999999999997</v>
          </cell>
          <cell r="AM126">
            <v>1.1110000000000007</v>
          </cell>
          <cell r="AN126">
            <v>0.41000000000000014</v>
          </cell>
          <cell r="AO126">
            <v>8.2140000000000004</v>
          </cell>
          <cell r="AP126">
            <v>9.4E-2</v>
          </cell>
          <cell r="AQ126">
            <v>1.2629999999999999</v>
          </cell>
          <cell r="AR126">
            <v>0.33099999999999996</v>
          </cell>
          <cell r="AS126">
            <v>0.1180000000000001</v>
          </cell>
          <cell r="AT126">
            <v>1.806</v>
          </cell>
          <cell r="AU126">
            <v>0</v>
          </cell>
          <cell r="AV126">
            <v>3.4449999999999998</v>
          </cell>
          <cell r="AW126">
            <v>6.5069999999999997</v>
          </cell>
          <cell r="AX126">
            <v>2.8070000000000008</v>
          </cell>
          <cell r="AY126">
            <v>12.759</v>
          </cell>
          <cell r="AZ126">
            <v>24.007000000000001</v>
          </cell>
          <cell r="BA126">
            <v>29.608000000000001</v>
          </cell>
          <cell r="BB126">
            <v>0.22399999999999665</v>
          </cell>
          <cell r="BC126">
            <v>3.0769999999999982</v>
          </cell>
          <cell r="BD126">
            <v>56.915999999999997</v>
          </cell>
          <cell r="BE126">
            <v>18.125</v>
          </cell>
          <cell r="BF126">
            <v>0.70599999999999952</v>
          </cell>
          <cell r="BG126">
            <v>4.8999999999999488E-2</v>
          </cell>
          <cell r="BH126">
            <v>3.0000000000001137E-2</v>
          </cell>
          <cell r="BI126">
            <v>18.91</v>
          </cell>
          <cell r="BJ126">
            <v>0.308</v>
          </cell>
          <cell r="BK126">
            <v>0.96099999999999985</v>
          </cell>
          <cell r="BL126">
            <v>4.4809999999999999</v>
          </cell>
          <cell r="BM126">
            <v>0</v>
          </cell>
          <cell r="BN126">
            <v>5.75</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L126" t="str">
            <v>mstag:proceedsFromExerciseOfStockOptions</v>
          </cell>
          <cell r="CM126">
            <v>6</v>
          </cell>
          <cell r="CN126" t="str">
            <v>ISO4217:USD</v>
          </cell>
          <cell r="CO126" t="b">
            <v>0</v>
          </cell>
          <cell r="CP126" t="b">
            <v>0</v>
          </cell>
        </row>
        <row r="127">
          <cell r="B127" t="str">
            <v>Repurchase of restricted stock shares for payroll tax withholding requirements</v>
          </cell>
          <cell r="F127">
            <v>0</v>
          </cell>
          <cell r="G127">
            <v>0</v>
          </cell>
          <cell r="H127">
            <v>0</v>
          </cell>
          <cell r="I127">
            <v>0</v>
          </cell>
          <cell r="J127">
            <v>0</v>
          </cell>
          <cell r="K127">
            <v>0</v>
          </cell>
          <cell r="L127">
            <v>0</v>
          </cell>
          <cell r="M127">
            <v>0</v>
          </cell>
          <cell r="N127">
            <v>0</v>
          </cell>
          <cell r="O127">
            <v>0</v>
          </cell>
          <cell r="P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-13.311</v>
          </cell>
          <cell r="BI127">
            <v>-13.311</v>
          </cell>
          <cell r="BJ127">
            <v>-9.032</v>
          </cell>
          <cell r="BK127">
            <v>-4.1999999999999815E-2</v>
          </cell>
          <cell r="BL127">
            <v>-9.0999999999999304E-2</v>
          </cell>
          <cell r="BM127">
            <v>0</v>
          </cell>
          <cell r="BN127">
            <v>-9.1649999999999991</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L127" t="str">
            <v>mstag:otherCashFlowsFromUsedInFinancingActivities</v>
          </cell>
          <cell r="CM127">
            <v>6</v>
          </cell>
          <cell r="CN127" t="str">
            <v>ISO4217:USD</v>
          </cell>
          <cell r="CO127" t="b">
            <v>0</v>
          </cell>
        </row>
        <row r="128">
          <cell r="B128" t="str">
            <v>Debt issuance costs/deferred financing costs</v>
          </cell>
          <cell r="F128">
            <v>0</v>
          </cell>
          <cell r="G128">
            <v>0</v>
          </cell>
          <cell r="H128">
            <v>0</v>
          </cell>
          <cell r="I128">
            <v>0</v>
          </cell>
          <cell r="J128">
            <v>-7.75</v>
          </cell>
          <cell r="K128">
            <v>-7.75</v>
          </cell>
          <cell r="L128">
            <v>0</v>
          </cell>
          <cell r="M128">
            <v>0</v>
          </cell>
          <cell r="N128">
            <v>0</v>
          </cell>
          <cell r="O128">
            <v>-8.9589999999999996</v>
          </cell>
          <cell r="P128">
            <v>-8.9589999999999996</v>
          </cell>
          <cell r="Q128">
            <v>0</v>
          </cell>
          <cell r="R128">
            <v>0</v>
          </cell>
          <cell r="S128">
            <v>0</v>
          </cell>
          <cell r="T128">
            <v>-1.2609999999999999</v>
          </cell>
          <cell r="U128">
            <v>-1.2609999999999999</v>
          </cell>
          <cell r="V128">
            <v>0</v>
          </cell>
          <cell r="W128">
            <v>0</v>
          </cell>
          <cell r="X128">
            <v>-4.6689999999999996</v>
          </cell>
          <cell r="Y128">
            <v>-8.1140000000000008</v>
          </cell>
          <cell r="Z128">
            <v>-12.783000000000001</v>
          </cell>
          <cell r="AA128">
            <v>-0.749</v>
          </cell>
          <cell r="AB128">
            <v>-0.24199999999999999</v>
          </cell>
          <cell r="AC128">
            <v>-0.13100000000000012</v>
          </cell>
          <cell r="AD128">
            <v>-0.43499999999999983</v>
          </cell>
          <cell r="AE128">
            <v>-1.5569999999999999</v>
          </cell>
          <cell r="AF128">
            <v>-0.14400000000000002</v>
          </cell>
          <cell r="AG128">
            <v>0</v>
          </cell>
          <cell r="AH128">
            <v>8.0000000000000071E-3</v>
          </cell>
          <cell r="AI128">
            <v>-2.145</v>
          </cell>
          <cell r="AJ128">
            <v>-2.2810000000000001</v>
          </cell>
          <cell r="AK128">
            <v>-1.4E-2</v>
          </cell>
          <cell r="AL128">
            <v>-0.35299999999999998</v>
          </cell>
          <cell r="AM128">
            <v>-189.74300000000002</v>
          </cell>
          <cell r="AN128">
            <v>7.1560000000000059</v>
          </cell>
          <cell r="AO128">
            <v>-182.95400000000001</v>
          </cell>
          <cell r="AP128">
            <v>-2.2320000000000002</v>
          </cell>
          <cell r="AQ128">
            <v>-0.21199999999999974</v>
          </cell>
          <cell r="AR128">
            <v>-0.125</v>
          </cell>
          <cell r="AS128">
            <v>-0.56700000000000017</v>
          </cell>
          <cell r="AT128">
            <v>-3.1360000000000001</v>
          </cell>
          <cell r="AU128">
            <v>-5.7000000000000002E-2</v>
          </cell>
          <cell r="AV128">
            <v>-0.15</v>
          </cell>
          <cell r="AW128">
            <v>0.12499999999999999</v>
          </cell>
          <cell r="AX128">
            <v>0</v>
          </cell>
          <cell r="AY128">
            <v>-8.2000000000000003E-2</v>
          </cell>
          <cell r="AZ128">
            <v>0</v>
          </cell>
          <cell r="BA128">
            <v>0</v>
          </cell>
          <cell r="BB128">
            <v>0</v>
          </cell>
          <cell r="BC128">
            <v>-13.26</v>
          </cell>
          <cell r="BD128">
            <v>-13.26</v>
          </cell>
          <cell r="BE128">
            <v>0</v>
          </cell>
          <cell r="BF128">
            <v>-0.23400000000000001</v>
          </cell>
          <cell r="BG128">
            <v>0.13400000000000001</v>
          </cell>
          <cell r="BH128">
            <v>-19.251999999999999</v>
          </cell>
          <cell r="BI128">
            <v>-19.352</v>
          </cell>
          <cell r="BJ128">
            <v>-24.786999999999999</v>
          </cell>
          <cell r="BK128">
            <v>-39.198999999999998</v>
          </cell>
          <cell r="BL128">
            <v>-71.660999999999987</v>
          </cell>
          <cell r="BM128">
            <v>0</v>
          </cell>
          <cell r="BN128">
            <v>-135.64699999999999</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L128" t="str">
            <v>mstag:otherCashFlowsFromUsedInFinancingActivities</v>
          </cell>
          <cell r="CM128">
            <v>6</v>
          </cell>
          <cell r="CN128" t="str">
            <v>ISO4217:USD</v>
          </cell>
          <cell r="CO128" t="b">
            <v>0</v>
          </cell>
          <cell r="CP128" t="b">
            <v>0</v>
          </cell>
        </row>
        <row r="129">
          <cell r="B129" t="str">
            <v>Excess tax benefits relating to stock-based comp</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4.3600000000000003</v>
          </cell>
          <cell r="AG129">
            <v>0.22799999999999976</v>
          </cell>
          <cell r="AH129">
            <v>2.0010000000000003</v>
          </cell>
          <cell r="AI129">
            <v>0.22999999999999954</v>
          </cell>
          <cell r="AJ129">
            <v>6.819</v>
          </cell>
          <cell r="AK129">
            <v>0.75800000000000001</v>
          </cell>
          <cell r="AL129">
            <v>1.5369999999999999</v>
          </cell>
          <cell r="AM129">
            <v>-2.0000000000000018E-2</v>
          </cell>
          <cell r="AN129">
            <v>-1.0589999999999999</v>
          </cell>
          <cell r="AO129">
            <v>1.216</v>
          </cell>
          <cell r="AP129">
            <v>-0.94699999999999995</v>
          </cell>
          <cell r="AQ129">
            <v>0</v>
          </cell>
          <cell r="AR129">
            <v>2.2250000000000001</v>
          </cell>
          <cell r="AS129">
            <v>0</v>
          </cell>
          <cell r="AT129">
            <v>1.278</v>
          </cell>
          <cell r="AU129">
            <v>0</v>
          </cell>
          <cell r="AV129">
            <v>-3.3889999999999998</v>
          </cell>
          <cell r="AW129">
            <v>-0.15500000000000025</v>
          </cell>
          <cell r="AX129">
            <v>7.2000000000000064E-2</v>
          </cell>
          <cell r="AY129">
            <v>-3.472</v>
          </cell>
          <cell r="AZ129">
            <v>4.3490000000000002</v>
          </cell>
          <cell r="BA129">
            <v>5.754999999999999</v>
          </cell>
          <cell r="BB129">
            <v>5.0000000000007816E-3</v>
          </cell>
          <cell r="BC129">
            <v>0.10999999999999943</v>
          </cell>
          <cell r="BD129">
            <v>10.218999999999999</v>
          </cell>
          <cell r="BE129">
            <v>4.6749999999999998</v>
          </cell>
          <cell r="BF129">
            <v>-1.6000000000000014E-2</v>
          </cell>
          <cell r="BG129">
            <v>-4.3000000000000149E-2</v>
          </cell>
          <cell r="BH129">
            <v>0.67400000000000038</v>
          </cell>
          <cell r="BI129">
            <v>5.29</v>
          </cell>
          <cell r="BJ129">
            <v>1.004</v>
          </cell>
          <cell r="BK129">
            <v>3.2999999999999918E-2</v>
          </cell>
          <cell r="BL129">
            <v>0.50800000000000001</v>
          </cell>
          <cell r="BM129">
            <v>0</v>
          </cell>
          <cell r="BN129">
            <v>1.5449999999999999</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L129" t="str">
            <v>mstag:taxBenefitFromExerciseOfEsosCashFlowStatement</v>
          </cell>
          <cell r="CM129">
            <v>6</v>
          </cell>
          <cell r="CN129" t="str">
            <v>ISO4217:USD</v>
          </cell>
          <cell r="CO129" t="b">
            <v>0</v>
          </cell>
          <cell r="CP129" t="b">
            <v>0</v>
          </cell>
        </row>
        <row r="130">
          <cell r="B130" t="str">
            <v>Common stock purchased for treasury</v>
          </cell>
          <cell r="F130">
            <v>0</v>
          </cell>
          <cell r="G130">
            <v>-8.2000000000000003E-2</v>
          </cell>
          <cell r="H130">
            <v>-8.9999999999999941E-3</v>
          </cell>
          <cell r="I130">
            <v>0</v>
          </cell>
          <cell r="J130">
            <v>0</v>
          </cell>
          <cell r="K130">
            <v>-9.0999999999999998E-2</v>
          </cell>
          <cell r="L130">
            <v>0</v>
          </cell>
          <cell r="M130">
            <v>0</v>
          </cell>
          <cell r="N130">
            <v>0</v>
          </cell>
          <cell r="O130">
            <v>0</v>
          </cell>
          <cell r="P130">
            <v>0</v>
          </cell>
          <cell r="Q130">
            <v>-10.29</v>
          </cell>
          <cell r="R130">
            <v>-2.2430000000000003</v>
          </cell>
          <cell r="S130">
            <v>-1.527000000000001</v>
          </cell>
          <cell r="T130">
            <v>-0.64799999999999969</v>
          </cell>
          <cell r="U130">
            <v>-14.708</v>
          </cell>
          <cell r="V130">
            <v>0</v>
          </cell>
          <cell r="W130">
            <v>0</v>
          </cell>
          <cell r="X130">
            <v>-290.48099999999999</v>
          </cell>
          <cell r="Y130">
            <v>-3.8999999999987267E-2</v>
          </cell>
          <cell r="Z130">
            <v>-290.52</v>
          </cell>
          <cell r="AA130">
            <v>-4.3899999999999997</v>
          </cell>
          <cell r="AB130">
            <v>-6.8240000000000007</v>
          </cell>
          <cell r="AC130">
            <v>-68.638999999999996</v>
          </cell>
          <cell r="AD130">
            <v>0</v>
          </cell>
          <cell r="AE130">
            <v>-79.852999999999994</v>
          </cell>
          <cell r="AF130">
            <v>-8.1120000000000001</v>
          </cell>
          <cell r="AG130">
            <v>-129.554</v>
          </cell>
          <cell r="AH130">
            <v>0</v>
          </cell>
          <cell r="AI130">
            <v>-38.650000000000006</v>
          </cell>
          <cell r="AJ130">
            <v>-176.316</v>
          </cell>
          <cell r="AK130">
            <v>0</v>
          </cell>
          <cell r="AL130">
            <v>0</v>
          </cell>
          <cell r="AM130">
            <v>0</v>
          </cell>
          <cell r="AN130">
            <v>0</v>
          </cell>
          <cell r="AO130">
            <v>0</v>
          </cell>
          <cell r="AP130">
            <v>0</v>
          </cell>
          <cell r="AQ130">
            <v>-10.194000000000001</v>
          </cell>
          <cell r="AR130">
            <v>-6.9019999999999992</v>
          </cell>
          <cell r="AS130">
            <v>-73.091999999999999</v>
          </cell>
          <cell r="AT130">
            <v>-90.188000000000002</v>
          </cell>
          <cell r="AU130">
            <v>0</v>
          </cell>
          <cell r="AV130">
            <v>0</v>
          </cell>
          <cell r="AW130">
            <v>0</v>
          </cell>
          <cell r="AX130">
            <v>0</v>
          </cell>
          <cell r="AY130">
            <v>0</v>
          </cell>
          <cell r="AZ130">
            <v>-0.04</v>
          </cell>
          <cell r="BA130">
            <v>-12.202000000000002</v>
          </cell>
          <cell r="BB130">
            <v>-95.69</v>
          </cell>
          <cell r="BC130">
            <v>-6.0289999999999964</v>
          </cell>
          <cell r="BD130">
            <v>-113.961</v>
          </cell>
          <cell r="BE130">
            <v>0</v>
          </cell>
          <cell r="BF130">
            <v>-50.002000000000002</v>
          </cell>
          <cell r="BG130">
            <v>-35.788000000000004</v>
          </cell>
          <cell r="BH130">
            <v>0</v>
          </cell>
          <cell r="BI130">
            <v>-85.79</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L130" t="str">
            <v>mstag:fundsUsedToRepurchaseCommonStock</v>
          </cell>
          <cell r="CM130">
            <v>6</v>
          </cell>
          <cell r="CN130" t="str">
            <v>ISO4217:USD</v>
          </cell>
          <cell r="CO130" t="b">
            <v>1</v>
          </cell>
          <cell r="CP130" t="b">
            <v>1</v>
          </cell>
        </row>
        <row r="131">
          <cell r="B131" t="str">
            <v>Proceeds from issuance of common stock</v>
          </cell>
          <cell r="F131">
            <v>514.524</v>
          </cell>
          <cell r="G131">
            <v>0</v>
          </cell>
          <cell r="H131">
            <v>0</v>
          </cell>
          <cell r="I131">
            <v>3.0000000000000001E-3</v>
          </cell>
          <cell r="J131">
            <v>306.07100000000003</v>
          </cell>
          <cell r="K131">
            <v>306.07400000000001</v>
          </cell>
          <cell r="L131">
            <v>4.9000000000000002E-2</v>
          </cell>
          <cell r="M131">
            <v>3.851</v>
          </cell>
          <cell r="N131">
            <v>-3.8969999999999998</v>
          </cell>
          <cell r="O131">
            <v>-3.0000000000001137E-3</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L131" t="str">
            <v>mstag:proceedsFromIssuanceOfCommonStock</v>
          </cell>
          <cell r="CM131">
            <v>6</v>
          </cell>
          <cell r="CN131" t="str">
            <v>ISO4217:USD</v>
          </cell>
          <cell r="CO131" t="b">
            <v>0</v>
          </cell>
          <cell r="CP131" t="b">
            <v>0</v>
          </cell>
        </row>
        <row r="132">
          <cell r="B132" t="str">
            <v>Proceeds from minority investments</v>
          </cell>
          <cell r="F132">
            <v>0</v>
          </cell>
          <cell r="G132">
            <v>0</v>
          </cell>
          <cell r="H132">
            <v>0</v>
          </cell>
          <cell r="I132">
            <v>0</v>
          </cell>
          <cell r="J132">
            <v>3.96</v>
          </cell>
          <cell r="K132">
            <v>3.96</v>
          </cell>
          <cell r="L132">
            <v>0</v>
          </cell>
          <cell r="M132">
            <v>1.77</v>
          </cell>
          <cell r="N132">
            <v>0</v>
          </cell>
          <cell r="O132">
            <v>0</v>
          </cell>
          <cell r="P132">
            <v>1.77</v>
          </cell>
          <cell r="Q132">
            <v>0</v>
          </cell>
          <cell r="R132">
            <v>0</v>
          </cell>
          <cell r="S132">
            <v>0</v>
          </cell>
          <cell r="T132">
            <v>0</v>
          </cell>
          <cell r="U132">
            <v>0</v>
          </cell>
          <cell r="V132">
            <v>0</v>
          </cell>
          <cell r="W132">
            <v>0</v>
          </cell>
          <cell r="X132">
            <v>0</v>
          </cell>
          <cell r="Y132">
            <v>0</v>
          </cell>
          <cell r="Z132">
            <v>0</v>
          </cell>
          <cell r="AA132">
            <v>1.383</v>
          </cell>
          <cell r="AB132">
            <v>0</v>
          </cell>
          <cell r="AC132">
            <v>0</v>
          </cell>
          <cell r="AD132">
            <v>0</v>
          </cell>
          <cell r="AE132">
            <v>1.383</v>
          </cell>
          <cell r="AF132">
            <v>3.06</v>
          </cell>
          <cell r="AG132">
            <v>0</v>
          </cell>
          <cell r="AH132">
            <v>2.23</v>
          </cell>
          <cell r="AI132">
            <v>1.5999999999999996</v>
          </cell>
          <cell r="AJ132">
            <v>6.89</v>
          </cell>
          <cell r="AK132">
            <v>1.0189999999999999</v>
          </cell>
          <cell r="AL132">
            <v>8.6000000000000076E-2</v>
          </cell>
          <cell r="AM132">
            <v>8.2999999999999963E-2</v>
          </cell>
          <cell r="AN132">
            <v>1.163</v>
          </cell>
          <cell r="AO132">
            <v>2.351</v>
          </cell>
          <cell r="AP132">
            <v>12.881</v>
          </cell>
          <cell r="AQ132">
            <v>-1.6669999999999998</v>
          </cell>
          <cell r="AR132">
            <v>0.43799999999999883</v>
          </cell>
          <cell r="AS132">
            <v>2.6770000000000014</v>
          </cell>
          <cell r="AT132">
            <v>14.329000000000001</v>
          </cell>
          <cell r="AU132">
            <v>21.922000000000001</v>
          </cell>
          <cell r="AV132">
            <v>4.3919999999999995</v>
          </cell>
          <cell r="AW132">
            <v>0</v>
          </cell>
          <cell r="AX132">
            <v>3.5240000000000009</v>
          </cell>
          <cell r="AY132">
            <v>29.838000000000001</v>
          </cell>
          <cell r="AZ132">
            <v>1.2549999999999999</v>
          </cell>
          <cell r="BA132">
            <v>3.9000000000000004</v>
          </cell>
          <cell r="BB132">
            <v>0</v>
          </cell>
          <cell r="BC132">
            <v>2.0459999999999994</v>
          </cell>
          <cell r="BD132">
            <v>7.2009999999999996</v>
          </cell>
          <cell r="BE132">
            <v>0.86299999999999999</v>
          </cell>
          <cell r="BF132">
            <v>0</v>
          </cell>
          <cell r="BG132">
            <v>0.3660000000000001</v>
          </cell>
          <cell r="BH132">
            <v>0</v>
          </cell>
          <cell r="BI132">
            <v>1.2290000000000001</v>
          </cell>
          <cell r="BJ132">
            <v>0</v>
          </cell>
          <cell r="BK132">
            <v>0.63700000000000001</v>
          </cell>
          <cell r="BL132">
            <v>-0.10199999999999998</v>
          </cell>
          <cell r="BM132">
            <v>0</v>
          </cell>
          <cell r="BN132">
            <v>0.53500000000000003</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C132">
            <v>0</v>
          </cell>
          <cell r="CD132">
            <v>0</v>
          </cell>
          <cell r="CE132">
            <v>0</v>
          </cell>
          <cell r="CF132">
            <v>0</v>
          </cell>
          <cell r="CG132">
            <v>0</v>
          </cell>
          <cell r="CH132">
            <v>0</v>
          </cell>
          <cell r="CL132" t="str">
            <v>mstag:netIncreaseInMinorityInterestsInShareholdersEquity</v>
          </cell>
          <cell r="CM132">
            <v>6</v>
          </cell>
          <cell r="CN132" t="str">
            <v>ISO4217:USD</v>
          </cell>
          <cell r="CO132" t="b">
            <v>0</v>
          </cell>
          <cell r="CP132" t="b">
            <v>0</v>
          </cell>
        </row>
        <row r="133">
          <cell r="B133" t="str">
            <v>Redemption of minority investments</v>
          </cell>
          <cell r="F133">
            <v>0</v>
          </cell>
          <cell r="G133">
            <v>0</v>
          </cell>
          <cell r="H133">
            <v>0</v>
          </cell>
          <cell r="I133">
            <v>0</v>
          </cell>
          <cell r="J133">
            <v>-1.5940000000000001</v>
          </cell>
          <cell r="K133">
            <v>-1.5940000000000001</v>
          </cell>
          <cell r="L133">
            <v>0</v>
          </cell>
          <cell r="M133">
            <v>-0.57099999999999995</v>
          </cell>
          <cell r="N133">
            <v>-0.13700000000000001</v>
          </cell>
          <cell r="O133">
            <v>1.0000000000000009E-3</v>
          </cell>
          <cell r="P133">
            <v>-0.70699999999999996</v>
          </cell>
          <cell r="Q133">
            <v>-8.5999999999999993E-2</v>
          </cell>
          <cell r="R133">
            <v>-2.9000000000000012E-2</v>
          </cell>
          <cell r="S133">
            <v>-0.22100000000000003</v>
          </cell>
          <cell r="T133">
            <v>-9.3999999999999972E-2</v>
          </cell>
          <cell r="U133">
            <v>-0.43</v>
          </cell>
          <cell r="V133">
            <v>-0.99299999999999999</v>
          </cell>
          <cell r="W133">
            <v>-0.95200000000000007</v>
          </cell>
          <cell r="X133">
            <v>-0.27299999999999991</v>
          </cell>
          <cell r="Y133">
            <v>-1.3039999999999998</v>
          </cell>
          <cell r="Z133">
            <v>-3.5219999999999998</v>
          </cell>
          <cell r="AA133">
            <v>-0.28999999999999998</v>
          </cell>
          <cell r="AB133">
            <v>-2.7000000000000024E-2</v>
          </cell>
          <cell r="AC133">
            <v>0</v>
          </cell>
          <cell r="AD133">
            <v>-2.9249999999999998</v>
          </cell>
          <cell r="AE133">
            <v>-3.242</v>
          </cell>
          <cell r="AF133">
            <v>-0.53</v>
          </cell>
          <cell r="AG133">
            <v>0</v>
          </cell>
          <cell r="AH133">
            <v>-0.38500000000000001</v>
          </cell>
          <cell r="AI133">
            <v>0</v>
          </cell>
          <cell r="AJ133">
            <v>-0.91500000000000004</v>
          </cell>
          <cell r="AK133">
            <v>-1.2529999999999999</v>
          </cell>
          <cell r="AL133">
            <v>-0.1160000000000001</v>
          </cell>
          <cell r="AM133">
            <v>3.0000000000000027E-2</v>
          </cell>
          <cell r="AN133">
            <v>-1.7000000000000126E-2</v>
          </cell>
          <cell r="AO133">
            <v>-1.3560000000000001</v>
          </cell>
          <cell r="AP133">
            <v>0</v>
          </cell>
          <cell r="AQ133">
            <v>-53.484999999999999</v>
          </cell>
          <cell r="AR133">
            <v>0</v>
          </cell>
          <cell r="AS133">
            <v>-24.102000000000004</v>
          </cell>
          <cell r="AT133">
            <v>-77.587000000000003</v>
          </cell>
          <cell r="AU133">
            <v>-0.16700000000000001</v>
          </cell>
          <cell r="AV133">
            <v>-1.464</v>
          </cell>
          <cell r="AW133">
            <v>-0.75600000000000001</v>
          </cell>
          <cell r="AX133">
            <v>-4.8810000000000002</v>
          </cell>
          <cell r="AY133">
            <v>-7.2680000000000007</v>
          </cell>
          <cell r="AZ133">
            <v>0</v>
          </cell>
          <cell r="BA133">
            <v>-2.395</v>
          </cell>
          <cell r="BB133">
            <v>-7.2000000000000064E-2</v>
          </cell>
          <cell r="BC133">
            <v>-4.8509999999999991</v>
          </cell>
          <cell r="BD133">
            <v>-7.3179999999999996</v>
          </cell>
          <cell r="BE133">
            <v>-0.22500000000000001</v>
          </cell>
          <cell r="BF133">
            <v>-3.0779999999999998</v>
          </cell>
          <cell r="BG133">
            <v>-1.4809999999999999</v>
          </cell>
          <cell r="BH133">
            <v>-8.2379999999999995</v>
          </cell>
          <cell r="BI133">
            <v>-13.021999999999998</v>
          </cell>
          <cell r="BJ133">
            <v>-31.096</v>
          </cell>
          <cell r="BK133">
            <v>-4.791999999999998</v>
          </cell>
          <cell r="BL133">
            <v>-3.8210000000000051</v>
          </cell>
          <cell r="BM133">
            <v>0</v>
          </cell>
          <cell r="BN133">
            <v>-39.709000000000003</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C133">
            <v>0</v>
          </cell>
          <cell r="CD133">
            <v>0</v>
          </cell>
          <cell r="CE133">
            <v>0</v>
          </cell>
          <cell r="CF133">
            <v>0</v>
          </cell>
          <cell r="CG133">
            <v>0</v>
          </cell>
          <cell r="CH133">
            <v>0</v>
          </cell>
          <cell r="CL133" t="str">
            <v>mstag:netIncreaseInMinorityInterestsInShareholdersEquity</v>
          </cell>
          <cell r="CM133">
            <v>6</v>
          </cell>
          <cell r="CN133" t="str">
            <v>ISO4217:USD</v>
          </cell>
          <cell r="CO133" t="b">
            <v>0</v>
          </cell>
          <cell r="CP133" t="b">
            <v>0</v>
          </cell>
        </row>
        <row r="134">
          <cell r="B134" t="str">
            <v>Distributions to minority investors</v>
          </cell>
          <cell r="F134">
            <v>0</v>
          </cell>
          <cell r="G134">
            <v>0</v>
          </cell>
          <cell r="H134">
            <v>0</v>
          </cell>
          <cell r="I134">
            <v>0</v>
          </cell>
          <cell r="J134">
            <v>-0.32400000000000001</v>
          </cell>
          <cell r="K134">
            <v>-0.32400000000000001</v>
          </cell>
          <cell r="L134">
            <v>0</v>
          </cell>
          <cell r="M134">
            <v>-0.217</v>
          </cell>
          <cell r="N134">
            <v>-0.64600000000000002</v>
          </cell>
          <cell r="O134">
            <v>-1.0269999999999999</v>
          </cell>
          <cell r="P134">
            <v>-1.89</v>
          </cell>
          <cell r="Q134">
            <v>-1.161</v>
          </cell>
          <cell r="R134">
            <v>-0.37799999999999989</v>
          </cell>
          <cell r="S134">
            <v>-0.29700000000000015</v>
          </cell>
          <cell r="T134">
            <v>-0.63500000000000001</v>
          </cell>
          <cell r="U134">
            <v>-2.4710000000000001</v>
          </cell>
          <cell r="V134">
            <v>-0.32800000000000001</v>
          </cell>
          <cell r="W134">
            <v>-0.28799999999999998</v>
          </cell>
          <cell r="X134">
            <v>-0.38200000000000001</v>
          </cell>
          <cell r="Y134">
            <v>-0.24</v>
          </cell>
          <cell r="Z134">
            <v>-1.238</v>
          </cell>
          <cell r="AA134">
            <v>-0.38200000000000001</v>
          </cell>
          <cell r="AB134">
            <v>-0.59699999999999998</v>
          </cell>
          <cell r="AC134">
            <v>-0.50800000000000012</v>
          </cell>
          <cell r="AD134">
            <v>-0.45199999999999996</v>
          </cell>
          <cell r="AE134">
            <v>-1.9390000000000001</v>
          </cell>
          <cell r="AF134">
            <v>-0.59599999999999997</v>
          </cell>
          <cell r="AG134">
            <v>-1.3810000000000002</v>
          </cell>
          <cell r="AH134">
            <v>-0.66499999999999959</v>
          </cell>
          <cell r="AI134">
            <v>-0.57800000000000029</v>
          </cell>
          <cell r="AJ134">
            <v>-3.22</v>
          </cell>
          <cell r="AK134">
            <v>-1.079</v>
          </cell>
          <cell r="AL134">
            <v>-0.62600000000000011</v>
          </cell>
          <cell r="AM134">
            <v>-1.069</v>
          </cell>
          <cell r="AN134">
            <v>-3.8709999999999996</v>
          </cell>
          <cell r="AO134">
            <v>-6.6449999999999996</v>
          </cell>
          <cell r="AP134">
            <v>-7.524</v>
          </cell>
          <cell r="AQ134">
            <v>-7.3920000000000003</v>
          </cell>
          <cell r="AR134">
            <v>-9.4349999999999987</v>
          </cell>
          <cell r="AS134">
            <v>-22.539000000000001</v>
          </cell>
          <cell r="AT134">
            <v>-46.89</v>
          </cell>
          <cell r="AU134">
            <v>-6.5949999999999998</v>
          </cell>
          <cell r="AV134">
            <v>-15.571000000000002</v>
          </cell>
          <cell r="AW134">
            <v>-21.577999999999999</v>
          </cell>
          <cell r="AX134">
            <v>-15.219000000000005</v>
          </cell>
          <cell r="AY134">
            <v>-58.963000000000008</v>
          </cell>
          <cell r="AZ134">
            <v>-16.873999999999999</v>
          </cell>
          <cell r="BA134">
            <v>-12.497</v>
          </cell>
          <cell r="BB134">
            <v>-12.498999999999999</v>
          </cell>
          <cell r="BC134">
            <v>-26.243000000000002</v>
          </cell>
          <cell r="BD134">
            <v>-68.113</v>
          </cell>
          <cell r="BE134">
            <v>-15.333</v>
          </cell>
          <cell r="BF134">
            <v>-14.744999999999999</v>
          </cell>
          <cell r="BG134">
            <v>-19.850000000000001</v>
          </cell>
          <cell r="BH134">
            <v>-6.1660000000000039</v>
          </cell>
          <cell r="BI134">
            <v>-56.094000000000001</v>
          </cell>
          <cell r="BJ134">
            <v>-27.038</v>
          </cell>
          <cell r="BK134">
            <v>-7.5520000000000032</v>
          </cell>
          <cell r="BL134">
            <v>-26.086000000000002</v>
          </cell>
          <cell r="BM134">
            <v>0</v>
          </cell>
          <cell r="BN134">
            <v>-60.676000000000002</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L134" t="str">
            <v>mstag:netIncreaseInMinorityInterestsInShareholdersEquity</v>
          </cell>
          <cell r="CM134">
            <v>6</v>
          </cell>
          <cell r="CN134" t="str">
            <v>ISO4217:USD</v>
          </cell>
          <cell r="CO134" t="b">
            <v>0</v>
          </cell>
          <cell r="CP134" t="b">
            <v>0</v>
          </cell>
        </row>
        <row r="135">
          <cell r="B135" t="str">
            <v>Borrowings under Credit Agreement</v>
          </cell>
          <cell r="F135">
            <v>241.31</v>
          </cell>
          <cell r="G135">
            <v>20</v>
          </cell>
          <cell r="H135">
            <v>49</v>
          </cell>
          <cell r="I135">
            <v>1.0120000000000005</v>
          </cell>
          <cell r="J135">
            <v>54.671999999999997</v>
          </cell>
          <cell r="K135">
            <v>124.684</v>
          </cell>
          <cell r="L135">
            <v>56.89</v>
          </cell>
          <cell r="M135">
            <v>-0.99000000000000199</v>
          </cell>
          <cell r="N135">
            <v>850</v>
          </cell>
          <cell r="O135">
            <v>0</v>
          </cell>
          <cell r="P135">
            <v>905.9</v>
          </cell>
          <cell r="Q135">
            <v>80</v>
          </cell>
          <cell r="R135">
            <v>0</v>
          </cell>
          <cell r="S135">
            <v>200</v>
          </cell>
          <cell r="T135">
            <v>110.69999999999999</v>
          </cell>
          <cell r="U135">
            <v>390.7</v>
          </cell>
          <cell r="V135">
            <v>34.44</v>
          </cell>
          <cell r="W135">
            <v>11.200000000000003</v>
          </cell>
          <cell r="X135">
            <v>1587.271</v>
          </cell>
          <cell r="Y135">
            <v>92.856999999999971</v>
          </cell>
          <cell r="Z135">
            <v>1725.768</v>
          </cell>
          <cell r="AA135">
            <v>0</v>
          </cell>
          <cell r="AB135">
            <v>0</v>
          </cell>
          <cell r="AC135">
            <v>0</v>
          </cell>
          <cell r="AD135">
            <v>0</v>
          </cell>
          <cell r="AE135">
            <v>0</v>
          </cell>
          <cell r="AF135">
            <v>0</v>
          </cell>
          <cell r="AG135">
            <v>176</v>
          </cell>
          <cell r="AH135">
            <v>303</v>
          </cell>
          <cell r="AI135">
            <v>552</v>
          </cell>
          <cell r="AJ135">
            <v>1031</v>
          </cell>
          <cell r="AK135">
            <v>0</v>
          </cell>
          <cell r="AL135">
            <v>132</v>
          </cell>
          <cell r="AM135">
            <v>9101.3310000000001</v>
          </cell>
          <cell r="AN135">
            <v>-11.703999999999724</v>
          </cell>
          <cell r="AO135">
            <v>9221.6270000000004</v>
          </cell>
          <cell r="AP135">
            <v>25</v>
          </cell>
          <cell r="AQ135">
            <v>-2.343</v>
          </cell>
          <cell r="AR135">
            <v>7.9390000000000001</v>
          </cell>
          <cell r="AS135">
            <v>100.68099999999998</v>
          </cell>
          <cell r="AT135">
            <v>131.27699999999999</v>
          </cell>
          <cell r="AU135">
            <v>200</v>
          </cell>
          <cell r="AV135">
            <v>0</v>
          </cell>
          <cell r="AW135">
            <v>0</v>
          </cell>
          <cell r="AX135">
            <v>0</v>
          </cell>
          <cell r="AY135">
            <v>200</v>
          </cell>
          <cell r="AZ135">
            <v>0</v>
          </cell>
          <cell r="BA135">
            <v>0</v>
          </cell>
          <cell r="BB135">
            <v>0</v>
          </cell>
          <cell r="BC135">
            <v>0</v>
          </cell>
          <cell r="BD135">
            <v>0</v>
          </cell>
          <cell r="BE135">
            <v>0</v>
          </cell>
          <cell r="BF135">
            <v>0</v>
          </cell>
          <cell r="BG135">
            <v>83</v>
          </cell>
          <cell r="BH135">
            <v>495.23599999999999</v>
          </cell>
          <cell r="BI135">
            <v>578.23599999999999</v>
          </cell>
          <cell r="BJ135">
            <v>4315.0110000000004</v>
          </cell>
          <cell r="BK135">
            <v>929.2519999999995</v>
          </cell>
          <cell r="BL135">
            <v>680.11400000000049</v>
          </cell>
          <cell r="BM135">
            <v>0</v>
          </cell>
          <cell r="BN135">
            <v>5924.3770000000004</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L135" t="str">
            <v>mstag:proceedsFromIssuanceAndCashUsedToRepayShortTermBorrowings</v>
          </cell>
          <cell r="CM135">
            <v>6</v>
          </cell>
          <cell r="CN135" t="str">
            <v>ISO4217:USD</v>
          </cell>
          <cell r="CO135" t="b">
            <v>0</v>
          </cell>
          <cell r="CP135" t="b">
            <v>0</v>
          </cell>
        </row>
        <row r="136">
          <cell r="B136" t="str">
            <v>Issuance of long-term debt</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Y136">
            <v>0</v>
          </cell>
          <cell r="AZ136">
            <v>0</v>
          </cell>
          <cell r="BA136">
            <v>0</v>
          </cell>
          <cell r="BB136">
            <v>0</v>
          </cell>
          <cell r="BC136">
            <v>0</v>
          </cell>
          <cell r="BD136">
            <v>0</v>
          </cell>
          <cell r="BE136">
            <v>0</v>
          </cell>
          <cell r="BF136">
            <v>0</v>
          </cell>
          <cell r="BG136">
            <v>0</v>
          </cell>
          <cell r="BH136">
            <v>1000</v>
          </cell>
          <cell r="BI136">
            <v>1000</v>
          </cell>
          <cell r="BJ136">
            <v>1325</v>
          </cell>
          <cell r="BK136">
            <v>0</v>
          </cell>
          <cell r="BL136">
            <v>2500</v>
          </cell>
          <cell r="BM136">
            <v>0</v>
          </cell>
          <cell r="BN136">
            <v>3825</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v>0</v>
          </cell>
          <cell r="CD136">
            <v>0</v>
          </cell>
          <cell r="CE136">
            <v>0</v>
          </cell>
          <cell r="CF136">
            <v>0</v>
          </cell>
          <cell r="CG136">
            <v>0</v>
          </cell>
          <cell r="CH136">
            <v>0</v>
          </cell>
          <cell r="CL136" t="str">
            <v>mstag:proceedsFromIssuanceAndCashUsedToRepayLongTermDebt</v>
          </cell>
          <cell r="CM136">
            <v>6</v>
          </cell>
          <cell r="CN136" t="str">
            <v>ISO4217:USD</v>
          </cell>
          <cell r="CO136" t="b">
            <v>0</v>
          </cell>
        </row>
        <row r="137">
          <cell r="B137" t="str">
            <v>Repayments of long-term indebtedness</v>
          </cell>
          <cell r="F137">
            <v>-525.55600000000004</v>
          </cell>
          <cell r="G137">
            <v>-17.268000000000001</v>
          </cell>
          <cell r="H137">
            <v>-22.994</v>
          </cell>
          <cell r="I137">
            <v>-0.56400000000000006</v>
          </cell>
          <cell r="J137">
            <v>-569.24799999999993</v>
          </cell>
          <cell r="K137">
            <v>-610.07399999999996</v>
          </cell>
          <cell r="L137">
            <v>-8.8140000000000001</v>
          </cell>
          <cell r="M137">
            <v>-41.887999999999998</v>
          </cell>
          <cell r="N137">
            <v>-713.23199999999997</v>
          </cell>
          <cell r="O137">
            <v>-4.6220000000000709</v>
          </cell>
          <cell r="P137">
            <v>-768.55600000000004</v>
          </cell>
          <cell r="Q137">
            <v>-3.46</v>
          </cell>
          <cell r="R137">
            <v>-85.033000000000001</v>
          </cell>
          <cell r="S137">
            <v>-3.9960000000000093</v>
          </cell>
          <cell r="T137">
            <v>-23.051999999999992</v>
          </cell>
          <cell r="U137">
            <v>-115.541</v>
          </cell>
          <cell r="V137">
            <v>-45.640999999999998</v>
          </cell>
          <cell r="W137">
            <v>-100.74299999999999</v>
          </cell>
          <cell r="X137">
            <v>-1180.106</v>
          </cell>
          <cell r="Y137">
            <v>-342.21900000000005</v>
          </cell>
          <cell r="Z137">
            <v>-1668.7090000000001</v>
          </cell>
          <cell r="AA137">
            <v>-13.025</v>
          </cell>
          <cell r="AB137">
            <v>-6.6760000000000002</v>
          </cell>
          <cell r="AC137">
            <v>-3.5640000000000001</v>
          </cell>
          <cell r="AD137">
            <v>-3.2740000000000009</v>
          </cell>
          <cell r="AE137">
            <v>-26.539000000000001</v>
          </cell>
          <cell r="AF137">
            <v>-3.8849999999999998</v>
          </cell>
          <cell r="AG137">
            <v>-39.375</v>
          </cell>
          <cell r="AH137">
            <v>-177.17700000000002</v>
          </cell>
          <cell r="AI137">
            <v>-429.65300000000002</v>
          </cell>
          <cell r="AJ137">
            <v>-650.09</v>
          </cell>
          <cell r="AK137">
            <v>-5.032</v>
          </cell>
          <cell r="AL137">
            <v>-59.546999999999997</v>
          </cell>
          <cell r="AM137">
            <v>-1999.0530000000001</v>
          </cell>
          <cell r="AN137">
            <v>-75.393000000000029</v>
          </cell>
          <cell r="AO137">
            <v>-2139.0250000000001</v>
          </cell>
          <cell r="AP137">
            <v>-188.74299999999999</v>
          </cell>
          <cell r="AQ137">
            <v>-2.2549999999999955</v>
          </cell>
          <cell r="AR137">
            <v>-1.5090000000000146</v>
          </cell>
          <cell r="AS137">
            <v>-42.411000000000001</v>
          </cell>
          <cell r="AT137">
            <v>-234.91800000000001</v>
          </cell>
          <cell r="AU137">
            <v>-63.87</v>
          </cell>
          <cell r="AV137">
            <v>-172.31199999999998</v>
          </cell>
          <cell r="AW137">
            <v>-9.4070000000000107</v>
          </cell>
          <cell r="AX137">
            <v>-12.58400000000001</v>
          </cell>
          <cell r="AY137">
            <v>-258.173</v>
          </cell>
          <cell r="AZ137">
            <v>-13.154</v>
          </cell>
          <cell r="BA137">
            <v>-21.002999999999997</v>
          </cell>
          <cell r="BB137">
            <v>-12.795000000000002</v>
          </cell>
          <cell r="BC137">
            <v>-14.524000000000001</v>
          </cell>
          <cell r="BD137">
            <v>-61.475999999999999</v>
          </cell>
          <cell r="BE137">
            <v>-14.664999999999999</v>
          </cell>
          <cell r="BF137">
            <v>-14.132999999999999</v>
          </cell>
          <cell r="BG137">
            <v>-99.97</v>
          </cell>
          <cell r="BH137">
            <v>-1522.7649999999999</v>
          </cell>
          <cell r="BI137">
            <v>-1651.5329999999999</v>
          </cell>
          <cell r="BJ137">
            <v>-5236.9480000000003</v>
          </cell>
          <cell r="BK137">
            <v>-898.83599999999933</v>
          </cell>
          <cell r="BL137">
            <v>-3255.5540000000001</v>
          </cell>
          <cell r="BM137">
            <v>0</v>
          </cell>
          <cell r="BN137">
            <v>-9391.3379999999997</v>
          </cell>
          <cell r="BO137">
            <v>0</v>
          </cell>
          <cell r="BP137">
            <v>0</v>
          </cell>
          <cell r="BQ137">
            <v>0</v>
          </cell>
          <cell r="BR137">
            <v>0</v>
          </cell>
          <cell r="BS137">
            <v>0</v>
          </cell>
          <cell r="BT137">
            <v>0</v>
          </cell>
          <cell r="BU137">
            <v>0</v>
          </cell>
          <cell r="BV137">
            <v>0</v>
          </cell>
          <cell r="BW137">
            <v>0</v>
          </cell>
          <cell r="BX137">
            <v>0</v>
          </cell>
          <cell r="BY137">
            <v>0</v>
          </cell>
          <cell r="BZ137">
            <v>0</v>
          </cell>
          <cell r="CA137">
            <v>0</v>
          </cell>
          <cell r="CB137">
            <v>0</v>
          </cell>
          <cell r="CC137">
            <v>0</v>
          </cell>
          <cell r="CD137">
            <v>0</v>
          </cell>
          <cell r="CE137">
            <v>0</v>
          </cell>
          <cell r="CF137">
            <v>0</v>
          </cell>
          <cell r="CG137">
            <v>0</v>
          </cell>
          <cell r="CH137">
            <v>0</v>
          </cell>
          <cell r="CL137" t="str">
            <v>mstag:proceedsFromIssuanceAndCashUsedToRepayLongTermDebt</v>
          </cell>
          <cell r="CM137">
            <v>6</v>
          </cell>
          <cell r="CN137" t="str">
            <v>ISO4217:USD</v>
          </cell>
          <cell r="CO137" t="b">
            <v>0</v>
          </cell>
          <cell r="CP137" t="b">
            <v>0</v>
          </cell>
        </row>
        <row r="138">
          <cell r="B138" t="str">
            <v>Proceeds from receivables facility</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300</v>
          </cell>
          <cell r="BM138">
            <v>0</v>
          </cell>
          <cell r="BN138">
            <v>300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C138">
            <v>0</v>
          </cell>
          <cell r="CD138">
            <v>0</v>
          </cell>
          <cell r="CE138">
            <v>0</v>
          </cell>
          <cell r="CF138">
            <v>0</v>
          </cell>
          <cell r="CG138">
            <v>0</v>
          </cell>
          <cell r="CH138">
            <v>0</v>
          </cell>
          <cell r="CL138" t="str">
            <v>mstag:proceedsFromIssuanceAndCashUsedToRepayLongTermDebt</v>
          </cell>
          <cell r="CM138">
            <v>6</v>
          </cell>
          <cell r="CN138" t="str">
            <v>ISO4217:USD</v>
          </cell>
          <cell r="CO138" t="b">
            <v>0</v>
          </cell>
        </row>
        <row r="139">
          <cell r="B139" t="str">
            <v>Proceeds from issuance of convertible debt</v>
          </cell>
          <cell r="F139">
            <v>0</v>
          </cell>
          <cell r="G139">
            <v>0</v>
          </cell>
          <cell r="H139">
            <v>0</v>
          </cell>
          <cell r="I139">
            <v>0</v>
          </cell>
          <cell r="J139">
            <v>287.5</v>
          </cell>
          <cell r="K139">
            <v>287.5</v>
          </cell>
          <cell r="L139">
            <v>0</v>
          </cell>
          <cell r="M139">
            <v>0</v>
          </cell>
          <cell r="N139">
            <v>0</v>
          </cell>
          <cell r="O139">
            <v>0</v>
          </cell>
          <cell r="P139">
            <v>0</v>
          </cell>
          <cell r="Q139">
            <v>0</v>
          </cell>
          <cell r="R139">
            <v>0</v>
          </cell>
          <cell r="S139">
            <v>0</v>
          </cell>
          <cell r="T139">
            <v>0</v>
          </cell>
          <cell r="U139">
            <v>0</v>
          </cell>
          <cell r="V139">
            <v>0</v>
          </cell>
          <cell r="W139">
            <v>0</v>
          </cell>
          <cell r="X139">
            <v>0</v>
          </cell>
          <cell r="Y139">
            <v>300</v>
          </cell>
          <cell r="Z139">
            <v>300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C139">
            <v>0</v>
          </cell>
          <cell r="CD139">
            <v>0</v>
          </cell>
          <cell r="CE139">
            <v>0</v>
          </cell>
          <cell r="CF139">
            <v>0</v>
          </cell>
          <cell r="CG139">
            <v>0</v>
          </cell>
          <cell r="CH139">
            <v>0</v>
          </cell>
          <cell r="CL139" t="str">
            <v>mstag:otherCashFlowsFromUsedInFinancingActivities</v>
          </cell>
          <cell r="CM139">
            <v>6</v>
          </cell>
          <cell r="CN139" t="str">
            <v>ISO4217:USD</v>
          </cell>
          <cell r="CO139" t="b">
            <v>0</v>
          </cell>
          <cell r="CP139" t="b">
            <v>0</v>
          </cell>
        </row>
        <row r="140">
          <cell r="B140" t="str">
            <v>Cash Flow from Financing</v>
          </cell>
          <cell r="E140">
            <v>164.85</v>
          </cell>
          <cell r="F140">
            <v>230.91399999999999</v>
          </cell>
          <cell r="G140">
            <v>2.6499999999999986</v>
          </cell>
          <cell r="H140">
            <v>28.286000000000001</v>
          </cell>
          <cell r="I140">
            <v>3.875</v>
          </cell>
          <cell r="J140">
            <v>70.559000000000083</v>
          </cell>
          <cell r="K140">
            <v>105.37</v>
          </cell>
          <cell r="L140">
            <v>48.125</v>
          </cell>
          <cell r="M140">
            <v>-36.582000000000001</v>
          </cell>
          <cell r="N140">
            <v>132.98900000000003</v>
          </cell>
          <cell r="O140">
            <v>-14.433000000000071</v>
          </cell>
          <cell r="P140">
            <v>130.09899999999993</v>
          </cell>
          <cell r="Q140">
            <v>65.13600000000001</v>
          </cell>
          <cell r="R140">
            <v>-87.048000000000002</v>
          </cell>
          <cell r="S140">
            <v>194.67</v>
          </cell>
          <cell r="T140">
            <v>87.795000000000002</v>
          </cell>
          <cell r="U140">
            <v>260.553</v>
          </cell>
          <cell r="V140">
            <v>-11.509999999999998</v>
          </cell>
          <cell r="W140">
            <v>-89.891999999999996</v>
          </cell>
          <cell r="X140">
            <v>113.52800000000002</v>
          </cell>
          <cell r="Y140">
            <v>46.769999999999925</v>
          </cell>
          <cell r="Z140">
            <v>58.895999999999958</v>
          </cell>
          <cell r="AA140">
            <v>-1.495000000000001</v>
          </cell>
          <cell r="AB140">
            <v>5.5759999999999987</v>
          </cell>
          <cell r="AC140">
            <v>-68.596000000000004</v>
          </cell>
          <cell r="AD140">
            <v>2.3479999999999963</v>
          </cell>
          <cell r="AE140">
            <v>-62.167000000000002</v>
          </cell>
          <cell r="AF140">
            <v>-3.9279999999999999</v>
          </cell>
          <cell r="AG140">
            <v>12.697999999999993</v>
          </cell>
          <cell r="AH140">
            <v>132.89799999999997</v>
          </cell>
          <cell r="AI140">
            <v>84.791999999999916</v>
          </cell>
          <cell r="AJ140">
            <v>226.45999999999992</v>
          </cell>
          <cell r="AK140">
            <v>-2.29</v>
          </cell>
          <cell r="AL140">
            <v>76.363</v>
          </cell>
          <cell r="AM140">
            <v>6912.67</v>
          </cell>
          <cell r="AN140">
            <v>-83.314999999999742</v>
          </cell>
          <cell r="AO140">
            <v>6903.4279999999999</v>
          </cell>
          <cell r="AP140">
            <v>-161.471</v>
          </cell>
          <cell r="AQ140">
            <v>-76.284999999999997</v>
          </cell>
          <cell r="AR140">
            <v>-7.0380000000000145</v>
          </cell>
          <cell r="AS140">
            <v>-59.235000000000014</v>
          </cell>
          <cell r="AT140">
            <v>-304.029</v>
          </cell>
          <cell r="AU140">
            <v>151.233</v>
          </cell>
          <cell r="AV140">
            <v>-185.04899999999998</v>
          </cell>
          <cell r="AW140">
            <v>-25.26400000000001</v>
          </cell>
          <cell r="AX140">
            <v>-26.281000000000013</v>
          </cell>
          <cell r="AY140">
            <v>-85.361000000000018</v>
          </cell>
          <cell r="AZ140">
            <v>-0.45699999999999719</v>
          </cell>
          <cell r="BA140">
            <v>-8.8339999999999961</v>
          </cell>
          <cell r="BB140">
            <v>-120.827</v>
          </cell>
          <cell r="BC140">
            <v>-59.673999999999999</v>
          </cell>
          <cell r="BD140">
            <v>-189.792</v>
          </cell>
          <cell r="BE140">
            <v>-6.5600000000000005</v>
          </cell>
          <cell r="BF140">
            <v>-81.50200000000001</v>
          </cell>
          <cell r="BG140">
            <v>-73.582999999999998</v>
          </cell>
          <cell r="BH140">
            <v>-73.791999999999916</v>
          </cell>
          <cell r="BI140">
            <v>-235.4369999999999</v>
          </cell>
          <cell r="BJ140">
            <v>312.42200000000048</v>
          </cell>
          <cell r="BK140">
            <v>-19.537999999999784</v>
          </cell>
          <cell r="BL140">
            <v>127.78800000000047</v>
          </cell>
          <cell r="BM140">
            <v>0</v>
          </cell>
          <cell r="BN140">
            <v>420.67200000000048</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C140">
            <v>0</v>
          </cell>
          <cell r="CD140">
            <v>0</v>
          </cell>
          <cell r="CE140">
            <v>0</v>
          </cell>
          <cell r="CF140">
            <v>0</v>
          </cell>
          <cell r="CG140">
            <v>0</v>
          </cell>
          <cell r="CH140">
            <v>0</v>
          </cell>
        </row>
        <row r="142">
          <cell r="B142" t="str">
            <v>Cash &amp; equivalents - beg of period</v>
          </cell>
          <cell r="E142">
            <v>6.7190000000000003</v>
          </cell>
          <cell r="F142">
            <v>4.2819999999999974</v>
          </cell>
          <cell r="G142">
            <v>13.739999999999981</v>
          </cell>
          <cell r="H142">
            <v>23.21599999999998</v>
          </cell>
          <cell r="I142">
            <v>35.739999999999974</v>
          </cell>
          <cell r="J142">
            <v>17.698999999999973</v>
          </cell>
          <cell r="K142">
            <v>13.739999999999981</v>
          </cell>
          <cell r="L142">
            <v>8.3859999999999673</v>
          </cell>
          <cell r="M142">
            <v>23.697999999999965</v>
          </cell>
          <cell r="N142">
            <v>20.023999999999972</v>
          </cell>
          <cell r="O142">
            <v>117.53</v>
          </cell>
          <cell r="P142">
            <v>8.3859999999999673</v>
          </cell>
          <cell r="Q142">
            <v>132.84399999999994</v>
          </cell>
          <cell r="R142">
            <v>19.562999999999917</v>
          </cell>
          <cell r="S142">
            <v>25.305999999999941</v>
          </cell>
          <cell r="T142">
            <v>62.641999999999939</v>
          </cell>
          <cell r="U142">
            <v>132.84399999999994</v>
          </cell>
          <cell r="V142">
            <v>16.330999999999847</v>
          </cell>
          <cell r="W142">
            <v>16.099999999999845</v>
          </cell>
          <cell r="X142">
            <v>18.604999999999869</v>
          </cell>
          <cell r="Y142">
            <v>19.95199999999987</v>
          </cell>
          <cell r="Z142">
            <v>16.330999999999847</v>
          </cell>
          <cell r="AA142">
            <v>82.497999999999877</v>
          </cell>
          <cell r="AB142">
            <v>218.44699999999989</v>
          </cell>
          <cell r="AC142">
            <v>272.36399999999986</v>
          </cell>
          <cell r="AD142">
            <v>184.27999999999986</v>
          </cell>
          <cell r="AE142">
            <v>82.497999999999877</v>
          </cell>
          <cell r="AF142">
            <v>104.10799999999983</v>
          </cell>
          <cell r="AG142">
            <v>111.95099999999982</v>
          </cell>
          <cell r="AH142">
            <v>24.156999999999812</v>
          </cell>
          <cell r="AI142">
            <v>13.443999999999754</v>
          </cell>
          <cell r="AJ142">
            <v>104.10799999999983</v>
          </cell>
          <cell r="AK142">
            <v>40.565999999999804</v>
          </cell>
          <cell r="AL142">
            <v>62.877999999999787</v>
          </cell>
          <cell r="AM142">
            <v>21.356999999999786</v>
          </cell>
          <cell r="AN142">
            <v>118.855</v>
          </cell>
          <cell r="AO142">
            <v>40.565999999999804</v>
          </cell>
          <cell r="AP142">
            <v>132.87399999999946</v>
          </cell>
          <cell r="AQ142">
            <v>164.3529999999995</v>
          </cell>
          <cell r="AR142">
            <v>264.07199999999938</v>
          </cell>
          <cell r="AS142">
            <v>341.88399999999945</v>
          </cell>
          <cell r="AT142">
            <v>132.87399999999946</v>
          </cell>
          <cell r="AU142">
            <v>220.65499999999963</v>
          </cell>
          <cell r="AV142">
            <v>532.13199999999961</v>
          </cell>
          <cell r="AW142">
            <v>268.82499999999953</v>
          </cell>
          <cell r="AX142">
            <v>432.8149999999996</v>
          </cell>
          <cell r="AY142">
            <v>220.65499999999963</v>
          </cell>
          <cell r="AZ142">
            <v>344.54099999999949</v>
          </cell>
          <cell r="BA142">
            <v>480.06599999999952</v>
          </cell>
          <cell r="BB142">
            <v>548.75399999999956</v>
          </cell>
          <cell r="BC142">
            <v>567.74899999999957</v>
          </cell>
          <cell r="BD142">
            <v>344.54099999999949</v>
          </cell>
          <cell r="BE142">
            <v>299.16899999999964</v>
          </cell>
          <cell r="BF142">
            <v>270.71599999999967</v>
          </cell>
          <cell r="BG142">
            <v>191.43199999999968</v>
          </cell>
          <cell r="BH142">
            <v>266.31199999999956</v>
          </cell>
          <cell r="BI142">
            <v>299.16899999999964</v>
          </cell>
          <cell r="BJ142">
            <v>129.86500000000001</v>
          </cell>
          <cell r="BK142">
            <v>129.29800000000046</v>
          </cell>
          <cell r="BL142">
            <v>115.10900000000061</v>
          </cell>
          <cell r="BM142">
            <v>240.65</v>
          </cell>
          <cell r="BN142">
            <v>129.86500000000001</v>
          </cell>
          <cell r="BO142">
            <v>445.45809460720977</v>
          </cell>
          <cell r="BP142">
            <v>466.30999742770706</v>
          </cell>
          <cell r="BQ142">
            <v>433.74526256173965</v>
          </cell>
          <cell r="BR142">
            <v>489.32432255684199</v>
          </cell>
          <cell r="BS142">
            <v>445.45809460721011</v>
          </cell>
          <cell r="BT142">
            <v>624.29351333893169</v>
          </cell>
          <cell r="BU142">
            <v>721.74749601339943</v>
          </cell>
          <cell r="BV142">
            <v>816.14875408698788</v>
          </cell>
          <cell r="BW142">
            <v>1006.3688825181539</v>
          </cell>
          <cell r="BX142">
            <v>624.29351333893214</v>
          </cell>
          <cell r="BY142">
            <v>1277.2841526402267</v>
          </cell>
          <cell r="BZ142">
            <v>1393.0775108555317</v>
          </cell>
          <cell r="CA142">
            <v>1512.5684550643248</v>
          </cell>
          <cell r="CB142">
            <v>1732.9665331672541</v>
          </cell>
          <cell r="CC142">
            <v>1277.2841526402267</v>
          </cell>
          <cell r="CD142">
            <v>2038.4672991928715</v>
          </cell>
          <cell r="CE142">
            <v>2210.0699320946778</v>
          </cell>
          <cell r="CF142">
            <v>2347.930503911185</v>
          </cell>
          <cell r="CG142">
            <v>2606.8171704476367</v>
          </cell>
          <cell r="CH142">
            <v>2038.4672991928715</v>
          </cell>
        </row>
        <row r="143">
          <cell r="B143" t="str">
            <v>Change in cash &amp; equivalents</v>
          </cell>
          <cell r="E143">
            <v>-2.4370000000000029</v>
          </cell>
          <cell r="F143">
            <v>9.4579999999999842</v>
          </cell>
          <cell r="G143">
            <v>9.4759999999999991</v>
          </cell>
          <cell r="H143">
            <v>12.523999999999994</v>
          </cell>
          <cell r="I143">
            <v>-18.041</v>
          </cell>
          <cell r="J143">
            <v>-9.31299999999991</v>
          </cell>
          <cell r="K143">
            <v>-5.3540000000000134</v>
          </cell>
          <cell r="L143">
            <v>15.311999999999998</v>
          </cell>
          <cell r="M143">
            <v>-3.6739999999999924</v>
          </cell>
          <cell r="N143">
            <v>97.506000000000029</v>
          </cell>
          <cell r="O143">
            <v>15.313999999999936</v>
          </cell>
          <cell r="P143">
            <v>124.45799999999991</v>
          </cell>
          <cell r="Q143">
            <v>-113.28100000000002</v>
          </cell>
          <cell r="R143">
            <v>5.7430000000000234</v>
          </cell>
          <cell r="S143">
            <v>37.335999999999999</v>
          </cell>
          <cell r="T143">
            <v>-46.310999999999979</v>
          </cell>
          <cell r="U143">
            <v>-116.51300000000009</v>
          </cell>
          <cell r="V143">
            <v>-0.23100000000000165</v>
          </cell>
          <cell r="W143">
            <v>2.5050000000000239</v>
          </cell>
          <cell r="X143">
            <v>1.3470000000000013</v>
          </cell>
          <cell r="Y143">
            <v>62.545999999999921</v>
          </cell>
          <cell r="Z143">
            <v>66.16700000000003</v>
          </cell>
          <cell r="AA143">
            <v>135.94900000000001</v>
          </cell>
          <cell r="AB143">
            <v>53.916999999999987</v>
          </cell>
          <cell r="AC143">
            <v>-88.084000000000003</v>
          </cell>
          <cell r="AD143">
            <v>-80.171999999999983</v>
          </cell>
          <cell r="AE143">
            <v>21.609999999999957</v>
          </cell>
          <cell r="AF143">
            <v>7.8429999999999893</v>
          </cell>
          <cell r="AG143">
            <v>-87.794000000000011</v>
          </cell>
          <cell r="AH143">
            <v>-10.713000000000058</v>
          </cell>
          <cell r="AI143">
            <v>27.121999999999957</v>
          </cell>
          <cell r="AJ143">
            <v>-63.54200000000003</v>
          </cell>
          <cell r="AK143">
            <v>22.311999999999983</v>
          </cell>
          <cell r="AL143">
            <v>-41.521000000000001</v>
          </cell>
          <cell r="AM143">
            <v>97.498000000000218</v>
          </cell>
          <cell r="AN143">
            <v>14.019000000000631</v>
          </cell>
          <cell r="AO143">
            <v>92.307999999999652</v>
          </cell>
          <cell r="AP143">
            <v>31.479000000000035</v>
          </cell>
          <cell r="AQ143">
            <v>99.71899999999988</v>
          </cell>
          <cell r="AR143">
            <v>77.812000000000069</v>
          </cell>
          <cell r="AS143">
            <v>-121.22899999999993</v>
          </cell>
          <cell r="AT143">
            <v>87.781000000000176</v>
          </cell>
          <cell r="AU143">
            <v>311.47700000000003</v>
          </cell>
          <cell r="AV143">
            <v>-263.30700000000007</v>
          </cell>
          <cell r="AW143">
            <v>163.99000000000004</v>
          </cell>
          <cell r="AX143">
            <v>-88.274000000000115</v>
          </cell>
          <cell r="AY143">
            <v>123.88599999999985</v>
          </cell>
          <cell r="AZ143">
            <v>135.52500000000003</v>
          </cell>
          <cell r="BA143">
            <v>68.688000000000045</v>
          </cell>
          <cell r="BB143">
            <v>18.995000000000005</v>
          </cell>
          <cell r="BC143">
            <v>-268.57999999999993</v>
          </cell>
          <cell r="BD143">
            <v>-45.371999999999844</v>
          </cell>
          <cell r="BE143">
            <v>-28.452999999999975</v>
          </cell>
          <cell r="BF143">
            <v>-79.283999999999992</v>
          </cell>
          <cell r="BG143">
            <v>74.879999999999882</v>
          </cell>
          <cell r="BH143">
            <v>-136.44699999999978</v>
          </cell>
          <cell r="BI143">
            <v>-169.30399999999963</v>
          </cell>
          <cell r="BJ143">
            <v>-0.56699999999955253</v>
          </cell>
          <cell r="BK143">
            <v>-14.188999999999851</v>
          </cell>
          <cell r="BL143">
            <v>125.54100000000045</v>
          </cell>
          <cell r="BM143">
            <v>204.80809460720974</v>
          </cell>
          <cell r="BN143">
            <v>315.59309460721011</v>
          </cell>
          <cell r="BO143">
            <v>20.851902820497287</v>
          </cell>
          <cell r="BP143">
            <v>-32.564734865967381</v>
          </cell>
          <cell r="BQ143">
            <v>55.579059995102341</v>
          </cell>
          <cell r="BR143">
            <v>134.96919078208964</v>
          </cell>
          <cell r="BS143">
            <v>178.83541873172203</v>
          </cell>
          <cell r="BT143">
            <v>97.453982674467738</v>
          </cell>
          <cell r="BU143">
            <v>94.401258073588451</v>
          </cell>
          <cell r="BV143">
            <v>190.22012843116602</v>
          </cell>
          <cell r="BW143">
            <v>270.91527012207268</v>
          </cell>
          <cell r="BX143">
            <v>652.990639301295</v>
          </cell>
          <cell r="BY143">
            <v>115.79335821530498</v>
          </cell>
          <cell r="BZ143">
            <v>119.49094420879311</v>
          </cell>
          <cell r="CA143">
            <v>220.39807810292916</v>
          </cell>
          <cell r="CB143">
            <v>305.50076602561745</v>
          </cell>
          <cell r="CC143">
            <v>761.18314655264476</v>
          </cell>
          <cell r="CD143">
            <v>171.60263290180637</v>
          </cell>
          <cell r="CE143">
            <v>137.86057181650744</v>
          </cell>
          <cell r="CF143">
            <v>258.88666653645168</v>
          </cell>
          <cell r="CG143">
            <v>348.25211124624991</v>
          </cell>
          <cell r="CH143">
            <v>916.6019825010153</v>
          </cell>
        </row>
        <row r="144">
          <cell r="B144" t="str">
            <v>Cash &amp; equivalents - end of period</v>
          </cell>
          <cell r="D144">
            <v>6.7190000000000003</v>
          </cell>
          <cell r="E144">
            <v>4.2819999999999974</v>
          </cell>
          <cell r="F144">
            <v>13.739999999999981</v>
          </cell>
          <cell r="G144">
            <v>23.21599999999998</v>
          </cell>
          <cell r="H144">
            <v>35.739999999999974</v>
          </cell>
          <cell r="I144">
            <v>17.698999999999973</v>
          </cell>
          <cell r="J144">
            <v>8.3860000000000632</v>
          </cell>
          <cell r="K144">
            <v>8.3859999999999673</v>
          </cell>
          <cell r="L144">
            <v>23.697999999999965</v>
          </cell>
          <cell r="M144">
            <v>20.023999999999972</v>
          </cell>
          <cell r="N144">
            <v>117.53</v>
          </cell>
          <cell r="O144">
            <v>132.84399999999994</v>
          </cell>
          <cell r="P144">
            <v>132.84399999999994</v>
          </cell>
          <cell r="Q144">
            <v>19.562999999999917</v>
          </cell>
          <cell r="R144">
            <v>25.305999999999941</v>
          </cell>
          <cell r="S144">
            <v>62.641999999999939</v>
          </cell>
          <cell r="T144">
            <v>16.33099999999996</v>
          </cell>
          <cell r="U144">
            <v>16.330999999999847</v>
          </cell>
          <cell r="V144">
            <v>16.099999999999845</v>
          </cell>
          <cell r="W144">
            <v>18.604999999999869</v>
          </cell>
          <cell r="X144">
            <v>19.95199999999987</v>
          </cell>
          <cell r="Y144">
            <v>82.497999999999791</v>
          </cell>
          <cell r="Z144">
            <v>82.497999999999877</v>
          </cell>
          <cell r="AA144">
            <v>218.44699999999989</v>
          </cell>
          <cell r="AB144">
            <v>272.36399999999986</v>
          </cell>
          <cell r="AC144">
            <v>184.27999999999986</v>
          </cell>
          <cell r="AD144">
            <v>104.10799999999988</v>
          </cell>
          <cell r="AE144">
            <v>104.10799999999983</v>
          </cell>
          <cell r="AF144">
            <v>111.95099999999982</v>
          </cell>
          <cell r="AG144">
            <v>24.156999999999812</v>
          </cell>
          <cell r="AH144">
            <v>13.443999999999754</v>
          </cell>
          <cell r="AI144">
            <v>40.565999999999711</v>
          </cell>
          <cell r="AJ144">
            <v>40.565999999999804</v>
          </cell>
          <cell r="AK144">
            <v>62.877999999999787</v>
          </cell>
          <cell r="AL144">
            <v>21.356999999999786</v>
          </cell>
          <cell r="AM144">
            <v>118.855</v>
          </cell>
          <cell r="AN144">
            <v>132.87400000000065</v>
          </cell>
          <cell r="AO144">
            <v>132.87399999999946</v>
          </cell>
          <cell r="AP144">
            <v>164.3529999999995</v>
          </cell>
          <cell r="AQ144">
            <v>264.07199999999938</v>
          </cell>
          <cell r="AR144">
            <v>341.88399999999945</v>
          </cell>
          <cell r="AS144">
            <v>220.65499999999952</v>
          </cell>
          <cell r="AT144">
            <v>220.65499999999963</v>
          </cell>
          <cell r="AU144">
            <v>532.13199999999961</v>
          </cell>
          <cell r="AV144">
            <v>268.82499999999953</v>
          </cell>
          <cell r="AW144">
            <v>432.8149999999996</v>
          </cell>
          <cell r="AX144">
            <v>344.54099999999949</v>
          </cell>
          <cell r="AY144">
            <v>344.54099999999949</v>
          </cell>
          <cell r="AZ144">
            <v>480.06599999999952</v>
          </cell>
          <cell r="BA144">
            <v>548.75399999999956</v>
          </cell>
          <cell r="BB144">
            <v>567.74899999999957</v>
          </cell>
          <cell r="BC144">
            <v>299.16899999999964</v>
          </cell>
          <cell r="BD144">
            <v>299.16899999999964</v>
          </cell>
          <cell r="BE144">
            <v>270.71599999999967</v>
          </cell>
          <cell r="BF144">
            <v>191.43199999999968</v>
          </cell>
          <cell r="BG144">
            <v>266.31199999999956</v>
          </cell>
          <cell r="BH144">
            <v>129.86499999999978</v>
          </cell>
          <cell r="BI144">
            <v>129.86500000000001</v>
          </cell>
          <cell r="BJ144">
            <v>129.29800000000046</v>
          </cell>
          <cell r="BK144">
            <v>115.10900000000061</v>
          </cell>
          <cell r="BL144">
            <v>240.65000000000106</v>
          </cell>
          <cell r="BM144">
            <v>445.45809460720977</v>
          </cell>
          <cell r="BN144">
            <v>445.45809460721011</v>
          </cell>
          <cell r="BO144">
            <v>466.30999742770706</v>
          </cell>
          <cell r="BP144">
            <v>433.74526256173965</v>
          </cell>
          <cell r="BQ144">
            <v>489.32432255684199</v>
          </cell>
          <cell r="BR144">
            <v>624.29351333893169</v>
          </cell>
          <cell r="BS144">
            <v>624.29351333893214</v>
          </cell>
          <cell r="BT144">
            <v>721.74749601339943</v>
          </cell>
          <cell r="BU144">
            <v>816.14875408698788</v>
          </cell>
          <cell r="BV144">
            <v>1006.3688825181539</v>
          </cell>
          <cell r="BW144">
            <v>1277.2841526402267</v>
          </cell>
          <cell r="BX144">
            <v>1277.2841526402267</v>
          </cell>
          <cell r="BY144">
            <v>1393.0775108555317</v>
          </cell>
          <cell r="BZ144">
            <v>1512.5684550643248</v>
          </cell>
          <cell r="CA144">
            <v>1732.9665331672541</v>
          </cell>
          <cell r="CB144">
            <v>2038.4672991928715</v>
          </cell>
          <cell r="CC144">
            <v>2038.4672991928715</v>
          </cell>
          <cell r="CD144">
            <v>2210.0699320946778</v>
          </cell>
          <cell r="CE144">
            <v>2347.930503911185</v>
          </cell>
          <cell r="CF144">
            <v>2606.8171704476367</v>
          </cell>
          <cell r="CG144">
            <v>2955.0692816938868</v>
          </cell>
          <cell r="CH144">
            <v>2955.0692816938868</v>
          </cell>
        </row>
        <row r="146">
          <cell r="B146" t="str">
            <v>SCF = BS?</v>
          </cell>
        </row>
        <row r="149">
          <cell r="B149" t="str">
            <v>FREE CASH FLOW ANALYSIS</v>
          </cell>
        </row>
        <row r="150">
          <cell r="B150" t="str">
            <v>Free Cash Flow</v>
          </cell>
          <cell r="F150">
            <v>-40.020000000000003</v>
          </cell>
          <cell r="G150">
            <v>12.977999999999998</v>
          </cell>
          <cell r="H150">
            <v>43.494</v>
          </cell>
          <cell r="I150">
            <v>-7.1690000000000005</v>
          </cell>
          <cell r="J150">
            <v>21.852000000000011</v>
          </cell>
          <cell r="K150">
            <v>-79.78600000000003</v>
          </cell>
          <cell r="L150">
            <v>30.447999999999993</v>
          </cell>
          <cell r="M150">
            <v>54.414999999999999</v>
          </cell>
          <cell r="N150">
            <v>30.400999999999996</v>
          </cell>
          <cell r="O150">
            <v>66.260000000000005</v>
          </cell>
          <cell r="P150">
            <v>25.454999999999984</v>
          </cell>
          <cell r="Q150">
            <v>-23.751000000000012</v>
          </cell>
          <cell r="R150">
            <v>108.691</v>
          </cell>
          <cell r="S150">
            <v>12.507000000000005</v>
          </cell>
          <cell r="T150">
            <v>-0.12199999999998568</v>
          </cell>
          <cell r="U150">
            <v>-353.24699999999996</v>
          </cell>
          <cell r="V150">
            <v>21.833999999999996</v>
          </cell>
          <cell r="W150">
            <v>101.00800000000001</v>
          </cell>
          <cell r="X150">
            <v>15.129999999999988</v>
          </cell>
          <cell r="Y150">
            <v>23.49199999999999</v>
          </cell>
          <cell r="Z150">
            <v>28.431000000000012</v>
          </cell>
          <cell r="AA150">
            <v>115.54300000000001</v>
          </cell>
          <cell r="AB150">
            <v>84.117999999999995</v>
          </cell>
          <cell r="AC150">
            <v>3.1730000000000089</v>
          </cell>
          <cell r="AD150">
            <v>19.850000000000009</v>
          </cell>
          <cell r="AE150">
            <v>64.305000000000035</v>
          </cell>
          <cell r="AF150">
            <v>51.109999999999992</v>
          </cell>
          <cell r="AG150">
            <v>61.741999999999997</v>
          </cell>
          <cell r="AH150">
            <v>-3.3990000000000222</v>
          </cell>
          <cell r="AI150">
            <v>16.283000000000015</v>
          </cell>
          <cell r="AJ150">
            <v>-258.88200000000001</v>
          </cell>
          <cell r="AK150">
            <v>75.557999999999993</v>
          </cell>
          <cell r="AL150">
            <v>31.581000000000003</v>
          </cell>
          <cell r="AM150">
            <v>18.967999999999961</v>
          </cell>
          <cell r="AN150">
            <v>38.84600000000006</v>
          </cell>
          <cell r="AO150">
            <v>-6853.0949999999993</v>
          </cell>
          <cell r="AP150">
            <v>-86.559999999999974</v>
          </cell>
          <cell r="AQ150">
            <v>227.73799999999991</v>
          </cell>
          <cell r="AR150">
            <v>92.469000000000108</v>
          </cell>
          <cell r="AS150">
            <v>131.40100000000007</v>
          </cell>
          <cell r="AT150">
            <v>203.14100000000022</v>
          </cell>
          <cell r="AU150">
            <v>123.40600000000003</v>
          </cell>
          <cell r="AV150">
            <v>153.72599999999997</v>
          </cell>
          <cell r="AW150">
            <v>225.49000000000007</v>
          </cell>
          <cell r="AX150">
            <v>-3.0810000000001025</v>
          </cell>
          <cell r="AY150">
            <v>235.7679999999998</v>
          </cell>
          <cell r="AZ150">
            <v>172.80700000000002</v>
          </cell>
          <cell r="BA150">
            <v>105.06100000000004</v>
          </cell>
          <cell r="BB150">
            <v>238.65600000000001</v>
          </cell>
          <cell r="BC150">
            <v>4.8280000000000314</v>
          </cell>
          <cell r="BD150">
            <v>273.101</v>
          </cell>
          <cell r="BE150">
            <v>33.636000000000024</v>
          </cell>
          <cell r="BF150">
            <v>199.66600000000005</v>
          </cell>
          <cell r="BG150">
            <v>54.087999999999852</v>
          </cell>
          <cell r="BH150">
            <v>197.80500000000018</v>
          </cell>
          <cell r="BI150">
            <v>485.19500000000016</v>
          </cell>
          <cell r="BJ150">
            <v>2.4069999999999538</v>
          </cell>
          <cell r="BK150">
            <v>94.058999999999941</v>
          </cell>
          <cell r="BL150">
            <v>123.92999999999998</v>
          </cell>
          <cell r="BM150">
            <v>204.80809460720974</v>
          </cell>
          <cell r="BN150">
            <v>425.20409460720975</v>
          </cell>
          <cell r="BO150">
            <v>20.851902820497287</v>
          </cell>
          <cell r="BP150">
            <v>37.435265134032619</v>
          </cell>
          <cell r="BQ150">
            <v>125.57905999510234</v>
          </cell>
          <cell r="BR150">
            <v>204.96919078208964</v>
          </cell>
          <cell r="BS150">
            <v>388.83541873172203</v>
          </cell>
          <cell r="BT150">
            <v>97.453982674467738</v>
          </cell>
          <cell r="BU150">
            <v>94.401258073588451</v>
          </cell>
          <cell r="BV150">
            <v>190.22012843116602</v>
          </cell>
          <cell r="BW150">
            <v>270.91527012207268</v>
          </cell>
          <cell r="BX150">
            <v>652.990639301295</v>
          </cell>
          <cell r="BY150">
            <v>115.79335821530498</v>
          </cell>
          <cell r="BZ150">
            <v>119.49094420879311</v>
          </cell>
          <cell r="CA150">
            <v>220.39807810292916</v>
          </cell>
          <cell r="CB150">
            <v>305.50076602561745</v>
          </cell>
          <cell r="CC150">
            <v>761.18314655264476</v>
          </cell>
          <cell r="CD150">
            <v>171.60263290180637</v>
          </cell>
          <cell r="CE150">
            <v>137.86057181650744</v>
          </cell>
          <cell r="CF150">
            <v>258.88666653645168</v>
          </cell>
          <cell r="CG150">
            <v>348.25211124624991</v>
          </cell>
          <cell r="CH150">
            <v>916.6019825010153</v>
          </cell>
        </row>
        <row r="151">
          <cell r="B151" t="str">
            <v>y/y growth</v>
          </cell>
          <cell r="K151" t="str">
            <v>nm</v>
          </cell>
          <cell r="L151">
            <v>1.34612421020188</v>
          </cell>
          <cell r="M151">
            <v>0.25109210465811382</v>
          </cell>
          <cell r="N151" t="str">
            <v>nm</v>
          </cell>
          <cell r="O151">
            <v>2.0322167307340275</v>
          </cell>
          <cell r="P151" t="str">
            <v>nm</v>
          </cell>
          <cell r="Q151" t="str">
            <v>nm</v>
          </cell>
          <cell r="R151">
            <v>0.99744555729118822</v>
          </cell>
          <cell r="S151">
            <v>-0.58859905924147204</v>
          </cell>
          <cell r="T151" t="str">
            <v>nm</v>
          </cell>
          <cell r="U151" t="str">
            <v>nm</v>
          </cell>
          <cell r="V151">
            <v>21.833999999999996</v>
          </cell>
          <cell r="W151">
            <v>101.00800000000001</v>
          </cell>
          <cell r="X151">
            <v>15.129999999999988</v>
          </cell>
          <cell r="Y151">
            <v>23.49199999999999</v>
          </cell>
          <cell r="Z151">
            <v>28.431000000000012</v>
          </cell>
          <cell r="AA151">
            <v>115.54300000000001</v>
          </cell>
          <cell r="AB151">
            <v>84.117999999999995</v>
          </cell>
          <cell r="AC151">
            <v>3.1730000000000089</v>
          </cell>
          <cell r="AD151">
            <v>19.850000000000009</v>
          </cell>
          <cell r="AE151">
            <v>64.305000000000035</v>
          </cell>
          <cell r="AF151">
            <v>51.109999999999992</v>
          </cell>
          <cell r="AG151">
            <v>61.741999999999997</v>
          </cell>
          <cell r="AH151">
            <v>-3.3990000000000222</v>
          </cell>
          <cell r="AI151">
            <v>16.283000000000015</v>
          </cell>
          <cell r="AJ151">
            <v>-258.88200000000001</v>
          </cell>
          <cell r="AK151">
            <v>75.557999999999993</v>
          </cell>
          <cell r="AL151">
            <v>31.581000000000003</v>
          </cell>
          <cell r="AM151">
            <v>18.967999999999961</v>
          </cell>
          <cell r="AN151">
            <v>38.84600000000006</v>
          </cell>
          <cell r="AO151">
            <v>-6853.0949999999993</v>
          </cell>
          <cell r="AP151">
            <v>-86.559999999999974</v>
          </cell>
          <cell r="AQ151">
            <v>227.73799999999991</v>
          </cell>
          <cell r="AR151">
            <v>92.469000000000108</v>
          </cell>
          <cell r="AS151">
            <v>131.40100000000007</v>
          </cell>
          <cell r="AT151">
            <v>203.14100000000022</v>
          </cell>
          <cell r="AU151">
            <v>123.40600000000003</v>
          </cell>
          <cell r="AV151">
            <v>153.72599999999997</v>
          </cell>
          <cell r="AW151">
            <v>225.49000000000007</v>
          </cell>
          <cell r="AX151">
            <v>-3.0810000000001025</v>
          </cell>
          <cell r="AY151">
            <v>235.7679999999998</v>
          </cell>
          <cell r="AZ151">
            <v>172.80700000000002</v>
          </cell>
          <cell r="BA151">
            <v>105.06100000000004</v>
          </cell>
          <cell r="BB151">
            <v>238.65600000000001</v>
          </cell>
          <cell r="BC151">
            <v>4.8280000000000314</v>
          </cell>
          <cell r="BD151">
            <v>273.101</v>
          </cell>
          <cell r="BE151">
            <v>33.636000000000024</v>
          </cell>
          <cell r="BF151">
            <v>199.66600000000005</v>
          </cell>
          <cell r="BG151">
            <v>54.087999999999852</v>
          </cell>
          <cell r="BH151">
            <v>197.80500000000018</v>
          </cell>
          <cell r="BI151">
            <v>485.19500000000016</v>
          </cell>
          <cell r="BJ151">
            <v>2.4069999999999538</v>
          </cell>
          <cell r="BK151">
            <v>94.058999999999941</v>
          </cell>
          <cell r="BL151">
            <v>123.92999999999998</v>
          </cell>
          <cell r="BM151">
            <v>204.56643187720692</v>
          </cell>
          <cell r="BN151">
            <v>424.96243187720665</v>
          </cell>
          <cell r="BO151">
            <v>31.177227747733241</v>
          </cell>
          <cell r="BP151">
            <v>-23.284816579795432</v>
          </cell>
          <cell r="BQ151">
            <v>63.230790246540153</v>
          </cell>
          <cell r="BR151">
            <v>142.17075902339514</v>
          </cell>
          <cell r="BS151">
            <v>213.29396043787301</v>
          </cell>
          <cell r="BT151">
            <v>102.22720989063393</v>
          </cell>
          <cell r="BU151">
            <v>95.911668571901174</v>
          </cell>
          <cell r="BV151">
            <v>195.27847790936855</v>
          </cell>
          <cell r="BW151">
            <v>276.68369330014986</v>
          </cell>
          <cell r="BX151">
            <v>670.10104967205348</v>
          </cell>
          <cell r="BY151">
            <v>114.11317897756007</v>
          </cell>
          <cell r="BZ151">
            <v>113.96149844759995</v>
          </cell>
          <cell r="CA151">
            <v>218.50544936017207</v>
          </cell>
          <cell r="CB151">
            <v>303.91232554340456</v>
          </cell>
          <cell r="CC151">
            <v>750.49245232873659</v>
          </cell>
          <cell r="CD151">
            <v>161.84423160037676</v>
          </cell>
          <cell r="CE151">
            <v>124.26849036573694</v>
          </cell>
          <cell r="CF151">
            <v>249.08528999864447</v>
          </cell>
          <cell r="CG151">
            <v>339.31435913955943</v>
          </cell>
          <cell r="CH151">
            <v>874.51237110431759</v>
          </cell>
        </row>
        <row r="153">
          <cell r="B153" t="str">
            <v>CapEx as % of revs</v>
          </cell>
          <cell r="G153">
            <v>4.6600358715147568E-2</v>
          </cell>
          <cell r="H153">
            <v>5.1081417478779464E-2</v>
          </cell>
          <cell r="I153">
            <v>6.171126512054427E-2</v>
          </cell>
          <cell r="J153">
            <v>3.8678372027761129E-2</v>
          </cell>
          <cell r="K153">
            <v>4.9144291091593476E-2</v>
          </cell>
          <cell r="L153">
            <v>3.4508611689555574E-2</v>
          </cell>
          <cell r="M153">
            <v>6.1217681715550101E-2</v>
          </cell>
          <cell r="N153">
            <v>5.5531337219923982E-2</v>
          </cell>
          <cell r="O153">
            <v>3.8361540768670453E-2</v>
          </cell>
          <cell r="P153">
            <v>4.7252407157370627E-2</v>
          </cell>
          <cell r="Q153">
            <v>4.8933907902141284E-2</v>
          </cell>
          <cell r="R153">
            <v>5.1864237105826466E-2</v>
          </cell>
          <cell r="S153">
            <v>4.7796609231807612E-2</v>
          </cell>
          <cell r="T153">
            <v>5.719266645870856E-2</v>
          </cell>
          <cell r="U153">
            <v>5.16396530897925E-2</v>
          </cell>
          <cell r="V153">
            <v>4.8514304892166113E-2</v>
          </cell>
          <cell r="W153">
            <v>5.3149376466351803E-2</v>
          </cell>
          <cell r="X153">
            <v>4.9830930981453352E-2</v>
          </cell>
          <cell r="Y153">
            <v>4.4837915135607045E-2</v>
          </cell>
          <cell r="Z153">
            <v>4.9014962920884357E-2</v>
          </cell>
          <cell r="AA153">
            <v>3.6282364884674456E-2</v>
          </cell>
          <cell r="AB153">
            <v>4.7423692580313009E-2</v>
          </cell>
          <cell r="AC153">
            <v>6.0471187567862482E-2</v>
          </cell>
          <cell r="AD153">
            <v>5.64481146965084E-2</v>
          </cell>
          <cell r="AE153">
            <v>5.0308947388803642E-2</v>
          </cell>
          <cell r="AF153">
            <v>3.8676670283918559E-2</v>
          </cell>
          <cell r="AG153">
            <v>5.1354596467286302E-2</v>
          </cell>
          <cell r="AH153">
            <v>5.7325299982287241E-2</v>
          </cell>
          <cell r="AI153">
            <v>5.7100314687949599E-2</v>
          </cell>
          <cell r="AJ153">
            <v>5.1429410460383691E-2</v>
          </cell>
          <cell r="AK153">
            <v>3.720025880463157E-2</v>
          </cell>
          <cell r="AL153">
            <v>5.1283775561831939E-2</v>
          </cell>
          <cell r="AM153">
            <v>7.2146140852783092E-2</v>
          </cell>
          <cell r="AN153">
            <v>9.6601646454474888E-2</v>
          </cell>
          <cell r="AO153">
            <v>7.1286718554196229E-2</v>
          </cell>
          <cell r="AP153">
            <v>5.194874235303866E-2</v>
          </cell>
          <cell r="AQ153">
            <v>4.9770311454694127E-2</v>
          </cell>
          <cell r="AR153">
            <v>6.3401686345506067E-2</v>
          </cell>
          <cell r="AS153">
            <v>8.7206476970441815E-2</v>
          </cell>
          <cell r="AT153">
            <v>6.3202895544344356E-2</v>
          </cell>
          <cell r="AU153">
            <v>4.702719896002959E-2</v>
          </cell>
          <cell r="AV153">
            <v>4.350536848172714E-2</v>
          </cell>
          <cell r="AW153">
            <v>4.2394979585370668E-2</v>
          </cell>
          <cell r="AX153">
            <v>5.7826450125616866E-2</v>
          </cell>
          <cell r="AY153">
            <v>4.7726969252073301E-2</v>
          </cell>
          <cell r="AZ153">
            <v>4.0039269508675548E-2</v>
          </cell>
          <cell r="BA153">
            <v>4.3320706497333349E-2</v>
          </cell>
          <cell r="BB153">
            <v>3.6262916832587408E-2</v>
          </cell>
          <cell r="BC153">
            <v>8.3911330388024341E-2</v>
          </cell>
          <cell r="BD153">
            <v>5.1390135910368465E-2</v>
          </cell>
          <cell r="BE153">
            <v>4.5186357199952308E-2</v>
          </cell>
          <cell r="BF153">
            <v>5.7518298086480131E-2</v>
          </cell>
          <cell r="BG153">
            <v>5.2811990686845181E-2</v>
          </cell>
          <cell r="BH153">
            <v>7.084008953921464E-2</v>
          </cell>
          <cell r="BI153">
            <v>5.6621288504583672E-2</v>
          </cell>
          <cell r="BJ153">
            <v>4.8871002996967616E-2</v>
          </cell>
          <cell r="BK153">
            <v>5.3800046337471326E-2</v>
          </cell>
          <cell r="BL153">
            <v>4.6260125015520764E-2</v>
          </cell>
          <cell r="BM153">
            <v>6.1113304999123652E-2</v>
          </cell>
          <cell r="BN153">
            <v>5.2485580785157346E-2</v>
          </cell>
          <cell r="BO153">
            <v>5.0975159667591037E-2</v>
          </cell>
          <cell r="BP153">
            <v>5.0472040245567555E-2</v>
          </cell>
          <cell r="BQ153">
            <v>5.116679983004515E-2</v>
          </cell>
          <cell r="BR153">
            <v>5.1173014592505582E-2</v>
          </cell>
          <cell r="BS153">
            <v>5.0945146767922569E-2</v>
          </cell>
          <cell r="BT153">
            <v>4.8784702991920927E-2</v>
          </cell>
          <cell r="BU153">
            <v>4.8396948514333203E-2</v>
          </cell>
          <cell r="BV153">
            <v>4.932749423772443E-2</v>
          </cell>
          <cell r="BW153">
            <v>4.96021712169223E-2</v>
          </cell>
          <cell r="BX153">
            <v>4.9023353076673305E-2</v>
          </cell>
          <cell r="BY153">
            <v>4.7079496466824924E-2</v>
          </cell>
          <cell r="BZ153">
            <v>4.6619754180723574E-2</v>
          </cell>
          <cell r="CA153">
            <v>4.7486146115578991E-2</v>
          </cell>
          <cell r="CB153">
            <v>4.7612114305547931E-2</v>
          </cell>
          <cell r="CC153">
            <v>4.7196172630919013E-2</v>
          </cell>
          <cell r="CD153">
            <v>4.516843103431193E-2</v>
          </cell>
          <cell r="CE153">
            <v>4.4753670065190918E-2</v>
          </cell>
          <cell r="CF153">
            <v>4.5569946711667204E-2</v>
          </cell>
          <cell r="CG153">
            <v>4.57731724857997E-2</v>
          </cell>
          <cell r="CH153">
            <v>4.5312923008342915E-2</v>
          </cell>
        </row>
        <row r="155">
          <cell r="B155" t="str">
            <v>Free cash flow / share</v>
          </cell>
          <cell r="F155">
            <v>-0.57843076762575896</v>
          </cell>
          <cell r="G155">
            <v>0.14819057458617282</v>
          </cell>
          <cell r="H155">
            <v>0.49697320420439739</v>
          </cell>
          <cell r="I155">
            <v>-8.1620403529726659E-2</v>
          </cell>
          <cell r="J155">
            <v>0.2232484011360619</v>
          </cell>
          <cell r="K155">
            <v>-0.88404141372699419</v>
          </cell>
          <cell r="L155">
            <v>0.28147835449203507</v>
          </cell>
          <cell r="M155">
            <v>0.54500220905425401</v>
          </cell>
          <cell r="N155">
            <v>0.28016070890418571</v>
          </cell>
          <cell r="O155">
            <v>0.61127152965487974</v>
          </cell>
          <cell r="P155">
            <v>0.23487210717815374</v>
          </cell>
          <cell r="Q155">
            <v>-0.22028329557759338</v>
          </cell>
          <cell r="R155">
            <v>1.0085922378345702</v>
          </cell>
          <cell r="S155">
            <v>0.11567363726961499</v>
          </cell>
          <cell r="T155">
            <v>-1.1226339569164897E-3</v>
          </cell>
          <cell r="U155">
            <v>-3.2679323168418697</v>
          </cell>
          <cell r="V155">
            <v>0.20006083557349574</v>
          </cell>
          <cell r="W155">
            <v>0.92668431465971046</v>
          </cell>
          <cell r="X155">
            <v>0.14026189519369753</v>
          </cell>
          <cell r="Y155">
            <v>0.24090405677017093</v>
          </cell>
          <cell r="Z155">
            <v>0.26856208340925647</v>
          </cell>
          <cell r="AA155">
            <v>1.1779634273160078</v>
          </cell>
          <cell r="AB155">
            <v>0.8468630523540629</v>
          </cell>
          <cell r="AC155">
            <v>3.2203727131294109E-2</v>
          </cell>
          <cell r="AD155">
            <v>0.20175019565195307</v>
          </cell>
          <cell r="AE155">
            <v>0.6523129945546654</v>
          </cell>
          <cell r="AF155">
            <v>0.52041929931441999</v>
          </cell>
          <cell r="AG155">
            <v>0.63736759811300292</v>
          </cell>
          <cell r="AH155">
            <v>-3.5681753651850306E-2</v>
          </cell>
          <cell r="AI155">
            <v>0.17204289714195167</v>
          </cell>
          <cell r="AJ155">
            <v>-2.6901607776383361</v>
          </cell>
          <cell r="AK155">
            <v>0.80069693420754739</v>
          </cell>
          <cell r="AL155">
            <v>0.33366836464465605</v>
          </cell>
          <cell r="AM155">
            <v>0.199996311750851</v>
          </cell>
          <cell r="AN155">
            <v>0.41473778612914308</v>
          </cell>
          <cell r="AO155">
            <v>-72.410491233443679</v>
          </cell>
          <cell r="AP155">
            <v>-0.91109343727376901</v>
          </cell>
          <cell r="AQ155">
            <v>2.3843633556254518</v>
          </cell>
          <cell r="AR155">
            <v>0.97172131147541096</v>
          </cell>
          <cell r="AS155">
            <v>1.4308690775647106</v>
          </cell>
          <cell r="AT155">
            <v>2.1544545854949604</v>
          </cell>
          <cell r="AU155">
            <v>1.3578237322404965</v>
          </cell>
          <cell r="AV155">
            <v>1.6879769835335441</v>
          </cell>
          <cell r="AW155">
            <v>2.4506921159270738</v>
          </cell>
          <cell r="AX155">
            <v>-3.3236604494116473E-2</v>
          </cell>
          <cell r="AY155">
            <v>2.5762130983053515</v>
          </cell>
          <cell r="AZ155">
            <v>1.8614132502760152</v>
          </cell>
          <cell r="BA155">
            <v>1.1092690456414471</v>
          </cell>
          <cell r="BB155">
            <v>2.5811056224595301</v>
          </cell>
          <cell r="BC155">
            <v>5.2604626330642432E-2</v>
          </cell>
          <cell r="BD155">
            <v>2.9382744707983708</v>
          </cell>
          <cell r="BE155">
            <v>0.36506578331079592</v>
          </cell>
          <cell r="BF155">
            <v>2.1753965640422641</v>
          </cell>
          <cell r="BG155">
            <v>0.60193027893928386</v>
          </cell>
          <cell r="BH155">
            <v>2.224677778527568</v>
          </cell>
          <cell r="BI155">
            <v>5.3514342498939094</v>
          </cell>
          <cell r="BJ155">
            <v>2.7089777706708326E-2</v>
          </cell>
          <cell r="BK155">
            <v>1.0505788973537868</v>
          </cell>
          <cell r="BL155">
            <v>1.3768623137686229</v>
          </cell>
          <cell r="BM155">
            <v>2.2747476346935702</v>
          </cell>
          <cell r="BN155">
            <v>4.722625882169222</v>
          </cell>
          <cell r="BO155">
            <v>0.22903126294971526</v>
          </cell>
          <cell r="BP155">
            <v>0.41117811291911915</v>
          </cell>
          <cell r="BQ155">
            <v>1.3793240337972394</v>
          </cell>
          <cell r="BR155">
            <v>2.2513222430931878</v>
          </cell>
          <cell r="BS155">
            <v>4.2708556527592636</v>
          </cell>
          <cell r="BT155">
            <v>1.0704063280724956</v>
          </cell>
          <cell r="BU155">
            <v>1.0368760849673067</v>
          </cell>
          <cell r="BV155">
            <v>2.0893228127948853</v>
          </cell>
          <cell r="BW155">
            <v>2.9756548839959449</v>
          </cell>
          <cell r="BX155">
            <v>7.1722601098306331</v>
          </cell>
          <cell r="BY155">
            <v>1.2718407188801399</v>
          </cell>
          <cell r="BZ155">
            <v>1.3124539328032983</v>
          </cell>
          <cell r="CA155">
            <v>2.4207886740189606</v>
          </cell>
          <cell r="CB155">
            <v>3.3555319568328952</v>
          </cell>
          <cell r="CC155">
            <v>8.360615282535294</v>
          </cell>
          <cell r="CD155">
            <v>1.8848336325624488</v>
          </cell>
          <cell r="CE155">
            <v>1.5142206035540895</v>
          </cell>
          <cell r="CF155">
            <v>2.8435361850718266</v>
          </cell>
          <cell r="CG155">
            <v>3.8251003541618838</v>
          </cell>
          <cell r="CH155">
            <v>10.067690775350247</v>
          </cell>
        </row>
        <row r="157">
          <cell r="F157" t="str">
            <v>2000-FY</v>
          </cell>
          <cell r="G157" t="str">
            <v>2001-Q1</v>
          </cell>
          <cell r="H157" t="str">
            <v>2001-Q2</v>
          </cell>
          <cell r="I157" t="str">
            <v>2001-Q3</v>
          </cell>
          <cell r="J157" t="str">
            <v>2001-Q4</v>
          </cell>
          <cell r="K157" t="str">
            <v>2001-FY</v>
          </cell>
          <cell r="L157" t="str">
            <v>2002-Q1</v>
          </cell>
          <cell r="M157" t="str">
            <v>2002-Q2</v>
          </cell>
          <cell r="N157" t="str">
            <v>2002-Q3</v>
          </cell>
          <cell r="O157" t="str">
            <v>2002-Q4</v>
          </cell>
          <cell r="P157" t="str">
            <v>2002-FY</v>
          </cell>
          <cell r="Q157" t="str">
            <v>2003-Q1</v>
          </cell>
          <cell r="R157" t="str">
            <v>2003-Q2</v>
          </cell>
          <cell r="S157" t="str">
            <v>2003-Q3</v>
          </cell>
          <cell r="T157" t="str">
            <v>2003-Q4</v>
          </cell>
          <cell r="U157" t="str">
            <v>2003-FY</v>
          </cell>
          <cell r="V157" t="str">
            <v>2004-Q1</v>
          </cell>
          <cell r="W157" t="str">
            <v>2004-Q2</v>
          </cell>
          <cell r="X157" t="str">
            <v>2004-Q3</v>
          </cell>
          <cell r="Y157" t="str">
            <v>2004-Q4</v>
          </cell>
          <cell r="Z157" t="str">
            <v>2004-FY</v>
          </cell>
          <cell r="AA157" t="str">
            <v>2005-Q1</v>
          </cell>
          <cell r="AB157" t="str">
            <v>2005-Q2</v>
          </cell>
          <cell r="AC157" t="str">
            <v>2005-Q3</v>
          </cell>
          <cell r="AD157" t="str">
            <v>2005-Q4</v>
          </cell>
          <cell r="AE157" t="str">
            <v>2005-FY</v>
          </cell>
          <cell r="AF157" t="str">
            <v>2006-Q1</v>
          </cell>
          <cell r="AG157" t="str">
            <v>2006-Q2</v>
          </cell>
          <cell r="AH157" t="str">
            <v>2006-Q3</v>
          </cell>
          <cell r="AI157" t="str">
            <v>2006-Q4</v>
          </cell>
          <cell r="AJ157" t="str">
            <v>2006-FY</v>
          </cell>
          <cell r="AK157" t="str">
            <v>2007-Q1</v>
          </cell>
          <cell r="AL157" t="str">
            <v>2007-Q2</v>
          </cell>
          <cell r="AM157" t="str">
            <v>2007-Q3</v>
          </cell>
          <cell r="AN157" t="str">
            <v>2007-Q4</v>
          </cell>
          <cell r="AO157" t="str">
            <v>2007-FY</v>
          </cell>
          <cell r="AP157" t="str">
            <v>2008-Q1</v>
          </cell>
          <cell r="AQ157" t="str">
            <v>2008-Q2</v>
          </cell>
          <cell r="AR157" t="str">
            <v>2008-Q3</v>
          </cell>
          <cell r="AS157" t="str">
            <v>2008-Q4</v>
          </cell>
          <cell r="AT157" t="str">
            <v>2008-FY</v>
          </cell>
          <cell r="AU157" t="str">
            <v>2009-Q1</v>
          </cell>
          <cell r="AV157" t="str">
            <v>2009-Q2</v>
          </cell>
          <cell r="AW157" t="str">
            <v>2009-Q3</v>
          </cell>
          <cell r="AX157" t="str">
            <v>2009-Q4</v>
          </cell>
          <cell r="AY157" t="str">
            <v>2009-FY</v>
          </cell>
          <cell r="AZ157" t="str">
            <v>2010-Q1</v>
          </cell>
          <cell r="BA157" t="str">
            <v>2010-Q2</v>
          </cell>
          <cell r="BB157" t="str">
            <v>2010-Q3</v>
          </cell>
          <cell r="BC157" t="str">
            <v>2010-Q4</v>
          </cell>
          <cell r="BD157" t="str">
            <v>2010-FY</v>
          </cell>
          <cell r="BE157" t="str">
            <v>2011-Q1</v>
          </cell>
          <cell r="BF157" t="str">
            <v>2011-Q2</v>
          </cell>
          <cell r="BG157" t="str">
            <v>2011-Q3</v>
          </cell>
          <cell r="BH157" t="str">
            <v>2011-Q4</v>
          </cell>
          <cell r="BI157" t="str">
            <v>2011-FY</v>
          </cell>
          <cell r="BJ157" t="str">
            <v>2012-Q1</v>
          </cell>
          <cell r="BK157" t="str">
            <v>2012-Q2</v>
          </cell>
          <cell r="BL157" t="str">
            <v>2012-Q3</v>
          </cell>
          <cell r="BM157" t="str">
            <v>2012-Q4</v>
          </cell>
          <cell r="BN157" t="str">
            <v>2012-FY</v>
          </cell>
          <cell r="BO157" t="str">
            <v>2013-Q1</v>
          </cell>
          <cell r="BP157" t="str">
            <v>2013-Q2</v>
          </cell>
          <cell r="BQ157" t="str">
            <v>2013-Q3</v>
          </cell>
          <cell r="BR157" t="str">
            <v>2013-Q4</v>
          </cell>
          <cell r="BS157" t="str">
            <v>2013-FY</v>
          </cell>
          <cell r="BT157" t="str">
            <v>2014-Q1</v>
          </cell>
          <cell r="BU157" t="str">
            <v>2014-Q2</v>
          </cell>
          <cell r="BV157" t="str">
            <v>2014-Q3</v>
          </cell>
          <cell r="BW157" t="str">
            <v>2014-Q4</v>
          </cell>
          <cell r="BX157" t="str">
            <v>2014-FY</v>
          </cell>
          <cell r="BY157" t="str">
            <v>2014-Q1</v>
          </cell>
          <cell r="BZ157" t="str">
            <v>2014-Q2</v>
          </cell>
          <cell r="CA157" t="str">
            <v>2014-Q3</v>
          </cell>
          <cell r="CB157" t="str">
            <v>2014-Q4</v>
          </cell>
          <cell r="CC157" t="str">
            <v>2014-FY</v>
          </cell>
          <cell r="CD157" t="str">
            <v>2014-Q1</v>
          </cell>
          <cell r="CE157" t="str">
            <v>2014-Q2</v>
          </cell>
          <cell r="CF157" t="str">
            <v>2014-Q3</v>
          </cell>
          <cell r="CG157" t="str">
            <v>2014-Q4</v>
          </cell>
          <cell r="CH157" t="str">
            <v>2014-FY</v>
          </cell>
        </row>
        <row r="158">
          <cell r="B158" t="str">
            <v>D&amp;A % of PPE</v>
          </cell>
          <cell r="F158">
            <v>0.13787123224602835</v>
          </cell>
          <cell r="G158">
            <v>3.9649997357315926E-2</v>
          </cell>
          <cell r="H158">
            <v>3.7381848915299026E-2</v>
          </cell>
          <cell r="I158">
            <v>3.9374299435434953E-2</v>
          </cell>
          <cell r="J158">
            <v>3.6777552871554951E-2</v>
          </cell>
          <cell r="K158">
            <v>0.13809960140052208</v>
          </cell>
          <cell r="L158">
            <v>3.0922720339581062E-2</v>
          </cell>
          <cell r="M158">
            <v>3.0876620433324269E-2</v>
          </cell>
          <cell r="N158">
            <v>2.9521746083647323E-2</v>
          </cell>
          <cell r="O158">
            <v>3.089464383384645E-2</v>
          </cell>
          <cell r="P158">
            <v>0.11484868415300335</v>
          </cell>
          <cell r="Q158">
            <v>2.9410775870458809E-2</v>
          </cell>
          <cell r="R158">
            <v>3.0286575637104091E-2</v>
          </cell>
          <cell r="S158">
            <v>2.9080611673018616E-2</v>
          </cell>
          <cell r="T158">
            <v>2.8517678423615654E-2</v>
          </cell>
          <cell r="U158">
            <v>0.10303258333960418</v>
          </cell>
          <cell r="V158">
            <v>2.749546104291254E-2</v>
          </cell>
          <cell r="W158">
            <v>2.7488963507133236E-2</v>
          </cell>
          <cell r="X158">
            <v>2.6792277516032154E-2</v>
          </cell>
          <cell r="Y158">
            <v>2.8024691690669484E-2</v>
          </cell>
          <cell r="Z158">
            <v>0.10668567132891628</v>
          </cell>
          <cell r="AA158">
            <v>2.7847295792477165E-2</v>
          </cell>
          <cell r="AB158">
            <v>2.7446177724155908E-2</v>
          </cell>
          <cell r="AC158">
            <v>2.6998913108709138E-2</v>
          </cell>
          <cell r="AD158">
            <v>2.7183267938802887E-2</v>
          </cell>
          <cell r="AE158">
            <v>0.10314272395066143</v>
          </cell>
          <cell r="AF158">
            <v>2.6118031924633384E-2</v>
          </cell>
          <cell r="AG158">
            <v>2.6850965560334568E-2</v>
          </cell>
          <cell r="AH158">
            <v>2.7057023906121858E-2</v>
          </cell>
          <cell r="AI158">
            <v>2.4731485364020624E-2</v>
          </cell>
          <cell r="AJ158">
            <v>9.5023248532526042E-2</v>
          </cell>
          <cell r="AK158">
            <v>2.5819571204757207E-2</v>
          </cell>
          <cell r="AL158">
            <v>2.5536320652210332E-2</v>
          </cell>
          <cell r="AM158">
            <v>1.7998883864008358E-2</v>
          </cell>
          <cell r="AN158">
            <v>2.2162786386178215E-2</v>
          </cell>
          <cell r="AO158">
            <v>6.0331162901395972E-2</v>
          </cell>
          <cell r="AP158">
            <v>2.2520974470970029E-2</v>
          </cell>
          <cell r="AQ158">
            <v>2.2225803548145292E-2</v>
          </cell>
          <cell r="AR158">
            <v>2.2749024887604875E-2</v>
          </cell>
          <cell r="AS158">
            <v>2.1909304370598418E-2</v>
          </cell>
          <cell r="AT158">
            <v>8.6333090193845385E-2</v>
          </cell>
          <cell r="AU158">
            <v>2.3157330419595615E-2</v>
          </cell>
          <cell r="AV158">
            <v>2.344348266869865E-2</v>
          </cell>
          <cell r="AW158">
            <v>2.3715475091713734E-2</v>
          </cell>
          <cell r="AX158">
            <v>2.3587605585294519E-2</v>
          </cell>
          <cell r="AY158">
            <v>9.2387520004905216E-2</v>
          </cell>
          <cell r="AZ158">
            <v>2.4165868523235833E-2</v>
          </cell>
          <cell r="BA158">
            <v>2.5206467196473421E-2</v>
          </cell>
          <cell r="BB158">
            <v>2.4597912939870462E-2</v>
          </cell>
          <cell r="BC158">
            <v>2.4415149843607396E-2</v>
          </cell>
          <cell r="BD158">
            <v>9.4439366773282282E-2</v>
          </cell>
          <cell r="BE158">
            <v>2.5024443811190001E-2</v>
          </cell>
          <cell r="BF158">
            <v>2.5059694849275116E-2</v>
          </cell>
          <cell r="BG158">
            <v>2.45743039942561E-2</v>
          </cell>
          <cell r="BH158">
            <v>2.5050846152320262E-2</v>
          </cell>
          <cell r="BI158">
            <v>9.5925802540732352E-2</v>
          </cell>
          <cell r="BJ158">
            <v>2.4901087039263695E-2</v>
          </cell>
          <cell r="BK158">
            <v>2.5510110701630544E-2</v>
          </cell>
          <cell r="BL158">
            <v>2.5642032403416136E-2</v>
          </cell>
          <cell r="BM158">
            <v>2.5535842477694595E-2</v>
          </cell>
          <cell r="BN158">
            <v>0.10056979589979612</v>
          </cell>
          <cell r="BO158">
            <v>2.5641025641025644E-2</v>
          </cell>
          <cell r="BP158">
            <v>2.564102564102564E-2</v>
          </cell>
          <cell r="BQ158">
            <v>2.5641025641025644E-2</v>
          </cell>
          <cell r="BR158">
            <v>2.5641025641025644E-2</v>
          </cell>
          <cell r="BS158">
            <v>0.10120850062247107</v>
          </cell>
          <cell r="BT158">
            <v>2.5641025641025644E-2</v>
          </cell>
          <cell r="BU158">
            <v>2.5641025641025644E-2</v>
          </cell>
          <cell r="BV158">
            <v>2.5641025641025644E-2</v>
          </cell>
          <cell r="BW158">
            <v>2.5641025641025644E-2</v>
          </cell>
          <cell r="BX158">
            <v>0.1023489659152101</v>
          </cell>
          <cell r="BY158">
            <v>2.564102564102564E-2</v>
          </cell>
          <cell r="BZ158">
            <v>2.564102564102564E-2</v>
          </cell>
          <cell r="CA158">
            <v>2.5641025641025644E-2</v>
          </cell>
          <cell r="CB158">
            <v>2.5641025641025644E-2</v>
          </cell>
          <cell r="CC158">
            <v>0.1023706849403004</v>
          </cell>
          <cell r="CD158">
            <v>2.5641025641025644E-2</v>
          </cell>
          <cell r="CE158">
            <v>2.564102564102564E-2</v>
          </cell>
          <cell r="CF158">
            <v>2.5641025641025644E-2</v>
          </cell>
          <cell r="CG158">
            <v>2.5641025641025644E-2</v>
          </cell>
          <cell r="CH158">
            <v>0.10239012109948188</v>
          </cell>
        </row>
      </sheetData>
      <sheetData sheetId="4" refreshError="1"/>
      <sheetData sheetId="5" refreshError="1"/>
      <sheetData sheetId="6" refreshError="1">
        <row r="104">
          <cell r="B104" t="str">
            <v>y/y change - restated</v>
          </cell>
          <cell r="K104">
            <v>0.18565728853474783</v>
          </cell>
          <cell r="L104">
            <v>0.26457569906878398</v>
          </cell>
          <cell r="M104">
            <v>0.28995458624534298</v>
          </cell>
          <cell r="N104">
            <v>0.27232299590403741</v>
          </cell>
          <cell r="O104">
            <v>0.16251729725254571</v>
          </cell>
          <cell r="P104">
            <v>0.24435962189706917</v>
          </cell>
          <cell r="Q104">
            <v>0.15007114591663973</v>
          </cell>
          <cell r="R104">
            <v>0.12885918773914051</v>
          </cell>
          <cell r="S104">
            <v>0.22271277900416964</v>
          </cell>
          <cell r="T104">
            <v>0.305426687828104</v>
          </cell>
          <cell r="U104">
            <v>0.20259687951026439</v>
          </cell>
          <cell r="V104">
            <v>0.18280502122279429</v>
          </cell>
          <cell r="W104">
            <v>0.19766377829237314</v>
          </cell>
          <cell r="X104">
            <v>0.11371135332287197</v>
          </cell>
          <cell r="Y104">
            <v>3.874432379072057E-2</v>
          </cell>
          <cell r="Z104">
            <v>0.13812678626318653</v>
          </cell>
          <cell r="AA104">
            <v>9.5780942588109541E-2</v>
          </cell>
          <cell r="AB104">
            <v>0.10372691978351778</v>
          </cell>
          <cell r="AC104">
            <v>7.9210216958423674E-2</v>
          </cell>
          <cell r="AD104">
            <v>8.5106722012859182E-2</v>
          </cell>
          <cell r="AE104">
            <v>9.2098441398528852E-2</v>
          </cell>
          <cell r="AF104">
            <v>6.434322333157394E-2</v>
          </cell>
          <cell r="AG104">
            <v>0.10890753517519802</v>
          </cell>
          <cell r="AH104">
            <v>0.15833036931649769</v>
          </cell>
          <cell r="AI104">
            <v>0.16703256360365648</v>
          </cell>
          <cell r="AJ104">
            <v>0.12482054805969045</v>
          </cell>
          <cell r="AK104">
            <v>0.13863433169423334</v>
          </cell>
          <cell r="AL104">
            <v>0.11315487389877932</v>
          </cell>
          <cell r="AM104">
            <v>0.69351070607997212</v>
          </cell>
          <cell r="AN104">
            <v>0.95803252412595596</v>
          </cell>
          <cell r="AO104">
            <v>0.54687907749807785</v>
          </cell>
          <cell r="AP104">
            <v>1.0204420537133032</v>
          </cell>
          <cell r="AQ104">
            <v>0.93358231618668541</v>
          </cell>
          <cell r="AR104">
            <v>0.21850273643395202</v>
          </cell>
          <cell r="AS104">
            <v>2.3762225730779907E-2</v>
          </cell>
          <cell r="AT104">
            <v>0.43347088208478946</v>
          </cell>
          <cell r="AU104">
            <v>1.7736809268871223E-3</v>
          </cell>
          <cell r="AV104">
            <v>7.7378218644925667E-2</v>
          </cell>
          <cell r="AW104">
            <v>8.9803937212038942E-2</v>
          </cell>
          <cell r="AX104">
            <v>6.0232788244260593E-2</v>
          </cell>
          <cell r="AY104">
            <v>5.4087911796753652E-2</v>
          </cell>
          <cell r="AZ104">
            <v>4.7320182015616163E-2</v>
          </cell>
          <cell r="BA104">
            <v>5.8621644579830434E-3</v>
          </cell>
          <cell r="BB104">
            <v>-2.4066838093320664E-3</v>
          </cell>
          <cell r="BC104">
            <v>5.1362812327579332E-2</v>
          </cell>
          <cell r="BD104">
            <v>2.504843685339142E-2</v>
          </cell>
          <cell r="BE104">
            <v>4.7049251093933986E-2</v>
          </cell>
          <cell r="BF104">
            <v>5.3155535264763243E-2</v>
          </cell>
          <cell r="BG104">
            <v>4.857727462156225E-2</v>
          </cell>
          <cell r="BH104">
            <v>1.768024616743924E-2</v>
          </cell>
          <cell r="BI104">
            <v>4.5772312847674801E-2</v>
          </cell>
          <cell r="BJ104">
            <v>8.1259850112551213E-2</v>
          </cell>
          <cell r="BK104">
            <v>5.6601842374616185E-2</v>
          </cell>
          <cell r="BL104">
            <v>6.2836925210074002E-2</v>
          </cell>
        </row>
        <row r="113">
          <cell r="B113" t="str">
            <v>Patient Days</v>
          </cell>
          <cell r="D113">
            <v>416845</v>
          </cell>
          <cell r="E113">
            <v>478658</v>
          </cell>
          <cell r="F113">
            <v>548827</v>
          </cell>
          <cell r="G113">
            <v>165743</v>
          </cell>
          <cell r="H113">
            <v>150251</v>
          </cell>
          <cell r="I113">
            <v>152720</v>
          </cell>
          <cell r="J113">
            <v>174515</v>
          </cell>
          <cell r="K113">
            <v>643229</v>
          </cell>
          <cell r="L113">
            <v>210612</v>
          </cell>
          <cell r="M113">
            <v>195922</v>
          </cell>
          <cell r="N113">
            <v>198137</v>
          </cell>
          <cell r="O113">
            <v>204495</v>
          </cell>
          <cell r="P113">
            <v>809166</v>
          </cell>
          <cell r="Q113">
            <v>245252</v>
          </cell>
          <cell r="R113">
            <v>221735</v>
          </cell>
          <cell r="S113">
            <v>249871</v>
          </cell>
          <cell r="T113">
            <v>288854</v>
          </cell>
          <cell r="U113">
            <v>1005712</v>
          </cell>
          <cell r="V113">
            <v>300657</v>
          </cell>
          <cell r="W113">
            <v>279830</v>
          </cell>
          <cell r="X113">
            <v>277216</v>
          </cell>
          <cell r="Y113">
            <v>286112</v>
          </cell>
          <cell r="Z113">
            <v>1143815</v>
          </cell>
          <cell r="AA113">
            <v>320746</v>
          </cell>
          <cell r="AB113">
            <v>293320</v>
          </cell>
          <cell r="AC113">
            <v>286340</v>
          </cell>
          <cell r="AD113">
            <v>304842</v>
          </cell>
          <cell r="AE113">
            <v>1205248</v>
          </cell>
          <cell r="AF113">
            <v>333249</v>
          </cell>
          <cell r="AG113">
            <v>321573</v>
          </cell>
          <cell r="AH113">
            <v>335914</v>
          </cell>
          <cell r="AI113">
            <v>343992</v>
          </cell>
          <cell r="AJ113">
            <v>1334728</v>
          </cell>
          <cell r="AK113">
            <v>364180</v>
          </cell>
          <cell r="AL113">
            <v>353474</v>
          </cell>
          <cell r="AM113">
            <v>598042</v>
          </cell>
          <cell r="AN113">
            <v>694373</v>
          </cell>
          <cell r="AO113">
            <v>2010069</v>
          </cell>
          <cell r="AP113">
            <v>772361</v>
          </cell>
          <cell r="AQ113">
            <v>695023</v>
          </cell>
          <cell r="AR113">
            <v>681204</v>
          </cell>
          <cell r="AS113">
            <v>693614</v>
          </cell>
          <cell r="AT113">
            <v>2842202</v>
          </cell>
          <cell r="AU113">
            <v>734727</v>
          </cell>
          <cell r="AV113">
            <v>731059</v>
          </cell>
          <cell r="AW113">
            <v>730676</v>
          </cell>
          <cell r="AX113">
            <v>733571</v>
          </cell>
          <cell r="AY113">
            <v>2930033</v>
          </cell>
          <cell r="AZ113">
            <v>761225</v>
          </cell>
          <cell r="BA113">
            <v>721659</v>
          </cell>
          <cell r="BB113">
            <v>714576</v>
          </cell>
          <cell r="BC113">
            <v>751416</v>
          </cell>
          <cell r="BD113">
            <v>2948876</v>
          </cell>
          <cell r="BE113">
            <v>792862</v>
          </cell>
          <cell r="BF113">
            <v>737850</v>
          </cell>
          <cell r="BG113">
            <v>717951</v>
          </cell>
          <cell r="BH113">
            <v>732430</v>
          </cell>
          <cell r="BI113">
            <v>2981093</v>
          </cell>
          <cell r="BJ113">
            <v>804412</v>
          </cell>
          <cell r="BK113">
            <v>750686</v>
          </cell>
          <cell r="BL113">
            <v>747616</v>
          </cell>
          <cell r="BM113">
            <v>750517.25097250508</v>
          </cell>
          <cell r="BN113">
            <v>3053231.2509725052</v>
          </cell>
          <cell r="BO113">
            <v>821713.78954323963</v>
          </cell>
          <cell r="BP113">
            <v>767593.02698529686</v>
          </cell>
          <cell r="BQ113">
            <v>764443.36054847192</v>
          </cell>
          <cell r="BR113">
            <v>772361.55916862108</v>
          </cell>
          <cell r="BS113">
            <v>3126111.7362456294</v>
          </cell>
          <cell r="BT113">
            <v>850560.6194338036</v>
          </cell>
          <cell r="BU113">
            <v>790933.11520017497</v>
          </cell>
          <cell r="BV113">
            <v>783099.4406701785</v>
          </cell>
          <cell r="BW113">
            <v>785520.49226649455</v>
          </cell>
          <cell r="BX113">
            <v>3210113.6675706515</v>
          </cell>
          <cell r="BY113">
            <v>862282.04096546501</v>
          </cell>
          <cell r="BZ113">
            <v>802091.92583501269</v>
          </cell>
          <cell r="CA113">
            <v>794210.8069163505</v>
          </cell>
          <cell r="CB113">
            <v>796600.55952184205</v>
          </cell>
          <cell r="CC113">
            <v>3255185.3332386706</v>
          </cell>
          <cell r="CD113">
            <v>875016.46962853021</v>
          </cell>
          <cell r="CE113">
            <v>812613.80715951731</v>
          </cell>
          <cell r="CF113">
            <v>804686.8129874653</v>
          </cell>
          <cell r="CG113">
            <v>805532.64700016181</v>
          </cell>
          <cell r="CH113">
            <v>3297849.7367756749</v>
          </cell>
        </row>
        <row r="124">
          <cell r="B124" t="str">
            <v>y/y change - reported</v>
          </cell>
          <cell r="F124">
            <v>0.1434624986474593</v>
          </cell>
          <cell r="K124">
            <v>0.17521782134056219</v>
          </cell>
          <cell r="L124">
            <v>0.27071429864307994</v>
          </cell>
          <cell r="M124">
            <v>0.3039646990702225</v>
          </cell>
          <cell r="N124">
            <v>0.29738737558931394</v>
          </cell>
          <cell r="O124">
            <v>0.17179039051084444</v>
          </cell>
          <cell r="P124">
            <v>0.25797499801781343</v>
          </cell>
          <cell r="Q124">
            <v>0.16447305946479784</v>
          </cell>
          <cell r="R124">
            <v>0.13175141127591594</v>
          </cell>
          <cell r="S124">
            <v>0.26110216668264874</v>
          </cell>
          <cell r="T124">
            <v>0.4125235335827282</v>
          </cell>
          <cell r="U124">
            <v>0.2428994792168726</v>
          </cell>
          <cell r="V124">
            <v>0.21243894819645481</v>
          </cell>
          <cell r="W124">
            <v>0.26200193925180959</v>
          </cell>
          <cell r="X124">
            <v>0.10943646921811667</v>
          </cell>
          <cell r="Y124">
            <v>-9.4926848857900259E-3</v>
          </cell>
          <cell r="Z124">
            <v>0.13421120798436492</v>
          </cell>
          <cell r="AA124">
            <v>7.8670526362081716E-2</v>
          </cell>
          <cell r="AB124">
            <v>4.8207840474573826E-2</v>
          </cell>
          <cell r="AC124">
            <v>3.2912963176728427E-2</v>
          </cell>
          <cell r="AD124">
            <v>6.5463874286992407E-2</v>
          </cell>
          <cell r="AE124">
            <v>5.6595733851250829E-2</v>
          </cell>
          <cell r="AF124">
            <v>3.8981000542485322E-2</v>
          </cell>
          <cell r="AG124">
            <v>9.6321423701077435E-2</v>
          </cell>
          <cell r="AH124">
            <v>0.17312984563805256</v>
          </cell>
          <cell r="AI124">
            <v>0.12842718523038155</v>
          </cell>
          <cell r="AJ124">
            <v>0.10743017204757854</v>
          </cell>
          <cell r="AK124">
            <v>9.281648257009012E-2</v>
          </cell>
          <cell r="AL124">
            <v>9.9202980349718528E-2</v>
          </cell>
          <cell r="AM124">
            <v>0.78034258768613385</v>
          </cell>
          <cell r="AN124">
            <v>1.0185731063513104</v>
          </cell>
          <cell r="AO124">
            <v>0.50597649858248284</v>
          </cell>
          <cell r="AP124">
            <v>1.0975163833365822</v>
          </cell>
          <cell r="AQ124">
            <v>0.96626343097370659</v>
          </cell>
          <cell r="AR124">
            <v>0.13905712307831219</v>
          </cell>
          <cell r="AS124">
            <v>-1.0930724552942195E-3</v>
          </cell>
          <cell r="AT124">
            <v>0.41011896644594148</v>
          </cell>
          <cell r="AU124">
            <v>-3.8156207611035109E-2</v>
          </cell>
          <cell r="AV124">
            <v>5.1848643857829169E-2</v>
          </cell>
          <cell r="AW124">
            <v>7.2624353350831727E-2</v>
          </cell>
          <cell r="AX124">
            <v>5.7606968717471174E-2</v>
          </cell>
          <cell r="AY124">
            <v>3.3726838441191953E-2</v>
          </cell>
          <cell r="AZ124">
            <v>3.606509628746446E-2</v>
          </cell>
          <cell r="BA124">
            <v>-1.2858059335840277E-2</v>
          </cell>
          <cell r="BB124">
            <v>-2.2034390071659637E-2</v>
          </cell>
          <cell r="BC124">
            <v>2.4326207006547307E-2</v>
          </cell>
          <cell r="BD124">
            <v>6.4309855895821055E-3</v>
          </cell>
          <cell r="BE124">
            <v>4.156064238562851E-2</v>
          </cell>
          <cell r="BF124">
            <v>2.2435804167896478E-2</v>
          </cell>
          <cell r="BG124">
            <v>4.723080540068425E-3</v>
          </cell>
          <cell r="BH124">
            <v>-2.5266962641200097E-2</v>
          </cell>
          <cell r="BI124">
            <v>1.0925179627763182E-2</v>
          </cell>
          <cell r="BJ124">
            <v>3.4183851569475898E-3</v>
          </cell>
          <cell r="BK124">
            <v>1.7396489801450032E-2</v>
          </cell>
          <cell r="BL124">
            <v>4.1318975807541181E-2</v>
          </cell>
          <cell r="BM124">
            <v>2.4694852712894289E-2</v>
          </cell>
          <cell r="BN124">
            <v>2.140023443904715E-2</v>
          </cell>
          <cell r="BO124">
            <v>3.2858712650217337E-2</v>
          </cell>
          <cell r="BP124">
            <v>2.2522102430705848E-2</v>
          </cell>
          <cell r="BQ124">
            <v>2.2508026244050239E-2</v>
          </cell>
          <cell r="BR124">
            <v>2.9105671012638945E-2</v>
          </cell>
          <cell r="BS124">
            <v>2.6675075769490686E-2</v>
          </cell>
          <cell r="BT124">
            <v>3.5105690396894706E-2</v>
          </cell>
          <cell r="BU124">
            <v>3.0406852843030352E-2</v>
          </cell>
          <cell r="BV124">
            <v>2.4404790576402213E-2</v>
          </cell>
          <cell r="BW124">
            <v>1.703727087613971E-2</v>
          </cell>
          <cell r="BX124">
            <v>2.6871058494507327E-2</v>
          </cell>
          <cell r="BY124">
            <v>1.3780818514104398E-2</v>
          </cell>
          <cell r="BZ124">
            <v>1.4108412481899535E-2</v>
          </cell>
          <cell r="CA124">
            <v>1.4188959497484444E-2</v>
          </cell>
          <cell r="CB124">
            <v>1.4105382818693446E-2</v>
          </cell>
          <cell r="CC124">
            <v>1.4040520160810477E-2</v>
          </cell>
          <cell r="CD124">
            <v>3.6169871510483009E-3</v>
          </cell>
          <cell r="CE124">
            <v>1.3118049173167945E-2</v>
          </cell>
          <cell r="CF124">
            <v>1.3190460240385837E-2</v>
          </cell>
          <cell r="CG124">
            <v>1.1212755717471712E-2</v>
          </cell>
          <cell r="CH124">
            <v>1.0338546560429096E-2</v>
          </cell>
        </row>
        <row r="127">
          <cell r="E127">
            <v>0.44461494518457967</v>
          </cell>
          <cell r="F127">
            <v>0.44695300220696615</v>
          </cell>
          <cell r="G127">
            <v>0.53628098103928046</v>
          </cell>
          <cell r="H127">
            <v>0.47154359277734975</v>
          </cell>
          <cell r="I127">
            <v>0.44207723035952062</v>
          </cell>
          <cell r="J127">
            <v>0.45829963129090201</v>
          </cell>
          <cell r="K127">
            <v>0.47214232628980907</v>
          </cell>
          <cell r="L127">
            <v>0.51887657058388759</v>
          </cell>
          <cell r="M127">
            <v>0.47780492920306505</v>
          </cell>
          <cell r="N127">
            <v>0.46704538757999697</v>
          </cell>
          <cell r="O127">
            <v>0.46022500939602151</v>
          </cell>
          <cell r="P127">
            <v>0.48044495870074916</v>
          </cell>
          <cell r="Q127">
            <v>0.52698167128644791</v>
          </cell>
          <cell r="R127">
            <v>0.45152383056580225</v>
          </cell>
          <cell r="S127">
            <v>0.46135368276452904</v>
          </cell>
          <cell r="T127">
            <v>0.50804488532432812</v>
          </cell>
          <cell r="U127">
            <v>0.48693372373425581</v>
          </cell>
          <cell r="V127">
            <v>0.53431278028997775</v>
          </cell>
          <cell r="W127">
            <v>0.49485918008608709</v>
          </cell>
          <cell r="X127">
            <v>0.47523340293420835</v>
          </cell>
          <cell r="Y127">
            <v>0.48645597426533099</v>
          </cell>
          <cell r="Z127">
            <v>0.49905426138232817</v>
          </cell>
          <cell r="AA127">
            <v>0.56372104467643858</v>
          </cell>
          <cell r="AB127">
            <v>0.5163470890343137</v>
          </cell>
          <cell r="AC127">
            <v>0.50094822217090396</v>
          </cell>
          <cell r="AD127">
            <v>0.52119543845851357</v>
          </cell>
          <cell r="AE127">
            <v>0.52337052480005286</v>
          </cell>
          <cell r="AF127">
            <v>0.5694811852763253</v>
          </cell>
          <cell r="AG127">
            <v>0.52734953451264455</v>
          </cell>
          <cell r="AH127">
            <v>0.51934273955405486</v>
          </cell>
          <cell r="AI127">
            <v>0.51473616165485536</v>
          </cell>
          <cell r="AJ127">
            <v>0.53141734597103563</v>
          </cell>
          <cell r="AK127">
            <v>0.55113653560943121</v>
          </cell>
          <cell r="AL127">
            <v>0.51380022094307809</v>
          </cell>
          <cell r="AM127">
            <v>0.6667476815979414</v>
          </cell>
          <cell r="AN127">
            <v>0.57339000293972897</v>
          </cell>
          <cell r="AO127">
            <v>0.56439608462955138</v>
          </cell>
          <cell r="AP127">
            <v>0.57948885511784498</v>
          </cell>
          <cell r="AQ127">
            <v>0.51827878971366237</v>
          </cell>
          <cell r="AR127">
            <v>0.50177151115425922</v>
          </cell>
          <cell r="AS127">
            <v>0.50612799467613134</v>
          </cell>
          <cell r="AT127">
            <v>0.52563181002671477</v>
          </cell>
          <cell r="AU127">
            <v>0.54083496196186243</v>
          </cell>
          <cell r="AV127">
            <v>0.51492583306831941</v>
          </cell>
          <cell r="AW127">
            <v>0.496631467907867</v>
          </cell>
          <cell r="AX127">
            <v>0.50142106817299437</v>
          </cell>
          <cell r="AY127">
            <v>0.51412115225008814</v>
          </cell>
          <cell r="AZ127">
            <v>0.53111808826094531</v>
          </cell>
          <cell r="BA127">
            <v>0.49680931441307324</v>
          </cell>
          <cell r="BB127">
            <v>0.48479420995428701</v>
          </cell>
          <cell r="BC127">
            <v>0.49965223242842838</v>
          </cell>
          <cell r="BD127">
            <v>0.50171473196094662</v>
          </cell>
          <cell r="BE127">
            <v>0.53018643342427652</v>
          </cell>
          <cell r="BF127">
            <v>0.48805138942677689</v>
          </cell>
          <cell r="BG127">
            <v>0.47069062501229253</v>
          </cell>
          <cell r="BH127">
            <v>0.47708968970898979</v>
          </cell>
          <cell r="BI127">
            <v>0.4906923616182895</v>
          </cell>
          <cell r="BJ127">
            <v>0.5195234973665771</v>
          </cell>
          <cell r="BK127">
            <v>0.47991719723641296</v>
          </cell>
          <cell r="BL127">
            <v>0.47171654203083629</v>
          </cell>
        </row>
        <row r="130">
          <cell r="B130" t="str">
            <v>y/y change - reported</v>
          </cell>
          <cell r="D130" t="str">
            <v>N/A</v>
          </cell>
          <cell r="E130" t="str">
            <v>N/A</v>
          </cell>
          <cell r="F130">
            <v>8.0000000000000002E-3</v>
          </cell>
          <cell r="G130">
            <v>2.1000000000000001E-2</v>
          </cell>
          <cell r="H130">
            <v>5.8000000000000003E-2</v>
          </cell>
          <cell r="I130">
            <v>9.6000000000000002E-2</v>
          </cell>
          <cell r="J130">
            <v>5.7000000000000002E-2</v>
          </cell>
          <cell r="K130">
            <v>5.6000000000000001E-2</v>
          </cell>
          <cell r="L130">
            <v>4.7E-2</v>
          </cell>
          <cell r="M130">
            <v>5.5275743647826614E-2</v>
          </cell>
          <cell r="N130">
            <v>6.9588126250631044E-2</v>
          </cell>
          <cell r="O130">
            <v>6.5800278773059828E-2</v>
          </cell>
          <cell r="P130">
            <v>5.0999999999999997E-2</v>
          </cell>
          <cell r="Q130">
            <v>9.2999999999999999E-2</v>
          </cell>
          <cell r="R130">
            <v>6.9514549394751324E-2</v>
          </cell>
          <cell r="S130">
            <v>3.5000000000000003E-2</v>
          </cell>
          <cell r="T130">
            <v>2.1393621620942493E-2</v>
          </cell>
          <cell r="U130">
            <v>5.3741799436927806E-2</v>
          </cell>
          <cell r="V130">
            <v>2.2846246677991067E-2</v>
          </cell>
          <cell r="W130">
            <v>4.2138695222410538E-2</v>
          </cell>
          <cell r="X130">
            <v>7.1020648266088671E-2</v>
          </cell>
          <cell r="Y130">
            <v>8.5627208012226896E-2</v>
          </cell>
          <cell r="Z130">
            <v>5.4888504045053521E-2</v>
          </cell>
          <cell r="AA130">
            <v>7.6353974902321209E-2</v>
          </cell>
          <cell r="AB130">
            <v>0.10202681439088868</v>
          </cell>
          <cell r="AC130">
            <v>8.1048070659223592E-2</v>
          </cell>
          <cell r="AD130">
            <v>8.5532228527517074E-2</v>
          </cell>
          <cell r="AE130">
            <v>8.6134669606888981E-2</v>
          </cell>
          <cell r="AF130">
            <v>5.8409910426784561E-2</v>
          </cell>
          <cell r="AG130">
            <v>3.3198807720955514E-2</v>
          </cell>
          <cell r="AH130">
            <v>1.5306802397172081E-2</v>
          </cell>
          <cell r="AI130">
            <v>-1.1870287146065195E-4</v>
          </cell>
          <cell r="AJ130">
            <v>2.6542329905781203E-2</v>
          </cell>
          <cell r="AK130">
            <v>3.0115709673646185E-2</v>
          </cell>
          <cell r="AL130">
            <v>2.5755903469322439E-2</v>
          </cell>
          <cell r="AM130">
            <v>0.23126780793445767</v>
          </cell>
          <cell r="AN130">
            <v>0.12879795522971382</v>
          </cell>
          <cell r="AO130">
            <v>0.12310169594346498</v>
          </cell>
          <cell r="AP130">
            <v>0.15115804584241554</v>
          </cell>
          <cell r="AQ130">
            <v>0.17124876349827556</v>
          </cell>
          <cell r="AR130">
            <v>1.9002386583679476E-2</v>
          </cell>
          <cell r="AS130">
            <v>0.11490382036143432</v>
          </cell>
          <cell r="AT130">
            <v>8.9781209603250201E-2</v>
          </cell>
          <cell r="AU130">
            <v>0.12168243804961731</v>
          </cell>
          <cell r="AV130">
            <v>5.8828032415914278E-2</v>
          </cell>
          <cell r="AW130">
            <v>5.1719620216394091E-2</v>
          </cell>
          <cell r="AX130">
            <v>6.0975817307310498E-2</v>
          </cell>
          <cell r="AY130">
            <v>7.348089350887399E-2</v>
          </cell>
          <cell r="AZ130">
            <v>2.2206237982412169E-2</v>
          </cell>
          <cell r="BA130">
            <v>5.0780456107889727E-2</v>
          </cell>
          <cell r="BB130">
            <v>4.2910881974328019E-2</v>
          </cell>
          <cell r="BC130">
            <v>4.4759046263099345E-2</v>
          </cell>
          <cell r="BD130">
            <v>4.0275861020950154E-2</v>
          </cell>
          <cell r="BE130">
            <v>3.566647124733513E-2</v>
          </cell>
          <cell r="BF130">
            <v>4.8565271583207892E-2</v>
          </cell>
          <cell r="BG130">
            <v>3.7728268202348314E-3</v>
          </cell>
          <cell r="BH130">
            <v>-2.4111767832532549E-2</v>
          </cell>
          <cell r="BI130">
            <v>1.5497538327950533E-2</v>
          </cell>
          <cell r="BJ130">
            <v>2.9147038736984099E-2</v>
          </cell>
          <cell r="BK130">
            <v>3.8334646609773149E-2</v>
          </cell>
          <cell r="BL130">
            <v>1.5175246555583888E-2</v>
          </cell>
          <cell r="BM130">
            <v>1.4009344735739226E-2</v>
          </cell>
          <cell r="BN130">
            <v>2.4292976037308511E-2</v>
          </cell>
          <cell r="BO130">
            <v>3.2029535585058611E-3</v>
          </cell>
          <cell r="BP130">
            <v>2.4022449731628814E-2</v>
          </cell>
          <cell r="BQ130">
            <v>2.3494992646433843E-2</v>
          </cell>
          <cell r="BR130">
            <v>2.1272615345941492E-2</v>
          </cell>
          <cell r="BS130">
            <v>1.7768795069855514E-2</v>
          </cell>
          <cell r="BT130">
            <v>-8.9953328081666672E-3</v>
          </cell>
          <cell r="BU130">
            <v>-6.7603589776744633E-3</v>
          </cell>
          <cell r="BV130">
            <v>-7.1601846211937215E-3</v>
          </cell>
          <cell r="BW130">
            <v>-5.080879444788966E-3</v>
          </cell>
          <cell r="BX130">
            <v>-6.9793718458281973E-3</v>
          </cell>
          <cell r="BY130">
            <v>9.1082774181547865E-3</v>
          </cell>
          <cell r="BZ130">
            <v>1.0072947299675228E-2</v>
          </cell>
          <cell r="CA130">
            <v>9.8082682192637272E-3</v>
          </cell>
          <cell r="CB130">
            <v>1.2723149284791901E-2</v>
          </cell>
          <cell r="CC130">
            <v>1.0398803063473183E-2</v>
          </cell>
          <cell r="CD130">
            <v>1.294161232187907E-2</v>
          </cell>
          <cell r="CE130">
            <v>1.3670976566311888E-2</v>
          </cell>
          <cell r="CF130">
            <v>1.3439290656860559E-2</v>
          </cell>
          <cell r="CG130">
            <v>1.3579559028624288E-2</v>
          </cell>
          <cell r="CH130">
            <v>1.3402299921649208E-2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C2" t="str">
            <v>CYH Q1 Comps Table</v>
          </cell>
          <cell r="J2" t="str">
            <v>Trends (actual)</v>
          </cell>
        </row>
        <row r="3">
          <cell r="C3" t="str">
            <v>($ millions)</v>
          </cell>
          <cell r="D3" t="str">
            <v>4Q11A</v>
          </cell>
          <cell r="E3" t="str">
            <v>1Q11A</v>
          </cell>
          <cell r="F3" t="str">
            <v>1Q12E</v>
          </cell>
          <cell r="G3" t="str">
            <v>1Q12A</v>
          </cell>
          <cell r="I3" t="str">
            <v>A vs. E</v>
          </cell>
          <cell r="J3" t="str">
            <v>YOY Δ</v>
          </cell>
          <cell r="K3" t="str">
            <v>Q-Q Δ</v>
          </cell>
        </row>
        <row r="5">
          <cell r="C5" t="str">
            <v>Net Revenue</v>
          </cell>
          <cell r="D5">
            <v>3442.5140000000001</v>
          </cell>
          <cell r="E5">
            <v>3433.8290000000002</v>
          </cell>
          <cell r="F5">
            <v>3436</v>
          </cell>
          <cell r="G5">
            <v>3436</v>
          </cell>
          <cell r="I5">
            <v>0</v>
          </cell>
          <cell r="J5">
            <v>6.3223882144392007E-4</v>
          </cell>
          <cell r="K5">
            <v>-1.8922217890762205E-3</v>
          </cell>
        </row>
        <row r="6">
          <cell r="C6" t="str">
            <v>Salaries &amp; benefits</v>
          </cell>
          <cell r="D6">
            <v>1421.31</v>
          </cell>
          <cell r="E6">
            <v>1384.096</v>
          </cell>
          <cell r="F6">
            <v>1393.1510000000001</v>
          </cell>
          <cell r="G6">
            <v>1393.1510000000001</v>
          </cell>
          <cell r="I6">
            <v>0</v>
          </cell>
          <cell r="J6">
            <v>6.5421762652302373E-3</v>
          </cell>
          <cell r="K6">
            <v>-1.9812004418458984E-2</v>
          </cell>
        </row>
        <row r="7">
          <cell r="C7" t="str">
            <v>Provision for bad debt</v>
          </cell>
          <cell r="D7">
            <v>436.68900000000002</v>
          </cell>
          <cell r="E7">
            <v>433.00200000000001</v>
          </cell>
          <cell r="F7">
            <v>450.29599999999999</v>
          </cell>
          <cell r="G7">
            <v>450.29599999999999</v>
          </cell>
          <cell r="I7">
            <v>0</v>
          </cell>
          <cell r="J7">
            <v>3.9939769331319486E-2</v>
          </cell>
          <cell r="K7">
            <v>3.1159475049749252E-2</v>
          </cell>
        </row>
        <row r="8">
          <cell r="C8" t="str">
            <v>Supplies</v>
          </cell>
          <cell r="D8">
            <v>467.86399999999998</v>
          </cell>
          <cell r="E8">
            <v>449.279</v>
          </cell>
          <cell r="F8">
            <v>459.14600000000002</v>
          </cell>
          <cell r="G8">
            <v>459.14600000000002</v>
          </cell>
          <cell r="I8">
            <v>0</v>
          </cell>
          <cell r="J8">
            <v>2.196185443788834E-2</v>
          </cell>
          <cell r="K8">
            <v>-1.8633620026332398E-2</v>
          </cell>
        </row>
        <row r="9">
          <cell r="C9" t="str">
            <v>Other operating expenses</v>
          </cell>
          <cell r="D9">
            <v>622.50099999999998</v>
          </cell>
          <cell r="E9">
            <v>654.73699999999997</v>
          </cell>
          <cell r="F9">
            <v>623.60799999999995</v>
          </cell>
          <cell r="G9">
            <v>623.60799999999995</v>
          </cell>
          <cell r="I9">
            <v>0</v>
          </cell>
          <cell r="J9">
            <v>-4.7544281138839017E-2</v>
          </cell>
          <cell r="K9">
            <v>1.7783103962885072E-3</v>
          </cell>
        </row>
        <row r="10">
          <cell r="C10" t="str">
            <v>EBITDAR</v>
          </cell>
          <cell r="D10" t="e">
            <v>#REF!</v>
          </cell>
          <cell r="E10" t="e">
            <v>#REF!</v>
          </cell>
          <cell r="F10" t="e">
            <v>#REF!</v>
          </cell>
          <cell r="G10">
            <v>509.79899999999998</v>
          </cell>
          <cell r="I10" t="e">
            <v>#REF!</v>
          </cell>
          <cell r="J10" t="e">
            <v>#REF!</v>
          </cell>
          <cell r="K10" t="e">
            <v>#REF!</v>
          </cell>
        </row>
        <row r="11">
          <cell r="C11" t="str">
            <v>Rent expense</v>
          </cell>
          <cell r="D11">
            <v>64.698999999999998</v>
          </cell>
          <cell r="E11">
            <v>62.430999999999997</v>
          </cell>
          <cell r="F11">
            <v>64.480999999999995</v>
          </cell>
          <cell r="G11">
            <v>64.480999999999995</v>
          </cell>
          <cell r="I11">
            <v>0</v>
          </cell>
          <cell r="J11">
            <v>3.2836251221348256E-2</v>
          </cell>
          <cell r="K11">
            <v>-3.3694492959706057E-3</v>
          </cell>
        </row>
        <row r="12">
          <cell r="C12" t="str">
            <v>EBITDA</v>
          </cell>
          <cell r="D12" t="e">
            <v>#REF!</v>
          </cell>
          <cell r="E12" t="e">
            <v>#REF!</v>
          </cell>
          <cell r="F12" t="e">
            <v>#REF!</v>
          </cell>
          <cell r="G12">
            <v>445.31799999999998</v>
          </cell>
          <cell r="I12" t="e">
            <v>#REF!</v>
          </cell>
          <cell r="J12" t="e">
            <v>#REF!</v>
          </cell>
          <cell r="K12" t="e">
            <v>#REF!</v>
          </cell>
        </row>
        <row r="13">
          <cell r="C13" t="str">
            <v>Depreciation &amp; amortization</v>
          </cell>
          <cell r="D13">
            <v>171.62799999999999</v>
          </cell>
          <cell r="E13">
            <v>161.376</v>
          </cell>
          <cell r="F13">
            <v>161.51499999999999</v>
          </cell>
          <cell r="G13">
            <v>161.51499999999999</v>
          </cell>
          <cell r="I13">
            <v>0</v>
          </cell>
          <cell r="J13">
            <v>8.6134245488778127E-4</v>
          </cell>
          <cell r="K13">
            <v>-5.892395180273613E-2</v>
          </cell>
        </row>
        <row r="14">
          <cell r="C14" t="str">
            <v>Minority interest in earnings</v>
          </cell>
          <cell r="D14">
            <v>22.189</v>
          </cell>
          <cell r="E14">
            <v>18.158000000000001</v>
          </cell>
          <cell r="F14">
            <v>18.327000000000002</v>
          </cell>
          <cell r="G14">
            <v>18.327000000000002</v>
          </cell>
          <cell r="I14">
            <v>0</v>
          </cell>
          <cell r="J14">
            <v>9.3071924220728963E-3</v>
          </cell>
          <cell r="K14">
            <v>-0.17405020505655944</v>
          </cell>
        </row>
        <row r="15">
          <cell r="C15" t="str">
            <v>Operating income</v>
          </cell>
          <cell r="D15">
            <v>280.99300000000011</v>
          </cell>
          <cell r="E15">
            <v>288.90800000000013</v>
          </cell>
          <cell r="F15">
            <v>283.80300000000068</v>
          </cell>
          <cell r="G15">
            <v>265.476</v>
          </cell>
          <cell r="I15">
            <v>-6.4576484392344868E-2</v>
          </cell>
          <cell r="J15">
            <v>-8.1105403796364661E-2</v>
          </cell>
          <cell r="K15">
            <v>-5.5222016206809776E-2</v>
          </cell>
        </row>
        <row r="16">
          <cell r="C16" t="str">
            <v>Interest expense, net</v>
          </cell>
          <cell r="D16">
            <v>158.482</v>
          </cell>
          <cell r="E16">
            <v>163.22999999999999</v>
          </cell>
          <cell r="F16">
            <v>159.47999999999999</v>
          </cell>
          <cell r="G16">
            <v>159.47999999999999</v>
          </cell>
          <cell r="I16">
            <v>0</v>
          </cell>
          <cell r="J16">
            <v>-2.2973718066531923E-2</v>
          </cell>
          <cell r="K16">
            <v>6.2972451130096641E-3</v>
          </cell>
        </row>
        <row r="17">
          <cell r="C17" t="str">
            <v>Equity gains (losses) of affiliates</v>
          </cell>
          <cell r="D17">
            <v>11.146000000000001</v>
          </cell>
          <cell r="E17">
            <v>12.016999999999999</v>
          </cell>
          <cell r="F17">
            <v>8.1940000000000008</v>
          </cell>
          <cell r="G17">
            <v>8.1940000000000008</v>
          </cell>
          <cell r="I17">
            <v>0</v>
          </cell>
          <cell r="J17">
            <v>-0.31813264541898967</v>
          </cell>
          <cell r="K17">
            <v>-0.26484837609904899</v>
          </cell>
        </row>
        <row r="18">
          <cell r="C18" t="str">
            <v>(Loss)/gain from early retirement of debt</v>
          </cell>
          <cell r="D18">
            <v>-66.019000000000005</v>
          </cell>
          <cell r="E18">
            <v>0</v>
          </cell>
          <cell r="F18">
            <v>0</v>
          </cell>
        </row>
        <row r="19">
          <cell r="C19" t="str">
            <v>Gain (loss) from hospital sales</v>
          </cell>
          <cell r="D19">
            <v>0</v>
          </cell>
          <cell r="E19">
            <v>0</v>
          </cell>
          <cell r="F19">
            <v>0</v>
          </cell>
        </row>
        <row r="20">
          <cell r="C20" t="str">
            <v>Pretax income</v>
          </cell>
          <cell r="D20">
            <v>67.638000000000105</v>
          </cell>
          <cell r="E20">
            <v>137.69500000000014</v>
          </cell>
          <cell r="F20">
            <v>132.51700000000068</v>
          </cell>
          <cell r="G20">
            <v>114.19000000000001</v>
          </cell>
          <cell r="I20">
            <v>-0.13829923707902059</v>
          </cell>
          <cell r="J20">
            <v>-0.17070336613529979</v>
          </cell>
          <cell r="K20">
            <v>0.68825216594221938</v>
          </cell>
        </row>
        <row r="21">
          <cell r="C21" t="str">
            <v>Tax expense (benefit)</v>
          </cell>
          <cell r="D21">
            <v>12.023</v>
          </cell>
          <cell r="E21">
            <v>44.820999999999998</v>
          </cell>
          <cell r="F21">
            <v>36.716999999999999</v>
          </cell>
          <cell r="G21">
            <v>36.716999999999999</v>
          </cell>
          <cell r="I21">
            <v>0</v>
          </cell>
          <cell r="J21">
            <v>-0.18080810334441444</v>
          </cell>
          <cell r="K21">
            <v>2.0538966979955084</v>
          </cell>
        </row>
        <row r="22">
          <cell r="C22" t="str">
            <v>Early retirement of debt, net</v>
          </cell>
          <cell r="D22" t="e">
            <v>#REF!</v>
          </cell>
          <cell r="E22" t="e">
            <v>#REF!</v>
          </cell>
          <cell r="F22" t="e">
            <v>#REF!</v>
          </cell>
        </row>
        <row r="23">
          <cell r="C23" t="str">
            <v>Net income from continuing operations</v>
          </cell>
          <cell r="D23">
            <v>55.615000000000109</v>
          </cell>
          <cell r="E23">
            <v>92.874000000000137</v>
          </cell>
          <cell r="F23">
            <v>95.800000000000679</v>
          </cell>
          <cell r="G23">
            <v>77.473000000000013</v>
          </cell>
          <cell r="I23">
            <v>-0.19130480167015174</v>
          </cell>
          <cell r="J23">
            <v>-0.16582681913129727</v>
          </cell>
          <cell r="K23">
            <v>0.39302346489256257</v>
          </cell>
        </row>
        <row r="24">
          <cell r="C24" t="str">
            <v>Total non-operating adjustments</v>
          </cell>
          <cell r="D24">
            <v>-2.4950000000000001</v>
          </cell>
          <cell r="E24">
            <v>0</v>
          </cell>
          <cell r="G24">
            <v>3.85</v>
          </cell>
        </row>
        <row r="25">
          <cell r="C25" t="str">
            <v>Discontinued Operations:</v>
          </cell>
        </row>
        <row r="26">
          <cell r="C26" t="str">
            <v>(Loss)/income of discontinued operations</v>
          </cell>
        </row>
        <row r="27">
          <cell r="C27" t="str">
            <v>Impairment on discontinued operations</v>
          </cell>
        </row>
        <row r="28">
          <cell r="C28" t="str">
            <v>(Loss)/gain on sale</v>
          </cell>
        </row>
        <row r="29">
          <cell r="C29" t="str">
            <v>Discontinued operations, net</v>
          </cell>
        </row>
        <row r="30">
          <cell r="C30" t="str">
            <v xml:space="preserve">Add: Convertible notes interest, net </v>
          </cell>
        </row>
        <row r="31">
          <cell r="C31" t="str">
            <v>Reported Net income/(loss) -- (GAAP)</v>
          </cell>
          <cell r="D31">
            <v>53.120000000000111</v>
          </cell>
          <cell r="E31">
            <v>53.547000000000139</v>
          </cell>
          <cell r="F31">
            <v>92.631000000000682</v>
          </cell>
          <cell r="I31">
            <v>-1</v>
          </cell>
          <cell r="J31">
            <v>-1</v>
          </cell>
          <cell r="K31">
            <v>-1</v>
          </cell>
        </row>
        <row r="32">
          <cell r="C32" t="str">
            <v>Non-operating Adjustments</v>
          </cell>
        </row>
        <row r="33">
          <cell r="C33" t="str">
            <v>Discontinued operations, net</v>
          </cell>
        </row>
        <row r="34">
          <cell r="C34" t="str">
            <v>Compliance settlement &amp; Y2K redemption, net</v>
          </cell>
        </row>
        <row r="35">
          <cell r="C35" t="str">
            <v>Loss (gain) from hospital sales, net</v>
          </cell>
        </row>
        <row r="36">
          <cell r="C36" t="str">
            <v>Impairment of long-lived assets and relocation costs, net</v>
          </cell>
        </row>
        <row r="37">
          <cell r="C37" t="str">
            <v>Cumulative effect of a change in accounting principle</v>
          </cell>
        </row>
        <row r="38">
          <cell r="C38" t="str">
            <v>Other "one time" items</v>
          </cell>
        </row>
        <row r="39">
          <cell r="C39" t="str">
            <v>Early retirement of debt, net</v>
          </cell>
        </row>
        <row r="40">
          <cell r="C40" t="str">
            <v>Total non-operating adjustments</v>
          </cell>
          <cell r="D40">
            <v>44.494999999999997</v>
          </cell>
          <cell r="E40">
            <v>0</v>
          </cell>
          <cell r="F40">
            <v>-6.6000000000000003E-2</v>
          </cell>
        </row>
        <row r="41">
          <cell r="C41" t="str">
            <v>Operating net income</v>
          </cell>
          <cell r="D41">
            <v>75.426000000000101</v>
          </cell>
          <cell r="E41">
            <v>92.874000000000137</v>
          </cell>
          <cell r="F41">
            <v>77.473000000000681</v>
          </cell>
          <cell r="G41">
            <v>81.323000000000008</v>
          </cell>
          <cell r="I41">
            <v>4.9694732358360971E-2</v>
          </cell>
          <cell r="J41">
            <v>-0.12437280616749691</v>
          </cell>
          <cell r="K41">
            <v>7.8182589557975968E-2</v>
          </cell>
        </row>
        <row r="44">
          <cell r="C44" t="str">
            <v>Operating EPS - Fully Diluted</v>
          </cell>
          <cell r="D44">
            <v>0.84830285444362086</v>
          </cell>
          <cell r="E44" t="e">
            <v>#REF!</v>
          </cell>
          <cell r="F44">
            <v>0.8621754270866675</v>
          </cell>
          <cell r="G44">
            <v>0.90459399332591772</v>
          </cell>
          <cell r="I44">
            <v>4.9199460929412631E-2</v>
          </cell>
          <cell r="J44" t="e">
            <v>#REF!</v>
          </cell>
          <cell r="K44">
            <v>6.6357361156372363E-2</v>
          </cell>
        </row>
        <row r="45">
          <cell r="C45" t="str">
            <v>Reported GAAP EPS, (Cont Ops)</v>
          </cell>
          <cell r="D45">
            <v>0.34787547517826339</v>
          </cell>
          <cell r="E45">
            <v>0.38556944599927861</v>
          </cell>
          <cell r="F45">
            <v>0.8269085092128583</v>
          </cell>
          <cell r="I45">
            <v>-1</v>
          </cell>
          <cell r="J45">
            <v>-1</v>
          </cell>
          <cell r="K45">
            <v>-1</v>
          </cell>
        </row>
        <row r="46">
          <cell r="C46" t="str">
            <v>Weighted avg. shares, fully diluted</v>
          </cell>
          <cell r="D46" t="e">
            <v>#REF!</v>
          </cell>
          <cell r="E46" t="e">
            <v>#REF!</v>
          </cell>
          <cell r="F46" t="e">
            <v>#REF!</v>
          </cell>
          <cell r="G46">
            <v>89.9</v>
          </cell>
          <cell r="I46" t="e">
            <v>#REF!</v>
          </cell>
          <cell r="J46" t="e">
            <v>#REF!</v>
          </cell>
          <cell r="K46" t="e">
            <v>#REF!</v>
          </cell>
        </row>
        <row r="48">
          <cell r="C48" t="str">
            <v>Ratios / Margins</v>
          </cell>
        </row>
        <row r="49">
          <cell r="C49" t="str">
            <v xml:space="preserve">SWB </v>
          </cell>
          <cell r="D49">
            <v>0.41286978063124796</v>
          </cell>
          <cell r="E49">
            <v>0.40307656554825527</v>
          </cell>
          <cell r="F49">
            <v>0.40545721769499421</v>
          </cell>
          <cell r="G49">
            <v>0.40545721769499421</v>
          </cell>
          <cell r="I49">
            <v>0</v>
          </cell>
          <cell r="J49">
            <v>20</v>
          </cell>
          <cell r="K49">
            <v>-70</v>
          </cell>
        </row>
        <row r="50">
          <cell r="C50" t="str">
            <v xml:space="preserve">Bad debt </v>
          </cell>
          <cell r="D50">
            <v>0.1268517716994034</v>
          </cell>
          <cell r="E50">
            <v>0.12609888261762597</v>
          </cell>
          <cell r="F50">
            <v>0.13105238649592549</v>
          </cell>
          <cell r="G50">
            <v>0.13105238649592549</v>
          </cell>
          <cell r="I50">
            <v>0</v>
          </cell>
          <cell r="J50">
            <v>50</v>
          </cell>
          <cell r="K50">
            <v>40</v>
          </cell>
        </row>
        <row r="51">
          <cell r="C51" t="str">
            <v>Supplies expense</v>
          </cell>
          <cell r="D51">
            <v>0.13590765353459708</v>
          </cell>
          <cell r="E51">
            <v>0.13083907206794512</v>
          </cell>
          <cell r="F51">
            <v>0.13362805587892898</v>
          </cell>
          <cell r="G51">
            <v>0.13362805587892898</v>
          </cell>
          <cell r="I51">
            <v>0</v>
          </cell>
          <cell r="J51">
            <v>30</v>
          </cell>
          <cell r="K51">
            <v>-20</v>
          </cell>
        </row>
        <row r="52">
          <cell r="C52" t="str">
            <v xml:space="preserve">Other op exp </v>
          </cell>
          <cell r="D52">
            <v>0.18082744180561067</v>
          </cell>
          <cell r="E52">
            <v>0.19067256989209419</v>
          </cell>
          <cell r="F52">
            <v>0.18149243306169963</v>
          </cell>
          <cell r="G52">
            <v>0.18149243306169963</v>
          </cell>
          <cell r="I52">
            <v>0</v>
          </cell>
          <cell r="J52">
            <v>-90</v>
          </cell>
          <cell r="K52">
            <v>10</v>
          </cell>
        </row>
        <row r="53">
          <cell r="C53" t="str">
            <v xml:space="preserve">Rent exp </v>
          </cell>
          <cell r="D53">
            <v>1.8794113836574085E-2</v>
          </cell>
          <cell r="E53">
            <v>1.8181161612881712E-2</v>
          </cell>
          <cell r="F53">
            <v>1.8766298020954596E-2</v>
          </cell>
          <cell r="G53">
            <v>1.8766298020954596E-2</v>
          </cell>
          <cell r="I53">
            <v>0</v>
          </cell>
          <cell r="J53">
            <v>10</v>
          </cell>
          <cell r="K53">
            <v>0</v>
          </cell>
        </row>
        <row r="54">
          <cell r="C54" t="str">
            <v xml:space="preserve">D&amp;A </v>
          </cell>
          <cell r="D54">
            <v>4.9855425424558904E-2</v>
          </cell>
          <cell r="E54">
            <v>4.6995933693844395E-2</v>
          </cell>
          <cell r="F54">
            <v>4.7006693830034918E-2</v>
          </cell>
          <cell r="G54">
            <v>4.7006693830034918E-2</v>
          </cell>
          <cell r="I54">
            <v>0</v>
          </cell>
          <cell r="J54">
            <v>0</v>
          </cell>
          <cell r="K54">
            <v>-30</v>
          </cell>
        </row>
        <row r="56">
          <cell r="C56" t="str">
            <v>EBITDAR</v>
          </cell>
          <cell r="D56" t="e">
            <v>#REF!</v>
          </cell>
          <cell r="E56" t="e">
            <v>#REF!</v>
          </cell>
          <cell r="F56" t="e">
            <v>#REF!</v>
          </cell>
          <cell r="G56">
            <v>0.1483699068684517</v>
          </cell>
          <cell r="I56" t="e">
            <v>#REF!</v>
          </cell>
          <cell r="J56" t="e">
            <v>#REF!</v>
          </cell>
          <cell r="K56" t="e">
            <v>#REF!</v>
          </cell>
        </row>
        <row r="57">
          <cell r="C57" t="str">
            <v>EBITDA</v>
          </cell>
          <cell r="D57" t="e">
            <v>#REF!</v>
          </cell>
          <cell r="E57" t="e">
            <v>#REF!</v>
          </cell>
          <cell r="F57" t="e">
            <v>#REF!</v>
          </cell>
          <cell r="G57">
            <v>0.12960360884749708</v>
          </cell>
          <cell r="I57" t="e">
            <v>#REF!</v>
          </cell>
          <cell r="J57" t="e">
            <v>#REF!</v>
          </cell>
          <cell r="K57" t="e">
            <v>#REF!</v>
          </cell>
        </row>
        <row r="58">
          <cell r="C58" t="str">
            <v>EBIT</v>
          </cell>
          <cell r="D58">
            <v>8.1624359407107744E-2</v>
          </cell>
          <cell r="E58">
            <v>8.4135814567353265E-2</v>
          </cell>
          <cell r="F58">
            <v>8.2596915017462358E-2</v>
          </cell>
          <cell r="G58">
            <v>7.726309662398137E-2</v>
          </cell>
          <cell r="I58">
            <v>-50</v>
          </cell>
          <cell r="J58">
            <v>-70</v>
          </cell>
          <cell r="K58">
            <v>-40</v>
          </cell>
        </row>
        <row r="59">
          <cell r="C59" t="str">
            <v>Pretax income</v>
          </cell>
          <cell r="D59">
            <v>1.9647850379112503E-2</v>
          </cell>
          <cell r="E59">
            <v>4.0099550676518873E-2</v>
          </cell>
          <cell r="F59">
            <v>3.8567229336437914E-2</v>
          </cell>
          <cell r="G59">
            <v>3.3233410942956933E-2</v>
          </cell>
          <cell r="I59">
            <v>-50</v>
          </cell>
          <cell r="J59">
            <v>-70</v>
          </cell>
          <cell r="K59">
            <v>140</v>
          </cell>
        </row>
        <row r="60">
          <cell r="C60" t="str">
            <v>Operating net income</v>
          </cell>
          <cell r="D60">
            <v>2.1910150546954957E-2</v>
          </cell>
          <cell r="E60">
            <v>2.7046774897643455E-2</v>
          </cell>
          <cell r="F60">
            <v>2.2547438882421618E-2</v>
          </cell>
          <cell r="G60">
            <v>2.366792782305006E-2</v>
          </cell>
          <cell r="I60">
            <v>10</v>
          </cell>
          <cell r="J60">
            <v>-30</v>
          </cell>
          <cell r="K60">
            <v>20</v>
          </cell>
        </row>
        <row r="61">
          <cell r="C61" t="str">
            <v>Tax Rate</v>
          </cell>
          <cell r="D61">
            <v>0.3283838439802757</v>
          </cell>
          <cell r="E61">
            <v>0.32449619412553871</v>
          </cell>
          <cell r="F61">
            <v>0.27707388486005424</v>
          </cell>
          <cell r="G61">
            <v>0.32154304229792446</v>
          </cell>
          <cell r="I61">
            <v>440</v>
          </cell>
          <cell r="J61">
            <v>-30</v>
          </cell>
          <cell r="K61">
            <v>-70</v>
          </cell>
        </row>
        <row r="64">
          <cell r="I64">
            <v>528.12600000000066</v>
          </cell>
          <cell r="J64">
            <v>509.79899999999998</v>
          </cell>
          <cell r="M64">
            <v>10.386188828911022</v>
          </cell>
        </row>
        <row r="65">
          <cell r="J65">
            <v>-3.4701946126493799E-2</v>
          </cell>
          <cell r="M65">
            <v>9.8948865861797763</v>
          </cell>
        </row>
        <row r="66">
          <cell r="M66">
            <v>4.9652134812484761E-2</v>
          </cell>
        </row>
        <row r="68">
          <cell r="M68">
            <v>10386.188828911023</v>
          </cell>
        </row>
        <row r="69">
          <cell r="M69">
            <v>1.1547082206664783E-2</v>
          </cell>
        </row>
      </sheetData>
      <sheetData sheetId="18" refreshError="1">
        <row r="1">
          <cell r="A1" t="str">
            <v>Company Guidance</v>
          </cell>
        </row>
        <row r="2">
          <cell r="A2" t="str">
            <v>Revenues</v>
          </cell>
          <cell r="C2" t="str">
            <v>11.8 - 12 billion</v>
          </cell>
        </row>
        <row r="3">
          <cell r="A3" t="str">
            <v>EBITDA</v>
          </cell>
          <cell r="C3" t="str">
            <v>1.635 to 1.665</v>
          </cell>
        </row>
        <row r="4">
          <cell r="A4" t="str">
            <v>EPS</v>
          </cell>
          <cell r="C4" t="str">
            <v>$2.50 to 2.65</v>
          </cell>
        </row>
        <row r="6">
          <cell r="A6" t="str">
            <v>Same store admissions / adjusted admissions growth</v>
          </cell>
          <cell r="G6" t="str">
            <v>-1% to 1%</v>
          </cell>
        </row>
        <row r="7">
          <cell r="A7" t="str">
            <v>Weigted average shares</v>
          </cell>
          <cell r="G7" t="str">
            <v>91 to 93 mm</v>
          </cell>
        </row>
        <row r="8">
          <cell r="A8" t="str">
            <v>Bad Debt 11.8% to 12.5%</v>
          </cell>
        </row>
        <row r="9">
          <cell r="A9" t="str">
            <v>D&amp;A is 4.6% to 4.8%</v>
          </cell>
        </row>
        <row r="10">
          <cell r="A10" t="str">
            <v>NI attrib. to MI expected to be 0.4% to 0.6%</v>
          </cell>
        </row>
        <row r="11">
          <cell r="A11" t="str">
            <v>Taxes 31.5% to 33.5%</v>
          </cell>
        </row>
        <row r="12">
          <cell r="A12" t="str">
            <v>Cap ex</v>
          </cell>
          <cell r="B12" t="str">
            <v>$600 to 650</v>
          </cell>
        </row>
        <row r="13">
          <cell r="A13" t="str">
            <v>OCF</v>
          </cell>
          <cell r="B13" t="str">
            <v>950 to 1000</v>
          </cell>
        </row>
        <row r="15">
          <cell r="A15" t="str">
            <v>Included in the above guidance are estimated 2.5% to 3.0% increases in Medicare inpatient reimbursement effective October 1, 2008, and Medicare outpatient reimbursement effective January 1, 2009. Moreover, the guidance reflects 0% to 1% increase in Medica</v>
          </cell>
        </row>
        <row r="17">
          <cell r="A17" t="str">
            <v>Consenses Estimates</v>
          </cell>
          <cell r="E17" t="str">
            <v>Q409</v>
          </cell>
          <cell r="F17">
            <v>2009</v>
          </cell>
          <cell r="G17">
            <v>2010</v>
          </cell>
          <cell r="H17">
            <v>2011</v>
          </cell>
        </row>
        <row r="18">
          <cell r="A18" t="str">
            <v>Revenues</v>
          </cell>
          <cell r="E18">
            <v>3083</v>
          </cell>
          <cell r="F18">
            <v>12070</v>
          </cell>
          <cell r="G18">
            <v>12896</v>
          </cell>
          <cell r="H18">
            <v>13471</v>
          </cell>
        </row>
        <row r="19">
          <cell r="A19" t="str">
            <v>EBITDA</v>
          </cell>
          <cell r="E19">
            <v>421</v>
          </cell>
          <cell r="F19">
            <v>1647</v>
          </cell>
          <cell r="G19">
            <v>1737</v>
          </cell>
          <cell r="H19">
            <v>1794</v>
          </cell>
        </row>
        <row r="20">
          <cell r="A20" t="str">
            <v>EPS</v>
          </cell>
          <cell r="E20">
            <v>0.69</v>
          </cell>
          <cell r="F20">
            <v>2.62</v>
          </cell>
          <cell r="G20">
            <v>2.94</v>
          </cell>
          <cell r="H20">
            <v>3.27</v>
          </cell>
        </row>
        <row r="21">
          <cell r="A21" t="str">
            <v>CapEx</v>
          </cell>
          <cell r="F21">
            <v>595</v>
          </cell>
          <cell r="G21">
            <v>654</v>
          </cell>
          <cell r="H21">
            <v>729</v>
          </cell>
        </row>
        <row r="22">
          <cell r="A22" t="str">
            <v>Net Debt</v>
          </cell>
          <cell r="F22">
            <v>8499</v>
          </cell>
          <cell r="G22">
            <v>8274</v>
          </cell>
          <cell r="H22">
            <v>8331</v>
          </cell>
        </row>
        <row r="24">
          <cell r="A24" t="str">
            <v>Key operating strengths including physician recruitment and retention,
ER management and acquisitions. Has also consolidated well historically</v>
          </cell>
        </row>
        <row r="26">
          <cell r="A26" t="str">
            <v>Q3 Call</v>
          </cell>
        </row>
        <row r="28">
          <cell r="A28" t="str">
            <v>Q409</v>
          </cell>
        </row>
        <row r="29">
          <cell r="C29" t="str">
            <v>Guidance</v>
          </cell>
          <cell r="E29" t="str">
            <v>MS</v>
          </cell>
          <cell r="F29" t="str">
            <v>Consensus</v>
          </cell>
          <cell r="H29" t="str">
            <v>Actual</v>
          </cell>
        </row>
        <row r="30">
          <cell r="A30" t="str">
            <v>Revenue</v>
          </cell>
          <cell r="C30" t="str">
            <v>$3 - $3.2 billion</v>
          </cell>
          <cell r="E30">
            <v>3091.1460000000002</v>
          </cell>
          <cell r="F30">
            <v>3086.75</v>
          </cell>
        </row>
        <row r="31">
          <cell r="A31" t="str">
            <v>EPS</v>
          </cell>
          <cell r="C31" t="str">
            <v>$0.63 - $0.71</v>
          </cell>
          <cell r="E31">
            <v>0.75350327403748263</v>
          </cell>
          <cell r="F31">
            <v>0.69</v>
          </cell>
        </row>
        <row r="32">
          <cell r="A32" t="str">
            <v>Bad Debt</v>
          </cell>
          <cell r="C32" t="str">
            <v>12-12.4%</v>
          </cell>
          <cell r="E32">
            <v>0.12348818205286971</v>
          </cell>
        </row>
        <row r="36">
          <cell r="A36" t="str">
            <v>2009 Guidance</v>
          </cell>
        </row>
        <row r="37">
          <cell r="A37" t="str">
            <v>Revenue</v>
          </cell>
          <cell r="C37" t="str">
            <v>$12-12.2 billion</v>
          </cell>
        </row>
        <row r="38">
          <cell r="A38" t="str">
            <v>Adjusted EBITDA</v>
          </cell>
          <cell r="C38" t="str">
            <v>1.645 to 1.665 billion</v>
          </cell>
        </row>
        <row r="39">
          <cell r="A39" t="str">
            <v>EPS</v>
          </cell>
          <cell r="C39" t="str">
            <v>2.57 to 2.65</v>
          </cell>
        </row>
        <row r="40">
          <cell r="A40" t="str">
            <v>OCF</v>
          </cell>
          <cell r="C40" t="str">
            <v>1 billion to 1.1</v>
          </cell>
        </row>
        <row r="41">
          <cell r="A41" t="str">
            <v>Capex</v>
          </cell>
          <cell r="C41" t="str">
            <v>600 to 625mm, below 2008 levels</v>
          </cell>
        </row>
        <row r="43">
          <cell r="A43" t="str">
            <v>2010 Guidance</v>
          </cell>
        </row>
        <row r="44">
          <cell r="A44" t="str">
            <v>Revenue</v>
          </cell>
          <cell r="C44" t="str">
            <v>12.8 to 13.2 billion (assumes two acquistions)</v>
          </cell>
        </row>
        <row r="45">
          <cell r="A45" t="str">
            <v>Adjusted EBITDA</v>
          </cell>
        </row>
        <row r="46">
          <cell r="A46" t="str">
            <v>EPS</v>
          </cell>
          <cell r="C46" t="str">
            <v>2.80 to 3</v>
          </cell>
        </row>
        <row r="48">
          <cell r="A48" t="str">
            <v>Q4 Earnings Call</v>
          </cell>
        </row>
        <row r="49">
          <cell r="A49" t="str">
            <v>Recruiting target is 1700 physisicians for 2010</v>
          </cell>
        </row>
        <row r="50">
          <cell r="A50" t="str">
            <v>Admissions growth of 0-2%</v>
          </cell>
        </row>
        <row r="51">
          <cell r="A51" t="str">
            <v>No updates to New Mexico false claims case</v>
          </cell>
        </row>
        <row r="52">
          <cell r="A52" t="str">
            <v>Normalized admissions should have been down 0.3% as opposed to 0.6%</v>
          </cell>
        </row>
        <row r="53">
          <cell r="A53" t="str">
            <v>Flu admissions were down</v>
          </cell>
        </row>
        <row r="54">
          <cell r="A54" t="str">
            <v>Adjusted admissions increased reflecting strong outpatient growth</v>
          </cell>
        </row>
        <row r="55">
          <cell r="A55" t="str">
            <v>Medicare case mix increased because of surgery increases</v>
          </cell>
        </row>
        <row r="56">
          <cell r="A56" t="str">
            <v>Full year admissions would have been flat if adjusting for strong flu season, service closures, and leap year (adjusted up 2%)</v>
          </cell>
        </row>
        <row r="57">
          <cell r="A57" t="str">
            <v>Same store Medicare case rate increased 1.9% YoY</v>
          </cell>
        </row>
        <row r="58">
          <cell r="A58" t="str">
            <v>All in bad debt increased 150 bps yoy</v>
          </cell>
        </row>
        <row r="59">
          <cell r="A59" t="str">
            <v>Assuming 1 percent decline in Medicaid spend. 2009 rates were around flat</v>
          </cell>
        </row>
        <row r="60">
          <cell r="A60" t="str">
            <v>Acquisition market heating up given b/c NFP having problems with economic downturn (investments going south)</v>
          </cell>
        </row>
        <row r="61">
          <cell r="A61" t="str">
            <v>Thinks pricing could stay within 4-5% range</v>
          </cell>
        </row>
        <row r="62">
          <cell r="A62" t="str">
            <v>Continue to give salary increases, 401K matches, etc</v>
          </cell>
        </row>
        <row r="63">
          <cell r="A63" t="str">
            <v>2010 same store margin improvement should be around 30 bps as opposed to the 50bps seen this yeaer</v>
          </cell>
        </row>
        <row r="64">
          <cell r="A64" t="str">
            <v>Cash taxes in 2010 will be up by about 2010</v>
          </cell>
        </row>
        <row r="65">
          <cell r="A65" t="str">
            <v>Going to test out some Elec.HR in a few hospitals</v>
          </cell>
        </row>
        <row r="66">
          <cell r="A66" t="str">
            <v>Have integreatd about half of triad hospitals</v>
          </cell>
        </row>
        <row r="67">
          <cell r="A67" t="str">
            <v>90% of pricing is done for 2010</v>
          </cell>
        </row>
        <row r="73">
          <cell r="I73" t="str">
            <v>Low</v>
          </cell>
          <cell r="J73" t="str">
            <v>High</v>
          </cell>
        </row>
        <row r="74">
          <cell r="G74" t="str">
            <v>Net Revenues</v>
          </cell>
          <cell r="I74">
            <v>12700</v>
          </cell>
          <cell r="J74">
            <v>13100</v>
          </cell>
        </row>
      </sheetData>
      <sheetData sheetId="19" refreshError="1">
        <row r="3">
          <cell r="A3" t="str">
            <v>Hospital</v>
          </cell>
          <cell r="B3" t="str">
            <v>City</v>
          </cell>
          <cell r="C3" t="str">
            <v>State</v>
          </cell>
          <cell r="D3" t="str">
            <v>Licensed Beds</v>
          </cell>
          <cell r="E3" t="str">
            <v>Date of Acquisition/Lease Inception</v>
          </cell>
          <cell r="F3" t="str">
            <v>Ownership Type</v>
          </cell>
          <cell r="G3" t="str">
            <v>% of Total Beds</v>
          </cell>
          <cell r="H3" t="str">
            <v>State % of Total Beds</v>
          </cell>
          <cell r="I3" t="str">
            <v>Top 5</v>
          </cell>
          <cell r="J3" t="str">
            <v>Texas</v>
          </cell>
          <cell r="K3">
            <v>0.1416095455699416</v>
          </cell>
        </row>
        <row r="4">
          <cell r="A4" t="str">
            <v>LV Stabler Memorial Hospital</v>
          </cell>
          <cell r="B4" t="str">
            <v>Greenville</v>
          </cell>
          <cell r="C4" t="str">
            <v>Alabama</v>
          </cell>
          <cell r="D4">
            <v>72</v>
          </cell>
          <cell r="E4" t="str">
            <v>October, 1994</v>
          </cell>
          <cell r="F4" t="str">
            <v>Owned</v>
          </cell>
          <cell r="G4">
            <v>3.6557501904036557E-3</v>
          </cell>
          <cell r="H4">
            <v>9.007362274689007E-2</v>
          </cell>
          <cell r="J4" t="str">
            <v>Pennsylvania</v>
          </cell>
          <cell r="K4">
            <v>0.11175425234831177</v>
          </cell>
        </row>
        <row r="5">
          <cell r="A5" t="str">
            <v>South Baldwin Regional Medical Center</v>
          </cell>
          <cell r="B5" t="str">
            <v>Foley</v>
          </cell>
          <cell r="C5" t="str">
            <v>Alabama</v>
          </cell>
          <cell r="D5">
            <v>112</v>
          </cell>
          <cell r="E5" t="str">
            <v>June, 2000</v>
          </cell>
          <cell r="F5" t="str">
            <v>Leased</v>
          </cell>
          <cell r="G5">
            <v>5.6867225184056864E-3</v>
          </cell>
          <cell r="H5">
            <v>9.007362274689007E-2</v>
          </cell>
          <cell r="J5" t="str">
            <v>Alabama</v>
          </cell>
          <cell r="K5">
            <v>9.007362274689007E-2</v>
          </cell>
        </row>
        <row r="6">
          <cell r="A6" t="str">
            <v>Cherokee Medical Center</v>
          </cell>
          <cell r="B6" t="str">
            <v>Centre</v>
          </cell>
          <cell r="C6" t="str">
            <v>Alabama</v>
          </cell>
          <cell r="D6">
            <v>60</v>
          </cell>
          <cell r="E6" t="str">
            <v>April, 2006</v>
          </cell>
          <cell r="F6" t="str">
            <v>Owned</v>
          </cell>
          <cell r="G6">
            <v>3.0464584920030465E-3</v>
          </cell>
          <cell r="H6">
            <v>9.007362274689007E-2</v>
          </cell>
          <cell r="J6" t="str">
            <v>Tennessee</v>
          </cell>
          <cell r="K6">
            <v>7.5653719218075649E-2</v>
          </cell>
        </row>
        <row r="7">
          <cell r="A7" t="str">
            <v>Dekalb Regional Medical Center</v>
          </cell>
          <cell r="B7" t="str">
            <v>Fort Payne</v>
          </cell>
          <cell r="C7" t="str">
            <v>Alabama</v>
          </cell>
          <cell r="D7">
            <v>134</v>
          </cell>
          <cell r="E7" t="str">
            <v>April, 2006</v>
          </cell>
          <cell r="F7" t="str">
            <v>Owned</v>
          </cell>
          <cell r="G7">
            <v>6.8037572988068036E-3</v>
          </cell>
          <cell r="H7">
            <v>9.007362274689007E-2</v>
          </cell>
          <cell r="J7" t="str">
            <v>Indiana</v>
          </cell>
          <cell r="K7">
            <v>6.4483371414064489E-2</v>
          </cell>
        </row>
        <row r="8">
          <cell r="A8" t="str">
            <v>Trinity Medical Center</v>
          </cell>
          <cell r="B8" t="str">
            <v>Birmingham</v>
          </cell>
          <cell r="C8" t="str">
            <v>Alabama</v>
          </cell>
          <cell r="D8">
            <v>534</v>
          </cell>
          <cell r="E8" t="str">
            <v>July, 2007</v>
          </cell>
          <cell r="F8" t="str">
            <v>Owned</v>
          </cell>
          <cell r="G8">
            <v>2.7113480578827114E-2</v>
          </cell>
          <cell r="H8">
            <v>9.007362274689007E-2</v>
          </cell>
          <cell r="J8" t="str">
            <v>OTHER</v>
          </cell>
          <cell r="K8">
            <v>0.51642548870271632</v>
          </cell>
        </row>
        <row r="9">
          <cell r="A9" t="str">
            <v>Flowers Hospital</v>
          </cell>
          <cell r="B9" t="str">
            <v>Dothan</v>
          </cell>
          <cell r="C9" t="str">
            <v>Alabama</v>
          </cell>
          <cell r="D9">
            <v>235</v>
          </cell>
          <cell r="E9" t="str">
            <v>July, 2007</v>
          </cell>
          <cell r="F9" t="str">
            <v>Owned</v>
          </cell>
          <cell r="G9">
            <v>1.1931962427011932E-2</v>
          </cell>
          <cell r="H9">
            <v>9.007362274689007E-2</v>
          </cell>
        </row>
        <row r="10">
          <cell r="A10" t="str">
            <v>Medical Center Enterprise</v>
          </cell>
          <cell r="B10" t="str">
            <v>Enterprise</v>
          </cell>
          <cell r="C10" t="str">
            <v>Alabama</v>
          </cell>
          <cell r="D10">
            <v>131</v>
          </cell>
          <cell r="E10" t="str">
            <v>July, 2007</v>
          </cell>
          <cell r="F10" t="str">
            <v>Owned</v>
          </cell>
          <cell r="G10">
            <v>6.6514343742066512E-3</v>
          </cell>
          <cell r="H10">
            <v>9.007362274689007E-2</v>
          </cell>
          <cell r="I10" t="str">
            <v>Other</v>
          </cell>
          <cell r="J10" t="str">
            <v>Illinois</v>
          </cell>
          <cell r="K10">
            <v>5.8492003046458498E-2</v>
          </cell>
        </row>
        <row r="11">
          <cell r="A11" t="str">
            <v>Gadsden Regional Medical Center</v>
          </cell>
          <cell r="B11" t="str">
            <v>Gadsden</v>
          </cell>
          <cell r="C11" t="str">
            <v>Alabama</v>
          </cell>
          <cell r="D11">
            <v>346</v>
          </cell>
          <cell r="E11" t="str">
            <v>July, 2007</v>
          </cell>
          <cell r="F11" t="str">
            <v>Owned</v>
          </cell>
          <cell r="G11">
            <v>1.7567910637217569E-2</v>
          </cell>
          <cell r="H11">
            <v>9.007362274689007E-2</v>
          </cell>
          <cell r="J11" t="str">
            <v>South Carolina</v>
          </cell>
          <cell r="K11">
            <v>5.8136582889058139E-2</v>
          </cell>
        </row>
        <row r="12">
          <cell r="A12" t="str">
            <v>Crestwood Medical Center</v>
          </cell>
          <cell r="B12" t="str">
            <v>Huntsville</v>
          </cell>
          <cell r="C12" t="str">
            <v>Alabama</v>
          </cell>
          <cell r="D12">
            <v>150</v>
          </cell>
          <cell r="E12" t="str">
            <v>July, 2007</v>
          </cell>
          <cell r="F12" t="str">
            <v>Owned</v>
          </cell>
          <cell r="G12">
            <v>7.6161462300076161E-3</v>
          </cell>
          <cell r="H12">
            <v>9.007362274689007E-2</v>
          </cell>
          <cell r="J12" t="str">
            <v>Arkansas</v>
          </cell>
          <cell r="K12">
            <v>5.3769992383853771E-2</v>
          </cell>
        </row>
        <row r="13">
          <cell r="A13" t="str">
            <v>Mat-Su Regional Medical Center</v>
          </cell>
          <cell r="B13" t="str">
            <v>Palmer</v>
          </cell>
          <cell r="C13" t="str">
            <v>Alaska</v>
          </cell>
          <cell r="D13">
            <v>74</v>
          </cell>
          <cell r="E13" t="str">
            <v>July, 2007</v>
          </cell>
          <cell r="F13" t="str">
            <v>Owned</v>
          </cell>
          <cell r="G13">
            <v>3.7572988068037571E-3</v>
          </cell>
          <cell r="H13">
            <v>3.7572988068037571E-3</v>
          </cell>
          <cell r="J13" t="str">
            <v>Ohio</v>
          </cell>
          <cell r="K13">
            <v>5.0825082508250824E-2</v>
          </cell>
        </row>
        <row r="14">
          <cell r="A14" t="str">
            <v>Payson Regional Medical Center</v>
          </cell>
          <cell r="B14" t="str">
            <v>Payson</v>
          </cell>
          <cell r="C14" t="str">
            <v>Arizona</v>
          </cell>
          <cell r="D14">
            <v>44</v>
          </cell>
          <cell r="E14" t="str">
            <v>August, 1997</v>
          </cell>
          <cell r="F14" t="str">
            <v>Leased</v>
          </cell>
          <cell r="G14">
            <v>2.2340695608022341E-3</v>
          </cell>
          <cell r="H14">
            <v>3.1835491241431833E-2</v>
          </cell>
          <cell r="J14" t="str">
            <v>New Mexico</v>
          </cell>
          <cell r="K14">
            <v>3.8029956841838033E-2</v>
          </cell>
        </row>
        <row r="15">
          <cell r="A15" t="str">
            <v>Western Arizona Regional Medical Center</v>
          </cell>
          <cell r="B15" t="str">
            <v>Bullhead City</v>
          </cell>
          <cell r="C15" t="str">
            <v>Arizona</v>
          </cell>
          <cell r="D15">
            <v>139</v>
          </cell>
          <cell r="E15" t="str">
            <v>July, 2000</v>
          </cell>
          <cell r="F15" t="str">
            <v>Owned</v>
          </cell>
          <cell r="G15">
            <v>7.0576288398070579E-3</v>
          </cell>
          <cell r="H15">
            <v>3.1835491241431833E-2</v>
          </cell>
          <cell r="J15" t="str">
            <v>Arizona</v>
          </cell>
          <cell r="K15">
            <v>3.183549124143184E-2</v>
          </cell>
        </row>
        <row r="16">
          <cell r="A16" t="str">
            <v>Northwest Medical Center</v>
          </cell>
          <cell r="B16" t="str">
            <v>Tucson</v>
          </cell>
          <cell r="C16" t="str">
            <v>Arizona</v>
          </cell>
          <cell r="D16">
            <v>300</v>
          </cell>
          <cell r="E16" t="str">
            <v>July, 2007</v>
          </cell>
          <cell r="F16" t="str">
            <v>Owned</v>
          </cell>
          <cell r="G16">
            <v>1.5232292460015232E-2</v>
          </cell>
          <cell r="H16">
            <v>3.1835491241431833E-2</v>
          </cell>
          <cell r="J16" t="str">
            <v>Mississippi</v>
          </cell>
          <cell r="K16">
            <v>2.8027418126428026E-2</v>
          </cell>
        </row>
        <row r="17">
          <cell r="A17" t="str">
            <v>Northwest Medical Center Oro Valley</v>
          </cell>
          <cell r="B17" t="str">
            <v>Oro Valley</v>
          </cell>
          <cell r="C17" t="str">
            <v>Arizona</v>
          </cell>
          <cell r="D17">
            <v>144</v>
          </cell>
          <cell r="E17" t="str">
            <v>July, 2007</v>
          </cell>
          <cell r="F17" t="str">
            <v>Owned</v>
          </cell>
          <cell r="G17">
            <v>7.3115003808073113E-3</v>
          </cell>
          <cell r="H17">
            <v>3.1835491241431833E-2</v>
          </cell>
          <cell r="J17" t="str">
            <v>Oklahoma</v>
          </cell>
          <cell r="K17">
            <v>2.6301091647626302E-2</v>
          </cell>
        </row>
        <row r="18">
          <cell r="A18" t="str">
            <v>Harris Hospital</v>
          </cell>
          <cell r="B18" t="str">
            <v>Newport</v>
          </cell>
          <cell r="C18" t="str">
            <v>Arkansas</v>
          </cell>
          <cell r="D18">
            <v>133</v>
          </cell>
          <cell r="E18" t="str">
            <v>October, 1994</v>
          </cell>
          <cell r="F18" t="str">
            <v>Owned</v>
          </cell>
          <cell r="G18">
            <v>6.7529829906067531E-3</v>
          </cell>
          <cell r="H18">
            <v>5.3769992383853771E-2</v>
          </cell>
          <cell r="J18" t="str">
            <v>Washington</v>
          </cell>
          <cell r="K18">
            <v>2.5945671490225947E-2</v>
          </cell>
        </row>
        <row r="19">
          <cell r="A19" t="str">
            <v>Helena Regional Medical Center</v>
          </cell>
          <cell r="B19" t="str">
            <v>Helena</v>
          </cell>
          <cell r="C19" t="str">
            <v>Arkansas</v>
          </cell>
          <cell r="D19">
            <v>155</v>
          </cell>
          <cell r="E19" t="str">
            <v>March, 2002</v>
          </cell>
          <cell r="F19" t="str">
            <v>Leased</v>
          </cell>
          <cell r="G19">
            <v>7.8700177710078704E-3</v>
          </cell>
          <cell r="H19">
            <v>5.3769992383853771E-2</v>
          </cell>
          <cell r="J19" t="str">
            <v>Virginia</v>
          </cell>
          <cell r="K19">
            <v>2.4625539477024627E-2</v>
          </cell>
        </row>
        <row r="20">
          <cell r="A20" t="str">
            <v>Forrest City Medical Center</v>
          </cell>
          <cell r="B20" t="str">
            <v>Forrest City</v>
          </cell>
          <cell r="C20" t="str">
            <v>Arkansas</v>
          </cell>
          <cell r="D20">
            <v>118</v>
          </cell>
          <cell r="E20" t="str">
            <v>March, 2006</v>
          </cell>
          <cell r="F20" t="str">
            <v>Leased</v>
          </cell>
          <cell r="G20">
            <v>5.9913683676059912E-3</v>
          </cell>
          <cell r="H20">
            <v>5.3769992383853771E-2</v>
          </cell>
          <cell r="J20" t="str">
            <v>West Virginia</v>
          </cell>
          <cell r="K20">
            <v>1.9649657273419649E-2</v>
          </cell>
        </row>
        <row r="21">
          <cell r="A21" t="str">
            <v>Northwest Medical Center — Bentonville</v>
          </cell>
          <cell r="B21" t="str">
            <v>Bentonville</v>
          </cell>
          <cell r="C21" t="str">
            <v>Arkansas</v>
          </cell>
          <cell r="D21">
            <v>128</v>
          </cell>
          <cell r="E21" t="str">
            <v>July, 2007</v>
          </cell>
          <cell r="F21" t="str">
            <v>Owned</v>
          </cell>
          <cell r="G21">
            <v>6.4991114496064989E-3</v>
          </cell>
          <cell r="H21">
            <v>5.3769992383853771E-2</v>
          </cell>
          <cell r="J21" t="str">
            <v>Louisiana</v>
          </cell>
          <cell r="K21">
            <v>1.5587712617415588E-2</v>
          </cell>
        </row>
        <row r="22">
          <cell r="A22" t="str">
            <v>Northwest Medical Center — Springdale</v>
          </cell>
          <cell r="B22" t="str">
            <v>Springdale</v>
          </cell>
          <cell r="C22" t="str">
            <v>Arkansas</v>
          </cell>
          <cell r="D22">
            <v>222</v>
          </cell>
          <cell r="E22" t="str">
            <v>July, 2007</v>
          </cell>
          <cell r="F22" t="str">
            <v>Owned</v>
          </cell>
          <cell r="G22">
            <v>1.1271896420411272E-2</v>
          </cell>
          <cell r="H22">
            <v>5.3769992383853771E-2</v>
          </cell>
          <cell r="J22" t="str">
            <v>Georgia</v>
          </cell>
          <cell r="K22">
            <v>1.4267580604214267E-2</v>
          </cell>
        </row>
        <row r="23">
          <cell r="A23" t="str">
            <v>Willow Creek Women's Hospital</v>
          </cell>
          <cell r="B23" t="str">
            <v>Johnson</v>
          </cell>
          <cell r="C23" t="str">
            <v>Arkansas</v>
          </cell>
          <cell r="D23">
            <v>64</v>
          </cell>
          <cell r="E23" t="str">
            <v>July, 2007</v>
          </cell>
          <cell r="F23" t="str">
            <v>Owned</v>
          </cell>
          <cell r="G23">
            <v>3.2495557248032494E-3</v>
          </cell>
          <cell r="H23">
            <v>5.3769992383853771E-2</v>
          </cell>
          <cell r="J23" t="str">
            <v>Florida</v>
          </cell>
          <cell r="K23">
            <v>1.370906321401371E-2</v>
          </cell>
        </row>
        <row r="24">
          <cell r="A24" t="str">
            <v>Siloam Springs Memorial Hospital</v>
          </cell>
          <cell r="B24" t="str">
            <v>Siloam Springs</v>
          </cell>
          <cell r="C24" t="str">
            <v>Arkansas</v>
          </cell>
          <cell r="D24">
            <v>73</v>
          </cell>
          <cell r="E24" t="str">
            <v>February, 2009</v>
          </cell>
          <cell r="F24" t="str">
            <v>Leased</v>
          </cell>
          <cell r="G24">
            <v>3.7065244986037066E-3</v>
          </cell>
          <cell r="H24">
            <v>5.3769992383853771E-2</v>
          </cell>
          <cell r="J24" t="str">
            <v>Missouri</v>
          </cell>
          <cell r="K24">
            <v>1.0967250571210967E-2</v>
          </cell>
        </row>
        <row r="25">
          <cell r="A25" t="str">
            <v>Medical Center of South Arkansas</v>
          </cell>
          <cell r="B25" t="str">
            <v>El Dorado</v>
          </cell>
          <cell r="C25" t="str">
            <v>Arkansas</v>
          </cell>
          <cell r="D25">
            <v>166</v>
          </cell>
          <cell r="E25" t="str">
            <v>April, 2009</v>
          </cell>
          <cell r="F25" t="str">
            <v>Leased</v>
          </cell>
          <cell r="G25">
            <v>8.4285351612084277E-3</v>
          </cell>
          <cell r="H25">
            <v>5.3769992383853771E-2</v>
          </cell>
          <cell r="J25" t="str">
            <v>Kentucky</v>
          </cell>
          <cell r="K25">
            <v>1.0916476263010916E-2</v>
          </cell>
        </row>
        <row r="26">
          <cell r="A26" t="str">
            <v>Barstow Community Hospital</v>
          </cell>
          <cell r="B26" t="str">
            <v>Barstow</v>
          </cell>
          <cell r="C26" t="str">
            <v>California</v>
          </cell>
          <cell r="D26">
            <v>56</v>
          </cell>
          <cell r="E26" t="str">
            <v>January, 1993</v>
          </cell>
          <cell r="F26" t="str">
            <v>Leased</v>
          </cell>
          <cell r="G26">
            <v>2.8433612592028432E-3</v>
          </cell>
          <cell r="H26">
            <v>1.0611830413810612E-2</v>
          </cell>
          <cell r="J26" t="str">
            <v>California</v>
          </cell>
          <cell r="K26">
            <v>1.0611830413810613E-2</v>
          </cell>
        </row>
        <row r="27">
          <cell r="A27" t="str">
            <v>Fallbrook Hospital</v>
          </cell>
          <cell r="B27" t="str">
            <v>Fallbrook</v>
          </cell>
          <cell r="C27" t="str">
            <v>California</v>
          </cell>
          <cell r="D27">
            <v>47</v>
          </cell>
          <cell r="E27" t="str">
            <v>November, 1998</v>
          </cell>
          <cell r="F27" t="str">
            <v>Operated (2)</v>
          </cell>
          <cell r="G27">
            <v>2.3863924854023865E-3</v>
          </cell>
          <cell r="H27">
            <v>1.0611830413810612E-2</v>
          </cell>
          <cell r="J27" t="str">
            <v>New Jersey</v>
          </cell>
          <cell r="K27">
            <v>7.1084031480071084E-3</v>
          </cell>
        </row>
        <row r="28">
          <cell r="A28" t="str">
            <v>Watsonville Community Hospital</v>
          </cell>
          <cell r="B28" t="str">
            <v>Watsonville</v>
          </cell>
          <cell r="C28" t="str">
            <v>California</v>
          </cell>
          <cell r="D28">
            <v>106</v>
          </cell>
          <cell r="E28" t="str">
            <v>September, 1998</v>
          </cell>
          <cell r="F28" t="str">
            <v>Owned</v>
          </cell>
          <cell r="G28">
            <v>5.3820766692053825E-3</v>
          </cell>
          <cell r="H28">
            <v>1.0611830413810612E-2</v>
          </cell>
          <cell r="J28" t="str">
            <v>Oregon</v>
          </cell>
          <cell r="K28">
            <v>5.7374968266057378E-3</v>
          </cell>
        </row>
        <row r="29">
          <cell r="A29" t="str">
            <v>Lake Wales Medical Center</v>
          </cell>
          <cell r="B29" t="str">
            <v>Lake Wales</v>
          </cell>
          <cell r="C29" t="str">
            <v>Florida</v>
          </cell>
          <cell r="D29">
            <v>160</v>
          </cell>
          <cell r="E29" t="str">
            <v>December, 2002</v>
          </cell>
          <cell r="F29" t="str">
            <v>Owned</v>
          </cell>
          <cell r="G29">
            <v>8.1238893120081247E-3</v>
          </cell>
          <cell r="H29">
            <v>1.3709063214013708E-2</v>
          </cell>
          <cell r="J29" t="str">
            <v>Alaska</v>
          </cell>
          <cell r="K29">
            <v>3.7572988068037571E-3</v>
          </cell>
        </row>
        <row r="30">
          <cell r="A30" t="str">
            <v>North Okaloosa Medical Center</v>
          </cell>
          <cell r="B30" t="str">
            <v>Crestview</v>
          </cell>
          <cell r="C30" t="str">
            <v>Florida</v>
          </cell>
          <cell r="D30">
            <v>110</v>
          </cell>
          <cell r="E30" t="str">
            <v>March, 1996</v>
          </cell>
          <cell r="F30" t="str">
            <v>Owned</v>
          </cell>
          <cell r="G30">
            <v>5.5851739020055854E-3</v>
          </cell>
          <cell r="H30">
            <v>1.3709063214013708E-2</v>
          </cell>
          <cell r="J30" t="str">
            <v>North Carolina</v>
          </cell>
          <cell r="K30">
            <v>2.4879411018024879E-3</v>
          </cell>
        </row>
        <row r="31">
          <cell r="A31" t="str">
            <v>Fannin Regional Hospital</v>
          </cell>
          <cell r="B31" t="str">
            <v>Blue Ridge</v>
          </cell>
          <cell r="C31" t="str">
            <v>Georgia</v>
          </cell>
          <cell r="D31">
            <v>50</v>
          </cell>
          <cell r="E31" t="str">
            <v>January, 1986</v>
          </cell>
          <cell r="F31" t="str">
            <v>Owned</v>
          </cell>
          <cell r="G31">
            <v>2.5387154100025388E-3</v>
          </cell>
          <cell r="H31">
            <v>1.4267580604214267E-2</v>
          </cell>
          <cell r="J31" t="str">
            <v>Utah</v>
          </cell>
          <cell r="K31">
            <v>2.2340695608022341E-3</v>
          </cell>
        </row>
        <row r="32">
          <cell r="A32" t="str">
            <v>Trinity Hospital of Augusta</v>
          </cell>
          <cell r="B32" t="str">
            <v>Augusta</v>
          </cell>
          <cell r="C32" t="str">
            <v>Georgia</v>
          </cell>
          <cell r="D32">
            <v>231</v>
          </cell>
          <cell r="E32" t="str">
            <v>July, 2007</v>
          </cell>
          <cell r="F32" t="str">
            <v>Leased</v>
          </cell>
          <cell r="G32">
            <v>1.1728865194211728E-2</v>
          </cell>
          <cell r="H32">
            <v>1.4267580604214267E-2</v>
          </cell>
          <cell r="J32" t="str">
            <v>Wyoming</v>
          </cell>
          <cell r="K32">
            <v>2.1325209444021326E-3</v>
          </cell>
        </row>
        <row r="33">
          <cell r="A33" t="str">
            <v>Crossroads Community Hospital</v>
          </cell>
          <cell r="B33" t="str">
            <v>Mt. Vernon</v>
          </cell>
          <cell r="C33" t="str">
            <v>Illinois</v>
          </cell>
          <cell r="D33">
            <v>57</v>
          </cell>
          <cell r="E33" t="str">
            <v>October, 1994</v>
          </cell>
          <cell r="F33" t="str">
            <v>Owned</v>
          </cell>
          <cell r="G33">
            <v>2.8941355674028941E-3</v>
          </cell>
          <cell r="H33">
            <v>5.8492003046458491E-2</v>
          </cell>
          <cell r="J33" t="str">
            <v>Nevada</v>
          </cell>
          <cell r="K33">
            <v>1.2693577050012694E-3</v>
          </cell>
        </row>
        <row r="34">
          <cell r="A34" t="str">
            <v>Gateway Regional Medical Center</v>
          </cell>
          <cell r="B34" t="str">
            <v>Granite City</v>
          </cell>
          <cell r="C34" t="str">
            <v>Illinois</v>
          </cell>
          <cell r="D34">
            <v>367</v>
          </cell>
          <cell r="E34" t="str">
            <v>January, 2002</v>
          </cell>
          <cell r="F34" t="str">
            <v>Owned</v>
          </cell>
          <cell r="G34">
            <v>1.8634171109418635E-2</v>
          </cell>
          <cell r="H34">
            <v>5.8492003046458491E-2</v>
          </cell>
          <cell r="J34" t="str">
            <v>Other</v>
          </cell>
          <cell r="K34">
            <v>0.51642548870271632</v>
          </cell>
        </row>
        <row r="35">
          <cell r="A35" t="str">
            <v>Heartland Regional Medical Center</v>
          </cell>
          <cell r="B35" t="str">
            <v>Marion</v>
          </cell>
          <cell r="C35" t="str">
            <v>Illinois</v>
          </cell>
          <cell r="D35">
            <v>92</v>
          </cell>
          <cell r="E35" t="str">
            <v>October, 1996</v>
          </cell>
          <cell r="F35" t="str">
            <v>Owned</v>
          </cell>
          <cell r="G35">
            <v>4.671236354404671E-3</v>
          </cell>
          <cell r="H35">
            <v>5.8492003046458491E-2</v>
          </cell>
        </row>
        <row r="36">
          <cell r="A36" t="str">
            <v>Red Bud Regional Hospital</v>
          </cell>
          <cell r="B36" t="str">
            <v>Red Bud</v>
          </cell>
          <cell r="C36" t="str">
            <v>Illinois</v>
          </cell>
          <cell r="D36">
            <v>31</v>
          </cell>
          <cell r="E36" t="str">
            <v>September, 2001</v>
          </cell>
          <cell r="F36" t="str">
            <v>Owned</v>
          </cell>
          <cell r="G36">
            <v>1.574003554201574E-3</v>
          </cell>
          <cell r="H36">
            <v>5.8492003046458491E-2</v>
          </cell>
          <cell r="J36" t="str">
            <v>Texas</v>
          </cell>
          <cell r="K36">
            <v>0.1416095455699416</v>
          </cell>
        </row>
        <row r="37">
          <cell r="A37" t="str">
            <v>Galesburg Cottage Hospital</v>
          </cell>
          <cell r="B37" t="str">
            <v>Galesburg</v>
          </cell>
          <cell r="C37" t="str">
            <v>Illinois</v>
          </cell>
          <cell r="D37">
            <v>173</v>
          </cell>
          <cell r="E37" t="str">
            <v>July, 2004</v>
          </cell>
          <cell r="F37" t="str">
            <v>Owned</v>
          </cell>
          <cell r="G37">
            <v>8.7839553186087847E-3</v>
          </cell>
          <cell r="H37">
            <v>5.8492003046458491E-2</v>
          </cell>
          <cell r="J37" t="str">
            <v>Pennsylvania</v>
          </cell>
          <cell r="K37">
            <v>0.11175425234831177</v>
          </cell>
        </row>
        <row r="38">
          <cell r="A38" t="str">
            <v>Vista Medical Center East</v>
          </cell>
          <cell r="B38" t="str">
            <v>Waukegan</v>
          </cell>
          <cell r="C38" t="str">
            <v>Illinois</v>
          </cell>
          <cell r="D38">
            <v>336</v>
          </cell>
          <cell r="E38" t="str">
            <v>July, 2006</v>
          </cell>
          <cell r="F38" t="str">
            <v>Owned</v>
          </cell>
          <cell r="G38">
            <v>1.7060167555217061E-2</v>
          </cell>
          <cell r="H38">
            <v>5.8492003046458491E-2</v>
          </cell>
          <cell r="J38" t="str">
            <v>Alabama</v>
          </cell>
          <cell r="K38">
            <v>9.007362274689007E-2</v>
          </cell>
        </row>
        <row r="39">
          <cell r="A39" t="str">
            <v>Vista Medical Center West (psychiatric and rehabilitation beds)</v>
          </cell>
          <cell r="B39" t="str">
            <v>Waukegan</v>
          </cell>
          <cell r="C39" t="str">
            <v>Illinois</v>
          </cell>
          <cell r="D39">
            <v>71</v>
          </cell>
          <cell r="E39" t="str">
            <v>July, 2006</v>
          </cell>
          <cell r="F39" t="str">
            <v>Owned</v>
          </cell>
          <cell r="G39">
            <v>3.6049758822036052E-3</v>
          </cell>
          <cell r="H39">
            <v>5.8492003046458491E-2</v>
          </cell>
          <cell r="J39" t="str">
            <v>Tennessee</v>
          </cell>
          <cell r="K39">
            <v>7.5653719218075649E-2</v>
          </cell>
        </row>
        <row r="40">
          <cell r="A40" t="str">
            <v>Union County Hospital</v>
          </cell>
          <cell r="B40" t="str">
            <v>Anna</v>
          </cell>
          <cell r="C40" t="str">
            <v>Illinois</v>
          </cell>
          <cell r="D40">
            <v>25</v>
          </cell>
          <cell r="E40" t="str">
            <v>November, 2006</v>
          </cell>
          <cell r="F40" t="str">
            <v>Leased</v>
          </cell>
          <cell r="G40">
            <v>1.2693577050012694E-3</v>
          </cell>
          <cell r="H40">
            <v>5.8492003046458491E-2</v>
          </cell>
          <cell r="J40" t="str">
            <v>Indiana</v>
          </cell>
          <cell r="K40">
            <v>6.4483371414064489E-2</v>
          </cell>
        </row>
        <row r="41">
          <cell r="A41" t="str">
            <v>Porter Hospital</v>
          </cell>
          <cell r="B41" t="str">
            <v>Valparaiso</v>
          </cell>
          <cell r="C41" t="str">
            <v>Indiana</v>
          </cell>
          <cell r="D41">
            <v>301</v>
          </cell>
          <cell r="E41" t="str">
            <v>May, 2007</v>
          </cell>
          <cell r="F41" t="str">
            <v>Owned</v>
          </cell>
          <cell r="G41">
            <v>1.5283066768215283E-2</v>
          </cell>
          <cell r="H41">
            <v>6.4483371414064489E-2</v>
          </cell>
          <cell r="J41" t="str">
            <v>Illinois</v>
          </cell>
          <cell r="K41">
            <v>5.8492003046458498E-2</v>
          </cell>
        </row>
        <row r="42">
          <cell r="A42" t="str">
            <v>Bluffton Regional Medical Center</v>
          </cell>
          <cell r="B42" t="str">
            <v>Bluffton</v>
          </cell>
          <cell r="C42" t="str">
            <v>Indiana</v>
          </cell>
          <cell r="D42">
            <v>79</v>
          </cell>
          <cell r="E42" t="str">
            <v>July, 2007</v>
          </cell>
          <cell r="F42" t="str">
            <v>Owned</v>
          </cell>
          <cell r="G42">
            <v>4.011170347804011E-3</v>
          </cell>
          <cell r="H42">
            <v>6.4483371414064489E-2</v>
          </cell>
          <cell r="J42" t="str">
            <v>South Carolina</v>
          </cell>
          <cell r="K42">
            <v>5.8136582889058139E-2</v>
          </cell>
        </row>
        <row r="43">
          <cell r="A43" t="str">
            <v>Dupont Hospital</v>
          </cell>
          <cell r="B43" t="str">
            <v>Fort Wayne</v>
          </cell>
          <cell r="C43" t="str">
            <v>Indiana</v>
          </cell>
          <cell r="D43">
            <v>131</v>
          </cell>
          <cell r="E43" t="str">
            <v>July, 2007</v>
          </cell>
          <cell r="F43" t="str">
            <v>Owned</v>
          </cell>
          <cell r="G43">
            <v>6.6514343742066512E-3</v>
          </cell>
          <cell r="H43">
            <v>6.4483371414064489E-2</v>
          </cell>
          <cell r="J43" t="str">
            <v>Arkansas</v>
          </cell>
          <cell r="K43">
            <v>5.3769992383853771E-2</v>
          </cell>
        </row>
        <row r="44">
          <cell r="A44" t="str">
            <v>Lutheran Hospital</v>
          </cell>
          <cell r="B44" t="str">
            <v>Fort Wayne</v>
          </cell>
          <cell r="C44" t="str">
            <v>Indiana</v>
          </cell>
          <cell r="D44">
            <v>396</v>
          </cell>
          <cell r="E44" t="str">
            <v>July, 2007</v>
          </cell>
          <cell r="F44" t="str">
            <v>Owned</v>
          </cell>
          <cell r="G44">
            <v>2.0106626047220105E-2</v>
          </cell>
          <cell r="H44">
            <v>6.4483371414064489E-2</v>
          </cell>
          <cell r="J44" t="str">
            <v>Ohio</v>
          </cell>
          <cell r="K44">
            <v>5.0825082508250824E-2</v>
          </cell>
        </row>
        <row r="45">
          <cell r="A45" t="str">
            <v>Lutheran Musculoskeletal Center</v>
          </cell>
          <cell r="B45" t="str">
            <v>Fort Wayne</v>
          </cell>
          <cell r="C45" t="str">
            <v>Indiana</v>
          </cell>
          <cell r="D45">
            <v>39</v>
          </cell>
          <cell r="E45" t="str">
            <v>July, 2007</v>
          </cell>
          <cell r="F45" t="str">
            <v>Owned</v>
          </cell>
          <cell r="G45">
            <v>1.9801980198019802E-3</v>
          </cell>
          <cell r="H45">
            <v>6.4483371414064489E-2</v>
          </cell>
          <cell r="J45" t="str">
            <v>New Mexico</v>
          </cell>
          <cell r="K45">
            <v>3.8029956841838033E-2</v>
          </cell>
        </row>
        <row r="46">
          <cell r="A46" t="str">
            <v>Lutheran Rehabilitation Hospital (rehabilitation)</v>
          </cell>
          <cell r="B46" t="str">
            <v>Fort Wayne</v>
          </cell>
          <cell r="C46" t="str">
            <v>Indiana</v>
          </cell>
          <cell r="D46">
            <v>36</v>
          </cell>
          <cell r="E46" t="str">
            <v>July, 2007</v>
          </cell>
          <cell r="F46" t="str">
            <v>Owned</v>
          </cell>
          <cell r="G46">
            <v>1.8278750952018278E-3</v>
          </cell>
          <cell r="H46">
            <v>6.4483371414064489E-2</v>
          </cell>
          <cell r="J46" t="str">
            <v>Arizona</v>
          </cell>
          <cell r="K46">
            <v>3.183549124143184E-2</v>
          </cell>
        </row>
        <row r="47">
          <cell r="A47" t="str">
            <v>St. Joseph's Hospital</v>
          </cell>
          <cell r="B47" t="str">
            <v>Fort Wayne</v>
          </cell>
          <cell r="C47" t="str">
            <v>Indiana</v>
          </cell>
          <cell r="D47">
            <v>191</v>
          </cell>
          <cell r="E47" t="str">
            <v>July, 2007</v>
          </cell>
          <cell r="F47" t="str">
            <v>Owned</v>
          </cell>
          <cell r="G47">
            <v>9.6978928662096973E-3</v>
          </cell>
          <cell r="H47">
            <v>6.4483371414064489E-2</v>
          </cell>
          <cell r="J47" t="str">
            <v>Mississippi</v>
          </cell>
          <cell r="K47">
            <v>2.8027418126428026E-2</v>
          </cell>
        </row>
        <row r="48">
          <cell r="A48" t="str">
            <v>Dukes Memorial Hospital</v>
          </cell>
          <cell r="B48" t="str">
            <v>Peru</v>
          </cell>
          <cell r="C48" t="str">
            <v>Indiana</v>
          </cell>
          <cell r="D48">
            <v>25</v>
          </cell>
          <cell r="E48" t="str">
            <v>July, 2007</v>
          </cell>
          <cell r="F48" t="str">
            <v>Owned</v>
          </cell>
          <cell r="G48">
            <v>1.2693577050012694E-3</v>
          </cell>
          <cell r="H48">
            <v>6.4483371414064489E-2</v>
          </cell>
          <cell r="J48" t="str">
            <v>Oklahoma</v>
          </cell>
          <cell r="K48">
            <v>2.6301091647626302E-2</v>
          </cell>
        </row>
        <row r="49">
          <cell r="A49" t="str">
            <v>Kosciusko Community Hospital</v>
          </cell>
          <cell r="B49" t="str">
            <v>Warsaw</v>
          </cell>
          <cell r="C49" t="str">
            <v>Indiana</v>
          </cell>
          <cell r="D49">
            <v>72</v>
          </cell>
          <cell r="E49" t="str">
            <v>July, 2007</v>
          </cell>
          <cell r="F49" t="str">
            <v>Owned</v>
          </cell>
          <cell r="G49">
            <v>3.6557501904036557E-3</v>
          </cell>
          <cell r="H49">
            <v>6.4483371414064489E-2</v>
          </cell>
          <cell r="J49" t="str">
            <v>Washington</v>
          </cell>
          <cell r="K49">
            <v>2.5945671490225947E-2</v>
          </cell>
        </row>
        <row r="50">
          <cell r="A50" t="str">
            <v>Parkway Regional Hospital</v>
          </cell>
          <cell r="B50" t="str">
            <v>Fulton</v>
          </cell>
          <cell r="C50" t="str">
            <v>Kentucky</v>
          </cell>
          <cell r="D50">
            <v>70</v>
          </cell>
          <cell r="E50" t="str">
            <v>May, 1992</v>
          </cell>
          <cell r="F50" t="str">
            <v>Owned</v>
          </cell>
          <cell r="G50">
            <v>3.5542015740035542E-3</v>
          </cell>
          <cell r="H50">
            <v>1.0916476263010916E-2</v>
          </cell>
          <cell r="J50" t="str">
            <v>Virginia</v>
          </cell>
          <cell r="K50">
            <v>2.4625539477024627E-2</v>
          </cell>
        </row>
        <row r="51">
          <cell r="A51" t="str">
            <v>Three Rivers Medical Center</v>
          </cell>
          <cell r="B51" t="str">
            <v>Louisa</v>
          </cell>
          <cell r="C51" t="str">
            <v>Kentucky</v>
          </cell>
          <cell r="D51">
            <v>90</v>
          </cell>
          <cell r="E51" t="str">
            <v>May, 1993</v>
          </cell>
          <cell r="F51" t="str">
            <v>Owned</v>
          </cell>
          <cell r="G51">
            <v>4.56968773800457E-3</v>
          </cell>
          <cell r="H51">
            <v>1.0916476263010916E-2</v>
          </cell>
          <cell r="J51" t="str">
            <v>West Virginia</v>
          </cell>
          <cell r="K51">
            <v>1.9649657273419649E-2</v>
          </cell>
        </row>
        <row r="52">
          <cell r="A52" t="str">
            <v>Kentucky River Medical Center</v>
          </cell>
          <cell r="B52" t="str">
            <v>Jackson</v>
          </cell>
          <cell r="C52" t="str">
            <v>Kentucky</v>
          </cell>
          <cell r="D52">
            <v>55</v>
          </cell>
          <cell r="E52" t="str">
            <v>August, 1995</v>
          </cell>
          <cell r="F52" t="str">
            <v>Leased</v>
          </cell>
          <cell r="G52">
            <v>2.7925869510027927E-3</v>
          </cell>
          <cell r="H52">
            <v>1.0916476263010916E-2</v>
          </cell>
          <cell r="J52" t="str">
            <v>Louisiana</v>
          </cell>
          <cell r="K52">
            <v>1.5587712617415588E-2</v>
          </cell>
        </row>
        <row r="53">
          <cell r="A53" t="str">
            <v>Byrd Regional Hospital</v>
          </cell>
          <cell r="B53" t="str">
            <v>Leesville</v>
          </cell>
          <cell r="C53" t="str">
            <v>Louisiana</v>
          </cell>
          <cell r="D53">
            <v>60</v>
          </cell>
          <cell r="E53" t="str">
            <v>October, 1994</v>
          </cell>
          <cell r="F53" t="str">
            <v>Owned</v>
          </cell>
          <cell r="G53">
            <v>3.0464584920030465E-3</v>
          </cell>
          <cell r="H53">
            <v>1.5587712617415588E-2</v>
          </cell>
          <cell r="J53" t="str">
            <v>Georgia</v>
          </cell>
          <cell r="K53">
            <v>1.4267580604214267E-2</v>
          </cell>
        </row>
        <row r="54">
          <cell r="A54" t="str">
            <v>Northern Louisiana Medical Center</v>
          </cell>
          <cell r="B54" t="str">
            <v>Ruston</v>
          </cell>
          <cell r="C54" t="str">
            <v>Louisiana</v>
          </cell>
          <cell r="D54">
            <v>159</v>
          </cell>
          <cell r="E54" t="str">
            <v>April, 2007</v>
          </cell>
          <cell r="F54" t="str">
            <v>Owned</v>
          </cell>
          <cell r="G54">
            <v>8.0731150038080724E-3</v>
          </cell>
          <cell r="H54">
            <v>1.5587712617415588E-2</v>
          </cell>
          <cell r="J54" t="str">
            <v>Florida</v>
          </cell>
          <cell r="K54">
            <v>1.370906321401371E-2</v>
          </cell>
        </row>
        <row r="55">
          <cell r="A55" t="str">
            <v>Women &amp; Children's Hospital</v>
          </cell>
          <cell r="B55" t="str">
            <v>Lake Charles</v>
          </cell>
          <cell r="C55" t="str">
            <v>Louisiana</v>
          </cell>
          <cell r="D55">
            <v>88</v>
          </cell>
          <cell r="E55" t="str">
            <v>July, 2007</v>
          </cell>
          <cell r="F55" t="str">
            <v>Owned</v>
          </cell>
          <cell r="G55">
            <v>4.4681391216044681E-3</v>
          </cell>
          <cell r="H55">
            <v>1.5587712617415588E-2</v>
          </cell>
          <cell r="J55" t="str">
            <v>Missouri</v>
          </cell>
          <cell r="K55">
            <v>1.0967250571210967E-2</v>
          </cell>
        </row>
        <row r="56">
          <cell r="A56" t="str">
            <v>Wesley Medical Center</v>
          </cell>
          <cell r="B56" t="str">
            <v>Hattiesburg</v>
          </cell>
          <cell r="C56" t="str">
            <v>Mississippi</v>
          </cell>
          <cell r="D56">
            <v>211</v>
          </cell>
          <cell r="E56" t="str">
            <v>July, 2007</v>
          </cell>
          <cell r="F56" t="str">
            <v>Owned</v>
          </cell>
          <cell r="G56">
            <v>1.0713379030210713E-2</v>
          </cell>
          <cell r="H56">
            <v>2.8027418126428026E-2</v>
          </cell>
          <cell r="J56" t="str">
            <v>Kentucky</v>
          </cell>
          <cell r="K56">
            <v>1.0916476263010916E-2</v>
          </cell>
        </row>
        <row r="57">
          <cell r="A57" t="str">
            <v>River Region Health System</v>
          </cell>
          <cell r="B57" t="str">
            <v>Vicksburg</v>
          </cell>
          <cell r="C57" t="str">
            <v>Mississippi</v>
          </cell>
          <cell r="D57">
            <v>341</v>
          </cell>
          <cell r="E57" t="str">
            <v>July, 2007</v>
          </cell>
          <cell r="F57" t="str">
            <v>Owned</v>
          </cell>
          <cell r="G57">
            <v>1.7314039096217315E-2</v>
          </cell>
          <cell r="H57">
            <v>2.8027418126428026E-2</v>
          </cell>
          <cell r="J57" t="str">
            <v>California</v>
          </cell>
          <cell r="K57">
            <v>1.0611830413810613E-2</v>
          </cell>
        </row>
        <row r="58">
          <cell r="A58" t="str">
            <v>Moberly Regional Medical Center</v>
          </cell>
          <cell r="B58" t="str">
            <v>Moberly</v>
          </cell>
          <cell r="C58" t="str">
            <v>Missouri</v>
          </cell>
          <cell r="D58">
            <v>101</v>
          </cell>
          <cell r="E58" t="str">
            <v>November, 1993</v>
          </cell>
          <cell r="F58" t="str">
            <v>Owned</v>
          </cell>
          <cell r="G58">
            <v>5.1282051282051282E-3</v>
          </cell>
          <cell r="H58">
            <v>1.0967250571210967E-2</v>
          </cell>
          <cell r="J58" t="str">
            <v>New Jersey</v>
          </cell>
          <cell r="K58">
            <v>7.1084031480071084E-3</v>
          </cell>
        </row>
        <row r="59">
          <cell r="A59" t="str">
            <v>Northeast Regional Medical Center</v>
          </cell>
          <cell r="B59" t="str">
            <v>Kirksville</v>
          </cell>
          <cell r="C59" t="str">
            <v>Missouri</v>
          </cell>
          <cell r="D59">
            <v>115</v>
          </cell>
          <cell r="E59" t="str">
            <v>December, 2000</v>
          </cell>
          <cell r="F59" t="str">
            <v>Leased</v>
          </cell>
          <cell r="G59">
            <v>5.8390454430058388E-3</v>
          </cell>
          <cell r="H59">
            <v>1.0967250571210967E-2</v>
          </cell>
          <cell r="J59" t="str">
            <v>Oregon</v>
          </cell>
          <cell r="K59">
            <v>5.7374968266057378E-3</v>
          </cell>
        </row>
        <row r="60">
          <cell r="A60" t="str">
            <v>Mesa View Regional Hospital</v>
          </cell>
          <cell r="B60" t="str">
            <v>Mesquite</v>
          </cell>
          <cell r="C60" t="str">
            <v>Nevada</v>
          </cell>
          <cell r="D60">
            <v>25</v>
          </cell>
          <cell r="E60" t="str">
            <v>July, 2007</v>
          </cell>
          <cell r="F60" t="str">
            <v>Owned</v>
          </cell>
          <cell r="G60">
            <v>1.2693577050012694E-3</v>
          </cell>
          <cell r="H60">
            <v>1.2693577050012694E-3</v>
          </cell>
          <cell r="J60" t="str">
            <v>Alaska</v>
          </cell>
          <cell r="K60">
            <v>3.7572988068037571E-3</v>
          </cell>
        </row>
        <row r="61">
          <cell r="A61" t="str">
            <v>Memorial Hospital of Salem County</v>
          </cell>
          <cell r="B61" t="str">
            <v>Salem</v>
          </cell>
          <cell r="C61" t="str">
            <v>New Jersey</v>
          </cell>
          <cell r="D61">
            <v>140</v>
          </cell>
          <cell r="E61" t="str">
            <v>September, 2002</v>
          </cell>
          <cell r="F61" t="str">
            <v>Owned</v>
          </cell>
          <cell r="G61">
            <v>7.1084031480071084E-3</v>
          </cell>
          <cell r="H61">
            <v>7.1084031480071084E-3</v>
          </cell>
          <cell r="J61" t="str">
            <v>North Carolina</v>
          </cell>
          <cell r="K61">
            <v>2.4879411018024879E-3</v>
          </cell>
        </row>
        <row r="62">
          <cell r="A62" t="str">
            <v>Mimbres Memorial Hospital</v>
          </cell>
          <cell r="B62" t="str">
            <v>Deming</v>
          </cell>
          <cell r="C62" t="str">
            <v>New Mexico</v>
          </cell>
          <cell r="D62">
            <v>49</v>
          </cell>
          <cell r="E62" t="str">
            <v>March, 1996</v>
          </cell>
          <cell r="F62" t="str">
            <v>Owned</v>
          </cell>
          <cell r="G62">
            <v>2.4879411018024879E-3</v>
          </cell>
          <cell r="H62">
            <v>3.8029956841838027E-2</v>
          </cell>
          <cell r="J62" t="str">
            <v>Utah</v>
          </cell>
          <cell r="K62">
            <v>2.2340695608022341E-3</v>
          </cell>
        </row>
        <row r="63">
          <cell r="A63" t="str">
            <v>Eastern New Mexico Medical Center</v>
          </cell>
          <cell r="B63" t="str">
            <v>Roswell</v>
          </cell>
          <cell r="C63" t="str">
            <v>New Mexico</v>
          </cell>
          <cell r="D63">
            <v>162</v>
          </cell>
          <cell r="E63" t="str">
            <v>April, 1998</v>
          </cell>
          <cell r="F63" t="str">
            <v>Owned</v>
          </cell>
          <cell r="G63">
            <v>8.2254379284082257E-3</v>
          </cell>
          <cell r="H63">
            <v>3.8029956841838027E-2</v>
          </cell>
          <cell r="J63" t="str">
            <v>Wyoming</v>
          </cell>
          <cell r="K63">
            <v>2.1325209444021326E-3</v>
          </cell>
        </row>
        <row r="64">
          <cell r="A64" t="str">
            <v>Alta Vista Regional Hospital</v>
          </cell>
          <cell r="B64" t="str">
            <v>Las Vegas</v>
          </cell>
          <cell r="C64" t="str">
            <v>New Mexico</v>
          </cell>
          <cell r="D64">
            <v>54</v>
          </cell>
          <cell r="E64" t="str">
            <v>April, 2000</v>
          </cell>
          <cell r="F64" t="str">
            <v>Owned</v>
          </cell>
          <cell r="G64">
            <v>2.7418126428027417E-3</v>
          </cell>
          <cell r="H64">
            <v>3.8029956841838027E-2</v>
          </cell>
          <cell r="J64" t="str">
            <v>Nevada</v>
          </cell>
          <cell r="K64">
            <v>1.2693577050012694E-3</v>
          </cell>
        </row>
        <row r="65">
          <cell r="A65" t="str">
            <v>Carlsbad Medical Center</v>
          </cell>
          <cell r="B65" t="str">
            <v>Carlsbad</v>
          </cell>
          <cell r="C65" t="str">
            <v>New Mexico</v>
          </cell>
          <cell r="D65">
            <v>115</v>
          </cell>
          <cell r="E65" t="str">
            <v>July, 2007</v>
          </cell>
          <cell r="F65" t="str">
            <v>Owned</v>
          </cell>
          <cell r="G65">
            <v>5.8390454430058388E-3</v>
          </cell>
          <cell r="H65">
            <v>3.8029956841838027E-2</v>
          </cell>
          <cell r="K65">
            <v>0.99999999999999989</v>
          </cell>
        </row>
        <row r="66">
          <cell r="A66" t="str">
            <v>Lea Regional Medical Center</v>
          </cell>
          <cell r="B66" t="str">
            <v>Hobbs</v>
          </cell>
          <cell r="C66" t="str">
            <v>New Mexico</v>
          </cell>
          <cell r="D66">
            <v>201</v>
          </cell>
          <cell r="E66" t="str">
            <v>July, 2007</v>
          </cell>
          <cell r="F66" t="str">
            <v>Owned</v>
          </cell>
          <cell r="G66">
            <v>1.0205635948210206E-2</v>
          </cell>
          <cell r="H66">
            <v>3.8029956841838027E-2</v>
          </cell>
        </row>
        <row r="67">
          <cell r="A67" t="str">
            <v>Mountain View Regional Medical Center</v>
          </cell>
          <cell r="B67" t="str">
            <v>Las Cruces</v>
          </cell>
          <cell r="C67" t="str">
            <v>New Mexico</v>
          </cell>
          <cell r="D67">
            <v>168</v>
          </cell>
          <cell r="E67" t="str">
            <v>July, 2007</v>
          </cell>
          <cell r="F67" t="str">
            <v>Owned</v>
          </cell>
          <cell r="G67">
            <v>8.5300837776085305E-3</v>
          </cell>
          <cell r="H67">
            <v>3.8029956841838027E-2</v>
          </cell>
        </row>
        <row r="68">
          <cell r="A68" t="str">
            <v>Martin General Hospital</v>
          </cell>
          <cell r="B68" t="str">
            <v>Williamston</v>
          </cell>
          <cell r="C68" t="str">
            <v>North Carolina</v>
          </cell>
          <cell r="D68">
            <v>49</v>
          </cell>
          <cell r="E68" t="str">
            <v>November, 1998</v>
          </cell>
          <cell r="F68" t="str">
            <v>Leased</v>
          </cell>
          <cell r="G68">
            <v>2.4879411018024879E-3</v>
          </cell>
          <cell r="H68">
            <v>2.4879411018024879E-3</v>
          </cell>
        </row>
        <row r="69">
          <cell r="A69" t="str">
            <v>Affinity Medical Center</v>
          </cell>
          <cell r="B69" t="str">
            <v>Massillon</v>
          </cell>
          <cell r="C69" t="str">
            <v>Ohio</v>
          </cell>
          <cell r="D69">
            <v>266</v>
          </cell>
          <cell r="E69" t="str">
            <v>July, 2007</v>
          </cell>
          <cell r="F69" t="str">
            <v>Owned</v>
          </cell>
          <cell r="G69">
            <v>1.3505965981213506E-2</v>
          </cell>
          <cell r="H69">
            <v>5.0825082508250824E-2</v>
          </cell>
        </row>
        <row r="70">
          <cell r="A70" t="str">
            <v>Northside Medical Center</v>
          </cell>
          <cell r="B70" t="str">
            <v>Youngstown</v>
          </cell>
          <cell r="C70" t="str">
            <v>Ohio</v>
          </cell>
          <cell r="D70">
            <v>355</v>
          </cell>
          <cell r="E70" t="str">
            <v>October, 2010</v>
          </cell>
          <cell r="F70" t="str">
            <v>Owned</v>
          </cell>
          <cell r="G70">
            <v>1.8024879411018026E-2</v>
          </cell>
          <cell r="H70">
            <v>5.0825082508250824E-2</v>
          </cell>
        </row>
        <row r="71">
          <cell r="A71" t="str">
            <v>Trumbull Memorial Hospital</v>
          </cell>
          <cell r="B71" t="str">
            <v>Warren</v>
          </cell>
          <cell r="C71" t="str">
            <v>Ohio</v>
          </cell>
          <cell r="D71">
            <v>311</v>
          </cell>
          <cell r="E71" t="str">
            <v>October, 2010</v>
          </cell>
          <cell r="F71" t="str">
            <v>Owned</v>
          </cell>
          <cell r="G71">
            <v>1.579080985021579E-2</v>
          </cell>
          <cell r="H71">
            <v>5.0825082508250824E-2</v>
          </cell>
        </row>
        <row r="72">
          <cell r="A72" t="str">
            <v>Hillside Rehabilitation Hospital (rehabilitation)</v>
          </cell>
          <cell r="B72" t="str">
            <v>Warren</v>
          </cell>
          <cell r="C72" t="str">
            <v>Ohio</v>
          </cell>
          <cell r="D72">
            <v>69</v>
          </cell>
          <cell r="E72" t="str">
            <v>October, 2010</v>
          </cell>
          <cell r="F72" t="str">
            <v>Owned</v>
          </cell>
          <cell r="G72">
            <v>3.5034272658035033E-3</v>
          </cell>
          <cell r="H72">
            <v>5.0825082508250824E-2</v>
          </cell>
        </row>
        <row r="73">
          <cell r="A73" t="str">
            <v>Ponca City Medical Center</v>
          </cell>
          <cell r="B73" t="str">
            <v>Ponca City</v>
          </cell>
          <cell r="C73" t="str">
            <v>Oklahoma</v>
          </cell>
          <cell r="D73">
            <v>140</v>
          </cell>
          <cell r="E73" t="str">
            <v>May, 2006</v>
          </cell>
          <cell r="F73" t="str">
            <v>Owned</v>
          </cell>
          <cell r="G73">
            <v>7.1084031480071084E-3</v>
          </cell>
          <cell r="H73">
            <v>2.6301091647626302E-2</v>
          </cell>
        </row>
        <row r="74">
          <cell r="A74" t="str">
            <v>Deaconess Hospital</v>
          </cell>
          <cell r="B74" t="str">
            <v>Oklahoma City</v>
          </cell>
          <cell r="C74" t="str">
            <v>Oklahoma</v>
          </cell>
          <cell r="D74">
            <v>291</v>
          </cell>
          <cell r="E74" t="str">
            <v>July, 2007</v>
          </cell>
          <cell r="F74" t="str">
            <v>Owned</v>
          </cell>
          <cell r="G74">
            <v>1.4775323686214776E-2</v>
          </cell>
          <cell r="H74">
            <v>2.6301091647626302E-2</v>
          </cell>
        </row>
        <row r="75">
          <cell r="A75" t="str">
            <v>Woodward Regional Hospital</v>
          </cell>
          <cell r="B75" t="str">
            <v>Woodward</v>
          </cell>
          <cell r="C75" t="str">
            <v>Oklahoma</v>
          </cell>
          <cell r="D75">
            <v>87</v>
          </cell>
          <cell r="E75" t="str">
            <v>July, 2007</v>
          </cell>
          <cell r="F75" t="str">
            <v>Leased</v>
          </cell>
          <cell r="G75">
            <v>4.4173648134044176E-3</v>
          </cell>
          <cell r="H75">
            <v>2.6301091647626302E-2</v>
          </cell>
        </row>
        <row r="76">
          <cell r="A76" t="str">
            <v>McKenzie-Willamette Medical Center</v>
          </cell>
          <cell r="B76" t="str">
            <v>Springfield</v>
          </cell>
          <cell r="C76" t="str">
            <v>Oregon</v>
          </cell>
          <cell r="D76">
            <v>113</v>
          </cell>
          <cell r="E76" t="str">
            <v>July, 2007</v>
          </cell>
          <cell r="F76" t="str">
            <v>Owned</v>
          </cell>
          <cell r="G76">
            <v>5.7374968266057378E-3</v>
          </cell>
          <cell r="H76">
            <v>5.7374968266057378E-3</v>
          </cell>
        </row>
        <row r="77">
          <cell r="A77" t="str">
            <v>Berwick Hospital</v>
          </cell>
          <cell r="B77" t="str">
            <v>Berwick</v>
          </cell>
          <cell r="C77" t="str">
            <v>Pennsylvania</v>
          </cell>
          <cell r="D77">
            <v>101</v>
          </cell>
          <cell r="E77" t="str">
            <v>March, 1999</v>
          </cell>
          <cell r="F77" t="str">
            <v>Owned</v>
          </cell>
          <cell r="G77">
            <v>5.1282051282051282E-3</v>
          </cell>
          <cell r="H77">
            <v>0.11175425234831175</v>
          </cell>
        </row>
        <row r="78">
          <cell r="A78" t="str">
            <v>Brandywine Hospital</v>
          </cell>
          <cell r="B78" t="str">
            <v>Coatesville</v>
          </cell>
          <cell r="C78" t="str">
            <v>Pennsylvania</v>
          </cell>
          <cell r="D78">
            <v>236</v>
          </cell>
          <cell r="E78" t="str">
            <v>June, 2001</v>
          </cell>
          <cell r="F78" t="str">
            <v>Owned</v>
          </cell>
          <cell r="G78">
            <v>1.1982736735211982E-2</v>
          </cell>
          <cell r="H78">
            <v>0.11175425234831175</v>
          </cell>
        </row>
        <row r="79">
          <cell r="A79" t="str">
            <v>Jennersville Regional Hospital</v>
          </cell>
          <cell r="B79" t="str">
            <v>West Grove</v>
          </cell>
          <cell r="C79" t="str">
            <v>Pennsylvania</v>
          </cell>
          <cell r="D79">
            <v>59</v>
          </cell>
          <cell r="E79" t="str">
            <v>October, 2001</v>
          </cell>
          <cell r="F79" t="str">
            <v>Owned</v>
          </cell>
          <cell r="G79">
            <v>2.9956841838029956E-3</v>
          </cell>
          <cell r="H79">
            <v>0.11175425234831175</v>
          </cell>
        </row>
        <row r="80">
          <cell r="A80" t="str">
            <v>Easton Hospital</v>
          </cell>
          <cell r="B80" t="str">
            <v>Easton</v>
          </cell>
          <cell r="C80" t="str">
            <v>Pennsylvania</v>
          </cell>
          <cell r="D80">
            <v>254</v>
          </cell>
          <cell r="E80" t="str">
            <v>October, 2001</v>
          </cell>
          <cell r="F80" t="str">
            <v>Owned</v>
          </cell>
          <cell r="G80">
            <v>1.2896674282812897E-2</v>
          </cell>
          <cell r="H80">
            <v>0.11175425234831175</v>
          </cell>
        </row>
        <row r="81">
          <cell r="A81" t="str">
            <v>Lock Haven Hospital</v>
          </cell>
          <cell r="B81" t="str">
            <v>Lock Haven</v>
          </cell>
          <cell r="C81" t="str">
            <v>Pennsylvania</v>
          </cell>
          <cell r="D81">
            <v>47</v>
          </cell>
          <cell r="E81" t="str">
            <v>August, 2002</v>
          </cell>
          <cell r="F81" t="str">
            <v>Owned</v>
          </cell>
          <cell r="G81">
            <v>2.3863924854023865E-3</v>
          </cell>
          <cell r="H81">
            <v>0.11175425234831175</v>
          </cell>
        </row>
        <row r="82">
          <cell r="A82" t="str">
            <v>Pottstown Memorial Medical Center</v>
          </cell>
          <cell r="B82" t="str">
            <v>Pottstown</v>
          </cell>
          <cell r="C82" t="str">
            <v>Pennsylvania</v>
          </cell>
          <cell r="D82">
            <v>226</v>
          </cell>
          <cell r="E82" t="str">
            <v>July, 2003</v>
          </cell>
          <cell r="F82" t="str">
            <v>Owned</v>
          </cell>
          <cell r="G82">
            <v>1.1474993653211476E-2</v>
          </cell>
          <cell r="H82">
            <v>0.11175425234831175</v>
          </cell>
        </row>
        <row r="83">
          <cell r="A83" t="str">
            <v>Phoenixville Hospital</v>
          </cell>
          <cell r="B83" t="str">
            <v>Phoenixville</v>
          </cell>
          <cell r="C83" t="str">
            <v>Pennsylvania</v>
          </cell>
          <cell r="D83">
            <v>137</v>
          </cell>
          <cell r="E83" t="str">
            <v>August, 2004</v>
          </cell>
          <cell r="F83" t="str">
            <v>Owned</v>
          </cell>
          <cell r="G83">
            <v>6.956080223406956E-3</v>
          </cell>
          <cell r="H83">
            <v>0.11175425234831175</v>
          </cell>
        </row>
        <row r="84">
          <cell r="A84" t="str">
            <v>Chestnut Hill Hospital</v>
          </cell>
          <cell r="B84" t="str">
            <v>Philadelphia</v>
          </cell>
          <cell r="C84" t="str">
            <v>Pennsylvania</v>
          </cell>
          <cell r="D84">
            <v>160</v>
          </cell>
          <cell r="E84" t="str">
            <v>February, 2005</v>
          </cell>
          <cell r="F84" t="str">
            <v>Owned</v>
          </cell>
          <cell r="G84">
            <v>8.1238893120081247E-3</v>
          </cell>
          <cell r="H84">
            <v>0.11175425234831175</v>
          </cell>
        </row>
        <row r="85">
          <cell r="A85" t="str">
            <v>Sunbury Community Hospital</v>
          </cell>
          <cell r="B85" t="str">
            <v>Sunbury</v>
          </cell>
          <cell r="C85" t="str">
            <v>Pennsylvania</v>
          </cell>
          <cell r="D85">
            <v>89</v>
          </cell>
          <cell r="E85" t="str">
            <v>October, 2005</v>
          </cell>
          <cell r="F85" t="str">
            <v>Owned</v>
          </cell>
          <cell r="G85">
            <v>4.5189134298045186E-3</v>
          </cell>
          <cell r="H85">
            <v>0.11175425234831175</v>
          </cell>
        </row>
        <row r="86">
          <cell r="A86" t="str">
            <v>Wilkes-Barre General Hospital</v>
          </cell>
          <cell r="B86" t="str">
            <v>Wilkes-Barre</v>
          </cell>
          <cell r="C86" t="str">
            <v>Pennsylvania</v>
          </cell>
          <cell r="D86">
            <v>412</v>
          </cell>
          <cell r="E86" t="str">
            <v>April, 2009</v>
          </cell>
          <cell r="F86" t="str">
            <v>Owned</v>
          </cell>
          <cell r="G86">
            <v>2.091901497842092E-2</v>
          </cell>
          <cell r="H86">
            <v>0.11175425234831175</v>
          </cell>
        </row>
        <row r="87">
          <cell r="A87" t="str">
            <v>First Hospital Wyoming Valley (psychiatric)</v>
          </cell>
          <cell r="B87" t="str">
            <v>Wilkes-Barre</v>
          </cell>
          <cell r="C87" t="str">
            <v>Pennsylvania</v>
          </cell>
          <cell r="D87">
            <v>135</v>
          </cell>
          <cell r="E87" t="str">
            <v>April, 2009</v>
          </cell>
          <cell r="F87" t="str">
            <v>Owned</v>
          </cell>
          <cell r="G87">
            <v>6.8545316070068541E-3</v>
          </cell>
          <cell r="H87">
            <v>0.11175425234831175</v>
          </cell>
        </row>
        <row r="88">
          <cell r="A88" t="str">
            <v>Regional Hospital of Scranton</v>
          </cell>
          <cell r="B88" t="str">
            <v>Scranton</v>
          </cell>
          <cell r="C88" t="str">
            <v>Pennsylvania</v>
          </cell>
          <cell r="D88">
            <v>230</v>
          </cell>
          <cell r="E88" t="str">
            <v>May, 2011</v>
          </cell>
          <cell r="F88" t="str">
            <v>Owned</v>
          </cell>
          <cell r="G88">
            <v>1.1678090886011678E-2</v>
          </cell>
          <cell r="H88">
            <v>0.11175425234831175</v>
          </cell>
        </row>
        <row r="89">
          <cell r="A89" t="str">
            <v>Special Care Hospital</v>
          </cell>
          <cell r="B89" t="str">
            <v>Nanticoke</v>
          </cell>
          <cell r="C89" t="str">
            <v>Pennsylvania</v>
          </cell>
          <cell r="D89">
            <v>67</v>
          </cell>
          <cell r="E89" t="str">
            <v>May, 2011</v>
          </cell>
          <cell r="F89" t="str">
            <v>Leased</v>
          </cell>
          <cell r="G89">
            <v>3.4018786494034018E-3</v>
          </cell>
          <cell r="H89">
            <v>0.11175425234831175</v>
          </cell>
        </row>
        <row r="90">
          <cell r="A90" t="str">
            <v>Tyler Memorial Hospital</v>
          </cell>
          <cell r="B90" t="str">
            <v>Tunkhannock</v>
          </cell>
          <cell r="C90" t="str">
            <v>Pennsylvania</v>
          </cell>
          <cell r="D90">
            <v>48</v>
          </cell>
          <cell r="E90" t="str">
            <v>May, 2011</v>
          </cell>
          <cell r="F90" t="str">
            <v>Owned</v>
          </cell>
          <cell r="G90">
            <v>2.437166793602437E-3</v>
          </cell>
          <cell r="H90">
            <v>0.11175425234831175</v>
          </cell>
        </row>
        <row r="91">
          <cell r="A91" t="str">
            <v>Marlboro Park Hospital</v>
          </cell>
          <cell r="B91" t="str">
            <v>Bennettsville</v>
          </cell>
          <cell r="C91" t="str">
            <v>South Carolina</v>
          </cell>
          <cell r="D91">
            <v>102</v>
          </cell>
          <cell r="E91" t="str">
            <v>August, 1996</v>
          </cell>
          <cell r="F91" t="str">
            <v>Leased</v>
          </cell>
          <cell r="G91">
            <v>5.1789794364051787E-3</v>
          </cell>
          <cell r="H91">
            <v>5.8136582889058139E-2</v>
          </cell>
        </row>
        <row r="92">
          <cell r="A92" t="str">
            <v>Chesterfield General Hospital</v>
          </cell>
          <cell r="B92" t="str">
            <v>Cheraw</v>
          </cell>
          <cell r="C92" t="str">
            <v>South Carolina</v>
          </cell>
          <cell r="D92">
            <v>59</v>
          </cell>
          <cell r="E92" t="str">
            <v>August, 1996</v>
          </cell>
          <cell r="F92" t="str">
            <v>Leased</v>
          </cell>
          <cell r="G92">
            <v>2.9956841838029956E-3</v>
          </cell>
          <cell r="H92">
            <v>5.8136582889058139E-2</v>
          </cell>
        </row>
        <row r="93">
          <cell r="A93" t="str">
            <v>Springs Memorial Hospital</v>
          </cell>
          <cell r="B93" t="str">
            <v>Lancaster</v>
          </cell>
          <cell r="C93" t="str">
            <v>South Carolina</v>
          </cell>
          <cell r="D93">
            <v>231</v>
          </cell>
          <cell r="E93" t="str">
            <v>November, 1994</v>
          </cell>
          <cell r="F93" t="str">
            <v>Owned</v>
          </cell>
          <cell r="G93">
            <v>1.1728865194211728E-2</v>
          </cell>
          <cell r="H93">
            <v>5.8136582889058139E-2</v>
          </cell>
        </row>
        <row r="94">
          <cell r="A94" t="str">
            <v>Carolinas Hospital System — Florence</v>
          </cell>
          <cell r="B94" t="str">
            <v>Florence</v>
          </cell>
          <cell r="C94" t="str">
            <v>South Carolina</v>
          </cell>
          <cell r="D94">
            <v>420</v>
          </cell>
          <cell r="E94" t="str">
            <v>July, 2007</v>
          </cell>
          <cell r="F94" t="str">
            <v>Owned</v>
          </cell>
          <cell r="G94">
            <v>2.1325209444021324E-2</v>
          </cell>
          <cell r="H94">
            <v>5.8136582889058139E-2</v>
          </cell>
        </row>
        <row r="95">
          <cell r="A95" t="str">
            <v>Mary Black Memorial Hospital</v>
          </cell>
          <cell r="B95" t="str">
            <v>Spartanburg</v>
          </cell>
          <cell r="C95" t="str">
            <v>South Carolina</v>
          </cell>
          <cell r="D95">
            <v>209</v>
          </cell>
          <cell r="E95" t="str">
            <v>July, 2007</v>
          </cell>
          <cell r="F95" t="str">
            <v>Owned</v>
          </cell>
          <cell r="G95">
            <v>1.0611830413810612E-2</v>
          </cell>
          <cell r="H95">
            <v>5.8136582889058139E-2</v>
          </cell>
        </row>
        <row r="96">
          <cell r="A96" t="str">
            <v>Marion Regional Hospital</v>
          </cell>
          <cell r="B96" t="str">
            <v>Mullins</v>
          </cell>
          <cell r="C96" t="str">
            <v>South Carolina</v>
          </cell>
          <cell r="D96">
            <v>124</v>
          </cell>
          <cell r="E96" t="str">
            <v>July, 2010</v>
          </cell>
          <cell r="F96" t="str">
            <v>Owned</v>
          </cell>
          <cell r="G96">
            <v>6.296014216806296E-3</v>
          </cell>
          <cell r="H96">
            <v>5.8136582889058139E-2</v>
          </cell>
        </row>
        <row r="97">
          <cell r="A97" t="str">
            <v>Lakeway Regional Hospital</v>
          </cell>
          <cell r="B97" t="str">
            <v>Morristown</v>
          </cell>
          <cell r="C97" t="str">
            <v>Tennessee</v>
          </cell>
          <cell r="D97">
            <v>135</v>
          </cell>
          <cell r="E97" t="str">
            <v>May, 1993</v>
          </cell>
          <cell r="F97" t="str">
            <v>Owned</v>
          </cell>
          <cell r="G97">
            <v>6.8545316070068541E-3</v>
          </cell>
          <cell r="H97">
            <v>7.5653719218075649E-2</v>
          </cell>
        </row>
        <row r="98">
          <cell r="A98" t="str">
            <v>Regional Hospital of Jackson</v>
          </cell>
          <cell r="B98" t="str">
            <v>Jackson</v>
          </cell>
          <cell r="C98" t="str">
            <v>Tennessee</v>
          </cell>
          <cell r="D98">
            <v>152</v>
          </cell>
          <cell r="E98" t="str">
            <v>January, 2003</v>
          </cell>
          <cell r="F98" t="str">
            <v>Owned</v>
          </cell>
          <cell r="G98">
            <v>7.717694846407718E-3</v>
          </cell>
          <cell r="H98">
            <v>7.5653719218075649E-2</v>
          </cell>
        </row>
        <row r="99">
          <cell r="A99" t="str">
            <v>Dyersburg Regional Medical Center</v>
          </cell>
          <cell r="B99" t="str">
            <v>Dyersburg</v>
          </cell>
          <cell r="C99" t="str">
            <v>Tennessee</v>
          </cell>
          <cell r="D99">
            <v>225</v>
          </cell>
          <cell r="E99" t="str">
            <v>January, 2003</v>
          </cell>
          <cell r="F99" t="str">
            <v>Owned</v>
          </cell>
          <cell r="G99">
            <v>1.1424219345011425E-2</v>
          </cell>
          <cell r="H99">
            <v>7.5653719218075649E-2</v>
          </cell>
        </row>
        <row r="100">
          <cell r="A100" t="str">
            <v>Haywood Park Community Hospital</v>
          </cell>
          <cell r="B100" t="str">
            <v>Brownsville</v>
          </cell>
          <cell r="C100" t="str">
            <v>Tennessee</v>
          </cell>
          <cell r="D100">
            <v>62</v>
          </cell>
          <cell r="E100" t="str">
            <v>January, 2003</v>
          </cell>
          <cell r="F100" t="str">
            <v>Owned</v>
          </cell>
          <cell r="G100">
            <v>3.148007108403148E-3</v>
          </cell>
          <cell r="H100">
            <v>7.5653719218075649E-2</v>
          </cell>
        </row>
        <row r="101">
          <cell r="A101" t="str">
            <v>Henderson County Community Hospital</v>
          </cell>
          <cell r="B101" t="str">
            <v>Lexington</v>
          </cell>
          <cell r="C101" t="str">
            <v>Tennessee</v>
          </cell>
          <cell r="D101">
            <v>45</v>
          </cell>
          <cell r="E101" t="str">
            <v>January, 2003</v>
          </cell>
          <cell r="F101" t="str">
            <v>Owned</v>
          </cell>
          <cell r="G101">
            <v>2.284843869002285E-3</v>
          </cell>
          <cell r="H101">
            <v>7.5653719218075649E-2</v>
          </cell>
        </row>
        <row r="102">
          <cell r="A102" t="str">
            <v>McKenzie Regional Hospital</v>
          </cell>
          <cell r="B102" t="str">
            <v>McKenzie</v>
          </cell>
          <cell r="C102" t="str">
            <v>Tennessee</v>
          </cell>
          <cell r="D102">
            <v>45</v>
          </cell>
          <cell r="E102" t="str">
            <v>January, 2003</v>
          </cell>
          <cell r="F102" t="str">
            <v>Owned</v>
          </cell>
          <cell r="G102">
            <v>2.284843869002285E-3</v>
          </cell>
          <cell r="H102">
            <v>7.5653719218075649E-2</v>
          </cell>
        </row>
        <row r="103">
          <cell r="A103" t="str">
            <v>McNairy Regional Hospital</v>
          </cell>
          <cell r="B103" t="str">
            <v>Selmer</v>
          </cell>
          <cell r="C103" t="str">
            <v>Tennessee</v>
          </cell>
          <cell r="D103">
            <v>45</v>
          </cell>
          <cell r="E103" t="str">
            <v>January, 2003</v>
          </cell>
          <cell r="F103" t="str">
            <v>Owned</v>
          </cell>
          <cell r="G103">
            <v>2.284843869002285E-3</v>
          </cell>
          <cell r="H103">
            <v>7.5653719218075649E-2</v>
          </cell>
        </row>
        <row r="104">
          <cell r="A104" t="str">
            <v>Volunteer Community Hospital</v>
          </cell>
          <cell r="B104" t="str">
            <v>Martin</v>
          </cell>
          <cell r="C104" t="str">
            <v>Tennessee</v>
          </cell>
          <cell r="D104">
            <v>100</v>
          </cell>
          <cell r="E104" t="str">
            <v>January, 2003</v>
          </cell>
          <cell r="F104" t="str">
            <v>Owned</v>
          </cell>
          <cell r="G104">
            <v>5.0774308200050777E-3</v>
          </cell>
          <cell r="H104">
            <v>7.5653719218075649E-2</v>
          </cell>
        </row>
        <row r="105">
          <cell r="A105" t="str">
            <v>Heritage Medical Center</v>
          </cell>
          <cell r="B105" t="str">
            <v>Shelbyville</v>
          </cell>
          <cell r="C105" t="str">
            <v>Tennessee</v>
          </cell>
          <cell r="D105">
            <v>60</v>
          </cell>
          <cell r="E105" t="str">
            <v>July, 2005</v>
          </cell>
          <cell r="F105" t="str">
            <v>Owned</v>
          </cell>
          <cell r="G105">
            <v>3.0464584920030465E-3</v>
          </cell>
          <cell r="H105">
            <v>7.5653719218075649E-2</v>
          </cell>
        </row>
        <row r="106">
          <cell r="A106" t="str">
            <v>Sky Ridge Medical Center</v>
          </cell>
          <cell r="B106" t="str">
            <v>Cleveland</v>
          </cell>
          <cell r="C106" t="str">
            <v>Tennessee</v>
          </cell>
          <cell r="D106">
            <v>351</v>
          </cell>
          <cell r="E106" t="str">
            <v>October, 2005</v>
          </cell>
          <cell r="F106" t="str">
            <v>Owned</v>
          </cell>
          <cell r="G106">
            <v>1.782178217821782E-2</v>
          </cell>
          <cell r="H106">
            <v>7.5653719218075649E-2</v>
          </cell>
        </row>
        <row r="107">
          <cell r="A107" t="str">
            <v>Gateway Medical Center</v>
          </cell>
          <cell r="B107" t="str">
            <v>Clarksville</v>
          </cell>
          <cell r="C107" t="str">
            <v>Tennessee</v>
          </cell>
          <cell r="D107">
            <v>270</v>
          </cell>
          <cell r="E107" t="str">
            <v>July, 2007</v>
          </cell>
          <cell r="F107" t="str">
            <v>Owned</v>
          </cell>
          <cell r="G107">
            <v>1.3709063214013708E-2</v>
          </cell>
          <cell r="H107">
            <v>7.5653719218075649E-2</v>
          </cell>
        </row>
        <row r="108">
          <cell r="A108" t="str">
            <v>Big Bend Regional Medical Center</v>
          </cell>
          <cell r="B108" t="str">
            <v>Alpine</v>
          </cell>
          <cell r="C108" t="str">
            <v>Texas</v>
          </cell>
          <cell r="D108">
            <v>25</v>
          </cell>
          <cell r="E108" t="str">
            <v>October, 1999</v>
          </cell>
          <cell r="F108" t="str">
            <v>Owned</v>
          </cell>
          <cell r="G108">
            <v>1.2693577050012694E-3</v>
          </cell>
          <cell r="H108">
            <v>0.1416095455699416</v>
          </cell>
        </row>
        <row r="109">
          <cell r="A109" t="str">
            <v>Scenic Mountain Medical Center</v>
          </cell>
          <cell r="B109" t="str">
            <v>Big Spring</v>
          </cell>
          <cell r="C109" t="str">
            <v>Texas</v>
          </cell>
          <cell r="D109">
            <v>150</v>
          </cell>
          <cell r="E109" t="str">
            <v>October, 1994</v>
          </cell>
          <cell r="F109" t="str">
            <v>Owned</v>
          </cell>
          <cell r="G109">
            <v>7.6161462300076161E-3</v>
          </cell>
          <cell r="H109">
            <v>0.1416095455699416</v>
          </cell>
        </row>
        <row r="110">
          <cell r="A110" t="str">
            <v>Hill Regional Hospital</v>
          </cell>
          <cell r="B110" t="str">
            <v>Hillsboro</v>
          </cell>
          <cell r="C110" t="str">
            <v>Texas</v>
          </cell>
          <cell r="D110">
            <v>92</v>
          </cell>
          <cell r="E110" t="str">
            <v>October, 1994</v>
          </cell>
          <cell r="F110" t="str">
            <v>Leased</v>
          </cell>
          <cell r="G110">
            <v>4.671236354404671E-3</v>
          </cell>
          <cell r="H110">
            <v>0.1416095455699416</v>
          </cell>
        </row>
        <row r="111">
          <cell r="A111" t="str">
            <v>Lake Granbury Medical Center</v>
          </cell>
          <cell r="B111" t="str">
            <v>Granbury</v>
          </cell>
          <cell r="C111" t="str">
            <v>Texas</v>
          </cell>
          <cell r="D111">
            <v>83</v>
          </cell>
          <cell r="E111" t="str">
            <v>January, 1997</v>
          </cell>
          <cell r="F111" t="str">
            <v>Leased</v>
          </cell>
          <cell r="G111">
            <v>4.2142675806042139E-3</v>
          </cell>
          <cell r="H111">
            <v>0.1416095455699416</v>
          </cell>
        </row>
        <row r="112">
          <cell r="A112" t="str">
            <v>South Texas Regional Medical Center</v>
          </cell>
          <cell r="B112" t="str">
            <v>Jourdanton</v>
          </cell>
          <cell r="C112" t="str">
            <v>Texas</v>
          </cell>
          <cell r="D112">
            <v>67</v>
          </cell>
          <cell r="E112" t="str">
            <v>November, 2001</v>
          </cell>
          <cell r="F112" t="str">
            <v>Owned</v>
          </cell>
          <cell r="G112">
            <v>3.4018786494034018E-3</v>
          </cell>
          <cell r="H112">
            <v>0.1416095455699416</v>
          </cell>
        </row>
        <row r="113">
          <cell r="A113" t="str">
            <v>Laredo Medical Center</v>
          </cell>
          <cell r="B113" t="str">
            <v>Laredo</v>
          </cell>
          <cell r="C113" t="str">
            <v>Texas</v>
          </cell>
          <cell r="D113">
            <v>326</v>
          </cell>
          <cell r="E113" t="str">
            <v>October, 2003</v>
          </cell>
          <cell r="F113" t="str">
            <v>Owned</v>
          </cell>
          <cell r="G113">
            <v>1.6552424473216552E-2</v>
          </cell>
          <cell r="H113">
            <v>0.1416095455699416</v>
          </cell>
        </row>
        <row r="114">
          <cell r="A114" t="str">
            <v>Weatherford Regional Medical Center</v>
          </cell>
          <cell r="B114" t="str">
            <v>Weatherford</v>
          </cell>
          <cell r="C114" t="str">
            <v>Texas</v>
          </cell>
          <cell r="D114">
            <v>99</v>
          </cell>
          <cell r="E114" t="str">
            <v>November, 2006</v>
          </cell>
          <cell r="F114" t="str">
            <v>Leased</v>
          </cell>
          <cell r="G114">
            <v>5.0266565118050263E-3</v>
          </cell>
          <cell r="H114">
            <v>0.1416095455699416</v>
          </cell>
        </row>
        <row r="115">
          <cell r="A115" t="str">
            <v>Abilene Regional Medical Center</v>
          </cell>
          <cell r="B115" t="str">
            <v>Abilene</v>
          </cell>
          <cell r="C115" t="str">
            <v>Texas</v>
          </cell>
          <cell r="D115">
            <v>231</v>
          </cell>
          <cell r="E115" t="str">
            <v>July, 2007</v>
          </cell>
          <cell r="F115" t="str">
            <v>Owned</v>
          </cell>
          <cell r="G115">
            <v>1.1728865194211728E-2</v>
          </cell>
          <cell r="H115">
            <v>0.1416095455699416</v>
          </cell>
        </row>
        <row r="116">
          <cell r="A116" t="str">
            <v>Brownwood Regional Medical Center</v>
          </cell>
          <cell r="B116" t="str">
            <v>Brownwood</v>
          </cell>
          <cell r="C116" t="str">
            <v>Texas</v>
          </cell>
          <cell r="D116">
            <v>194</v>
          </cell>
          <cell r="E116" t="str">
            <v>July, 2007</v>
          </cell>
          <cell r="F116" t="str">
            <v>Owned</v>
          </cell>
          <cell r="G116">
            <v>9.8502157908098506E-3</v>
          </cell>
          <cell r="H116">
            <v>0.1416095455699416</v>
          </cell>
        </row>
        <row r="117">
          <cell r="A117" t="str">
            <v>College Station Medical Center</v>
          </cell>
          <cell r="B117" t="str">
            <v>College Station</v>
          </cell>
          <cell r="C117" t="str">
            <v>Texas</v>
          </cell>
          <cell r="D117">
            <v>166</v>
          </cell>
          <cell r="E117" t="str">
            <v>July, 2007</v>
          </cell>
          <cell r="F117" t="str">
            <v>Owned</v>
          </cell>
          <cell r="G117">
            <v>8.4285351612084277E-3</v>
          </cell>
          <cell r="H117">
            <v>0.1416095455699416</v>
          </cell>
        </row>
        <row r="118">
          <cell r="A118" t="str">
            <v>Navarro Regional Hospital</v>
          </cell>
          <cell r="B118" t="str">
            <v>Corsicana</v>
          </cell>
          <cell r="C118" t="str">
            <v>Texas</v>
          </cell>
          <cell r="D118">
            <v>162</v>
          </cell>
          <cell r="E118" t="str">
            <v>July, 2007</v>
          </cell>
          <cell r="F118" t="str">
            <v>Owned</v>
          </cell>
          <cell r="G118">
            <v>8.2254379284082257E-3</v>
          </cell>
          <cell r="H118">
            <v>0.1416095455699416</v>
          </cell>
        </row>
        <row r="119">
          <cell r="A119" t="str">
            <v>Longview Regional Medical Center</v>
          </cell>
          <cell r="B119" t="str">
            <v>Longview</v>
          </cell>
          <cell r="C119" t="str">
            <v>Texas</v>
          </cell>
          <cell r="D119">
            <v>131</v>
          </cell>
          <cell r="E119" t="str">
            <v>July, 2007</v>
          </cell>
          <cell r="F119" t="str">
            <v>Owned</v>
          </cell>
          <cell r="G119">
            <v>6.6514343742066512E-3</v>
          </cell>
          <cell r="H119">
            <v>0.1416095455699416</v>
          </cell>
        </row>
        <row r="120">
          <cell r="A120" t="str">
            <v>Woodland Heights Medical Center</v>
          </cell>
          <cell r="B120" t="str">
            <v>Lufkin</v>
          </cell>
          <cell r="C120" t="str">
            <v>Texas</v>
          </cell>
          <cell r="D120">
            <v>149</v>
          </cell>
          <cell r="E120" t="str">
            <v>July, 2007</v>
          </cell>
          <cell r="F120" t="str">
            <v>Owned</v>
          </cell>
          <cell r="G120">
            <v>7.5653719218075656E-3</v>
          </cell>
          <cell r="H120">
            <v>0.1416095455699416</v>
          </cell>
        </row>
        <row r="121">
          <cell r="A121" t="str">
            <v>San Angelo Community Medical Center</v>
          </cell>
          <cell r="B121" t="str">
            <v>San Angelo</v>
          </cell>
          <cell r="C121" t="str">
            <v>Texas</v>
          </cell>
          <cell r="D121">
            <v>171</v>
          </cell>
          <cell r="E121" t="str">
            <v>July, 2007</v>
          </cell>
          <cell r="F121" t="str">
            <v>Owned</v>
          </cell>
          <cell r="G121">
            <v>8.682406702208682E-3</v>
          </cell>
          <cell r="H121">
            <v>0.1416095455699416</v>
          </cell>
        </row>
        <row r="122">
          <cell r="A122" t="str">
            <v>DeTar Healthcare System</v>
          </cell>
          <cell r="B122" t="str">
            <v>Victoria</v>
          </cell>
          <cell r="C122" t="str">
            <v>Texas</v>
          </cell>
          <cell r="D122">
            <v>308</v>
          </cell>
          <cell r="E122" t="str">
            <v>July, 2007</v>
          </cell>
          <cell r="F122" t="str">
            <v>Owned</v>
          </cell>
          <cell r="G122">
            <v>1.563848692561564E-2</v>
          </cell>
          <cell r="H122">
            <v>0.1416095455699416</v>
          </cell>
        </row>
        <row r="123">
          <cell r="A123" t="str">
            <v>Cedar Park Regional Medical Center</v>
          </cell>
          <cell r="B123" t="str">
            <v>Cedar Park</v>
          </cell>
          <cell r="C123" t="str">
            <v>Texas</v>
          </cell>
          <cell r="D123">
            <v>77</v>
          </cell>
          <cell r="E123" t="str">
            <v>December, 2007</v>
          </cell>
          <cell r="F123" t="str">
            <v>Owned</v>
          </cell>
          <cell r="G123">
            <v>3.9096217314039099E-3</v>
          </cell>
          <cell r="H123">
            <v>0.1416095455699416</v>
          </cell>
        </row>
        <row r="124">
          <cell r="A124" t="str">
            <v>Tomball Regional Hospital</v>
          </cell>
          <cell r="B124" t="str">
            <v>Tomball</v>
          </cell>
          <cell r="C124" t="str">
            <v>Texas</v>
          </cell>
          <cell r="D124">
            <v>358</v>
          </cell>
          <cell r="E124" t="str">
            <v>October, 2011</v>
          </cell>
          <cell r="F124" t="str">
            <v>Owned</v>
          </cell>
          <cell r="G124">
            <v>1.8177202335618176E-2</v>
          </cell>
          <cell r="H124">
            <v>0.1416095455699416</v>
          </cell>
        </row>
        <row r="125">
          <cell r="A125" t="str">
            <v>Mountain West Medical Center</v>
          </cell>
          <cell r="B125" t="str">
            <v>Tooele</v>
          </cell>
          <cell r="C125" t="str">
            <v>Utah</v>
          </cell>
          <cell r="D125">
            <v>44</v>
          </cell>
          <cell r="E125" t="str">
            <v>October, 2000</v>
          </cell>
          <cell r="F125" t="str">
            <v>Owned</v>
          </cell>
          <cell r="G125">
            <v>2.2340695608022341E-3</v>
          </cell>
          <cell r="H125">
            <v>2.2340695608022341E-3</v>
          </cell>
        </row>
        <row r="126">
          <cell r="A126" t="str">
            <v>Southern Virginia Regional Medical Center</v>
          </cell>
          <cell r="B126" t="str">
            <v>Emporia</v>
          </cell>
          <cell r="C126" t="str">
            <v>Virginia</v>
          </cell>
          <cell r="D126">
            <v>80</v>
          </cell>
          <cell r="E126" t="str">
            <v>March, 1999</v>
          </cell>
          <cell r="F126" t="str">
            <v>Owned</v>
          </cell>
          <cell r="G126">
            <v>4.0619446560040623E-3</v>
          </cell>
          <cell r="H126">
            <v>2.4625539477024627E-2</v>
          </cell>
        </row>
        <row r="127">
          <cell r="A127" t="str">
            <v>Southampton Memorial Hospital</v>
          </cell>
          <cell r="B127" t="str">
            <v>Franklin</v>
          </cell>
          <cell r="C127" t="str">
            <v>Virginia</v>
          </cell>
          <cell r="D127">
            <v>105</v>
          </cell>
          <cell r="E127" t="str">
            <v>March, 2000</v>
          </cell>
          <cell r="F127" t="str">
            <v>Owned</v>
          </cell>
          <cell r="G127">
            <v>5.3313023610053311E-3</v>
          </cell>
          <cell r="H127">
            <v>2.4625539477024627E-2</v>
          </cell>
        </row>
        <row r="128">
          <cell r="A128" t="str">
            <v>Southside Regional Medical Center</v>
          </cell>
          <cell r="B128" t="str">
            <v>Petersburg</v>
          </cell>
          <cell r="C128" t="str">
            <v>Virginia</v>
          </cell>
          <cell r="D128">
            <v>300</v>
          </cell>
          <cell r="E128" t="str">
            <v>August, 2003</v>
          </cell>
          <cell r="F128" t="str">
            <v>Owned</v>
          </cell>
          <cell r="G128">
            <v>1.5232292460015232E-2</v>
          </cell>
          <cell r="H128">
            <v>2.4625539477024627E-2</v>
          </cell>
        </row>
        <row r="129">
          <cell r="A129" t="str">
            <v>Deaconess Medical Center</v>
          </cell>
          <cell r="B129" t="str">
            <v>Spokane</v>
          </cell>
          <cell r="C129" t="str">
            <v>Washington</v>
          </cell>
          <cell r="D129">
            <v>388</v>
          </cell>
          <cell r="E129" t="str">
            <v>October, 2008</v>
          </cell>
          <cell r="F129" t="str">
            <v>Owned</v>
          </cell>
          <cell r="G129">
            <v>1.9700431581619701E-2</v>
          </cell>
          <cell r="H129">
            <v>2.5945671490225947E-2</v>
          </cell>
        </row>
        <row r="130">
          <cell r="A130" t="str">
            <v>Valley Hospital and Medical Center</v>
          </cell>
          <cell r="B130" t="str">
            <v>Spokane Valley</v>
          </cell>
          <cell r="C130" t="str">
            <v>Washington</v>
          </cell>
          <cell r="D130">
            <v>123</v>
          </cell>
          <cell r="E130" t="str">
            <v>October, 2008</v>
          </cell>
          <cell r="F130" t="str">
            <v>Owned</v>
          </cell>
          <cell r="G130">
            <v>6.2452399086062454E-3</v>
          </cell>
          <cell r="H130">
            <v>2.5945671490225947E-2</v>
          </cell>
        </row>
        <row r="131">
          <cell r="A131" t="str">
            <v>Plateau Medical Center</v>
          </cell>
          <cell r="B131" t="str">
            <v>Oak Hill</v>
          </cell>
          <cell r="C131" t="str">
            <v>West Virginia</v>
          </cell>
          <cell r="D131">
            <v>25</v>
          </cell>
          <cell r="E131" t="str">
            <v>July, 2002</v>
          </cell>
          <cell r="F131" t="str">
            <v>Owned</v>
          </cell>
          <cell r="G131">
            <v>1.2693577050012694E-3</v>
          </cell>
          <cell r="H131">
            <v>1.9649657273419649E-2</v>
          </cell>
        </row>
        <row r="132">
          <cell r="A132" t="str">
            <v>Greenbrier Valley Medical Center</v>
          </cell>
          <cell r="B132" t="str">
            <v>Ronceverte</v>
          </cell>
          <cell r="C132" t="str">
            <v>West Virginia</v>
          </cell>
          <cell r="D132">
            <v>122</v>
          </cell>
          <cell r="E132" t="str">
            <v>July, 2007</v>
          </cell>
          <cell r="F132" t="str">
            <v>Owned</v>
          </cell>
          <cell r="G132">
            <v>6.1944656004061941E-3</v>
          </cell>
          <cell r="H132">
            <v>1.9649657273419649E-2</v>
          </cell>
        </row>
        <row r="133">
          <cell r="A133" t="str">
            <v>Bluefield Regional Medical Center</v>
          </cell>
          <cell r="B133" t="str">
            <v>Bluefield</v>
          </cell>
          <cell r="C133" t="str">
            <v>West Virginia</v>
          </cell>
          <cell r="D133">
            <v>240</v>
          </cell>
          <cell r="E133" t="str">
            <v>October, 2010</v>
          </cell>
          <cell r="F133" t="str">
            <v>Owned</v>
          </cell>
          <cell r="G133">
            <v>1.2185833968012186E-2</v>
          </cell>
          <cell r="H133">
            <v>1.9649657273419649E-2</v>
          </cell>
        </row>
        <row r="134">
          <cell r="A134" t="str">
            <v>Evanston Regional Hospital</v>
          </cell>
          <cell r="B134" t="str">
            <v>Evanston</v>
          </cell>
          <cell r="C134" t="str">
            <v>Wyoming</v>
          </cell>
          <cell r="D134">
            <v>42</v>
          </cell>
          <cell r="E134" t="str">
            <v>November, 1999</v>
          </cell>
          <cell r="F134" t="str">
            <v>Owned</v>
          </cell>
          <cell r="G134">
            <v>2.1325209444021326E-3</v>
          </cell>
          <cell r="H134">
            <v>2.1325209444021326E-3</v>
          </cell>
        </row>
        <row r="135">
          <cell r="A135" t="str">
            <v>Total</v>
          </cell>
          <cell r="D135">
            <v>19695</v>
          </cell>
          <cell r="G135">
            <v>1.0000000000000002</v>
          </cell>
        </row>
      </sheetData>
      <sheetData sheetId="20" refreshError="1">
        <row r="2">
          <cell r="A2" t="str">
            <v>What's Changed in Our Model</v>
          </cell>
        </row>
        <row r="4">
          <cell r="A4" t="str">
            <v>Period</v>
          </cell>
          <cell r="B4" t="str">
            <v>Prior Forecast</v>
          </cell>
          <cell r="D4" t="str">
            <v>Current Forecast</v>
          </cell>
          <cell r="F4" t="str">
            <v>Details/ Commentary</v>
          </cell>
        </row>
        <row r="5">
          <cell r="A5" t="str">
            <v>($ mm except per share data)</v>
          </cell>
        </row>
        <row r="6">
          <cell r="A6" t="str">
            <v>Q1/11E</v>
          </cell>
        </row>
        <row r="7">
          <cell r="A7" t="str">
            <v>Revenues</v>
          </cell>
          <cell r="B7">
            <v>3398.8418413191421</v>
          </cell>
          <cell r="D7">
            <v>3405.3420000000001</v>
          </cell>
        </row>
        <row r="8">
          <cell r="A8" t="str">
            <v>I/P admit growth</v>
          </cell>
          <cell r="B8">
            <v>2.9927883332993899E-2</v>
          </cell>
          <cell r="D8">
            <v>9.3905181694688977E-3</v>
          </cell>
        </row>
        <row r="9">
          <cell r="A9" t="str">
            <v>Adj. admit growth</v>
          </cell>
          <cell r="B9">
            <v>3.7472539053748033E-2</v>
          </cell>
          <cell r="D9">
            <v>4.0383748989403445E-2</v>
          </cell>
        </row>
        <row r="10">
          <cell r="A10" t="str">
            <v>SW&amp;B % revs</v>
          </cell>
          <cell r="B10">
            <v>0.40400000000000003</v>
          </cell>
          <cell r="D10">
            <v>0.41174161068110049</v>
          </cell>
        </row>
        <row r="11">
          <cell r="A11" t="str">
            <v>Bad Debt % revs</v>
          </cell>
          <cell r="B11">
            <v>0.125</v>
          </cell>
          <cell r="D11">
            <v>0.1197738729325865</v>
          </cell>
        </row>
        <row r="12">
          <cell r="A12" t="str">
            <v>Supplies % revs</v>
          </cell>
          <cell r="B12">
            <v>0.13700000000000001</v>
          </cell>
          <cell r="D12">
            <v>0.13630231559708247</v>
          </cell>
        </row>
        <row r="13">
          <cell r="A13" t="str">
            <v>Other OpEx % revs</v>
          </cell>
          <cell r="B13">
            <v>0.186</v>
          </cell>
          <cell r="D13">
            <v>0.18347496374813452</v>
          </cell>
        </row>
        <row r="14">
          <cell r="B14">
            <v>1.9822850474546096E-2</v>
          </cell>
          <cell r="D14">
            <v>1.9016298509811937E-2</v>
          </cell>
        </row>
        <row r="15">
          <cell r="A15" t="str">
            <v>EBITDA</v>
          </cell>
          <cell r="B15">
            <v>435.65385890813315</v>
          </cell>
          <cell r="D15" t="e">
            <v>#REF!</v>
          </cell>
        </row>
        <row r="16">
          <cell r="A16" t="str">
            <v xml:space="preserve">     Margin %</v>
          </cell>
          <cell r="B16">
            <v>0.12817714952545403</v>
          </cell>
          <cell r="D16" t="e">
            <v>#REF!</v>
          </cell>
        </row>
        <row r="18">
          <cell r="A18" t="str">
            <v>Operating EPS</v>
          </cell>
          <cell r="B18">
            <v>0.71518076241193318</v>
          </cell>
          <cell r="D18">
            <v>0.80467288544007365</v>
          </cell>
        </row>
        <row r="20">
          <cell r="A20" t="str">
            <v>Free Cash Flow</v>
          </cell>
          <cell r="B20">
            <v>83.926058500152237</v>
          </cell>
          <cell r="D20">
            <v>33.636000000000024</v>
          </cell>
        </row>
        <row r="22">
          <cell r="A22" t="str">
            <v>2011E</v>
          </cell>
        </row>
        <row r="23">
          <cell r="A23" t="str">
            <v>Revenues</v>
          </cell>
          <cell r="B23">
            <v>14011.512364435843</v>
          </cell>
          <cell r="D23">
            <v>13717.685000000001</v>
          </cell>
        </row>
        <row r="24">
          <cell r="A24" t="str">
            <v>I/P admit growth</v>
          </cell>
          <cell r="B24">
            <v>4.7546944880526576E-2</v>
          </cell>
          <cell r="D24">
            <v>-2.2473903274097151E-2</v>
          </cell>
        </row>
        <row r="25">
          <cell r="A25" t="str">
            <v>Adj. admit growth</v>
          </cell>
          <cell r="B25">
            <v>5.4317963229685517E-2</v>
          </cell>
          <cell r="D25">
            <v>2.1294539804732615E-2</v>
          </cell>
        </row>
        <row r="26">
          <cell r="A26" t="str">
            <v>SW&amp;B % revs</v>
          </cell>
          <cell r="B26">
            <v>0.40388108615739765</v>
          </cell>
          <cell r="D26">
            <v>0.40828157229153456</v>
          </cell>
        </row>
        <row r="27">
          <cell r="A27" t="str">
            <v>Bad Debt % revs</v>
          </cell>
          <cell r="B27">
            <v>0.12511867834104087</v>
          </cell>
          <cell r="D27">
            <v>0.12595842520075362</v>
          </cell>
        </row>
        <row r="28">
          <cell r="A28" t="str">
            <v>Supplies % revs</v>
          </cell>
          <cell r="B28">
            <v>0.13625098654238746</v>
          </cell>
          <cell r="D28">
            <v>0.13416585961844144</v>
          </cell>
        </row>
        <row r="29">
          <cell r="A29" t="str">
            <v>Other OpEx % revs</v>
          </cell>
          <cell r="B29">
            <v>0.18497857046142988</v>
          </cell>
          <cell r="D29">
            <v>0.18411568715858392</v>
          </cell>
        </row>
        <row r="31">
          <cell r="A31" t="str">
            <v>EBITDA</v>
          </cell>
          <cell r="B31">
            <v>1820.7655990786234</v>
          </cell>
          <cell r="D31" t="e">
            <v>#REF!</v>
          </cell>
        </row>
        <row r="32">
          <cell r="A32" t="str">
            <v xml:space="preserve">     Margin %</v>
          </cell>
          <cell r="B32">
            <v>0.12994782802319815</v>
          </cell>
          <cell r="D32" t="e">
            <v>#REF!</v>
          </cell>
        </row>
        <row r="34">
          <cell r="A34" t="str">
            <v>Operating EPS</v>
          </cell>
          <cell r="B34">
            <v>3.2375386444150052</v>
          </cell>
          <cell r="D34">
            <v>3.3281918446742962</v>
          </cell>
        </row>
        <row r="36">
          <cell r="A36" t="str">
            <v>Free Cash Flow</v>
          </cell>
          <cell r="B36">
            <v>373.70935933763099</v>
          </cell>
          <cell r="D36">
            <v>485.19500000000016</v>
          </cell>
        </row>
        <row r="38">
          <cell r="A38" t="str">
            <v>2012E</v>
          </cell>
        </row>
        <row r="39">
          <cell r="A39" t="str">
            <v>Revenues</v>
          </cell>
          <cell r="B39">
            <v>14610.28124430832</v>
          </cell>
          <cell r="D39">
            <v>14908.266009343242</v>
          </cell>
        </row>
        <row r="40">
          <cell r="A40" t="str">
            <v>I/P admit growth</v>
          </cell>
          <cell r="B40">
            <v>1.8838209814840523E-2</v>
          </cell>
          <cell r="D40">
            <v>3.1750886167205783E-2</v>
          </cell>
        </row>
        <row r="41">
          <cell r="A41" t="str">
            <v>Adj. admit growth</v>
          </cell>
          <cell r="B41">
            <v>1.2395453213253527E-2</v>
          </cell>
          <cell r="D41">
            <v>5.9095836767348642E-2</v>
          </cell>
        </row>
        <row r="42">
          <cell r="A42" t="str">
            <v>SW&amp;B % revs</v>
          </cell>
          <cell r="B42">
            <v>0.40500651249822822</v>
          </cell>
          <cell r="D42">
            <v>0.40813991329629512</v>
          </cell>
        </row>
        <row r="43">
          <cell r="A43" t="str">
            <v>Bad Debt % revs</v>
          </cell>
          <cell r="B43">
            <v>0.12512061434342719</v>
          </cell>
          <cell r="D43">
            <v>0.1310118950111667</v>
          </cell>
        </row>
        <row r="44">
          <cell r="A44" t="str">
            <v>Supplies % revs</v>
          </cell>
          <cell r="B44">
            <v>0.13425425368331076</v>
          </cell>
          <cell r="D44">
            <v>0.13156442858204015</v>
          </cell>
        </row>
        <row r="45">
          <cell r="A45" t="str">
            <v>Other OpEx % revs</v>
          </cell>
          <cell r="B45">
            <v>0.18431942687606853</v>
          </cell>
          <cell r="D45">
            <v>0.18935856162148984</v>
          </cell>
        </row>
        <row r="47">
          <cell r="A47" t="str">
            <v>EBITDA</v>
          </cell>
          <cell r="B47">
            <v>1920.906335410665</v>
          </cell>
          <cell r="D47" t="e">
            <v>#REF!</v>
          </cell>
        </row>
        <row r="48">
          <cell r="A48" t="str">
            <v xml:space="preserve">     Margin %</v>
          </cell>
          <cell r="B48">
            <v>0.13147634212441914</v>
          </cell>
          <cell r="D48" t="e">
            <v>#REF!</v>
          </cell>
        </row>
        <row r="50">
          <cell r="A50" t="str">
            <v>Operating EPS</v>
          </cell>
          <cell r="B50">
            <v>3.5374035488951598</v>
          </cell>
          <cell r="D50">
            <v>3.5163648762241371</v>
          </cell>
        </row>
        <row r="52">
          <cell r="A52" t="str">
            <v>Free Cash Flow</v>
          </cell>
          <cell r="B52">
            <v>448.542836081828</v>
          </cell>
          <cell r="D52">
            <v>425.20409460720975</v>
          </cell>
        </row>
      </sheetData>
      <sheetData sheetId="21" refreshError="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S"/>
      <sheetName val="IS - Adj Basis"/>
      <sheetName val="BS"/>
      <sheetName val="CF"/>
      <sheetName val="Scenarios"/>
      <sheetName val="Global Health"/>
      <sheetName val="Global Supp"/>
      <sheetName val="Grp Dis&amp;Life"/>
      <sheetName val="Other &amp; Runoff"/>
      <sheetName val="Debt"/>
      <sheetName val="Outlook"/>
      <sheetName val="One Pager"/>
      <sheetName val="Variance"/>
      <sheetName val="Crosswalk"/>
      <sheetName val="VADB"/>
      <sheetName val="One Pager - old"/>
      <sheetName val="DCF"/>
      <sheetName val="Corp"/>
      <sheetName val="Health Care"/>
      <sheetName val="Intl"/>
      <sheetName val="Dis&amp;Life"/>
      <sheetName val="MW-Cache"/>
      <sheetName val="mwareDates"/>
      <sheetName val="mwareSettings"/>
      <sheetName val="MWA RR"/>
      <sheetName val="Sheet1"/>
      <sheetName val="Sheet2"/>
      <sheetName val="mwareDates_41597_5077591"/>
      <sheetName val="#REF"/>
      <sheetName val="Q comps"/>
    </sheetNames>
    <sheetDataSet>
      <sheetData sheetId="0">
        <row r="1">
          <cell r="B1" t="str">
            <v>This sheet contains Factset binary data for use with this workbook's =FDS codes.  Modifying the worksheet's contents may damage the workbook's =FDS functionality.</v>
          </cell>
        </row>
      </sheetData>
      <sheetData sheetId="1">
        <row r="3">
          <cell r="D3" t="str">
            <v>CIGNA</v>
          </cell>
        </row>
      </sheetData>
      <sheetData sheetId="2">
        <row r="1">
          <cell r="CG1" t="str">
            <v>ElementName</v>
          </cell>
        </row>
        <row r="6">
          <cell r="BK6" t="str">
            <v>2014E</v>
          </cell>
        </row>
        <row r="7">
          <cell r="BK7" t="str">
            <v>Q1A</v>
          </cell>
        </row>
        <row r="8">
          <cell r="BK8" t="str">
            <v>_is_1c14</v>
          </cell>
        </row>
        <row r="10">
          <cell r="A10" t="str">
            <v>Premiums and fees</v>
          </cell>
          <cell r="B10" t="str">
            <v>_premandfees</v>
          </cell>
          <cell r="C10">
            <v>4000</v>
          </cell>
          <cell r="D10">
            <v>4135</v>
          </cell>
          <cell r="E10">
            <v>4001</v>
          </cell>
          <cell r="F10">
            <v>3983</v>
          </cell>
          <cell r="G10">
            <v>16119</v>
          </cell>
          <cell r="H10">
            <v>3915</v>
          </cell>
          <cell r="I10">
            <v>3859</v>
          </cell>
          <cell r="J10">
            <v>3841</v>
          </cell>
          <cell r="K10">
            <v>3826</v>
          </cell>
          <cell r="L10">
            <v>15441</v>
          </cell>
          <cell r="M10">
            <v>3628</v>
          </cell>
          <cell r="N10">
            <v>3507</v>
          </cell>
          <cell r="O10">
            <v>3615</v>
          </cell>
          <cell r="P10">
            <v>3482</v>
          </cell>
          <cell r="Q10">
            <v>14232</v>
          </cell>
          <cell r="R10">
            <v>3362</v>
          </cell>
          <cell r="S10">
            <v>3408</v>
          </cell>
          <cell r="T10">
            <v>3381</v>
          </cell>
          <cell r="U10">
            <v>3544</v>
          </cell>
          <cell r="V10">
            <v>13695</v>
          </cell>
          <cell r="W10">
            <v>3268</v>
          </cell>
          <cell r="X10">
            <v>3369</v>
          </cell>
          <cell r="Y10">
            <v>3433</v>
          </cell>
          <cell r="Z10">
            <v>3571</v>
          </cell>
          <cell r="AA10">
            <v>13641</v>
          </cell>
          <cell r="AB10">
            <v>3708</v>
          </cell>
          <cell r="AC10">
            <v>3757</v>
          </cell>
          <cell r="AD10">
            <v>3744</v>
          </cell>
          <cell r="AE10">
            <v>3799</v>
          </cell>
          <cell r="AF10">
            <v>15008</v>
          </cell>
          <cell r="AG10">
            <v>3851</v>
          </cell>
          <cell r="AH10">
            <v>4218</v>
          </cell>
          <cell r="AI10">
            <v>4128</v>
          </cell>
          <cell r="AJ10">
            <v>4056</v>
          </cell>
          <cell r="AK10">
            <v>16253</v>
          </cell>
          <cell r="AL10">
            <v>4051</v>
          </cell>
          <cell r="AM10">
            <v>4013</v>
          </cell>
          <cell r="AN10">
            <v>3985</v>
          </cell>
          <cell r="AO10">
            <v>3992</v>
          </cell>
          <cell r="AP10">
            <v>16041</v>
          </cell>
          <cell r="AQ10">
            <v>4543</v>
          </cell>
          <cell r="AR10">
            <v>4504</v>
          </cell>
          <cell r="AS10">
            <v>4621</v>
          </cell>
          <cell r="AT10">
            <v>4725</v>
          </cell>
          <cell r="AU10">
            <v>18393</v>
          </cell>
          <cell r="AV10">
            <v>4709</v>
          </cell>
          <cell r="AW10">
            <v>4758</v>
          </cell>
          <cell r="AX10">
            <v>4712</v>
          </cell>
          <cell r="AY10">
            <v>4787</v>
          </cell>
          <cell r="AZ10">
            <v>18966</v>
          </cell>
          <cell r="BA10">
            <v>6107</v>
          </cell>
          <cell r="BB10">
            <v>6651</v>
          </cell>
          <cell r="BC10">
            <v>6602</v>
          </cell>
          <cell r="BD10">
            <v>6827</v>
          </cell>
          <cell r="BE10">
            <v>26187</v>
          </cell>
          <cell r="BF10">
            <v>7314</v>
          </cell>
          <cell r="BG10">
            <v>7172</v>
          </cell>
          <cell r="BH10">
            <v>7206</v>
          </cell>
          <cell r="BI10">
            <v>7284</v>
          </cell>
          <cell r="BJ10">
            <v>28976</v>
          </cell>
          <cell r="BK10">
            <v>7615</v>
          </cell>
          <cell r="BL10">
            <v>7758</v>
          </cell>
          <cell r="BM10">
            <v>7793</v>
          </cell>
          <cell r="BN10">
            <v>7906</v>
          </cell>
          <cell r="BO10">
            <v>31072</v>
          </cell>
          <cell r="BP10">
            <v>8468</v>
          </cell>
          <cell r="BQ10">
            <v>8465</v>
          </cell>
          <cell r="BR10">
            <v>8364</v>
          </cell>
          <cell r="BS10">
            <v>8495</v>
          </cell>
          <cell r="BT10">
            <v>33792</v>
          </cell>
          <cell r="BU10">
            <v>8888.1875282432484</v>
          </cell>
          <cell r="BV10">
            <v>9077.5604870423122</v>
          </cell>
          <cell r="BW10">
            <v>8952.4282054762298</v>
          </cell>
          <cell r="BX10">
            <v>8981.5687059200118</v>
          </cell>
          <cell r="BY10">
            <v>35899.7449266818</v>
          </cell>
          <cell r="BZ10">
            <v>9436.0225051164452</v>
          </cell>
          <cell r="CA10">
            <v>9725.4696704500238</v>
          </cell>
          <cell r="CB10">
            <v>9636.4407404822559</v>
          </cell>
          <cell r="CC10">
            <v>9631.0381358301474</v>
          </cell>
          <cell r="CD10">
            <v>38428.971051878871</v>
          </cell>
          <cell r="CE10">
            <v>10272.602360388895</v>
          </cell>
          <cell r="CF10">
            <v>10617.489707447527</v>
          </cell>
          <cell r="CG10">
            <v>10529.146029763788</v>
          </cell>
          <cell r="CH10">
            <v>10459.142850718941</v>
          </cell>
          <cell r="CI10">
            <v>41878.380948319151</v>
          </cell>
        </row>
        <row r="11">
          <cell r="A11" t="str">
            <v>Net investment income</v>
          </cell>
          <cell r="B11" t="str">
            <v>_nii</v>
          </cell>
          <cell r="C11">
            <v>690</v>
          </cell>
          <cell r="D11">
            <v>700</v>
          </cell>
          <cell r="E11">
            <v>664</v>
          </cell>
          <cell r="F11">
            <v>663</v>
          </cell>
          <cell r="G11">
            <v>2717</v>
          </cell>
          <cell r="H11">
            <v>658</v>
          </cell>
          <cell r="I11">
            <v>668</v>
          </cell>
          <cell r="J11">
            <v>623</v>
          </cell>
          <cell r="K11">
            <v>645</v>
          </cell>
          <cell r="L11">
            <v>2594</v>
          </cell>
          <cell r="M11">
            <v>603</v>
          </cell>
          <cell r="N11">
            <v>355</v>
          </cell>
          <cell r="O11">
            <v>340</v>
          </cell>
          <cell r="P11">
            <v>345</v>
          </cell>
          <cell r="Q11">
            <v>1643</v>
          </cell>
          <cell r="R11">
            <v>330</v>
          </cell>
          <cell r="S11">
            <v>331</v>
          </cell>
          <cell r="T11">
            <v>334</v>
          </cell>
          <cell r="U11">
            <v>364</v>
          </cell>
          <cell r="V11">
            <v>1359</v>
          </cell>
          <cell r="W11">
            <v>329</v>
          </cell>
          <cell r="X11">
            <v>299</v>
          </cell>
          <cell r="Y11">
            <v>296</v>
          </cell>
          <cell r="Z11">
            <v>271</v>
          </cell>
          <cell r="AA11">
            <v>1195</v>
          </cell>
          <cell r="AB11">
            <v>280</v>
          </cell>
          <cell r="AC11">
            <v>279</v>
          </cell>
          <cell r="AD11">
            <v>281</v>
          </cell>
          <cell r="AE11">
            <v>274</v>
          </cell>
          <cell r="AF11">
            <v>1114</v>
          </cell>
          <cell r="AG11">
            <v>231</v>
          </cell>
          <cell r="AH11">
            <v>265</v>
          </cell>
          <cell r="AI11">
            <v>272</v>
          </cell>
          <cell r="AJ11">
            <v>261</v>
          </cell>
          <cell r="AK11">
            <v>1029</v>
          </cell>
          <cell r="AL11">
            <v>229</v>
          </cell>
          <cell r="AM11">
            <v>260</v>
          </cell>
          <cell r="AN11">
            <v>263</v>
          </cell>
          <cell r="AO11">
            <v>262</v>
          </cell>
          <cell r="AP11">
            <v>1014</v>
          </cell>
          <cell r="AQ11">
            <v>266</v>
          </cell>
          <cell r="AR11">
            <v>283</v>
          </cell>
          <cell r="AS11">
            <v>280</v>
          </cell>
          <cell r="AT11">
            <v>276</v>
          </cell>
          <cell r="AU11">
            <v>1105</v>
          </cell>
          <cell r="AV11">
            <v>279</v>
          </cell>
          <cell r="AW11">
            <v>284</v>
          </cell>
          <cell r="AX11">
            <v>297</v>
          </cell>
          <cell r="AY11">
            <v>286</v>
          </cell>
          <cell r="AZ11">
            <v>1146</v>
          </cell>
          <cell r="BA11">
            <v>288</v>
          </cell>
          <cell r="BB11">
            <v>283</v>
          </cell>
          <cell r="BC11">
            <v>283</v>
          </cell>
          <cell r="BD11">
            <v>290</v>
          </cell>
          <cell r="BE11">
            <v>1144</v>
          </cell>
          <cell r="BF11">
            <v>287</v>
          </cell>
          <cell r="BG11">
            <v>289</v>
          </cell>
          <cell r="BH11">
            <v>297</v>
          </cell>
          <cell r="BI11">
            <v>291</v>
          </cell>
          <cell r="BJ11">
            <v>1164</v>
          </cell>
          <cell r="BK11">
            <v>277</v>
          </cell>
          <cell r="BL11">
            <v>294</v>
          </cell>
          <cell r="BM11">
            <v>292</v>
          </cell>
          <cell r="BN11">
            <v>303</v>
          </cell>
          <cell r="BO11">
            <v>1166</v>
          </cell>
          <cell r="BP11">
            <v>276</v>
          </cell>
          <cell r="BQ11">
            <v>297</v>
          </cell>
          <cell r="BR11">
            <v>285</v>
          </cell>
          <cell r="BS11">
            <v>295</v>
          </cell>
          <cell r="BT11">
            <v>1153</v>
          </cell>
          <cell r="BU11">
            <v>287</v>
          </cell>
          <cell r="BV11">
            <v>290</v>
          </cell>
          <cell r="BW11">
            <v>295</v>
          </cell>
          <cell r="BX11">
            <v>295</v>
          </cell>
          <cell r="BY11">
            <v>1167</v>
          </cell>
          <cell r="BZ11">
            <v>287</v>
          </cell>
          <cell r="CA11">
            <v>290</v>
          </cell>
          <cell r="CB11">
            <v>295</v>
          </cell>
          <cell r="CC11">
            <v>295</v>
          </cell>
          <cell r="CD11">
            <v>1167</v>
          </cell>
          <cell r="CE11">
            <v>289</v>
          </cell>
          <cell r="CF11">
            <v>290</v>
          </cell>
          <cell r="CG11">
            <v>295</v>
          </cell>
          <cell r="CH11">
            <v>295</v>
          </cell>
          <cell r="CI11">
            <v>1169</v>
          </cell>
        </row>
        <row r="12">
          <cell r="A12" t="str">
            <v>Other operating revenues</v>
          </cell>
          <cell r="B12" t="str">
            <v>_otherrev</v>
          </cell>
          <cell r="C12">
            <v>225</v>
          </cell>
          <cell r="D12">
            <v>237</v>
          </cell>
          <cell r="E12">
            <v>577</v>
          </cell>
          <cell r="F12">
            <v>90</v>
          </cell>
          <cell r="G12">
            <v>1129</v>
          </cell>
          <cell r="H12">
            <v>358</v>
          </cell>
          <cell r="I12">
            <v>-2</v>
          </cell>
          <cell r="J12">
            <v>252</v>
          </cell>
          <cell r="K12">
            <v>6</v>
          </cell>
          <cell r="L12">
            <v>614</v>
          </cell>
          <cell r="M12">
            <v>470</v>
          </cell>
          <cell r="N12">
            <v>356</v>
          </cell>
          <cell r="O12">
            <v>405</v>
          </cell>
          <cell r="P12">
            <v>225</v>
          </cell>
          <cell r="Q12">
            <v>1456</v>
          </cell>
          <cell r="R12">
            <v>362</v>
          </cell>
          <cell r="S12">
            <v>315</v>
          </cell>
          <cell r="T12">
            <v>288</v>
          </cell>
          <cell r="U12">
            <v>330</v>
          </cell>
          <cell r="V12">
            <v>1295</v>
          </cell>
          <cell r="W12">
            <v>366</v>
          </cell>
          <cell r="X12">
            <v>424</v>
          </cell>
          <cell r="Y12">
            <v>360</v>
          </cell>
          <cell r="Z12">
            <v>341</v>
          </cell>
          <cell r="AA12">
            <v>1491</v>
          </cell>
          <cell r="AB12">
            <v>365</v>
          </cell>
          <cell r="AC12">
            <v>356</v>
          </cell>
          <cell r="AD12">
            <v>361</v>
          </cell>
          <cell r="AE12">
            <v>404</v>
          </cell>
          <cell r="AF12">
            <v>1486</v>
          </cell>
          <cell r="AG12">
            <v>473</v>
          </cell>
          <cell r="AH12">
            <v>399</v>
          </cell>
          <cell r="AI12">
            <v>475</v>
          </cell>
          <cell r="AJ12">
            <v>642</v>
          </cell>
          <cell r="AK12">
            <v>1989</v>
          </cell>
          <cell r="AL12">
            <v>529</v>
          </cell>
          <cell r="AM12">
            <v>233</v>
          </cell>
          <cell r="AN12">
            <v>255</v>
          </cell>
          <cell r="AO12">
            <v>385</v>
          </cell>
          <cell r="AP12">
            <v>1402</v>
          </cell>
          <cell r="AQ12">
            <v>402</v>
          </cell>
          <cell r="AR12">
            <v>544</v>
          </cell>
          <cell r="AS12">
            <v>337</v>
          </cell>
          <cell r="AT12">
            <v>397</v>
          </cell>
          <cell r="AU12">
            <v>1680</v>
          </cell>
          <cell r="AV12">
            <v>373</v>
          </cell>
          <cell r="AW12">
            <v>420</v>
          </cell>
          <cell r="AX12">
            <v>552</v>
          </cell>
          <cell r="AY12">
            <v>346</v>
          </cell>
          <cell r="AZ12">
            <v>1691</v>
          </cell>
          <cell r="BA12">
            <v>346</v>
          </cell>
          <cell r="BB12">
            <v>492</v>
          </cell>
          <cell r="BC12">
            <v>427</v>
          </cell>
          <cell r="BD12">
            <v>479</v>
          </cell>
          <cell r="BE12">
            <v>1744</v>
          </cell>
          <cell r="BF12">
            <v>443</v>
          </cell>
          <cell r="BG12">
            <v>493</v>
          </cell>
          <cell r="BH12">
            <v>536</v>
          </cell>
          <cell r="BI12">
            <v>555</v>
          </cell>
          <cell r="BJ12">
            <v>2027</v>
          </cell>
          <cell r="BK12">
            <v>562</v>
          </cell>
          <cell r="BL12">
            <v>616</v>
          </cell>
          <cell r="BM12">
            <v>649</v>
          </cell>
          <cell r="BN12">
            <v>695</v>
          </cell>
          <cell r="BO12">
            <v>2522</v>
          </cell>
          <cell r="BP12">
            <v>650</v>
          </cell>
          <cell r="BQ12">
            <v>709</v>
          </cell>
          <cell r="BR12">
            <v>731</v>
          </cell>
          <cell r="BS12">
            <v>787</v>
          </cell>
          <cell r="BT12">
            <v>2877</v>
          </cell>
          <cell r="BU12">
            <v>745.3</v>
          </cell>
          <cell r="BV12">
            <v>780.48000000000013</v>
          </cell>
          <cell r="BW12">
            <v>810.56000000000006</v>
          </cell>
          <cell r="BX12">
            <v>872.12000000000012</v>
          </cell>
          <cell r="BY12">
            <v>3208.46</v>
          </cell>
          <cell r="BZ12">
            <v>856.04499999999985</v>
          </cell>
          <cell r="CA12">
            <v>889.32720000000029</v>
          </cell>
          <cell r="CB12">
            <v>922.91840000000013</v>
          </cell>
          <cell r="CC12">
            <v>993.09680000000026</v>
          </cell>
          <cell r="CD12">
            <v>3661.3874000000005</v>
          </cell>
          <cell r="CE12">
            <v>1005.81</v>
          </cell>
          <cell r="CF12">
            <v>1013.4130080000004</v>
          </cell>
          <cell r="CG12">
            <v>1051.0069760000003</v>
          </cell>
          <cell r="CH12">
            <v>1131.0103520000005</v>
          </cell>
          <cell r="CI12">
            <v>4201.2403360000008</v>
          </cell>
        </row>
        <row r="13">
          <cell r="BK13">
            <v>8454</v>
          </cell>
        </row>
        <row r="14">
          <cell r="A14" t="str">
            <v>Health Care medical claims expense</v>
          </cell>
          <cell r="B14" t="str">
            <v>_medexp</v>
          </cell>
          <cell r="M14">
            <v>1757</v>
          </cell>
          <cell r="N14">
            <v>1616</v>
          </cell>
          <cell r="O14">
            <v>1671</v>
          </cell>
          <cell r="P14">
            <v>1572</v>
          </cell>
          <cell r="Q14">
            <v>6616</v>
          </cell>
          <cell r="R14">
            <v>1456</v>
          </cell>
          <cell r="S14">
            <v>1598</v>
          </cell>
          <cell r="T14">
            <v>1579</v>
          </cell>
          <cell r="U14">
            <v>1672</v>
          </cell>
          <cell r="V14">
            <v>6305</v>
          </cell>
          <cell r="W14">
            <v>1448</v>
          </cell>
          <cell r="X14">
            <v>1493</v>
          </cell>
          <cell r="Y14">
            <v>1595</v>
          </cell>
          <cell r="Z14">
            <v>1575</v>
          </cell>
          <cell r="AA14">
            <v>6111</v>
          </cell>
          <cell r="AB14">
            <v>1719</v>
          </cell>
          <cell r="AC14">
            <v>1729</v>
          </cell>
          <cell r="AD14">
            <v>1659</v>
          </cell>
          <cell r="AE14">
            <v>1691</v>
          </cell>
          <cell r="AF14">
            <v>6798</v>
          </cell>
          <cell r="AG14">
            <v>1744</v>
          </cell>
          <cell r="AH14">
            <v>1900</v>
          </cell>
          <cell r="AI14">
            <v>1806</v>
          </cell>
          <cell r="AJ14">
            <v>1802</v>
          </cell>
          <cell r="AK14">
            <v>7252</v>
          </cell>
          <cell r="AL14">
            <v>1780</v>
          </cell>
          <cell r="AM14">
            <v>1748</v>
          </cell>
          <cell r="AN14">
            <v>1698</v>
          </cell>
          <cell r="AO14">
            <v>1701</v>
          </cell>
          <cell r="AP14">
            <v>6927</v>
          </cell>
          <cell r="AQ14">
            <v>2209</v>
          </cell>
          <cell r="AR14">
            <v>2078</v>
          </cell>
          <cell r="AS14">
            <v>2148</v>
          </cell>
          <cell r="AT14">
            <v>2135</v>
          </cell>
          <cell r="AU14">
            <v>8570</v>
          </cell>
          <cell r="AV14">
            <v>2301</v>
          </cell>
          <cell r="AW14">
            <v>2269</v>
          </cell>
          <cell r="AX14">
            <v>2254</v>
          </cell>
          <cell r="AY14">
            <v>2301</v>
          </cell>
          <cell r="AZ14">
            <v>9125</v>
          </cell>
          <cell r="BA14">
            <v>3316</v>
          </cell>
          <cell r="BB14">
            <v>3707</v>
          </cell>
          <cell r="BC14">
            <v>3561</v>
          </cell>
          <cell r="BD14">
            <v>3644</v>
          </cell>
          <cell r="BE14">
            <v>14228</v>
          </cell>
          <cell r="BF14">
            <v>4047</v>
          </cell>
          <cell r="BG14">
            <v>3904</v>
          </cell>
          <cell r="BH14">
            <v>3913</v>
          </cell>
          <cell r="BI14">
            <v>4003</v>
          </cell>
          <cell r="BJ14">
            <v>15867</v>
          </cell>
          <cell r="BK14">
            <v>4031</v>
          </cell>
          <cell r="BL14">
            <v>4219</v>
          </cell>
          <cell r="BM14">
            <v>4153</v>
          </cell>
          <cell r="BN14">
            <v>4291</v>
          </cell>
          <cell r="BO14">
            <v>16694</v>
          </cell>
          <cell r="BP14">
            <v>4604</v>
          </cell>
          <cell r="BQ14">
            <v>4577</v>
          </cell>
          <cell r="BR14">
            <v>4539</v>
          </cell>
          <cell r="BS14">
            <v>4634</v>
          </cell>
          <cell r="BT14">
            <v>18354</v>
          </cell>
          <cell r="BU14">
            <v>4784.4097753524256</v>
          </cell>
          <cell r="BV14">
            <v>4889.3587077643024</v>
          </cell>
          <cell r="BW14">
            <v>4810.6499943417148</v>
          </cell>
          <cell r="BX14">
            <v>4899.6328885053426</v>
          </cell>
          <cell r="BY14">
            <v>19384.051365963787</v>
          </cell>
          <cell r="BZ14">
            <v>5036.8615099145618</v>
          </cell>
          <cell r="CA14">
            <v>5252.4185278303694</v>
          </cell>
          <cell r="CB14">
            <v>5216.7745485650285</v>
          </cell>
          <cell r="CC14">
            <v>5339.2255841874357</v>
          </cell>
          <cell r="CD14">
            <v>20845.280170497397</v>
          </cell>
          <cell r="CE14" t="b">
            <v>0</v>
          </cell>
          <cell r="CF14">
            <v>5830.7934897979612</v>
          </cell>
          <cell r="CG14" t="str">
            <v>mstag:costOfServicesSold</v>
          </cell>
          <cell r="CH14">
            <v>6</v>
          </cell>
          <cell r="CI14" t="str">
            <v>ISO4217:USD</v>
          </cell>
          <cell r="CJ14" t="b">
            <v>0</v>
          </cell>
          <cell r="CL14" t="str">
            <v>mstag:costOfServicesSold</v>
          </cell>
          <cell r="CM14">
            <v>6</v>
          </cell>
          <cell r="CN14" t="str">
            <v>ISO4217:USD</v>
          </cell>
          <cell r="CO14" t="b">
            <v>0</v>
          </cell>
        </row>
        <row r="15">
          <cell r="A15" t="str">
            <v>Other benefit expenses</v>
          </cell>
          <cell r="B15" t="str">
            <v>_otherbenexp</v>
          </cell>
          <cell r="M15">
            <v>1190</v>
          </cell>
          <cell r="N15">
            <v>869</v>
          </cell>
          <cell r="O15">
            <v>946</v>
          </cell>
          <cell r="P15">
            <v>626</v>
          </cell>
          <cell r="Q15">
            <v>3631</v>
          </cell>
          <cell r="R15">
            <v>868</v>
          </cell>
          <cell r="S15">
            <v>827</v>
          </cell>
          <cell r="T15">
            <v>786</v>
          </cell>
          <cell r="U15">
            <v>846</v>
          </cell>
          <cell r="V15">
            <v>3327</v>
          </cell>
          <cell r="W15">
            <v>788</v>
          </cell>
          <cell r="X15">
            <v>825</v>
          </cell>
          <cell r="Y15">
            <v>743</v>
          </cell>
          <cell r="Z15">
            <v>797</v>
          </cell>
          <cell r="AA15">
            <v>3153</v>
          </cell>
          <cell r="AB15">
            <v>836</v>
          </cell>
          <cell r="AC15">
            <v>834</v>
          </cell>
          <cell r="AD15">
            <v>837</v>
          </cell>
          <cell r="AE15">
            <v>894</v>
          </cell>
          <cell r="AF15">
            <v>3401</v>
          </cell>
          <cell r="AG15">
            <v>928</v>
          </cell>
          <cell r="AH15">
            <v>917</v>
          </cell>
          <cell r="AI15">
            <v>1062</v>
          </cell>
          <cell r="AJ15">
            <v>1378</v>
          </cell>
          <cell r="AK15">
            <v>4285</v>
          </cell>
          <cell r="AL15">
            <v>1108</v>
          </cell>
          <cell r="AM15">
            <v>689</v>
          </cell>
          <cell r="AN15">
            <v>754</v>
          </cell>
          <cell r="AO15">
            <v>856</v>
          </cell>
          <cell r="AP15">
            <v>3407</v>
          </cell>
          <cell r="AQ15">
            <v>879</v>
          </cell>
          <cell r="AR15">
            <v>977</v>
          </cell>
          <cell r="AS15">
            <v>892</v>
          </cell>
          <cell r="AT15">
            <v>912</v>
          </cell>
          <cell r="AU15">
            <v>3660</v>
          </cell>
          <cell r="AV15">
            <v>770</v>
          </cell>
          <cell r="AW15">
            <v>823</v>
          </cell>
          <cell r="AX15">
            <v>1032</v>
          </cell>
          <cell r="AY15">
            <v>740</v>
          </cell>
          <cell r="AZ15">
            <v>3365</v>
          </cell>
          <cell r="BA15">
            <v>825</v>
          </cell>
          <cell r="BB15">
            <v>912</v>
          </cell>
          <cell r="BC15">
            <v>911</v>
          </cell>
          <cell r="BD15">
            <v>1024</v>
          </cell>
          <cell r="BE15">
            <v>3672</v>
          </cell>
          <cell r="BF15">
            <v>1060</v>
          </cell>
          <cell r="BG15">
            <v>997</v>
          </cell>
          <cell r="BH15">
            <v>1031</v>
          </cell>
          <cell r="BI15">
            <v>1108</v>
          </cell>
          <cell r="BJ15">
            <v>4196</v>
          </cell>
          <cell r="BK15">
            <v>1166</v>
          </cell>
          <cell r="BL15">
            <v>1100</v>
          </cell>
          <cell r="BM15">
            <v>1207</v>
          </cell>
          <cell r="BN15">
            <v>1167</v>
          </cell>
          <cell r="BO15">
            <v>4640</v>
          </cell>
          <cell r="BP15">
            <v>1269</v>
          </cell>
          <cell r="BQ15">
            <v>1199</v>
          </cell>
          <cell r="BR15">
            <v>1230</v>
          </cell>
          <cell r="BS15">
            <v>1238</v>
          </cell>
          <cell r="BT15">
            <v>4936</v>
          </cell>
          <cell r="BU15">
            <v>1292.4275978815967</v>
          </cell>
          <cell r="BV15">
            <v>1224.6832940485292</v>
          </cell>
          <cell r="BW15">
            <v>1274.4897207699642</v>
          </cell>
          <cell r="BX15">
            <v>1271.2636439212174</v>
          </cell>
          <cell r="BY15">
            <v>5062.8642566213057</v>
          </cell>
          <cell r="BZ15">
            <v>1318.6371886612606</v>
          </cell>
          <cell r="CA15">
            <v>1257.6380636258637</v>
          </cell>
          <cell r="CB15">
            <v>1288.1701674886199</v>
          </cell>
          <cell r="CC15">
            <v>1287.0087485857912</v>
          </cell>
          <cell r="CD15">
            <v>5151.4541683615353</v>
          </cell>
          <cell r="CE15" t="b">
            <v>0</v>
          </cell>
          <cell r="CF15">
            <v>1329.9914587139137</v>
          </cell>
          <cell r="CG15" t="str">
            <v>mstag:costOfServicesSold</v>
          </cell>
          <cell r="CH15">
            <v>6</v>
          </cell>
          <cell r="CI15" t="str">
            <v>ISO4217:USD</v>
          </cell>
          <cell r="CJ15" t="b">
            <v>0</v>
          </cell>
          <cell r="CL15" t="str">
            <v>mstag:costOfServicesSold</v>
          </cell>
          <cell r="CM15">
            <v>6</v>
          </cell>
          <cell r="CN15" t="str">
            <v>ISO4217:USD</v>
          </cell>
          <cell r="CO15" t="b">
            <v>0</v>
          </cell>
        </row>
        <row r="16">
          <cell r="A16" t="str">
            <v>Benefits, losses and settlement expenses</v>
          </cell>
          <cell r="B16" t="str">
            <v>_benlossexp</v>
          </cell>
          <cell r="C16">
            <v>3190</v>
          </cell>
          <cell r="D16">
            <v>3344</v>
          </cell>
          <cell r="E16">
            <v>3554</v>
          </cell>
          <cell r="F16">
            <v>3058</v>
          </cell>
          <cell r="G16">
            <v>13146</v>
          </cell>
          <cell r="H16">
            <v>3249</v>
          </cell>
          <cell r="I16">
            <v>2889</v>
          </cell>
          <cell r="J16">
            <v>3020</v>
          </cell>
          <cell r="K16">
            <v>2672</v>
          </cell>
          <cell r="L16">
            <v>11830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t="b">
            <v>0</v>
          </cell>
          <cell r="CF16">
            <v>0</v>
          </cell>
          <cell r="CG16" t="str">
            <v>mstag:costOfServicesSold</v>
          </cell>
          <cell r="CH16">
            <v>6</v>
          </cell>
          <cell r="CI16" t="str">
            <v>ISO4217:USD</v>
          </cell>
          <cell r="CJ16" t="b">
            <v>0</v>
          </cell>
          <cell r="CL16" t="str">
            <v>mstag:costOfServicesSold</v>
          </cell>
          <cell r="CM16">
            <v>6</v>
          </cell>
          <cell r="CN16" t="str">
            <v>ISO4217:USD</v>
          </cell>
          <cell r="CO16" t="b">
            <v>0</v>
          </cell>
        </row>
        <row r="17">
          <cell r="A17" t="str">
            <v>Cost of goods sold - pharmacy</v>
          </cell>
          <cell r="B17" t="str">
            <v>_pharmacogs</v>
          </cell>
          <cell r="C17">
            <v>0</v>
          </cell>
          <cell r="D17">
            <v>0</v>
          </cell>
          <cell r="E17">
            <v>0</v>
          </cell>
          <cell r="F17">
            <v>0</v>
          </cell>
          <cell r="G17">
            <v>0</v>
          </cell>
          <cell r="H17">
            <v>135</v>
          </cell>
          <cell r="I17">
            <v>140</v>
          </cell>
          <cell r="J17">
            <v>151</v>
          </cell>
          <cell r="K17">
            <v>167</v>
          </cell>
          <cell r="L17">
            <v>593</v>
          </cell>
          <cell r="M17">
            <v>169</v>
          </cell>
          <cell r="N17">
            <v>166</v>
          </cell>
          <cell r="O17">
            <v>166</v>
          </cell>
          <cell r="P17">
            <v>169</v>
          </cell>
          <cell r="Q17">
            <v>670</v>
          </cell>
          <cell r="R17">
            <v>167</v>
          </cell>
          <cell r="S17">
            <v>170</v>
          </cell>
          <cell r="T17">
            <v>175</v>
          </cell>
          <cell r="U17">
            <v>178</v>
          </cell>
          <cell r="V17">
            <v>690</v>
          </cell>
          <cell r="W17">
            <v>230</v>
          </cell>
          <cell r="X17">
            <v>238</v>
          </cell>
          <cell r="Y17">
            <v>224</v>
          </cell>
          <cell r="Z17">
            <v>230</v>
          </cell>
          <cell r="AA17">
            <v>922</v>
          </cell>
          <cell r="AB17">
            <v>219</v>
          </cell>
          <cell r="AC17">
            <v>225</v>
          </cell>
          <cell r="AD17">
            <v>225</v>
          </cell>
          <cell r="AE17">
            <v>235</v>
          </cell>
          <cell r="AF17">
            <v>904</v>
          </cell>
          <cell r="AG17">
            <v>239</v>
          </cell>
          <cell r="AH17">
            <v>227</v>
          </cell>
          <cell r="AI17">
            <v>238</v>
          </cell>
          <cell r="AJ17">
            <v>257</v>
          </cell>
          <cell r="AK17">
            <v>961</v>
          </cell>
          <cell r="AL17">
            <v>252</v>
          </cell>
          <cell r="AM17">
            <v>255</v>
          </cell>
          <cell r="AN17">
            <v>255</v>
          </cell>
          <cell r="AO17">
            <v>274</v>
          </cell>
          <cell r="AP17">
            <v>1036</v>
          </cell>
          <cell r="AQ17">
            <v>285</v>
          </cell>
          <cell r="AR17">
            <v>290</v>
          </cell>
          <cell r="AS17">
            <v>291</v>
          </cell>
          <cell r="AT17">
            <v>303</v>
          </cell>
          <cell r="AU17">
            <v>1169</v>
          </cell>
          <cell r="AV17">
            <v>276</v>
          </cell>
          <cell r="AW17">
            <v>289</v>
          </cell>
          <cell r="AX17">
            <v>309</v>
          </cell>
          <cell r="AY17">
            <v>329</v>
          </cell>
          <cell r="AZ17">
            <v>1203</v>
          </cell>
          <cell r="BA17">
            <v>321</v>
          </cell>
          <cell r="BB17">
            <v>330</v>
          </cell>
          <cell r="BC17">
            <v>324</v>
          </cell>
          <cell r="BD17">
            <v>353</v>
          </cell>
          <cell r="BE17">
            <v>1328</v>
          </cell>
          <cell r="BF17">
            <v>344</v>
          </cell>
          <cell r="BG17">
            <v>362</v>
          </cell>
          <cell r="BH17">
            <v>390</v>
          </cell>
          <cell r="BI17">
            <v>413</v>
          </cell>
          <cell r="BJ17">
            <v>1509</v>
          </cell>
          <cell r="BK17">
            <v>414</v>
          </cell>
          <cell r="BL17">
            <v>469</v>
          </cell>
          <cell r="BM17">
            <v>499</v>
          </cell>
          <cell r="BN17">
            <v>525</v>
          </cell>
          <cell r="BO17">
            <v>1907</v>
          </cell>
          <cell r="BP17">
            <v>492</v>
          </cell>
          <cell r="BQ17">
            <v>529</v>
          </cell>
          <cell r="BR17">
            <v>532</v>
          </cell>
          <cell r="BS17">
            <v>581</v>
          </cell>
          <cell r="BT17">
            <v>2134</v>
          </cell>
          <cell r="BU17">
            <v>573.97199999999998</v>
          </cell>
          <cell r="BV17">
            <v>621.33280000000013</v>
          </cell>
          <cell r="BW17">
            <v>642.90160000000003</v>
          </cell>
          <cell r="BX17">
            <v>687.75200000000007</v>
          </cell>
          <cell r="BY17">
            <v>2525.9584</v>
          </cell>
          <cell r="BZ17">
            <v>666.99779999999987</v>
          </cell>
          <cell r="CA17">
            <v>714.94139200000029</v>
          </cell>
          <cell r="CB17">
            <v>739.52982400000008</v>
          </cell>
          <cell r="CC17">
            <v>790.5822800000002</v>
          </cell>
          <cell r="CD17">
            <v>2912.0512960000005</v>
          </cell>
          <cell r="CE17" t="b">
            <v>0</v>
          </cell>
          <cell r="CF17">
            <v>821.65518688000031</v>
          </cell>
          <cell r="CG17" t="str">
            <v>mstag:costOfServicesSold</v>
          </cell>
          <cell r="CH17">
            <v>6</v>
          </cell>
          <cell r="CI17" t="str">
            <v>ISO4217:USD</v>
          </cell>
          <cell r="CJ17" t="b">
            <v>0</v>
          </cell>
          <cell r="CL17" t="str">
            <v>mstag:costOfServicesSold</v>
          </cell>
          <cell r="CM17">
            <v>6</v>
          </cell>
          <cell r="CN17" t="str">
            <v>ISO4217:USD</v>
          </cell>
          <cell r="CO17" t="b">
            <v>0</v>
          </cell>
        </row>
        <row r="18">
          <cell r="A18" t="str">
            <v>Other operating expenses</v>
          </cell>
          <cell r="B18" t="str">
            <v>_otheropexp</v>
          </cell>
          <cell r="C18">
            <v>1252</v>
          </cell>
          <cell r="D18">
            <v>1253</v>
          </cell>
          <cell r="E18">
            <v>1307</v>
          </cell>
          <cell r="F18">
            <v>1351</v>
          </cell>
          <cell r="G18">
            <v>5163</v>
          </cell>
          <cell r="H18">
            <v>1240</v>
          </cell>
          <cell r="I18">
            <v>1246</v>
          </cell>
          <cell r="J18">
            <v>1249</v>
          </cell>
          <cell r="K18">
            <v>1310</v>
          </cell>
          <cell r="L18">
            <v>5045</v>
          </cell>
          <cell r="M18">
            <v>1202</v>
          </cell>
          <cell r="N18">
            <v>1222.9230769230769</v>
          </cell>
          <cell r="O18">
            <v>1200.4615384615386</v>
          </cell>
          <cell r="P18">
            <v>1166</v>
          </cell>
          <cell r="Q18">
            <v>4791.3846153846152</v>
          </cell>
          <cell r="R18">
            <v>1126</v>
          </cell>
          <cell r="S18">
            <v>1075</v>
          </cell>
          <cell r="T18">
            <v>1099</v>
          </cell>
          <cell r="U18">
            <v>1192</v>
          </cell>
          <cell r="V18">
            <v>4492</v>
          </cell>
          <cell r="W18">
            <v>1113</v>
          </cell>
          <cell r="X18">
            <v>1134</v>
          </cell>
          <cell r="Y18">
            <v>1129</v>
          </cell>
          <cell r="Z18">
            <v>1229</v>
          </cell>
          <cell r="AA18">
            <v>4605</v>
          </cell>
          <cell r="AB18">
            <v>1187</v>
          </cell>
          <cell r="AC18">
            <v>1179</v>
          </cell>
          <cell r="AD18">
            <v>1190</v>
          </cell>
          <cell r="AE18">
            <v>1247</v>
          </cell>
          <cell r="AF18">
            <v>4803</v>
          </cell>
          <cell r="AG18">
            <v>1282</v>
          </cell>
          <cell r="AH18">
            <v>1388</v>
          </cell>
          <cell r="AI18">
            <v>1416</v>
          </cell>
          <cell r="AJ18">
            <v>1383</v>
          </cell>
          <cell r="AK18">
            <v>5469</v>
          </cell>
          <cell r="AL18">
            <v>1383</v>
          </cell>
          <cell r="AM18">
            <v>1362</v>
          </cell>
          <cell r="AN18">
            <v>1332</v>
          </cell>
          <cell r="AO18">
            <v>1366</v>
          </cell>
          <cell r="AP18">
            <v>5443</v>
          </cell>
          <cell r="AQ18">
            <v>1414</v>
          </cell>
          <cell r="AR18">
            <v>1405</v>
          </cell>
          <cell r="AS18">
            <v>1397.7792207792209</v>
          </cell>
          <cell r="AT18">
            <v>1571</v>
          </cell>
          <cell r="AU18">
            <v>5787.7792207792209</v>
          </cell>
          <cell r="AV18">
            <v>1468</v>
          </cell>
          <cell r="AW18">
            <v>1469</v>
          </cell>
          <cell r="AX18">
            <v>1410.5714285714287</v>
          </cell>
          <cell r="AY18">
            <v>1595</v>
          </cell>
          <cell r="AZ18">
            <v>5942.5714285714284</v>
          </cell>
          <cell r="BA18">
            <v>1746</v>
          </cell>
          <cell r="BB18">
            <v>1798</v>
          </cell>
          <cell r="BC18">
            <v>1773</v>
          </cell>
          <cell r="BD18">
            <v>1884</v>
          </cell>
          <cell r="BE18">
            <v>7201</v>
          </cell>
          <cell r="BF18">
            <v>1845</v>
          </cell>
          <cell r="BG18">
            <v>1913</v>
          </cell>
          <cell r="BH18">
            <v>1933</v>
          </cell>
          <cell r="BI18">
            <v>2031</v>
          </cell>
          <cell r="BJ18">
            <v>7722</v>
          </cell>
          <cell r="BK18">
            <v>2032</v>
          </cell>
          <cell r="BL18">
            <v>2044</v>
          </cell>
          <cell r="BM18">
            <v>2080</v>
          </cell>
          <cell r="BN18">
            <v>2213</v>
          </cell>
          <cell r="BO18">
            <v>8369</v>
          </cell>
          <cell r="BP18">
            <v>2248</v>
          </cell>
          <cell r="BQ18">
            <v>2251</v>
          </cell>
          <cell r="BR18">
            <v>2210</v>
          </cell>
          <cell r="BS18">
            <v>2416</v>
          </cell>
          <cell r="BT18">
            <v>9125</v>
          </cell>
          <cell r="BU18">
            <v>2369.3481487454669</v>
          </cell>
          <cell r="BV18">
            <v>2424.3654405073348</v>
          </cell>
          <cell r="BW18">
            <v>2382.4588029669903</v>
          </cell>
          <cell r="BX18">
            <v>2540.0991804978653</v>
          </cell>
          <cell r="BY18">
            <v>9716.2715727176583</v>
          </cell>
          <cell r="BZ18">
            <v>2534.1595679977672</v>
          </cell>
          <cell r="CA18">
            <v>2598.2128242505851</v>
          </cell>
          <cell r="CB18">
            <v>2559.4045245109965</v>
          </cell>
          <cell r="CC18">
            <v>2672.0346920155671</v>
          </cell>
          <cell r="CD18">
            <v>10363.811608774915</v>
          </cell>
          <cell r="CE18" t="b">
            <v>0</v>
          </cell>
          <cell r="CF18">
            <v>2795.4770403369776</v>
          </cell>
          <cell r="CG18" t="str">
            <v>mstag:sellingGeneralAndAdministrativeExpenses</v>
          </cell>
          <cell r="CH18">
            <v>6</v>
          </cell>
          <cell r="CI18" t="str">
            <v>ISO4217:USD</v>
          </cell>
          <cell r="CJ18" t="b">
            <v>0</v>
          </cell>
          <cell r="CL18" t="str">
            <v>mstag:sellingGeneralAndAdministrativeExpenses</v>
          </cell>
          <cell r="CM18">
            <v>6</v>
          </cell>
          <cell r="CN18" t="str">
            <v>ISO4217:USD</v>
          </cell>
          <cell r="CO18" t="b">
            <v>0</v>
          </cell>
        </row>
        <row r="19">
          <cell r="BK19">
            <v>7643</v>
          </cell>
        </row>
        <row r="20">
          <cell r="BK20">
            <v>811</v>
          </cell>
        </row>
        <row r="21">
          <cell r="BK21">
            <v>309</v>
          </cell>
        </row>
        <row r="22">
          <cell r="BK22">
            <v>1</v>
          </cell>
        </row>
        <row r="23">
          <cell r="BK23">
            <v>501</v>
          </cell>
        </row>
        <row r="24">
          <cell r="A24" t="str">
            <v>ex Amortization</v>
          </cell>
          <cell r="B24" t="str">
            <v>_onetimes</v>
          </cell>
          <cell r="C24">
            <v>10.709999999999999</v>
          </cell>
          <cell r="D24">
            <v>7.4799999999999995</v>
          </cell>
          <cell r="E24">
            <v>8.84</v>
          </cell>
          <cell r="F24">
            <v>10.54</v>
          </cell>
          <cell r="G24">
            <v>37.569999999999993</v>
          </cell>
          <cell r="H24">
            <v>10.709999999999999</v>
          </cell>
          <cell r="I24">
            <v>9.18</v>
          </cell>
          <cell r="J24">
            <v>11.899999999999999</v>
          </cell>
          <cell r="K24">
            <v>10.029999999999999</v>
          </cell>
          <cell r="L24">
            <v>41.82</v>
          </cell>
          <cell r="M24">
            <v>10.54</v>
          </cell>
          <cell r="N24">
            <v>8.67</v>
          </cell>
          <cell r="O24">
            <v>10.37</v>
          </cell>
          <cell r="P24">
            <v>9.52</v>
          </cell>
          <cell r="Q24">
            <v>39.099999999999994</v>
          </cell>
          <cell r="R24">
            <v>10.54</v>
          </cell>
          <cell r="S24">
            <v>8.5</v>
          </cell>
          <cell r="T24">
            <v>9.86</v>
          </cell>
          <cell r="U24">
            <v>8.67</v>
          </cell>
          <cell r="V24">
            <v>37.57</v>
          </cell>
          <cell r="W24">
            <v>9.18</v>
          </cell>
          <cell r="X24">
            <v>9.01</v>
          </cell>
          <cell r="Y24">
            <v>8.16</v>
          </cell>
          <cell r="Z24">
            <v>9.01</v>
          </cell>
          <cell r="AA24">
            <v>35.36</v>
          </cell>
          <cell r="AB24">
            <v>9.18</v>
          </cell>
          <cell r="AC24">
            <v>7.4799999999999995</v>
          </cell>
          <cell r="AD24">
            <v>8.33</v>
          </cell>
          <cell r="AE24">
            <v>7.9899999999999993</v>
          </cell>
          <cell r="AF24">
            <v>32.980000000000004</v>
          </cell>
          <cell r="AG24">
            <v>9.01</v>
          </cell>
          <cell r="AH24">
            <v>10.879999999999999</v>
          </cell>
          <cell r="AI24">
            <v>10.879999999999999</v>
          </cell>
          <cell r="AJ24">
            <v>10.709999999999999</v>
          </cell>
          <cell r="AK24">
            <v>41.48</v>
          </cell>
          <cell r="AL24">
            <v>11.729999999999999</v>
          </cell>
          <cell r="AM24">
            <v>12.919999999999998</v>
          </cell>
          <cell r="AN24">
            <v>10.54</v>
          </cell>
          <cell r="AO24">
            <v>10.37</v>
          </cell>
          <cell r="AP24">
            <v>45.559999999999995</v>
          </cell>
          <cell r="AQ24">
            <v>10.37</v>
          </cell>
          <cell r="AR24">
            <v>11.389999999999999</v>
          </cell>
          <cell r="AS24">
            <v>12.919999999999998</v>
          </cell>
          <cell r="AT24">
            <v>14.959999999999999</v>
          </cell>
          <cell r="AU24">
            <v>49.639999999999993</v>
          </cell>
          <cell r="AV24">
            <v>14.11</v>
          </cell>
          <cell r="AW24">
            <v>14.11</v>
          </cell>
          <cell r="AX24">
            <v>14.62</v>
          </cell>
          <cell r="AY24">
            <v>15.809999999999999</v>
          </cell>
          <cell r="AZ24">
            <v>58.649999999999991</v>
          </cell>
          <cell r="BA24">
            <v>21.419999999999998</v>
          </cell>
          <cell r="BB24">
            <v>24.479999999999997</v>
          </cell>
          <cell r="BC24">
            <v>23.119999999999997</v>
          </cell>
          <cell r="BD24">
            <v>26.179999999999996</v>
          </cell>
          <cell r="BE24">
            <v>95.199999999999974</v>
          </cell>
          <cell r="BF24">
            <v>25.499999999999996</v>
          </cell>
          <cell r="BG24">
            <v>25.33</v>
          </cell>
          <cell r="BH24">
            <v>24.819999999999997</v>
          </cell>
          <cell r="BI24">
            <v>25.839999999999996</v>
          </cell>
          <cell r="BJ24">
            <v>101.48999999999998</v>
          </cell>
          <cell r="BK24">
            <v>25.124999999999996</v>
          </cell>
          <cell r="BL24">
            <v>23.63</v>
          </cell>
          <cell r="BM24">
            <v>24.819999999999997</v>
          </cell>
          <cell r="BN24">
            <v>26.009999999999998</v>
          </cell>
          <cell r="BO24">
            <v>99.58499999999998</v>
          </cell>
          <cell r="BP24">
            <v>28</v>
          </cell>
          <cell r="BQ24">
            <v>24</v>
          </cell>
          <cell r="BR24">
            <v>24</v>
          </cell>
          <cell r="BS24">
            <v>4</v>
          </cell>
          <cell r="BT24">
            <v>80</v>
          </cell>
          <cell r="BU24">
            <v>22.779999999999998</v>
          </cell>
          <cell r="BV24">
            <v>22.779999999999998</v>
          </cell>
          <cell r="BW24">
            <v>22.779999999999998</v>
          </cell>
          <cell r="BX24">
            <v>22.779999999999998</v>
          </cell>
          <cell r="BY24">
            <v>91.11999999999999</v>
          </cell>
          <cell r="BZ24">
            <v>22.779999999999998</v>
          </cell>
          <cell r="CA24">
            <v>22.779999999999998</v>
          </cell>
          <cell r="CB24">
            <v>22.779999999999998</v>
          </cell>
          <cell r="CC24">
            <v>22.779999999999998</v>
          </cell>
          <cell r="CD24">
            <v>91.11999999999999</v>
          </cell>
          <cell r="CE24" t="b">
            <v>0</v>
          </cell>
          <cell r="CF24">
            <v>25.839999999999996</v>
          </cell>
          <cell r="CG24">
            <v>25.839999999999996</v>
          </cell>
          <cell r="CH24">
            <v>25.839999999999996</v>
          </cell>
          <cell r="CI24">
            <v>103.35999999999999</v>
          </cell>
        </row>
        <row r="25">
          <cell r="A25" t="str">
            <v>Adjusted Income from continuing operations</v>
          </cell>
          <cell r="B25" t="str">
            <v>_realizedgains</v>
          </cell>
          <cell r="C25">
            <v>285.70999999999998</v>
          </cell>
          <cell r="D25">
            <v>286.48</v>
          </cell>
          <cell r="E25">
            <v>216.84</v>
          </cell>
          <cell r="F25">
            <v>188.54</v>
          </cell>
          <cell r="G25">
            <v>977.56999999999994</v>
          </cell>
          <cell r="H25">
            <v>215.71</v>
          </cell>
          <cell r="I25">
            <v>167.18</v>
          </cell>
          <cell r="J25">
            <v>215.9</v>
          </cell>
          <cell r="K25">
            <v>243.03</v>
          </cell>
          <cell r="L25">
            <v>841.82</v>
          </cell>
          <cell r="M25">
            <v>263.54000000000002</v>
          </cell>
          <cell r="N25">
            <v>243.66999999999976</v>
          </cell>
          <cell r="O25">
            <v>240.36999999999989</v>
          </cell>
          <cell r="P25">
            <v>332.52</v>
          </cell>
          <cell r="Q25">
            <v>1080.0999999999999</v>
          </cell>
          <cell r="R25">
            <v>307.54000000000002</v>
          </cell>
          <cell r="S25">
            <v>268.5</v>
          </cell>
          <cell r="T25">
            <v>260.86</v>
          </cell>
          <cell r="U25">
            <v>257.67</v>
          </cell>
          <cell r="V25">
            <v>1094.57</v>
          </cell>
          <cell r="W25">
            <v>267.18</v>
          </cell>
          <cell r="X25">
            <v>279.01</v>
          </cell>
          <cell r="Y25">
            <v>276.16000000000003</v>
          </cell>
          <cell r="Z25">
            <v>252.01</v>
          </cell>
          <cell r="AA25">
            <v>1074.3599999999999</v>
          </cell>
          <cell r="AB25">
            <v>273.18</v>
          </cell>
          <cell r="AC25">
            <v>286.48</v>
          </cell>
          <cell r="AD25">
            <v>353.33</v>
          </cell>
          <cell r="AE25">
            <v>284.99</v>
          </cell>
          <cell r="AF25">
            <v>1197.98</v>
          </cell>
          <cell r="AG25">
            <v>274.01</v>
          </cell>
          <cell r="AH25">
            <v>313.88</v>
          </cell>
          <cell r="AI25">
            <v>256.88</v>
          </cell>
          <cell r="AJ25">
            <v>106.71</v>
          </cell>
          <cell r="AK25">
            <v>951.48</v>
          </cell>
          <cell r="AL25">
            <v>199.73</v>
          </cell>
          <cell r="AM25">
            <v>325.92</v>
          </cell>
          <cell r="AN25">
            <v>321.54000000000002</v>
          </cell>
          <cell r="AO25">
            <v>295.37</v>
          </cell>
          <cell r="AP25">
            <v>1142.56</v>
          </cell>
          <cell r="AQ25">
            <v>291.37</v>
          </cell>
          <cell r="AR25">
            <v>395.39</v>
          </cell>
          <cell r="AS25">
            <v>345.9199999999999</v>
          </cell>
          <cell r="AT25">
            <v>327.96</v>
          </cell>
          <cell r="AU25">
            <v>1360.6399999999983</v>
          </cell>
          <cell r="AV25">
            <v>373.11</v>
          </cell>
          <cell r="AW25">
            <v>415.11</v>
          </cell>
          <cell r="AX25">
            <v>367.62000000000012</v>
          </cell>
          <cell r="AY25">
            <v>308.81</v>
          </cell>
          <cell r="AZ25">
            <v>1464.650000000001</v>
          </cell>
          <cell r="BA25">
            <v>380.42</v>
          </cell>
          <cell r="BB25">
            <v>458.48</v>
          </cell>
          <cell r="BC25">
            <v>519.12</v>
          </cell>
          <cell r="BD25">
            <v>478.18</v>
          </cell>
          <cell r="BE25">
            <v>1836.2</v>
          </cell>
          <cell r="BF25">
            <v>522.5</v>
          </cell>
          <cell r="BG25">
            <v>537.33000000000004</v>
          </cell>
          <cell r="BH25">
            <v>560.82000000000005</v>
          </cell>
          <cell r="BI25">
            <v>412.84</v>
          </cell>
          <cell r="BJ25">
            <v>2033.49</v>
          </cell>
          <cell r="BK25">
            <v>526.125</v>
          </cell>
          <cell r="BL25">
            <v>553.63</v>
          </cell>
          <cell r="BM25">
            <v>543.82000000000005</v>
          </cell>
          <cell r="BN25">
            <v>472.01</v>
          </cell>
          <cell r="BO25">
            <v>2095.585</v>
          </cell>
          <cell r="BP25">
            <v>513</v>
          </cell>
          <cell r="BQ25">
            <v>664</v>
          </cell>
          <cell r="BR25">
            <v>593</v>
          </cell>
          <cell r="BS25">
            <v>487</v>
          </cell>
          <cell r="BT25">
            <v>2257</v>
          </cell>
          <cell r="BU25">
            <v>601</v>
          </cell>
          <cell r="BV25">
            <v>620.16230495497325</v>
          </cell>
          <cell r="BW25">
            <v>637.48545776350636</v>
          </cell>
          <cell r="BX25">
            <v>542.46645446678792</v>
          </cell>
          <cell r="BY25">
            <v>2401.1142171852694</v>
          </cell>
          <cell r="BZ25">
            <v>648.32627822113056</v>
          </cell>
          <cell r="CA25">
            <v>704.23908884644368</v>
          </cell>
          <cell r="CB25">
            <v>698.62437637996925</v>
          </cell>
          <cell r="CC25">
            <v>567.7002783790814</v>
          </cell>
          <cell r="CD25">
            <v>2618.8900218266231</v>
          </cell>
          <cell r="CE25">
            <v>711.08105615616432</v>
          </cell>
          <cell r="CF25">
            <v>766.35353753794971</v>
          </cell>
          <cell r="CG25">
            <v>761.01842556896088</v>
          </cell>
          <cell r="CH25">
            <v>610.12788117746516</v>
          </cell>
          <cell r="CI25">
            <v>2848.5809004405419</v>
          </cell>
        </row>
        <row r="26">
          <cell r="BK26">
            <v>0</v>
          </cell>
        </row>
        <row r="27">
          <cell r="BK27">
            <v>27</v>
          </cell>
        </row>
        <row r="28">
          <cell r="BK28">
            <v>528</v>
          </cell>
        </row>
        <row r="29">
          <cell r="A29" t="str">
            <v>YOY EPS growth</v>
          </cell>
          <cell r="B29" t="str">
            <v>_opepsg</v>
          </cell>
          <cell r="C29">
            <v>9.3147988685651217E-2</v>
          </cell>
          <cell r="D29">
            <v>0.12844752872880583</v>
          </cell>
          <cell r="E29">
            <v>-0.10528513237584125</v>
          </cell>
          <cell r="F29">
            <v>-0.33764893902931059</v>
          </cell>
          <cell r="G29">
            <v>-5.8158199470290994E-2</v>
          </cell>
          <cell r="H29">
            <v>-0.23738073293263928</v>
          </cell>
          <cell r="I29">
            <v>-0.4202245340739057</v>
          </cell>
          <cell r="J29">
            <v>-2.4625209357314159E-2</v>
          </cell>
          <cell r="K29">
            <v>0.30213094985189337</v>
          </cell>
          <cell r="L29">
            <v>-0.14413022536794373</v>
          </cell>
          <cell r="M29">
            <v>0.22491965124448732</v>
          </cell>
          <cell r="N29">
            <v>0.479222377842631</v>
          </cell>
          <cell r="O29">
            <v>0.16103286890869128</v>
          </cell>
          <cell r="P29">
            <v>0.4594904947058267</v>
          </cell>
          <cell r="Q29">
            <v>0.32693827782773943</v>
          </cell>
          <cell r="R29">
            <v>0.24811068766055477</v>
          </cell>
          <cell r="S29">
            <v>0.18350784398912734</v>
          </cell>
          <cell r="T29">
            <v>0.14846017496175512</v>
          </cell>
          <cell r="U29">
            <v>-0.17741263894945991</v>
          </cell>
          <cell r="V29">
            <v>7.8366578830001421E-2</v>
          </cell>
          <cell r="W29">
            <v>-5.8897151050636753E-2</v>
          </cell>
          <cell r="X29">
            <v>0.1660121495560638</v>
          </cell>
          <cell r="Y29">
            <v>0.27931178229752041</v>
          </cell>
          <cell r="Z29">
            <v>0.20250670986201946</v>
          </cell>
          <cell r="AA29">
            <v>0.13532668784944235</v>
          </cell>
          <cell r="AB29">
            <v>0.26905308081150503</v>
          </cell>
          <cell r="AC29">
            <v>0.25045017086147991</v>
          </cell>
          <cell r="AD29">
            <v>0.46943039214009352</v>
          </cell>
          <cell r="AE29">
            <v>0.23273362567318467</v>
          </cell>
          <cell r="AF29">
            <v>0.31138500516401568</v>
          </cell>
          <cell r="AG29">
            <v>5.3089251037409912E-2</v>
          </cell>
          <cell r="AH29">
            <v>0.12506098700656976</v>
          </cell>
          <cell r="AI29">
            <v>-0.26215433280086042</v>
          </cell>
          <cell r="AJ29">
            <v>-0.63730023261910995</v>
          </cell>
          <cell r="AK29">
            <v>-0.1863472667731414</v>
          </cell>
          <cell r="AL29">
            <v>-0.26558084204651022</v>
          </cell>
          <cell r="AM29">
            <v>5.1342014825357829E-2</v>
          </cell>
          <cell r="AN29">
            <v>0.258596236779012</v>
          </cell>
          <cell r="AO29">
            <v>1.8913475371651711</v>
          </cell>
          <cell r="AP29">
            <v>0.21182061872365732</v>
          </cell>
          <cell r="AQ29">
            <v>0.46656085749041742</v>
          </cell>
          <cell r="AR29">
            <v>0.21586989699220771</v>
          </cell>
          <cell r="AS29">
            <v>8.3650901250205356E-2</v>
          </cell>
          <cell r="AT29">
            <v>0.11695667107937879</v>
          </cell>
          <cell r="AU29">
            <v>0.19535422962546334</v>
          </cell>
          <cell r="AV29">
            <v>0.29729844779731596</v>
          </cell>
          <cell r="AW29">
            <v>6.266110078355025E-2</v>
          </cell>
          <cell r="AX29">
            <v>6.3099267760005073E-2</v>
          </cell>
          <cell r="AY29">
            <v>-8.2711302721998003E-2</v>
          </cell>
          <cell r="AZ29">
            <v>7.6547357444820552E-2</v>
          </cell>
          <cell r="BA29">
            <v>-5.2339281450800912E-2</v>
          </cell>
          <cell r="BB29">
            <v>1.5936704202796692E-2</v>
          </cell>
          <cell r="BC29">
            <v>0.31874523428213997</v>
          </cell>
          <cell r="BD29">
            <v>0.48698500319711013</v>
          </cell>
          <cell r="BE29">
            <v>0.17291065831467933</v>
          </cell>
          <cell r="BF29">
            <v>0.38316152916931201</v>
          </cell>
          <cell r="BG29">
            <v>0.19394580168995756</v>
          </cell>
          <cell r="BH29">
            <v>0.10469989430578841</v>
          </cell>
          <cell r="BI29">
            <v>-0.11388023721483842</v>
          </cell>
          <cell r="BJ29">
            <v>0.12846710459433908</v>
          </cell>
          <cell r="BK29">
            <v>6.2371914267139505E-2</v>
          </cell>
          <cell r="BL29">
            <v>0.10098461100655376</v>
          </cell>
          <cell r="BM29">
            <v>-6.0063378959642977E-2</v>
          </cell>
          <cell r="BN29">
            <v>0.28841655420749435</v>
          </cell>
          <cell r="BO29">
            <v>8.388302473280973E-2</v>
          </cell>
          <cell r="BP29">
            <v>0.1691354574007562</v>
          </cell>
          <cell r="BQ29">
            <v>5.172492390858352E-2</v>
          </cell>
          <cell r="BR29">
            <v>0.10033754479713175</v>
          </cell>
          <cell r="BS29">
            <v>7.7072691277556338E-2</v>
          </cell>
          <cell r="BT29">
            <v>9.6006989258942799E-2</v>
          </cell>
          <cell r="BU29">
            <v>0.14602250701594977</v>
          </cell>
          <cell r="BV29">
            <v>0.10593537675348852</v>
          </cell>
          <cell r="BW29">
            <v>0.14890872522962972</v>
          </cell>
          <cell r="BX29">
            <v>0.14344681014035832</v>
          </cell>
          <cell r="BY29">
            <v>0.13571067951564086</v>
          </cell>
        </row>
        <row r="30">
          <cell r="BK30">
            <v>1.916897113314169</v>
          </cell>
        </row>
        <row r="31">
          <cell r="BK31">
            <v>6.1201579335942169E-2</v>
          </cell>
        </row>
        <row r="32">
          <cell r="BK32">
            <v>1.8253560537332358</v>
          </cell>
        </row>
        <row r="33">
          <cell r="BK33">
            <v>6.2371914267139505E-2</v>
          </cell>
        </row>
        <row r="34">
          <cell r="BK34">
            <v>1.923728535670955</v>
          </cell>
        </row>
        <row r="35">
          <cell r="BK35">
            <v>269.97899999999998</v>
          </cell>
        </row>
        <row r="36">
          <cell r="BK36">
            <v>274.46699999999998</v>
          </cell>
        </row>
        <row r="37">
          <cell r="BK37">
            <v>1.6623515162290436E-2</v>
          </cell>
        </row>
        <row r="38">
          <cell r="BK38">
            <v>268.65094599999998</v>
          </cell>
        </row>
        <row r="39">
          <cell r="BK39">
            <v>-6.8750540000000342</v>
          </cell>
        </row>
        <row r="40">
          <cell r="BK40">
            <v>-6.0145093635317393E-2</v>
          </cell>
        </row>
        <row r="41">
          <cell r="BK41">
            <v>88</v>
          </cell>
        </row>
        <row r="44">
          <cell r="A44" t="str">
            <v>Consolidated Income Statement Analysis</v>
          </cell>
          <cell r="B44" t="str">
            <v>_consbeneratio</v>
          </cell>
          <cell r="C44" t="str">
            <v>2002A</v>
          </cell>
          <cell r="D44">
            <v>0.8087061668681983</v>
          </cell>
          <cell r="E44">
            <v>0.8882779305173707</v>
          </cell>
          <cell r="F44">
            <v>0.76776299271905601</v>
          </cell>
          <cell r="G44">
            <v>0.81555927787083571</v>
          </cell>
          <cell r="H44" t="str">
            <v>2003A</v>
          </cell>
          <cell r="I44">
            <v>0.74863954392329624</v>
          </cell>
          <cell r="J44">
            <v>0.78625357979692789</v>
          </cell>
          <cell r="K44">
            <v>0.69837950862519604</v>
          </cell>
          <cell r="L44">
            <v>0.76614208924292471</v>
          </cell>
          <cell r="M44" t="str">
            <v>2004A</v>
          </cell>
          <cell r="N44">
            <v>0.70858283433133729</v>
          </cell>
          <cell r="O44">
            <v>0.72392807745504839</v>
          </cell>
          <cell r="P44">
            <v>0.63124641010913263</v>
          </cell>
          <cell r="Q44">
            <v>0.71999718943226532</v>
          </cell>
          <cell r="R44" t="str">
            <v>2005A</v>
          </cell>
          <cell r="S44">
            <v>0.71156103286384975</v>
          </cell>
          <cell r="T44">
            <v>0.69949719018042</v>
          </cell>
          <cell r="U44">
            <v>0.71049661399548536</v>
          </cell>
          <cell r="V44">
            <v>0.70332238043081419</v>
          </cell>
          <cell r="W44" t="str">
            <v>2006A</v>
          </cell>
          <cell r="X44">
            <v>0.68803799346987238</v>
          </cell>
          <cell r="Y44">
            <v>0.68103699388290129</v>
          </cell>
          <cell r="Z44">
            <v>0.66423970876505178</v>
          </cell>
          <cell r="AA44">
            <v>0.67912909610732353</v>
          </cell>
          <cell r="AB44" t="str">
            <v>2007A</v>
          </cell>
          <cell r="AC44">
            <v>0.68219323928666487</v>
          </cell>
          <cell r="AD44">
            <v>0.66666666666666663</v>
          </cell>
          <cell r="AE44">
            <v>0.68044222163727297</v>
          </cell>
          <cell r="AF44">
            <v>0.67957089552238803</v>
          </cell>
          <cell r="AG44" t="str">
            <v>2008A</v>
          </cell>
          <cell r="AH44">
            <v>0.66785206258890473</v>
          </cell>
          <cell r="AI44">
            <v>0.69476744186046513</v>
          </cell>
          <cell r="AJ44">
            <v>0.78402366863905326</v>
          </cell>
          <cell r="AK44">
            <v>0.70983818371992868</v>
          </cell>
          <cell r="AL44" t="str">
            <v>2009A</v>
          </cell>
          <cell r="AM44">
            <v>0.60727635185646645</v>
          </cell>
          <cell r="AN44">
            <v>0.61530740276035134</v>
          </cell>
          <cell r="AO44">
            <v>0.64053106212424848</v>
          </cell>
          <cell r="AP44">
            <v>0.64422417555015277</v>
          </cell>
          <cell r="AQ44" t="str">
            <v>2010A</v>
          </cell>
          <cell r="AR44">
            <v>0.67828596802841923</v>
          </cell>
          <cell r="AS44">
            <v>0.6578662627136983</v>
          </cell>
          <cell r="AT44">
            <v>0.64486772486772492</v>
          </cell>
          <cell r="AU44">
            <v>0.66492687435437392</v>
          </cell>
          <cell r="AV44" t="str">
            <v>2011A</v>
          </cell>
          <cell r="AW44">
            <v>0.64985287936107605</v>
          </cell>
          <cell r="AX44">
            <v>0.69736842105263153</v>
          </cell>
          <cell r="AY44">
            <v>0.63526216837267602</v>
          </cell>
          <cell r="AZ44">
            <v>0.65854687335231465</v>
          </cell>
          <cell r="BA44" t="str">
            <v>2012A</v>
          </cell>
          <cell r="BB44">
            <v>0.69448203277702603</v>
          </cell>
          <cell r="BC44">
            <v>0.67737049378976066</v>
          </cell>
          <cell r="BD44">
            <v>0.68375567599238318</v>
          </cell>
          <cell r="BE44">
            <v>0.68354527055409176</v>
          </cell>
          <cell r="BF44" t="str">
            <v>2013A</v>
          </cell>
          <cell r="BG44">
            <v>0.68335192414947021</v>
          </cell>
          <cell r="BH44">
            <v>0.68609492089925062</v>
          </cell>
          <cell r="BI44">
            <v>0.70167490389895659</v>
          </cell>
          <cell r="BJ44">
            <v>0.69240060739922693</v>
          </cell>
          <cell r="BK44" t="str">
            <v>2014E</v>
          </cell>
          <cell r="BL44">
            <v>0.68561484918793503</v>
          </cell>
          <cell r="BM44">
            <v>0.67165788032983564</v>
          </cell>
          <cell r="BN44">
            <v>0.68713580815111586</v>
          </cell>
          <cell r="BO44">
            <v>0.68173819722299345</v>
          </cell>
          <cell r="BP44" t="str">
            <v>2015E</v>
          </cell>
          <cell r="BQ44">
            <v>0.69434290276384536</v>
          </cell>
          <cell r="BR44">
            <v>0.68029499440868069</v>
          </cell>
          <cell r="BS44">
            <v>0.69070305407117494</v>
          </cell>
          <cell r="BT44">
            <v>0.68714469058294103</v>
          </cell>
          <cell r="BU44" t="str">
            <v>2016E</v>
          </cell>
          <cell r="BV44">
            <v>0.69321417848073896</v>
          </cell>
          <cell r="BW44">
            <v>0.67841290411274124</v>
          </cell>
          <cell r="BX44">
            <v>0.68812511129742948</v>
          </cell>
          <cell r="BY44">
            <v>0.68630444573297611</v>
          </cell>
          <cell r="BZ44" t="str">
            <v>2017E</v>
          </cell>
          <cell r="CE44" t="str">
            <v>2018E</v>
          </cell>
        </row>
        <row r="45">
          <cell r="A45" t="str">
            <v>($ millions, enrollment 000s)</v>
          </cell>
          <cell r="B45" t="str">
            <v>_aggmlr</v>
          </cell>
          <cell r="C45" t="str">
            <v>Q1A</v>
          </cell>
          <cell r="D45" t="str">
            <v>Q2A</v>
          </cell>
          <cell r="E45" t="str">
            <v>Q3A</v>
          </cell>
          <cell r="F45" t="str">
            <v>Q4A</v>
          </cell>
          <cell r="G45" t="str">
            <v>2002A</v>
          </cell>
          <cell r="H45" t="str">
            <v>Q1A</v>
          </cell>
          <cell r="I45" t="str">
            <v>Q2A</v>
          </cell>
          <cell r="J45" t="str">
            <v>Q3A</v>
          </cell>
          <cell r="K45" t="str">
            <v>Q4A</v>
          </cell>
          <cell r="L45" t="str">
            <v>2003A</v>
          </cell>
          <cell r="M45" t="str">
            <v>Q1A</v>
          </cell>
          <cell r="N45" t="str">
            <v>Q2A</v>
          </cell>
          <cell r="O45" t="str">
            <v>Q3A</v>
          </cell>
          <cell r="P45" t="str">
            <v>Q4A</v>
          </cell>
          <cell r="Q45" t="str">
            <v>2004A</v>
          </cell>
          <cell r="R45" t="str">
            <v>Q1A</v>
          </cell>
          <cell r="S45" t="str">
            <v>Q2A</v>
          </cell>
          <cell r="T45" t="str">
            <v>Q3A</v>
          </cell>
          <cell r="U45" t="str">
            <v>Q4A</v>
          </cell>
          <cell r="V45" t="str">
            <v>2005A</v>
          </cell>
          <cell r="W45" t="str">
            <v>Q1A</v>
          </cell>
          <cell r="X45" t="str">
            <v>Q2A</v>
          </cell>
          <cell r="Y45" t="str">
            <v>Q3A</v>
          </cell>
          <cell r="Z45" t="str">
            <v>Q4A</v>
          </cell>
          <cell r="AA45" t="str">
            <v>2006A</v>
          </cell>
          <cell r="AB45" t="str">
            <v>Q1A</v>
          </cell>
          <cell r="AC45" t="str">
            <v>Q2A</v>
          </cell>
          <cell r="AD45" t="str">
            <v>Q3A</v>
          </cell>
          <cell r="AE45" t="str">
            <v>Q4A</v>
          </cell>
          <cell r="AF45" t="str">
            <v>2007A</v>
          </cell>
          <cell r="AG45" t="str">
            <v>Q1A</v>
          </cell>
          <cell r="AH45" t="str">
            <v>Q2A</v>
          </cell>
          <cell r="AI45" t="str">
            <v>Q3A</v>
          </cell>
          <cell r="AJ45" t="str">
            <v>Q4A</v>
          </cell>
          <cell r="AK45" t="str">
            <v>2008A</v>
          </cell>
          <cell r="AL45" t="str">
            <v>Q1A</v>
          </cell>
          <cell r="AM45" t="str">
            <v>Q2A</v>
          </cell>
          <cell r="AN45" t="str">
            <v>Q3A</v>
          </cell>
          <cell r="AO45" t="str">
            <v>Q4A</v>
          </cell>
          <cell r="AP45" t="str">
            <v>2009A</v>
          </cell>
          <cell r="AQ45" t="str">
            <v>Q1A</v>
          </cell>
          <cell r="AR45" t="str">
            <v>Q2A</v>
          </cell>
          <cell r="AS45" t="str">
            <v>Q3A</v>
          </cell>
          <cell r="AT45" t="str">
            <v>Q4A</v>
          </cell>
          <cell r="AU45" t="str">
            <v>2010A</v>
          </cell>
          <cell r="AV45" t="str">
            <v>Q1A</v>
          </cell>
          <cell r="AW45" t="str">
            <v>Q2A</v>
          </cell>
          <cell r="AX45" t="str">
            <v>Q3A</v>
          </cell>
          <cell r="AY45" t="str">
            <v>Q4A</v>
          </cell>
          <cell r="AZ45" t="str">
            <v>2011A</v>
          </cell>
          <cell r="BA45" t="str">
            <v>Q1A</v>
          </cell>
          <cell r="BB45" t="str">
            <v>Q2A</v>
          </cell>
          <cell r="BC45" t="str">
            <v>Q3A</v>
          </cell>
          <cell r="BD45" t="str">
            <v>Q4A</v>
          </cell>
          <cell r="BE45" t="str">
            <v>2012A</v>
          </cell>
          <cell r="BF45" t="str">
            <v>Q1A</v>
          </cell>
          <cell r="BG45" t="str">
            <v>Q2A</v>
          </cell>
          <cell r="BH45" t="str">
            <v>Q3A</v>
          </cell>
          <cell r="BI45" t="str">
            <v>Q4A</v>
          </cell>
          <cell r="BJ45" t="str">
            <v>2013A</v>
          </cell>
          <cell r="BK45" t="str">
            <v>Q1A</v>
          </cell>
          <cell r="BL45" t="str">
            <v>Q2A</v>
          </cell>
          <cell r="BM45" t="str">
            <v>Q3A</v>
          </cell>
          <cell r="BN45" t="str">
            <v>Q4A</v>
          </cell>
          <cell r="BO45" t="str">
            <v>2014E</v>
          </cell>
          <cell r="BP45" t="str">
            <v>Q1A</v>
          </cell>
          <cell r="BQ45" t="str">
            <v>Q2A</v>
          </cell>
          <cell r="BR45" t="str">
            <v>Q3A</v>
          </cell>
          <cell r="BS45" t="str">
            <v>Q4E</v>
          </cell>
          <cell r="BT45" t="str">
            <v>2015E</v>
          </cell>
          <cell r="BU45" t="str">
            <v>Q1E</v>
          </cell>
          <cell r="BV45" t="str">
            <v>Q2E</v>
          </cell>
          <cell r="BW45" t="str">
            <v>Q3E</v>
          </cell>
          <cell r="BX45" t="str">
            <v>Q4E</v>
          </cell>
          <cell r="BY45" t="str">
            <v>2016E</v>
          </cell>
          <cell r="BZ45" t="str">
            <v>Q1E</v>
          </cell>
          <cell r="CA45" t="str">
            <v>Q2E</v>
          </cell>
          <cell r="CB45" t="str">
            <v>Q3E</v>
          </cell>
          <cell r="CC45" t="str">
            <v>Q4E</v>
          </cell>
          <cell r="CD45" t="str">
            <v>2017E</v>
          </cell>
          <cell r="CE45" t="str">
            <v>Q1E</v>
          </cell>
          <cell r="CF45" t="str">
            <v>Q2E</v>
          </cell>
          <cell r="CG45" t="str">
            <v>Q3E</v>
          </cell>
          <cell r="CH45" t="str">
            <v>Q4E</v>
          </cell>
          <cell r="CI45" t="str">
            <v>2018E</v>
          </cell>
        </row>
        <row r="46">
          <cell r="A46" t="str">
            <v>Operating expense ratio (ex. health care inv income)</v>
          </cell>
          <cell r="B46" t="str">
            <v>_opratio</v>
          </cell>
          <cell r="C46">
            <v>0.26230882044835535</v>
          </cell>
          <cell r="D46">
            <v>0.25446791226645005</v>
          </cell>
          <cell r="E46">
            <v>0.2558230573497749</v>
          </cell>
          <cell r="F46">
            <v>0.29369565217391302</v>
          </cell>
          <cell r="G46">
            <v>0.26605173657631659</v>
          </cell>
          <cell r="H46">
            <v>0.25498663376516556</v>
          </cell>
          <cell r="I46">
            <v>0.2799370927881375</v>
          </cell>
          <cell r="J46">
            <v>0.26860215053763442</v>
          </cell>
          <cell r="K46">
            <v>0.2975920036347115</v>
          </cell>
          <cell r="L46">
            <v>0.27469236632908633</v>
          </cell>
          <cell r="M46">
            <v>0.25966731475480664</v>
          </cell>
          <cell r="N46">
            <v>0.29475128390529692</v>
          </cell>
          <cell r="O46">
            <v>0.27976265170392417</v>
          </cell>
          <cell r="P46">
            <v>0.29303845187232974</v>
          </cell>
          <cell r="Q46">
            <v>0.28105259358192253</v>
          </cell>
          <cell r="R46">
            <v>0.28248871048670349</v>
          </cell>
          <cell r="S46">
            <v>0.26949110052644776</v>
          </cell>
          <cell r="T46">
            <v>0.2792884371029225</v>
          </cell>
          <cell r="U46">
            <v>0.28626320845341019</v>
          </cell>
          <cell r="V46">
            <v>0.27945750902077887</v>
          </cell>
          <cell r="W46">
            <v>0.28597122302158273</v>
          </cell>
          <cell r="X46">
            <v>0.2817391304347826</v>
          </cell>
          <cell r="Y46">
            <v>0.28077592638647103</v>
          </cell>
          <cell r="Z46">
            <v>0.29772286821705424</v>
          </cell>
          <cell r="AA46">
            <v>0.28663015062865677</v>
          </cell>
          <cell r="AB46">
            <v>0.27611072342405213</v>
          </cell>
          <cell r="AC46">
            <v>0.27165898617511519</v>
          </cell>
          <cell r="AD46">
            <v>0.27450980392156865</v>
          </cell>
          <cell r="AE46">
            <v>0.28136281588447654</v>
          </cell>
          <cell r="AF46">
            <v>0.27593933126508102</v>
          </cell>
          <cell r="AG46">
            <v>0.28438331854480925</v>
          </cell>
          <cell r="AH46">
            <v>0.28743010975357219</v>
          </cell>
          <cell r="AI46">
            <v>0.2937149968886123</v>
          </cell>
          <cell r="AJ46">
            <v>0.28149806635456953</v>
          </cell>
          <cell r="AK46">
            <v>0.28677048922447695</v>
          </cell>
          <cell r="AL46">
            <v>0.28963350785340314</v>
          </cell>
          <cell r="AM46">
            <v>0.30538116591928249</v>
          </cell>
          <cell r="AN46">
            <v>0.29925859357447765</v>
          </cell>
          <cell r="AO46">
            <v>0.29760348583877994</v>
          </cell>
          <cell r="AP46">
            <v>0.29782228058656163</v>
          </cell>
          <cell r="AQ46">
            <v>0.2741904207872794</v>
          </cell>
          <cell r="AR46">
            <v>0.26675526865388266</v>
          </cell>
          <cell r="AS46">
            <v>0.2701022648848736</v>
          </cell>
          <cell r="AT46">
            <v>0.29441529235382308</v>
          </cell>
          <cell r="AU46">
            <v>0.27646425702312971</v>
          </cell>
          <cell r="AV46">
            <v>0.27708569271423178</v>
          </cell>
          <cell r="AW46">
            <v>0.27218825273299979</v>
          </cell>
          <cell r="AX46">
            <v>0.2569346864428832</v>
          </cell>
          <cell r="AY46">
            <v>0.29785247432306255</v>
          </cell>
          <cell r="AZ46">
            <v>0.27588539594110623</v>
          </cell>
          <cell r="BA46">
            <v>0.26157303370786517</v>
          </cell>
          <cell r="BB46">
            <v>0.2441276306856755</v>
          </cell>
          <cell r="BC46">
            <v>0.24461920529801323</v>
          </cell>
          <cell r="BD46">
            <v>0.25026567481402762</v>
          </cell>
          <cell r="BE46">
            <v>0.24989589117157135</v>
          </cell>
          <cell r="BF46">
            <v>0.23152214832475843</v>
          </cell>
          <cell r="BG46">
            <v>0.24301321138211382</v>
          </cell>
          <cell r="BH46">
            <v>0.24305293599899408</v>
          </cell>
          <cell r="BI46">
            <v>0.25236083499005962</v>
          </cell>
          <cell r="BJ46">
            <v>0.24250989259468628</v>
          </cell>
          <cell r="BK46">
            <v>0.24245316787972795</v>
          </cell>
          <cell r="BL46">
            <v>0.2381174277726002</v>
          </cell>
          <cell r="BM46">
            <v>0.26161548454043498</v>
          </cell>
          <cell r="BN46">
            <v>0.24834841227428273</v>
          </cell>
          <cell r="BO46">
            <v>0.24769495120658119</v>
          </cell>
          <cell r="BP46">
            <v>0.24188222590502478</v>
          </cell>
          <cell r="BQ46">
            <v>0.23467174451846964</v>
          </cell>
          <cell r="BR46">
            <v>0.25673007423516725</v>
          </cell>
          <cell r="BS46">
            <v>0.24885654557216935</v>
          </cell>
          <cell r="BT46">
            <v>0.24573633318110152</v>
          </cell>
          <cell r="BU46">
            <v>0.23538863946605351</v>
          </cell>
          <cell r="BV46">
            <v>0.23320335282893315</v>
          </cell>
          <cell r="BW46">
            <v>0.25239980081340835</v>
          </cell>
          <cell r="BX46">
            <v>0.24564469322479981</v>
          </cell>
          <cell r="BY46">
            <v>0.24181853036159681</v>
          </cell>
        </row>
        <row r="47">
          <cell r="A47" t="str">
            <v>Margins</v>
          </cell>
          <cell r="B47" t="str">
            <v>_pretaxmargin</v>
          </cell>
          <cell r="C47">
            <v>8.5249237029501532E-2</v>
          </cell>
          <cell r="D47">
            <v>8.3990536277602529E-2</v>
          </cell>
          <cell r="E47">
            <v>5.7802365509347579E-2</v>
          </cell>
          <cell r="F47">
            <v>5.5320945945945943E-2</v>
          </cell>
          <cell r="G47">
            <v>7.0623591284748308E-2</v>
          </cell>
          <cell r="H47">
            <v>6.2259176637598862E-2</v>
          </cell>
          <cell r="I47">
            <v>5.5248618784530384E-2</v>
          </cell>
          <cell r="J47">
            <v>6.2765055131467351E-2</v>
          </cell>
          <cell r="K47">
            <v>7.326334599061872E-2</v>
          </cell>
          <cell r="L47">
            <v>6.3327792374926264E-2</v>
          </cell>
          <cell r="M47">
            <v>8.1472027228249311E-2</v>
          </cell>
          <cell r="N47">
            <v>8.157347631031836E-2</v>
          </cell>
          <cell r="O47">
            <v>8.6362032462949864E-2</v>
          </cell>
          <cell r="P47">
            <v>0.12808489634748271</v>
          </cell>
          <cell r="Q47">
            <v>9.3625029404845933E-2</v>
          </cell>
          <cell r="R47">
            <v>0.10779477059694129</v>
          </cell>
          <cell r="S47">
            <v>9.4721262950172663E-2</v>
          </cell>
          <cell r="T47">
            <v>9.0931801149138153E-2</v>
          </cell>
          <cell r="U47">
            <v>8.2586125530910812E-2</v>
          </cell>
          <cell r="V47">
            <v>9.3889534528105695E-2</v>
          </cell>
          <cell r="W47">
            <v>9.6896290688872067E-2</v>
          </cell>
          <cell r="X47">
            <v>9.824046920821114E-2</v>
          </cell>
          <cell r="Y47">
            <v>9.7334311567620443E-2</v>
          </cell>
          <cell r="Z47">
            <v>8.4150131484580448E-2</v>
          </cell>
          <cell r="AA47">
            <v>9.4077295277760764E-2</v>
          </cell>
          <cell r="AB47">
            <v>9.0052837123822657E-2</v>
          </cell>
          <cell r="AC47">
            <v>9.676684881602915E-2</v>
          </cell>
          <cell r="AD47">
            <v>0.10829913360693115</v>
          </cell>
          <cell r="AE47">
            <v>9.1579182488273403E-2</v>
          </cell>
          <cell r="AF47">
            <v>9.6660608814175375E-2</v>
          </cell>
          <cell r="AG47">
            <v>7.947310647639956E-2</v>
          </cell>
          <cell r="AH47">
            <v>9.2175337976239252E-2</v>
          </cell>
          <cell r="AI47">
            <v>7.2410256410256404E-2</v>
          </cell>
          <cell r="AJ47">
            <v>2.8029844726759429E-2</v>
          </cell>
          <cell r="AK47">
            <v>6.7666441803746563E-2</v>
          </cell>
          <cell r="AL47">
            <v>5.9471823663963405E-2</v>
          </cell>
          <cell r="AM47">
            <v>0.10031069684864626</v>
          </cell>
          <cell r="AN47">
            <v>0.10304241616699977</v>
          </cell>
          <cell r="AO47">
            <v>9.5279154990299639E-2</v>
          </cell>
          <cell r="AP47">
            <v>8.9071896841306827E-2</v>
          </cell>
          <cell r="AQ47">
            <v>8.1366340433697948E-2</v>
          </cell>
          <cell r="AR47">
            <v>0.1089851810166948</v>
          </cell>
          <cell r="AS47">
            <v>9.7216643608396172E-2</v>
          </cell>
          <cell r="AT47">
            <v>8.8366061504260837E-2</v>
          </cell>
          <cell r="AU47">
            <v>9.4023079574123022E-2</v>
          </cell>
          <cell r="AV47">
            <v>0.10184667039731393</v>
          </cell>
          <cell r="AW47">
            <v>0.11204686927865251</v>
          </cell>
          <cell r="AX47">
            <v>9.9879261181185314E-2</v>
          </cell>
          <cell r="AY47">
            <v>8.3779295072891682E-2</v>
          </cell>
          <cell r="AZ47">
            <v>9.94096487377229E-2</v>
          </cell>
          <cell r="BA47">
            <v>7.9068387479602431E-2</v>
          </cell>
          <cell r="BB47">
            <v>9.1435496902774041E-2</v>
          </cell>
          <cell r="BC47">
            <v>0.10161378555798688</v>
          </cell>
          <cell r="BD47">
            <v>9.0968931016324375E-2</v>
          </cell>
          <cell r="BE47">
            <v>9.1006018916595016E-2</v>
          </cell>
          <cell r="BF47">
            <v>9.2988562904027849E-2</v>
          </cell>
          <cell r="BG47">
            <v>9.7812421423183304E-2</v>
          </cell>
          <cell r="BH47">
            <v>9.603184475681055E-2</v>
          </cell>
          <cell r="BI47">
            <v>7.072570725707257E-2</v>
          </cell>
          <cell r="BJ47">
            <v>8.9315136630708489E-2</v>
          </cell>
          <cell r="BK47">
            <v>9.5930920274426304E-2</v>
          </cell>
          <cell r="BL47">
            <v>9.6446700507614211E-2</v>
          </cell>
          <cell r="BM47">
            <v>8.5018684806911105E-2</v>
          </cell>
          <cell r="BN47">
            <v>8.3387151729210393E-2</v>
          </cell>
          <cell r="BO47">
            <v>9.0109352969472492E-2</v>
          </cell>
          <cell r="BP47">
            <v>9.5212514712769952E-2</v>
          </cell>
          <cell r="BQ47">
            <v>9.0705413042697108E-2</v>
          </cell>
          <cell r="BR47">
            <v>8.0867587463719692E-2</v>
          </cell>
          <cell r="BS47">
            <v>7.8529186990947242E-2</v>
          </cell>
          <cell r="BT47">
            <v>8.6152565161611308E-2</v>
          </cell>
          <cell r="BU47">
            <v>9.7792672541389153E-2</v>
          </cell>
          <cell r="BV47">
            <v>9.1673460230425607E-2</v>
          </cell>
          <cell r="BW47">
            <v>8.5495941730739322E-2</v>
          </cell>
          <cell r="BX47">
            <v>8.268327124140662E-2</v>
          </cell>
          <cell r="BY47">
            <v>8.9315141562636383E-2</v>
          </cell>
        </row>
        <row r="48">
          <cell r="BK48">
            <v>0.68246881155613925</v>
          </cell>
        </row>
        <row r="49">
          <cell r="BK49">
            <v>0.79319165682802051</v>
          </cell>
        </row>
        <row r="50">
          <cell r="BK50">
            <v>0.24245316787972795</v>
          </cell>
        </row>
        <row r="51">
          <cell r="BK51">
            <v>9.5930920274426304E-2</v>
          </cell>
        </row>
        <row r="52">
          <cell r="BK52">
            <v>5.9261887863733147E-2</v>
          </cell>
        </row>
        <row r="53">
          <cell r="BK53">
            <v>0.38101109741060418</v>
          </cell>
        </row>
        <row r="54">
          <cell r="BK54">
            <v>5.0969666832421767E-2</v>
          </cell>
        </row>
        <row r="55">
          <cell r="BK55">
            <v>8.4224598930481287E-2</v>
          </cell>
        </row>
        <row r="56">
          <cell r="BK56">
            <v>4.115395132622357E-2</v>
          </cell>
        </row>
        <row r="57">
          <cell r="BK57">
            <v>5.0969666832421767E-2</v>
          </cell>
        </row>
        <row r="58">
          <cell r="BK58">
            <v>5.0969666832421767E-2</v>
          </cell>
        </row>
        <row r="59">
          <cell r="BK59">
            <v>8.4224598930481287E-2</v>
          </cell>
        </row>
        <row r="60">
          <cell r="BK60">
            <v>8.0482897384306362E-3</v>
          </cell>
        </row>
        <row r="61">
          <cell r="BK61">
            <v>0.89519112207151663</v>
          </cell>
        </row>
        <row r="63">
          <cell r="BK63">
            <v>0.78713066316480629</v>
          </cell>
        </row>
        <row r="64">
          <cell r="BK64">
            <v>0.78294298556896147</v>
          </cell>
        </row>
        <row r="65">
          <cell r="BK65">
            <v>0.89519112207151663</v>
          </cell>
        </row>
        <row r="66">
          <cell r="BK66" t="str">
            <v>Q1A</v>
          </cell>
        </row>
        <row r="69">
          <cell r="BK69" t="str">
            <v>2014E</v>
          </cell>
        </row>
        <row r="70">
          <cell r="BK70" t="str">
            <v>Q1A</v>
          </cell>
        </row>
        <row r="71">
          <cell r="BK71">
            <v>5994</v>
          </cell>
        </row>
        <row r="72">
          <cell r="BK72">
            <v>915</v>
          </cell>
        </row>
        <row r="73">
          <cell r="BK73">
            <v>680</v>
          </cell>
        </row>
        <row r="74">
          <cell r="BK74">
            <v>26</v>
          </cell>
        </row>
        <row r="75">
          <cell r="BK75">
            <v>5994</v>
          </cell>
        </row>
        <row r="76">
          <cell r="BK76">
            <v>915</v>
          </cell>
        </row>
        <row r="77">
          <cell r="BK77">
            <v>680</v>
          </cell>
        </row>
        <row r="78">
          <cell r="BK78">
            <v>26</v>
          </cell>
        </row>
        <row r="79">
          <cell r="BK79">
            <v>7615</v>
          </cell>
        </row>
        <row r="80">
          <cell r="BK80">
            <v>4.115395132622357E-2</v>
          </cell>
        </row>
        <row r="81">
          <cell r="BK81">
            <v>26</v>
          </cell>
        </row>
        <row r="82">
          <cell r="BK82">
            <v>97</v>
          </cell>
        </row>
        <row r="83">
          <cell r="BK83">
            <v>73</v>
          </cell>
        </row>
        <row r="84">
          <cell r="BK84">
            <v>81</v>
          </cell>
        </row>
        <row r="85">
          <cell r="BK85">
            <v>26</v>
          </cell>
        </row>
        <row r="86">
          <cell r="BK86">
            <v>97</v>
          </cell>
        </row>
        <row r="87">
          <cell r="BK87">
            <v>0</v>
          </cell>
        </row>
        <row r="88">
          <cell r="BK88">
            <v>277</v>
          </cell>
        </row>
        <row r="89">
          <cell r="BK89">
            <v>-3.4843205574912939E-2</v>
          </cell>
        </row>
        <row r="90">
          <cell r="BK90">
            <v>4.3845590708533666E-2</v>
          </cell>
        </row>
        <row r="91">
          <cell r="BK91">
            <v>10</v>
          </cell>
        </row>
        <row r="92">
          <cell r="BK92">
            <v>0</v>
          </cell>
        </row>
        <row r="93">
          <cell r="BK93">
            <v>552</v>
          </cell>
        </row>
        <row r="94">
          <cell r="BK94">
            <v>0</v>
          </cell>
        </row>
        <row r="95">
          <cell r="BK95">
            <v>10</v>
          </cell>
        </row>
        <row r="96">
          <cell r="BK96">
            <v>0</v>
          </cell>
        </row>
        <row r="97">
          <cell r="BK97">
            <v>0</v>
          </cell>
        </row>
        <row r="98">
          <cell r="BK98">
            <v>562</v>
          </cell>
        </row>
        <row r="99">
          <cell r="BK99">
            <v>0.26862302483069977</v>
          </cell>
        </row>
        <row r="100">
          <cell r="BK100">
            <v>716</v>
          </cell>
        </row>
        <row r="101">
          <cell r="BK101">
            <v>123</v>
          </cell>
        </row>
        <row r="102">
          <cell r="BK102">
            <v>6619</v>
          </cell>
        </row>
        <row r="103">
          <cell r="BK103">
            <v>996</v>
          </cell>
        </row>
        <row r="104">
          <cell r="BK104">
            <v>716</v>
          </cell>
        </row>
        <row r="105">
          <cell r="BK105">
            <v>123</v>
          </cell>
        </row>
        <row r="106">
          <cell r="A106" t="str">
            <v>Corporate</v>
          </cell>
          <cell r="B106" t="str">
            <v>_corpoprev</v>
          </cell>
          <cell r="C106">
            <v>-15</v>
          </cell>
          <cell r="D106">
            <v>-12</v>
          </cell>
          <cell r="E106">
            <v>-15</v>
          </cell>
          <cell r="F106">
            <v>-16</v>
          </cell>
          <cell r="G106">
            <v>-58</v>
          </cell>
          <cell r="H106">
            <v>-18</v>
          </cell>
          <cell r="I106">
            <v>-17</v>
          </cell>
          <cell r="J106">
            <v>-18</v>
          </cell>
          <cell r="K106">
            <v>-20</v>
          </cell>
          <cell r="L106">
            <v>-73</v>
          </cell>
          <cell r="M106">
            <v>-19</v>
          </cell>
          <cell r="N106">
            <v>-7</v>
          </cell>
          <cell r="O106">
            <v>0</v>
          </cell>
          <cell r="P106">
            <v>3</v>
          </cell>
          <cell r="Q106">
            <v>-23</v>
          </cell>
          <cell r="R106">
            <v>-1</v>
          </cell>
          <cell r="S106">
            <v>-3</v>
          </cell>
          <cell r="T106">
            <v>0</v>
          </cell>
          <cell r="U106">
            <v>-9</v>
          </cell>
          <cell r="V106">
            <v>-13</v>
          </cell>
          <cell r="W106">
            <v>0</v>
          </cell>
          <cell r="X106">
            <v>-2</v>
          </cell>
          <cell r="Y106">
            <v>-4</v>
          </cell>
          <cell r="Z106">
            <v>-5</v>
          </cell>
          <cell r="AA106">
            <v>-11</v>
          </cell>
          <cell r="AB106">
            <v>-6</v>
          </cell>
          <cell r="AC106">
            <v>-5</v>
          </cell>
          <cell r="AD106">
            <v>-8</v>
          </cell>
          <cell r="AE106">
            <v>-7</v>
          </cell>
          <cell r="AF106">
            <v>-26</v>
          </cell>
          <cell r="AG106">
            <v>-5</v>
          </cell>
          <cell r="AH106">
            <v>-13</v>
          </cell>
          <cell r="AI106">
            <v>-13</v>
          </cell>
          <cell r="AJ106">
            <v>-12</v>
          </cell>
          <cell r="AK106">
            <v>-43</v>
          </cell>
          <cell r="AL106">
            <v>-14</v>
          </cell>
          <cell r="AM106">
            <v>-13</v>
          </cell>
          <cell r="AN106">
            <v>-17</v>
          </cell>
          <cell r="AO106">
            <v>-14</v>
          </cell>
          <cell r="AP106">
            <v>-58</v>
          </cell>
          <cell r="AQ106">
            <v>-15</v>
          </cell>
          <cell r="AR106">
            <v>-15</v>
          </cell>
          <cell r="AS106">
            <v>-16</v>
          </cell>
          <cell r="AT106">
            <v>-15</v>
          </cell>
          <cell r="AU106">
            <v>-61</v>
          </cell>
          <cell r="AV106">
            <v>-14</v>
          </cell>
          <cell r="AW106">
            <v>-13</v>
          </cell>
          <cell r="AX106">
            <v>-13</v>
          </cell>
          <cell r="AY106">
            <v>-12</v>
          </cell>
          <cell r="AZ106">
            <v>-52</v>
          </cell>
          <cell r="BA106">
            <v>-16</v>
          </cell>
          <cell r="BB106">
            <v>-15</v>
          </cell>
          <cell r="BC106">
            <v>-14</v>
          </cell>
          <cell r="BD106">
            <v>-11</v>
          </cell>
          <cell r="BE106">
            <v>-56</v>
          </cell>
          <cell r="BF106">
            <v>-9</v>
          </cell>
          <cell r="BG106">
            <v>-11</v>
          </cell>
          <cell r="BH106">
            <v>-6</v>
          </cell>
          <cell r="BI106">
            <v>-11</v>
          </cell>
          <cell r="BJ106">
            <v>-37</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row>
        <row r="107">
          <cell r="BK107">
            <v>8454</v>
          </cell>
        </row>
        <row r="108">
          <cell r="BK108">
            <v>5.0969666832421767E-2</v>
          </cell>
        </row>
        <row r="109">
          <cell r="BK109">
            <v>8381</v>
          </cell>
        </row>
        <row r="110">
          <cell r="BK110">
            <v>5.1700338812900037E-2</v>
          </cell>
        </row>
        <row r="111">
          <cell r="BK111">
            <v>4031</v>
          </cell>
        </row>
        <row r="113">
          <cell r="BK113">
            <v>710</v>
          </cell>
        </row>
        <row r="114">
          <cell r="BK114">
            <v>360</v>
          </cell>
        </row>
        <row r="115">
          <cell r="BK115">
            <v>4031</v>
          </cell>
        </row>
        <row r="116">
          <cell r="BK116">
            <v>96</v>
          </cell>
        </row>
        <row r="117">
          <cell r="BK117">
            <v>710</v>
          </cell>
        </row>
        <row r="118">
          <cell r="BK118">
            <v>360</v>
          </cell>
        </row>
        <row r="119">
          <cell r="BK119">
            <v>0</v>
          </cell>
        </row>
        <row r="120">
          <cell r="BK120">
            <v>96</v>
          </cell>
        </row>
        <row r="121">
          <cell r="BK121">
            <v>5197</v>
          </cell>
        </row>
        <row r="122">
          <cell r="BK122">
            <v>1.7622870569806048E-2</v>
          </cell>
        </row>
        <row r="123">
          <cell r="BK123">
            <v>1448</v>
          </cell>
        </row>
        <row r="124">
          <cell r="BK124">
            <v>414</v>
          </cell>
        </row>
        <row r="125">
          <cell r="BK125">
            <v>288</v>
          </cell>
        </row>
        <row r="126">
          <cell r="BK126">
            <v>106</v>
          </cell>
        </row>
        <row r="127">
          <cell r="BK127">
            <v>1448</v>
          </cell>
        </row>
        <row r="128">
          <cell r="BK128">
            <v>190</v>
          </cell>
        </row>
        <row r="129">
          <cell r="BK129">
            <v>288</v>
          </cell>
        </row>
        <row r="130">
          <cell r="BK130">
            <v>106</v>
          </cell>
        </row>
        <row r="131">
          <cell r="BK131">
            <v>0</v>
          </cell>
        </row>
        <row r="132">
          <cell r="BK132">
            <v>2032</v>
          </cell>
        </row>
        <row r="133">
          <cell r="BK133">
            <v>0.10135501355013554</v>
          </cell>
        </row>
        <row r="134">
          <cell r="BK134">
            <v>68</v>
          </cell>
        </row>
        <row r="135">
          <cell r="BK135">
            <v>-79</v>
          </cell>
        </row>
        <row r="136">
          <cell r="BK136">
            <v>726</v>
          </cell>
        </row>
        <row r="137">
          <cell r="BK137">
            <v>96</v>
          </cell>
        </row>
        <row r="138">
          <cell r="BK138">
            <v>68</v>
          </cell>
        </row>
        <row r="139">
          <cell r="BK139">
            <v>-79</v>
          </cell>
        </row>
        <row r="140">
          <cell r="BK140">
            <v>0</v>
          </cell>
        </row>
        <row r="141">
          <cell r="BK141">
            <v>811</v>
          </cell>
        </row>
        <row r="142">
          <cell r="BK142">
            <v>8.4224598930481287E-2</v>
          </cell>
        </row>
        <row r="143">
          <cell r="BK143">
            <v>14</v>
          </cell>
        </row>
        <row r="144">
          <cell r="BK144">
            <v>-21</v>
          </cell>
        </row>
        <row r="145">
          <cell r="BK145">
            <v>287</v>
          </cell>
        </row>
        <row r="146">
          <cell r="BK146">
            <v>29</v>
          </cell>
        </row>
        <row r="147">
          <cell r="BK147">
            <v>14</v>
          </cell>
        </row>
        <row r="148">
          <cell r="BK148">
            <v>-21</v>
          </cell>
        </row>
        <row r="149">
          <cell r="BK149">
            <v>0.38101109741060418</v>
          </cell>
        </row>
        <row r="150">
          <cell r="BK150">
            <v>0</v>
          </cell>
        </row>
        <row r="151">
          <cell r="BK151">
            <v>309</v>
          </cell>
        </row>
        <row r="152">
          <cell r="BK152">
            <v>0.24096385542168686</v>
          </cell>
        </row>
        <row r="153">
          <cell r="BK153">
            <v>0.38101109741060418</v>
          </cell>
        </row>
        <row r="154">
          <cell r="BK154">
            <v>439</v>
          </cell>
        </row>
        <row r="155">
          <cell r="BK155">
            <v>0</v>
          </cell>
        </row>
        <row r="156">
          <cell r="BK156">
            <v>1</v>
          </cell>
        </row>
        <row r="157">
          <cell r="BK157">
            <v>-58</v>
          </cell>
        </row>
        <row r="158">
          <cell r="BK158">
            <v>0</v>
          </cell>
        </row>
        <row r="159">
          <cell r="BK159">
            <v>501</v>
          </cell>
        </row>
        <row r="160">
          <cell r="BK160">
            <v>8.0482897384306362E-3</v>
          </cell>
        </row>
        <row r="161">
          <cell r="BK161">
            <v>-58</v>
          </cell>
        </row>
        <row r="162">
          <cell r="BK162">
            <v>439</v>
          </cell>
        </row>
        <row r="163">
          <cell r="BK163">
            <v>67</v>
          </cell>
        </row>
        <row r="164">
          <cell r="BK164">
            <v>53</v>
          </cell>
        </row>
        <row r="165">
          <cell r="BK165">
            <v>-58</v>
          </cell>
        </row>
        <row r="166">
          <cell r="BK166">
            <v>0</v>
          </cell>
        </row>
        <row r="167">
          <cell r="BK167">
            <v>501</v>
          </cell>
        </row>
        <row r="168">
          <cell r="BK168">
            <v>8.0482897384306362E-3</v>
          </cell>
        </row>
        <row r="169">
          <cell r="BK169">
            <v>0</v>
          </cell>
        </row>
        <row r="170">
          <cell r="BK170">
            <v>0</v>
          </cell>
        </row>
        <row r="171">
          <cell r="BK171">
            <v>0</v>
          </cell>
        </row>
        <row r="172">
          <cell r="BK172">
            <v>0</v>
          </cell>
        </row>
        <row r="173">
          <cell r="BK173">
            <v>0</v>
          </cell>
        </row>
        <row r="174">
          <cell r="BK174">
            <v>0</v>
          </cell>
        </row>
        <row r="175">
          <cell r="BK175">
            <v>0</v>
          </cell>
        </row>
        <row r="176">
          <cell r="BK176">
            <v>0</v>
          </cell>
        </row>
        <row r="177">
          <cell r="BK177">
            <v>0</v>
          </cell>
        </row>
        <row r="178">
          <cell r="BK178">
            <v>27</v>
          </cell>
        </row>
        <row r="179">
          <cell r="BK179">
            <v>9</v>
          </cell>
        </row>
        <row r="180">
          <cell r="BK180">
            <v>11</v>
          </cell>
        </row>
        <row r="181">
          <cell r="BK181">
            <v>7</v>
          </cell>
        </row>
        <row r="182">
          <cell r="BK182">
            <v>0</v>
          </cell>
        </row>
        <row r="183">
          <cell r="BK183">
            <v>9</v>
          </cell>
        </row>
        <row r="184">
          <cell r="BK184">
            <v>0</v>
          </cell>
        </row>
        <row r="185">
          <cell r="BK185">
            <v>0</v>
          </cell>
        </row>
        <row r="186">
          <cell r="BK186">
            <v>27</v>
          </cell>
        </row>
        <row r="187">
          <cell r="BK187" t="str">
            <v>2014-Q1</v>
          </cell>
        </row>
        <row r="188">
          <cell r="BK188">
            <v>41729</v>
          </cell>
        </row>
        <row r="191">
          <cell r="BK191">
            <v>0.38101109741060418</v>
          </cell>
        </row>
        <row r="192">
          <cell r="BK192">
            <v>888</v>
          </cell>
        </row>
        <row r="195">
          <cell r="BK195" t="str">
            <v>2014-Q1</v>
          </cell>
        </row>
        <row r="196">
          <cell r="BK196">
            <v>41729</v>
          </cell>
        </row>
      </sheetData>
      <sheetData sheetId="3">
        <row r="2">
          <cell r="A2" t="str">
            <v>CIGNA, Inc.</v>
          </cell>
        </row>
      </sheetData>
      <sheetData sheetId="4" refreshError="1">
        <row r="1">
          <cell r="CF1" t="str">
            <v>ElementName</v>
          </cell>
        </row>
        <row r="7">
          <cell r="BO7" t="str">
            <v>2014E</v>
          </cell>
        </row>
        <row r="8">
          <cell r="BO8" t="str">
            <v>_bs_fy14</v>
          </cell>
        </row>
        <row r="10">
          <cell r="BO10">
            <v>24342</v>
          </cell>
        </row>
        <row r="11">
          <cell r="BO11">
            <v>1420</v>
          </cell>
        </row>
        <row r="12">
          <cell r="BO12">
            <v>2757</v>
          </cell>
        </row>
        <row r="13">
          <cell r="BO13">
            <v>7080</v>
          </cell>
        </row>
        <row r="14">
          <cell r="BO14">
            <v>293</v>
          </cell>
        </row>
        <row r="15">
          <cell r="BO15">
            <v>1502</v>
          </cell>
        </row>
        <row r="16">
          <cell r="BO16">
            <v>1502</v>
          </cell>
        </row>
        <row r="17">
          <cell r="BO17">
            <v>5989</v>
          </cell>
        </row>
        <row r="18">
          <cell r="BO18">
            <v>8328</v>
          </cell>
        </row>
        <row r="19">
          <cell r="BO19">
            <v>2683</v>
          </cell>
        </row>
        <row r="20">
          <cell r="BO20">
            <v>55896</v>
          </cell>
        </row>
        <row r="22">
          <cell r="BO22">
            <v>8430</v>
          </cell>
        </row>
        <row r="23">
          <cell r="BO23">
            <v>4400</v>
          </cell>
        </row>
        <row r="24">
          <cell r="BO24">
            <v>9642</v>
          </cell>
        </row>
        <row r="25">
          <cell r="BO25">
            <v>2180</v>
          </cell>
        </row>
        <row r="26">
          <cell r="BO26">
            <v>621</v>
          </cell>
        </row>
        <row r="27">
          <cell r="BO27">
            <v>25273</v>
          </cell>
        </row>
        <row r="28">
          <cell r="BO28">
            <v>6264</v>
          </cell>
        </row>
        <row r="29">
          <cell r="BO29">
            <v>5152</v>
          </cell>
        </row>
        <row r="30">
          <cell r="BO30">
            <v>0</v>
          </cell>
        </row>
        <row r="31">
          <cell r="BO31">
            <v>8328</v>
          </cell>
        </row>
        <row r="32">
          <cell r="BO32">
            <v>45017</v>
          </cell>
        </row>
        <row r="34">
          <cell r="BO34">
            <v>74</v>
          </cell>
        </row>
        <row r="35">
          <cell r="BO35">
            <v>2769</v>
          </cell>
        </row>
        <row r="36">
          <cell r="BO36">
            <v>-936</v>
          </cell>
        </row>
        <row r="37">
          <cell r="BO37">
            <v>10289</v>
          </cell>
        </row>
        <row r="38">
          <cell r="BO38">
            <v>-1422</v>
          </cell>
        </row>
        <row r="39">
          <cell r="BO39">
            <v>105</v>
          </cell>
        </row>
        <row r="40">
          <cell r="BO40">
            <v>10879</v>
          </cell>
        </row>
        <row r="41">
          <cell r="BO41">
            <v>55896</v>
          </cell>
        </row>
        <row r="42">
          <cell r="BO42" t="str">
            <v>ok</v>
          </cell>
        </row>
        <row r="46">
          <cell r="BO46">
            <v>-18</v>
          </cell>
        </row>
        <row r="47">
          <cell r="BO47">
            <v>53</v>
          </cell>
        </row>
        <row r="48">
          <cell r="BO48">
            <v>101</v>
          </cell>
        </row>
        <row r="49">
          <cell r="BO49">
            <v>2102</v>
          </cell>
        </row>
        <row r="50">
          <cell r="BO50">
            <v>-11</v>
          </cell>
        </row>
        <row r="51">
          <cell r="BO51">
            <v>-104</v>
          </cell>
        </row>
        <row r="52">
          <cell r="BO52">
            <v>-1423</v>
          </cell>
        </row>
        <row r="53">
          <cell r="BO53">
            <v>1</v>
          </cell>
        </row>
        <row r="54">
          <cell r="BO54">
            <v>-517</v>
          </cell>
        </row>
        <row r="55">
          <cell r="BO55">
            <v>202</v>
          </cell>
        </row>
        <row r="59">
          <cell r="BO59" t="str">
            <v>2014E</v>
          </cell>
        </row>
        <row r="62">
          <cell r="BO62">
            <v>258.44271800000001</v>
          </cell>
        </row>
        <row r="63">
          <cell r="BO63">
            <v>42.094434249062495</v>
          </cell>
        </row>
        <row r="64">
          <cell r="BO64">
            <v>18.921020634057871</v>
          </cell>
        </row>
        <row r="67">
          <cell r="A67" t="str">
            <v>Debt as % of capital</v>
          </cell>
          <cell r="B67" t="str">
            <v>_dtc</v>
          </cell>
          <cell r="C67">
            <v>0.24779949276443383</v>
          </cell>
          <cell r="D67">
            <v>0.23863137885655797</v>
          </cell>
          <cell r="E67">
            <v>0.26773981603153746</v>
          </cell>
          <cell r="F67">
            <v>0.29652537747862473</v>
          </cell>
          <cell r="G67">
            <v>0.29652537747862473</v>
          </cell>
          <cell r="H67">
            <v>0.27303094233473979</v>
          </cell>
          <cell r="I67">
            <v>0.26816127911018423</v>
          </cell>
          <cell r="J67">
            <v>0.26155187445510025</v>
          </cell>
          <cell r="K67">
            <v>0.2492108323641801</v>
          </cell>
          <cell r="L67">
            <v>0.2492108323641801</v>
          </cell>
          <cell r="M67">
            <v>0.24637681159420291</v>
          </cell>
          <cell r="N67">
            <v>0.25183887915936953</v>
          </cell>
          <cell r="O67">
            <v>0.23807947019867551</v>
          </cell>
          <cell r="P67">
            <v>0.21653365457009485</v>
          </cell>
          <cell r="Q67">
            <v>0.21653365457009485</v>
          </cell>
          <cell r="R67">
            <v>0.21313176226471023</v>
          </cell>
          <cell r="S67">
            <v>0.1965286319529862</v>
          </cell>
          <cell r="T67">
            <v>0.20264937993235627</v>
          </cell>
          <cell r="U67">
            <v>0.21153280376581349</v>
          </cell>
          <cell r="V67">
            <v>0.21153280376581349</v>
          </cell>
          <cell r="W67">
            <v>0.2</v>
          </cell>
          <cell r="X67">
            <v>0.220265780730897</v>
          </cell>
          <cell r="Y67">
            <v>0.25836236933797907</v>
          </cell>
          <cell r="Z67">
            <v>0.27905427905427904</v>
          </cell>
          <cell r="AA67">
            <v>0.27905427905427904</v>
          </cell>
          <cell r="AB67">
            <v>0.33408179631114676</v>
          </cell>
          <cell r="AC67">
            <v>0.30891225650749871</v>
          </cell>
          <cell r="AD67">
            <v>0.29739591972134682</v>
          </cell>
          <cell r="AE67">
            <v>0.27411710747592111</v>
          </cell>
          <cell r="AF67">
            <v>0.27411710747592111</v>
          </cell>
          <cell r="AG67">
            <v>0.32718378756114608</v>
          </cell>
          <cell r="AH67">
            <v>0.34625962596259624</v>
          </cell>
          <cell r="AI67">
            <v>0.34127997729530296</v>
          </cell>
          <cell r="AJ67">
            <v>0.39963229149256224</v>
          </cell>
          <cell r="AK67">
            <v>0.39963229149256224</v>
          </cell>
          <cell r="AL67">
            <v>0.39089033486748137</v>
          </cell>
          <cell r="AM67">
            <v>0.3609887768148885</v>
          </cell>
          <cell r="AN67">
            <v>0.32944076813286621</v>
          </cell>
          <cell r="AO67">
            <v>0.3187350985067135</v>
          </cell>
          <cell r="AP67">
            <v>0.3187350985067135</v>
          </cell>
          <cell r="AQ67">
            <v>0.30384293068358675</v>
          </cell>
          <cell r="AR67">
            <v>0.32128696046221822</v>
          </cell>
          <cell r="AS67">
            <v>0.30422656082385752</v>
          </cell>
          <cell r="AT67">
            <v>0.29885299379143426</v>
          </cell>
          <cell r="AU67">
            <v>0.29885299379143426</v>
          </cell>
          <cell r="AV67">
            <v>0.31386148285630555</v>
          </cell>
          <cell r="AW67">
            <v>0.29857819905213268</v>
          </cell>
          <cell r="AX67">
            <v>0.29278294149808637</v>
          </cell>
          <cell r="AY67">
            <v>0.37907426700401847</v>
          </cell>
          <cell r="AZ67">
            <v>0.37907426700401847</v>
          </cell>
          <cell r="BA67">
            <v>0.37864711859486139</v>
          </cell>
          <cell r="BB67">
            <v>0.36612098643996349</v>
          </cell>
          <cell r="BC67">
            <v>0.35354768688102023</v>
          </cell>
          <cell r="BD67">
            <v>0.34419376244193761</v>
          </cell>
          <cell r="BE67">
            <v>0.34419376244193761</v>
          </cell>
          <cell r="BF67">
            <v>0.35568301687763715</v>
          </cell>
          <cell r="BG67">
            <v>0.34417956039577663</v>
          </cell>
          <cell r="BH67">
            <v>0.34448974224092582</v>
          </cell>
          <cell r="BI67">
            <v>0.32950263752825926</v>
          </cell>
          <cell r="BJ67">
            <v>0.32950263752825926</v>
          </cell>
          <cell r="BK67">
            <v>0.32911870164181922</v>
          </cell>
          <cell r="BL67">
            <v>0.31758676052859086</v>
          </cell>
          <cell r="BM67">
            <v>0.31347102906232865</v>
          </cell>
          <cell r="BN67">
            <v>0.321377331420373</v>
          </cell>
          <cell r="BO67">
            <v>0.321377331420373</v>
          </cell>
          <cell r="BP67">
            <v>0.35440299380189449</v>
          </cell>
          <cell r="BQ67">
            <v>0.31348416289592762</v>
          </cell>
          <cell r="BR67">
            <v>0.30511753326689722</v>
          </cell>
          <cell r="BS67">
            <v>0.2990973266982988</v>
          </cell>
          <cell r="BT67">
            <v>0.2990973266982988</v>
          </cell>
          <cell r="BU67">
            <v>0.29066020694186695</v>
          </cell>
          <cell r="BV67">
            <v>0.28027758225733668</v>
          </cell>
          <cell r="BW67">
            <v>0.27141927506020186</v>
          </cell>
          <cell r="BX67">
            <v>0.26465619936317175</v>
          </cell>
          <cell r="BY67">
            <v>0.26465619936317175</v>
          </cell>
          <cell r="BZ67">
            <v>0.25713974705032033</v>
          </cell>
          <cell r="CA67">
            <v>0.2489716920944276</v>
          </cell>
          <cell r="CB67">
            <v>0.24243351438431313</v>
          </cell>
          <cell r="CC67">
            <v>0.23758497271524517</v>
          </cell>
          <cell r="CD67">
            <v>0.23758497271524517</v>
          </cell>
          <cell r="CE67">
            <v>0.22915621598432151</v>
          </cell>
          <cell r="CF67">
            <v>0.22243175284011332</v>
          </cell>
          <cell r="CG67">
            <v>0.21649397637328027</v>
          </cell>
          <cell r="CH67">
            <v>0.21217762482809566</v>
          </cell>
          <cell r="CI67">
            <v>0.21217762482809566</v>
          </cell>
        </row>
        <row r="68">
          <cell r="BO68">
            <v>5.1379722400955972</v>
          </cell>
        </row>
        <row r="70">
          <cell r="BO70">
            <v>34760</v>
          </cell>
        </row>
        <row r="71">
          <cell r="BO71">
            <v>1989</v>
          </cell>
        </row>
        <row r="72">
          <cell r="BO72">
            <v>55116</v>
          </cell>
        </row>
        <row r="73">
          <cell r="BO73">
            <v>10778</v>
          </cell>
        </row>
        <row r="76">
          <cell r="A76" t="str">
            <v>Profitability = Net income/Sales</v>
          </cell>
          <cell r="B76" t="str">
            <v>_netmargin</v>
          </cell>
          <cell r="C76">
            <v>5.595116988809766E-2</v>
          </cell>
          <cell r="D76">
            <v>5.5007886435331228E-2</v>
          </cell>
          <cell r="E76">
            <v>3.9679511636779852E-2</v>
          </cell>
          <cell r="F76">
            <v>3.7584459459459457E-2</v>
          </cell>
          <cell r="G76">
            <v>4.7082394189832205E-2</v>
          </cell>
          <cell r="H76">
            <v>4.1573717298722369E-2</v>
          </cell>
          <cell r="I76">
            <v>3.4917127071823206E-2</v>
          </cell>
          <cell r="J76">
            <v>4.3256997455470736E-2</v>
          </cell>
          <cell r="K76">
            <v>5.204377931650659E-2</v>
          </cell>
          <cell r="L76">
            <v>4.2897742506300608E-2</v>
          </cell>
          <cell r="M76">
            <v>5.3818336524143799E-2</v>
          </cell>
          <cell r="N76">
            <v>5.5713608345187293E-2</v>
          </cell>
          <cell r="O76">
            <v>5.2752293577981654E-2</v>
          </cell>
          <cell r="P76">
            <v>7.9713721618953598E-2</v>
          </cell>
          <cell r="Q76">
            <v>6.0065778085511508E-2</v>
          </cell>
          <cell r="R76">
            <v>7.3260976813024167E-2</v>
          </cell>
          <cell r="S76">
            <v>6.4134188455846078E-2</v>
          </cell>
          <cell r="T76">
            <v>6.270297277042218E-2</v>
          </cell>
          <cell r="U76">
            <v>5.8754129306276548E-2</v>
          </cell>
          <cell r="V76">
            <v>6.4652272310233044E-2</v>
          </cell>
          <cell r="W76">
            <v>6.5102195306585925E-2</v>
          </cell>
          <cell r="X76">
            <v>6.5982404692082108E-2</v>
          </cell>
          <cell r="Y76">
            <v>6.5541697236488144E-2</v>
          </cell>
          <cell r="Z76">
            <v>5.8092278269184797E-2</v>
          </cell>
          <cell r="AA76">
            <v>6.3636920438537387E-2</v>
          </cell>
          <cell r="AB76">
            <v>6.0647829083390767E-2</v>
          </cell>
          <cell r="AC76">
            <v>6.3524590163934427E-2</v>
          </cell>
          <cell r="AD76">
            <v>7.8659370725034206E-2</v>
          </cell>
          <cell r="AE76">
            <v>6.1871789144516416E-2</v>
          </cell>
          <cell r="AF76">
            <v>6.6163107678328031E-2</v>
          </cell>
          <cell r="AG76">
            <v>5.8177826564215149E-2</v>
          </cell>
          <cell r="AH76">
            <v>6.2064727570667756E-2</v>
          </cell>
          <cell r="AI76">
            <v>5.046153846153846E-2</v>
          </cell>
          <cell r="AJ76">
            <v>1.9358741681790685E-2</v>
          </cell>
          <cell r="AK76">
            <v>4.7221213221939701E-2</v>
          </cell>
          <cell r="AL76">
            <v>3.9093366604283634E-2</v>
          </cell>
          <cell r="AM76">
            <v>6.9462938304482913E-2</v>
          </cell>
          <cell r="AN76">
            <v>6.9065067732622692E-2</v>
          </cell>
          <cell r="AO76">
            <v>6.1435654235826684E-2</v>
          </cell>
          <cell r="AP76">
            <v>5.943544454678442E-2</v>
          </cell>
          <cell r="AQ76">
            <v>5.3924390711955476E-2</v>
          </cell>
          <cell r="AR76">
            <v>7.2031513787281939E-2</v>
          </cell>
          <cell r="AS76">
            <v>6.3573883161512024E-2</v>
          </cell>
          <cell r="AT76">
            <v>5.7984438680992963E-2</v>
          </cell>
          <cell r="AU76">
            <v>6.1903862498819531E-2</v>
          </cell>
          <cell r="AV76">
            <v>6.6965118448050739E-2</v>
          </cell>
          <cell r="AW76">
            <v>7.3416331014280481E-2</v>
          </cell>
          <cell r="AX76">
            <v>6.3477791764071215E-2</v>
          </cell>
          <cell r="AY76">
            <v>5.406901642369441E-2</v>
          </cell>
          <cell r="AZ76">
            <v>6.448653854974086E-2</v>
          </cell>
          <cell r="BA76">
            <v>5.3256193443109334E-2</v>
          </cell>
          <cell r="BB76">
            <v>5.844330729868031E-2</v>
          </cell>
          <cell r="BC76">
            <v>6.7833698030634576E-2</v>
          </cell>
          <cell r="BD76">
            <v>5.9505002632964717E-2</v>
          </cell>
          <cell r="BE76">
            <v>5.9914015477214103E-2</v>
          </cell>
          <cell r="BF76">
            <v>6.1785181501740429E-2</v>
          </cell>
          <cell r="BG76">
            <v>6.4370128237364849E-2</v>
          </cell>
          <cell r="BH76">
            <v>6.6674959572086079E-2</v>
          </cell>
          <cell r="BI76">
            <v>4.7601476014760148E-2</v>
          </cell>
          <cell r="BJ76">
            <v>6.0123729287779398E-2</v>
          </cell>
          <cell r="BK76">
            <v>5.9261887863733147E-2</v>
          </cell>
          <cell r="BL76">
            <v>6.1144439317028149E-2</v>
          </cell>
          <cell r="BM76">
            <v>5.9422944813373027E-2</v>
          </cell>
          <cell r="BN76">
            <v>5.0089847259658579E-2</v>
          </cell>
          <cell r="BO76">
            <v>5.7220943613348674E-2</v>
          </cell>
          <cell r="BP76">
            <v>5.1415797317436659E-2</v>
          </cell>
          <cell r="BQ76">
            <v>6.7257945306725797E-2</v>
          </cell>
          <cell r="BR76">
            <v>6.044776119402985E-2</v>
          </cell>
          <cell r="BS76">
            <v>4.9702412028819046E-2</v>
          </cell>
          <cell r="BT76">
            <v>5.7188937655332873E-2</v>
          </cell>
          <cell r="BU76">
            <v>5.5259438680362961E-2</v>
          </cell>
          <cell r="BV76">
            <v>6.5674289647054157E-2</v>
          </cell>
          <cell r="BW76">
            <v>5.9542503479317381E-2</v>
          </cell>
          <cell r="BX76">
            <v>4.7712050736515861E-2</v>
          </cell>
          <cell r="BY76">
            <v>5.7051440827940648E-2</v>
          </cell>
          <cell r="BZ76">
            <v>5.8420932684303872E-2</v>
          </cell>
          <cell r="CA76">
            <v>6.5766417904280422E-2</v>
          </cell>
          <cell r="CB76">
            <v>6.0537589669537692E-2</v>
          </cell>
          <cell r="CC76">
            <v>4.8806829333111965E-2</v>
          </cell>
          <cell r="CD76">
            <v>5.8376969934078995E-2</v>
          </cell>
          <cell r="CE76">
            <v>5.9150744768051045E-2</v>
          </cell>
          <cell r="CF76">
            <v>6.2033350593465375E-2</v>
          </cell>
          <cell r="CG76">
            <v>6.182307084486624E-2</v>
          </cell>
          <cell r="CH76">
            <v>4.9075335523990654E-2</v>
          </cell>
          <cell r="CI76">
            <v>5.8015256867405392E-2</v>
          </cell>
        </row>
        <row r="77">
          <cell r="BO77">
            <v>0.63066985993178026</v>
          </cell>
        </row>
        <row r="78">
          <cell r="BO78">
            <v>5.11375023195398</v>
          </cell>
        </row>
        <row r="79">
          <cell r="BO79">
            <v>0.18454258675078863</v>
          </cell>
        </row>
        <row r="80">
          <cell r="BO80">
            <v>3.6087524493794904E-2</v>
          </cell>
        </row>
        <row r="83">
          <cell r="BO83">
            <v>16694</v>
          </cell>
        </row>
        <row r="84">
          <cell r="BO84">
            <v>365</v>
          </cell>
        </row>
        <row r="85">
          <cell r="BO85">
            <v>47.66383131664071</v>
          </cell>
        </row>
        <row r="87">
          <cell r="BO87">
            <v>2180</v>
          </cell>
        </row>
        <row r="88">
          <cell r="BO88">
            <v>3016.625</v>
          </cell>
        </row>
        <row r="89">
          <cell r="BO89">
            <v>722.66191521982353</v>
          </cell>
        </row>
        <row r="90">
          <cell r="BO90">
            <v>0.11188586016718349</v>
          </cell>
        </row>
        <row r="93">
          <cell r="BO93">
            <v>3613</v>
          </cell>
        </row>
        <row r="94">
          <cell r="BO94">
            <v>24476</v>
          </cell>
        </row>
        <row r="95">
          <cell r="BO95">
            <v>1.2178245225574316</v>
          </cell>
        </row>
        <row r="96">
          <cell r="BO96">
            <v>2.6686963742042624</v>
          </cell>
        </row>
        <row r="97">
          <cell r="BO97">
            <v>7.9315304948216342E-2</v>
          </cell>
        </row>
        <row r="98">
          <cell r="BO98">
            <v>2.5371792776597485E-2</v>
          </cell>
        </row>
        <row r="99">
          <cell r="BO99">
            <v>0.18020713463751439</v>
          </cell>
        </row>
        <row r="113">
          <cell r="BO113" t="str">
            <v>2014-FY</v>
          </cell>
        </row>
      </sheetData>
      <sheetData sheetId="5" refreshError="1">
        <row r="1">
          <cell r="CF1" t="str">
            <v>ElementName</v>
          </cell>
        </row>
        <row r="6">
          <cell r="BK6" t="str">
            <v>2014E</v>
          </cell>
        </row>
        <row r="7">
          <cell r="BC7" t="str">
            <v>Q3A</v>
          </cell>
          <cell r="BK7" t="str">
            <v>Q1A</v>
          </cell>
        </row>
        <row r="8">
          <cell r="BC8" t="str">
            <v>_cf_3c12</v>
          </cell>
          <cell r="BK8" t="str">
            <v>_cf_1c13</v>
          </cell>
        </row>
        <row r="11">
          <cell r="BC11">
            <v>466</v>
          </cell>
          <cell r="BK11">
            <v>529</v>
          </cell>
        </row>
        <row r="12">
          <cell r="BC12">
            <v>136</v>
          </cell>
          <cell r="BK12">
            <v>150</v>
          </cell>
        </row>
        <row r="13">
          <cell r="BC13">
            <v>-11</v>
          </cell>
          <cell r="BK13">
            <v>-42</v>
          </cell>
        </row>
        <row r="14">
          <cell r="BC14">
            <v>36</v>
          </cell>
          <cell r="BK14">
            <v>264</v>
          </cell>
        </row>
        <row r="15">
          <cell r="BC15">
            <v>-5</v>
          </cell>
          <cell r="BK15">
            <v>-4</v>
          </cell>
        </row>
        <row r="16">
          <cell r="BC16">
            <v>76</v>
          </cell>
          <cell r="BK16">
            <v>-431</v>
          </cell>
        </row>
        <row r="17">
          <cell r="BC17">
            <v>13</v>
          </cell>
          <cell r="BK17">
            <v>42</v>
          </cell>
        </row>
        <row r="18">
          <cell r="BC18">
            <v>-34</v>
          </cell>
          <cell r="BK18">
            <v>-67</v>
          </cell>
        </row>
        <row r="19">
          <cell r="BC19">
            <v>-656</v>
          </cell>
          <cell r="BK19">
            <v>262</v>
          </cell>
        </row>
        <row r="20">
          <cell r="BC20">
            <v>-537</v>
          </cell>
          <cell r="BK20">
            <v>-107</v>
          </cell>
        </row>
        <row r="21">
          <cell r="BC21">
            <v>196</v>
          </cell>
          <cell r="BK21">
            <v>-106</v>
          </cell>
        </row>
        <row r="22">
          <cell r="BC22">
            <v>0</v>
          </cell>
          <cell r="BK22">
            <v>0</v>
          </cell>
        </row>
        <row r="23">
          <cell r="BC23">
            <v>0</v>
          </cell>
          <cell r="BK23">
            <v>0</v>
          </cell>
        </row>
        <row r="24">
          <cell r="BC24">
            <v>0</v>
          </cell>
          <cell r="BK24">
            <v>0</v>
          </cell>
        </row>
        <row r="25">
          <cell r="BC25">
            <v>-320</v>
          </cell>
          <cell r="BK25">
            <v>490</v>
          </cell>
        </row>
        <row r="28">
          <cell r="BC28">
            <v>-49</v>
          </cell>
          <cell r="BK28">
            <v>-421</v>
          </cell>
        </row>
        <row r="29">
          <cell r="BC29">
            <v>-271</v>
          </cell>
          <cell r="BK29">
            <v>12</v>
          </cell>
        </row>
        <row r="30">
          <cell r="BC30">
            <v>-121</v>
          </cell>
          <cell r="BK30">
            <v>-97</v>
          </cell>
        </row>
        <row r="31">
          <cell r="BC31">
            <v>0</v>
          </cell>
          <cell r="BK31">
            <v>0</v>
          </cell>
        </row>
        <row r="32">
          <cell r="BC32">
            <v>-441</v>
          </cell>
          <cell r="BK32">
            <v>-506</v>
          </cell>
        </row>
        <row r="35">
          <cell r="BC35">
            <v>10</v>
          </cell>
          <cell r="BK35">
            <v>60</v>
          </cell>
        </row>
        <row r="36">
          <cell r="BC36">
            <v>11</v>
          </cell>
          <cell r="BK36">
            <v>13</v>
          </cell>
        </row>
        <row r="37">
          <cell r="BC37">
            <v>-79</v>
          </cell>
          <cell r="BK37">
            <v>-572</v>
          </cell>
        </row>
        <row r="38">
          <cell r="BC38">
            <v>0</v>
          </cell>
          <cell r="BK38">
            <v>0</v>
          </cell>
        </row>
        <row r="39">
          <cell r="BC39">
            <v>0</v>
          </cell>
          <cell r="BK39">
            <v>0</v>
          </cell>
        </row>
        <row r="40">
          <cell r="BC40">
            <v>-58</v>
          </cell>
          <cell r="BK40">
            <v>-499</v>
          </cell>
        </row>
        <row r="42">
          <cell r="BC42">
            <v>10</v>
          </cell>
          <cell r="BK42">
            <v>-4</v>
          </cell>
        </row>
        <row r="45">
          <cell r="BC45">
            <v>-809</v>
          </cell>
          <cell r="BK45">
            <v>-519</v>
          </cell>
        </row>
        <row r="46">
          <cell r="BC46">
            <v>3045</v>
          </cell>
          <cell r="BK46">
            <v>2795</v>
          </cell>
        </row>
        <row r="47">
          <cell r="BC47">
            <v>2236</v>
          </cell>
          <cell r="BK47">
            <v>2276</v>
          </cell>
        </row>
        <row r="48">
          <cell r="BC48" t="str">
            <v>ok</v>
          </cell>
          <cell r="BK48" t="str">
            <v>ok</v>
          </cell>
        </row>
        <row r="53">
          <cell r="BC53">
            <v>-320</v>
          </cell>
          <cell r="BK53">
            <v>490</v>
          </cell>
        </row>
        <row r="54">
          <cell r="BC54">
            <v>0</v>
          </cell>
          <cell r="BK54">
            <v>0</v>
          </cell>
        </row>
        <row r="55">
          <cell r="BC55">
            <v>-121</v>
          </cell>
          <cell r="BK55">
            <v>-97</v>
          </cell>
        </row>
        <row r="56">
          <cell r="BC56">
            <v>0</v>
          </cell>
          <cell r="BK56">
            <v>0</v>
          </cell>
        </row>
        <row r="57">
          <cell r="BC57">
            <v>-441</v>
          </cell>
          <cell r="BK57">
            <v>393</v>
          </cell>
        </row>
        <row r="60">
          <cell r="A60" t="str">
            <v>Operating cash flow to net income</v>
          </cell>
          <cell r="B60" t="str">
            <v>_cfotni</v>
          </cell>
          <cell r="C60">
            <v>1.5963302752293578</v>
          </cell>
          <cell r="D60" t="str">
            <v>n/a</v>
          </cell>
          <cell r="E60" t="str">
            <v>n/a</v>
          </cell>
          <cell r="F60">
            <v>15.545454545454545</v>
          </cell>
          <cell r="G60" t="str">
            <v>n/a</v>
          </cell>
          <cell r="H60">
            <v>2.9361702127659575</v>
          </cell>
          <cell r="I60" t="str">
            <v>n/a</v>
          </cell>
          <cell r="J60">
            <v>1.0307692307692307</v>
          </cell>
          <cell r="K60">
            <v>5.0586206896551724</v>
          </cell>
          <cell r="L60">
            <v>3.7225806451612904</v>
          </cell>
          <cell r="M60">
            <v>5.42512077294686</v>
          </cell>
          <cell r="N60">
            <v>0.26666666666666666</v>
          </cell>
          <cell r="O60" t="str">
            <v>N/A</v>
          </cell>
          <cell r="P60">
            <v>0.48571428571428571</v>
          </cell>
          <cell r="Q60">
            <v>0.91058972733037413</v>
          </cell>
          <cell r="R60">
            <v>0.62155963302752293</v>
          </cell>
          <cell r="S60">
            <v>0.39892183288409705</v>
          </cell>
          <cell r="T60" t="str">
            <v>N/A</v>
          </cell>
          <cell r="U60">
            <v>2.0758928571428572</v>
          </cell>
          <cell r="V60">
            <v>0.55658914728682174</v>
          </cell>
          <cell r="W60" t="str">
            <v>N/A</v>
          </cell>
          <cell r="X60">
            <v>0.61538461538461542</v>
          </cell>
          <cell r="Y60">
            <v>1.0033557046979866</v>
          </cell>
          <cell r="Z60">
            <v>1.1101694915254237</v>
          </cell>
          <cell r="AA60">
            <v>0.55392579810181186</v>
          </cell>
          <cell r="AB60">
            <v>1.3079584775086506</v>
          </cell>
          <cell r="AC60">
            <v>0.20202020202020202</v>
          </cell>
          <cell r="AD60">
            <v>0.95342465753424654</v>
          </cell>
          <cell r="AE60">
            <v>2.1901140684410647</v>
          </cell>
          <cell r="AF60">
            <v>1.2035874439461884</v>
          </cell>
          <cell r="AG60">
            <v>6.068965517241379</v>
          </cell>
          <cell r="AH60">
            <v>0.76102941176470584</v>
          </cell>
          <cell r="AI60">
            <v>2.871345029239766</v>
          </cell>
          <cell r="AJ60" t="str">
            <v>N/A</v>
          </cell>
          <cell r="AK60">
            <v>5.6712328767123283</v>
          </cell>
          <cell r="AL60">
            <v>0.34449760765550241</v>
          </cell>
          <cell r="AM60">
            <v>9.1954022988505746E-2</v>
          </cell>
          <cell r="AN60">
            <v>0.47575757575757577</v>
          </cell>
          <cell r="AO60">
            <v>1.4380664652567976</v>
          </cell>
          <cell r="AP60">
            <v>0.57088122605363989</v>
          </cell>
          <cell r="AQ60">
            <v>1.3873239436619718</v>
          </cell>
          <cell r="AR60">
            <v>1.2847457627118644</v>
          </cell>
          <cell r="AS60">
            <v>1.6558441558441559</v>
          </cell>
          <cell r="AT60">
            <v>0.99567099567099571</v>
          </cell>
          <cell r="AU60">
            <v>1.2920681986656783</v>
          </cell>
          <cell r="AV60">
            <v>0.1186046511627907</v>
          </cell>
          <cell r="AW60">
            <v>1.2941176470588236</v>
          </cell>
          <cell r="AX60">
            <v>3.32</v>
          </cell>
          <cell r="AY60">
            <v>0.85517241379310349</v>
          </cell>
          <cell r="AZ60">
            <v>1.1227409638554218</v>
          </cell>
          <cell r="BA60">
            <v>2.536388140161725</v>
          </cell>
          <cell r="BB60">
            <v>2.4631578947368422</v>
          </cell>
          <cell r="BC60" t="str">
            <v>N/A</v>
          </cell>
          <cell r="BD60">
            <v>1.9484029484029484</v>
          </cell>
          <cell r="BE60">
            <v>1.4470443349753694</v>
          </cell>
          <cell r="BF60" t="str">
            <v>N/A</v>
          </cell>
          <cell r="BG60">
            <v>0.16205533596837945</v>
          </cell>
          <cell r="BH60">
            <v>1.5009041591320071</v>
          </cell>
          <cell r="BI60">
            <v>1.7</v>
          </cell>
          <cell r="BJ60">
            <v>0.48646820027063598</v>
          </cell>
          <cell r="BK60">
            <v>0.92627599243856329</v>
          </cell>
          <cell r="BL60">
            <v>0.8951048951048951</v>
          </cell>
          <cell r="BM60">
            <v>0.88512241054613938</v>
          </cell>
          <cell r="BN60">
            <v>1.1298701298701299</v>
          </cell>
          <cell r="BO60">
            <v>0.95224450811843364</v>
          </cell>
          <cell r="BP60">
            <v>1.2504708097928436</v>
          </cell>
          <cell r="BQ60">
            <v>0.76198630136986301</v>
          </cell>
          <cell r="BR60">
            <v>1.1213235294117647</v>
          </cell>
          <cell r="BS60">
            <v>2.3875598086124401</v>
          </cell>
          <cell r="BT60">
            <v>1.3081367356764564</v>
          </cell>
          <cell r="BU60">
            <v>2.843167673146112</v>
          </cell>
          <cell r="BV60">
            <v>0.96994069340295341</v>
          </cell>
          <cell r="BW60">
            <v>0.97776168767709026</v>
          </cell>
          <cell r="BX60">
            <v>1.1530581280952874</v>
          </cell>
          <cell r="BY60">
            <v>1.4574837051216711</v>
          </cell>
          <cell r="BZ60">
            <v>3.1747565325312506</v>
          </cell>
          <cell r="CA60">
            <v>0.78578110546152724</v>
          </cell>
          <cell r="CB60">
            <v>1.0196185903717609</v>
          </cell>
          <cell r="CC60">
            <v>1.3116556695044082</v>
          </cell>
          <cell r="CD60">
            <v>1.5423001626156738</v>
          </cell>
          <cell r="CE60">
            <v>2.5273777355182809</v>
          </cell>
          <cell r="CF60">
            <v>1.2648425329216364</v>
          </cell>
          <cell r="CG60">
            <v>0.97508480188394719</v>
          </cell>
          <cell r="CH60">
            <v>1.269025831479986</v>
          </cell>
          <cell r="CI60">
            <v>1.5032706537531388</v>
          </cell>
        </row>
        <row r="61">
          <cell r="BC61" t="str">
            <v>N/A</v>
          </cell>
          <cell r="BK61">
            <v>0.74291115311909262</v>
          </cell>
        </row>
        <row r="62">
          <cell r="BC62">
            <v>1.1977438619774385</v>
          </cell>
          <cell r="BK62">
            <v>1.0338809034907597</v>
          </cell>
        </row>
        <row r="63">
          <cell r="BC63">
            <v>-1.5213454075032342</v>
          </cell>
          <cell r="BK63">
            <v>1.4318661259823586</v>
          </cell>
        </row>
        <row r="74">
          <cell r="BC74" t="str">
            <v>2012-Q3</v>
          </cell>
          <cell r="BK74" t="str">
            <v>2014-Q1</v>
          </cell>
        </row>
      </sheetData>
      <sheetData sheetId="6">
        <row r="1">
          <cell r="C1" t="str">
            <v>EPS</v>
          </cell>
        </row>
      </sheetData>
      <sheetData sheetId="7" refreshError="1">
        <row r="2">
          <cell r="A2" t="str">
            <v>CIGNA, Inc.</v>
          </cell>
        </row>
        <row r="6">
          <cell r="BF6" t="str">
            <v>2013A</v>
          </cell>
        </row>
        <row r="7">
          <cell r="BF7" t="str">
            <v>Q1A</v>
          </cell>
          <cell r="BI7" t="str">
            <v>Q4A</v>
          </cell>
        </row>
        <row r="8">
          <cell r="BF8" t="str">
            <v>_gc_1c13</v>
          </cell>
          <cell r="BI8" t="str">
            <v>_gc_4c13</v>
          </cell>
        </row>
        <row r="10">
          <cell r="BF10">
            <v>5824</v>
          </cell>
          <cell r="BI10">
            <v>5723</v>
          </cell>
        </row>
        <row r="11">
          <cell r="BF11">
            <v>75</v>
          </cell>
          <cell r="BI11">
            <v>82</v>
          </cell>
        </row>
        <row r="12">
          <cell r="BF12">
            <v>473</v>
          </cell>
          <cell r="BI12">
            <v>550</v>
          </cell>
        </row>
        <row r="13">
          <cell r="BF13">
            <v>6372</v>
          </cell>
          <cell r="BI13">
            <v>6355</v>
          </cell>
        </row>
        <row r="14">
          <cell r="BF14">
            <v>4047</v>
          </cell>
          <cell r="BI14">
            <v>4003</v>
          </cell>
        </row>
        <row r="17">
          <cell r="BF17">
            <v>344</v>
          </cell>
          <cell r="BI17">
            <v>413</v>
          </cell>
        </row>
        <row r="18">
          <cell r="BF18">
            <v>1319</v>
          </cell>
          <cell r="BI18">
            <v>1443</v>
          </cell>
        </row>
        <row r="19">
          <cell r="BF19">
            <v>5710</v>
          </cell>
          <cell r="BI19">
            <v>5859</v>
          </cell>
        </row>
        <row r="20">
          <cell r="BF20">
            <v>662</v>
          </cell>
          <cell r="BI20">
            <v>496</v>
          </cell>
        </row>
        <row r="21">
          <cell r="BF21">
            <v>235</v>
          </cell>
          <cell r="BI21">
            <v>178</v>
          </cell>
        </row>
        <row r="22">
          <cell r="BF22">
            <v>427</v>
          </cell>
          <cell r="BI22">
            <v>318</v>
          </cell>
        </row>
        <row r="23">
          <cell r="BF23">
            <v>0</v>
          </cell>
          <cell r="BI23">
            <v>-31</v>
          </cell>
        </row>
        <row r="24">
          <cell r="BF24">
            <v>55</v>
          </cell>
          <cell r="BI24">
            <v>8</v>
          </cell>
        </row>
        <row r="25">
          <cell r="BF25">
            <v>482</v>
          </cell>
          <cell r="BI25">
            <v>295</v>
          </cell>
        </row>
        <row r="28">
          <cell r="BF28">
            <v>0.80940000000000001</v>
          </cell>
          <cell r="BI28">
            <v>0.82112820512820517</v>
          </cell>
        </row>
        <row r="29">
          <cell r="BF29">
            <v>0.20699937225360954</v>
          </cell>
          <cell r="BI29">
            <v>0.22706530291109361</v>
          </cell>
        </row>
        <row r="30">
          <cell r="BF30">
            <v>9.3218993171351433E-2</v>
          </cell>
          <cell r="BI30">
            <v>6.5997130559540887E-2</v>
          </cell>
        </row>
        <row r="31">
          <cell r="BF31">
            <v>0.10389202762084118</v>
          </cell>
          <cell r="BI31">
            <v>7.8048780487804878E-2</v>
          </cell>
        </row>
        <row r="32">
          <cell r="BF32">
            <v>6.7011927181418712E-2</v>
          </cell>
          <cell r="BI32">
            <v>5.0039339103068452E-2</v>
          </cell>
        </row>
        <row r="33">
          <cell r="BF33">
            <v>0.35498489425981872</v>
          </cell>
          <cell r="BI33">
            <v>0.3588709677419355</v>
          </cell>
        </row>
        <row r="36">
          <cell r="BF36">
            <v>0.19613883754364347</v>
          </cell>
          <cell r="BI36">
            <v>6.0011113169105457E-2</v>
          </cell>
        </row>
        <row r="37">
          <cell r="BF37">
            <v>0.18615040953090101</v>
          </cell>
          <cell r="BI37">
            <v>6.7528976986393374E-2</v>
          </cell>
        </row>
        <row r="38">
          <cell r="BF38">
            <v>0.18676969468526194</v>
          </cell>
          <cell r="BI38">
            <v>6.5930331350892102E-2</v>
          </cell>
        </row>
        <row r="39">
          <cell r="BF39">
            <v>0.42672413793103448</v>
          </cell>
          <cell r="BI39">
            <v>-0.18688524590163935</v>
          </cell>
        </row>
        <row r="40">
          <cell r="BF40">
            <v>0.44256756756756754</v>
          </cell>
          <cell r="BI40">
            <v>-0.19899244332493704</v>
          </cell>
        </row>
        <row r="51">
          <cell r="A51" t="str">
            <v>Guaranteed cost</v>
          </cell>
          <cell r="B51" t="str">
            <v>_totguarcost</v>
          </cell>
          <cell r="AV51">
            <v>1178</v>
          </cell>
          <cell r="AW51">
            <v>1152</v>
          </cell>
          <cell r="AX51">
            <v>1128</v>
          </cell>
          <cell r="AY51">
            <v>1091</v>
          </cell>
          <cell r="AZ51">
            <v>1091</v>
          </cell>
          <cell r="BA51">
            <v>1096</v>
          </cell>
          <cell r="BB51">
            <v>1109</v>
          </cell>
          <cell r="BC51">
            <v>1119</v>
          </cell>
          <cell r="BD51">
            <v>1135</v>
          </cell>
          <cell r="BE51">
            <v>1135</v>
          </cell>
          <cell r="BF51">
            <v>1137</v>
          </cell>
          <cell r="BG51">
            <v>1127</v>
          </cell>
          <cell r="BH51">
            <v>1119</v>
          </cell>
          <cell r="BI51">
            <v>1099</v>
          </cell>
          <cell r="BJ51">
            <v>1099</v>
          </cell>
          <cell r="BK51">
            <v>861</v>
          </cell>
          <cell r="BL51">
            <v>808</v>
          </cell>
          <cell r="BM51">
            <v>794</v>
          </cell>
          <cell r="BN51">
            <v>795</v>
          </cell>
          <cell r="BO51">
            <v>795</v>
          </cell>
          <cell r="BP51">
            <v>725</v>
          </cell>
          <cell r="BQ51">
            <v>729</v>
          </cell>
          <cell r="BR51">
            <v>739</v>
          </cell>
          <cell r="BS51">
            <v>738</v>
          </cell>
          <cell r="BT51">
            <v>738</v>
          </cell>
          <cell r="BU51">
            <v>664.96399999999949</v>
          </cell>
          <cell r="BV51">
            <v>679.3599999999999</v>
          </cell>
          <cell r="BW51">
            <v>692.13350000000264</v>
          </cell>
          <cell r="BX51">
            <v>701.91200000000072</v>
          </cell>
          <cell r="BY51">
            <v>701.91200000000072</v>
          </cell>
          <cell r="BZ51">
            <v>699.34300000000076</v>
          </cell>
          <cell r="CA51">
            <v>706.06572500000016</v>
          </cell>
          <cell r="CB51">
            <v>712.1541125000017</v>
          </cell>
          <cell r="CC51">
            <v>718.62133125000128</v>
          </cell>
          <cell r="CD51">
            <v>718.62133125000128</v>
          </cell>
          <cell r="CE51">
            <v>767.43370625000034</v>
          </cell>
          <cell r="CF51">
            <v>774.43605518750178</v>
          </cell>
          <cell r="CG51">
            <v>780.8474209062515</v>
          </cell>
          <cell r="CH51">
            <v>787.67443295312614</v>
          </cell>
          <cell r="CI51">
            <v>787.67443295312614</v>
          </cell>
        </row>
        <row r="52">
          <cell r="A52" t="str">
            <v>Experience-rated</v>
          </cell>
          <cell r="AV52">
            <v>791</v>
          </cell>
          <cell r="AW52">
            <v>795</v>
          </cell>
          <cell r="AX52">
            <v>785</v>
          </cell>
          <cell r="AY52">
            <v>798</v>
          </cell>
          <cell r="AZ52">
            <v>798</v>
          </cell>
          <cell r="BA52">
            <v>779</v>
          </cell>
          <cell r="BB52">
            <v>775</v>
          </cell>
          <cell r="BC52">
            <v>762</v>
          </cell>
          <cell r="BD52">
            <v>786</v>
          </cell>
          <cell r="BE52">
            <v>786</v>
          </cell>
          <cell r="BF52">
            <v>790</v>
          </cell>
          <cell r="BG52">
            <v>791</v>
          </cell>
          <cell r="BH52">
            <v>789</v>
          </cell>
          <cell r="BI52">
            <v>794</v>
          </cell>
          <cell r="BJ52">
            <v>794</v>
          </cell>
          <cell r="BK52">
            <v>803</v>
          </cell>
          <cell r="BL52">
            <v>814</v>
          </cell>
          <cell r="BM52">
            <v>836</v>
          </cell>
          <cell r="BN52">
            <v>840</v>
          </cell>
          <cell r="BO52">
            <v>840</v>
          </cell>
          <cell r="BP52">
            <v>838</v>
          </cell>
          <cell r="BQ52">
            <v>839</v>
          </cell>
          <cell r="BR52">
            <v>841</v>
          </cell>
          <cell r="BS52">
            <v>848</v>
          </cell>
          <cell r="BT52">
            <v>848</v>
          </cell>
          <cell r="BU52">
            <v>846</v>
          </cell>
          <cell r="BV52">
            <v>844</v>
          </cell>
          <cell r="BW52">
            <v>842</v>
          </cell>
          <cell r="BX52">
            <v>840</v>
          </cell>
          <cell r="BY52">
            <v>840</v>
          </cell>
          <cell r="BZ52">
            <v>838</v>
          </cell>
          <cell r="CA52">
            <v>836</v>
          </cell>
          <cell r="CB52">
            <v>834</v>
          </cell>
          <cell r="CC52">
            <v>832</v>
          </cell>
          <cell r="CD52">
            <v>832</v>
          </cell>
          <cell r="CE52">
            <v>819</v>
          </cell>
          <cell r="CF52">
            <v>817</v>
          </cell>
          <cell r="CG52">
            <v>815</v>
          </cell>
          <cell r="CH52">
            <v>813</v>
          </cell>
          <cell r="CI52">
            <v>813</v>
          </cell>
        </row>
        <row r="55">
          <cell r="BF55">
            <v>759</v>
          </cell>
          <cell r="BI55">
            <v>742</v>
          </cell>
        </row>
        <row r="56">
          <cell r="BF56">
            <v>2686</v>
          </cell>
          <cell r="BI56">
            <v>2635</v>
          </cell>
        </row>
        <row r="58">
          <cell r="A58" t="str">
            <v>Medicare</v>
          </cell>
          <cell r="B58" t="str">
            <v>_gh_maenroll</v>
          </cell>
          <cell r="AV58">
            <v>44</v>
          </cell>
          <cell r="AW58">
            <v>44</v>
          </cell>
          <cell r="AX58">
            <v>44</v>
          </cell>
          <cell r="AY58">
            <v>44</v>
          </cell>
          <cell r="AZ58">
            <v>44</v>
          </cell>
          <cell r="BA58">
            <v>414</v>
          </cell>
          <cell r="BB58">
            <v>417</v>
          </cell>
          <cell r="BC58">
            <v>420</v>
          </cell>
          <cell r="BD58">
            <v>426</v>
          </cell>
          <cell r="BE58">
            <v>426</v>
          </cell>
          <cell r="BF58">
            <v>451</v>
          </cell>
          <cell r="BG58">
            <v>458</v>
          </cell>
          <cell r="BH58">
            <v>463</v>
          </cell>
          <cell r="BI58">
            <v>467</v>
          </cell>
          <cell r="BJ58">
            <v>467</v>
          </cell>
          <cell r="BK58">
            <v>458</v>
          </cell>
          <cell r="BL58">
            <v>455</v>
          </cell>
          <cell r="BM58">
            <v>456</v>
          </cell>
          <cell r="BN58">
            <v>459</v>
          </cell>
          <cell r="BO58">
            <v>459</v>
          </cell>
          <cell r="BP58">
            <v>489</v>
          </cell>
          <cell r="BQ58">
            <v>491</v>
          </cell>
          <cell r="BR58">
            <v>493</v>
          </cell>
          <cell r="BS58">
            <v>502</v>
          </cell>
          <cell r="BT58">
            <v>502</v>
          </cell>
          <cell r="BU58">
            <v>542</v>
          </cell>
          <cell r="BV58">
            <v>527</v>
          </cell>
          <cell r="BW58">
            <v>522</v>
          </cell>
          <cell r="BX58">
            <v>517</v>
          </cell>
          <cell r="BY58">
            <v>517</v>
          </cell>
          <cell r="BZ58">
            <v>532</v>
          </cell>
          <cell r="CA58">
            <v>534</v>
          </cell>
          <cell r="CB58">
            <v>536</v>
          </cell>
          <cell r="CC58">
            <v>538</v>
          </cell>
          <cell r="CD58">
            <v>538</v>
          </cell>
          <cell r="CE58">
            <v>563</v>
          </cell>
          <cell r="CF58">
            <v>565</v>
          </cell>
          <cell r="CG58">
            <v>567</v>
          </cell>
          <cell r="CH58">
            <v>569</v>
          </cell>
          <cell r="CI58">
            <v>569</v>
          </cell>
        </row>
        <row r="59">
          <cell r="A59" t="str">
            <v>Medicaid</v>
          </cell>
          <cell r="B59" t="str">
            <v>_gh_caidenroll</v>
          </cell>
          <cell r="AV59">
            <v>0</v>
          </cell>
          <cell r="AW59">
            <v>0</v>
          </cell>
          <cell r="AX59">
            <v>0</v>
          </cell>
          <cell r="AY59">
            <v>0</v>
          </cell>
          <cell r="AZ59">
            <v>0</v>
          </cell>
          <cell r="BA59">
            <v>20</v>
          </cell>
          <cell r="BB59">
            <v>20</v>
          </cell>
          <cell r="BC59">
            <v>21</v>
          </cell>
          <cell r="BD59">
            <v>23</v>
          </cell>
          <cell r="BE59">
            <v>23</v>
          </cell>
          <cell r="BF59">
            <v>23</v>
          </cell>
          <cell r="BG59">
            <v>24</v>
          </cell>
          <cell r="BH59">
            <v>25</v>
          </cell>
          <cell r="BI59">
            <v>25</v>
          </cell>
          <cell r="BJ59">
            <v>25</v>
          </cell>
          <cell r="BK59">
            <v>25</v>
          </cell>
          <cell r="BL59">
            <v>30</v>
          </cell>
          <cell r="BM59">
            <v>58</v>
          </cell>
          <cell r="BN59">
            <v>59</v>
          </cell>
          <cell r="BO59">
            <v>59</v>
          </cell>
          <cell r="BP59">
            <v>66</v>
          </cell>
          <cell r="BQ59">
            <v>65</v>
          </cell>
          <cell r="BR59">
            <v>65</v>
          </cell>
          <cell r="BS59">
            <v>65</v>
          </cell>
          <cell r="BT59">
            <v>65</v>
          </cell>
          <cell r="BU59">
            <v>75</v>
          </cell>
          <cell r="BV59">
            <v>80</v>
          </cell>
          <cell r="BW59">
            <v>85</v>
          </cell>
          <cell r="BX59">
            <v>90</v>
          </cell>
          <cell r="BY59">
            <v>90</v>
          </cell>
          <cell r="BZ59">
            <v>100</v>
          </cell>
          <cell r="CA59">
            <v>105</v>
          </cell>
          <cell r="CB59">
            <v>110</v>
          </cell>
          <cell r="CC59">
            <v>115</v>
          </cell>
          <cell r="CD59">
            <v>115</v>
          </cell>
          <cell r="CE59">
            <v>125</v>
          </cell>
          <cell r="CF59">
            <v>130</v>
          </cell>
          <cell r="CG59">
            <v>135</v>
          </cell>
          <cell r="CH59">
            <v>140</v>
          </cell>
          <cell r="CI59">
            <v>140</v>
          </cell>
        </row>
        <row r="60">
          <cell r="BF60">
            <v>474</v>
          </cell>
          <cell r="BI60">
            <v>492</v>
          </cell>
        </row>
        <row r="62">
          <cell r="A62" t="str">
            <v>Total risk</v>
          </cell>
          <cell r="B62" t="str">
            <v>_totriskenroll</v>
          </cell>
          <cell r="AV62">
            <v>2558</v>
          </cell>
          <cell r="AW62">
            <v>2553</v>
          </cell>
          <cell r="AX62">
            <v>2535</v>
          </cell>
          <cell r="AY62">
            <v>2515</v>
          </cell>
          <cell r="AZ62">
            <v>2515</v>
          </cell>
          <cell r="BA62">
            <v>3022</v>
          </cell>
          <cell r="BB62">
            <v>3045</v>
          </cell>
          <cell r="BC62">
            <v>3058</v>
          </cell>
          <cell r="BD62">
            <v>3114</v>
          </cell>
          <cell r="BE62">
            <v>3114</v>
          </cell>
          <cell r="BF62">
            <v>3160</v>
          </cell>
          <cell r="BG62">
            <v>3167</v>
          </cell>
          <cell r="BH62">
            <v>3169</v>
          </cell>
          <cell r="BI62">
            <v>3127</v>
          </cell>
          <cell r="BJ62">
            <v>3127</v>
          </cell>
          <cell r="BK62">
            <v>2943</v>
          </cell>
          <cell r="BL62">
            <v>2995</v>
          </cell>
          <cell r="BM62">
            <v>3039</v>
          </cell>
          <cell r="BN62">
            <v>3052</v>
          </cell>
          <cell r="BO62">
            <v>3052</v>
          </cell>
          <cell r="BP62">
            <v>3060</v>
          </cell>
          <cell r="BQ62">
            <v>3051</v>
          </cell>
          <cell r="BR62">
            <v>3050</v>
          </cell>
          <cell r="BS62">
            <v>3069</v>
          </cell>
          <cell r="BT62">
            <v>3069</v>
          </cell>
          <cell r="BU62">
            <v>3096.8999999999996</v>
          </cell>
          <cell r="BV62">
            <v>3098.58</v>
          </cell>
          <cell r="BW62">
            <v>3108.6375000000025</v>
          </cell>
          <cell r="BX62">
            <v>3115.7000000000007</v>
          </cell>
          <cell r="BY62">
            <v>3115.7000000000007</v>
          </cell>
          <cell r="BZ62">
            <v>3150.4150000000009</v>
          </cell>
          <cell r="CA62">
            <v>3167.4217250000002</v>
          </cell>
          <cell r="CB62">
            <v>3183.7941125000016</v>
          </cell>
          <cell r="CC62">
            <v>3200.5453312500013</v>
          </cell>
          <cell r="CD62">
            <v>3200.5453312500013</v>
          </cell>
          <cell r="CE62">
            <v>3245.6417062500004</v>
          </cell>
          <cell r="CF62">
            <v>3262.9280551875017</v>
          </cell>
          <cell r="CG62">
            <v>3279.6234209062513</v>
          </cell>
          <cell r="CH62">
            <v>3296.7344329531261</v>
          </cell>
          <cell r="CI62">
            <v>3296.7344329531261</v>
          </cell>
        </row>
        <row r="63">
          <cell r="A63" t="str">
            <v>Total service, including international</v>
          </cell>
          <cell r="B63" t="str">
            <v>_totservenroll</v>
          </cell>
          <cell r="AV63">
            <v>9974</v>
          </cell>
          <cell r="AW63">
            <v>10067</v>
          </cell>
          <cell r="AX63">
            <v>10132</v>
          </cell>
          <cell r="AY63">
            <v>10165</v>
          </cell>
          <cell r="AZ63">
            <v>10165</v>
          </cell>
          <cell r="BA63">
            <v>10843</v>
          </cell>
          <cell r="BB63">
            <v>10798</v>
          </cell>
          <cell r="BC63">
            <v>10913</v>
          </cell>
          <cell r="BD63">
            <v>10931</v>
          </cell>
          <cell r="BE63">
            <v>10931</v>
          </cell>
          <cell r="BF63">
            <v>11162</v>
          </cell>
          <cell r="BG63">
            <v>11119</v>
          </cell>
          <cell r="BH63">
            <v>11131</v>
          </cell>
          <cell r="BI63">
            <v>11090</v>
          </cell>
          <cell r="BJ63">
            <v>11090</v>
          </cell>
          <cell r="BK63">
            <v>11225</v>
          </cell>
          <cell r="BL63">
            <v>11252</v>
          </cell>
          <cell r="BM63">
            <v>11307</v>
          </cell>
          <cell r="BN63">
            <v>11404</v>
          </cell>
          <cell r="BO63">
            <v>11404</v>
          </cell>
          <cell r="BP63">
            <v>11594</v>
          </cell>
          <cell r="BQ63">
            <v>11720</v>
          </cell>
          <cell r="BR63">
            <v>11799</v>
          </cell>
          <cell r="BS63">
            <v>11930</v>
          </cell>
          <cell r="BT63">
            <v>11930</v>
          </cell>
          <cell r="BU63">
            <v>12141</v>
          </cell>
          <cell r="BV63">
            <v>12234</v>
          </cell>
          <cell r="BW63">
            <v>12310</v>
          </cell>
          <cell r="BX63">
            <v>12371</v>
          </cell>
          <cell r="BY63">
            <v>12371</v>
          </cell>
          <cell r="BZ63">
            <v>12454</v>
          </cell>
          <cell r="CA63">
            <v>12484</v>
          </cell>
          <cell r="CB63">
            <v>12515</v>
          </cell>
          <cell r="CC63">
            <v>12546</v>
          </cell>
          <cell r="CD63">
            <v>12546</v>
          </cell>
          <cell r="CE63">
            <v>12635</v>
          </cell>
          <cell r="CF63">
            <v>12667</v>
          </cell>
          <cell r="CG63">
            <v>12700</v>
          </cell>
          <cell r="CH63">
            <v>12733</v>
          </cell>
          <cell r="CI63">
            <v>12733</v>
          </cell>
        </row>
        <row r="64">
          <cell r="BF64">
            <v>14322</v>
          </cell>
          <cell r="BI64">
            <v>14217</v>
          </cell>
        </row>
        <row r="65">
          <cell r="BF65">
            <v>2.1132558777787969E-2</v>
          </cell>
          <cell r="BI65">
            <v>-3.6834067020034E-3</v>
          </cell>
        </row>
        <row r="66">
          <cell r="BF66">
            <v>3.2960692390912261E-2</v>
          </cell>
          <cell r="BI66">
            <v>1.2246351014596035E-2</v>
          </cell>
        </row>
        <row r="69">
          <cell r="BF69">
            <v>1213</v>
          </cell>
          <cell r="BI69">
            <v>1190</v>
          </cell>
        </row>
        <row r="70">
          <cell r="BF70">
            <v>21977</v>
          </cell>
          <cell r="BI70">
            <v>22515</v>
          </cell>
        </row>
        <row r="71">
          <cell r="BF71">
            <v>12125</v>
          </cell>
          <cell r="BI71">
            <v>12074</v>
          </cell>
        </row>
        <row r="72">
          <cell r="BF72">
            <v>6922</v>
          </cell>
          <cell r="BI72">
            <v>7095</v>
          </cell>
        </row>
        <row r="76">
          <cell r="BF76">
            <v>4091</v>
          </cell>
          <cell r="BI76">
            <v>3902</v>
          </cell>
        </row>
        <row r="77">
          <cell r="BF77">
            <v>7386</v>
          </cell>
          <cell r="BI77">
            <v>7354</v>
          </cell>
        </row>
        <row r="78">
          <cell r="BF78">
            <v>902</v>
          </cell>
          <cell r="BI78">
            <v>972</v>
          </cell>
        </row>
        <row r="79">
          <cell r="BF79">
            <v>218</v>
          </cell>
          <cell r="BI79">
            <v>237</v>
          </cell>
        </row>
        <row r="80">
          <cell r="BF80">
            <v>4</v>
          </cell>
          <cell r="BI80">
            <v>3</v>
          </cell>
        </row>
        <row r="81">
          <cell r="BF81">
            <v>12601</v>
          </cell>
          <cell r="BI81">
            <v>12468</v>
          </cell>
        </row>
        <row r="82">
          <cell r="BF82">
            <v>1247</v>
          </cell>
          <cell r="BI82">
            <v>1257</v>
          </cell>
        </row>
        <row r="83">
          <cell r="BF83">
            <v>13848</v>
          </cell>
          <cell r="BI83">
            <v>13725</v>
          </cell>
        </row>
        <row r="85">
          <cell r="BF85">
            <v>451</v>
          </cell>
          <cell r="BI85">
            <v>467</v>
          </cell>
        </row>
        <row r="86">
          <cell r="BF86">
            <v>23</v>
          </cell>
          <cell r="BI86">
            <v>25</v>
          </cell>
        </row>
        <row r="87">
          <cell r="BF87">
            <v>474</v>
          </cell>
          <cell r="BI87">
            <v>492</v>
          </cell>
        </row>
        <row r="89">
          <cell r="BF89">
            <v>14322</v>
          </cell>
          <cell r="BI89">
            <v>14217</v>
          </cell>
        </row>
        <row r="91">
          <cell r="BF91">
            <v>7071</v>
          </cell>
          <cell r="BI91">
            <v>7188</v>
          </cell>
        </row>
        <row r="92">
          <cell r="BF92">
            <v>0.85316119691119696</v>
          </cell>
          <cell r="BI92">
            <v>0.86331972135479218</v>
          </cell>
        </row>
        <row r="94">
          <cell r="BF94">
            <v>0.60866078588612671</v>
          </cell>
          <cell r="BI94">
            <v>0.59029435163086719</v>
          </cell>
        </row>
        <row r="97">
          <cell r="BF97">
            <v>2</v>
          </cell>
          <cell r="BI97">
            <v>-20</v>
          </cell>
        </row>
        <row r="98">
          <cell r="BF98">
            <v>4</v>
          </cell>
          <cell r="BI98">
            <v>5</v>
          </cell>
        </row>
        <row r="101">
          <cell r="BF101">
            <v>15</v>
          </cell>
          <cell r="BI101">
            <v>-31</v>
          </cell>
        </row>
        <row r="102">
          <cell r="BF102">
            <v>21</v>
          </cell>
          <cell r="BI102">
            <v>-46</v>
          </cell>
        </row>
        <row r="104">
          <cell r="BF104">
            <v>25</v>
          </cell>
          <cell r="BI104">
            <v>4</v>
          </cell>
        </row>
        <row r="105">
          <cell r="BF105">
            <v>0</v>
          </cell>
          <cell r="BI105">
            <v>0</v>
          </cell>
        </row>
        <row r="106">
          <cell r="BF106">
            <v>25</v>
          </cell>
          <cell r="BI106">
            <v>4</v>
          </cell>
        </row>
        <row r="108">
          <cell r="BF108">
            <v>46</v>
          </cell>
          <cell r="BI108">
            <v>-42</v>
          </cell>
        </row>
        <row r="109">
          <cell r="BF109">
            <v>231</v>
          </cell>
          <cell r="BI109">
            <v>-41</v>
          </cell>
        </row>
        <row r="110">
          <cell r="BF110">
            <v>277</v>
          </cell>
          <cell r="BI110">
            <v>-83</v>
          </cell>
        </row>
        <row r="115">
          <cell r="BF115">
            <v>-51</v>
          </cell>
          <cell r="BI115">
            <v>-5</v>
          </cell>
        </row>
        <row r="116">
          <cell r="BF116">
            <v>227</v>
          </cell>
          <cell r="BI116">
            <v>-49</v>
          </cell>
        </row>
        <row r="117">
          <cell r="BF117">
            <v>733</v>
          </cell>
          <cell r="BI117">
            <v>-17</v>
          </cell>
        </row>
        <row r="118">
          <cell r="BF118">
            <v>150</v>
          </cell>
          <cell r="BI118">
            <v>95</v>
          </cell>
        </row>
        <row r="122">
          <cell r="BF122">
            <v>10</v>
          </cell>
          <cell r="BI122">
            <v>-40</v>
          </cell>
        </row>
        <row r="123">
          <cell r="BF123">
            <v>178</v>
          </cell>
          <cell r="BI123">
            <v>-81</v>
          </cell>
        </row>
        <row r="124">
          <cell r="BF124">
            <v>45</v>
          </cell>
          <cell r="BI124">
            <v>28</v>
          </cell>
        </row>
        <row r="125">
          <cell r="BF125">
            <v>22</v>
          </cell>
          <cell r="BI125">
            <v>5</v>
          </cell>
        </row>
        <row r="126">
          <cell r="BF126">
            <v>0</v>
          </cell>
          <cell r="BI126">
            <v>0</v>
          </cell>
        </row>
        <row r="129">
          <cell r="BF129">
            <v>255</v>
          </cell>
          <cell r="BI129">
            <v>-88</v>
          </cell>
        </row>
        <row r="130">
          <cell r="BF130">
            <v>-3</v>
          </cell>
          <cell r="BI130">
            <v>1</v>
          </cell>
        </row>
        <row r="131">
          <cell r="BF131">
            <v>252</v>
          </cell>
          <cell r="BI131">
            <v>-87</v>
          </cell>
        </row>
        <row r="133">
          <cell r="BF133">
            <v>25</v>
          </cell>
          <cell r="BI133">
            <v>4</v>
          </cell>
        </row>
        <row r="134">
          <cell r="BF134">
            <v>0</v>
          </cell>
          <cell r="BI134">
            <v>0</v>
          </cell>
        </row>
        <row r="135">
          <cell r="BF135">
            <v>25</v>
          </cell>
          <cell r="BI135">
            <v>4</v>
          </cell>
        </row>
        <row r="137">
          <cell r="BF137">
            <v>277</v>
          </cell>
          <cell r="BI137">
            <v>-83</v>
          </cell>
        </row>
        <row r="139">
          <cell r="BF139">
            <v>221</v>
          </cell>
          <cell r="BI139">
            <v>-1</v>
          </cell>
        </row>
        <row r="149">
          <cell r="BF149">
            <v>1107</v>
          </cell>
          <cell r="BI149">
            <v>1125</v>
          </cell>
        </row>
        <row r="150">
          <cell r="BF150">
            <v>571</v>
          </cell>
          <cell r="BI150">
            <v>582</v>
          </cell>
        </row>
        <row r="152">
          <cell r="BF152">
            <v>464</v>
          </cell>
          <cell r="BI152">
            <v>497</v>
          </cell>
        </row>
        <row r="153">
          <cell r="BF153">
            <v>444</v>
          </cell>
          <cell r="BI153">
            <v>437</v>
          </cell>
        </row>
        <row r="154">
          <cell r="BF154">
            <v>283</v>
          </cell>
          <cell r="BI154">
            <v>289</v>
          </cell>
        </row>
        <row r="155">
          <cell r="BF155">
            <v>1438</v>
          </cell>
          <cell r="BI155">
            <v>1384</v>
          </cell>
        </row>
        <row r="156">
          <cell r="BF156">
            <v>75</v>
          </cell>
          <cell r="BI156">
            <v>82</v>
          </cell>
        </row>
        <row r="157">
          <cell r="BF157">
            <v>436</v>
          </cell>
          <cell r="BI157">
            <v>298</v>
          </cell>
        </row>
        <row r="158">
          <cell r="BF158">
            <v>182</v>
          </cell>
          <cell r="BI158">
            <v>181</v>
          </cell>
        </row>
        <row r="159">
          <cell r="BF159">
            <v>5000</v>
          </cell>
          <cell r="BI159">
            <v>4875</v>
          </cell>
        </row>
        <row r="160">
          <cell r="BF160">
            <v>824</v>
          </cell>
          <cell r="BI160">
            <v>848</v>
          </cell>
        </row>
        <row r="161">
          <cell r="BF161">
            <v>5824</v>
          </cell>
          <cell r="BI161">
            <v>5723</v>
          </cell>
        </row>
        <row r="162">
          <cell r="BF162">
            <v>5824</v>
          </cell>
          <cell r="BI162">
            <v>5723</v>
          </cell>
        </row>
        <row r="167">
          <cell r="BF167">
            <v>324.53825857519786</v>
          </cell>
          <cell r="BI167">
            <v>341.21929026387625</v>
          </cell>
        </row>
        <row r="168">
          <cell r="BF168">
            <v>240.9282700421941</v>
          </cell>
          <cell r="BI168">
            <v>244.33249370277076</v>
          </cell>
        </row>
        <row r="169">
          <cell r="BF169">
            <v>240.9282700421941</v>
          </cell>
          <cell r="BI169">
            <v>244.33249370277076</v>
          </cell>
        </row>
        <row r="170">
          <cell r="BF170">
            <v>194.99341238471675</v>
          </cell>
          <cell r="BI170">
            <v>196.31626235399818</v>
          </cell>
        </row>
        <row r="171">
          <cell r="BF171">
            <v>1062.8233555062823</v>
          </cell>
          <cell r="BI171">
            <v>987.86581013561738</v>
          </cell>
        </row>
        <row r="172">
          <cell r="BF172">
            <v>1086.9565217391303</v>
          </cell>
          <cell r="BI172">
            <v>1093.3333333333333</v>
          </cell>
        </row>
        <row r="173">
          <cell r="BF173">
            <v>119.81313547677934</v>
          </cell>
          <cell r="BI173">
            <v>83.473389355742285</v>
          </cell>
        </row>
        <row r="174">
          <cell r="BF174">
            <v>24.607298572537776</v>
          </cell>
          <cell r="BI174">
            <v>25.488428013225125</v>
          </cell>
        </row>
        <row r="175">
          <cell r="BF175">
            <v>119.81313547677934</v>
          </cell>
          <cell r="BI175">
            <v>83.473389355742285</v>
          </cell>
        </row>
        <row r="176">
          <cell r="BF176">
            <v>24.607298572537776</v>
          </cell>
          <cell r="BI176">
            <v>25.488428013225125</v>
          </cell>
        </row>
        <row r="180">
          <cell r="BF180">
            <v>3.8017309528453946E-2</v>
          </cell>
          <cell r="BI180">
            <v>6.0083652690236189E-2</v>
          </cell>
        </row>
        <row r="181">
          <cell r="BF181">
            <v>0.11494924175961918</v>
          </cell>
          <cell r="BI181">
            <v>0.12526566435768238</v>
          </cell>
        </row>
        <row r="182">
          <cell r="BF182">
            <v>3.8017309528453946E-2</v>
          </cell>
          <cell r="BI182">
            <v>6.0083652690236189E-2</v>
          </cell>
        </row>
        <row r="183">
          <cell r="BF183">
            <v>5.3259871441689866E-2</v>
          </cell>
          <cell r="BI183">
            <v>2.8586614023765167E-2</v>
          </cell>
        </row>
        <row r="184">
          <cell r="BF184">
            <v>-2.9547679579604136E-2</v>
          </cell>
          <cell r="BI184">
            <v>-4.0659190461003747E-2</v>
          </cell>
        </row>
        <row r="185">
          <cell r="BF185">
            <v>1.0703933747412004</v>
          </cell>
          <cell r="BI185">
            <v>4.7777777777777697E-2</v>
          </cell>
        </row>
        <row r="186">
          <cell r="BF186">
            <v>-7.6928374797945676E-2</v>
          </cell>
          <cell r="BI186">
            <v>1.6806722689075571E-3</v>
          </cell>
        </row>
        <row r="187">
          <cell r="BF187">
            <v>7.4430624518230015E-2</v>
          </cell>
          <cell r="BI187">
            <v>5.2697757981979176E-2</v>
          </cell>
        </row>
        <row r="188">
          <cell r="BF188">
            <v>1.0703933747412004</v>
          </cell>
          <cell r="BI188">
            <v>4.7777777777777697E-2</v>
          </cell>
        </row>
        <row r="189">
          <cell r="BF189">
            <v>75</v>
          </cell>
          <cell r="BI189">
            <v>82</v>
          </cell>
        </row>
        <row r="190">
          <cell r="BF190">
            <v>0.13636363636363646</v>
          </cell>
          <cell r="BI190">
            <v>0.20588235294117641</v>
          </cell>
        </row>
        <row r="192">
          <cell r="BF192">
            <v>425</v>
          </cell>
          <cell r="BI192">
            <v>494</v>
          </cell>
        </row>
        <row r="193">
          <cell r="BF193">
            <v>48</v>
          </cell>
          <cell r="BI193">
            <v>56</v>
          </cell>
        </row>
        <row r="194">
          <cell r="BF194">
            <v>473</v>
          </cell>
          <cell r="BI194">
            <v>550</v>
          </cell>
        </row>
        <row r="195">
          <cell r="BF195">
            <v>8.237986270022879E-2</v>
          </cell>
          <cell r="BI195">
            <v>0.1</v>
          </cell>
        </row>
        <row r="196">
          <cell r="BF196">
            <v>48</v>
          </cell>
          <cell r="BI196">
            <v>56</v>
          </cell>
        </row>
        <row r="197">
          <cell r="BF197">
            <v>6372</v>
          </cell>
          <cell r="BI197">
            <v>6355</v>
          </cell>
        </row>
        <row r="198">
          <cell r="BF198">
            <v>0.18615040953090101</v>
          </cell>
          <cell r="BI198">
            <v>6.7528976986393374E-2</v>
          </cell>
        </row>
        <row r="199">
          <cell r="BF199">
            <v>6297</v>
          </cell>
          <cell r="BI199">
            <v>6273</v>
          </cell>
        </row>
        <row r="200">
          <cell r="BF200">
            <v>0.18676969468526194</v>
          </cell>
          <cell r="BI200">
            <v>6.5930331350892102E-2</v>
          </cell>
        </row>
        <row r="201">
          <cell r="BF201">
            <v>0.18615040953090101</v>
          </cell>
          <cell r="BI201">
            <v>6.7528976986393374E-2</v>
          </cell>
        </row>
        <row r="202">
          <cell r="BF202">
            <v>6297</v>
          </cell>
          <cell r="BI202">
            <v>6273</v>
          </cell>
        </row>
        <row r="203">
          <cell r="BF203">
            <v>1070</v>
          </cell>
          <cell r="BI203">
            <v>6.5930331350892102E-2</v>
          </cell>
        </row>
        <row r="204">
          <cell r="BF204">
            <v>1107</v>
          </cell>
          <cell r="BI204">
            <v>1125</v>
          </cell>
        </row>
        <row r="205">
          <cell r="BF205">
            <v>0.77600000000000002</v>
          </cell>
          <cell r="BI205">
            <v>0.86599999999999999</v>
          </cell>
        </row>
        <row r="206">
          <cell r="BF206">
            <v>859.03200000000004</v>
          </cell>
          <cell r="BI206">
            <v>974.25</v>
          </cell>
        </row>
        <row r="207">
          <cell r="BF207">
            <v>1107</v>
          </cell>
          <cell r="BI207">
            <v>1125</v>
          </cell>
        </row>
        <row r="208">
          <cell r="BF208">
            <v>0.80283364485981312</v>
          </cell>
          <cell r="BI208">
            <v>0.86599999999999999</v>
          </cell>
        </row>
        <row r="209">
          <cell r="BF209">
            <v>859.03200000000004</v>
          </cell>
          <cell r="BI209">
            <v>974.25</v>
          </cell>
        </row>
        <row r="210">
          <cell r="BF210">
            <v>0.80283364485981312</v>
          </cell>
        </row>
        <row r="219">
          <cell r="BF219">
            <v>1944</v>
          </cell>
          <cell r="BI219">
            <v>1986</v>
          </cell>
        </row>
        <row r="220">
          <cell r="BF220">
            <v>0.76658333333333328</v>
          </cell>
          <cell r="BI220">
            <v>0.79707552870090626</v>
          </cell>
        </row>
        <row r="221">
          <cell r="BF221">
            <v>1490.2379999999998</v>
          </cell>
          <cell r="BI221">
            <v>1582.9919999999997</v>
          </cell>
        </row>
        <row r="224">
          <cell r="BF224">
            <v>3051</v>
          </cell>
          <cell r="BI224">
            <v>3111</v>
          </cell>
        </row>
        <row r="225">
          <cell r="BF225">
            <v>0.77</v>
          </cell>
          <cell r="BI225">
            <v>0.82199999999999995</v>
          </cell>
        </row>
        <row r="226">
          <cell r="BF226">
            <v>2349.27</v>
          </cell>
          <cell r="BI226">
            <v>2557.2419999999997</v>
          </cell>
        </row>
        <row r="233">
          <cell r="BF233">
            <v>1438</v>
          </cell>
          <cell r="BI233">
            <v>1384</v>
          </cell>
        </row>
        <row r="234">
          <cell r="BF234">
            <v>1438</v>
          </cell>
          <cell r="BI234">
            <v>1384</v>
          </cell>
        </row>
        <row r="235">
          <cell r="BF235">
            <v>0.84299999999999997</v>
          </cell>
          <cell r="BI235">
            <v>0.86399999999999999</v>
          </cell>
        </row>
        <row r="236">
          <cell r="BF236">
            <v>1212.2339999999999</v>
          </cell>
          <cell r="BI236">
            <v>1195.7760000000001</v>
          </cell>
        </row>
        <row r="238">
          <cell r="BF238">
            <v>2019</v>
          </cell>
          <cell r="BI238">
            <v>2068</v>
          </cell>
        </row>
        <row r="239">
          <cell r="BF239">
            <v>436</v>
          </cell>
          <cell r="BI239">
            <v>298</v>
          </cell>
        </row>
        <row r="240">
          <cell r="BF240">
            <v>0.98399999999999999</v>
          </cell>
          <cell r="BI240">
            <v>0.61</v>
          </cell>
        </row>
        <row r="241">
          <cell r="BF241">
            <v>429.024</v>
          </cell>
          <cell r="BI241">
            <v>181.78</v>
          </cell>
        </row>
        <row r="243">
          <cell r="BF243">
            <v>436</v>
          </cell>
          <cell r="BI243">
            <v>298</v>
          </cell>
        </row>
        <row r="244">
          <cell r="BF244">
            <v>75</v>
          </cell>
          <cell r="BI244">
            <v>82</v>
          </cell>
        </row>
        <row r="245">
          <cell r="BF245">
            <v>0.77693333333333459</v>
          </cell>
          <cell r="BI245">
            <v>0.81902439024390028</v>
          </cell>
        </row>
        <row r="246">
          <cell r="BF246">
            <v>58.270000000000095</v>
          </cell>
          <cell r="BI246">
            <v>67.159999999999826</v>
          </cell>
        </row>
        <row r="247">
          <cell r="BF247">
            <v>4047</v>
          </cell>
          <cell r="BI247">
            <v>4003</v>
          </cell>
        </row>
        <row r="248">
          <cell r="BF248">
            <v>0.80940000000000001</v>
          </cell>
          <cell r="BI248">
            <v>0.82112820512820517</v>
          </cell>
        </row>
        <row r="249">
          <cell r="BF249">
            <v>1949</v>
          </cell>
          <cell r="BI249">
            <v>1764</v>
          </cell>
        </row>
        <row r="250">
          <cell r="BF250">
            <v>0.872</v>
          </cell>
          <cell r="BI250">
            <v>0.81899999999999995</v>
          </cell>
        </row>
        <row r="251">
          <cell r="BF251">
            <v>1699.528</v>
          </cell>
          <cell r="BI251">
            <v>1444.7159999999999</v>
          </cell>
        </row>
        <row r="253">
          <cell r="BF253">
            <v>4047</v>
          </cell>
          <cell r="BI253">
            <v>4003</v>
          </cell>
        </row>
        <row r="254">
          <cell r="BF254">
            <v>4047</v>
          </cell>
          <cell r="BI254">
            <v>4003</v>
          </cell>
        </row>
        <row r="255">
          <cell r="BF255">
            <v>0.80940000000000001</v>
          </cell>
          <cell r="BI255">
            <v>0.82112820512820517</v>
          </cell>
        </row>
        <row r="256">
          <cell r="BF256">
            <v>0.87580469583778009</v>
          </cell>
          <cell r="BI256">
            <v>0.81899881093935789</v>
          </cell>
        </row>
        <row r="257">
          <cell r="BF257">
            <v>0.80941176470588239</v>
          </cell>
          <cell r="BI257">
            <v>0.83603238866396756</v>
          </cell>
        </row>
        <row r="258">
          <cell r="BF258">
            <v>7.1651090342679025E-2</v>
          </cell>
          <cell r="BI258">
            <v>0.16997167138810187</v>
          </cell>
        </row>
        <row r="264">
          <cell r="BF264">
            <v>4047</v>
          </cell>
          <cell r="BI264">
            <v>4003</v>
          </cell>
        </row>
        <row r="265">
          <cell r="BF265">
            <v>0.80940000000000001</v>
          </cell>
          <cell r="BI265">
            <v>0.82112820512820517</v>
          </cell>
        </row>
        <row r="267">
          <cell r="BF267">
            <v>344</v>
          </cell>
          <cell r="BI267">
            <v>413</v>
          </cell>
        </row>
        <row r="268">
          <cell r="BF268">
            <v>0.80941176470588239</v>
          </cell>
          <cell r="BI268">
            <v>0.83603238866396756</v>
          </cell>
        </row>
        <row r="269">
          <cell r="BF269">
            <v>7.1651090342679025E-2</v>
          </cell>
          <cell r="BI269">
            <v>0.16997167138810187</v>
          </cell>
        </row>
        <row r="279">
          <cell r="BF279">
            <v>569</v>
          </cell>
          <cell r="BI279">
            <v>638.625</v>
          </cell>
        </row>
        <row r="280">
          <cell r="BF280">
            <v>0.69053398058252424</v>
          </cell>
          <cell r="BI280">
            <v>0.75309551886792447</v>
          </cell>
        </row>
        <row r="281">
          <cell r="BF281">
            <v>750</v>
          </cell>
          <cell r="BI281">
            <v>804.375</v>
          </cell>
        </row>
        <row r="282">
          <cell r="BF282">
            <v>0.15</v>
          </cell>
          <cell r="BI282">
            <v>0.16500000000000001</v>
          </cell>
        </row>
        <row r="283">
          <cell r="BF283">
            <v>1319</v>
          </cell>
          <cell r="BI283">
            <v>1443</v>
          </cell>
        </row>
        <row r="284">
          <cell r="BF284">
            <v>0.20946482451961251</v>
          </cell>
          <cell r="BI284">
            <v>0.2300334768053563</v>
          </cell>
        </row>
        <row r="285">
          <cell r="BF285">
            <v>30.698691989014566</v>
          </cell>
          <cell r="BI285">
            <v>33.832735457550818</v>
          </cell>
        </row>
        <row r="287">
          <cell r="BF287">
            <v>5710</v>
          </cell>
          <cell r="BI287">
            <v>5859</v>
          </cell>
        </row>
        <row r="289">
          <cell r="BF289">
            <v>662</v>
          </cell>
          <cell r="BI289">
            <v>496</v>
          </cell>
        </row>
        <row r="290">
          <cell r="BF290">
            <v>569</v>
          </cell>
          <cell r="BI290">
            <v>638.625</v>
          </cell>
        </row>
        <row r="291">
          <cell r="BF291">
            <v>0.69053398058252424</v>
          </cell>
          <cell r="BI291">
            <v>0.75309551886792447</v>
          </cell>
        </row>
        <row r="292">
          <cell r="BF292">
            <v>750</v>
          </cell>
          <cell r="BI292">
            <v>804.375</v>
          </cell>
        </row>
        <row r="293">
          <cell r="BF293">
            <v>0.15</v>
          </cell>
          <cell r="BI293">
            <v>0.16500000000000001</v>
          </cell>
        </row>
        <row r="294">
          <cell r="BF294">
            <v>1319</v>
          </cell>
          <cell r="BI294">
            <v>1443</v>
          </cell>
        </row>
        <row r="295">
          <cell r="BF295">
            <v>0.20946482451961251</v>
          </cell>
          <cell r="BI295">
            <v>0.2300334768053563</v>
          </cell>
        </row>
        <row r="296">
          <cell r="BF296">
            <v>30.698691989014566</v>
          </cell>
          <cell r="BI296">
            <v>33.832735457550818</v>
          </cell>
        </row>
        <row r="298">
          <cell r="BF298">
            <v>5710</v>
          </cell>
          <cell r="BI298">
            <v>5859</v>
          </cell>
        </row>
        <row r="299">
          <cell r="BI299">
            <v>287</v>
          </cell>
        </row>
        <row r="300">
          <cell r="BF300">
            <v>662</v>
          </cell>
          <cell r="BI300">
            <v>496</v>
          </cell>
        </row>
        <row r="302">
          <cell r="BF302">
            <v>55</v>
          </cell>
          <cell r="BI302">
            <v>8</v>
          </cell>
        </row>
        <row r="303">
          <cell r="BF303">
            <v>235</v>
          </cell>
          <cell r="BI303">
            <v>162</v>
          </cell>
        </row>
        <row r="304">
          <cell r="BF304">
            <v>0</v>
          </cell>
          <cell r="BI304">
            <v>0</v>
          </cell>
        </row>
        <row r="305">
          <cell r="BF305">
            <v>0</v>
          </cell>
          <cell r="BI305">
            <v>16</v>
          </cell>
        </row>
        <row r="306">
          <cell r="BF306">
            <v>235</v>
          </cell>
          <cell r="BI306">
            <v>178</v>
          </cell>
        </row>
        <row r="307">
          <cell r="BF307">
            <v>0.35498489425981872</v>
          </cell>
          <cell r="BI307">
            <v>0.3588709677419355</v>
          </cell>
        </row>
        <row r="308">
          <cell r="BF308">
            <v>0</v>
          </cell>
          <cell r="BI308">
            <v>-31</v>
          </cell>
        </row>
        <row r="309">
          <cell r="BF309">
            <v>427</v>
          </cell>
          <cell r="BI309">
            <v>318</v>
          </cell>
        </row>
        <row r="310">
          <cell r="BI310">
            <v>287</v>
          </cell>
        </row>
        <row r="311">
          <cell r="BF311">
            <v>482</v>
          </cell>
          <cell r="BI311">
            <v>295</v>
          </cell>
        </row>
        <row r="313">
          <cell r="BF313">
            <v>55</v>
          </cell>
          <cell r="BI313">
            <v>8</v>
          </cell>
        </row>
        <row r="314">
          <cell r="BF314">
            <v>55</v>
          </cell>
          <cell r="BI314">
            <v>8</v>
          </cell>
        </row>
        <row r="315">
          <cell r="BF315">
            <v>0</v>
          </cell>
          <cell r="BI315">
            <v>0</v>
          </cell>
        </row>
        <row r="316">
          <cell r="BF316">
            <v>48</v>
          </cell>
        </row>
        <row r="317">
          <cell r="BF317">
            <v>0</v>
          </cell>
        </row>
        <row r="318">
          <cell r="BF318">
            <v>0</v>
          </cell>
          <cell r="BI318">
            <v>-47</v>
          </cell>
        </row>
        <row r="319">
          <cell r="BF319">
            <v>0</v>
          </cell>
          <cell r="BI319">
            <v>-31</v>
          </cell>
        </row>
        <row r="320">
          <cell r="BF320">
            <v>0</v>
          </cell>
          <cell r="BI320">
            <v>-16</v>
          </cell>
        </row>
        <row r="322">
          <cell r="BF322">
            <v>482</v>
          </cell>
          <cell r="BI322">
            <v>295</v>
          </cell>
        </row>
        <row r="327">
          <cell r="BF327">
            <v>48</v>
          </cell>
        </row>
        <row r="328">
          <cell r="BF328">
            <v>0</v>
          </cell>
        </row>
        <row r="329">
          <cell r="BF329">
            <v>0</v>
          </cell>
        </row>
        <row r="330">
          <cell r="BF330">
            <v>48</v>
          </cell>
        </row>
      </sheetData>
      <sheetData sheetId="8">
        <row r="2">
          <cell r="A2" t="str">
            <v>CIGNA, Inc.</v>
          </cell>
        </row>
      </sheetData>
      <sheetData sheetId="9">
        <row r="2">
          <cell r="A2" t="str">
            <v>CIGNA, Inc.</v>
          </cell>
        </row>
      </sheetData>
      <sheetData sheetId="10">
        <row r="2">
          <cell r="A2" t="str">
            <v>CIGNA, Inc.</v>
          </cell>
        </row>
      </sheetData>
      <sheetData sheetId="11">
        <row r="1">
          <cell r="A1" t="str">
            <v>CI</v>
          </cell>
        </row>
      </sheetData>
      <sheetData sheetId="12">
        <row r="2">
          <cell r="A2" t="str">
            <v>CIGNA, Inc.</v>
          </cell>
        </row>
      </sheetData>
      <sheetData sheetId="13">
        <row r="2">
          <cell r="C2" t="str">
            <v>CI</v>
          </cell>
        </row>
      </sheetData>
      <sheetData sheetId="14">
        <row r="1">
          <cell r="A1" t="str">
            <v>CI</v>
          </cell>
        </row>
      </sheetData>
      <sheetData sheetId="15">
        <row r="1">
          <cell r="A1" t="str">
            <v>Item</v>
          </cell>
        </row>
      </sheetData>
      <sheetData sheetId="16">
        <row r="2">
          <cell r="A2" t="str">
            <v>CIGNA, Inc.</v>
          </cell>
        </row>
      </sheetData>
      <sheetData sheetId="17">
        <row r="3">
          <cell r="C3" t="str">
            <v>Consolidated Income Statement</v>
          </cell>
        </row>
      </sheetData>
      <sheetData sheetId="18">
        <row r="2">
          <cell r="A2" t="str">
            <v>CIGNA Corp.</v>
          </cell>
        </row>
      </sheetData>
      <sheetData sheetId="19">
        <row r="2">
          <cell r="A2" t="str">
            <v>CIGNA, Inc.</v>
          </cell>
        </row>
      </sheetData>
      <sheetData sheetId="20" refreshError="1">
        <row r="2">
          <cell r="A2" t="str">
            <v>CIGNA, Inc.</v>
          </cell>
        </row>
        <row r="7">
          <cell r="AU7" t="str">
            <v>2010A</v>
          </cell>
          <cell r="AZ7" t="str">
            <v>2011A</v>
          </cell>
          <cell r="BE7" t="str">
            <v>2012A</v>
          </cell>
          <cell r="BJ7" t="str">
            <v>2013A</v>
          </cell>
          <cell r="BO7" t="str">
            <v>2014E</v>
          </cell>
        </row>
        <row r="8">
          <cell r="AU8" t="str">
            <v>_hc_fy10</v>
          </cell>
          <cell r="AZ8" t="str">
            <v>_hc_fy11</v>
          </cell>
          <cell r="BE8" t="str">
            <v>_hc_fy12</v>
          </cell>
          <cell r="BJ8" t="str">
            <v>_hc_fy13</v>
          </cell>
          <cell r="BO8" t="str">
            <v>_hc_fy14</v>
          </cell>
        </row>
        <row r="10">
          <cell r="AU10">
            <v>13319</v>
          </cell>
          <cell r="AZ10">
            <v>13181</v>
          </cell>
        </row>
        <row r="11">
          <cell r="AU11">
            <v>243</v>
          </cell>
          <cell r="AZ11">
            <v>274</v>
          </cell>
        </row>
        <row r="12">
          <cell r="AU12">
            <v>1686</v>
          </cell>
          <cell r="AZ12">
            <v>1681</v>
          </cell>
        </row>
        <row r="13">
          <cell r="AU13">
            <v>15248</v>
          </cell>
          <cell r="AZ13">
            <v>15136</v>
          </cell>
        </row>
        <row r="14">
          <cell r="AU14">
            <v>8570</v>
          </cell>
          <cell r="AZ14">
            <v>8182</v>
          </cell>
        </row>
        <row r="15">
          <cell r="AU15">
            <v>100</v>
          </cell>
          <cell r="AZ15">
            <v>83</v>
          </cell>
        </row>
        <row r="17">
          <cell r="AU17">
            <v>1169</v>
          </cell>
          <cell r="AZ17">
            <v>1203</v>
          </cell>
        </row>
        <row r="18">
          <cell r="AU18">
            <v>4072</v>
          </cell>
          <cell r="AZ18">
            <v>4121</v>
          </cell>
        </row>
        <row r="19">
          <cell r="AU19">
            <v>13911</v>
          </cell>
          <cell r="AZ19">
            <v>13589</v>
          </cell>
        </row>
        <row r="20">
          <cell r="AU20">
            <v>1337</v>
          </cell>
          <cell r="AZ20">
            <v>1547</v>
          </cell>
        </row>
        <row r="21">
          <cell r="AU21">
            <v>476</v>
          </cell>
          <cell r="AZ21">
            <v>557</v>
          </cell>
        </row>
        <row r="22">
          <cell r="AU22">
            <v>861</v>
          </cell>
          <cell r="AZ22">
            <v>990</v>
          </cell>
        </row>
        <row r="23">
          <cell r="AU23">
            <v>0</v>
          </cell>
          <cell r="AZ23">
            <v>1</v>
          </cell>
        </row>
        <row r="24">
          <cell r="AU24">
            <v>26</v>
          </cell>
          <cell r="AZ24">
            <v>24</v>
          </cell>
        </row>
        <row r="25">
          <cell r="AU25">
            <v>887</v>
          </cell>
          <cell r="AZ25">
            <v>1015</v>
          </cell>
        </row>
        <row r="28">
          <cell r="AU28">
            <v>0.8229306702515844</v>
          </cell>
          <cell r="AZ28">
            <v>0.7998826864796168</v>
          </cell>
        </row>
        <row r="29">
          <cell r="AU29">
            <v>0.27137620793068978</v>
          </cell>
          <cell r="AZ29">
            <v>0.27728434934732876</v>
          </cell>
        </row>
        <row r="30">
          <cell r="AU30">
            <v>7.2909030323225585E-2</v>
          </cell>
          <cell r="AZ30">
            <v>8.5654689812945772E-2</v>
          </cell>
        </row>
        <row r="31">
          <cell r="AU31">
            <v>8.7683630640083943E-2</v>
          </cell>
          <cell r="AZ31">
            <v>0.10220665961945032</v>
          </cell>
        </row>
        <row r="32">
          <cell r="AU32">
            <v>5.6466421825813219E-2</v>
          </cell>
          <cell r="AZ32">
            <v>6.5406976744186052E-2</v>
          </cell>
        </row>
        <row r="33">
          <cell r="AU33">
            <v>0.35602094240837695</v>
          </cell>
          <cell r="AZ33">
            <v>0.36005171299288946</v>
          </cell>
        </row>
        <row r="36">
          <cell r="AU36">
            <v>0.16997540407589606</v>
          </cell>
          <cell r="AZ36">
            <v>-1.0361138223590305E-2</v>
          </cell>
        </row>
        <row r="37">
          <cell r="AU37">
            <v>0.16317034098710814</v>
          </cell>
          <cell r="AZ37">
            <v>-7.3452256033578189E-3</v>
          </cell>
        </row>
        <row r="38">
          <cell r="AU38">
            <v>0.16065903465346532</v>
          </cell>
          <cell r="AZ38">
            <v>-9.5301566144618821E-3</v>
          </cell>
        </row>
        <row r="39">
          <cell r="AU39">
            <v>0.18528368794326244</v>
          </cell>
          <cell r="AZ39">
            <v>0.15706806282722519</v>
          </cell>
        </row>
        <row r="40">
          <cell r="AU40">
            <v>0.18106995884773669</v>
          </cell>
          <cell r="AZ40">
            <v>0.14982578397212554</v>
          </cell>
        </row>
        <row r="45">
          <cell r="AU45" t="str">
            <v>2010A</v>
          </cell>
          <cell r="AZ45" t="str">
            <v>2011A</v>
          </cell>
        </row>
        <row r="51">
          <cell r="AU51">
            <v>1177</v>
          </cell>
          <cell r="AZ51">
            <v>1091</v>
          </cell>
        </row>
        <row r="52">
          <cell r="AU52">
            <v>849</v>
          </cell>
          <cell r="AZ52">
            <v>798</v>
          </cell>
        </row>
        <row r="53">
          <cell r="AU53">
            <v>2026</v>
          </cell>
          <cell r="AZ53">
            <v>1889</v>
          </cell>
        </row>
        <row r="54">
          <cell r="AU54">
            <v>145</v>
          </cell>
          <cell r="AZ54">
            <v>44</v>
          </cell>
        </row>
        <row r="57">
          <cell r="A57" t="str">
            <v>Total risk</v>
          </cell>
          <cell r="B57" t="str">
            <v>_totriskenroll</v>
          </cell>
          <cell r="F57">
            <v>3630</v>
          </cell>
          <cell r="G57">
            <v>3630</v>
          </cell>
          <cell r="H57">
            <v>3271</v>
          </cell>
          <cell r="I57">
            <v>3199</v>
          </cell>
          <cell r="J57">
            <v>3057</v>
          </cell>
          <cell r="K57">
            <v>2868</v>
          </cell>
          <cell r="L57">
            <v>2868</v>
          </cell>
          <cell r="M57">
            <v>2476</v>
          </cell>
          <cell r="N57">
            <v>2410</v>
          </cell>
          <cell r="O57">
            <v>2378</v>
          </cell>
          <cell r="P57">
            <v>2246</v>
          </cell>
          <cell r="Q57">
            <v>2246</v>
          </cell>
          <cell r="R57">
            <v>2181</v>
          </cell>
          <cell r="S57">
            <v>2180</v>
          </cell>
          <cell r="T57">
            <v>2182</v>
          </cell>
          <cell r="U57">
            <v>2188</v>
          </cell>
          <cell r="V57">
            <v>2188</v>
          </cell>
          <cell r="W57">
            <v>2023</v>
          </cell>
          <cell r="X57">
            <v>2022</v>
          </cell>
          <cell r="Y57">
            <v>2239</v>
          </cell>
          <cell r="Z57">
            <v>2261</v>
          </cell>
          <cell r="AA57">
            <v>2261</v>
          </cell>
          <cell r="AB57">
            <v>2197</v>
          </cell>
          <cell r="AC57">
            <v>2186</v>
          </cell>
          <cell r="AD57">
            <v>2176</v>
          </cell>
          <cell r="AE57">
            <v>2156</v>
          </cell>
          <cell r="AF57">
            <v>2156</v>
          </cell>
          <cell r="AG57">
            <v>2095</v>
          </cell>
          <cell r="AH57">
            <v>2127</v>
          </cell>
          <cell r="AI57">
            <v>2052</v>
          </cell>
          <cell r="AJ57">
            <v>1991</v>
          </cell>
          <cell r="AK57">
            <v>1991</v>
          </cell>
          <cell r="AL57">
            <v>1872</v>
          </cell>
          <cell r="AM57">
            <v>1814</v>
          </cell>
          <cell r="AN57">
            <v>1797</v>
          </cell>
          <cell r="AO57">
            <v>1766</v>
          </cell>
          <cell r="AP57">
            <v>1766</v>
          </cell>
          <cell r="AQ57">
            <v>2039</v>
          </cell>
          <cell r="AR57">
            <v>2086</v>
          </cell>
          <cell r="AS57">
            <v>2164</v>
          </cell>
          <cell r="AT57">
            <v>2171</v>
          </cell>
          <cell r="AU57">
            <v>2171</v>
          </cell>
          <cell r="AV57">
            <v>2013</v>
          </cell>
          <cell r="AW57">
            <v>1991</v>
          </cell>
          <cell r="AX57">
            <v>1957</v>
          </cell>
          <cell r="AY57">
            <v>1933</v>
          </cell>
          <cell r="AZ57">
            <v>1933</v>
          </cell>
          <cell r="BA57">
            <v>2309</v>
          </cell>
          <cell r="BB57">
            <v>2321</v>
          </cell>
          <cell r="BC57">
            <v>2322</v>
          </cell>
        </row>
        <row r="58">
          <cell r="A58" t="str">
            <v>Total service</v>
          </cell>
          <cell r="B58" t="str">
            <v>_totservenroll</v>
          </cell>
          <cell r="F58">
            <v>9461</v>
          </cell>
          <cell r="G58">
            <v>9461</v>
          </cell>
          <cell r="H58">
            <v>9077</v>
          </cell>
          <cell r="I58">
            <v>8823</v>
          </cell>
          <cell r="J58">
            <v>8732</v>
          </cell>
          <cell r="K58">
            <v>8667</v>
          </cell>
          <cell r="L58">
            <v>8667</v>
          </cell>
          <cell r="M58">
            <v>7740</v>
          </cell>
          <cell r="N58">
            <v>7620</v>
          </cell>
          <cell r="O58">
            <v>7535</v>
          </cell>
          <cell r="P58">
            <v>7455</v>
          </cell>
          <cell r="Q58">
            <v>7455</v>
          </cell>
          <cell r="R58">
            <v>6825</v>
          </cell>
          <cell r="S58">
            <v>6834</v>
          </cell>
          <cell r="T58">
            <v>6884</v>
          </cell>
          <cell r="U58">
            <v>6902</v>
          </cell>
          <cell r="V58">
            <v>6902</v>
          </cell>
          <cell r="W58">
            <v>6995</v>
          </cell>
          <cell r="X58">
            <v>6997</v>
          </cell>
          <cell r="Y58">
            <v>7082</v>
          </cell>
          <cell r="Z58">
            <v>7128</v>
          </cell>
          <cell r="AA58">
            <v>7128</v>
          </cell>
          <cell r="AB58">
            <v>7633</v>
          </cell>
          <cell r="AC58">
            <v>7614</v>
          </cell>
          <cell r="AD58">
            <v>8047</v>
          </cell>
          <cell r="AE58">
            <v>8013</v>
          </cell>
          <cell r="AF58">
            <v>8013</v>
          </cell>
          <cell r="AG58">
            <v>8279</v>
          </cell>
          <cell r="AH58">
            <v>9940</v>
          </cell>
          <cell r="AI58">
            <v>9848</v>
          </cell>
          <cell r="AJ58">
            <v>9688</v>
          </cell>
          <cell r="AK58">
            <v>9688</v>
          </cell>
          <cell r="AL58">
            <v>9497</v>
          </cell>
          <cell r="AM58">
            <v>9375</v>
          </cell>
          <cell r="AN58">
            <v>9307</v>
          </cell>
          <cell r="AO58">
            <v>9267</v>
          </cell>
          <cell r="AP58">
            <v>9267</v>
          </cell>
          <cell r="AQ58">
            <v>9314</v>
          </cell>
          <cell r="AR58">
            <v>9279</v>
          </cell>
          <cell r="AS58">
            <v>9279</v>
          </cell>
          <cell r="AT58">
            <v>9266</v>
          </cell>
          <cell r="AU58">
            <v>9266</v>
          </cell>
          <cell r="AV58">
            <v>9409</v>
          </cell>
          <cell r="AW58">
            <v>9467</v>
          </cell>
          <cell r="AX58">
            <v>9514</v>
          </cell>
          <cell r="AY58">
            <v>9550</v>
          </cell>
          <cell r="AZ58">
            <v>9550</v>
          </cell>
          <cell r="BA58">
            <v>10351</v>
          </cell>
          <cell r="BB58">
            <v>10298</v>
          </cell>
          <cell r="BC58">
            <v>10409</v>
          </cell>
        </row>
        <row r="59">
          <cell r="AU59">
            <v>11437</v>
          </cell>
          <cell r="AZ59">
            <v>11483</v>
          </cell>
        </row>
        <row r="60">
          <cell r="AU60" t="str">
            <v>nm</v>
          </cell>
        </row>
        <row r="61">
          <cell r="A61" t="str">
            <v>YOY change</v>
          </cell>
          <cell r="B61" t="str">
            <v>_enrollg</v>
          </cell>
          <cell r="M61">
            <v>-0.17265954000647876</v>
          </cell>
          <cell r="N61">
            <v>-0.16569622359008485</v>
          </cell>
          <cell r="O61">
            <v>-0.15913139367206719</v>
          </cell>
          <cell r="P61">
            <v>-0.15899436497615949</v>
          </cell>
          <cell r="Q61">
            <v>-0.15899436497615949</v>
          </cell>
          <cell r="R61">
            <v>-0.11844166014095536</v>
          </cell>
          <cell r="S61">
            <v>-0.10129611166500496</v>
          </cell>
          <cell r="T61">
            <v>-8.5443357207707016E-2</v>
          </cell>
          <cell r="U61">
            <v>-6.2983197608494024E-2</v>
          </cell>
          <cell r="V61">
            <v>-6.2983197608494024E-2</v>
          </cell>
          <cell r="W61">
            <v>1.3324450366423157E-3</v>
          </cell>
          <cell r="X61">
            <v>5.5469270024399719E-4</v>
          </cell>
          <cell r="Y61">
            <v>2.8127068166776903E-2</v>
          </cell>
          <cell r="Z61">
            <v>3.2893289328932873E-2</v>
          </cell>
          <cell r="AA61">
            <v>3.2893289328932873E-2</v>
          </cell>
          <cell r="AB61">
            <v>9.0042137946329648E-2</v>
          </cell>
          <cell r="AC61">
            <v>8.6594966182503619E-2</v>
          </cell>
          <cell r="AD61">
            <v>9.6770732753996391E-2</v>
          </cell>
          <cell r="AE61">
            <v>8.3075939929704967E-2</v>
          </cell>
          <cell r="AF61">
            <v>8.3075939929704967E-2</v>
          </cell>
          <cell r="AG61">
            <v>5.5340793489318418E-2</v>
          </cell>
          <cell r="AH61">
            <v>0.23132653061224495</v>
          </cell>
          <cell r="AI61">
            <v>0.16404186637973206</v>
          </cell>
          <cell r="AJ61">
            <v>0.14849051037466809</v>
          </cell>
          <cell r="AK61">
            <v>0.14849051037466809</v>
          </cell>
          <cell r="AL61">
            <v>9.5912859070753864E-2</v>
          </cell>
          <cell r="AM61">
            <v>-7.2760420982845742E-2</v>
          </cell>
          <cell r="AN61">
            <v>-6.6890756302521059E-2</v>
          </cell>
          <cell r="AO61">
            <v>-5.5312954876273634E-2</v>
          </cell>
          <cell r="AP61">
            <v>-5.5312954876273634E-2</v>
          </cell>
          <cell r="AQ61">
            <v>-1.407335737531934E-3</v>
          </cell>
          <cell r="AR61">
            <v>1.5729734560729236E-2</v>
          </cell>
          <cell r="AS61">
            <v>3.0529538904899178E-2</v>
          </cell>
          <cell r="AT61">
            <v>3.6617420465875128E-2</v>
          </cell>
          <cell r="AU61">
            <v>3.6617420465875128E-2</v>
          </cell>
          <cell r="AV61">
            <v>6.0776887166387183E-3</v>
          </cell>
          <cell r="AW61">
            <v>8.1830180378354989E-3</v>
          </cell>
          <cell r="AX61">
            <v>2.4469107751463604E-3</v>
          </cell>
          <cell r="AY61">
            <v>4.0220337501093439E-3</v>
          </cell>
          <cell r="AZ61">
            <v>4.0220337501093439E-3</v>
          </cell>
          <cell r="BA61">
            <v>0.10838732271055851</v>
          </cell>
          <cell r="BB61">
            <v>0.1013265840460813</v>
          </cell>
          <cell r="BC61">
            <v>0.10984221079243306</v>
          </cell>
        </row>
        <row r="64">
          <cell r="AU64">
            <v>560</v>
          </cell>
          <cell r="AZ64">
            <v>538</v>
          </cell>
        </row>
        <row r="65">
          <cell r="AU65">
            <v>10265.5</v>
          </cell>
          <cell r="AZ65">
            <v>10824</v>
          </cell>
        </row>
        <row r="66">
          <cell r="AU66">
            <v>18079.5</v>
          </cell>
          <cell r="AZ66">
            <v>19888</v>
          </cell>
        </row>
        <row r="67">
          <cell r="AU67">
            <v>6529.75</v>
          </cell>
          <cell r="AZ67">
            <v>6303.5</v>
          </cell>
        </row>
        <row r="71">
          <cell r="AU71">
            <v>3949</v>
          </cell>
          <cell r="AZ71">
            <v>3843</v>
          </cell>
        </row>
        <row r="72">
          <cell r="AU72">
            <v>6524</v>
          </cell>
          <cell r="AZ72">
            <v>6737</v>
          </cell>
        </row>
        <row r="73">
          <cell r="AU73">
            <v>621</v>
          </cell>
          <cell r="AZ73">
            <v>710</v>
          </cell>
        </row>
        <row r="74">
          <cell r="AU74">
            <v>105</v>
          </cell>
          <cell r="AZ74">
            <v>126</v>
          </cell>
        </row>
        <row r="75">
          <cell r="AU75">
            <v>93</v>
          </cell>
          <cell r="AZ75">
            <v>23</v>
          </cell>
        </row>
        <row r="76">
          <cell r="AU76">
            <v>11292</v>
          </cell>
          <cell r="AZ76">
            <v>11439</v>
          </cell>
        </row>
        <row r="78">
          <cell r="AU78">
            <v>145</v>
          </cell>
          <cell r="AZ78">
            <v>44</v>
          </cell>
        </row>
        <row r="79">
          <cell r="AU79">
            <v>0</v>
          </cell>
          <cell r="AZ79">
            <v>0</v>
          </cell>
        </row>
        <row r="80">
          <cell r="AU80">
            <v>145</v>
          </cell>
          <cell r="AZ80">
            <v>44</v>
          </cell>
        </row>
        <row r="82">
          <cell r="AU82">
            <v>11437</v>
          </cell>
          <cell r="AZ82">
            <v>11483</v>
          </cell>
        </row>
        <row r="84">
          <cell r="AU84">
            <v>5317</v>
          </cell>
          <cell r="AZ84">
            <v>5707</v>
          </cell>
        </row>
        <row r="85">
          <cell r="AU85">
            <v>0.74415675297410777</v>
          </cell>
          <cell r="AZ85">
            <v>0.76634886531489188</v>
          </cell>
        </row>
        <row r="88">
          <cell r="AU88" t="str">
            <v>2010A</v>
          </cell>
          <cell r="AZ88" t="str">
            <v>2011A</v>
          </cell>
        </row>
        <row r="95">
          <cell r="AU95">
            <v>3929</v>
          </cell>
          <cell r="AZ95">
            <v>4176</v>
          </cell>
        </row>
        <row r="96">
          <cell r="AU96">
            <v>1823</v>
          </cell>
          <cell r="AZ96">
            <v>1934</v>
          </cell>
        </row>
        <row r="97">
          <cell r="AU97">
            <v>1287</v>
          </cell>
          <cell r="AZ97">
            <v>1451</v>
          </cell>
        </row>
        <row r="98">
          <cell r="AU98">
            <v>804</v>
          </cell>
          <cell r="AZ98">
            <v>894</v>
          </cell>
        </row>
        <row r="99">
          <cell r="AU99">
            <v>1470</v>
          </cell>
          <cell r="AZ99">
            <v>489</v>
          </cell>
        </row>
        <row r="101">
          <cell r="AU101">
            <v>558</v>
          </cell>
          <cell r="AZ101">
            <v>685</v>
          </cell>
        </row>
        <row r="102">
          <cell r="AU102">
            <v>543</v>
          </cell>
          <cell r="AZ102">
            <v>600</v>
          </cell>
        </row>
        <row r="103">
          <cell r="AU103">
            <v>10414</v>
          </cell>
          <cell r="AZ103">
            <v>10229</v>
          </cell>
        </row>
        <row r="104">
          <cell r="AU104">
            <v>103</v>
          </cell>
          <cell r="AZ104">
            <v>77</v>
          </cell>
        </row>
        <row r="105">
          <cell r="AU105">
            <v>10517</v>
          </cell>
          <cell r="AZ105">
            <v>10306</v>
          </cell>
        </row>
        <row r="106">
          <cell r="AU106">
            <v>2802</v>
          </cell>
          <cell r="AZ106">
            <v>2875</v>
          </cell>
        </row>
        <row r="107">
          <cell r="AU107">
            <v>13319</v>
          </cell>
          <cell r="AZ107">
            <v>13181</v>
          </cell>
        </row>
        <row r="113">
          <cell r="AU113">
            <v>289.10963944076525</v>
          </cell>
          <cell r="AZ113">
            <v>306.00131897120241</v>
          </cell>
        </row>
        <row r="114">
          <cell r="AU114">
            <v>181.66417538614849</v>
          </cell>
          <cell r="AZ114">
            <v>203.42905227726939</v>
          </cell>
        </row>
        <row r="115">
          <cell r="AU115">
            <v>839.04109589041093</v>
          </cell>
          <cell r="AZ115">
            <v>926.13636363636363</v>
          </cell>
        </row>
        <row r="117">
          <cell r="AU117">
            <v>87.901701323251416</v>
          </cell>
          <cell r="AZ117">
            <v>105.8078467717022</v>
          </cell>
        </row>
        <row r="118">
          <cell r="AU118">
            <v>25.14944261941946</v>
          </cell>
          <cell r="AZ118">
            <v>25.259181163240203</v>
          </cell>
        </row>
        <row r="124">
          <cell r="AU124">
            <v>1.6160507856890716E-2</v>
          </cell>
          <cell r="AZ124">
            <v>5.8426552511743779E-2</v>
          </cell>
        </row>
        <row r="125">
          <cell r="AU125">
            <v>-8.4921139754239316E-3</v>
          </cell>
          <cell r="AZ125">
            <v>0.11980830477366888</v>
          </cell>
        </row>
        <row r="126">
          <cell r="AU126">
            <v>-0.1572925060435133</v>
          </cell>
          <cell r="AZ126">
            <v>0.10380333951762521</v>
          </cell>
        </row>
        <row r="128">
          <cell r="AU128">
            <v>-6.0346081140030261E-3</v>
          </cell>
          <cell r="AZ128">
            <v>0.20370647187592406</v>
          </cell>
        </row>
        <row r="129">
          <cell r="AU129">
            <v>5.1838453082778679E-2</v>
          </cell>
          <cell r="AZ129">
            <v>4.3634582873819383E-3</v>
          </cell>
        </row>
        <row r="131">
          <cell r="AU131">
            <v>243</v>
          </cell>
          <cell r="AZ131">
            <v>274</v>
          </cell>
        </row>
        <row r="132">
          <cell r="AU132">
            <v>0.34254143646408841</v>
          </cell>
          <cell r="AZ132">
            <v>0.12757201646090532</v>
          </cell>
        </row>
        <row r="134">
          <cell r="AU134">
            <v>1420</v>
          </cell>
          <cell r="AZ134">
            <v>1447</v>
          </cell>
        </row>
        <row r="135">
          <cell r="AU135">
            <v>266</v>
          </cell>
          <cell r="AZ135">
            <v>234</v>
          </cell>
        </row>
        <row r="136">
          <cell r="AU136">
            <v>1686</v>
          </cell>
          <cell r="AZ136">
            <v>1681</v>
          </cell>
        </row>
        <row r="137">
          <cell r="AU137">
            <v>9.196891191709855E-2</v>
          </cell>
          <cell r="AZ137">
            <v>-2.9655990510083496E-3</v>
          </cell>
        </row>
        <row r="139">
          <cell r="AU139">
            <v>15248</v>
          </cell>
          <cell r="AZ139">
            <v>15136</v>
          </cell>
        </row>
        <row r="140">
          <cell r="AU140">
            <v>0.16317034098710814</v>
          </cell>
          <cell r="AZ140">
            <v>-7.3452256033578189E-3</v>
          </cell>
        </row>
        <row r="141">
          <cell r="AU141">
            <v>15005</v>
          </cell>
          <cell r="AZ141">
            <v>14862</v>
          </cell>
        </row>
        <row r="142">
          <cell r="AU142">
            <v>0.16065903465346532</v>
          </cell>
          <cell r="AZ142">
            <v>-9.5301566144618821E-3</v>
          </cell>
        </row>
        <row r="146">
          <cell r="AU146">
            <v>3929</v>
          </cell>
          <cell r="AZ146">
            <v>4176</v>
          </cell>
        </row>
        <row r="147">
          <cell r="AU147">
            <v>0.80099134639857472</v>
          </cell>
          <cell r="AZ147">
            <v>0.79703160919540239</v>
          </cell>
        </row>
        <row r="148">
          <cell r="AU148">
            <v>3147.0950000000003</v>
          </cell>
          <cell r="AZ148">
            <v>3328.4040000000005</v>
          </cell>
        </row>
        <row r="160">
          <cell r="AU160">
            <v>1470</v>
          </cell>
          <cell r="AZ160">
            <v>489</v>
          </cell>
        </row>
        <row r="161">
          <cell r="AU161">
            <v>0.96183836734693873</v>
          </cell>
          <cell r="AZ161">
            <v>0.89102862985685072</v>
          </cell>
        </row>
        <row r="162">
          <cell r="AU162">
            <v>1413.9023999999999</v>
          </cell>
          <cell r="AZ162">
            <v>435.71300000000002</v>
          </cell>
        </row>
        <row r="165">
          <cell r="AU165">
            <v>4457</v>
          </cell>
          <cell r="AZ165">
            <v>4879</v>
          </cell>
        </row>
        <row r="166">
          <cell r="AU166">
            <v>0.78330639443571914</v>
          </cell>
          <cell r="AZ166">
            <v>0.78834289813486358</v>
          </cell>
        </row>
        <row r="167">
          <cell r="AU167">
            <v>3491.1966000000002</v>
          </cell>
          <cell r="AZ167">
            <v>3846.3249999999994</v>
          </cell>
        </row>
        <row r="170">
          <cell r="AU170">
            <v>558</v>
          </cell>
          <cell r="AZ170">
            <v>685</v>
          </cell>
        </row>
        <row r="171">
          <cell r="AU171">
            <v>0.92796774193548393</v>
          </cell>
          <cell r="AZ171">
            <v>0.83439124087591243</v>
          </cell>
        </row>
        <row r="172">
          <cell r="AU172">
            <v>517.80600000000004</v>
          </cell>
          <cell r="AZ172">
            <v>571.55799999999999</v>
          </cell>
        </row>
        <row r="174">
          <cell r="AU174">
            <v>8570</v>
          </cell>
          <cell r="AZ174">
            <v>8182</v>
          </cell>
        </row>
        <row r="175">
          <cell r="AU175">
            <v>0.8229306702515844</v>
          </cell>
          <cell r="AZ175">
            <v>0.7998826864796168</v>
          </cell>
        </row>
        <row r="177">
          <cell r="AU177">
            <v>100</v>
          </cell>
          <cell r="AZ177">
            <v>83</v>
          </cell>
        </row>
        <row r="178">
          <cell r="AU178">
            <v>0.970873786407767</v>
          </cell>
          <cell r="AZ178">
            <v>1.0779220779220779</v>
          </cell>
        </row>
        <row r="180">
          <cell r="AU180">
            <v>8670</v>
          </cell>
          <cell r="AZ180">
            <v>8265</v>
          </cell>
        </row>
        <row r="181">
          <cell r="AU181">
            <v>0.82437957592469335</v>
          </cell>
          <cell r="AZ181">
            <v>0.80196002328740534</v>
          </cell>
        </row>
        <row r="183">
          <cell r="AU183">
            <v>1169</v>
          </cell>
          <cell r="AZ183">
            <v>1203</v>
          </cell>
        </row>
        <row r="184">
          <cell r="AU184">
            <v>0.82323943661971832</v>
          </cell>
          <cell r="AZ184">
            <v>0.83137525915687627</v>
          </cell>
        </row>
        <row r="185">
          <cell r="AU185">
            <v>0.12837837837837829</v>
          </cell>
          <cell r="AZ185">
            <v>2.9084687767322537E-2</v>
          </cell>
        </row>
        <row r="187">
          <cell r="AU187">
            <v>1791</v>
          </cell>
        </row>
        <row r="188">
          <cell r="AU188">
            <v>395</v>
          </cell>
        </row>
        <row r="189">
          <cell r="AU189">
            <v>183</v>
          </cell>
        </row>
        <row r="190">
          <cell r="AU190">
            <v>370</v>
          </cell>
        </row>
        <row r="191">
          <cell r="AU191">
            <v>2739</v>
          </cell>
          <cell r="AZ191">
            <v>2757</v>
          </cell>
        </row>
        <row r="192">
          <cell r="AU192">
            <v>402</v>
          </cell>
          <cell r="AZ192">
            <v>438</v>
          </cell>
        </row>
        <row r="193">
          <cell r="AU193">
            <v>3141</v>
          </cell>
          <cell r="AZ193">
            <v>3195</v>
          </cell>
        </row>
        <row r="194">
          <cell r="AU194">
            <v>0.23766646489104115</v>
          </cell>
          <cell r="AZ194">
            <v>0.24381868131868131</v>
          </cell>
        </row>
        <row r="196">
          <cell r="AU196">
            <v>74</v>
          </cell>
          <cell r="AZ196">
            <v>104</v>
          </cell>
        </row>
        <row r="198">
          <cell r="AU198">
            <v>193</v>
          </cell>
          <cell r="AZ198">
            <v>198</v>
          </cell>
        </row>
        <row r="199">
          <cell r="AU199">
            <v>151</v>
          </cell>
          <cell r="AZ199">
            <v>156</v>
          </cell>
        </row>
        <row r="200">
          <cell r="AU200">
            <v>148</v>
          </cell>
          <cell r="AZ200">
            <v>169</v>
          </cell>
        </row>
        <row r="201">
          <cell r="AU201">
            <v>74</v>
          </cell>
          <cell r="AZ201">
            <v>45</v>
          </cell>
        </row>
        <row r="202">
          <cell r="AU202">
            <v>61</v>
          </cell>
          <cell r="AZ202">
            <v>64</v>
          </cell>
        </row>
        <row r="203">
          <cell r="AU203">
            <v>230</v>
          </cell>
          <cell r="AZ203">
            <v>190</v>
          </cell>
        </row>
        <row r="204">
          <cell r="AU204">
            <v>857</v>
          </cell>
          <cell r="AZ204">
            <v>822</v>
          </cell>
        </row>
        <row r="206">
          <cell r="AU206">
            <v>4072</v>
          </cell>
          <cell r="AZ206">
            <v>4121</v>
          </cell>
        </row>
        <row r="207">
          <cell r="AU207">
            <v>0.27137620793068978</v>
          </cell>
          <cell r="AZ207">
            <v>0.27728434934732876</v>
          </cell>
        </row>
        <row r="208">
          <cell r="AU208">
            <v>29.669785200081606</v>
          </cell>
          <cell r="AZ208">
            <v>29.906528491393075</v>
          </cell>
        </row>
        <row r="209">
          <cell r="AU209">
            <v>2.0566609859705043E-2</v>
          </cell>
          <cell r="AZ209">
            <v>7.9792721691431812E-3</v>
          </cell>
        </row>
        <row r="210">
          <cell r="AU210">
            <v>13911</v>
          </cell>
          <cell r="AZ210">
            <v>13589</v>
          </cell>
        </row>
        <row r="212">
          <cell r="AU212">
            <v>1337</v>
          </cell>
          <cell r="AZ212">
            <v>1547</v>
          </cell>
        </row>
        <row r="213">
          <cell r="AU213">
            <v>0.18528368794326244</v>
          </cell>
          <cell r="AZ213">
            <v>0.15706806282722519</v>
          </cell>
        </row>
        <row r="215">
          <cell r="AU215">
            <v>476</v>
          </cell>
          <cell r="AZ215">
            <v>558</v>
          </cell>
        </row>
        <row r="216">
          <cell r="AU216">
            <v>0</v>
          </cell>
          <cell r="AZ216">
            <v>-1</v>
          </cell>
        </row>
        <row r="217">
          <cell r="AU217">
            <v>476</v>
          </cell>
          <cell r="AZ217">
            <v>557</v>
          </cell>
        </row>
        <row r="218">
          <cell r="AU218">
            <v>0.35602094240837695</v>
          </cell>
          <cell r="AZ218">
            <v>0.36005171299288946</v>
          </cell>
        </row>
        <row r="220">
          <cell r="AU220">
            <v>861</v>
          </cell>
          <cell r="AZ220">
            <v>990</v>
          </cell>
        </row>
        <row r="221">
          <cell r="AU221">
            <v>0.18106995884773669</v>
          </cell>
          <cell r="AZ221">
            <v>0.14982578397212554</v>
          </cell>
        </row>
        <row r="224">
          <cell r="AU224">
            <v>26</v>
          </cell>
          <cell r="AZ224">
            <v>0</v>
          </cell>
        </row>
        <row r="225">
          <cell r="AU225">
            <v>26</v>
          </cell>
          <cell r="AZ225">
            <v>0</v>
          </cell>
        </row>
        <row r="226">
          <cell r="AU226">
            <v>0</v>
          </cell>
          <cell r="AZ226">
            <v>0</v>
          </cell>
        </row>
        <row r="229">
          <cell r="AU229">
            <v>0</v>
          </cell>
          <cell r="AZ229">
            <v>0</v>
          </cell>
        </row>
        <row r="230">
          <cell r="AU230">
            <v>0</v>
          </cell>
          <cell r="AZ230">
            <v>0</v>
          </cell>
        </row>
        <row r="231">
          <cell r="AU231">
            <v>0</v>
          </cell>
          <cell r="AZ231">
            <v>0</v>
          </cell>
        </row>
        <row r="233">
          <cell r="AU233">
            <v>887</v>
          </cell>
          <cell r="AZ233">
            <v>990</v>
          </cell>
        </row>
        <row r="234">
          <cell r="AU234">
            <v>0.2457865168539326</v>
          </cell>
          <cell r="AZ234">
            <v>0.11612175873731689</v>
          </cell>
        </row>
        <row r="238">
          <cell r="AZ238">
            <v>61</v>
          </cell>
        </row>
        <row r="239">
          <cell r="AZ239">
            <v>0</v>
          </cell>
        </row>
        <row r="240">
          <cell r="AZ240">
            <v>22.464566929133852</v>
          </cell>
        </row>
        <row r="241">
          <cell r="AZ241">
            <v>83.464566929133852</v>
          </cell>
        </row>
        <row r="244">
          <cell r="AZ244">
            <v>0.81163888888888902</v>
          </cell>
        </row>
        <row r="245">
          <cell r="AZ245">
            <v>0.89102862985685072</v>
          </cell>
        </row>
        <row r="246">
          <cell r="AZ246">
            <v>0.79294723650935306</v>
          </cell>
        </row>
        <row r="247">
          <cell r="AZ247">
            <v>0.79864592466378193</v>
          </cell>
        </row>
        <row r="252">
          <cell r="BE252">
            <v>-0.81163888888888902</v>
          </cell>
        </row>
        <row r="253">
          <cell r="BE253">
            <v>-0.89102862985685072</v>
          </cell>
        </row>
        <row r="254">
          <cell r="BE254">
            <v>-0.79294723650935306</v>
          </cell>
        </row>
      </sheetData>
      <sheetData sheetId="21">
        <row r="2">
          <cell r="A2" t="str">
            <v>CIGNA, Inc.</v>
          </cell>
        </row>
      </sheetData>
      <sheetData sheetId="22">
        <row r="2">
          <cell r="A2" t="str">
            <v>CIGNA, Inc.</v>
          </cell>
        </row>
      </sheetData>
      <sheetData sheetId="23">
        <row r="1">
          <cell r="A1" t="str">
            <v>$EZ$2</v>
          </cell>
        </row>
      </sheetData>
      <sheetData sheetId="24">
        <row r="1">
          <cell r="B1" t="str">
            <v>ID</v>
          </cell>
        </row>
      </sheetData>
      <sheetData sheetId="25">
        <row r="1">
          <cell r="A1" t="str">
            <v>Most Recent User ID</v>
          </cell>
        </row>
      </sheetData>
      <sheetData sheetId="26">
        <row r="1">
          <cell r="A1" t="str">
            <v>RRST-10.2</v>
          </cell>
        </row>
      </sheetData>
      <sheetData sheetId="27"/>
      <sheetData sheetId="28"/>
      <sheetData sheetId="29" refreshError="1"/>
      <sheetData sheetId="30" refreshError="1"/>
      <sheetData sheetId="3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mp;A PMPM"/>
      <sheetName val="#REF"/>
    </sheetNames>
    <sheetDataSet>
      <sheetData sheetId="0">
        <row r="3">
          <cell r="B3" t="str">
            <v>2011E</v>
          </cell>
          <cell r="C3" t="str">
            <v>2012E</v>
          </cell>
        </row>
        <row r="4">
          <cell r="A4" t="str">
            <v>General &amp; Administrative expenses</v>
          </cell>
          <cell r="B4">
            <v>6673.1</v>
          </cell>
          <cell r="C4">
            <v>6871.3075355876917</v>
          </cell>
        </row>
        <row r="5">
          <cell r="A5" t="str">
            <v>Less: CareMore Qtrly Run Rate, in for 8.5 additional mo.</v>
          </cell>
          <cell r="C5">
            <v>80</v>
          </cell>
        </row>
        <row r="6">
          <cell r="A6" t="str">
            <v>Less: Inc. CareMore Qtrly Run Rate, in for full year</v>
          </cell>
          <cell r="C6">
            <v>36</v>
          </cell>
        </row>
        <row r="7">
          <cell r="A7" t="str">
            <v>General &amp; Administrative expenses, CORE</v>
          </cell>
          <cell r="B7">
            <v>6673.1</v>
          </cell>
          <cell r="C7">
            <v>6755.3075355876917</v>
          </cell>
        </row>
        <row r="9">
          <cell r="A9" t="str">
            <v>Medical Enrollment + PDP</v>
          </cell>
          <cell r="B9">
            <v>34918</v>
          </cell>
          <cell r="C9">
            <v>34064</v>
          </cell>
        </row>
        <row r="10">
          <cell r="A10" t="str">
            <v>Other Membership Served (assuming flat Y-Y)</v>
          </cell>
          <cell r="B10">
            <v>43611</v>
          </cell>
          <cell r="C10">
            <v>43611</v>
          </cell>
        </row>
        <row r="12">
          <cell r="A12" t="str">
            <v>Core G&amp;A expenses PMPM</v>
          </cell>
          <cell r="B12">
            <v>7.0813542343168345</v>
          </cell>
          <cell r="C12">
            <v>7.2474064323438387</v>
          </cell>
        </row>
        <row r="13">
          <cell r="C13">
            <v>2.3449215013464642E-2</v>
          </cell>
        </row>
        <row r="14">
          <cell r="A14" t="str">
            <v>Implied CORE G&amp;A @ Flat G&amp;A PMPM ($7.27*12e Members)</v>
          </cell>
          <cell r="C14">
            <v>6600.5302818067212</v>
          </cell>
        </row>
        <row r="16">
          <cell r="A16" t="str">
            <v>Delta:  Implied CORE vs. MSe CORE G&amp;A</v>
          </cell>
          <cell r="C16">
            <v>154.77725378097057</v>
          </cell>
        </row>
        <row r="18">
          <cell r="A18" t="str">
            <v>EPS sensitivity to G&amp;A Conservatism</v>
          </cell>
          <cell r="C18" t="str">
            <v xml:space="preserve">~$0.15 </v>
          </cell>
        </row>
        <row r="20">
          <cell r="A20" t="str">
            <v>Tax Rate</v>
          </cell>
          <cell r="C20">
            <v>0.34839517299247991</v>
          </cell>
        </row>
        <row r="21">
          <cell r="A21" t="str">
            <v>Share Count</v>
          </cell>
          <cell r="C21">
            <v>326.68867976186488</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Model"/>
      <sheetName val="PBM"/>
      <sheetName val="HCIT"/>
      <sheetName val="__FDSCACHE__"/>
      <sheetName val="Scenarios"/>
      <sheetName val="Guidance"/>
      <sheetName val="Debt"/>
      <sheetName val="Valuation"/>
      <sheetName val="IndexInformation"/>
      <sheetName val="ModPubIndex"/>
      <sheetName val="MW-Cache"/>
      <sheetName val="RRST"/>
      <sheetName val="CTRX.O"/>
    </sheetNames>
    <sheetDataSet>
      <sheetData sheetId="0"/>
      <sheetData sheetId="1"/>
      <sheetData sheetId="2"/>
      <sheetData sheetId="3">
        <row r="1">
          <cell r="B1" t="str">
            <v>SXCI</v>
          </cell>
          <cell r="G1" t="str">
            <v xml:space="preserve"> </v>
          </cell>
          <cell r="H1" t="str">
            <v xml:space="preserve"> </v>
          </cell>
          <cell r="I1" t="str">
            <v xml:space="preserve"> </v>
          </cell>
          <cell r="J1" t="str">
            <v xml:space="preserve"> </v>
          </cell>
          <cell r="N1" t="str">
            <v xml:space="preserve"> </v>
          </cell>
          <cell r="T1" t="str">
            <v xml:space="preserve"> </v>
          </cell>
        </row>
        <row r="3">
          <cell r="O3" t="str">
            <v>C</v>
          </cell>
          <cell r="BU3">
            <v>0.36303369580238032</v>
          </cell>
        </row>
        <row r="5">
          <cell r="B5" t="str">
            <v>CTRX</v>
          </cell>
          <cell r="K5" t="str">
            <v xml:space="preserve"> </v>
          </cell>
          <cell r="L5" t="str">
            <v xml:space="preserve"> </v>
          </cell>
          <cell r="M5" t="str">
            <v xml:space="preserve"> </v>
          </cell>
          <cell r="N5" t="str">
            <v xml:space="preserve"> </v>
          </cell>
          <cell r="O5" t="str">
            <v xml:space="preserve"> </v>
          </cell>
          <cell r="P5" t="str">
            <v xml:space="preserve"> </v>
          </cell>
          <cell r="Q5" t="str">
            <v xml:space="preserve"> </v>
          </cell>
          <cell r="R5" t="str">
            <v xml:space="preserve"> </v>
          </cell>
          <cell r="S5" t="str">
            <v xml:space="preserve"> </v>
          </cell>
          <cell r="T5" t="str">
            <v xml:space="preserve"> </v>
          </cell>
          <cell r="U5" t="str">
            <v xml:space="preserve"> </v>
          </cell>
          <cell r="V5" t="str">
            <v xml:space="preserve"> </v>
          </cell>
          <cell r="W5" t="str">
            <v xml:space="preserve"> </v>
          </cell>
          <cell r="X5" t="str">
            <v xml:space="preserve"> </v>
          </cell>
          <cell r="Y5" t="str">
            <v xml:space="preserve"> </v>
          </cell>
        </row>
        <row r="6">
          <cell r="B6" t="str">
            <v>Quarterly Income Statement</v>
          </cell>
          <cell r="H6" t="str">
            <v xml:space="preserve"> </v>
          </cell>
          <cell r="I6" t="str">
            <v xml:space="preserve"> </v>
          </cell>
          <cell r="J6" t="str">
            <v xml:space="preserve"> </v>
          </cell>
          <cell r="L6" t="str">
            <v xml:space="preserve"> </v>
          </cell>
          <cell r="M6" t="str">
            <v xml:space="preserve"> </v>
          </cell>
          <cell r="N6" t="str">
            <v xml:space="preserve"> </v>
          </cell>
          <cell r="O6" t="str">
            <v xml:space="preserve"> </v>
          </cell>
          <cell r="P6" t="str">
            <v xml:space="preserve"> </v>
          </cell>
          <cell r="Q6" t="str">
            <v xml:space="preserve"> </v>
          </cell>
          <cell r="R6" t="str">
            <v xml:space="preserve"> </v>
          </cell>
          <cell r="S6" t="str">
            <v xml:space="preserve"> </v>
          </cell>
          <cell r="T6" t="str">
            <v xml:space="preserve"> </v>
          </cell>
          <cell r="U6" t="str">
            <v xml:space="preserve"> </v>
          </cell>
          <cell r="V6" t="str">
            <v xml:space="preserve"> </v>
          </cell>
          <cell r="W6" t="str">
            <v xml:space="preserve"> </v>
          </cell>
          <cell r="X6" t="str">
            <v xml:space="preserve"> </v>
          </cell>
          <cell r="Y6" t="str">
            <v xml:space="preserve"> </v>
          </cell>
          <cell r="Z6" t="str">
            <v xml:space="preserve"> </v>
          </cell>
        </row>
        <row r="7">
          <cell r="E7">
            <v>36891</v>
          </cell>
          <cell r="F7">
            <v>36981</v>
          </cell>
          <cell r="G7">
            <v>37072</v>
          </cell>
          <cell r="H7">
            <v>37164</v>
          </cell>
          <cell r="I7">
            <v>37256</v>
          </cell>
          <cell r="J7">
            <v>37256</v>
          </cell>
          <cell r="K7">
            <v>37346</v>
          </cell>
          <cell r="L7">
            <v>37437</v>
          </cell>
          <cell r="M7">
            <v>37529</v>
          </cell>
          <cell r="N7">
            <v>37621</v>
          </cell>
          <cell r="O7">
            <v>37621</v>
          </cell>
          <cell r="P7">
            <v>37711</v>
          </cell>
          <cell r="Q7">
            <v>37802</v>
          </cell>
          <cell r="R7">
            <v>37894</v>
          </cell>
          <cell r="S7">
            <v>37986</v>
          </cell>
          <cell r="T7">
            <v>37986</v>
          </cell>
          <cell r="U7">
            <v>38077</v>
          </cell>
          <cell r="V7">
            <v>38168</v>
          </cell>
          <cell r="W7">
            <v>38260</v>
          </cell>
          <cell r="X7">
            <v>38352</v>
          </cell>
          <cell r="Y7">
            <v>38352</v>
          </cell>
          <cell r="Z7">
            <v>38442</v>
          </cell>
          <cell r="AA7">
            <v>38533</v>
          </cell>
          <cell r="AB7">
            <v>38625</v>
          </cell>
          <cell r="AC7">
            <v>38717</v>
          </cell>
          <cell r="AD7">
            <v>38717</v>
          </cell>
          <cell r="AE7">
            <v>38807</v>
          </cell>
          <cell r="AF7">
            <v>38898</v>
          </cell>
          <cell r="AG7">
            <v>38990</v>
          </cell>
          <cell r="AH7">
            <v>39082</v>
          </cell>
          <cell r="AI7">
            <v>39082</v>
          </cell>
          <cell r="AJ7">
            <v>39172</v>
          </cell>
          <cell r="AK7">
            <v>39263</v>
          </cell>
          <cell r="AL7">
            <v>39355</v>
          </cell>
          <cell r="AM7">
            <v>39447</v>
          </cell>
          <cell r="AN7">
            <v>39447</v>
          </cell>
          <cell r="AO7">
            <v>39538</v>
          </cell>
          <cell r="AP7">
            <v>39629</v>
          </cell>
          <cell r="AQ7">
            <v>39721</v>
          </cell>
          <cell r="AR7">
            <v>39813</v>
          </cell>
          <cell r="AS7">
            <v>39813</v>
          </cell>
          <cell r="AT7">
            <v>39903</v>
          </cell>
          <cell r="AU7">
            <v>39994</v>
          </cell>
          <cell r="AV7">
            <v>40086</v>
          </cell>
          <cell r="AW7">
            <v>40178</v>
          </cell>
          <cell r="AX7">
            <v>40178</v>
          </cell>
          <cell r="AY7">
            <v>40268</v>
          </cell>
          <cell r="AZ7">
            <v>40359</v>
          </cell>
          <cell r="BA7">
            <v>40451</v>
          </cell>
          <cell r="BB7">
            <v>40543</v>
          </cell>
          <cell r="BC7">
            <v>40543</v>
          </cell>
          <cell r="BD7">
            <v>40633</v>
          </cell>
          <cell r="BE7">
            <v>40724</v>
          </cell>
          <cell r="BF7">
            <v>40816</v>
          </cell>
          <cell r="BG7">
            <v>40908</v>
          </cell>
          <cell r="BH7">
            <v>40908</v>
          </cell>
          <cell r="BI7">
            <v>40999</v>
          </cell>
          <cell r="BJ7">
            <v>41090</v>
          </cell>
          <cell r="BK7">
            <v>41182</v>
          </cell>
          <cell r="BL7">
            <v>41274</v>
          </cell>
          <cell r="BM7">
            <v>41274</v>
          </cell>
          <cell r="BN7">
            <v>41364</v>
          </cell>
          <cell r="BO7">
            <v>41455</v>
          </cell>
          <cell r="BP7">
            <v>41547</v>
          </cell>
          <cell r="BQ7">
            <v>41639</v>
          </cell>
          <cell r="BR7">
            <v>41639</v>
          </cell>
          <cell r="BS7">
            <v>41729</v>
          </cell>
          <cell r="BT7">
            <v>41820</v>
          </cell>
          <cell r="BU7">
            <v>41912</v>
          </cell>
          <cell r="BV7">
            <v>42004</v>
          </cell>
          <cell r="BW7">
            <v>42004</v>
          </cell>
          <cell r="BX7">
            <v>42094</v>
          </cell>
          <cell r="BY7">
            <v>42185</v>
          </cell>
          <cell r="BZ7">
            <v>42277</v>
          </cell>
          <cell r="CA7">
            <v>42369</v>
          </cell>
          <cell r="CB7">
            <v>42369</v>
          </cell>
          <cell r="CC7">
            <v>42094</v>
          </cell>
          <cell r="CD7">
            <v>42185</v>
          </cell>
          <cell r="CE7">
            <v>42277</v>
          </cell>
          <cell r="CF7">
            <v>42369</v>
          </cell>
          <cell r="CG7">
            <v>42369</v>
          </cell>
        </row>
        <row r="8">
          <cell r="B8" t="str">
            <v>INCOME STATEMENT</v>
          </cell>
          <cell r="F8" t="str">
            <v>Fiscal Year End, Dec 31 2001</v>
          </cell>
          <cell r="K8" t="str">
            <v>Fiscal Year End, Dec 31 2002</v>
          </cell>
          <cell r="P8" t="str">
            <v>Fiscal Year End, Dec 31 2003</v>
          </cell>
          <cell r="U8" t="str">
            <v>Fiscal Year End, Dec 31 2004</v>
          </cell>
          <cell r="Z8" t="str">
            <v xml:space="preserve">Fiscal Year End, Dec 31 2005 </v>
          </cell>
          <cell r="AE8" t="str">
            <v xml:space="preserve">Fiscal Year End, Dec 31 2006 </v>
          </cell>
          <cell r="AJ8" t="str">
            <v xml:space="preserve">Fiscal Year End, Dec 31 2007 </v>
          </cell>
          <cell r="AO8" t="str">
            <v>Fiscal Year End, Dec 31 2008</v>
          </cell>
          <cell r="AT8" t="str">
            <v>Fiscal Year End, Dec 31 2009</v>
          </cell>
          <cell r="AY8" t="str">
            <v>Fiscal Year End, Dec 31 2010</v>
          </cell>
          <cell r="BD8" t="str">
            <v>Fiscal Year End, Dec 31 2011</v>
          </cell>
          <cell r="BI8" t="str">
            <v>Fiscal Year End, Dec 31 2012</v>
          </cell>
          <cell r="BN8" t="str">
            <v>Fiscal Year End, Dec 31 2013</v>
          </cell>
          <cell r="BS8" t="str">
            <v>Fiscal Year End, Dec 31 2014</v>
          </cell>
          <cell r="BX8" t="str">
            <v>Fiscal Year End, Dec 31 2015</v>
          </cell>
          <cell r="CC8" t="str">
            <v>Fiscal Year End, Dec 31 2016</v>
          </cell>
        </row>
        <row r="9">
          <cell r="B9" t="str">
            <v>(In millions, except per share)</v>
          </cell>
          <cell r="D9" t="str">
            <v>1999A</v>
          </cell>
          <cell r="E9" t="str">
            <v>2000A</v>
          </cell>
          <cell r="F9" t="str">
            <v>1Q01A</v>
          </cell>
          <cell r="G9" t="str">
            <v>2Q01A</v>
          </cell>
          <cell r="H9" t="str">
            <v>3Q01A</v>
          </cell>
          <cell r="I9" t="str">
            <v>4Q01A</v>
          </cell>
          <cell r="J9" t="str">
            <v>2001A</v>
          </cell>
          <cell r="K9" t="str">
            <v>1Q02A</v>
          </cell>
          <cell r="L9" t="str">
            <v>2Q02A</v>
          </cell>
          <cell r="M9" t="str">
            <v>3Q02A</v>
          </cell>
          <cell r="N9" t="str">
            <v>4Q02A</v>
          </cell>
          <cell r="O9" t="str">
            <v>2002A</v>
          </cell>
          <cell r="P9" t="str">
            <v>1Q03A</v>
          </cell>
          <cell r="Q9" t="str">
            <v>2Q03A</v>
          </cell>
          <cell r="R9" t="str">
            <v>3Q03A</v>
          </cell>
          <cell r="S9" t="str">
            <v>4Q03A</v>
          </cell>
          <cell r="T9" t="str">
            <v>2003A</v>
          </cell>
          <cell r="U9" t="str">
            <v>1QA</v>
          </cell>
          <cell r="V9" t="str">
            <v>2QA</v>
          </cell>
          <cell r="W9" t="str">
            <v>3QA</v>
          </cell>
          <cell r="X9" t="str">
            <v>4QA</v>
          </cell>
          <cell r="Y9" t="str">
            <v>2004A</v>
          </cell>
          <cell r="Z9" t="str">
            <v>1QA</v>
          </cell>
          <cell r="AA9" t="str">
            <v>2QA</v>
          </cell>
          <cell r="AB9" t="str">
            <v>3QA</v>
          </cell>
          <cell r="AC9" t="str">
            <v>4QA</v>
          </cell>
          <cell r="AD9" t="str">
            <v>2005A</v>
          </cell>
          <cell r="AE9" t="str">
            <v>1QA</v>
          </cell>
          <cell r="AF9" t="str">
            <v>2QA</v>
          </cell>
          <cell r="AG9" t="str">
            <v>3QA</v>
          </cell>
          <cell r="AH9" t="str">
            <v>4QA</v>
          </cell>
          <cell r="AI9" t="str">
            <v>2006A</v>
          </cell>
          <cell r="AJ9" t="str">
            <v>1QA</v>
          </cell>
          <cell r="AK9" t="str">
            <v>2QA</v>
          </cell>
          <cell r="AL9" t="str">
            <v>3QA</v>
          </cell>
          <cell r="AM9" t="str">
            <v>4QA</v>
          </cell>
          <cell r="AN9" t="str">
            <v>2007A</v>
          </cell>
          <cell r="AO9" t="str">
            <v>1QA</v>
          </cell>
          <cell r="AP9" t="str">
            <v>2QA</v>
          </cell>
          <cell r="AQ9" t="str">
            <v>3QA</v>
          </cell>
          <cell r="AR9" t="str">
            <v>4QA</v>
          </cell>
          <cell r="AS9" t="str">
            <v>2008A</v>
          </cell>
          <cell r="AT9" t="str">
            <v>1QA</v>
          </cell>
          <cell r="AU9" t="str">
            <v>2QA</v>
          </cell>
          <cell r="AV9" t="str">
            <v>3QA</v>
          </cell>
          <cell r="AW9" t="str">
            <v>4QA</v>
          </cell>
          <cell r="AX9" t="str">
            <v>2009A</v>
          </cell>
          <cell r="AY9" t="str">
            <v>1QA</v>
          </cell>
          <cell r="AZ9" t="str">
            <v>2QA</v>
          </cell>
          <cell r="BA9" t="str">
            <v>3QA</v>
          </cell>
          <cell r="BB9" t="str">
            <v>4QA</v>
          </cell>
          <cell r="BC9" t="str">
            <v>2010A</v>
          </cell>
          <cell r="BD9" t="str">
            <v>1QA</v>
          </cell>
          <cell r="BE9" t="str">
            <v>2QA</v>
          </cell>
          <cell r="BF9" t="str">
            <v>3QA</v>
          </cell>
          <cell r="BG9" t="str">
            <v>4QA</v>
          </cell>
          <cell r="BH9" t="str">
            <v>2011A</v>
          </cell>
          <cell r="BI9" t="str">
            <v>1QA</v>
          </cell>
          <cell r="BJ9" t="str">
            <v>2QA</v>
          </cell>
          <cell r="BK9" t="str">
            <v>3QA</v>
          </cell>
          <cell r="BL9" t="str">
            <v>4QA</v>
          </cell>
          <cell r="BM9" t="str">
            <v>2012A</v>
          </cell>
          <cell r="BN9" t="str">
            <v>1QA</v>
          </cell>
          <cell r="BO9" t="str">
            <v>2QA</v>
          </cell>
          <cell r="BP9" t="str">
            <v>3QA</v>
          </cell>
          <cell r="BQ9" t="str">
            <v>4QE</v>
          </cell>
          <cell r="BR9" t="str">
            <v>2013E</v>
          </cell>
          <cell r="BS9" t="str">
            <v>1QE</v>
          </cell>
          <cell r="BT9" t="str">
            <v>2QE</v>
          </cell>
          <cell r="BU9" t="str">
            <v>3QE</v>
          </cell>
          <cell r="BV9" t="str">
            <v>4QE</v>
          </cell>
          <cell r="BW9" t="str">
            <v>2014E</v>
          </cell>
          <cell r="BX9" t="str">
            <v>1QE</v>
          </cell>
          <cell r="BY9" t="str">
            <v>2QE</v>
          </cell>
          <cell r="BZ9" t="str">
            <v>3QE</v>
          </cell>
          <cell r="CA9" t="str">
            <v>4QE</v>
          </cell>
          <cell r="CB9" t="str">
            <v>2015E</v>
          </cell>
          <cell r="CC9" t="str">
            <v>1QE</v>
          </cell>
          <cell r="CD9" t="str">
            <v>2QE</v>
          </cell>
          <cell r="CE9" t="str">
            <v>3QE</v>
          </cell>
          <cell r="CF9" t="str">
            <v>4QE</v>
          </cell>
          <cell r="CG9" t="str">
            <v>2016E</v>
          </cell>
        </row>
        <row r="11">
          <cell r="B11" t="str">
            <v>Net revenues</v>
          </cell>
          <cell r="Y11">
            <v>33.042363000000002</v>
          </cell>
          <cell r="Z11">
            <v>10.572666999999999</v>
          </cell>
          <cell r="AA11">
            <v>12.209203</v>
          </cell>
          <cell r="AB11">
            <v>14.730212999999999</v>
          </cell>
          <cell r="AC11">
            <v>16.610953000000002</v>
          </cell>
          <cell r="AD11">
            <v>54.123035999999999</v>
          </cell>
          <cell r="AE11">
            <v>19.337153000000001</v>
          </cell>
          <cell r="AF11">
            <v>18.52777</v>
          </cell>
          <cell r="AG11">
            <v>21.046199999999999</v>
          </cell>
          <cell r="AH11">
            <v>22.011876999999998</v>
          </cell>
          <cell r="AI11">
            <v>80.923000000000002</v>
          </cell>
          <cell r="AJ11">
            <v>24.321999999999999</v>
          </cell>
          <cell r="AK11">
            <v>23.088000000000001</v>
          </cell>
          <cell r="AL11">
            <v>22.209</v>
          </cell>
          <cell r="AM11">
            <v>23.552</v>
          </cell>
          <cell r="AN11">
            <v>93.170999999999992</v>
          </cell>
          <cell r="AO11">
            <v>24.317</v>
          </cell>
          <cell r="AP11">
            <v>227.755</v>
          </cell>
          <cell r="AQ11">
            <v>318.101</v>
          </cell>
          <cell r="AR11">
            <v>292.76600000000002</v>
          </cell>
          <cell r="AS11">
            <v>862.93900000000008</v>
          </cell>
          <cell r="AT11">
            <v>290.95999999999998</v>
          </cell>
          <cell r="AU11">
            <v>320.82900000000001</v>
          </cell>
          <cell r="AV11">
            <v>383.529</v>
          </cell>
          <cell r="AW11">
            <v>443.31599999999997</v>
          </cell>
          <cell r="AX11">
            <v>1438.634</v>
          </cell>
          <cell r="AY11">
            <v>452.14800000000002</v>
          </cell>
          <cell r="AZ11">
            <v>479.44600000000003</v>
          </cell>
          <cell r="BA11">
            <v>489.92200000000003</v>
          </cell>
          <cell r="BB11">
            <v>526.87199999999996</v>
          </cell>
          <cell r="BC11">
            <v>1948.3879999999999</v>
          </cell>
          <cell r="BD11">
            <v>1097.652</v>
          </cell>
          <cell r="BE11">
            <v>1212.039</v>
          </cell>
          <cell r="BF11">
            <v>1287.29</v>
          </cell>
          <cell r="BG11">
            <v>1378.5139999999999</v>
          </cell>
          <cell r="BH11">
            <v>4975.4949999999999</v>
          </cell>
          <cell r="BI11">
            <v>1717.097</v>
          </cell>
          <cell r="BJ11">
            <v>1702.703</v>
          </cell>
          <cell r="BK11">
            <v>3190.78</v>
          </cell>
          <cell r="BL11">
            <v>3329.54</v>
          </cell>
          <cell r="BM11">
            <v>9940.119999999999</v>
          </cell>
          <cell r="BN11">
            <v>3219.7159999999999</v>
          </cell>
          <cell r="BO11">
            <v>3417.43</v>
          </cell>
          <cell r="BP11">
            <v>3614.1480000000001</v>
          </cell>
          <cell r="BQ11">
            <v>3869.8096956538307</v>
          </cell>
          <cell r="BR11">
            <v>14121.10369565383</v>
          </cell>
          <cell r="BS11">
            <v>4328.7765285598025</v>
          </cell>
          <cell r="BT11">
            <v>4965.7174281665466</v>
          </cell>
          <cell r="BU11">
            <v>4989.6395804635495</v>
          </cell>
          <cell r="BV11">
            <v>5447.1950938653954</v>
          </cell>
          <cell r="BW11">
            <v>19731.328631055294</v>
          </cell>
          <cell r="BX11">
            <v>4775.1207076354549</v>
          </cell>
          <cell r="BY11">
            <v>5595.858382485344</v>
          </cell>
          <cell r="BZ11">
            <v>5761.5570494921003</v>
          </cell>
          <cell r="CA11">
            <v>6289.4266889029777</v>
          </cell>
          <cell r="CB11">
            <v>22421.96282851588</v>
          </cell>
          <cell r="CC11">
            <v>6053.6810514903464</v>
          </cell>
          <cell r="CD11">
            <v>6784.7733407511796</v>
          </cell>
          <cell r="CE11">
            <v>6919.7614595123132</v>
          </cell>
          <cell r="CF11">
            <v>6930.6913188795024</v>
          </cell>
          <cell r="CG11">
            <v>26688.907170633342</v>
          </cell>
        </row>
        <row r="12">
          <cell r="B12" t="str">
            <v>Cost of Revenues</v>
          </cell>
          <cell r="Y12">
            <v>13.459543999999999</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10.710230000000003</v>
          </cell>
          <cell r="AI12">
            <v>34.029000000000003</v>
          </cell>
          <cell r="AJ12">
            <v>9.6750000000000007</v>
          </cell>
          <cell r="AK12">
            <v>9.6479999999999997</v>
          </cell>
          <cell r="AL12">
            <v>10.3</v>
          </cell>
          <cell r="AM12">
            <v>9.9719999999999995</v>
          </cell>
          <cell r="AN12">
            <v>39.594999999999999</v>
          </cell>
          <cell r="AO12">
            <v>10.837</v>
          </cell>
          <cell r="AP12">
            <v>197.91499999999999</v>
          </cell>
          <cell r="AQ12">
            <v>283.21499999999997</v>
          </cell>
          <cell r="AR12">
            <v>255.48599999999999</v>
          </cell>
          <cell r="AS12">
            <v>747.45299999999997</v>
          </cell>
          <cell r="AT12">
            <v>251.77600000000001</v>
          </cell>
          <cell r="AU12">
            <v>273.61799999999999</v>
          </cell>
          <cell r="AV12">
            <v>335.84899999999999</v>
          </cell>
          <cell r="AW12">
            <v>390.79199999999997</v>
          </cell>
          <cell r="AX12">
            <v>1252.0349999999999</v>
          </cell>
          <cell r="AY12">
            <v>401.91899999999998</v>
          </cell>
          <cell r="AZ12">
            <v>425.70699999999999</v>
          </cell>
          <cell r="BA12">
            <v>437.05799999999999</v>
          </cell>
          <cell r="BB12">
            <v>469.65</v>
          </cell>
          <cell r="BC12">
            <v>1734.3339999999998</v>
          </cell>
          <cell r="BD12">
            <v>1034.0740000000001</v>
          </cell>
          <cell r="BE12">
            <v>1137.836</v>
          </cell>
          <cell r="BF12">
            <v>1204.9480000000001</v>
          </cell>
          <cell r="BG12">
            <v>1289.1479999999999</v>
          </cell>
          <cell r="BH12">
            <v>4666.0060000000003</v>
          </cell>
          <cell r="BI12">
            <v>1606.7080000000001</v>
          </cell>
          <cell r="BJ12">
            <v>1580.1990000000001</v>
          </cell>
          <cell r="BK12">
            <v>2955.8890000000001</v>
          </cell>
          <cell r="BL12">
            <v>3063.9479999999999</v>
          </cell>
          <cell r="BM12">
            <v>9206.7440000000006</v>
          </cell>
          <cell r="BN12">
            <v>2971.3440000000001</v>
          </cell>
          <cell r="BO12">
            <v>3152.8409999999999</v>
          </cell>
          <cell r="BP12">
            <v>3326.36</v>
          </cell>
          <cell r="BQ12">
            <v>3577.6486607445186</v>
          </cell>
          <cell r="BR12">
            <v>13028.193660744519</v>
          </cell>
          <cell r="BS12">
            <v>4058.4548240369982</v>
          </cell>
          <cell r="BT12">
            <v>4645.0399348537012</v>
          </cell>
          <cell r="BU12">
            <v>4686.6184969733367</v>
          </cell>
          <cell r="BV12">
            <v>5085.6695118223824</v>
          </cell>
          <cell r="BW12">
            <v>18475.782767686418</v>
          </cell>
          <cell r="BX12">
            <v>4460.0081993217327</v>
          </cell>
          <cell r="BY12">
            <v>5221.3992876837947</v>
          </cell>
          <cell r="BZ12">
            <v>5406.7405852078064</v>
          </cell>
          <cell r="CA12">
            <v>5864.3405474979691</v>
          </cell>
          <cell r="CB12">
            <v>20952.488619711301</v>
          </cell>
          <cell r="CC12">
            <v>5657.325480743586</v>
          </cell>
          <cell r="CD12">
            <v>6347.4342636622114</v>
          </cell>
          <cell r="CE12">
            <v>6512.6285989516819</v>
          </cell>
          <cell r="CF12">
            <v>6501.6145884270836</v>
          </cell>
          <cell r="CG12">
            <v>25019.002931784566</v>
          </cell>
        </row>
        <row r="13">
          <cell r="B13" t="str">
            <v>Gross Profit</v>
          </cell>
          <cell r="Y13">
            <v>19.582819000000001</v>
          </cell>
          <cell r="Z13">
            <v>6.0527509999999989</v>
          </cell>
          <cell r="AA13">
            <v>7.4141240000000002</v>
          </cell>
          <cell r="AB13">
            <v>9.497641999999999</v>
          </cell>
          <cell r="AC13">
            <v>10.383722000000002</v>
          </cell>
          <cell r="AD13">
            <v>33.348239</v>
          </cell>
          <cell r="AE13">
            <v>11.731674000000002</v>
          </cell>
          <cell r="AF13">
            <v>11.023419000000001</v>
          </cell>
          <cell r="AG13">
            <v>12.837259999999999</v>
          </cell>
          <cell r="AH13">
            <v>11.301646999999996</v>
          </cell>
          <cell r="AI13">
            <v>46.893999999999998</v>
          </cell>
          <cell r="AJ13">
            <v>14.646999999999998</v>
          </cell>
          <cell r="AK13">
            <v>13.440000000000001</v>
          </cell>
          <cell r="AL13">
            <v>11.908999999999999</v>
          </cell>
          <cell r="AM13">
            <v>13.58</v>
          </cell>
          <cell r="AN13">
            <v>53.575999999999993</v>
          </cell>
          <cell r="AO13">
            <v>13.48</v>
          </cell>
          <cell r="AP13">
            <v>29.840000000000003</v>
          </cell>
          <cell r="AQ13">
            <v>34.886000000000024</v>
          </cell>
          <cell r="AR13">
            <v>37.28000000000003</v>
          </cell>
          <cell r="AS13">
            <v>115.4860000000001</v>
          </cell>
          <cell r="AT13">
            <v>39.183999999999969</v>
          </cell>
          <cell r="AU13">
            <v>47.211000000000013</v>
          </cell>
          <cell r="AV13">
            <v>47.680000000000007</v>
          </cell>
          <cell r="AW13">
            <v>52.524000000000001</v>
          </cell>
          <cell r="AX13">
            <v>186.59900000000016</v>
          </cell>
          <cell r="AY13">
            <v>50.229000000000042</v>
          </cell>
          <cell r="AZ13">
            <v>53.739000000000033</v>
          </cell>
          <cell r="BA13">
            <v>52.864000000000033</v>
          </cell>
          <cell r="BB13">
            <v>57.22199999999998</v>
          </cell>
          <cell r="BC13">
            <v>214.05400000000009</v>
          </cell>
          <cell r="BD13">
            <v>63.577999999999975</v>
          </cell>
          <cell r="BE13">
            <v>74.202999999999975</v>
          </cell>
          <cell r="BF13">
            <v>82.341999999999871</v>
          </cell>
          <cell r="BG13">
            <v>89.365999999999985</v>
          </cell>
          <cell r="BH13">
            <v>309.48899999999958</v>
          </cell>
          <cell r="BI13">
            <v>110.3889999999999</v>
          </cell>
          <cell r="BJ13">
            <v>122.50399999999991</v>
          </cell>
          <cell r="BK13">
            <v>234.89100000000008</v>
          </cell>
          <cell r="BL13">
            <v>265.5920000000001</v>
          </cell>
          <cell r="BM13">
            <v>733.37599999999838</v>
          </cell>
          <cell r="BN13">
            <v>248.37199999999984</v>
          </cell>
          <cell r="BO13">
            <v>264.58899999999994</v>
          </cell>
          <cell r="BP13">
            <v>287.78800000000001</v>
          </cell>
          <cell r="BQ13">
            <v>292.16103490931209</v>
          </cell>
          <cell r="BR13">
            <v>1092.9100349093114</v>
          </cell>
          <cell r="BS13">
            <v>270.32170452280434</v>
          </cell>
          <cell r="BT13">
            <v>320.6774933128454</v>
          </cell>
          <cell r="BU13">
            <v>303.02108349021273</v>
          </cell>
          <cell r="BV13">
            <v>361.52558204301295</v>
          </cell>
          <cell r="BW13">
            <v>1255.5458633688759</v>
          </cell>
          <cell r="BX13">
            <v>315.11250831372217</v>
          </cell>
          <cell r="BY13">
            <v>374.45909480154933</v>
          </cell>
          <cell r="BZ13">
            <v>354.81646428429394</v>
          </cell>
          <cell r="CA13">
            <v>425.08614140500868</v>
          </cell>
          <cell r="CB13">
            <v>1469.4742088045787</v>
          </cell>
          <cell r="CC13">
            <v>396.35557074676035</v>
          </cell>
          <cell r="CD13">
            <v>437.33907708896822</v>
          </cell>
          <cell r="CE13">
            <v>407.13286056063134</v>
          </cell>
          <cell r="CF13">
            <v>429.07673045241881</v>
          </cell>
          <cell r="CG13">
            <v>1669.904238848776</v>
          </cell>
        </row>
        <row r="14">
          <cell r="B14" t="str">
            <v>Product development costs</v>
          </cell>
          <cell r="Y14">
            <v>6.9930199999999996</v>
          </cell>
          <cell r="Z14">
            <v>2.1613090000000001</v>
          </cell>
          <cell r="AA14">
            <v>2.2956660000000002</v>
          </cell>
          <cell r="AB14">
            <v>2.3187820000000001</v>
          </cell>
          <cell r="AC14">
            <v>2.1804119999999987</v>
          </cell>
          <cell r="AD14">
            <v>8.9561689999999992</v>
          </cell>
          <cell r="AE14">
            <v>2.8631759999999997</v>
          </cell>
          <cell r="AF14">
            <v>2.0640269999999998</v>
          </cell>
          <cell r="AG14">
            <v>2.2779370000000001</v>
          </cell>
          <cell r="AH14">
            <v>2.4108599999999996</v>
          </cell>
          <cell r="AI14">
            <v>9.6159999999999997</v>
          </cell>
          <cell r="AJ14">
            <v>2.9380000000000002</v>
          </cell>
          <cell r="AK14">
            <v>2.6419999999999999</v>
          </cell>
          <cell r="AL14">
            <v>2.419</v>
          </cell>
          <cell r="AM14">
            <v>2.2069999999999999</v>
          </cell>
          <cell r="AN14">
            <v>10.206</v>
          </cell>
          <cell r="AO14">
            <v>2.4580000000000002</v>
          </cell>
          <cell r="AP14">
            <v>2.48</v>
          </cell>
          <cell r="AQ14">
            <v>2.4860000000000002</v>
          </cell>
          <cell r="AR14">
            <v>2.68</v>
          </cell>
          <cell r="AS14">
            <v>10.104000000000001</v>
          </cell>
          <cell r="AT14">
            <v>3.1629999999999998</v>
          </cell>
          <cell r="AU14">
            <v>3.0270000000000001</v>
          </cell>
          <cell r="AV14">
            <v>2.8330000000000002</v>
          </cell>
          <cell r="AW14">
            <v>2.927</v>
          </cell>
          <cell r="AX14">
            <v>11.95</v>
          </cell>
          <cell r="AY14">
            <v>3.073</v>
          </cell>
          <cell r="AZ14">
            <v>3.0209999999999999</v>
          </cell>
          <cell r="BA14">
            <v>3.0750000000000002</v>
          </cell>
          <cell r="BB14">
            <v>3.2589999999999999</v>
          </cell>
          <cell r="BC14">
            <v>12.428000000000001</v>
          </cell>
          <cell r="BD14">
            <v>3.36</v>
          </cell>
          <cell r="BE14">
            <v>3.6659999999999999</v>
          </cell>
          <cell r="BF14">
            <v>3.5979999999999999</v>
          </cell>
          <cell r="BG14">
            <v>3.7029999999999998</v>
          </cell>
          <cell r="BH14">
            <v>14.326999999999998</v>
          </cell>
          <cell r="BI14">
            <v>3.0739999999999998</v>
          </cell>
          <cell r="BJ14">
            <v>3.4359999999999999</v>
          </cell>
          <cell r="BM14">
            <v>6.51</v>
          </cell>
          <cell r="BO14">
            <v>3.4619640566581711</v>
          </cell>
          <cell r="BP14">
            <v>3.6653710336252536</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row>
        <row r="15">
          <cell r="B15" t="str">
            <v>SXC SG&amp;A</v>
          </cell>
          <cell r="Y15">
            <v>7.84755</v>
          </cell>
          <cell r="Z15">
            <v>2.716472</v>
          </cell>
          <cell r="AA15">
            <v>2.8209919999999999</v>
          </cell>
          <cell r="AB15">
            <v>3.7426729999999999</v>
          </cell>
          <cell r="AC15">
            <v>3.9209060000000004</v>
          </cell>
          <cell r="AD15">
            <v>13.201043</v>
          </cell>
          <cell r="AE15">
            <v>4.3474620000000002</v>
          </cell>
          <cell r="AF15">
            <v>4.7830279999999998</v>
          </cell>
          <cell r="AG15">
            <v>5.018529</v>
          </cell>
          <cell r="AH15">
            <v>4.5069809999999997</v>
          </cell>
          <cell r="AI15">
            <v>18.655999999999999</v>
          </cell>
          <cell r="AJ15">
            <v>6.19</v>
          </cell>
          <cell r="AK15">
            <v>7.016</v>
          </cell>
          <cell r="AL15">
            <v>7.2949999999999999</v>
          </cell>
          <cell r="AM15">
            <v>6.0309999999999997</v>
          </cell>
          <cell r="AN15">
            <v>26.531999999999996</v>
          </cell>
          <cell r="AO15">
            <v>5.8710000000000004</v>
          </cell>
          <cell r="AP15">
            <v>19.556999999999999</v>
          </cell>
          <cell r="AQ15">
            <v>21.863</v>
          </cell>
          <cell r="AR15">
            <v>21.501000000000001</v>
          </cell>
          <cell r="AS15">
            <v>68.792000000000002</v>
          </cell>
          <cell r="AT15">
            <v>20.797000000000001</v>
          </cell>
          <cell r="AU15">
            <v>21.907</v>
          </cell>
          <cell r="AV15">
            <v>22.152999999999999</v>
          </cell>
          <cell r="AW15">
            <v>20.94</v>
          </cell>
          <cell r="AX15">
            <v>85.796999999999997</v>
          </cell>
          <cell r="AY15">
            <v>21.308</v>
          </cell>
          <cell r="AZ15">
            <v>21.486000000000001</v>
          </cell>
          <cell r="BA15">
            <v>21.606999999999999</v>
          </cell>
          <cell r="BB15">
            <v>24.850999999999999</v>
          </cell>
          <cell r="BC15">
            <v>89.251999999999995</v>
          </cell>
          <cell r="BD15">
            <v>27.437999999999999</v>
          </cell>
          <cell r="BE15">
            <v>32.228999999999999</v>
          </cell>
          <cell r="BF15">
            <v>33.773000000000003</v>
          </cell>
          <cell r="BG15">
            <v>38.018000000000001</v>
          </cell>
          <cell r="BH15">
            <v>131.458</v>
          </cell>
          <cell r="BI15">
            <v>53.64</v>
          </cell>
          <cell r="BJ15">
            <v>54.823</v>
          </cell>
          <cell r="BM15">
            <v>108.46299999999999</v>
          </cell>
          <cell r="BO15">
            <v>65.064326613677864</v>
          </cell>
          <cell r="BP15">
            <v>78.424292527688749</v>
          </cell>
          <cell r="BQ15">
            <v>87.776490424725864</v>
          </cell>
          <cell r="BR15">
            <v>87.776490424725864</v>
          </cell>
          <cell r="BS15">
            <v>71.756741032424571</v>
          </cell>
          <cell r="BT15">
            <v>87.451922750857733</v>
          </cell>
          <cell r="BU15">
            <v>88.622860823777643</v>
          </cell>
          <cell r="BV15">
            <v>99.467787285801791</v>
          </cell>
          <cell r="BW15">
            <v>347.29931189286174</v>
          </cell>
          <cell r="BX15">
            <v>87.61671464563338</v>
          </cell>
          <cell r="BY15">
            <v>108.46519347612882</v>
          </cell>
          <cell r="BZ15">
            <v>112.62956127577648</v>
          </cell>
          <cell r="CA15">
            <v>126.04630157399784</v>
          </cell>
          <cell r="CB15">
            <v>434.7577709715365</v>
          </cell>
          <cell r="CC15">
            <v>0</v>
          </cell>
          <cell r="CD15">
            <v>0</v>
          </cell>
          <cell r="CE15">
            <v>0</v>
          </cell>
          <cell r="CF15">
            <v>0</v>
          </cell>
          <cell r="CG15">
            <v>0</v>
          </cell>
        </row>
        <row r="16">
          <cell r="B16" t="str">
            <v>Catalyst SG&amp;A</v>
          </cell>
          <cell r="BM16">
            <v>0</v>
          </cell>
          <cell r="BO16">
            <v>51.760936737962851</v>
          </cell>
          <cell r="BP16">
            <v>52.279007423403769</v>
          </cell>
          <cell r="BQ16">
            <v>53.471563466638933</v>
          </cell>
          <cell r="BR16">
            <v>53.471563466638933</v>
          </cell>
          <cell r="BS16">
            <v>53.777778295809703</v>
          </cell>
          <cell r="BT16">
            <v>56.553882665972147</v>
          </cell>
          <cell r="BU16">
            <v>56.076687009665314</v>
          </cell>
          <cell r="BV16">
            <v>58.50087043629469</v>
          </cell>
          <cell r="BW16">
            <v>224.90921840774186</v>
          </cell>
          <cell r="BX16">
            <v>55.63690658343026</v>
          </cell>
          <cell r="BY16">
            <v>59.410557998431486</v>
          </cell>
          <cell r="BZ16">
            <v>60.217150208986524</v>
          </cell>
          <cell r="CA16">
            <v>62.636499093091501</v>
          </cell>
          <cell r="CB16">
            <v>237.90111388393979</v>
          </cell>
          <cell r="CC16">
            <v>55.63690658343026</v>
          </cell>
          <cell r="CD16">
            <v>59.410557998431486</v>
          </cell>
          <cell r="CE16">
            <v>60.217150208986524</v>
          </cell>
          <cell r="CF16">
            <v>62.636499093091501</v>
          </cell>
          <cell r="CG16">
            <v>237.90111388393979</v>
          </cell>
        </row>
        <row r="17">
          <cell r="B17" t="str">
            <v>Total SG&amp;A</v>
          </cell>
          <cell r="Y17">
            <v>14.84057</v>
          </cell>
          <cell r="Z17">
            <v>4.8777810000000006</v>
          </cell>
          <cell r="AA17">
            <v>5.1166580000000002</v>
          </cell>
          <cell r="AB17">
            <v>6.0614550000000005</v>
          </cell>
          <cell r="AC17">
            <v>6.1013179999999991</v>
          </cell>
          <cell r="AD17">
            <v>22.157212000000001</v>
          </cell>
          <cell r="AE17">
            <v>7.2106379999999994</v>
          </cell>
          <cell r="AF17">
            <v>6.8470549999999992</v>
          </cell>
          <cell r="AG17">
            <v>7.2964660000000006</v>
          </cell>
          <cell r="AH17">
            <v>6.9178409999999992</v>
          </cell>
          <cell r="AI17">
            <v>28.271999999999998</v>
          </cell>
          <cell r="AJ17">
            <v>9.1280000000000001</v>
          </cell>
          <cell r="AK17">
            <v>9.6579999999999995</v>
          </cell>
          <cell r="AL17">
            <v>9.7140000000000004</v>
          </cell>
          <cell r="AM17">
            <v>8.2379999999999995</v>
          </cell>
          <cell r="AN17">
            <v>36.738</v>
          </cell>
          <cell r="AO17">
            <v>8.3290000000000006</v>
          </cell>
          <cell r="AP17">
            <v>22.036999999999999</v>
          </cell>
          <cell r="AQ17">
            <v>24.349</v>
          </cell>
          <cell r="AR17">
            <v>24.181000000000001</v>
          </cell>
          <cell r="AS17">
            <v>78.896000000000001</v>
          </cell>
          <cell r="AT17">
            <v>23.96</v>
          </cell>
          <cell r="AU17">
            <v>24.934000000000001</v>
          </cell>
          <cell r="AV17">
            <v>24.985999999999997</v>
          </cell>
          <cell r="AW17">
            <v>23.867000000000001</v>
          </cell>
          <cell r="AX17">
            <v>97.747</v>
          </cell>
          <cell r="AY17">
            <v>24.381</v>
          </cell>
          <cell r="AZ17">
            <v>24.507000000000001</v>
          </cell>
          <cell r="BA17">
            <v>24.681999999999999</v>
          </cell>
          <cell r="BB17">
            <v>28.11</v>
          </cell>
          <cell r="BC17">
            <v>101.67999999999999</v>
          </cell>
          <cell r="BD17">
            <v>30.797999999999998</v>
          </cell>
          <cell r="BE17">
            <v>35.894999999999996</v>
          </cell>
          <cell r="BF17">
            <v>37.371000000000002</v>
          </cell>
          <cell r="BG17">
            <v>41.721000000000004</v>
          </cell>
          <cell r="BH17">
            <v>145.785</v>
          </cell>
          <cell r="BI17">
            <v>56.713999999999999</v>
          </cell>
          <cell r="BJ17">
            <v>58.259</v>
          </cell>
          <cell r="BK17">
            <v>97.616000000000014</v>
          </cell>
          <cell r="BL17">
            <v>112.7</v>
          </cell>
          <cell r="BM17">
            <v>325.28899999999999</v>
          </cell>
          <cell r="BN17">
            <v>100.495</v>
          </cell>
          <cell r="BO17">
            <v>99.888000000000005</v>
          </cell>
          <cell r="BP17">
            <v>110.45399999999999</v>
          </cell>
          <cell r="BQ17">
            <v>141.2480538913648</v>
          </cell>
          <cell r="BR17">
            <v>452.08505389136479</v>
          </cell>
          <cell r="BS17">
            <v>125.53451932823428</v>
          </cell>
          <cell r="BT17">
            <v>144.00580541682987</v>
          </cell>
          <cell r="BU17">
            <v>144.69954783344295</v>
          </cell>
          <cell r="BV17">
            <v>157.96865772209648</v>
          </cell>
          <cell r="BW17">
            <v>572.20853030060357</v>
          </cell>
          <cell r="BX17">
            <v>143.25362122906364</v>
          </cell>
          <cell r="BY17">
            <v>167.8757514745603</v>
          </cell>
          <cell r="BZ17">
            <v>172.84671148476301</v>
          </cell>
          <cell r="CA17">
            <v>188.68280066708934</v>
          </cell>
          <cell r="CB17">
            <v>672.65888485547634</v>
          </cell>
          <cell r="CC17">
            <v>144.68297713061929</v>
          </cell>
          <cell r="CD17">
            <v>156.04978683727714</v>
          </cell>
          <cell r="CE17">
            <v>159.15451356878319</v>
          </cell>
          <cell r="CF17">
            <v>159.40590033422856</v>
          </cell>
          <cell r="CG17">
            <v>619.29317787090815</v>
          </cell>
        </row>
        <row r="18">
          <cell r="B18" t="str">
            <v>Depreciation of property and equipment</v>
          </cell>
          <cell r="Y18">
            <v>0</v>
          </cell>
          <cell r="Z18">
            <v>0</v>
          </cell>
          <cell r="AA18">
            <v>0</v>
          </cell>
          <cell r="AB18">
            <v>0</v>
          </cell>
          <cell r="AC18">
            <v>0</v>
          </cell>
          <cell r="AD18">
            <v>0</v>
          </cell>
          <cell r="AE18">
            <v>0.89662500000000001</v>
          </cell>
          <cell r="AF18">
            <v>1.049922</v>
          </cell>
          <cell r="AG18">
            <v>1.1917469999999999</v>
          </cell>
          <cell r="AH18">
            <v>-1.5072940000000001</v>
          </cell>
          <cell r="AI18">
            <v>1.631</v>
          </cell>
          <cell r="AJ18">
            <v>0.57799999999999996</v>
          </cell>
          <cell r="AK18">
            <v>0.59</v>
          </cell>
          <cell r="AL18">
            <v>0.65100000000000002</v>
          </cell>
          <cell r="AM18">
            <v>0.65700000000000003</v>
          </cell>
          <cell r="AN18">
            <v>2.476</v>
          </cell>
          <cell r="AO18">
            <v>0.76200000000000001</v>
          </cell>
          <cell r="AP18">
            <v>1.4330000000000001</v>
          </cell>
          <cell r="AQ18">
            <v>1.222</v>
          </cell>
          <cell r="AR18">
            <v>1.3939999999999999</v>
          </cell>
          <cell r="AS18">
            <v>4.8109999999999999</v>
          </cell>
          <cell r="AT18">
            <v>1.482</v>
          </cell>
          <cell r="AU18">
            <v>1.405</v>
          </cell>
          <cell r="AV18">
            <v>1.4670000000000001</v>
          </cell>
          <cell r="AW18">
            <v>1.4570000000000001</v>
          </cell>
          <cell r="AX18">
            <v>5.8109999999999999</v>
          </cell>
          <cell r="AY18">
            <v>1.4810000000000001</v>
          </cell>
          <cell r="AZ18">
            <v>1.5369999999999999</v>
          </cell>
          <cell r="BA18">
            <v>1.4630000000000001</v>
          </cell>
          <cell r="BB18">
            <v>1.5129999999999999</v>
          </cell>
          <cell r="BC18">
            <v>5.9939999999999998</v>
          </cell>
          <cell r="BD18">
            <v>1.5940000000000001</v>
          </cell>
          <cell r="BE18">
            <v>1.5820000000000001</v>
          </cell>
          <cell r="BF18">
            <v>1.5880000000000001</v>
          </cell>
          <cell r="BG18">
            <v>1.9810000000000001</v>
          </cell>
          <cell r="BH18">
            <v>6.7450000000000001</v>
          </cell>
          <cell r="BI18">
            <v>2.3559999999999999</v>
          </cell>
          <cell r="BJ18">
            <v>2.4790000000000001</v>
          </cell>
          <cell r="BK18">
            <v>5.7169999999999996</v>
          </cell>
          <cell r="BL18">
            <v>6.1959999999999997</v>
          </cell>
          <cell r="BM18">
            <v>16.747999999999998</v>
          </cell>
          <cell r="BN18">
            <v>6.97</v>
          </cell>
          <cell r="BO18">
            <v>7.9379999999999997</v>
          </cell>
          <cell r="BP18">
            <v>9.9789999999999992</v>
          </cell>
          <cell r="BQ18">
            <v>9.9789999999999992</v>
          </cell>
          <cell r="BR18">
            <v>34.866</v>
          </cell>
          <cell r="BS18">
            <v>9.9789999999999992</v>
          </cell>
          <cell r="BT18">
            <v>9.9789999999999992</v>
          </cell>
          <cell r="BU18">
            <v>9.9789999999999992</v>
          </cell>
          <cell r="BV18">
            <v>9.9789999999999992</v>
          </cell>
          <cell r="BW18">
            <v>39.915999999999997</v>
          </cell>
          <cell r="BX18">
            <v>9.9789999999999992</v>
          </cell>
          <cell r="BY18">
            <v>9.9789999999999992</v>
          </cell>
          <cell r="BZ18">
            <v>9.9789999999999992</v>
          </cell>
          <cell r="CA18">
            <v>9.9789999999999992</v>
          </cell>
          <cell r="CB18">
            <v>39.915999999999997</v>
          </cell>
          <cell r="CC18">
            <v>19.442</v>
          </cell>
          <cell r="CD18">
            <v>19.442</v>
          </cell>
          <cell r="CE18">
            <v>19.442</v>
          </cell>
          <cell r="CF18">
            <v>19.442</v>
          </cell>
          <cell r="CG18">
            <v>77.768000000000001</v>
          </cell>
        </row>
        <row r="19">
          <cell r="B19" t="str">
            <v>Operating Expenses</v>
          </cell>
          <cell r="Y19">
            <v>14.84057</v>
          </cell>
          <cell r="Z19">
            <v>4.8777810000000006</v>
          </cell>
          <cell r="AA19">
            <v>5.1166580000000002</v>
          </cell>
          <cell r="AB19">
            <v>6.0614550000000005</v>
          </cell>
          <cell r="AC19">
            <v>6.1013179999999991</v>
          </cell>
          <cell r="AD19">
            <v>22.157212000000001</v>
          </cell>
          <cell r="AE19">
            <v>8.1072629999999997</v>
          </cell>
          <cell r="AF19">
            <v>7.8969769999999997</v>
          </cell>
          <cell r="AG19">
            <v>8.488213</v>
          </cell>
          <cell r="AH19">
            <v>5.4105469999999993</v>
          </cell>
          <cell r="AI19">
            <v>29.902999999999999</v>
          </cell>
          <cell r="AJ19">
            <v>9.7059999999999995</v>
          </cell>
          <cell r="AK19">
            <v>10.247999999999999</v>
          </cell>
          <cell r="AL19">
            <v>10.365</v>
          </cell>
          <cell r="AM19">
            <v>8.8949999999999996</v>
          </cell>
          <cell r="AN19">
            <v>39.213999999999999</v>
          </cell>
          <cell r="AO19">
            <v>9.0910000000000011</v>
          </cell>
          <cell r="AP19">
            <v>23.47</v>
          </cell>
          <cell r="AQ19">
            <v>25.570999999999998</v>
          </cell>
          <cell r="AR19">
            <v>25.575000000000003</v>
          </cell>
          <cell r="AS19">
            <v>83.707000000000008</v>
          </cell>
          <cell r="AT19">
            <v>25.442</v>
          </cell>
          <cell r="AU19">
            <v>26.338999999999999</v>
          </cell>
          <cell r="AV19">
            <v>26.452999999999999</v>
          </cell>
          <cell r="AW19">
            <v>25.324000000000002</v>
          </cell>
          <cell r="AX19">
            <v>103.55799999999999</v>
          </cell>
          <cell r="AY19">
            <v>25.862000000000002</v>
          </cell>
          <cell r="AZ19">
            <v>26.044</v>
          </cell>
          <cell r="BA19">
            <v>26.145</v>
          </cell>
          <cell r="BB19">
            <v>29.622999999999998</v>
          </cell>
          <cell r="BC19">
            <v>107.67399999999999</v>
          </cell>
          <cell r="BD19">
            <v>32.391999999999996</v>
          </cell>
          <cell r="BE19">
            <v>37.476999999999997</v>
          </cell>
          <cell r="BF19">
            <v>38.959000000000003</v>
          </cell>
          <cell r="BG19">
            <v>43.701999999999998</v>
          </cell>
          <cell r="BH19">
            <v>152.53</v>
          </cell>
          <cell r="BI19">
            <v>59.07</v>
          </cell>
          <cell r="BJ19">
            <v>60.738</v>
          </cell>
          <cell r="BK19">
            <v>103.33300000000001</v>
          </cell>
          <cell r="BL19">
            <v>118.896</v>
          </cell>
          <cell r="BM19">
            <v>131.721</v>
          </cell>
          <cell r="BN19">
            <v>107.465</v>
          </cell>
          <cell r="BO19">
            <v>107.82600000000001</v>
          </cell>
          <cell r="BP19">
            <v>120.43299999999999</v>
          </cell>
          <cell r="BQ19">
            <v>151.22705389136479</v>
          </cell>
          <cell r="BR19">
            <v>176.11405389136479</v>
          </cell>
          <cell r="BS19">
            <v>135.51351932823428</v>
          </cell>
          <cell r="BT19">
            <v>153.98480541682989</v>
          </cell>
          <cell r="BU19">
            <v>154.67854783344296</v>
          </cell>
          <cell r="BV19">
            <v>167.94765772209649</v>
          </cell>
          <cell r="BW19">
            <v>612.12453030060362</v>
          </cell>
          <cell r="BX19">
            <v>153.23262122906362</v>
          </cell>
          <cell r="BY19">
            <v>177.85475147456032</v>
          </cell>
          <cell r="BZ19">
            <v>182.82571148476302</v>
          </cell>
          <cell r="CA19">
            <v>198.66180066708932</v>
          </cell>
          <cell r="CB19">
            <v>712.57488485547628</v>
          </cell>
          <cell r="CC19">
            <v>164.1249771306193</v>
          </cell>
          <cell r="CD19">
            <v>175.49178683727715</v>
          </cell>
          <cell r="CE19">
            <v>178.59651356878319</v>
          </cell>
          <cell r="CF19">
            <v>178.84790033422857</v>
          </cell>
          <cell r="CG19">
            <v>697.06117787090818</v>
          </cell>
        </row>
        <row r="20">
          <cell r="B20" t="str">
            <v>Synergies</v>
          </cell>
          <cell r="BI20">
            <v>0</v>
          </cell>
          <cell r="BJ20">
            <v>0</v>
          </cell>
          <cell r="BK20">
            <v>16</v>
          </cell>
          <cell r="BL20">
            <v>18</v>
          </cell>
          <cell r="BM20">
            <v>34</v>
          </cell>
          <cell r="BN20">
            <v>0</v>
          </cell>
          <cell r="BO20">
            <v>0</v>
          </cell>
          <cell r="BP20">
            <v>0</v>
          </cell>
          <cell r="BQ20">
            <v>43.75</v>
          </cell>
          <cell r="BR20">
            <v>43.75</v>
          </cell>
          <cell r="BS20">
            <v>43.75</v>
          </cell>
          <cell r="BT20">
            <v>43.75</v>
          </cell>
          <cell r="BU20">
            <v>43.75</v>
          </cell>
          <cell r="BV20">
            <v>43.75</v>
          </cell>
          <cell r="BW20">
            <v>175</v>
          </cell>
          <cell r="BX20">
            <v>43.75</v>
          </cell>
          <cell r="BY20">
            <v>43.75</v>
          </cell>
          <cell r="BZ20">
            <v>43.75</v>
          </cell>
          <cell r="CA20">
            <v>43.75</v>
          </cell>
          <cell r="CB20">
            <v>175</v>
          </cell>
          <cell r="CC20">
            <v>0</v>
          </cell>
          <cell r="CD20">
            <v>0</v>
          </cell>
          <cell r="CE20">
            <v>0</v>
          </cell>
          <cell r="CF20">
            <v>0</v>
          </cell>
          <cell r="CG20">
            <v>0</v>
          </cell>
        </row>
        <row r="21">
          <cell r="B21" t="str">
            <v>Transaction Costs</v>
          </cell>
          <cell r="BI21">
            <v>0</v>
          </cell>
          <cell r="BJ21">
            <v>-6.4</v>
          </cell>
          <cell r="BK21">
            <v>-36.1</v>
          </cell>
          <cell r="BL21">
            <v>-1.7000000000000011</v>
          </cell>
          <cell r="BM21">
            <v>-44.2</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row>
        <row r="22">
          <cell r="B22" t="str">
            <v>Synergies, Net of Transaction Costs</v>
          </cell>
          <cell r="BI22">
            <v>0</v>
          </cell>
          <cell r="BJ22">
            <v>-6.4</v>
          </cell>
          <cell r="BK22">
            <v>-20.100000000000001</v>
          </cell>
          <cell r="BL22">
            <v>16.299999999999997</v>
          </cell>
          <cell r="BM22">
            <v>-10.200000000000003</v>
          </cell>
          <cell r="BN22">
            <v>0</v>
          </cell>
          <cell r="BO22">
            <v>0</v>
          </cell>
          <cell r="BP22">
            <v>0</v>
          </cell>
          <cell r="BQ22">
            <v>43.75</v>
          </cell>
          <cell r="BR22">
            <v>43.75</v>
          </cell>
          <cell r="BS22">
            <v>43.75</v>
          </cell>
          <cell r="BT22">
            <v>43.75</v>
          </cell>
          <cell r="BU22">
            <v>43.75</v>
          </cell>
          <cell r="BV22">
            <v>43.75</v>
          </cell>
          <cell r="BW22">
            <v>175</v>
          </cell>
          <cell r="BX22">
            <v>43.75</v>
          </cell>
          <cell r="BY22">
            <v>43.75</v>
          </cell>
          <cell r="BZ22">
            <v>43.75</v>
          </cell>
          <cell r="CA22">
            <v>43.75</v>
          </cell>
          <cell r="CB22">
            <v>175</v>
          </cell>
          <cell r="CC22">
            <v>0</v>
          </cell>
          <cell r="CD22">
            <v>0</v>
          </cell>
          <cell r="CE22">
            <v>0</v>
          </cell>
          <cell r="CF22">
            <v>0</v>
          </cell>
          <cell r="CG22">
            <v>0</v>
          </cell>
        </row>
        <row r="23">
          <cell r="B23" t="str">
            <v>EBIT (non-GAAP)</v>
          </cell>
          <cell r="Y23">
            <v>4.742249000000001</v>
          </cell>
          <cell r="Z23">
            <v>1.1749699999999983</v>
          </cell>
          <cell r="AA23">
            <v>2.297466</v>
          </cell>
          <cell r="AB23">
            <v>3.4361869999999985</v>
          </cell>
          <cell r="AC23">
            <v>4.2824040000000032</v>
          </cell>
          <cell r="AD23">
            <v>11.191026999999998</v>
          </cell>
          <cell r="AE23">
            <v>3.624411000000002</v>
          </cell>
          <cell r="AF23">
            <v>3.1264420000000008</v>
          </cell>
          <cell r="AG23">
            <v>4.3490469999999988</v>
          </cell>
          <cell r="AH23">
            <v>5.8910999999999962</v>
          </cell>
          <cell r="AI23">
            <v>16.991</v>
          </cell>
          <cell r="AJ23">
            <v>4.9409999999999989</v>
          </cell>
          <cell r="AK23">
            <v>3.1920000000000019</v>
          </cell>
          <cell r="AL23">
            <v>1.5439999999999987</v>
          </cell>
          <cell r="AM23">
            <v>4.6850000000000005</v>
          </cell>
          <cell r="AN23">
            <v>14.361999999999995</v>
          </cell>
          <cell r="AO23">
            <v>4.3889999999999993</v>
          </cell>
          <cell r="AP23">
            <v>6.3700000000000045</v>
          </cell>
          <cell r="AQ23">
            <v>9.3150000000000261</v>
          </cell>
          <cell r="AR23">
            <v>11.705000000000027</v>
          </cell>
          <cell r="AS23">
            <v>31.779000000000096</v>
          </cell>
          <cell r="AT23">
            <v>13.741999999999969</v>
          </cell>
          <cell r="AU23">
            <v>20.872000000000014</v>
          </cell>
          <cell r="AV23">
            <v>21.227000000000007</v>
          </cell>
          <cell r="AW23">
            <v>27.2</v>
          </cell>
          <cell r="AX23">
            <v>83.041000000000167</v>
          </cell>
          <cell r="AY23">
            <v>24.36700000000004</v>
          </cell>
          <cell r="AZ23">
            <v>27.695000000000032</v>
          </cell>
          <cell r="BA23">
            <v>26.719000000000033</v>
          </cell>
          <cell r="BB23">
            <v>27.598999999999982</v>
          </cell>
          <cell r="BC23">
            <v>106.38000000000009</v>
          </cell>
          <cell r="BD23">
            <v>31.185999999999979</v>
          </cell>
          <cell r="BE23">
            <v>36.725999999999978</v>
          </cell>
          <cell r="BF23">
            <v>43.382999999999868</v>
          </cell>
          <cell r="BG23">
            <v>45.663999999999987</v>
          </cell>
          <cell r="BH23">
            <v>156.95899999999958</v>
          </cell>
          <cell r="BI23">
            <v>51.318999999999896</v>
          </cell>
          <cell r="BJ23">
            <v>55.365999999999907</v>
          </cell>
          <cell r="BK23">
            <v>95.458000000000055</v>
          </cell>
          <cell r="BL23">
            <v>144.99600000000009</v>
          </cell>
          <cell r="BM23">
            <v>347.13899999999995</v>
          </cell>
          <cell r="BN23">
            <v>140.90699999999984</v>
          </cell>
          <cell r="BO23">
            <v>156.76299999999992</v>
          </cell>
          <cell r="BP23">
            <v>167.35500000000002</v>
          </cell>
          <cell r="BQ23">
            <v>184.6839810179473</v>
          </cell>
          <cell r="BR23">
            <v>649.70898101794705</v>
          </cell>
          <cell r="BS23">
            <v>178.55818519457006</v>
          </cell>
          <cell r="BT23">
            <v>210.44268789601551</v>
          </cell>
          <cell r="BU23">
            <v>192.09253565676977</v>
          </cell>
          <cell r="BV23">
            <v>237.32792432091645</v>
          </cell>
          <cell r="BW23">
            <v>818.42133306827191</v>
          </cell>
          <cell r="BX23">
            <v>205.62988708465855</v>
          </cell>
          <cell r="BY23">
            <v>240.35434332698901</v>
          </cell>
          <cell r="BZ23">
            <v>215.74075279953092</v>
          </cell>
          <cell r="CA23">
            <v>270.17434073791935</v>
          </cell>
          <cell r="CB23">
            <v>931.89932394909783</v>
          </cell>
          <cell r="CC23">
            <v>232.23059361614105</v>
          </cell>
          <cell r="CD23">
            <v>261.84729025169111</v>
          </cell>
          <cell r="CE23">
            <v>228.53634699184815</v>
          </cell>
          <cell r="CF23">
            <v>250.22883011819025</v>
          </cell>
          <cell r="CG23">
            <v>972.84306097786782</v>
          </cell>
        </row>
        <row r="24">
          <cell r="B24" t="str">
            <v>Interest income</v>
          </cell>
          <cell r="Y24">
            <v>0.20331299999999999</v>
          </cell>
          <cell r="Z24">
            <v>7.2106000000000003E-2</v>
          </cell>
          <cell r="AA24">
            <v>8.4483000000000003E-2</v>
          </cell>
          <cell r="AB24">
            <v>0.10671600000000001</v>
          </cell>
          <cell r="AC24">
            <v>0.28557999999999995</v>
          </cell>
          <cell r="AD24">
            <v>0.54888499999999996</v>
          </cell>
          <cell r="AE24">
            <v>0.48380099999999998</v>
          </cell>
          <cell r="AF24">
            <v>0.55979499999999993</v>
          </cell>
          <cell r="AG24">
            <v>0.89467099999999999</v>
          </cell>
          <cell r="AH24">
            <v>1.0027329999999999</v>
          </cell>
          <cell r="AI24">
            <v>2.9409999999999998</v>
          </cell>
          <cell r="AJ24">
            <v>1.0580000000000001</v>
          </cell>
          <cell r="AK24">
            <v>1.159</v>
          </cell>
          <cell r="AL24">
            <v>1.2190000000000001</v>
          </cell>
          <cell r="AM24">
            <v>1.2549999999999999</v>
          </cell>
          <cell r="AN24">
            <v>4.6909999999999998</v>
          </cell>
          <cell r="AO24">
            <v>1.0529999999999999</v>
          </cell>
          <cell r="AP24">
            <v>0.64700000000000002</v>
          </cell>
          <cell r="AQ24">
            <v>0.50800000000000001</v>
          </cell>
          <cell r="AR24">
            <v>0.54</v>
          </cell>
          <cell r="AS24">
            <v>2.7480000000000002</v>
          </cell>
          <cell r="AT24">
            <v>0.246</v>
          </cell>
          <cell r="AU24">
            <v>0.22500000000000001</v>
          </cell>
          <cell r="AV24">
            <v>0.10100000000000001</v>
          </cell>
          <cell r="AW24">
            <v>0.184</v>
          </cell>
          <cell r="AX24">
            <v>0.75600000000000001</v>
          </cell>
          <cell r="AY24">
            <v>0.14899999999999999</v>
          </cell>
          <cell r="AZ24">
            <v>0.17499999999999999</v>
          </cell>
          <cell r="BA24">
            <v>0.19900000000000001</v>
          </cell>
          <cell r="BB24">
            <v>0.20300000000000001</v>
          </cell>
          <cell r="BC24">
            <v>0.72599999999999998</v>
          </cell>
          <cell r="BD24">
            <v>0.16600000000000001</v>
          </cell>
          <cell r="BE24">
            <v>9.2999999999999999E-2</v>
          </cell>
          <cell r="BF24">
            <v>0.115</v>
          </cell>
          <cell r="BG24">
            <v>0.127</v>
          </cell>
          <cell r="BH24">
            <v>0.501</v>
          </cell>
          <cell r="BI24">
            <v>0</v>
          </cell>
          <cell r="BJ24">
            <v>0</v>
          </cell>
          <cell r="BK24">
            <v>0</v>
          </cell>
          <cell r="BL24">
            <v>0</v>
          </cell>
          <cell r="BM24">
            <v>0</v>
          </cell>
          <cell r="BN24">
            <v>0</v>
          </cell>
          <cell r="BO24">
            <v>0</v>
          </cell>
          <cell r="BP24">
            <v>0</v>
          </cell>
          <cell r="BQ24">
            <v>0.52593690284836292</v>
          </cell>
          <cell r="BR24">
            <v>0.52593690284836292</v>
          </cell>
          <cell r="BS24">
            <v>0.80926173718465733</v>
          </cell>
          <cell r="BT24">
            <v>0.9228299896717107</v>
          </cell>
          <cell r="BU24">
            <v>1.1189351404852863</v>
          </cell>
          <cell r="BV24">
            <v>1.2958156163433432</v>
          </cell>
          <cell r="BW24">
            <v>4.1468424836849973</v>
          </cell>
          <cell r="BX24">
            <v>1.9367593890420653</v>
          </cell>
          <cell r="BY24">
            <v>2.2861676874259032</v>
          </cell>
          <cell r="BZ24">
            <v>2.5558100341849168</v>
          </cell>
          <cell r="CA24">
            <v>2.799009983508848</v>
          </cell>
          <cell r="CB24">
            <v>9.5777470941617331</v>
          </cell>
          <cell r="CC24">
            <v>0</v>
          </cell>
          <cell r="CD24">
            <v>0</v>
          </cell>
          <cell r="CE24">
            <v>0</v>
          </cell>
          <cell r="CF24">
            <v>0</v>
          </cell>
          <cell r="CG24">
            <v>0</v>
          </cell>
        </row>
        <row r="25">
          <cell r="B25" t="str">
            <v>Interest expense and other expense, net</v>
          </cell>
          <cell r="Y25">
            <v>-1.0522039999999999</v>
          </cell>
          <cell r="Z25">
            <v>-0.42608200000000002</v>
          </cell>
          <cell r="AA25">
            <v>0.17065099999999994</v>
          </cell>
          <cell r="AB25">
            <v>-0.445469</v>
          </cell>
          <cell r="AC25">
            <v>-0.56869199999999998</v>
          </cell>
          <cell r="AD25">
            <v>-1.2695920000000001</v>
          </cell>
          <cell r="AE25">
            <v>-0.39047799999999999</v>
          </cell>
          <cell r="AF25">
            <v>-0.39370300000000003</v>
          </cell>
          <cell r="AG25">
            <v>-1.0440459999999998</v>
          </cell>
          <cell r="AH25">
            <v>-5.6773000000000184E-2</v>
          </cell>
          <cell r="AI25">
            <v>-1.885</v>
          </cell>
          <cell r="AJ25">
            <v>-0.16300000000000001</v>
          </cell>
          <cell r="AK25">
            <v>0.16800000000000001</v>
          </cell>
          <cell r="AL25">
            <v>1.4000000000000002E-2</v>
          </cell>
          <cell r="AM25">
            <v>-4.4999999999999998E-2</v>
          </cell>
          <cell r="AN25">
            <v>-2.5999999999999992E-2</v>
          </cell>
          <cell r="AO25">
            <v>-0.04</v>
          </cell>
          <cell r="AP25">
            <v>-0.79200000000000004</v>
          </cell>
          <cell r="AQ25">
            <v>-1.5589999999999999</v>
          </cell>
          <cell r="AR25">
            <v>-2.4670000000000001</v>
          </cell>
          <cell r="AS25">
            <v>-4.8580000000000005</v>
          </cell>
          <cell r="AT25">
            <v>-0.63100000000000001</v>
          </cell>
          <cell r="AU25">
            <v>-1.4869999999999999</v>
          </cell>
          <cell r="AV25">
            <v>-1.0680000000000001</v>
          </cell>
          <cell r="AW25">
            <v>-2.802</v>
          </cell>
          <cell r="AX25">
            <v>-5.9879999999999995</v>
          </cell>
          <cell r="AY25">
            <v>-0.59199999999999997</v>
          </cell>
          <cell r="AZ25">
            <v>-0.378</v>
          </cell>
          <cell r="BA25">
            <v>-0.373</v>
          </cell>
          <cell r="BB25">
            <v>-0.35099999999999998</v>
          </cell>
          <cell r="BC25">
            <v>-1.694</v>
          </cell>
          <cell r="BD25">
            <v>-0.45300000000000001</v>
          </cell>
          <cell r="BE25">
            <v>-0.67700000000000005</v>
          </cell>
          <cell r="BF25">
            <v>-1.2210000000000001</v>
          </cell>
          <cell r="BG25">
            <v>-0.42899999999999999</v>
          </cell>
          <cell r="BH25">
            <v>-2.78</v>
          </cell>
          <cell r="BI25">
            <v>-1.24</v>
          </cell>
          <cell r="BJ25">
            <v>-1.98</v>
          </cell>
          <cell r="BK25">
            <v>-11.843</v>
          </cell>
          <cell r="BL25">
            <v>-11.619</v>
          </cell>
          <cell r="BM25">
            <v>-26.681999999999999</v>
          </cell>
          <cell r="BN25">
            <v>-11.039</v>
          </cell>
          <cell r="BO25">
            <v>-10.907</v>
          </cell>
          <cell r="BP25">
            <v>-9.0259999999999998</v>
          </cell>
          <cell r="BQ25">
            <v>-12.083287500000001</v>
          </cell>
          <cell r="BR25">
            <v>-43.055287499999999</v>
          </cell>
          <cell r="BS25">
            <v>-12.083287500000001</v>
          </cell>
          <cell r="BT25">
            <v>-12.083287500000001</v>
          </cell>
          <cell r="BU25">
            <v>-12.083287500000001</v>
          </cell>
          <cell r="BV25">
            <v>-12.083287500000001</v>
          </cell>
          <cell r="BW25">
            <v>-48.333150000000003</v>
          </cell>
          <cell r="BX25">
            <v>-12.083287500000001</v>
          </cell>
          <cell r="BY25">
            <v>-12.083287500000001</v>
          </cell>
          <cell r="BZ25">
            <v>-12.083287500000001</v>
          </cell>
          <cell r="CA25">
            <v>-12.083287500000001</v>
          </cell>
          <cell r="CB25">
            <v>-48.333150000000003</v>
          </cell>
          <cell r="CC25">
            <v>-14.909367694034387</v>
          </cell>
          <cell r="CD25">
            <v>-14.859118536691653</v>
          </cell>
          <cell r="CE25">
            <v>-14.811877479428095</v>
          </cell>
          <cell r="CF25">
            <v>-14.769359345225517</v>
          </cell>
          <cell r="CG25">
            <v>-59.349723055379648</v>
          </cell>
        </row>
        <row r="26">
          <cell r="B26" t="str">
            <v>Pre-tax income (non-GAAP)</v>
          </cell>
          <cell r="Y26">
            <v>3.893358000000001</v>
          </cell>
          <cell r="Z26">
            <v>0.82099399999999823</v>
          </cell>
          <cell r="AA26">
            <v>2.5526</v>
          </cell>
          <cell r="AB26">
            <v>3.0974339999999985</v>
          </cell>
          <cell r="AC26">
            <v>3.9992920000000027</v>
          </cell>
          <cell r="AD26">
            <v>10.470319999999999</v>
          </cell>
          <cell r="AE26">
            <v>3.7177340000000019</v>
          </cell>
          <cell r="AF26">
            <v>3.2925340000000007</v>
          </cell>
          <cell r="AG26">
            <v>4.1996719999999987</v>
          </cell>
          <cell r="AH26">
            <v>6.8370599999999957</v>
          </cell>
          <cell r="AI26">
            <v>18.046999999999997</v>
          </cell>
          <cell r="AJ26">
            <v>5.8359999999999985</v>
          </cell>
          <cell r="AK26">
            <v>4.5190000000000019</v>
          </cell>
          <cell r="AL26">
            <v>2.7769999999999988</v>
          </cell>
          <cell r="AM26">
            <v>5.8950000000000005</v>
          </cell>
          <cell r="AN26">
            <v>19.026999999999994</v>
          </cell>
          <cell r="AO26">
            <v>5.4019999999999992</v>
          </cell>
          <cell r="AP26">
            <v>6.225000000000005</v>
          </cell>
          <cell r="AQ26">
            <v>8.264000000000026</v>
          </cell>
          <cell r="AR26">
            <v>9.7780000000000253</v>
          </cell>
          <cell r="AS26">
            <v>29.669000000000093</v>
          </cell>
          <cell r="AT26">
            <v>13.356999999999969</v>
          </cell>
          <cell r="AU26">
            <v>19.610000000000017</v>
          </cell>
          <cell r="AV26">
            <v>20.260000000000005</v>
          </cell>
          <cell r="AW26">
            <v>24.582000000000001</v>
          </cell>
          <cell r="AX26">
            <v>77.809000000000168</v>
          </cell>
          <cell r="AY26">
            <v>23.924000000000042</v>
          </cell>
          <cell r="AZ26">
            <v>27.492000000000033</v>
          </cell>
          <cell r="BA26">
            <v>26.545000000000034</v>
          </cell>
          <cell r="BB26">
            <v>27.450999999999983</v>
          </cell>
          <cell r="BC26">
            <v>105.41200000000009</v>
          </cell>
          <cell r="BD26">
            <v>30.89899999999998</v>
          </cell>
          <cell r="BE26">
            <v>36.141999999999982</v>
          </cell>
          <cell r="BF26">
            <v>42.276999999999873</v>
          </cell>
          <cell r="BG26">
            <v>45.361999999999988</v>
          </cell>
          <cell r="BH26">
            <v>154.67999999999958</v>
          </cell>
          <cell r="BI26">
            <v>50.078999999999894</v>
          </cell>
          <cell r="BJ26">
            <v>53.38599999999991</v>
          </cell>
          <cell r="BK26">
            <v>83.615000000000052</v>
          </cell>
          <cell r="BL26">
            <v>133.37700000000009</v>
          </cell>
          <cell r="BM26">
            <v>320.45699999999994</v>
          </cell>
          <cell r="BN26">
            <v>129.86799999999985</v>
          </cell>
          <cell r="BO26">
            <v>145.85599999999991</v>
          </cell>
          <cell r="BP26">
            <v>158.32900000000001</v>
          </cell>
          <cell r="BQ26">
            <v>173.12663042079566</v>
          </cell>
          <cell r="BR26">
            <v>607.17963042079543</v>
          </cell>
          <cell r="BS26">
            <v>167.28415943175472</v>
          </cell>
          <cell r="BT26">
            <v>199.2822303856872</v>
          </cell>
          <cell r="BU26">
            <v>181.12818329725505</v>
          </cell>
          <cell r="BV26">
            <v>226.54045243725977</v>
          </cell>
          <cell r="BW26">
            <v>774.23502555195682</v>
          </cell>
          <cell r="BX26">
            <v>195.4833589737006</v>
          </cell>
          <cell r="BY26">
            <v>230.55722351441491</v>
          </cell>
          <cell r="BZ26">
            <v>206.21327533371584</v>
          </cell>
          <cell r="CA26">
            <v>260.89006322142819</v>
          </cell>
          <cell r="CB26">
            <v>893.14392104325952</v>
          </cell>
          <cell r="CC26">
            <v>217.32122592210666</v>
          </cell>
          <cell r="CD26">
            <v>246.98817171499945</v>
          </cell>
          <cell r="CE26">
            <v>213.72446951242006</v>
          </cell>
          <cell r="CF26">
            <v>235.45947077296472</v>
          </cell>
          <cell r="CG26">
            <v>913.49333792248819</v>
          </cell>
        </row>
        <row r="27">
          <cell r="B27" t="str">
            <v>Current</v>
          </cell>
          <cell r="Z27">
            <v>0.03</v>
          </cell>
          <cell r="AA27">
            <v>3.1510000000000003E-2</v>
          </cell>
          <cell r="AB27">
            <v>3.0506999999999999E-2</v>
          </cell>
          <cell r="AC27">
            <v>0.03</v>
          </cell>
          <cell r="AE27">
            <v>0.67800700000000003</v>
          </cell>
          <cell r="AF27">
            <v>1.119329</v>
          </cell>
          <cell r="AG27">
            <v>0.93785099999999999</v>
          </cell>
          <cell r="AH27">
            <v>3.7528130000000006</v>
          </cell>
          <cell r="AJ27">
            <v>1.8460000000000001</v>
          </cell>
          <cell r="AK27">
            <v>1.2789999999999999</v>
          </cell>
          <cell r="AL27">
            <v>-9.1999999999999998E-2</v>
          </cell>
          <cell r="AM27">
            <v>2.2250000000000001</v>
          </cell>
          <cell r="AO27">
            <v>1.3819999999999999</v>
          </cell>
          <cell r="AP27">
            <v>0.59699999999999998</v>
          </cell>
          <cell r="AQ27">
            <v>3.3559999999999999</v>
          </cell>
          <cell r="AR27">
            <v>-0.46899999999999997</v>
          </cell>
          <cell r="AT27">
            <v>2.2010000000000001</v>
          </cell>
          <cell r="AU27">
            <v>4.4029999999999996</v>
          </cell>
          <cell r="AV27">
            <v>9.2149999999999999</v>
          </cell>
          <cell r="AW27">
            <v>6.4669999999999996</v>
          </cell>
          <cell r="AY27">
            <v>5.5289999999999999</v>
          </cell>
          <cell r="AZ27">
            <v>7.2089999999999996</v>
          </cell>
          <cell r="BA27">
            <v>8.8369999999999997</v>
          </cell>
          <cell r="BB27">
            <v>7.9550000000000001</v>
          </cell>
          <cell r="BD27">
            <v>8.609</v>
          </cell>
          <cell r="BE27">
            <v>11.686999999999999</v>
          </cell>
          <cell r="BF27">
            <v>14.289</v>
          </cell>
          <cell r="BG27">
            <v>17.815999999999999</v>
          </cell>
          <cell r="BI27">
            <v>13.654999999999999</v>
          </cell>
          <cell r="BJ27">
            <v>17.533000000000001</v>
          </cell>
          <cell r="BK27">
            <v>30.815999999999999</v>
          </cell>
          <cell r="BL27">
            <v>45.237000000000002</v>
          </cell>
          <cell r="BN27">
            <v>39.68</v>
          </cell>
          <cell r="BO27">
            <v>33.741</v>
          </cell>
          <cell r="BP27">
            <v>38.418999999999997</v>
          </cell>
          <cell r="BQ27">
            <v>35.898000000000003</v>
          </cell>
          <cell r="BS27">
            <v>40.442</v>
          </cell>
          <cell r="BT27">
            <v>33.241</v>
          </cell>
          <cell r="BU27">
            <v>33.762999999999998</v>
          </cell>
        </row>
        <row r="28">
          <cell r="B28" t="str">
            <v>Deferred</v>
          </cell>
          <cell r="Z28">
            <v>0</v>
          </cell>
          <cell r="AA28">
            <v>0</v>
          </cell>
          <cell r="AB28">
            <v>0</v>
          </cell>
          <cell r="AC28">
            <v>-0.68</v>
          </cell>
          <cell r="AE28">
            <v>-2.5368050000000002</v>
          </cell>
          <cell r="AF28">
            <v>5.8659999999999997E-2</v>
          </cell>
          <cell r="AG28">
            <v>0.71820399999999995</v>
          </cell>
          <cell r="AH28">
            <v>-1.9120590000000002</v>
          </cell>
          <cell r="AJ28">
            <v>-0.13900000000000001</v>
          </cell>
          <cell r="AK28">
            <v>-0.111</v>
          </cell>
          <cell r="AL28">
            <v>-0.20699999999999999</v>
          </cell>
          <cell r="AM28">
            <v>-0.503</v>
          </cell>
          <cell r="AO28">
            <v>0.26700000000000002</v>
          </cell>
          <cell r="AP28">
            <v>-7.0999999999999994E-2</v>
          </cell>
          <cell r="AQ28">
            <v>-2.08</v>
          </cell>
          <cell r="AR28">
            <v>2.2090000000000001</v>
          </cell>
          <cell r="AT28">
            <v>0.64900000000000002</v>
          </cell>
          <cell r="AU28">
            <v>0.81499999999999995</v>
          </cell>
          <cell r="AV28">
            <v>-2.4020000000000001</v>
          </cell>
          <cell r="AW28">
            <v>0.67600000000000005</v>
          </cell>
          <cell r="AY28">
            <v>1.6080000000000001</v>
          </cell>
          <cell r="AZ28">
            <v>1.1599999999999999</v>
          </cell>
          <cell r="BA28">
            <v>-0.41</v>
          </cell>
          <cell r="BB28">
            <v>0.93400000000000005</v>
          </cell>
          <cell r="BD28">
            <v>0.45900000000000002</v>
          </cell>
          <cell r="BE28">
            <v>-0.77700000000000002</v>
          </cell>
          <cell r="BF28">
            <v>-1.177</v>
          </cell>
          <cell r="BG28">
            <v>-4.3979999999999997</v>
          </cell>
          <cell r="BI28">
            <v>-0.23599999999999999</v>
          </cell>
          <cell r="BJ28">
            <v>-0.46800000000000003</v>
          </cell>
          <cell r="BK28">
            <v>-17.988</v>
          </cell>
          <cell r="BL28">
            <v>-19.228999999999999</v>
          </cell>
          <cell r="BN28">
            <v>-16.652000000000001</v>
          </cell>
          <cell r="BO28">
            <v>-9.1340000000000003</v>
          </cell>
          <cell r="BP28">
            <v>-10.438000000000001</v>
          </cell>
          <cell r="BQ28">
            <v>-8.1110000000000007</v>
          </cell>
          <cell r="BS28">
            <v>-12.334</v>
          </cell>
          <cell r="BT28">
            <v>0</v>
          </cell>
        </row>
        <row r="29">
          <cell r="B29" t="str">
            <v>Income tax provision (benefit)</v>
          </cell>
          <cell r="Y29">
            <v>9.9959999999999993E-2</v>
          </cell>
          <cell r="Z29">
            <v>0.03</v>
          </cell>
          <cell r="AA29">
            <v>3.1510000000000003E-2</v>
          </cell>
          <cell r="AB29">
            <v>3.0506999999999999E-2</v>
          </cell>
          <cell r="AC29">
            <v>-0.65</v>
          </cell>
          <cell r="AD29">
            <v>-0.55798300000000001</v>
          </cell>
          <cell r="AE29">
            <v>-1.8587980000000002</v>
          </cell>
          <cell r="AF29">
            <v>1.177989</v>
          </cell>
          <cell r="AG29">
            <v>1.6560549999999998</v>
          </cell>
          <cell r="AH29">
            <v>2.4549182247464012</v>
          </cell>
          <cell r="AI29">
            <v>3.4301642247464006</v>
          </cell>
          <cell r="AJ29">
            <v>1.8747483604677826</v>
          </cell>
          <cell r="AK29">
            <v>1.3357483604677824</v>
          </cell>
          <cell r="AL29">
            <v>-0.13125163953221736</v>
          </cell>
          <cell r="AM29">
            <v>1.8897483604677827</v>
          </cell>
          <cell r="AN29">
            <v>4.968993441871131</v>
          </cell>
          <cell r="AO29">
            <v>1.7974882978723405</v>
          </cell>
          <cell r="AP29">
            <v>1.2050000000000001</v>
          </cell>
          <cell r="AQ29">
            <v>2.4809999999999994</v>
          </cell>
          <cell r="AR29">
            <v>2.8450000000000002</v>
          </cell>
          <cell r="AS29">
            <v>8.3284882978723402</v>
          </cell>
          <cell r="AT29">
            <v>3.9750000000000005</v>
          </cell>
          <cell r="AU29">
            <v>6.3129999999999997</v>
          </cell>
          <cell r="AV29">
            <v>8.0069999999999997</v>
          </cell>
          <cell r="AW29">
            <v>7.8609999999999998</v>
          </cell>
          <cell r="AX29">
            <v>26.156000000000002</v>
          </cell>
          <cell r="AY29">
            <v>7.7860000000000005</v>
          </cell>
          <cell r="AZ29">
            <v>9.34</v>
          </cell>
          <cell r="BA29">
            <v>9.3849999999999998</v>
          </cell>
          <cell r="BB29">
            <v>9.5629999999999988</v>
          </cell>
          <cell r="BC29">
            <v>36.073999999999998</v>
          </cell>
          <cell r="BD29">
            <v>10.248999999999999</v>
          </cell>
          <cell r="BE29">
            <v>12.141999999999999</v>
          </cell>
          <cell r="BF29">
            <v>14.445</v>
          </cell>
          <cell r="BG29">
            <v>15.18</v>
          </cell>
          <cell r="BH29">
            <v>52.015999999999998</v>
          </cell>
          <cell r="BI29">
            <v>16.896000000000001</v>
          </cell>
          <cell r="BJ29">
            <v>20.533999999999999</v>
          </cell>
          <cell r="BK29">
            <v>33.277000000000001</v>
          </cell>
          <cell r="BL29">
            <v>46.919000000000004</v>
          </cell>
          <cell r="BM29">
            <v>117.626</v>
          </cell>
          <cell r="BN29">
            <v>37.494</v>
          </cell>
          <cell r="BO29">
            <v>37.481000000000002</v>
          </cell>
          <cell r="BP29">
            <v>39.879999999999995</v>
          </cell>
          <cell r="BQ29">
            <v>49.34108966992676</v>
          </cell>
          <cell r="BR29">
            <v>164.19608966992675</v>
          </cell>
          <cell r="BS29">
            <v>50.185247829526411</v>
          </cell>
          <cell r="BT29">
            <v>59.784669115706158</v>
          </cell>
          <cell r="BU29">
            <v>54.338454989176512</v>
          </cell>
          <cell r="BV29">
            <v>67.962135731177924</v>
          </cell>
          <cell r="BW29">
            <v>232.27050766558699</v>
          </cell>
          <cell r="BX29">
            <v>58.645007692110177</v>
          </cell>
          <cell r="BY29">
            <v>69.167167054324466</v>
          </cell>
          <cell r="BZ29">
            <v>61.863982600114753</v>
          </cell>
          <cell r="CA29">
            <v>78.267018966428452</v>
          </cell>
          <cell r="CB29">
            <v>267.94317631297781</v>
          </cell>
          <cell r="CC29">
            <v>58.6767309989688</v>
          </cell>
          <cell r="CD29">
            <v>66.686806363049854</v>
          </cell>
          <cell r="CE29">
            <v>57.70560676835342</v>
          </cell>
          <cell r="CF29">
            <v>63.57405710870048</v>
          </cell>
          <cell r="CG29">
            <v>246.64320123907257</v>
          </cell>
        </row>
        <row r="30">
          <cell r="B30" t="str">
            <v>Net loss attributable to non-controlling interest</v>
          </cell>
          <cell r="BK30">
            <v>1.07</v>
          </cell>
          <cell r="BL30">
            <v>-5.4329999999999998</v>
          </cell>
          <cell r="BM30">
            <v>-4.3629999999999995</v>
          </cell>
          <cell r="BN30">
            <v>-5.3760000000000003</v>
          </cell>
          <cell r="BO30">
            <v>-7.7359999999999998</v>
          </cell>
          <cell r="BP30">
            <v>-10.19</v>
          </cell>
          <cell r="BQ30">
            <v>-10.19</v>
          </cell>
          <cell r="BR30">
            <v>-33.491999999999997</v>
          </cell>
          <cell r="BS30">
            <v>-10.19</v>
          </cell>
          <cell r="BT30">
            <v>-10.19</v>
          </cell>
          <cell r="BU30">
            <v>-10.19</v>
          </cell>
          <cell r="BV30">
            <v>-10.19</v>
          </cell>
          <cell r="BW30">
            <v>-40.76</v>
          </cell>
          <cell r="BX30">
            <v>-10.19</v>
          </cell>
          <cell r="BY30">
            <v>-10.19</v>
          </cell>
          <cell r="BZ30">
            <v>-10.19</v>
          </cell>
          <cell r="CA30">
            <v>-10.19</v>
          </cell>
          <cell r="CB30">
            <v>-40.76</v>
          </cell>
          <cell r="CC30">
            <v>-14.343999999999999</v>
          </cell>
          <cell r="CD30">
            <v>-14.343999999999999</v>
          </cell>
          <cell r="CE30">
            <v>-14.343999999999999</v>
          </cell>
          <cell r="CF30">
            <v>-14.343999999999999</v>
          </cell>
          <cell r="CG30">
            <v>-57.375999999999998</v>
          </cell>
        </row>
        <row r="31">
          <cell r="B31" t="str">
            <v>Net income</v>
          </cell>
          <cell r="Y31">
            <v>3.7933980000000012</v>
          </cell>
          <cell r="Z31">
            <v>0.7909939999999982</v>
          </cell>
          <cell r="AA31">
            <v>2.5210900000000001</v>
          </cell>
          <cell r="AB31">
            <v>3.0669269999999984</v>
          </cell>
          <cell r="AC31">
            <v>4.6492920000000026</v>
          </cell>
          <cell r="AD31">
            <v>11.028302999999999</v>
          </cell>
          <cell r="AE31">
            <v>5.576532000000002</v>
          </cell>
          <cell r="AF31">
            <v>2.1145450000000006</v>
          </cell>
          <cell r="AG31">
            <v>2.5436169999999989</v>
          </cell>
          <cell r="AH31">
            <v>4.3821417752535945</v>
          </cell>
          <cell r="AI31">
            <v>14.616835775253596</v>
          </cell>
          <cell r="AJ31">
            <v>3.9612516395322159</v>
          </cell>
          <cell r="AK31">
            <v>3.1832516395322195</v>
          </cell>
          <cell r="AL31">
            <v>2.908251639532216</v>
          </cell>
          <cell r="AM31">
            <v>4.0052516395322177</v>
          </cell>
          <cell r="AN31">
            <v>14.058006558128863</v>
          </cell>
          <cell r="AO31">
            <v>3.6045117021276587</v>
          </cell>
          <cell r="AP31">
            <v>5.0200000000000049</v>
          </cell>
          <cell r="AQ31">
            <v>5.7830000000000261</v>
          </cell>
          <cell r="AR31">
            <v>6.9330000000000247</v>
          </cell>
          <cell r="AS31">
            <v>21.340511702127753</v>
          </cell>
          <cell r="AT31">
            <v>9.3819999999999695</v>
          </cell>
          <cell r="AU31">
            <v>13.297000000000018</v>
          </cell>
          <cell r="AV31">
            <v>12.253000000000005</v>
          </cell>
          <cell r="AW31">
            <v>16.721</v>
          </cell>
          <cell r="AX31">
            <v>51.653000000000162</v>
          </cell>
          <cell r="AY31">
            <v>16.138000000000041</v>
          </cell>
          <cell r="AZ31">
            <v>18.152000000000033</v>
          </cell>
          <cell r="BA31">
            <v>17.160000000000032</v>
          </cell>
          <cell r="BB31">
            <v>17.887999999999984</v>
          </cell>
          <cell r="BC31">
            <v>69.338000000000093</v>
          </cell>
          <cell r="BD31">
            <v>20.649999999999981</v>
          </cell>
          <cell r="BE31">
            <v>23.999999999999982</v>
          </cell>
          <cell r="BF31">
            <v>27.831999999999873</v>
          </cell>
          <cell r="BG31">
            <v>30.181999999999988</v>
          </cell>
          <cell r="BH31">
            <v>102.66399999999959</v>
          </cell>
          <cell r="BI31">
            <v>33.182999999999893</v>
          </cell>
          <cell r="BJ31">
            <v>32.851999999999911</v>
          </cell>
          <cell r="BK31">
            <v>51.408000000000051</v>
          </cell>
          <cell r="BL31">
            <v>81.025000000000091</v>
          </cell>
          <cell r="BM31">
            <v>202.83099999999993</v>
          </cell>
          <cell r="BN31">
            <v>86.997999999999848</v>
          </cell>
          <cell r="BO31">
            <v>100.63899999999991</v>
          </cell>
          <cell r="BP31">
            <v>108.25900000000001</v>
          </cell>
          <cell r="BQ31">
            <v>113.59554075086891</v>
          </cell>
          <cell r="BR31">
            <v>409.49154075086864</v>
          </cell>
          <cell r="BS31">
            <v>106.9089116022283</v>
          </cell>
          <cell r="BT31">
            <v>129.30756126998105</v>
          </cell>
          <cell r="BU31">
            <v>116.59972830807854</v>
          </cell>
          <cell r="BV31">
            <v>148.38831670608187</v>
          </cell>
          <cell r="BW31">
            <v>501.20451788636979</v>
          </cell>
          <cell r="BX31">
            <v>126.64835128159044</v>
          </cell>
          <cell r="BY31">
            <v>151.20005646009045</v>
          </cell>
          <cell r="BZ31">
            <v>134.15929273360109</v>
          </cell>
          <cell r="CA31">
            <v>172.43304425499974</v>
          </cell>
          <cell r="CB31">
            <v>584.44074473028172</v>
          </cell>
          <cell r="CC31">
            <v>144.30049492313788</v>
          </cell>
          <cell r="CD31">
            <v>165.95736535194959</v>
          </cell>
          <cell r="CE31">
            <v>141.67486274406664</v>
          </cell>
          <cell r="CF31">
            <v>157.54141366426424</v>
          </cell>
          <cell r="CG31">
            <v>609.47413668341562</v>
          </cell>
        </row>
        <row r="33">
          <cell r="B33" t="str">
            <v>EPS, diluted (as reported) GAAP</v>
          </cell>
          <cell r="Y33">
            <v>0.10351470189542487</v>
          </cell>
          <cell r="Z33">
            <v>2.0933933456452412E-2</v>
          </cell>
          <cell r="AA33">
            <v>5.1589237401119946E-2</v>
          </cell>
          <cell r="AB33">
            <v>5.8518095959545921E-2</v>
          </cell>
          <cell r="AC33">
            <v>7.7115693371932692E-2</v>
          </cell>
          <cell r="AD33">
            <v>0.21135120076699276</v>
          </cell>
          <cell r="AE33">
            <v>7.7292696259811763E-2</v>
          </cell>
          <cell r="AF33">
            <v>2.9144636023563753E-2</v>
          </cell>
          <cell r="AG33">
            <v>2.9776840019880426E-2</v>
          </cell>
          <cell r="AH33">
            <v>3.8882247037374605E-2</v>
          </cell>
          <cell r="AI33">
            <v>0.17318405722924082</v>
          </cell>
          <cell r="AJ33">
            <v>4.2912765394704545E-2</v>
          </cell>
          <cell r="AK33">
            <v>3.3963232726001026E-2</v>
          </cell>
          <cell r="AL33">
            <v>3.0754814494073877E-2</v>
          </cell>
          <cell r="AM33">
            <v>4.4112935468369821E-2</v>
          </cell>
          <cell r="AN33">
            <v>0.15240400182648281</v>
          </cell>
          <cell r="AO33">
            <v>3.9054581762075706E-2</v>
          </cell>
          <cell r="AP33">
            <v>3.4669094897006418E-2</v>
          </cell>
          <cell r="AQ33">
            <v>3.6339567432847539E-2</v>
          </cell>
          <cell r="AR33">
            <v>5.0298306554582908E-2</v>
          </cell>
          <cell r="AS33">
            <v>0.16137394716126061</v>
          </cell>
          <cell r="AT33">
            <v>7.7056693504302998E-2</v>
          </cell>
          <cell r="AU33">
            <v>0.11848730853224584</v>
          </cell>
          <cell r="AV33">
            <v>0.2146561200912997</v>
          </cell>
          <cell r="AW33">
            <v>0.24374846865060668</v>
          </cell>
          <cell r="AX33">
            <v>0.58429977708039371</v>
          </cell>
          <cell r="AY33">
            <v>0.11898371306662567</v>
          </cell>
          <cell r="AZ33">
            <v>0.13655254001742101</v>
          </cell>
          <cell r="BA33">
            <v>0.12852541903211676</v>
          </cell>
          <cell r="BB33">
            <v>0.13129450808390117</v>
          </cell>
          <cell r="BC33">
            <v>0.5154728921119226</v>
          </cell>
          <cell r="BD33">
            <v>0.14379313331635807</v>
          </cell>
          <cell r="BE33">
            <v>0.16908830019205251</v>
          </cell>
          <cell r="BF33">
            <v>0.20029960432068011</v>
          </cell>
          <cell r="BG33">
            <v>0.2113672756881024</v>
          </cell>
          <cell r="BH33">
            <v>0.72416826697352266</v>
          </cell>
          <cell r="BI33">
            <v>0.20812370123170243</v>
          </cell>
          <cell r="BJ33">
            <v>0.20415717839140551</v>
          </cell>
          <cell r="BK33">
            <v>0.10016188296865895</v>
          </cell>
          <cell r="BL33">
            <v>0.20630394398335469</v>
          </cell>
          <cell r="BM33">
            <v>0.69550568383162514</v>
          </cell>
          <cell r="BN33">
            <v>0.24904135331962465</v>
          </cell>
          <cell r="BO33">
            <v>0.30693853280622646</v>
          </cell>
          <cell r="BP33">
            <v>0.35265627808387889</v>
          </cell>
          <cell r="BQ33">
            <v>0.38584964344529205</v>
          </cell>
          <cell r="BR33">
            <v>1.2946701164213219</v>
          </cell>
          <cell r="BS33">
            <v>0.35847305039132421</v>
          </cell>
          <cell r="BT33">
            <v>0.46645162860821227</v>
          </cell>
          <cell r="BU33">
            <v>0.40489558828897065</v>
          </cell>
          <cell r="BV33">
            <v>0.55804279217416775</v>
          </cell>
          <cell r="BW33">
            <v>1.7879931013251404</v>
          </cell>
          <cell r="BX33">
            <v>0.45497852529727539</v>
          </cell>
          <cell r="BY33">
            <v>0.57307763893350339</v>
          </cell>
          <cell r="BZ33">
            <v>0.49071796755515185</v>
          </cell>
          <cell r="CA33">
            <v>0.67475087722130866</v>
          </cell>
          <cell r="CB33">
            <v>2.1936644172499093</v>
          </cell>
          <cell r="CC33">
            <v>0.50953438283027885</v>
          </cell>
          <cell r="CD33">
            <v>0.61352060381314366</v>
          </cell>
          <cell r="CE33">
            <v>0.49641237702455049</v>
          </cell>
          <cell r="CF33">
            <v>0.57246344676731231</v>
          </cell>
          <cell r="CG33">
            <v>2.191948090942915</v>
          </cell>
        </row>
        <row r="34">
          <cell r="B34" t="str">
            <v>EPS (continuing) Non GAAP excluding deal Amortization</v>
          </cell>
          <cell r="Y34">
            <v>8.2644836601307212E-2</v>
          </cell>
          <cell r="Z34">
            <v>1.3086856054377908E-2</v>
          </cell>
          <cell r="AA34">
            <v>4.1722592693997668E-2</v>
          </cell>
          <cell r="AB34">
            <v>4.9976440281311298E-2</v>
          </cell>
          <cell r="AC34">
            <v>7.0619761253668908E-2</v>
          </cell>
          <cell r="AD34">
            <v>0.17860018806594849</v>
          </cell>
          <cell r="AE34">
            <v>7.7292696259811763E-2</v>
          </cell>
          <cell r="AF34">
            <v>2.9144636023563753E-2</v>
          </cell>
          <cell r="AG34">
            <v>2.9776840019880426E-2</v>
          </cell>
          <cell r="AH34">
            <v>4.9933247211184986E-2</v>
          </cell>
          <cell r="AI34">
            <v>0.18549153098937013</v>
          </cell>
          <cell r="AJ34">
            <v>4.5536636023743575E-2</v>
          </cell>
          <cell r="AK34">
            <v>3.6586638327870395E-2</v>
          </cell>
          <cell r="AL34">
            <v>3.3374156595484906E-2</v>
          </cell>
          <cell r="AM34">
            <v>4.6778768098826355E-2</v>
          </cell>
          <cell r="AN34">
            <v>0.16298946041550239</v>
          </cell>
          <cell r="AO34">
            <v>4.1934077147185986E-2</v>
          </cell>
          <cell r="AP34">
            <v>5.3271765039171144E-2</v>
          </cell>
          <cell r="AQ34">
            <v>5.9381666703632867E-2</v>
          </cell>
          <cell r="AR34">
            <v>7.0448112998570275E-2</v>
          </cell>
          <cell r="AS34">
            <v>0.22787021821037617</v>
          </cell>
          <cell r="AT34">
            <v>9.4109072957220929E-2</v>
          </cell>
          <cell r="AU34">
            <v>0.13154594151734764</v>
          </cell>
          <cell r="AV34">
            <v>0.23464907123549783</v>
          </cell>
          <cell r="AW34">
            <v>0.26826289372123968</v>
          </cell>
          <cell r="AX34">
            <v>0.65523623858651947</v>
          </cell>
          <cell r="AY34">
            <v>0.12981065180294785</v>
          </cell>
          <cell r="AZ34">
            <v>0.14457286126545499</v>
          </cell>
          <cell r="BA34">
            <v>0.13634373087234938</v>
          </cell>
          <cell r="BB34">
            <v>0.14129443873209147</v>
          </cell>
          <cell r="BC34">
            <v>0.55212573404273557</v>
          </cell>
          <cell r="BD34">
            <v>0.16251591062245058</v>
          </cell>
          <cell r="BE34">
            <v>0.18818081171385395</v>
          </cell>
          <cell r="BF34">
            <v>0.22064191353808166</v>
          </cell>
          <cell r="BG34">
            <v>0.23907536781660574</v>
          </cell>
          <cell r="BH34">
            <v>0.80999292877529894</v>
          </cell>
          <cell r="BI34">
            <v>0.26217328896710912</v>
          </cell>
          <cell r="BJ34">
            <v>0.24558665779987029</v>
          </cell>
          <cell r="BK34">
            <v>0.2514588113323637</v>
          </cell>
          <cell r="BL34">
            <v>0.39304420657084094</v>
          </cell>
          <cell r="BM34">
            <v>1.2092622311136174</v>
          </cell>
          <cell r="BN34">
            <v>0.42145385263190027</v>
          </cell>
          <cell r="BO34">
            <v>0.48706243993449866</v>
          </cell>
          <cell r="BP34">
            <v>0.52343382062961197</v>
          </cell>
          <cell r="BQ34">
            <v>0.5490294328959815</v>
          </cell>
          <cell r="BR34">
            <v>1.9811509109628951</v>
          </cell>
          <cell r="BS34">
            <v>0.51646128037320349</v>
          </cell>
          <cell r="BT34">
            <v>0.62436334388514503</v>
          </cell>
          <cell r="BU34">
            <v>0.56273086293819763</v>
          </cell>
          <cell r="BV34">
            <v>0.71580170016540556</v>
          </cell>
          <cell r="BW34">
            <v>2.4194870441657401</v>
          </cell>
          <cell r="BX34">
            <v>0.61063610690736403</v>
          </cell>
          <cell r="BY34">
            <v>0.72865998034371016</v>
          </cell>
          <cell r="BZ34">
            <v>0.64622514146804022</v>
          </cell>
          <cell r="CA34">
            <v>0.8301829562341172</v>
          </cell>
          <cell r="CB34">
            <v>2.8158434115711684</v>
          </cell>
          <cell r="CC34">
            <v>0.69483634373069836</v>
          </cell>
          <cell r="CD34">
            <v>0.79873319723718306</v>
          </cell>
          <cell r="CE34">
            <v>0.68153568913099527</v>
          </cell>
          <cell r="CF34">
            <v>0.75749756359040987</v>
          </cell>
          <cell r="CG34">
            <v>2.9326198589556345</v>
          </cell>
        </row>
        <row r="35">
          <cell r="CD35">
            <v>36.2923056624861</v>
          </cell>
        </row>
        <row r="36">
          <cell r="B36" t="str">
            <v>Adjusted Net Income reconciliation</v>
          </cell>
          <cell r="CD36">
            <v>73.211928700850379</v>
          </cell>
        </row>
        <row r="37">
          <cell r="B37" t="str">
            <v>Amortization of intangible assets</v>
          </cell>
          <cell r="Y37">
            <v>1.4991030000000001</v>
          </cell>
          <cell r="Z37">
            <v>0.77538799999999997</v>
          </cell>
          <cell r="AA37">
            <v>0.97467499999999996</v>
          </cell>
          <cell r="AB37">
            <v>0.85694599999999999</v>
          </cell>
          <cell r="AC37">
            <v>0.69915800000000017</v>
          </cell>
          <cell r="AD37">
            <v>3.3061669999999999</v>
          </cell>
          <cell r="AE37">
            <v>0</v>
          </cell>
          <cell r="AF37">
            <v>0</v>
          </cell>
          <cell r="AG37">
            <v>0</v>
          </cell>
          <cell r="AH37">
            <v>1.5840000000000001</v>
          </cell>
          <cell r="AI37">
            <v>1.5840000000000001</v>
          </cell>
          <cell r="AJ37">
            <v>0.39600000000000002</v>
          </cell>
          <cell r="AK37">
            <v>0.39600000000000002</v>
          </cell>
          <cell r="AL37">
            <v>0.39600000000000002</v>
          </cell>
          <cell r="AM37">
            <v>0.39600000000000002</v>
          </cell>
          <cell r="AN37">
            <v>1.5840000000000001</v>
          </cell>
          <cell r="AO37">
            <v>0.39600000000000002</v>
          </cell>
          <cell r="AP37">
            <v>2.4319999999999999</v>
          </cell>
          <cell r="AQ37">
            <v>3.4489999999999998</v>
          </cell>
          <cell r="AR37">
            <v>3.0880000000000001</v>
          </cell>
          <cell r="AS37">
            <v>9.3649999999999984</v>
          </cell>
          <cell r="AT37">
            <v>2.8250000000000002</v>
          </cell>
          <cell r="AU37">
            <v>2.415</v>
          </cell>
          <cell r="AV37">
            <v>2.238</v>
          </cell>
          <cell r="AW37">
            <v>2.246</v>
          </cell>
          <cell r="AX37">
            <v>9.7240000000000002</v>
          </cell>
          <cell r="AY37">
            <v>1.9950000000000001</v>
          </cell>
          <cell r="AZ37">
            <v>1.978</v>
          </cell>
          <cell r="BA37">
            <v>1.9419999999999999</v>
          </cell>
          <cell r="BB37">
            <v>1.94</v>
          </cell>
          <cell r="BC37">
            <v>7.8550000000000004</v>
          </cell>
          <cell r="BD37">
            <v>3.56</v>
          </cell>
          <cell r="BE37">
            <v>3.6669999999999998</v>
          </cell>
          <cell r="BF37">
            <v>3.899</v>
          </cell>
          <cell r="BG37">
            <v>5.26</v>
          </cell>
          <cell r="BH37">
            <v>16.386000000000003</v>
          </cell>
          <cell r="BI37">
            <v>10.318</v>
          </cell>
          <cell r="BJ37">
            <v>9.0109999999999992</v>
          </cell>
          <cell r="BK37">
            <v>51.38</v>
          </cell>
          <cell r="BL37">
            <v>59.406999999999996</v>
          </cell>
          <cell r="BM37">
            <v>130.11599999999999</v>
          </cell>
          <cell r="BN37">
            <v>50.055999999999997</v>
          </cell>
          <cell r="BO37">
            <v>50.091999999999999</v>
          </cell>
          <cell r="BP37">
            <v>47.22</v>
          </cell>
          <cell r="BQ37">
            <v>47.22</v>
          </cell>
          <cell r="BR37">
            <v>194.58799999999999</v>
          </cell>
          <cell r="BS37">
            <v>46.72</v>
          </cell>
          <cell r="BT37">
            <v>46.72</v>
          </cell>
          <cell r="BU37">
            <v>46.72</v>
          </cell>
          <cell r="BV37">
            <v>46.72</v>
          </cell>
          <cell r="BW37">
            <v>186.88</v>
          </cell>
          <cell r="BX37">
            <v>46.12</v>
          </cell>
          <cell r="BY37">
            <v>46.12</v>
          </cell>
          <cell r="BZ37">
            <v>46.12</v>
          </cell>
          <cell r="CA37">
            <v>46.12</v>
          </cell>
          <cell r="CB37">
            <v>184.48</v>
          </cell>
          <cell r="CC37">
            <v>52.716000000000001</v>
          </cell>
          <cell r="CD37">
            <v>52.716000000000001</v>
          </cell>
          <cell r="CE37">
            <v>52.716000000000001</v>
          </cell>
          <cell r="CF37">
            <v>52.716000000000001</v>
          </cell>
          <cell r="CG37">
            <v>210.864</v>
          </cell>
        </row>
        <row r="38">
          <cell r="B38" t="str">
            <v>Net Income</v>
          </cell>
          <cell r="Y38">
            <v>3.7933980000000012</v>
          </cell>
          <cell r="Z38">
            <v>0.7909939999999982</v>
          </cell>
          <cell r="AA38">
            <v>2.5210900000000001</v>
          </cell>
          <cell r="AB38">
            <v>3.0669269999999984</v>
          </cell>
          <cell r="AC38">
            <v>4.6492920000000026</v>
          </cell>
          <cell r="AD38">
            <v>11.028302999999999</v>
          </cell>
          <cell r="AE38">
            <v>5.576532000000002</v>
          </cell>
          <cell r="AF38">
            <v>2.1145450000000006</v>
          </cell>
          <cell r="AG38">
            <v>2.5436169999999989</v>
          </cell>
          <cell r="AH38">
            <v>4.3821417752535945</v>
          </cell>
          <cell r="AI38">
            <v>14.616835775253595</v>
          </cell>
          <cell r="AJ38">
            <v>3.9612516395322159</v>
          </cell>
          <cell r="AK38">
            <v>3.1832516395322195</v>
          </cell>
          <cell r="AL38">
            <v>2.908251639532216</v>
          </cell>
          <cell r="AM38">
            <v>4.0052516395322177</v>
          </cell>
          <cell r="AN38">
            <v>14.05800655812887</v>
          </cell>
          <cell r="AO38">
            <v>3.6045117021276587</v>
          </cell>
          <cell r="AP38">
            <v>5.0200000000000049</v>
          </cell>
          <cell r="AQ38">
            <v>5.7830000000000261</v>
          </cell>
          <cell r="AR38">
            <v>6.9330000000000247</v>
          </cell>
          <cell r="AS38">
            <v>21.340511702127714</v>
          </cell>
          <cell r="AT38">
            <v>9.3819999999999695</v>
          </cell>
          <cell r="AU38">
            <v>13.297000000000018</v>
          </cell>
          <cell r="AV38">
            <v>12.253000000000005</v>
          </cell>
          <cell r="AW38">
            <v>16.721</v>
          </cell>
          <cell r="AX38">
            <v>51.652999999999992</v>
          </cell>
          <cell r="AY38">
            <v>16.138000000000041</v>
          </cell>
          <cell r="AZ38">
            <v>18.152000000000033</v>
          </cell>
          <cell r="BA38">
            <v>17.160000000000032</v>
          </cell>
          <cell r="BB38">
            <v>17.887999999999984</v>
          </cell>
          <cell r="BC38">
            <v>69.338000000000093</v>
          </cell>
          <cell r="BD38">
            <v>20.649999999999981</v>
          </cell>
          <cell r="BE38">
            <v>23.999999999999982</v>
          </cell>
          <cell r="BF38">
            <v>27.831999999999873</v>
          </cell>
          <cell r="BG38">
            <v>30.181999999999988</v>
          </cell>
          <cell r="BH38">
            <v>102.66399999999982</v>
          </cell>
          <cell r="BI38">
            <v>33.182999999999893</v>
          </cell>
          <cell r="BJ38">
            <v>32.851999999999911</v>
          </cell>
          <cell r="BK38">
            <v>51.408000000000051</v>
          </cell>
          <cell r="BL38">
            <v>81.025000000000091</v>
          </cell>
          <cell r="BM38">
            <v>198.46799999999993</v>
          </cell>
          <cell r="BN38">
            <v>86.997999999999848</v>
          </cell>
          <cell r="BO38">
            <v>100.63899999999991</v>
          </cell>
          <cell r="BP38">
            <v>108.25900000000001</v>
          </cell>
          <cell r="BQ38">
            <v>113.59554075086891</v>
          </cell>
          <cell r="BR38">
            <v>409.49154075086869</v>
          </cell>
          <cell r="BS38">
            <v>106.9089116022283</v>
          </cell>
          <cell r="BT38">
            <v>129.30756126998105</v>
          </cell>
          <cell r="BU38">
            <v>116.59972830807854</v>
          </cell>
          <cell r="BV38">
            <v>148.38831670608187</v>
          </cell>
          <cell r="BW38">
            <v>501.20451788636973</v>
          </cell>
          <cell r="BX38">
            <v>126.64835128159044</v>
          </cell>
          <cell r="BY38">
            <v>151.20005646009045</v>
          </cell>
          <cell r="BZ38">
            <v>134.15929273360109</v>
          </cell>
          <cell r="CA38">
            <v>172.43304425499974</v>
          </cell>
          <cell r="CB38">
            <v>584.44074473028172</v>
          </cell>
          <cell r="CC38">
            <v>144.30049492313788</v>
          </cell>
          <cell r="CD38">
            <v>165.95736535194959</v>
          </cell>
          <cell r="CE38">
            <v>141.67486274406664</v>
          </cell>
          <cell r="CF38">
            <v>157.54141366426424</v>
          </cell>
          <cell r="CG38">
            <v>609.47413668341835</v>
          </cell>
        </row>
        <row r="39">
          <cell r="B39" t="str">
            <v>Amortization of Intangibles (Net of Taxes)</v>
          </cell>
          <cell r="Y39">
            <v>0.95792681700000004</v>
          </cell>
          <cell r="Z39">
            <v>0.47429200082781542</v>
          </cell>
          <cell r="AA39">
            <v>0.59619255895996714</v>
          </cell>
          <cell r="AB39">
            <v>0.52417967900121376</v>
          </cell>
          <cell r="AC39">
            <v>0.42766337203409632</v>
          </cell>
          <cell r="AD39">
            <v>2.0223276108230928</v>
          </cell>
          <cell r="AE39">
            <v>0</v>
          </cell>
          <cell r="AF39">
            <v>0</v>
          </cell>
          <cell r="AG39">
            <v>0</v>
          </cell>
          <cell r="AH39">
            <v>0.9698357752535991</v>
          </cell>
          <cell r="AI39">
            <v>0.9698357752535991</v>
          </cell>
          <cell r="AJ39">
            <v>0.22825163953221739</v>
          </cell>
          <cell r="AK39">
            <v>0.22825163953221739</v>
          </cell>
          <cell r="AL39">
            <v>0.22825163953221739</v>
          </cell>
          <cell r="AM39">
            <v>0.22825163953221739</v>
          </cell>
          <cell r="AN39">
            <v>0.91300655812886955</v>
          </cell>
          <cell r="AO39">
            <v>0.24751170212765958</v>
          </cell>
          <cell r="AP39">
            <v>1.7529999999999999</v>
          </cell>
          <cell r="AQ39">
            <v>2.2440000000000002</v>
          </cell>
          <cell r="AR39">
            <v>1.9830000000000001</v>
          </cell>
          <cell r="AS39">
            <v>6.2275117021276607</v>
          </cell>
          <cell r="AT39">
            <v>1.7</v>
          </cell>
          <cell r="AU39">
            <v>1.32</v>
          </cell>
          <cell r="AV39">
            <v>1.044</v>
          </cell>
          <cell r="AW39">
            <v>1.528</v>
          </cell>
          <cell r="AX39">
            <v>5.5920000000000005</v>
          </cell>
          <cell r="AY39">
            <v>1.3460000000000001</v>
          </cell>
          <cell r="AZ39">
            <v>1.0069999999999999</v>
          </cell>
          <cell r="BA39">
            <v>0.98399999999999999</v>
          </cell>
          <cell r="BB39">
            <v>1.266</v>
          </cell>
          <cell r="BC39">
            <v>4.6029999999999998</v>
          </cell>
          <cell r="BD39">
            <v>2.379</v>
          </cell>
          <cell r="BE39">
            <v>2.4349999999999996</v>
          </cell>
          <cell r="BF39">
            <v>2.5659999999999998</v>
          </cell>
          <cell r="BG39">
            <v>3.4979999999999998</v>
          </cell>
          <cell r="BH39">
            <v>10.878</v>
          </cell>
          <cell r="BI39">
            <v>6.8409999999999993</v>
          </cell>
          <cell r="BJ39">
            <v>5.5419999999999998</v>
          </cell>
          <cell r="BK39">
            <v>30.931000000000001</v>
          </cell>
          <cell r="BL39">
            <v>38.495999999999995</v>
          </cell>
          <cell r="BM39">
            <v>81.81</v>
          </cell>
          <cell r="BN39">
            <v>35.589999999999996</v>
          </cell>
          <cell r="BO39">
            <v>37.217999999999996</v>
          </cell>
          <cell r="BP39">
            <v>35.320999999999998</v>
          </cell>
          <cell r="BQ39">
            <v>33.762300000000003</v>
          </cell>
          <cell r="BR39">
            <v>141.8913</v>
          </cell>
          <cell r="BS39">
            <v>32.704000000000001</v>
          </cell>
          <cell r="BT39">
            <v>32.704000000000001</v>
          </cell>
          <cell r="BU39">
            <v>32.704000000000001</v>
          </cell>
          <cell r="BV39">
            <v>32.704000000000001</v>
          </cell>
          <cell r="BW39">
            <v>130.816</v>
          </cell>
          <cell r="BX39">
            <v>32.283999999999999</v>
          </cell>
          <cell r="BY39">
            <v>32.283999999999999</v>
          </cell>
          <cell r="BZ39">
            <v>32.283999999999999</v>
          </cell>
          <cell r="CA39">
            <v>32.283999999999999</v>
          </cell>
          <cell r="CB39">
            <v>129.136</v>
          </cell>
          <cell r="CC39">
            <v>38.482680000000002</v>
          </cell>
          <cell r="CD39">
            <v>38.482680000000002</v>
          </cell>
          <cell r="CE39">
            <v>38.482680000000002</v>
          </cell>
          <cell r="CF39">
            <v>38.482680000000002</v>
          </cell>
          <cell r="CG39">
            <v>153.93072000000001</v>
          </cell>
        </row>
        <row r="40">
          <cell r="B40" t="str">
            <v>Net-Income to shareholders</v>
          </cell>
          <cell r="Y40">
            <v>4.7513248170000013</v>
          </cell>
          <cell r="Z40">
            <v>1.2652860008278135</v>
          </cell>
          <cell r="AA40">
            <v>3.1172825589599671</v>
          </cell>
          <cell r="AB40">
            <v>3.5911066790012121</v>
          </cell>
          <cell r="AC40">
            <v>5.0769553720340994</v>
          </cell>
          <cell r="AD40">
            <v>13.050630610823092</v>
          </cell>
          <cell r="AE40">
            <v>5.576532000000002</v>
          </cell>
          <cell r="AF40">
            <v>2.1145450000000006</v>
          </cell>
          <cell r="AG40">
            <v>2.5436169999999989</v>
          </cell>
          <cell r="AH40">
            <v>3.4123059999999956</v>
          </cell>
          <cell r="AI40">
            <v>13.646999999999997</v>
          </cell>
          <cell r="AJ40">
            <v>3.7329999999999988</v>
          </cell>
          <cell r="AK40">
            <v>2.9550000000000018</v>
          </cell>
          <cell r="AL40">
            <v>2.6799999999999988</v>
          </cell>
          <cell r="AM40">
            <v>3.7770000000000001</v>
          </cell>
          <cell r="AN40">
            <v>13.145</v>
          </cell>
          <cell r="AO40">
            <v>3.3569999999999993</v>
          </cell>
          <cell r="AP40">
            <v>3.2670000000000048</v>
          </cell>
          <cell r="AQ40">
            <v>3.5390000000000259</v>
          </cell>
          <cell r="AR40">
            <v>4.9500000000000242</v>
          </cell>
          <cell r="AS40">
            <v>15.113000000000055</v>
          </cell>
          <cell r="AT40">
            <v>7.6819999999999693</v>
          </cell>
          <cell r="AU40">
            <v>11.977000000000018</v>
          </cell>
          <cell r="AV40">
            <v>11.209000000000005</v>
          </cell>
          <cell r="AW40">
            <v>15.193</v>
          </cell>
          <cell r="AX40">
            <v>46.060999999999993</v>
          </cell>
          <cell r="AY40">
            <v>14.792000000000041</v>
          </cell>
          <cell r="AZ40">
            <v>17.145000000000032</v>
          </cell>
          <cell r="BA40">
            <v>16.17600000000003</v>
          </cell>
          <cell r="BB40">
            <v>16.621999999999986</v>
          </cell>
          <cell r="BC40">
            <v>64.735000000000085</v>
          </cell>
          <cell r="BD40">
            <v>18.270999999999979</v>
          </cell>
          <cell r="BE40">
            <v>21.564999999999984</v>
          </cell>
          <cell r="BF40">
            <v>25.265999999999874</v>
          </cell>
          <cell r="BG40">
            <v>26.683999999999987</v>
          </cell>
          <cell r="BH40">
            <v>91.785999999999817</v>
          </cell>
          <cell r="BI40">
            <v>26.341999999999892</v>
          </cell>
          <cell r="BJ40">
            <v>27.30999999999991</v>
          </cell>
          <cell r="BK40">
            <v>20.47700000000005</v>
          </cell>
          <cell r="BL40">
            <v>42.529000000000096</v>
          </cell>
          <cell r="BM40">
            <v>116.65799999999994</v>
          </cell>
          <cell r="BN40">
            <v>51.407999999999852</v>
          </cell>
          <cell r="BO40">
            <v>63.420999999999914</v>
          </cell>
          <cell r="BP40">
            <v>72.938000000000017</v>
          </cell>
          <cell r="BQ40">
            <v>79.833240750868896</v>
          </cell>
          <cell r="BR40">
            <v>267.60024075086869</v>
          </cell>
          <cell r="BS40">
            <v>74.204911602228293</v>
          </cell>
          <cell r="BT40">
            <v>96.603561269981043</v>
          </cell>
          <cell r="BU40">
            <v>83.895728308078532</v>
          </cell>
          <cell r="BV40">
            <v>115.68431670608186</v>
          </cell>
          <cell r="BW40">
            <v>370.38851788636975</v>
          </cell>
          <cell r="BX40">
            <v>94.364351281590444</v>
          </cell>
          <cell r="BY40">
            <v>118.91605646009046</v>
          </cell>
          <cell r="BZ40">
            <v>101.8752927336011</v>
          </cell>
          <cell r="CA40">
            <v>140.14904425499975</v>
          </cell>
          <cell r="CB40">
            <v>455.30474473028175</v>
          </cell>
          <cell r="CC40">
            <v>105.81781492313787</v>
          </cell>
          <cell r="CD40">
            <v>127.47468535194959</v>
          </cell>
          <cell r="CE40">
            <v>103.19218274406664</v>
          </cell>
          <cell r="CF40">
            <v>119.05873366426424</v>
          </cell>
          <cell r="CG40">
            <v>455.54341668341834</v>
          </cell>
        </row>
        <row r="41">
          <cell r="B41" t="str">
            <v>Adjusted EBITDA reconciliation</v>
          </cell>
          <cell r="AC41" t="str">
            <v xml:space="preserve"> </v>
          </cell>
        </row>
        <row r="42">
          <cell r="B42" t="str">
            <v>Net Income</v>
          </cell>
          <cell r="Y42">
            <v>3.7933980000000012</v>
          </cell>
          <cell r="Z42">
            <v>0.7909939999999982</v>
          </cell>
          <cell r="AA42">
            <v>2.5210900000000001</v>
          </cell>
          <cell r="AB42">
            <v>3.0669269999999984</v>
          </cell>
          <cell r="AC42">
            <v>4.6492920000000026</v>
          </cell>
          <cell r="AD42">
            <v>11.028302999999999</v>
          </cell>
          <cell r="AE42">
            <v>5.576532000000002</v>
          </cell>
          <cell r="AF42">
            <v>2.1145450000000006</v>
          </cell>
          <cell r="AG42">
            <v>2.5436169999999989</v>
          </cell>
          <cell r="AH42">
            <v>3.2909999999999999</v>
          </cell>
          <cell r="AI42">
            <v>13.525694000000001</v>
          </cell>
          <cell r="AJ42">
            <v>3.9612516395322159</v>
          </cell>
          <cell r="AK42">
            <v>3.1832516395322195</v>
          </cell>
          <cell r="AL42">
            <v>2.908251639532216</v>
          </cell>
          <cell r="AM42">
            <v>4.0052516395322177</v>
          </cell>
          <cell r="AN42">
            <v>14.05800655812887</v>
          </cell>
          <cell r="AO42">
            <v>3.6045117021276587</v>
          </cell>
          <cell r="AP42">
            <v>5.0200000000000049</v>
          </cell>
          <cell r="AQ42">
            <v>5.7830000000000261</v>
          </cell>
          <cell r="AR42">
            <v>6.9330000000000247</v>
          </cell>
          <cell r="AS42">
            <v>21.340511702127714</v>
          </cell>
          <cell r="AT42">
            <v>9.3819999999999695</v>
          </cell>
          <cell r="AU42">
            <v>13.297000000000018</v>
          </cell>
          <cell r="AV42">
            <v>12.253000000000005</v>
          </cell>
          <cell r="AW42">
            <v>16.721</v>
          </cell>
          <cell r="AX42">
            <v>51.652999999999992</v>
          </cell>
          <cell r="AY42">
            <v>16.138000000000041</v>
          </cell>
          <cell r="AZ42">
            <v>18.152000000000033</v>
          </cell>
          <cell r="BA42">
            <v>17.160000000000032</v>
          </cell>
          <cell r="BB42">
            <v>17.887999999999984</v>
          </cell>
          <cell r="BC42">
            <v>69.338000000000093</v>
          </cell>
          <cell r="BD42">
            <v>20.649999999999981</v>
          </cell>
          <cell r="BE42">
            <v>23.999999999999982</v>
          </cell>
          <cell r="BF42">
            <v>27.831999999999873</v>
          </cell>
          <cell r="BG42">
            <v>30.181999999999988</v>
          </cell>
          <cell r="BH42">
            <v>102.66399999999982</v>
          </cell>
          <cell r="BI42">
            <v>33.182999999999893</v>
          </cell>
          <cell r="BJ42">
            <v>32.851999999999911</v>
          </cell>
          <cell r="BK42">
            <v>51.408000000000051</v>
          </cell>
          <cell r="BL42">
            <v>81.025000000000091</v>
          </cell>
          <cell r="BM42">
            <v>198.46799999999993</v>
          </cell>
          <cell r="BN42">
            <v>86.997999999999848</v>
          </cell>
          <cell r="BO42">
            <v>100.63899999999991</v>
          </cell>
          <cell r="BP42">
            <v>108.25900000000001</v>
          </cell>
          <cell r="BQ42">
            <v>113.59554075086891</v>
          </cell>
          <cell r="BR42">
            <v>409.49154075086869</v>
          </cell>
          <cell r="BS42">
            <v>106.9089116022283</v>
          </cell>
          <cell r="BT42">
            <v>129.30756126998105</v>
          </cell>
          <cell r="BU42">
            <v>116.59972830807854</v>
          </cell>
          <cell r="BV42">
            <v>148.38831670608187</v>
          </cell>
          <cell r="BW42">
            <v>501.20451788636973</v>
          </cell>
          <cell r="BX42">
            <v>126.64835128159044</v>
          </cell>
          <cell r="BY42">
            <v>151.20005646009045</v>
          </cell>
          <cell r="BZ42">
            <v>134.15929273360109</v>
          </cell>
          <cell r="CA42">
            <v>172.43304425499974</v>
          </cell>
          <cell r="CB42">
            <v>584.44074473028172</v>
          </cell>
          <cell r="CC42">
            <v>144.30049492313788</v>
          </cell>
          <cell r="CD42">
            <v>165.95736535194959</v>
          </cell>
          <cell r="CE42">
            <v>141.67486274406664</v>
          </cell>
          <cell r="CF42">
            <v>157.54141366426424</v>
          </cell>
          <cell r="CG42">
            <v>609.47413668341835</v>
          </cell>
        </row>
        <row r="43">
          <cell r="B43" t="str">
            <v>Income Tax (Expense)</v>
          </cell>
          <cell r="Y43">
            <v>9.9959999999999993E-2</v>
          </cell>
          <cell r="Z43">
            <v>0.03</v>
          </cell>
          <cell r="AA43">
            <v>3.1510000000000003E-2</v>
          </cell>
          <cell r="AB43">
            <v>3.0506999999999999E-2</v>
          </cell>
          <cell r="AC43">
            <v>-0.65</v>
          </cell>
          <cell r="AD43">
            <v>-0.55798300000000001</v>
          </cell>
          <cell r="AE43">
            <v>-1.8587980000000002</v>
          </cell>
          <cell r="AF43">
            <v>1.177989</v>
          </cell>
          <cell r="AG43">
            <v>1.6560549999999998</v>
          </cell>
          <cell r="AH43">
            <v>2.4549182247464012</v>
          </cell>
          <cell r="AI43">
            <v>3.4301642247464006</v>
          </cell>
          <cell r="AJ43">
            <v>1.8747483604677826</v>
          </cell>
          <cell r="AK43">
            <v>1.3357483604677824</v>
          </cell>
          <cell r="AL43">
            <v>-0.13125163953221736</v>
          </cell>
          <cell r="AM43">
            <v>1.8897483604677827</v>
          </cell>
          <cell r="AN43">
            <v>4.968993441871131</v>
          </cell>
          <cell r="AO43">
            <v>1.7974882978723405</v>
          </cell>
          <cell r="AP43">
            <v>1.2050000000000001</v>
          </cell>
          <cell r="AQ43">
            <v>2.4809999999999994</v>
          </cell>
          <cell r="AR43">
            <v>2.8450000000000002</v>
          </cell>
          <cell r="AS43">
            <v>8.3284882978723402</v>
          </cell>
          <cell r="AT43">
            <v>3.9750000000000005</v>
          </cell>
          <cell r="AU43">
            <v>6.3129999999999997</v>
          </cell>
          <cell r="AV43">
            <v>8.0069999999999997</v>
          </cell>
          <cell r="AW43">
            <v>7.8609999999999998</v>
          </cell>
          <cell r="AX43">
            <v>26.156000000000002</v>
          </cell>
          <cell r="AY43">
            <v>7.7860000000000005</v>
          </cell>
          <cell r="AZ43">
            <v>9.34</v>
          </cell>
          <cell r="BA43">
            <v>9.3849999999999998</v>
          </cell>
          <cell r="BB43">
            <v>9.5629999999999988</v>
          </cell>
          <cell r="BC43">
            <v>36.073999999999998</v>
          </cell>
          <cell r="BD43">
            <v>10.248999999999999</v>
          </cell>
          <cell r="BE43">
            <v>12.141999999999999</v>
          </cell>
          <cell r="BF43">
            <v>14.445</v>
          </cell>
          <cell r="BG43">
            <v>15.18</v>
          </cell>
          <cell r="BH43">
            <v>52.015999999999998</v>
          </cell>
          <cell r="BI43">
            <v>16.896000000000001</v>
          </cell>
          <cell r="BJ43">
            <v>20.533999999999999</v>
          </cell>
          <cell r="BK43">
            <v>33.277000000000001</v>
          </cell>
          <cell r="BL43">
            <v>46.919000000000004</v>
          </cell>
          <cell r="BM43">
            <v>117.626</v>
          </cell>
          <cell r="BN43">
            <v>37.494</v>
          </cell>
          <cell r="BO43">
            <v>37.481000000000002</v>
          </cell>
          <cell r="BP43">
            <v>39.879999999999995</v>
          </cell>
          <cell r="BQ43">
            <v>49.34108966992676</v>
          </cell>
          <cell r="BR43">
            <v>164.19608966992675</v>
          </cell>
          <cell r="BS43">
            <v>50.185247829526411</v>
          </cell>
          <cell r="BT43">
            <v>59.784669115706158</v>
          </cell>
          <cell r="BU43">
            <v>54.338454989176512</v>
          </cell>
          <cell r="BV43">
            <v>67.962135731177924</v>
          </cell>
          <cell r="BW43">
            <v>232.27050766558699</v>
          </cell>
          <cell r="BX43">
            <v>58.645007692110177</v>
          </cell>
          <cell r="BY43">
            <v>69.167167054324466</v>
          </cell>
          <cell r="BZ43">
            <v>61.863982600114753</v>
          </cell>
          <cell r="CA43">
            <v>78.267018966428452</v>
          </cell>
          <cell r="CB43">
            <v>267.94317631297781</v>
          </cell>
          <cell r="CC43">
            <v>58.6767309989688</v>
          </cell>
          <cell r="CD43">
            <v>66.686806363049854</v>
          </cell>
          <cell r="CE43">
            <v>57.70560676835342</v>
          </cell>
          <cell r="CF43">
            <v>63.57405710870048</v>
          </cell>
          <cell r="CG43">
            <v>246.64320123907257</v>
          </cell>
        </row>
        <row r="44">
          <cell r="B44" t="str">
            <v>Interest expense and other expense, net</v>
          </cell>
          <cell r="Y44">
            <v>1.0522039999999999</v>
          </cell>
          <cell r="Z44">
            <v>0.42608200000000002</v>
          </cell>
          <cell r="AA44">
            <v>-0.17065099999999994</v>
          </cell>
          <cell r="AB44">
            <v>0.445469</v>
          </cell>
          <cell r="AC44">
            <v>0.56869199999999998</v>
          </cell>
          <cell r="AD44">
            <v>1.2695920000000001</v>
          </cell>
          <cell r="AE44">
            <v>0.39047799999999999</v>
          </cell>
          <cell r="AF44">
            <v>0.39370300000000003</v>
          </cell>
          <cell r="AG44">
            <v>1.0440459999999998</v>
          </cell>
          <cell r="AH44">
            <v>5.6773000000000184E-2</v>
          </cell>
          <cell r="AI44">
            <v>1.885</v>
          </cell>
          <cell r="AJ44">
            <v>0.16300000000000001</v>
          </cell>
          <cell r="AK44">
            <v>-0.16800000000000001</v>
          </cell>
          <cell r="AL44">
            <v>-1.4000000000000002E-2</v>
          </cell>
          <cell r="AM44">
            <v>4.4999999999999998E-2</v>
          </cell>
          <cell r="AN44">
            <v>2.5999999999999992E-2</v>
          </cell>
          <cell r="AO44">
            <v>0.04</v>
          </cell>
          <cell r="AP44">
            <v>0.79200000000000004</v>
          </cell>
          <cell r="AQ44">
            <v>1.5589999999999999</v>
          </cell>
          <cell r="AR44">
            <v>2.4670000000000001</v>
          </cell>
          <cell r="AS44">
            <v>4.8580000000000005</v>
          </cell>
          <cell r="AT44">
            <v>0.63100000000000001</v>
          </cell>
          <cell r="AU44">
            <v>1.4869999999999999</v>
          </cell>
          <cell r="AV44">
            <v>1.0680000000000001</v>
          </cell>
          <cell r="AW44">
            <v>2.802</v>
          </cell>
          <cell r="AX44">
            <v>5.9879999999999995</v>
          </cell>
          <cell r="AY44">
            <v>0.59199999999999997</v>
          </cell>
          <cell r="AZ44">
            <v>0.378</v>
          </cell>
          <cell r="BA44">
            <v>0.373</v>
          </cell>
          <cell r="BB44">
            <v>0.35099999999999998</v>
          </cell>
          <cell r="BC44">
            <v>1.694</v>
          </cell>
          <cell r="BD44">
            <v>0.45300000000000001</v>
          </cell>
          <cell r="BE44">
            <v>0.67700000000000005</v>
          </cell>
          <cell r="BF44">
            <v>1.2210000000000001</v>
          </cell>
          <cell r="BG44">
            <v>0.42899999999999999</v>
          </cell>
          <cell r="BH44">
            <v>2.78</v>
          </cell>
          <cell r="BI44">
            <v>1.24</v>
          </cell>
          <cell r="BJ44">
            <v>1.98</v>
          </cell>
          <cell r="BK44">
            <v>11.843</v>
          </cell>
          <cell r="BL44">
            <v>11.359</v>
          </cell>
          <cell r="BM44">
            <v>26.421999999999997</v>
          </cell>
          <cell r="BN44">
            <v>10.946999999999999</v>
          </cell>
          <cell r="BO44">
            <v>10.907</v>
          </cell>
          <cell r="BP44">
            <v>9.0259999999999998</v>
          </cell>
          <cell r="BQ44">
            <v>12.083287500000001</v>
          </cell>
          <cell r="BR44">
            <v>42.9632875</v>
          </cell>
          <cell r="BS44">
            <v>12.083287500000001</v>
          </cell>
          <cell r="BT44">
            <v>12.083287500000001</v>
          </cell>
          <cell r="BU44">
            <v>12.083287500000001</v>
          </cell>
          <cell r="BV44">
            <v>12.083287500000001</v>
          </cell>
          <cell r="BW44">
            <v>48.333150000000003</v>
          </cell>
          <cell r="BX44">
            <v>12.083287500000001</v>
          </cell>
          <cell r="BY44">
            <v>12.083287500000001</v>
          </cell>
          <cell r="BZ44">
            <v>12.083287500000001</v>
          </cell>
          <cell r="CA44">
            <v>12.083287500000001</v>
          </cell>
          <cell r="CB44">
            <v>48.333150000000003</v>
          </cell>
          <cell r="CC44">
            <v>14.909367694034387</v>
          </cell>
          <cell r="CD44">
            <v>14.859118536691653</v>
          </cell>
          <cell r="CE44">
            <v>14.811877479428095</v>
          </cell>
          <cell r="CF44">
            <v>14.769359345225517</v>
          </cell>
          <cell r="CG44">
            <v>59.349723055379648</v>
          </cell>
        </row>
        <row r="45">
          <cell r="B45" t="str">
            <v>Interest income</v>
          </cell>
          <cell r="Y45">
            <v>-0.20331299999999999</v>
          </cell>
          <cell r="Z45">
            <v>-7.2106000000000003E-2</v>
          </cell>
          <cell r="AA45">
            <v>-8.4483000000000003E-2</v>
          </cell>
          <cell r="AB45">
            <v>-0.10671600000000001</v>
          </cell>
          <cell r="AC45">
            <v>-0.28557999999999995</v>
          </cell>
          <cell r="AD45">
            <v>-0.54888499999999996</v>
          </cell>
          <cell r="AE45">
            <v>0.48380099999999998</v>
          </cell>
          <cell r="AF45">
            <v>-0.55979499999999993</v>
          </cell>
          <cell r="AG45">
            <v>-0.89467099999999999</v>
          </cell>
          <cell r="AH45">
            <v>-1.0227730000000002</v>
          </cell>
          <cell r="AI45">
            <v>-1.993438</v>
          </cell>
          <cell r="AJ45">
            <v>-1.0580000000000001</v>
          </cell>
          <cell r="AK45">
            <v>-1.159</v>
          </cell>
          <cell r="AL45">
            <v>-1.2190000000000001</v>
          </cell>
          <cell r="AM45">
            <v>-1.2549999999999999</v>
          </cell>
          <cell r="AN45">
            <v>-4.6909999999999998</v>
          </cell>
          <cell r="AO45">
            <v>-1.0529999999999999</v>
          </cell>
          <cell r="AP45">
            <v>-0.64700000000000002</v>
          </cell>
          <cell r="AQ45">
            <v>-0.50800000000000001</v>
          </cell>
          <cell r="AR45">
            <v>-0.54</v>
          </cell>
          <cell r="AS45">
            <v>-2.7480000000000002</v>
          </cell>
          <cell r="AT45">
            <v>-0.246</v>
          </cell>
          <cell r="AU45">
            <v>-0.22500000000000001</v>
          </cell>
          <cell r="AV45">
            <v>-0.10100000000000001</v>
          </cell>
          <cell r="AW45">
            <v>-0.184</v>
          </cell>
          <cell r="AX45">
            <v>-0.75600000000000001</v>
          </cell>
          <cell r="AY45">
            <v>-0.14899999999999999</v>
          </cell>
          <cell r="AZ45">
            <v>-0.17499999999999999</v>
          </cell>
          <cell r="BA45">
            <v>-0.19900000000000001</v>
          </cell>
          <cell r="BB45">
            <v>-0.20300000000000001</v>
          </cell>
          <cell r="BC45">
            <v>-0.72599999999999998</v>
          </cell>
          <cell r="BD45">
            <v>-0.16600000000000001</v>
          </cell>
          <cell r="BE45">
            <v>-9.2999999999999999E-2</v>
          </cell>
          <cell r="BF45">
            <v>-0.115</v>
          </cell>
          <cell r="BG45">
            <v>-0.127</v>
          </cell>
          <cell r="BH45">
            <v>-0.501</v>
          </cell>
          <cell r="BI45">
            <v>0</v>
          </cell>
          <cell r="BJ45">
            <v>0</v>
          </cell>
          <cell r="BK45">
            <v>0</v>
          </cell>
          <cell r="BL45">
            <v>0</v>
          </cell>
          <cell r="BM45">
            <v>0</v>
          </cell>
          <cell r="BN45">
            <v>0</v>
          </cell>
          <cell r="BO45">
            <v>0</v>
          </cell>
          <cell r="BP45">
            <v>0</v>
          </cell>
          <cell r="BQ45">
            <v>-0.52593690284836292</v>
          </cell>
          <cell r="BR45">
            <v>-0.52593690284836292</v>
          </cell>
          <cell r="BS45">
            <v>-0.80926173718465733</v>
          </cell>
          <cell r="BT45">
            <v>-0.9228299896717107</v>
          </cell>
          <cell r="BU45">
            <v>-1.1189351404852863</v>
          </cell>
          <cell r="BV45">
            <v>-1.2958156163433432</v>
          </cell>
          <cell r="BW45">
            <v>-4.1468424836849973</v>
          </cell>
          <cell r="BX45">
            <v>-1.9367593890420653</v>
          </cell>
          <cell r="BY45">
            <v>-2.2861676874259032</v>
          </cell>
          <cell r="BZ45">
            <v>-2.5558100341849168</v>
          </cell>
          <cell r="CA45">
            <v>-2.799009983508848</v>
          </cell>
          <cell r="CB45">
            <v>-9.5777470941617331</v>
          </cell>
          <cell r="CC45">
            <v>0</v>
          </cell>
          <cell r="CD45">
            <v>0</v>
          </cell>
          <cell r="CE45">
            <v>0</v>
          </cell>
          <cell r="CF45">
            <v>0</v>
          </cell>
          <cell r="CG45">
            <v>0</v>
          </cell>
        </row>
        <row r="46">
          <cell r="B46" t="str">
            <v>Stock-Based Compensation</v>
          </cell>
          <cell r="Y46">
            <v>0.57932799999999995</v>
          </cell>
          <cell r="Z46">
            <v>0.13853699999999999</v>
          </cell>
          <cell r="AA46">
            <v>0.22966700000000001</v>
          </cell>
          <cell r="AB46">
            <v>0.22679099999999999</v>
          </cell>
          <cell r="AC46">
            <v>0.24898400000000009</v>
          </cell>
          <cell r="AD46">
            <v>0.84397900000000003</v>
          </cell>
          <cell r="AE46">
            <v>0.47885699999999998</v>
          </cell>
          <cell r="AF46">
            <v>0.43487599999999998</v>
          </cell>
          <cell r="AG46">
            <v>0.47110999999999997</v>
          </cell>
          <cell r="AH46">
            <v>0.57299999999999995</v>
          </cell>
          <cell r="AI46">
            <v>1.9578429999999998</v>
          </cell>
          <cell r="AJ46">
            <v>0.40300000000000002</v>
          </cell>
          <cell r="AK46">
            <v>0.747</v>
          </cell>
          <cell r="AL46">
            <v>1.101</v>
          </cell>
          <cell r="AM46">
            <v>0.79</v>
          </cell>
          <cell r="AN46">
            <v>3.0409999999999999</v>
          </cell>
          <cell r="AO46">
            <v>0.77900000000000003</v>
          </cell>
          <cell r="AP46">
            <v>1.325</v>
          </cell>
          <cell r="AQ46">
            <v>0.90200000000000002</v>
          </cell>
          <cell r="AR46">
            <v>1.0740000000000001</v>
          </cell>
          <cell r="AS46">
            <v>4.08</v>
          </cell>
          <cell r="AT46">
            <v>0.61299999999999999</v>
          </cell>
          <cell r="AU46">
            <v>0.81699999999999995</v>
          </cell>
          <cell r="AV46">
            <v>1.046</v>
          </cell>
          <cell r="AW46">
            <v>1.18</v>
          </cell>
          <cell r="AX46">
            <v>3.6559999999999997</v>
          </cell>
          <cell r="AY46">
            <v>1.264</v>
          </cell>
          <cell r="AZ46">
            <v>1.617</v>
          </cell>
          <cell r="BA46">
            <v>1.6459999999999999</v>
          </cell>
          <cell r="BB46">
            <v>1.3680000000000001</v>
          </cell>
          <cell r="BC46">
            <v>5.8950000000000005</v>
          </cell>
          <cell r="BD46">
            <v>1.6830000000000001</v>
          </cell>
          <cell r="BE46">
            <v>2.419</v>
          </cell>
          <cell r="BF46">
            <v>2.4039999999999999</v>
          </cell>
          <cell r="BG46">
            <v>2.9380000000000002</v>
          </cell>
          <cell r="BH46">
            <v>9.4440000000000008</v>
          </cell>
          <cell r="BI46">
            <v>3.35</v>
          </cell>
          <cell r="BJ46">
            <v>3.35</v>
          </cell>
          <cell r="BK46">
            <v>3.35</v>
          </cell>
          <cell r="BL46">
            <v>0</v>
          </cell>
          <cell r="BM46">
            <v>10.050000000000001</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row>
        <row r="47">
          <cell r="B47" t="str">
            <v>Depreciation of Property &amp; Equipment</v>
          </cell>
          <cell r="Y47">
            <v>0</v>
          </cell>
          <cell r="Z47">
            <v>0</v>
          </cell>
          <cell r="AA47">
            <v>0</v>
          </cell>
          <cell r="AB47">
            <v>0</v>
          </cell>
          <cell r="AC47">
            <v>1.740167</v>
          </cell>
          <cell r="AD47">
            <v>1.740167</v>
          </cell>
          <cell r="AE47">
            <v>0.49918899999999999</v>
          </cell>
          <cell r="AF47">
            <v>0.655358</v>
          </cell>
          <cell r="AG47">
            <v>0.79574699999999998</v>
          </cell>
          <cell r="AH47">
            <v>0.56899999999999995</v>
          </cell>
          <cell r="AI47">
            <v>2.5192939999999999</v>
          </cell>
          <cell r="AJ47">
            <v>0.94</v>
          </cell>
          <cell r="AK47">
            <v>1.357</v>
          </cell>
          <cell r="AL47">
            <v>1.4379999999999999</v>
          </cell>
          <cell r="AM47">
            <v>1.448</v>
          </cell>
          <cell r="AN47">
            <v>5.1829999999999998</v>
          </cell>
          <cell r="AO47">
            <v>1.1639999999999999</v>
          </cell>
          <cell r="AP47">
            <v>1.881</v>
          </cell>
          <cell r="AQ47">
            <v>1.669</v>
          </cell>
          <cell r="AR47">
            <v>1.9</v>
          </cell>
          <cell r="AS47">
            <v>6.6140000000000008</v>
          </cell>
          <cell r="AT47">
            <v>1.976</v>
          </cell>
          <cell r="AU47">
            <v>1.968</v>
          </cell>
          <cell r="AV47">
            <v>2.0369999999999999</v>
          </cell>
          <cell r="AW47">
            <v>2.0329999999999999</v>
          </cell>
          <cell r="AX47">
            <v>8.0139999999999993</v>
          </cell>
          <cell r="AY47">
            <v>2.089</v>
          </cell>
          <cell r="AZ47">
            <v>2.1459999999999999</v>
          </cell>
          <cell r="BA47">
            <v>2.077</v>
          </cell>
          <cell r="BB47">
            <v>2.2170000000000001</v>
          </cell>
          <cell r="BC47">
            <v>8.5289999999999999</v>
          </cell>
          <cell r="BD47">
            <v>2.33</v>
          </cell>
          <cell r="BE47">
            <v>2.2509999999999999</v>
          </cell>
          <cell r="BF47">
            <v>2.2349999999999999</v>
          </cell>
          <cell r="BG47">
            <v>2.6760000000000002</v>
          </cell>
          <cell r="BH47">
            <v>9.4919999999999991</v>
          </cell>
          <cell r="BI47">
            <v>2.9</v>
          </cell>
          <cell r="BJ47">
            <v>2.9</v>
          </cell>
          <cell r="BK47">
            <v>5.7169999999999996</v>
          </cell>
          <cell r="BL47">
            <v>6.1959999999999997</v>
          </cell>
          <cell r="BM47">
            <v>17.713000000000001</v>
          </cell>
          <cell r="BN47">
            <v>8.1029999999999998</v>
          </cell>
          <cell r="BO47">
            <v>9.0419999999999998</v>
          </cell>
          <cell r="BP47">
            <v>11.058999999999999</v>
          </cell>
          <cell r="BQ47">
            <v>11.058999999999999</v>
          </cell>
          <cell r="BR47">
            <v>39.262999999999998</v>
          </cell>
          <cell r="BS47">
            <v>11.058999999999999</v>
          </cell>
          <cell r="BT47">
            <v>11.058999999999999</v>
          </cell>
          <cell r="BU47">
            <v>11.058999999999999</v>
          </cell>
          <cell r="BV47">
            <v>11.058999999999999</v>
          </cell>
          <cell r="BW47">
            <v>44.235999999999997</v>
          </cell>
          <cell r="BX47">
            <v>11.058999999999999</v>
          </cell>
          <cell r="BY47">
            <v>11.058999999999999</v>
          </cell>
          <cell r="BZ47">
            <v>11.058999999999999</v>
          </cell>
          <cell r="CA47">
            <v>11.058999999999999</v>
          </cell>
          <cell r="CB47">
            <v>44.235999999999997</v>
          </cell>
          <cell r="CC47">
            <v>21.483000000000001</v>
          </cell>
          <cell r="CD47">
            <v>21.483000000000001</v>
          </cell>
          <cell r="CE47">
            <v>21.483000000000001</v>
          </cell>
          <cell r="CF47">
            <v>21.483000000000001</v>
          </cell>
          <cell r="CG47">
            <v>85.932000000000002</v>
          </cell>
        </row>
        <row r="48">
          <cell r="B48" t="str">
            <v>Amortization of Intangible Assets</v>
          </cell>
          <cell r="Y48">
            <v>1.4991030000000001</v>
          </cell>
          <cell r="Z48">
            <v>0.77538799999999997</v>
          </cell>
          <cell r="AA48">
            <v>0.97467499999999996</v>
          </cell>
          <cell r="AB48">
            <v>0.85694599999999999</v>
          </cell>
          <cell r="AC48">
            <v>0.69915800000000017</v>
          </cell>
          <cell r="AD48">
            <v>3.3061669999999999</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1.0920000000000005</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-1</v>
          </cell>
          <cell r="CD48">
            <v>-1</v>
          </cell>
          <cell r="CE48">
            <v>-1</v>
          </cell>
          <cell r="CF48">
            <v>-1</v>
          </cell>
          <cell r="CG48">
            <v>-4</v>
          </cell>
        </row>
        <row r="49">
          <cell r="B49" t="str">
            <v>Adjusted EBITDA</v>
          </cell>
          <cell r="Y49">
            <v>6.8206800000000012</v>
          </cell>
          <cell r="Z49">
            <v>2.0888949999999982</v>
          </cell>
          <cell r="AA49">
            <v>3.501808</v>
          </cell>
          <cell r="AB49">
            <v>4.5199239999999987</v>
          </cell>
          <cell r="AC49">
            <v>6.9707130000000035</v>
          </cell>
          <cell r="AD49">
            <v>17.081339999999997</v>
          </cell>
          <cell r="AE49">
            <v>5.5700590000000014</v>
          </cell>
          <cell r="AF49">
            <v>4.2166760000000005</v>
          </cell>
          <cell r="AG49">
            <v>5.6159039999999987</v>
          </cell>
          <cell r="AH49">
            <v>5.9219182247464</v>
          </cell>
          <cell r="AI49">
            <v>21.3245572247464</v>
          </cell>
          <cell r="AJ49">
            <v>6.2839999999999989</v>
          </cell>
          <cell r="AK49">
            <v>5.296000000000002</v>
          </cell>
          <cell r="AL49">
            <v>4.0829999999999984</v>
          </cell>
          <cell r="AM49">
            <v>6.923</v>
          </cell>
          <cell r="AN49">
            <v>22.586000000000002</v>
          </cell>
          <cell r="AO49">
            <v>6.331999999999999</v>
          </cell>
          <cell r="AP49">
            <v>9.5760000000000041</v>
          </cell>
          <cell r="AQ49">
            <v>11.886000000000026</v>
          </cell>
          <cell r="AR49">
            <v>14.679000000000027</v>
          </cell>
          <cell r="AS49">
            <v>42.473000000000056</v>
          </cell>
          <cell r="AT49">
            <v>16.330999999999971</v>
          </cell>
          <cell r="AU49">
            <v>23.657000000000014</v>
          </cell>
          <cell r="AV49">
            <v>24.310000000000006</v>
          </cell>
          <cell r="AW49">
            <v>30.413</v>
          </cell>
          <cell r="AX49">
            <v>94.710999999999999</v>
          </cell>
          <cell r="AY49">
            <v>27.720000000000038</v>
          </cell>
          <cell r="AZ49">
            <v>31.458000000000034</v>
          </cell>
          <cell r="BA49">
            <v>30.442000000000029</v>
          </cell>
          <cell r="BB49">
            <v>31.18399999999998</v>
          </cell>
          <cell r="BC49">
            <v>120.80400000000007</v>
          </cell>
          <cell r="BD49">
            <v>35.198999999999977</v>
          </cell>
          <cell r="BE49">
            <v>41.395999999999972</v>
          </cell>
          <cell r="BF49">
            <v>48.021999999999878</v>
          </cell>
          <cell r="BG49">
            <v>51.277999999999992</v>
          </cell>
          <cell r="BH49">
            <v>175.89499999999978</v>
          </cell>
          <cell r="BI49">
            <v>57.568999999999896</v>
          </cell>
          <cell r="BJ49">
            <v>61.615999999999907</v>
          </cell>
          <cell r="BK49">
            <v>105.59500000000006</v>
          </cell>
          <cell r="BL49">
            <v>146.59100000000012</v>
          </cell>
          <cell r="BM49">
            <v>370.279</v>
          </cell>
          <cell r="BN49">
            <v>143.54199999999986</v>
          </cell>
          <cell r="BO49">
            <v>158.06899999999993</v>
          </cell>
          <cell r="BP49">
            <v>168.22400000000002</v>
          </cell>
          <cell r="BQ49">
            <v>185.5529810179473</v>
          </cell>
          <cell r="BR49">
            <v>655.38798101794714</v>
          </cell>
          <cell r="BS49">
            <v>179.42718519457006</v>
          </cell>
          <cell r="BT49">
            <v>211.31168789601551</v>
          </cell>
          <cell r="BU49">
            <v>192.96153565676977</v>
          </cell>
          <cell r="BV49">
            <v>238.19692432091645</v>
          </cell>
          <cell r="BW49">
            <v>821.89733306827179</v>
          </cell>
          <cell r="BX49">
            <v>206.49888708465855</v>
          </cell>
          <cell r="BY49">
            <v>241.22334332698901</v>
          </cell>
          <cell r="BZ49">
            <v>216.60975279953092</v>
          </cell>
          <cell r="CA49">
            <v>271.04334073791938</v>
          </cell>
          <cell r="CB49">
            <v>935.37532394909783</v>
          </cell>
          <cell r="CC49">
            <v>238.36959361614106</v>
          </cell>
          <cell r="CD49">
            <v>267.98629025169112</v>
          </cell>
          <cell r="CE49">
            <v>234.67534699184816</v>
          </cell>
          <cell r="CF49">
            <v>256.36783011819023</v>
          </cell>
          <cell r="CG49">
            <v>997.39906097787059</v>
          </cell>
        </row>
        <row r="51">
          <cell r="B51" t="str">
            <v>Guidance (continuing)</v>
          </cell>
          <cell r="BH51" t="str">
            <v>$1.62 to $1.63</v>
          </cell>
          <cell r="BM51" t="str">
            <v>$1.09 to $1.13</v>
          </cell>
          <cell r="BR51" t="str">
            <v>$1.81 to $1.88</v>
          </cell>
          <cell r="BW51" t="str">
            <v>$2.20 to $2.25</v>
          </cell>
        </row>
        <row r="52">
          <cell r="B52" t="str">
            <v>EPS GAAP-Guidance</v>
          </cell>
          <cell r="BH52" t="str">
            <v>$1.46 to $1.47</v>
          </cell>
          <cell r="BM52" t="str">
            <v>$0.64 to $0.68</v>
          </cell>
          <cell r="BR52" t="str">
            <v>$1.18 to $1.25</v>
          </cell>
          <cell r="BW52" t="str">
            <v>$1.45 to $1.50</v>
          </cell>
        </row>
        <row r="54">
          <cell r="B54" t="str">
            <v xml:space="preserve">Average basic shares </v>
          </cell>
          <cell r="Y54">
            <v>45.9</v>
          </cell>
          <cell r="Z54">
            <v>58.334867000000003</v>
          </cell>
          <cell r="AA54">
            <v>58.367683999999997</v>
          </cell>
          <cell r="AB54">
            <v>58.40184</v>
          </cell>
          <cell r="AC54">
            <v>65.835566666666665</v>
          </cell>
          <cell r="AD54">
            <v>59.223427999999998</v>
          </cell>
          <cell r="AE54">
            <v>67.804332000000002</v>
          </cell>
          <cell r="AF54">
            <v>68.236575999999999</v>
          </cell>
          <cell r="AG54">
            <v>81.405243999999996</v>
          </cell>
          <cell r="AH54">
            <v>87.76</v>
          </cell>
          <cell r="AI54">
            <v>74.841480000000004</v>
          </cell>
          <cell r="AJ54">
            <v>82.209215999999998</v>
          </cell>
          <cell r="AK54">
            <v>82.749871999999996</v>
          </cell>
          <cell r="AL54">
            <v>83.408956000000003</v>
          </cell>
          <cell r="AM54">
            <v>83.697252000000006</v>
          </cell>
          <cell r="AN54">
            <v>83.021500000000003</v>
          </cell>
          <cell r="AO54">
            <v>83.982752000000005</v>
          </cell>
          <cell r="AP54">
            <v>91.795760000000001</v>
          </cell>
          <cell r="AQ54">
            <v>91.795760000000001</v>
          </cell>
          <cell r="AR54">
            <v>96.223635999999999</v>
          </cell>
          <cell r="AS54">
            <v>91.913864000000004</v>
          </cell>
          <cell r="AT54">
            <v>97.299644000000001</v>
          </cell>
          <cell r="AU54">
            <v>98.555943999999997</v>
          </cell>
          <cell r="AV54">
            <v>50.223526</v>
          </cell>
          <cell r="AW54">
            <v>60.037660000000002</v>
          </cell>
          <cell r="AX54">
            <v>76.529193500000005</v>
          </cell>
          <cell r="AY54">
            <v>120.374004</v>
          </cell>
          <cell r="AZ54">
            <v>121.385864</v>
          </cell>
          <cell r="BA54">
            <v>121.640394</v>
          </cell>
          <cell r="BB54">
            <v>122.469504</v>
          </cell>
          <cell r="BC54">
            <v>121.46744150000001</v>
          </cell>
          <cell r="BD54">
            <v>123.60207200000001</v>
          </cell>
          <cell r="BE54">
            <v>124.148492</v>
          </cell>
          <cell r="BF54">
            <v>124.542534</v>
          </cell>
          <cell r="BG54">
            <v>124.694774</v>
          </cell>
          <cell r="BH54">
            <v>124.246968</v>
          </cell>
          <cell r="BI54">
            <v>125.057366</v>
          </cell>
          <cell r="BJ54">
            <v>132.44173799999999</v>
          </cell>
          <cell r="BK54">
            <v>203.50535500000001</v>
          </cell>
          <cell r="BL54">
            <v>205.23181700000001</v>
          </cell>
          <cell r="BM54">
            <v>166.55906899999999</v>
          </cell>
          <cell r="BN54">
            <v>205.576875</v>
          </cell>
          <cell r="BO54">
            <v>205.665436</v>
          </cell>
          <cell r="BP54">
            <v>206.20326299999999</v>
          </cell>
          <cell r="BQ54">
            <v>206.28087199999999</v>
          </cell>
          <cell r="BR54">
            <v>205.93161149999997</v>
          </cell>
          <cell r="BS54">
            <v>206.38087200000001</v>
          </cell>
          <cell r="BT54">
            <v>206.48087199999998</v>
          </cell>
          <cell r="BU54">
            <v>206.580872</v>
          </cell>
          <cell r="BV54">
            <v>206.68087199999997</v>
          </cell>
          <cell r="BW54">
            <v>206.53087199999999</v>
          </cell>
          <cell r="BX54">
            <v>206.78087199999999</v>
          </cell>
          <cell r="BY54">
            <v>206.88087199999995</v>
          </cell>
          <cell r="BZ54">
            <v>206.98087199999998</v>
          </cell>
          <cell r="CA54">
            <v>207.08087199999994</v>
          </cell>
          <cell r="CB54">
            <v>206.93087199999997</v>
          </cell>
          <cell r="CC54">
            <v>207.24831999999992</v>
          </cell>
          <cell r="CD54">
            <v>207.34831999999994</v>
          </cell>
          <cell r="CE54">
            <v>207.44831999999991</v>
          </cell>
          <cell r="CF54">
            <v>207.54831999999993</v>
          </cell>
          <cell r="CG54">
            <v>207.3983199999999</v>
          </cell>
        </row>
        <row r="55">
          <cell r="B55" t="str">
            <v xml:space="preserve">Average diluted shares </v>
          </cell>
          <cell r="Y55">
            <v>45.9</v>
          </cell>
          <cell r="Z55">
            <v>60.441865999999997</v>
          </cell>
          <cell r="AA55">
            <v>60.425055999999998</v>
          </cell>
          <cell r="AB55">
            <v>61.367455999999997</v>
          </cell>
          <cell r="AC55">
            <v>65.835566666666665</v>
          </cell>
          <cell r="AD55">
            <v>61.748551999999997</v>
          </cell>
          <cell r="AE55">
            <v>72.148240000000001</v>
          </cell>
          <cell r="AF55">
            <v>72.553488000000002</v>
          </cell>
          <cell r="AG55">
            <v>85.422663999999997</v>
          </cell>
          <cell r="AH55">
            <v>87.76</v>
          </cell>
          <cell r="AI55">
            <v>78.800556</v>
          </cell>
          <cell r="AJ55">
            <v>86.990431999999998</v>
          </cell>
          <cell r="AK55">
            <v>87.005852000000004</v>
          </cell>
          <cell r="AL55">
            <v>87.140827999999999</v>
          </cell>
          <cell r="AM55">
            <v>85.621144000000001</v>
          </cell>
          <cell r="AN55">
            <v>86.251016000000007</v>
          </cell>
          <cell r="AO55">
            <v>85.956624000000005</v>
          </cell>
          <cell r="AP55">
            <v>94.233784</v>
          </cell>
          <cell r="AQ55">
            <v>97.386960000000002</v>
          </cell>
          <cell r="AR55">
            <v>98.412856000000005</v>
          </cell>
          <cell r="AS55">
            <v>93.652044000000004</v>
          </cell>
          <cell r="AT55">
            <v>99.692831999999996</v>
          </cell>
          <cell r="AU55">
            <v>101.082556</v>
          </cell>
          <cell r="AV55">
            <v>52.218404</v>
          </cell>
          <cell r="AW55">
            <v>62.330647999999997</v>
          </cell>
          <cell r="AX55">
            <v>78.831109999999995</v>
          </cell>
          <cell r="AY55">
            <v>124.319536</v>
          </cell>
          <cell r="AZ55">
            <v>125.556068</v>
          </cell>
          <cell r="BA55">
            <v>125.858372</v>
          </cell>
          <cell r="BB55">
            <v>126.60087799999999</v>
          </cell>
          <cell r="BC55">
            <v>125.58371349999999</v>
          </cell>
          <cell r="BD55">
            <v>127.064482</v>
          </cell>
          <cell r="BE55">
            <v>127.536914</v>
          </cell>
          <cell r="BF55">
            <v>126.14103799999999</v>
          </cell>
          <cell r="BG55">
            <v>126.244708</v>
          </cell>
          <cell r="BH55">
            <v>126.7467855</v>
          </cell>
          <cell r="BI55">
            <v>126.56895799999999</v>
          </cell>
          <cell r="BJ55">
            <v>133.76948200000001</v>
          </cell>
          <cell r="BK55">
            <v>204.43904800000001</v>
          </cell>
          <cell r="BL55">
            <v>206.14729500000001</v>
          </cell>
          <cell r="BM55">
            <v>167.73119575000001</v>
          </cell>
          <cell r="BN55">
            <v>206.42354900000001</v>
          </cell>
          <cell r="BO55">
            <v>206.62443200000001</v>
          </cell>
          <cell r="BP55">
            <v>206.82461799999999</v>
          </cell>
          <cell r="BQ55">
            <v>206.90246086021875</v>
          </cell>
          <cell r="BR55">
            <v>206.6937649650547</v>
          </cell>
          <cell r="BS55">
            <v>207.00276219153184</v>
          </cell>
          <cell r="BT55">
            <v>207.10306352284491</v>
          </cell>
          <cell r="BU55">
            <v>207.203364854158</v>
          </cell>
          <cell r="BV55">
            <v>207.30366618547103</v>
          </cell>
          <cell r="BW55">
            <v>207.15321418850144</v>
          </cell>
          <cell r="BX55">
            <v>207.40396751678412</v>
          </cell>
          <cell r="BY55">
            <v>207.50426884809718</v>
          </cell>
          <cell r="BZ55">
            <v>207.60457017941027</v>
          </cell>
          <cell r="CA55">
            <v>207.70487151072331</v>
          </cell>
          <cell r="CB55">
            <v>207.55441951375371</v>
          </cell>
          <cell r="CC55">
            <v>207.67551413382205</v>
          </cell>
          <cell r="CD55">
            <v>207.77572026052738</v>
          </cell>
          <cell r="CE55">
            <v>207.87592638723265</v>
          </cell>
          <cell r="CF55">
            <v>207.97613251393798</v>
          </cell>
          <cell r="CG55">
            <v>207.82582332388</v>
          </cell>
        </row>
        <row r="56">
          <cell r="B56" t="str">
            <v>Period end shares outstanding</v>
          </cell>
          <cell r="Y56">
            <v>58.318494999999999</v>
          </cell>
          <cell r="Z56">
            <v>58.364496000000003</v>
          </cell>
          <cell r="AA56">
            <v>58.374496000000001</v>
          </cell>
          <cell r="AB56">
            <v>58.420163000000002</v>
          </cell>
          <cell r="AC56">
            <v>67.755331999999996</v>
          </cell>
          <cell r="AD56">
            <v>67.755331999999996</v>
          </cell>
          <cell r="AE56">
            <v>81.519295999999997</v>
          </cell>
          <cell r="AF56">
            <v>81.231211999999999</v>
          </cell>
          <cell r="AG56">
            <v>81.519295999999997</v>
          </cell>
          <cell r="AH56">
            <v>81.777959999999993</v>
          </cell>
          <cell r="AI56">
            <v>81.777959999999993</v>
          </cell>
          <cell r="AJ56">
            <v>82.449928</v>
          </cell>
          <cell r="AK56">
            <v>83.346608000000003</v>
          </cell>
          <cell r="AL56">
            <v>83.475064000000003</v>
          </cell>
          <cell r="AM56">
            <v>83.943736000000001</v>
          </cell>
          <cell r="AN56">
            <v>83.943736000000001</v>
          </cell>
          <cell r="AO56">
            <v>84.059768000000005</v>
          </cell>
          <cell r="AP56">
            <v>95.293083999999993</v>
          </cell>
          <cell r="AQ56">
            <v>96.173528000000005</v>
          </cell>
          <cell r="AR56">
            <v>96.412127999999996</v>
          </cell>
          <cell r="AS56">
            <v>96.412127999999996</v>
          </cell>
          <cell r="AT56">
            <v>97.906176000000002</v>
          </cell>
          <cell r="AU56">
            <v>98.556371999999996</v>
          </cell>
          <cell r="AV56">
            <v>59.958337999999998</v>
          </cell>
          <cell r="AW56">
            <v>60.114561999999999</v>
          </cell>
          <cell r="AX56">
            <v>60.114561999999999</v>
          </cell>
          <cell r="AY56">
            <v>121.274472</v>
          </cell>
          <cell r="AZ56">
            <v>121.61116</v>
          </cell>
          <cell r="BA56">
            <v>121.707812</v>
          </cell>
          <cell r="BB56">
            <v>123.205994</v>
          </cell>
          <cell r="BC56">
            <v>123.205994</v>
          </cell>
          <cell r="BD56">
            <v>123.753156</v>
          </cell>
          <cell r="BE56">
            <v>124.52312999999999</v>
          </cell>
          <cell r="BF56">
            <v>124.57543200000001</v>
          </cell>
          <cell r="BG56">
            <v>124.76732199999999</v>
          </cell>
          <cell r="BH56">
            <v>124.76732199999999</v>
          </cell>
          <cell r="BI56">
            <v>125.74814000000001</v>
          </cell>
          <cell r="BJ56">
            <v>137.97568000000001</v>
          </cell>
          <cell r="BK56">
            <v>205.13788199999999</v>
          </cell>
          <cell r="BL56">
            <v>205.1</v>
          </cell>
          <cell r="BM56">
            <v>205.1</v>
          </cell>
          <cell r="BN56">
            <v>205.2</v>
          </cell>
          <cell r="BO56">
            <v>206.13087200000001</v>
          </cell>
          <cell r="BP56">
            <v>206.23087200000001</v>
          </cell>
          <cell r="BQ56">
            <v>206.330872</v>
          </cell>
          <cell r="BR56">
            <v>206.330872</v>
          </cell>
          <cell r="BS56">
            <v>206.43087199999999</v>
          </cell>
          <cell r="BT56">
            <v>206.53087199999999</v>
          </cell>
          <cell r="BU56">
            <v>206.63087199999998</v>
          </cell>
          <cell r="BV56">
            <v>206.73087199999998</v>
          </cell>
          <cell r="BW56">
            <v>206.73087199999998</v>
          </cell>
          <cell r="BX56">
            <v>206.83087199999997</v>
          </cell>
          <cell r="BY56">
            <v>206.93087199999997</v>
          </cell>
          <cell r="BZ56">
            <v>207.03087199999996</v>
          </cell>
          <cell r="CA56">
            <v>207.13087199999995</v>
          </cell>
          <cell r="CB56">
            <v>207.13087199999995</v>
          </cell>
          <cell r="CC56">
            <v>207.29831999999993</v>
          </cell>
          <cell r="CD56">
            <v>207.39831999999993</v>
          </cell>
          <cell r="CE56">
            <v>207.49831999999992</v>
          </cell>
          <cell r="CF56">
            <v>207.59831999999992</v>
          </cell>
          <cell r="CG56">
            <v>207.59831999999992</v>
          </cell>
        </row>
        <row r="58">
          <cell r="B58" t="str">
            <v>Share repurchase</v>
          </cell>
        </row>
        <row r="59">
          <cell r="B59" t="str">
            <v>Amountavailable to repurchase</v>
          </cell>
        </row>
        <row r="60">
          <cell r="B60" t="str">
            <v>Amount repurchased ($)</v>
          </cell>
        </row>
        <row r="61">
          <cell r="B61" t="str">
            <v>Average repurchase price</v>
          </cell>
          <cell r="BJ61">
            <v>90</v>
          </cell>
          <cell r="BK61">
            <v>46.124999999999993</v>
          </cell>
          <cell r="BL61">
            <v>47.278124999999989</v>
          </cell>
          <cell r="BN61">
            <v>48.460078124999981</v>
          </cell>
          <cell r="BO61">
            <v>49.671580078124975</v>
          </cell>
          <cell r="BP61">
            <v>50.913369580078097</v>
          </cell>
          <cell r="BQ61">
            <v>52.186203819580044</v>
          </cell>
          <cell r="BS61">
            <v>53.490858915069538</v>
          </cell>
          <cell r="BT61">
            <v>54.828130387946274</v>
          </cell>
          <cell r="BU61">
            <v>56.198833647644925</v>
          </cell>
          <cell r="BV61">
            <v>57.60380448883604</v>
          </cell>
          <cell r="BX61">
            <v>59.043899601056935</v>
          </cell>
          <cell r="BY61">
            <v>60.519997091083354</v>
          </cell>
          <cell r="BZ61">
            <v>62.032997018360433</v>
          </cell>
          <cell r="CA61">
            <v>63.583821943819437</v>
          </cell>
          <cell r="CC61">
            <v>65.173417492414913</v>
          </cell>
          <cell r="CD61">
            <v>66.802752929725287</v>
          </cell>
          <cell r="CE61">
            <v>68.472821752968414</v>
          </cell>
          <cell r="CF61">
            <v>70.184642296792617</v>
          </cell>
        </row>
        <row r="62">
          <cell r="B62" t="str">
            <v>Number of shares repurchased</v>
          </cell>
          <cell r="BJ62">
            <v>-5.98</v>
          </cell>
          <cell r="BN62">
            <v>-0.1</v>
          </cell>
          <cell r="BO62">
            <v>-0.1</v>
          </cell>
          <cell r="BP62">
            <v>-0.1</v>
          </cell>
          <cell r="BQ62">
            <v>-0.1</v>
          </cell>
          <cell r="BS62">
            <v>-0.1</v>
          </cell>
          <cell r="BT62">
            <v>-0.1</v>
          </cell>
          <cell r="BU62">
            <v>-0.1</v>
          </cell>
          <cell r="BV62">
            <v>-0.1</v>
          </cell>
          <cell r="BX62">
            <v>-0.1</v>
          </cell>
          <cell r="BY62">
            <v>-0.1</v>
          </cell>
          <cell r="BZ62">
            <v>-0.1</v>
          </cell>
          <cell r="CA62">
            <v>-0.1</v>
          </cell>
          <cell r="CC62">
            <v>-0.1</v>
          </cell>
          <cell r="CD62">
            <v>-0.1</v>
          </cell>
          <cell r="CE62">
            <v>-0.1</v>
          </cell>
          <cell r="CF62">
            <v>-0.1</v>
          </cell>
        </row>
        <row r="63">
          <cell r="B63" t="str">
            <v>Remaining to repurchase ($)</v>
          </cell>
        </row>
        <row r="65">
          <cell r="B65" t="str">
            <v>EBIT and EBITDA</v>
          </cell>
        </row>
        <row r="66">
          <cell r="B66" t="str">
            <v>EBIT (non-GAAP)</v>
          </cell>
          <cell r="Y66">
            <v>4.742249000000001</v>
          </cell>
          <cell r="Z66">
            <v>1.1749699999999983</v>
          </cell>
          <cell r="AA66">
            <v>2.297466</v>
          </cell>
          <cell r="AB66">
            <v>3.4361869999999985</v>
          </cell>
          <cell r="AC66">
            <v>4.2824040000000032</v>
          </cell>
          <cell r="AD66">
            <v>11.191026999999998</v>
          </cell>
          <cell r="AE66">
            <v>3.624411000000002</v>
          </cell>
          <cell r="AF66">
            <v>3.1264420000000008</v>
          </cell>
          <cell r="AG66">
            <v>4.3490469999999988</v>
          </cell>
          <cell r="AH66">
            <v>5.8910999999999962</v>
          </cell>
          <cell r="AI66">
            <v>16.991</v>
          </cell>
          <cell r="AJ66">
            <v>4.9409999999999989</v>
          </cell>
          <cell r="AK66">
            <v>3.1920000000000019</v>
          </cell>
          <cell r="AL66">
            <v>1.5439999999999987</v>
          </cell>
          <cell r="AM66">
            <v>4.6850000000000005</v>
          </cell>
          <cell r="AN66">
            <v>14.361999999999995</v>
          </cell>
          <cell r="AO66">
            <v>4.3889999999999993</v>
          </cell>
          <cell r="AP66">
            <v>6.3700000000000045</v>
          </cell>
          <cell r="AQ66">
            <v>9.3150000000000261</v>
          </cell>
          <cell r="AR66">
            <v>11.705000000000027</v>
          </cell>
          <cell r="AS66">
            <v>31.779000000000096</v>
          </cell>
          <cell r="AT66">
            <v>13.741999999999969</v>
          </cell>
          <cell r="AU66">
            <v>20.872000000000014</v>
          </cell>
          <cell r="AV66">
            <v>21.227000000000007</v>
          </cell>
          <cell r="AW66">
            <v>27.2</v>
          </cell>
          <cell r="AX66">
            <v>83.041000000000167</v>
          </cell>
          <cell r="AY66">
            <v>24.36700000000004</v>
          </cell>
          <cell r="AZ66">
            <v>27.695000000000032</v>
          </cell>
          <cell r="BA66">
            <v>26.719000000000033</v>
          </cell>
          <cell r="BB66">
            <v>27.598999999999982</v>
          </cell>
          <cell r="BC66">
            <v>106.38000000000009</v>
          </cell>
          <cell r="BD66">
            <v>31.185999999999979</v>
          </cell>
          <cell r="BE66">
            <v>36.725999999999978</v>
          </cell>
          <cell r="BF66">
            <v>43.382999999999868</v>
          </cell>
          <cell r="BG66">
            <v>45.663999999999987</v>
          </cell>
          <cell r="BH66">
            <v>156.95899999999958</v>
          </cell>
          <cell r="BI66">
            <v>51.318999999999896</v>
          </cell>
          <cell r="BJ66">
            <v>55.365999999999907</v>
          </cell>
          <cell r="BK66">
            <v>96.528000000000048</v>
          </cell>
          <cell r="BL66">
            <v>139.5630000000001</v>
          </cell>
          <cell r="BM66">
            <v>347.13899999999995</v>
          </cell>
          <cell r="BN66">
            <v>140.90699999999984</v>
          </cell>
          <cell r="BO66">
            <v>156.76299999999992</v>
          </cell>
          <cell r="BP66">
            <v>167.35500000000002</v>
          </cell>
          <cell r="BQ66">
            <v>184.6839810179473</v>
          </cell>
          <cell r="BR66">
            <v>649.70898101794705</v>
          </cell>
          <cell r="BS66">
            <v>178.55818519457006</v>
          </cell>
          <cell r="BT66">
            <v>210.44268789601551</v>
          </cell>
          <cell r="BU66">
            <v>192.09253565676977</v>
          </cell>
          <cell r="BV66">
            <v>237.32792432091645</v>
          </cell>
          <cell r="BW66">
            <v>818.42133306827191</v>
          </cell>
          <cell r="BX66">
            <v>205.62988708465855</v>
          </cell>
          <cell r="BY66">
            <v>240.35434332698901</v>
          </cell>
          <cell r="BZ66">
            <v>215.74075279953092</v>
          </cell>
          <cell r="CA66">
            <v>270.17434073791935</v>
          </cell>
          <cell r="CB66">
            <v>931.89932394909783</v>
          </cell>
          <cell r="CC66">
            <v>232.23059361614105</v>
          </cell>
          <cell r="CD66">
            <v>261.84729025169111</v>
          </cell>
          <cell r="CE66">
            <v>228.53634699184815</v>
          </cell>
          <cell r="CF66">
            <v>250.22883011819025</v>
          </cell>
          <cell r="CG66">
            <v>972.84306097786782</v>
          </cell>
        </row>
        <row r="67">
          <cell r="B67" t="str">
            <v>Depreciation and amortization</v>
          </cell>
          <cell r="Y67">
            <v>1.565685</v>
          </cell>
          <cell r="Z67">
            <v>0.39622299999999999</v>
          </cell>
          <cell r="AA67">
            <v>0.44750000000000001</v>
          </cell>
          <cell r="AB67">
            <v>0.39</v>
          </cell>
          <cell r="AC67">
            <v>2.072444</v>
          </cell>
          <cell r="AD67">
            <v>3.3061670000000003</v>
          </cell>
          <cell r="AE67">
            <v>0.89662500000000001</v>
          </cell>
          <cell r="AF67">
            <v>1.049922</v>
          </cell>
          <cell r="AG67">
            <v>1.1917469999999999</v>
          </cell>
          <cell r="AH67">
            <v>0.96499999999999997</v>
          </cell>
          <cell r="AI67">
            <v>4.103294</v>
          </cell>
          <cell r="AJ67">
            <v>1.335</v>
          </cell>
          <cell r="AK67">
            <v>1.708</v>
          </cell>
          <cell r="AL67">
            <v>2.1429999999999998</v>
          </cell>
          <cell r="AM67">
            <v>1.8420000000000001</v>
          </cell>
          <cell r="AN67">
            <v>7.0280000000000005</v>
          </cell>
          <cell r="AO67">
            <v>1.9430000000000001</v>
          </cell>
          <cell r="AP67">
            <v>3.206</v>
          </cell>
          <cell r="AQ67">
            <v>2.5710000000000002</v>
          </cell>
          <cell r="AR67">
            <v>4.9879999999999995</v>
          </cell>
          <cell r="AS67">
            <v>12.707999999999998</v>
          </cell>
          <cell r="AT67">
            <v>2.589</v>
          </cell>
          <cell r="AU67">
            <v>2.7850000000000001</v>
          </cell>
          <cell r="AV67">
            <v>3.0830000000000002</v>
          </cell>
          <cell r="AW67">
            <v>3.2130000000000001</v>
          </cell>
          <cell r="AX67">
            <v>11.67</v>
          </cell>
          <cell r="AY67">
            <v>4.0839999999999996</v>
          </cell>
          <cell r="AZ67">
            <v>3.7629999999999999</v>
          </cell>
          <cell r="BA67">
            <v>4.0190000000000001</v>
          </cell>
          <cell r="BB67">
            <v>3.4950000000000001</v>
          </cell>
          <cell r="BC67">
            <v>15.361000000000001</v>
          </cell>
          <cell r="BD67">
            <v>2.33</v>
          </cell>
          <cell r="BE67">
            <v>2.2509999999999999</v>
          </cell>
          <cell r="BF67">
            <v>2.2349999999999999</v>
          </cell>
          <cell r="BG67">
            <v>2.6760000000000002</v>
          </cell>
          <cell r="BH67">
            <v>9.4919999999999991</v>
          </cell>
          <cell r="BI67">
            <v>3.0550000000000002</v>
          </cell>
          <cell r="BJ67">
            <v>3.2410000000000001</v>
          </cell>
          <cell r="BK67">
            <v>6.6319999999999997</v>
          </cell>
          <cell r="BL67">
            <v>7.2880000000000003</v>
          </cell>
          <cell r="BM67">
            <v>20.216000000000001</v>
          </cell>
          <cell r="BN67">
            <v>2.5930000000001598</v>
          </cell>
          <cell r="BO67">
            <v>9.0419999999999998</v>
          </cell>
          <cell r="BP67">
            <v>11.058999999999999</v>
          </cell>
          <cell r="BQ67">
            <v>11.058999999999999</v>
          </cell>
          <cell r="BR67">
            <v>33.753000000000156</v>
          </cell>
          <cell r="BS67">
            <v>11.058999999999999</v>
          </cell>
          <cell r="BT67">
            <v>11.058999999999999</v>
          </cell>
          <cell r="BU67">
            <v>11.058999999999999</v>
          </cell>
          <cell r="BV67">
            <v>11.058999999999999</v>
          </cell>
          <cell r="BW67">
            <v>44.235999999999997</v>
          </cell>
          <cell r="BX67">
            <v>11.058999999999999</v>
          </cell>
          <cell r="BY67">
            <v>11.058999999999999</v>
          </cell>
          <cell r="BZ67">
            <v>11.058999999999999</v>
          </cell>
          <cell r="CA67">
            <v>11.058999999999999</v>
          </cell>
          <cell r="CB67">
            <v>44.235999999999997</v>
          </cell>
          <cell r="CC67">
            <v>21.483000000000001</v>
          </cell>
          <cell r="CD67">
            <v>21.483000000000001</v>
          </cell>
          <cell r="CE67">
            <v>21.483000000000001</v>
          </cell>
          <cell r="CF67">
            <v>21.483000000000001</v>
          </cell>
          <cell r="CG67">
            <v>85.932000000000002</v>
          </cell>
        </row>
        <row r="68">
          <cell r="B68" t="str">
            <v>EBITDA (non-GAAP)</v>
          </cell>
          <cell r="Y68">
            <v>6.3079340000000013</v>
          </cell>
          <cell r="Z68">
            <v>1.5711929999999983</v>
          </cell>
          <cell r="AA68">
            <v>2.7449659999999998</v>
          </cell>
          <cell r="AB68">
            <v>3.8261869999999987</v>
          </cell>
          <cell r="AC68">
            <v>6.3548480000000032</v>
          </cell>
          <cell r="AD68">
            <v>14.497193999999999</v>
          </cell>
          <cell r="AE68">
            <v>4.5210360000000023</v>
          </cell>
          <cell r="AF68">
            <v>4.1763640000000013</v>
          </cell>
          <cell r="AG68">
            <v>5.5407939999999982</v>
          </cell>
          <cell r="AH68">
            <v>6.8560999999999961</v>
          </cell>
          <cell r="AI68">
            <v>21.094293999999998</v>
          </cell>
          <cell r="AJ68">
            <v>6.2759999999999989</v>
          </cell>
          <cell r="AK68">
            <v>4.9000000000000021</v>
          </cell>
          <cell r="AL68">
            <v>3.6869999999999985</v>
          </cell>
          <cell r="AM68">
            <v>6.527000000000001</v>
          </cell>
          <cell r="AN68">
            <v>21.389999999999993</v>
          </cell>
          <cell r="AO68">
            <v>6.331999999999999</v>
          </cell>
          <cell r="AP68">
            <v>9.5760000000000041</v>
          </cell>
          <cell r="AQ68">
            <v>11.886000000000026</v>
          </cell>
          <cell r="AR68">
            <v>16.693000000000026</v>
          </cell>
          <cell r="AS68">
            <v>44.487000000000094</v>
          </cell>
          <cell r="AT68">
            <v>16.330999999999968</v>
          </cell>
          <cell r="AU68">
            <v>23.657000000000014</v>
          </cell>
          <cell r="AV68">
            <v>24.310000000000009</v>
          </cell>
          <cell r="AW68">
            <v>30.413</v>
          </cell>
          <cell r="AX68">
            <v>94.711000000000169</v>
          </cell>
          <cell r="AY68">
            <v>28.45100000000004</v>
          </cell>
          <cell r="AZ68">
            <v>31.458000000000034</v>
          </cell>
          <cell r="BA68">
            <v>30.738000000000035</v>
          </cell>
          <cell r="BB68">
            <v>31.093999999999983</v>
          </cell>
          <cell r="BC68">
            <v>121.7410000000001</v>
          </cell>
          <cell r="BD68">
            <v>33.515999999999977</v>
          </cell>
          <cell r="BE68">
            <v>38.976999999999975</v>
          </cell>
          <cell r="BF68">
            <v>45.617999999999867</v>
          </cell>
          <cell r="BG68">
            <v>48.339999999999989</v>
          </cell>
          <cell r="BH68">
            <v>166.45099999999957</v>
          </cell>
          <cell r="BI68">
            <v>54.373999999999896</v>
          </cell>
          <cell r="BJ68">
            <v>58.606999999999907</v>
          </cell>
          <cell r="BK68">
            <v>103.16000000000005</v>
          </cell>
          <cell r="BL68">
            <v>146.85100000000011</v>
          </cell>
          <cell r="BM68">
            <v>367.35499999999996</v>
          </cell>
          <cell r="BN68">
            <v>143.5</v>
          </cell>
          <cell r="BO68">
            <v>165.80499999999992</v>
          </cell>
          <cell r="BP68">
            <v>178.41400000000002</v>
          </cell>
          <cell r="BQ68">
            <v>195.7429810179473</v>
          </cell>
          <cell r="BR68">
            <v>683.46198101794721</v>
          </cell>
          <cell r="BS68">
            <v>189.61718519457006</v>
          </cell>
          <cell r="BT68">
            <v>221.50168789601551</v>
          </cell>
          <cell r="BU68">
            <v>203.15153565676977</v>
          </cell>
          <cell r="BV68">
            <v>248.38692432091645</v>
          </cell>
          <cell r="BW68">
            <v>862.6573330682719</v>
          </cell>
          <cell r="BX68">
            <v>216.68888708465855</v>
          </cell>
          <cell r="BY68">
            <v>251.41334332698901</v>
          </cell>
          <cell r="BZ68">
            <v>226.79975279953092</v>
          </cell>
          <cell r="CA68">
            <v>281.23334073791938</v>
          </cell>
          <cell r="CB68">
            <v>976.13532394909782</v>
          </cell>
          <cell r="CC68">
            <v>253.71359361614105</v>
          </cell>
          <cell r="CD68">
            <v>283.33029025169111</v>
          </cell>
          <cell r="CE68">
            <v>250.01934699184815</v>
          </cell>
          <cell r="CF68">
            <v>271.71183011819022</v>
          </cell>
          <cell r="CG68">
            <v>1058.7750609778677</v>
          </cell>
        </row>
        <row r="70">
          <cell r="B70" t="str">
            <v>Margins</v>
          </cell>
        </row>
        <row r="71">
          <cell r="B71" t="str">
            <v>Gross profit</v>
          </cell>
          <cell r="Y71">
            <v>0.59265794640655689</v>
          </cell>
          <cell r="Z71">
            <v>0.57249046054321007</v>
          </cell>
          <cell r="AA71">
            <v>0.60725700113267012</v>
          </cell>
          <cell r="AB71">
            <v>0.64477288957057166</v>
          </cell>
          <cell r="AC71">
            <v>0.62511296010529926</v>
          </cell>
          <cell r="AD71">
            <v>0.61615610402934529</v>
          </cell>
          <cell r="AE71">
            <v>0.60669086085216373</v>
          </cell>
          <cell r="AF71">
            <v>0.59496739219020967</v>
          </cell>
          <cell r="AG71">
            <v>0.6099561916165388</v>
          </cell>
          <cell r="AH71">
            <v>0.51343404290329242</v>
          </cell>
          <cell r="AI71">
            <v>0.57948914400108742</v>
          </cell>
          <cell r="AJ71">
            <v>0.60221198914562946</v>
          </cell>
          <cell r="AK71">
            <v>0.58212058212058215</v>
          </cell>
          <cell r="AL71">
            <v>0.53622405331172041</v>
          </cell>
          <cell r="AM71">
            <v>0.57659646739130432</v>
          </cell>
          <cell r="AN71">
            <v>0.57502871065030958</v>
          </cell>
          <cell r="AO71">
            <v>0.55434469712546774</v>
          </cell>
          <cell r="AP71">
            <v>0.13101797984676519</v>
          </cell>
          <cell r="AQ71">
            <v>0.10966957035658494</v>
          </cell>
          <cell r="AR71">
            <v>0.12733719079401307</v>
          </cell>
          <cell r="AS71">
            <v>0.13382869472813269</v>
          </cell>
          <cell r="AT71">
            <v>0.13467143249931252</v>
          </cell>
          <cell r="AU71">
            <v>0.14715315635431964</v>
          </cell>
          <cell r="AV71">
            <v>0.12431915187639007</v>
          </cell>
          <cell r="AW71">
            <v>0.11847982026364942</v>
          </cell>
          <cell r="AX71">
            <v>0.12970567913729283</v>
          </cell>
          <cell r="AY71">
            <v>0.11108973168077718</v>
          </cell>
          <cell r="AZ71">
            <v>0.11208561548120129</v>
          </cell>
          <cell r="BA71">
            <v>0.10790289066422824</v>
          </cell>
          <cell r="BB71">
            <v>0.10860702409693433</v>
          </cell>
          <cell r="BC71">
            <v>0.10986210138842988</v>
          </cell>
          <cell r="BD71">
            <v>5.7921818572735234E-2</v>
          </cell>
          <cell r="BE71">
            <v>6.122162735687546E-2</v>
          </cell>
          <cell r="BF71">
            <v>6.3965384645262427E-2</v>
          </cell>
          <cell r="BG71">
            <v>6.4827778317811779E-2</v>
          </cell>
          <cell r="BH71">
            <v>6.2202655213199808E-2</v>
          </cell>
          <cell r="BI71">
            <v>6.4288156114651593E-2</v>
          </cell>
          <cell r="BJ71">
            <v>7.1946781088657222E-2</v>
          </cell>
          <cell r="BK71">
            <v>7.3615542281197724E-2</v>
          </cell>
          <cell r="BL71">
            <v>7.9768376412357289E-2</v>
          </cell>
          <cell r="BM71">
            <v>7.3779390993267538E-2</v>
          </cell>
          <cell r="BN71">
            <v>7.7140965227989008E-2</v>
          </cell>
          <cell r="BO71">
            <v>7.7423385409503623E-2</v>
          </cell>
          <cell r="BP71">
            <v>7.9628172393604243E-2</v>
          </cell>
          <cell r="BQ71">
            <v>7.5497520004003588E-2</v>
          </cell>
          <cell r="BR71">
            <v>7.7395510893789807E-2</v>
          </cell>
          <cell r="BS71">
            <v>6.2447599856290392E-2</v>
          </cell>
          <cell r="BT71">
            <v>6.4578280571080879E-2</v>
          </cell>
          <cell r="BU71">
            <v>6.0730054466591625E-2</v>
          </cell>
          <cell r="BV71">
            <v>6.6369126828257227E-2</v>
          </cell>
          <cell r="BW71">
            <v>6.3632099330237821E-2</v>
          </cell>
          <cell r="BX71">
            <v>6.5990480158931872E-2</v>
          </cell>
          <cell r="BY71">
            <v>6.6917185748227803E-2</v>
          </cell>
          <cell r="BZ71">
            <v>6.1583433303948998E-2</v>
          </cell>
          <cell r="CA71">
            <v>6.7587422897388699E-2</v>
          </cell>
          <cell r="CB71">
            <v>6.5537268973424836E-2</v>
          </cell>
          <cell r="CC71">
            <v>6.5473480907815948E-2</v>
          </cell>
          <cell r="CD71">
            <v>6.4458907486590847E-2</v>
          </cell>
          <cell r="CE71">
            <v>5.8836256559243447E-2</v>
          </cell>
          <cell r="CF71">
            <v>6.1909658172712913E-2</v>
          </cell>
          <cell r="CG71">
            <v>6.2569225040665019E-2</v>
          </cell>
        </row>
        <row r="72">
          <cell r="B72" t="str">
            <v>EBITDA</v>
          </cell>
          <cell r="Y72">
            <v>0.20642228281312691</v>
          </cell>
          <cell r="Z72">
            <v>0.19757503002790103</v>
          </cell>
          <cell r="AA72">
            <v>0.28681708380145698</v>
          </cell>
          <cell r="AB72">
            <v>0.30684715828616999</v>
          </cell>
          <cell r="AC72">
            <v>0.41964557963652072</v>
          </cell>
          <cell r="AD72">
            <v>0.31560202942052251</v>
          </cell>
          <cell r="AE72">
            <v>0.28804959034041883</v>
          </cell>
          <cell r="AF72">
            <v>0.22758680618336694</v>
          </cell>
          <cell r="AG72">
            <v>0.26683695869088003</v>
          </cell>
          <cell r="AH72">
            <v>0.26903286006669946</v>
          </cell>
          <cell r="AI72">
            <v>0.26351664205165898</v>
          </cell>
          <cell r="AJ72">
            <v>0.25836691061590328</v>
          </cell>
          <cell r="AK72">
            <v>0.22938322938322947</v>
          </cell>
          <cell r="AL72">
            <v>0.18384438741050918</v>
          </cell>
          <cell r="AM72">
            <v>0.2939453125</v>
          </cell>
          <cell r="AN72">
            <v>0.24241448519389083</v>
          </cell>
          <cell r="AO72">
            <v>0.26039396307110246</v>
          </cell>
          <cell r="AP72">
            <v>4.2045180127768894E-2</v>
          </cell>
          <cell r="AQ72">
            <v>3.736549083467209E-2</v>
          </cell>
          <cell r="AR72">
            <v>5.0139018875142695E-2</v>
          </cell>
          <cell r="AS72">
            <v>4.9219006210172507E-2</v>
          </cell>
          <cell r="AT72">
            <v>5.6127990101732105E-2</v>
          </cell>
          <cell r="AU72">
            <v>7.373709982576393E-2</v>
          </cell>
          <cell r="AV72">
            <v>6.3385037376573888E-2</v>
          </cell>
          <cell r="AW72">
            <v>6.8603434119228729E-2</v>
          </cell>
          <cell r="AX72">
            <v>6.583397862138668E-2</v>
          </cell>
          <cell r="AY72">
            <v>6.1307359537142787E-2</v>
          </cell>
          <cell r="AZ72">
            <v>6.5613228601344123E-2</v>
          </cell>
          <cell r="BA72">
            <v>6.2136421716109967E-2</v>
          </cell>
          <cell r="BB72">
            <v>5.9187051124371733E-2</v>
          </cell>
          <cell r="BC72">
            <v>6.2002024237472246E-2</v>
          </cell>
          <cell r="BD72">
            <v>3.2067540531971861E-2</v>
          </cell>
          <cell r="BE72">
            <v>3.4154016496168831E-2</v>
          </cell>
          <cell r="BF72">
            <v>3.7304725430943986E-2</v>
          </cell>
          <cell r="BG72">
            <v>3.7198026280473029E-2</v>
          </cell>
          <cell r="BH72">
            <v>3.5352261433284488E-2</v>
          </cell>
          <cell r="BI72">
            <v>3.3526935286707679E-2</v>
          </cell>
          <cell r="BJ72">
            <v>3.6187168284780087E-2</v>
          </cell>
          <cell r="BK72">
            <v>3.3093788979497191E-2</v>
          </cell>
          <cell r="BL72">
            <v>4.4027403184824364E-2</v>
          </cell>
          <cell r="BM72">
            <v>3.7250958740940754E-2</v>
          </cell>
          <cell r="BN72">
            <v>4.4582192963602961E-2</v>
          </cell>
          <cell r="BO72">
            <v>4.6253763793259829E-2</v>
          </cell>
          <cell r="BP72">
            <v>4.6545963253303409E-2</v>
          </cell>
          <cell r="BQ72">
            <v>4.7948864572421014E-2</v>
          </cell>
          <cell r="BR72">
            <v>4.6411951582769083E-2</v>
          </cell>
          <cell r="BS72">
            <v>4.1449860950494952E-2</v>
          </cell>
          <cell r="BT72">
            <v>4.2554110448857436E-2</v>
          </cell>
          <cell r="BU72">
            <v>3.8672439671252404E-2</v>
          </cell>
          <cell r="BV72">
            <v>4.3728362986149086E-2</v>
          </cell>
          <cell r="BW72">
            <v>4.1654434348363197E-2</v>
          </cell>
          <cell r="BX72">
            <v>4.324474703947593E-2</v>
          </cell>
          <cell r="BY72">
            <v>4.3107478216747167E-2</v>
          </cell>
          <cell r="BZ72">
            <v>3.7595696951161106E-2</v>
          </cell>
          <cell r="CA72">
            <v>4.3095079113672864E-2</v>
          </cell>
          <cell r="CB72">
            <v>4.1716924209663886E-2</v>
          </cell>
          <cell r="CC72">
            <v>3.9375974979299122E-2</v>
          </cell>
          <cell r="CD72">
            <v>3.949819349779795E-2</v>
          </cell>
          <cell r="CE72">
            <v>3.3913791445693488E-2</v>
          </cell>
          <cell r="CF72">
            <v>3.6990224830794755E-2</v>
          </cell>
          <cell r="CG72">
            <v>3.7371296419185747E-2</v>
          </cell>
        </row>
        <row r="73">
          <cell r="B73" t="str">
            <v>EBIT (excludes amortization)</v>
          </cell>
          <cell r="Y73">
            <v>0.14352027426125671</v>
          </cell>
          <cell r="Z73">
            <v>0.11113279175443608</v>
          </cell>
          <cell r="AA73">
            <v>0.18817493656219819</v>
          </cell>
          <cell r="AB73">
            <v>0.23327476663100519</v>
          </cell>
          <cell r="AC73">
            <v>0.25780603918390488</v>
          </cell>
          <cell r="AD73">
            <v>0.20677012649475168</v>
          </cell>
          <cell r="AE73">
            <v>0.18743250363691086</v>
          </cell>
          <cell r="AF73">
            <v>0.16874356708875385</v>
          </cell>
          <cell r="AG73">
            <v>0.20664286189430867</v>
          </cell>
          <cell r="AH73">
            <v>0.26763278751739328</v>
          </cell>
          <cell r="AI73">
            <v>0.20996502848386736</v>
          </cell>
          <cell r="AJ73">
            <v>0.20314941205492965</v>
          </cell>
          <cell r="AK73">
            <v>0.13825363825363834</v>
          </cell>
          <cell r="AL73">
            <v>6.9521365212301262E-2</v>
          </cell>
          <cell r="AM73">
            <v>0.19892153532608697</v>
          </cell>
          <cell r="AN73">
            <v>0.15414667654098374</v>
          </cell>
          <cell r="AO73">
            <v>0.1804910145165933</v>
          </cell>
          <cell r="AP73">
            <v>2.7968650523588965E-2</v>
          </cell>
          <cell r="AQ73">
            <v>2.9283152206374789E-2</v>
          </cell>
          <cell r="AR73">
            <v>3.9980735467916445E-2</v>
          </cell>
          <cell r="AS73">
            <v>3.6826473250137139E-2</v>
          </cell>
          <cell r="AT73">
            <v>4.7229859774539355E-2</v>
          </cell>
          <cell r="AU73">
            <v>6.5056463100280876E-2</v>
          </cell>
          <cell r="AV73">
            <v>5.5346531813761167E-2</v>
          </cell>
          <cell r="AW73">
            <v>6.1355782331339273E-2</v>
          </cell>
          <cell r="AX73">
            <v>5.7722116952609329E-2</v>
          </cell>
          <cell r="AY73">
            <v>5.3891646098180326E-2</v>
          </cell>
          <cell r="AZ73">
            <v>5.7764586627065469E-2</v>
          </cell>
          <cell r="BA73">
            <v>5.4537252868824083E-2</v>
          </cell>
          <cell r="BB73">
            <v>5.2382741918340671E-2</v>
          </cell>
          <cell r="BC73">
            <v>5.459898131173057E-2</v>
          </cell>
          <cell r="BD73">
            <v>2.8411554846162517E-2</v>
          </cell>
          <cell r="BE73">
            <v>3.0301005165675344E-2</v>
          </cell>
          <cell r="BF73">
            <v>3.3701030847749822E-2</v>
          </cell>
          <cell r="BG73">
            <v>3.3125525021871369E-2</v>
          </cell>
          <cell r="BH73">
            <v>3.1546408950265163E-2</v>
          </cell>
          <cell r="BI73">
            <v>2.9887071027437529E-2</v>
          </cell>
          <cell r="BJ73">
            <v>3.2516534005049565E-2</v>
          </cell>
          <cell r="BK73">
            <v>2.9916822845824548E-2</v>
          </cell>
          <cell r="BL73">
            <v>4.3548358031439804E-2</v>
          </cell>
          <cell r="BM73">
            <v>3.4923019037999541E-2</v>
          </cell>
          <cell r="BN73">
            <v>4.3763797800799774E-2</v>
          </cell>
          <cell r="BO73">
            <v>4.5871605270627322E-2</v>
          </cell>
          <cell r="BP73">
            <v>4.6305519309115181E-2</v>
          </cell>
          <cell r="BQ73">
            <v>4.7724305726290682E-2</v>
          </cell>
          <cell r="BR73">
            <v>4.6009787550665281E-2</v>
          </cell>
          <cell r="BS73">
            <v>4.1249111386670943E-2</v>
          </cell>
          <cell r="BT73">
            <v>4.2379110559602591E-2</v>
          </cell>
          <cell r="BU73">
            <v>3.8498278795304069E-2</v>
          </cell>
          <cell r="BV73">
            <v>4.3568831340040311E-2</v>
          </cell>
          <cell r="BW73">
            <v>4.14782678030182E-2</v>
          </cell>
          <cell r="BX73">
            <v>4.3062762111092764E-2</v>
          </cell>
          <cell r="BY73">
            <v>4.2952184794254576E-2</v>
          </cell>
          <cell r="BZ73">
            <v>3.7444869667401653E-2</v>
          </cell>
          <cell r="CA73">
            <v>4.2956910717253952E-2</v>
          </cell>
          <cell r="CB73">
            <v>4.1561897639216659E-2</v>
          </cell>
          <cell r="CC73">
            <v>3.8361881248925159E-2</v>
          </cell>
          <cell r="CD73">
            <v>3.8593373293543294E-2</v>
          </cell>
          <cell r="CE73">
            <v>3.3026622135606795E-2</v>
          </cell>
          <cell r="CF73">
            <v>3.6104454607083149E-2</v>
          </cell>
          <cell r="CG73">
            <v>3.6451213785490558E-2</v>
          </cell>
        </row>
        <row r="74">
          <cell r="B74" t="str">
            <v>Pre-tax income</v>
          </cell>
          <cell r="Y74">
            <v>0.11782928478813699</v>
          </cell>
          <cell r="Z74">
            <v>7.7652497709423576E-2</v>
          </cell>
          <cell r="AA74">
            <v>0.20907179608693541</v>
          </cell>
          <cell r="AB74">
            <v>0.21027761105694798</v>
          </cell>
          <cell r="AC74">
            <v>0.24076234518272385</v>
          </cell>
          <cell r="AD74">
            <v>0.19345404053091181</v>
          </cell>
          <cell r="AE74">
            <v>0.19225860187381263</v>
          </cell>
          <cell r="AF74">
            <v>0.17770805660907926</v>
          </cell>
          <cell r="AG74">
            <v>0.19954538111393025</v>
          </cell>
          <cell r="AH74">
            <v>0.31060776870595797</v>
          </cell>
          <cell r="AI74">
            <v>0.22301447054607462</v>
          </cell>
          <cell r="AJ74">
            <v>0.2399473727489515</v>
          </cell>
          <cell r="AK74">
            <v>0.1957293832293833</v>
          </cell>
          <cell r="AL74">
            <v>0.12503939844207299</v>
          </cell>
          <cell r="AM74">
            <v>0.25029721467391308</v>
          </cell>
          <cell r="AN74">
            <v>0.2042159040903285</v>
          </cell>
          <cell r="AO74">
            <v>0.22214911378870747</v>
          </cell>
          <cell r="AP74">
            <v>2.7332001492832231E-2</v>
          </cell>
          <cell r="AQ74">
            <v>2.5979170137786507E-2</v>
          </cell>
          <cell r="AR74">
            <v>3.339868700600488E-2</v>
          </cell>
          <cell r="AS74">
            <v>3.4381340975434056E-2</v>
          </cell>
          <cell r="AT74">
            <v>4.5906653835578667E-2</v>
          </cell>
          <cell r="AU74">
            <v>6.11229034781769E-2</v>
          </cell>
          <cell r="AV74">
            <v>5.2825210088415751E-2</v>
          </cell>
          <cell r="AW74">
            <v>5.5450288281947868E-2</v>
          </cell>
          <cell r="AX74">
            <v>5.4085333726298812E-2</v>
          </cell>
          <cell r="AY74">
            <v>5.2911878411493675E-2</v>
          </cell>
          <cell r="AZ74">
            <v>5.7341181280060799E-2</v>
          </cell>
          <cell r="BA74">
            <v>5.418209429256092E-2</v>
          </cell>
          <cell r="BB74">
            <v>5.2101838776780672E-2</v>
          </cell>
          <cell r="BC74">
            <v>5.4102160349991942E-2</v>
          </cell>
          <cell r="BD74">
            <v>2.8150087641620459E-2</v>
          </cell>
          <cell r="BE74">
            <v>2.9819172485373805E-2</v>
          </cell>
          <cell r="BF74">
            <v>3.2841861585190493E-2</v>
          </cell>
          <cell r="BG74">
            <v>3.2906448538063446E-2</v>
          </cell>
          <cell r="BH74">
            <v>3.108836407231835E-2</v>
          </cell>
          <cell r="BI74">
            <v>2.9164921958398329E-2</v>
          </cell>
          <cell r="BJ74">
            <v>3.1353677065230935E-2</v>
          </cell>
          <cell r="BK74">
            <v>2.6205191207165662E-2</v>
          </cell>
          <cell r="BL74">
            <v>4.0058686785562E-2</v>
          </cell>
          <cell r="BM74">
            <v>3.2238745608704919E-2</v>
          </cell>
          <cell r="BN74">
            <v>4.033523453621371E-2</v>
          </cell>
          <cell r="BO74">
            <v>4.2680025633297515E-2</v>
          </cell>
          <cell r="BP74">
            <v>4.3808111898018566E-2</v>
          </cell>
          <cell r="BQ74">
            <v>4.4737763362170897E-2</v>
          </cell>
          <cell r="BR74">
            <v>4.2998029297644222E-2</v>
          </cell>
          <cell r="BS74">
            <v>3.8644674385030144E-2</v>
          </cell>
          <cell r="BT74">
            <v>4.0131609031017021E-2</v>
          </cell>
          <cell r="BU74">
            <v>3.6300855077077095E-2</v>
          </cell>
          <cell r="BV74">
            <v>4.1588459479336169E-2</v>
          </cell>
          <cell r="BW74">
            <v>3.9238869314323931E-2</v>
          </cell>
          <cell r="BX74">
            <v>4.0937888472875925E-2</v>
          </cell>
          <cell r="BY74">
            <v>4.1201404280716489E-2</v>
          </cell>
          <cell r="BZ74">
            <v>3.5791240729256373E-2</v>
          </cell>
          <cell r="CA74">
            <v>4.1480738408437273E-2</v>
          </cell>
          <cell r="CB74">
            <v>3.983344044738911E-2</v>
          </cell>
          <cell r="CC74">
            <v>3.5899021450527972E-2</v>
          </cell>
          <cell r="CD74">
            <v>3.6403304769449238E-2</v>
          </cell>
          <cell r="CE74">
            <v>3.0886103626971386E-2</v>
          </cell>
          <cell r="CF74">
            <v>3.397344650620393E-2</v>
          </cell>
          <cell r="CG74">
            <v>3.422745382874403E-2</v>
          </cell>
        </row>
        <row r="75">
          <cell r="B75" t="str">
            <v>Net income - continuing operations</v>
          </cell>
          <cell r="Y75">
            <v>0.11480407742024991</v>
          </cell>
          <cell r="Z75">
            <v>7.4814992281512158E-2</v>
          </cell>
          <cell r="AA75">
            <v>0.20649095604356812</v>
          </cell>
          <cell r="AB75">
            <v>0.20820656157517875</v>
          </cell>
          <cell r="AC75">
            <v>0.27989315242779883</v>
          </cell>
          <cell r="AD75">
            <v>0.20376356936074316</v>
          </cell>
          <cell r="AE75">
            <v>0.2883843345501792</v>
          </cell>
          <cell r="AF75">
            <v>0.11412841372707026</v>
          </cell>
          <cell r="AG75">
            <v>0.12085872984196668</v>
          </cell>
          <cell r="AH75">
            <v>0.19908078603444834</v>
          </cell>
          <cell r="AI75">
            <v>0.1806264693011084</v>
          </cell>
          <cell r="AJ75">
            <v>0.16286701914037563</v>
          </cell>
          <cell r="AK75">
            <v>0.13787472451196375</v>
          </cell>
          <cell r="AL75">
            <v>0.13094923857590238</v>
          </cell>
          <cell r="AM75">
            <v>0.17005993714046441</v>
          </cell>
          <cell r="AN75">
            <v>0.15088392909949302</v>
          </cell>
          <cell r="AO75">
            <v>0.1482301148220446</v>
          </cell>
          <cell r="AP75">
            <v>2.2041228513095232E-2</v>
          </cell>
          <cell r="AQ75">
            <v>1.8179760516314081E-2</v>
          </cell>
          <cell r="AR75">
            <v>2.3681028534734309E-2</v>
          </cell>
          <cell r="AS75">
            <v>2.4730035033910566E-2</v>
          </cell>
          <cell r="AT75">
            <v>3.2244982128127472E-2</v>
          </cell>
          <cell r="AU75">
            <v>4.144575459201013E-2</v>
          </cell>
          <cell r="AV75">
            <v>3.1948040435012752E-2</v>
          </cell>
          <cell r="AW75">
            <v>3.7718016042732498E-2</v>
          </cell>
          <cell r="AX75">
            <v>3.5904198010056877E-2</v>
          </cell>
          <cell r="AY75">
            <v>3.5691853110043699E-2</v>
          </cell>
          <cell r="AZ75">
            <v>3.7860363836594801E-2</v>
          </cell>
          <cell r="BA75">
            <v>3.5025983728022077E-2</v>
          </cell>
          <cell r="BB75">
            <v>3.3951320244765305E-2</v>
          </cell>
          <cell r="BC75">
            <v>3.558736760850513E-2</v>
          </cell>
          <cell r="BD75">
            <v>1.881288422924568E-2</v>
          </cell>
          <cell r="BE75">
            <v>1.9801343026090729E-2</v>
          </cell>
          <cell r="BF75">
            <v>2.1620613847695449E-2</v>
          </cell>
          <cell r="BG75">
            <v>2.1894590842022634E-2</v>
          </cell>
          <cell r="BH75">
            <v>2.0633926875617319E-2</v>
          </cell>
          <cell r="BI75">
            <v>1.9325058514457771E-2</v>
          </cell>
          <cell r="BJ75">
            <v>1.929402837723309E-2</v>
          </cell>
          <cell r="BK75">
            <v>1.6111421031848028E-2</v>
          </cell>
          <cell r="BL75">
            <v>2.4335193450146293E-2</v>
          </cell>
          <cell r="BM75">
            <v>2.0405286857703927E-2</v>
          </cell>
          <cell r="BN75">
            <v>2.7020395587685327E-2</v>
          </cell>
          <cell r="BO75">
            <v>2.9448737794190348E-2</v>
          </cell>
          <cell r="BP75">
            <v>2.9954224342777332E-2</v>
          </cell>
          <cell r="BQ75">
            <v>2.9354296382700071E-2</v>
          </cell>
          <cell r="BR75">
            <v>2.8998550649897235E-2</v>
          </cell>
          <cell r="BS75">
            <v>2.4697258196832172E-2</v>
          </cell>
          <cell r="BT75">
            <v>2.6040056273947967E-2</v>
          </cell>
          <cell r="BU75">
            <v>2.3368366878564431E-2</v>
          </cell>
          <cell r="BV75">
            <v>2.7241234093707434E-2</v>
          </cell>
          <cell r="BW75">
            <v>2.540145812064171E-2</v>
          </cell>
          <cell r="BX75">
            <v>2.6522544462400446E-2</v>
          </cell>
          <cell r="BY75">
            <v>2.701999338177255E-2</v>
          </cell>
          <cell r="BZ75">
            <v>2.3285249383311696E-2</v>
          </cell>
          <cell r="CA75">
            <v>2.7416337415815572E-2</v>
          </cell>
          <cell r="CB75">
            <v>2.6065547838077748E-2</v>
          </cell>
          <cell r="CC75">
            <v>2.3836818242615004E-2</v>
          </cell>
          <cell r="CD75">
            <v>2.4460266690880427E-2</v>
          </cell>
          <cell r="CE75">
            <v>2.0473951822329368E-2</v>
          </cell>
          <cell r="CF75">
            <v>2.2730981141104153E-2</v>
          </cell>
          <cell r="CG75">
            <v>2.2836234274666724E-2</v>
          </cell>
        </row>
        <row r="77">
          <cell r="B77" t="str">
            <v>Expenses</v>
          </cell>
        </row>
        <row r="78">
          <cell r="B78" t="str">
            <v>Cost of sales</v>
          </cell>
          <cell r="Y78">
            <v>0.407342053593443</v>
          </cell>
          <cell r="Z78">
            <v>0.42750953945678993</v>
          </cell>
          <cell r="AA78">
            <v>0.39274299886732983</v>
          </cell>
          <cell r="AB78">
            <v>0.35522711042942828</v>
          </cell>
          <cell r="AC78">
            <v>0.37488703989470074</v>
          </cell>
          <cell r="AD78">
            <v>0.38384389597065471</v>
          </cell>
          <cell r="AE78">
            <v>0.39330913914783627</v>
          </cell>
          <cell r="AF78">
            <v>0.40503260780979039</v>
          </cell>
          <cell r="AG78">
            <v>0.3900438083834612</v>
          </cell>
          <cell r="AH78">
            <v>0.48656595709670752</v>
          </cell>
          <cell r="AI78">
            <v>0.42051085599891258</v>
          </cell>
          <cell r="AJ78">
            <v>0.39778801085437054</v>
          </cell>
          <cell r="AK78">
            <v>0.41787941787941785</v>
          </cell>
          <cell r="AL78">
            <v>0.46377594668827954</v>
          </cell>
          <cell r="AM78">
            <v>0.42340353260869562</v>
          </cell>
          <cell r="AN78">
            <v>0.42497128934969036</v>
          </cell>
          <cell r="AO78">
            <v>0.4456553028745322</v>
          </cell>
          <cell r="AP78">
            <v>0.86898202015323478</v>
          </cell>
          <cell r="AQ78">
            <v>0.89033042964341502</v>
          </cell>
          <cell r="AR78">
            <v>0.87266280920598693</v>
          </cell>
          <cell r="AS78">
            <v>0.86617130527186736</v>
          </cell>
          <cell r="AT78">
            <v>0.86532856750068743</v>
          </cell>
          <cell r="AU78">
            <v>0.85284684364568042</v>
          </cell>
          <cell r="AV78">
            <v>0.87568084812360991</v>
          </cell>
          <cell r="AW78">
            <v>0.88152017973635055</v>
          </cell>
          <cell r="AX78">
            <v>0.87029432086270719</v>
          </cell>
          <cell r="AY78">
            <v>0.88891026831922282</v>
          </cell>
          <cell r="AZ78">
            <v>0.88791438451879867</v>
          </cell>
          <cell r="BA78">
            <v>0.8920971093357718</v>
          </cell>
          <cell r="BB78">
            <v>0.89139297590306565</v>
          </cell>
          <cell r="BC78">
            <v>0.89013789861157011</v>
          </cell>
          <cell r="BD78">
            <v>0.94207818142726474</v>
          </cell>
          <cell r="BE78">
            <v>0.93877837264312458</v>
          </cell>
          <cell r="BF78">
            <v>0.93603461535473753</v>
          </cell>
          <cell r="BG78">
            <v>0.93517222168218817</v>
          </cell>
          <cell r="BH78">
            <v>0.93779734478680021</v>
          </cell>
          <cell r="BI78">
            <v>0.93571184388534845</v>
          </cell>
          <cell r="BJ78">
            <v>0.92805321891134274</v>
          </cell>
          <cell r="BK78">
            <v>0.92638445771880229</v>
          </cell>
          <cell r="BL78">
            <v>0.92023162358764266</v>
          </cell>
          <cell r="BM78">
            <v>0.92622060900673242</v>
          </cell>
          <cell r="BN78">
            <v>0.92285903477201103</v>
          </cell>
          <cell r="BO78">
            <v>0.92257661459049634</v>
          </cell>
          <cell r="BP78">
            <v>0.9203718276063958</v>
          </cell>
          <cell r="BQ78">
            <v>0.92450247999599644</v>
          </cell>
          <cell r="BR78">
            <v>0.92260448910621018</v>
          </cell>
          <cell r="BS78">
            <v>0.93755240014370966</v>
          </cell>
          <cell r="BT78">
            <v>0.93542171942891916</v>
          </cell>
          <cell r="BU78">
            <v>0.93926994553340837</v>
          </cell>
          <cell r="BV78">
            <v>0.93363087317174276</v>
          </cell>
          <cell r="BW78">
            <v>0.93636790066976217</v>
          </cell>
          <cell r="BX78">
            <v>0.93400951984106817</v>
          </cell>
          <cell r="BY78">
            <v>0.9330828142517722</v>
          </cell>
          <cell r="BZ78">
            <v>0.938416566696051</v>
          </cell>
          <cell r="CA78">
            <v>0.93241257710261127</v>
          </cell>
          <cell r="CB78">
            <v>0.93446273102657518</v>
          </cell>
          <cell r="CC78">
            <v>0.93452651909218409</v>
          </cell>
          <cell r="CD78">
            <v>0.93554109251340911</v>
          </cell>
          <cell r="CE78">
            <v>0.94116374344075659</v>
          </cell>
          <cell r="CF78">
            <v>0.93809034182728712</v>
          </cell>
          <cell r="CG78">
            <v>0.93743077495933502</v>
          </cell>
        </row>
        <row r="79">
          <cell r="B79" t="str">
            <v>Product development costs</v>
          </cell>
          <cell r="Y79">
            <v>0.21163801148241121</v>
          </cell>
          <cell r="Z79">
            <v>0.20442420062979383</v>
          </cell>
          <cell r="AA79">
            <v>0.18802750679139335</v>
          </cell>
          <cell r="AB79">
            <v>0.1574167325346891</v>
          </cell>
          <cell r="AC79">
            <v>0.13126351028745903</v>
          </cell>
          <cell r="AD79">
            <v>0.16547794916752268</v>
          </cell>
          <cell r="AE79">
            <v>0.14806605708710066</v>
          </cell>
          <cell r="AF79">
            <v>0.11140180388681421</v>
          </cell>
          <cell r="AG79">
            <v>0.10823507331489771</v>
          </cell>
          <cell r="AH79">
            <v>0.10952541666483052</v>
          </cell>
          <cell r="AI79">
            <v>0.11882901029373602</v>
          </cell>
          <cell r="AJ79">
            <v>0.12079598717210757</v>
          </cell>
          <cell r="AK79">
            <v>0.11443173943173943</v>
          </cell>
          <cell r="AL79">
            <v>0.10891980728533478</v>
          </cell>
          <cell r="AM79">
            <v>9.3707540760869554E-2</v>
          </cell>
          <cell r="AN79">
            <v>0.10954052226551181</v>
          </cell>
          <cell r="AO79">
            <v>0.1010815478883086</v>
          </cell>
          <cell r="AP79">
            <v>1.0888893767425523E-2</v>
          </cell>
          <cell r="AQ79">
            <v>7.8151278996293639E-3</v>
          </cell>
          <cell r="AR79">
            <v>9.1540684369086581E-3</v>
          </cell>
          <cell r="AS79">
            <v>1.1708822987488108E-2</v>
          </cell>
          <cell r="AT79">
            <v>1.0870910090734121E-2</v>
          </cell>
          <cell r="AU79">
            <v>9.4349326276614645E-3</v>
          </cell>
          <cell r="AV79">
            <v>7.3866643721856766E-3</v>
          </cell>
          <cell r="AW79">
            <v>6.602513782493752E-3</v>
          </cell>
          <cell r="AX79">
            <v>8.3064907405219109E-3</v>
          </cell>
          <cell r="AY79">
            <v>6.7964471810115267E-3</v>
          </cell>
          <cell r="AZ79">
            <v>6.3010224300546879E-3</v>
          </cell>
          <cell r="BA79">
            <v>6.276509321892056E-3</v>
          </cell>
          <cell r="BB79">
            <v>6.1855630969191765E-3</v>
          </cell>
          <cell r="BC79">
            <v>6.3786063145533645E-3</v>
          </cell>
          <cell r="BD79">
            <v>3.0610794678094695E-3</v>
          </cell>
          <cell r="BE79">
            <v>3.0246551472353613E-3</v>
          </cell>
          <cell r="BF79">
            <v>2.7950189933892131E-3</v>
          </cell>
          <cell r="BG79">
            <v>2.6862258925190461E-3</v>
          </cell>
          <cell r="BH79">
            <v>2.8795124907170038E-3</v>
          </cell>
          <cell r="BI79">
            <v>1.7902308372794314E-3</v>
          </cell>
          <cell r="BJ79">
            <v>2.017967901624652E-3</v>
          </cell>
          <cell r="BK79">
            <v>0</v>
          </cell>
          <cell r="BL79">
            <v>0</v>
          </cell>
          <cell r="BM79">
            <v>6.5492167096574297E-4</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row>
        <row r="80">
          <cell r="B80" t="str">
            <v>Selling, general and administrative</v>
          </cell>
          <cell r="Y80">
            <v>0.23749966066288902</v>
          </cell>
          <cell r="Z80">
            <v>0.25693346815898016</v>
          </cell>
          <cell r="AA80">
            <v>0.2310545577790786</v>
          </cell>
          <cell r="AB80">
            <v>0.25408139040487737</v>
          </cell>
          <cell r="AC80">
            <v>0.23604341063393533</v>
          </cell>
          <cell r="AD80">
            <v>0.24390802836707093</v>
          </cell>
          <cell r="AE80">
            <v>0.22482430583240459</v>
          </cell>
          <cell r="AF80">
            <v>0.25815454315333147</v>
          </cell>
          <cell r="AG80">
            <v>0.23845297488382702</v>
          </cell>
          <cell r="AH80">
            <v>0.20475223444143359</v>
          </cell>
          <cell r="AI80">
            <v>0.23054014309899531</v>
          </cell>
          <cell r="AJ80">
            <v>0.25450209686703401</v>
          </cell>
          <cell r="AK80">
            <v>0.30388080388080385</v>
          </cell>
          <cell r="AL80">
            <v>0.32847043991174751</v>
          </cell>
          <cell r="AM80">
            <v>0.25607167119565216</v>
          </cell>
          <cell r="AN80">
            <v>0.28476671925813823</v>
          </cell>
          <cell r="AO80">
            <v>0.24143603240531317</v>
          </cell>
          <cell r="AP80">
            <v>8.5868586858685869E-2</v>
          </cell>
          <cell r="AQ80">
            <v>6.872974306902524E-2</v>
          </cell>
          <cell r="AR80">
            <v>7.3440905023124267E-2</v>
          </cell>
          <cell r="AS80">
            <v>7.971826513809202E-2</v>
          </cell>
          <cell r="AT80">
            <v>7.1477178993676116E-2</v>
          </cell>
          <cell r="AU80">
            <v>6.8282480698440604E-2</v>
          </cell>
          <cell r="AV80">
            <v>5.7760951583843721E-2</v>
          </cell>
          <cell r="AW80">
            <v>4.7234929485964867E-2</v>
          </cell>
          <cell r="AX80">
            <v>5.9637823101636692E-2</v>
          </cell>
          <cell r="AY80">
            <v>4.7126162230066257E-2</v>
          </cell>
          <cell r="AZ80">
            <v>4.4814223082474354E-2</v>
          </cell>
          <cell r="BA80">
            <v>4.4102938835161511E-2</v>
          </cell>
          <cell r="BB80">
            <v>4.7167053857483411E-2</v>
          </cell>
          <cell r="BC80">
            <v>4.5808124459809856E-2</v>
          </cell>
          <cell r="BD80">
            <v>2.4996993582665543E-2</v>
          </cell>
          <cell r="BE80">
            <v>2.6590728516161607E-2</v>
          </cell>
          <cell r="BF80">
            <v>2.6235735537446889E-2</v>
          </cell>
          <cell r="BG80">
            <v>2.7578972719899838E-2</v>
          </cell>
          <cell r="BH80">
            <v>2.6421089760918261E-2</v>
          </cell>
          <cell r="BI80">
            <v>3.1238771018760152E-2</v>
          </cell>
          <cell r="BJ80">
            <v>3.2197629298826629E-2</v>
          </cell>
          <cell r="BK80">
            <v>3.0593146503362815E-2</v>
          </cell>
          <cell r="BL80">
            <v>3.3848519615322238E-2</v>
          </cell>
          <cell r="BM80">
            <v>3.2724856440364908E-2</v>
          </cell>
          <cell r="BN80">
            <v>3.1212380222355018E-2</v>
          </cell>
          <cell r="BO80">
            <v>2.9228982012799096E-2</v>
          </cell>
          <cell r="BP80">
            <v>3.0561559736900643E-2</v>
          </cell>
          <cell r="BQ80">
            <v>3.6499999999999998E-2</v>
          </cell>
          <cell r="BR80">
            <v>3.2014852637227413E-2</v>
          </cell>
          <cell r="BS80">
            <v>2.9000000000000001E-2</v>
          </cell>
          <cell r="BT80">
            <v>2.9000000000000001E-2</v>
          </cell>
          <cell r="BU80">
            <v>2.9000000000000001E-2</v>
          </cell>
          <cell r="BV80">
            <v>2.9000000000000001E-2</v>
          </cell>
          <cell r="BW80">
            <v>2.9000000000000001E-2</v>
          </cell>
          <cell r="BX80">
            <v>0.03</v>
          </cell>
          <cell r="BY80">
            <v>0.03</v>
          </cell>
          <cell r="BZ80">
            <v>0.03</v>
          </cell>
          <cell r="CA80">
            <v>0.03</v>
          </cell>
          <cell r="CB80">
            <v>0.03</v>
          </cell>
          <cell r="CC80">
            <v>2.3900000000000001E-2</v>
          </cell>
          <cell r="CD80">
            <v>2.3E-2</v>
          </cell>
          <cell r="CE80">
            <v>2.3E-2</v>
          </cell>
          <cell r="CF80">
            <v>2.3E-2</v>
          </cell>
          <cell r="CG80">
            <v>2.3204141477637431E-2</v>
          </cell>
        </row>
        <row r="81">
          <cell r="B81" t="str">
            <v>Depreciation of property and equipment</v>
          </cell>
          <cell r="Y81">
            <v>0</v>
          </cell>
          <cell r="Z81">
            <v>0</v>
          </cell>
          <cell r="AA81">
            <v>0</v>
          </cell>
          <cell r="AB81">
            <v>0</v>
          </cell>
          <cell r="AC81">
            <v>0</v>
          </cell>
          <cell r="AD81">
            <v>0</v>
          </cell>
          <cell r="AE81">
            <v>4.6367994295747672E-2</v>
          </cell>
          <cell r="AF81">
            <v>5.6667478061310131E-2</v>
          </cell>
          <cell r="AG81">
            <v>5.6625281523505426E-2</v>
          </cell>
          <cell r="AH81">
            <v>-6.8476395720364971E-2</v>
          </cell>
          <cell r="AI81">
            <v>2.0154962124488709E-2</v>
          </cell>
          <cell r="AJ81">
            <v>2.3764493051558259E-2</v>
          </cell>
          <cell r="AK81">
            <v>2.5554400554400551E-2</v>
          </cell>
          <cell r="AL81">
            <v>2.9312440902336891E-2</v>
          </cell>
          <cell r="AM81">
            <v>2.7895720108695655E-2</v>
          </cell>
          <cell r="AN81">
            <v>2.6574792585675803E-2</v>
          </cell>
          <cell r="AO81">
            <v>3.1336102315252704E-2</v>
          </cell>
          <cell r="AP81">
            <v>6.2918486970648287E-3</v>
          </cell>
          <cell r="AQ81">
            <v>3.8415471815555434E-3</v>
          </cell>
          <cell r="AR81">
            <v>4.7614818660636814E-3</v>
          </cell>
          <cell r="AS81">
            <v>5.575133352415408E-3</v>
          </cell>
          <cell r="AT81">
            <v>5.0934836403629365E-3</v>
          </cell>
          <cell r="AU81">
            <v>4.3792799279366891E-3</v>
          </cell>
          <cell r="AV81">
            <v>3.8250041065995013E-3</v>
          </cell>
          <cell r="AW81">
            <v>3.2865946638515192E-3</v>
          </cell>
          <cell r="AX81">
            <v>4.039248342524923E-3</v>
          </cell>
          <cell r="AY81">
            <v>3.2754761715190601E-3</v>
          </cell>
          <cell r="AZ81">
            <v>3.2057833416067709E-3</v>
          </cell>
          <cell r="BA81">
            <v>2.9861896383505944E-3</v>
          </cell>
          <cell r="BB81">
            <v>2.8716652241910748E-3</v>
          </cell>
          <cell r="BC81">
            <v>3.0763893023360851E-3</v>
          </cell>
          <cell r="BD81">
            <v>1.4521906760977068E-3</v>
          </cell>
          <cell r="BE81">
            <v>1.3052385278031484E-3</v>
          </cell>
          <cell r="BF81">
            <v>1.2335992666765066E-3</v>
          </cell>
          <cell r="BG81">
            <v>1.4370546835215314E-3</v>
          </cell>
          <cell r="BH81">
            <v>1.3556440112993783E-3</v>
          </cell>
          <cell r="BI81">
            <v>1.3720832311744763E-3</v>
          </cell>
          <cell r="BJ81">
            <v>1.4559203807123146E-3</v>
          </cell>
          <cell r="BK81">
            <v>1.7917249073894155E-3</v>
          </cell>
          <cell r="BL81">
            <v>1.8609177243703334E-3</v>
          </cell>
          <cell r="BM81">
            <v>1.6848891160267682E-3</v>
          </cell>
          <cell r="BN81">
            <v>2.1647872048342152E-3</v>
          </cell>
          <cell r="BO81">
            <v>2.3227981260771982E-3</v>
          </cell>
          <cell r="BP81">
            <v>2.7610933475884216E-3</v>
          </cell>
          <cell r="BQ81">
            <v>2.5786797762193262E-3</v>
          </cell>
          <cell r="BR81">
            <v>2.4690704601745116E-3</v>
          </cell>
          <cell r="BS81">
            <v>2.3052703077097963E-3</v>
          </cell>
          <cell r="BT81">
            <v>2.0095787052636358E-3</v>
          </cell>
          <cell r="BU81">
            <v>1.9999440518853923E-3</v>
          </cell>
          <cell r="BV81">
            <v>1.8319520098037797E-3</v>
          </cell>
          <cell r="BW81">
            <v>2.0229757836568536E-3</v>
          </cell>
          <cell r="BX81">
            <v>2.0897901039534984E-3</v>
          </cell>
          <cell r="BY81">
            <v>1.7832831565633594E-3</v>
          </cell>
          <cell r="BZ81">
            <v>1.7319970824344576E-3</v>
          </cell>
          <cell r="CA81">
            <v>1.5866311022603825E-3</v>
          </cell>
          <cell r="CB81">
            <v>1.7802188106937494E-3</v>
          </cell>
          <cell r="CC81">
            <v>3.2115996588907843E-3</v>
          </cell>
          <cell r="CD81">
            <v>2.8655341930475557E-3</v>
          </cell>
          <cell r="CE81">
            <v>2.8096344236366528E-3</v>
          </cell>
          <cell r="CF81">
            <v>2.8052035656297592E-3</v>
          </cell>
          <cell r="CG81">
            <v>2.9138697775370368E-3</v>
          </cell>
        </row>
        <row r="82">
          <cell r="B82" t="str">
            <v>Amortization of intangible assets</v>
          </cell>
          <cell r="Y82">
            <v>4.5369122057039322E-2</v>
          </cell>
          <cell r="Z82">
            <v>7.3338921957912792E-2</v>
          </cell>
          <cell r="AA82">
            <v>7.9831173255125662E-2</v>
          </cell>
          <cell r="AB82">
            <v>5.8176076612062567E-2</v>
          </cell>
          <cell r="AC82">
            <v>4.2090179895157134E-2</v>
          </cell>
          <cell r="AD82">
            <v>6.1086133453415285E-2</v>
          </cell>
          <cell r="AE82">
            <v>0</v>
          </cell>
          <cell r="AF82">
            <v>0</v>
          </cell>
          <cell r="AG82">
            <v>0</v>
          </cell>
          <cell r="AH82">
            <v>7.1961150791456818E-2</v>
          </cell>
          <cell r="AI82">
            <v>1.9574163093310927E-2</v>
          </cell>
          <cell r="AJ82">
            <v>1.628155579310912E-2</v>
          </cell>
          <cell r="AK82">
            <v>1.7151767151767153E-2</v>
          </cell>
          <cell r="AL82">
            <v>1.7830609212481429E-2</v>
          </cell>
          <cell r="AM82">
            <v>1.6813858695652176E-2</v>
          </cell>
          <cell r="AN82">
            <v>1.7000998164664972E-2</v>
          </cell>
          <cell r="AO82">
            <v>1.6284903565406919E-2</v>
          </cell>
          <cell r="AP82">
            <v>1.0678140984830191E-2</v>
          </cell>
          <cell r="AQ82">
            <v>1.084246827265554E-2</v>
          </cell>
          <cell r="AR82">
            <v>1.0547672885512661E-2</v>
          </cell>
          <cell r="AS82">
            <v>1.0852447276111055E-2</v>
          </cell>
          <cell r="AT82">
            <v>9.7092383832829265E-3</v>
          </cell>
          <cell r="AU82">
            <v>7.527374395706124E-3</v>
          </cell>
          <cell r="AV82">
            <v>5.8352823384933078E-3</v>
          </cell>
          <cell r="AW82">
            <v>5.0663634969186772E-3</v>
          </cell>
          <cell r="AX82">
            <v>6.7591896201535627E-3</v>
          </cell>
          <cell r="AY82">
            <v>4.4122720879004223E-3</v>
          </cell>
          <cell r="AZ82">
            <v>4.1255949575134633E-3</v>
          </cell>
          <cell r="BA82">
            <v>3.9638962936957307E-3</v>
          </cell>
          <cell r="BB82">
            <v>3.6821087474756681E-3</v>
          </cell>
          <cell r="BC82">
            <v>4.0315378661744993E-3</v>
          </cell>
          <cell r="BD82">
            <v>3.2432865789886046E-3</v>
          </cell>
          <cell r="BE82">
            <v>3.0254802031947814E-3</v>
          </cell>
          <cell r="BF82">
            <v>3.0288435395287778E-3</v>
          </cell>
          <cell r="BG82">
            <v>3.8157029961248127E-3</v>
          </cell>
          <cell r="BH82">
            <v>3.2933406625873414E-3</v>
          </cell>
          <cell r="BI82">
            <v>6.0089791083439079E-3</v>
          </cell>
          <cell r="BJ82">
            <v>5.292173679144278E-3</v>
          </cell>
          <cell r="BK82">
            <v>1.6102645748061601E-2</v>
          </cell>
          <cell r="BL82">
            <v>1.7842404656499094E-2</v>
          </cell>
          <cell r="BM82">
            <v>1.3089982817108848E-2</v>
          </cell>
          <cell r="BN82">
            <v>1.5546712815664486E-2</v>
          </cell>
          <cell r="BO82">
            <v>1.4657798404063872E-2</v>
          </cell>
          <cell r="BP82">
            <v>1.3065319959226903E-2</v>
          </cell>
          <cell r="BQ82">
            <v>1.2202150419187954E-2</v>
          </cell>
          <cell r="BR82">
            <v>1.3779942715093153E-2</v>
          </cell>
          <cell r="BS82">
            <v>1.0792887942298997E-2</v>
          </cell>
          <cell r="BT82">
            <v>9.4085095811120411E-3</v>
          </cell>
          <cell r="BU82">
            <v>9.3634017540921467E-3</v>
          </cell>
          <cell r="BV82">
            <v>8.5768912614523091E-3</v>
          </cell>
          <cell r="BW82">
            <v>9.4712324493885364E-3</v>
          </cell>
          <cell r="BX82">
            <v>9.6583945880684783E-3</v>
          </cell>
          <cell r="BY82">
            <v>8.2418097184790203E-3</v>
          </cell>
          <cell r="BZ82">
            <v>8.0047805834128852E-3</v>
          </cell>
          <cell r="CA82">
            <v>7.3329418214499289E-3</v>
          </cell>
          <cell r="CB82">
            <v>8.2276472140691177E-3</v>
          </cell>
          <cell r="CC82">
            <v>8.7080900945420529E-3</v>
          </cell>
          <cell r="CD82">
            <v>7.7697510812002341E-3</v>
          </cell>
          <cell r="CE82">
            <v>7.6181816827707938E-3</v>
          </cell>
          <cell r="CF82">
            <v>7.606167635312128E-3</v>
          </cell>
          <cell r="CG82">
            <v>7.9008105746652835E-3</v>
          </cell>
        </row>
        <row r="83">
          <cell r="B83" t="str">
            <v>Interest expense</v>
          </cell>
          <cell r="Y83">
            <v>3.1844090569430515E-2</v>
          </cell>
          <cell r="Z83">
            <v>4.0300332924511864E-2</v>
          </cell>
          <cell r="AA83">
            <v>-1.3977243232011126E-2</v>
          </cell>
          <cell r="AB83">
            <v>3.0241857330915719E-2</v>
          </cell>
          <cell r="AC83">
            <v>3.4235964667409503E-2</v>
          </cell>
          <cell r="AD83">
            <v>2.3457516315234055E-2</v>
          </cell>
          <cell r="AE83">
            <v>2.0193148391596218E-2</v>
          </cell>
          <cell r="AF83">
            <v>2.1249346251599625E-2</v>
          </cell>
          <cell r="AG83">
            <v>4.9607340042382944E-2</v>
          </cell>
          <cell r="AH83">
            <v>2.5791984936132518E-3</v>
          </cell>
          <cell r="AI83">
            <v>2.3293748378087811E-2</v>
          </cell>
          <cell r="AJ83">
            <v>6.701751500698956E-3</v>
          </cell>
          <cell r="AK83">
            <v>-7.2765072765072769E-3</v>
          </cell>
          <cell r="AL83">
            <v>-6.3037507316853543E-4</v>
          </cell>
          <cell r="AM83">
            <v>1.9106657608695652E-3</v>
          </cell>
          <cell r="AN83">
            <v>2.7905678805636942E-4</v>
          </cell>
          <cell r="AO83">
            <v>1.6449397540815069E-3</v>
          </cell>
          <cell r="AP83">
            <v>3.4774209128229897E-3</v>
          </cell>
          <cell r="AQ83">
            <v>4.9009591293331361E-3</v>
          </cell>
          <cell r="AR83">
            <v>8.4265249380050967E-3</v>
          </cell>
          <cell r="AS83">
            <v>5.6295983841268037E-3</v>
          </cell>
          <cell r="AT83">
            <v>2.1686829804784162E-3</v>
          </cell>
          <cell r="AU83">
            <v>4.6348677956169794E-3</v>
          </cell>
          <cell r="AV83">
            <v>2.7846655663587372E-3</v>
          </cell>
          <cell r="AW83">
            <v>6.320547871044583E-3</v>
          </cell>
          <cell r="AX83">
            <v>4.1622817200205192E-3</v>
          </cell>
          <cell r="AY83">
            <v>1.3093058025248369E-3</v>
          </cell>
          <cell r="AZ83">
            <v>7.884099564914505E-4</v>
          </cell>
          <cell r="BA83">
            <v>7.6134568359861367E-4</v>
          </cell>
          <cell r="BB83">
            <v>6.6619596410513369E-4</v>
          </cell>
          <cell r="BC83">
            <v>8.6943668304259732E-4</v>
          </cell>
          <cell r="BD83">
            <v>4.1269910682074099E-4</v>
          </cell>
          <cell r="BE83">
            <v>5.5856288452764316E-4</v>
          </cell>
          <cell r="BF83">
            <v>9.4850422204786813E-4</v>
          </cell>
          <cell r="BG83">
            <v>3.1120467401854463E-4</v>
          </cell>
          <cell r="BH83">
            <v>5.5873837678462144E-4</v>
          </cell>
          <cell r="BI83">
            <v>7.2214906903919813E-4</v>
          </cell>
          <cell r="BJ83">
            <v>1.1628569398186295E-3</v>
          </cell>
          <cell r="BK83">
            <v>3.7116316386588857E-3</v>
          </cell>
          <cell r="BL83">
            <v>3.4896712458778087E-3</v>
          </cell>
          <cell r="BM83">
            <v>2.6842734292946164E-3</v>
          </cell>
          <cell r="BN83">
            <v>3.4285632645860691E-3</v>
          </cell>
          <cell r="BO83">
            <v>3.1915796373298065E-3</v>
          </cell>
          <cell r="BP83">
            <v>2.4974074110966126E-3</v>
          </cell>
          <cell r="BQ83">
            <v>3.1224500557664884E-3</v>
          </cell>
          <cell r="BR83">
            <v>3.0490029977792376E-3</v>
          </cell>
          <cell r="BS83">
            <v>2.7913863005582661E-3</v>
          </cell>
          <cell r="BT83">
            <v>2.4333417426173239E-3</v>
          </cell>
          <cell r="BU83">
            <v>2.4216754146553876E-3</v>
          </cell>
          <cell r="BV83">
            <v>2.2182586251790651E-3</v>
          </cell>
          <cell r="BW83">
            <v>2.4495638841029732E-3</v>
          </cell>
          <cell r="BX83">
            <v>2.5304674457084886E-3</v>
          </cell>
          <cell r="BY83">
            <v>2.1593268939435403E-3</v>
          </cell>
          <cell r="BZ83">
            <v>2.0972260443147361E-3</v>
          </cell>
          <cell r="CA83">
            <v>1.9212065101767816E-3</v>
          </cell>
          <cell r="CB83">
            <v>2.1556163646177626E-3</v>
          </cell>
          <cell r="CC83">
            <v>2.4628597983971873E-3</v>
          </cell>
          <cell r="CD83">
            <v>2.1900685240940588E-3</v>
          </cell>
          <cell r="CE83">
            <v>2.1405185086354112E-3</v>
          </cell>
          <cell r="CF83">
            <v>2.1310081008792219E-3</v>
          </cell>
          <cell r="CG83">
            <v>2.2237599567465263E-3</v>
          </cell>
        </row>
        <row r="84">
          <cell r="B84" t="str">
            <v>Tax rate</v>
          </cell>
          <cell r="Y84">
            <v>2.5674494870494818E-2</v>
          </cell>
          <cell r="Z84">
            <v>3.6541070945707355E-2</v>
          </cell>
          <cell r="AA84">
            <v>1.2344276424038236E-2</v>
          </cell>
          <cell r="AB84">
            <v>9.8491202718120913E-3</v>
          </cell>
          <cell r="AC84">
            <v>-0.16252876759186366</v>
          </cell>
          <cell r="AD84">
            <v>-5.3291876466048799E-2</v>
          </cell>
          <cell r="AE84">
            <v>-0.49998144030745589</v>
          </cell>
          <cell r="AF84">
            <v>0.35777580428934058</v>
          </cell>
          <cell r="AG84">
            <v>0.39432960478818352</v>
          </cell>
          <cell r="AH84">
            <v>0.35906050623314739</v>
          </cell>
          <cell r="AI84">
            <v>0.19006838946896443</v>
          </cell>
          <cell r="AJ84">
            <v>0.32123858130016847</v>
          </cell>
          <cell r="AK84">
            <v>0.29558494367510113</v>
          </cell>
          <cell r="AL84">
            <v>-4.7263824102346925E-2</v>
          </cell>
          <cell r="AM84">
            <v>0.32056800007935243</v>
          </cell>
          <cell r="AN84">
            <v>0.26115485582967007</v>
          </cell>
          <cell r="AO84">
            <v>0.33274496443397644</v>
          </cell>
          <cell r="AP84">
            <v>0.19357429718875488</v>
          </cell>
          <cell r="AQ84">
            <v>0.30021781219748206</v>
          </cell>
          <cell r="AR84">
            <v>0.29095929637962697</v>
          </cell>
          <cell r="AS84">
            <v>0.28071348201396457</v>
          </cell>
          <cell r="AT84">
            <v>0.29759676574081079</v>
          </cell>
          <cell r="AU84">
            <v>0.3219275879653235</v>
          </cell>
          <cell r="AV84">
            <v>0.39521224086870671</v>
          </cell>
          <cell r="AW84">
            <v>0.31978683589618417</v>
          </cell>
          <cell r="AX84">
            <v>0.33615648575357537</v>
          </cell>
          <cell r="AY84">
            <v>0.32544724962380817</v>
          </cell>
          <cell r="AZ84">
            <v>0.33973519569329219</v>
          </cell>
          <cell r="BA84">
            <v>0.35355057449613819</v>
          </cell>
          <cell r="BB84">
            <v>0.34836617973844319</v>
          </cell>
          <cell r="BC84">
            <v>0.34221910218950374</v>
          </cell>
          <cell r="BD84">
            <v>0.33169358231658003</v>
          </cell>
          <cell r="BE84">
            <v>0.3359526312876987</v>
          </cell>
          <cell r="BF84">
            <v>0.34167514251247827</v>
          </cell>
          <cell r="BG84">
            <v>0.33464132974736571</v>
          </cell>
          <cell r="BH84">
            <v>0.33628135505559953</v>
          </cell>
          <cell r="BI84">
            <v>0.3373869286527294</v>
          </cell>
          <cell r="BJ84">
            <v>0.38463267523320782</v>
          </cell>
          <cell r="BK84">
            <v>0.39797883154936292</v>
          </cell>
          <cell r="BL84">
            <v>0.35177729293656307</v>
          </cell>
          <cell r="BM84">
            <v>0.36705704665524558</v>
          </cell>
          <cell r="BN84">
            <v>0.28870853481997139</v>
          </cell>
          <cell r="BO84">
            <v>0.25697263053971059</v>
          </cell>
          <cell r="BP84">
            <v>0.25188057778423406</v>
          </cell>
          <cell r="BQ84">
            <v>0.28499999999999998</v>
          </cell>
          <cell r="BR84">
            <v>0.27042423929164661</v>
          </cell>
          <cell r="BS84">
            <v>0.3</v>
          </cell>
          <cell r="BT84">
            <v>0.3</v>
          </cell>
          <cell r="BU84">
            <v>0.3</v>
          </cell>
          <cell r="BV84">
            <v>0.3</v>
          </cell>
          <cell r="BW84">
            <v>0.29999999999999993</v>
          </cell>
          <cell r="BX84">
            <v>0.3</v>
          </cell>
          <cell r="BY84">
            <v>0.3</v>
          </cell>
          <cell r="BZ84">
            <v>0.3</v>
          </cell>
          <cell r="CA84">
            <v>0.3</v>
          </cell>
          <cell r="CB84">
            <v>0.29999999999999993</v>
          </cell>
          <cell r="CC84">
            <v>0.27</v>
          </cell>
          <cell r="CD84">
            <v>0.27</v>
          </cell>
          <cell r="CE84">
            <v>0.27</v>
          </cell>
          <cell r="CF84">
            <v>0.27</v>
          </cell>
          <cell r="CG84">
            <v>0.27000000000000085</v>
          </cell>
        </row>
        <row r="86">
          <cell r="B86" t="str">
            <v>Growth Rates</v>
          </cell>
        </row>
        <row r="87">
          <cell r="B87" t="str">
            <v>Revenues</v>
          </cell>
          <cell r="AD87">
            <v>0.63798926850358728</v>
          </cell>
          <cell r="AE87">
            <v>0.82897588659512333</v>
          </cell>
          <cell r="AF87">
            <v>0.51752493590285953</v>
          </cell>
          <cell r="AG87">
            <v>0.42877771013901844</v>
          </cell>
          <cell r="AH87">
            <v>0.32514233229122946</v>
          </cell>
          <cell r="AI87">
            <v>0.49516741817661525</v>
          </cell>
          <cell r="AJ87">
            <v>0.25778598328306135</v>
          </cell>
          <cell r="AK87">
            <v>0.2461294586450502</v>
          </cell>
          <cell r="AL87">
            <v>5.5249878837984934E-2</v>
          </cell>
          <cell r="AM87">
            <v>6.9967817828529677E-2</v>
          </cell>
          <cell r="AN87">
            <v>0.15135375603969203</v>
          </cell>
          <cell r="AO87">
            <v>-2.0557519940789248E-4</v>
          </cell>
          <cell r="AP87">
            <v>8.8646483021483018</v>
          </cell>
          <cell r="AQ87">
            <v>13.323067224998875</v>
          </cell>
          <cell r="AR87">
            <v>11.430621603260871</v>
          </cell>
          <cell r="AS87">
            <v>8.2618840626375167</v>
          </cell>
          <cell r="AT87">
            <v>10.965291771188879</v>
          </cell>
          <cell r="AU87">
            <v>0.40865842681829156</v>
          </cell>
          <cell r="AV87">
            <v>0.20568310065042228</v>
          </cell>
          <cell r="AW87">
            <v>0.51423321014052159</v>
          </cell>
          <cell r="AX87">
            <v>0.6671329027891888</v>
          </cell>
          <cell r="AY87">
            <v>0.55398680230959596</v>
          </cell>
          <cell r="AZ87">
            <v>0.4943973269249351</v>
          </cell>
          <cell r="BA87">
            <v>0.27740535917753295</v>
          </cell>
          <cell r="BB87">
            <v>0.18847954957637447</v>
          </cell>
          <cell r="BC87">
            <v>0.3543319565643519</v>
          </cell>
          <cell r="BD87">
            <v>1.427638737758433</v>
          </cell>
          <cell r="BE87">
            <v>1.5279989821585747</v>
          </cell>
          <cell r="BF87">
            <v>1.6275407105620894</v>
          </cell>
          <cell r="BG87">
            <v>1.616411576246223</v>
          </cell>
          <cell r="BH87">
            <v>1.5536469122166632</v>
          </cell>
          <cell r="BI87">
            <v>0.56433641992179662</v>
          </cell>
          <cell r="BJ87">
            <v>0.40482525727307461</v>
          </cell>
          <cell r="BK87">
            <v>1.478680017711627</v>
          </cell>
          <cell r="BL87">
            <v>1.4153109797941843</v>
          </cell>
          <cell r="BM87">
            <v>0.99781529274976655</v>
          </cell>
          <cell r="BN87">
            <v>0.87509267094404097</v>
          </cell>
          <cell r="BO87">
            <v>1.0070617130527166</v>
          </cell>
          <cell r="BP87">
            <v>0.13268479807445188</v>
          </cell>
          <cell r="BQ87">
            <v>0.16226556691129423</v>
          </cell>
          <cell r="BR87">
            <v>0.42061702430693315</v>
          </cell>
          <cell r="BS87">
            <v>0.34445911644374938</v>
          </cell>
          <cell r="BT87">
            <v>0.4530560766911238</v>
          </cell>
          <cell r="BU87">
            <v>0.38058529436634836</v>
          </cell>
          <cell r="BV87">
            <v>0.40761317022465482</v>
          </cell>
          <cell r="BW87">
            <v>0.3972936575154653</v>
          </cell>
          <cell r="BX87">
            <v>0.10311093125986637</v>
          </cell>
          <cell r="BY87">
            <v>0.12689827067978365</v>
          </cell>
          <cell r="BZ87">
            <v>0.15470405358553729</v>
          </cell>
          <cell r="CA87">
            <v>0.15461748303931677</v>
          </cell>
          <cell r="CB87">
            <v>0.13636355907760689</v>
          </cell>
          <cell r="CC87">
            <v>0.10562000400256122</v>
          </cell>
          <cell r="CD87">
            <v>0.10420342785025816</v>
          </cell>
          <cell r="CE87">
            <v>9.956864229576956E-2</v>
          </cell>
          <cell r="CF87">
            <v>0.10009004814921463</v>
          </cell>
          <cell r="CG87">
            <v>0.10224887260289184</v>
          </cell>
        </row>
        <row r="88">
          <cell r="B88" t="str">
            <v>Gross profit</v>
          </cell>
          <cell r="AD88">
            <v>0.7029335255562541</v>
          </cell>
          <cell r="AE88">
            <v>0.93823833162804871</v>
          </cell>
          <cell r="AF88">
            <v>0.48681341180697824</v>
          </cell>
          <cell r="AG88">
            <v>0.35162601412013639</v>
          </cell>
          <cell r="AH88">
            <v>8.8400382829971091E-2</v>
          </cell>
          <cell r="AI88">
            <v>0.40619119348400967</v>
          </cell>
          <cell r="AJ88">
            <v>0.24850042713426879</v>
          </cell>
          <cell r="AK88">
            <v>0.21922245720678868</v>
          </cell>
          <cell r="AL88">
            <v>-7.2309823124249273E-2</v>
          </cell>
          <cell r="AM88">
            <v>0.20159477640736845</v>
          </cell>
          <cell r="AN88">
            <v>0.1424915767475583</v>
          </cell>
          <cell r="AO88">
            <v>-7.9675018775175688E-2</v>
          </cell>
          <cell r="AP88">
            <v>1.2202380952380953</v>
          </cell>
          <cell r="AQ88">
            <v>1.9293811403140504</v>
          </cell>
          <cell r="AR88">
            <v>1.7452135493372629</v>
          </cell>
          <cell r="AS88">
            <v>1.1555547259967169</v>
          </cell>
          <cell r="AT88">
            <v>1.9068249258160215</v>
          </cell>
          <cell r="AU88">
            <v>0.58213806970509419</v>
          </cell>
          <cell r="AV88">
            <v>0.36673737315828614</v>
          </cell>
          <cell r="AW88">
            <v>0.40890557939914052</v>
          </cell>
          <cell r="AX88">
            <v>0.61577160867983993</v>
          </cell>
          <cell r="AY88">
            <v>0.28187525520620871</v>
          </cell>
          <cell r="AZ88">
            <v>0.13827286013852746</v>
          </cell>
          <cell r="BA88">
            <v>0.10872483221476559</v>
          </cell>
          <cell r="BB88">
            <v>8.9444825222754876E-2</v>
          </cell>
          <cell r="BC88">
            <v>0.14713369310660784</v>
          </cell>
          <cell r="BD88">
            <v>0.2657628063469295</v>
          </cell>
          <cell r="BE88">
            <v>0.38080351327713458</v>
          </cell>
          <cell r="BF88">
            <v>0.55761955205810798</v>
          </cell>
          <cell r="BG88">
            <v>0.56174198734752401</v>
          </cell>
          <cell r="BH88">
            <v>0.44584544087005828</v>
          </cell>
          <cell r="BI88">
            <v>0.73627669948724317</v>
          </cell>
          <cell r="BJ88">
            <v>0.65093055536838063</v>
          </cell>
          <cell r="BK88">
            <v>1.8526268489956577</v>
          </cell>
          <cell r="BL88">
            <v>1.9719580153525964</v>
          </cell>
          <cell r="BM88">
            <v>1.3696351081944735</v>
          </cell>
          <cell r="BN88">
            <v>1.249970558660737</v>
          </cell>
          <cell r="BO88">
            <v>1.1598396787043699</v>
          </cell>
          <cell r="BP88">
            <v>0.22519807059444563</v>
          </cell>
          <cell r="BQ88">
            <v>0.10003703014138976</v>
          </cell>
          <cell r="BR88">
            <v>0.49024516061244694</v>
          </cell>
          <cell r="BS88">
            <v>8.8374311608411915E-2</v>
          </cell>
          <cell r="BT88">
            <v>0.21198346610344898</v>
          </cell>
          <cell r="BU88">
            <v>5.2931614557287787E-2</v>
          </cell>
          <cell r="BV88">
            <v>0.23741888494895247</v>
          </cell>
          <cell r="BW88">
            <v>0.1488098958420303</v>
          </cell>
          <cell r="BX88">
            <v>0.16569444125837585</v>
          </cell>
          <cell r="BY88">
            <v>0.16771242949761955</v>
          </cell>
          <cell r="BZ88">
            <v>0.17092995707592129</v>
          </cell>
          <cell r="CA88">
            <v>0.17581206564362439</v>
          </cell>
          <cell r="CB88">
            <v>0.17038672315935255</v>
          </cell>
          <cell r="CC88">
            <v>9.21425340448212E-2</v>
          </cell>
          <cell r="CD88">
            <v>9.2120514822650046E-2</v>
          </cell>
          <cell r="CE88">
            <v>8.8924569138484566E-2</v>
          </cell>
          <cell r="CF88">
            <v>8.9247841534581873E-2</v>
          </cell>
          <cell r="CG88">
            <v>9.0606294246810215E-2</v>
          </cell>
        </row>
        <row r="89">
          <cell r="B89" t="str">
            <v>SG&amp;A</v>
          </cell>
          <cell r="AD89">
            <v>0.4930162385946093</v>
          </cell>
          <cell r="AE89">
            <v>0.47826193918915139</v>
          </cell>
          <cell r="AF89">
            <v>0.3381889115903387</v>
          </cell>
          <cell r="AG89">
            <v>0.20374827496038495</v>
          </cell>
          <cell r="AH89">
            <v>0.13382731403280412</v>
          </cell>
          <cell r="AI89">
            <v>0.27597280740916297</v>
          </cell>
          <cell r="AJ89">
            <v>0.26590739959487641</v>
          </cell>
          <cell r="AK89">
            <v>0.41053343371712381</v>
          </cell>
          <cell r="AL89">
            <v>0.33132944085534</v>
          </cell>
          <cell r="AM89">
            <v>0.19083396105808159</v>
          </cell>
          <cell r="AN89">
            <v>0.29944821731748728</v>
          </cell>
          <cell r="AO89">
            <v>-8.7532865907098967E-2</v>
          </cell>
          <cell r="AP89">
            <v>1.2817353489335268</v>
          </cell>
          <cell r="AQ89">
            <v>1.5065884290714431</v>
          </cell>
          <cell r="AR89">
            <v>1.9352998300558393</v>
          </cell>
          <cell r="AS89">
            <v>1.147531166639447</v>
          </cell>
          <cell r="AT89">
            <v>1.8766958818585664</v>
          </cell>
          <cell r="AU89">
            <v>0.13146072514407603</v>
          </cell>
          <cell r="AV89">
            <v>2.6161238654564656E-2</v>
          </cell>
          <cell r="AW89">
            <v>-1.29854017617137E-2</v>
          </cell>
          <cell r="AX89">
            <v>0.23893480024335823</v>
          </cell>
          <cell r="AY89">
            <v>1.7570951585976546E-2</v>
          </cell>
          <cell r="AZ89">
            <v>-1.7125210555867465E-2</v>
          </cell>
          <cell r="BA89">
            <v>-1.2166813415512623E-2</v>
          </cell>
          <cell r="BB89">
            <v>0.17777684669208527</v>
          </cell>
          <cell r="BC89">
            <v>4.023652899833241E-2</v>
          </cell>
          <cell r="BD89">
            <v>0.26319675156884448</v>
          </cell>
          <cell r="BE89">
            <v>0.4646835597992407</v>
          </cell>
          <cell r="BF89">
            <v>0.51409934365124399</v>
          </cell>
          <cell r="BG89">
            <v>0.48420490928495208</v>
          </cell>
          <cell r="BH89">
            <v>0.43376278520849731</v>
          </cell>
          <cell r="BI89">
            <v>0.84148321319566222</v>
          </cell>
          <cell r="BJ89">
            <v>0.6230394205321077</v>
          </cell>
          <cell r="BK89">
            <v>1.61207888469669</v>
          </cell>
          <cell r="BL89">
            <v>1.7012775340955391</v>
          </cell>
          <cell r="BM89">
            <v>1.2312926569948899</v>
          </cell>
          <cell r="BN89">
            <v>0.77196106781394369</v>
          </cell>
          <cell r="BO89">
            <v>0.71455054154722886</v>
          </cell>
          <cell r="BP89">
            <v>0.13151532535649868</v>
          </cell>
          <cell r="BQ89">
            <v>0.25331014987901335</v>
          </cell>
          <cell r="BR89">
            <v>0.38979508649651473</v>
          </cell>
          <cell r="BS89">
            <v>0.2491618421636328</v>
          </cell>
          <cell r="BT89">
            <v>0.44167272762323662</v>
          </cell>
          <cell r="BU89">
            <v>0.3100435279251359</v>
          </cell>
          <cell r="BV89">
            <v>0.11837758730178072</v>
          </cell>
          <cell r="BW89">
            <v>0.26570990430952013</v>
          </cell>
          <cell r="BX89">
            <v>0.1411492392343443</v>
          </cell>
          <cell r="BY89">
            <v>0.16575683173770694</v>
          </cell>
          <cell r="BZ89">
            <v>0.19452143474365924</v>
          </cell>
          <cell r="CA89">
            <v>0.19443187900618963</v>
          </cell>
          <cell r="CB89">
            <v>0.17554850939062772</v>
          </cell>
          <cell r="CC89">
            <v>0.10562000400256144</v>
          </cell>
          <cell r="CD89">
            <v>0.10420342785025816</v>
          </cell>
          <cell r="CE89">
            <v>9.956864229576956E-2</v>
          </cell>
          <cell r="CF89">
            <v>0.10009004814921463</v>
          </cell>
          <cell r="CG89">
            <v>0.1022784409369053</v>
          </cell>
        </row>
        <row r="90">
          <cell r="B90" t="str">
            <v>EBITDA</v>
          </cell>
          <cell r="AD90">
            <v>1.5043456077693125</v>
          </cell>
          <cell r="AE90">
            <v>1.6665098054234444</v>
          </cell>
          <cell r="AF90">
            <v>0.20414254579348734</v>
          </cell>
          <cell r="AG90">
            <v>0.24247752838322056</v>
          </cell>
          <cell r="AH90">
            <v>-0.15045731695647246</v>
          </cell>
          <cell r="AI90">
            <v>0.24841243279194747</v>
          </cell>
          <cell r="AJ90">
            <v>0.1281747643965705</v>
          </cell>
          <cell r="AK90">
            <v>0.25596559944373287</v>
          </cell>
          <cell r="AL90">
            <v>-0.27295765739585298</v>
          </cell>
          <cell r="AM90">
            <v>0.16904687590421275</v>
          </cell>
          <cell r="AN90">
            <v>5.9154465059173322E-2</v>
          </cell>
          <cell r="AO90">
            <v>7.6384468491406121E-3</v>
          </cell>
          <cell r="AP90">
            <v>0.80815709969788529</v>
          </cell>
          <cell r="AQ90">
            <v>1.9110947832476195</v>
          </cell>
          <cell r="AR90">
            <v>1.1203235591506613</v>
          </cell>
          <cell r="AS90">
            <v>0.88050119543080019</v>
          </cell>
          <cell r="AT90">
            <v>1.5791219204042917</v>
          </cell>
          <cell r="AU90">
            <v>1.4704469507101092</v>
          </cell>
          <cell r="AV90">
            <v>1.045263335015981</v>
          </cell>
          <cell r="AW90">
            <v>1.0718713808842528</v>
          </cell>
          <cell r="AX90">
            <v>1.2299107668401073</v>
          </cell>
          <cell r="AY90">
            <v>0.69738534076297154</v>
          </cell>
          <cell r="AZ90">
            <v>0.32975440672950995</v>
          </cell>
          <cell r="BA90">
            <v>0.25224187577128832</v>
          </cell>
          <cell r="BB90">
            <v>2.535100121658429E-2</v>
          </cell>
          <cell r="BC90">
            <v>0.27550126173306233</v>
          </cell>
          <cell r="BD90">
            <v>0.26980519480519227</v>
          </cell>
          <cell r="BE90">
            <v>0.31591328120032824</v>
          </cell>
          <cell r="BF90">
            <v>0.57749162341501314</v>
          </cell>
          <cell r="BG90">
            <v>0.64436890713186323</v>
          </cell>
          <cell r="BH90">
            <v>0.45603622396609111</v>
          </cell>
          <cell r="BI90">
            <v>0.63552941844938582</v>
          </cell>
          <cell r="BJ90">
            <v>0.48845299062711245</v>
          </cell>
          <cell r="BK90">
            <v>1.198888009662245</v>
          </cell>
          <cell r="BL90">
            <v>1.8587503412769637</v>
          </cell>
          <cell r="BM90">
            <v>1.1051138463287784</v>
          </cell>
          <cell r="BN90">
            <v>1.4933905400475971</v>
          </cell>
          <cell r="BO90">
            <v>1.5653888600363568</v>
          </cell>
          <cell r="BP90">
            <v>0.59310573417301882</v>
          </cell>
          <cell r="BQ90">
            <v>0.26578699250258975</v>
          </cell>
          <cell r="BR90">
            <v>0.76998420385154742</v>
          </cell>
          <cell r="BS90">
            <v>0.24999780687582884</v>
          </cell>
          <cell r="BT90">
            <v>0.33683193982384663</v>
          </cell>
          <cell r="BU90">
            <v>0.14705116782842964</v>
          </cell>
          <cell r="BV90">
            <v>0.28371381054706557</v>
          </cell>
          <cell r="BW90">
            <v>0.25406226063484216</v>
          </cell>
          <cell r="BX90">
            <v>0.15087848511211965</v>
          </cell>
          <cell r="BY90">
            <v>0.14155229996408303</v>
          </cell>
          <cell r="BZ90">
            <v>0.12255404716940799</v>
          </cell>
          <cell r="CA90">
            <v>0.13789605600763255</v>
          </cell>
          <cell r="CB90">
            <v>0.13806832838500016</v>
          </cell>
          <cell r="CC90">
            <v>8.9683537819666981E-2</v>
          </cell>
          <cell r="CD90">
            <v>9.0159270085395482E-2</v>
          </cell>
          <cell r="CE90">
            <v>8.7267374822862287E-2</v>
          </cell>
          <cell r="CF90">
            <v>8.7619602135366792E-2</v>
          </cell>
          <cell r="CG90">
            <v>8.8710904076622521E-2</v>
          </cell>
        </row>
        <row r="91">
          <cell r="B91" t="str">
            <v>EBIT</v>
          </cell>
          <cell r="AD91">
            <v>1.359856473162838</v>
          </cell>
          <cell r="AE91">
            <v>2.084683864268881</v>
          </cell>
          <cell r="AF91">
            <v>0.36082187940974997</v>
          </cell>
          <cell r="AG91">
            <v>0.26566074547165242</v>
          </cell>
          <cell r="AH91">
            <v>0.3756525540327329</v>
          </cell>
          <cell r="AI91">
            <v>0.51826994966592443</v>
          </cell>
          <cell r="AJ91">
            <v>0.36325598835231321</v>
          </cell>
          <cell r="AK91">
            <v>2.0968884118112818E-2</v>
          </cell>
          <cell r="AL91">
            <v>-0.64497969325233795</v>
          </cell>
          <cell r="AM91">
            <v>-0.20473256267929529</v>
          </cell>
          <cell r="AN91">
            <v>-0.15472897416279241</v>
          </cell>
          <cell r="AO91">
            <v>-0.11171827565270187</v>
          </cell>
          <cell r="AP91">
            <v>0.9956140350877194</v>
          </cell>
          <cell r="AQ91">
            <v>5.0330310880829234</v>
          </cell>
          <cell r="AR91">
            <v>1.4983991462113182</v>
          </cell>
          <cell r="AS91">
            <v>1.2127141066703877</v>
          </cell>
          <cell r="AT91">
            <v>2.1310093415356506</v>
          </cell>
          <cell r="AU91">
            <v>2.2766091051805337</v>
          </cell>
          <cell r="AV91">
            <v>1.2787976382179225</v>
          </cell>
          <cell r="AW91">
            <v>1.3237932507475385</v>
          </cell>
          <cell r="AX91">
            <v>1.6130778186852925</v>
          </cell>
          <cell r="AY91">
            <v>0.77317712123417959</v>
          </cell>
          <cell r="AZ91">
            <v>0.32689727865082463</v>
          </cell>
          <cell r="BA91">
            <v>0.25872709285344242</v>
          </cell>
          <cell r="BB91">
            <v>1.4669117647058139E-2</v>
          </cell>
          <cell r="BC91">
            <v>0.28105393721173733</v>
          </cell>
          <cell r="BD91">
            <v>0.27984569294537387</v>
          </cell>
          <cell r="BE91">
            <v>0.32608774146957709</v>
          </cell>
          <cell r="BF91">
            <v>0.62367603577977526</v>
          </cell>
          <cell r="BG91">
            <v>0.65455270118482622</v>
          </cell>
          <cell r="BH91">
            <v>0.47545591276555221</v>
          </cell>
          <cell r="BI91">
            <v>0.64557814403898961</v>
          </cell>
          <cell r="BJ91">
            <v>0.50754234057615699</v>
          </cell>
          <cell r="BK91">
            <v>1.2003549777562719</v>
          </cell>
          <cell r="BL91">
            <v>2.1752803083391758</v>
          </cell>
          <cell r="BM91">
            <v>1.2116539988149828</v>
          </cell>
          <cell r="BN91">
            <v>1.7457082172294887</v>
          </cell>
          <cell r="BO91">
            <v>1.8313947187804822</v>
          </cell>
          <cell r="BP91">
            <v>0.75317940874520639</v>
          </cell>
          <cell r="BQ91">
            <v>0.27371776475176679</v>
          </cell>
          <cell r="BR91">
            <v>0.8716104529250448</v>
          </cell>
          <cell r="BS91">
            <v>0.26720592443647417</v>
          </cell>
          <cell r="BT91">
            <v>0.34242575031107858</v>
          </cell>
          <cell r="BU91">
            <v>0.14781473906826648</v>
          </cell>
          <cell r="BV91">
            <v>0.28504877907008774</v>
          </cell>
          <cell r="BW91">
            <v>0.25967372620583262</v>
          </cell>
          <cell r="BX91">
            <v>0.15161277462911693</v>
          </cell>
          <cell r="BY91">
            <v>0.14213682466246347</v>
          </cell>
          <cell r="BZ91">
            <v>0.12310846468816306</v>
          </cell>
          <cell r="CA91">
            <v>0.1384009762483227</v>
          </cell>
          <cell r="CB91">
            <v>0.13865473234354186</v>
          </cell>
          <cell r="CC91">
            <v>9.227307506129967E-2</v>
          </cell>
          <cell r="CD91">
            <v>9.246850897914527E-2</v>
          </cell>
          <cell r="CE91">
            <v>8.9822133528846271E-2</v>
          </cell>
          <cell r="CF91">
            <v>8.9962606856117233E-2</v>
          </cell>
          <cell r="CG91">
            <v>9.1154210728626284E-2</v>
          </cell>
        </row>
        <row r="92">
          <cell r="B92" t="str">
            <v>Pre-tax income</v>
          </cell>
          <cell r="AD92">
            <v>1.68927748231732</v>
          </cell>
          <cell r="AE92">
            <v>3.5283327283756156</v>
          </cell>
          <cell r="AF92">
            <v>0.28987463762438326</v>
          </cell>
          <cell r="AG92">
            <v>0.35585520143447802</v>
          </cell>
          <cell r="AH92">
            <v>0.70956759346404086</v>
          </cell>
          <cell r="AI92">
            <v>0.72363404365864636</v>
          </cell>
          <cell r="AJ92">
            <v>0.56977341574195339</v>
          </cell>
          <cell r="AK92">
            <v>0.37249911466366048</v>
          </cell>
          <cell r="AL92">
            <v>-0.33875788394903228</v>
          </cell>
          <cell r="AM92">
            <v>-0.13778729453888017</v>
          </cell>
          <cell r="AN92">
            <v>5.4302654180750087E-2</v>
          </cell>
          <cell r="AO92">
            <v>-7.4366004112405681E-2</v>
          </cell>
          <cell r="AP92">
            <v>0.37751714981190587</v>
          </cell>
          <cell r="AQ92">
            <v>1.975873244508473</v>
          </cell>
          <cell r="AR92">
            <v>0.6586938083121332</v>
          </cell>
          <cell r="AS92">
            <v>0.55931045356599052</v>
          </cell>
          <cell r="AT92">
            <v>1.472602739726022</v>
          </cell>
          <cell r="AU92">
            <v>2.1502008032128517</v>
          </cell>
          <cell r="AV92">
            <v>1.4515972894482019</v>
          </cell>
          <cell r="AW92">
            <v>1.5140110452035116</v>
          </cell>
          <cell r="AX92">
            <v>1.6225690114260649</v>
          </cell>
          <cell r="AY92">
            <v>0.79112076064985382</v>
          </cell>
          <cell r="AZ92">
            <v>0.40193778684344772</v>
          </cell>
          <cell r="BA92">
            <v>0.31021717670286408</v>
          </cell>
          <cell r="BB92">
            <v>0.11671141485639835</v>
          </cell>
          <cell r="BC92">
            <v>0.35475330617280609</v>
          </cell>
          <cell r="BD92">
            <v>0.29154823608091984</v>
          </cell>
          <cell r="BE92">
            <v>0.31463698530481365</v>
          </cell>
          <cell r="BF92">
            <v>0.59265398380108558</v>
          </cell>
          <cell r="BG92">
            <v>0.65247167680594576</v>
          </cell>
          <cell r="BH92">
            <v>0.46738511744392897</v>
          </cell>
          <cell r="BI92">
            <v>0.62073206252629309</v>
          </cell>
          <cell r="BJ92">
            <v>0.47711803441978695</v>
          </cell>
          <cell r="BK92">
            <v>0.9777893417224568</v>
          </cell>
          <cell r="BL92">
            <v>1.9402804109166292</v>
          </cell>
          <cell r="BM92">
            <v>1.0717416602017118</v>
          </cell>
          <cell r="BN92">
            <v>1.5932626450208698</v>
          </cell>
          <cell r="BO92">
            <v>1.7321020492263917</v>
          </cell>
          <cell r="BP92">
            <v>0.89354780840758119</v>
          </cell>
          <cell r="BQ92">
            <v>0.29802462509124927</v>
          </cell>
          <cell r="BR92">
            <v>0.89473043316512224</v>
          </cell>
          <cell r="BS92">
            <v>0.28810915261461556</v>
          </cell>
          <cell r="BT92">
            <v>0.36629436146395977</v>
          </cell>
          <cell r="BU92">
            <v>0.14399878289672174</v>
          </cell>
          <cell r="BV92">
            <v>0.30852458623285339</v>
          </cell>
          <cell r="BW92">
            <v>0.27513339835756101</v>
          </cell>
          <cell r="BX92">
            <v>0.16857065030984031</v>
          </cell>
          <cell r="BY92">
            <v>0.15693819297485101</v>
          </cell>
          <cell r="BZ92">
            <v>0.13849358824127811</v>
          </cell>
          <cell r="CA92">
            <v>0.15162683050472636</v>
          </cell>
          <cell r="CB92">
            <v>0.15358242854814241</v>
          </cell>
          <cell r="CC92">
            <v>0.10018817607168562</v>
          </cell>
          <cell r="CD92">
            <v>9.9445554078529952E-2</v>
          </cell>
          <cell r="CE92">
            <v>9.7670800866943575E-2</v>
          </cell>
          <cell r="CF92">
            <v>9.7093246813847456E-2</v>
          </cell>
          <cell r="CG92">
            <v>9.8599233833566613E-2</v>
          </cell>
        </row>
        <row r="93">
          <cell r="B93" t="str">
            <v>Net income - cont operations</v>
          </cell>
          <cell r="AD93">
            <v>1.9072359399145555</v>
          </cell>
          <cell r="AE93">
            <v>6.0500307208398736</v>
          </cell>
          <cell r="AF93">
            <v>-0.16125763062802179</v>
          </cell>
          <cell r="AG93">
            <v>-0.17063008020732151</v>
          </cell>
          <cell r="AH93">
            <v>-5.7460410046606625E-2</v>
          </cell>
          <cell r="AI93">
            <v>0.32539301606544524</v>
          </cell>
          <cell r="AJ93">
            <v>-0.28965679036142633</v>
          </cell>
          <cell r="AK93">
            <v>0.50540737583367523</v>
          </cell>
          <cell r="AL93">
            <v>0.1433528080415476</v>
          </cell>
          <cell r="AM93">
            <v>-8.6005920175772022E-2</v>
          </cell>
          <cell r="AN93">
            <v>-3.8231887237238804E-2</v>
          </cell>
          <cell r="AO93">
            <v>-9.0057378290333667E-2</v>
          </cell>
          <cell r="AP93">
            <v>0.57700382139367923</v>
          </cell>
          <cell r="AQ93">
            <v>0.98847992429231657</v>
          </cell>
          <cell r="AR93">
            <v>0.7309773826869328</v>
          </cell>
          <cell r="AS93">
            <v>0.51803256129425224</v>
          </cell>
          <cell r="AT93">
            <v>1.602849088952047</v>
          </cell>
          <cell r="AU93">
            <v>1.6488047808764952</v>
          </cell>
          <cell r="AV93">
            <v>1.118796472419151</v>
          </cell>
          <cell r="AW93">
            <v>1.4117986441655761</v>
          </cell>
          <cell r="AX93">
            <v>1.4204199374867899</v>
          </cell>
          <cell r="AY93">
            <v>0.72010232359838988</v>
          </cell>
          <cell r="AZ93">
            <v>0.36511995186884327</v>
          </cell>
          <cell r="BA93">
            <v>0.40047335346445978</v>
          </cell>
          <cell r="BB93">
            <v>6.979247652652254E-2</v>
          </cell>
          <cell r="BC93">
            <v>0.34238088784775078</v>
          </cell>
          <cell r="BD93">
            <v>0.27958854876688122</v>
          </cell>
          <cell r="BE93">
            <v>0.32216835610400718</v>
          </cell>
          <cell r="BF93">
            <v>0.62191142191141147</v>
          </cell>
          <cell r="BG93">
            <v>0.68727638640429412</v>
          </cell>
          <cell r="BH93">
            <v>0.48063111136749614</v>
          </cell>
          <cell r="BI93">
            <v>0.60692493946730863</v>
          </cell>
          <cell r="BJ93">
            <v>0.36883333333333068</v>
          </cell>
          <cell r="BK93">
            <v>0.84708249496982924</v>
          </cell>
          <cell r="BL93">
            <v>1.6845470810416847</v>
          </cell>
          <cell r="BM93">
            <v>0.97567793968675232</v>
          </cell>
          <cell r="BN93">
            <v>1.6217641563451202</v>
          </cell>
          <cell r="BO93">
            <v>2.0634055765250268</v>
          </cell>
          <cell r="BP93">
            <v>1.1058784624961078</v>
          </cell>
          <cell r="BQ93">
            <v>0.40198137304373693</v>
          </cell>
          <cell r="BR93">
            <v>1.0188804509708516</v>
          </cell>
          <cell r="BS93">
            <v>0.22886631419375725</v>
          </cell>
          <cell r="BT93">
            <v>0.28486532328402681</v>
          </cell>
          <cell r="BU93">
            <v>7.7044202404220608E-2</v>
          </cell>
          <cell r="BV93">
            <v>0.3062864591799288</v>
          </cell>
          <cell r="BW93">
            <v>0.22396794074751991</v>
          </cell>
          <cell r="BX93">
            <v>0.18463792572134574</v>
          </cell>
          <cell r="BY93">
            <v>0.16930560730628974</v>
          </cell>
          <cell r="BZ93">
            <v>0.15059695833189979</v>
          </cell>
          <cell r="CA93">
            <v>0.16203922305112561</v>
          </cell>
          <cell r="CB93">
            <v>0.1660723793850214</v>
          </cell>
          <cell r="CC93">
            <v>0.11125524848013035</v>
          </cell>
          <cell r="CD93">
            <v>0.10897750624113356</v>
          </cell>
          <cell r="CE93">
            <v>0.10863382448169712</v>
          </cell>
          <cell r="CF93">
            <v>0.10687832830804012</v>
          </cell>
          <cell r="CG93">
            <v>0.10889213566541178</v>
          </cell>
        </row>
        <row r="94">
          <cell r="B94" t="str">
            <v>EPS, diluted  (continuing) Non GAAP</v>
          </cell>
          <cell r="AD94">
            <v>1.161056823519977</v>
          </cell>
          <cell r="AE94">
            <v>4.9061317659985466</v>
          </cell>
          <cell r="AF94">
            <v>-0.30146632455665723</v>
          </cell>
          <cell r="AG94">
            <v>-0.40418245372679173</v>
          </cell>
          <cell r="AH94">
            <v>-0.29292812203339469</v>
          </cell>
          <cell r="AI94">
            <v>3.8585306085327176E-2</v>
          </cell>
          <cell r="AJ94">
            <v>-0.41085460558036857</v>
          </cell>
          <cell r="AK94">
            <v>0.25534723776580037</v>
          </cell>
          <cell r="AL94">
            <v>0.1208092118976607</v>
          </cell>
          <cell r="AM94">
            <v>-6.3173922957929118E-2</v>
          </cell>
          <cell r="AN94">
            <v>-0.12131050109860408</v>
          </cell>
          <cell r="AO94">
            <v>-7.9113417044666012E-2</v>
          </cell>
          <cell r="AP94">
            <v>0.45604426845061119</v>
          </cell>
          <cell r="AQ94">
            <v>0.77927093179836171</v>
          </cell>
          <cell r="AR94">
            <v>0.50598478458730023</v>
          </cell>
          <cell r="AS94">
            <v>0.39806719790025635</v>
          </cell>
          <cell r="AT94">
            <v>1.2442147141310391</v>
          </cell>
          <cell r="AU94">
            <v>1.4693370197255691</v>
          </cell>
          <cell r="AV94">
            <v>2.9515406734304817</v>
          </cell>
          <cell r="AW94">
            <v>2.8079500259529167</v>
          </cell>
          <cell r="AX94">
            <v>1.8754799277086178</v>
          </cell>
          <cell r="AY94">
            <v>0.37936383521656558</v>
          </cell>
          <cell r="AZ94">
            <v>9.9029431070584817E-2</v>
          </cell>
          <cell r="BA94">
            <v>-0.4189462154933804</v>
          </cell>
          <cell r="BB94">
            <v>-0.47329861102998871</v>
          </cell>
          <cell r="BC94">
            <v>-0.15736386126355684</v>
          </cell>
          <cell r="BD94">
            <v>0.25194587936550228</v>
          </cell>
          <cell r="BE94">
            <v>0.30163303172321521</v>
          </cell>
          <cell r="BF94">
            <v>0.61827692499228815</v>
          </cell>
          <cell r="BG94">
            <v>0.69203664321082581</v>
          </cell>
          <cell r="BH94">
            <v>0.46704433217489538</v>
          </cell>
          <cell r="BI94">
            <v>0.61321613350324777</v>
          </cell>
          <cell r="BJ94">
            <v>0.30505685230706292</v>
          </cell>
          <cell r="BK94">
            <v>0.13966928268578127</v>
          </cell>
          <cell r="BL94">
            <v>0.64401799382504521</v>
          </cell>
          <cell r="BM94">
            <v>0.49292936784276575</v>
          </cell>
          <cell r="BN94">
            <v>0.60753925120409069</v>
          </cell>
          <cell r="BO94">
            <v>0.98326099755552732</v>
          </cell>
          <cell r="BP94">
            <v>1.0815887017686068</v>
          </cell>
          <cell r="BQ94">
            <v>0.3968643315876641</v>
          </cell>
          <cell r="BR94">
            <v>0.63831372550058085</v>
          </cell>
          <cell r="BS94">
            <v>0.22542783070554373</v>
          </cell>
          <cell r="BT94">
            <v>0.28189589812983917</v>
          </cell>
          <cell r="BU94">
            <v>7.507547422388039E-2</v>
          </cell>
          <cell r="BV94">
            <v>0.30375833657905282</v>
          </cell>
          <cell r="BW94">
            <v>0.22125327796952199</v>
          </cell>
          <cell r="BX94">
            <v>0.18234634446576181</v>
          </cell>
          <cell r="BY94">
            <v>0.16704477846116328</v>
          </cell>
          <cell r="BZ94">
            <v>0.14837337709521092</v>
          </cell>
          <cell r="CA94">
            <v>0.15979461356725011</v>
          </cell>
          <cell r="CB94">
            <v>0.16381834668682638</v>
          </cell>
          <cell r="CC94">
            <v>0.10911046825034609</v>
          </cell>
          <cell r="CD94">
            <v>0.1068381544369017</v>
          </cell>
          <cell r="CE94">
            <v>0.10649616663133421</v>
          </cell>
          <cell r="CF94">
            <v>0.10474508371553681</v>
          </cell>
          <cell r="CG94">
            <v>0.10675346427084054</v>
          </cell>
        </row>
        <row r="99">
          <cell r="B99" t="str">
            <v>CTRX</v>
          </cell>
        </row>
        <row r="100">
          <cell r="B100" t="str">
            <v>Quarterly Balance Sheet &amp; Cash Flow Statement</v>
          </cell>
        </row>
        <row r="101">
          <cell r="B101" t="str">
            <v>Balance Sheet</v>
          </cell>
          <cell r="F101" t="str">
            <v>Fiscal Year End, Dec 31 2001</v>
          </cell>
          <cell r="K101" t="str">
            <v>Fiscal Year End, Dec 31 2002</v>
          </cell>
          <cell r="P101" t="str">
            <v>Fiscal Year End, Dec 31 2003</v>
          </cell>
          <cell r="U101" t="str">
            <v>Fiscal Year End, Dec 31 2004</v>
          </cell>
          <cell r="Z101" t="str">
            <v xml:space="preserve">Fiscal Year End, Dec 31 2005 </v>
          </cell>
          <cell r="AE101" t="str">
            <v xml:space="preserve">Fiscal Year End, Dec 31 2006 </v>
          </cell>
          <cell r="AJ101" t="str">
            <v xml:space="preserve">Fiscal Year End, Dec 31 2007 </v>
          </cell>
          <cell r="AO101" t="str">
            <v>Fiscal Year End, Dec 31 2008</v>
          </cell>
          <cell r="AT101" t="str">
            <v>Fiscal Year End, Dec 31 2009</v>
          </cell>
          <cell r="AY101" t="str">
            <v>Fiscal Year End, Dec 31 2010</v>
          </cell>
          <cell r="BD101" t="str">
            <v>Fiscal Year End, Dec 31 2011</v>
          </cell>
          <cell r="BI101" t="str">
            <v>Fiscal Year End, Dec 31 2012</v>
          </cell>
          <cell r="BN101" t="str">
            <v>Fiscal Year End, Dec 31 2013</v>
          </cell>
          <cell r="BS101" t="str">
            <v>Fiscal Year End, Dec 31 2014</v>
          </cell>
          <cell r="BX101" t="str">
            <v>Fiscal Year End, Dec 31 2015</v>
          </cell>
          <cell r="CC101" t="str">
            <v>Fiscal Year End, Dec 31 2015</v>
          </cell>
        </row>
        <row r="102">
          <cell r="B102" t="str">
            <v>(In millions, except per share data)</v>
          </cell>
          <cell r="U102" t="str">
            <v>1QA</v>
          </cell>
          <cell r="V102" t="str">
            <v>2QA</v>
          </cell>
          <cell r="W102" t="str">
            <v>3QA</v>
          </cell>
          <cell r="X102" t="str">
            <v>4QA</v>
          </cell>
          <cell r="Y102" t="str">
            <v>2004A</v>
          </cell>
          <cell r="Z102" t="str">
            <v>1QA</v>
          </cell>
          <cell r="AA102" t="str">
            <v>2QA</v>
          </cell>
          <cell r="AB102" t="str">
            <v>3QA</v>
          </cell>
          <cell r="AC102" t="str">
            <v>4QA</v>
          </cell>
          <cell r="AD102" t="str">
            <v>2005A</v>
          </cell>
          <cell r="AE102" t="str">
            <v>1QA</v>
          </cell>
          <cell r="AF102" t="str">
            <v>2QA</v>
          </cell>
          <cell r="AG102" t="str">
            <v>3QA</v>
          </cell>
          <cell r="AH102" t="str">
            <v>4QA</v>
          </cell>
          <cell r="AI102" t="str">
            <v>2006A</v>
          </cell>
          <cell r="AJ102" t="str">
            <v>1QA</v>
          </cell>
          <cell r="AK102" t="str">
            <v>2QA</v>
          </cell>
          <cell r="AL102" t="str">
            <v>3QA</v>
          </cell>
          <cell r="AM102" t="str">
            <v>4QA</v>
          </cell>
          <cell r="AN102" t="str">
            <v>2007A</v>
          </cell>
          <cell r="AO102" t="str">
            <v>1QA</v>
          </cell>
          <cell r="AP102" t="str">
            <v>2QA</v>
          </cell>
          <cell r="AQ102" t="str">
            <v>3QA</v>
          </cell>
          <cell r="AR102" t="str">
            <v>4QA</v>
          </cell>
          <cell r="AS102" t="str">
            <v>2008A</v>
          </cell>
          <cell r="AT102" t="str">
            <v>1QA</v>
          </cell>
          <cell r="AU102" t="str">
            <v>2QA</v>
          </cell>
          <cell r="AV102" t="str">
            <v>3QA</v>
          </cell>
          <cell r="AW102" t="str">
            <v>4QA</v>
          </cell>
          <cell r="AX102" t="str">
            <v>2009A</v>
          </cell>
          <cell r="AY102" t="str">
            <v>1QA</v>
          </cell>
          <cell r="AZ102" t="str">
            <v>2QA</v>
          </cell>
          <cell r="BA102" t="str">
            <v>3QA</v>
          </cell>
          <cell r="BB102" t="str">
            <v>4QA</v>
          </cell>
          <cell r="BC102" t="str">
            <v>2010A</v>
          </cell>
          <cell r="BD102" t="str">
            <v>1QA</v>
          </cell>
          <cell r="BE102" t="str">
            <v>2QA</v>
          </cell>
          <cell r="BF102" t="str">
            <v>3QA</v>
          </cell>
          <cell r="BG102" t="str">
            <v>4QA</v>
          </cell>
          <cell r="BH102" t="str">
            <v>2011A</v>
          </cell>
          <cell r="BI102" t="str">
            <v>1QA</v>
          </cell>
          <cell r="BJ102" t="str">
            <v>2QA</v>
          </cell>
          <cell r="BK102" t="str">
            <v>3QA</v>
          </cell>
          <cell r="BL102" t="str">
            <v>4QA</v>
          </cell>
          <cell r="BM102" t="str">
            <v>2012A</v>
          </cell>
          <cell r="BN102" t="str">
            <v>1QA</v>
          </cell>
          <cell r="BO102" t="str">
            <v>2QA</v>
          </cell>
          <cell r="BP102" t="str">
            <v>3QA</v>
          </cell>
          <cell r="BQ102" t="str">
            <v>4QE</v>
          </cell>
          <cell r="BR102" t="str">
            <v>2013E</v>
          </cell>
          <cell r="BS102" t="str">
            <v>1QE</v>
          </cell>
          <cell r="BT102" t="str">
            <v>2QE</v>
          </cell>
          <cell r="BU102" t="str">
            <v>3QE</v>
          </cell>
          <cell r="BV102" t="str">
            <v>4QE</v>
          </cell>
          <cell r="BW102" t="str">
            <v>2014E</v>
          </cell>
          <cell r="BX102" t="str">
            <v>1QE</v>
          </cell>
          <cell r="BY102" t="str">
            <v>2QE</v>
          </cell>
          <cell r="BZ102" t="str">
            <v>3QE</v>
          </cell>
          <cell r="CA102" t="str">
            <v>4QE</v>
          </cell>
          <cell r="CB102" t="str">
            <v>2015E</v>
          </cell>
          <cell r="CC102" t="str">
            <v>1QE</v>
          </cell>
          <cell r="CD102" t="str">
            <v>2QE</v>
          </cell>
          <cell r="CE102" t="str">
            <v>3QE</v>
          </cell>
          <cell r="CF102" t="str">
            <v>4QE</v>
          </cell>
          <cell r="CG102" t="str">
            <v>2016E</v>
          </cell>
        </row>
        <row r="103">
          <cell r="B103" t="str">
            <v>Assets</v>
          </cell>
        </row>
        <row r="104">
          <cell r="B104" t="str">
            <v>Cash and equivalents / securities</v>
          </cell>
          <cell r="X104">
            <v>29.636642999999999</v>
          </cell>
          <cell r="Y104">
            <v>29.636642999999999</v>
          </cell>
          <cell r="Z104">
            <v>12.148111999999999</v>
          </cell>
          <cell r="AA104">
            <v>10.270448</v>
          </cell>
          <cell r="AB104">
            <v>16.287365000000001</v>
          </cell>
          <cell r="AC104">
            <v>35.951931999999999</v>
          </cell>
          <cell r="AD104">
            <v>35.951931999999999</v>
          </cell>
          <cell r="AE104">
            <v>36.853735999999998</v>
          </cell>
          <cell r="AF104">
            <v>73.375029999999995</v>
          </cell>
          <cell r="AG104">
            <v>61.442382000000002</v>
          </cell>
          <cell r="AH104">
            <v>70.943380000000005</v>
          </cell>
          <cell r="AI104">
            <v>70.943380000000005</v>
          </cell>
          <cell r="AJ104">
            <v>76.966894999999994</v>
          </cell>
          <cell r="AK104">
            <v>74.695362000000003</v>
          </cell>
          <cell r="AL104">
            <v>81.113709</v>
          </cell>
          <cell r="AM104">
            <v>90.929000000000002</v>
          </cell>
          <cell r="AN104">
            <v>90.929000000000002</v>
          </cell>
          <cell r="AO104">
            <v>96.561999999999998</v>
          </cell>
          <cell r="AP104">
            <v>50.055</v>
          </cell>
          <cell r="AQ104">
            <v>51.59</v>
          </cell>
          <cell r="AR104">
            <v>67.715000000000003</v>
          </cell>
          <cell r="AS104">
            <v>67.715000000000003</v>
          </cell>
          <cell r="AT104">
            <v>79.97</v>
          </cell>
          <cell r="AU104">
            <v>96.634</v>
          </cell>
          <cell r="AV104">
            <v>319.52199999999999</v>
          </cell>
          <cell r="AW104">
            <v>304.37</v>
          </cell>
          <cell r="AX104">
            <v>304.37</v>
          </cell>
          <cell r="AY104">
            <v>313.24099999999999</v>
          </cell>
          <cell r="AZ104">
            <v>352.62400000000002</v>
          </cell>
          <cell r="BA104">
            <v>379.06099999999998</v>
          </cell>
          <cell r="BB104">
            <v>321.28399999999999</v>
          </cell>
          <cell r="BC104">
            <v>321.28399999999999</v>
          </cell>
          <cell r="BD104">
            <v>325.92899999999997</v>
          </cell>
          <cell r="BE104">
            <v>319.70699999999999</v>
          </cell>
          <cell r="BF104">
            <v>405.11099999999999</v>
          </cell>
          <cell r="BG104">
            <v>341.38200000000001</v>
          </cell>
          <cell r="BH104">
            <v>341.38200000000001</v>
          </cell>
          <cell r="BI104">
            <v>259.43700000000001</v>
          </cell>
          <cell r="BJ104">
            <v>798.92100000000005</v>
          </cell>
          <cell r="BK104">
            <v>393.03199999999998</v>
          </cell>
          <cell r="BL104">
            <v>370.77600000000001</v>
          </cell>
          <cell r="BM104">
            <v>370.77600000000001</v>
          </cell>
          <cell r="BN104">
            <v>311.35599999999999</v>
          </cell>
          <cell r="BO104">
            <v>373.58800000000002</v>
          </cell>
          <cell r="BP104">
            <v>436.22699999999998</v>
          </cell>
          <cell r="BQ104">
            <v>498.77193839708968</v>
          </cell>
          <cell r="BR104">
            <v>498.77193839708968</v>
          </cell>
          <cell r="BS104">
            <v>580.24371118245358</v>
          </cell>
          <cell r="BT104">
            <v>650.19627504649407</v>
          </cell>
          <cell r="BU104">
            <v>841.71724560055429</v>
          </cell>
          <cell r="BV104">
            <v>886.0369095239032</v>
          </cell>
          <cell r="BW104">
            <v>886.0369095239032</v>
          </cell>
          <cell r="BX104">
            <v>1179.8397721209667</v>
          </cell>
          <cell r="BY104">
            <v>1258.7390944666636</v>
          </cell>
          <cell r="BZ104">
            <v>1467.4582753305813</v>
          </cell>
          <cell r="CA104">
            <v>1518.1523737455232</v>
          </cell>
          <cell r="CB104">
            <v>1518.1523737455232</v>
          </cell>
          <cell r="CC104">
            <v>1992.9059835500325</v>
          </cell>
          <cell r="CD104">
            <v>2096.4457229167401</v>
          </cell>
          <cell r="CE104">
            <v>2370.8344416585041</v>
          </cell>
          <cell r="CF104">
            <v>2436.5907965373531</v>
          </cell>
          <cell r="CG104">
            <v>2436.5907965373531</v>
          </cell>
        </row>
        <row r="105">
          <cell r="B105" t="str">
            <v>Restricted cash</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17.454999999999998</v>
          </cell>
          <cell r="AQ105">
            <v>17.79</v>
          </cell>
          <cell r="AR105">
            <v>12.497999999999999</v>
          </cell>
          <cell r="AS105">
            <v>12.497999999999999</v>
          </cell>
          <cell r="AT105">
            <v>13.628</v>
          </cell>
          <cell r="AU105">
            <v>14.135</v>
          </cell>
          <cell r="AV105">
            <v>12.433</v>
          </cell>
          <cell r="AW105">
            <v>14.169</v>
          </cell>
          <cell r="AX105">
            <v>14.169</v>
          </cell>
          <cell r="AY105">
            <v>14.305</v>
          </cell>
          <cell r="AZ105">
            <v>14.321</v>
          </cell>
          <cell r="BA105">
            <v>14.331</v>
          </cell>
          <cell r="BB105">
            <v>13.79</v>
          </cell>
          <cell r="BC105">
            <v>13.79</v>
          </cell>
          <cell r="BD105">
            <v>13.802</v>
          </cell>
          <cell r="BE105">
            <v>14.962</v>
          </cell>
          <cell r="BF105">
            <v>14.971</v>
          </cell>
          <cell r="BG105">
            <v>12.016999999999999</v>
          </cell>
          <cell r="BH105">
            <v>12.016999999999999</v>
          </cell>
          <cell r="BI105">
            <v>12.682</v>
          </cell>
          <cell r="BJ105">
            <v>12.587999999999999</v>
          </cell>
          <cell r="BK105">
            <v>52.389000000000003</v>
          </cell>
          <cell r="BL105">
            <v>52.421999999999997</v>
          </cell>
          <cell r="BM105">
            <v>52.421999999999997</v>
          </cell>
          <cell r="BN105">
            <v>32.191000000000003</v>
          </cell>
          <cell r="BO105">
            <v>32.186999999999998</v>
          </cell>
          <cell r="BP105">
            <v>32.219000000000001</v>
          </cell>
          <cell r="BQ105">
            <v>32.219000000000001</v>
          </cell>
          <cell r="BR105">
            <v>32.219000000000001</v>
          </cell>
          <cell r="BS105">
            <v>32.219000000000001</v>
          </cell>
          <cell r="BT105">
            <v>32.219000000000001</v>
          </cell>
          <cell r="BU105">
            <v>32.219000000000001</v>
          </cell>
          <cell r="BV105">
            <v>32.219000000000001</v>
          </cell>
          <cell r="BW105">
            <v>32.219000000000001</v>
          </cell>
          <cell r="BX105">
            <v>32.219000000000001</v>
          </cell>
          <cell r="BY105">
            <v>32.219000000000001</v>
          </cell>
          <cell r="BZ105">
            <v>32.219000000000001</v>
          </cell>
          <cell r="CA105">
            <v>32.219000000000001</v>
          </cell>
          <cell r="CB105">
            <v>32.219000000000001</v>
          </cell>
          <cell r="CC105">
            <v>32.223999999999997</v>
          </cell>
          <cell r="CD105">
            <v>32.223999999999997</v>
          </cell>
          <cell r="CE105">
            <v>32.223999999999997</v>
          </cell>
          <cell r="CF105">
            <v>32.223999999999997</v>
          </cell>
          <cell r="CG105">
            <v>32.223999999999997</v>
          </cell>
        </row>
        <row r="106">
          <cell r="B106" t="str">
            <v>Short term investments</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4.6390000000000002</v>
          </cell>
          <cell r="AX106">
            <v>4.6390000000000002</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row>
        <row r="107">
          <cell r="B107" t="str">
            <v>Accounts receivable</v>
          </cell>
          <cell r="Y107">
            <v>8.6414030000000004</v>
          </cell>
          <cell r="Z107">
            <v>7.8424290000000001</v>
          </cell>
          <cell r="AA107">
            <v>9.1687729999999998</v>
          </cell>
          <cell r="AB107">
            <v>9.3332119999999996</v>
          </cell>
          <cell r="AC107">
            <v>8.6498010000000001</v>
          </cell>
          <cell r="AD107">
            <v>8.6498010000000001</v>
          </cell>
          <cell r="AE107">
            <v>13.550433</v>
          </cell>
          <cell r="AF107">
            <v>13.044561</v>
          </cell>
          <cell r="AG107">
            <v>14.038396000000001</v>
          </cell>
          <cell r="AH107">
            <v>14.311572999999999</v>
          </cell>
          <cell r="AI107">
            <v>14.311572999999999</v>
          </cell>
          <cell r="AJ107">
            <v>15.72236</v>
          </cell>
          <cell r="AK107">
            <v>14.487845</v>
          </cell>
          <cell r="AL107">
            <v>18.193742</v>
          </cell>
          <cell r="AM107">
            <v>17.989999999999998</v>
          </cell>
          <cell r="AN107">
            <v>17.989999999999998</v>
          </cell>
          <cell r="AO107">
            <v>16.78</v>
          </cell>
          <cell r="AP107">
            <v>75.540999999999997</v>
          </cell>
          <cell r="AQ107">
            <v>80.510999999999996</v>
          </cell>
          <cell r="AR107">
            <v>80.531000000000006</v>
          </cell>
          <cell r="AS107">
            <v>80.531000000000006</v>
          </cell>
          <cell r="AT107">
            <v>84.379000000000005</v>
          </cell>
          <cell r="AU107">
            <v>81.013000000000005</v>
          </cell>
          <cell r="AV107">
            <v>90.082999999999998</v>
          </cell>
          <cell r="AW107">
            <v>97.33</v>
          </cell>
          <cell r="AX107">
            <v>97.33</v>
          </cell>
          <cell r="AY107">
            <v>108.60899999999999</v>
          </cell>
          <cell r="AZ107">
            <v>103.938</v>
          </cell>
          <cell r="BA107">
            <v>110.51900000000001</v>
          </cell>
          <cell r="BB107">
            <v>122.175</v>
          </cell>
          <cell r="BC107">
            <v>122.175</v>
          </cell>
          <cell r="BD107">
            <v>200.49299999999999</v>
          </cell>
          <cell r="BE107">
            <v>227.06399999999999</v>
          </cell>
          <cell r="BF107">
            <v>217.791</v>
          </cell>
          <cell r="BG107">
            <v>240.42500000000001</v>
          </cell>
          <cell r="BH107">
            <v>240.42500000000001</v>
          </cell>
          <cell r="BI107">
            <v>292.471</v>
          </cell>
          <cell r="BJ107">
            <v>288.12099999999998</v>
          </cell>
          <cell r="BK107">
            <v>676.11099999999999</v>
          </cell>
          <cell r="BL107">
            <v>725.80899999999997</v>
          </cell>
          <cell r="BM107">
            <v>725.80899999999997</v>
          </cell>
          <cell r="BN107">
            <v>727.46199999999999</v>
          </cell>
          <cell r="BO107">
            <v>749.30799999999999</v>
          </cell>
          <cell r="BP107">
            <v>847.92399999999998</v>
          </cell>
          <cell r="BQ107">
            <v>907.90540851608148</v>
          </cell>
          <cell r="BR107">
            <v>907.90540851608148</v>
          </cell>
          <cell r="BS107">
            <v>1110.4620205788046</v>
          </cell>
          <cell r="BT107">
            <v>1273.8566134158498</v>
          </cell>
          <cell r="BU107">
            <v>1279.993368547712</v>
          </cell>
          <cell r="BV107">
            <v>1397.3701877452213</v>
          </cell>
          <cell r="BW107">
            <v>1397.3701877452213</v>
          </cell>
          <cell r="BX107">
            <v>1209.2637666653911</v>
          </cell>
          <cell r="BY107">
            <v>1417.1094721249779</v>
          </cell>
          <cell r="BZ107">
            <v>1459.0714258564565</v>
          </cell>
          <cell r="CA107">
            <v>1592.7504818521716</v>
          </cell>
          <cell r="CB107">
            <v>1592.7504818521716</v>
          </cell>
          <cell r="CC107">
            <v>1376.1928421825121</v>
          </cell>
          <cell r="CD107">
            <v>1542.3932030700234</v>
          </cell>
          <cell r="CE107">
            <v>1573.0802645849376</v>
          </cell>
          <cell r="CF107">
            <v>1575.5649667189366</v>
          </cell>
          <cell r="CG107">
            <v>1575.5649667189366</v>
          </cell>
        </row>
        <row r="108">
          <cell r="B108" t="str">
            <v>Rebates receivable</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26.05</v>
          </cell>
          <cell r="AQ108">
            <v>24.186</v>
          </cell>
          <cell r="AR108">
            <v>29.585999999999999</v>
          </cell>
          <cell r="AS108">
            <v>29.585999999999999</v>
          </cell>
          <cell r="AT108">
            <v>23.887</v>
          </cell>
          <cell r="AU108">
            <v>22.512</v>
          </cell>
          <cell r="AV108">
            <v>20.577000000000002</v>
          </cell>
          <cell r="AW108">
            <v>17.63</v>
          </cell>
          <cell r="AX108">
            <v>17.63</v>
          </cell>
          <cell r="AY108">
            <v>32.130000000000003</v>
          </cell>
          <cell r="AZ108">
            <v>34.930999999999997</v>
          </cell>
          <cell r="BA108">
            <v>38.088999999999999</v>
          </cell>
          <cell r="BB108">
            <v>34.249000000000002</v>
          </cell>
          <cell r="BC108">
            <v>34.249000000000002</v>
          </cell>
          <cell r="BD108">
            <v>33.927</v>
          </cell>
          <cell r="BE108">
            <v>37.456000000000003</v>
          </cell>
          <cell r="BF108">
            <v>32.439</v>
          </cell>
          <cell r="BG108">
            <v>33.834000000000003</v>
          </cell>
          <cell r="BH108">
            <v>33.834000000000003</v>
          </cell>
          <cell r="BI108">
            <v>46.97</v>
          </cell>
          <cell r="BJ108">
            <v>79.311999999999998</v>
          </cell>
          <cell r="BK108">
            <v>248.215</v>
          </cell>
          <cell r="BL108">
            <v>302.46100000000001</v>
          </cell>
          <cell r="BM108">
            <v>302.46100000000001</v>
          </cell>
          <cell r="BN108">
            <v>316.86599999999999</v>
          </cell>
          <cell r="BO108">
            <v>283.89999999999998</v>
          </cell>
          <cell r="BP108">
            <v>291.18200000000002</v>
          </cell>
          <cell r="BQ108">
            <v>311.6052376176919</v>
          </cell>
          <cell r="BR108">
            <v>311.6052376176919</v>
          </cell>
          <cell r="BS108">
            <v>344.28737315185811</v>
          </cell>
          <cell r="BT108">
            <v>395.13859443426071</v>
          </cell>
          <cell r="BU108">
            <v>397.29542290626989</v>
          </cell>
          <cell r="BV108">
            <v>433.70028981469579</v>
          </cell>
          <cell r="BW108">
            <v>433.70028981469579</v>
          </cell>
          <cell r="BX108">
            <v>374.64050989129385</v>
          </cell>
          <cell r="BY108">
            <v>439.32442119178819</v>
          </cell>
          <cell r="BZ108">
            <v>452.69772660731383</v>
          </cell>
          <cell r="CA108">
            <v>494.14361917694299</v>
          </cell>
          <cell r="CB108">
            <v>494.14361917694299</v>
          </cell>
          <cell r="CC108">
            <v>949.54654769412912</v>
          </cell>
          <cell r="CD108">
            <v>1064.7755498758752</v>
          </cell>
          <cell r="CE108">
            <v>1086.4077737168057</v>
          </cell>
          <cell r="CF108">
            <v>1087.2115470819174</v>
          </cell>
          <cell r="CG108">
            <v>1087.2115470819174</v>
          </cell>
        </row>
        <row r="109">
          <cell r="B109" t="str">
            <v>Prepaid expenses and other assets</v>
          </cell>
          <cell r="Y109">
            <v>0.80461400000000005</v>
          </cell>
          <cell r="Z109">
            <v>0.84108300000000003</v>
          </cell>
          <cell r="AA109">
            <v>1.154331</v>
          </cell>
          <cell r="AB109">
            <v>1.3462689999999999</v>
          </cell>
          <cell r="AC109">
            <v>2.1934149999999999</v>
          </cell>
          <cell r="AD109">
            <v>2.1934149999999999</v>
          </cell>
          <cell r="AE109">
            <v>2.3606210000000001</v>
          </cell>
          <cell r="AF109">
            <v>3.1153940000000002</v>
          </cell>
          <cell r="AG109">
            <v>3.9392899999999997</v>
          </cell>
          <cell r="AH109">
            <v>4.0020129999999998</v>
          </cell>
          <cell r="AI109">
            <v>4.0020129999999998</v>
          </cell>
          <cell r="AJ109">
            <v>4.076918</v>
          </cell>
          <cell r="AK109">
            <v>3.7188300000000001</v>
          </cell>
          <cell r="AL109">
            <v>3.3053509999999999</v>
          </cell>
          <cell r="AM109">
            <v>3.556</v>
          </cell>
          <cell r="AN109">
            <v>3.556</v>
          </cell>
          <cell r="AO109">
            <v>3.8449999999999998</v>
          </cell>
          <cell r="AP109">
            <v>4.2610000000000001</v>
          </cell>
          <cell r="AQ109">
            <v>4.6660000000000004</v>
          </cell>
          <cell r="AR109">
            <v>4.4550000000000001</v>
          </cell>
          <cell r="AS109">
            <v>4.4550000000000001</v>
          </cell>
          <cell r="AT109">
            <v>4.8040000000000003</v>
          </cell>
          <cell r="AU109">
            <v>5.58</v>
          </cell>
          <cell r="AV109">
            <v>4.718</v>
          </cell>
          <cell r="AW109">
            <v>4.4829999999999997</v>
          </cell>
          <cell r="AX109">
            <v>4.4829999999999997</v>
          </cell>
          <cell r="AY109">
            <v>4.641</v>
          </cell>
          <cell r="AZ109">
            <v>6.0529999999999999</v>
          </cell>
          <cell r="BA109">
            <v>5.8330000000000002</v>
          </cell>
          <cell r="BB109">
            <v>4.8879999999999999</v>
          </cell>
          <cell r="BC109">
            <v>4.8879999999999999</v>
          </cell>
          <cell r="BD109">
            <v>5.6710000000000003</v>
          </cell>
          <cell r="BE109">
            <v>7.8869999999999996</v>
          </cell>
          <cell r="BF109">
            <v>6.6760000000000002</v>
          </cell>
          <cell r="BG109">
            <v>6.4089999999999998</v>
          </cell>
          <cell r="BH109">
            <v>6.4089999999999998</v>
          </cell>
          <cell r="BI109">
            <v>7.7649999999999997</v>
          </cell>
          <cell r="BJ109">
            <v>8.5530000000000008</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row>
        <row r="110">
          <cell r="B110" t="str">
            <v>Inventory</v>
          </cell>
          <cell r="Y110">
            <v>0.193631</v>
          </cell>
          <cell r="Z110">
            <v>0.32592900000000002</v>
          </cell>
          <cell r="AA110">
            <v>0.44139099999999998</v>
          </cell>
          <cell r="AB110">
            <v>0.54460699999999995</v>
          </cell>
          <cell r="AC110">
            <v>0.43767400000000001</v>
          </cell>
          <cell r="AD110">
            <v>0.43767400000000001</v>
          </cell>
          <cell r="AE110">
            <v>0.42355300000000001</v>
          </cell>
          <cell r="AF110">
            <v>0.35323500000000002</v>
          </cell>
          <cell r="AG110">
            <v>0.24757799999999999</v>
          </cell>
          <cell r="AH110">
            <v>0.26023400000000002</v>
          </cell>
          <cell r="AI110">
            <v>0.26023400000000002</v>
          </cell>
          <cell r="AJ110">
            <v>0.28324199999999999</v>
          </cell>
          <cell r="AK110">
            <v>0.26628600000000002</v>
          </cell>
          <cell r="AL110">
            <v>0.28215200000000001</v>
          </cell>
          <cell r="AM110">
            <v>0.24199999999999999</v>
          </cell>
          <cell r="AN110">
            <v>0.24199999999999999</v>
          </cell>
          <cell r="AO110">
            <v>0.25700000000000001</v>
          </cell>
          <cell r="AP110">
            <v>6.87</v>
          </cell>
          <cell r="AQ110">
            <v>6.7770000000000001</v>
          </cell>
          <cell r="AR110">
            <v>6.6890000000000001</v>
          </cell>
          <cell r="AS110">
            <v>6.6890000000000001</v>
          </cell>
          <cell r="AT110">
            <v>6.032</v>
          </cell>
          <cell r="AU110">
            <v>6.1079999999999997</v>
          </cell>
          <cell r="AV110">
            <v>7.0229999999999997</v>
          </cell>
          <cell r="AW110">
            <v>7.1059999999999999</v>
          </cell>
          <cell r="AX110">
            <v>7.1059999999999999</v>
          </cell>
          <cell r="AY110">
            <v>8.2390000000000008</v>
          </cell>
          <cell r="AZ110">
            <v>8.2279999999999998</v>
          </cell>
          <cell r="BA110">
            <v>7.931</v>
          </cell>
          <cell r="BB110">
            <v>8.7360000000000007</v>
          </cell>
          <cell r="BC110">
            <v>8.7360000000000007</v>
          </cell>
          <cell r="BD110">
            <v>10.919</v>
          </cell>
          <cell r="BE110">
            <v>12.223000000000001</v>
          </cell>
          <cell r="BF110">
            <v>15.222</v>
          </cell>
          <cell r="BG110">
            <v>19.553999999999998</v>
          </cell>
          <cell r="BH110">
            <v>19.553999999999998</v>
          </cell>
          <cell r="BI110">
            <v>21.469000000000001</v>
          </cell>
          <cell r="BJ110">
            <v>23.039000000000001</v>
          </cell>
          <cell r="BK110">
            <v>23.392724379461566</v>
          </cell>
          <cell r="BL110">
            <v>24.238545065147797</v>
          </cell>
          <cell r="BM110">
            <v>24.238545065147797</v>
          </cell>
          <cell r="BN110">
            <v>39.883054384730372</v>
          </cell>
          <cell r="BO110">
            <v>42.328204357469453</v>
          </cell>
          <cell r="BP110">
            <v>44.696601651753348</v>
          </cell>
          <cell r="BQ110">
            <v>48.001247428748897</v>
          </cell>
          <cell r="BR110">
            <v>48.001247428748897</v>
          </cell>
          <cell r="BS110">
            <v>53.063391300182019</v>
          </cell>
          <cell r="BT110">
            <v>60.749614517579239</v>
          </cell>
          <cell r="BU110">
            <v>61.317736829124868</v>
          </cell>
          <cell r="BV110">
            <v>66.534327675839364</v>
          </cell>
          <cell r="BW110">
            <v>66.534327675839364</v>
          </cell>
          <cell r="BX110">
            <v>56.82200584620491</v>
          </cell>
          <cell r="BY110">
            <v>66.548228877791914</v>
          </cell>
          <cell r="BZ110">
            <v>68.945183113770668</v>
          </cell>
          <cell r="CA110">
            <v>74.775503558745484</v>
          </cell>
          <cell r="CB110">
            <v>74.775503558745484</v>
          </cell>
          <cell r="CC110">
            <v>72.288151839153556</v>
          </cell>
          <cell r="CD110">
            <v>81.126070842534247</v>
          </cell>
          <cell r="CE110">
            <v>83.254374412642676</v>
          </cell>
          <cell r="CF110">
            <v>83.080698665615628</v>
          </cell>
          <cell r="CG110">
            <v>83.080698665615628</v>
          </cell>
        </row>
        <row r="111">
          <cell r="B111" t="str">
            <v>Income tax recoverable</v>
          </cell>
          <cell r="Y111">
            <v>0</v>
          </cell>
          <cell r="Z111">
            <v>0</v>
          </cell>
          <cell r="AA111">
            <v>0</v>
          </cell>
          <cell r="AB111">
            <v>0</v>
          </cell>
          <cell r="AC111">
            <v>0</v>
          </cell>
          <cell r="AD111">
            <v>0</v>
          </cell>
          <cell r="AE111">
            <v>0</v>
          </cell>
          <cell r="AF111">
            <v>0</v>
          </cell>
          <cell r="AG111">
            <v>0</v>
          </cell>
          <cell r="AH111">
            <v>0</v>
          </cell>
          <cell r="AI111">
            <v>0</v>
          </cell>
          <cell r="AJ111">
            <v>0</v>
          </cell>
          <cell r="AK111">
            <v>0.73785299999999998</v>
          </cell>
          <cell r="AL111">
            <v>0</v>
          </cell>
          <cell r="AM111">
            <v>1.073</v>
          </cell>
          <cell r="AN111">
            <v>1.073</v>
          </cell>
          <cell r="AO111">
            <v>7.6999999999999999E-2</v>
          </cell>
          <cell r="AP111">
            <v>1.0640000000000001</v>
          </cell>
          <cell r="AQ111">
            <v>0.51900000000000002</v>
          </cell>
          <cell r="AR111">
            <v>1.4590000000000001</v>
          </cell>
          <cell r="AS111">
            <v>1.4590000000000001</v>
          </cell>
          <cell r="AT111">
            <v>2.9329999999999998</v>
          </cell>
          <cell r="AU111">
            <v>1.327</v>
          </cell>
          <cell r="AV111">
            <v>0</v>
          </cell>
          <cell r="AW111">
            <v>0.34499999999999997</v>
          </cell>
          <cell r="AX111">
            <v>0.34499999999999997</v>
          </cell>
          <cell r="AY111">
            <v>1.6060000000000001</v>
          </cell>
          <cell r="AZ111">
            <v>0</v>
          </cell>
          <cell r="BA111">
            <v>0</v>
          </cell>
          <cell r="BB111">
            <v>5.2850000000000001</v>
          </cell>
          <cell r="BC111">
            <v>5.2850000000000001</v>
          </cell>
          <cell r="BD111">
            <v>0.92300000000000004</v>
          </cell>
          <cell r="BE111">
            <v>2.6419999999999999</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row>
        <row r="112">
          <cell r="B112" t="str">
            <v>Deferred tax asset</v>
          </cell>
          <cell r="Y112">
            <v>0</v>
          </cell>
          <cell r="Z112">
            <v>0</v>
          </cell>
          <cell r="AA112">
            <v>0</v>
          </cell>
          <cell r="AB112">
            <v>0</v>
          </cell>
          <cell r="AC112">
            <v>0.32</v>
          </cell>
          <cell r="AD112">
            <v>0.32</v>
          </cell>
          <cell r="AE112">
            <v>0.80680499999999999</v>
          </cell>
          <cell r="AF112">
            <v>0.74814499999999995</v>
          </cell>
          <cell r="AG112">
            <v>2.9940999999999999E-2</v>
          </cell>
          <cell r="AH112">
            <v>2.3599030000000001</v>
          </cell>
          <cell r="AI112">
            <v>2.3599030000000001</v>
          </cell>
          <cell r="AJ112">
            <v>2.1455320000000002</v>
          </cell>
          <cell r="AK112">
            <v>3.0839470000000002</v>
          </cell>
          <cell r="AL112">
            <v>2.3724690000000002</v>
          </cell>
          <cell r="AM112">
            <v>3.246</v>
          </cell>
          <cell r="AN112">
            <v>3.246</v>
          </cell>
          <cell r="AO112">
            <v>2.657</v>
          </cell>
          <cell r="AP112">
            <v>4.0910000000000002</v>
          </cell>
          <cell r="AQ112">
            <v>4.1360000000000001</v>
          </cell>
          <cell r="AR112">
            <v>10.218999999999999</v>
          </cell>
          <cell r="AS112">
            <v>10.218999999999999</v>
          </cell>
          <cell r="AT112">
            <v>8.5459999999999994</v>
          </cell>
          <cell r="AU112">
            <v>8.2089999999999996</v>
          </cell>
          <cell r="AV112">
            <v>9.9190000000000005</v>
          </cell>
          <cell r="AW112">
            <v>9.875</v>
          </cell>
          <cell r="AX112">
            <v>9.875</v>
          </cell>
          <cell r="AY112">
            <v>8.0310000000000006</v>
          </cell>
          <cell r="AZ112">
            <v>6.3579999999999997</v>
          </cell>
          <cell r="BA112">
            <v>6.6509999999999998</v>
          </cell>
          <cell r="BB112">
            <v>6.6470000000000002</v>
          </cell>
          <cell r="BC112">
            <v>6.6470000000000002</v>
          </cell>
          <cell r="BD112">
            <v>6.3490000000000002</v>
          </cell>
          <cell r="BE112">
            <v>5.4749999999999996</v>
          </cell>
          <cell r="BF112">
            <v>5.5830000000000002</v>
          </cell>
          <cell r="BG112">
            <v>9.6419999999999995</v>
          </cell>
          <cell r="BH112">
            <v>9.6419999999999995</v>
          </cell>
          <cell r="BI112">
            <v>8.5259999999999998</v>
          </cell>
          <cell r="BJ112">
            <v>7.694</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row>
        <row r="113">
          <cell r="B113" t="str">
            <v>Other</v>
          </cell>
          <cell r="Y113">
            <v>0</v>
          </cell>
          <cell r="Z113">
            <v>0</v>
          </cell>
          <cell r="AA113">
            <v>0</v>
          </cell>
          <cell r="AB113">
            <v>0</v>
          </cell>
          <cell r="AC113">
            <v>0</v>
          </cell>
          <cell r="AD113">
            <v>0</v>
          </cell>
          <cell r="AE113">
            <v>0</v>
          </cell>
          <cell r="AF113">
            <v>0</v>
          </cell>
          <cell r="AG113">
            <v>0</v>
          </cell>
          <cell r="AH113">
            <v>0</v>
          </cell>
          <cell r="AI113">
            <v>0</v>
          </cell>
          <cell r="AJ113">
            <v>0</v>
          </cell>
          <cell r="AK113">
            <v>2.7E-2</v>
          </cell>
          <cell r="AL113">
            <v>2.3893339999999998</v>
          </cell>
          <cell r="AM113">
            <v>0</v>
          </cell>
          <cell r="AO113">
            <v>0</v>
          </cell>
          <cell r="AP113">
            <v>0</v>
          </cell>
          <cell r="AQ113">
            <v>0</v>
          </cell>
          <cell r="AR113">
            <v>0</v>
          </cell>
          <cell r="AT113">
            <v>0</v>
          </cell>
          <cell r="AU113">
            <v>0</v>
          </cell>
          <cell r="AV113">
            <v>0</v>
          </cell>
          <cell r="AW113">
            <v>0</v>
          </cell>
          <cell r="AY113">
            <v>0</v>
          </cell>
          <cell r="AZ113">
            <v>0</v>
          </cell>
          <cell r="BA113">
            <v>0</v>
          </cell>
          <cell r="BB113">
            <v>0</v>
          </cell>
          <cell r="BD113">
            <v>0</v>
          </cell>
          <cell r="BE113">
            <v>0</v>
          </cell>
          <cell r="BF113">
            <v>0</v>
          </cell>
          <cell r="BG113">
            <v>0</v>
          </cell>
          <cell r="BH113">
            <v>0</v>
          </cell>
          <cell r="BI113">
            <v>0</v>
          </cell>
          <cell r="BJ113">
            <v>0</v>
          </cell>
          <cell r="BK113">
            <v>116.98327562053844</v>
          </cell>
          <cell r="BL113">
            <v>77.072454934852203</v>
          </cell>
          <cell r="BM113">
            <v>77.072454934852203</v>
          </cell>
          <cell r="BN113">
            <v>71.750945615269629</v>
          </cell>
          <cell r="BO113">
            <v>71.750945615269629</v>
          </cell>
          <cell r="BP113">
            <v>71.750945615269629</v>
          </cell>
          <cell r="BQ113">
            <v>71.750945615269629</v>
          </cell>
          <cell r="BR113">
            <v>71.750945615269629</v>
          </cell>
          <cell r="BS113">
            <v>71.750945615269629</v>
          </cell>
          <cell r="BT113">
            <v>71.750945615269629</v>
          </cell>
          <cell r="BU113">
            <v>71.750945615269629</v>
          </cell>
          <cell r="BV113">
            <v>71.750945615269629</v>
          </cell>
          <cell r="BW113">
            <v>71.750945615269629</v>
          </cell>
          <cell r="BX113">
            <v>71.750945615269629</v>
          </cell>
          <cell r="BY113">
            <v>71.750945615269629</v>
          </cell>
          <cell r="BZ113">
            <v>71.750945615269629</v>
          </cell>
          <cell r="CA113">
            <v>71.750945615269629</v>
          </cell>
          <cell r="CB113">
            <v>71.750945615269629</v>
          </cell>
          <cell r="CC113">
            <v>151.48414323077321</v>
          </cell>
          <cell r="CD113">
            <v>151.48414323077321</v>
          </cell>
          <cell r="CE113">
            <v>151.48414323077321</v>
          </cell>
          <cell r="CF113">
            <v>151.48414323077321</v>
          </cell>
          <cell r="CG113">
            <v>151.48414323077321</v>
          </cell>
        </row>
        <row r="114">
          <cell r="B114" t="str">
            <v>Other</v>
          </cell>
          <cell r="Y114">
            <v>0</v>
          </cell>
          <cell r="Z114">
            <v>0</v>
          </cell>
          <cell r="AA114">
            <v>0</v>
          </cell>
          <cell r="AB114">
            <v>0</v>
          </cell>
          <cell r="AC114">
            <v>0.32</v>
          </cell>
          <cell r="AD114">
            <v>0.32</v>
          </cell>
          <cell r="AE114">
            <v>0.80680499999999999</v>
          </cell>
          <cell r="AF114">
            <v>0.74814499999999995</v>
          </cell>
          <cell r="AG114">
            <v>2.9940999999999999E-2</v>
          </cell>
          <cell r="AH114">
            <v>2.3599030000000001</v>
          </cell>
          <cell r="AI114">
            <v>2.3599030000000001</v>
          </cell>
          <cell r="AJ114">
            <v>2.1455320000000002</v>
          </cell>
          <cell r="AK114">
            <v>3.8488000000000002</v>
          </cell>
          <cell r="AL114">
            <v>4.7618030000000005</v>
          </cell>
          <cell r="AM114">
            <v>4.319</v>
          </cell>
          <cell r="AN114">
            <v>4.319</v>
          </cell>
          <cell r="AO114">
            <v>2.734</v>
          </cell>
          <cell r="AP114">
            <v>5.1550000000000002</v>
          </cell>
          <cell r="AQ114">
            <v>4.6550000000000002</v>
          </cell>
          <cell r="AR114">
            <v>11.677999999999999</v>
          </cell>
          <cell r="AS114">
            <v>11.677999999999999</v>
          </cell>
          <cell r="AT114">
            <v>11.478999999999999</v>
          </cell>
          <cell r="AU114">
            <v>9.5359999999999996</v>
          </cell>
          <cell r="AV114">
            <v>9.9190000000000005</v>
          </cell>
          <cell r="AW114">
            <v>10.220000000000001</v>
          </cell>
          <cell r="AX114">
            <v>10.220000000000001</v>
          </cell>
          <cell r="AY114">
            <v>9.6370000000000005</v>
          </cell>
          <cell r="AZ114">
            <v>6.3579999999999997</v>
          </cell>
          <cell r="BA114">
            <v>6.6509999999999998</v>
          </cell>
          <cell r="BB114">
            <v>11.932</v>
          </cell>
          <cell r="BC114">
            <v>11.932</v>
          </cell>
          <cell r="BD114">
            <v>7.2720000000000002</v>
          </cell>
          <cell r="BE114">
            <v>8.1169999999999991</v>
          </cell>
          <cell r="BF114">
            <v>5.5830000000000002</v>
          </cell>
          <cell r="BG114">
            <v>9.6419999999999995</v>
          </cell>
          <cell r="BH114">
            <v>9.6419999999999995</v>
          </cell>
          <cell r="BI114">
            <v>8.5259999999999998</v>
          </cell>
          <cell r="BJ114">
            <v>7.694</v>
          </cell>
          <cell r="BK114">
            <v>140.376</v>
          </cell>
          <cell r="BL114">
            <v>101.31100000000001</v>
          </cell>
          <cell r="BM114">
            <v>77.072454934852203</v>
          </cell>
          <cell r="BN114">
            <v>111.634</v>
          </cell>
          <cell r="BO114">
            <v>106.721</v>
          </cell>
          <cell r="BP114">
            <v>113.78400000000001</v>
          </cell>
          <cell r="BQ114">
            <v>119.75219304401853</v>
          </cell>
          <cell r="BR114">
            <v>71.750945615269629</v>
          </cell>
          <cell r="BS114">
            <v>124.81433691545165</v>
          </cell>
          <cell r="BT114">
            <v>132.50056013284888</v>
          </cell>
          <cell r="BU114">
            <v>133.06868244439448</v>
          </cell>
          <cell r="BV114">
            <v>138.28527329110898</v>
          </cell>
          <cell r="BW114">
            <v>71.750945615269629</v>
          </cell>
          <cell r="BX114">
            <v>128.57295146147453</v>
          </cell>
          <cell r="BY114">
            <v>138.29917449306154</v>
          </cell>
          <cell r="BZ114">
            <v>140.69612872904031</v>
          </cell>
          <cell r="CA114">
            <v>146.52644917401511</v>
          </cell>
          <cell r="CB114">
            <v>71.750945615269629</v>
          </cell>
          <cell r="CC114">
            <v>223.77229506992677</v>
          </cell>
          <cell r="CD114">
            <v>232.61021407330747</v>
          </cell>
          <cell r="CE114">
            <v>234.73851764341589</v>
          </cell>
          <cell r="CF114">
            <v>234.56484189638883</v>
          </cell>
          <cell r="CG114">
            <v>151.48414323077321</v>
          </cell>
        </row>
        <row r="116">
          <cell r="B116" t="str">
            <v>PPE</v>
          </cell>
          <cell r="Y116">
            <v>4.1904630000000003</v>
          </cell>
          <cell r="Z116">
            <v>4.3725310000000004</v>
          </cell>
          <cell r="AA116">
            <v>3.2484549999999999</v>
          </cell>
          <cell r="AB116">
            <v>3.0461499999999999</v>
          </cell>
          <cell r="AC116">
            <v>3.7779539999999998</v>
          </cell>
          <cell r="AD116">
            <v>3.7779539999999998</v>
          </cell>
          <cell r="AE116">
            <v>4.6637130000000004</v>
          </cell>
          <cell r="AF116">
            <v>5.9474640000000001</v>
          </cell>
          <cell r="AG116">
            <v>6.5375899999999998</v>
          </cell>
          <cell r="AH116">
            <v>10.113858</v>
          </cell>
          <cell r="AI116">
            <v>10.113858</v>
          </cell>
          <cell r="AJ116">
            <v>13.922038000000001</v>
          </cell>
          <cell r="AK116">
            <v>14.25188</v>
          </cell>
          <cell r="AL116">
            <v>13.739331</v>
          </cell>
          <cell r="AM116">
            <v>13.629</v>
          </cell>
          <cell r="AN116">
            <v>13.629</v>
          </cell>
          <cell r="AO116">
            <v>15.068</v>
          </cell>
          <cell r="AP116">
            <v>19.852</v>
          </cell>
          <cell r="AQ116">
            <v>20.216000000000001</v>
          </cell>
          <cell r="AR116">
            <v>20.756</v>
          </cell>
          <cell r="AS116">
            <v>20.756</v>
          </cell>
          <cell r="AT116">
            <v>20.117000000000001</v>
          </cell>
          <cell r="AU116">
            <v>20.777999999999999</v>
          </cell>
          <cell r="AV116">
            <v>19.542999999999999</v>
          </cell>
          <cell r="AW116">
            <v>19.88</v>
          </cell>
          <cell r="AX116">
            <v>19.88</v>
          </cell>
          <cell r="AY116">
            <v>18.760999999999999</v>
          </cell>
          <cell r="AZ116">
            <v>19.170999999999999</v>
          </cell>
          <cell r="BA116">
            <v>17.600999999999999</v>
          </cell>
          <cell r="BB116">
            <v>20.896000000000001</v>
          </cell>
          <cell r="BC116">
            <v>20.896000000000001</v>
          </cell>
          <cell r="BD116">
            <v>19.797999999999998</v>
          </cell>
          <cell r="BE116">
            <v>18.402999999999999</v>
          </cell>
          <cell r="BF116">
            <v>17.146000000000001</v>
          </cell>
          <cell r="BG116">
            <v>21.658000000000001</v>
          </cell>
          <cell r="BH116">
            <v>21.658000000000001</v>
          </cell>
          <cell r="BI116">
            <v>27.530999999999999</v>
          </cell>
          <cell r="BJ116">
            <v>29.016999999999999</v>
          </cell>
          <cell r="BK116">
            <v>80.09</v>
          </cell>
          <cell r="BL116">
            <v>105.20099999999999</v>
          </cell>
          <cell r="BM116">
            <v>105.20099999999999</v>
          </cell>
          <cell r="BN116">
            <v>123.693</v>
          </cell>
          <cell r="BO116">
            <v>159.089</v>
          </cell>
          <cell r="BP116">
            <v>172.86799999999999</v>
          </cell>
          <cell r="BQ116">
            <v>164.309</v>
          </cell>
          <cell r="BR116">
            <v>164.309</v>
          </cell>
          <cell r="BS116">
            <v>155.75</v>
          </cell>
          <cell r="BT116">
            <v>147.191</v>
          </cell>
          <cell r="BU116">
            <v>138.63200000000001</v>
          </cell>
          <cell r="BV116">
            <v>130.07300000000001</v>
          </cell>
          <cell r="BW116">
            <v>130.07300000000001</v>
          </cell>
          <cell r="BX116">
            <v>121.51400000000001</v>
          </cell>
          <cell r="BY116">
            <v>112.95500000000001</v>
          </cell>
          <cell r="BZ116">
            <v>104.39600000000002</v>
          </cell>
          <cell r="CA116">
            <v>95.837000000000018</v>
          </cell>
          <cell r="CB116">
            <v>95.837000000000018</v>
          </cell>
          <cell r="CC116">
            <v>74.829999999999984</v>
          </cell>
          <cell r="CD116">
            <v>55.84699999999998</v>
          </cell>
          <cell r="CE116">
            <v>36.863999999999976</v>
          </cell>
          <cell r="CF116">
            <v>17.880999999999975</v>
          </cell>
          <cell r="CG116">
            <v>17.880999999999975</v>
          </cell>
        </row>
        <row r="117">
          <cell r="B117" t="str">
            <v>Goodwill</v>
          </cell>
          <cell r="Y117">
            <v>26.266808000000001</v>
          </cell>
          <cell r="Z117">
            <v>25.538589000000002</v>
          </cell>
          <cell r="AA117">
            <v>14.123688</v>
          </cell>
          <cell r="AB117">
            <v>14.1372</v>
          </cell>
          <cell r="AC117">
            <v>26.825147000000001</v>
          </cell>
          <cell r="AD117">
            <v>26.825147000000001</v>
          </cell>
          <cell r="AE117">
            <v>26.427710999999999</v>
          </cell>
          <cell r="AF117">
            <v>13.996147000000001</v>
          </cell>
          <cell r="AG117">
            <v>27.637146999999999</v>
          </cell>
          <cell r="AH117">
            <v>27.241147000000002</v>
          </cell>
          <cell r="AI117">
            <v>27.241147000000002</v>
          </cell>
          <cell r="AJ117">
            <v>26.845147000000001</v>
          </cell>
          <cell r="AK117">
            <v>26.449147</v>
          </cell>
          <cell r="AL117">
            <v>26.053146999999999</v>
          </cell>
          <cell r="AM117">
            <v>15.996</v>
          </cell>
          <cell r="AN117">
            <v>15.996</v>
          </cell>
          <cell r="AO117">
            <v>15.996</v>
          </cell>
          <cell r="AP117">
            <v>158.84800000000001</v>
          </cell>
          <cell r="AQ117">
            <v>145.69499999999999</v>
          </cell>
          <cell r="AR117">
            <v>143.751</v>
          </cell>
          <cell r="AS117">
            <v>143.751</v>
          </cell>
          <cell r="AT117">
            <v>143.59399999999999</v>
          </cell>
          <cell r="AU117">
            <v>143.852</v>
          </cell>
          <cell r="AV117">
            <v>141.785</v>
          </cell>
          <cell r="AW117">
            <v>141.78700000000001</v>
          </cell>
          <cell r="AX117">
            <v>141.78700000000001</v>
          </cell>
          <cell r="AY117">
            <v>141.78700000000001</v>
          </cell>
          <cell r="AZ117">
            <v>141.78700000000001</v>
          </cell>
          <cell r="BA117">
            <v>141.78700000000001</v>
          </cell>
          <cell r="BB117">
            <v>220.59700000000001</v>
          </cell>
          <cell r="BC117">
            <v>220.59700000000001</v>
          </cell>
          <cell r="BD117">
            <v>220.81299999999999</v>
          </cell>
          <cell r="BE117">
            <v>229.76400000000001</v>
          </cell>
          <cell r="BF117">
            <v>229.19300000000001</v>
          </cell>
          <cell r="BG117">
            <v>291.04500000000002</v>
          </cell>
          <cell r="BH117">
            <v>291.04500000000002</v>
          </cell>
          <cell r="BI117">
            <v>464.90199999999999</v>
          </cell>
          <cell r="BJ117">
            <v>462.57900000000001</v>
          </cell>
          <cell r="BK117">
            <v>4471.5820000000003</v>
          </cell>
          <cell r="BL117">
            <v>4478.0379999999996</v>
          </cell>
          <cell r="BM117">
            <v>4478.0379999999996</v>
          </cell>
          <cell r="BN117">
            <v>4478.3180000000002</v>
          </cell>
          <cell r="BO117">
            <v>4495.45</v>
          </cell>
          <cell r="BP117">
            <v>4497.6210000000001</v>
          </cell>
          <cell r="BQ117">
            <v>4494.9574527329769</v>
          </cell>
          <cell r="BR117">
            <v>4494.9574527329769</v>
          </cell>
          <cell r="BS117">
            <v>4494.9574527329769</v>
          </cell>
          <cell r="BT117">
            <v>4494.9574527329769</v>
          </cell>
          <cell r="BU117">
            <v>4495.8574527329765</v>
          </cell>
          <cell r="BV117">
            <v>4495.8574527329765</v>
          </cell>
          <cell r="BW117">
            <v>4495.8574527329765</v>
          </cell>
          <cell r="BX117">
            <v>4495.8574527329765</v>
          </cell>
          <cell r="BY117">
            <v>4495.8574527329765</v>
          </cell>
          <cell r="BZ117">
            <v>4495.8574527329765</v>
          </cell>
          <cell r="CA117">
            <v>4495.8574527329765</v>
          </cell>
          <cell r="CB117">
            <v>4495.8574527329765</v>
          </cell>
          <cell r="CC117">
            <v>4680.2860000000001</v>
          </cell>
          <cell r="CD117">
            <v>4680.2860000000001</v>
          </cell>
          <cell r="CE117">
            <v>4680.2860000000001</v>
          </cell>
          <cell r="CF117">
            <v>4680.2860000000001</v>
          </cell>
          <cell r="CG117">
            <v>4680.2860000000001</v>
          </cell>
        </row>
        <row r="118">
          <cell r="B118" t="str">
            <v>Other Intangibles</v>
          </cell>
          <cell r="Y118">
            <v>0</v>
          </cell>
          <cell r="Z118">
            <v>0</v>
          </cell>
          <cell r="AA118">
            <v>13.42</v>
          </cell>
          <cell r="AB118">
            <v>13.225</v>
          </cell>
          <cell r="AC118">
            <v>0</v>
          </cell>
          <cell r="AD118">
            <v>0</v>
          </cell>
          <cell r="AE118">
            <v>0</v>
          </cell>
          <cell r="AF118">
            <v>12.037000000000001</v>
          </cell>
          <cell r="AG118">
            <v>0</v>
          </cell>
          <cell r="AH118">
            <v>0</v>
          </cell>
          <cell r="AI118">
            <v>0</v>
          </cell>
          <cell r="AJ118">
            <v>0</v>
          </cell>
          <cell r="AK118">
            <v>0</v>
          </cell>
          <cell r="AL118">
            <v>0</v>
          </cell>
          <cell r="AM118">
            <v>9.6609999999999996</v>
          </cell>
          <cell r="AN118">
            <v>9.6609999999999996</v>
          </cell>
          <cell r="AO118">
            <v>9.2650000000000006</v>
          </cell>
          <cell r="AP118">
            <v>51.253</v>
          </cell>
          <cell r="AQ118">
            <v>47.804000000000002</v>
          </cell>
          <cell r="AR118">
            <v>46.405999999999999</v>
          </cell>
          <cell r="AS118">
            <v>46.405999999999999</v>
          </cell>
          <cell r="AT118">
            <v>43.581000000000003</v>
          </cell>
          <cell r="AU118">
            <v>42.066000000000003</v>
          </cell>
          <cell r="AV118">
            <v>39.82</v>
          </cell>
          <cell r="AW118">
            <v>37.573999999999998</v>
          </cell>
          <cell r="AX118">
            <v>37.573999999999998</v>
          </cell>
          <cell r="AY118">
            <v>35.579000000000001</v>
          </cell>
          <cell r="AZ118">
            <v>33.600999999999999</v>
          </cell>
          <cell r="BA118">
            <v>31.658999999999999</v>
          </cell>
          <cell r="BB118">
            <v>56.281999999999996</v>
          </cell>
          <cell r="BC118">
            <v>56.281999999999996</v>
          </cell>
          <cell r="BD118">
            <v>52.722999999999999</v>
          </cell>
          <cell r="BE118">
            <v>53.555999999999997</v>
          </cell>
          <cell r="BF118">
            <v>49.656999999999996</v>
          </cell>
          <cell r="BG118">
            <v>69.777000000000001</v>
          </cell>
          <cell r="BH118">
            <v>69.777000000000001</v>
          </cell>
          <cell r="BI118">
            <v>136.589</v>
          </cell>
          <cell r="BJ118">
            <v>127.577</v>
          </cell>
          <cell r="BK118">
            <v>1258.3969999999999</v>
          </cell>
          <cell r="BL118">
            <v>1198.991</v>
          </cell>
          <cell r="BM118">
            <v>1198.991</v>
          </cell>
          <cell r="BN118">
            <v>1148.9349999999999</v>
          </cell>
          <cell r="BO118">
            <v>1101.7429999999999</v>
          </cell>
          <cell r="BP118">
            <v>1054.5229999999999</v>
          </cell>
          <cell r="BQ118">
            <v>1007.3029999999999</v>
          </cell>
          <cell r="BR118">
            <v>1007.3029999999999</v>
          </cell>
          <cell r="BS118">
            <v>960.58299999999986</v>
          </cell>
          <cell r="BT118">
            <v>913.86299999999983</v>
          </cell>
          <cell r="BU118">
            <v>866.24299999999982</v>
          </cell>
          <cell r="BV118">
            <v>819.5229999999998</v>
          </cell>
          <cell r="BW118">
            <v>819.5229999999998</v>
          </cell>
          <cell r="BX118">
            <v>773.40299999999979</v>
          </cell>
          <cell r="BY118">
            <v>727.28299999999979</v>
          </cell>
          <cell r="BZ118">
            <v>681.16299999999978</v>
          </cell>
          <cell r="CA118">
            <v>635.04299999999978</v>
          </cell>
          <cell r="CB118">
            <v>635.04299999999978</v>
          </cell>
          <cell r="CC118">
            <v>705.44399999999996</v>
          </cell>
          <cell r="CD118">
            <v>652.72799999999995</v>
          </cell>
          <cell r="CE118">
            <v>600.01199999999994</v>
          </cell>
          <cell r="CF118">
            <v>547.29599999999994</v>
          </cell>
          <cell r="CG118">
            <v>547.29599999999994</v>
          </cell>
        </row>
        <row r="119">
          <cell r="B119" t="str">
            <v>Deferred income taxes</v>
          </cell>
          <cell r="Y119">
            <v>0</v>
          </cell>
          <cell r="Z119">
            <v>0</v>
          </cell>
          <cell r="AA119">
            <v>0</v>
          </cell>
          <cell r="AB119">
            <v>0</v>
          </cell>
          <cell r="AC119">
            <v>0.36</v>
          </cell>
          <cell r="AD119">
            <v>0.36</v>
          </cell>
          <cell r="AE119">
            <v>2.41</v>
          </cell>
          <cell r="AF119">
            <v>2.41</v>
          </cell>
          <cell r="AG119">
            <v>2.41</v>
          </cell>
          <cell r="AH119">
            <v>1.9920389999999999</v>
          </cell>
          <cell r="AI119">
            <v>1.9920389999999999</v>
          </cell>
          <cell r="AJ119">
            <v>1.825034</v>
          </cell>
          <cell r="AK119">
            <v>1.825034</v>
          </cell>
          <cell r="AL119">
            <v>2.5047649999999999</v>
          </cell>
          <cell r="AM119">
            <v>3.157</v>
          </cell>
          <cell r="AN119">
            <v>3.157</v>
          </cell>
          <cell r="AO119">
            <v>3.444</v>
          </cell>
          <cell r="AP119">
            <v>3.9390000000000001</v>
          </cell>
          <cell r="AQ119">
            <v>6.1219999999999999</v>
          </cell>
          <cell r="AR119">
            <v>1.323</v>
          </cell>
          <cell r="AS119">
            <v>1.323</v>
          </cell>
          <cell r="AT119">
            <v>1.4610000000000001</v>
          </cell>
          <cell r="AU119">
            <v>1.8520000000000001</v>
          </cell>
          <cell r="AV119">
            <v>1.8460000000000001</v>
          </cell>
          <cell r="AW119">
            <v>1.641</v>
          </cell>
          <cell r="AX119">
            <v>1.641</v>
          </cell>
          <cell r="AY119">
            <v>1.385</v>
          </cell>
          <cell r="AZ119">
            <v>1.294</v>
          </cell>
          <cell r="BA119">
            <v>0.84599999999999997</v>
          </cell>
          <cell r="BB119">
            <v>0.66500000000000004</v>
          </cell>
          <cell r="BC119">
            <v>0.66500000000000004</v>
          </cell>
          <cell r="BD119">
            <v>0.56200000000000006</v>
          </cell>
          <cell r="BE119">
            <v>0.501</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row>
        <row r="120">
          <cell r="B120" t="str">
            <v>Other assets</v>
          </cell>
          <cell r="Y120">
            <v>1.0253859999999999</v>
          </cell>
          <cell r="Z120">
            <v>0.92872200000000005</v>
          </cell>
          <cell r="AA120">
            <v>2.88171</v>
          </cell>
          <cell r="AB120">
            <v>2.8346979999999999</v>
          </cell>
          <cell r="AC120">
            <v>2.7876859999999999</v>
          </cell>
          <cell r="AD120">
            <v>2.7876859999999999</v>
          </cell>
          <cell r="AE120">
            <v>2.7406740000000003</v>
          </cell>
          <cell r="AF120">
            <v>2.6936629999999999</v>
          </cell>
          <cell r="AG120">
            <v>0</v>
          </cell>
          <cell r="AH120">
            <v>0</v>
          </cell>
          <cell r="AI120">
            <v>0</v>
          </cell>
          <cell r="AJ120">
            <v>0</v>
          </cell>
          <cell r="AK120">
            <v>0</v>
          </cell>
          <cell r="AL120">
            <v>0</v>
          </cell>
          <cell r="AM120">
            <v>0</v>
          </cell>
          <cell r="AN120">
            <v>0</v>
          </cell>
          <cell r="AO120">
            <v>0</v>
          </cell>
          <cell r="AP120">
            <v>3.012</v>
          </cell>
          <cell r="AQ120">
            <v>2.992</v>
          </cell>
          <cell r="AR120">
            <v>2.9550000000000001</v>
          </cell>
          <cell r="AS120">
            <v>2.9550000000000001</v>
          </cell>
          <cell r="AT120">
            <v>2.766</v>
          </cell>
          <cell r="AU120">
            <v>2.569</v>
          </cell>
          <cell r="AV120">
            <v>2.4470000000000001</v>
          </cell>
          <cell r="AW120">
            <v>1.2509999999999999</v>
          </cell>
          <cell r="AX120">
            <v>1.2509999999999999</v>
          </cell>
          <cell r="AY120">
            <v>1.169</v>
          </cell>
          <cell r="AZ120">
            <v>0.252</v>
          </cell>
          <cell r="BA120">
            <v>0.252</v>
          </cell>
          <cell r="BB120">
            <v>0.81499999999999995</v>
          </cell>
          <cell r="BC120">
            <v>0.81499999999999995</v>
          </cell>
          <cell r="BD120">
            <v>2.5110000000000001</v>
          </cell>
          <cell r="BE120">
            <v>2.4449999999999998</v>
          </cell>
          <cell r="BF120">
            <v>3.3090000000000002</v>
          </cell>
          <cell r="BG120">
            <v>4.5640000000000001</v>
          </cell>
          <cell r="BH120">
            <v>4.5640000000000001</v>
          </cell>
          <cell r="BI120">
            <v>5.7889999999999997</v>
          </cell>
          <cell r="BJ120">
            <v>13.83</v>
          </cell>
          <cell r="BK120">
            <v>53.015999999999998</v>
          </cell>
          <cell r="BL120">
            <v>50.118000000000002</v>
          </cell>
          <cell r="BM120">
            <v>50.118000000000002</v>
          </cell>
          <cell r="BN120">
            <v>46.338999999999999</v>
          </cell>
          <cell r="BO120">
            <v>45.826000000000001</v>
          </cell>
          <cell r="BP120">
            <v>46.537999999999997</v>
          </cell>
          <cell r="BQ120">
            <v>46.537999999999997</v>
          </cell>
          <cell r="BR120">
            <v>46.537999999999997</v>
          </cell>
          <cell r="BS120">
            <v>46.537999999999997</v>
          </cell>
          <cell r="BT120">
            <v>46.537999999999997</v>
          </cell>
          <cell r="BU120">
            <v>46.537999999999997</v>
          </cell>
          <cell r="BV120">
            <v>46.537999999999997</v>
          </cell>
          <cell r="BW120">
            <v>46.537999999999997</v>
          </cell>
          <cell r="BX120">
            <v>46.537999999999997</v>
          </cell>
          <cell r="BY120">
            <v>46.537999999999997</v>
          </cell>
          <cell r="BZ120">
            <v>46.537999999999997</v>
          </cell>
          <cell r="CA120">
            <v>46.537999999999997</v>
          </cell>
          <cell r="CB120">
            <v>46.537999999999997</v>
          </cell>
          <cell r="CC120">
            <v>74.25</v>
          </cell>
          <cell r="CD120">
            <v>74.25</v>
          </cell>
          <cell r="CE120">
            <v>74.25</v>
          </cell>
          <cell r="CF120">
            <v>74.25</v>
          </cell>
          <cell r="CG120">
            <v>74.25</v>
          </cell>
        </row>
        <row r="121">
          <cell r="B121" t="str">
            <v>Total Assets</v>
          </cell>
          <cell r="Y121">
            <v>70.758948000000004</v>
          </cell>
          <cell r="Z121">
            <v>51.997395000000004</v>
          </cell>
          <cell r="AA121">
            <v>54.708796000000007</v>
          </cell>
          <cell r="AB121">
            <v>60.754500999999998</v>
          </cell>
          <cell r="AC121">
            <v>81.303608999999994</v>
          </cell>
          <cell r="AD121">
            <v>81.303608999999994</v>
          </cell>
          <cell r="AE121">
            <v>90.237245999999985</v>
          </cell>
          <cell r="AF121">
            <v>127.72063899999999</v>
          </cell>
          <cell r="AG121">
            <v>116.282324</v>
          </cell>
          <cell r="AH121">
            <v>131.22414699999999</v>
          </cell>
          <cell r="AI121">
            <v>131.22414699999999</v>
          </cell>
          <cell r="AJ121">
            <v>141.78716600000001</v>
          </cell>
          <cell r="AK121">
            <v>139.543184</v>
          </cell>
          <cell r="AL121">
            <v>149.95399999999998</v>
          </cell>
          <cell r="AM121">
            <v>159.47900000000004</v>
          </cell>
          <cell r="AN121">
            <v>159.47900000000004</v>
          </cell>
          <cell r="AO121">
            <v>163.95100000000002</v>
          </cell>
          <cell r="AP121">
            <v>422.29100000000005</v>
          </cell>
          <cell r="AQ121">
            <v>413.00400000000002</v>
          </cell>
          <cell r="AR121">
            <v>428.34300000000007</v>
          </cell>
          <cell r="AS121">
            <v>428.34300000000007</v>
          </cell>
          <cell r="AT121">
            <v>435.69799999999992</v>
          </cell>
          <cell r="AU121">
            <v>446.63499999999999</v>
          </cell>
          <cell r="AV121">
            <v>669.71599999999989</v>
          </cell>
          <cell r="AW121">
            <v>662.08</v>
          </cell>
          <cell r="AX121">
            <v>662.08</v>
          </cell>
          <cell r="AY121">
            <v>689.48299999999995</v>
          </cell>
          <cell r="AZ121">
            <v>722.55799999999999</v>
          </cell>
          <cell r="BA121">
            <v>754.56</v>
          </cell>
          <cell r="BB121">
            <v>816.30899999999997</v>
          </cell>
          <cell r="BC121">
            <v>816.30899999999997</v>
          </cell>
          <cell r="BD121">
            <v>894.42000000000019</v>
          </cell>
          <cell r="BE121">
            <v>932.08499999999992</v>
          </cell>
          <cell r="BF121">
            <v>997.09799999999984</v>
          </cell>
          <cell r="BG121">
            <v>1050.3070000000002</v>
          </cell>
          <cell r="BH121">
            <v>1050.3070000000002</v>
          </cell>
          <cell r="BI121">
            <v>1284.1310000000001</v>
          </cell>
          <cell r="BJ121">
            <v>1851.2309999999998</v>
          </cell>
          <cell r="BK121">
            <v>7373.2080000000005</v>
          </cell>
          <cell r="BL121">
            <v>7385.1269999999995</v>
          </cell>
          <cell r="BM121">
            <v>7385.1270000000004</v>
          </cell>
          <cell r="BN121">
            <v>7296.7939999999999</v>
          </cell>
          <cell r="BO121">
            <v>7347.8119999999981</v>
          </cell>
          <cell r="BP121">
            <v>7492.8859999999995</v>
          </cell>
          <cell r="BQ121">
            <v>7583.3612303078589</v>
          </cell>
          <cell r="BR121">
            <v>7583.361230307858</v>
          </cell>
          <cell r="BS121">
            <v>7849.8548945615448</v>
          </cell>
          <cell r="BT121">
            <v>8086.4604957624306</v>
          </cell>
          <cell r="BU121">
            <v>8231.5641722319051</v>
          </cell>
          <cell r="BV121">
            <v>8379.6031131079053</v>
          </cell>
          <cell r="BW121">
            <v>8379.6031131079053</v>
          </cell>
          <cell r="BX121">
            <v>8361.8484528721019</v>
          </cell>
          <cell r="BY121">
            <v>8668.3246150094674</v>
          </cell>
          <cell r="BZ121">
            <v>8880.0970092563657</v>
          </cell>
          <cell r="CA121">
            <v>9057.0673766816271</v>
          </cell>
          <cell r="CB121">
            <v>9057.0673766816271</v>
          </cell>
          <cell r="CC121">
            <v>10109.4516684966</v>
          </cell>
          <cell r="CD121">
            <v>10431.559689935946</v>
          </cell>
          <cell r="CE121">
            <v>10688.696997603663</v>
          </cell>
          <cell r="CF121">
            <v>10685.869152234596</v>
          </cell>
          <cell r="CG121">
            <v>10685.869152234596</v>
          </cell>
        </row>
        <row r="123">
          <cell r="B123" t="str">
            <v>Liabilities</v>
          </cell>
        </row>
        <row r="124">
          <cell r="B124" t="str">
            <v>Accounts payable</v>
          </cell>
          <cell r="Y124">
            <v>3.5260769999999999</v>
          </cell>
          <cell r="Z124">
            <v>3.1073770000000001</v>
          </cell>
          <cell r="AA124">
            <v>4.2146119999999998</v>
          </cell>
          <cell r="AB124">
            <v>4.995088</v>
          </cell>
          <cell r="AC124">
            <v>5.5989120000000003</v>
          </cell>
          <cell r="AD124">
            <v>5.5989120000000003</v>
          </cell>
          <cell r="AE124">
            <v>7.4340359999999999</v>
          </cell>
          <cell r="AF124">
            <v>0.69820199999999999</v>
          </cell>
          <cell r="AG124">
            <v>1.101529</v>
          </cell>
          <cell r="AH124">
            <v>0.654976</v>
          </cell>
          <cell r="AI124">
            <v>0.654976</v>
          </cell>
          <cell r="AJ124">
            <v>1.958461</v>
          </cell>
          <cell r="AK124">
            <v>0.91187200000000002</v>
          </cell>
          <cell r="AL124">
            <v>1.6807049999999999</v>
          </cell>
          <cell r="AM124">
            <v>1.3440000000000001</v>
          </cell>
          <cell r="AN124">
            <v>1.3440000000000001</v>
          </cell>
          <cell r="AO124">
            <v>0.75</v>
          </cell>
          <cell r="AP124">
            <v>7.7709999999999999</v>
          </cell>
          <cell r="AQ124">
            <v>7.0030000000000001</v>
          </cell>
          <cell r="AR124">
            <v>8.3019999999999996</v>
          </cell>
          <cell r="AS124">
            <v>8.3019999999999996</v>
          </cell>
          <cell r="AT124">
            <v>7.1040000000000001</v>
          </cell>
          <cell r="AU124">
            <v>8.3859999999999992</v>
          </cell>
          <cell r="AV124">
            <v>5.92</v>
          </cell>
          <cell r="AW124">
            <v>9.9160000000000004</v>
          </cell>
          <cell r="AX124">
            <v>9.9160000000000004</v>
          </cell>
          <cell r="AY124">
            <v>7.5330000000000004</v>
          </cell>
          <cell r="AZ124">
            <v>8.2270000000000003</v>
          </cell>
          <cell r="BA124">
            <v>9.625</v>
          </cell>
          <cell r="BB124">
            <v>30.93</v>
          </cell>
          <cell r="BC124">
            <v>30.93</v>
          </cell>
          <cell r="BD124">
            <v>37.47</v>
          </cell>
          <cell r="BE124">
            <v>38.530999999999999</v>
          </cell>
          <cell r="BF124">
            <v>15.092000000000001</v>
          </cell>
          <cell r="BG124">
            <v>19.678999999999998</v>
          </cell>
          <cell r="BH124">
            <v>19.678999999999998</v>
          </cell>
          <cell r="BI124">
            <v>16.757999999999999</v>
          </cell>
          <cell r="BJ124">
            <v>22.332999999999998</v>
          </cell>
          <cell r="BK124">
            <v>0</v>
          </cell>
          <cell r="BL124">
            <v>644.81799999999998</v>
          </cell>
          <cell r="BM124">
            <v>644.81799999999998</v>
          </cell>
          <cell r="BN124">
            <v>610.68100000000004</v>
          </cell>
          <cell r="BO124">
            <v>623.38499999999999</v>
          </cell>
          <cell r="BP124">
            <v>693.625</v>
          </cell>
          <cell r="BQ124">
            <v>682.20368982963964</v>
          </cell>
          <cell r="BR124">
            <v>682.20368982963964</v>
          </cell>
          <cell r="BS124">
            <v>834.10781464473257</v>
          </cell>
          <cell r="BT124">
            <v>918.42507116241347</v>
          </cell>
          <cell r="BU124">
            <v>977.27117779288187</v>
          </cell>
          <cell r="BV124">
            <v>969.76054252832262</v>
          </cell>
          <cell r="BW124">
            <v>969.76054252832262</v>
          </cell>
          <cell r="BX124">
            <v>916.63646725858575</v>
          </cell>
          <cell r="BY124">
            <v>1032.3838071608313</v>
          </cell>
          <cell r="BZ124">
            <v>1127.433722872679</v>
          </cell>
          <cell r="CA124">
            <v>1118.2413756324893</v>
          </cell>
          <cell r="CB124">
            <v>1118.2413756324893</v>
          </cell>
          <cell r="CC124">
            <v>1183.2139731143823</v>
          </cell>
          <cell r="CD124">
            <v>1256.3814469165011</v>
          </cell>
          <cell r="CE124">
            <v>1387.5234869202425</v>
          </cell>
          <cell r="CF124">
            <v>1264.7896296581082</v>
          </cell>
          <cell r="CG124">
            <v>1264.7896296581082</v>
          </cell>
        </row>
        <row r="125">
          <cell r="B125" t="str">
            <v>Pharmacy benefit management rebates payable</v>
          </cell>
          <cell r="Y125">
            <v>0</v>
          </cell>
          <cell r="Z125">
            <v>0</v>
          </cell>
          <cell r="AA125">
            <v>0</v>
          </cell>
          <cell r="AB125">
            <v>2.7419669999999998</v>
          </cell>
          <cell r="AC125">
            <v>0</v>
          </cell>
          <cell r="AD125">
            <v>0</v>
          </cell>
          <cell r="AE125">
            <v>0</v>
          </cell>
          <cell r="AF125">
            <v>0</v>
          </cell>
          <cell r="AG125">
            <v>0</v>
          </cell>
          <cell r="AH125">
            <v>1.172801</v>
          </cell>
          <cell r="AI125">
            <v>1.172801</v>
          </cell>
          <cell r="AJ125">
            <v>2.5216729999999998</v>
          </cell>
          <cell r="AK125">
            <v>0.57895099999999999</v>
          </cell>
          <cell r="AL125">
            <v>2.2661509999999998</v>
          </cell>
          <cell r="AM125">
            <v>2.766</v>
          </cell>
          <cell r="AN125">
            <v>2.766</v>
          </cell>
          <cell r="AO125">
            <v>4.1779999999999999</v>
          </cell>
          <cell r="AP125">
            <v>32.573</v>
          </cell>
          <cell r="AQ125">
            <v>29.940999999999999</v>
          </cell>
          <cell r="AR125">
            <v>36.326000000000001</v>
          </cell>
          <cell r="AS125">
            <v>36.326000000000001</v>
          </cell>
          <cell r="AT125">
            <v>38.777000000000001</v>
          </cell>
          <cell r="AU125">
            <v>45.856000000000002</v>
          </cell>
          <cell r="AV125">
            <v>43.83</v>
          </cell>
          <cell r="AW125">
            <v>46.606000000000002</v>
          </cell>
          <cell r="AX125">
            <v>46.606000000000002</v>
          </cell>
          <cell r="AY125">
            <v>58.603000000000002</v>
          </cell>
          <cell r="AZ125">
            <v>59.57</v>
          </cell>
          <cell r="BA125">
            <v>63.783000000000001</v>
          </cell>
          <cell r="BB125">
            <v>61.363999999999997</v>
          </cell>
          <cell r="BC125">
            <v>61.363999999999997</v>
          </cell>
          <cell r="BD125">
            <v>61.204000000000001</v>
          </cell>
          <cell r="BE125">
            <v>56.338000000000001</v>
          </cell>
          <cell r="BF125">
            <v>58.866</v>
          </cell>
          <cell r="BG125">
            <v>59.234999999999999</v>
          </cell>
          <cell r="BH125">
            <v>59.234999999999999</v>
          </cell>
          <cell r="BI125">
            <v>69.222999999999999</v>
          </cell>
          <cell r="BJ125">
            <v>64.718000000000004</v>
          </cell>
          <cell r="BK125">
            <v>248.536</v>
          </cell>
          <cell r="BL125">
            <v>302.065</v>
          </cell>
          <cell r="BM125">
            <v>302.065</v>
          </cell>
          <cell r="BN125">
            <v>292.52600000000001</v>
          </cell>
          <cell r="BO125">
            <v>314.49099999999999</v>
          </cell>
          <cell r="BP125">
            <v>314.565</v>
          </cell>
          <cell r="BQ125">
            <v>336.62829972735011</v>
          </cell>
          <cell r="BR125">
            <v>336.62829972735011</v>
          </cell>
          <cell r="BS125">
            <v>377.01292756371527</v>
          </cell>
          <cell r="BT125">
            <v>432.69771097693882</v>
          </cell>
          <cell r="BU125">
            <v>435.05955250786911</v>
          </cell>
          <cell r="BV125">
            <v>474.92481194234512</v>
          </cell>
          <cell r="BW125">
            <v>474.92481194234512</v>
          </cell>
          <cell r="BX125">
            <v>415.92987569468835</v>
          </cell>
          <cell r="BY125">
            <v>487.74264146971717</v>
          </cell>
          <cell r="BZ125">
            <v>502.58982727116899</v>
          </cell>
          <cell r="CA125">
            <v>548.60349768161996</v>
          </cell>
          <cell r="CB125">
            <v>548.60349768161996</v>
          </cell>
          <cell r="CC125">
            <v>1000.9414992048457</v>
          </cell>
          <cell r="CD125">
            <v>1122.4073614901229</v>
          </cell>
          <cell r="CE125">
            <v>1145.2104464100319</v>
          </cell>
          <cell r="CF125">
            <v>1146.0577246388345</v>
          </cell>
          <cell r="CG125">
            <v>1146.0577246388345</v>
          </cell>
        </row>
        <row r="126">
          <cell r="B126" t="str">
            <v>Pharmacy benefit claim payments payable</v>
          </cell>
          <cell r="Y126">
            <v>0</v>
          </cell>
          <cell r="Z126">
            <v>0</v>
          </cell>
          <cell r="AA126">
            <v>0</v>
          </cell>
          <cell r="AB126">
            <v>0</v>
          </cell>
          <cell r="AC126">
            <v>0</v>
          </cell>
          <cell r="AD126">
            <v>0</v>
          </cell>
          <cell r="AE126">
            <v>0</v>
          </cell>
          <cell r="AF126">
            <v>0</v>
          </cell>
          <cell r="AG126">
            <v>0</v>
          </cell>
          <cell r="AH126">
            <v>2.9637190000000002</v>
          </cell>
          <cell r="AI126">
            <v>2.9637190000000002</v>
          </cell>
          <cell r="AJ126">
            <v>5.7194919999999998</v>
          </cell>
          <cell r="AK126">
            <v>2.9269999999999999E-3</v>
          </cell>
          <cell r="AL126">
            <v>2.286835</v>
          </cell>
          <cell r="AM126">
            <v>2.0590000000000002</v>
          </cell>
          <cell r="AN126">
            <v>2.0590000000000002</v>
          </cell>
          <cell r="AO126">
            <v>1.821</v>
          </cell>
          <cell r="AP126">
            <v>58.226999999999997</v>
          </cell>
          <cell r="AQ126">
            <v>60.811999999999998</v>
          </cell>
          <cell r="AR126">
            <v>51.405999999999999</v>
          </cell>
          <cell r="AS126">
            <v>51.405999999999999</v>
          </cell>
          <cell r="AT126">
            <v>51.890999999999998</v>
          </cell>
          <cell r="AU126">
            <v>41.94</v>
          </cell>
          <cell r="AV126">
            <v>51.808</v>
          </cell>
          <cell r="AW126">
            <v>61.668999999999997</v>
          </cell>
          <cell r="AX126">
            <v>61.668999999999997</v>
          </cell>
          <cell r="AY126">
            <v>64.006</v>
          </cell>
          <cell r="AZ126">
            <v>72.915000000000006</v>
          </cell>
          <cell r="BA126">
            <v>80.828999999999994</v>
          </cell>
          <cell r="BB126">
            <v>84.599000000000004</v>
          </cell>
          <cell r="BC126">
            <v>84.599000000000004</v>
          </cell>
          <cell r="BD126">
            <v>137.31899999999999</v>
          </cell>
          <cell r="BE126">
            <v>144.928</v>
          </cell>
          <cell r="BF126">
            <v>190.21</v>
          </cell>
          <cell r="BG126">
            <v>199.70099999999999</v>
          </cell>
          <cell r="BH126">
            <v>199.70099999999999</v>
          </cell>
          <cell r="BI126">
            <v>263.35300000000001</v>
          </cell>
          <cell r="BJ126">
            <v>276.02499999999998</v>
          </cell>
          <cell r="BK126">
            <v>633.67499999999995</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row>
        <row r="127">
          <cell r="B127" t="str">
            <v>Customer deposits</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14.973000000000001</v>
          </cell>
          <cell r="AQ127">
            <v>13.801</v>
          </cell>
          <cell r="AR127">
            <v>11.875</v>
          </cell>
          <cell r="AS127">
            <v>11.875</v>
          </cell>
          <cell r="AT127">
            <v>14.048999999999999</v>
          </cell>
          <cell r="AU127">
            <v>12.647</v>
          </cell>
          <cell r="AV127">
            <v>12.553000000000001</v>
          </cell>
          <cell r="AW127">
            <v>14.832000000000001</v>
          </cell>
          <cell r="AX127">
            <v>14.832000000000001</v>
          </cell>
          <cell r="AY127">
            <v>15.483000000000001</v>
          </cell>
          <cell r="AZ127">
            <v>15.372</v>
          </cell>
          <cell r="BA127">
            <v>15.324</v>
          </cell>
          <cell r="BB127">
            <v>15.375999999999999</v>
          </cell>
          <cell r="BC127">
            <v>15.375999999999999</v>
          </cell>
          <cell r="BD127">
            <v>15.317</v>
          </cell>
          <cell r="BE127">
            <v>15.231</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row>
        <row r="128">
          <cell r="B128" t="str">
            <v>Salaries and wages payable</v>
          </cell>
          <cell r="Y128">
            <v>0</v>
          </cell>
          <cell r="Z128">
            <v>0</v>
          </cell>
          <cell r="AA128">
            <v>0</v>
          </cell>
          <cell r="AB128">
            <v>0</v>
          </cell>
          <cell r="AC128">
            <v>0</v>
          </cell>
          <cell r="AD128">
            <v>0</v>
          </cell>
          <cell r="AE128">
            <v>0</v>
          </cell>
          <cell r="AF128">
            <v>0</v>
          </cell>
          <cell r="AG128">
            <v>0</v>
          </cell>
          <cell r="AH128">
            <v>4.1833140000000002</v>
          </cell>
          <cell r="AI128">
            <v>4.1833140000000002</v>
          </cell>
          <cell r="AJ128">
            <v>2.5929000000000002</v>
          </cell>
          <cell r="AK128">
            <v>3.588781</v>
          </cell>
          <cell r="AL128">
            <v>3.4512109999999998</v>
          </cell>
          <cell r="AM128">
            <v>2.9089999999999998</v>
          </cell>
          <cell r="AN128">
            <v>2.9089999999999998</v>
          </cell>
          <cell r="AO128">
            <v>2.9580000000000002</v>
          </cell>
          <cell r="AP128">
            <v>9.2509999999999994</v>
          </cell>
          <cell r="AQ128">
            <v>11.254</v>
          </cell>
          <cell r="AR128">
            <v>15.680999999999999</v>
          </cell>
          <cell r="AS128">
            <v>15.680999999999999</v>
          </cell>
          <cell r="AT128">
            <v>11.779</v>
          </cell>
          <cell r="AU128">
            <v>12.509</v>
          </cell>
          <cell r="AV128">
            <v>13.183999999999999</v>
          </cell>
          <cell r="AW128">
            <v>12.349</v>
          </cell>
          <cell r="AX128">
            <v>12.349</v>
          </cell>
          <cell r="AY128">
            <v>7.7320000000000002</v>
          </cell>
          <cell r="AZ128">
            <v>9.343</v>
          </cell>
          <cell r="BA128">
            <v>11.763</v>
          </cell>
          <cell r="BB128">
            <v>12.833</v>
          </cell>
          <cell r="BC128">
            <v>12.833</v>
          </cell>
          <cell r="BD128">
            <v>8.0760000000000005</v>
          </cell>
          <cell r="BE128">
            <v>9.8610000000000007</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row>
        <row r="129">
          <cell r="B129" t="str">
            <v>Accrued liabilities</v>
          </cell>
          <cell r="Y129">
            <v>0</v>
          </cell>
          <cell r="Z129">
            <v>0</v>
          </cell>
          <cell r="AA129">
            <v>0</v>
          </cell>
          <cell r="AB129">
            <v>0</v>
          </cell>
          <cell r="AC129">
            <v>0</v>
          </cell>
          <cell r="AD129">
            <v>0</v>
          </cell>
          <cell r="AE129">
            <v>0</v>
          </cell>
          <cell r="AF129">
            <v>6.9085010000000002</v>
          </cell>
          <cell r="AG129">
            <v>5.2624760000000004</v>
          </cell>
          <cell r="AH129">
            <v>3.4567100000000002</v>
          </cell>
          <cell r="AI129">
            <v>3.4567100000000002</v>
          </cell>
          <cell r="AJ129">
            <v>2.745514</v>
          </cell>
          <cell r="AK129">
            <v>3.1024400000000001</v>
          </cell>
          <cell r="AL129">
            <v>3.9330980000000002</v>
          </cell>
          <cell r="AM129">
            <v>4.8070000000000004</v>
          </cell>
          <cell r="AN129">
            <v>4.8070000000000004</v>
          </cell>
          <cell r="AO129">
            <v>5.0990000000000002</v>
          </cell>
          <cell r="AP129">
            <v>29.645</v>
          </cell>
          <cell r="AQ129">
            <v>26.895</v>
          </cell>
          <cell r="AR129">
            <v>32.039000000000001</v>
          </cell>
          <cell r="AS129">
            <v>32.039000000000001</v>
          </cell>
          <cell r="AT129">
            <v>24.751000000000001</v>
          </cell>
          <cell r="AU129">
            <v>25.751000000000001</v>
          </cell>
          <cell r="AV129">
            <v>27.709</v>
          </cell>
          <cell r="AW129">
            <v>30.786000000000001</v>
          </cell>
          <cell r="AX129">
            <v>30.786000000000001</v>
          </cell>
          <cell r="AY129">
            <v>24.667999999999999</v>
          </cell>
          <cell r="AZ129">
            <v>23.792000000000002</v>
          </cell>
          <cell r="BA129">
            <v>22.692</v>
          </cell>
          <cell r="BB129">
            <v>21.652000000000001</v>
          </cell>
          <cell r="BC129">
            <v>21.652000000000001</v>
          </cell>
          <cell r="BD129">
            <v>19.102</v>
          </cell>
          <cell r="BE129">
            <v>18.103000000000002</v>
          </cell>
          <cell r="BF129">
            <v>69.471000000000004</v>
          </cell>
          <cell r="BG129">
            <v>66.728999999999999</v>
          </cell>
          <cell r="BH129">
            <v>66.728999999999999</v>
          </cell>
          <cell r="BI129">
            <v>95.754999999999995</v>
          </cell>
          <cell r="BJ129">
            <v>97.075999999999993</v>
          </cell>
          <cell r="BK129">
            <v>268.40100000000001</v>
          </cell>
          <cell r="BL129">
            <v>254.81100000000001</v>
          </cell>
          <cell r="BM129">
            <v>254.81100000000001</v>
          </cell>
          <cell r="BN129">
            <v>250.1</v>
          </cell>
          <cell r="BO129">
            <v>242.65100000000001</v>
          </cell>
          <cell r="BP129">
            <v>241.452</v>
          </cell>
          <cell r="BQ129">
            <v>241.452</v>
          </cell>
          <cell r="BR129">
            <v>241.452</v>
          </cell>
          <cell r="BS129">
            <v>241.452</v>
          </cell>
          <cell r="BT129">
            <v>241.452</v>
          </cell>
          <cell r="BU129">
            <v>241.452</v>
          </cell>
          <cell r="BV129">
            <v>241.452</v>
          </cell>
          <cell r="BW129">
            <v>241.452</v>
          </cell>
          <cell r="BX129">
            <v>241.452</v>
          </cell>
          <cell r="BY129">
            <v>241.452</v>
          </cell>
          <cell r="BZ129">
            <v>241.452</v>
          </cell>
          <cell r="CA129">
            <v>241.452</v>
          </cell>
          <cell r="CB129">
            <v>241.452</v>
          </cell>
          <cell r="CC129">
            <v>313.39800000000002</v>
          </cell>
          <cell r="CD129">
            <v>313.39800000000002</v>
          </cell>
          <cell r="CE129">
            <v>313.39800000000002</v>
          </cell>
          <cell r="CF129">
            <v>313.39800000000002</v>
          </cell>
          <cell r="CG129">
            <v>313.39800000000002</v>
          </cell>
        </row>
        <row r="130">
          <cell r="B130" t="str">
            <v>Deferred revenue</v>
          </cell>
          <cell r="Y130">
            <v>2.4962460000000002</v>
          </cell>
          <cell r="Z130">
            <v>2.0060289999999998</v>
          </cell>
          <cell r="AA130">
            <v>2.581852</v>
          </cell>
          <cell r="AB130">
            <v>2.6177160000000002</v>
          </cell>
          <cell r="AC130">
            <v>3.1310310000000001</v>
          </cell>
          <cell r="AD130">
            <v>3.1310310000000001</v>
          </cell>
          <cell r="AE130">
            <v>3.6612480000000001</v>
          </cell>
          <cell r="AF130">
            <v>3.684571</v>
          </cell>
          <cell r="AG130">
            <v>3.1288849999999999</v>
          </cell>
          <cell r="AH130">
            <v>3.241924</v>
          </cell>
          <cell r="AI130">
            <v>3.241924</v>
          </cell>
          <cell r="AJ130">
            <v>3.6114739999999999</v>
          </cell>
          <cell r="AK130">
            <v>2.5804990000000001</v>
          </cell>
          <cell r="AL130">
            <v>3.534443</v>
          </cell>
          <cell r="AM130">
            <v>6.75</v>
          </cell>
          <cell r="AN130">
            <v>6.75</v>
          </cell>
          <cell r="AO130">
            <v>6.0039999999999996</v>
          </cell>
          <cell r="AP130">
            <v>4.03</v>
          </cell>
          <cell r="AQ130">
            <v>3.8969999999999998</v>
          </cell>
          <cell r="AR130">
            <v>7.9779999999999998</v>
          </cell>
          <cell r="AS130">
            <v>7.9779999999999998</v>
          </cell>
          <cell r="AT130">
            <v>11.225</v>
          </cell>
          <cell r="AU130">
            <v>8.4930000000000003</v>
          </cell>
          <cell r="AV130">
            <v>8.43</v>
          </cell>
          <cell r="AW130">
            <v>7.3040000000000003</v>
          </cell>
          <cell r="AX130">
            <v>7.3040000000000003</v>
          </cell>
          <cell r="AY130">
            <v>8.7159999999999993</v>
          </cell>
          <cell r="AZ130">
            <v>10.435</v>
          </cell>
          <cell r="BA130">
            <v>9.6219999999999999</v>
          </cell>
          <cell r="BB130">
            <v>10.696</v>
          </cell>
          <cell r="BC130">
            <v>10.696</v>
          </cell>
          <cell r="BD130">
            <v>11.707000000000001</v>
          </cell>
          <cell r="BE130">
            <v>12.999000000000001</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row>
        <row r="131">
          <cell r="B131" t="str">
            <v>Current portion of long-term debt</v>
          </cell>
          <cell r="Y131">
            <v>18.431898</v>
          </cell>
          <cell r="Z131">
            <v>0.773007</v>
          </cell>
          <cell r="AA131">
            <v>1.02</v>
          </cell>
          <cell r="AB131">
            <v>1.36</v>
          </cell>
          <cell r="AC131">
            <v>1.53</v>
          </cell>
          <cell r="AD131">
            <v>1.53</v>
          </cell>
          <cell r="AE131">
            <v>1.7</v>
          </cell>
          <cell r="AF131">
            <v>1.87</v>
          </cell>
          <cell r="AG131">
            <v>0</v>
          </cell>
          <cell r="AH131">
            <v>0</v>
          </cell>
          <cell r="AI131">
            <v>0</v>
          </cell>
          <cell r="AJ131">
            <v>0</v>
          </cell>
          <cell r="AK131">
            <v>0</v>
          </cell>
          <cell r="AL131">
            <v>0</v>
          </cell>
          <cell r="AM131">
            <v>0</v>
          </cell>
          <cell r="AO131">
            <v>0</v>
          </cell>
          <cell r="AP131">
            <v>1.56</v>
          </cell>
          <cell r="AQ131">
            <v>2.64</v>
          </cell>
          <cell r="AR131">
            <v>3.72</v>
          </cell>
          <cell r="AS131">
            <v>3.72</v>
          </cell>
          <cell r="AT131">
            <v>4.8</v>
          </cell>
          <cell r="AU131">
            <v>4.8</v>
          </cell>
          <cell r="AV131">
            <v>4.8</v>
          </cell>
          <cell r="BK131">
            <v>27.5</v>
          </cell>
          <cell r="BL131">
            <v>41.25</v>
          </cell>
          <cell r="BM131">
            <v>41.25</v>
          </cell>
          <cell r="BN131">
            <v>55</v>
          </cell>
          <cell r="BO131">
            <v>37.5</v>
          </cell>
          <cell r="BP131">
            <v>43.75</v>
          </cell>
          <cell r="BQ131">
            <v>43.75</v>
          </cell>
          <cell r="BR131">
            <v>43.75</v>
          </cell>
          <cell r="BS131">
            <v>43.75</v>
          </cell>
          <cell r="BT131">
            <v>43.75</v>
          </cell>
          <cell r="BU131">
            <v>43.75</v>
          </cell>
          <cell r="BV131">
            <v>43.75</v>
          </cell>
          <cell r="BW131">
            <v>43.75</v>
          </cell>
          <cell r="BX131">
            <v>43.75</v>
          </cell>
          <cell r="BY131">
            <v>43.75</v>
          </cell>
          <cell r="BZ131">
            <v>43.75</v>
          </cell>
          <cell r="CA131">
            <v>43.75</v>
          </cell>
          <cell r="CB131">
            <v>43.75</v>
          </cell>
          <cell r="CC131">
            <v>75</v>
          </cell>
          <cell r="CD131">
            <v>75</v>
          </cell>
          <cell r="CE131">
            <v>75</v>
          </cell>
          <cell r="CF131">
            <v>75</v>
          </cell>
          <cell r="CG131">
            <v>75</v>
          </cell>
        </row>
        <row r="132">
          <cell r="B132" t="str">
            <v>Long-term debt, less current installments</v>
          </cell>
          <cell r="Y132">
            <v>13.751821</v>
          </cell>
          <cell r="Z132">
            <v>13.397773000000001</v>
          </cell>
          <cell r="AA132">
            <v>12.396668</v>
          </cell>
          <cell r="AB132">
            <v>12.069763</v>
          </cell>
          <cell r="AC132">
            <v>11.572858</v>
          </cell>
          <cell r="AD132">
            <v>11.572858</v>
          </cell>
          <cell r="AE132">
            <v>11.075953</v>
          </cell>
          <cell r="AF132">
            <v>10.579048</v>
          </cell>
          <cell r="AG132">
            <v>0</v>
          </cell>
          <cell r="AH132">
            <v>0</v>
          </cell>
          <cell r="AI132">
            <v>0</v>
          </cell>
          <cell r="AJ132">
            <v>0</v>
          </cell>
          <cell r="AK132">
            <v>0</v>
          </cell>
          <cell r="AL132">
            <v>0</v>
          </cell>
          <cell r="AM132">
            <v>0</v>
          </cell>
          <cell r="AN132">
            <v>0</v>
          </cell>
          <cell r="AO132">
            <v>0</v>
          </cell>
          <cell r="AP132">
            <v>46.32</v>
          </cell>
          <cell r="AQ132">
            <v>45.12</v>
          </cell>
          <cell r="AR132">
            <v>43.92</v>
          </cell>
          <cell r="AS132">
            <v>43.92</v>
          </cell>
          <cell r="AT132">
            <v>42.72</v>
          </cell>
          <cell r="AU132">
            <v>41.52</v>
          </cell>
          <cell r="AV132">
            <v>40.32</v>
          </cell>
          <cell r="AX132">
            <v>0</v>
          </cell>
          <cell r="AY132">
            <v>0</v>
          </cell>
          <cell r="AZ132">
            <v>0</v>
          </cell>
          <cell r="BA132">
            <v>0</v>
          </cell>
          <cell r="BB132">
            <v>0</v>
          </cell>
          <cell r="BC132">
            <v>0</v>
          </cell>
          <cell r="BD132">
            <v>0</v>
          </cell>
          <cell r="BE132">
            <v>0</v>
          </cell>
          <cell r="BF132">
            <v>0</v>
          </cell>
          <cell r="BG132">
            <v>0</v>
          </cell>
          <cell r="BH132">
            <v>0</v>
          </cell>
          <cell r="BI132">
            <v>100</v>
          </cell>
          <cell r="BJ132">
            <v>100</v>
          </cell>
          <cell r="BK132">
            <v>1244.425</v>
          </cell>
          <cell r="BL132">
            <v>1132.153</v>
          </cell>
          <cell r="BM132">
            <v>1132.153</v>
          </cell>
          <cell r="BN132">
            <v>1019.88</v>
          </cell>
          <cell r="BO132">
            <v>987.85699999999997</v>
          </cell>
          <cell r="BP132">
            <v>976.61</v>
          </cell>
          <cell r="BQ132">
            <v>976.61</v>
          </cell>
          <cell r="BR132">
            <v>976.61</v>
          </cell>
          <cell r="BS132">
            <v>976.61</v>
          </cell>
          <cell r="BT132">
            <v>976.61</v>
          </cell>
          <cell r="BU132">
            <v>976.61</v>
          </cell>
          <cell r="BV132">
            <v>976.61</v>
          </cell>
          <cell r="BW132">
            <v>976.61</v>
          </cell>
          <cell r="BX132">
            <v>976.61</v>
          </cell>
          <cell r="BY132">
            <v>976.61</v>
          </cell>
          <cell r="BZ132">
            <v>976.61</v>
          </cell>
          <cell r="CA132">
            <v>976.61</v>
          </cell>
          <cell r="CB132">
            <v>976.61</v>
          </cell>
          <cell r="CC132">
            <v>1417.925</v>
          </cell>
          <cell r="CD132">
            <v>1417.925</v>
          </cell>
          <cell r="CE132">
            <v>1417.925</v>
          </cell>
          <cell r="CF132">
            <v>1417.925</v>
          </cell>
          <cell r="CG132">
            <v>1417.925</v>
          </cell>
        </row>
        <row r="133">
          <cell r="B133" t="str">
            <v>Deferred income taxes</v>
          </cell>
          <cell r="Y133">
            <v>0</v>
          </cell>
          <cell r="Z133">
            <v>0</v>
          </cell>
          <cell r="AA133">
            <v>0</v>
          </cell>
          <cell r="AB133">
            <v>0</v>
          </cell>
          <cell r="AC133">
            <v>0</v>
          </cell>
          <cell r="AD133">
            <v>0</v>
          </cell>
          <cell r="AE133">
            <v>0</v>
          </cell>
          <cell r="AF133">
            <v>0</v>
          </cell>
          <cell r="AG133">
            <v>0</v>
          </cell>
          <cell r="AH133">
            <v>0</v>
          </cell>
          <cell r="AI133">
            <v>0</v>
          </cell>
          <cell r="AJ133">
            <v>0</v>
          </cell>
          <cell r="AK133">
            <v>0.8276</v>
          </cell>
          <cell r="AL133">
            <v>0.58901599999999998</v>
          </cell>
          <cell r="AM133">
            <v>1.091</v>
          </cell>
          <cell r="AN133">
            <v>1.091</v>
          </cell>
          <cell r="AO133">
            <v>1.091</v>
          </cell>
          <cell r="AP133">
            <v>28.135000000000002</v>
          </cell>
          <cell r="AQ133">
            <v>15.733000000000001</v>
          </cell>
          <cell r="AR133">
            <v>15.06</v>
          </cell>
          <cell r="AS133">
            <v>15.06</v>
          </cell>
          <cell r="AT133">
            <v>14.539</v>
          </cell>
          <cell r="AU133">
            <v>15.538</v>
          </cell>
          <cell r="AV133">
            <v>13.032</v>
          </cell>
          <cell r="AW133">
            <v>13.597</v>
          </cell>
          <cell r="AX133">
            <v>13.597</v>
          </cell>
          <cell r="AY133">
            <v>13.93</v>
          </cell>
          <cell r="AZ133">
            <v>13.676</v>
          </cell>
          <cell r="BA133">
            <v>13.211</v>
          </cell>
          <cell r="BB133">
            <v>15.111000000000001</v>
          </cell>
          <cell r="BC133">
            <v>15.111000000000001</v>
          </cell>
          <cell r="BD133">
            <v>15.702999999999999</v>
          </cell>
          <cell r="BE133">
            <v>14.656000000000001</v>
          </cell>
          <cell r="BF133">
            <v>13.89</v>
          </cell>
          <cell r="BG133">
            <v>18.361000000000001</v>
          </cell>
          <cell r="BH133">
            <v>18.361000000000001</v>
          </cell>
          <cell r="BI133">
            <v>20.419</v>
          </cell>
          <cell r="BJ133">
            <v>16.712</v>
          </cell>
          <cell r="BK133">
            <v>343.33199999999999</v>
          </cell>
          <cell r="BL133">
            <v>344.23200000000003</v>
          </cell>
          <cell r="BM133">
            <v>344.23200000000003</v>
          </cell>
          <cell r="BN133">
            <v>340.452</v>
          </cell>
          <cell r="BO133">
            <v>314.94400000000002</v>
          </cell>
          <cell r="BP133">
            <v>302.52699999999999</v>
          </cell>
          <cell r="BQ133">
            <v>302.52699999999999</v>
          </cell>
          <cell r="BR133">
            <v>302.52699999999999</v>
          </cell>
          <cell r="BS133">
            <v>302.52699999999999</v>
          </cell>
          <cell r="BT133">
            <v>302.52699999999999</v>
          </cell>
          <cell r="BU133">
            <v>302.52699999999999</v>
          </cell>
          <cell r="BV133">
            <v>302.52699999999999</v>
          </cell>
          <cell r="BW133">
            <v>302.52699999999999</v>
          </cell>
          <cell r="BX133">
            <v>302.52699999999999</v>
          </cell>
          <cell r="BY133">
            <v>302.52699999999999</v>
          </cell>
          <cell r="BZ133">
            <v>302.52699999999999</v>
          </cell>
          <cell r="CA133">
            <v>302.52699999999999</v>
          </cell>
          <cell r="CB133">
            <v>302.52699999999999</v>
          </cell>
          <cell r="CC133">
            <v>259.31099999999998</v>
          </cell>
          <cell r="CD133">
            <v>259.31099999999998</v>
          </cell>
          <cell r="CE133">
            <v>259.31099999999998</v>
          </cell>
          <cell r="CF133">
            <v>259.31099999999998</v>
          </cell>
          <cell r="CG133">
            <v>259.31099999999998</v>
          </cell>
        </row>
        <row r="134">
          <cell r="B134" t="str">
            <v>Other liabilities</v>
          </cell>
          <cell r="Y134">
            <v>0</v>
          </cell>
          <cell r="Z134">
            <v>0</v>
          </cell>
          <cell r="AA134">
            <v>0</v>
          </cell>
          <cell r="AB134">
            <v>0</v>
          </cell>
          <cell r="AC134">
            <v>0</v>
          </cell>
          <cell r="AD134">
            <v>0</v>
          </cell>
          <cell r="AE134">
            <v>0.75781500000000002</v>
          </cell>
          <cell r="AF134">
            <v>0.75781500000000002</v>
          </cell>
          <cell r="AG134">
            <v>0.75781500000000002</v>
          </cell>
          <cell r="AH134">
            <v>4.0606390000000001</v>
          </cell>
          <cell r="AI134">
            <v>4.0606390000000001</v>
          </cell>
          <cell r="AJ134">
            <v>6.1733520000000004</v>
          </cell>
          <cell r="AK134">
            <v>4.3762369999999997</v>
          </cell>
          <cell r="AL134">
            <v>4.5049429999999999</v>
          </cell>
          <cell r="AM134">
            <v>5.2960000000000003</v>
          </cell>
          <cell r="AN134">
            <v>5.2960000000000003</v>
          </cell>
          <cell r="AO134">
            <v>5.24</v>
          </cell>
          <cell r="AP134">
            <v>7.6109999999999998</v>
          </cell>
          <cell r="AQ134">
            <v>7.4509999999999996</v>
          </cell>
          <cell r="AR134">
            <v>7.8729999999999993</v>
          </cell>
          <cell r="AS134">
            <v>7.8729999999999993</v>
          </cell>
          <cell r="AT134">
            <v>7.6680000000000001</v>
          </cell>
          <cell r="AU134">
            <v>7.4120000000000008</v>
          </cell>
          <cell r="AV134">
            <v>7.1229999999999993</v>
          </cell>
          <cell r="AW134">
            <v>6.5270000000000001</v>
          </cell>
          <cell r="AX134">
            <v>6.5270000000000001</v>
          </cell>
          <cell r="AY134">
            <v>6.4119999999999999</v>
          </cell>
          <cell r="AZ134">
            <v>5.6000000000000005</v>
          </cell>
          <cell r="BA134">
            <v>5.4649999999999999</v>
          </cell>
          <cell r="BB134">
            <v>10.492000000000001</v>
          </cell>
          <cell r="BC134">
            <v>10.492000000000001</v>
          </cell>
          <cell r="BD134">
            <v>10.231</v>
          </cell>
          <cell r="BE134">
            <v>10.119</v>
          </cell>
          <cell r="BF134">
            <v>10.090999999999999</v>
          </cell>
          <cell r="BG134">
            <v>15.564</v>
          </cell>
          <cell r="BH134">
            <v>15.564</v>
          </cell>
          <cell r="BI134">
            <v>7.3310000000000004</v>
          </cell>
          <cell r="BJ134">
            <v>8.5190000000000001</v>
          </cell>
          <cell r="BK134">
            <v>54.462000000000003</v>
          </cell>
          <cell r="BL134">
            <v>55.936999999999998</v>
          </cell>
          <cell r="BM134">
            <v>55.936999999999998</v>
          </cell>
          <cell r="BN134">
            <v>51.006</v>
          </cell>
          <cell r="BO134">
            <v>73.713999999999999</v>
          </cell>
          <cell r="BP134">
            <v>87.694000000000003</v>
          </cell>
          <cell r="BQ134">
            <v>87.694000000000003</v>
          </cell>
          <cell r="BR134">
            <v>87.694000000000003</v>
          </cell>
          <cell r="BS134">
            <v>87.694000000000003</v>
          </cell>
          <cell r="BT134">
            <v>87.694000000000003</v>
          </cell>
          <cell r="BU134">
            <v>87.694000000000003</v>
          </cell>
          <cell r="BV134">
            <v>87.694000000000003</v>
          </cell>
          <cell r="BW134">
            <v>87.694000000000003</v>
          </cell>
          <cell r="BX134">
            <v>87.694000000000003</v>
          </cell>
          <cell r="BY134">
            <v>87.694000000000003</v>
          </cell>
          <cell r="BZ134">
            <v>87.694000000000003</v>
          </cell>
          <cell r="CA134">
            <v>87.694000000000003</v>
          </cell>
          <cell r="CB134">
            <v>87.694000000000003</v>
          </cell>
          <cell r="CC134">
            <v>97.335999999999999</v>
          </cell>
          <cell r="CD134">
            <v>97.335999999999999</v>
          </cell>
          <cell r="CE134">
            <v>97.335999999999999</v>
          </cell>
          <cell r="CF134">
            <v>97.335999999999999</v>
          </cell>
          <cell r="CG134">
            <v>97.335999999999999</v>
          </cell>
        </row>
        <row r="135">
          <cell r="B135" t="str">
            <v>Total Liabilities</v>
          </cell>
          <cell r="Y135">
            <v>38.206041999999997</v>
          </cell>
          <cell r="Z135">
            <v>19.284185999999998</v>
          </cell>
          <cell r="AA135">
            <v>20.213132000000002</v>
          </cell>
          <cell r="AB135">
            <v>23.784534000000001</v>
          </cell>
          <cell r="AC135">
            <v>21.832801</v>
          </cell>
          <cell r="AD135">
            <v>21.832801</v>
          </cell>
          <cell r="AE135">
            <v>24.629052000000001</v>
          </cell>
          <cell r="AF135">
            <v>24.498137000000003</v>
          </cell>
          <cell r="AG135">
            <v>10.250705000000002</v>
          </cell>
          <cell r="AH135">
            <v>19.734083000000005</v>
          </cell>
          <cell r="AI135">
            <v>19.734083000000005</v>
          </cell>
          <cell r="AJ135">
            <v>25.322866000000001</v>
          </cell>
          <cell r="AK135">
            <v>15.969306999999999</v>
          </cell>
          <cell r="AL135">
            <v>22.246402</v>
          </cell>
          <cell r="AM135">
            <v>27.021999999999998</v>
          </cell>
          <cell r="AN135">
            <v>27.021999999999998</v>
          </cell>
          <cell r="AO135">
            <v>27.141000000000005</v>
          </cell>
          <cell r="AP135">
            <v>240.09599999999998</v>
          </cell>
          <cell r="AQ135">
            <v>224.547</v>
          </cell>
          <cell r="AR135">
            <v>234.18</v>
          </cell>
          <cell r="AS135">
            <v>234.18</v>
          </cell>
          <cell r="AT135">
            <v>229.303</v>
          </cell>
          <cell r="AU135">
            <v>224.85200000000003</v>
          </cell>
          <cell r="AV135">
            <v>228.709</v>
          </cell>
          <cell r="AW135">
            <v>203.58599999999998</v>
          </cell>
          <cell r="AX135">
            <v>203.58599999999998</v>
          </cell>
          <cell r="AY135">
            <v>207.08300000000003</v>
          </cell>
          <cell r="AZ135">
            <v>218.92999999999998</v>
          </cell>
          <cell r="BA135">
            <v>232.31400000000005</v>
          </cell>
          <cell r="BB135">
            <v>263.053</v>
          </cell>
          <cell r="BC135">
            <v>263.053</v>
          </cell>
          <cell r="BD135">
            <v>316.12899999999996</v>
          </cell>
          <cell r="BE135">
            <v>320.76600000000008</v>
          </cell>
          <cell r="BF135">
            <v>357.62</v>
          </cell>
          <cell r="BG135">
            <v>379.26900000000001</v>
          </cell>
          <cell r="BH135">
            <v>379.26900000000001</v>
          </cell>
          <cell r="BI135">
            <v>572.83899999999994</v>
          </cell>
          <cell r="BJ135">
            <v>585.38299999999992</v>
          </cell>
          <cell r="BK135">
            <v>2820.3310000000001</v>
          </cell>
          <cell r="BL135">
            <v>2775.2659999999996</v>
          </cell>
          <cell r="BM135">
            <v>2775.2659999999996</v>
          </cell>
          <cell r="BN135">
            <v>2619.645</v>
          </cell>
          <cell r="BO135">
            <v>2594.5419999999999</v>
          </cell>
          <cell r="BP135">
            <v>2660.223</v>
          </cell>
          <cell r="BQ135">
            <v>2670.8649895569897</v>
          </cell>
          <cell r="BR135">
            <v>2670.8649895569897</v>
          </cell>
          <cell r="BS135">
            <v>2863.153742208448</v>
          </cell>
          <cell r="BT135">
            <v>3003.1557821393521</v>
          </cell>
          <cell r="BU135">
            <v>3064.3637303007508</v>
          </cell>
          <cell r="BV135">
            <v>3096.7183544706677</v>
          </cell>
          <cell r="BW135">
            <v>3096.7183544706677</v>
          </cell>
          <cell r="BX135">
            <v>2984.5993429532741</v>
          </cell>
          <cell r="BY135">
            <v>3172.1594486305485</v>
          </cell>
          <cell r="BZ135">
            <v>3282.0565501438482</v>
          </cell>
          <cell r="CA135">
            <v>3318.8778733141094</v>
          </cell>
          <cell r="CB135">
            <v>3318.8778733141094</v>
          </cell>
          <cell r="CC135">
            <v>4347.1254723192278</v>
          </cell>
          <cell r="CD135">
            <v>4541.7588084066238</v>
          </cell>
          <cell r="CE135">
            <v>4695.7039333302746</v>
          </cell>
          <cell r="CF135">
            <v>4573.8173542969425</v>
          </cell>
          <cell r="CG135">
            <v>4573.8173542969425</v>
          </cell>
        </row>
        <row r="137">
          <cell r="B137" t="str">
            <v>Equity</v>
          </cell>
        </row>
        <row r="138">
          <cell r="B138" t="str">
            <v>Common shares</v>
          </cell>
          <cell r="Y138">
            <v>45.695433000000001</v>
          </cell>
          <cell r="Z138">
            <v>45.701593000000003</v>
          </cell>
          <cell r="AA138">
            <v>45.707965999999999</v>
          </cell>
          <cell r="AB138">
            <v>45.745497</v>
          </cell>
          <cell r="AC138">
            <v>64.047219999999996</v>
          </cell>
          <cell r="AD138">
            <v>64.047219999999996</v>
          </cell>
          <cell r="AE138">
            <v>64.129216999999997</v>
          </cell>
          <cell r="AF138">
            <v>99.194103999999996</v>
          </cell>
          <cell r="AG138">
            <v>99.670226</v>
          </cell>
          <cell r="AH138">
            <v>99.839769000000004</v>
          </cell>
          <cell r="AI138">
            <v>99.839769000000004</v>
          </cell>
          <cell r="AJ138">
            <v>101.067404</v>
          </cell>
          <cell r="AK138">
            <v>102.86080200000001</v>
          </cell>
          <cell r="AL138">
            <v>103.130961</v>
          </cell>
          <cell r="AM138">
            <v>103.52</v>
          </cell>
          <cell r="AN138">
            <v>103.52</v>
          </cell>
          <cell r="AO138">
            <v>103.82299999999999</v>
          </cell>
          <cell r="AP138">
            <v>144.63800000000001</v>
          </cell>
          <cell r="AQ138">
            <v>146.20699999999999</v>
          </cell>
          <cell r="AR138">
            <v>146.988</v>
          </cell>
          <cell r="AS138">
            <v>146.988</v>
          </cell>
          <cell r="AT138">
            <v>150.495</v>
          </cell>
          <cell r="AU138">
            <v>153.32</v>
          </cell>
          <cell r="AV138">
            <v>360.13099999999997</v>
          </cell>
          <cell r="AW138">
            <v>361.53</v>
          </cell>
          <cell r="AX138">
            <v>361.53</v>
          </cell>
          <cell r="AY138">
            <v>366.90800000000002</v>
          </cell>
          <cell r="AZ138">
            <v>369.86900000000003</v>
          </cell>
          <cell r="BA138">
            <v>370.947</v>
          </cell>
          <cell r="BB138">
            <v>381.73599999999999</v>
          </cell>
          <cell r="BC138">
            <v>381.73599999999999</v>
          </cell>
          <cell r="BD138">
            <v>385.77499999999998</v>
          </cell>
          <cell r="BE138">
            <v>392.98099999999999</v>
          </cell>
          <cell r="BF138">
            <v>393.61599999999999</v>
          </cell>
          <cell r="BG138">
            <v>394.76900000000001</v>
          </cell>
          <cell r="BH138">
            <v>394.76900000000001</v>
          </cell>
          <cell r="BI138">
            <v>411.82600000000002</v>
          </cell>
          <cell r="BJ138">
            <v>936.24699999999996</v>
          </cell>
          <cell r="BK138">
            <v>4177.8040000000001</v>
          </cell>
          <cell r="BL138">
            <v>4180.7780000000002</v>
          </cell>
          <cell r="BM138">
            <v>4180.7780000000002</v>
          </cell>
          <cell r="BN138">
            <v>4202.8010000000004</v>
          </cell>
          <cell r="BO138">
            <v>4208.2280000000001</v>
          </cell>
          <cell r="BP138">
            <v>4215.1390000000001</v>
          </cell>
          <cell r="BQ138">
            <v>4215.1390000000001</v>
          </cell>
          <cell r="BR138">
            <v>4215.1390000000001</v>
          </cell>
          <cell r="BS138">
            <v>4215.1390000000001</v>
          </cell>
          <cell r="BT138">
            <v>4215.1390000000001</v>
          </cell>
          <cell r="BU138">
            <v>4215.1390000000001</v>
          </cell>
          <cell r="BV138">
            <v>4215.1390000000001</v>
          </cell>
          <cell r="BW138">
            <v>4215.1390000000001</v>
          </cell>
          <cell r="BX138">
            <v>4215.1390000000001</v>
          </cell>
          <cell r="BY138">
            <v>4215.1390000000001</v>
          </cell>
          <cell r="BZ138">
            <v>4215.1390000000001</v>
          </cell>
          <cell r="CA138">
            <v>4215.1390000000001</v>
          </cell>
          <cell r="CB138">
            <v>4215.1390000000001</v>
          </cell>
          <cell r="CC138">
            <v>4264.4440000000004</v>
          </cell>
          <cell r="CD138">
            <v>4264.4440000000004</v>
          </cell>
          <cell r="CE138">
            <v>4264.4440000000004</v>
          </cell>
          <cell r="CF138">
            <v>4264.4440000000004</v>
          </cell>
          <cell r="CG138">
            <v>4264.4440000000004</v>
          </cell>
        </row>
        <row r="139">
          <cell r="B139" t="str">
            <v>Additional paid in capital</v>
          </cell>
          <cell r="Y139">
            <v>0.87439299999999998</v>
          </cell>
          <cell r="Z139">
            <v>1.0129300000000001</v>
          </cell>
          <cell r="AA139">
            <v>1.242597</v>
          </cell>
          <cell r="AB139">
            <v>1.4693879999999999</v>
          </cell>
          <cell r="AC139">
            <v>1.718372</v>
          </cell>
          <cell r="AD139">
            <v>1.718372</v>
          </cell>
          <cell r="AE139">
            <v>2.1972290000000001</v>
          </cell>
          <cell r="AF139">
            <v>2.6321050000000001</v>
          </cell>
          <cell r="AG139">
            <v>2.4214829999999998</v>
          </cell>
          <cell r="AH139">
            <v>4.4184609999999997</v>
          </cell>
          <cell r="AI139">
            <v>4.4184609999999997</v>
          </cell>
          <cell r="AJ139">
            <v>4.4329270000000003</v>
          </cell>
          <cell r="AK139">
            <v>6.7938739999999997</v>
          </cell>
          <cell r="AL139">
            <v>7.9933040000000002</v>
          </cell>
          <cell r="AM139">
            <v>8.2989999999999995</v>
          </cell>
          <cell r="AN139">
            <v>8.2989999999999995</v>
          </cell>
          <cell r="AO139">
            <v>8.9920000000000009</v>
          </cell>
          <cell r="AP139">
            <v>10.295</v>
          </cell>
          <cell r="AQ139">
            <v>11.449</v>
          </cell>
          <cell r="AR139">
            <v>11.423999999999999</v>
          </cell>
          <cell r="AS139">
            <v>11.423999999999999</v>
          </cell>
          <cell r="AT139">
            <v>12.467000000000001</v>
          </cell>
          <cell r="AU139">
            <v>13.053000000000001</v>
          </cell>
          <cell r="AV139">
            <v>14.257</v>
          </cell>
          <cell r="AW139">
            <v>15.152000000000001</v>
          </cell>
          <cell r="AX139">
            <v>15.152000000000001</v>
          </cell>
          <cell r="AY139">
            <v>18.888000000000002</v>
          </cell>
          <cell r="AZ139">
            <v>20.010000000000002</v>
          </cell>
          <cell r="BA139">
            <v>21.373999999999999</v>
          </cell>
          <cell r="BB139">
            <v>24.972999999999999</v>
          </cell>
          <cell r="BC139">
            <v>24.972999999999999</v>
          </cell>
          <cell r="BD139">
            <v>27.698</v>
          </cell>
          <cell r="BE139">
            <v>31.954999999999998</v>
          </cell>
          <cell r="BF139">
            <v>34.213000000000001</v>
          </cell>
          <cell r="BG139">
            <v>37.936</v>
          </cell>
          <cell r="BH139">
            <v>37.936</v>
          </cell>
          <cell r="BI139">
            <v>34.790999999999997</v>
          </cell>
          <cell r="BJ139">
            <v>37.616</v>
          </cell>
          <cell r="BK139">
            <v>65.290999999999997</v>
          </cell>
          <cell r="BL139">
            <v>73.53</v>
          </cell>
          <cell r="BM139">
            <v>73.53</v>
          </cell>
          <cell r="BN139">
            <v>63.863999999999997</v>
          </cell>
          <cell r="BO139">
            <v>70.617999999999995</v>
          </cell>
          <cell r="BP139">
            <v>72.825000000000003</v>
          </cell>
          <cell r="BQ139">
            <v>72.825000000000003</v>
          </cell>
          <cell r="BR139">
            <v>72.825000000000003</v>
          </cell>
          <cell r="BS139">
            <v>72.825000000000003</v>
          </cell>
          <cell r="BT139">
            <v>72.825000000000003</v>
          </cell>
          <cell r="BU139">
            <v>72.825000000000003</v>
          </cell>
          <cell r="BV139">
            <v>72.825000000000003</v>
          </cell>
          <cell r="BW139">
            <v>72.825000000000003</v>
          </cell>
          <cell r="BX139">
            <v>72.825000000000003</v>
          </cell>
          <cell r="BY139">
            <v>72.825000000000003</v>
          </cell>
          <cell r="BZ139">
            <v>72.825000000000003</v>
          </cell>
          <cell r="CA139">
            <v>72.825000000000003</v>
          </cell>
          <cell r="CB139">
            <v>72.825000000000003</v>
          </cell>
          <cell r="CC139">
            <v>65.953000000000003</v>
          </cell>
          <cell r="CD139">
            <v>65.953000000000003</v>
          </cell>
          <cell r="CE139">
            <v>65.953000000000003</v>
          </cell>
          <cell r="CF139">
            <v>65.953000000000003</v>
          </cell>
          <cell r="CG139">
            <v>65.953000000000003</v>
          </cell>
        </row>
        <row r="140">
          <cell r="B140" t="str">
            <v>Retained earnings</v>
          </cell>
          <cell r="Y140">
            <v>-14.016920000000001</v>
          </cell>
          <cell r="Z140">
            <v>-14.001314000000001</v>
          </cell>
          <cell r="AA140">
            <v>-12.454898999999999</v>
          </cell>
          <cell r="AB140">
            <v>-10.244918</v>
          </cell>
          <cell r="AC140">
            <v>-6.2947839999999999</v>
          </cell>
          <cell r="AD140">
            <v>-6.2947839999999999</v>
          </cell>
          <cell r="AE140">
            <v>-0.718252</v>
          </cell>
          <cell r="AF140">
            <v>1.396293</v>
          </cell>
          <cell r="AG140">
            <v>3.9399099999999998</v>
          </cell>
          <cell r="AH140">
            <v>7.2318340000000001</v>
          </cell>
          <cell r="AI140">
            <v>7.2318340000000001</v>
          </cell>
          <cell r="AJ140">
            <v>10.963969000000001</v>
          </cell>
          <cell r="AK140">
            <v>13.919200999999999</v>
          </cell>
          <cell r="AL140">
            <v>16.583333</v>
          </cell>
          <cell r="AM140">
            <v>20.638000000000002</v>
          </cell>
          <cell r="AN140">
            <v>20.638000000000002</v>
          </cell>
          <cell r="AO140">
            <v>23.995000000000001</v>
          </cell>
          <cell r="AP140">
            <v>27.262</v>
          </cell>
          <cell r="AQ140">
            <v>30.800999999999998</v>
          </cell>
          <cell r="AR140">
            <v>35.750999999999998</v>
          </cell>
          <cell r="AS140">
            <v>35.750999999999998</v>
          </cell>
          <cell r="AT140">
            <v>43.433</v>
          </cell>
          <cell r="AU140">
            <v>55.41</v>
          </cell>
          <cell r="AV140">
            <v>66.619</v>
          </cell>
          <cell r="AW140">
            <v>81.811999999999998</v>
          </cell>
          <cell r="AX140">
            <v>81.811999999999998</v>
          </cell>
          <cell r="AY140">
            <v>96.603999999999999</v>
          </cell>
          <cell r="AZ140">
            <v>113.749</v>
          </cell>
          <cell r="BA140">
            <v>129.92500000000001</v>
          </cell>
          <cell r="BB140">
            <v>146.547</v>
          </cell>
          <cell r="BC140">
            <v>146.547</v>
          </cell>
          <cell r="BD140">
            <v>164.81800000000001</v>
          </cell>
          <cell r="BE140">
            <v>186.38300000000001</v>
          </cell>
          <cell r="BF140">
            <v>211.649</v>
          </cell>
          <cell r="BG140">
            <v>238.333</v>
          </cell>
          <cell r="BH140">
            <v>238.333</v>
          </cell>
          <cell r="BI140">
            <v>264.67500000000001</v>
          </cell>
          <cell r="BJ140">
            <v>291.98500000000001</v>
          </cell>
          <cell r="BK140">
            <v>312.46199999999999</v>
          </cell>
          <cell r="BL140">
            <v>352.8</v>
          </cell>
          <cell r="BM140">
            <v>352.8</v>
          </cell>
          <cell r="BN140">
            <v>404.46899999999999</v>
          </cell>
          <cell r="BO140">
            <v>468.673</v>
          </cell>
          <cell r="BP140">
            <v>540.75800000000004</v>
          </cell>
          <cell r="BQ140">
            <v>620.59124075086891</v>
          </cell>
          <cell r="BR140">
            <v>620.59124075086891</v>
          </cell>
          <cell r="BS140">
            <v>694.79615235309723</v>
          </cell>
          <cell r="BT140">
            <v>791.39971362307824</v>
          </cell>
          <cell r="BU140">
            <v>875.2954419311568</v>
          </cell>
          <cell r="BV140">
            <v>990.97975863723866</v>
          </cell>
          <cell r="BW140">
            <v>990.97975863723866</v>
          </cell>
          <cell r="BX140">
            <v>1085.3441099188292</v>
          </cell>
          <cell r="BY140">
            <v>1204.2601663789196</v>
          </cell>
          <cell r="BZ140">
            <v>1306.1354591125207</v>
          </cell>
          <cell r="CA140">
            <v>1446.2845033675205</v>
          </cell>
          <cell r="CB140">
            <v>1446.2845033675205</v>
          </cell>
          <cell r="CC140">
            <v>1423.6678422917648</v>
          </cell>
          <cell r="CD140">
            <v>1551.1425276437144</v>
          </cell>
          <cell r="CE140">
            <v>1654.3347103877811</v>
          </cell>
          <cell r="CF140">
            <v>1773.3934440520454</v>
          </cell>
          <cell r="CG140">
            <v>1773.3934440520454</v>
          </cell>
        </row>
        <row r="141">
          <cell r="B141" t="str">
            <v>Total Equity</v>
          </cell>
          <cell r="Y141">
            <v>32.552906</v>
          </cell>
          <cell r="Z141">
            <v>32.713209000000006</v>
          </cell>
          <cell r="AA141">
            <v>34.495663999999998</v>
          </cell>
          <cell r="AB141">
            <v>36.969966999999997</v>
          </cell>
          <cell r="AC141">
            <v>59.470807999999998</v>
          </cell>
          <cell r="AD141">
            <v>59.470807999999998</v>
          </cell>
          <cell r="AE141">
            <v>65.608193999999997</v>
          </cell>
          <cell r="AF141">
            <v>103.22250199999999</v>
          </cell>
          <cell r="AG141">
            <v>106.03161900000001</v>
          </cell>
          <cell r="AH141">
            <v>111.490064</v>
          </cell>
          <cell r="AI141">
            <v>111.490064</v>
          </cell>
          <cell r="AJ141">
            <v>116.46429999999999</v>
          </cell>
          <cell r="AK141">
            <v>123.57387700000001</v>
          </cell>
          <cell r="AL141">
            <v>127.70759799999999</v>
          </cell>
          <cell r="AM141">
            <v>132.45699999999999</v>
          </cell>
          <cell r="AN141">
            <v>132.45699999999999</v>
          </cell>
          <cell r="AO141">
            <v>136.81</v>
          </cell>
          <cell r="AP141">
            <v>182.19499999999999</v>
          </cell>
          <cell r="AQ141">
            <v>188.45699999999999</v>
          </cell>
          <cell r="AR141">
            <v>194.16300000000001</v>
          </cell>
          <cell r="AS141">
            <v>194.16300000000001</v>
          </cell>
          <cell r="AT141">
            <v>206.39500000000001</v>
          </cell>
          <cell r="AU141">
            <v>221.78299999999999</v>
          </cell>
          <cell r="AV141">
            <v>441.00699999999995</v>
          </cell>
          <cell r="AW141">
            <v>458.49399999999997</v>
          </cell>
          <cell r="AX141">
            <v>458.49399999999997</v>
          </cell>
          <cell r="AY141">
            <v>482.40000000000003</v>
          </cell>
          <cell r="AZ141">
            <v>503.62800000000004</v>
          </cell>
          <cell r="BA141">
            <v>522.24599999999998</v>
          </cell>
          <cell r="BB141">
            <v>553.25599999999997</v>
          </cell>
          <cell r="BC141">
            <v>553.25599999999997</v>
          </cell>
          <cell r="BD141">
            <v>578.29099999999994</v>
          </cell>
          <cell r="BE141">
            <v>611.31899999999996</v>
          </cell>
          <cell r="BF141">
            <v>639.47799999999995</v>
          </cell>
          <cell r="BG141">
            <v>671.03800000000001</v>
          </cell>
          <cell r="BH141">
            <v>671.03800000000001</v>
          </cell>
          <cell r="BI141">
            <v>711.29200000000003</v>
          </cell>
          <cell r="BJ141">
            <v>1265.848</v>
          </cell>
          <cell r="BK141">
            <v>4555.5569999999998</v>
          </cell>
          <cell r="BL141">
            <v>4607.1080000000002</v>
          </cell>
          <cell r="BM141">
            <v>4607.1080000000002</v>
          </cell>
          <cell r="BN141">
            <v>4671.134</v>
          </cell>
          <cell r="BO141">
            <v>4747.5190000000002</v>
          </cell>
          <cell r="BP141">
            <v>4828.7219999999998</v>
          </cell>
          <cell r="BQ141">
            <v>4908.5552407508694</v>
          </cell>
          <cell r="BR141">
            <v>4908.5552407508694</v>
          </cell>
          <cell r="BS141">
            <v>4982.7601523530975</v>
          </cell>
          <cell r="BT141">
            <v>5079.3637136230782</v>
          </cell>
          <cell r="BU141">
            <v>5163.2594419311572</v>
          </cell>
          <cell r="BV141">
            <v>5278.9437586372387</v>
          </cell>
          <cell r="BW141">
            <v>5278.9437586372387</v>
          </cell>
          <cell r="BX141">
            <v>5373.3081099188294</v>
          </cell>
          <cell r="BY141">
            <v>5492.22416637892</v>
          </cell>
          <cell r="BZ141">
            <v>5594.0994591125209</v>
          </cell>
          <cell r="CA141">
            <v>5734.2485033675202</v>
          </cell>
          <cell r="CB141">
            <v>5734.2485033675202</v>
          </cell>
          <cell r="CC141">
            <v>5754.0648422917657</v>
          </cell>
          <cell r="CD141">
            <v>5881.5395276437148</v>
          </cell>
          <cell r="CE141">
            <v>5984.7317103877813</v>
          </cell>
          <cell r="CF141">
            <v>6103.790444052046</v>
          </cell>
          <cell r="CG141">
            <v>6103.790444052046</v>
          </cell>
        </row>
        <row r="142">
          <cell r="B142" t="str">
            <v>Total liabilities and equity</v>
          </cell>
          <cell r="Y142">
            <v>70.758948000000004</v>
          </cell>
          <cell r="Z142">
            <v>51.997395000000004</v>
          </cell>
          <cell r="AA142">
            <v>54.708796</v>
          </cell>
          <cell r="AB142">
            <v>60.754500999999998</v>
          </cell>
          <cell r="AC142">
            <v>81.303608999999994</v>
          </cell>
          <cell r="AD142">
            <v>81.303608999999994</v>
          </cell>
          <cell r="AE142">
            <v>90.237245999999999</v>
          </cell>
          <cell r="AF142">
            <v>127.72063899999999</v>
          </cell>
          <cell r="AG142">
            <v>116.282324</v>
          </cell>
          <cell r="AH142">
            <v>131.22414700000002</v>
          </cell>
          <cell r="AI142">
            <v>131.22414700000002</v>
          </cell>
          <cell r="AJ142">
            <v>141.78716599999998</v>
          </cell>
          <cell r="AK142">
            <v>139.543184</v>
          </cell>
          <cell r="AL142">
            <v>149.95399999999998</v>
          </cell>
          <cell r="AM142">
            <v>159.47899999999998</v>
          </cell>
          <cell r="AN142">
            <v>159.47899999999998</v>
          </cell>
          <cell r="AO142">
            <v>163.95100000000002</v>
          </cell>
          <cell r="AP142">
            <v>422.29099999999994</v>
          </cell>
          <cell r="AQ142">
            <v>413.00400000000002</v>
          </cell>
          <cell r="AR142">
            <v>428.34300000000002</v>
          </cell>
          <cell r="AS142">
            <v>428.34300000000002</v>
          </cell>
          <cell r="AT142">
            <v>435.69799999999998</v>
          </cell>
          <cell r="AU142">
            <v>446.63499999999999</v>
          </cell>
          <cell r="AV142">
            <v>669.71599999999989</v>
          </cell>
          <cell r="AW142">
            <v>662.07999999999993</v>
          </cell>
          <cell r="AX142">
            <v>662.07999999999993</v>
          </cell>
          <cell r="AY142">
            <v>689.48300000000006</v>
          </cell>
          <cell r="AZ142">
            <v>722.55799999999999</v>
          </cell>
          <cell r="BA142">
            <v>754.56000000000006</v>
          </cell>
          <cell r="BB142">
            <v>816.30899999999997</v>
          </cell>
          <cell r="BC142">
            <v>816.30899999999997</v>
          </cell>
          <cell r="BD142">
            <v>894.41999999999985</v>
          </cell>
          <cell r="BE142">
            <v>932.08500000000004</v>
          </cell>
          <cell r="BF142">
            <v>997.09799999999996</v>
          </cell>
          <cell r="BG142">
            <v>1050.307</v>
          </cell>
          <cell r="BH142">
            <v>1050.307</v>
          </cell>
          <cell r="BI142">
            <v>1284.1309999999999</v>
          </cell>
          <cell r="BJ142">
            <v>1851.2309999999998</v>
          </cell>
          <cell r="BK142">
            <v>7375.8879999999999</v>
          </cell>
          <cell r="BL142">
            <v>7382.3739999999998</v>
          </cell>
          <cell r="BM142">
            <v>7382.3739999999998</v>
          </cell>
          <cell r="BN142">
            <v>7290.7790000000005</v>
          </cell>
          <cell r="BO142">
            <v>7342.0609999999997</v>
          </cell>
          <cell r="BP142">
            <v>7488.9449999999997</v>
          </cell>
          <cell r="BQ142">
            <v>7579.4202303078591</v>
          </cell>
          <cell r="BR142">
            <v>7579.4202303078591</v>
          </cell>
          <cell r="BS142">
            <v>7845.913894561545</v>
          </cell>
          <cell r="BT142">
            <v>8082.5194957624299</v>
          </cell>
          <cell r="BU142">
            <v>8227.623172231908</v>
          </cell>
          <cell r="BV142">
            <v>8375.6621131079064</v>
          </cell>
          <cell r="BW142">
            <v>8375.6621131079064</v>
          </cell>
          <cell r="BX142">
            <v>8357.907452872103</v>
          </cell>
          <cell r="BY142">
            <v>8664.3836150094685</v>
          </cell>
          <cell r="BZ142">
            <v>8876.1560092563686</v>
          </cell>
          <cell r="CA142">
            <v>9053.1263766816301</v>
          </cell>
          <cell r="CB142">
            <v>9053.1263766816301</v>
          </cell>
          <cell r="CC142">
            <v>10101.190314610994</v>
          </cell>
          <cell r="CD142">
            <v>10423.298336050339</v>
          </cell>
          <cell r="CE142">
            <v>10680.435643718056</v>
          </cell>
          <cell r="CF142">
            <v>10677.607798348989</v>
          </cell>
          <cell r="CG142">
            <v>10677.607798348989</v>
          </cell>
        </row>
        <row r="143">
          <cell r="B143" t="str">
            <v>Non-controlling Interest</v>
          </cell>
          <cell r="BK143">
            <v>-2.68</v>
          </cell>
          <cell r="BL143">
            <v>2.7530000000000001</v>
          </cell>
          <cell r="BM143">
            <v>2.7530000000000001</v>
          </cell>
          <cell r="BN143">
            <v>6.0149999999999997</v>
          </cell>
          <cell r="BO143">
            <v>5.7510000000000003</v>
          </cell>
          <cell r="BP143">
            <v>3.9409999999999998</v>
          </cell>
          <cell r="BQ143">
            <v>3.9409999999999998</v>
          </cell>
          <cell r="BR143">
            <v>3.9409999999999998</v>
          </cell>
          <cell r="BS143">
            <v>3.9409999999999998</v>
          </cell>
          <cell r="BT143">
            <v>3.9409999999999998</v>
          </cell>
          <cell r="BU143">
            <v>3.9409999999999998</v>
          </cell>
          <cell r="BV143">
            <v>3.9409999999999998</v>
          </cell>
          <cell r="BW143">
            <v>3.9409999999999998</v>
          </cell>
          <cell r="BX143">
            <v>3.9409999999999998</v>
          </cell>
          <cell r="BY143">
            <v>3.9409999999999998</v>
          </cell>
          <cell r="BZ143">
            <v>3.9409999999999998</v>
          </cell>
          <cell r="CA143">
            <v>3.9409999999999998</v>
          </cell>
          <cell r="CB143">
            <v>3.9409999999999998</v>
          </cell>
          <cell r="CC143">
            <v>8.2609999999999992</v>
          </cell>
          <cell r="CD143">
            <v>8.2609999999999992</v>
          </cell>
          <cell r="CE143">
            <v>8.2609999999999992</v>
          </cell>
          <cell r="CF143">
            <v>8.2609999999999992</v>
          </cell>
          <cell r="CG143">
            <v>8.2609999999999992</v>
          </cell>
        </row>
        <row r="144">
          <cell r="B144" t="str">
            <v>BS check: Assets, Liab + Equity</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6.1861626932113722E-13</v>
          </cell>
          <cell r="BL144">
            <v>-2.9842794901924208E-13</v>
          </cell>
          <cell r="BM144">
            <v>6.1106675275368616E-13</v>
          </cell>
          <cell r="BN144">
            <v>-5.8175686490358203E-13</v>
          </cell>
          <cell r="BO144">
            <v>-1.6155965454345278E-12</v>
          </cell>
          <cell r="BP144">
            <v>-1.9628743075372768E-13</v>
          </cell>
          <cell r="BQ144">
            <v>-1.9628743075372768E-13</v>
          </cell>
          <cell r="BR144">
            <v>-1.1057821325266559E-12</v>
          </cell>
          <cell r="BS144">
            <v>-1.9628743075372768E-13</v>
          </cell>
          <cell r="BT144">
            <v>7.1320727101920056E-13</v>
          </cell>
          <cell r="BU144">
            <v>-2.9247715360725124E-12</v>
          </cell>
          <cell r="BV144">
            <v>-1.1057821325266559E-12</v>
          </cell>
          <cell r="BW144">
            <v>-1.1057821325266559E-12</v>
          </cell>
          <cell r="BX144">
            <v>-1.1057821325266559E-12</v>
          </cell>
          <cell r="BY144">
            <v>-1.1057821325266559E-12</v>
          </cell>
          <cell r="BZ144">
            <v>-2.9247715360725124E-12</v>
          </cell>
          <cell r="CA144">
            <v>-2.9247715360725124E-12</v>
          </cell>
          <cell r="CB144">
            <v>-2.9247715360725124E-12</v>
          </cell>
          <cell r="CC144">
            <v>3.5388560578653028E-4</v>
          </cell>
          <cell r="CD144">
            <v>3.5388560760551968E-4</v>
          </cell>
          <cell r="CE144">
            <v>3.5388560760551968E-4</v>
          </cell>
          <cell r="CF144">
            <v>3.5388560760551968E-4</v>
          </cell>
          <cell r="CG144">
            <v>3.5388560760551968E-4</v>
          </cell>
        </row>
        <row r="146">
          <cell r="B146" t="str">
            <v>Days receivable</v>
          </cell>
          <cell r="Y146">
            <v>95.45661413501206</v>
          </cell>
          <cell r="Z146">
            <v>67.686010185509488</v>
          </cell>
          <cell r="AA146">
            <v>68.526220446166704</v>
          </cell>
          <cell r="AB146">
            <v>57.816923285494916</v>
          </cell>
          <cell r="AC146">
            <v>47.516499580126435</v>
          </cell>
          <cell r="AD146">
            <v>58.333338229584903</v>
          </cell>
          <cell r="AE146">
            <v>63.943074311404573</v>
          </cell>
          <cell r="AF146">
            <v>64.24497882098062</v>
          </cell>
          <cell r="AG146">
            <v>60.866267307162346</v>
          </cell>
          <cell r="AH146">
            <v>59.328472362897543</v>
          </cell>
          <cell r="AI146">
            <v>64.551785586298081</v>
          </cell>
          <cell r="AJ146">
            <v>58.986323081983393</v>
          </cell>
          <cell r="AK146">
            <v>57.259869033697157</v>
          </cell>
          <cell r="AL146">
            <v>74.752530843351792</v>
          </cell>
          <cell r="AM146">
            <v>69.700556216032609</v>
          </cell>
          <cell r="AN146">
            <v>70.47632847130545</v>
          </cell>
          <cell r="AO146">
            <v>62.967265698893783</v>
          </cell>
          <cell r="AP146">
            <v>30.265488134179272</v>
          </cell>
          <cell r="AQ146">
            <v>23.095270841650919</v>
          </cell>
          <cell r="AR146">
            <v>25.100092736178382</v>
          </cell>
          <cell r="AS146">
            <v>34.062448214763734</v>
          </cell>
          <cell r="AT146">
            <v>26.462688170195221</v>
          </cell>
          <cell r="AU146">
            <v>23.041670952438839</v>
          </cell>
          <cell r="AV146">
            <v>21.432730640968479</v>
          </cell>
          <cell r="AW146">
            <v>20.033931777783796</v>
          </cell>
          <cell r="AX146">
            <v>24.693876274299093</v>
          </cell>
          <cell r="AY146">
            <v>21.91886561479869</v>
          </cell>
          <cell r="AZ146">
            <v>19.781878459722261</v>
          </cell>
          <cell r="BA146">
            <v>20.584621123362496</v>
          </cell>
          <cell r="BB146">
            <v>21.159729023368108</v>
          </cell>
          <cell r="BC146">
            <v>22.887574240859625</v>
          </cell>
          <cell r="BD146">
            <v>16.66738296837249</v>
          </cell>
          <cell r="BE146">
            <v>17.094821206248312</v>
          </cell>
          <cell r="BF146">
            <v>15.438190889387783</v>
          </cell>
          <cell r="BG146">
            <v>15.914804818812144</v>
          </cell>
          <cell r="BH146">
            <v>15.914804818812144</v>
          </cell>
          <cell r="BI146">
            <v>15.54249920068581</v>
          </cell>
          <cell r="BJ146">
            <v>15.440767561929473</v>
          </cell>
          <cell r="BK146">
            <v>19.335437965011689</v>
          </cell>
          <cell r="BL146">
            <v>19.891658081897198</v>
          </cell>
          <cell r="BM146">
            <v>19.891658081897198</v>
          </cell>
          <cell r="BN146">
            <v>20.61700705900769</v>
          </cell>
          <cell r="BO146">
            <v>20.007536365046249</v>
          </cell>
          <cell r="BP146">
            <v>21.408383109933517</v>
          </cell>
          <cell r="BQ146">
            <v>21.408383109933517</v>
          </cell>
          <cell r="BR146">
            <v>21.408383109933517</v>
          </cell>
          <cell r="BS146">
            <v>23.408383109933517</v>
          </cell>
          <cell r="BT146">
            <v>23.408383109933517</v>
          </cell>
          <cell r="BU146">
            <v>23.408383109933517</v>
          </cell>
          <cell r="BV146">
            <v>23.408383109933517</v>
          </cell>
          <cell r="BW146">
            <v>23.408383109933517</v>
          </cell>
          <cell r="BX146">
            <v>23.108383109933516</v>
          </cell>
          <cell r="BY146">
            <v>23.108383109933516</v>
          </cell>
          <cell r="BZ146">
            <v>23.108383109933516</v>
          </cell>
          <cell r="CA146">
            <v>23.108383109933516</v>
          </cell>
          <cell r="CB146">
            <v>23.108383109933516</v>
          </cell>
          <cell r="CC146">
            <v>20.744006131317153</v>
          </cell>
          <cell r="CD146">
            <v>20.744006131317153</v>
          </cell>
          <cell r="CE146">
            <v>20.744006131317153</v>
          </cell>
          <cell r="CF146">
            <v>20.744006131317153</v>
          </cell>
          <cell r="CG146">
            <v>20.744006131317153</v>
          </cell>
        </row>
        <row r="147">
          <cell r="B147" t="str">
            <v>Rebates receivable</v>
          </cell>
          <cell r="Y147" t="str">
            <v>NM</v>
          </cell>
          <cell r="Z147" t="str">
            <v>NM</v>
          </cell>
          <cell r="AA147" t="str">
            <v>NM</v>
          </cell>
          <cell r="AB147" t="str">
            <v>NM</v>
          </cell>
          <cell r="AC147" t="str">
            <v>NM</v>
          </cell>
          <cell r="AD147" t="str">
            <v>NM</v>
          </cell>
          <cell r="AE147" t="str">
            <v>NM</v>
          </cell>
          <cell r="AF147" t="str">
            <v>NM</v>
          </cell>
          <cell r="AG147" t="str">
            <v>NM</v>
          </cell>
          <cell r="AH147" t="str">
            <v>NM</v>
          </cell>
          <cell r="AI147" t="str">
            <v>NM</v>
          </cell>
          <cell r="AJ147" t="str">
            <v>NM</v>
          </cell>
          <cell r="AK147" t="str">
            <v>NM</v>
          </cell>
          <cell r="AL147" t="str">
            <v>NM</v>
          </cell>
          <cell r="AM147" t="str">
            <v>NM</v>
          </cell>
          <cell r="AN147" t="str">
            <v>NM</v>
          </cell>
          <cell r="AO147" t="str">
            <v>NM</v>
          </cell>
          <cell r="AP147">
            <v>11.603351069022747</v>
          </cell>
          <cell r="AQ147">
            <v>7.4264329795610706</v>
          </cell>
          <cell r="AR147">
            <v>10.006310183023105</v>
          </cell>
          <cell r="AS147">
            <v>13.991099191542286</v>
          </cell>
          <cell r="AT147">
            <v>8.1398489431622973</v>
          </cell>
          <cell r="AU147">
            <v>6.9893775560893623</v>
          </cell>
          <cell r="AV147">
            <v>5.2525680261166583</v>
          </cell>
          <cell r="AW147">
            <v>3.8597071038356248</v>
          </cell>
          <cell r="AX147">
            <v>4.8167163437283396</v>
          </cell>
          <cell r="AY147">
            <v>6.8581258099377322</v>
          </cell>
          <cell r="AZ147">
            <v>7.0629050842575243</v>
          </cell>
          <cell r="BA147">
            <v>7.5060604653573542</v>
          </cell>
          <cell r="BB147">
            <v>6.2534316403240746</v>
          </cell>
          <cell r="BC147">
            <v>6.788056581233711</v>
          </cell>
          <cell r="BD147">
            <v>2.8881167303994784</v>
          </cell>
          <cell r="BE147">
            <v>2.8894979608675952</v>
          </cell>
          <cell r="BF147">
            <v>2.3560424922932675</v>
          </cell>
          <cell r="BG147">
            <v>2.2901611460328435</v>
          </cell>
          <cell r="BH147">
            <v>2.6466768366778783</v>
          </cell>
          <cell r="BI147">
            <v>2.5494603380434167</v>
          </cell>
          <cell r="BJ147">
            <v>4.356807930028312</v>
          </cell>
          <cell r="BK147">
            <v>7.1886321691150217</v>
          </cell>
          <cell r="BL147">
            <v>8.3836867446969308</v>
          </cell>
          <cell r="BM147">
            <v>11.991021472955042</v>
          </cell>
          <cell r="BN147">
            <v>9.0880216359746324</v>
          </cell>
          <cell r="BO147">
            <v>7.6594859255601753</v>
          </cell>
          <cell r="BP147">
            <v>7.4244446481148394</v>
          </cell>
          <cell r="BQ147">
            <v>7.4244446481148394</v>
          </cell>
          <cell r="BR147">
            <v>7.4244446481148394</v>
          </cell>
          <cell r="BS147">
            <v>7.3244446481148398</v>
          </cell>
          <cell r="BT147">
            <v>7.3244446481148398</v>
          </cell>
          <cell r="BU147">
            <v>7.3244446481148398</v>
          </cell>
          <cell r="BV147">
            <v>7.3244446481148398</v>
          </cell>
          <cell r="BW147">
            <v>7.3244446481148398</v>
          </cell>
          <cell r="BX147">
            <v>7.2244446481148401</v>
          </cell>
          <cell r="BY147">
            <v>7.2244446481148401</v>
          </cell>
          <cell r="BZ147">
            <v>7.2244446481148401</v>
          </cell>
          <cell r="CA147">
            <v>7.2244446481148401</v>
          </cell>
          <cell r="CB147">
            <v>7.2244446481148401</v>
          </cell>
          <cell r="CC147">
            <v>14.388448148049248</v>
          </cell>
          <cell r="CD147">
            <v>14.388448148049248</v>
          </cell>
          <cell r="CE147">
            <v>14.388448148049248</v>
          </cell>
          <cell r="CF147">
            <v>14.388448148049248</v>
          </cell>
          <cell r="CG147">
            <v>14.388448148049248</v>
          </cell>
        </row>
        <row r="148">
          <cell r="B148" t="str">
            <v>Inventory turnaround</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27.372052401746725</v>
          </cell>
          <cell r="AQ148">
            <v>40.23225616054301</v>
          </cell>
          <cell r="AR148">
            <v>36.123934818358499</v>
          </cell>
          <cell r="AS148">
            <v>36.123934818358499</v>
          </cell>
          <cell r="AT148">
            <v>39.617374005305038</v>
          </cell>
          <cell r="AU148">
            <v>42.464963981663388</v>
          </cell>
          <cell r="AV148">
            <v>45.740281930798801</v>
          </cell>
          <cell r="AW148">
            <v>53.215451730931605</v>
          </cell>
          <cell r="AX148">
            <v>53.215451730931605</v>
          </cell>
          <cell r="AY148">
            <v>47.234615851438278</v>
          </cell>
          <cell r="AZ148">
            <v>50.15568789499271</v>
          </cell>
          <cell r="BA148">
            <v>53.432480141218008</v>
          </cell>
          <cell r="BB148">
            <v>52.234890109890109</v>
          </cell>
          <cell r="BC148">
            <v>52.234890109890109</v>
          </cell>
          <cell r="BD148">
            <v>93.432365601245536</v>
          </cell>
          <cell r="BE148">
            <v>91.835146854291082</v>
          </cell>
          <cell r="BF148">
            <v>78.057876757324919</v>
          </cell>
          <cell r="BG148">
            <v>65.039173570624939</v>
          </cell>
          <cell r="BH148">
            <v>65.039173570624939</v>
          </cell>
          <cell r="BI148">
            <v>74.069076342633565</v>
          </cell>
          <cell r="BJ148">
            <v>67.902860367203431</v>
          </cell>
          <cell r="BK148">
            <v>125.68266749559642</v>
          </cell>
          <cell r="BL148">
            <v>125.68266749559641</v>
          </cell>
          <cell r="BM148">
            <v>125.68266749559641</v>
          </cell>
          <cell r="BN148">
            <v>74.069076342633565</v>
          </cell>
          <cell r="BO148">
            <v>74.069076342633565</v>
          </cell>
          <cell r="BP148">
            <v>74.069076342633565</v>
          </cell>
          <cell r="BQ148">
            <v>74.069076342633565</v>
          </cell>
          <cell r="BR148">
            <v>74.069076342633565</v>
          </cell>
          <cell r="BS148">
            <v>76.069076342633565</v>
          </cell>
          <cell r="BT148">
            <v>76.069076342633565</v>
          </cell>
          <cell r="BU148">
            <v>76.069076342633565</v>
          </cell>
          <cell r="BV148">
            <v>76.069076342633565</v>
          </cell>
          <cell r="BW148">
            <v>76.069076342633565</v>
          </cell>
          <cell r="BX148">
            <v>78.069076342633565</v>
          </cell>
          <cell r="BY148">
            <v>78.069076342633565</v>
          </cell>
          <cell r="BZ148">
            <v>78.069076342633565</v>
          </cell>
          <cell r="CA148">
            <v>78.069076342633565</v>
          </cell>
          <cell r="CB148">
            <v>78.069076342633565</v>
          </cell>
          <cell r="CC148">
            <v>78.069076342633565</v>
          </cell>
          <cell r="CD148">
            <v>78.069076342633565</v>
          </cell>
          <cell r="CE148">
            <v>78.069076342633565</v>
          </cell>
          <cell r="CF148">
            <v>78.069076342633565</v>
          </cell>
          <cell r="CG148">
            <v>78.069076342633565</v>
          </cell>
        </row>
        <row r="149">
          <cell r="B149" t="str">
            <v>Days Payable - AP</v>
          </cell>
          <cell r="Y149">
            <v>95.621226469485137</v>
          </cell>
          <cell r="Z149">
            <v>62.733057705054691</v>
          </cell>
          <cell r="AA149">
            <v>80.203755767110408</v>
          </cell>
          <cell r="AB149">
            <v>87.108570528713329</v>
          </cell>
          <cell r="AC149">
            <v>82.043001134854322</v>
          </cell>
          <cell r="AD149">
            <v>98.369330877216285</v>
          </cell>
          <cell r="AE149">
            <v>89.193038992021414</v>
          </cell>
          <cell r="AF149">
            <v>8.4898657458852878</v>
          </cell>
          <cell r="AG149">
            <v>12.244518933016931</v>
          </cell>
          <cell r="AH149">
            <v>5.5803246055406825</v>
          </cell>
          <cell r="AI149">
            <v>7.0253677745452396</v>
          </cell>
          <cell r="AJ149">
            <v>18.471272997416019</v>
          </cell>
          <cell r="AK149">
            <v>8.6244112769485906</v>
          </cell>
          <cell r="AL149">
            <v>14.889740898058252</v>
          </cell>
          <cell r="AM149">
            <v>12.29843561973526</v>
          </cell>
          <cell r="AN149">
            <v>12.389443111503978</v>
          </cell>
          <cell r="AO149">
            <v>6.3151702500692073</v>
          </cell>
          <cell r="AP149">
            <v>3.5828701715382869</v>
          </cell>
          <cell r="AQ149">
            <v>2.2563202867079784</v>
          </cell>
          <cell r="AR149">
            <v>2.9651624746561458</v>
          </cell>
          <cell r="AS149">
            <v>4.0540743029996538</v>
          </cell>
          <cell r="AT149">
            <v>2.5746695475343162</v>
          </cell>
          <cell r="AU149">
            <v>2.7966818703447873</v>
          </cell>
          <cell r="AV149">
            <v>1.6084609452462268</v>
          </cell>
          <cell r="AW149">
            <v>2.3153877254396202</v>
          </cell>
          <cell r="AX149">
            <v>2.8907658332235124</v>
          </cell>
          <cell r="AY149">
            <v>1.7102606495338615</v>
          </cell>
          <cell r="AZ149">
            <v>1.7634517402814611</v>
          </cell>
          <cell r="BA149">
            <v>2.0095301996531352</v>
          </cell>
          <cell r="BB149">
            <v>6.0095017566272766</v>
          </cell>
          <cell r="BC149">
            <v>6.5093863119791235</v>
          </cell>
          <cell r="BD149">
            <v>3.3064727475983338</v>
          </cell>
          <cell r="BE149">
            <v>3.0900356026703317</v>
          </cell>
          <cell r="BF149">
            <v>1.1429082416834584</v>
          </cell>
          <cell r="BG149">
            <v>1.3929422766043928</v>
          </cell>
          <cell r="BH149">
            <v>1.5393968631844877</v>
          </cell>
          <cell r="BI149">
            <v>0.95173951956422698</v>
          </cell>
          <cell r="BJ149">
            <v>1.2896389948354605</v>
          </cell>
          <cell r="BK149">
            <v>0</v>
          </cell>
          <cell r="BL149">
            <v>19.203864589085718</v>
          </cell>
          <cell r="BM149">
            <v>25.563713947080529</v>
          </cell>
          <cell r="BN149">
            <v>18.754018804285199</v>
          </cell>
          <cell r="BO149">
            <v>18.042102741622557</v>
          </cell>
          <cell r="BP149">
            <v>19.027790512752677</v>
          </cell>
          <cell r="BQ149">
            <v>17.399999999999999</v>
          </cell>
          <cell r="BR149">
            <v>19.112729920349427</v>
          </cell>
          <cell r="BS149">
            <v>18.754018804285199</v>
          </cell>
          <cell r="BT149">
            <v>18.042102741622557</v>
          </cell>
          <cell r="BU149">
            <v>19.027790512752677</v>
          </cell>
          <cell r="BV149">
            <v>17.399999999999999</v>
          </cell>
          <cell r="BW149">
            <v>19.158192238648073</v>
          </cell>
          <cell r="BX149">
            <v>18.754018804285199</v>
          </cell>
          <cell r="BY149">
            <v>18.042102741622557</v>
          </cell>
          <cell r="BZ149">
            <v>19.027790512752677</v>
          </cell>
          <cell r="CA149">
            <v>17.399999999999999</v>
          </cell>
          <cell r="CB149">
            <v>19.480172952910188</v>
          </cell>
          <cell r="CC149">
            <v>19.084685053774965</v>
          </cell>
          <cell r="CD149">
            <v>18.061598162181728</v>
          </cell>
          <cell r="CE149">
            <v>19.440924084301752</v>
          </cell>
          <cell r="CF149">
            <v>17.751291181076247</v>
          </cell>
          <cell r="CG149">
            <v>18.451902982861228</v>
          </cell>
        </row>
        <row r="150">
          <cell r="B150" t="str">
            <v>Days Payable - Rebates</v>
          </cell>
          <cell r="Y150">
            <v>0</v>
          </cell>
          <cell r="Z150" t="str">
            <v>NM</v>
          </cell>
          <cell r="AA150" t="str">
            <v>NM</v>
          </cell>
          <cell r="AB150" t="str">
            <v>NM</v>
          </cell>
          <cell r="AC150" t="str">
            <v>NM</v>
          </cell>
          <cell r="AD150">
            <v>0</v>
          </cell>
          <cell r="AE150" t="str">
            <v>NM</v>
          </cell>
          <cell r="AF150" t="str">
            <v>NM</v>
          </cell>
          <cell r="AG150" t="str">
            <v>NM</v>
          </cell>
          <cell r="AH150" t="str">
            <v>NM</v>
          </cell>
          <cell r="AI150">
            <v>0</v>
          </cell>
          <cell r="AJ150" t="str">
            <v>NM</v>
          </cell>
          <cell r="AK150" t="str">
            <v>NM</v>
          </cell>
          <cell r="AL150" t="str">
            <v>NM</v>
          </cell>
          <cell r="AM150" t="str">
            <v>NM</v>
          </cell>
          <cell r="AN150">
            <v>0</v>
          </cell>
          <cell r="AO150" t="str">
            <v>NM</v>
          </cell>
          <cell r="AP150">
            <v>14.508865810797618</v>
          </cell>
          <cell r="AQ150">
            <v>9.1935346829173099</v>
          </cell>
          <cell r="AR150">
            <v>12.285852217552129</v>
          </cell>
          <cell r="AS150">
            <v>17.178417806799334</v>
          </cell>
          <cell r="AT150">
            <v>13.213836918365823</v>
          </cell>
          <cell r="AU150">
            <v>14.237068994848695</v>
          </cell>
          <cell r="AV150">
            <v>11.188222607022068</v>
          </cell>
          <cell r="AW150">
            <v>10.203375455550946</v>
          </cell>
          <cell r="AX150">
            <v>12.733288821089225</v>
          </cell>
          <cell r="AY150">
            <v>12.508768964823556</v>
          </cell>
          <cell r="AZ150">
            <v>12.044809935851271</v>
          </cell>
          <cell r="BA150">
            <v>12.569483437787502</v>
          </cell>
          <cell r="BB150">
            <v>11.204285648540003</v>
          </cell>
          <cell r="BC150">
            <v>12.162174196351</v>
          </cell>
          <cell r="BD150">
            <v>5.2101363624066277</v>
          </cell>
          <cell r="BE150">
            <v>4.3461270856300338</v>
          </cell>
          <cell r="BF150">
            <v>4.2754338096530562</v>
          </cell>
          <cell r="BG150">
            <v>4.0095080535927021</v>
          </cell>
          <cell r="BH150">
            <v>4.4494130977629842</v>
          </cell>
          <cell r="BI150">
            <v>3.7573194162311996</v>
          </cell>
          <cell r="BJ150">
            <v>3.5551227508519809</v>
          </cell>
          <cell r="BK150">
            <v>7.1979287504106155</v>
          </cell>
          <cell r="BL150">
            <v>8.3727103214526117</v>
          </cell>
          <cell r="BM150">
            <v>8.3727103214526117</v>
          </cell>
          <cell r="BN150">
            <v>8.3899270262038712</v>
          </cell>
          <cell r="BO150">
            <v>8.4848164431678246</v>
          </cell>
          <cell r="BP150">
            <v>8.0206552284627648</v>
          </cell>
          <cell r="BQ150">
            <v>8.0206552284627648</v>
          </cell>
          <cell r="BR150">
            <v>8.0206552284627648</v>
          </cell>
          <cell r="BS150">
            <v>8.0206552284627648</v>
          </cell>
          <cell r="BT150">
            <v>8.0206552284627648</v>
          </cell>
          <cell r="BU150">
            <v>8.0206552284627648</v>
          </cell>
          <cell r="BV150">
            <v>8.0206552284627648</v>
          </cell>
          <cell r="BW150">
            <v>8.0206552284627648</v>
          </cell>
          <cell r="BX150">
            <v>8.0206552284627648</v>
          </cell>
          <cell r="BY150">
            <v>8.0206552284627648</v>
          </cell>
          <cell r="BZ150">
            <v>8.0206552284627648</v>
          </cell>
          <cell r="CA150">
            <v>8.0206552284627648</v>
          </cell>
          <cell r="CB150">
            <v>8.0206552284627648</v>
          </cell>
          <cell r="CC150">
            <v>15.167234187216293</v>
          </cell>
          <cell r="CD150">
            <v>15.167234187216293</v>
          </cell>
          <cell r="CE150">
            <v>15.167234187216293</v>
          </cell>
          <cell r="CF150">
            <v>15.167234187216293</v>
          </cell>
          <cell r="CG150">
            <v>15.167234187216293</v>
          </cell>
        </row>
        <row r="151">
          <cell r="B151" t="str">
            <v>Days Payable - Claims</v>
          </cell>
          <cell r="Y151">
            <v>0</v>
          </cell>
          <cell r="Z151" t="str">
            <v>NM</v>
          </cell>
          <cell r="AA151" t="str">
            <v>NM</v>
          </cell>
          <cell r="AB151" t="str">
            <v>NM</v>
          </cell>
          <cell r="AC151" t="str">
            <v>NM</v>
          </cell>
          <cell r="AD151">
            <v>0</v>
          </cell>
          <cell r="AE151" t="str">
            <v>NM</v>
          </cell>
          <cell r="AF151" t="str">
            <v>NM</v>
          </cell>
          <cell r="AG151" t="str">
            <v>NM</v>
          </cell>
          <cell r="AH151" t="str">
            <v>NM</v>
          </cell>
          <cell r="AI151">
            <v>32.560873672538072</v>
          </cell>
          <cell r="AJ151" t="str">
            <v>NM</v>
          </cell>
          <cell r="AK151" t="str">
            <v>NM</v>
          </cell>
          <cell r="AL151" t="str">
            <v>NM</v>
          </cell>
          <cell r="AM151" t="str">
            <v>NM</v>
          </cell>
          <cell r="AN151">
            <v>19.818295505450202</v>
          </cell>
          <cell r="AO151" t="str">
            <v>NM</v>
          </cell>
          <cell r="AP151">
            <v>25.935828126525429</v>
          </cell>
          <cell r="AQ151">
            <v>18.672630544656737</v>
          </cell>
          <cell r="AR151">
            <v>17.386073861572559</v>
          </cell>
          <cell r="AS151">
            <v>26.715518137407752</v>
          </cell>
          <cell r="AT151">
            <v>17.682626596459784</v>
          </cell>
          <cell r="AU151">
            <v>13.021255095166481</v>
          </cell>
          <cell r="AV151">
            <v>13.224719069691975</v>
          </cell>
          <cell r="AW151">
            <v>13.501093442225702</v>
          </cell>
          <cell r="AX151">
            <v>18.793188954782003</v>
          </cell>
          <cell r="AY151">
            <v>13.662035499249125</v>
          </cell>
          <cell r="AZ151">
            <v>14.743114260073789</v>
          </cell>
          <cell r="BA151">
            <v>15.928676556338303</v>
          </cell>
          <cell r="BB151">
            <v>15.446701023089037</v>
          </cell>
          <cell r="BC151">
            <v>18.358896015562944</v>
          </cell>
          <cell r="BD151">
            <v>11.689607135960324</v>
          </cell>
          <cell r="BE151">
            <v>11.180295826372779</v>
          </cell>
          <cell r="BF151">
            <v>13.814940117115277</v>
          </cell>
          <cell r="BG151">
            <v>13.517392889516604</v>
          </cell>
          <cell r="BH151">
            <v>15.836675602075495</v>
          </cell>
          <cell r="BI151">
            <v>14.294401286028272</v>
          </cell>
          <cell r="BJ151">
            <v>15.162748498159985</v>
          </cell>
          <cell r="BK151">
            <v>18.352059665064402</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row>
        <row r="152">
          <cell r="B152" t="str">
            <v>ROE (annualized)</v>
          </cell>
          <cell r="Y152">
            <v>0.11653024157044539</v>
          </cell>
          <cell r="Z152">
            <v>9.6956161708108168E-2</v>
          </cell>
          <cell r="AA152">
            <v>0.30009013839586324</v>
          </cell>
          <cell r="AB152">
            <v>0.3433176991049024</v>
          </cell>
          <cell r="AC152">
            <v>0.38567023128961814</v>
          </cell>
          <cell r="AD152">
            <v>0.23968393625147535</v>
          </cell>
          <cell r="AE152">
            <v>0.35667262519411541</v>
          </cell>
          <cell r="AF152">
            <v>0.1001971821522314</v>
          </cell>
          <cell r="AG152">
            <v>9.7245090814722795E-2</v>
          </cell>
          <cell r="AH152">
            <v>0.16116615924688646</v>
          </cell>
          <cell r="AI152">
            <v>0.17099627071688775</v>
          </cell>
          <cell r="AJ152">
            <v>0.13901911137028167</v>
          </cell>
          <cell r="AK152">
            <v>0.10609151191919673</v>
          </cell>
          <cell r="AL152">
            <v>9.2589448212438766E-2</v>
          </cell>
          <cell r="AM152">
            <v>0.12316054283549273</v>
          </cell>
          <cell r="AN152">
            <v>0.11525456652455437</v>
          </cell>
          <cell r="AO152">
            <v>0.10709107917799533</v>
          </cell>
          <cell r="AP152">
            <v>0.12589144370777899</v>
          </cell>
          <cell r="AQ152">
            <v>0.1248178884776022</v>
          </cell>
          <cell r="AR152">
            <v>0.14495844440959751</v>
          </cell>
          <cell r="AS152">
            <v>0.13067486193207858</v>
          </cell>
          <cell r="AT152">
            <v>0.18737860684345278</v>
          </cell>
          <cell r="AU152">
            <v>0.2484387334239502</v>
          </cell>
          <cell r="AV152">
            <v>0.14789601532913901</v>
          </cell>
          <cell r="AW152">
            <v>0.14871356452077319</v>
          </cell>
          <cell r="AX152">
            <v>0.15828528614570953</v>
          </cell>
          <cell r="AY152">
            <v>0.13721418140619487</v>
          </cell>
          <cell r="AZ152">
            <v>0.14727370825169292</v>
          </cell>
          <cell r="BA152">
            <v>0.13381760333140352</v>
          </cell>
          <cell r="BB152">
            <v>0.13305786507138051</v>
          </cell>
          <cell r="BC152">
            <v>0.13706548060291593</v>
          </cell>
          <cell r="BD152">
            <v>0.14599481948164755</v>
          </cell>
          <cell r="BE152">
            <v>0.16139743277208488</v>
          </cell>
          <cell r="BF152">
            <v>0.1780112999951223</v>
          </cell>
          <cell r="BG152">
            <v>0.18424498441835116</v>
          </cell>
          <cell r="BH152">
            <v>0.16771135037825816</v>
          </cell>
          <cell r="BI152">
            <v>0.19204097429701963</v>
          </cell>
          <cell r="BJ152">
            <v>0.13292735972161773</v>
          </cell>
          <cell r="BK152">
            <v>7.0646862741898298E-2</v>
          </cell>
          <cell r="BL152">
            <v>7.0743610074143343E-2</v>
          </cell>
          <cell r="BM152">
            <v>7.685691149884824E-2</v>
          </cell>
          <cell r="BN152">
            <v>7.5012486201588485E-2</v>
          </cell>
          <cell r="BO152">
            <v>8.5480588360140164E-2</v>
          </cell>
          <cell r="BP152">
            <v>9.0439662076173738E-2</v>
          </cell>
          <cell r="BQ152">
            <v>9.3328381593546353E-2</v>
          </cell>
          <cell r="BR152">
            <v>8.6066841667372024E-2</v>
          </cell>
          <cell r="BS152">
            <v>8.6466891290728126E-2</v>
          </cell>
          <cell r="BT152">
            <v>0.10280736988914917</v>
          </cell>
          <cell r="BU152">
            <v>9.1070208509897471E-2</v>
          </cell>
          <cell r="BV152">
            <v>0.11368353122873893</v>
          </cell>
          <cell r="BW152">
            <v>9.839598863596917E-2</v>
          </cell>
          <cell r="BX152">
            <v>9.511480039666606E-2</v>
          </cell>
          <cell r="BY152">
            <v>0.11132454636570047</v>
          </cell>
          <cell r="BZ152">
            <v>9.6810663131009944E-2</v>
          </cell>
          <cell r="CA152">
            <v>0.12177100832432416</v>
          </cell>
          <cell r="CB152">
            <v>0.10613466664821386</v>
          </cell>
          <cell r="CC152">
            <v>0.10124297358124146</v>
          </cell>
          <cell r="CD152">
            <v>0.11410313384718138</v>
          </cell>
          <cell r="CE152">
            <v>9.5514326212262912E-2</v>
          </cell>
          <cell r="CF152">
            <v>0.10425851011500395</v>
          </cell>
          <cell r="CG152">
            <v>0.10372229294972421</v>
          </cell>
        </row>
        <row r="153">
          <cell r="B153" t="str">
            <v>EBITDA/Interest Expense</v>
          </cell>
          <cell r="Y153">
            <v>6.482279101771141</v>
          </cell>
          <cell r="Z153">
            <v>4.9025657033153198</v>
          </cell>
          <cell r="AA153">
            <v>-20.520289948491374</v>
          </cell>
          <cell r="AB153">
            <v>10.146438921675804</v>
          </cell>
          <cell r="AC153">
            <v>12.257448671688724</v>
          </cell>
          <cell r="AD153">
            <v>13.454196308735401</v>
          </cell>
          <cell r="AE153">
            <v>14.264719139106433</v>
          </cell>
          <cell r="AF153">
            <v>10.710296848131714</v>
          </cell>
          <cell r="AG153">
            <v>5.3789813858776334</v>
          </cell>
          <cell r="AH153">
            <v>104.30870703937401</v>
          </cell>
          <cell r="AI153">
            <v>11.312762453446366</v>
          </cell>
          <cell r="AJ153">
            <v>38.552147239263796</v>
          </cell>
          <cell r="AK153">
            <v>-31.523809523809533</v>
          </cell>
          <cell r="AL153">
            <v>-291.642857142857</v>
          </cell>
          <cell r="AM153">
            <v>153.84444444444446</v>
          </cell>
          <cell r="AN153">
            <v>868.69230769230808</v>
          </cell>
          <cell r="AO153">
            <v>158.29999999999998</v>
          </cell>
          <cell r="AP153">
            <v>12.090909090909095</v>
          </cell>
          <cell r="AQ153">
            <v>7.6241180243746163</v>
          </cell>
          <cell r="AR153">
            <v>5.9501418727199136</v>
          </cell>
          <cell r="AS153">
            <v>8.7428983120625876</v>
          </cell>
          <cell r="AT153">
            <v>25.881141045958749</v>
          </cell>
          <cell r="AU153">
            <v>15.909213180901155</v>
          </cell>
          <cell r="AV153">
            <v>22.762172284644198</v>
          </cell>
          <cell r="AW153">
            <v>10.854032833690221</v>
          </cell>
          <cell r="AX153">
            <v>15.816800267201069</v>
          </cell>
          <cell r="AY153">
            <v>46.824324324324394</v>
          </cell>
          <cell r="AZ153">
            <v>83.222222222222314</v>
          </cell>
          <cell r="BA153">
            <v>81.613941018766837</v>
          </cell>
          <cell r="BB153">
            <v>88.843304843304793</v>
          </cell>
          <cell r="BC153">
            <v>71.312868949232637</v>
          </cell>
          <cell r="BD153">
            <v>77.701986754966839</v>
          </cell>
          <cell r="BE153">
            <v>61.146233382570117</v>
          </cell>
          <cell r="BF153">
            <v>39.33005733005723</v>
          </cell>
          <cell r="BG153">
            <v>119.52913752913751</v>
          </cell>
          <cell r="BH153">
            <v>63.271582733812878</v>
          </cell>
          <cell r="BI153">
            <v>46.426612903225724</v>
          </cell>
          <cell r="BJ153">
            <v>31.119191919191874</v>
          </cell>
          <cell r="BK153">
            <v>8.9162374398378841</v>
          </cell>
          <cell r="BL153">
            <v>12.616490231517353</v>
          </cell>
          <cell r="BM153">
            <v>13.8774829473053</v>
          </cell>
          <cell r="BN153">
            <v>13.00317057704501</v>
          </cell>
          <cell r="BO153">
            <v>14.492436050242956</v>
          </cell>
          <cell r="BP153">
            <v>18.637713272767563</v>
          </cell>
          <cell r="BQ153">
            <v>15.356167021429167</v>
          </cell>
          <cell r="BR153">
            <v>15.22200916711907</v>
          </cell>
          <cell r="BS153">
            <v>14.849202685491845</v>
          </cell>
          <cell r="BT153">
            <v>17.487930159405334</v>
          </cell>
          <cell r="BU153">
            <v>15.969291110285157</v>
          </cell>
          <cell r="BV153">
            <v>19.712923682476017</v>
          </cell>
          <cell r="BW153">
            <v>17.004836909414589</v>
          </cell>
          <cell r="BX153">
            <v>17.089627891801676</v>
          </cell>
          <cell r="BY153">
            <v>19.963386895080415</v>
          </cell>
          <cell r="BZ153">
            <v>17.926392366277049</v>
          </cell>
          <cell r="CA153">
            <v>22.431258110668917</v>
          </cell>
          <cell r="CB153">
            <v>19.352666315957013</v>
          </cell>
          <cell r="CC153">
            <v>15.987907636855635</v>
          </cell>
          <cell r="CD153">
            <v>18.035140482253507</v>
          </cell>
          <cell r="CE153">
            <v>15.84372725994958</v>
          </cell>
          <cell r="CF153">
            <v>17.358087383869233</v>
          </cell>
          <cell r="CG153">
            <v>16.80545434133181</v>
          </cell>
        </row>
        <row r="154">
          <cell r="B154" t="str">
            <v>Debt to equity</v>
          </cell>
          <cell r="Y154">
            <v>0.98865886197686914</v>
          </cell>
          <cell r="Z154">
            <v>0.43318220477850394</v>
          </cell>
          <cell r="AA154">
            <v>0.38893780969109626</v>
          </cell>
          <cell r="AB154">
            <v>0.36326142785034132</v>
          </cell>
          <cell r="AC154">
            <v>0.22032419670504561</v>
          </cell>
          <cell r="AD154">
            <v>0.22032419670504561</v>
          </cell>
          <cell r="AE154">
            <v>0.19473105752613767</v>
          </cell>
          <cell r="AF154">
            <v>0.12060401326059701</v>
          </cell>
          <cell r="AG154">
            <v>0</v>
          </cell>
          <cell r="AH154">
            <v>0</v>
          </cell>
          <cell r="AI154">
            <v>0</v>
          </cell>
          <cell r="AJ154">
            <v>0</v>
          </cell>
          <cell r="AK154">
            <v>0</v>
          </cell>
          <cell r="AL154">
            <v>0</v>
          </cell>
          <cell r="AM154">
            <v>0</v>
          </cell>
          <cell r="AN154">
            <v>0</v>
          </cell>
          <cell r="AO154">
            <v>0</v>
          </cell>
          <cell r="AP154">
            <v>0.26279535662339804</v>
          </cell>
          <cell r="AQ154">
            <v>0.25342651108740988</v>
          </cell>
          <cell r="AR154">
            <v>0.24536085659986712</v>
          </cell>
          <cell r="AS154">
            <v>0.24536085659986712</v>
          </cell>
          <cell r="AT154">
            <v>0.23023813561375031</v>
          </cell>
          <cell r="AU154">
            <v>0.20885279755436623</v>
          </cell>
          <cell r="AV154">
            <v>0.1023113011811604</v>
          </cell>
          <cell r="AW154">
            <v>0</v>
          </cell>
          <cell r="AX154">
            <v>0</v>
          </cell>
          <cell r="AY154">
            <v>0</v>
          </cell>
          <cell r="AZ154">
            <v>0</v>
          </cell>
          <cell r="BA154">
            <v>0</v>
          </cell>
          <cell r="BB154">
            <v>0</v>
          </cell>
          <cell r="BC154">
            <v>0</v>
          </cell>
          <cell r="BD154">
            <v>0</v>
          </cell>
          <cell r="BE154">
            <v>0</v>
          </cell>
          <cell r="BF154">
            <v>0</v>
          </cell>
          <cell r="BG154">
            <v>0</v>
          </cell>
          <cell r="BH154">
            <v>0</v>
          </cell>
          <cell r="BI154">
            <v>0.14058923761268227</v>
          </cell>
          <cell r="BJ154">
            <v>7.8998426351347087E-2</v>
          </cell>
          <cell r="BK154">
            <v>0.2792029602527199</v>
          </cell>
          <cell r="BL154">
            <v>0.25469405101855652</v>
          </cell>
          <cell r="BM154">
            <v>0.25469405101855652</v>
          </cell>
          <cell r="BN154">
            <v>0.23011114645822622</v>
          </cell>
          <cell r="BO154">
            <v>0.21597744000603261</v>
          </cell>
          <cell r="BP154">
            <v>0.21131057037452147</v>
          </cell>
          <cell r="BQ154">
            <v>0.20787379380575413</v>
          </cell>
          <cell r="BR154">
            <v>0.20787379380575413</v>
          </cell>
          <cell r="BS154">
            <v>0.20477806854061342</v>
          </cell>
          <cell r="BT154">
            <v>0.2008834290136281</v>
          </cell>
          <cell r="BU154">
            <v>0.19761935488145177</v>
          </cell>
          <cell r="BV154">
            <v>0.19328866656904986</v>
          </cell>
          <cell r="BW154">
            <v>0.19328866656904986</v>
          </cell>
          <cell r="BX154">
            <v>0.18989419164638482</v>
          </cell>
          <cell r="BY154">
            <v>0.18578265727866927</v>
          </cell>
          <cell r="BZ154">
            <v>0.18239933119849744</v>
          </cell>
          <cell r="CA154">
            <v>0.17794136396439375</v>
          </cell>
          <cell r="CB154">
            <v>0.17794136396439375</v>
          </cell>
          <cell r="CC154">
            <v>0.25945571364214731</v>
          </cell>
          <cell r="CD154">
            <v>0.2538323500136539</v>
          </cell>
          <cell r="CE154">
            <v>0.24945562679254435</v>
          </cell>
          <cell r="CF154">
            <v>0.24458981901234977</v>
          </cell>
          <cell r="CG154">
            <v>0.24458981901234977</v>
          </cell>
        </row>
        <row r="155">
          <cell r="B155" t="str">
            <v>Debt to EBITDA</v>
          </cell>
          <cell r="Y155">
            <v>1.1796374774949121</v>
          </cell>
          <cell r="Z155">
            <v>1.6959660490354964</v>
          </cell>
          <cell r="AA155">
            <v>0.95783863649863155</v>
          </cell>
          <cell r="AB155">
            <v>0.74280911581699183</v>
          </cell>
          <cell r="AC155">
            <v>0.46992531467010595</v>
          </cell>
          <cell r="AD155">
            <v>0.1917715179254087</v>
          </cell>
          <cell r="AE155">
            <v>0.57342090092762021</v>
          </cell>
          <cell r="AF155">
            <v>0.73808421609817776</v>
          </cell>
          <cell r="AG155">
            <v>0</v>
          </cell>
          <cell r="AH155">
            <v>0</v>
          </cell>
          <cell r="AI155">
            <v>0</v>
          </cell>
          <cell r="AJ155">
            <v>0</v>
          </cell>
          <cell r="AK155">
            <v>0</v>
          </cell>
          <cell r="AL155">
            <v>0</v>
          </cell>
          <cell r="AM155">
            <v>0</v>
          </cell>
          <cell r="AN155">
            <v>0</v>
          </cell>
          <cell r="AO155">
            <v>0</v>
          </cell>
          <cell r="AP155">
            <v>1.2499999999999996</v>
          </cell>
          <cell r="AQ155">
            <v>1.0045431600201895</v>
          </cell>
          <cell r="AR155">
            <v>0.81136317187819185</v>
          </cell>
          <cell r="AS155">
            <v>0.28041343912603267</v>
          </cell>
          <cell r="AT155">
            <v>0.72745086032698669</v>
          </cell>
          <cell r="AU155">
            <v>0.48949570951515381</v>
          </cell>
          <cell r="AV155">
            <v>0.46400658165364034</v>
          </cell>
          <cell r="AW155">
            <v>0</v>
          </cell>
          <cell r="AX155">
            <v>0</v>
          </cell>
          <cell r="AY155">
            <v>0</v>
          </cell>
          <cell r="AZ155">
            <v>0</v>
          </cell>
          <cell r="BA155">
            <v>0</v>
          </cell>
          <cell r="BB155">
            <v>0</v>
          </cell>
          <cell r="BC155">
            <v>0</v>
          </cell>
          <cell r="BD155">
            <v>0</v>
          </cell>
          <cell r="BE155">
            <v>0</v>
          </cell>
          <cell r="BF155">
            <v>0</v>
          </cell>
          <cell r="BG155">
            <v>0</v>
          </cell>
          <cell r="BH155">
            <v>0</v>
          </cell>
          <cell r="BI155">
            <v>0.43426149490177085</v>
          </cell>
          <cell r="BJ155">
            <v>0.40573876915087054</v>
          </cell>
          <cell r="BK155">
            <v>3.0113286613949506</v>
          </cell>
          <cell r="BL155">
            <v>2.001151162076797</v>
          </cell>
          <cell r="BM155">
            <v>0.79224247121764946</v>
          </cell>
          <cell r="BN155">
            <v>1.8720653188613805</v>
          </cell>
          <cell r="BO155">
            <v>1.6216921091422107</v>
          </cell>
          <cell r="BP155">
            <v>1.5163710291040515</v>
          </cell>
          <cell r="BQ155">
            <v>1.3747556013413056</v>
          </cell>
          <cell r="BR155">
            <v>0.38921983220350609</v>
          </cell>
          <cell r="BS155">
            <v>1.4216909200430332</v>
          </cell>
          <cell r="BT155">
            <v>1.2071741158280245</v>
          </cell>
          <cell r="BU155">
            <v>1.3219733100266222</v>
          </cell>
          <cell r="BV155">
            <v>1.0709206289176261</v>
          </cell>
          <cell r="BW155">
            <v>0.31036723169268476</v>
          </cell>
          <cell r="BX155">
            <v>1.2353093210396844</v>
          </cell>
          <cell r="BY155">
            <v>1.0574847213447918</v>
          </cell>
          <cell r="BZ155">
            <v>1.177647805341812</v>
          </cell>
          <cell r="CA155">
            <v>0.94114099724978972</v>
          </cell>
          <cell r="CB155">
            <v>0.27271405762878748</v>
          </cell>
          <cell r="CC155">
            <v>1.5657670273207482</v>
          </cell>
          <cell r="CD155">
            <v>1.3927251638487306</v>
          </cell>
          <cell r="CE155">
            <v>1.5904152472094344</v>
          </cell>
          <cell r="CF155">
            <v>1.4558427624399426</v>
          </cell>
          <cell r="CG155">
            <v>0.37420453317258628</v>
          </cell>
        </row>
        <row r="156">
          <cell r="B156" t="str">
            <v>Debt to total capitalization</v>
          </cell>
          <cell r="Y156">
            <v>0.69504176107117521</v>
          </cell>
          <cell r="Z156">
            <v>0.30731898097507443</v>
          </cell>
          <cell r="AA156">
            <v>0.28611645929658608</v>
          </cell>
          <cell r="AB156">
            <v>0.27385475001595644</v>
          </cell>
          <cell r="AC156">
            <v>0.18443386634918305</v>
          </cell>
          <cell r="AD156">
            <v>0.18443386634918305</v>
          </cell>
          <cell r="AE156">
            <v>0.16660487858070586</v>
          </cell>
          <cell r="AF156">
            <v>0.1093926049337641</v>
          </cell>
          <cell r="AG156">
            <v>0</v>
          </cell>
          <cell r="AH156">
            <v>0</v>
          </cell>
          <cell r="AI156">
            <v>0</v>
          </cell>
          <cell r="AJ156">
            <v>0</v>
          </cell>
          <cell r="AK156">
            <v>0</v>
          </cell>
          <cell r="AL156">
            <v>0</v>
          </cell>
          <cell r="AM156">
            <v>0</v>
          </cell>
          <cell r="AN156">
            <v>0</v>
          </cell>
          <cell r="AO156">
            <v>0</v>
          </cell>
          <cell r="AP156">
            <v>0.20952672691070612</v>
          </cell>
          <cell r="AQ156">
            <v>0.20447218690196381</v>
          </cell>
          <cell r="AR156">
            <v>0.20009828505185165</v>
          </cell>
          <cell r="AS156">
            <v>0.20009828505185165</v>
          </cell>
          <cell r="AT156">
            <v>0.19075527366878747</v>
          </cell>
          <cell r="AU156">
            <v>0.17591899826435703</v>
          </cell>
          <cell r="AV156">
            <v>9.3740845620544869E-2</v>
          </cell>
          <cell r="AW156">
            <v>0</v>
          </cell>
          <cell r="AX156">
            <v>0</v>
          </cell>
          <cell r="AY156">
            <v>0</v>
          </cell>
          <cell r="AZ156">
            <v>0</v>
          </cell>
          <cell r="BA156">
            <v>0</v>
          </cell>
          <cell r="BB156">
            <v>0</v>
          </cell>
          <cell r="BC156">
            <v>0</v>
          </cell>
          <cell r="BD156">
            <v>0</v>
          </cell>
          <cell r="BE156">
            <v>0</v>
          </cell>
          <cell r="BF156">
            <v>0</v>
          </cell>
          <cell r="BG156">
            <v>0</v>
          </cell>
          <cell r="BH156">
            <v>0</v>
          </cell>
          <cell r="BI156">
            <v>0.12326018252367828</v>
          </cell>
          <cell r="BJ156">
            <v>7.3214589031868851E-2</v>
          </cell>
          <cell r="BK156">
            <v>0.21929809437339631</v>
          </cell>
          <cell r="BL156">
            <v>0.20445193205187914</v>
          </cell>
          <cell r="BM156">
            <v>0.20445193205187914</v>
          </cell>
          <cell r="BN156">
            <v>0.18887319553246576</v>
          </cell>
          <cell r="BO156">
            <v>0.17877764247714534</v>
          </cell>
          <cell r="BP156">
            <v>0.17576255759360535</v>
          </cell>
          <cell r="BQ156">
            <v>0.17337830940322341</v>
          </cell>
          <cell r="BR156">
            <v>0.17337830940322341</v>
          </cell>
          <cell r="BS156">
            <v>0.17121943660390085</v>
          </cell>
          <cell r="BT156">
            <v>0.16848818179389921</v>
          </cell>
          <cell r="BU156">
            <v>0.16618594412311621</v>
          </cell>
          <cell r="BV156">
            <v>0.16311265786680471</v>
          </cell>
          <cell r="BW156">
            <v>0.16311265786680471</v>
          </cell>
          <cell r="BX156">
            <v>0.1606886864267047</v>
          </cell>
          <cell r="BY156">
            <v>0.15773475927134026</v>
          </cell>
          <cell r="BZ156">
            <v>0.15528916722758518</v>
          </cell>
          <cell r="CA156">
            <v>0.15204612040143323</v>
          </cell>
          <cell r="CB156">
            <v>0.15204612040143323</v>
          </cell>
          <cell r="CC156">
            <v>0.20816050117591142</v>
          </cell>
          <cell r="CD156">
            <v>0.20452527638789961</v>
          </cell>
          <cell r="CE156">
            <v>0.20167421756908602</v>
          </cell>
          <cell r="CF156">
            <v>0.19848198341251549</v>
          </cell>
          <cell r="CG156">
            <v>0.19848198341251549</v>
          </cell>
        </row>
        <row r="158">
          <cell r="B158" t="str">
            <v>CASHFLOW STATEMENT</v>
          </cell>
          <cell r="F158" t="str">
            <v>Fiscal Year End, Dec 31 2001</v>
          </cell>
          <cell r="K158" t="str">
            <v>Fiscal Year End, Dec 31 2002</v>
          </cell>
          <cell r="P158" t="str">
            <v>Fiscal Year End, Dec 31 2003</v>
          </cell>
          <cell r="U158" t="str">
            <v>Fiscal Year End, Dec 31 2004</v>
          </cell>
          <cell r="Z158" t="str">
            <v xml:space="preserve">Fiscal Year End, Dec 31 2005 </v>
          </cell>
          <cell r="AE158" t="str">
            <v xml:space="preserve">Fiscal Year End, Dec 31 2006 </v>
          </cell>
          <cell r="AJ158" t="str">
            <v xml:space="preserve">Fiscal Year End, Dec 31 2007 </v>
          </cell>
          <cell r="AO158" t="str">
            <v>Fiscal Year End, Dec 31 2008</v>
          </cell>
          <cell r="AT158" t="str">
            <v>Fiscal Year End, Dec 31 2009</v>
          </cell>
          <cell r="AY158" t="str">
            <v>Fiscal Year End, Dec 31 2010</v>
          </cell>
          <cell r="BD158" t="str">
            <v>Fiscal Year End, Dec 31 2011</v>
          </cell>
          <cell r="BI158" t="str">
            <v>Fiscal Year End, Dec 31 2012</v>
          </cell>
          <cell r="BN158" t="str">
            <v>Fiscal Year End, Dec 31 2013</v>
          </cell>
          <cell r="BS158" t="str">
            <v>Fiscal Year End, Dec 31 2014</v>
          </cell>
          <cell r="BX158" t="str">
            <v>Fiscal Year End, Dec 31 2015</v>
          </cell>
          <cell r="CC158" t="str">
            <v>Fiscal Year End, Dec 31 2015</v>
          </cell>
        </row>
        <row r="159">
          <cell r="B159" t="str">
            <v>(In millions, except per share data)</v>
          </cell>
          <cell r="D159" t="str">
            <v>1999A</v>
          </cell>
          <cell r="E159" t="str">
            <v>2000A</v>
          </cell>
          <cell r="F159" t="str">
            <v>1Q01A</v>
          </cell>
          <cell r="G159" t="str">
            <v>2Q01A</v>
          </cell>
          <cell r="H159" t="str">
            <v>3Q01A</v>
          </cell>
          <cell r="I159" t="str">
            <v>4Q01A</v>
          </cell>
          <cell r="J159" t="str">
            <v>2001A</v>
          </cell>
          <cell r="K159" t="str">
            <v>1Q02A</v>
          </cell>
          <cell r="L159" t="str">
            <v>2Q02A</v>
          </cell>
          <cell r="M159" t="str">
            <v>3Q02A</v>
          </cell>
          <cell r="N159" t="str">
            <v>4Q02A</v>
          </cell>
          <cell r="O159" t="str">
            <v>2002A</v>
          </cell>
          <cell r="P159" t="str">
            <v>1Q03A</v>
          </cell>
          <cell r="Q159" t="str">
            <v>2Q03A</v>
          </cell>
          <cell r="R159" t="str">
            <v>3Q03A</v>
          </cell>
          <cell r="S159" t="str">
            <v>4Q03A</v>
          </cell>
          <cell r="T159" t="str">
            <v>2003A</v>
          </cell>
          <cell r="U159" t="str">
            <v>1QA</v>
          </cell>
          <cell r="V159" t="str">
            <v>2QA</v>
          </cell>
          <cell r="W159" t="str">
            <v>3QA</v>
          </cell>
          <cell r="X159" t="str">
            <v>4QA</v>
          </cell>
          <cell r="Y159" t="str">
            <v>2004A</v>
          </cell>
          <cell r="Z159" t="str">
            <v>1QA</v>
          </cell>
          <cell r="AA159" t="str">
            <v>2QA</v>
          </cell>
          <cell r="AB159" t="str">
            <v>3QA</v>
          </cell>
          <cell r="AC159" t="str">
            <v>4QA</v>
          </cell>
          <cell r="AD159" t="str">
            <v>2005A</v>
          </cell>
          <cell r="AE159" t="str">
            <v>1QA</v>
          </cell>
          <cell r="AF159" t="str">
            <v>2QA</v>
          </cell>
          <cell r="AG159" t="str">
            <v>3QA</v>
          </cell>
          <cell r="AH159" t="str">
            <v>4QA</v>
          </cell>
          <cell r="AI159" t="str">
            <v>2006A</v>
          </cell>
          <cell r="AJ159" t="str">
            <v>1QA</v>
          </cell>
          <cell r="AK159" t="str">
            <v>2QA</v>
          </cell>
          <cell r="AL159" t="str">
            <v>3QA</v>
          </cell>
          <cell r="AM159" t="str">
            <v>4QA</v>
          </cell>
          <cell r="AN159" t="str">
            <v>2007A</v>
          </cell>
          <cell r="AO159" t="str">
            <v>1QA</v>
          </cell>
          <cell r="AP159" t="str">
            <v>2QA</v>
          </cell>
          <cell r="AQ159" t="str">
            <v>3QA</v>
          </cell>
          <cell r="AR159" t="str">
            <v>4QA</v>
          </cell>
          <cell r="AS159" t="str">
            <v>2008A</v>
          </cell>
          <cell r="AT159" t="str">
            <v>1QA</v>
          </cell>
          <cell r="AU159" t="str">
            <v>2QA</v>
          </cell>
          <cell r="AV159" t="str">
            <v>3QA</v>
          </cell>
          <cell r="AW159" t="str">
            <v>4QA</v>
          </cell>
          <cell r="AX159" t="str">
            <v>2009A</v>
          </cell>
          <cell r="AY159" t="str">
            <v>1QA</v>
          </cell>
          <cell r="AZ159" t="str">
            <v>2QA</v>
          </cell>
          <cell r="BA159" t="str">
            <v>3QA</v>
          </cell>
          <cell r="BB159" t="str">
            <v>4QA</v>
          </cell>
          <cell r="BC159" t="str">
            <v>2010A</v>
          </cell>
          <cell r="BD159" t="str">
            <v>1QA</v>
          </cell>
          <cell r="BE159" t="str">
            <v>2QA</v>
          </cell>
          <cell r="BF159" t="str">
            <v>3QA</v>
          </cell>
          <cell r="BG159" t="str">
            <v>4QA</v>
          </cell>
          <cell r="BH159" t="str">
            <v>2011A</v>
          </cell>
          <cell r="BI159" t="str">
            <v>1QA</v>
          </cell>
          <cell r="BJ159" t="str">
            <v>2QA</v>
          </cell>
          <cell r="BK159" t="str">
            <v>3QA</v>
          </cell>
          <cell r="BL159" t="str">
            <v>4QA</v>
          </cell>
          <cell r="BM159" t="str">
            <v>2012A</v>
          </cell>
          <cell r="BN159" t="str">
            <v>1QA</v>
          </cell>
          <cell r="BO159" t="str">
            <v>2QA</v>
          </cell>
          <cell r="BP159" t="str">
            <v>3QA</v>
          </cell>
          <cell r="BQ159" t="str">
            <v>4QE</v>
          </cell>
          <cell r="BR159" t="str">
            <v>2013E</v>
          </cell>
          <cell r="BS159" t="str">
            <v>1QE</v>
          </cell>
          <cell r="BT159" t="str">
            <v>2QE</v>
          </cell>
          <cell r="BU159" t="str">
            <v>3QE</v>
          </cell>
          <cell r="BV159" t="str">
            <v>4QE</v>
          </cell>
          <cell r="BW159" t="str">
            <v>2014E</v>
          </cell>
          <cell r="BX159" t="str">
            <v>1QE</v>
          </cell>
          <cell r="BY159" t="str">
            <v>2QE</v>
          </cell>
          <cell r="BZ159" t="str">
            <v>3QE</v>
          </cell>
          <cell r="CA159" t="str">
            <v>4QE</v>
          </cell>
          <cell r="CB159" t="str">
            <v>2015E</v>
          </cell>
          <cell r="CC159" t="str">
            <v>1QE</v>
          </cell>
          <cell r="CD159" t="str">
            <v>2QE</v>
          </cell>
          <cell r="CE159" t="str">
            <v>3QE</v>
          </cell>
          <cell r="CF159" t="str">
            <v>4QE</v>
          </cell>
          <cell r="CG159" t="str">
            <v>2016E</v>
          </cell>
        </row>
        <row r="160">
          <cell r="B160" t="str">
            <v>Net income (continuing)</v>
          </cell>
          <cell r="Y160">
            <v>4.7513248170000013</v>
          </cell>
          <cell r="Z160">
            <v>1.2652860008278135</v>
          </cell>
          <cell r="AA160">
            <v>3.1172825589599671</v>
          </cell>
          <cell r="AB160">
            <v>3.5911066790012121</v>
          </cell>
          <cell r="AC160">
            <v>5.0769553720340994</v>
          </cell>
          <cell r="AD160">
            <v>13.050630610823092</v>
          </cell>
          <cell r="AE160">
            <v>5.576532000000002</v>
          </cell>
          <cell r="AF160">
            <v>2.1145450000000006</v>
          </cell>
          <cell r="AG160">
            <v>2.5436169999999989</v>
          </cell>
          <cell r="AH160">
            <v>3.2909999999999999</v>
          </cell>
          <cell r="AI160">
            <v>13.525694000000001</v>
          </cell>
          <cell r="AJ160">
            <v>3.7329999999999988</v>
          </cell>
          <cell r="AK160">
            <v>2.9550000000000018</v>
          </cell>
          <cell r="AL160">
            <v>2.6799999999999988</v>
          </cell>
          <cell r="AM160">
            <v>3.7770000000000001</v>
          </cell>
          <cell r="AN160">
            <v>13.145</v>
          </cell>
          <cell r="AO160">
            <v>3.3569999999999993</v>
          </cell>
          <cell r="AP160">
            <v>3.2670000000000048</v>
          </cell>
          <cell r="AQ160">
            <v>3.5390000000000259</v>
          </cell>
          <cell r="AR160">
            <v>4.9500000000000242</v>
          </cell>
          <cell r="AS160">
            <v>15.113000000000055</v>
          </cell>
          <cell r="AT160">
            <v>7.6819999999999693</v>
          </cell>
          <cell r="AU160">
            <v>11.977000000000018</v>
          </cell>
          <cell r="AV160">
            <v>11.209000000000005</v>
          </cell>
          <cell r="AW160">
            <v>15.193</v>
          </cell>
          <cell r="AX160">
            <v>46.060999999999986</v>
          </cell>
          <cell r="AY160">
            <v>14.792000000000041</v>
          </cell>
          <cell r="AZ160">
            <v>17.145000000000032</v>
          </cell>
          <cell r="BA160">
            <v>16.17600000000003</v>
          </cell>
          <cell r="BB160">
            <v>16.621999999999986</v>
          </cell>
          <cell r="BC160">
            <v>64.735000000000085</v>
          </cell>
          <cell r="BD160">
            <v>18.270999999999979</v>
          </cell>
          <cell r="BE160">
            <v>21.564999999999984</v>
          </cell>
          <cell r="BF160">
            <v>25.265999999999874</v>
          </cell>
          <cell r="BG160">
            <v>26.683999999999987</v>
          </cell>
          <cell r="BH160">
            <v>91.785999999999831</v>
          </cell>
          <cell r="BI160">
            <v>26.341999999999892</v>
          </cell>
          <cell r="BJ160">
            <v>27.30999999999991</v>
          </cell>
          <cell r="BK160">
            <v>19.407</v>
          </cell>
          <cell r="BL160">
            <v>47.962000000000003</v>
          </cell>
          <cell r="BM160">
            <v>121.02099999999982</v>
          </cell>
          <cell r="BN160">
            <v>56.783999999999999</v>
          </cell>
          <cell r="BO160">
            <v>71.156999999999996</v>
          </cell>
          <cell r="BP160">
            <v>83.128</v>
          </cell>
          <cell r="BQ160">
            <v>79.833240750868896</v>
          </cell>
          <cell r="BR160">
            <v>290.90224075086888</v>
          </cell>
          <cell r="BS160">
            <v>74.204911602228293</v>
          </cell>
          <cell r="BT160">
            <v>96.603561269981043</v>
          </cell>
          <cell r="BU160">
            <v>83.895728308078532</v>
          </cell>
          <cell r="BV160">
            <v>115.68431670608186</v>
          </cell>
          <cell r="BW160">
            <v>370.38851788636975</v>
          </cell>
          <cell r="BX160">
            <v>94.364351281590444</v>
          </cell>
          <cell r="BY160">
            <v>118.91605646009046</v>
          </cell>
          <cell r="BZ160">
            <v>101.8752927336011</v>
          </cell>
          <cell r="CA160">
            <v>140.14904425499975</v>
          </cell>
          <cell r="CB160">
            <v>455.30474473028175</v>
          </cell>
          <cell r="CC160">
            <v>105.81781492313787</v>
          </cell>
          <cell r="CD160">
            <v>127.47468535194959</v>
          </cell>
          <cell r="CE160">
            <v>103.19218274406664</v>
          </cell>
          <cell r="CF160">
            <v>119.05873366426424</v>
          </cell>
          <cell r="CG160">
            <v>455.54341668341834</v>
          </cell>
        </row>
        <row r="161">
          <cell r="B161" t="str">
            <v>Depreciation of property and equipment</v>
          </cell>
          <cell r="Y161">
            <v>0</v>
          </cell>
          <cell r="Z161">
            <v>0</v>
          </cell>
          <cell r="AA161">
            <v>0</v>
          </cell>
          <cell r="AB161">
            <v>0</v>
          </cell>
          <cell r="AC161">
            <v>1.740167</v>
          </cell>
          <cell r="AD161">
            <v>1.740167</v>
          </cell>
          <cell r="AE161">
            <v>0.49918899999999999</v>
          </cell>
          <cell r="AF161">
            <v>0.655358</v>
          </cell>
          <cell r="AG161">
            <v>0.79574699999999998</v>
          </cell>
          <cell r="AH161">
            <v>0.56899999999999995</v>
          </cell>
          <cell r="AI161">
            <v>2.5192939999999999</v>
          </cell>
          <cell r="AJ161">
            <v>0.93899999999999995</v>
          </cell>
          <cell r="AK161">
            <v>0.747</v>
          </cell>
          <cell r="AL161">
            <v>1.101</v>
          </cell>
          <cell r="AM161">
            <v>0.79</v>
          </cell>
          <cell r="AN161">
            <v>3.577</v>
          </cell>
          <cell r="AO161">
            <v>0.77900000000000003</v>
          </cell>
          <cell r="AP161">
            <v>1.325</v>
          </cell>
          <cell r="AQ161">
            <v>0.90200000000000002</v>
          </cell>
          <cell r="AR161">
            <v>1.9</v>
          </cell>
          <cell r="AS161">
            <v>4.9059999999999997</v>
          </cell>
          <cell r="AT161">
            <v>0.61299999999999999</v>
          </cell>
          <cell r="AU161">
            <v>0.81699999999999995</v>
          </cell>
          <cell r="AV161">
            <v>1.046</v>
          </cell>
          <cell r="AW161">
            <v>1.18</v>
          </cell>
          <cell r="AX161">
            <v>3.6560000000000001</v>
          </cell>
          <cell r="AY161">
            <v>2.089</v>
          </cell>
          <cell r="AZ161">
            <v>1.617</v>
          </cell>
          <cell r="BA161">
            <v>2.077</v>
          </cell>
          <cell r="BB161">
            <v>1.3680000000000001</v>
          </cell>
          <cell r="BC161">
            <v>7.1509999999999998</v>
          </cell>
          <cell r="BD161">
            <v>2.33</v>
          </cell>
          <cell r="BE161">
            <v>2.2509999999999999</v>
          </cell>
          <cell r="BF161">
            <v>2.2349999999999999</v>
          </cell>
          <cell r="BG161">
            <v>2.6760000000000002</v>
          </cell>
          <cell r="BH161">
            <v>9.4919999999999991</v>
          </cell>
          <cell r="BI161">
            <v>3.0550000000000002</v>
          </cell>
          <cell r="BJ161">
            <v>3.2410000000000001</v>
          </cell>
          <cell r="BK161">
            <v>6.649</v>
          </cell>
          <cell r="BL161">
            <v>7.2880000000000003</v>
          </cell>
          <cell r="BM161">
            <v>20.233000000000001</v>
          </cell>
          <cell r="BN161">
            <v>8.1029999999999998</v>
          </cell>
          <cell r="BO161">
            <v>9.0419999999999998</v>
          </cell>
          <cell r="BP161">
            <v>11.058999999999999</v>
          </cell>
          <cell r="BQ161">
            <v>11.058999999999999</v>
          </cell>
          <cell r="BR161">
            <v>39.262999999999998</v>
          </cell>
          <cell r="BS161">
            <v>11.058999999999999</v>
          </cell>
          <cell r="BT161">
            <v>11.058999999999999</v>
          </cell>
          <cell r="BU161">
            <v>11.058999999999999</v>
          </cell>
          <cell r="BV161">
            <v>11.058999999999999</v>
          </cell>
          <cell r="BW161">
            <v>44.235999999999997</v>
          </cell>
          <cell r="BX161">
            <v>11.058999999999999</v>
          </cell>
          <cell r="BY161">
            <v>11.058999999999999</v>
          </cell>
          <cell r="BZ161">
            <v>11.058999999999999</v>
          </cell>
          <cell r="CA161">
            <v>11.058999999999999</v>
          </cell>
          <cell r="CB161">
            <v>44.235999999999997</v>
          </cell>
          <cell r="CC161">
            <v>21.483000000000001</v>
          </cell>
          <cell r="CD161">
            <v>21.483000000000001</v>
          </cell>
          <cell r="CE161">
            <v>21.483000000000001</v>
          </cell>
          <cell r="CF161">
            <v>21.483000000000001</v>
          </cell>
          <cell r="CG161">
            <v>85.932000000000002</v>
          </cell>
        </row>
        <row r="162">
          <cell r="B162" t="str">
            <v>Amortization of intangible assets</v>
          </cell>
          <cell r="Y162">
            <v>1.565685</v>
          </cell>
          <cell r="Z162">
            <v>0.39622299999999999</v>
          </cell>
          <cell r="AA162">
            <v>0.44750000000000001</v>
          </cell>
          <cell r="AB162">
            <v>0.39</v>
          </cell>
          <cell r="AC162">
            <v>0.33227700000000016</v>
          </cell>
          <cell r="AD162">
            <v>1.5660000000000001</v>
          </cell>
          <cell r="AE162">
            <v>0.39743600000000001</v>
          </cell>
          <cell r="AF162">
            <v>0.39456400000000003</v>
          </cell>
          <cell r="AG162">
            <v>0.39600000000000002</v>
          </cell>
          <cell r="AH162">
            <v>0.39600000000000002</v>
          </cell>
          <cell r="AI162">
            <v>1.5840000000000001</v>
          </cell>
          <cell r="AJ162">
            <v>0.39600000000000002</v>
          </cell>
          <cell r="AK162">
            <v>0.96099999999999997</v>
          </cell>
          <cell r="AL162">
            <v>1.042</v>
          </cell>
          <cell r="AM162">
            <v>1.052</v>
          </cell>
          <cell r="AN162">
            <v>3.4510000000000001</v>
          </cell>
          <cell r="AO162">
            <v>1.1639999999999999</v>
          </cell>
          <cell r="AP162">
            <v>1.881</v>
          </cell>
          <cell r="AQ162">
            <v>1.669</v>
          </cell>
          <cell r="AR162">
            <v>3.0880000000000001</v>
          </cell>
          <cell r="AS162">
            <v>7.8019999999999996</v>
          </cell>
          <cell r="AT162">
            <v>1.976</v>
          </cell>
          <cell r="AU162">
            <v>1.968</v>
          </cell>
          <cell r="AV162">
            <v>2.0369999999999999</v>
          </cell>
          <cell r="AW162">
            <v>2.0329999999999999</v>
          </cell>
          <cell r="AX162">
            <v>8.0139999999999993</v>
          </cell>
          <cell r="AY162">
            <v>1.9950000000000001</v>
          </cell>
          <cell r="AZ162">
            <v>2.1459999999999999</v>
          </cell>
          <cell r="BA162">
            <v>1.9419999999999999</v>
          </cell>
          <cell r="BB162">
            <v>2.1269999999999998</v>
          </cell>
          <cell r="BC162">
            <v>8.2100000000000009</v>
          </cell>
          <cell r="BD162">
            <v>3.56</v>
          </cell>
          <cell r="BE162">
            <v>3.6669999999999998</v>
          </cell>
          <cell r="BF162">
            <v>3.899</v>
          </cell>
          <cell r="BG162">
            <v>5.26</v>
          </cell>
          <cell r="BH162">
            <v>16.385999999999999</v>
          </cell>
          <cell r="BI162">
            <v>10.318</v>
          </cell>
          <cell r="BJ162">
            <v>9.0120000000000005</v>
          </cell>
          <cell r="BK162">
            <v>51.38</v>
          </cell>
          <cell r="BL162">
            <v>59.406999999999996</v>
          </cell>
          <cell r="BM162">
            <v>130.11700000000002</v>
          </cell>
          <cell r="BN162">
            <v>52.82</v>
          </cell>
          <cell r="BO162">
            <v>52.464999999999996</v>
          </cell>
          <cell r="BP162">
            <v>47.22</v>
          </cell>
          <cell r="BQ162">
            <v>47.22</v>
          </cell>
          <cell r="BR162">
            <v>199.72499999999999</v>
          </cell>
          <cell r="BS162">
            <v>46.72</v>
          </cell>
          <cell r="BT162">
            <v>46.72</v>
          </cell>
          <cell r="BU162">
            <v>46.72</v>
          </cell>
          <cell r="BV162">
            <v>46.72</v>
          </cell>
          <cell r="BW162">
            <v>186.88</v>
          </cell>
          <cell r="BX162">
            <v>46.12</v>
          </cell>
          <cell r="BY162">
            <v>46.12</v>
          </cell>
          <cell r="BZ162">
            <v>46.12</v>
          </cell>
          <cell r="CA162">
            <v>46.12</v>
          </cell>
          <cell r="CB162">
            <v>184.48</v>
          </cell>
          <cell r="CC162">
            <v>52.716000000000001</v>
          </cell>
          <cell r="CD162">
            <v>52.716000000000001</v>
          </cell>
          <cell r="CE162">
            <v>52.716000000000001</v>
          </cell>
          <cell r="CF162">
            <v>52.716000000000001</v>
          </cell>
          <cell r="CG162">
            <v>210.864</v>
          </cell>
        </row>
        <row r="163">
          <cell r="B163" t="str">
            <v>Stock-based compensation</v>
          </cell>
          <cell r="Y163">
            <v>0.57932799999999995</v>
          </cell>
          <cell r="Z163">
            <v>0.13853699999999999</v>
          </cell>
          <cell r="AA163">
            <v>0.22966700000000001</v>
          </cell>
          <cell r="AB163">
            <v>0.22679099999999999</v>
          </cell>
          <cell r="AC163">
            <v>0.24898400000000009</v>
          </cell>
          <cell r="AD163">
            <v>0.84397900000000003</v>
          </cell>
          <cell r="AE163">
            <v>0.47885699999999998</v>
          </cell>
          <cell r="AF163">
            <v>0.43487599999999998</v>
          </cell>
          <cell r="AG163">
            <v>0.47110999999999997</v>
          </cell>
          <cell r="AH163">
            <v>0.57299999999999995</v>
          </cell>
          <cell r="AI163">
            <v>1.9578429999999998</v>
          </cell>
          <cell r="AJ163">
            <v>0.40300000000000002</v>
          </cell>
          <cell r="AK163">
            <v>0.39600000000000002</v>
          </cell>
          <cell r="AL163">
            <v>0.39600000000000002</v>
          </cell>
          <cell r="AM163">
            <v>0.39600000000000002</v>
          </cell>
          <cell r="AN163">
            <v>1.5910000000000002</v>
          </cell>
          <cell r="AO163">
            <v>0.39600000000000002</v>
          </cell>
          <cell r="AP163">
            <v>2.4319999999999999</v>
          </cell>
          <cell r="AQ163">
            <v>3.4489999999999998</v>
          </cell>
          <cell r="AR163">
            <v>1.0740000000000001</v>
          </cell>
          <cell r="AS163">
            <v>7.351</v>
          </cell>
          <cell r="AT163">
            <v>2.8250000000000002</v>
          </cell>
          <cell r="AU163">
            <v>2.415</v>
          </cell>
          <cell r="AV163">
            <v>2.2389999999999999</v>
          </cell>
          <cell r="AW163">
            <v>2.246</v>
          </cell>
          <cell r="AX163">
            <v>9.7249999999999996</v>
          </cell>
          <cell r="AY163">
            <v>1.264</v>
          </cell>
          <cell r="AZ163">
            <v>1.978</v>
          </cell>
          <cell r="BA163">
            <v>1.6459999999999999</v>
          </cell>
          <cell r="BB163">
            <v>1.9410000000000001</v>
          </cell>
          <cell r="BC163">
            <v>6.8289999999999997</v>
          </cell>
          <cell r="BD163">
            <v>1.6830000000000001</v>
          </cell>
          <cell r="BE163">
            <v>2.419</v>
          </cell>
          <cell r="BF163">
            <v>2.4039999999999999</v>
          </cell>
          <cell r="BG163">
            <v>2.9380000000000002</v>
          </cell>
          <cell r="BH163">
            <v>9.4440000000000008</v>
          </cell>
          <cell r="BI163">
            <v>2.7890000000000001</v>
          </cell>
          <cell r="BJ163">
            <v>4.0640000000000001</v>
          </cell>
          <cell r="BK163">
            <v>6.3079999999999998</v>
          </cell>
          <cell r="BL163">
            <v>4.5060000000000002</v>
          </cell>
          <cell r="BM163">
            <v>17.667000000000002</v>
          </cell>
          <cell r="BN163">
            <v>6.6440000000000001</v>
          </cell>
          <cell r="BO163">
            <v>6.4870000000000001</v>
          </cell>
          <cell r="BP163">
            <v>6.5919999999999996</v>
          </cell>
          <cell r="BQ163">
            <v>0</v>
          </cell>
          <cell r="BR163">
            <v>19.722999999999999</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row>
        <row r="164">
          <cell r="B164" t="str">
            <v>Deferred lease inducements and rent</v>
          </cell>
          <cell r="Y164">
            <v>0</v>
          </cell>
          <cell r="Z164">
            <v>0</v>
          </cell>
          <cell r="AA164">
            <v>0</v>
          </cell>
          <cell r="AB164">
            <v>0</v>
          </cell>
          <cell r="AC164">
            <v>0</v>
          </cell>
          <cell r="AD164">
            <v>0</v>
          </cell>
          <cell r="AE164">
            <v>0</v>
          </cell>
          <cell r="AF164">
            <v>0</v>
          </cell>
          <cell r="AG164">
            <v>0</v>
          </cell>
          <cell r="AH164">
            <v>0.29799999999999999</v>
          </cell>
          <cell r="AI164">
            <v>0.29799999999999999</v>
          </cell>
          <cell r="AJ164">
            <v>0.189</v>
          </cell>
          <cell r="AK164">
            <v>0.19700000000000001</v>
          </cell>
          <cell r="AL164">
            <v>8.3000000000000004E-2</v>
          </cell>
          <cell r="AM164">
            <v>-1.6E-2</v>
          </cell>
          <cell r="AN164">
            <v>0.45300000000000001</v>
          </cell>
          <cell r="AO164">
            <v>-6.4000000000000001E-2</v>
          </cell>
          <cell r="AP164">
            <v>-4.2999999999999997E-2</v>
          </cell>
          <cell r="AQ164">
            <v>-9.9000000000000005E-2</v>
          </cell>
          <cell r="AR164">
            <v>-9.8000000000000004E-2</v>
          </cell>
          <cell r="AS164">
            <v>-0.30399999999999999</v>
          </cell>
          <cell r="AT164">
            <v>-4.4999999999999998E-2</v>
          </cell>
          <cell r="AU164">
            <v>-0.32400000000000001</v>
          </cell>
          <cell r="AV164">
            <v>-0.115</v>
          </cell>
          <cell r="AW164">
            <v>-0.109</v>
          </cell>
          <cell r="AX164">
            <v>-0.59300000000000008</v>
          </cell>
          <cell r="AY164">
            <v>-0.121</v>
          </cell>
          <cell r="AZ164">
            <v>-0.11700000000000001</v>
          </cell>
          <cell r="BA164">
            <v>-0.127</v>
          </cell>
          <cell r="BB164">
            <v>-9.7000000000000003E-2</v>
          </cell>
          <cell r="BC164">
            <v>-0.46200000000000002</v>
          </cell>
          <cell r="BD164">
            <v>-0.122</v>
          </cell>
          <cell r="BE164">
            <v>-0.125</v>
          </cell>
          <cell r="BF164">
            <v>-0.15</v>
          </cell>
          <cell r="BG164">
            <v>1.1559999999999999</v>
          </cell>
          <cell r="BH164">
            <v>0.75900000000000001</v>
          </cell>
          <cell r="BI164">
            <v>5.0999999999999997E-2</v>
          </cell>
          <cell r="BJ164">
            <v>0.154</v>
          </cell>
          <cell r="BK164">
            <v>1.204</v>
          </cell>
          <cell r="BL164">
            <v>1.7270000000000001</v>
          </cell>
          <cell r="BM164">
            <v>3.1360000000000001</v>
          </cell>
          <cell r="BN164">
            <v>14.528</v>
          </cell>
          <cell r="BO164">
            <v>0.82099999999999995</v>
          </cell>
          <cell r="BP164">
            <v>8.6929999999999996</v>
          </cell>
          <cell r="BQ164">
            <v>0</v>
          </cell>
          <cell r="BR164">
            <v>24.042000000000002</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row>
        <row r="165">
          <cell r="B165" t="str">
            <v>Deferred income taxes</v>
          </cell>
          <cell r="Y165">
            <v>0</v>
          </cell>
          <cell r="Z165">
            <v>0</v>
          </cell>
          <cell r="AA165">
            <v>0</v>
          </cell>
          <cell r="AB165">
            <v>0</v>
          </cell>
          <cell r="AC165">
            <v>-0.68</v>
          </cell>
          <cell r="AD165">
            <v>-0.68</v>
          </cell>
          <cell r="AE165">
            <v>-2.5368050000000002</v>
          </cell>
          <cell r="AF165">
            <v>5.8659999999999997E-2</v>
          </cell>
          <cell r="AG165">
            <v>0.71820399999999995</v>
          </cell>
          <cell r="AH165">
            <v>-1.9119999999999999</v>
          </cell>
          <cell r="AI165">
            <v>-3.6719409999999999</v>
          </cell>
          <cell r="AJ165">
            <v>0.38100000000000001</v>
          </cell>
          <cell r="AK165">
            <v>-0.11</v>
          </cell>
          <cell r="AL165">
            <v>-0.20699999999999999</v>
          </cell>
          <cell r="AM165">
            <v>-1.024</v>
          </cell>
          <cell r="AN165">
            <v>-0.96000000000000019</v>
          </cell>
          <cell r="AO165">
            <v>0.30199999999999999</v>
          </cell>
          <cell r="AP165">
            <v>-7.0999999999999994E-2</v>
          </cell>
          <cell r="AQ165">
            <v>-2.08</v>
          </cell>
          <cell r="AR165">
            <v>2.2090000000000001</v>
          </cell>
          <cell r="AS165">
            <v>0.36</v>
          </cell>
          <cell r="AT165">
            <v>0.64900000000000002</v>
          </cell>
          <cell r="AU165">
            <v>0.81499999999999995</v>
          </cell>
          <cell r="AV165">
            <v>-2.4020000000000001</v>
          </cell>
          <cell r="AW165">
            <v>0.67600000000000005</v>
          </cell>
          <cell r="AX165">
            <v>-0.26200000000000001</v>
          </cell>
          <cell r="AY165">
            <v>1.6080000000000001</v>
          </cell>
          <cell r="AZ165">
            <v>1.1599999999999999</v>
          </cell>
          <cell r="BA165">
            <v>-0.41</v>
          </cell>
          <cell r="BB165">
            <v>0.93200000000000005</v>
          </cell>
          <cell r="BC165">
            <v>3.29</v>
          </cell>
          <cell r="BD165">
            <v>0.45900000000000002</v>
          </cell>
          <cell r="BE165">
            <v>-0.77800000000000002</v>
          </cell>
          <cell r="BF165">
            <v>-1.177</v>
          </cell>
          <cell r="BG165">
            <v>-4.3979999999999997</v>
          </cell>
          <cell r="BH165">
            <v>-5.8940000000000001</v>
          </cell>
          <cell r="BI165">
            <v>-0.23599999999999999</v>
          </cell>
          <cell r="BJ165">
            <v>-0.46899999999999997</v>
          </cell>
          <cell r="BK165">
            <v>-17.988</v>
          </cell>
          <cell r="BL165">
            <v>-19.228999999999999</v>
          </cell>
          <cell r="BM165">
            <v>-37.921999999999997</v>
          </cell>
          <cell r="BN165">
            <v>-16.652000000000001</v>
          </cell>
          <cell r="BO165">
            <v>-9.1349999999999998</v>
          </cell>
          <cell r="BP165">
            <v>-10.438000000000001</v>
          </cell>
          <cell r="BQ165">
            <v>0</v>
          </cell>
          <cell r="BR165">
            <v>-36.225000000000001</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row>
        <row r="166">
          <cell r="B166" t="str">
            <v>Tax benefit on stock-based compensation plans &amp; other</v>
          </cell>
          <cell r="Y166">
            <v>0</v>
          </cell>
          <cell r="Z166">
            <v>0.37916500000000003</v>
          </cell>
          <cell r="AA166">
            <v>-9.9165999999999976E-2</v>
          </cell>
          <cell r="AB166">
            <v>0.46694599999999997</v>
          </cell>
          <cell r="AC166">
            <v>-1.1855869999999999</v>
          </cell>
          <cell r="AD166">
            <v>-0.43864199999999998</v>
          </cell>
          <cell r="AE166">
            <v>0.80482699999999996</v>
          </cell>
          <cell r="AF166">
            <v>4.7010999999999997E-2</v>
          </cell>
          <cell r="AG166">
            <v>0.693712</v>
          </cell>
          <cell r="AH166">
            <v>0.01</v>
          </cell>
          <cell r="AI166">
            <v>1.55555</v>
          </cell>
          <cell r="AJ166">
            <v>0.12000000000000001</v>
          </cell>
          <cell r="AK166">
            <v>-0.122</v>
          </cell>
          <cell r="AL166">
            <v>-0.16399999999999998</v>
          </cell>
          <cell r="AM166">
            <v>-1.2E-2</v>
          </cell>
          <cell r="AN166">
            <v>-0.17799999999999999</v>
          </cell>
          <cell r="AO166">
            <v>-7.9999999999999984E-3</v>
          </cell>
          <cell r="AP166">
            <v>-9.4E-2</v>
          </cell>
          <cell r="AQ166">
            <v>-0.71899999999999997</v>
          </cell>
          <cell r="AR166">
            <v>1E-3</v>
          </cell>
          <cell r="AS166">
            <v>-0.82</v>
          </cell>
          <cell r="AT166">
            <v>-1.5620000000000001</v>
          </cell>
          <cell r="AU166">
            <v>-0.54400000000000004</v>
          </cell>
          <cell r="AV166">
            <v>-1.341</v>
          </cell>
          <cell r="AW166">
            <v>-1.0169999999999999</v>
          </cell>
          <cell r="AX166">
            <v>-4.4639999999999995</v>
          </cell>
          <cell r="AY166">
            <v>-4.0819999999999999</v>
          </cell>
          <cell r="AZ166">
            <v>-1.506</v>
          </cell>
          <cell r="BA166">
            <v>-0.48199999999999998</v>
          </cell>
          <cell r="BB166">
            <v>-7.0369999999999999</v>
          </cell>
          <cell r="BC166">
            <v>-13.106999999999999</v>
          </cell>
          <cell r="BD166">
            <v>-3.323</v>
          </cell>
          <cell r="BE166">
            <v>-5.6959999999999997</v>
          </cell>
          <cell r="BF166">
            <v>-0.30399999999999999</v>
          </cell>
          <cell r="BG166">
            <v>-1.482</v>
          </cell>
          <cell r="BH166">
            <v>-10.805</v>
          </cell>
          <cell r="BI166">
            <v>-7.7889999999999997</v>
          </cell>
          <cell r="BJ166">
            <v>-2.7919999999999998</v>
          </cell>
          <cell r="BK166">
            <v>-6.633</v>
          </cell>
          <cell r="BL166">
            <v>0.31000000000000005</v>
          </cell>
          <cell r="BM166">
            <v>-16.904</v>
          </cell>
          <cell r="BN166">
            <v>-4.9279999999999999</v>
          </cell>
          <cell r="BO166">
            <v>-4.5490000000000004</v>
          </cell>
          <cell r="BP166">
            <v>-0.99199999999999999</v>
          </cell>
          <cell r="BQ166">
            <v>0</v>
          </cell>
          <cell r="BR166">
            <v>-10.469000000000001</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row>
        <row r="167">
          <cell r="B167" t="str">
            <v>Other</v>
          </cell>
          <cell r="Y167">
            <v>0.57932799999999995</v>
          </cell>
          <cell r="Z167">
            <v>0.517702</v>
          </cell>
          <cell r="AA167">
            <v>0.13050100000000003</v>
          </cell>
          <cell r="AB167">
            <v>0.69373699999999994</v>
          </cell>
          <cell r="AC167">
            <v>-1.616603</v>
          </cell>
          <cell r="AD167">
            <v>-0.27466299999999999</v>
          </cell>
          <cell r="AE167">
            <v>-1.2531210000000002</v>
          </cell>
          <cell r="AF167">
            <v>0.540547</v>
          </cell>
          <cell r="AG167">
            <v>1.8830260000000001</v>
          </cell>
          <cell r="AH167">
            <v>-1.0309999999999999</v>
          </cell>
          <cell r="AI167">
            <v>0.13945199999999969</v>
          </cell>
          <cell r="AJ167">
            <v>1.0930000000000002</v>
          </cell>
          <cell r="AK167">
            <v>0.36099999999999999</v>
          </cell>
          <cell r="AL167">
            <v>0.10800000000000004</v>
          </cell>
          <cell r="AM167">
            <v>-0.65600000000000003</v>
          </cell>
          <cell r="AN167">
            <v>0.90600000000000014</v>
          </cell>
          <cell r="AO167">
            <v>0.626</v>
          </cell>
          <cell r="AP167">
            <v>2.2239999999999998</v>
          </cell>
          <cell r="AQ167">
            <v>0.5509999999999996</v>
          </cell>
          <cell r="AR167">
            <v>3.1859999999999999</v>
          </cell>
          <cell r="AS167">
            <v>6.5869999999999997</v>
          </cell>
          <cell r="AT167">
            <v>1.8670000000000002</v>
          </cell>
          <cell r="AU167">
            <v>2.3620000000000001</v>
          </cell>
          <cell r="AV167">
            <v>-1.6190000000000004</v>
          </cell>
          <cell r="AW167">
            <v>1.7960000000000003</v>
          </cell>
          <cell r="AX167">
            <v>4.4059999999999997</v>
          </cell>
          <cell r="AY167">
            <v>-1.3309999999999995</v>
          </cell>
          <cell r="AZ167">
            <v>1.5149999999999999</v>
          </cell>
          <cell r="BA167">
            <v>0.627</v>
          </cell>
          <cell r="BB167">
            <v>-4.2609999999999992</v>
          </cell>
          <cell r="BC167">
            <v>-3.4499999999999993</v>
          </cell>
          <cell r="BD167">
            <v>-1.3029999999999999</v>
          </cell>
          <cell r="BE167">
            <v>-4.18</v>
          </cell>
          <cell r="BF167">
            <v>0.77299999999999991</v>
          </cell>
          <cell r="BG167">
            <v>-1.7859999999999994</v>
          </cell>
          <cell r="BH167">
            <v>-6.4959999999999996</v>
          </cell>
          <cell r="BI167">
            <v>-5.1849999999999996</v>
          </cell>
          <cell r="BJ167">
            <v>0.95700000000000029</v>
          </cell>
          <cell r="BK167">
            <v>-17.108999999999998</v>
          </cell>
          <cell r="BL167">
            <v>-12.685999999999998</v>
          </cell>
          <cell r="BM167">
            <v>-34.022999999999996</v>
          </cell>
          <cell r="BN167">
            <v>-0.40800000000000036</v>
          </cell>
          <cell r="BO167">
            <v>-6.3760000000000003</v>
          </cell>
          <cell r="BP167">
            <v>3.8549999999999995</v>
          </cell>
          <cell r="BQ167">
            <v>0</v>
          </cell>
          <cell r="BR167">
            <v>-2.9290000000000012</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row>
        <row r="168">
          <cell r="B168" t="str">
            <v>Accounts receivable</v>
          </cell>
          <cell r="Y168">
            <v>-0.549674</v>
          </cell>
          <cell r="Z168">
            <v>0.86397400000000002</v>
          </cell>
          <cell r="AA168">
            <v>-1.326343</v>
          </cell>
          <cell r="AB168">
            <v>-8.6693999999999993E-2</v>
          </cell>
          <cell r="AC168">
            <v>0.54066500000000006</v>
          </cell>
          <cell r="AD168">
            <v>-8.3980000000000166E-3</v>
          </cell>
          <cell r="AE168">
            <v>-4.9006319999999999</v>
          </cell>
          <cell r="AF168">
            <v>0.50587199999999999</v>
          </cell>
          <cell r="AG168">
            <v>-0.99383500000000002</v>
          </cell>
          <cell r="AH168">
            <v>-0.27300000000000002</v>
          </cell>
          <cell r="AI168">
            <v>-5.6615949999999993</v>
          </cell>
          <cell r="AJ168">
            <v>-1.411</v>
          </cell>
          <cell r="AK168">
            <v>1.2350000000000001</v>
          </cell>
          <cell r="AL168">
            <v>-3.706</v>
          </cell>
          <cell r="AM168">
            <v>0.20399999999999999</v>
          </cell>
          <cell r="AN168">
            <v>-3.6779999999999995</v>
          </cell>
          <cell r="AO168">
            <v>1.21</v>
          </cell>
          <cell r="AP168">
            <v>11.618</v>
          </cell>
          <cell r="AQ168">
            <v>-4.97</v>
          </cell>
          <cell r="AR168">
            <v>0.14699999999999999</v>
          </cell>
          <cell r="AS168">
            <v>8.0050000000000008</v>
          </cell>
          <cell r="AT168">
            <v>-3.863</v>
          </cell>
          <cell r="AU168">
            <v>3.4889999999999999</v>
          </cell>
          <cell r="AV168">
            <v>-9.07</v>
          </cell>
          <cell r="AW168">
            <v>-7.2610000000000001</v>
          </cell>
          <cell r="AX168">
            <v>-16.704999999999998</v>
          </cell>
          <cell r="AY168">
            <v>-11.288</v>
          </cell>
          <cell r="AZ168">
            <v>4.6639999999999997</v>
          </cell>
          <cell r="BA168">
            <v>-6.5609999999999999</v>
          </cell>
          <cell r="BB168">
            <v>3.7290000000000001</v>
          </cell>
          <cell r="BC168">
            <v>-9.4559999999999995</v>
          </cell>
          <cell r="BD168">
            <v>-78.168999999999997</v>
          </cell>
          <cell r="BE168">
            <v>-24.879000000000001</v>
          </cell>
          <cell r="BF168">
            <v>9.2110000000000003</v>
          </cell>
          <cell r="BG168">
            <v>-16.469000000000001</v>
          </cell>
          <cell r="BH168">
            <v>-110.306</v>
          </cell>
          <cell r="BI168">
            <v>-31.841999999999999</v>
          </cell>
          <cell r="BJ168">
            <v>4.2590000000000003</v>
          </cell>
          <cell r="BK168">
            <v>-58.581000000000003</v>
          </cell>
          <cell r="BL168">
            <v>-48.122999999999998</v>
          </cell>
          <cell r="BM168">
            <v>-134.28700000000001</v>
          </cell>
          <cell r="BN168">
            <v>-1.6639999999999999</v>
          </cell>
          <cell r="BO168">
            <v>-19.608000000000001</v>
          </cell>
          <cell r="BP168">
            <v>-98.414000000000001</v>
          </cell>
          <cell r="BQ168">
            <v>-59.981408516081501</v>
          </cell>
          <cell r="BR168">
            <v>-179.66740851608148</v>
          </cell>
          <cell r="BS168">
            <v>-202.55661206272316</v>
          </cell>
          <cell r="BT168">
            <v>-163.39459283704514</v>
          </cell>
          <cell r="BU168">
            <v>-6.1367551318621736</v>
          </cell>
          <cell r="BV168">
            <v>-117.37681919750935</v>
          </cell>
          <cell r="BW168">
            <v>-489.46477922913982</v>
          </cell>
          <cell r="BX168">
            <v>188.10642107983017</v>
          </cell>
          <cell r="BY168">
            <v>-207.84570545958672</v>
          </cell>
          <cell r="BZ168">
            <v>-41.961953731478616</v>
          </cell>
          <cell r="CA168">
            <v>-133.67905599571509</v>
          </cell>
          <cell r="CB168">
            <v>-195.38029410695026</v>
          </cell>
          <cell r="CC168">
            <v>76.734401256351475</v>
          </cell>
          <cell r="CD168">
            <v>-166.20036088751135</v>
          </cell>
          <cell r="CE168">
            <v>-30.687061514914149</v>
          </cell>
          <cell r="CF168">
            <v>-2.4847021339990079</v>
          </cell>
          <cell r="CG168">
            <v>-122.63772328007303</v>
          </cell>
        </row>
        <row r="169">
          <cell r="B169" t="str">
            <v>Rebates receivable</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1.153</v>
          </cell>
          <cell r="AQ169">
            <v>1.8640000000000001</v>
          </cell>
          <cell r="AR169">
            <v>-5.4</v>
          </cell>
          <cell r="AS169">
            <v>-2.3830000000000005</v>
          </cell>
          <cell r="AT169">
            <v>5.6989999999999998</v>
          </cell>
          <cell r="AU169">
            <v>1.375</v>
          </cell>
          <cell r="AV169">
            <v>1.9350000000000001</v>
          </cell>
          <cell r="AW169">
            <v>2.9470000000000001</v>
          </cell>
          <cell r="AX169">
            <v>11.956</v>
          </cell>
          <cell r="AY169">
            <v>-14.5</v>
          </cell>
          <cell r="AZ169">
            <v>-2.8010000000000002</v>
          </cell>
          <cell r="BA169">
            <v>-3.1579999999999999</v>
          </cell>
          <cell r="BB169">
            <v>3.84</v>
          </cell>
          <cell r="BC169">
            <v>-16.619</v>
          </cell>
          <cell r="BD169">
            <v>0.32200000000000001</v>
          </cell>
          <cell r="BE169">
            <v>-0.72299999999999998</v>
          </cell>
          <cell r="BF169">
            <v>5.0170000000000003</v>
          </cell>
          <cell r="BG169">
            <v>0.65100000000000002</v>
          </cell>
          <cell r="BH169">
            <v>5.2670000000000003</v>
          </cell>
          <cell r="BI169">
            <v>-8.7769999999999992</v>
          </cell>
          <cell r="BJ169">
            <v>-32.234999999999999</v>
          </cell>
          <cell r="BK169">
            <v>47.692999999999998</v>
          </cell>
          <cell r="BL169">
            <v>-47.668999999999997</v>
          </cell>
          <cell r="BM169">
            <v>-40.988</v>
          </cell>
          <cell r="BN169">
            <v>-14.553000000000001</v>
          </cell>
          <cell r="BO169">
            <v>32.966000000000001</v>
          </cell>
          <cell r="BP169">
            <v>-7.282</v>
          </cell>
          <cell r="BQ169">
            <v>-20.423237617691882</v>
          </cell>
          <cell r="BR169">
            <v>-9.2922376176918817</v>
          </cell>
          <cell r="BS169">
            <v>-32.682135534166207</v>
          </cell>
          <cell r="BT169">
            <v>-50.851221282402605</v>
          </cell>
          <cell r="BU169">
            <v>-2.156828472009181</v>
          </cell>
          <cell r="BV169">
            <v>-36.404866908425902</v>
          </cell>
          <cell r="BW169">
            <v>-122.09505219700389</v>
          </cell>
          <cell r="BX169">
            <v>59.059779923401948</v>
          </cell>
          <cell r="BY169">
            <v>-64.683911300494344</v>
          </cell>
          <cell r="BZ169">
            <v>-13.373305415525635</v>
          </cell>
          <cell r="CA169">
            <v>-41.445892569629166</v>
          </cell>
          <cell r="CB169">
            <v>-60.443329362247198</v>
          </cell>
          <cell r="CC169">
            <v>44.86010258315423</v>
          </cell>
          <cell r="CD169">
            <v>-115.22900218174607</v>
          </cell>
          <cell r="CE169">
            <v>-21.632223840930465</v>
          </cell>
          <cell r="CF169">
            <v>-0.8037733651117378</v>
          </cell>
          <cell r="CG169">
            <v>-92.804896804634041</v>
          </cell>
        </row>
        <row r="170">
          <cell r="B170" t="str">
            <v>Restricted cash</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-4.3250000000000002</v>
          </cell>
          <cell r="AQ170">
            <v>-0.33500000000000002</v>
          </cell>
          <cell r="AR170">
            <v>5.2919999999999998</v>
          </cell>
          <cell r="AS170">
            <v>0.63199999999999967</v>
          </cell>
          <cell r="AT170">
            <v>-1.1299999999999999</v>
          </cell>
          <cell r="AU170">
            <v>-0.50700000000000001</v>
          </cell>
          <cell r="AV170">
            <v>1.702</v>
          </cell>
          <cell r="AW170">
            <v>-1.736</v>
          </cell>
          <cell r="AX170">
            <v>-1.6709999999999998</v>
          </cell>
          <cell r="AY170">
            <v>-0.13600000000000001</v>
          </cell>
          <cell r="AZ170">
            <v>-1.6E-2</v>
          </cell>
          <cell r="BA170">
            <v>-0.01</v>
          </cell>
          <cell r="BB170">
            <v>0.54100000000000004</v>
          </cell>
          <cell r="BC170">
            <v>0.379</v>
          </cell>
          <cell r="BD170">
            <v>-1.2E-2</v>
          </cell>
          <cell r="BE170">
            <v>-1.1599999999999999</v>
          </cell>
          <cell r="BF170">
            <v>-8.9999999999999993E-3</v>
          </cell>
          <cell r="BG170">
            <v>2.9540000000000002</v>
          </cell>
          <cell r="BH170">
            <v>1.7730000000000004</v>
          </cell>
          <cell r="BI170">
            <v>-0.66500000000000004</v>
          </cell>
          <cell r="BJ170">
            <v>9.4E-2</v>
          </cell>
          <cell r="BK170">
            <v>9.9090000000000007</v>
          </cell>
          <cell r="BL170">
            <v>-3.3000000000000002E-2</v>
          </cell>
          <cell r="BM170">
            <v>9.3049999999999997</v>
          </cell>
          <cell r="BN170">
            <v>0.22700000000000001</v>
          </cell>
          <cell r="BO170">
            <v>4.0000000000000001E-3</v>
          </cell>
          <cell r="BP170">
            <v>-3.2000000000000001E-2</v>
          </cell>
          <cell r="BQ170">
            <v>0</v>
          </cell>
          <cell r="BR170">
            <v>0.19900000000000001</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row>
        <row r="171">
          <cell r="B171" t="str">
            <v>Prepaid expenses and other assets</v>
          </cell>
          <cell r="Y171">
            <v>-0.14282400000000001</v>
          </cell>
          <cell r="Z171">
            <v>-3.6470000000000002E-2</v>
          </cell>
          <cell r="AA171">
            <v>-0.31324799999999997</v>
          </cell>
          <cell r="AB171">
            <v>-0.191938</v>
          </cell>
          <cell r="AC171">
            <v>-0.84714500000000004</v>
          </cell>
          <cell r="AD171">
            <v>-1.388801</v>
          </cell>
          <cell r="AE171">
            <v>-0.16720600000000002</v>
          </cell>
          <cell r="AF171">
            <v>-0.75477299999999992</v>
          </cell>
          <cell r="AG171">
            <v>-0.82389599999999996</v>
          </cell>
          <cell r="AH171">
            <v>-6.3E-2</v>
          </cell>
          <cell r="AI171">
            <v>-1.8088749999999998</v>
          </cell>
          <cell r="AJ171">
            <v>-7.4999999999999956E-2</v>
          </cell>
          <cell r="AK171">
            <v>-0.27900000000000003</v>
          </cell>
          <cell r="AL171">
            <v>-0.23300000000000001</v>
          </cell>
          <cell r="AM171">
            <v>-0.251</v>
          </cell>
          <cell r="AN171">
            <v>-0.83799999999999997</v>
          </cell>
          <cell r="AO171">
            <v>-0.46700000000000003</v>
          </cell>
          <cell r="AP171">
            <v>1.7889999999999999</v>
          </cell>
          <cell r="AQ171">
            <v>-0.40699999999999997</v>
          </cell>
          <cell r="AR171">
            <v>-0.80800000000000005</v>
          </cell>
          <cell r="AS171">
            <v>0.10699999999999982</v>
          </cell>
          <cell r="AT171">
            <v>-0.42099999999999999</v>
          </cell>
          <cell r="AU171">
            <v>-0.74299999999999999</v>
          </cell>
          <cell r="AV171">
            <v>0.86199999999999999</v>
          </cell>
          <cell r="AW171">
            <v>0.23</v>
          </cell>
          <cell r="AX171">
            <v>-7.1999999999999897E-2</v>
          </cell>
          <cell r="AY171">
            <v>-0.159</v>
          </cell>
          <cell r="AZ171">
            <v>-1.4119999999999999</v>
          </cell>
          <cell r="BA171">
            <v>0.221</v>
          </cell>
          <cell r="BB171">
            <v>0.52600000000000002</v>
          </cell>
          <cell r="BC171">
            <v>-0.82399999999999995</v>
          </cell>
          <cell r="BD171">
            <v>-0.77800000000000002</v>
          </cell>
          <cell r="BE171">
            <v>-2.1619999999999999</v>
          </cell>
          <cell r="BF171">
            <v>1.2010000000000001</v>
          </cell>
          <cell r="BG171">
            <v>0.27100000000000002</v>
          </cell>
          <cell r="BH171">
            <v>-1.468</v>
          </cell>
          <cell r="BI171">
            <v>0.14399999999999999</v>
          </cell>
          <cell r="BJ171">
            <v>-0.79800000000000004</v>
          </cell>
          <cell r="BK171">
            <v>21.616</v>
          </cell>
          <cell r="BL171">
            <v>30.978000000000002</v>
          </cell>
          <cell r="BM171">
            <v>51.94</v>
          </cell>
          <cell r="BN171">
            <v>12.467000000000001</v>
          </cell>
          <cell r="BO171">
            <v>0</v>
          </cell>
          <cell r="BP171">
            <v>-5.3380000000000001</v>
          </cell>
          <cell r="BQ171">
            <v>0</v>
          </cell>
          <cell r="BR171">
            <v>7.1290000000000004</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row>
        <row r="172">
          <cell r="B172" t="str">
            <v>Inventory</v>
          </cell>
          <cell r="Y172">
            <v>0</v>
          </cell>
          <cell r="Z172">
            <v>-0.132297</v>
          </cell>
          <cell r="AA172">
            <v>-0.115463</v>
          </cell>
          <cell r="AB172">
            <v>-0.103216</v>
          </cell>
          <cell r="AC172">
            <v>0.10693299999999994</v>
          </cell>
          <cell r="AD172">
            <v>-0.24404300000000001</v>
          </cell>
          <cell r="AE172">
            <v>1.4121E-2</v>
          </cell>
          <cell r="AF172">
            <v>7.0318000000000006E-2</v>
          </cell>
          <cell r="AG172">
            <v>0.105657</v>
          </cell>
          <cell r="AH172">
            <v>-1.2999999999999999E-2</v>
          </cell>
          <cell r="AI172">
            <v>0.17709599999999998</v>
          </cell>
          <cell r="AJ172">
            <v>-2.3E-2</v>
          </cell>
          <cell r="AK172">
            <v>1.7000000000000001E-2</v>
          </cell>
          <cell r="AL172">
            <v>-1.6E-2</v>
          </cell>
          <cell r="AM172">
            <v>0.04</v>
          </cell>
          <cell r="AN172">
            <v>1.8000000000000002E-2</v>
          </cell>
          <cell r="AO172">
            <v>-1.4999999999999999E-2</v>
          </cell>
          <cell r="AP172">
            <v>-0.249</v>
          </cell>
          <cell r="AQ172">
            <v>9.2999999999999999E-2</v>
          </cell>
          <cell r="AR172">
            <v>8.7999999999999995E-2</v>
          </cell>
          <cell r="AS172">
            <v>-8.3000000000000004E-2</v>
          </cell>
          <cell r="AT172">
            <v>0.65700000000000003</v>
          </cell>
          <cell r="AU172">
            <v>-0.06</v>
          </cell>
          <cell r="AV172">
            <v>-0.91500000000000004</v>
          </cell>
          <cell r="AW172">
            <v>-8.3000000000000004E-2</v>
          </cell>
          <cell r="AX172">
            <v>-0.40100000000000002</v>
          </cell>
          <cell r="AY172">
            <v>-1.133</v>
          </cell>
          <cell r="AZ172">
            <v>1.0999999999999999E-2</v>
          </cell>
          <cell r="BA172">
            <v>0.29699999999999999</v>
          </cell>
          <cell r="BB172">
            <v>1.3260000000000001</v>
          </cell>
          <cell r="BC172">
            <v>0.50099999999999989</v>
          </cell>
          <cell r="BD172">
            <v>-2.1829999999999998</v>
          </cell>
          <cell r="BE172">
            <v>-1.304</v>
          </cell>
          <cell r="BF172">
            <v>-2.9990000000000001</v>
          </cell>
          <cell r="BG172">
            <v>-3.8050000000000002</v>
          </cell>
          <cell r="BH172">
            <v>-10.291</v>
          </cell>
          <cell r="BI172">
            <v>-1.6020000000000001</v>
          </cell>
          <cell r="BJ172">
            <v>-1.57</v>
          </cell>
          <cell r="BK172">
            <v>0</v>
          </cell>
          <cell r="BL172">
            <v>0</v>
          </cell>
          <cell r="BM172">
            <v>-3.1720000000000002</v>
          </cell>
          <cell r="BN172">
            <v>0</v>
          </cell>
          <cell r="BO172">
            <v>0</v>
          </cell>
          <cell r="BP172">
            <v>0</v>
          </cell>
          <cell r="BQ172">
            <v>-3.3046457769955495</v>
          </cell>
          <cell r="BR172">
            <v>-3.3046457769955495</v>
          </cell>
          <cell r="BS172">
            <v>-5.0621438714331219</v>
          </cell>
          <cell r="BT172">
            <v>-7.6862232173972203</v>
          </cell>
          <cell r="BU172">
            <v>-0.56812231154562909</v>
          </cell>
          <cell r="BV172">
            <v>-5.2165908467144959</v>
          </cell>
          <cell r="BW172">
            <v>-18.533080247090467</v>
          </cell>
          <cell r="BX172">
            <v>9.7123218296344547</v>
          </cell>
          <cell r="BY172">
            <v>-9.7262230315870042</v>
          </cell>
          <cell r="BZ172">
            <v>-2.3969542359787539</v>
          </cell>
          <cell r="CA172">
            <v>-5.8303204449748165</v>
          </cell>
          <cell r="CB172">
            <v>-8.2411758829061199</v>
          </cell>
          <cell r="CC172">
            <v>5.1408634372681661</v>
          </cell>
          <cell r="CD172">
            <v>-8.8379190033806907</v>
          </cell>
          <cell r="CE172">
            <v>-2.1283035701084287</v>
          </cell>
          <cell r="CF172">
            <v>0.17367574702704758</v>
          </cell>
          <cell r="CG172">
            <v>-5.6516833891939058</v>
          </cell>
        </row>
        <row r="173">
          <cell r="B173" t="str">
            <v>Income tax recoverable</v>
          </cell>
          <cell r="Y173">
            <v>0</v>
          </cell>
          <cell r="Z173">
            <v>0</v>
          </cell>
          <cell r="AA173">
            <v>0</v>
          </cell>
          <cell r="AB173">
            <v>0</v>
          </cell>
          <cell r="AC173">
            <v>0</v>
          </cell>
          <cell r="AD173">
            <v>0</v>
          </cell>
          <cell r="AE173">
            <v>0</v>
          </cell>
          <cell r="AF173">
            <v>-1.288035</v>
          </cell>
          <cell r="AG173">
            <v>-0.198875</v>
          </cell>
          <cell r="AH173">
            <v>1.391</v>
          </cell>
          <cell r="AI173">
            <v>-9.590999999999994E-2</v>
          </cell>
          <cell r="AJ173">
            <v>1.677</v>
          </cell>
          <cell r="AK173">
            <v>-0.73799999999999999</v>
          </cell>
          <cell r="AL173">
            <v>-1.472</v>
          </cell>
          <cell r="AM173">
            <v>-1.079</v>
          </cell>
          <cell r="AN173">
            <v>-1.6120000000000001</v>
          </cell>
          <cell r="AO173">
            <v>1.018</v>
          </cell>
          <cell r="AP173">
            <v>-0.66300000000000003</v>
          </cell>
          <cell r="AQ173">
            <v>1.264</v>
          </cell>
          <cell r="AR173">
            <v>-0.94099999999999995</v>
          </cell>
          <cell r="AS173">
            <v>0.67800000000000005</v>
          </cell>
          <cell r="AT173">
            <v>8.7999999999999995E-2</v>
          </cell>
          <cell r="AU173">
            <v>2.15</v>
          </cell>
          <cell r="AV173">
            <v>2.9670000000000001</v>
          </cell>
          <cell r="AW173">
            <v>0.89300000000000002</v>
          </cell>
          <cell r="AX173">
            <v>6.0979999999999999</v>
          </cell>
          <cell r="AY173">
            <v>3.6429999999999998</v>
          </cell>
          <cell r="AZ173">
            <v>3.4620000000000002</v>
          </cell>
          <cell r="BA173">
            <v>0.58199999999999996</v>
          </cell>
          <cell r="BB173">
            <v>2.8359999999999999</v>
          </cell>
          <cell r="BC173">
            <v>10.523</v>
          </cell>
          <cell r="BD173">
            <v>8.2189999999999994</v>
          </cell>
          <cell r="BE173">
            <v>4.6429999999999998</v>
          </cell>
          <cell r="BF173">
            <v>11.725</v>
          </cell>
          <cell r="BG173">
            <v>-2.609</v>
          </cell>
          <cell r="BH173">
            <v>21.978000000000002</v>
          </cell>
          <cell r="BI173">
            <v>5.8869999999999996</v>
          </cell>
          <cell r="BJ173">
            <v>5.8159999999999998</v>
          </cell>
          <cell r="BK173">
            <v>0</v>
          </cell>
          <cell r="BL173">
            <v>0</v>
          </cell>
          <cell r="BM173">
            <v>11.702999999999999</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row>
        <row r="174">
          <cell r="B174" t="str">
            <v>Accounts payable</v>
          </cell>
          <cell r="Y174">
            <v>-1.371513</v>
          </cell>
          <cell r="Z174">
            <v>-0.41870099999999999</v>
          </cell>
          <cell r="AA174">
            <v>1.1072360000000001</v>
          </cell>
          <cell r="AB174">
            <v>0.78179799999999999</v>
          </cell>
          <cell r="AC174">
            <v>0.60250199999999987</v>
          </cell>
          <cell r="AD174">
            <v>2.072835</v>
          </cell>
          <cell r="AE174">
            <v>1.835124</v>
          </cell>
          <cell r="AF174">
            <v>-1.050586</v>
          </cell>
          <cell r="AG174">
            <v>0.40332699999999999</v>
          </cell>
          <cell r="AH174">
            <v>-0.44700000000000001</v>
          </cell>
          <cell r="AI174">
            <v>0.74086499999999988</v>
          </cell>
          <cell r="AJ174">
            <v>1.304</v>
          </cell>
          <cell r="AK174">
            <v>-1.046</v>
          </cell>
          <cell r="AL174">
            <v>0.76900000000000002</v>
          </cell>
          <cell r="AM174">
            <v>-0.33700000000000002</v>
          </cell>
          <cell r="AN174">
            <v>0.69</v>
          </cell>
          <cell r="AO174">
            <v>-0.59399999999999997</v>
          </cell>
          <cell r="AP174">
            <v>1.8580000000000001</v>
          </cell>
          <cell r="AQ174">
            <v>-0.76800000000000002</v>
          </cell>
          <cell r="AR174">
            <v>1.1819999999999999</v>
          </cell>
          <cell r="AS174">
            <v>1.6780000000000004</v>
          </cell>
          <cell r="AT174">
            <v>-1.198</v>
          </cell>
          <cell r="AU174">
            <v>1.282</v>
          </cell>
          <cell r="AV174">
            <v>-2.4660000000000002</v>
          </cell>
          <cell r="AW174">
            <v>4.0170000000000003</v>
          </cell>
          <cell r="AX174">
            <v>1.6350000000000002</v>
          </cell>
          <cell r="AY174">
            <v>-2.383</v>
          </cell>
          <cell r="AZ174">
            <v>0.69799999999999995</v>
          </cell>
          <cell r="BA174">
            <v>1.397</v>
          </cell>
          <cell r="BB174">
            <v>2.4569999999999999</v>
          </cell>
          <cell r="BC174">
            <v>2.1689999999999996</v>
          </cell>
          <cell r="BD174">
            <v>6.532</v>
          </cell>
          <cell r="BE174">
            <v>-0.20899999999999999</v>
          </cell>
          <cell r="BF174">
            <v>-23.43</v>
          </cell>
          <cell r="BG174">
            <v>-3.2109999999999999</v>
          </cell>
          <cell r="BH174">
            <v>-20.317999999999998</v>
          </cell>
          <cell r="BI174">
            <v>-4.032</v>
          </cell>
          <cell r="BJ174">
            <v>5.5780000000000003</v>
          </cell>
          <cell r="BK174">
            <v>0</v>
          </cell>
          <cell r="BL174">
            <v>11.143000000000001</v>
          </cell>
          <cell r="BM174">
            <v>12.689</v>
          </cell>
          <cell r="BN174">
            <v>-34.136000000000003</v>
          </cell>
          <cell r="BO174">
            <v>11.504</v>
          </cell>
          <cell r="BP174">
            <v>70.242000000000004</v>
          </cell>
          <cell r="BQ174">
            <v>-11.421310170360357</v>
          </cell>
          <cell r="BR174">
            <v>36.18868982963965</v>
          </cell>
          <cell r="BS174">
            <v>151.90412481509293</v>
          </cell>
          <cell r="BT174">
            <v>84.317256517680903</v>
          </cell>
          <cell r="BU174">
            <v>58.846106630468398</v>
          </cell>
          <cell r="BV174">
            <v>-7.5106352645592551</v>
          </cell>
          <cell r="BW174">
            <v>287.55685269868297</v>
          </cell>
          <cell r="BX174">
            <v>-53.124075269736863</v>
          </cell>
          <cell r="BY174">
            <v>115.74733990224559</v>
          </cell>
          <cell r="BZ174">
            <v>95.049915711847689</v>
          </cell>
          <cell r="CA174">
            <v>-9.192347240189747</v>
          </cell>
          <cell r="CB174">
            <v>148.48083310416666</v>
          </cell>
          <cell r="CC174">
            <v>34.254593789817363</v>
          </cell>
          <cell r="CD174">
            <v>73.16747380211882</v>
          </cell>
          <cell r="CE174">
            <v>131.14204000374139</v>
          </cell>
          <cell r="CF174">
            <v>-122.73385726213428</v>
          </cell>
          <cell r="CG174">
            <v>115.83025033354329</v>
          </cell>
        </row>
        <row r="175">
          <cell r="B175" t="str">
            <v>Accrued liabilities</v>
          </cell>
          <cell r="Y175">
            <v>0</v>
          </cell>
          <cell r="Z175">
            <v>0</v>
          </cell>
          <cell r="AA175">
            <v>0</v>
          </cell>
          <cell r="AB175">
            <v>0</v>
          </cell>
          <cell r="AC175">
            <v>0</v>
          </cell>
          <cell r="AD175">
            <v>0</v>
          </cell>
          <cell r="AE175">
            <v>0</v>
          </cell>
          <cell r="AG175">
            <v>0.56418800000000002</v>
          </cell>
          <cell r="AH175">
            <v>2.024</v>
          </cell>
          <cell r="AI175">
            <v>2.5881880000000002</v>
          </cell>
          <cell r="AJ175">
            <v>-2.2999999999999998</v>
          </cell>
          <cell r="AK175">
            <v>1.3520000000000001</v>
          </cell>
          <cell r="AL175">
            <v>0.69299999999999995</v>
          </cell>
          <cell r="AM175">
            <v>0.94</v>
          </cell>
          <cell r="AN175">
            <v>0.6850000000000005</v>
          </cell>
          <cell r="AO175">
            <v>0.35799999999999998</v>
          </cell>
          <cell r="AP175">
            <v>-6.1079999999999997</v>
          </cell>
          <cell r="AQ175">
            <v>1.2110000000000001</v>
          </cell>
          <cell r="AR175">
            <v>9.2970000000000006</v>
          </cell>
          <cell r="AS175">
            <v>4.7580000000000009</v>
          </cell>
          <cell r="AT175">
            <v>-8.6170000000000009</v>
          </cell>
          <cell r="AU175">
            <v>2.601</v>
          </cell>
          <cell r="AV175">
            <v>2.4409999999999998</v>
          </cell>
          <cell r="AW175">
            <v>2.4359999999999999</v>
          </cell>
          <cell r="AX175">
            <v>-1.1390000000000011</v>
          </cell>
          <cell r="AY175">
            <v>-10.734</v>
          </cell>
          <cell r="AZ175">
            <v>3.7999999999999999E-2</v>
          </cell>
          <cell r="BA175">
            <v>1.32</v>
          </cell>
          <cell r="BB175">
            <v>-0.14099999999999999</v>
          </cell>
          <cell r="BC175">
            <v>-9.5169999999999995</v>
          </cell>
          <cell r="BD175">
            <v>-7.782</v>
          </cell>
          <cell r="BE175">
            <v>-9.5000000000000001E-2</v>
          </cell>
          <cell r="BF175">
            <v>4.8949999999999996</v>
          </cell>
          <cell r="BG175">
            <v>-9.5009999999999994</v>
          </cell>
          <cell r="BH175">
            <v>-12.483000000000001</v>
          </cell>
          <cell r="BI175">
            <v>7.63</v>
          </cell>
          <cell r="BJ175">
            <v>2.3439999999999999</v>
          </cell>
          <cell r="BK175">
            <v>-31.712</v>
          </cell>
          <cell r="BL175">
            <v>1.512</v>
          </cell>
          <cell r="BM175">
            <v>-20.225999999999999</v>
          </cell>
          <cell r="BN175">
            <v>-10.154</v>
          </cell>
          <cell r="BO175">
            <v>-2.1150000000000002</v>
          </cell>
          <cell r="BP175">
            <v>-5.6959999999999997</v>
          </cell>
          <cell r="BQ175">
            <v>0</v>
          </cell>
          <cell r="BR175">
            <v>-17.965</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row>
        <row r="176">
          <cell r="B176" t="str">
            <v>Pharmacy benefit claim payments payable</v>
          </cell>
          <cell r="Y176">
            <v>0</v>
          </cell>
          <cell r="Z176">
            <v>0</v>
          </cell>
          <cell r="AA176">
            <v>0</v>
          </cell>
          <cell r="AB176">
            <v>0</v>
          </cell>
          <cell r="AC176">
            <v>0</v>
          </cell>
          <cell r="AD176">
            <v>0</v>
          </cell>
          <cell r="AE176">
            <v>0</v>
          </cell>
          <cell r="AF176">
            <v>2.3119580000000002</v>
          </cell>
          <cell r="AG176">
            <v>-1.819968</v>
          </cell>
          <cell r="AH176">
            <v>2.5289999999999999</v>
          </cell>
          <cell r="AI176">
            <v>3.0209900000000003</v>
          </cell>
          <cell r="AJ176">
            <v>2.7549999999999999</v>
          </cell>
          <cell r="AK176">
            <v>-5.7169999999999996</v>
          </cell>
          <cell r="AL176">
            <v>2.2839999999999998</v>
          </cell>
          <cell r="AM176">
            <v>-0.22800000000000001</v>
          </cell>
          <cell r="AN176">
            <v>-0.90600000000000014</v>
          </cell>
          <cell r="AO176">
            <v>-0.23799999999999999</v>
          </cell>
          <cell r="AP176">
            <v>-0.94299999999999995</v>
          </cell>
          <cell r="AQ176">
            <v>2.585</v>
          </cell>
          <cell r="AR176">
            <v>-1.254</v>
          </cell>
          <cell r="AS176">
            <v>0.15000000000000002</v>
          </cell>
          <cell r="AT176">
            <v>0.48499999999999999</v>
          </cell>
          <cell r="AU176">
            <v>-9.9510000000000005</v>
          </cell>
          <cell r="AV176">
            <v>9.8680000000000003</v>
          </cell>
          <cell r="AW176">
            <v>9.8610000000000007</v>
          </cell>
          <cell r="AX176">
            <v>10.262999999999998</v>
          </cell>
          <cell r="AY176">
            <v>2.3370000000000002</v>
          </cell>
          <cell r="AZ176">
            <v>8.9090000000000007</v>
          </cell>
          <cell r="BA176">
            <v>7.9139999999999997</v>
          </cell>
          <cell r="BB176">
            <v>3.77</v>
          </cell>
          <cell r="BC176">
            <v>22.93</v>
          </cell>
          <cell r="BD176">
            <v>52.72</v>
          </cell>
          <cell r="BE176">
            <v>7.609</v>
          </cell>
          <cell r="BF176">
            <v>45.281999999999996</v>
          </cell>
          <cell r="BG176">
            <v>9.4909999999999997</v>
          </cell>
          <cell r="BH176">
            <v>115.102</v>
          </cell>
          <cell r="BI176">
            <v>48.761000000000003</v>
          </cell>
          <cell r="BJ176">
            <v>12.672000000000001</v>
          </cell>
          <cell r="BK176">
            <v>-3.5030000000000001</v>
          </cell>
          <cell r="BL176">
            <v>50.593000000000004</v>
          </cell>
          <cell r="BM176">
            <v>108.523</v>
          </cell>
          <cell r="BN176">
            <v>0</v>
          </cell>
          <cell r="BO176">
            <v>0</v>
          </cell>
          <cell r="BP176">
            <v>0</v>
          </cell>
          <cell r="BQ176">
            <v>22.063299727350113</v>
          </cell>
          <cell r="BR176">
            <v>22.063299727350113</v>
          </cell>
          <cell r="BS176">
            <v>40.384627836365155</v>
          </cell>
          <cell r="BT176">
            <v>55.684783413223556</v>
          </cell>
          <cell r="BU176">
            <v>2.3618415309302918</v>
          </cell>
          <cell r="BV176">
            <v>39.865259434476002</v>
          </cell>
          <cell r="BW176">
            <v>138.296512214995</v>
          </cell>
          <cell r="BX176">
            <v>-58.994936247656767</v>
          </cell>
          <cell r="BY176">
            <v>71.812765775028822</v>
          </cell>
          <cell r="BZ176">
            <v>14.847185801451815</v>
          </cell>
          <cell r="CA176">
            <v>46.01367041045097</v>
          </cell>
          <cell r="CB176">
            <v>73.67868573927484</v>
          </cell>
          <cell r="CC176">
            <v>-40.053256614573684</v>
          </cell>
          <cell r="CD176">
            <v>121.46586228527713</v>
          </cell>
          <cell r="CE176">
            <v>22.803084919908997</v>
          </cell>
          <cell r="CF176">
            <v>0.84727822880267922</v>
          </cell>
          <cell r="CG176">
            <v>105.06296881941512</v>
          </cell>
        </row>
        <row r="177">
          <cell r="B177" t="str">
            <v>Pharmacy benefit management rebates payable</v>
          </cell>
          <cell r="Y177">
            <v>0</v>
          </cell>
          <cell r="Z177">
            <v>0</v>
          </cell>
          <cell r="AA177">
            <v>0</v>
          </cell>
          <cell r="AB177">
            <v>2.7419669999999998</v>
          </cell>
          <cell r="AC177">
            <v>-2.7419669999999998</v>
          </cell>
          <cell r="AD177">
            <v>0</v>
          </cell>
          <cell r="AE177">
            <v>0</v>
          </cell>
          <cell r="AF177">
            <v>0.19933000000000001</v>
          </cell>
          <cell r="AG177">
            <v>-0.19137100000000001</v>
          </cell>
          <cell r="AH177">
            <v>1.165</v>
          </cell>
          <cell r="AI177">
            <v>1.1729590000000001</v>
          </cell>
          <cell r="AJ177">
            <v>1.349</v>
          </cell>
          <cell r="AK177">
            <v>-1.9430000000000001</v>
          </cell>
          <cell r="AL177">
            <v>1.6870000000000001</v>
          </cell>
          <cell r="AM177">
            <v>0.5</v>
          </cell>
          <cell r="AN177">
            <v>1.5930000000000002</v>
          </cell>
          <cell r="AO177">
            <v>1.4119999999999999</v>
          </cell>
          <cell r="AP177">
            <v>-1.298</v>
          </cell>
          <cell r="AQ177">
            <v>-2.6320000000000001</v>
          </cell>
          <cell r="AR177">
            <v>-3.2770000000000001</v>
          </cell>
          <cell r="AS177">
            <v>-5.7950000000000008</v>
          </cell>
          <cell r="AT177">
            <v>2.5409999999999999</v>
          </cell>
          <cell r="AU177">
            <v>6.9889999999999999</v>
          </cell>
          <cell r="AV177">
            <v>-2.0259999999999998</v>
          </cell>
          <cell r="AW177">
            <v>2.7759999999999998</v>
          </cell>
          <cell r="AX177">
            <v>10.28</v>
          </cell>
          <cell r="AY177">
            <v>11.997</v>
          </cell>
          <cell r="AZ177">
            <v>0.96699999999999997</v>
          </cell>
          <cell r="BA177">
            <v>4.2130000000000001</v>
          </cell>
          <cell r="BB177">
            <v>-2.419</v>
          </cell>
          <cell r="BC177">
            <v>14.757999999999999</v>
          </cell>
          <cell r="BD177">
            <v>-0.16</v>
          </cell>
          <cell r="BE177">
            <v>-7.6719999999999997</v>
          </cell>
          <cell r="BF177">
            <v>2.528</v>
          </cell>
          <cell r="BG177">
            <v>-0.71499999999999997</v>
          </cell>
          <cell r="BH177">
            <v>-6.0190000000000001</v>
          </cell>
          <cell r="BI177">
            <v>7.2249999999999996</v>
          </cell>
          <cell r="BJ177">
            <v>-4.5049999999999999</v>
          </cell>
          <cell r="BK177">
            <v>7.6159999999999997</v>
          </cell>
          <cell r="BL177">
            <v>0</v>
          </cell>
          <cell r="BM177">
            <v>10.335999999999999</v>
          </cell>
          <cell r="BN177">
            <v>-8.6739999999999995</v>
          </cell>
          <cell r="BO177">
            <v>22.460999999999999</v>
          </cell>
          <cell r="BP177">
            <v>0.23499999999999999</v>
          </cell>
          <cell r="BQ177">
            <v>0</v>
          </cell>
          <cell r="BR177">
            <v>14.021999999999998</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row>
        <row r="178">
          <cell r="B178" t="str">
            <v>Deferred revenue</v>
          </cell>
          <cell r="Y178">
            <v>0.35183799999999998</v>
          </cell>
          <cell r="Z178">
            <v>-0.49021700000000001</v>
          </cell>
          <cell r="AA178">
            <v>0.57582299999999997</v>
          </cell>
          <cell r="AB178">
            <v>3.5864E-2</v>
          </cell>
          <cell r="AC178">
            <v>0.51331500000000008</v>
          </cell>
          <cell r="AD178">
            <v>0.63478500000000004</v>
          </cell>
          <cell r="AE178">
            <v>0.53021700000000005</v>
          </cell>
          <cell r="AF178">
            <v>2.3323E-2</v>
          </cell>
          <cell r="AG178">
            <v>-0.55568499999999998</v>
          </cell>
          <cell r="AH178">
            <v>0.113</v>
          </cell>
          <cell r="AI178">
            <v>0.11085500000000005</v>
          </cell>
          <cell r="AJ178">
            <v>0.37</v>
          </cell>
          <cell r="AK178">
            <v>-1.429</v>
          </cell>
          <cell r="AL178">
            <v>0.70499999999999996</v>
          </cell>
          <cell r="AM178">
            <v>5.032</v>
          </cell>
          <cell r="AN178">
            <v>4.6779999999999999</v>
          </cell>
          <cell r="AO178">
            <v>-0.755</v>
          </cell>
          <cell r="AP178">
            <v>-3.86</v>
          </cell>
          <cell r="AQ178">
            <v>-0.13900000000000001</v>
          </cell>
          <cell r="AR178">
            <v>1.698</v>
          </cell>
          <cell r="AS178">
            <v>-3.056</v>
          </cell>
          <cell r="AT178">
            <v>3.2469999999999999</v>
          </cell>
          <cell r="AU178">
            <v>-2.7749999999999999</v>
          </cell>
          <cell r="AV178">
            <v>-6.3E-2</v>
          </cell>
          <cell r="AW178">
            <v>-1.0389999999999999</v>
          </cell>
          <cell r="AX178">
            <v>-0.62999999999999989</v>
          </cell>
          <cell r="AY178">
            <v>1.3879999999999999</v>
          </cell>
          <cell r="AZ178">
            <v>1.7190000000000001</v>
          </cell>
          <cell r="BA178">
            <v>-0.91600000000000004</v>
          </cell>
          <cell r="BB178">
            <v>1.0740000000000001</v>
          </cell>
          <cell r="BC178">
            <v>3.2650000000000001</v>
          </cell>
          <cell r="BD178">
            <v>0.52300000000000002</v>
          </cell>
          <cell r="BE178">
            <v>1.2929999999999999</v>
          </cell>
          <cell r="BF178">
            <v>0</v>
          </cell>
          <cell r="BG178">
            <v>0</v>
          </cell>
          <cell r="BH178">
            <v>1.8159999999999998</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row>
        <row r="179">
          <cell r="B179" t="str">
            <v>Customer deposits</v>
          </cell>
          <cell r="Y179">
            <v>0</v>
          </cell>
          <cell r="Z179">
            <v>0</v>
          </cell>
          <cell r="AA179">
            <v>0</v>
          </cell>
          <cell r="AB179">
            <v>0</v>
          </cell>
          <cell r="AC179">
            <v>0</v>
          </cell>
          <cell r="AD179">
            <v>0</v>
          </cell>
          <cell r="AE179">
            <v>0</v>
          </cell>
          <cell r="AF179">
            <v>0</v>
          </cell>
          <cell r="AG179">
            <v>0</v>
          </cell>
          <cell r="AH179">
            <v>0</v>
          </cell>
          <cell r="AI179">
            <v>0</v>
          </cell>
          <cell r="AJ179">
            <v>0</v>
          </cell>
          <cell r="AK179">
            <v>0.53200000000000003</v>
          </cell>
          <cell r="AL179">
            <v>0.29499999999999998</v>
          </cell>
          <cell r="AM179">
            <v>0</v>
          </cell>
          <cell r="AN179">
            <v>0.82699999999999996</v>
          </cell>
          <cell r="AO179">
            <v>0</v>
          </cell>
          <cell r="AP179">
            <v>1.546</v>
          </cell>
          <cell r="AQ179">
            <v>-1.1719999999999999</v>
          </cell>
          <cell r="AR179">
            <v>0.57999999999999996</v>
          </cell>
          <cell r="AS179">
            <v>0.95400000000000007</v>
          </cell>
          <cell r="AT179">
            <v>2.1739999999999999</v>
          </cell>
          <cell r="AU179">
            <v>-1.4019999999999999</v>
          </cell>
          <cell r="AV179">
            <v>-9.4E-2</v>
          </cell>
          <cell r="AW179">
            <v>2.2789999999999999</v>
          </cell>
          <cell r="AX179">
            <v>2.9569999999999999</v>
          </cell>
          <cell r="AY179">
            <v>0.65100000000000002</v>
          </cell>
          <cell r="AZ179">
            <v>-0.111</v>
          </cell>
          <cell r="BA179">
            <v>-4.8000000000000001E-2</v>
          </cell>
          <cell r="BB179">
            <v>5.1999999999999998E-2</v>
          </cell>
          <cell r="BC179">
            <v>0.54400000000000004</v>
          </cell>
          <cell r="BD179">
            <v>-5.8999999999999997E-2</v>
          </cell>
          <cell r="BE179">
            <v>-8.5999999999999993E-2</v>
          </cell>
          <cell r="BF179">
            <v>0</v>
          </cell>
          <cell r="BG179">
            <v>0</v>
          </cell>
          <cell r="BH179">
            <v>-0.14499999999999999</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row>
        <row r="180">
          <cell r="B180" t="str">
            <v>Other</v>
          </cell>
          <cell r="Y180">
            <v>0</v>
          </cell>
          <cell r="Z180">
            <v>0</v>
          </cell>
          <cell r="AA180">
            <v>0</v>
          </cell>
          <cell r="AB180">
            <v>0</v>
          </cell>
          <cell r="AC180">
            <v>0</v>
          </cell>
          <cell r="AD180">
            <v>0</v>
          </cell>
          <cell r="AE180">
            <v>0</v>
          </cell>
          <cell r="AF180">
            <v>0</v>
          </cell>
          <cell r="AG180">
            <v>0</v>
          </cell>
          <cell r="AH180">
            <v>0</v>
          </cell>
          <cell r="AI180">
            <v>0</v>
          </cell>
          <cell r="AJ180">
            <v>0</v>
          </cell>
          <cell r="AK180">
            <v>-1.661</v>
          </cell>
          <cell r="AL180">
            <v>0.67400000000000004</v>
          </cell>
          <cell r="AM180">
            <v>2.4049999999999998</v>
          </cell>
          <cell r="AN180">
            <v>1.4179999999999997</v>
          </cell>
          <cell r="AO180">
            <v>0.17799999999999999</v>
          </cell>
          <cell r="AP180">
            <v>-0.20800000000000002</v>
          </cell>
          <cell r="AQ180">
            <v>2.8999999999999998E-2</v>
          </cell>
          <cell r="AR180">
            <v>1.2569999999999999</v>
          </cell>
          <cell r="AS180">
            <v>1.2559999999999998</v>
          </cell>
          <cell r="AT180">
            <v>4.2000000000000003E-2</v>
          </cell>
          <cell r="AU180">
            <v>0.26600000000000001</v>
          </cell>
          <cell r="AV180">
            <v>9.8000000000000004E-2</v>
          </cell>
          <cell r="AW180">
            <v>1.2689999999999999</v>
          </cell>
          <cell r="AX180">
            <v>1.675</v>
          </cell>
          <cell r="AY180">
            <v>0.105</v>
          </cell>
          <cell r="AZ180">
            <v>0.91700000000000004</v>
          </cell>
          <cell r="BA180">
            <v>0</v>
          </cell>
          <cell r="BB180">
            <v>-5.7000000000000002E-2</v>
          </cell>
          <cell r="BC180">
            <v>0.96499999999999997</v>
          </cell>
          <cell r="BD180">
            <v>-1.2490000000000001</v>
          </cell>
          <cell r="BE180">
            <v>6.6000000000000003E-2</v>
          </cell>
          <cell r="BF180">
            <v>-0.28599999999999998</v>
          </cell>
          <cell r="BG180">
            <v>0.26900000000000002</v>
          </cell>
          <cell r="BH180">
            <v>-1.2000000000000002</v>
          </cell>
          <cell r="BI180">
            <v>-1.048</v>
          </cell>
          <cell r="BJ180">
            <v>-2.4590000000000001</v>
          </cell>
          <cell r="BK180">
            <v>8.2029999999999994</v>
          </cell>
          <cell r="BL180">
            <v>1.8819999999999999</v>
          </cell>
          <cell r="BM180">
            <v>6.5779999999999994</v>
          </cell>
          <cell r="BN180">
            <v>2.7639999999999998</v>
          </cell>
          <cell r="BO180">
            <v>1.4830000000000001</v>
          </cell>
          <cell r="BP180">
            <v>0.54200000000000004</v>
          </cell>
          <cell r="BQ180">
            <v>0</v>
          </cell>
          <cell r="BR180">
            <v>4.7889999999999997</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row>
        <row r="181">
          <cell r="B181" t="str">
            <v>Changes in working capital</v>
          </cell>
          <cell r="Y181">
            <v>-1.7121729999999999</v>
          </cell>
          <cell r="Z181">
            <v>-0.21371099999999998</v>
          </cell>
          <cell r="AA181">
            <v>-7.1995000000000031E-2</v>
          </cell>
          <cell r="AB181">
            <v>3.177781</v>
          </cell>
          <cell r="AC181">
            <v>-1.8256969999999999</v>
          </cell>
          <cell r="AD181">
            <v>1.0663779999999998</v>
          </cell>
          <cell r="AE181">
            <v>-2.6883759999999999</v>
          </cell>
          <cell r="AF181">
            <v>1.740700000000019E-2</v>
          </cell>
          <cell r="AG181">
            <v>-3.5104579999999999</v>
          </cell>
          <cell r="AH181">
            <v>6.4260000000000002</v>
          </cell>
          <cell r="AI181">
            <v>0.24457300000000226</v>
          </cell>
          <cell r="AJ181">
            <v>3.6460000000000004</v>
          </cell>
          <cell r="AK181">
            <v>-9.6769999999999996</v>
          </cell>
          <cell r="AL181">
            <v>1.6800000000000006</v>
          </cell>
          <cell r="AM181">
            <v>7.2259999999999991</v>
          </cell>
          <cell r="AN181">
            <v>2.8749999999999996</v>
          </cell>
          <cell r="AO181">
            <v>2.1070000000000002</v>
          </cell>
          <cell r="AP181">
            <v>0.31000000000000177</v>
          </cell>
          <cell r="AQ181">
            <v>-3.3769999999999989</v>
          </cell>
          <cell r="AR181">
            <v>7.8609999999999989</v>
          </cell>
          <cell r="AS181">
            <v>6.9010000000000016</v>
          </cell>
          <cell r="AT181">
            <v>-0.29600000000000054</v>
          </cell>
          <cell r="AU181">
            <v>2.7139999999999995</v>
          </cell>
          <cell r="AV181">
            <v>5.2390000000000008</v>
          </cell>
          <cell r="AW181">
            <v>16.589000000000002</v>
          </cell>
          <cell r="AX181">
            <v>24.246000000000002</v>
          </cell>
          <cell r="AY181">
            <v>-20.211999999999996</v>
          </cell>
          <cell r="AZ181">
            <v>17.045000000000002</v>
          </cell>
          <cell r="BA181">
            <v>5.2510000000000021</v>
          </cell>
          <cell r="BB181">
            <v>17.534000000000002</v>
          </cell>
          <cell r="BC181">
            <v>19.618000000000009</v>
          </cell>
          <cell r="BD181">
            <v>-22.076000000000001</v>
          </cell>
          <cell r="BE181">
            <v>-24.678999999999995</v>
          </cell>
          <cell r="BF181">
            <v>53.134999999999998</v>
          </cell>
          <cell r="BG181">
            <v>-22.673999999999996</v>
          </cell>
          <cell r="BH181">
            <v>-16.293999999999993</v>
          </cell>
          <cell r="BI181">
            <v>21.681000000000004</v>
          </cell>
          <cell r="BJ181">
            <v>-10.803999999999998</v>
          </cell>
          <cell r="BK181">
            <v>1.2409999999999926</v>
          </cell>
          <cell r="BL181">
            <v>0.28299999999999614</v>
          </cell>
          <cell r="BM181">
            <v>12.400999999999994</v>
          </cell>
          <cell r="BN181">
            <v>-53.722999999999999</v>
          </cell>
          <cell r="BO181">
            <v>46.694999999999993</v>
          </cell>
          <cell r="BP181">
            <v>-45.742999999999981</v>
          </cell>
          <cell r="BQ181">
            <v>-73.067302353779183</v>
          </cell>
          <cell r="BR181">
            <v>-125.83830235377917</v>
          </cell>
          <cell r="BS181">
            <v>-48.012138816864422</v>
          </cell>
          <cell r="BT181">
            <v>-81.929997405940497</v>
          </cell>
          <cell r="BU181">
            <v>52.346242245981706</v>
          </cell>
          <cell r="BV181">
            <v>-126.643652782733</v>
          </cell>
          <cell r="BW181">
            <v>-204.23954675955622</v>
          </cell>
          <cell r="BX181">
            <v>144.75951131547293</v>
          </cell>
          <cell r="BY181">
            <v>-94.695734114393645</v>
          </cell>
          <cell r="BZ181">
            <v>52.164888130316498</v>
          </cell>
          <cell r="CA181">
            <v>-144.13394584005783</v>
          </cell>
          <cell r="CB181">
            <v>-41.905280508662031</v>
          </cell>
          <cell r="CC181">
            <v>120.93670445201755</v>
          </cell>
          <cell r="CD181">
            <v>-95.633945985242178</v>
          </cell>
          <cell r="CE181">
            <v>99.497535997697341</v>
          </cell>
          <cell r="CF181">
            <v>-125.0013787854153</v>
          </cell>
          <cell r="CG181">
            <v>-0.20108432094258433</v>
          </cell>
        </row>
        <row r="182">
          <cell r="B182" t="str">
            <v>Cash from operations</v>
          </cell>
          <cell r="Y182">
            <v>5.184164817000001</v>
          </cell>
          <cell r="Z182">
            <v>1.9655000008278134</v>
          </cell>
          <cell r="AA182">
            <v>3.6232885589599668</v>
          </cell>
          <cell r="AB182">
            <v>7.8526246790012113</v>
          </cell>
          <cell r="AC182">
            <v>3.7070993720340999</v>
          </cell>
          <cell r="AD182">
            <v>17.14851261082309</v>
          </cell>
          <cell r="AE182">
            <v>2.5316600000000018</v>
          </cell>
          <cell r="AF182">
            <v>3.7224210000000006</v>
          </cell>
          <cell r="AG182">
            <v>2.107931999999999</v>
          </cell>
          <cell r="AH182">
            <v>9.6509999999999998</v>
          </cell>
          <cell r="AI182">
            <v>18.013013000000004</v>
          </cell>
          <cell r="AJ182">
            <v>9.8069999999999986</v>
          </cell>
          <cell r="AK182">
            <v>-4.6529999999999969</v>
          </cell>
          <cell r="AL182">
            <v>6.6109999999999998</v>
          </cell>
          <cell r="AM182">
            <v>12.189</v>
          </cell>
          <cell r="AN182">
            <v>23.954000000000001</v>
          </cell>
          <cell r="AO182">
            <v>8.0329999999999995</v>
          </cell>
          <cell r="AP182">
            <v>9.0070000000000068</v>
          </cell>
          <cell r="AQ182">
            <v>3.2840000000000269</v>
          </cell>
          <cell r="AR182">
            <v>20.985000000000024</v>
          </cell>
          <cell r="AS182">
            <v>41.309000000000054</v>
          </cell>
          <cell r="AT182">
            <v>11.84199999999997</v>
          </cell>
          <cell r="AU182">
            <v>19.838000000000019</v>
          </cell>
          <cell r="AV182">
            <v>17.912000000000006</v>
          </cell>
          <cell r="AW182">
            <v>36.791000000000004</v>
          </cell>
          <cell r="AX182">
            <v>86.382999999999981</v>
          </cell>
          <cell r="AY182">
            <v>-2.6669999999999554</v>
          </cell>
          <cell r="AZ182">
            <v>39.468000000000032</v>
          </cell>
          <cell r="BA182">
            <v>26.073000000000032</v>
          </cell>
          <cell r="BB182">
            <v>33.389999999999986</v>
          </cell>
          <cell r="BC182">
            <v>96.264000000000095</v>
          </cell>
          <cell r="BD182">
            <v>0.78199999999997871</v>
          </cell>
          <cell r="BE182">
            <v>-1.3760000000000119</v>
          </cell>
          <cell r="BF182">
            <v>85.307999999999879</v>
          </cell>
          <cell r="BG182">
            <v>10.159999999999993</v>
          </cell>
          <cell r="BH182">
            <v>94.873999999999839</v>
          </cell>
          <cell r="BI182">
            <v>56.210999999999899</v>
          </cell>
          <cell r="BJ182">
            <v>29.715999999999912</v>
          </cell>
          <cell r="BK182">
            <v>61.567999999999998</v>
          </cell>
          <cell r="BL182">
            <v>102.25399999999999</v>
          </cell>
          <cell r="BM182">
            <v>249.74899999999982</v>
          </cell>
          <cell r="BN182">
            <v>63.576000000000001</v>
          </cell>
          <cell r="BO182">
            <v>172.983</v>
          </cell>
          <cell r="BP182">
            <v>99.519000000000005</v>
          </cell>
          <cell r="BQ182">
            <v>65.044938397089709</v>
          </cell>
          <cell r="BR182">
            <v>401.12293839708968</v>
          </cell>
          <cell r="BS182">
            <v>83.971772785363868</v>
          </cell>
          <cell r="BT182">
            <v>72.452563864040542</v>
          </cell>
          <cell r="BU182">
            <v>194.02097055406023</v>
          </cell>
          <cell r="BV182">
            <v>46.819663923348855</v>
          </cell>
          <cell r="BW182">
            <v>397.26497112681352</v>
          </cell>
          <cell r="BX182">
            <v>296.30286259706338</v>
          </cell>
          <cell r="BY182">
            <v>81.399322345696817</v>
          </cell>
          <cell r="BZ182">
            <v>211.21918086391759</v>
          </cell>
          <cell r="CA182">
            <v>53.194098414941919</v>
          </cell>
          <cell r="CB182">
            <v>642.11546422161973</v>
          </cell>
          <cell r="CC182">
            <v>300.95351937515545</v>
          </cell>
          <cell r="CD182">
            <v>106.03973936670741</v>
          </cell>
          <cell r="CE182">
            <v>276.88871874176397</v>
          </cell>
          <cell r="CF182">
            <v>68.256354878848953</v>
          </cell>
          <cell r="CG182">
            <v>752.13833236247569</v>
          </cell>
        </row>
        <row r="184">
          <cell r="B184" t="str">
            <v>Purchases of property and equipment</v>
          </cell>
          <cell r="Y184">
            <v>-1.454164</v>
          </cell>
          <cell r="Z184">
            <v>-0.24757199999999999</v>
          </cell>
          <cell r="AA184">
            <v>1.2702530000000001</v>
          </cell>
          <cell r="AB184">
            <v>-0.29669600000000002</v>
          </cell>
          <cell r="AC184">
            <v>-0.94084600000000007</v>
          </cell>
          <cell r="AD184">
            <v>-0.21486099999999997</v>
          </cell>
          <cell r="AE184">
            <v>-1.3849480000000001</v>
          </cell>
          <cell r="AF184">
            <v>-1.939109</v>
          </cell>
          <cell r="AG184">
            <v>-1.3858729999999999</v>
          </cell>
          <cell r="AH184">
            <v>-4.1760000000000002</v>
          </cell>
          <cell r="AI184">
            <v>-8.8859300000000001</v>
          </cell>
          <cell r="AJ184">
            <v>-4.8809999999999993</v>
          </cell>
          <cell r="AK184">
            <v>-1.29</v>
          </cell>
          <cell r="AL184">
            <v>-0.52900000000000003</v>
          </cell>
          <cell r="AM184">
            <v>-0.94099999999999995</v>
          </cell>
          <cell r="AN184">
            <v>-7.6409999999999991</v>
          </cell>
          <cell r="AO184">
            <v>-2.6030000000000002</v>
          </cell>
          <cell r="AP184">
            <v>-0.81</v>
          </cell>
          <cell r="AQ184">
            <v>-2.556</v>
          </cell>
          <cell r="AR184">
            <v>-2.44</v>
          </cell>
          <cell r="AS184">
            <v>-8.4090000000000007</v>
          </cell>
          <cell r="AT184">
            <v>-3.2890000000000001</v>
          </cell>
          <cell r="AU184">
            <v>-2.4569999999999999</v>
          </cell>
          <cell r="AV184">
            <v>-0.86499999999999999</v>
          </cell>
          <cell r="AW184">
            <v>-2.383</v>
          </cell>
          <cell r="AX184">
            <v>-8.9939999999999998</v>
          </cell>
          <cell r="AY184">
            <v>-0.97</v>
          </cell>
          <cell r="AZ184">
            <v>-2.556</v>
          </cell>
          <cell r="BA184">
            <v>-0.50700000000000001</v>
          </cell>
          <cell r="BB184">
            <v>-5.0369999999999999</v>
          </cell>
          <cell r="BC184">
            <v>-9.07</v>
          </cell>
          <cell r="BD184">
            <v>-1.198</v>
          </cell>
          <cell r="BE184">
            <v>-0.89800000000000002</v>
          </cell>
          <cell r="BF184">
            <v>-0.97799999999999998</v>
          </cell>
          <cell r="BG184">
            <v>-6.6150000000000002</v>
          </cell>
          <cell r="BH184">
            <v>-9.6890000000000001</v>
          </cell>
          <cell r="BI184">
            <v>-6.141</v>
          </cell>
          <cell r="BJ184">
            <v>-4.6970000000000001</v>
          </cell>
          <cell r="BK184">
            <v>-2.0630000000000002</v>
          </cell>
          <cell r="BL184">
            <v>-27.334</v>
          </cell>
          <cell r="BM184">
            <v>-40.234999999999999</v>
          </cell>
          <cell r="BN184">
            <v>-25.242999999999999</v>
          </cell>
          <cell r="BO184">
            <v>-46.892000000000003</v>
          </cell>
          <cell r="BP184">
            <v>-21.137</v>
          </cell>
          <cell r="BQ184">
            <v>-2.5</v>
          </cell>
          <cell r="BR184">
            <v>-95.771999999999991</v>
          </cell>
          <cell r="BS184">
            <v>-2.5</v>
          </cell>
          <cell r="BT184">
            <v>-2.5</v>
          </cell>
          <cell r="BU184">
            <v>-2.5</v>
          </cell>
          <cell r="BV184">
            <v>-2.5</v>
          </cell>
          <cell r="BW184">
            <v>-10</v>
          </cell>
          <cell r="BX184">
            <v>-2.5</v>
          </cell>
          <cell r="BY184">
            <v>-2.5</v>
          </cell>
          <cell r="BZ184">
            <v>-2.5</v>
          </cell>
          <cell r="CA184">
            <v>-2.5</v>
          </cell>
          <cell r="CB184">
            <v>-10</v>
          </cell>
          <cell r="CC184">
            <v>-2.5</v>
          </cell>
          <cell r="CD184">
            <v>-2.5</v>
          </cell>
          <cell r="CE184">
            <v>-2.5</v>
          </cell>
          <cell r="CF184">
            <v>-2.5</v>
          </cell>
          <cell r="CG184">
            <v>-10</v>
          </cell>
        </row>
        <row r="185">
          <cell r="B185" t="str">
            <v>Acquisitions, net of cash acquired</v>
          </cell>
          <cell r="Y185">
            <v>-2.1204910000000003</v>
          </cell>
          <cell r="Z185">
            <v>0</v>
          </cell>
          <cell r="AA185">
            <v>-2.4525990000000002</v>
          </cell>
          <cell r="AB185">
            <v>-0.208512</v>
          </cell>
          <cell r="AC185">
            <v>-19.949683</v>
          </cell>
          <cell r="AD185">
            <v>-22.610793999999999</v>
          </cell>
          <cell r="AE185">
            <v>0</v>
          </cell>
          <cell r="AF185">
            <v>0</v>
          </cell>
          <cell r="AG185">
            <v>0</v>
          </cell>
          <cell r="AH185">
            <v>0</v>
          </cell>
          <cell r="AI185">
            <v>0</v>
          </cell>
          <cell r="AJ185">
            <v>0</v>
          </cell>
          <cell r="AK185">
            <v>0</v>
          </cell>
          <cell r="AL185">
            <v>0</v>
          </cell>
          <cell r="AM185">
            <v>0</v>
          </cell>
          <cell r="AN185">
            <v>0</v>
          </cell>
          <cell r="AO185">
            <v>0</v>
          </cell>
          <cell r="AP185">
            <v>-101.67</v>
          </cell>
          <cell r="AQ185">
            <v>-0.89200000000000002</v>
          </cell>
          <cell r="AR185">
            <v>-2.2069999999999999</v>
          </cell>
          <cell r="AS185">
            <v>-104.76900000000001</v>
          </cell>
          <cell r="AT185">
            <v>-0.18</v>
          </cell>
          <cell r="AU185">
            <v>-1.996</v>
          </cell>
          <cell r="AV185">
            <v>0</v>
          </cell>
          <cell r="AW185">
            <v>0</v>
          </cell>
          <cell r="AX185">
            <v>-2.1760000000000002</v>
          </cell>
          <cell r="AY185">
            <v>0</v>
          </cell>
          <cell r="AZ185">
            <v>0</v>
          </cell>
          <cell r="BA185">
            <v>0</v>
          </cell>
          <cell r="BB185">
            <v>-99.2</v>
          </cell>
          <cell r="BC185">
            <v>-99.2</v>
          </cell>
          <cell r="BD185">
            <v>0</v>
          </cell>
          <cell r="BE185">
            <v>-12.984999999999999</v>
          </cell>
          <cell r="BF185">
            <v>0.56399999999999995</v>
          </cell>
          <cell r="BG185">
            <v>-67.641000000000005</v>
          </cell>
          <cell r="BH185">
            <v>-80.062000000000012</v>
          </cell>
          <cell r="BI185">
            <v>-243.178</v>
          </cell>
          <cell r="BJ185">
            <v>0.29399999999999998</v>
          </cell>
          <cell r="BK185">
            <v>-1321.501</v>
          </cell>
          <cell r="BL185">
            <v>-1.32</v>
          </cell>
          <cell r="BM185">
            <v>-1565.7049999999999</v>
          </cell>
          <cell r="BN185">
            <v>0</v>
          </cell>
          <cell r="BO185">
            <v>-7.0759999999999996</v>
          </cell>
          <cell r="BP185">
            <v>0</v>
          </cell>
          <cell r="BQ185">
            <v>0</v>
          </cell>
          <cell r="BR185">
            <v>-7.0759999999999996</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row>
        <row r="186">
          <cell r="B186" t="str">
            <v>Purchases of short term investments, net</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-4.649</v>
          </cell>
          <cell r="AX186">
            <v>-4.649</v>
          </cell>
          <cell r="AY186">
            <v>4.62</v>
          </cell>
          <cell r="AZ186">
            <v>0</v>
          </cell>
          <cell r="BA186">
            <v>0</v>
          </cell>
          <cell r="BB186">
            <v>0</v>
          </cell>
          <cell r="BC186">
            <v>4.62</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cell r="BV186">
            <v>0</v>
          </cell>
          <cell r="BW186">
            <v>0</v>
          </cell>
          <cell r="BX186">
            <v>0</v>
          </cell>
          <cell r="BY186">
            <v>0</v>
          </cell>
          <cell r="BZ186">
            <v>0</v>
          </cell>
          <cell r="CA186">
            <v>0</v>
          </cell>
          <cell r="CB186">
            <v>0</v>
          </cell>
          <cell r="CC186">
            <v>0</v>
          </cell>
          <cell r="CD186">
            <v>0</v>
          </cell>
          <cell r="CE186">
            <v>0</v>
          </cell>
          <cell r="CF186">
            <v>0</v>
          </cell>
          <cell r="CG186">
            <v>0</v>
          </cell>
        </row>
        <row r="187">
          <cell r="B187" t="str">
            <v>Other</v>
          </cell>
          <cell r="Y187">
            <v>0</v>
          </cell>
          <cell r="Z187">
            <v>0</v>
          </cell>
          <cell r="AA187">
            <v>-2</v>
          </cell>
          <cell r="AB187">
            <v>0</v>
          </cell>
          <cell r="AC187">
            <v>2</v>
          </cell>
          <cell r="AD187">
            <v>0</v>
          </cell>
          <cell r="AE187">
            <v>0</v>
          </cell>
          <cell r="AF187">
            <v>0</v>
          </cell>
          <cell r="AG187">
            <v>0</v>
          </cell>
          <cell r="AH187">
            <v>2.4420000000000002</v>
          </cell>
          <cell r="AI187">
            <v>2.4420000000000002</v>
          </cell>
          <cell r="AJ187">
            <v>0.247</v>
          </cell>
          <cell r="AK187">
            <v>0.14299999999999999</v>
          </cell>
          <cell r="AL187">
            <v>0</v>
          </cell>
          <cell r="AM187">
            <v>0</v>
          </cell>
          <cell r="AN187">
            <v>0.39</v>
          </cell>
          <cell r="AO187">
            <v>0</v>
          </cell>
          <cell r="AP187">
            <v>0.373</v>
          </cell>
          <cell r="AQ187">
            <v>0</v>
          </cell>
          <cell r="AR187">
            <v>0</v>
          </cell>
          <cell r="AS187">
            <v>0.373</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20.004000000000001</v>
          </cell>
          <cell r="BO187">
            <v>0</v>
          </cell>
          <cell r="BP187">
            <v>0</v>
          </cell>
          <cell r="BQ187">
            <v>0</v>
          </cell>
          <cell r="BR187">
            <v>20.004000000000001</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row>
        <row r="188">
          <cell r="B188" t="str">
            <v>Cash from investing</v>
          </cell>
          <cell r="Y188">
            <v>-3.5746550000000004</v>
          </cell>
          <cell r="Z188">
            <v>-0.24757199999999999</v>
          </cell>
          <cell r="AA188">
            <v>-3.1823459999999999</v>
          </cell>
          <cell r="AB188">
            <v>-0.50520799999999999</v>
          </cell>
          <cell r="AC188">
            <v>-18.890529000000001</v>
          </cell>
          <cell r="AD188">
            <v>-22.825654999999998</v>
          </cell>
          <cell r="AE188">
            <v>-1.3849480000000001</v>
          </cell>
          <cell r="AF188">
            <v>-1.939109</v>
          </cell>
          <cell r="AG188">
            <v>-1.3858729999999999</v>
          </cell>
          <cell r="AH188">
            <v>-1.734</v>
          </cell>
          <cell r="AI188">
            <v>-6.4439299999999999</v>
          </cell>
          <cell r="AJ188">
            <v>-4.6339999999999995</v>
          </cell>
          <cell r="AK188">
            <v>-1.147</v>
          </cell>
          <cell r="AL188">
            <v>-0.52900000000000003</v>
          </cell>
          <cell r="AM188">
            <v>-0.94099999999999995</v>
          </cell>
          <cell r="AN188">
            <v>-7.2509999999999994</v>
          </cell>
          <cell r="AO188">
            <v>-2.6030000000000002</v>
          </cell>
          <cell r="AP188">
            <v>-102.107</v>
          </cell>
          <cell r="AQ188">
            <v>-3.448</v>
          </cell>
          <cell r="AR188">
            <v>-4.6470000000000002</v>
          </cell>
          <cell r="AS188">
            <v>-112.80500000000001</v>
          </cell>
          <cell r="AT188">
            <v>-3.4690000000000003</v>
          </cell>
          <cell r="AU188">
            <v>-4.4529999999999994</v>
          </cell>
          <cell r="AV188">
            <v>-0.86499999999999999</v>
          </cell>
          <cell r="AW188">
            <v>-7.032</v>
          </cell>
          <cell r="AX188">
            <v>-15.818999999999999</v>
          </cell>
          <cell r="AY188">
            <v>3.6500000000000004</v>
          </cell>
          <cell r="AZ188">
            <v>-2.556</v>
          </cell>
          <cell r="BA188">
            <v>-0.50700000000000001</v>
          </cell>
          <cell r="BB188">
            <v>-104.23700000000001</v>
          </cell>
          <cell r="BC188">
            <v>-103.65</v>
          </cell>
          <cell r="BD188">
            <v>-1.198</v>
          </cell>
          <cell r="BE188">
            <v>-13.882999999999999</v>
          </cell>
          <cell r="BF188">
            <v>-0.41400000000000003</v>
          </cell>
          <cell r="BG188">
            <v>-74.256</v>
          </cell>
          <cell r="BH188">
            <v>-89.751000000000005</v>
          </cell>
          <cell r="BI188">
            <v>-249.31899999999999</v>
          </cell>
          <cell r="BJ188">
            <v>-4.4030000000000005</v>
          </cell>
          <cell r="BK188">
            <v>-1323.5640000000001</v>
          </cell>
          <cell r="BL188">
            <v>-28.654</v>
          </cell>
          <cell r="BM188">
            <v>-1605.9399999999998</v>
          </cell>
          <cell r="BN188">
            <v>-5.2389999999999972</v>
          </cell>
          <cell r="BO188">
            <v>-53.968000000000004</v>
          </cell>
          <cell r="BP188">
            <v>-21.137</v>
          </cell>
          <cell r="BQ188">
            <v>-2.5</v>
          </cell>
          <cell r="BR188">
            <v>-82.84399999999998</v>
          </cell>
          <cell r="BS188">
            <v>-2.5</v>
          </cell>
          <cell r="BT188">
            <v>-2.5</v>
          </cell>
          <cell r="BU188">
            <v>-2.5</v>
          </cell>
          <cell r="BV188">
            <v>-2.5</v>
          </cell>
          <cell r="BW188">
            <v>-10</v>
          </cell>
          <cell r="BX188">
            <v>-2.5</v>
          </cell>
          <cell r="BY188">
            <v>-2.5</v>
          </cell>
          <cell r="BZ188">
            <v>-2.5</v>
          </cell>
          <cell r="CA188">
            <v>-2.5</v>
          </cell>
          <cell r="CB188">
            <v>-10</v>
          </cell>
          <cell r="CC188">
            <v>-2.5</v>
          </cell>
          <cell r="CD188">
            <v>-2.5</v>
          </cell>
          <cell r="CE188">
            <v>-2.5</v>
          </cell>
          <cell r="CF188">
            <v>-2.5</v>
          </cell>
          <cell r="CG188">
            <v>-10</v>
          </cell>
        </row>
        <row r="190">
          <cell r="B190" t="str">
            <v>Proceeds from exercise of options</v>
          </cell>
          <cell r="Y190">
            <v>0.40279300000000001</v>
          </cell>
          <cell r="Z190">
            <v>6.1599999999999997E-3</v>
          </cell>
          <cell r="AA190">
            <v>6.3730000000000002E-3</v>
          </cell>
          <cell r="AB190">
            <v>3.7531000000000002E-2</v>
          </cell>
          <cell r="AC190">
            <v>0.37127900000000003</v>
          </cell>
          <cell r="AD190">
            <v>0.42134300000000002</v>
          </cell>
          <cell r="AE190">
            <v>8.1997E-2</v>
          </cell>
          <cell r="AF190">
            <v>6.9581000000000004E-2</v>
          </cell>
          <cell r="AG190">
            <v>5.6389000000000002E-2</v>
          </cell>
          <cell r="AH190">
            <v>0.21299999999999999</v>
          </cell>
          <cell r="AI190">
            <v>0.42096699999999998</v>
          </cell>
          <cell r="AJ190">
            <v>0.83799999999999997</v>
          </cell>
          <cell r="AK190">
            <v>1.1910000000000001</v>
          </cell>
          <cell r="AL190">
            <v>0.17299999999999999</v>
          </cell>
          <cell r="AM190">
            <v>0.32800000000000001</v>
          </cell>
          <cell r="AN190">
            <v>2.5300000000000002</v>
          </cell>
          <cell r="AO190">
            <v>0.19500000000000001</v>
          </cell>
          <cell r="AP190">
            <v>0.13700000000000001</v>
          </cell>
          <cell r="AQ190">
            <v>1.107</v>
          </cell>
          <cell r="AR190">
            <v>0.109</v>
          </cell>
          <cell r="AS190">
            <v>1.548</v>
          </cell>
          <cell r="AT190">
            <v>2.3460000000000001</v>
          </cell>
          <cell r="AU190">
            <v>2.0030000000000001</v>
          </cell>
          <cell r="AV190">
            <v>1.569</v>
          </cell>
          <cell r="AW190">
            <v>0.34699999999999998</v>
          </cell>
          <cell r="AX190">
            <v>6.2650000000000006</v>
          </cell>
          <cell r="AY190">
            <v>4.0819999999999999</v>
          </cell>
          <cell r="AZ190">
            <v>0.96</v>
          </cell>
          <cell r="BA190">
            <v>0.313</v>
          </cell>
          <cell r="BB190">
            <v>5.984</v>
          </cell>
          <cell r="BC190">
            <v>11.338999999999999</v>
          </cell>
          <cell r="BD190">
            <v>3.323</v>
          </cell>
          <cell r="BE190">
            <v>3.3479999999999999</v>
          </cell>
          <cell r="BF190">
            <v>0.185</v>
          </cell>
          <cell r="BG190">
            <v>0.45600000000000002</v>
          </cell>
          <cell r="BH190">
            <v>7.3119999999999994</v>
          </cell>
          <cell r="BI190">
            <v>3.3340000000000001</v>
          </cell>
          <cell r="BJ190">
            <v>1.1299999999999999</v>
          </cell>
          <cell r="BK190">
            <v>1.274</v>
          </cell>
          <cell r="BL190">
            <v>2.0249999999999999</v>
          </cell>
          <cell r="BM190">
            <v>7.7629999999999999</v>
          </cell>
          <cell r="BN190">
            <v>0.78500000000000003</v>
          </cell>
          <cell r="BO190">
            <v>1.145</v>
          </cell>
          <cell r="BP190">
            <v>1.534</v>
          </cell>
          <cell r="BQ190">
            <v>0</v>
          </cell>
          <cell r="BR190">
            <v>3.4640000000000004</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row>
        <row r="191">
          <cell r="B191" t="str">
            <v>Tax benefit on option exercises</v>
          </cell>
          <cell r="Y191">
            <v>0</v>
          </cell>
          <cell r="Z191">
            <v>0</v>
          </cell>
          <cell r="AA191">
            <v>0</v>
          </cell>
          <cell r="AB191">
            <v>0</v>
          </cell>
          <cell r="AC191">
            <v>0</v>
          </cell>
          <cell r="AD191">
            <v>0</v>
          </cell>
          <cell r="AE191">
            <v>0</v>
          </cell>
          <cell r="AF191">
            <v>0</v>
          </cell>
          <cell r="AG191">
            <v>0</v>
          </cell>
          <cell r="AH191">
            <v>1.4330000000000001</v>
          </cell>
          <cell r="AI191">
            <v>1.4330000000000001</v>
          </cell>
          <cell r="AJ191">
            <v>0</v>
          </cell>
          <cell r="AK191">
            <v>2.2160000000000002</v>
          </cell>
          <cell r="AL191">
            <v>0.17899999999999999</v>
          </cell>
          <cell r="AM191">
            <v>0.01</v>
          </cell>
          <cell r="AN191">
            <v>2.4050000000000002</v>
          </cell>
          <cell r="AO191">
            <v>2.1999999999999999E-2</v>
          </cell>
          <cell r="AP191">
            <v>5.8999999999999997E-2</v>
          </cell>
          <cell r="AQ191">
            <v>0.71899999999999997</v>
          </cell>
          <cell r="AR191">
            <v>-1E-3</v>
          </cell>
          <cell r="AS191">
            <v>0.79899999999999993</v>
          </cell>
          <cell r="AT191">
            <v>1.5620000000000001</v>
          </cell>
          <cell r="AU191">
            <v>0.54400000000000004</v>
          </cell>
          <cell r="AV191">
            <v>1.341</v>
          </cell>
          <cell r="AW191">
            <v>1.0169999999999999</v>
          </cell>
          <cell r="AX191">
            <v>4.4639999999999995</v>
          </cell>
          <cell r="AY191">
            <v>3.7669999999999999</v>
          </cell>
          <cell r="AZ191">
            <v>1.506</v>
          </cell>
          <cell r="BA191">
            <v>0.48299999999999998</v>
          </cell>
          <cell r="BB191">
            <v>7.0359999999999996</v>
          </cell>
          <cell r="BC191">
            <v>12.791999999999998</v>
          </cell>
          <cell r="BD191">
            <v>1.758</v>
          </cell>
          <cell r="BE191">
            <v>5.6959999999999997</v>
          </cell>
          <cell r="BF191">
            <v>0.30399999999999999</v>
          </cell>
          <cell r="BG191">
            <v>1.482</v>
          </cell>
          <cell r="BH191">
            <v>9.2399999999999984</v>
          </cell>
          <cell r="BI191">
            <v>7.7889999999999997</v>
          </cell>
          <cell r="BJ191">
            <v>2.7919999999999998</v>
          </cell>
          <cell r="BK191">
            <v>6.633</v>
          </cell>
          <cell r="BL191">
            <v>2.1829999999999998</v>
          </cell>
          <cell r="BM191">
            <v>19.396999999999998</v>
          </cell>
          <cell r="BN191">
            <v>4.9279999999999999</v>
          </cell>
          <cell r="BO191">
            <v>4.5490000000000004</v>
          </cell>
          <cell r="BP191">
            <v>0.99199999999999999</v>
          </cell>
          <cell r="BQ191">
            <v>0</v>
          </cell>
          <cell r="BR191">
            <v>10.469000000000001</v>
          </cell>
          <cell r="BS191">
            <v>0</v>
          </cell>
          <cell r="BT191">
            <v>0</v>
          </cell>
          <cell r="BU191">
            <v>0</v>
          </cell>
          <cell r="BV191">
            <v>0</v>
          </cell>
          <cell r="BW191">
            <v>0</v>
          </cell>
          <cell r="BX191">
            <v>0</v>
          </cell>
          <cell r="BY191">
            <v>0</v>
          </cell>
          <cell r="BZ191">
            <v>0</v>
          </cell>
          <cell r="CA191">
            <v>0</v>
          </cell>
          <cell r="CB191">
            <v>0</v>
          </cell>
          <cell r="CC191">
            <v>0</v>
          </cell>
          <cell r="CD191">
            <v>0</v>
          </cell>
          <cell r="CE191">
            <v>0</v>
          </cell>
          <cell r="CF191">
            <v>0</v>
          </cell>
          <cell r="CG191">
            <v>0</v>
          </cell>
        </row>
        <row r="192">
          <cell r="B192" t="str">
            <v>Long-term debt, net</v>
          </cell>
          <cell r="Y192">
            <v>5.15313</v>
          </cell>
          <cell r="Z192">
            <v>-1.2939000000000001E-2</v>
          </cell>
          <cell r="AA192">
            <v>-0.754112</v>
          </cell>
          <cell r="AB192">
            <v>0</v>
          </cell>
          <cell r="AC192">
            <v>-0.31381000000000003</v>
          </cell>
          <cell r="AD192">
            <v>-1.0808610000000001</v>
          </cell>
          <cell r="AE192">
            <v>-0.326905</v>
          </cell>
          <cell r="AF192">
            <v>-0.326905</v>
          </cell>
          <cell r="AG192">
            <v>-12.449047999999999</v>
          </cell>
          <cell r="AH192">
            <v>0</v>
          </cell>
          <cell r="AI192">
            <v>-13.102857999999999</v>
          </cell>
          <cell r="AJ192">
            <v>0</v>
          </cell>
          <cell r="AK192">
            <v>0</v>
          </cell>
          <cell r="AL192">
            <v>0</v>
          </cell>
          <cell r="AM192">
            <v>0</v>
          </cell>
          <cell r="AN192">
            <v>0</v>
          </cell>
          <cell r="AO192">
            <v>0</v>
          </cell>
          <cell r="AP192">
            <v>46.362000000000002</v>
          </cell>
          <cell r="AQ192">
            <v>-0.12</v>
          </cell>
          <cell r="AR192">
            <v>-0.12</v>
          </cell>
          <cell r="AS192">
            <v>46.122</v>
          </cell>
          <cell r="AT192">
            <v>-0.12</v>
          </cell>
          <cell r="AU192">
            <v>-1.2</v>
          </cell>
          <cell r="AV192">
            <v>202.90700000000001</v>
          </cell>
          <cell r="AW192">
            <v>-45.12</v>
          </cell>
          <cell r="AX192">
            <v>156.46700000000001</v>
          </cell>
          <cell r="AY192">
            <v>0</v>
          </cell>
          <cell r="AZ192">
            <v>0</v>
          </cell>
          <cell r="BA192">
            <v>0</v>
          </cell>
          <cell r="BB192">
            <v>0</v>
          </cell>
          <cell r="BC192">
            <v>0</v>
          </cell>
          <cell r="BD192">
            <v>0</v>
          </cell>
          <cell r="BE192">
            <v>0</v>
          </cell>
          <cell r="BF192">
            <v>0</v>
          </cell>
          <cell r="BG192">
            <v>0</v>
          </cell>
          <cell r="BH192">
            <v>0</v>
          </cell>
          <cell r="BI192">
            <v>100</v>
          </cell>
          <cell r="BJ192">
            <v>0</v>
          </cell>
          <cell r="BK192">
            <v>858.45500000000015</v>
          </cell>
          <cell r="BL192">
            <v>-100</v>
          </cell>
          <cell r="BM192">
            <v>858.45500000000015</v>
          </cell>
          <cell r="BN192">
            <v>-100</v>
          </cell>
          <cell r="BO192">
            <v>-50</v>
          </cell>
          <cell r="BP192">
            <v>-6.25</v>
          </cell>
          <cell r="BQ192">
            <v>0</v>
          </cell>
          <cell r="BR192">
            <v>-156.25</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row>
        <row r="193">
          <cell r="B193" t="str">
            <v>Other</v>
          </cell>
          <cell r="Y193">
            <v>11.432824</v>
          </cell>
          <cell r="Z193">
            <v>-17.95</v>
          </cell>
          <cell r="AA193">
            <v>0</v>
          </cell>
          <cell r="AB193">
            <v>1.3095000000000001E-2</v>
          </cell>
          <cell r="AC193">
            <v>16.686579999999999</v>
          </cell>
          <cell r="AD193">
            <v>-1.2503250000000001</v>
          </cell>
          <cell r="AE193">
            <v>0</v>
          </cell>
          <cell r="AF193">
            <v>-1.068694</v>
          </cell>
          <cell r="AG193">
            <v>-0.262048</v>
          </cell>
          <cell r="AH193">
            <v>0</v>
          </cell>
          <cell r="AI193">
            <v>-1.3307420000000001</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-1.595</v>
          </cell>
          <cell r="BH193">
            <v>-1.595</v>
          </cell>
          <cell r="BI193">
            <v>0</v>
          </cell>
          <cell r="BJ193">
            <v>-9</v>
          </cell>
          <cell r="BK193">
            <v>-10.252999999999998</v>
          </cell>
          <cell r="BL193">
            <v>-6.0000000000000001E-3</v>
          </cell>
          <cell r="BM193">
            <v>-19.259</v>
          </cell>
          <cell r="BN193">
            <v>-23.202999999999999</v>
          </cell>
          <cell r="BO193">
            <v>-12.462</v>
          </cell>
          <cell r="BP193">
            <v>-12</v>
          </cell>
          <cell r="BQ193">
            <v>0</v>
          </cell>
          <cell r="BR193">
            <v>-47.664999999999999</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row>
        <row r="194">
          <cell r="B194" t="str">
            <v>Share Repurchases/ Offering</v>
          </cell>
          <cell r="Y194">
            <v>0</v>
          </cell>
          <cell r="Z194">
            <v>0</v>
          </cell>
          <cell r="AA194">
            <v>0</v>
          </cell>
          <cell r="AB194">
            <v>0</v>
          </cell>
          <cell r="AC194">
            <v>19.230768999999999</v>
          </cell>
          <cell r="AD194">
            <v>19.230768999999999</v>
          </cell>
          <cell r="AE194">
            <v>0</v>
          </cell>
          <cell r="AF194">
            <v>36.064</v>
          </cell>
          <cell r="AG194">
            <v>0</v>
          </cell>
          <cell r="AH194">
            <v>-5.1999999999999998E-2</v>
          </cell>
          <cell r="AI194">
            <v>36.012</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-0.98599999999999999</v>
          </cell>
          <cell r="AX194">
            <v>-0.98599999999999999</v>
          </cell>
          <cell r="AY194">
            <v>0</v>
          </cell>
          <cell r="AZ194">
            <v>0</v>
          </cell>
          <cell r="BA194">
            <v>0</v>
          </cell>
          <cell r="BB194">
            <v>0</v>
          </cell>
          <cell r="BC194">
            <v>0</v>
          </cell>
          <cell r="BD194">
            <v>0</v>
          </cell>
          <cell r="BE194">
            <v>0</v>
          </cell>
          <cell r="BF194">
            <v>0</v>
          </cell>
          <cell r="BG194">
            <v>0</v>
          </cell>
          <cell r="BH194">
            <v>0</v>
          </cell>
          <cell r="BI194">
            <v>0</v>
          </cell>
          <cell r="BJ194">
            <v>519.26</v>
          </cell>
          <cell r="BK194">
            <v>0</v>
          </cell>
          <cell r="BL194">
            <v>0</v>
          </cell>
          <cell r="BM194">
            <v>519.26</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row>
        <row r="195">
          <cell r="B195" t="str">
            <v>Dividends</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cell r="BT195">
            <v>0</v>
          </cell>
          <cell r="BU195">
            <v>0</v>
          </cell>
          <cell r="BV195">
            <v>0</v>
          </cell>
          <cell r="BW195">
            <v>0</v>
          </cell>
          <cell r="BX195">
            <v>0</v>
          </cell>
          <cell r="BY195">
            <v>0</v>
          </cell>
          <cell r="BZ195">
            <v>0</v>
          </cell>
          <cell r="CA195">
            <v>0</v>
          </cell>
          <cell r="CB195">
            <v>0</v>
          </cell>
          <cell r="CC195">
            <v>0</v>
          </cell>
          <cell r="CD195">
            <v>0</v>
          </cell>
          <cell r="CE195">
            <v>0</v>
          </cell>
          <cell r="CF195">
            <v>0</v>
          </cell>
          <cell r="CG195">
            <v>0</v>
          </cell>
        </row>
        <row r="196">
          <cell r="B196" t="str">
            <v>Cash from financing</v>
          </cell>
          <cell r="Y196">
            <v>16.988747</v>
          </cell>
          <cell r="Z196">
            <v>-17.956779000000001</v>
          </cell>
          <cell r="AA196">
            <v>-0.74773900000000004</v>
          </cell>
          <cell r="AB196">
            <v>5.0626000000000004E-2</v>
          </cell>
          <cell r="AC196">
            <v>35.974817999999999</v>
          </cell>
          <cell r="AD196">
            <v>17.320926</v>
          </cell>
          <cell r="AE196">
            <v>-0.24490800000000001</v>
          </cell>
          <cell r="AF196">
            <v>34.737982000000002</v>
          </cell>
          <cell r="AG196">
            <v>-12.654707</v>
          </cell>
          <cell r="AH196">
            <v>1.5940000000000001</v>
          </cell>
          <cell r="AI196">
            <v>23.432366999999999</v>
          </cell>
          <cell r="AJ196">
            <v>0.83799999999999997</v>
          </cell>
          <cell r="AK196">
            <v>3.407</v>
          </cell>
          <cell r="AL196">
            <v>0.35199999999999998</v>
          </cell>
          <cell r="AM196">
            <v>0.33800000000000002</v>
          </cell>
          <cell r="AN196">
            <v>4.9350000000000005</v>
          </cell>
          <cell r="AO196">
            <v>0.217</v>
          </cell>
          <cell r="AP196">
            <v>46.558</v>
          </cell>
          <cell r="AQ196">
            <v>1.706</v>
          </cell>
          <cell r="AR196">
            <v>-1.1999999999999997E-2</v>
          </cell>
          <cell r="AS196">
            <v>48.469000000000001</v>
          </cell>
          <cell r="AT196">
            <v>3.7880000000000003</v>
          </cell>
          <cell r="AU196">
            <v>1.3470000000000002</v>
          </cell>
          <cell r="AV196">
            <v>205.81700000000001</v>
          </cell>
          <cell r="AW196">
            <v>-44.741999999999997</v>
          </cell>
          <cell r="AX196">
            <v>166.21000000000004</v>
          </cell>
          <cell r="AY196">
            <v>7.8490000000000002</v>
          </cell>
          <cell r="AZ196">
            <v>2.4660000000000002</v>
          </cell>
          <cell r="BA196">
            <v>0.79600000000000004</v>
          </cell>
          <cell r="BB196">
            <v>13.02</v>
          </cell>
          <cell r="BC196">
            <v>24.130999999999997</v>
          </cell>
          <cell r="BD196">
            <v>5.0809999999999995</v>
          </cell>
          <cell r="BE196">
            <v>9.0440000000000005</v>
          </cell>
          <cell r="BF196">
            <v>0.48899999999999999</v>
          </cell>
          <cell r="BG196">
            <v>0.34299999999999997</v>
          </cell>
          <cell r="BH196">
            <v>14.956999999999999</v>
          </cell>
          <cell r="BI196">
            <v>111.123</v>
          </cell>
          <cell r="BJ196">
            <v>514.18200000000002</v>
          </cell>
          <cell r="BK196">
            <v>856.10900000000015</v>
          </cell>
          <cell r="BL196">
            <v>-95.798000000000002</v>
          </cell>
          <cell r="BM196">
            <v>1385.616</v>
          </cell>
          <cell r="BN196">
            <v>-117.49000000000001</v>
          </cell>
          <cell r="BO196">
            <v>-56.768000000000001</v>
          </cell>
          <cell r="BP196">
            <v>-15.724</v>
          </cell>
          <cell r="BQ196">
            <v>0</v>
          </cell>
          <cell r="BR196">
            <v>-189.982</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row>
        <row r="198">
          <cell r="B198" t="str">
            <v>Foreign exchange adjustment</v>
          </cell>
          <cell r="Y198">
            <v>0</v>
          </cell>
          <cell r="Z198">
            <v>0</v>
          </cell>
          <cell r="AA198">
            <v>0</v>
          </cell>
          <cell r="AB198">
            <v>0</v>
          </cell>
          <cell r="AC198">
            <v>0</v>
          </cell>
          <cell r="AD198">
            <v>0</v>
          </cell>
          <cell r="AE198">
            <v>0</v>
          </cell>
          <cell r="AF198">
            <v>0</v>
          </cell>
          <cell r="AG198">
            <v>0</v>
          </cell>
          <cell r="AH198">
            <v>-0.01</v>
          </cell>
          <cell r="AI198">
            <v>-0.01</v>
          </cell>
          <cell r="AJ198">
            <v>1.2999999999999999E-2</v>
          </cell>
          <cell r="AK198">
            <v>0.122</v>
          </cell>
          <cell r="AL198">
            <v>-1.4999999999999999E-2</v>
          </cell>
          <cell r="AM198">
            <v>2E-3</v>
          </cell>
          <cell r="AN198">
            <v>0.12200000000000001</v>
          </cell>
          <cell r="AO198">
            <v>-1.4E-2</v>
          </cell>
          <cell r="AP198">
            <v>3.5000000000000003E-2</v>
          </cell>
          <cell r="AQ198">
            <v>-7.0000000000000001E-3</v>
          </cell>
          <cell r="AR198">
            <v>-0.20100000000000001</v>
          </cell>
          <cell r="AS198">
            <v>-0.187</v>
          </cell>
          <cell r="AT198">
            <v>9.4E-2</v>
          </cell>
          <cell r="AU198">
            <v>-6.8000000000000005E-2</v>
          </cell>
          <cell r="AV198">
            <v>2.4E-2</v>
          </cell>
          <cell r="AW198">
            <v>-0.16900000000000001</v>
          </cell>
          <cell r="AX198">
            <v>-0.11900000000000002</v>
          </cell>
          <cell r="AY198">
            <v>3.9E-2</v>
          </cell>
          <cell r="AZ198">
            <v>5.0000000000000001E-3</v>
          </cell>
          <cell r="BA198">
            <v>7.4999999999999997E-2</v>
          </cell>
          <cell r="BB198">
            <v>0.05</v>
          </cell>
          <cell r="BC198">
            <v>0.16899999999999998</v>
          </cell>
          <cell r="BD198">
            <v>-0.02</v>
          </cell>
          <cell r="BE198">
            <v>-7.0000000000000001E-3</v>
          </cell>
          <cell r="BF198">
            <v>2.1000000000000001E-2</v>
          </cell>
          <cell r="BG198">
            <v>2.4E-2</v>
          </cell>
          <cell r="BH198">
            <v>1.8000000000000002E-2</v>
          </cell>
          <cell r="BI198">
            <v>0.04</v>
          </cell>
          <cell r="BJ198">
            <v>0</v>
          </cell>
          <cell r="BK198">
            <v>-2E-3</v>
          </cell>
          <cell r="BL198">
            <v>-5.8000000000000003E-2</v>
          </cell>
          <cell r="BM198">
            <v>-2.0000000000000004E-2</v>
          </cell>
          <cell r="BN198">
            <v>4.0000000000000001E-3</v>
          </cell>
          <cell r="BO198">
            <v>1.5E-3</v>
          </cell>
          <cell r="BP198">
            <v>-1.9E-2</v>
          </cell>
          <cell r="BQ198">
            <v>0</v>
          </cell>
          <cell r="BR198">
            <v>-1.35E-2</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row>
        <row r="199">
          <cell r="B199" t="str">
            <v>Change in cash due to restatement</v>
          </cell>
          <cell r="Y199">
            <v>0</v>
          </cell>
          <cell r="Z199">
            <v>0</v>
          </cell>
          <cell r="AA199">
            <v>0</v>
          </cell>
          <cell r="AB199">
            <v>0</v>
          </cell>
          <cell r="AC199">
            <v>0</v>
          </cell>
          <cell r="AD199">
            <v>0</v>
          </cell>
          <cell r="AE199">
            <v>0</v>
          </cell>
          <cell r="AF199">
            <v>0</v>
          </cell>
          <cell r="AG199">
            <v>0</v>
          </cell>
          <cell r="AH199">
            <v>-2.0000000002795559E-6</v>
          </cell>
          <cell r="AI199">
            <v>-2.0000000002795559E-6</v>
          </cell>
          <cell r="AJ199">
            <v>-4.8500000000029075E-4</v>
          </cell>
          <cell r="AK199">
            <v>-5.3400000000021074E-4</v>
          </cell>
          <cell r="AL199">
            <v>-6.5299999999979264E-4</v>
          </cell>
          <cell r="AM199">
            <v>-1.772708999999999</v>
          </cell>
          <cell r="AN199">
            <v>-1.7743809999999993</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-1.0999999999999999E-2</v>
          </cell>
          <cell r="BK199">
            <v>0</v>
          </cell>
          <cell r="BL199">
            <v>0</v>
          </cell>
          <cell r="BM199">
            <v>-1.0999999999999999E-2</v>
          </cell>
          <cell r="BN199">
            <v>0</v>
          </cell>
          <cell r="BO199">
            <v>0</v>
          </cell>
          <cell r="BP199">
            <v>0</v>
          </cell>
          <cell r="BQ199">
            <v>0</v>
          </cell>
          <cell r="BR199">
            <v>0</v>
          </cell>
          <cell r="BS199">
            <v>0</v>
          </cell>
          <cell r="BT199">
            <v>0</v>
          </cell>
          <cell r="BU199">
            <v>0</v>
          </cell>
          <cell r="BV199">
            <v>0</v>
          </cell>
          <cell r="BW199">
            <v>0</v>
          </cell>
          <cell r="BX199">
            <v>0</v>
          </cell>
          <cell r="BY199">
            <v>0</v>
          </cell>
          <cell r="BZ199">
            <v>0</v>
          </cell>
          <cell r="CA199">
            <v>0</v>
          </cell>
          <cell r="CB199">
            <v>0</v>
          </cell>
          <cell r="CC199">
            <v>0</v>
          </cell>
          <cell r="CD199">
            <v>0</v>
          </cell>
          <cell r="CE199">
            <v>0</v>
          </cell>
          <cell r="CF199">
            <v>0</v>
          </cell>
          <cell r="CG199">
            <v>0</v>
          </cell>
        </row>
        <row r="200">
          <cell r="B200" t="str">
            <v>Net Increase (Decrease) in Cash and Cash Equivalents</v>
          </cell>
          <cell r="Y200">
            <v>18.598256816999999</v>
          </cell>
          <cell r="Z200">
            <v>-16.238850999172186</v>
          </cell>
          <cell r="AA200">
            <v>-0.30679644104003312</v>
          </cell>
          <cell r="AB200">
            <v>7.3980426790012119</v>
          </cell>
          <cell r="AC200">
            <v>20.791388372034099</v>
          </cell>
          <cell r="AD200">
            <v>11.643783610823093</v>
          </cell>
          <cell r="AE200">
            <v>0.90180400000000172</v>
          </cell>
          <cell r="AF200">
            <v>36.521294000000005</v>
          </cell>
          <cell r="AG200">
            <v>-11.932648</v>
          </cell>
          <cell r="AH200">
            <v>9.5009979999999992</v>
          </cell>
          <cell r="AI200">
            <v>34.991448000000005</v>
          </cell>
          <cell r="AJ200">
            <v>6.0235149999999988</v>
          </cell>
          <cell r="AK200">
            <v>-2.2715339999999973</v>
          </cell>
          <cell r="AL200">
            <v>6.4183470000000007</v>
          </cell>
          <cell r="AM200">
            <v>9.8152910000000002</v>
          </cell>
          <cell r="AN200">
            <v>19.985619000000007</v>
          </cell>
          <cell r="AO200">
            <v>5.6329999999999991</v>
          </cell>
          <cell r="AP200">
            <v>-46.506999999999998</v>
          </cell>
          <cell r="AQ200">
            <v>1.535000000000027</v>
          </cell>
          <cell r="AR200">
            <v>16.125000000000021</v>
          </cell>
          <cell r="AS200">
            <v>-23.213999999999952</v>
          </cell>
          <cell r="AT200">
            <v>12.254999999999969</v>
          </cell>
          <cell r="AU200">
            <v>16.664000000000019</v>
          </cell>
          <cell r="AV200">
            <v>222.88800000000001</v>
          </cell>
          <cell r="AW200">
            <v>-15.151999999999994</v>
          </cell>
          <cell r="AX200">
            <v>236.655</v>
          </cell>
          <cell r="AY200">
            <v>8.8710000000000448</v>
          </cell>
          <cell r="AZ200">
            <v>39.383000000000038</v>
          </cell>
          <cell r="BA200">
            <v>26.43700000000003</v>
          </cell>
          <cell r="BB200">
            <v>-57.777000000000029</v>
          </cell>
          <cell r="BC200">
            <v>16.914000000000087</v>
          </cell>
          <cell r="BD200">
            <v>4.6449999999999783</v>
          </cell>
          <cell r="BE200">
            <v>-6.2220000000000102</v>
          </cell>
          <cell r="BF200">
            <v>85.403999999999883</v>
          </cell>
          <cell r="BG200">
            <v>-63.728999999999999</v>
          </cell>
          <cell r="BH200">
            <v>20.097999999999836</v>
          </cell>
          <cell r="BI200">
            <v>-81.945000000000078</v>
          </cell>
          <cell r="BJ200">
            <v>539.48399999999992</v>
          </cell>
          <cell r="BK200">
            <v>-405.88899999999995</v>
          </cell>
          <cell r="BL200">
            <v>-22.256000000000007</v>
          </cell>
          <cell r="BM200">
            <v>29.393999999999956</v>
          </cell>
          <cell r="BN200">
            <v>-59.149000000000008</v>
          </cell>
          <cell r="BO200">
            <v>62.2485</v>
          </cell>
          <cell r="BP200">
            <v>62.639000000000003</v>
          </cell>
          <cell r="BQ200">
            <v>62.544938397089709</v>
          </cell>
          <cell r="BR200">
            <v>128.2834383970897</v>
          </cell>
          <cell r="BS200">
            <v>81.471772785363868</v>
          </cell>
          <cell r="BT200">
            <v>69.952563864040542</v>
          </cell>
          <cell r="BU200">
            <v>191.52097055406023</v>
          </cell>
          <cell r="BV200">
            <v>44.319663923348855</v>
          </cell>
          <cell r="BW200">
            <v>387.26497112681352</v>
          </cell>
          <cell r="BX200">
            <v>293.80286259706338</v>
          </cell>
          <cell r="BY200">
            <v>78.899322345696817</v>
          </cell>
          <cell r="BZ200">
            <v>208.71918086391759</v>
          </cell>
          <cell r="CA200">
            <v>50.694098414941919</v>
          </cell>
          <cell r="CB200">
            <v>632.11546422161973</v>
          </cell>
          <cell r="CC200">
            <v>298.45351937515545</v>
          </cell>
          <cell r="CD200">
            <v>103.53973936670741</v>
          </cell>
          <cell r="CE200">
            <v>274.38871874176397</v>
          </cell>
          <cell r="CF200">
            <v>65.756354878848953</v>
          </cell>
          <cell r="CG200">
            <v>742.13833236247569</v>
          </cell>
        </row>
        <row r="202">
          <cell r="B202" t="str">
            <v>Change in cash</v>
          </cell>
          <cell r="Z202">
            <v>-17.488531000000002</v>
          </cell>
          <cell r="AA202">
            <v>-1.8776639999999993</v>
          </cell>
          <cell r="AB202">
            <v>6.0169170000000012</v>
          </cell>
          <cell r="AC202">
            <v>19.664566999999998</v>
          </cell>
          <cell r="AE202">
            <v>0.9018039999999985</v>
          </cell>
          <cell r="AF202">
            <v>36.521293999999997</v>
          </cell>
          <cell r="AG202">
            <v>-11.932647999999993</v>
          </cell>
          <cell r="AH202">
            <v>9.5009980000000027</v>
          </cell>
          <cell r="AJ202">
            <v>6.0235149999999891</v>
          </cell>
          <cell r="AK202">
            <v>-2.2715329999999909</v>
          </cell>
          <cell r="AL202">
            <v>6.4183469999999971</v>
          </cell>
          <cell r="AM202">
            <v>9.815291000000002</v>
          </cell>
          <cell r="AO202">
            <v>5.6329999999999956</v>
          </cell>
          <cell r="AP202">
            <v>-46.506999999999998</v>
          </cell>
          <cell r="AQ202">
            <v>1.5350000000000037</v>
          </cell>
          <cell r="AR202">
            <v>16.125</v>
          </cell>
          <cell r="AT202">
            <v>12.254999999999995</v>
          </cell>
          <cell r="AU202">
            <v>16.664000000000001</v>
          </cell>
          <cell r="AV202">
            <v>222.88799999999998</v>
          </cell>
          <cell r="AW202">
            <v>-15.151999999999987</v>
          </cell>
          <cell r="AY202">
            <v>8.8709999999999809</v>
          </cell>
          <cell r="AZ202">
            <v>39.383000000000038</v>
          </cell>
          <cell r="BA202">
            <v>26.436999999999955</v>
          </cell>
          <cell r="BB202">
            <v>-57.776999999999987</v>
          </cell>
          <cell r="BD202">
            <v>4.6449999999999818</v>
          </cell>
          <cell r="BE202">
            <v>-6.22199999999998</v>
          </cell>
          <cell r="BF202">
            <v>85.403999999999996</v>
          </cell>
          <cell r="BG202">
            <v>-63.728999999999985</v>
          </cell>
          <cell r="BI202">
            <v>-81.944999999999993</v>
          </cell>
          <cell r="BJ202">
            <v>539.48400000000004</v>
          </cell>
          <cell r="BK202">
            <v>-405.88900000000007</v>
          </cell>
          <cell r="BL202">
            <v>-22.255999999999972</v>
          </cell>
          <cell r="BN202">
            <v>-59.420000000000016</v>
          </cell>
          <cell r="BO202">
            <v>62.232000000000028</v>
          </cell>
          <cell r="BP202">
            <v>62.638999999999953</v>
          </cell>
          <cell r="BQ202">
            <v>62.544938397089709</v>
          </cell>
          <cell r="BS202">
            <v>81.471772785363896</v>
          </cell>
          <cell r="BT202">
            <v>69.952563864040485</v>
          </cell>
          <cell r="BU202">
            <v>191.52097055406023</v>
          </cell>
          <cell r="BV202">
            <v>44.319663923348912</v>
          </cell>
          <cell r="BX202">
            <v>293.80286259706349</v>
          </cell>
          <cell r="BY202">
            <v>78.899322345696874</v>
          </cell>
          <cell r="BZ202">
            <v>208.7191808639177</v>
          </cell>
          <cell r="CA202">
            <v>50.694098414941891</v>
          </cell>
          <cell r="CC202">
            <v>298.45351937515557</v>
          </cell>
          <cell r="CD202">
            <v>103.53973936670764</v>
          </cell>
          <cell r="CE202">
            <v>274.38871874176402</v>
          </cell>
          <cell r="CF202">
            <v>65.756354878848924</v>
          </cell>
        </row>
        <row r="203">
          <cell r="B203" t="str">
            <v>Check</v>
          </cell>
          <cell r="Z203">
            <v>1.2496799999999999</v>
          </cell>
          <cell r="AA203">
            <v>1.57087</v>
          </cell>
          <cell r="AB203">
            <v>1.38113</v>
          </cell>
          <cell r="AC203">
            <v>1.1268199999999999</v>
          </cell>
          <cell r="AE203">
            <v>0</v>
          </cell>
          <cell r="AF203">
            <v>0</v>
          </cell>
          <cell r="AG203">
            <v>0</v>
          </cell>
          <cell r="AH203">
            <v>0</v>
          </cell>
          <cell r="AJ203">
            <v>0</v>
          </cell>
          <cell r="AK203">
            <v>0</v>
          </cell>
          <cell r="AL203">
            <v>0</v>
          </cell>
          <cell r="AM203">
            <v>0</v>
          </cell>
          <cell r="AO203">
            <v>0</v>
          </cell>
          <cell r="AP203">
            <v>0</v>
          </cell>
          <cell r="AQ203">
            <v>0</v>
          </cell>
          <cell r="AR203">
            <v>0</v>
          </cell>
          <cell r="AT203">
            <v>0</v>
          </cell>
          <cell r="AU203">
            <v>0</v>
          </cell>
          <cell r="AV203">
            <v>0</v>
          </cell>
          <cell r="AW203">
            <v>0</v>
          </cell>
          <cell r="AY203">
            <v>0</v>
          </cell>
          <cell r="AZ203">
            <v>0</v>
          </cell>
          <cell r="BA203">
            <v>0</v>
          </cell>
          <cell r="BB203">
            <v>0</v>
          </cell>
          <cell r="BD203">
            <v>0</v>
          </cell>
          <cell r="BE203">
            <v>0</v>
          </cell>
          <cell r="BF203">
            <v>0</v>
          </cell>
          <cell r="BG203">
            <v>0</v>
          </cell>
          <cell r="BI203">
            <v>0</v>
          </cell>
          <cell r="BJ203">
            <v>0</v>
          </cell>
          <cell r="BK203">
            <v>0</v>
          </cell>
          <cell r="BL203">
            <v>0</v>
          </cell>
          <cell r="BN203">
            <v>0.27100000000000002</v>
          </cell>
          <cell r="BO203">
            <v>1.6500000000000001E-2</v>
          </cell>
          <cell r="BP203">
            <v>0</v>
          </cell>
          <cell r="BQ203">
            <v>0</v>
          </cell>
          <cell r="BS203">
            <v>0</v>
          </cell>
          <cell r="BT203">
            <v>0</v>
          </cell>
          <cell r="BU203">
            <v>0</v>
          </cell>
          <cell r="BV203">
            <v>0</v>
          </cell>
          <cell r="BX203">
            <v>0</v>
          </cell>
          <cell r="BY203">
            <v>0</v>
          </cell>
          <cell r="BZ203">
            <v>0</v>
          </cell>
          <cell r="CA203">
            <v>0</v>
          </cell>
          <cell r="CC203">
            <v>0</v>
          </cell>
          <cell r="CD203">
            <v>0</v>
          </cell>
          <cell r="CE203">
            <v>0</v>
          </cell>
          <cell r="CF203">
            <v>0</v>
          </cell>
        </row>
        <row r="205">
          <cell r="B205" t="str">
            <v>CFO as % of EBITDA</v>
          </cell>
          <cell r="Y205">
            <v>0.82184829723963504</v>
          </cell>
          <cell r="Z205">
            <v>1.2509602581145762</v>
          </cell>
          <cell r="AA205">
            <v>1.3199757515976398</v>
          </cell>
          <cell r="AB205">
            <v>2.0523368771576544</v>
          </cell>
          <cell r="AC205">
            <v>0.58334980978838491</v>
          </cell>
          <cell r="AD205">
            <v>1.1828849507582704</v>
          </cell>
          <cell r="AE205">
            <v>0.55997342202097056</v>
          </cell>
          <cell r="AF205">
            <v>0.89130664855841102</v>
          </cell>
          <cell r="AG205">
            <v>0.3804386158373691</v>
          </cell>
          <cell r="AH205">
            <v>1.4076515803445115</v>
          </cell>
          <cell r="AI205">
            <v>0.85392822343331354</v>
          </cell>
          <cell r="AJ205">
            <v>1.5626195028680689</v>
          </cell>
          <cell r="AK205">
            <v>-0.94959183673469283</v>
          </cell>
          <cell r="AL205">
            <v>1.7930566856522925</v>
          </cell>
          <cell r="AM205">
            <v>1.8674735713191357</v>
          </cell>
          <cell r="AN205">
            <v>1.1198690977092103</v>
          </cell>
          <cell r="AO205">
            <v>1.2686355022109919</v>
          </cell>
          <cell r="AP205">
            <v>0.94058061821219752</v>
          </cell>
          <cell r="AQ205">
            <v>0.27629143530203765</v>
          </cell>
          <cell r="AR205">
            <v>1.2571137602587905</v>
          </cell>
          <cell r="AS205">
            <v>0.92856340054397835</v>
          </cell>
          <cell r="AT205">
            <v>0.72512399730573718</v>
          </cell>
          <cell r="AU205">
            <v>0.83856786574798181</v>
          </cell>
          <cell r="AV205">
            <v>0.73681612505141914</v>
          </cell>
          <cell r="AW205">
            <v>1.209712951698287</v>
          </cell>
          <cell r="AX205">
            <v>0.91206934780542737</v>
          </cell>
          <cell r="AY205">
            <v>-9.3740114582965509E-2</v>
          </cell>
          <cell r="AZ205">
            <v>1.2546252145718098</v>
          </cell>
          <cell r="BA205">
            <v>0.84823345695881325</v>
          </cell>
          <cell r="BB205">
            <v>1.0738406123367854</v>
          </cell>
          <cell r="BC205">
            <v>0.79072785667934398</v>
          </cell>
          <cell r="BD205">
            <v>2.3332139873492638E-2</v>
          </cell>
          <cell r="BE205">
            <v>-3.5302870923878509E-2</v>
          </cell>
          <cell r="BF205">
            <v>1.8700512955412365</v>
          </cell>
          <cell r="BG205">
            <v>0.21017790649565568</v>
          </cell>
          <cell r="BH205">
            <v>0.56998155613363743</v>
          </cell>
          <cell r="BI205">
            <v>1.0337845293706551</v>
          </cell>
          <cell r="BJ205">
            <v>0.50703840838125069</v>
          </cell>
          <cell r="BK205">
            <v>0.59682047305157004</v>
          </cell>
          <cell r="BL205">
            <v>0.69631122702603254</v>
          </cell>
          <cell r="BM205">
            <v>0.6798573586857396</v>
          </cell>
          <cell r="BN205">
            <v>0.44303832752613242</v>
          </cell>
          <cell r="BO205">
            <v>1.0432918187026934</v>
          </cell>
          <cell r="BP205">
            <v>0.55779815485331863</v>
          </cell>
          <cell r="BQ205">
            <v>0.33229767963493856</v>
          </cell>
          <cell r="BR205">
            <v>0.58689868571717452</v>
          </cell>
          <cell r="BS205">
            <v>0.44284895748873565</v>
          </cell>
          <cell r="BT205">
            <v>0.32709711854680568</v>
          </cell>
          <cell r="BU205">
            <v>0.9550553970798632</v>
          </cell>
          <cell r="BV205">
            <v>0.18849488173080217</v>
          </cell>
          <cell r="BW205">
            <v>0.46051306341283188</v>
          </cell>
          <cell r="BX205">
            <v>1.367411437584708</v>
          </cell>
          <cell r="BY205">
            <v>0.32376691415231923</v>
          </cell>
          <cell r="BZ205">
            <v>0.93130251799972175</v>
          </cell>
          <cell r="CA205">
            <v>0.18914577580086198</v>
          </cell>
          <cell r="CB205">
            <v>0.65781398179900707</v>
          </cell>
          <cell r="CC205">
            <v>1.1861939089889153</v>
          </cell>
          <cell r="CD205">
            <v>0.37426192332810237</v>
          </cell>
          <cell r="CE205">
            <v>1.1074691701790258</v>
          </cell>
          <cell r="CF205">
            <v>0.25120862367000563</v>
          </cell>
          <cell r="CG205">
            <v>0.71038538787248418</v>
          </cell>
        </row>
        <row r="207">
          <cell r="B207" t="str">
            <v>Free Cash Flow - MW Definition</v>
          </cell>
        </row>
        <row r="208">
          <cell r="B208" t="str">
            <v>EBITDA</v>
          </cell>
          <cell r="Y208">
            <v>6.3079340000000013</v>
          </cell>
          <cell r="Z208">
            <v>1.5711929999999983</v>
          </cell>
          <cell r="AA208">
            <v>2.7449659999999998</v>
          </cell>
          <cell r="AB208">
            <v>3.8261869999999987</v>
          </cell>
          <cell r="AC208">
            <v>6.3548480000000032</v>
          </cell>
          <cell r="AD208">
            <v>14.497193999999999</v>
          </cell>
          <cell r="AE208">
            <v>4.5210360000000023</v>
          </cell>
          <cell r="AF208">
            <v>4.1763640000000013</v>
          </cell>
          <cell r="AG208">
            <v>5.5407939999999982</v>
          </cell>
          <cell r="AH208">
            <v>6.8560999999999961</v>
          </cell>
          <cell r="AI208">
            <v>21.094293999999998</v>
          </cell>
          <cell r="AJ208">
            <v>6.2759999999999989</v>
          </cell>
          <cell r="AK208">
            <v>4.9000000000000021</v>
          </cell>
          <cell r="AL208">
            <v>3.6869999999999985</v>
          </cell>
          <cell r="AM208">
            <v>6.527000000000001</v>
          </cell>
          <cell r="AN208">
            <v>21.389999999999993</v>
          </cell>
          <cell r="AO208">
            <v>6.331999999999999</v>
          </cell>
          <cell r="AP208">
            <v>9.5760000000000041</v>
          </cell>
          <cell r="AQ208">
            <v>11.886000000000026</v>
          </cell>
          <cell r="AR208">
            <v>16.693000000000026</v>
          </cell>
          <cell r="AS208">
            <v>44.487000000000094</v>
          </cell>
          <cell r="AT208">
            <v>16.330999999999968</v>
          </cell>
          <cell r="AU208">
            <v>23.657000000000014</v>
          </cell>
          <cell r="AV208">
            <v>24.310000000000009</v>
          </cell>
          <cell r="AW208">
            <v>30.413</v>
          </cell>
          <cell r="AX208">
            <v>94.711000000000169</v>
          </cell>
          <cell r="AY208">
            <v>28.45100000000004</v>
          </cell>
          <cell r="AZ208">
            <v>31.458000000000034</v>
          </cell>
          <cell r="BA208">
            <v>30.738000000000035</v>
          </cell>
          <cell r="BB208">
            <v>31.093999999999983</v>
          </cell>
          <cell r="BC208">
            <v>121.7410000000001</v>
          </cell>
          <cell r="BD208">
            <v>33.515999999999977</v>
          </cell>
          <cell r="BE208">
            <v>38.976999999999975</v>
          </cell>
          <cell r="BF208">
            <v>45.617999999999867</v>
          </cell>
          <cell r="BG208">
            <v>48.339999999999989</v>
          </cell>
          <cell r="BH208">
            <v>166.45099999999957</v>
          </cell>
          <cell r="BI208">
            <v>54.373999999999896</v>
          </cell>
          <cell r="BJ208">
            <v>58.606999999999907</v>
          </cell>
          <cell r="BK208">
            <v>103.16000000000005</v>
          </cell>
          <cell r="BL208">
            <v>146.85100000000011</v>
          </cell>
          <cell r="BM208">
            <v>367.35499999999996</v>
          </cell>
          <cell r="BN208">
            <v>143.5</v>
          </cell>
          <cell r="BO208">
            <v>165.80499999999992</v>
          </cell>
          <cell r="BP208">
            <v>178.41400000000002</v>
          </cell>
          <cell r="BQ208">
            <v>195.7429810179473</v>
          </cell>
          <cell r="BR208">
            <v>683.46198101794721</v>
          </cell>
          <cell r="BS208">
            <v>189.61718519457006</v>
          </cell>
          <cell r="BT208">
            <v>221.50168789601551</v>
          </cell>
          <cell r="BU208">
            <v>203.15153565676977</v>
          </cell>
          <cell r="BV208">
            <v>248.38692432091645</v>
          </cell>
          <cell r="BW208">
            <v>862.6573330682719</v>
          </cell>
          <cell r="BX208">
            <v>216.68888708465855</v>
          </cell>
          <cell r="BY208">
            <v>251.41334332698901</v>
          </cell>
          <cell r="BZ208">
            <v>226.79975279953092</v>
          </cell>
          <cell r="CA208">
            <v>281.23334073791938</v>
          </cell>
          <cell r="CB208">
            <v>976.13532394909782</v>
          </cell>
          <cell r="CC208">
            <v>253.71359361614105</v>
          </cell>
          <cell r="CD208">
            <v>283.33029025169111</v>
          </cell>
          <cell r="CE208">
            <v>250.01934699184815</v>
          </cell>
          <cell r="CF208">
            <v>271.71183011819022</v>
          </cell>
          <cell r="CG208">
            <v>1058.7750609778677</v>
          </cell>
        </row>
        <row r="209">
          <cell r="B209" t="str">
            <v>Less: Maintenance Capex</v>
          </cell>
          <cell r="Y209">
            <v>-1.454164</v>
          </cell>
          <cell r="Z209">
            <v>-0.24757199999999999</v>
          </cell>
          <cell r="AA209">
            <v>1.2702530000000001</v>
          </cell>
          <cell r="AB209">
            <v>-0.29669600000000002</v>
          </cell>
          <cell r="AC209">
            <v>-0.94084600000000007</v>
          </cell>
          <cell r="AD209">
            <v>-0.21486099999999997</v>
          </cell>
          <cell r="AE209">
            <v>-1.3849480000000001</v>
          </cell>
          <cell r="AF209">
            <v>-1.939109</v>
          </cell>
          <cell r="AG209">
            <v>-1.3858729999999999</v>
          </cell>
          <cell r="AH209">
            <v>-4.1760000000000002</v>
          </cell>
          <cell r="AI209">
            <v>-8.8859300000000001</v>
          </cell>
          <cell r="AJ209">
            <v>-4.8809999999999993</v>
          </cell>
          <cell r="AK209">
            <v>-1.29</v>
          </cell>
          <cell r="AL209">
            <v>-0.52900000000000003</v>
          </cell>
          <cell r="AM209">
            <v>-0.94099999999999995</v>
          </cell>
          <cell r="AN209">
            <v>-7.6409999999999991</v>
          </cell>
          <cell r="AO209">
            <v>-2.6030000000000002</v>
          </cell>
          <cell r="AP209">
            <v>-0.81</v>
          </cell>
          <cell r="AQ209">
            <v>-2.556</v>
          </cell>
          <cell r="AR209">
            <v>-2.44</v>
          </cell>
          <cell r="AS209">
            <v>-8.4090000000000007</v>
          </cell>
          <cell r="AT209">
            <v>-3.2890000000000001</v>
          </cell>
          <cell r="AU209">
            <v>-2.4569999999999999</v>
          </cell>
          <cell r="AV209">
            <v>-0.86499999999999999</v>
          </cell>
          <cell r="AW209">
            <v>-2.383</v>
          </cell>
          <cell r="AX209">
            <v>-8.9939999999999998</v>
          </cell>
          <cell r="AY209">
            <v>-0.97</v>
          </cell>
          <cell r="AZ209">
            <v>-2.556</v>
          </cell>
          <cell r="BA209">
            <v>-0.50700000000000001</v>
          </cell>
          <cell r="BB209">
            <v>-5.0369999999999999</v>
          </cell>
          <cell r="BC209">
            <v>-9.07</v>
          </cell>
          <cell r="BD209">
            <v>-1.198</v>
          </cell>
          <cell r="BE209">
            <v>-0.89800000000000002</v>
          </cell>
          <cell r="BF209">
            <v>-0.97799999999999998</v>
          </cell>
          <cell r="BG209">
            <v>-6.6150000000000002</v>
          </cell>
          <cell r="BH209">
            <v>-9.6890000000000001</v>
          </cell>
          <cell r="BI209">
            <v>-6.141</v>
          </cell>
          <cell r="BJ209">
            <v>-4.6970000000000001</v>
          </cell>
          <cell r="BK209">
            <v>-2.0630000000000002</v>
          </cell>
          <cell r="BL209">
            <v>-27.334</v>
          </cell>
          <cell r="BM209">
            <v>-40.234999999999999</v>
          </cell>
          <cell r="BN209">
            <v>-25.242999999999999</v>
          </cell>
          <cell r="BO209">
            <v>-46.892000000000003</v>
          </cell>
          <cell r="BP209">
            <v>-21.137</v>
          </cell>
          <cell r="BQ209">
            <v>-2.5</v>
          </cell>
          <cell r="BR209">
            <v>-95.771999999999991</v>
          </cell>
          <cell r="BS209">
            <v>-2.5</v>
          </cell>
          <cell r="BT209">
            <v>-2.5</v>
          </cell>
          <cell r="BU209">
            <v>-2.5</v>
          </cell>
          <cell r="BV209">
            <v>-2.5</v>
          </cell>
          <cell r="BW209">
            <v>-10</v>
          </cell>
          <cell r="BX209">
            <v>-2.5</v>
          </cell>
          <cell r="BY209">
            <v>-2.5</v>
          </cell>
          <cell r="BZ209">
            <v>-2.5</v>
          </cell>
          <cell r="CA209">
            <v>-2.5</v>
          </cell>
          <cell r="CB209">
            <v>-10</v>
          </cell>
          <cell r="CC209">
            <v>-2.5</v>
          </cell>
          <cell r="CD209">
            <v>-2.5</v>
          </cell>
          <cell r="CE209">
            <v>-2.5</v>
          </cell>
          <cell r="CF209">
            <v>-2.5</v>
          </cell>
          <cell r="CG209">
            <v>-10</v>
          </cell>
        </row>
        <row r="210">
          <cell r="B210" t="str">
            <v>Less: NWC</v>
          </cell>
          <cell r="Y210">
            <v>-1.1328450000000001</v>
          </cell>
          <cell r="Z210">
            <v>0.30399100000000001</v>
          </cell>
          <cell r="AA210">
            <v>5.8506000000000002E-2</v>
          </cell>
          <cell r="AB210">
            <v>3.871518</v>
          </cell>
          <cell r="AC210">
            <v>-3.4422999999999999</v>
          </cell>
          <cell r="AD210">
            <v>0.79171499999999984</v>
          </cell>
          <cell r="AE210">
            <v>-3.941497</v>
          </cell>
          <cell r="AF210">
            <v>0.55795400000000017</v>
          </cell>
          <cell r="AG210">
            <v>-1.6274319999999998</v>
          </cell>
          <cell r="AH210">
            <v>5.3950000000000005</v>
          </cell>
          <cell r="AI210">
            <v>0.38402500000000195</v>
          </cell>
          <cell r="AJ210">
            <v>4.7390000000000008</v>
          </cell>
          <cell r="AK210">
            <v>-9.3159999999999989</v>
          </cell>
          <cell r="AL210">
            <v>1.7880000000000007</v>
          </cell>
          <cell r="AM210">
            <v>6.5699999999999994</v>
          </cell>
          <cell r="AN210">
            <v>3.7809999999999997</v>
          </cell>
          <cell r="AO210">
            <v>2.7330000000000001</v>
          </cell>
          <cell r="AP210">
            <v>2.5340000000000016</v>
          </cell>
          <cell r="AQ210">
            <v>-2.8259999999999992</v>
          </cell>
          <cell r="AR210">
            <v>11.046999999999999</v>
          </cell>
          <cell r="AS210">
            <v>13.488000000000001</v>
          </cell>
          <cell r="AT210">
            <v>1.5709999999999997</v>
          </cell>
          <cell r="AU210">
            <v>5.0759999999999996</v>
          </cell>
          <cell r="AV210">
            <v>3.62</v>
          </cell>
          <cell r="AW210">
            <v>18.385000000000002</v>
          </cell>
          <cell r="AX210">
            <v>28.652000000000001</v>
          </cell>
          <cell r="AY210">
            <v>-21.542999999999996</v>
          </cell>
          <cell r="AZ210">
            <v>18.560000000000002</v>
          </cell>
          <cell r="BA210">
            <v>5.8780000000000019</v>
          </cell>
          <cell r="BB210">
            <v>13.273000000000003</v>
          </cell>
          <cell r="BC210">
            <v>16.16800000000001</v>
          </cell>
          <cell r="BD210">
            <v>-23.379000000000001</v>
          </cell>
          <cell r="BE210">
            <v>-28.858999999999995</v>
          </cell>
          <cell r="BF210">
            <v>53.908000000000001</v>
          </cell>
          <cell r="BG210">
            <v>-24.459999999999994</v>
          </cell>
          <cell r="BH210">
            <v>-22.789999999999992</v>
          </cell>
          <cell r="BI210">
            <v>16.496000000000006</v>
          </cell>
          <cell r="BJ210">
            <v>-9.8469999999999978</v>
          </cell>
          <cell r="BK210">
            <v>-15.868000000000006</v>
          </cell>
          <cell r="BL210">
            <v>-12.403000000000002</v>
          </cell>
          <cell r="BM210">
            <v>-21.622</v>
          </cell>
          <cell r="BN210">
            <v>-54.131</v>
          </cell>
          <cell r="BO210">
            <v>40.318999999999996</v>
          </cell>
          <cell r="BP210">
            <v>-41.887999999999984</v>
          </cell>
          <cell r="BQ210">
            <v>-73.067302353779183</v>
          </cell>
          <cell r="BR210">
            <v>-128.76730235377917</v>
          </cell>
          <cell r="BS210">
            <v>-48.012138816864422</v>
          </cell>
          <cell r="BT210">
            <v>-81.929997405940497</v>
          </cell>
          <cell r="BU210">
            <v>52.346242245981706</v>
          </cell>
          <cell r="BV210">
            <v>-126.643652782733</v>
          </cell>
          <cell r="BW210">
            <v>-204.23954675955622</v>
          </cell>
          <cell r="BX210">
            <v>144.75951131547293</v>
          </cell>
          <cell r="BY210">
            <v>-94.695734114393645</v>
          </cell>
          <cell r="BZ210">
            <v>52.164888130316498</v>
          </cell>
          <cell r="CA210">
            <v>-144.13394584005783</v>
          </cell>
          <cell r="CB210">
            <v>-41.905280508662031</v>
          </cell>
          <cell r="CC210">
            <v>120.93670445201755</v>
          </cell>
          <cell r="CD210">
            <v>-95.633945985242178</v>
          </cell>
          <cell r="CE210">
            <v>99.497535997697341</v>
          </cell>
          <cell r="CF210">
            <v>-125.0013787854153</v>
          </cell>
          <cell r="CG210">
            <v>-0.20108432094258433</v>
          </cell>
        </row>
        <row r="211">
          <cell r="B211" t="str">
            <v>Free Cash Flow</v>
          </cell>
          <cell r="Y211">
            <v>3.7209250000000007</v>
          </cell>
          <cell r="Z211">
            <v>1.6276119999999983</v>
          </cell>
          <cell r="AA211">
            <v>4.0737250000000005</v>
          </cell>
          <cell r="AB211">
            <v>7.4010089999999984</v>
          </cell>
          <cell r="AC211">
            <v>1.9717020000000036</v>
          </cell>
          <cell r="AD211">
            <v>15.074047999999998</v>
          </cell>
          <cell r="AE211">
            <v>-0.80540899999999782</v>
          </cell>
          <cell r="AF211">
            <v>2.7952090000000012</v>
          </cell>
          <cell r="AG211">
            <v>2.5274889999999983</v>
          </cell>
          <cell r="AH211">
            <v>8.0750999999999955</v>
          </cell>
          <cell r="AI211">
            <v>12.592388999999999</v>
          </cell>
          <cell r="AJ211">
            <v>6.1340000000000003</v>
          </cell>
          <cell r="AK211">
            <v>-5.7059999999999969</v>
          </cell>
          <cell r="AL211">
            <v>4.9459999999999997</v>
          </cell>
          <cell r="AM211">
            <v>12.156000000000001</v>
          </cell>
          <cell r="AN211">
            <v>17.529999999999994</v>
          </cell>
          <cell r="AO211">
            <v>6.4619999999999989</v>
          </cell>
          <cell r="AP211">
            <v>11.300000000000004</v>
          </cell>
          <cell r="AQ211">
            <v>6.504000000000028</v>
          </cell>
          <cell r="AR211">
            <v>25.300000000000026</v>
          </cell>
          <cell r="AS211">
            <v>49.566000000000095</v>
          </cell>
          <cell r="AT211">
            <v>14.612999999999968</v>
          </cell>
          <cell r="AU211">
            <v>26.276000000000014</v>
          </cell>
          <cell r="AV211">
            <v>27.065000000000012</v>
          </cell>
          <cell r="AW211">
            <v>46.415000000000006</v>
          </cell>
          <cell r="AX211">
            <v>114.36900000000017</v>
          </cell>
          <cell r="AY211">
            <v>5.938000000000045</v>
          </cell>
          <cell r="AZ211">
            <v>47.462000000000032</v>
          </cell>
          <cell r="BA211">
            <v>36.109000000000037</v>
          </cell>
          <cell r="BB211">
            <v>39.329999999999984</v>
          </cell>
          <cell r="BC211">
            <v>128.83900000000011</v>
          </cell>
          <cell r="BD211">
            <v>8.9389999999999752</v>
          </cell>
          <cell r="BE211">
            <v>9.2199999999999775</v>
          </cell>
          <cell r="BF211">
            <v>98.54799999999986</v>
          </cell>
          <cell r="BG211">
            <v>17.264999999999993</v>
          </cell>
          <cell r="BH211">
            <v>133.97199999999958</v>
          </cell>
          <cell r="BI211">
            <v>64.7289999999999</v>
          </cell>
          <cell r="BJ211">
            <v>44.062999999999903</v>
          </cell>
          <cell r="BK211">
            <v>85.229000000000042</v>
          </cell>
          <cell r="BL211">
            <v>107.1140000000001</v>
          </cell>
          <cell r="BM211">
            <v>305.49799999999993</v>
          </cell>
          <cell r="BN211">
            <v>64.126000000000005</v>
          </cell>
          <cell r="BO211">
            <v>159.23199999999991</v>
          </cell>
          <cell r="BP211">
            <v>115.38900000000004</v>
          </cell>
          <cell r="BQ211">
            <v>120.17567866416812</v>
          </cell>
          <cell r="BR211">
            <v>458.92267866416807</v>
          </cell>
          <cell r="BS211">
            <v>139.10504637770563</v>
          </cell>
          <cell r="BT211">
            <v>137.07169049007501</v>
          </cell>
          <cell r="BU211">
            <v>252.99777790275147</v>
          </cell>
          <cell r="BV211">
            <v>119.24327153818345</v>
          </cell>
          <cell r="BW211">
            <v>648.41778630871568</v>
          </cell>
          <cell r="BX211">
            <v>358.94839840013151</v>
          </cell>
          <cell r="BY211">
            <v>154.21760921259536</v>
          </cell>
          <cell r="BZ211">
            <v>276.46464092984741</v>
          </cell>
          <cell r="CA211">
            <v>134.59939489786154</v>
          </cell>
          <cell r="CB211">
            <v>924.23004344043579</v>
          </cell>
          <cell r="CC211">
            <v>372.15029806815858</v>
          </cell>
          <cell r="CD211">
            <v>185.19634426644893</v>
          </cell>
          <cell r="CE211">
            <v>347.01688298954548</v>
          </cell>
          <cell r="CF211">
            <v>144.21045133277494</v>
          </cell>
          <cell r="CG211">
            <v>1048.5739766569252</v>
          </cell>
        </row>
        <row r="212">
          <cell r="B212" t="str">
            <v>Taxes on EBIT</v>
          </cell>
          <cell r="Y212">
            <v>-1.7119518890000003</v>
          </cell>
          <cell r="Z212">
            <v>-0.45626030599821149</v>
          </cell>
          <cell r="AA212">
            <v>-0.89214408893885677</v>
          </cell>
          <cell r="AB212">
            <v>-1.3343283080309098</v>
          </cell>
          <cell r="AC212">
            <v>-1.6629283806803317</v>
          </cell>
          <cell r="AD212">
            <v>-4.3456610836483094</v>
          </cell>
          <cell r="AE212">
            <v>-1.4052926590765966</v>
          </cell>
          <cell r="AF212">
            <v>-1.2122151686518863</v>
          </cell>
          <cell r="AG212">
            <v>-1.6862557317807199</v>
          </cell>
          <cell r="AH212">
            <v>-2.2841558487395961</v>
          </cell>
          <cell r="AI212">
            <v>-6.5879194082487995</v>
          </cell>
          <cell r="AJ212">
            <v>-2.0930420431093784</v>
          </cell>
          <cell r="AK212">
            <v>-1.3521534510433395</v>
          </cell>
          <cell r="AL212">
            <v>-0.65404916303600036</v>
          </cell>
          <cell r="AM212">
            <v>-1.9845986585645496</v>
          </cell>
          <cell r="AN212">
            <v>-6.0838433157532652</v>
          </cell>
          <cell r="AO212">
            <v>-1.6457453014184393</v>
          </cell>
          <cell r="AP212">
            <v>-2.3885617612293162</v>
          </cell>
          <cell r="AQ212">
            <v>-3.4928497340425628</v>
          </cell>
          <cell r="AR212">
            <v>-4.3890291075650216</v>
          </cell>
          <cell r="AS212">
            <v>-11.916185904255356</v>
          </cell>
          <cell r="AT212">
            <v>-5.2151884042006191</v>
          </cell>
          <cell r="AU212">
            <v>-7.9210749798046605</v>
          </cell>
          <cell r="AV212">
            <v>-8.0558000477344507</v>
          </cell>
          <cell r="AW212">
            <v>-10.322596754057427</v>
          </cell>
          <cell r="AX212">
            <v>-31.514660185797226</v>
          </cell>
          <cell r="AY212">
            <v>-9.0190070954118813</v>
          </cell>
          <cell r="AZ212">
            <v>-10.250806480380511</v>
          </cell>
          <cell r="BA212">
            <v>-9.8895576222887502</v>
          </cell>
          <cell r="BB212">
            <v>-10.215273805814091</v>
          </cell>
          <cell r="BC212">
            <v>-39.374645003895239</v>
          </cell>
          <cell r="BD212">
            <v>-11.542937385706663</v>
          </cell>
          <cell r="BE212">
            <v>-12.338196336672015</v>
          </cell>
          <cell r="BF212">
            <v>-14.8228927076188</v>
          </cell>
          <cell r="BG212">
            <v>-15.281061681583704</v>
          </cell>
          <cell r="BH212">
            <v>-57.931143716058813</v>
          </cell>
          <cell r="BI212">
            <v>-17.314359791529384</v>
          </cell>
          <cell r="BJ212">
            <v>-21.295572696961749</v>
          </cell>
          <cell r="BK212">
            <v>-37.990263302039111</v>
          </cell>
          <cell r="BL212">
            <v>-51.006300366629929</v>
          </cell>
          <cell r="BM212">
            <v>-127.41981611885528</v>
          </cell>
          <cell r="BN212">
            <v>-40.681053515877664</v>
          </cell>
          <cell r="BO212">
            <v>-40.28380048129663</v>
          </cell>
          <cell r="BP212">
            <v>-42.153474095080497</v>
          </cell>
          <cell r="BQ212">
            <v>-52.63493459011498</v>
          </cell>
          <cell r="BR212">
            <v>-175.69705695272918</v>
          </cell>
          <cell r="BS212">
            <v>-53.567455558371016</v>
          </cell>
          <cell r="BT212">
            <v>-63.132806368804651</v>
          </cell>
          <cell r="BU212">
            <v>-57.627760697030929</v>
          </cell>
          <cell r="BV212">
            <v>-71.198377296274927</v>
          </cell>
          <cell r="BW212">
            <v>-245.52639992048151</v>
          </cell>
          <cell r="BX212">
            <v>-61.688966125397563</v>
          </cell>
          <cell r="BY212">
            <v>-72.106302998096695</v>
          </cell>
          <cell r="BZ212">
            <v>-64.722225839859277</v>
          </cell>
          <cell r="CA212">
            <v>-81.052302221375797</v>
          </cell>
          <cell r="CB212">
            <v>-279.56979718472928</v>
          </cell>
          <cell r="CC212">
            <v>-62.702260276358089</v>
          </cell>
          <cell r="CD212">
            <v>-70.698768367956603</v>
          </cell>
          <cell r="CE212">
            <v>-61.704813687799003</v>
          </cell>
          <cell r="CF212">
            <v>-67.561784131911367</v>
          </cell>
          <cell r="CG212">
            <v>-262.66762646402515</v>
          </cell>
        </row>
        <row r="213">
          <cell r="B213" t="str">
            <v>Operating FCF - After Tax</v>
          </cell>
          <cell r="Y213">
            <v>2.0089731110000004</v>
          </cell>
          <cell r="Z213">
            <v>1.1713516940017867</v>
          </cell>
          <cell r="AA213">
            <v>3.1815809110611437</v>
          </cell>
          <cell r="AB213">
            <v>6.0666806919690881</v>
          </cell>
          <cell r="AC213">
            <v>0.30877361931967195</v>
          </cell>
          <cell r="AD213">
            <v>10.728386916351688</v>
          </cell>
          <cell r="AE213">
            <v>-2.2107016590765944</v>
          </cell>
          <cell r="AF213">
            <v>1.5829938313481149</v>
          </cell>
          <cell r="AG213">
            <v>0.84123326821927846</v>
          </cell>
          <cell r="AH213">
            <v>5.7909441512603994</v>
          </cell>
          <cell r="AI213">
            <v>6.0044695917511994</v>
          </cell>
          <cell r="AJ213">
            <v>4.0409579568906224</v>
          </cell>
          <cell r="AK213">
            <v>-7.0581534510433368</v>
          </cell>
          <cell r="AL213">
            <v>4.2919508369639994</v>
          </cell>
          <cell r="AM213">
            <v>10.171401341435452</v>
          </cell>
          <cell r="AN213">
            <v>11.446156684246729</v>
          </cell>
          <cell r="AO213">
            <v>4.8162546985815595</v>
          </cell>
          <cell r="AP213">
            <v>8.911438238770689</v>
          </cell>
          <cell r="AQ213">
            <v>3.0111502659574652</v>
          </cell>
          <cell r="AR213">
            <v>20.910970892435003</v>
          </cell>
          <cell r="AS213">
            <v>37.649814095744738</v>
          </cell>
          <cell r="AT213">
            <v>9.3978115957993484</v>
          </cell>
          <cell r="AU213">
            <v>18.354925020195353</v>
          </cell>
          <cell r="AV213">
            <v>19.009199952265561</v>
          </cell>
          <cell r="AW213">
            <v>36.092403245942577</v>
          </cell>
          <cell r="AX213">
            <v>82.854339814202945</v>
          </cell>
          <cell r="AY213">
            <v>-3.0810070954118363</v>
          </cell>
          <cell r="AZ213">
            <v>37.21119351961952</v>
          </cell>
          <cell r="BA213">
            <v>26.219442377711289</v>
          </cell>
          <cell r="BB213">
            <v>29.114726194185891</v>
          </cell>
          <cell r="BC213">
            <v>89.464354996104873</v>
          </cell>
          <cell r="BD213">
            <v>-2.6039373857066881</v>
          </cell>
          <cell r="BE213">
            <v>-3.1181963366720371</v>
          </cell>
          <cell r="BF213">
            <v>83.725107292381054</v>
          </cell>
          <cell r="BG213">
            <v>1.9839383184162891</v>
          </cell>
          <cell r="BH213">
            <v>76.040856283940769</v>
          </cell>
          <cell r="BI213">
            <v>47.414640208470516</v>
          </cell>
          <cell r="BJ213">
            <v>22.767427303038154</v>
          </cell>
          <cell r="BK213">
            <v>47.238736697960931</v>
          </cell>
          <cell r="BL213">
            <v>56.107699633370174</v>
          </cell>
          <cell r="BM213">
            <v>178.07818388114464</v>
          </cell>
          <cell r="BN213">
            <v>23.44494648412234</v>
          </cell>
          <cell r="BO213">
            <v>118.94819951870329</v>
          </cell>
          <cell r="BP213">
            <v>73.235525904919541</v>
          </cell>
          <cell r="BQ213">
            <v>67.540744074053137</v>
          </cell>
          <cell r="BR213">
            <v>283.22562171143886</v>
          </cell>
          <cell r="BS213">
            <v>85.537590819334611</v>
          </cell>
          <cell r="BT213">
            <v>73.938884121270362</v>
          </cell>
          <cell r="BU213">
            <v>195.37001720572053</v>
          </cell>
          <cell r="BV213">
            <v>48.044894241908523</v>
          </cell>
          <cell r="BW213">
            <v>402.8913863882342</v>
          </cell>
          <cell r="BX213">
            <v>297.25943227473397</v>
          </cell>
          <cell r="BY213">
            <v>82.111306214498669</v>
          </cell>
          <cell r="BZ213">
            <v>211.74241508998813</v>
          </cell>
          <cell r="CA213">
            <v>53.547092676485747</v>
          </cell>
          <cell r="CB213">
            <v>644.66024625570651</v>
          </cell>
          <cell r="CC213">
            <v>309.44803779180052</v>
          </cell>
          <cell r="CD213">
            <v>114.49757589849233</v>
          </cell>
          <cell r="CE213">
            <v>285.31206930174648</v>
          </cell>
          <cell r="CF213">
            <v>76.648667200863571</v>
          </cell>
          <cell r="CG213">
            <v>785.90635019290005</v>
          </cell>
        </row>
        <row r="215">
          <cell r="B215" t="str">
            <v>Free Cash Flow - CFO + Capex</v>
          </cell>
        </row>
        <row r="216">
          <cell r="B216" t="str">
            <v>Cash from Operations</v>
          </cell>
          <cell r="Y216">
            <v>5.184164817000001</v>
          </cell>
          <cell r="Z216">
            <v>1.9655000008278134</v>
          </cell>
          <cell r="AA216">
            <v>3.6232885589599668</v>
          </cell>
          <cell r="AB216">
            <v>7.8526246790012113</v>
          </cell>
          <cell r="AC216">
            <v>3.7070993720340999</v>
          </cell>
          <cell r="AD216">
            <v>17.14851261082309</v>
          </cell>
          <cell r="AE216">
            <v>2.5316600000000018</v>
          </cell>
          <cell r="AF216">
            <v>3.7224210000000006</v>
          </cell>
          <cell r="AG216">
            <v>2.107931999999999</v>
          </cell>
          <cell r="AH216">
            <v>9.6509999999999998</v>
          </cell>
          <cell r="AI216">
            <v>18.013013000000004</v>
          </cell>
          <cell r="AJ216">
            <v>9.8069999999999986</v>
          </cell>
          <cell r="AK216">
            <v>-4.6529999999999969</v>
          </cell>
          <cell r="AL216">
            <v>6.6109999999999998</v>
          </cell>
          <cell r="AM216">
            <v>12.189</v>
          </cell>
          <cell r="AN216">
            <v>23.954000000000001</v>
          </cell>
          <cell r="AO216">
            <v>8.0329999999999995</v>
          </cell>
          <cell r="AP216">
            <v>9.0070000000000068</v>
          </cell>
          <cell r="AQ216">
            <v>3.2840000000000269</v>
          </cell>
          <cell r="AR216">
            <v>20.985000000000024</v>
          </cell>
          <cell r="AS216">
            <v>41.309000000000054</v>
          </cell>
          <cell r="AT216">
            <v>11.84199999999997</v>
          </cell>
          <cell r="AU216">
            <v>19.838000000000019</v>
          </cell>
          <cell r="AV216">
            <v>17.912000000000006</v>
          </cell>
          <cell r="AW216">
            <v>36.791000000000004</v>
          </cell>
          <cell r="AX216">
            <v>86.382999999999981</v>
          </cell>
          <cell r="AY216">
            <v>-2.6669999999999554</v>
          </cell>
          <cell r="AZ216">
            <v>39.468000000000032</v>
          </cell>
          <cell r="BA216">
            <v>26.073000000000032</v>
          </cell>
          <cell r="BB216">
            <v>33.389999999999986</v>
          </cell>
          <cell r="BC216">
            <v>96.264000000000095</v>
          </cell>
          <cell r="BD216">
            <v>0.78199999999997871</v>
          </cell>
          <cell r="BE216">
            <v>-1.3760000000000119</v>
          </cell>
          <cell r="BF216">
            <v>85.307999999999879</v>
          </cell>
          <cell r="BG216">
            <v>10.159999999999993</v>
          </cell>
          <cell r="BH216">
            <v>94.873999999999839</v>
          </cell>
          <cell r="BI216">
            <v>56.210999999999899</v>
          </cell>
          <cell r="BJ216">
            <v>29.715999999999912</v>
          </cell>
          <cell r="BK216">
            <v>61.567999999999998</v>
          </cell>
          <cell r="BL216">
            <v>102.25399999999999</v>
          </cell>
          <cell r="BM216">
            <v>249.74899999999982</v>
          </cell>
          <cell r="BN216">
            <v>63.576000000000001</v>
          </cell>
          <cell r="BO216">
            <v>172.983</v>
          </cell>
          <cell r="BP216">
            <v>99.519000000000005</v>
          </cell>
          <cell r="BQ216">
            <v>65.044938397089709</v>
          </cell>
          <cell r="BR216">
            <v>401.12293839708968</v>
          </cell>
          <cell r="BS216">
            <v>83.971772785363868</v>
          </cell>
          <cell r="BT216">
            <v>72.452563864040542</v>
          </cell>
          <cell r="BU216">
            <v>194.02097055406023</v>
          </cell>
          <cell r="BV216">
            <v>46.819663923348855</v>
          </cell>
          <cell r="BW216">
            <v>397.26497112681352</v>
          </cell>
          <cell r="BX216">
            <v>296.30286259706338</v>
          </cell>
          <cell r="BY216">
            <v>81.399322345696817</v>
          </cell>
          <cell r="BZ216">
            <v>211.21918086391759</v>
          </cell>
          <cell r="CA216">
            <v>53.194098414941919</v>
          </cell>
          <cell r="CB216">
            <v>642.11546422161973</v>
          </cell>
          <cell r="CC216">
            <v>300.95351937515545</v>
          </cell>
          <cell r="CD216">
            <v>106.03973936670741</v>
          </cell>
          <cell r="CE216">
            <v>276.88871874176397</v>
          </cell>
          <cell r="CF216">
            <v>68.256354878848953</v>
          </cell>
          <cell r="CG216">
            <v>752.13833236247569</v>
          </cell>
        </row>
        <row r="217">
          <cell r="B217" t="str">
            <v>Capex</v>
          </cell>
          <cell r="Y217">
            <v>-1.454164</v>
          </cell>
          <cell r="Z217">
            <v>-0.24757199999999999</v>
          </cell>
          <cell r="AA217">
            <v>1.2702530000000001</v>
          </cell>
          <cell r="AB217">
            <v>-0.29669600000000002</v>
          </cell>
          <cell r="AC217">
            <v>-0.94084600000000007</v>
          </cell>
          <cell r="AD217">
            <v>-0.21486099999999997</v>
          </cell>
          <cell r="AE217">
            <v>-1.3849480000000001</v>
          </cell>
          <cell r="AF217">
            <v>-1.939109</v>
          </cell>
          <cell r="AG217">
            <v>-1.3858729999999999</v>
          </cell>
          <cell r="AH217">
            <v>-4.1760000000000002</v>
          </cell>
          <cell r="AI217">
            <v>-8.8859300000000001</v>
          </cell>
          <cell r="AJ217">
            <v>-4.8809999999999993</v>
          </cell>
          <cell r="AK217">
            <v>-1.29</v>
          </cell>
          <cell r="AL217">
            <v>-0.52900000000000003</v>
          </cell>
          <cell r="AM217">
            <v>-0.94099999999999995</v>
          </cell>
          <cell r="AN217">
            <v>-7.6409999999999991</v>
          </cell>
          <cell r="AO217">
            <v>-2.6030000000000002</v>
          </cell>
          <cell r="AP217">
            <v>-0.81</v>
          </cell>
          <cell r="AQ217">
            <v>-2.556</v>
          </cell>
          <cell r="AR217">
            <v>-2.44</v>
          </cell>
          <cell r="AS217">
            <v>-8.4090000000000007</v>
          </cell>
          <cell r="AT217">
            <v>-3.2890000000000001</v>
          </cell>
          <cell r="AU217">
            <v>-2.4569999999999999</v>
          </cell>
          <cell r="AV217">
            <v>-0.86499999999999999</v>
          </cell>
          <cell r="AW217">
            <v>-2.383</v>
          </cell>
          <cell r="AX217">
            <v>-8.9939999999999998</v>
          </cell>
          <cell r="AY217">
            <v>-0.97</v>
          </cell>
          <cell r="AZ217">
            <v>-2.556</v>
          </cell>
          <cell r="BA217">
            <v>-0.50700000000000001</v>
          </cell>
          <cell r="BB217">
            <v>-5.0369999999999999</v>
          </cell>
          <cell r="BC217">
            <v>-9.07</v>
          </cell>
          <cell r="BD217">
            <v>-1.198</v>
          </cell>
          <cell r="BE217">
            <v>-0.89800000000000002</v>
          </cell>
          <cell r="BF217">
            <v>-0.97799999999999998</v>
          </cell>
          <cell r="BG217">
            <v>-6.6150000000000002</v>
          </cell>
          <cell r="BH217">
            <v>-9.6890000000000001</v>
          </cell>
          <cell r="BI217">
            <v>-6.141</v>
          </cell>
          <cell r="BJ217">
            <v>-4.6970000000000001</v>
          </cell>
          <cell r="BK217">
            <v>-2.0630000000000002</v>
          </cell>
          <cell r="BL217">
            <v>-27.334</v>
          </cell>
          <cell r="BM217">
            <v>-40.234999999999999</v>
          </cell>
          <cell r="BN217">
            <v>-25.242999999999999</v>
          </cell>
          <cell r="BO217">
            <v>-46.892000000000003</v>
          </cell>
          <cell r="BP217">
            <v>-21.137</v>
          </cell>
          <cell r="BQ217">
            <v>-2.5</v>
          </cell>
          <cell r="BR217">
            <v>-95.771999999999991</v>
          </cell>
          <cell r="BS217">
            <v>-2.5</v>
          </cell>
          <cell r="BT217">
            <v>-2.5</v>
          </cell>
          <cell r="BU217">
            <v>-2.5</v>
          </cell>
          <cell r="BV217">
            <v>-2.5</v>
          </cell>
          <cell r="BW217">
            <v>-10</v>
          </cell>
          <cell r="BX217">
            <v>-2.5</v>
          </cell>
          <cell r="BY217">
            <v>-2.5</v>
          </cell>
          <cell r="BZ217">
            <v>-2.5</v>
          </cell>
          <cell r="CA217">
            <v>-2.5</v>
          </cell>
          <cell r="CB217">
            <v>-10</v>
          </cell>
          <cell r="CC217">
            <v>-2.5</v>
          </cell>
          <cell r="CD217">
            <v>-2.5</v>
          </cell>
          <cell r="CE217">
            <v>-2.5</v>
          </cell>
          <cell r="CF217">
            <v>-2.5</v>
          </cell>
          <cell r="CG217">
            <v>-10</v>
          </cell>
        </row>
        <row r="218">
          <cell r="B218" t="str">
            <v>Free Cash Flow</v>
          </cell>
          <cell r="Y218">
            <v>3.730000817000001</v>
          </cell>
          <cell r="Z218">
            <v>1.7179280008278135</v>
          </cell>
          <cell r="AA218">
            <v>4.8935415589599671</v>
          </cell>
          <cell r="AB218">
            <v>7.5559286790012115</v>
          </cell>
          <cell r="AC218">
            <v>2.7662533720340998</v>
          </cell>
          <cell r="AD218">
            <v>16.933651610823091</v>
          </cell>
          <cell r="AE218">
            <v>1.1467120000000017</v>
          </cell>
          <cell r="AF218">
            <v>1.7833120000000007</v>
          </cell>
          <cell r="AG218">
            <v>0.72205899999999912</v>
          </cell>
          <cell r="AH218">
            <v>5.4749999999999996</v>
          </cell>
          <cell r="AI218">
            <v>9.1270830000000043</v>
          </cell>
          <cell r="AJ218">
            <v>4.9259999999999993</v>
          </cell>
          <cell r="AK218">
            <v>-5.942999999999997</v>
          </cell>
          <cell r="AL218">
            <v>6.0819999999999999</v>
          </cell>
          <cell r="AM218">
            <v>11.247999999999999</v>
          </cell>
          <cell r="AN218">
            <v>16.313000000000002</v>
          </cell>
          <cell r="AO218">
            <v>5.43</v>
          </cell>
          <cell r="AP218">
            <v>8.1970000000000063</v>
          </cell>
          <cell r="AQ218">
            <v>0.72800000000002685</v>
          </cell>
          <cell r="AR218">
            <v>18.545000000000023</v>
          </cell>
          <cell r="AS218">
            <v>32.900000000000055</v>
          </cell>
          <cell r="AT218">
            <v>8.5529999999999706</v>
          </cell>
          <cell r="AU218">
            <v>17.381000000000018</v>
          </cell>
          <cell r="AV218">
            <v>17.047000000000008</v>
          </cell>
          <cell r="AW218">
            <v>34.408000000000001</v>
          </cell>
          <cell r="AX218">
            <v>77.388999999999982</v>
          </cell>
          <cell r="AY218">
            <v>-3.6369999999999552</v>
          </cell>
          <cell r="AZ218">
            <v>36.912000000000035</v>
          </cell>
          <cell r="BA218">
            <v>25.566000000000031</v>
          </cell>
          <cell r="BB218">
            <v>28.352999999999987</v>
          </cell>
          <cell r="BC218">
            <v>87.194000000000102</v>
          </cell>
          <cell r="BD218">
            <v>-0.41600000000002124</v>
          </cell>
          <cell r="BE218">
            <v>-2.274000000000012</v>
          </cell>
          <cell r="BF218">
            <v>84.329999999999885</v>
          </cell>
          <cell r="BG218">
            <v>3.5449999999999928</v>
          </cell>
          <cell r="BH218">
            <v>85.184999999999832</v>
          </cell>
          <cell r="BI218">
            <v>50.069999999999901</v>
          </cell>
          <cell r="BJ218">
            <v>25.018999999999913</v>
          </cell>
          <cell r="BK218">
            <v>59.504999999999995</v>
          </cell>
          <cell r="BL218">
            <v>74.919999999999987</v>
          </cell>
          <cell r="BM218">
            <v>209.51399999999984</v>
          </cell>
          <cell r="BN218">
            <v>38.332999999999998</v>
          </cell>
          <cell r="BO218">
            <v>126.09100000000001</v>
          </cell>
          <cell r="BP218">
            <v>78.382000000000005</v>
          </cell>
          <cell r="BQ218">
            <v>62.544938397089709</v>
          </cell>
          <cell r="BR218">
            <v>305.35093839708969</v>
          </cell>
          <cell r="BS218">
            <v>81.471772785363868</v>
          </cell>
          <cell r="BT218">
            <v>69.952563864040542</v>
          </cell>
          <cell r="BU218">
            <v>191.52097055406023</v>
          </cell>
          <cell r="BV218">
            <v>44.319663923348855</v>
          </cell>
          <cell r="BW218">
            <v>387.26497112681352</v>
          </cell>
          <cell r="BX218">
            <v>293.80286259706338</v>
          </cell>
          <cell r="BY218">
            <v>78.899322345696817</v>
          </cell>
          <cell r="BZ218">
            <v>208.71918086391759</v>
          </cell>
          <cell r="CA218">
            <v>50.694098414941919</v>
          </cell>
          <cell r="CB218">
            <v>632.11546422161973</v>
          </cell>
          <cell r="CC218">
            <v>298.45351937515545</v>
          </cell>
          <cell r="CD218">
            <v>103.53973936670741</v>
          </cell>
          <cell r="CE218">
            <v>274.38871874176397</v>
          </cell>
          <cell r="CF218">
            <v>65.756354878848953</v>
          </cell>
          <cell r="CG218">
            <v>742.13833236247569</v>
          </cell>
        </row>
        <row r="220">
          <cell r="B220" t="str">
            <v>FCF Per Share</v>
          </cell>
          <cell r="Y220">
            <v>8.1263634357298498E-2</v>
          </cell>
          <cell r="Z220">
            <v>2.8422815417839906E-2</v>
          </cell>
          <cell r="AA220">
            <v>8.0985304489580731E-2</v>
          </cell>
          <cell r="AB220">
            <v>0.12312598845552945</v>
          </cell>
          <cell r="AC220">
            <v>4.2017613154907145E-2</v>
          </cell>
          <cell r="AD220">
            <v>0.27423560654220835</v>
          </cell>
          <cell r="AE220">
            <v>1.589383192161031E-2</v>
          </cell>
          <cell r="AF220">
            <v>2.45792731563781E-2</v>
          </cell>
          <cell r="AG220">
            <v>8.4527801661629185E-3</v>
          </cell>
          <cell r="AH220">
            <v>6.2386052871467632E-2</v>
          </cell>
          <cell r="AI220">
            <v>0.11582510915278318</v>
          </cell>
          <cell r="AJ220">
            <v>5.6626917314308765E-2</v>
          </cell>
          <cell r="AK220">
            <v>-6.8305750284475081E-2</v>
          </cell>
          <cell r="AL220">
            <v>6.9795067818267692E-2</v>
          </cell>
          <cell r="AM220">
            <v>0.13136941968446483</v>
          </cell>
          <cell r="AN220">
            <v>0.18913400394031302</v>
          </cell>
          <cell r="AO220">
            <v>6.3171396773330696E-2</v>
          </cell>
          <cell r="AP220">
            <v>8.69857884514115E-2</v>
          </cell>
          <cell r="AQ220">
            <v>7.4753334532675301E-3</v>
          </cell>
          <cell r="AR220">
            <v>0.18844082728378517</v>
          </cell>
          <cell r="AS220">
            <v>0.35130039446870004</v>
          </cell>
          <cell r="AT220">
            <v>8.5793530271062735E-2</v>
          </cell>
          <cell r="AU220">
            <v>0.17194856054095051</v>
          </cell>
          <cell r="AV220">
            <v>0.32645578367351114</v>
          </cell>
          <cell r="AW220">
            <v>0.55202378130257856</v>
          </cell>
          <cell r="AX220">
            <v>0.98170633395876306</v>
          </cell>
          <cell r="AY220">
            <v>-2.9255257194653262E-2</v>
          </cell>
          <cell r="AZ220">
            <v>0.29398818064293025</v>
          </cell>
          <cell r="BA220">
            <v>0.20313308994653156</v>
          </cell>
          <cell r="BB220">
            <v>0.22395579278683983</v>
          </cell>
          <cell r="BC220">
            <v>0.69430977608414257</v>
          </cell>
          <cell r="BD220">
            <v>-3.273928272103775E-3</v>
          </cell>
          <cell r="BE220">
            <v>-1.7830131909887768E-2</v>
          </cell>
          <cell r="BF220">
            <v>0.66853738749160985</v>
          </cell>
          <cell r="BG220">
            <v>2.8080384961562056E-2</v>
          </cell>
          <cell r="BH220">
            <v>0.67208805070642075</v>
          </cell>
          <cell r="BI220">
            <v>0.39559462913489341</v>
          </cell>
          <cell r="BJ220">
            <v>0.18703070106827438</v>
          </cell>
          <cell r="BK220">
            <v>0.29106474806124116</v>
          </cell>
          <cell r="BL220">
            <v>0.36342945950370092</v>
          </cell>
          <cell r="BM220">
            <v>1.2491057436463773</v>
          </cell>
          <cell r="BN220">
            <v>0.18570071188922344</v>
          </cell>
          <cell r="BO220">
            <v>0.61024245187035775</v>
          </cell>
          <cell r="BP220">
            <v>0.37897809631153295</v>
          </cell>
          <cell r="BQ220">
            <v>0.30229190188000926</v>
          </cell>
          <cell r="BR220">
            <v>1.4773108344546086</v>
          </cell>
          <cell r="BS220">
            <v>0.39357819153147877</v>
          </cell>
          <cell r="BT220">
            <v>0.33776691988104895</v>
          </cell>
          <cell r="BU220">
            <v>0.92431399793562252</v>
          </cell>
          <cell r="BV220">
            <v>0.2137910281031731</v>
          </cell>
          <cell r="BW220">
            <v>1.8694615608252998</v>
          </cell>
          <cell r="BX220">
            <v>1.416573010221164</v>
          </cell>
          <cell r="BY220">
            <v>0.38022987567284605</v>
          </cell>
          <cell r="BZ220">
            <v>1.0053689120790745</v>
          </cell>
          <cell r="CA220">
            <v>0.24406793180257549</v>
          </cell>
          <cell r="CB220">
            <v>3.0455408547912528</v>
          </cell>
          <cell r="CC220">
            <v>1.4371146286549594</v>
          </cell>
          <cell r="CD220">
            <v>0.4983245358835971</v>
          </cell>
          <cell r="CE220">
            <v>1.319963901113931</v>
          </cell>
          <cell r="CF220">
            <v>0.31617260155773952</v>
          </cell>
          <cell r="CG220">
            <v>3.5709630328561826</v>
          </cell>
        </row>
        <row r="221">
          <cell r="B221" t="str">
            <v>FCF Yield</v>
          </cell>
          <cell r="Y221" t="str">
            <v>NM</v>
          </cell>
          <cell r="Z221" t="str">
            <v>NM</v>
          </cell>
          <cell r="AA221" t="str">
            <v>NM</v>
          </cell>
          <cell r="AB221" t="str">
            <v>NM</v>
          </cell>
          <cell r="AC221" t="str">
            <v>NM</v>
          </cell>
          <cell r="AD221" t="str">
            <v>NM</v>
          </cell>
          <cell r="AE221" t="str">
            <v>NM</v>
          </cell>
          <cell r="AF221" t="e">
            <v>#VALUE!</v>
          </cell>
          <cell r="AG221">
            <v>4.8997310205060231E-3</v>
          </cell>
          <cell r="AH221">
            <v>2.7818532625758702E-2</v>
          </cell>
          <cell r="AI221" t="e">
            <v>#VALUE!</v>
          </cell>
          <cell r="AJ221">
            <v>2.309939306561375E-2</v>
          </cell>
          <cell r="AK221">
            <v>-2.2876517466051939E-2</v>
          </cell>
          <cell r="AL221">
            <v>2.5417845540081738E-2</v>
          </cell>
          <cell r="AM221">
            <v>7.7513346216273926E-2</v>
          </cell>
          <cell r="AN221">
            <v>7.4562431869301888E-3</v>
          </cell>
          <cell r="AO221">
            <v>3.693588955243178E-2</v>
          </cell>
          <cell r="AP221">
            <v>4.5998308873538903E-2</v>
          </cell>
          <cell r="AQ221">
            <v>4.0797141289093466E-3</v>
          </cell>
          <cell r="AR221">
            <v>0.10142331779208789</v>
          </cell>
          <cell r="AS221">
            <v>1.071674525687432E-2</v>
          </cell>
          <cell r="AT221">
            <v>3.5503898967802344E-2</v>
          </cell>
          <cell r="AU221">
            <v>6.0148962810997006E-2</v>
          </cell>
          <cell r="AV221">
            <v>7.0559947217744889E-2</v>
          </cell>
          <cell r="AW221">
            <v>8.7176996246954921E-2</v>
          </cell>
          <cell r="AX221">
            <v>2.9227902705132508E-2</v>
          </cell>
          <cell r="AY221">
            <v>-4.3198223803019783E-3</v>
          </cell>
          <cell r="AZ221">
            <v>3.383398677763759E-2</v>
          </cell>
          <cell r="BA221">
            <v>2.196365376811777E-2</v>
          </cell>
          <cell r="BB221">
            <v>2.2344814964357036E-2</v>
          </cell>
          <cell r="BC221">
            <v>1.4261523012643964E-2</v>
          </cell>
          <cell r="BD221" t="e">
            <v>#NAME?</v>
          </cell>
          <cell r="BE221" t="e">
            <v>#NAME?</v>
          </cell>
          <cell r="BF221" t="e">
            <v>#NAME?</v>
          </cell>
          <cell r="BG221" t="e">
            <v>#NAME?</v>
          </cell>
          <cell r="BH221" t="e">
            <v>#NAME?</v>
          </cell>
          <cell r="BI221" t="e">
            <v>#NAME?</v>
          </cell>
          <cell r="BJ221" t="e">
            <v>#NAME?</v>
          </cell>
          <cell r="BK221" t="e">
            <v>#NAME?</v>
          </cell>
          <cell r="BL221" t="e">
            <v>#NAME?</v>
          </cell>
          <cell r="BM221" t="e">
            <v>#NAME?</v>
          </cell>
          <cell r="BN221">
            <v>1.5468617289526585E-2</v>
          </cell>
          <cell r="BO221" t="e">
            <v>#NAME?</v>
          </cell>
          <cell r="BP221" t="e">
            <v>#NAME?</v>
          </cell>
          <cell r="BQ221" t="e">
            <v>#NAME?</v>
          </cell>
          <cell r="BR221" t="e">
            <v>#NAME?</v>
          </cell>
          <cell r="BS221" t="e">
            <v>#NAME?</v>
          </cell>
          <cell r="BT221" t="e">
            <v>#NAME?</v>
          </cell>
          <cell r="BU221" t="e">
            <v>#NAME?</v>
          </cell>
          <cell r="BV221" t="e">
            <v>#NAME?</v>
          </cell>
          <cell r="BW221" t="e">
            <v>#NAME?</v>
          </cell>
          <cell r="BX221" t="e">
            <v>#NAME?</v>
          </cell>
          <cell r="BY221" t="e">
            <v>#NAME?</v>
          </cell>
          <cell r="BZ221" t="e">
            <v>#NAME?</v>
          </cell>
          <cell r="CA221" t="e">
            <v>#NAME?</v>
          </cell>
          <cell r="CB221" t="e">
            <v>#NAME?</v>
          </cell>
          <cell r="CC221" t="str">
            <v>NA</v>
          </cell>
          <cell r="CD221" t="str">
            <v>NA</v>
          </cell>
          <cell r="CE221" t="str">
            <v>NA</v>
          </cell>
          <cell r="CF221" t="str">
            <v>NA</v>
          </cell>
          <cell r="CG221">
            <v>0.29964027966068241</v>
          </cell>
        </row>
        <row r="223">
          <cell r="B223" t="str">
            <v>Free Cash Flow (CFO - cap ex)</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Y223">
            <v>3.730000817000001</v>
          </cell>
          <cell r="Z223">
            <v>1.7179280008278135</v>
          </cell>
          <cell r="AA223">
            <v>4.8935415589599671</v>
          </cell>
          <cell r="AB223">
            <v>7.5559286790012115</v>
          </cell>
          <cell r="AC223">
            <v>2.7662533720340998</v>
          </cell>
          <cell r="AD223">
            <v>16.933651610823091</v>
          </cell>
          <cell r="AE223">
            <v>1.1467120000000017</v>
          </cell>
          <cell r="AF223">
            <v>1.7833120000000007</v>
          </cell>
          <cell r="AG223">
            <v>0.72205899999999912</v>
          </cell>
          <cell r="AH223">
            <v>5.4749999999999996</v>
          </cell>
          <cell r="AI223">
            <v>9.1270830000000043</v>
          </cell>
          <cell r="AJ223">
            <v>4.9259999999999993</v>
          </cell>
          <cell r="AK223">
            <v>-5.942999999999997</v>
          </cell>
          <cell r="AL223">
            <v>6.0819999999999999</v>
          </cell>
          <cell r="AM223">
            <v>11.247999999999999</v>
          </cell>
          <cell r="AN223">
            <v>16.313000000000002</v>
          </cell>
          <cell r="AO223">
            <v>5.43</v>
          </cell>
          <cell r="AP223">
            <v>8.1970000000000063</v>
          </cell>
          <cell r="AQ223">
            <v>0.72800000000002685</v>
          </cell>
          <cell r="AR223">
            <v>18.545000000000023</v>
          </cell>
          <cell r="AS223">
            <v>32.900000000000055</v>
          </cell>
          <cell r="AT223">
            <v>8.5529999999999706</v>
          </cell>
          <cell r="AU223">
            <v>17.381000000000018</v>
          </cell>
          <cell r="AV223">
            <v>17.047000000000008</v>
          </cell>
          <cell r="AW223">
            <v>34.408000000000001</v>
          </cell>
          <cell r="AX223">
            <v>77.388999999999982</v>
          </cell>
          <cell r="AY223">
            <v>-3.6369999999999552</v>
          </cell>
          <cell r="AZ223">
            <v>36.912000000000035</v>
          </cell>
          <cell r="BA223">
            <v>25.566000000000031</v>
          </cell>
          <cell r="BB223">
            <v>28.352999999999987</v>
          </cell>
          <cell r="BC223">
            <v>87.194000000000102</v>
          </cell>
          <cell r="BD223">
            <v>-0.41600000000002124</v>
          </cell>
          <cell r="BE223">
            <v>-2.274000000000012</v>
          </cell>
          <cell r="BF223">
            <v>84.329999999999885</v>
          </cell>
          <cell r="BG223">
            <v>3.5449999999999928</v>
          </cell>
          <cell r="BH223">
            <v>85.184999999999832</v>
          </cell>
          <cell r="BI223">
            <v>50.069999999999901</v>
          </cell>
          <cell r="BJ223">
            <v>25.018999999999913</v>
          </cell>
          <cell r="BK223">
            <v>59.504999999999995</v>
          </cell>
          <cell r="BL223">
            <v>74.919999999999987</v>
          </cell>
          <cell r="BM223">
            <v>209.51399999999984</v>
          </cell>
          <cell r="BN223">
            <v>38.332999999999998</v>
          </cell>
          <cell r="BO223">
            <v>126.09100000000001</v>
          </cell>
          <cell r="BP223">
            <v>78.382000000000005</v>
          </cell>
          <cell r="BQ223">
            <v>62.544938397089709</v>
          </cell>
          <cell r="BR223">
            <v>305.35093839708969</v>
          </cell>
          <cell r="BS223">
            <v>81.471772785363868</v>
          </cell>
          <cell r="BT223">
            <v>69.952563864040542</v>
          </cell>
          <cell r="BU223">
            <v>191.52097055406023</v>
          </cell>
          <cell r="BV223">
            <v>44.319663923348855</v>
          </cell>
          <cell r="BW223">
            <v>387.26497112681352</v>
          </cell>
          <cell r="BX223">
            <v>293.80286259706338</v>
          </cell>
          <cell r="BY223">
            <v>78.899322345696817</v>
          </cell>
          <cell r="BZ223">
            <v>208.71918086391759</v>
          </cell>
          <cell r="CA223">
            <v>50.694098414941919</v>
          </cell>
          <cell r="CB223">
            <v>632.11546422161973</v>
          </cell>
          <cell r="CC223">
            <v>298.45351937515545</v>
          </cell>
          <cell r="CD223">
            <v>103.53973936670741</v>
          </cell>
          <cell r="CE223">
            <v>274.38871874176397</v>
          </cell>
          <cell r="CF223">
            <v>65.756354878848953</v>
          </cell>
          <cell r="CG223">
            <v>742.13833236247569</v>
          </cell>
        </row>
        <row r="225">
          <cell r="B225" t="str">
            <v>Synergies, Net of Transaction Costs</v>
          </cell>
          <cell r="BI225">
            <v>0</v>
          </cell>
          <cell r="BJ225">
            <v>-6.4</v>
          </cell>
          <cell r="BK225">
            <v>-36.1</v>
          </cell>
          <cell r="BL225">
            <v>-1.7000000000000011</v>
          </cell>
          <cell r="BM225">
            <v>-44.2</v>
          </cell>
          <cell r="BN225">
            <v>0</v>
          </cell>
          <cell r="BO225">
            <v>0</v>
          </cell>
          <cell r="BP225">
            <v>0</v>
          </cell>
          <cell r="BQ225">
            <v>43.75</v>
          </cell>
          <cell r="BR225">
            <v>43.75</v>
          </cell>
          <cell r="BS225">
            <v>43.75</v>
          </cell>
          <cell r="BT225">
            <v>43.75</v>
          </cell>
          <cell r="BU225">
            <v>43.75</v>
          </cell>
          <cell r="BV225">
            <v>43.75</v>
          </cell>
          <cell r="BW225">
            <v>175</v>
          </cell>
          <cell r="BX225">
            <v>43.75</v>
          </cell>
          <cell r="BY225">
            <v>43.75</v>
          </cell>
          <cell r="BZ225">
            <v>43.75</v>
          </cell>
          <cell r="CA225">
            <v>43.75</v>
          </cell>
          <cell r="CB225">
            <v>175</v>
          </cell>
          <cell r="CC225">
            <v>0</v>
          </cell>
          <cell r="CD225">
            <v>0</v>
          </cell>
          <cell r="CE225">
            <v>0</v>
          </cell>
          <cell r="CF225">
            <v>0</v>
          </cell>
          <cell r="CG225">
            <v>0</v>
          </cell>
        </row>
        <row r="226">
          <cell r="B226" t="str">
            <v>Net Income</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4.7513248170000013</v>
          </cell>
          <cell r="Z226">
            <v>1.2652860008278135</v>
          </cell>
          <cell r="AA226">
            <v>3.1172825589599671</v>
          </cell>
          <cell r="AB226">
            <v>3.5911066790012121</v>
          </cell>
          <cell r="AC226">
            <v>5.0769553720340994</v>
          </cell>
          <cell r="AD226">
            <v>13.050630610823092</v>
          </cell>
          <cell r="AE226">
            <v>5.576532000000002</v>
          </cell>
          <cell r="AF226">
            <v>2.1145450000000006</v>
          </cell>
          <cell r="AG226">
            <v>2.5436169999999989</v>
          </cell>
          <cell r="AH226">
            <v>3.4123059999999956</v>
          </cell>
          <cell r="AI226">
            <v>13.646999999999997</v>
          </cell>
          <cell r="AJ226">
            <v>3.7329999999999988</v>
          </cell>
          <cell r="AK226">
            <v>2.9550000000000018</v>
          </cell>
          <cell r="AL226">
            <v>2.6799999999999988</v>
          </cell>
          <cell r="AM226">
            <v>3.7770000000000001</v>
          </cell>
          <cell r="AN226">
            <v>13.145</v>
          </cell>
          <cell r="AO226">
            <v>3.3569999999999993</v>
          </cell>
          <cell r="AP226">
            <v>3.2670000000000048</v>
          </cell>
          <cell r="AQ226">
            <v>3.5390000000000259</v>
          </cell>
          <cell r="AR226">
            <v>4.9500000000000242</v>
          </cell>
          <cell r="AS226">
            <v>15.113000000000055</v>
          </cell>
          <cell r="AT226">
            <v>7.6819999999999693</v>
          </cell>
          <cell r="AU226">
            <v>11.977000000000018</v>
          </cell>
          <cell r="AV226">
            <v>11.209000000000005</v>
          </cell>
          <cell r="AW226">
            <v>15.193</v>
          </cell>
          <cell r="AX226">
            <v>46.060999999999993</v>
          </cell>
          <cell r="AY226">
            <v>14.792000000000041</v>
          </cell>
          <cell r="AZ226">
            <v>17.145000000000032</v>
          </cell>
          <cell r="BA226">
            <v>16.17600000000003</v>
          </cell>
          <cell r="BB226">
            <v>16.621999999999986</v>
          </cell>
          <cell r="BC226">
            <v>64.735000000000085</v>
          </cell>
          <cell r="BD226">
            <v>18.270999999999979</v>
          </cell>
          <cell r="BE226">
            <v>21.564999999999984</v>
          </cell>
          <cell r="BF226">
            <v>25.265999999999874</v>
          </cell>
          <cell r="BG226">
            <v>26.683999999999987</v>
          </cell>
          <cell r="BH226">
            <v>91.785999999999817</v>
          </cell>
          <cell r="BI226">
            <v>26.341999999999892</v>
          </cell>
          <cell r="BJ226">
            <v>27.30999999999991</v>
          </cell>
          <cell r="BK226">
            <v>19.40700000000005</v>
          </cell>
          <cell r="BL226">
            <v>47.962000000000096</v>
          </cell>
          <cell r="BM226">
            <v>121.02099999999994</v>
          </cell>
          <cell r="BN226">
            <v>56.78399999999985</v>
          </cell>
          <cell r="BO226">
            <v>71.156999999999911</v>
          </cell>
          <cell r="BP226">
            <v>83.128000000000014</v>
          </cell>
          <cell r="BQ226">
            <v>90.023240750868894</v>
          </cell>
          <cell r="BR226">
            <v>301.09224075086871</v>
          </cell>
          <cell r="BS226">
            <v>84.394911602228291</v>
          </cell>
          <cell r="BT226">
            <v>106.79356126998104</v>
          </cell>
          <cell r="BU226">
            <v>94.085728308078529</v>
          </cell>
          <cell r="BV226">
            <v>125.87431670608186</v>
          </cell>
          <cell r="BW226">
            <v>411.14851788636975</v>
          </cell>
          <cell r="BX226">
            <v>104.55435128159044</v>
          </cell>
          <cell r="BY226">
            <v>129.10605646009046</v>
          </cell>
          <cell r="BZ226">
            <v>112.0652927336011</v>
          </cell>
          <cell r="CA226">
            <v>150.33904425499975</v>
          </cell>
          <cell r="CB226">
            <v>496.06474473028175</v>
          </cell>
          <cell r="CC226">
            <v>120.16181492313787</v>
          </cell>
          <cell r="CD226">
            <v>141.8186853519496</v>
          </cell>
          <cell r="CE226">
            <v>117.53618274406664</v>
          </cell>
          <cell r="CF226">
            <v>133.40273366426425</v>
          </cell>
          <cell r="CG226">
            <v>512.91941668341838</v>
          </cell>
        </row>
        <row r="228">
          <cell r="B228" t="str">
            <v>Stock price</v>
          </cell>
          <cell r="AE228" t="str">
            <v>N/A</v>
          </cell>
          <cell r="AF228" t="str">
            <v>N/A</v>
          </cell>
          <cell r="AG228">
            <v>6.900607507462686</v>
          </cell>
          <cell r="AH228">
            <v>8.9704304264705854</v>
          </cell>
          <cell r="AI228" t="str">
            <v>N/A</v>
          </cell>
          <cell r="AJ228">
            <v>9.8057844469697013</v>
          </cell>
          <cell r="AK228">
            <v>11.943382621212123</v>
          </cell>
          <cell r="AL228">
            <v>10.983632378787876</v>
          </cell>
          <cell r="AM228">
            <v>6.7791897058823567</v>
          </cell>
          <cell r="AN228">
            <v>25.365857738095237</v>
          </cell>
          <cell r="AO228">
            <v>6.8411940298507448</v>
          </cell>
          <cell r="AP228">
            <v>7.5642596940298521</v>
          </cell>
          <cell r="AQ228">
            <v>7.329271823529413</v>
          </cell>
          <cell r="AR228">
            <v>7.431854188405798</v>
          </cell>
          <cell r="AS228">
            <v>32.780511811023622</v>
          </cell>
          <cell r="AT228">
            <v>9.665815053030304</v>
          </cell>
          <cell r="AU228">
            <v>11.434847917910448</v>
          </cell>
          <cell r="AV228">
            <v>18.506577544117654</v>
          </cell>
          <cell r="AW228">
            <v>25.328873673913062</v>
          </cell>
          <cell r="AX228">
            <v>33.58798418972335</v>
          </cell>
          <cell r="AY228">
            <v>27.089314901515156</v>
          </cell>
          <cell r="AZ228">
            <v>34.756552052238824</v>
          </cell>
          <cell r="BA228">
            <v>36.994407595588235</v>
          </cell>
          <cell r="BB228">
            <v>40.090874441176481</v>
          </cell>
          <cell r="BC228">
            <v>48.684125494071161</v>
          </cell>
          <cell r="BD228" t="e">
            <v>#NAME?</v>
          </cell>
          <cell r="BE228" t="e">
            <v>#NAME?</v>
          </cell>
          <cell r="BF228" t="e">
            <v>#NAME?</v>
          </cell>
          <cell r="BG228" t="e">
            <v>#NAME?</v>
          </cell>
          <cell r="BH228" t="e">
            <v>#NAME?</v>
          </cell>
          <cell r="BI228" t="e">
            <v>#NAME?</v>
          </cell>
          <cell r="BJ228" t="e">
            <v>#NAME?</v>
          </cell>
          <cell r="BK228" t="e">
            <v>#NAME?</v>
          </cell>
          <cell r="BL228" t="e">
            <v>#NAME?</v>
          </cell>
          <cell r="BM228" t="e">
            <v>#NAME?</v>
          </cell>
          <cell r="BN228">
            <v>48.01999</v>
          </cell>
          <cell r="BO228" t="e">
            <v>#NAME?</v>
          </cell>
          <cell r="BP228" t="e">
            <v>#NAME?</v>
          </cell>
          <cell r="BQ228" t="e">
            <v>#NAME?</v>
          </cell>
          <cell r="BR228" t="e">
            <v>#NAME?</v>
          </cell>
          <cell r="BS228" t="e">
            <v>#NAME?</v>
          </cell>
          <cell r="BT228" t="e">
            <v>#NAME?</v>
          </cell>
          <cell r="BU228" t="e">
            <v>#NAME?</v>
          </cell>
          <cell r="BV228" t="e">
            <v>#NAME?</v>
          </cell>
          <cell r="BW228" t="e">
            <v>#NAME?</v>
          </cell>
          <cell r="BX228" t="e">
            <v>#NAME?</v>
          </cell>
          <cell r="BY228" t="e">
            <v>#NAME?</v>
          </cell>
          <cell r="BZ228" t="e">
            <v>#NAME?</v>
          </cell>
          <cell r="CA228" t="e">
            <v>#NAME?</v>
          </cell>
          <cell r="CB228" t="e">
            <v>#NAME?</v>
          </cell>
          <cell r="CC228" t="str">
            <v>Manual Calculation</v>
          </cell>
          <cell r="CD228" t="str">
            <v>Manual Calculation</v>
          </cell>
          <cell r="CE228" t="str">
            <v>Manual Calculation</v>
          </cell>
          <cell r="CF228" t="str">
            <v>Manual Calculation</v>
          </cell>
          <cell r="CG228" t="str">
            <v xml:space="preserve">$47.67 </v>
          </cell>
        </row>
        <row r="230">
          <cell r="B230" t="str">
            <v>ModelWare required tags</v>
          </cell>
        </row>
        <row r="231">
          <cell r="B231" t="str">
            <v>Statutory tax</v>
          </cell>
          <cell r="U231">
            <v>0.36099999999999999</v>
          </cell>
          <cell r="V231">
            <v>0.38831655786804103</v>
          </cell>
          <cell r="W231">
            <v>0.38831655786804103</v>
          </cell>
          <cell r="X231">
            <v>0.38831655786804103</v>
          </cell>
          <cell r="Y231">
            <v>0.36099999999999999</v>
          </cell>
          <cell r="Z231">
            <v>0.38831655786804103</v>
          </cell>
          <cell r="AA231">
            <v>0.38831655786804103</v>
          </cell>
          <cell r="AB231">
            <v>0.38831655786804103</v>
          </cell>
          <cell r="AC231">
            <v>0.38831655786804103</v>
          </cell>
          <cell r="AD231">
            <v>0.38831655786804103</v>
          </cell>
          <cell r="AE231">
            <v>0.38772993986515214</v>
          </cell>
          <cell r="AF231">
            <v>0.38772993986515214</v>
          </cell>
          <cell r="AG231">
            <v>0.38772993986515214</v>
          </cell>
          <cell r="AH231">
            <v>0.38772993986515214</v>
          </cell>
          <cell r="AI231">
            <v>0.38772993986515214</v>
          </cell>
          <cell r="AJ231">
            <v>0.42360697087823895</v>
          </cell>
          <cell r="AK231">
            <v>0.42360697087823895</v>
          </cell>
          <cell r="AL231">
            <v>0.42360697087823895</v>
          </cell>
          <cell r="AM231">
            <v>0.42360697087823895</v>
          </cell>
          <cell r="AN231">
            <v>0.42360697087823895</v>
          </cell>
          <cell r="AO231">
            <v>0.37497044917257683</v>
          </cell>
          <cell r="AP231">
            <v>0.37497044917257683</v>
          </cell>
          <cell r="AQ231">
            <v>0.37497044917257683</v>
          </cell>
          <cell r="AR231">
            <v>0.37497044917257683</v>
          </cell>
          <cell r="AS231">
            <v>0.37497044917257683</v>
          </cell>
          <cell r="AT231">
            <v>0.37950723360505245</v>
          </cell>
          <cell r="AU231">
            <v>0.37950723360505245</v>
          </cell>
          <cell r="AV231">
            <v>0.37950723360505245</v>
          </cell>
          <cell r="AW231">
            <v>0.37950723360505245</v>
          </cell>
          <cell r="AX231">
            <v>0.37950723360505245</v>
          </cell>
          <cell r="AY231">
            <v>0.37013202673336343</v>
          </cell>
          <cell r="AZ231">
            <v>0.37013202673336343</v>
          </cell>
          <cell r="BA231">
            <v>0.37013202673336343</v>
          </cell>
          <cell r="BB231">
            <v>0.37013202673336343</v>
          </cell>
          <cell r="BC231">
            <v>0.37013202673336343</v>
          </cell>
          <cell r="BD231">
            <v>0.37013202673336343</v>
          </cell>
          <cell r="BE231">
            <v>0.3359526312876987</v>
          </cell>
          <cell r="BF231">
            <v>0.34167514251247827</v>
          </cell>
          <cell r="BG231">
            <v>0.33464132974736571</v>
          </cell>
          <cell r="BH231">
            <v>0.36908456167571768</v>
          </cell>
          <cell r="BI231">
            <v>0.3373869286527294</v>
          </cell>
          <cell r="BJ231">
            <v>0.38463267523320782</v>
          </cell>
          <cell r="BK231">
            <v>0.39797883154936292</v>
          </cell>
          <cell r="BL231">
            <v>0.35177729293656307</v>
          </cell>
          <cell r="BM231">
            <v>0.36705704665524558</v>
          </cell>
          <cell r="BN231">
            <v>0.28870853481997139</v>
          </cell>
          <cell r="BO231">
            <v>0.25697263053971059</v>
          </cell>
          <cell r="BP231">
            <v>0.25188057778423406</v>
          </cell>
          <cell r="BQ231">
            <v>0.28499999999999998</v>
          </cell>
          <cell r="BR231">
            <v>0.27042423929164661</v>
          </cell>
          <cell r="BS231">
            <v>0.3</v>
          </cell>
          <cell r="BT231">
            <v>0.3</v>
          </cell>
          <cell r="BU231">
            <v>0.3</v>
          </cell>
          <cell r="BV231">
            <v>0.3</v>
          </cell>
          <cell r="BW231">
            <v>0.29999999999999993</v>
          </cell>
          <cell r="BX231">
            <v>0.3</v>
          </cell>
          <cell r="BY231">
            <v>0.3</v>
          </cell>
          <cell r="BZ231">
            <v>0.3</v>
          </cell>
          <cell r="CA231">
            <v>0.3</v>
          </cell>
          <cell r="CB231">
            <v>0.29999999999999993</v>
          </cell>
          <cell r="CC231">
            <v>0.27</v>
          </cell>
          <cell r="CD231">
            <v>0.27</v>
          </cell>
          <cell r="CE231">
            <v>0.27</v>
          </cell>
          <cell r="CF231">
            <v>0.27</v>
          </cell>
          <cell r="CG231">
            <v>0.27000000000000085</v>
          </cell>
        </row>
        <row r="232">
          <cell r="B232" t="str">
            <v xml:space="preserve">State </v>
          </cell>
          <cell r="Y232">
            <v>0</v>
          </cell>
          <cell r="Z232">
            <v>2.5125091549552331E-3</v>
          </cell>
          <cell r="AA232">
            <v>2.5125091549552331E-3</v>
          </cell>
          <cell r="AB232">
            <v>2.5125091549552331E-3</v>
          </cell>
          <cell r="AC232">
            <v>2.5125091549552331E-3</v>
          </cell>
          <cell r="AD232">
            <v>2.5125091549552331E-3</v>
          </cell>
          <cell r="AE232">
            <v>2.9399258944299334E-2</v>
          </cell>
          <cell r="AF232">
            <v>2.9399258944299334E-2</v>
          </cell>
          <cell r="AG232">
            <v>2.9399258944299334E-2</v>
          </cell>
          <cell r="AH232">
            <v>2.9399258944299334E-2</v>
          </cell>
          <cell r="AI232">
            <v>2.9399258944299334E-2</v>
          </cell>
          <cell r="AJ232">
            <v>2.8605824352212796E-2</v>
          </cell>
          <cell r="AK232">
            <v>2.8605824352212796E-2</v>
          </cell>
          <cell r="AL232">
            <v>2.8605824352212796E-2</v>
          </cell>
          <cell r="AM232">
            <v>2.8605824352212796E-2</v>
          </cell>
          <cell r="AN232">
            <v>2.8605824352212796E-2</v>
          </cell>
          <cell r="AO232">
            <v>1.8961780929866039E-2</v>
          </cell>
          <cell r="AP232">
            <v>1.8961780929866039E-2</v>
          </cell>
          <cell r="AQ232">
            <v>1.8961780929866039E-2</v>
          </cell>
          <cell r="AR232">
            <v>1.8961780929866039E-2</v>
          </cell>
          <cell r="AS232">
            <v>1.8961780929866039E-2</v>
          </cell>
          <cell r="AT232">
            <v>2.3823162223690977E-2</v>
          </cell>
          <cell r="AU232">
            <v>2.3823162223690977E-2</v>
          </cell>
          <cell r="AV232">
            <v>2.3823162223690977E-2</v>
          </cell>
          <cell r="AW232">
            <v>2.3823162223690977E-2</v>
          </cell>
          <cell r="AX232">
            <v>2.3823162223690977E-2</v>
          </cell>
          <cell r="AY232">
            <v>2.2643404813645497E-2</v>
          </cell>
          <cell r="AZ232">
            <v>2.2643404813645497E-2</v>
          </cell>
          <cell r="BA232">
            <v>2.2643404813645497E-2</v>
          </cell>
          <cell r="BB232">
            <v>2.2643404813645497E-2</v>
          </cell>
          <cell r="BC232">
            <v>2.2643404813645497E-2</v>
          </cell>
          <cell r="BD232">
            <v>2.2643404813645497E-2</v>
          </cell>
          <cell r="BH232">
            <v>1.9556503749676806E-2</v>
          </cell>
        </row>
        <row r="233">
          <cell r="B233" t="str">
            <v xml:space="preserve">Federal </v>
          </cell>
          <cell r="Y233">
            <v>0.36099999999999999</v>
          </cell>
          <cell r="Z233">
            <v>0.36099999999999999</v>
          </cell>
          <cell r="AA233">
            <v>0.36099999999999999</v>
          </cell>
          <cell r="AB233">
            <v>0.36099999999999999</v>
          </cell>
          <cell r="AC233">
            <v>0.36099999999999999</v>
          </cell>
          <cell r="AD233">
            <v>0.36099999999999999</v>
          </cell>
          <cell r="AE233">
            <v>0.34599999999999997</v>
          </cell>
          <cell r="AF233">
            <v>0.34599999999999997</v>
          </cell>
          <cell r="AG233">
            <v>0.34599999999999997</v>
          </cell>
          <cell r="AH233">
            <v>0.34599999999999997</v>
          </cell>
          <cell r="AI233">
            <v>0.34599999999999997</v>
          </cell>
          <cell r="AJ233">
            <v>0.35</v>
          </cell>
          <cell r="AK233">
            <v>0.35</v>
          </cell>
          <cell r="AL233">
            <v>0.35</v>
          </cell>
          <cell r="AM233">
            <v>0.35</v>
          </cell>
          <cell r="AN233">
            <v>0.35</v>
          </cell>
          <cell r="AO233">
            <v>0.35</v>
          </cell>
          <cell r="AP233">
            <v>0.35</v>
          </cell>
          <cell r="AQ233">
            <v>0.35</v>
          </cell>
          <cell r="AR233">
            <v>0.35</v>
          </cell>
          <cell r="AS233">
            <v>0.35</v>
          </cell>
          <cell r="AT233">
            <v>0.35</v>
          </cell>
          <cell r="AU233">
            <v>0.35</v>
          </cell>
          <cell r="AV233">
            <v>0.35</v>
          </cell>
          <cell r="AW233">
            <v>0.35</v>
          </cell>
          <cell r="AX233">
            <v>0.35</v>
          </cell>
          <cell r="AY233">
            <v>0.35</v>
          </cell>
          <cell r="AZ233">
            <v>0.35</v>
          </cell>
          <cell r="BA233">
            <v>0.35</v>
          </cell>
          <cell r="BB233">
            <v>0.35</v>
          </cell>
          <cell r="BC233">
            <v>0.35</v>
          </cell>
          <cell r="BD233">
            <v>0.35</v>
          </cell>
          <cell r="BH233">
            <v>0.35</v>
          </cell>
        </row>
        <row r="234">
          <cell r="B234" t="str">
            <v xml:space="preserve">Foreign </v>
          </cell>
          <cell r="Y234">
            <v>0</v>
          </cell>
          <cell r="Z234">
            <v>2.4804048713085832E-2</v>
          </cell>
          <cell r="AA234">
            <v>2.4804048713085832E-2</v>
          </cell>
          <cell r="AB234">
            <v>2.4804048713085832E-2</v>
          </cell>
          <cell r="AC234">
            <v>2.4804048713085832E-2</v>
          </cell>
          <cell r="AD234">
            <v>2.4804048713085832E-2</v>
          </cell>
          <cell r="AE234">
            <v>1.2330680920852821E-2</v>
          </cell>
          <cell r="AF234">
            <v>1.2330680920852821E-2</v>
          </cell>
          <cell r="AG234">
            <v>1.2330680920852821E-2</v>
          </cell>
          <cell r="AH234">
            <v>1.2330680920852821E-2</v>
          </cell>
          <cell r="AI234">
            <v>1.2330680920852821E-2</v>
          </cell>
          <cell r="AJ234">
            <v>4.5001146526026145E-2</v>
          </cell>
          <cell r="AK234">
            <v>4.5001146526026145E-2</v>
          </cell>
          <cell r="AL234">
            <v>4.5001146526026145E-2</v>
          </cell>
          <cell r="AM234">
            <v>4.5001146526026145E-2</v>
          </cell>
          <cell r="AN234">
            <v>4.5001146526026145E-2</v>
          </cell>
          <cell r="AO234">
            <v>6.0086682427107959E-3</v>
          </cell>
          <cell r="AP234">
            <v>6.0086682427107959E-3</v>
          </cell>
          <cell r="AQ234">
            <v>6.0086682427107959E-3</v>
          </cell>
          <cell r="AR234">
            <v>6.0086682427107959E-3</v>
          </cell>
          <cell r="AS234">
            <v>6.0086682427107959E-3</v>
          </cell>
          <cell r="AT234">
            <v>5.6840713813615341E-3</v>
          </cell>
          <cell r="AU234">
            <v>5.6840713813615341E-3</v>
          </cell>
          <cell r="AV234">
            <v>5.6840713813615341E-3</v>
          </cell>
          <cell r="AW234">
            <v>5.6840713813615341E-3</v>
          </cell>
          <cell r="AX234">
            <v>5.6840713813615341E-3</v>
          </cell>
          <cell r="AY234">
            <v>-2.5113780802820942E-3</v>
          </cell>
          <cell r="AZ234">
            <v>-2.5113780802820942E-3</v>
          </cell>
          <cell r="BA234">
            <v>-2.5113780802820942E-3</v>
          </cell>
          <cell r="BB234">
            <v>-2.5113780802820942E-3</v>
          </cell>
          <cell r="BC234">
            <v>-2.5113780802820942E-3</v>
          </cell>
          <cell r="BD234">
            <v>-2.5113780802820942E-3</v>
          </cell>
          <cell r="BH234">
            <v>-4.7194207395914273E-4</v>
          </cell>
        </row>
        <row r="235">
          <cell r="B235" t="str">
            <v>Unrecorded Goodwill</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U235" t="str">
            <v>ND</v>
          </cell>
          <cell r="AV235" t="str">
            <v>ND</v>
          </cell>
          <cell r="AW235" t="str">
            <v>ND</v>
          </cell>
          <cell r="AX235" t="str">
            <v>ND</v>
          </cell>
          <cell r="AY235" t="str">
            <v>ND</v>
          </cell>
          <cell r="AZ235" t="str">
            <v>ND</v>
          </cell>
          <cell r="BA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t="str">
            <v>ND</v>
          </cell>
          <cell r="BW235" t="str">
            <v>ND</v>
          </cell>
          <cell r="BX235" t="str">
            <v>ND</v>
          </cell>
          <cell r="BY235" t="str">
            <v>ND</v>
          </cell>
          <cell r="BZ235" t="str">
            <v>ND</v>
          </cell>
          <cell r="CA235" t="str">
            <v>ND</v>
          </cell>
          <cell r="CB235" t="str">
            <v>ND</v>
          </cell>
          <cell r="CC235" t="str">
            <v>ND</v>
          </cell>
          <cell r="CD235" t="str">
            <v>ND</v>
          </cell>
          <cell r="CE235" t="str">
            <v>ND</v>
          </cell>
          <cell r="CF235" t="str">
            <v>ND</v>
          </cell>
          <cell r="CG235" t="str">
            <v>ND</v>
          </cell>
        </row>
        <row r="237">
          <cell r="B237" t="str">
            <v>Change in Shareholders' Equity</v>
          </cell>
        </row>
        <row r="238">
          <cell r="B238" t="str">
            <v>Other changes</v>
          </cell>
          <cell r="Y238">
            <v>28.759508</v>
          </cell>
          <cell r="Z238">
            <v>-0.63069099999999878</v>
          </cell>
          <cell r="AA238">
            <v>-0.73863500000000215</v>
          </cell>
          <cell r="AB238">
            <v>-0.59262400000000071</v>
          </cell>
          <cell r="AC238">
            <v>17.851548999999991</v>
          </cell>
          <cell r="AD238">
            <v>15.88959899999999</v>
          </cell>
          <cell r="AE238">
            <v>0.56085399999999197</v>
          </cell>
          <cell r="AF238">
            <v>35.499763000000002</v>
          </cell>
          <cell r="AG238">
            <v>0.26550000000000296</v>
          </cell>
          <cell r="AH238">
            <v>1.076303224746411</v>
          </cell>
          <cell r="AI238">
            <v>37.402420224746407</v>
          </cell>
          <cell r="AJ238">
            <v>1.0129843604677831</v>
          </cell>
          <cell r="AK238">
            <v>3.9263253604677857</v>
          </cell>
          <cell r="AL238">
            <v>1.2254693604677698</v>
          </cell>
          <cell r="AM238">
            <v>0.74415036046778482</v>
          </cell>
          <cell r="AN238">
            <v>6.9089294418711233</v>
          </cell>
          <cell r="AO238">
            <v>0.74848829787234195</v>
          </cell>
          <cell r="AP238">
            <v>40.364999999999995</v>
          </cell>
          <cell r="AQ238">
            <v>0.47899999999995657</v>
          </cell>
          <cell r="AR238">
            <v>-1.2270000000000323</v>
          </cell>
          <cell r="AS238">
            <v>40.365488297872261</v>
          </cell>
          <cell r="AT238">
            <v>2.8500000000000227</v>
          </cell>
          <cell r="AU238">
            <v>2.0909999999999513</v>
          </cell>
          <cell r="AV238">
            <v>206.97099999999995</v>
          </cell>
          <cell r="AW238">
            <v>0.76600000000001955</v>
          </cell>
          <cell r="AX238">
            <v>212.67799999999994</v>
          </cell>
          <cell r="AY238">
            <v>7.7680000000000291</v>
          </cell>
          <cell r="AZ238">
            <v>3.075999999999965</v>
          </cell>
          <cell r="BA238">
            <v>1.45799999999997</v>
          </cell>
          <cell r="BB238">
            <v>13.121999999999957</v>
          </cell>
          <cell r="BC238">
            <v>25.423999999999921</v>
          </cell>
          <cell r="BD238">
            <v>4.3849999999999909</v>
          </cell>
          <cell r="BE238">
            <v>9.02800000000002</v>
          </cell>
          <cell r="BF238">
            <v>0.32700000000011187</v>
          </cell>
          <cell r="BG238">
            <v>1.3780000000000427</v>
          </cell>
          <cell r="BH238">
            <v>15.118000000000166</v>
          </cell>
          <cell r="BI238">
            <v>7.0710000000001401</v>
          </cell>
          <cell r="BJ238">
            <v>521.70400000000006</v>
          </cell>
          <cell r="BK238">
            <v>3238.3009999999999</v>
          </cell>
          <cell r="BL238">
            <v>-29.47400000000016</v>
          </cell>
          <cell r="BM238">
            <v>3737.6019999999999</v>
          </cell>
          <cell r="BN238">
            <v>-22.971999999999753</v>
          </cell>
          <cell r="BO238">
            <v>-24.253999999999905</v>
          </cell>
          <cell r="BP238">
            <v>-27.055999999999585</v>
          </cell>
          <cell r="BQ238">
            <v>-33.762300000000323</v>
          </cell>
          <cell r="BR238">
            <v>-108.04429999999957</v>
          </cell>
          <cell r="BS238">
            <v>-32.703999999999724</v>
          </cell>
          <cell r="BT238">
            <v>-32.703999999999724</v>
          </cell>
          <cell r="BU238">
            <v>-32.703999999999724</v>
          </cell>
          <cell r="BV238">
            <v>-32.703999999999724</v>
          </cell>
          <cell r="BW238">
            <v>-130.81599999999889</v>
          </cell>
          <cell r="BX238">
            <v>-32.283999999999651</v>
          </cell>
          <cell r="BY238">
            <v>-32.283999999999651</v>
          </cell>
          <cell r="BZ238">
            <v>-32.283999999999651</v>
          </cell>
          <cell r="CA238">
            <v>-32.283999999999651</v>
          </cell>
          <cell r="CB238">
            <v>-129.1359999999986</v>
          </cell>
          <cell r="CC238">
            <v>-38.482680000000073</v>
          </cell>
          <cell r="CD238">
            <v>-38.482680000000073</v>
          </cell>
          <cell r="CE238">
            <v>-38.482680000000073</v>
          </cell>
          <cell r="CF238">
            <v>-38.482680000000073</v>
          </cell>
          <cell r="CG238">
            <v>-153.93072000000029</v>
          </cell>
        </row>
        <row r="243">
          <cell r="B243" t="str">
            <v>EBITDA, for consensus</v>
          </cell>
          <cell r="BM243">
            <v>472.34999999999997</v>
          </cell>
          <cell r="BN243">
            <v>147.87699999999984</v>
          </cell>
          <cell r="BO243">
            <v>164.70099999999991</v>
          </cell>
          <cell r="BP243">
            <v>177.334</v>
          </cell>
          <cell r="BQ243">
            <v>194.97199999999992</v>
          </cell>
          <cell r="BR243">
            <v>684.88399999999956</v>
          </cell>
          <cell r="BS243">
            <v>184.14300000000026</v>
          </cell>
          <cell r="BT243">
            <v>203.17800000000008</v>
          </cell>
          <cell r="BU243">
            <v>219.65099999999978</v>
          </cell>
          <cell r="BV243">
            <v>229.29703399655932</v>
          </cell>
          <cell r="BW243">
            <v>836.26903399655771</v>
          </cell>
          <cell r="BX243">
            <v>232.05421110216233</v>
          </cell>
          <cell r="BY243">
            <v>259.12606237757251</v>
          </cell>
          <cell r="BZ243">
            <v>229.14259238184766</v>
          </cell>
          <cell r="CA243">
            <v>249.01760979082491</v>
          </cell>
          <cell r="CB243">
            <v>969.34047565240553</v>
          </cell>
          <cell r="CC243">
            <v>251.67259361614106</v>
          </cell>
          <cell r="CD243">
            <v>281.28929025169111</v>
          </cell>
          <cell r="CE243">
            <v>247.97834699184816</v>
          </cell>
          <cell r="CF243">
            <v>269.67083011819022</v>
          </cell>
          <cell r="CG243">
            <v>1050.6110609778677</v>
          </cell>
        </row>
        <row r="244">
          <cell r="B244" t="str">
            <v>EBITDA Delta</v>
          </cell>
          <cell r="BM244">
            <v>6.3919999999999959</v>
          </cell>
          <cell r="BN244">
            <v>-4.3349999999999795</v>
          </cell>
          <cell r="BO244">
            <v>-6.6319999999999766</v>
          </cell>
          <cell r="BP244">
            <v>-9.782999999999987</v>
          </cell>
          <cell r="BQ244">
            <v>-13.003000000000043</v>
          </cell>
          <cell r="BR244">
            <v>-32.352999999999838</v>
          </cell>
          <cell r="BS244">
            <v>-13.292999999999978</v>
          </cell>
          <cell r="BT244">
            <v>-14.673999999999978</v>
          </cell>
          <cell r="BU244">
            <v>-13.947000000000003</v>
          </cell>
          <cell r="BV244">
            <v>-12.947000000000031</v>
          </cell>
          <cell r="BW244">
            <v>-54.860999999998171</v>
          </cell>
          <cell r="BX244">
            <v>-13.302999999999997</v>
          </cell>
          <cell r="BY244">
            <v>-13.302999999999997</v>
          </cell>
          <cell r="BZ244">
            <v>-13.302999999999997</v>
          </cell>
          <cell r="CA244">
            <v>-13.302999999999997</v>
          </cell>
          <cell r="CB244">
            <v>-53.211999999998056</v>
          </cell>
          <cell r="CC244">
            <v>-13.302999999999997</v>
          </cell>
          <cell r="CD244">
            <v>-13.302999999999997</v>
          </cell>
          <cell r="CE244">
            <v>-13.302999999999997</v>
          </cell>
          <cell r="CF244">
            <v>-13.302999999999997</v>
          </cell>
          <cell r="CG244">
            <v>-53.211999999997147</v>
          </cell>
        </row>
        <row r="245">
          <cell r="B245" t="str">
            <v>Toggle</v>
          </cell>
          <cell r="BM245">
            <v>1</v>
          </cell>
          <cell r="BN245">
            <v>1</v>
          </cell>
          <cell r="BO245">
            <v>1</v>
          </cell>
          <cell r="BP245">
            <v>1</v>
          </cell>
          <cell r="BQ245">
            <v>1</v>
          </cell>
          <cell r="BR245">
            <v>1</v>
          </cell>
          <cell r="BS245">
            <v>1</v>
          </cell>
          <cell r="BT245">
            <v>1</v>
          </cell>
          <cell r="BU245">
            <v>1</v>
          </cell>
          <cell r="BV245">
            <v>1</v>
          </cell>
          <cell r="BW245">
            <v>1</v>
          </cell>
          <cell r="BX245">
            <v>1</v>
          </cell>
          <cell r="BY245">
            <v>1</v>
          </cell>
          <cell r="BZ245">
            <v>1</v>
          </cell>
          <cell r="CA245">
            <v>1</v>
          </cell>
          <cell r="CB245">
            <v>1</v>
          </cell>
          <cell r="CC245">
            <v>1</v>
          </cell>
          <cell r="CD245">
            <v>1</v>
          </cell>
          <cell r="CE245">
            <v>1</v>
          </cell>
          <cell r="CF245">
            <v>1</v>
          </cell>
          <cell r="CG245">
            <v>1</v>
          </cell>
        </row>
      </sheetData>
      <sheetData sheetId="4">
        <row r="1">
          <cell r="B1" t="str">
            <v>CTRX</v>
          </cell>
        </row>
        <row r="2">
          <cell r="B2" t="str">
            <v>PBM Segment - Includes Specialty Segment</v>
          </cell>
        </row>
        <row r="3">
          <cell r="E3">
            <v>36891</v>
          </cell>
          <cell r="F3">
            <v>36981</v>
          </cell>
          <cell r="G3">
            <v>37072</v>
          </cell>
          <cell r="H3">
            <v>37164</v>
          </cell>
          <cell r="I3">
            <v>37256</v>
          </cell>
          <cell r="J3">
            <v>37256</v>
          </cell>
          <cell r="K3">
            <v>37346</v>
          </cell>
          <cell r="L3">
            <v>37437</v>
          </cell>
          <cell r="M3">
            <v>37529</v>
          </cell>
          <cell r="N3">
            <v>37621</v>
          </cell>
          <cell r="O3">
            <v>37621</v>
          </cell>
          <cell r="P3">
            <v>37711</v>
          </cell>
          <cell r="Q3">
            <v>37802</v>
          </cell>
          <cell r="R3">
            <v>37894</v>
          </cell>
          <cell r="S3">
            <v>37986</v>
          </cell>
          <cell r="T3">
            <v>37986</v>
          </cell>
          <cell r="U3">
            <v>38077</v>
          </cell>
          <cell r="V3">
            <v>38168</v>
          </cell>
          <cell r="W3">
            <v>38260</v>
          </cell>
          <cell r="X3">
            <v>38352</v>
          </cell>
          <cell r="Y3">
            <v>38352</v>
          </cell>
          <cell r="Z3">
            <v>38442</v>
          </cell>
          <cell r="AA3">
            <v>38533</v>
          </cell>
          <cell r="AB3">
            <v>38625</v>
          </cell>
          <cell r="AC3">
            <v>38717</v>
          </cell>
          <cell r="AD3">
            <v>38717</v>
          </cell>
          <cell r="AE3">
            <v>38807</v>
          </cell>
          <cell r="AF3">
            <v>38898</v>
          </cell>
          <cell r="AG3">
            <v>38990</v>
          </cell>
          <cell r="AH3">
            <v>39082</v>
          </cell>
          <cell r="AI3">
            <v>39082</v>
          </cell>
          <cell r="AJ3">
            <v>39172</v>
          </cell>
          <cell r="AK3">
            <v>39263</v>
          </cell>
          <cell r="AL3">
            <v>39355</v>
          </cell>
          <cell r="AM3">
            <v>39447</v>
          </cell>
          <cell r="AN3">
            <v>39447</v>
          </cell>
          <cell r="AO3">
            <v>39538</v>
          </cell>
          <cell r="AP3">
            <v>39629</v>
          </cell>
          <cell r="AQ3">
            <v>39721</v>
          </cell>
          <cell r="AR3">
            <v>39813</v>
          </cell>
          <cell r="AS3">
            <v>39813</v>
          </cell>
          <cell r="AT3">
            <v>39903</v>
          </cell>
          <cell r="AU3">
            <v>39994</v>
          </cell>
          <cell r="AV3">
            <v>40086</v>
          </cell>
          <cell r="AW3">
            <v>40178</v>
          </cell>
          <cell r="AX3">
            <v>40178</v>
          </cell>
          <cell r="AY3">
            <v>40268</v>
          </cell>
          <cell r="AZ3">
            <v>40359</v>
          </cell>
          <cell r="BA3">
            <v>40451</v>
          </cell>
          <cell r="BB3">
            <v>40543</v>
          </cell>
          <cell r="BC3">
            <v>40543</v>
          </cell>
          <cell r="BD3">
            <v>40633</v>
          </cell>
          <cell r="BE3">
            <v>40724</v>
          </cell>
          <cell r="BF3">
            <v>40816</v>
          </cell>
          <cell r="BG3">
            <v>40908</v>
          </cell>
          <cell r="BH3">
            <v>40908</v>
          </cell>
          <cell r="BI3">
            <v>40999</v>
          </cell>
          <cell r="BJ3">
            <v>41090</v>
          </cell>
          <cell r="BK3">
            <v>41182</v>
          </cell>
          <cell r="BL3">
            <v>41274</v>
          </cell>
          <cell r="BM3">
            <v>41274</v>
          </cell>
          <cell r="BN3">
            <v>41364</v>
          </cell>
          <cell r="BO3">
            <v>41455</v>
          </cell>
          <cell r="BP3">
            <v>41547</v>
          </cell>
          <cell r="BQ3">
            <v>41639</v>
          </cell>
          <cell r="BR3">
            <v>41639</v>
          </cell>
          <cell r="BS3">
            <v>41729</v>
          </cell>
          <cell r="BT3">
            <v>41820</v>
          </cell>
          <cell r="BU3">
            <v>41912</v>
          </cell>
          <cell r="BV3">
            <v>42004</v>
          </cell>
          <cell r="BW3">
            <v>42004</v>
          </cell>
          <cell r="BX3">
            <v>42094</v>
          </cell>
          <cell r="BY3">
            <v>42185</v>
          </cell>
          <cell r="BZ3">
            <v>42277</v>
          </cell>
          <cell r="CA3">
            <v>42369</v>
          </cell>
          <cell r="CB3">
            <v>42369</v>
          </cell>
          <cell r="CC3">
            <v>42094</v>
          </cell>
          <cell r="CD3">
            <v>42185</v>
          </cell>
          <cell r="CE3">
            <v>42277</v>
          </cell>
          <cell r="CF3">
            <v>42369</v>
          </cell>
          <cell r="CG3">
            <v>42369</v>
          </cell>
        </row>
        <row r="4">
          <cell r="F4" t="str">
            <v>Fiscal Year End, Dec 31 2001</v>
          </cell>
          <cell r="K4" t="str">
            <v>Fiscal Year End, Dec 31 2002</v>
          </cell>
          <cell r="P4" t="str">
            <v>Fiscal Year End, Dec 31 2003</v>
          </cell>
          <cell r="U4" t="str">
            <v>Fiscal Year End, Dec 31 2004</v>
          </cell>
          <cell r="Z4" t="str">
            <v xml:space="preserve">Fiscal Year End, Dec 31 2005 </v>
          </cell>
          <cell r="AE4" t="str">
            <v xml:space="preserve">Fiscal Year End, Dec 31 2006 </v>
          </cell>
          <cell r="AJ4" t="str">
            <v xml:space="preserve">Fiscal Year End, Dec 31 2007 </v>
          </cell>
          <cell r="AO4" t="str">
            <v>Fiscal Year End, Dec 31 2008</v>
          </cell>
          <cell r="AT4" t="str">
            <v>Fiscal Year End, Dec 31 2009</v>
          </cell>
          <cell r="AY4" t="str">
            <v>Fiscal Year End, Dec 31 2010</v>
          </cell>
          <cell r="BD4" t="str">
            <v>Fiscal Year End, Dec 31 2011</v>
          </cell>
          <cell r="BI4" t="str">
            <v>Fiscal Year End, Dec 31 2012</v>
          </cell>
          <cell r="BN4" t="str">
            <v>Fiscal Year End, Dec 31 2013</v>
          </cell>
          <cell r="BS4" t="str">
            <v>Fiscal Year End, Dec 31 2014</v>
          </cell>
          <cell r="BX4" t="str">
            <v>Fiscal Year End, Dec 31 2015</v>
          </cell>
          <cell r="CC4" t="str">
            <v>Fiscal Year End, Dec 31 2016</v>
          </cell>
        </row>
        <row r="5">
          <cell r="B5" t="str">
            <v>(In millions, except per share)</v>
          </cell>
          <cell r="D5" t="str">
            <v>1999A</v>
          </cell>
          <cell r="E5" t="str">
            <v>2000A</v>
          </cell>
          <cell r="F5" t="str">
            <v>1Q01A</v>
          </cell>
          <cell r="G5" t="str">
            <v>2Q01A</v>
          </cell>
          <cell r="H5" t="str">
            <v>3Q01A</v>
          </cell>
          <cell r="I5" t="str">
            <v>4Q01A</v>
          </cell>
          <cell r="J5" t="str">
            <v>2001A</v>
          </cell>
          <cell r="K5" t="str">
            <v>1Q02A</v>
          </cell>
          <cell r="L5" t="str">
            <v>2Q02A</v>
          </cell>
          <cell r="M5" t="str">
            <v>3Q02A</v>
          </cell>
          <cell r="N5" t="str">
            <v>4Q02A</v>
          </cell>
          <cell r="O5" t="str">
            <v>2002A</v>
          </cell>
          <cell r="P5" t="str">
            <v>1Q03A</v>
          </cell>
          <cell r="Q5" t="str">
            <v>2Q03A</v>
          </cell>
          <cell r="R5" t="str">
            <v>3Q03A</v>
          </cell>
          <cell r="S5" t="str">
            <v>4Q03A</v>
          </cell>
          <cell r="T5" t="str">
            <v>2003A</v>
          </cell>
          <cell r="U5" t="str">
            <v>1QA</v>
          </cell>
          <cell r="V5" t="str">
            <v>2QA</v>
          </cell>
          <cell r="W5" t="str">
            <v>3QA</v>
          </cell>
          <cell r="X5" t="str">
            <v>4QA</v>
          </cell>
          <cell r="Y5" t="str">
            <v>2004A</v>
          </cell>
          <cell r="Z5" t="str">
            <v>1QA</v>
          </cell>
          <cell r="AA5" t="str">
            <v>2QA</v>
          </cell>
          <cell r="AB5" t="str">
            <v>3QA</v>
          </cell>
          <cell r="AC5" t="str">
            <v>4QA</v>
          </cell>
          <cell r="AD5" t="str">
            <v>2005A</v>
          </cell>
          <cell r="AE5" t="str">
            <v>1QA</v>
          </cell>
          <cell r="AF5" t="str">
            <v>2QA</v>
          </cell>
          <cell r="AG5" t="str">
            <v>3QA</v>
          </cell>
          <cell r="AH5" t="str">
            <v>4QA</v>
          </cell>
          <cell r="AI5" t="str">
            <v>2006A</v>
          </cell>
          <cell r="AJ5" t="str">
            <v>1QA</v>
          </cell>
          <cell r="AK5" t="str">
            <v>2QA</v>
          </cell>
          <cell r="AL5" t="str">
            <v>3QA</v>
          </cell>
          <cell r="AM5" t="str">
            <v>4QA</v>
          </cell>
          <cell r="AN5" t="str">
            <v>2007A</v>
          </cell>
          <cell r="AO5" t="str">
            <v>1QA</v>
          </cell>
          <cell r="AP5" t="str">
            <v>2QA</v>
          </cell>
          <cell r="AQ5" t="str">
            <v>3QA</v>
          </cell>
          <cell r="AR5" t="str">
            <v>4QA</v>
          </cell>
          <cell r="AS5" t="str">
            <v>2008A</v>
          </cell>
          <cell r="AT5" t="str">
            <v>1QA</v>
          </cell>
          <cell r="AU5" t="str">
            <v>2QA</v>
          </cell>
          <cell r="AV5" t="str">
            <v>3QA</v>
          </cell>
          <cell r="AW5" t="str">
            <v>4QA</v>
          </cell>
          <cell r="AX5" t="str">
            <v>2009A</v>
          </cell>
          <cell r="AY5" t="str">
            <v>1QA</v>
          </cell>
          <cell r="AZ5" t="str">
            <v>2QA</v>
          </cell>
          <cell r="BA5" t="str">
            <v>3QA</v>
          </cell>
          <cell r="BB5" t="str">
            <v>4QA</v>
          </cell>
          <cell r="BC5" t="str">
            <v>2010A</v>
          </cell>
          <cell r="BD5" t="str">
            <v>1QA</v>
          </cell>
          <cell r="BE5" t="str">
            <v>2QA</v>
          </cell>
          <cell r="BF5" t="str">
            <v>3QA</v>
          </cell>
          <cell r="BG5" t="str">
            <v>4QA</v>
          </cell>
          <cell r="BH5" t="str">
            <v>2011A</v>
          </cell>
          <cell r="BI5" t="str">
            <v>1QA</v>
          </cell>
          <cell r="BJ5" t="str">
            <v>2QA</v>
          </cell>
          <cell r="BK5" t="str">
            <v>3QA</v>
          </cell>
          <cell r="BL5" t="str">
            <v>4QA</v>
          </cell>
          <cell r="BM5" t="str">
            <v>2012A</v>
          </cell>
          <cell r="BN5" t="str">
            <v>1QA</v>
          </cell>
          <cell r="BO5" t="str">
            <v>2QA</v>
          </cell>
          <cell r="BP5" t="str">
            <v>3QA</v>
          </cell>
          <cell r="BQ5" t="str">
            <v>4QE</v>
          </cell>
          <cell r="BR5" t="str">
            <v>2013E</v>
          </cell>
          <cell r="BS5" t="str">
            <v>1QE</v>
          </cell>
          <cell r="BT5" t="str">
            <v>2QE</v>
          </cell>
          <cell r="BU5" t="str">
            <v>3QE</v>
          </cell>
          <cell r="BV5" t="str">
            <v>4QE</v>
          </cell>
          <cell r="BW5" t="str">
            <v>2014E</v>
          </cell>
          <cell r="BX5" t="str">
            <v>1QE</v>
          </cell>
          <cell r="BY5" t="str">
            <v>2QE</v>
          </cell>
          <cell r="BZ5" t="str">
            <v>3QE</v>
          </cell>
          <cell r="CA5" t="str">
            <v>4QE</v>
          </cell>
          <cell r="CB5" t="str">
            <v>2015E</v>
          </cell>
          <cell r="CC5" t="str">
            <v>1QE</v>
          </cell>
          <cell r="CD5" t="str">
            <v>2QE</v>
          </cell>
          <cell r="CE5" t="str">
            <v>3QE</v>
          </cell>
          <cell r="CF5" t="str">
            <v>4QE</v>
          </cell>
          <cell r="CG5" t="str">
            <v>2016E</v>
          </cell>
        </row>
        <row r="6">
          <cell r="B6" t="str">
            <v>Revenue - PBM</v>
          </cell>
          <cell r="AD6">
            <v>0</v>
          </cell>
          <cell r="AI6">
            <v>0</v>
          </cell>
          <cell r="AP6">
            <v>204.86</v>
          </cell>
          <cell r="AQ6">
            <v>297.178</v>
          </cell>
          <cell r="AR6">
            <v>269.80200000000002</v>
          </cell>
          <cell r="AS6">
            <v>771.84</v>
          </cell>
          <cell r="AT6">
            <v>267.77999999999997</v>
          </cell>
          <cell r="AU6">
            <v>293.90600000000001</v>
          </cell>
          <cell r="AV6">
            <v>357.47300000000001</v>
          </cell>
          <cell r="AW6">
            <v>416.803</v>
          </cell>
          <cell r="AX6">
            <v>1335.962</v>
          </cell>
          <cell r="AY6">
            <v>427.50200000000001</v>
          </cell>
          <cell r="AZ6">
            <v>451.29500000000002</v>
          </cell>
          <cell r="BA6">
            <v>463.04199999999997</v>
          </cell>
          <cell r="BB6">
            <v>499.76100000000002</v>
          </cell>
          <cell r="BC6">
            <v>1841.6</v>
          </cell>
          <cell r="BD6">
            <v>1071.923</v>
          </cell>
          <cell r="BE6">
            <v>1182.856</v>
          </cell>
          <cell r="BF6">
            <v>1256.3689999999999</v>
          </cell>
          <cell r="BG6">
            <v>1348.0940000000001</v>
          </cell>
          <cell r="BH6">
            <v>4859.2420000000002</v>
          </cell>
          <cell r="BI6">
            <v>1681.145</v>
          </cell>
          <cell r="BJ6">
            <v>1661.1289999999999</v>
          </cell>
          <cell r="BK6">
            <v>3150.7550000000001</v>
          </cell>
          <cell r="BL6">
            <v>3292.056</v>
          </cell>
          <cell r="BM6">
            <v>9785.0850000000009</v>
          </cell>
          <cell r="BN6">
            <v>3181.5529999999999</v>
          </cell>
          <cell r="BO6">
            <v>3382.1950000000002</v>
          </cell>
          <cell r="BP6">
            <v>3578.7669999999998</v>
          </cell>
          <cell r="BQ6">
            <v>3829.7784252232427</v>
          </cell>
          <cell r="BR6">
            <v>13972.293425223243</v>
          </cell>
          <cell r="BS6">
            <v>4289.2293285598025</v>
          </cell>
          <cell r="BT6">
            <v>4922.7482047265466</v>
          </cell>
          <cell r="BU6">
            <v>4949.6185829635497</v>
          </cell>
          <cell r="BV6">
            <v>5403.1606963917484</v>
          </cell>
          <cell r="BW6">
            <v>19564.756812641648</v>
          </cell>
          <cell r="BX6">
            <v>4731.9826218754552</v>
          </cell>
          <cell r="BY6">
            <v>5548.9875535569918</v>
          </cell>
          <cell r="BZ6">
            <v>5717.9021454191006</v>
          </cell>
          <cell r="CA6">
            <v>6241.3939681387237</v>
          </cell>
          <cell r="CB6">
            <v>22240.266288990271</v>
          </cell>
          <cell r="CC6">
            <v>6021.9226969822003</v>
          </cell>
          <cell r="CD6">
            <v>6752.6927105996792</v>
          </cell>
          <cell r="CE6">
            <v>6889.8819616692963</v>
          </cell>
          <cell r="CF6">
            <v>6894.9794064257967</v>
          </cell>
          <cell r="CG6">
            <v>26559.476775676972</v>
          </cell>
        </row>
        <row r="7">
          <cell r="B7" t="str">
            <v>COGS - PBM</v>
          </cell>
          <cell r="AP7">
            <v>188.04599999999999</v>
          </cell>
          <cell r="AQ7">
            <v>272.654</v>
          </cell>
          <cell r="AR7">
            <v>241.63300000000001</v>
          </cell>
          <cell r="AS7">
            <v>702.33299999999997</v>
          </cell>
          <cell r="AT7">
            <v>238.97200000000001</v>
          </cell>
          <cell r="AU7">
            <v>259.37599999999998</v>
          </cell>
          <cell r="AV7">
            <v>321.23399999999998</v>
          </cell>
          <cell r="AW7">
            <v>378.149</v>
          </cell>
          <cell r="AX7">
            <v>1197.7309999999998</v>
          </cell>
          <cell r="AY7">
            <v>389.166</v>
          </cell>
          <cell r="AZ7">
            <v>412.68099999999998</v>
          </cell>
          <cell r="BA7">
            <v>423.77300000000002</v>
          </cell>
          <cell r="BB7">
            <v>456.32400000000001</v>
          </cell>
          <cell r="BC7">
            <v>1681.944</v>
          </cell>
          <cell r="BD7">
            <v>1020.188</v>
          </cell>
          <cell r="BE7">
            <v>1122.501</v>
          </cell>
          <cell r="BF7">
            <v>1188.1969999999999</v>
          </cell>
          <cell r="BG7">
            <v>1271.7760000000001</v>
          </cell>
          <cell r="BH7">
            <v>4602.6619999999994</v>
          </cell>
          <cell r="BI7">
            <v>1590.1890000000001</v>
          </cell>
          <cell r="BJ7">
            <v>1564.414</v>
          </cell>
          <cell r="BK7">
            <v>2940.06</v>
          </cell>
          <cell r="BL7">
            <v>3046.3649999999998</v>
          </cell>
          <cell r="BM7">
            <v>9141.0280000000002</v>
          </cell>
          <cell r="BN7">
            <v>2954.1010000000001</v>
          </cell>
          <cell r="BO7">
            <v>3135.2109999999998</v>
          </cell>
          <cell r="BP7">
            <v>3310.636</v>
          </cell>
          <cell r="BQ7">
            <v>3555.4080603416451</v>
          </cell>
          <cell r="BR7">
            <v>12955.356060341644</v>
          </cell>
          <cell r="BS7">
            <v>4036.4831638125838</v>
          </cell>
          <cell r="BT7">
            <v>4621.1670645232953</v>
          </cell>
          <cell r="BU7">
            <v>4664.3836040122133</v>
          </cell>
          <cell r="BV7">
            <v>5061.2048513792215</v>
          </cell>
          <cell r="BW7">
            <v>18383.238683727315</v>
          </cell>
          <cell r="BX7">
            <v>4436.041512348942</v>
          </cell>
          <cell r="BY7">
            <v>5195.3587607273885</v>
          </cell>
          <cell r="BZ7">
            <v>5382.4867639658132</v>
          </cell>
          <cell r="CA7">
            <v>5837.6544958865688</v>
          </cell>
          <cell r="CB7">
            <v>20851.541532928713</v>
          </cell>
          <cell r="CC7">
            <v>5643.4692445987657</v>
          </cell>
          <cell r="CD7">
            <v>6333.437417983705</v>
          </cell>
          <cell r="CE7">
            <v>6499.5921118787992</v>
          </cell>
          <cell r="CF7">
            <v>6486.0334067252807</v>
          </cell>
          <cell r="CG7">
            <v>24962.532181186551</v>
          </cell>
        </row>
        <row r="8">
          <cell r="B8" t="str">
            <v>Gross profit - PBM</v>
          </cell>
          <cell r="AP8">
            <v>16.814000000000021</v>
          </cell>
          <cell r="AQ8">
            <v>24.524000000000001</v>
          </cell>
          <cell r="AR8">
            <v>28.169000000000011</v>
          </cell>
          <cell r="AS8">
            <v>69.507000000000033</v>
          </cell>
          <cell r="AT8">
            <v>28.807999999999964</v>
          </cell>
          <cell r="AU8">
            <v>34.53000000000003</v>
          </cell>
          <cell r="AV8">
            <v>36.239000000000033</v>
          </cell>
          <cell r="AW8">
            <v>38.653999999999996</v>
          </cell>
          <cell r="AX8">
            <v>138.23100000000002</v>
          </cell>
          <cell r="AY8">
            <v>38.336000000000013</v>
          </cell>
          <cell r="AZ8">
            <v>38.614000000000033</v>
          </cell>
          <cell r="BA8">
            <v>39.268999999999949</v>
          </cell>
          <cell r="BB8">
            <v>43.437000000000012</v>
          </cell>
          <cell r="BC8">
            <v>159.65600000000001</v>
          </cell>
          <cell r="BD8">
            <v>51.735000000000014</v>
          </cell>
          <cell r="BE8">
            <v>60.355000000000018</v>
          </cell>
          <cell r="BF8">
            <v>68.172000000000025</v>
          </cell>
          <cell r="BG8">
            <v>76.317999999999984</v>
          </cell>
          <cell r="BH8">
            <v>256.58000000000004</v>
          </cell>
          <cell r="BI8">
            <v>90.955999999999904</v>
          </cell>
          <cell r="BJ8">
            <v>96.714999999999918</v>
          </cell>
          <cell r="BK8">
            <v>210.69500000000016</v>
          </cell>
          <cell r="BL8">
            <v>245.69100000000026</v>
          </cell>
          <cell r="BM8">
            <v>644.05700000000024</v>
          </cell>
          <cell r="BN8">
            <v>227.45199999999977</v>
          </cell>
          <cell r="BO8">
            <v>246.98400000000038</v>
          </cell>
          <cell r="BP8">
            <v>268.13099999999986</v>
          </cell>
          <cell r="BQ8">
            <v>274.37036488159788</v>
          </cell>
          <cell r="BR8">
            <v>1016.9373648815979</v>
          </cell>
          <cell r="BS8">
            <v>252.74616474721876</v>
          </cell>
          <cell r="BT8">
            <v>301.58114020325161</v>
          </cell>
          <cell r="BU8">
            <v>285.23497895133636</v>
          </cell>
          <cell r="BV8">
            <v>341.95584501252677</v>
          </cell>
          <cell r="BW8">
            <v>1181.5181289143334</v>
          </cell>
          <cell r="BX8">
            <v>295.941109526513</v>
          </cell>
          <cell r="BY8">
            <v>353.6287928296037</v>
          </cell>
          <cell r="BZ8">
            <v>335.41538145328752</v>
          </cell>
          <cell r="CA8">
            <v>403.73947225215477</v>
          </cell>
          <cell r="CB8">
            <v>1388.724756061559</v>
          </cell>
          <cell r="CC8">
            <v>378.45345238343407</v>
          </cell>
          <cell r="CD8">
            <v>419.25529261597393</v>
          </cell>
          <cell r="CE8">
            <v>390.28984979049676</v>
          </cell>
          <cell r="CF8">
            <v>408.94599970051598</v>
          </cell>
          <cell r="CG8">
            <v>1596.944594490421</v>
          </cell>
        </row>
        <row r="10">
          <cell r="B10" t="str">
            <v>Generic Dispensing Rate</v>
          </cell>
        </row>
        <row r="11">
          <cell r="B11" t="str">
            <v>Generic dispensing rate - as stated</v>
          </cell>
          <cell r="AP11">
            <v>0.69</v>
          </cell>
          <cell r="AQ11">
            <v>0.69</v>
          </cell>
          <cell r="AR11">
            <v>0.69</v>
          </cell>
          <cell r="AS11">
            <v>0.69000000000000006</v>
          </cell>
          <cell r="AT11">
            <v>0.71</v>
          </cell>
          <cell r="AU11">
            <v>0.71</v>
          </cell>
          <cell r="AV11">
            <v>0.71</v>
          </cell>
          <cell r="AW11">
            <v>0.72</v>
          </cell>
          <cell r="AX11">
            <v>0.71289817232375963</v>
          </cell>
          <cell r="AY11">
            <v>0.73</v>
          </cell>
          <cell r="AZ11">
            <v>0.75</v>
          </cell>
          <cell r="BA11">
            <v>0.76</v>
          </cell>
          <cell r="BB11">
            <v>0.77</v>
          </cell>
          <cell r="BC11">
            <v>0.75285416666666671</v>
          </cell>
          <cell r="BD11">
            <v>0.77700000000000002</v>
          </cell>
          <cell r="BE11">
            <v>0.78110493357991984</v>
          </cell>
          <cell r="BF11">
            <v>0.78480509257459075</v>
          </cell>
          <cell r="BG11">
            <v>0.79122010423863132</v>
          </cell>
          <cell r="BH11">
            <v>0.78377207934142734</v>
          </cell>
          <cell r="BI11">
            <v>0.8</v>
          </cell>
          <cell r="BJ11">
            <v>0.81</v>
          </cell>
          <cell r="BK11">
            <v>0.83</v>
          </cell>
          <cell r="BL11">
            <v>0.83</v>
          </cell>
          <cell r="BM11">
            <v>0.82147310206133739</v>
          </cell>
          <cell r="BN11">
            <v>0.83</v>
          </cell>
          <cell r="BO11">
            <v>0.84</v>
          </cell>
          <cell r="BP11">
            <v>0.84</v>
          </cell>
          <cell r="BQ11">
            <v>0.84455836318038224</v>
          </cell>
          <cell r="BR11">
            <v>0.83884169517149465</v>
          </cell>
          <cell r="BS11">
            <v>0.86255053660109693</v>
          </cell>
          <cell r="BT11">
            <v>0.8698106308261202</v>
          </cell>
          <cell r="BU11">
            <v>0.8780202446341191</v>
          </cell>
          <cell r="BV11">
            <v>0.88014861319569249</v>
          </cell>
          <cell r="BW11">
            <v>0.87307082032768801</v>
          </cell>
          <cell r="BX11">
            <v>0.88273605080731199</v>
          </cell>
          <cell r="BY11">
            <v>0.8850727888853438</v>
          </cell>
          <cell r="BZ11">
            <v>0.88693802359989127</v>
          </cell>
          <cell r="CA11">
            <v>0.88966748572657228</v>
          </cell>
          <cell r="CB11">
            <v>0.88627097083376749</v>
          </cell>
          <cell r="CC11">
            <v>0.87423467870407268</v>
          </cell>
          <cell r="CD11">
            <v>0.87657141678210448</v>
          </cell>
          <cell r="CE11">
            <v>0.87843665149665195</v>
          </cell>
          <cell r="CF11">
            <v>0.88116611362333297</v>
          </cell>
          <cell r="CG11">
            <v>0.87765288209042402</v>
          </cell>
        </row>
        <row r="12">
          <cell r="B12" t="str">
            <v>Sequential Change</v>
          </cell>
          <cell r="AP12">
            <v>0.69</v>
          </cell>
          <cell r="AQ12">
            <v>0</v>
          </cell>
          <cell r="AR12">
            <v>0</v>
          </cell>
          <cell r="AT12">
            <v>2.0000000000000018E-2</v>
          </cell>
          <cell r="AU12">
            <v>0</v>
          </cell>
          <cell r="AV12">
            <v>0</v>
          </cell>
          <cell r="AW12">
            <v>1.0000000000000009E-2</v>
          </cell>
          <cell r="AY12">
            <v>1.0000000000000009E-2</v>
          </cell>
          <cell r="AZ12">
            <v>2.0000000000000018E-2</v>
          </cell>
          <cell r="BA12">
            <v>1.0000000000000009E-2</v>
          </cell>
          <cell r="BB12">
            <v>1.0000000000000009E-2</v>
          </cell>
          <cell r="BD12">
            <v>7.0000000000000062E-3</v>
          </cell>
          <cell r="BE12">
            <v>4.1049335799198117E-3</v>
          </cell>
          <cell r="BF12">
            <v>3.7001589946709101E-3</v>
          </cell>
          <cell r="BG12">
            <v>6.4150116640405708E-3</v>
          </cell>
          <cell r="BI12">
            <v>8.7798957613687278E-3</v>
          </cell>
          <cell r="BJ12">
            <v>1.0000000000000009E-2</v>
          </cell>
          <cell r="BK12">
            <v>1.9999999999999907E-2</v>
          </cell>
          <cell r="BL12">
            <v>0</v>
          </cell>
          <cell r="BN12">
            <v>0</v>
          </cell>
          <cell r="BO12">
            <v>1.8526897938662579E-2</v>
          </cell>
          <cell r="BP12">
            <v>1.0000000000000009E-2</v>
          </cell>
          <cell r="BQ12">
            <v>4.5583631803822701E-3</v>
          </cell>
          <cell r="BS12">
            <v>1.7992173420714672E-2</v>
          </cell>
          <cell r="BT12">
            <v>7.2600942250232725E-3</v>
          </cell>
          <cell r="BU12">
            <v>8.2096138079988945E-3</v>
          </cell>
          <cell r="BV12">
            <v>2.1283685615733905E-3</v>
          </cell>
          <cell r="BX12">
            <v>2.587437611619503E-3</v>
          </cell>
          <cell r="BY12">
            <v>2.3367380780318081E-3</v>
          </cell>
          <cell r="BZ12">
            <v>1.8652347145474701E-3</v>
          </cell>
          <cell r="CA12">
            <v>2.7294621266810148E-3</v>
          </cell>
          <cell r="CC12">
            <v>2.587437611619503E-3</v>
          </cell>
          <cell r="CD12">
            <v>2.3367380780318081E-3</v>
          </cell>
          <cell r="CE12">
            <v>1.8652347145474701E-3</v>
          </cell>
          <cell r="CF12">
            <v>2.7294621266810148E-3</v>
          </cell>
        </row>
        <row r="13">
          <cell r="B13" t="str">
            <v>Y/Y Change</v>
          </cell>
          <cell r="AP13">
            <v>0.69</v>
          </cell>
          <cell r="AQ13">
            <v>0.69</v>
          </cell>
          <cell r="AR13">
            <v>0.69</v>
          </cell>
          <cell r="AS13">
            <v>0.69000000000000006</v>
          </cell>
          <cell r="AT13">
            <v>0.71</v>
          </cell>
          <cell r="AU13">
            <v>2.0000000000000018E-2</v>
          </cell>
          <cell r="AV13">
            <v>2.0000000000000018E-2</v>
          </cell>
          <cell r="AW13">
            <v>3.0000000000000027E-2</v>
          </cell>
          <cell r="AX13">
            <v>2.2898172323759569E-2</v>
          </cell>
          <cell r="AY13">
            <v>2.0000000000000018E-2</v>
          </cell>
          <cell r="AZ13">
            <v>4.0000000000000036E-2</v>
          </cell>
          <cell r="BA13">
            <v>5.0000000000000044E-2</v>
          </cell>
          <cell r="BB13">
            <v>5.0000000000000044E-2</v>
          </cell>
          <cell r="BC13">
            <v>3.9955994342907086E-2</v>
          </cell>
          <cell r="BD13">
            <v>4.7000000000000042E-2</v>
          </cell>
          <cell r="BE13">
            <v>3.1104933579919836E-2</v>
          </cell>
          <cell r="BF13">
            <v>2.4805092574590737E-2</v>
          </cell>
          <cell r="BG13">
            <v>2.1220104238631299E-2</v>
          </cell>
          <cell r="BH13">
            <v>3.0917912674760628E-2</v>
          </cell>
          <cell r="BI13">
            <v>2.300000000000002E-2</v>
          </cell>
          <cell r="BJ13">
            <v>2.8895066420080218E-2</v>
          </cell>
          <cell r="BK13">
            <v>4.5194907425409214E-2</v>
          </cell>
          <cell r="BL13">
            <v>3.8779895761368643E-2</v>
          </cell>
          <cell r="BM13">
            <v>3.7701022719910049E-2</v>
          </cell>
          <cell r="BN13">
            <v>2.9999999999999916E-2</v>
          </cell>
          <cell r="BO13">
            <v>2.9999999999999916E-2</v>
          </cell>
          <cell r="BP13">
            <v>1.0000000000000009E-2</v>
          </cell>
          <cell r="BQ13">
            <v>1.4558363180382283E-2</v>
          </cell>
          <cell r="BR13">
            <v>1.736859311015726E-2</v>
          </cell>
          <cell r="BS13">
            <v>3.2550536601096969E-2</v>
          </cell>
          <cell r="BT13">
            <v>2.9810630826120232E-2</v>
          </cell>
          <cell r="BU13">
            <v>3.8020244634119127E-2</v>
          </cell>
          <cell r="BV13">
            <v>3.5590250015310243E-2</v>
          </cell>
          <cell r="BW13">
            <v>3.4229125156193363E-2</v>
          </cell>
          <cell r="BX13">
            <v>2.0185514206215061E-2</v>
          </cell>
          <cell r="BY13">
            <v>1.5262158059223596E-2</v>
          </cell>
          <cell r="BZ13">
            <v>8.9177789657721718E-3</v>
          </cell>
          <cell r="CA13">
            <v>9.5188725308797961E-3</v>
          </cell>
          <cell r="CB13">
            <v>1.3200150506079478E-2</v>
          </cell>
          <cell r="CC13">
            <v>9.5188725308797961E-3</v>
          </cell>
          <cell r="CD13">
            <v>9.5188725308797961E-3</v>
          </cell>
          <cell r="CE13">
            <v>9.5188725308797961E-3</v>
          </cell>
          <cell r="CF13">
            <v>9.5188725308797961E-3</v>
          </cell>
          <cell r="CG13">
            <v>9.5188725308797961E-3</v>
          </cell>
        </row>
        <row r="14">
          <cell r="B14" t="str">
            <v>Branded utilization rate</v>
          </cell>
          <cell r="AP14">
            <v>0.31000000000000005</v>
          </cell>
          <cell r="AQ14">
            <v>0.31000000000000005</v>
          </cell>
          <cell r="AR14">
            <v>0.31000000000000005</v>
          </cell>
          <cell r="AS14">
            <v>0.30999999999999994</v>
          </cell>
          <cell r="AT14">
            <v>0.29000000000000004</v>
          </cell>
          <cell r="AU14">
            <v>0.29000000000000004</v>
          </cell>
          <cell r="AV14">
            <v>0.29000000000000004</v>
          </cell>
          <cell r="AW14">
            <v>0.28000000000000003</v>
          </cell>
          <cell r="AX14">
            <v>0.28710182767624037</v>
          </cell>
          <cell r="AY14">
            <v>0.27</v>
          </cell>
          <cell r="AZ14">
            <v>0.25</v>
          </cell>
          <cell r="BA14">
            <v>0.24</v>
          </cell>
          <cell r="BB14">
            <v>0.22999999999999998</v>
          </cell>
          <cell r="BC14">
            <v>0.24714583333333329</v>
          </cell>
          <cell r="BD14">
            <v>0.22299999999999998</v>
          </cell>
          <cell r="BE14">
            <v>0.21889506642008016</v>
          </cell>
          <cell r="BF14">
            <v>0.21519490742540925</v>
          </cell>
          <cell r="BG14">
            <v>0.20877989576136868</v>
          </cell>
          <cell r="BH14">
            <v>0.21622792065857266</v>
          </cell>
          <cell r="BI14">
            <v>0.19999999999999996</v>
          </cell>
          <cell r="BJ14">
            <v>0.18999999999999995</v>
          </cell>
          <cell r="BK14">
            <v>0.17000000000000004</v>
          </cell>
          <cell r="BL14">
            <v>0.17000000000000004</v>
          </cell>
          <cell r="BM14">
            <v>0.17852689793866261</v>
          </cell>
          <cell r="BN14">
            <v>0.17000000000000004</v>
          </cell>
          <cell r="BO14">
            <v>0.16000000000000003</v>
          </cell>
          <cell r="BP14">
            <v>0.16000000000000003</v>
          </cell>
          <cell r="BQ14">
            <v>0.15544163681961776</v>
          </cell>
          <cell r="BR14">
            <v>0.16115830482850535</v>
          </cell>
          <cell r="BS14">
            <v>0.13744946339890307</v>
          </cell>
          <cell r="BT14">
            <v>0.1301893691738798</v>
          </cell>
          <cell r="BU14">
            <v>0.1219797553658809</v>
          </cell>
          <cell r="BV14">
            <v>0.11985138680430751</v>
          </cell>
          <cell r="BW14">
            <v>0.12692917967231199</v>
          </cell>
          <cell r="BX14">
            <v>0.11726394919268801</v>
          </cell>
          <cell r="BY14">
            <v>0.1149272111146562</v>
          </cell>
          <cell r="BZ14">
            <v>0.11306197640010873</v>
          </cell>
          <cell r="CA14">
            <v>0.11033251427342772</v>
          </cell>
          <cell r="CB14">
            <v>0.11372902916623251</v>
          </cell>
          <cell r="CC14">
            <v>0.12576532129592732</v>
          </cell>
          <cell r="CD14">
            <v>0.12342858321789552</v>
          </cell>
          <cell r="CE14">
            <v>0.12156334850334805</v>
          </cell>
          <cell r="CF14">
            <v>0.11883388637666703</v>
          </cell>
          <cell r="CG14">
            <v>0.12234711790957598</v>
          </cell>
        </row>
        <row r="16">
          <cell r="B16" t="str">
            <v>Claim Mix by channel &amp; Product</v>
          </cell>
        </row>
        <row r="17">
          <cell r="B17" t="str">
            <v>Total Adjusted</v>
          </cell>
        </row>
        <row r="18">
          <cell r="B18" t="str">
            <v>Generic</v>
          </cell>
          <cell r="AP18">
            <v>4.968</v>
          </cell>
          <cell r="AQ18">
            <v>6.141</v>
          </cell>
          <cell r="AR18">
            <v>5.7959999999999994</v>
          </cell>
          <cell r="AS18">
            <v>16.905000000000001</v>
          </cell>
          <cell r="AT18">
            <v>5.9639999999999995</v>
          </cell>
          <cell r="AU18">
            <v>6.319</v>
          </cell>
          <cell r="AV18">
            <v>7.0289999999999999</v>
          </cell>
          <cell r="AW18">
            <v>7.9919999999999991</v>
          </cell>
          <cell r="AX18">
            <v>27.303999999999995</v>
          </cell>
          <cell r="AY18">
            <v>8.5409999999999986</v>
          </cell>
          <cell r="AZ18">
            <v>8.8500000000000014</v>
          </cell>
          <cell r="BA18">
            <v>9.0440000000000005</v>
          </cell>
          <cell r="BB18">
            <v>9.702</v>
          </cell>
          <cell r="BC18">
            <v>36.137</v>
          </cell>
          <cell r="BD18">
            <v>16.5501</v>
          </cell>
          <cell r="BE18">
            <v>17.809192485622173</v>
          </cell>
          <cell r="BF18">
            <v>18.285958656987965</v>
          </cell>
          <cell r="BG18">
            <v>19.226648532998738</v>
          </cell>
          <cell r="BH18">
            <v>71.871899675608887</v>
          </cell>
          <cell r="BI18">
            <v>27.52</v>
          </cell>
          <cell r="BJ18">
            <v>26.892000000000003</v>
          </cell>
          <cell r="BK18">
            <v>53.12</v>
          </cell>
          <cell r="BL18">
            <v>55.859000000000009</v>
          </cell>
          <cell r="BM18">
            <v>163.39100000000002</v>
          </cell>
          <cell r="BN18">
            <v>55.112000000000002</v>
          </cell>
          <cell r="BO18">
            <v>57.12</v>
          </cell>
          <cell r="BP18">
            <v>58.379999999999995</v>
          </cell>
          <cell r="BQ18">
            <v>63.204710867875754</v>
          </cell>
          <cell r="BR18">
            <v>233.81671086787574</v>
          </cell>
          <cell r="BS18">
            <v>80.182697882437978</v>
          </cell>
          <cell r="BT18">
            <v>88.720684344264257</v>
          </cell>
          <cell r="BU18">
            <v>91.533610503106914</v>
          </cell>
          <cell r="BV18">
            <v>98.802299005677071</v>
          </cell>
          <cell r="BW18">
            <v>359.23929173548623</v>
          </cell>
          <cell r="BX18">
            <v>90.265057611352503</v>
          </cell>
          <cell r="BY18">
            <v>99.305166912935576</v>
          </cell>
          <cell r="BZ18">
            <v>101.70961785631754</v>
          </cell>
          <cell r="CA18">
            <v>109.85793851716942</v>
          </cell>
          <cell r="CB18">
            <v>401.13778089777503</v>
          </cell>
          <cell r="CC18">
            <v>100.9741053903204</v>
          </cell>
          <cell r="CD18">
            <v>102.45892662199307</v>
          </cell>
          <cell r="CE18">
            <v>102.47402758034195</v>
          </cell>
          <cell r="CF18">
            <v>107.79465880769969</v>
          </cell>
          <cell r="CG18">
            <v>413.70171840035511</v>
          </cell>
        </row>
        <row r="19">
          <cell r="B19" t="str">
            <v>Brand</v>
          </cell>
          <cell r="AP19">
            <v>2.2320000000000007</v>
          </cell>
          <cell r="AQ19">
            <v>2.7590000000000008</v>
          </cell>
          <cell r="AR19">
            <v>2.6040000000000005</v>
          </cell>
          <cell r="AS19">
            <v>7.5950000000000024</v>
          </cell>
          <cell r="AT19">
            <v>2.4360000000000004</v>
          </cell>
          <cell r="AU19">
            <v>2.5810000000000004</v>
          </cell>
          <cell r="AV19">
            <v>2.8710000000000004</v>
          </cell>
          <cell r="AW19">
            <v>3.1080000000000001</v>
          </cell>
          <cell r="AX19">
            <v>10.996000000000002</v>
          </cell>
          <cell r="AY19">
            <v>3.1589999999999998</v>
          </cell>
          <cell r="AZ19">
            <v>2.95</v>
          </cell>
          <cell r="BA19">
            <v>2.8559999999999999</v>
          </cell>
          <cell r="BB19">
            <v>2.8979999999999997</v>
          </cell>
          <cell r="BC19">
            <v>11.863</v>
          </cell>
          <cell r="BD19">
            <v>4.7498999999999993</v>
          </cell>
          <cell r="BE19">
            <v>4.9908075143778277</v>
          </cell>
          <cell r="BF19">
            <v>5.0140413430120354</v>
          </cell>
          <cell r="BG19">
            <v>5.0733514670012587</v>
          </cell>
          <cell r="BH19">
            <v>19.828100324391123</v>
          </cell>
          <cell r="BI19">
            <v>6.8799999999999981</v>
          </cell>
          <cell r="BJ19">
            <v>6.3079999999999989</v>
          </cell>
          <cell r="BK19">
            <v>10.880000000000003</v>
          </cell>
          <cell r="BL19">
            <v>11.441000000000004</v>
          </cell>
          <cell r="BM19">
            <v>35.509</v>
          </cell>
          <cell r="BN19">
            <v>11.288000000000004</v>
          </cell>
          <cell r="BO19">
            <v>10.880000000000003</v>
          </cell>
          <cell r="BP19">
            <v>11.120000000000003</v>
          </cell>
          <cell r="BQ19">
            <v>11.63287718212427</v>
          </cell>
          <cell r="BR19">
            <v>44.920877182124279</v>
          </cell>
          <cell r="BS19">
            <v>12.77730211756203</v>
          </cell>
          <cell r="BT19">
            <v>13.27931565573574</v>
          </cell>
          <cell r="BU19">
            <v>12.716389496893084</v>
          </cell>
          <cell r="BV19">
            <v>13.454083069322962</v>
          </cell>
          <cell r="BW19">
            <v>52.227090339513815</v>
          </cell>
          <cell r="BX19">
            <v>11.990942388647507</v>
          </cell>
          <cell r="BY19">
            <v>12.894833087064427</v>
          </cell>
          <cell r="BZ19">
            <v>12.96538214368247</v>
          </cell>
          <cell r="CA19">
            <v>13.624081765330628</v>
          </cell>
          <cell r="CB19">
            <v>51.475239384725036</v>
          </cell>
          <cell r="CC19">
            <v>14.525894609679607</v>
          </cell>
          <cell r="CD19">
            <v>14.427073378006936</v>
          </cell>
          <cell r="CE19">
            <v>14.180972419658069</v>
          </cell>
          <cell r="CF19">
            <v>14.537166192300317</v>
          </cell>
          <cell r="CG19">
            <v>57.671106599644929</v>
          </cell>
        </row>
        <row r="20">
          <cell r="B20" t="str">
            <v>CHSI Scripts</v>
          </cell>
          <cell r="N20">
            <v>0.5</v>
          </cell>
          <cell r="O20">
            <v>0.5</v>
          </cell>
          <cell r="P20">
            <v>2</v>
          </cell>
          <cell r="Q20">
            <v>2</v>
          </cell>
          <cell r="R20">
            <v>2.2000000000000002</v>
          </cell>
          <cell r="S20">
            <v>2.2999999999999998</v>
          </cell>
          <cell r="T20">
            <v>8.5</v>
          </cell>
          <cell r="U20">
            <v>2.4</v>
          </cell>
          <cell r="V20">
            <v>2.6</v>
          </cell>
          <cell r="W20">
            <v>3.7</v>
          </cell>
          <cell r="X20">
            <v>3.9</v>
          </cell>
          <cell r="Y20">
            <v>12.6</v>
          </cell>
          <cell r="Z20">
            <v>4.3</v>
          </cell>
          <cell r="AA20">
            <v>4.4000000000000004</v>
          </cell>
          <cell r="AB20">
            <v>4.0999999999999996</v>
          </cell>
          <cell r="AC20">
            <v>4.2</v>
          </cell>
          <cell r="AD20">
            <v>17</v>
          </cell>
          <cell r="AE20">
            <v>5.5</v>
          </cell>
          <cell r="AF20">
            <v>5.9</v>
          </cell>
          <cell r="AG20">
            <v>8.6</v>
          </cell>
          <cell r="AH20">
            <v>9</v>
          </cell>
          <cell r="AI20">
            <v>29</v>
          </cell>
          <cell r="AJ20">
            <v>9.6999999999999993</v>
          </cell>
          <cell r="AK20">
            <v>9.6</v>
          </cell>
          <cell r="AL20">
            <v>11.505000000000001</v>
          </cell>
          <cell r="AM20">
            <v>12.275</v>
          </cell>
          <cell r="AN20">
            <v>44.301000000000002</v>
          </cell>
          <cell r="AO20">
            <v>13.644</v>
          </cell>
          <cell r="AP20">
            <v>13.266</v>
          </cell>
          <cell r="AQ20">
            <v>14.137</v>
          </cell>
          <cell r="AR20">
            <v>14.712999999999999</v>
          </cell>
          <cell r="AS20">
            <v>55.76</v>
          </cell>
          <cell r="AT20">
            <v>14.786</v>
          </cell>
          <cell r="AU20">
            <v>14.904</v>
          </cell>
          <cell r="AV20">
            <v>13.897</v>
          </cell>
          <cell r="AW20">
            <v>15.582000000000001</v>
          </cell>
          <cell r="AX20">
            <v>59.168999999999997</v>
          </cell>
          <cell r="AY20">
            <v>17.545000000000002</v>
          </cell>
          <cell r="AZ20">
            <v>17.838999999999999</v>
          </cell>
          <cell r="BA20">
            <v>18.704000000000001</v>
          </cell>
          <cell r="BB20">
            <v>24.638000000000002</v>
          </cell>
          <cell r="BC20">
            <v>78.725999999999999</v>
          </cell>
          <cell r="BD20">
            <v>22.698</v>
          </cell>
          <cell r="BE20">
            <v>26.042999999999999</v>
          </cell>
          <cell r="BF20">
            <v>30.395</v>
          </cell>
          <cell r="BG20">
            <v>32.057000000000002</v>
          </cell>
          <cell r="BH20">
            <v>111.193</v>
          </cell>
          <cell r="BI20">
            <v>30.658999999999999</v>
          </cell>
          <cell r="BJ20">
            <v>34.163670000000003</v>
          </cell>
          <cell r="BK20">
            <v>33.535899999999998</v>
          </cell>
          <cell r="BL20">
            <v>34.61177</v>
          </cell>
          <cell r="BM20">
            <v>132.97033999999999</v>
          </cell>
          <cell r="BN20">
            <v>33.102356940137874</v>
          </cell>
          <cell r="BO20">
            <v>36.886330236637868</v>
          </cell>
          <cell r="BP20">
            <v>36.218772000000001</v>
          </cell>
          <cell r="BQ20">
            <v>37.899888150000002</v>
          </cell>
          <cell r="BR20">
            <v>144.10734732677574</v>
          </cell>
          <cell r="BS20">
            <v>46.343299716193023</v>
          </cell>
          <cell r="BT20">
            <v>55.329495354956805</v>
          </cell>
          <cell r="BU20">
            <v>54.328158000000002</v>
          </cell>
          <cell r="BV20">
            <v>56.849832225</v>
          </cell>
          <cell r="BW20">
            <v>212.85078529614984</v>
          </cell>
          <cell r="BX20">
            <v>50.977629687812332</v>
          </cell>
          <cell r="BY20">
            <v>60.862444890452487</v>
          </cell>
          <cell r="BZ20">
            <v>59.760973800000009</v>
          </cell>
          <cell r="CA20">
            <v>62.534815447500009</v>
          </cell>
          <cell r="CB20">
            <v>234.13586382576483</v>
          </cell>
          <cell r="CC20">
            <v>57.580154014848269</v>
          </cell>
          <cell r="CD20">
            <v>63.404347000583151</v>
          </cell>
          <cell r="CE20">
            <v>60.79281795194246</v>
          </cell>
          <cell r="CF20">
            <v>50.3405264352375</v>
          </cell>
          <cell r="CG20">
            <v>232.11784540261138</v>
          </cell>
        </row>
        <row r="21">
          <cell r="B21" t="str">
            <v>SXCI Scripts</v>
          </cell>
          <cell r="AP21">
            <v>7.2</v>
          </cell>
          <cell r="AQ21">
            <v>8.9</v>
          </cell>
          <cell r="AR21">
            <v>8.4</v>
          </cell>
          <cell r="AS21">
            <v>24.5</v>
          </cell>
          <cell r="AT21">
            <v>8.4</v>
          </cell>
          <cell r="AU21">
            <v>8.9</v>
          </cell>
          <cell r="AV21">
            <v>9.9</v>
          </cell>
          <cell r="AW21">
            <v>11.1</v>
          </cell>
          <cell r="AX21">
            <v>38.300000000000004</v>
          </cell>
          <cell r="AY21">
            <v>11.7</v>
          </cell>
          <cell r="AZ21">
            <v>11.8</v>
          </cell>
          <cell r="BA21">
            <v>11.9</v>
          </cell>
          <cell r="BB21">
            <v>12.6</v>
          </cell>
          <cell r="BC21">
            <v>48</v>
          </cell>
          <cell r="BD21">
            <v>21.3</v>
          </cell>
          <cell r="BE21">
            <v>22.8</v>
          </cell>
          <cell r="BF21">
            <v>23.3</v>
          </cell>
          <cell r="BG21">
            <v>24.299999999999997</v>
          </cell>
          <cell r="BH21">
            <v>91.7</v>
          </cell>
          <cell r="BI21">
            <v>34.4</v>
          </cell>
          <cell r="BJ21">
            <v>33.200000000000003</v>
          </cell>
          <cell r="BK21">
            <v>30.464100000000002</v>
          </cell>
          <cell r="BL21">
            <v>32.688230000000011</v>
          </cell>
          <cell r="BM21">
            <v>130.75233</v>
          </cell>
          <cell r="BN21">
            <v>33.297643059862132</v>
          </cell>
          <cell r="BO21">
            <v>31.113669763362132</v>
          </cell>
          <cell r="BP21">
            <v>33.281227999999999</v>
          </cell>
          <cell r="BQ21">
            <v>36.937699900000013</v>
          </cell>
          <cell r="BR21">
            <v>134.63024072322429</v>
          </cell>
          <cell r="BS21">
            <v>46.616700283806985</v>
          </cell>
          <cell r="BT21">
            <v>46.670504645043195</v>
          </cell>
          <cell r="BU21">
            <v>49.921841999999998</v>
          </cell>
          <cell r="BV21">
            <v>55.406549850000019</v>
          </cell>
          <cell r="BW21">
            <v>198.6155967788502</v>
          </cell>
          <cell r="BX21">
            <v>51.27837031218769</v>
          </cell>
          <cell r="BY21">
            <v>51.337555109547516</v>
          </cell>
          <cell r="BZ21">
            <v>54.914026200000002</v>
          </cell>
          <cell r="CA21">
            <v>60.947204835000022</v>
          </cell>
          <cell r="CB21">
            <v>218.4771564567352</v>
          </cell>
          <cell r="CC21">
            <v>57.919845985151753</v>
          </cell>
          <cell r="CD21">
            <v>53.481652999416866</v>
          </cell>
          <cell r="CE21">
            <v>55.862182048057569</v>
          </cell>
          <cell r="CF21">
            <v>71.991298564762488</v>
          </cell>
          <cell r="CG21">
            <v>239.25497959738868</v>
          </cell>
        </row>
        <row r="22">
          <cell r="B22" t="str">
            <v>Total Claims</v>
          </cell>
          <cell r="AP22">
            <v>7.2</v>
          </cell>
          <cell r="AQ22">
            <v>8.9</v>
          </cell>
          <cell r="AR22">
            <v>8.4</v>
          </cell>
          <cell r="AS22">
            <v>24.5</v>
          </cell>
          <cell r="AT22">
            <v>8.4</v>
          </cell>
          <cell r="AU22">
            <v>8.9</v>
          </cell>
          <cell r="AV22">
            <v>9.9</v>
          </cell>
          <cell r="AW22">
            <v>11.1</v>
          </cell>
          <cell r="AX22">
            <v>38.300000000000004</v>
          </cell>
          <cell r="AY22">
            <v>11.7</v>
          </cell>
          <cell r="AZ22">
            <v>11.8</v>
          </cell>
          <cell r="BA22">
            <v>11.9</v>
          </cell>
          <cell r="BB22">
            <v>12.6</v>
          </cell>
          <cell r="BC22">
            <v>48</v>
          </cell>
          <cell r="BD22">
            <v>21.3</v>
          </cell>
          <cell r="BE22">
            <v>22.8</v>
          </cell>
          <cell r="BF22">
            <v>23.3</v>
          </cell>
          <cell r="BG22">
            <v>24.299999999999997</v>
          </cell>
          <cell r="BH22">
            <v>91.7</v>
          </cell>
          <cell r="BI22">
            <v>34.4</v>
          </cell>
          <cell r="BJ22">
            <v>33.200000000000003</v>
          </cell>
          <cell r="BK22">
            <v>64</v>
          </cell>
          <cell r="BL22">
            <v>67.300000000000011</v>
          </cell>
          <cell r="BM22">
            <v>198.9</v>
          </cell>
          <cell r="BN22">
            <v>66.400000000000006</v>
          </cell>
          <cell r="BO22">
            <v>68</v>
          </cell>
          <cell r="BP22">
            <v>69.5</v>
          </cell>
          <cell r="BQ22">
            <v>74.837588050000022</v>
          </cell>
          <cell r="BR22">
            <v>278.73758805</v>
          </cell>
          <cell r="BS22">
            <v>92.960000000000008</v>
          </cell>
          <cell r="BT22">
            <v>102</v>
          </cell>
          <cell r="BU22">
            <v>104.25</v>
          </cell>
          <cell r="BV22">
            <v>112.25638207500003</v>
          </cell>
          <cell r="BW22">
            <v>411.46638207500007</v>
          </cell>
          <cell r="BX22">
            <v>102.25600000000001</v>
          </cell>
          <cell r="BY22">
            <v>112.2</v>
          </cell>
          <cell r="BZ22">
            <v>114.67500000000001</v>
          </cell>
          <cell r="CA22">
            <v>123.48202028250005</v>
          </cell>
          <cell r="CB22">
            <v>452.61302028250009</v>
          </cell>
          <cell r="CC22">
            <v>115.50000000000001</v>
          </cell>
          <cell r="CD22">
            <v>116.88600000000001</v>
          </cell>
          <cell r="CE22">
            <v>116.65500000000002</v>
          </cell>
          <cell r="CF22">
            <v>122.33182500000001</v>
          </cell>
          <cell r="CG22">
            <v>471.37282500000003</v>
          </cell>
        </row>
        <row r="24">
          <cell r="B24" t="str">
            <v xml:space="preserve">Y/Y Organic Growth - Claims </v>
          </cell>
        </row>
        <row r="25">
          <cell r="B25" t="str">
            <v>Generic</v>
          </cell>
          <cell r="AU25">
            <v>0.2719404186795491</v>
          </cell>
          <cell r="AV25">
            <v>0.14460185637518319</v>
          </cell>
          <cell r="AW25">
            <v>0.37888198757763969</v>
          </cell>
          <cell r="AX25">
            <v>0.61514344868382098</v>
          </cell>
          <cell r="AY25">
            <v>0.43209255533199187</v>
          </cell>
          <cell r="AZ25">
            <v>0.40053805981959201</v>
          </cell>
          <cell r="BA25">
            <v>0.28666951202162472</v>
          </cell>
          <cell r="BB25">
            <v>0.21396396396396411</v>
          </cell>
          <cell r="BC25">
            <v>0.32350571344857926</v>
          </cell>
          <cell r="BD25">
            <v>0.93772391991570103</v>
          </cell>
          <cell r="BE25">
            <v>1.0123381339686066</v>
          </cell>
          <cell r="BF25">
            <v>1.0218883963940693</v>
          </cell>
          <cell r="BG25">
            <v>0.98172011265705406</v>
          </cell>
          <cell r="BH25">
            <v>0.98887289137473733</v>
          </cell>
          <cell r="BI25">
            <v>0.66282983184391631</v>
          </cell>
          <cell r="BJ25">
            <v>0.51000670141055626</v>
          </cell>
          <cell r="BK25">
            <v>1.9049611779418645</v>
          </cell>
          <cell r="BL25">
            <v>1.9052905348599412</v>
          </cell>
          <cell r="BM25">
            <v>1.2733641484009626</v>
          </cell>
          <cell r="BN25">
            <v>1.0026162790697675</v>
          </cell>
          <cell r="BO25">
            <v>1.1240517626059789</v>
          </cell>
          <cell r="BP25">
            <v>9.9021084337349352E-2</v>
          </cell>
          <cell r="BQ25">
            <v>0.13150451794474916</v>
          </cell>
          <cell r="BR25">
            <v>0.4310256431986812</v>
          </cell>
          <cell r="BS25">
            <v>0.4549045195681154</v>
          </cell>
          <cell r="BT25">
            <v>0.55323326933235739</v>
          </cell>
          <cell r="BU25">
            <v>0.5678932939894985</v>
          </cell>
          <cell r="BV25">
            <v>0.56321099565213029</v>
          </cell>
          <cell r="BW25">
            <v>0.53641410146464596</v>
          </cell>
          <cell r="BX25">
            <v>0.125742335880205</v>
          </cell>
          <cell r="BY25">
            <v>0.11930118265995548</v>
          </cell>
          <cell r="BZ25">
            <v>0.11117235840779194</v>
          </cell>
          <cell r="CA25">
            <v>0.11189658158518245</v>
          </cell>
          <cell r="CB25">
            <v>0.11663114287938003</v>
          </cell>
          <cell r="CC25">
            <v>6.1558498278938334E-2</v>
          </cell>
          <cell r="CD25">
            <v>6.152734770653967E-2</v>
          </cell>
          <cell r="CE25">
            <v>6.1502602892209435E-2</v>
          </cell>
          <cell r="CF25">
            <v>6.1466583826843779E-2</v>
          </cell>
          <cell r="CG25">
            <v>6.1512987680893527E-2</v>
          </cell>
        </row>
        <row r="26">
          <cell r="B26" t="str">
            <v>Brand</v>
          </cell>
          <cell r="AU26">
            <v>0.15636200716845861</v>
          </cell>
          <cell r="AV26">
            <v>4.0594418267487997E-2</v>
          </cell>
          <cell r="AW26">
            <v>0.19354838709677402</v>
          </cell>
          <cell r="AX26">
            <v>0.44779460171165231</v>
          </cell>
          <cell r="AY26">
            <v>0.29679802955664991</v>
          </cell>
          <cell r="AZ26">
            <v>0.14296784192173573</v>
          </cell>
          <cell r="BA26">
            <v>-5.2246603970743655E-3</v>
          </cell>
          <cell r="BB26">
            <v>-6.7567567567567655E-2</v>
          </cell>
          <cell r="BC26">
            <v>7.8846853401236539E-2</v>
          </cell>
          <cell r="BD26">
            <v>0.50360873694207009</v>
          </cell>
          <cell r="BE26">
            <v>0.69179915741621256</v>
          </cell>
          <cell r="BF26">
            <v>0.75561671674090891</v>
          </cell>
          <cell r="BG26">
            <v>0.75063887750215996</v>
          </cell>
          <cell r="BH26">
            <v>0.67142378187567431</v>
          </cell>
          <cell r="BI26">
            <v>0.44845154634834405</v>
          </cell>
          <cell r="BJ26">
            <v>0.26392372012495402</v>
          </cell>
          <cell r="BK26">
            <v>1.1699063202107878</v>
          </cell>
          <cell r="BL26">
            <v>1.255116775255178</v>
          </cell>
          <cell r="BM26">
            <v>0.79084226017957682</v>
          </cell>
          <cell r="BN26">
            <v>0.6406976744186057</v>
          </cell>
          <cell r="BO26">
            <v>0.72479391249207414</v>
          </cell>
          <cell r="BP26">
            <v>2.2058823529411686E-2</v>
          </cell>
          <cell r="BQ26">
            <v>1.6771014957107422E-2</v>
          </cell>
          <cell r="BR26">
            <v>0.26505610358287424</v>
          </cell>
          <cell r="BS26">
            <v>0.13193675740273081</v>
          </cell>
          <cell r="BT26">
            <v>0.22052533600512292</v>
          </cell>
          <cell r="BU26">
            <v>0.14356020655513313</v>
          </cell>
          <cell r="BV26">
            <v>0.1565567880315335</v>
          </cell>
          <cell r="BW26">
            <v>0.16264627085904171</v>
          </cell>
          <cell r="BX26">
            <v>-6.1543487168053579E-2</v>
          </cell>
          <cell r="BY26">
            <v>-2.8953492682828319E-2</v>
          </cell>
          <cell r="BZ26">
            <v>1.9580451420603273E-2</v>
          </cell>
          <cell r="CA26">
            <v>1.2635472453361274E-2</v>
          </cell>
          <cell r="CB26">
            <v>-1.4395803976465227E-2</v>
          </cell>
          <cell r="CC26">
            <v>-2.3880147227098081E-2</v>
          </cell>
          <cell r="CD26">
            <v>-2.5178694478445118E-2</v>
          </cell>
          <cell r="CE26">
            <v>-2.624844985510244E-2</v>
          </cell>
          <cell r="CF26">
            <v>-2.7869897324319215E-2</v>
          </cell>
          <cell r="CG26">
            <v>-2.5795253378367855E-2</v>
          </cell>
        </row>
        <row r="27">
          <cell r="B27" t="str">
            <v>Total adjusted claims - CHSI</v>
          </cell>
          <cell r="AT27">
            <v>8.3699794781588954E-2</v>
          </cell>
          <cell r="AU27">
            <v>0.12347354138398914</v>
          </cell>
          <cell r="AV27">
            <v>-1.6976727735729003E-2</v>
          </cell>
          <cell r="AW27">
            <v>5.9063413307959056E-2</v>
          </cell>
          <cell r="AX27">
            <v>6.1137015781922432E-2</v>
          </cell>
          <cell r="AY27">
            <v>0.1865954281076696</v>
          </cell>
          <cell r="AZ27">
            <v>0.19692699946323122</v>
          </cell>
          <cell r="BA27">
            <v>0.34590199323595017</v>
          </cell>
          <cell r="BB27">
            <v>0.58118341676293173</v>
          </cell>
          <cell r="BC27">
            <v>0.33052781017086663</v>
          </cell>
          <cell r="BD27">
            <v>0.29370190937589036</v>
          </cell>
          <cell r="BE27">
            <v>0.45989124950950178</v>
          </cell>
          <cell r="BF27">
            <v>0.62505346449957222</v>
          </cell>
          <cell r="BG27">
            <v>0.30112022079714262</v>
          </cell>
          <cell r="BH27">
            <v>0.41240505042806697</v>
          </cell>
          <cell r="BI27">
            <v>0.350735747642964</v>
          </cell>
          <cell r="BJ27">
            <v>0.31181776293053809</v>
          </cell>
          <cell r="BK27">
            <v>0.10333607501233755</v>
          </cell>
          <cell r="BL27">
            <v>7.9694606482203501E-2</v>
          </cell>
          <cell r="BM27">
            <v>0.19585171728436146</v>
          </cell>
          <cell r="BN27">
            <v>7.9694606482203501E-2</v>
          </cell>
          <cell r="BO27">
            <v>7.9694606482203501E-2</v>
          </cell>
          <cell r="BP27">
            <v>0.08</v>
          </cell>
          <cell r="BQ27">
            <v>9.5000000000000001E-2</v>
          </cell>
          <cell r="BR27">
            <v>8.3755575316839526E-2</v>
          </cell>
          <cell r="BS27">
            <v>0.4</v>
          </cell>
          <cell r="BT27">
            <v>0.5</v>
          </cell>
          <cell r="BU27">
            <v>0.5</v>
          </cell>
          <cell r="BV27">
            <v>0.5</v>
          </cell>
          <cell r="BW27">
            <v>0.47702937597964712</v>
          </cell>
          <cell r="BX27">
            <v>0.1</v>
          </cell>
          <cell r="BY27">
            <v>0.1</v>
          </cell>
          <cell r="BZ27">
            <v>0.1</v>
          </cell>
          <cell r="CA27">
            <v>0.1</v>
          </cell>
          <cell r="CB27">
            <v>0.10000000000000009</v>
          </cell>
          <cell r="CC27">
            <v>0.05</v>
          </cell>
          <cell r="CD27">
            <v>0.05</v>
          </cell>
          <cell r="CE27">
            <v>0.05</v>
          </cell>
          <cell r="CF27">
            <v>0.05</v>
          </cell>
          <cell r="CG27">
            <v>5.0000000000000044E-2</v>
          </cell>
        </row>
        <row r="28">
          <cell r="B28" t="str">
            <v>Total adjusted claims - SXCI</v>
          </cell>
          <cell r="AT28" t="e">
            <v>#DIV/0!</v>
          </cell>
          <cell r="AU28">
            <v>0.23611111111111116</v>
          </cell>
          <cell r="AV28">
            <v>0.11235955056179781</v>
          </cell>
          <cell r="AW28">
            <v>0.3214285714285714</v>
          </cell>
          <cell r="AX28">
            <v>0.56326530612244907</v>
          </cell>
          <cell r="AY28">
            <v>0.39285714285714279</v>
          </cell>
          <cell r="AZ28">
            <v>0.32584269662921361</v>
          </cell>
          <cell r="BA28">
            <v>0.20202020202020199</v>
          </cell>
          <cell r="BB28">
            <v>0.13513513513513509</v>
          </cell>
          <cell r="BC28">
            <v>0.25326370757180139</v>
          </cell>
          <cell r="BD28">
            <v>0.82051282051282071</v>
          </cell>
          <cell r="BE28">
            <v>0.93220338983050843</v>
          </cell>
          <cell r="BF28">
            <v>0.95798319327731085</v>
          </cell>
          <cell r="BG28">
            <v>0.92857142857142838</v>
          </cell>
          <cell r="BH28">
            <v>0.91041666666666665</v>
          </cell>
          <cell r="BI28">
            <v>0.61502347417840353</v>
          </cell>
          <cell r="BJ28">
            <v>0.31181776293053809</v>
          </cell>
          <cell r="BK28">
            <v>0.10333607501233755</v>
          </cell>
          <cell r="BL28">
            <v>0.315</v>
          </cell>
          <cell r="BM28">
            <v>0.4258705561613958</v>
          </cell>
          <cell r="BN28">
            <v>0.315</v>
          </cell>
          <cell r="BO28">
            <v>0.315</v>
          </cell>
          <cell r="BP28">
            <v>9.2473698550096461E-2</v>
          </cell>
          <cell r="BQ28">
            <v>0.13</v>
          </cell>
          <cell r="BR28">
            <v>2.965844450515176E-2</v>
          </cell>
          <cell r="BS28">
            <v>0.4</v>
          </cell>
          <cell r="BT28">
            <v>0.5</v>
          </cell>
          <cell r="BU28">
            <v>0.5</v>
          </cell>
          <cell r="BV28">
            <v>0.5</v>
          </cell>
          <cell r="BW28">
            <v>0.47526733750085448</v>
          </cell>
          <cell r="BX28">
            <v>0.1</v>
          </cell>
          <cell r="BY28">
            <v>0.1</v>
          </cell>
          <cell r="BZ28">
            <v>0.1</v>
          </cell>
          <cell r="CA28">
            <v>0.1</v>
          </cell>
          <cell r="CB28">
            <v>9.9999999999999867E-2</v>
          </cell>
          <cell r="CC28">
            <v>0.05</v>
          </cell>
          <cell r="CD28">
            <v>0.05</v>
          </cell>
          <cell r="CE28">
            <v>0.05</v>
          </cell>
          <cell r="CF28">
            <v>0.05</v>
          </cell>
          <cell r="CG28">
            <v>5.0000000000000044E-2</v>
          </cell>
        </row>
        <row r="29">
          <cell r="B29" t="str">
            <v>Total adjusted claims - as reported</v>
          </cell>
          <cell r="AU29">
            <v>0.23611111111111116</v>
          </cell>
          <cell r="AV29">
            <v>0.11235955056179781</v>
          </cell>
          <cell r="AW29">
            <v>0.3214285714285714</v>
          </cell>
          <cell r="AX29">
            <v>0.56326530612244907</v>
          </cell>
          <cell r="AY29">
            <v>0.39285714285714279</v>
          </cell>
          <cell r="AZ29">
            <v>0.32584269662921361</v>
          </cell>
          <cell r="BA29">
            <v>0.20202020202020199</v>
          </cell>
          <cell r="BB29">
            <v>0.13513513513513509</v>
          </cell>
          <cell r="BC29">
            <v>0.25326370757180139</v>
          </cell>
          <cell r="BD29">
            <v>0.82051282051282071</v>
          </cell>
          <cell r="BE29">
            <v>0.93220338983050843</v>
          </cell>
          <cell r="BF29">
            <v>0.95798319327731085</v>
          </cell>
          <cell r="BG29">
            <v>0.92857142857142838</v>
          </cell>
          <cell r="BH29">
            <v>0.91041666666666665</v>
          </cell>
          <cell r="BI29">
            <v>0.61502347417840353</v>
          </cell>
          <cell r="BJ29">
            <v>0.45614035087719307</v>
          </cell>
          <cell r="BK29">
            <v>1.7467811158798283</v>
          </cell>
          <cell r="BL29">
            <v>1.7695473251028813</v>
          </cell>
          <cell r="BM29">
            <v>1.1690294438386042</v>
          </cell>
          <cell r="BN29">
            <v>0.9302325581395352</v>
          </cell>
          <cell r="BO29">
            <v>1.0481927710843371</v>
          </cell>
          <cell r="BP29">
            <v>8.59375E-2</v>
          </cell>
          <cell r="BQ29">
            <v>0.11199982243685014</v>
          </cell>
          <cell r="BR29">
            <v>0.40139561613876307</v>
          </cell>
          <cell r="BS29">
            <v>0.4</v>
          </cell>
          <cell r="BT29">
            <v>0.5</v>
          </cell>
          <cell r="BU29">
            <v>0.5</v>
          </cell>
          <cell r="BV29">
            <v>0.5</v>
          </cell>
          <cell r="BW29">
            <v>0.47617831148481904</v>
          </cell>
          <cell r="BX29">
            <v>0.1</v>
          </cell>
          <cell r="BY29">
            <v>0.1</v>
          </cell>
          <cell r="BZ29">
            <v>0.1</v>
          </cell>
          <cell r="CA29">
            <v>0.1</v>
          </cell>
          <cell r="CB29">
            <v>0.10000000000000009</v>
          </cell>
          <cell r="CC29">
            <v>0.05</v>
          </cell>
          <cell r="CD29">
            <v>0.05</v>
          </cell>
          <cell r="CE29">
            <v>0.05</v>
          </cell>
          <cell r="CF29">
            <v>0.05</v>
          </cell>
          <cell r="CG29">
            <v>5.0000000000000044E-2</v>
          </cell>
        </row>
        <row r="30">
          <cell r="B30" t="str">
            <v>Revenues Mix by channel &amp; Product (IMS Market data)</v>
          </cell>
        </row>
        <row r="31">
          <cell r="B31" t="str">
            <v>Total - % generic sales</v>
          </cell>
          <cell r="AP31">
            <v>0.21279071955469919</v>
          </cell>
          <cell r="AQ31">
            <v>0.22736880823718941</v>
          </cell>
          <cell r="AR31">
            <v>0.2276780159485835</v>
          </cell>
          <cell r="AS31">
            <v>0.22360761111272659</v>
          </cell>
          <cell r="AT31">
            <v>0.22837365083882144</v>
          </cell>
          <cell r="AU31">
            <v>0.22708327134089834</v>
          </cell>
          <cell r="AV31">
            <v>0.2297570075944606</v>
          </cell>
          <cell r="AW31">
            <v>0.23898113459252512</v>
          </cell>
          <cell r="AX31">
            <v>0.23176932636236697</v>
          </cell>
          <cell r="AY31">
            <v>0.24324100159152362</v>
          </cell>
          <cell r="AZ31">
            <v>0.25153712583905452</v>
          </cell>
          <cell r="BA31">
            <v>0.26025898847342133</v>
          </cell>
          <cell r="BB31">
            <v>0.26206853992918733</v>
          </cell>
          <cell r="BC31">
            <v>0.25466221763258917</v>
          </cell>
          <cell r="BD31">
            <v>0.26492349473724808</v>
          </cell>
          <cell r="BE31">
            <v>0.26492349473724808</v>
          </cell>
          <cell r="BF31">
            <v>0.26677601122536526</v>
          </cell>
          <cell r="BG31">
            <v>0.2636190816386646</v>
          </cell>
          <cell r="BH31">
            <v>0.26504058559543897</v>
          </cell>
          <cell r="BI31">
            <v>0.26902186711972309</v>
          </cell>
          <cell r="BJ31">
            <v>0.27910068003384092</v>
          </cell>
          <cell r="BK31">
            <v>0.28164297908131858</v>
          </cell>
          <cell r="BL31">
            <v>0.29499999999999998</v>
          </cell>
          <cell r="BM31">
            <v>0.28353681386552698</v>
          </cell>
          <cell r="BN31">
            <v>0.28999999999999998</v>
          </cell>
          <cell r="BO31">
            <v>0.308523446832357</v>
          </cell>
          <cell r="BP31">
            <v>0.26808999999999999</v>
          </cell>
          <cell r="BQ31">
            <v>0.30988148593563652</v>
          </cell>
          <cell r="BR31">
            <v>0.29432164354349599</v>
          </cell>
          <cell r="BS31">
            <v>0.34425881656446988</v>
          </cell>
          <cell r="BT31">
            <v>0.36216674079922967</v>
          </cell>
          <cell r="BU31">
            <v>0.33431163609408587</v>
          </cell>
          <cell r="BV31">
            <v>0.37768669008365308</v>
          </cell>
          <cell r="BW31">
            <v>0.35547989265746227</v>
          </cell>
          <cell r="BX31">
            <v>0.38641402553734583</v>
          </cell>
          <cell r="BY31">
            <v>0.39558706674764865</v>
          </cell>
          <cell r="BZ31">
            <v>0.35372081932363753</v>
          </cell>
          <cell r="CA31">
            <v>0.39990335506254865</v>
          </cell>
          <cell r="CB31">
            <v>0.38408297239979489</v>
          </cell>
          <cell r="CC31">
            <v>0.36804576880287826</v>
          </cell>
          <cell r="CD31">
            <v>0.36220867230760151</v>
          </cell>
          <cell r="CE31">
            <v>0.32036009410031541</v>
          </cell>
          <cell r="CF31">
            <v>0.34085147667724897</v>
          </cell>
          <cell r="CG31">
            <v>0.34713161910828877</v>
          </cell>
        </row>
        <row r="32">
          <cell r="B32" t="str">
            <v>Total - % brand sales</v>
          </cell>
          <cell r="AP32">
            <v>0.78720928044530081</v>
          </cell>
          <cell r="AQ32">
            <v>0.77263119176281059</v>
          </cell>
          <cell r="AR32">
            <v>0.7723219840514165</v>
          </cell>
          <cell r="AS32">
            <v>0.77639238888727347</v>
          </cell>
          <cell r="AT32">
            <v>0.77162634916117856</v>
          </cell>
          <cell r="AU32">
            <v>0.77291672865910166</v>
          </cell>
          <cell r="AV32">
            <v>0.7702429924055394</v>
          </cell>
          <cell r="AW32">
            <v>0.76101886540747488</v>
          </cell>
          <cell r="AX32">
            <v>0.76823067363763298</v>
          </cell>
          <cell r="AY32">
            <v>0.75675899840847638</v>
          </cell>
          <cell r="AZ32">
            <v>0.74846287416094548</v>
          </cell>
          <cell r="BA32">
            <v>0.73974101152657867</v>
          </cell>
          <cell r="BB32">
            <v>0.73793146007081267</v>
          </cell>
          <cell r="BC32">
            <v>0.74533778236741077</v>
          </cell>
          <cell r="BD32">
            <v>0.73507650526275192</v>
          </cell>
          <cell r="BE32">
            <v>0.73507650526275192</v>
          </cell>
          <cell r="BF32">
            <v>0.73322398877463479</v>
          </cell>
          <cell r="BG32">
            <v>0.73638091836133546</v>
          </cell>
          <cell r="BH32">
            <v>0.73495941440456103</v>
          </cell>
          <cell r="BI32">
            <v>0.73097813288027691</v>
          </cell>
          <cell r="BJ32">
            <v>0.72089931996615908</v>
          </cell>
          <cell r="BK32">
            <v>0.71835702091868137</v>
          </cell>
          <cell r="BL32">
            <v>0.70500000000000007</v>
          </cell>
          <cell r="BM32">
            <v>0.71646318613447302</v>
          </cell>
          <cell r="BN32">
            <v>0.71</v>
          </cell>
          <cell r="BO32">
            <v>0.691476553167643</v>
          </cell>
          <cell r="BP32">
            <v>0.73191000000000006</v>
          </cell>
          <cell r="BQ32">
            <v>0.69011851406436353</v>
          </cell>
          <cell r="BR32">
            <v>0.70567835645650401</v>
          </cell>
          <cell r="BS32">
            <v>0.65574118343553012</v>
          </cell>
          <cell r="BT32">
            <v>0.63783325920077028</v>
          </cell>
          <cell r="BU32">
            <v>0.66568836390591413</v>
          </cell>
          <cell r="BV32">
            <v>0.62231330991634692</v>
          </cell>
          <cell r="BW32">
            <v>0.64452010734253773</v>
          </cell>
          <cell r="BX32">
            <v>0.61358597446265417</v>
          </cell>
          <cell r="BY32">
            <v>0.60441293325235135</v>
          </cell>
          <cell r="BZ32">
            <v>0.64627918067636247</v>
          </cell>
          <cell r="CA32">
            <v>0.60009664493745141</v>
          </cell>
          <cell r="CB32">
            <v>0.61591702760020506</v>
          </cell>
          <cell r="CC32">
            <v>0.6319542311971218</v>
          </cell>
          <cell r="CD32">
            <v>0.63779132769239855</v>
          </cell>
          <cell r="CE32">
            <v>0.67963990589968459</v>
          </cell>
          <cell r="CF32">
            <v>0.65914852332275098</v>
          </cell>
          <cell r="CG32">
            <v>0.65286838089171129</v>
          </cell>
        </row>
        <row r="34">
          <cell r="B34" t="str">
            <v>Revenue per claim - MS Estimates</v>
          </cell>
        </row>
        <row r="35">
          <cell r="B35" t="str">
            <v>Total</v>
          </cell>
        </row>
        <row r="36">
          <cell r="B36" t="str">
            <v>Generic</v>
          </cell>
          <cell r="AP36">
            <v>8.7746189227004194</v>
          </cell>
          <cell r="AQ36">
            <v>11.002932371651438</v>
          </cell>
          <cell r="AR36">
            <v>10.598340934948194</v>
          </cell>
          <cell r="AS36">
            <v>10.209364008355331</v>
          </cell>
          <cell r="AT36">
            <v>10.253839071364789</v>
          </cell>
          <cell r="AU36">
            <v>10.561977519657869</v>
          </cell>
          <cell r="AV36">
            <v>11.684724253210218</v>
          </cell>
          <cell r="AW36">
            <v>12.463470200396429</v>
          </cell>
          <cell r="AX36">
            <v>11.340280280754488</v>
          </cell>
          <cell r="AY36">
            <v>12.174922686146768</v>
          </cell>
          <cell r="AZ36">
            <v>12.826830192715944</v>
          </cell>
          <cell r="BA36">
            <v>13.324949418477436</v>
          </cell>
          <cell r="BB36">
            <v>13.49944708138019</v>
          </cell>
          <cell r="BC36">
            <v>12.977998726849938</v>
          </cell>
          <cell r="BD36">
            <v>17.158662923440655</v>
          </cell>
          <cell r="BE36">
            <v>17.595763847457494</v>
          </cell>
          <cell r="BF36">
            <v>18.329315773614979</v>
          </cell>
          <cell r="BG36">
            <v>18.483892376388365</v>
          </cell>
          <cell r="BH36">
            <v>17.91933079608058</v>
          </cell>
          <cell r="BI36">
            <v>16.434039491242256</v>
          </cell>
          <cell r="BJ36">
            <v>17.240154452027891</v>
          </cell>
          <cell r="BK36">
            <v>16.705346847804218</v>
          </cell>
          <cell r="BL36">
            <v>17.385855815535542</v>
          </cell>
          <cell r="BM36">
            <v>16.980322198305661</v>
          </cell>
          <cell r="BN36">
            <v>16.741369756132965</v>
          </cell>
          <cell r="BO36">
            <v>18.268320365181438</v>
          </cell>
          <cell r="BP36">
            <v>16.434252227303872</v>
          </cell>
          <cell r="BQ36">
            <v>18.776724280778389</v>
          </cell>
          <cell r="BR36">
            <v>17.587914694888845</v>
          </cell>
          <cell r="BS36">
            <v>18.415506731746262</v>
          </cell>
          <cell r="BT36">
            <v>20.095152401699583</v>
          </cell>
          <cell r="BU36">
            <v>18.077677450034262</v>
          </cell>
          <cell r="BV36">
            <v>20.654396708856229</v>
          </cell>
          <cell r="BW36">
            <v>19.360013817052607</v>
          </cell>
          <cell r="BX36">
            <v>20.257057404920889</v>
          </cell>
          <cell r="BY36">
            <v>22.104667641869543</v>
          </cell>
          <cell r="BZ36">
            <v>19.88544519503769</v>
          </cell>
          <cell r="CA36">
            <v>22.719836379741853</v>
          </cell>
          <cell r="CB36">
            <v>21.294697208825585</v>
          </cell>
          <cell r="CC36">
            <v>21.949619262432996</v>
          </cell>
          <cell r="CD36">
            <v>23.871847401166445</v>
          </cell>
          <cell r="CE36">
            <v>21.539538219573863</v>
          </cell>
          <cell r="CF36">
            <v>21.802229705388555</v>
          </cell>
          <cell r="CG36">
            <v>22.28570432692171</v>
          </cell>
        </row>
        <row r="37">
          <cell r="B37" t="str">
            <v>Brand</v>
          </cell>
          <cell r="AP37">
            <v>72.252550713272527</v>
          </cell>
          <cell r="AQ37">
            <v>83.221816711014299</v>
          </cell>
          <cell r="AR37">
            <v>80.020743448940181</v>
          </cell>
          <cell r="AS37">
            <v>78.900684850395379</v>
          </cell>
          <cell r="AT37">
            <v>84.821881682422145</v>
          </cell>
          <cell r="AU37">
            <v>88.014282856753937</v>
          </cell>
          <cell r="AV37">
            <v>95.904240064153726</v>
          </cell>
          <cell r="AW37">
            <v>102.05757598405141</v>
          </cell>
          <cell r="AX37">
            <v>93.336393889985374</v>
          </cell>
          <cell r="AY37">
            <v>102.4108848805383</v>
          </cell>
          <cell r="AZ37">
            <v>114.50086535405556</v>
          </cell>
          <cell r="BA37">
            <v>119.93387866221639</v>
          </cell>
          <cell r="BB37">
            <v>127.25650946047256</v>
          </cell>
          <cell r="BC37">
            <v>115.70547584993876</v>
          </cell>
          <cell r="BD37">
            <v>165.88673714199561</v>
          </cell>
          <cell r="BE37">
            <v>174.21823065790417</v>
          </cell>
          <cell r="BF37">
            <v>183.72403148144284</v>
          </cell>
          <cell r="BG37">
            <v>195.67158006188259</v>
          </cell>
          <cell r="BH37">
            <v>180.11537143459134</v>
          </cell>
          <cell r="BI37">
            <v>178.6163129652636</v>
          </cell>
          <cell r="BJ37">
            <v>189.83937325238841</v>
          </cell>
          <cell r="BK37">
            <v>208.03005289013231</v>
          </cell>
          <cell r="BL37">
            <v>202.85801018281535</v>
          </cell>
          <cell r="BM37">
            <v>197.43313457705486</v>
          </cell>
          <cell r="BN37">
            <v>200.11510824270164</v>
          </cell>
          <cell r="BO37">
            <v>214.95443214413066</v>
          </cell>
          <cell r="BP37">
            <v>235.55167256300064</v>
          </cell>
          <cell r="BQ37">
            <v>227.2009714047532</v>
          </cell>
          <cell r="BR37">
            <v>219.4958264119384</v>
          </cell>
          <cell r="BS37">
            <v>220.12661906697181</v>
          </cell>
          <cell r="BT37">
            <v>236.44987535854375</v>
          </cell>
          <cell r="BU37">
            <v>259.10683981930072</v>
          </cell>
          <cell r="BV37">
            <v>249.92106854522854</v>
          </cell>
          <cell r="BW37">
            <v>241.44326400420007</v>
          </cell>
          <cell r="BX37">
            <v>242.139280973669</v>
          </cell>
          <cell r="BY37">
            <v>260.09486289439815</v>
          </cell>
          <cell r="BZ37">
            <v>285.01752380123082</v>
          </cell>
          <cell r="CA37">
            <v>274.91317539975142</v>
          </cell>
          <cell r="CB37">
            <v>266.11160762890552</v>
          </cell>
          <cell r="CC37">
            <v>261.98589694874721</v>
          </cell>
          <cell r="CD37">
            <v>298.52269663766867</v>
          </cell>
          <cell r="CE37">
            <v>330.20575666571688</v>
          </cell>
          <cell r="CF37">
            <v>312.63421178286637</v>
          </cell>
          <cell r="CG37">
            <v>300.66776280609793</v>
          </cell>
        </row>
        <row r="38">
          <cell r="B38" t="str">
            <v>Total</v>
          </cell>
          <cell r="AP38">
            <v>28.452777777777779</v>
          </cell>
          <cell r="AQ38">
            <v>33.390786516853929</v>
          </cell>
          <cell r="AR38">
            <v>32.119285714285716</v>
          </cell>
          <cell r="AS38">
            <v>31.503673469387756</v>
          </cell>
          <cell r="AT38">
            <v>31.878571428571423</v>
          </cell>
          <cell r="AU38">
            <v>33.02314606741573</v>
          </cell>
          <cell r="AV38">
            <v>36.108383838383837</v>
          </cell>
          <cell r="AW38">
            <v>37.549819819819824</v>
          </cell>
          <cell r="AX38">
            <v>34.881514360313311</v>
          </cell>
          <cell r="AY38">
            <v>36.538632478632479</v>
          </cell>
          <cell r="AZ38">
            <v>38.24533898305085</v>
          </cell>
          <cell r="BA38">
            <v>38.911092436974783</v>
          </cell>
          <cell r="BB38">
            <v>39.66357142857143</v>
          </cell>
          <cell r="BC38">
            <v>38.366666666666667</v>
          </cell>
          <cell r="BD38">
            <v>50.325023474178401</v>
          </cell>
          <cell r="BE38">
            <v>51.879649122807017</v>
          </cell>
          <cell r="BF38">
            <v>53.921416309012869</v>
          </cell>
          <cell r="BG38">
            <v>55.477119341563792</v>
          </cell>
          <cell r="BH38">
            <v>52.99064340239913</v>
          </cell>
          <cell r="BI38">
            <v>48.870494186046514</v>
          </cell>
          <cell r="BJ38">
            <v>50.034006024096378</v>
          </cell>
          <cell r="BK38">
            <v>49.230546875000002</v>
          </cell>
          <cell r="BL38">
            <v>48.916136701337287</v>
          </cell>
          <cell r="BM38">
            <v>49.196003016591256</v>
          </cell>
          <cell r="BN38">
            <v>47.914954819277099</v>
          </cell>
          <cell r="BO38">
            <v>49.738161764705886</v>
          </cell>
          <cell r="BP38">
            <v>51.493050359712228</v>
          </cell>
          <cell r="BQ38">
            <v>51.174530406625543</v>
          </cell>
          <cell r="BR38">
            <v>50.127051478672087</v>
          </cell>
          <cell r="BS38">
            <v>46.140590883818867</v>
          </cell>
          <cell r="BT38">
            <v>48.262237301240653</v>
          </cell>
          <cell r="BU38">
            <v>47.478355711880575</v>
          </cell>
          <cell r="BV38">
            <v>48.132325276453521</v>
          </cell>
          <cell r="BW38">
            <v>47.548858582268039</v>
          </cell>
          <cell r="BX38">
            <v>46.275843196247209</v>
          </cell>
          <cell r="BY38">
            <v>49.456217054875147</v>
          </cell>
          <cell r="BZ38">
            <v>49.861802009322872</v>
          </cell>
          <cell r="CA38">
            <v>50.544961556830458</v>
          </cell>
          <cell r="CB38">
            <v>49.137486754377782</v>
          </cell>
          <cell r="CC38">
            <v>52.13785884833073</v>
          </cell>
          <cell r="CD38">
            <v>57.771612602019736</v>
          </cell>
          <cell r="CE38">
            <v>59.062037303752909</v>
          </cell>
          <cell r="CF38">
            <v>56.362924418284415</v>
          </cell>
          <cell r="CG38">
            <v>56.344946859583963</v>
          </cell>
        </row>
        <row r="40">
          <cell r="B40" t="str">
            <v>Revenue per claim - % Growth</v>
          </cell>
        </row>
        <row r="41">
          <cell r="B41" t="str">
            <v>Retail</v>
          </cell>
        </row>
        <row r="42">
          <cell r="B42" t="str">
            <v>Generic</v>
          </cell>
          <cell r="AP42" t="str">
            <v>NM</v>
          </cell>
          <cell r="AQ42" t="str">
            <v>NM</v>
          </cell>
          <cell r="AR42" t="str">
            <v>NM</v>
          </cell>
          <cell r="AS42" t="str">
            <v>NM</v>
          </cell>
          <cell r="AT42" t="str">
            <v>NM</v>
          </cell>
          <cell r="AU42">
            <v>0.20369643544672411</v>
          </cell>
          <cell r="AV42">
            <v>6.1964561675884378E-2</v>
          </cell>
          <cell r="AW42">
            <v>0.17598313518089825</v>
          </cell>
          <cell r="AX42">
            <v>0.11077245080825948</v>
          </cell>
          <cell r="AY42">
            <v>0.18735261997107622</v>
          </cell>
          <cell r="AZ42">
            <v>0.21443452884109515</v>
          </cell>
          <cell r="BA42">
            <v>0.14037345937509715</v>
          </cell>
          <cell r="BB42">
            <v>8.3121062138120205E-2</v>
          </cell>
          <cell r="BC42">
            <v>0.1444160466540505</v>
          </cell>
          <cell r="BD42">
            <v>0.40934471337256495</v>
          </cell>
          <cell r="BE42">
            <v>0.37179362189184628</v>
          </cell>
          <cell r="BF42">
            <v>0.37556362864673165</v>
          </cell>
          <cell r="BG42">
            <v>0.36923329266449945</v>
          </cell>
          <cell r="BH42">
            <v>0.38074684496675237</v>
          </cell>
          <cell r="BI42">
            <v>-4.2230763284502926E-2</v>
          </cell>
          <cell r="BJ42">
            <v>-2.0209943626913751E-2</v>
          </cell>
          <cell r="BK42">
            <v>-8.8599538895415941E-2</v>
          </cell>
          <cell r="BL42">
            <v>-0.16</v>
          </cell>
          <cell r="BM42">
            <v>-5.2401990256260245E-2</v>
          </cell>
          <cell r="BN42">
            <v>1.8700835242271729E-2</v>
          </cell>
          <cell r="BO42">
            <v>5.9637859742759369E-2</v>
          </cell>
          <cell r="BP42">
            <v>-1.6228015076261593E-2</v>
          </cell>
          <cell r="BQ42">
            <v>0.08</v>
          </cell>
          <cell r="BR42">
            <v>3.552766997719238E-2</v>
          </cell>
          <cell r="BS42">
            <v>0.1</v>
          </cell>
          <cell r="BT42">
            <v>0.1</v>
          </cell>
          <cell r="BU42">
            <v>0.1</v>
          </cell>
          <cell r="BV42">
            <v>0.1</v>
          </cell>
          <cell r="BW42">
            <v>0.10075663618488817</v>
          </cell>
          <cell r="BX42">
            <v>0.1</v>
          </cell>
          <cell r="BY42">
            <v>0.1</v>
          </cell>
          <cell r="BZ42">
            <v>0.1</v>
          </cell>
          <cell r="CA42">
            <v>0.1</v>
          </cell>
          <cell r="CB42">
            <v>9.9931922056216704E-2</v>
          </cell>
          <cell r="CC42">
            <v>0.1</v>
          </cell>
          <cell r="CD42">
            <v>0.1</v>
          </cell>
          <cell r="CE42">
            <v>0.1</v>
          </cell>
          <cell r="CF42">
            <v>0.1</v>
          </cell>
          <cell r="CG42">
            <v>0.10000044979493494</v>
          </cell>
        </row>
        <row r="43">
          <cell r="B43" t="str">
            <v>Brand</v>
          </cell>
          <cell r="AP43" t="str">
            <v>NM</v>
          </cell>
          <cell r="AQ43" t="str">
            <v>NM</v>
          </cell>
          <cell r="AR43" t="str">
            <v>NM</v>
          </cell>
          <cell r="AS43" t="str">
            <v>NM</v>
          </cell>
          <cell r="AT43" t="str">
            <v>NM</v>
          </cell>
          <cell r="AU43">
            <v>0.2181477607071669</v>
          </cell>
          <cell r="AV43">
            <v>0.15239301248588255</v>
          </cell>
          <cell r="AW43">
            <v>0.27538900021808144</v>
          </cell>
          <cell r="AX43">
            <v>0.18296050366307637</v>
          </cell>
          <cell r="AY43">
            <v>0.20736398260970401</v>
          </cell>
          <cell r="AZ43">
            <v>0.30093504869441912</v>
          </cell>
          <cell r="BA43">
            <v>0.25055866749987676</v>
          </cell>
          <cell r="BB43">
            <v>0.24690899458908366</v>
          </cell>
          <cell r="BC43">
            <v>0.23966087640282741</v>
          </cell>
          <cell r="BD43">
            <v>0.61981548480419346</v>
          </cell>
          <cell r="BE43">
            <v>0.52154510028542278</v>
          </cell>
          <cell r="BF43">
            <v>0.53187767735658764</v>
          </cell>
          <cell r="BG43">
            <v>0.53761548930949266</v>
          </cell>
          <cell r="BH43">
            <v>0.55667110922379615</v>
          </cell>
          <cell r="BI43">
            <v>7.6736549543269028E-2</v>
          </cell>
          <cell r="BJ43">
            <v>8.9664224780000135E-2</v>
          </cell>
          <cell r="BK43">
            <v>0.13229636434983472</v>
          </cell>
          <cell r="BL43">
            <v>3.6727000000000003E-2</v>
          </cell>
          <cell r="BM43">
            <v>9.6148168834953918E-2</v>
          </cell>
          <cell r="BN43">
            <v>0.120363</v>
          </cell>
          <cell r="BO43">
            <v>0.13229636434983472</v>
          </cell>
          <cell r="BP43">
            <v>0.13229636434983472</v>
          </cell>
          <cell r="BQ43">
            <v>0.12</v>
          </cell>
          <cell r="BR43">
            <v>0.12623893217491736</v>
          </cell>
          <cell r="BS43">
            <v>0.1</v>
          </cell>
          <cell r="BT43">
            <v>0.1</v>
          </cell>
          <cell r="BU43">
            <v>0.1</v>
          </cell>
          <cell r="BV43">
            <v>0.1</v>
          </cell>
          <cell r="BW43">
            <v>0.1</v>
          </cell>
          <cell r="BX43">
            <v>0.1</v>
          </cell>
          <cell r="BY43">
            <v>0.1</v>
          </cell>
          <cell r="BZ43">
            <v>0.1</v>
          </cell>
          <cell r="CA43">
            <v>0.1</v>
          </cell>
          <cell r="CB43">
            <v>0.1</v>
          </cell>
          <cell r="CC43">
            <v>0.1</v>
          </cell>
          <cell r="CD43">
            <v>0.1</v>
          </cell>
          <cell r="CE43">
            <v>0.1</v>
          </cell>
          <cell r="CF43">
            <v>0.1</v>
          </cell>
          <cell r="CG43">
            <v>0.1</v>
          </cell>
        </row>
        <row r="44">
          <cell r="B44" t="str">
            <v>Total</v>
          </cell>
          <cell r="AP44" t="str">
            <v>NM</v>
          </cell>
          <cell r="AQ44" t="str">
            <v>NM</v>
          </cell>
          <cell r="AR44" t="str">
            <v>NM</v>
          </cell>
          <cell r="AS44" t="str">
            <v>NM</v>
          </cell>
          <cell r="AT44" t="str">
            <v>NM</v>
          </cell>
          <cell r="AU44">
            <v>0.16062995062673657</v>
          </cell>
          <cell r="AV44">
            <v>8.1387640274906525E-2</v>
          </cell>
          <cell r="AW44">
            <v>0.1690739375041197</v>
          </cell>
          <cell r="AX44">
            <v>0.10722054030327022</v>
          </cell>
          <cell r="AY44">
            <v>0.14618161483498726</v>
          </cell>
          <cell r="AZ44">
            <v>0.15813735326652933</v>
          </cell>
          <cell r="BA44">
            <v>7.7619331043324635E-2</v>
          </cell>
          <cell r="BB44">
            <v>5.6291924139564298E-2</v>
          </cell>
          <cell r="BC44">
            <v>9.9914019510535246E-2</v>
          </cell>
          <cell r="BD44">
            <v>0.37730998836938134</v>
          </cell>
          <cell r="BE44">
            <v>0.3564959940817487</v>
          </cell>
          <cell r="BF44">
            <v>0.38575950794367087</v>
          </cell>
          <cell r="BG44">
            <v>0.39869198217488711</v>
          </cell>
          <cell r="BH44">
            <v>0.38116359867243599</v>
          </cell>
          <cell r="BI44">
            <v>-2.8902704613306351E-2</v>
          </cell>
          <cell r="BJ44">
            <v>-3.5575473811353731E-2</v>
          </cell>
          <cell r="BK44">
            <v>-8.6994551610633408E-2</v>
          </cell>
          <cell r="BL44">
            <v>-0.11826465970288724</v>
          </cell>
          <cell r="BM44">
            <v>-7.1609630345346509E-2</v>
          </cell>
          <cell r="BN44">
            <v>-1.9552480135186401E-2</v>
          </cell>
          <cell r="BO44">
            <v>-5.9128637280815299E-3</v>
          </cell>
          <cell r="BP44">
            <v>4.5957309604073515E-2</v>
          </cell>
          <cell r="BQ44">
            <v>4.6168684969484008E-2</v>
          </cell>
          <cell r="BR44">
            <v>1.8925286710118172E-2</v>
          </cell>
          <cell r="BS44">
            <v>-3.7031526840642481E-2</v>
          </cell>
          <cell r="BT44">
            <v>-2.9673884419921359E-2</v>
          </cell>
          <cell r="BU44">
            <v>-7.7965756928098373E-2</v>
          </cell>
          <cell r="BV44">
            <v>-5.9447641355945824E-2</v>
          </cell>
          <cell r="BW44">
            <v>-5.1433164735432468E-2</v>
          </cell>
          <cell r="BX44">
            <v>2.9313086338427219E-3</v>
          </cell>
          <cell r="BY44">
            <v>2.4739419894315606E-2</v>
          </cell>
          <cell r="BZ44">
            <v>5.0200691698467637E-2</v>
          </cell>
          <cell r="CA44">
            <v>5.0125072215391198E-2</v>
          </cell>
          <cell r="CB44">
            <v>3.3410437589393105E-2</v>
          </cell>
          <cell r="CC44">
            <v>5.3817788305876579E-2</v>
          </cell>
          <cell r="CD44">
            <v>5.2376311302978262E-2</v>
          </cell>
          <cell r="CE44">
            <v>4.7871615577498972E-2</v>
          </cell>
          <cell r="CF44">
            <v>4.8500524304676773E-2</v>
          </cell>
          <cell r="CG44">
            <v>5.0522471175655115E-2</v>
          </cell>
        </row>
        <row r="46">
          <cell r="B46" t="str">
            <v>Revenue build up</v>
          </cell>
        </row>
        <row r="47">
          <cell r="B47" t="str">
            <v>PBM</v>
          </cell>
        </row>
        <row r="48">
          <cell r="B48" t="str">
            <v>Generic</v>
          </cell>
          <cell r="AO48">
            <v>0</v>
          </cell>
          <cell r="AP48">
            <v>43.592306807975682</v>
          </cell>
          <cell r="AQ48">
            <v>67.56900769431148</v>
          </cell>
          <cell r="AR48">
            <v>61.427984058959723</v>
          </cell>
          <cell r="AS48">
            <v>172.58929856124689</v>
          </cell>
          <cell r="AT48">
            <v>61.153896221619597</v>
          </cell>
          <cell r="AU48">
            <v>66.741135946718074</v>
          </cell>
          <cell r="AV48">
            <v>82.13192677581462</v>
          </cell>
          <cell r="AW48">
            <v>99.60805384156825</v>
          </cell>
          <cell r="AX48">
            <v>309.63501278572051</v>
          </cell>
          <cell r="AY48">
            <v>103.98601466237953</v>
          </cell>
          <cell r="AZ48">
            <v>113.51744720553612</v>
          </cell>
          <cell r="BA48">
            <v>120.51084254070993</v>
          </cell>
          <cell r="BB48">
            <v>130.97163558355061</v>
          </cell>
          <cell r="BC48">
            <v>468.98593999217616</v>
          </cell>
          <cell r="BD48">
            <v>283.97758724923517</v>
          </cell>
          <cell r="BE48">
            <v>313.36634529092231</v>
          </cell>
          <cell r="BF48">
            <v>335.16911044720092</v>
          </cell>
          <cell r="BG48">
            <v>355.38330224259391</v>
          </cell>
          <cell r="BH48">
            <v>1287.8963452299522</v>
          </cell>
          <cell r="BI48">
            <v>452.2647667989869</v>
          </cell>
          <cell r="BJ48">
            <v>463.62223352393409</v>
          </cell>
          <cell r="BK48">
            <v>887.38802455536006</v>
          </cell>
          <cell r="BL48">
            <v>971.15652</v>
          </cell>
          <cell r="BM48">
            <v>2774.4315448782809</v>
          </cell>
          <cell r="BN48">
            <v>922.65036999999995</v>
          </cell>
          <cell r="BO48">
            <v>1043.4864592591637</v>
          </cell>
          <cell r="BP48">
            <v>959.43164503000003</v>
          </cell>
          <cell r="BQ48">
            <v>1186.7774292124204</v>
          </cell>
          <cell r="BR48">
            <v>4112.345903501584</v>
          </cell>
          <cell r="BS48">
            <v>1476.6050126236134</v>
          </cell>
          <cell r="BT48">
            <v>1782.8556730810724</v>
          </cell>
          <cell r="BU48">
            <v>1654.7150865122351</v>
          </cell>
          <cell r="BV48">
            <v>2040.7018794102855</v>
          </cell>
          <cell r="BW48">
            <v>6954.8776516272064</v>
          </cell>
          <cell r="BX48">
            <v>1828.5044536916589</v>
          </cell>
          <cell r="BY48">
            <v>2195.1077097308212</v>
          </cell>
          <cell r="BZ48">
            <v>2022.5410316900291</v>
          </cell>
          <cell r="CA48">
            <v>2495.9543881258296</v>
          </cell>
          <cell r="CB48">
            <v>8542.1075832383394</v>
          </cell>
          <cell r="CC48">
            <v>2216.343168682316</v>
          </cell>
          <cell r="CD48">
            <v>2445.8838612075288</v>
          </cell>
          <cell r="CE48">
            <v>2207.2432335804415</v>
          </cell>
          <cell r="CF48">
            <v>2350.1639123394543</v>
          </cell>
          <cell r="CG48">
            <v>9219.6341758097406</v>
          </cell>
        </row>
        <row r="49">
          <cell r="B49" t="str">
            <v>Brand</v>
          </cell>
          <cell r="AO49">
            <v>0</v>
          </cell>
          <cell r="AP49">
            <v>161.26769319202432</v>
          </cell>
          <cell r="AQ49">
            <v>229.6089923056885</v>
          </cell>
          <cell r="AR49">
            <v>208.37401594104028</v>
          </cell>
          <cell r="AS49">
            <v>599.25070143875314</v>
          </cell>
          <cell r="AT49">
            <v>206.62610377838038</v>
          </cell>
          <cell r="AU49">
            <v>227.16486405328195</v>
          </cell>
          <cell r="AV49">
            <v>275.34107322418538</v>
          </cell>
          <cell r="AW49">
            <v>317.19494615843178</v>
          </cell>
          <cell r="AX49">
            <v>1026.3269872142796</v>
          </cell>
          <cell r="AY49">
            <v>323.51598533762046</v>
          </cell>
          <cell r="AZ49">
            <v>337.77755279446393</v>
          </cell>
          <cell r="BA49">
            <v>342.53115745929</v>
          </cell>
          <cell r="BB49">
            <v>368.78936441644942</v>
          </cell>
          <cell r="BC49">
            <v>1372.6140600078238</v>
          </cell>
          <cell r="BD49">
            <v>787.94541275076483</v>
          </cell>
          <cell r="BE49">
            <v>869.48965470907774</v>
          </cell>
          <cell r="BF49">
            <v>921.19988955279916</v>
          </cell>
          <cell r="BG49">
            <v>992.71069775740625</v>
          </cell>
          <cell r="BH49">
            <v>3571.345654770048</v>
          </cell>
          <cell r="BI49">
            <v>1228.8802332010132</v>
          </cell>
          <cell r="BJ49">
            <v>1197.5067664760659</v>
          </cell>
          <cell r="BK49">
            <v>2263.36697544464</v>
          </cell>
          <cell r="BL49">
            <v>2320.8984945015914</v>
          </cell>
          <cell r="BM49">
            <v>7010.65246962331</v>
          </cell>
          <cell r="BN49">
            <v>2258.8993418436166</v>
          </cell>
          <cell r="BO49">
            <v>2338.7042217281423</v>
          </cell>
          <cell r="BP49">
            <v>2619.3345989005679</v>
          </cell>
          <cell r="BQ49">
            <v>2643.0009960108223</v>
          </cell>
          <cell r="BR49">
            <v>9859.9391584831483</v>
          </cell>
          <cell r="BS49">
            <v>2812.6243159361893</v>
          </cell>
          <cell r="BT49">
            <v>3139.8925316454743</v>
          </cell>
          <cell r="BU49">
            <v>3294.9034964513144</v>
          </cell>
          <cell r="BV49">
            <v>3362.4588169814629</v>
          </cell>
          <cell r="BW49">
            <v>12609.879161014442</v>
          </cell>
          <cell r="BX49">
            <v>2903.4781681837967</v>
          </cell>
          <cell r="BY49">
            <v>3353.8798438261711</v>
          </cell>
          <cell r="BZ49">
            <v>3695.3611137290718</v>
          </cell>
          <cell r="CA49">
            <v>3745.4395800128937</v>
          </cell>
          <cell r="CB49">
            <v>13698.158705751934</v>
          </cell>
          <cell r="CC49">
            <v>3805.5795282998843</v>
          </cell>
          <cell r="CD49">
            <v>4306.8088493921505</v>
          </cell>
          <cell r="CE49">
            <v>4682.6387280888548</v>
          </cell>
          <cell r="CF49">
            <v>4544.8154940863424</v>
          </cell>
          <cell r="CG49">
            <v>17339.842599867232</v>
          </cell>
        </row>
        <row r="50">
          <cell r="B50" t="str">
            <v>Total</v>
          </cell>
          <cell r="AO50">
            <v>0</v>
          </cell>
          <cell r="AP50">
            <v>204.86</v>
          </cell>
          <cell r="AQ50">
            <v>297.178</v>
          </cell>
          <cell r="AR50">
            <v>269.80200000000002</v>
          </cell>
          <cell r="AS50">
            <v>771.84</v>
          </cell>
          <cell r="AT50">
            <v>267.77999999999997</v>
          </cell>
          <cell r="AU50">
            <v>293.90600000000001</v>
          </cell>
          <cell r="AV50">
            <v>357.47300000000001</v>
          </cell>
          <cell r="AW50">
            <v>416.803</v>
          </cell>
          <cell r="AX50">
            <v>1335.962</v>
          </cell>
          <cell r="AY50">
            <v>427.50200000000001</v>
          </cell>
          <cell r="AZ50">
            <v>451.29500000000007</v>
          </cell>
          <cell r="BA50">
            <v>463.04199999999992</v>
          </cell>
          <cell r="BB50">
            <v>499.76100000000002</v>
          </cell>
          <cell r="BC50">
            <v>1841.6</v>
          </cell>
          <cell r="BD50">
            <v>1071.923</v>
          </cell>
          <cell r="BE50">
            <v>1182.856</v>
          </cell>
          <cell r="BF50">
            <v>1256.3690000000001</v>
          </cell>
          <cell r="BG50">
            <v>1348.0940000000001</v>
          </cell>
          <cell r="BH50">
            <v>4859.2420000000002</v>
          </cell>
          <cell r="BI50">
            <v>1681.145</v>
          </cell>
          <cell r="BJ50">
            <v>1661.1289999999999</v>
          </cell>
          <cell r="BK50">
            <v>3150.7550000000001</v>
          </cell>
          <cell r="BL50">
            <v>3292.0550145015914</v>
          </cell>
          <cell r="BM50">
            <v>9785.08401450159</v>
          </cell>
          <cell r="BN50">
            <v>3181.5497118436165</v>
          </cell>
          <cell r="BO50">
            <v>3382.1906809873062</v>
          </cell>
          <cell r="BP50">
            <v>3578.7662439305677</v>
          </cell>
          <cell r="BQ50">
            <v>3829.7784252232427</v>
          </cell>
          <cell r="BR50">
            <v>13972.285061984732</v>
          </cell>
          <cell r="BS50">
            <v>4289.2293285598025</v>
          </cell>
          <cell r="BT50">
            <v>4922.7482047265466</v>
          </cell>
          <cell r="BU50">
            <v>4949.6185829635497</v>
          </cell>
          <cell r="BV50">
            <v>5403.1606963917484</v>
          </cell>
          <cell r="BW50">
            <v>19564.756812641648</v>
          </cell>
          <cell r="BX50">
            <v>4731.9826218754552</v>
          </cell>
          <cell r="BY50">
            <v>5548.9875535569918</v>
          </cell>
          <cell r="BZ50">
            <v>5717.9021454191006</v>
          </cell>
          <cell r="CA50">
            <v>6241.3939681387237</v>
          </cell>
          <cell r="CB50">
            <v>22240.266288990271</v>
          </cell>
          <cell r="CC50">
            <v>6021.9226969822003</v>
          </cell>
          <cell r="CD50">
            <v>6752.6927105996792</v>
          </cell>
          <cell r="CE50">
            <v>6889.8819616692963</v>
          </cell>
          <cell r="CF50">
            <v>6894.9794064257967</v>
          </cell>
          <cell r="CG50">
            <v>26559.476775676972</v>
          </cell>
        </row>
        <row r="52">
          <cell r="B52" t="str">
            <v>check</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9.8549840868145111E-4</v>
          </cell>
          <cell r="BM52">
            <v>9.8549841095518786E-4</v>
          </cell>
          <cell r="BN52">
            <v>3.288156383405294E-3</v>
          </cell>
          <cell r="BO52">
            <v>4.3190126939407492E-3</v>
          </cell>
          <cell r="BP52">
            <v>7.5606943210004829E-4</v>
          </cell>
          <cell r="BQ52">
            <v>0</v>
          </cell>
          <cell r="BR52">
            <v>8.3632385103555862E-3</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row>
        <row r="54">
          <cell r="B54" t="str">
            <v>Gross margin - MS Estimates</v>
          </cell>
        </row>
        <row r="55">
          <cell r="B55" t="str">
            <v>Generic</v>
          </cell>
          <cell r="AP55">
            <v>0.28000000000000003</v>
          </cell>
          <cell r="AQ55">
            <v>0.28000000000000003</v>
          </cell>
          <cell r="AR55">
            <v>0.35499999999999998</v>
          </cell>
          <cell r="AS55">
            <v>0.30669400039763789</v>
          </cell>
          <cell r="AT55">
            <v>0.35</v>
          </cell>
          <cell r="AU55">
            <v>0.42</v>
          </cell>
          <cell r="AV55">
            <v>0.32500000000000001</v>
          </cell>
          <cell r="AW55">
            <v>0.31</v>
          </cell>
          <cell r="AX55">
            <v>0.34558919130462495</v>
          </cell>
          <cell r="AY55">
            <v>0.27</v>
          </cell>
          <cell r="AZ55">
            <v>0.27</v>
          </cell>
          <cell r="BA55">
            <v>0.27</v>
          </cell>
          <cell r="BB55">
            <v>0.27</v>
          </cell>
          <cell r="BC55">
            <v>0.27000000000000007</v>
          </cell>
          <cell r="BD55">
            <v>0.16250000000000001</v>
          </cell>
          <cell r="BE55">
            <v>0.16500000000000001</v>
          </cell>
          <cell r="BF55">
            <v>0.17316274204827733</v>
          </cell>
          <cell r="BG55">
            <v>0.18</v>
          </cell>
          <cell r="BH55">
            <v>0.17071218684166184</v>
          </cell>
          <cell r="BI55">
            <v>0.17122341628085946</v>
          </cell>
          <cell r="BJ55">
            <v>0.18019503925376432</v>
          </cell>
          <cell r="BK55">
            <v>0.19152207347755795</v>
          </cell>
          <cell r="BL55">
            <v>0.20710000000000001</v>
          </cell>
          <cell r="BM55">
            <v>0.19177321412732531</v>
          </cell>
          <cell r="BN55">
            <v>0.20122999999999999</v>
          </cell>
          <cell r="BO55">
            <v>0.1981</v>
          </cell>
          <cell r="BP55">
            <v>0.22978000000000001</v>
          </cell>
          <cell r="BQ55">
            <v>0.19500000000000001</v>
          </cell>
          <cell r="BR55">
            <v>0.20529873299492754</v>
          </cell>
          <cell r="BS55">
            <v>0.14449999999999999</v>
          </cell>
          <cell r="BT55">
            <v>0.14449999999999999</v>
          </cell>
          <cell r="BU55">
            <v>0.14449999999999999</v>
          </cell>
          <cell r="BV55">
            <v>0.14449999999999999</v>
          </cell>
          <cell r="BW55">
            <v>0.14449999999999999</v>
          </cell>
          <cell r="BX55">
            <v>0.14199999999999999</v>
          </cell>
          <cell r="BY55">
            <v>0.14199999999999999</v>
          </cell>
          <cell r="BZ55">
            <v>0.14299999999999999</v>
          </cell>
          <cell r="CA55">
            <v>0.14299999999999999</v>
          </cell>
          <cell r="CB55">
            <v>0.14252896728070738</v>
          </cell>
          <cell r="CC55">
            <v>0.14499999999999999</v>
          </cell>
          <cell r="CD55">
            <v>0.14499999999999999</v>
          </cell>
          <cell r="CE55">
            <v>0.14499999999999999</v>
          </cell>
          <cell r="CF55">
            <v>0.14499999999999999</v>
          </cell>
          <cell r="CG55">
            <v>0.14499999999999999</v>
          </cell>
        </row>
        <row r="56">
          <cell r="B56" t="str">
            <v>Brand</v>
          </cell>
          <cell r="AP56">
            <v>2.8574558255011567E-2</v>
          </cell>
          <cell r="AQ56">
            <v>2.440966614291408E-2</v>
          </cell>
          <cell r="AR56">
            <v>3.053195710465418E-2</v>
          </cell>
          <cell r="AS56">
            <v>2.7659372639866706E-2</v>
          </cell>
          <cell r="AT56">
            <v>3.5833499190279124E-2</v>
          </cell>
          <cell r="AU56">
            <v>2.8607958054878369E-2</v>
          </cell>
          <cell r="AV56">
            <v>3.4670177195422265E-2</v>
          </cell>
          <cell r="AW56">
            <v>2.451332659389267E-2</v>
          </cell>
          <cell r="AX56">
            <v>3.0423526537616517E-2</v>
          </cell>
          <cell r="AY56">
            <v>3.1713351136112927E-2</v>
          </cell>
          <cell r="AZ56">
            <v>2.3578500668904764E-2</v>
          </cell>
          <cell r="BA56">
            <v>1.9650981720716183E-2</v>
          </cell>
          <cell r="BB56">
            <v>2.1895038663108428E-2</v>
          </cell>
          <cell r="BC56">
            <v>2.4063424792489845E-2</v>
          </cell>
          <cell r="BD56">
            <v>7.0926754335544793E-3</v>
          </cell>
          <cell r="BE56">
            <v>9.9478492701467348E-3</v>
          </cell>
          <cell r="BF56">
            <v>1.0999999999999999E-2</v>
          </cell>
          <cell r="BG56">
            <v>1.2439683207031245E-2</v>
          </cell>
          <cell r="BH56">
            <v>1.0281950287104134E-2</v>
          </cell>
          <cell r="BI56">
            <v>1.0999999999999999E-2</v>
          </cell>
          <cell r="BJ56">
            <v>1.0999999999999999E-2</v>
          </cell>
          <cell r="BK56">
            <v>1.7999999999999999E-2</v>
          </cell>
          <cell r="BL56">
            <v>1.9199999999999998E-2</v>
          </cell>
          <cell r="BM56">
            <v>1.5974563585078039E-2</v>
          </cell>
          <cell r="BN56">
            <v>1.8499999999999999E-2</v>
          </cell>
          <cell r="BO56">
            <v>1.7219999999999999E-2</v>
          </cell>
          <cell r="BP56">
            <v>1.8200000000000001E-2</v>
          </cell>
          <cell r="BQ56">
            <v>1.6250000000000001E-2</v>
          </cell>
          <cell r="BR56">
            <v>1.7513574640961295E-2</v>
          </cell>
          <cell r="BS56">
            <v>1.4E-2</v>
          </cell>
          <cell r="BT56">
            <v>1.4E-2</v>
          </cell>
          <cell r="BU56">
            <v>1.4E-2</v>
          </cell>
          <cell r="BV56">
            <v>1.4E-2</v>
          </cell>
          <cell r="BW56">
            <v>1.4E-2</v>
          </cell>
          <cell r="BX56">
            <v>1.2500000000000001E-2</v>
          </cell>
          <cell r="BY56">
            <v>1.2500000000000001E-2</v>
          </cell>
          <cell r="BZ56">
            <v>1.2500000000000001E-2</v>
          </cell>
          <cell r="CA56">
            <v>1.2500000000000001E-2</v>
          </cell>
          <cell r="CB56">
            <v>1.2500000000000001E-2</v>
          </cell>
          <cell r="CC56">
            <v>1.4999999999999999E-2</v>
          </cell>
          <cell r="CD56">
            <v>1.4999999999999999E-2</v>
          </cell>
          <cell r="CE56">
            <v>1.4999999999999999E-2</v>
          </cell>
          <cell r="CF56">
            <v>1.4999999999999999E-2</v>
          </cell>
          <cell r="CG56">
            <v>1.4999999999999998E-2</v>
          </cell>
        </row>
        <row r="57">
          <cell r="B57" t="str">
            <v>Total</v>
          </cell>
          <cell r="AP57">
            <v>8.2075563799668169E-2</v>
          </cell>
          <cell r="AQ57">
            <v>8.2522932383958442E-2</v>
          </cell>
          <cell r="AR57">
            <v>0.10440619417202247</v>
          </cell>
          <cell r="AS57">
            <v>9.0053638059701527E-2</v>
          </cell>
          <cell r="AT57">
            <v>0.10758084995145256</v>
          </cell>
          <cell r="AU57">
            <v>0.1174865433165707</v>
          </cell>
          <cell r="AV57">
            <v>0.10137548849843214</v>
          </cell>
          <cell r="AW57">
            <v>9.2739255715529864E-2</v>
          </cell>
          <cell r="AX57">
            <v>0.10346926035321366</v>
          </cell>
          <cell r="AY57">
            <v>8.9674434271652559E-2</v>
          </cell>
          <cell r="AZ57">
            <v>8.5562658571444461E-2</v>
          </cell>
          <cell r="BA57">
            <v>8.480656182376535E-2</v>
          </cell>
          <cell r="BB57">
            <v>8.6915545630811553E-2</v>
          </cell>
          <cell r="BC57">
            <v>8.6694178974804526E-2</v>
          </cell>
          <cell r="BD57">
            <v>4.8263727898365846E-2</v>
          </cell>
          <cell r="BE57">
            <v>5.1024807753437457E-2</v>
          </cell>
          <cell r="BF57">
            <v>5.426112869706274E-2</v>
          </cell>
          <cell r="BG57">
            <v>5.6611779297289347E-2</v>
          </cell>
          <cell r="BH57">
            <v>5.2802474130738915E-2</v>
          </cell>
          <cell r="BI57">
            <v>5.4103602009344762E-2</v>
          </cell>
          <cell r="BJ57">
            <v>5.8222449912077825E-2</v>
          </cell>
          <cell r="BK57">
            <v>6.6871273710586876E-2</v>
          </cell>
          <cell r="BL57">
            <v>7.4631498841217642E-2</v>
          </cell>
          <cell r="BM57">
            <v>6.5820283100840163E-2</v>
          </cell>
          <cell r="BN57">
            <v>7.1490946425664323E-2</v>
          </cell>
          <cell r="BO57">
            <v>7.3024859712493354E-2</v>
          </cell>
          <cell r="BP57">
            <v>7.4922747596252864E-2</v>
          </cell>
          <cell r="BQ57">
            <v>7.1641315610995029E-2</v>
          </cell>
          <cell r="BR57">
            <v>7.2782466172869806E-2</v>
          </cell>
          <cell r="BS57">
            <v>5.8925775561663313E-2</v>
          </cell>
          <cell r="BT57">
            <v>6.126275967429947E-2</v>
          </cell>
          <cell r="BU57">
            <v>5.7627668510278202E-2</v>
          </cell>
          <cell r="BV57">
            <v>6.3288113055916737E-2</v>
          </cell>
          <cell r="BW57">
            <v>6.039012599179882E-2</v>
          </cell>
          <cell r="BX57">
            <v>6.254061630708628E-2</v>
          </cell>
          <cell r="BY57">
            <v>6.3728525143820491E-2</v>
          </cell>
          <cell r="BZ57">
            <v>5.8660566921734693E-2</v>
          </cell>
          <cell r="CA57">
            <v>6.4687387835662594E-2</v>
          </cell>
          <cell r="CB57">
            <v>6.2441912251249773E-2</v>
          </cell>
          <cell r="CC57">
            <v>6.2845949944374174E-2</v>
          </cell>
          <cell r="CD57">
            <v>6.2087127399988201E-2</v>
          </cell>
          <cell r="CE57">
            <v>5.6646812233040994E-2</v>
          </cell>
          <cell r="CF57">
            <v>5.931069196804236E-2</v>
          </cell>
          <cell r="CG57">
            <v>6.0127110484077546E-2</v>
          </cell>
        </row>
        <row r="58">
          <cell r="B58" t="str">
            <v>Eligible mail penetration</v>
          </cell>
          <cell r="AQ58">
            <v>0.08</v>
          </cell>
          <cell r="AT58">
            <v>0.08</v>
          </cell>
          <cell r="AU58">
            <v>0.08</v>
          </cell>
          <cell r="AV58">
            <v>9.5000000000000001E-2</v>
          </cell>
          <cell r="AW58">
            <v>0.11</v>
          </cell>
          <cell r="AY58">
            <v>0.11</v>
          </cell>
          <cell r="AZ58">
            <v>0.115</v>
          </cell>
          <cell r="BA58">
            <v>0.12</v>
          </cell>
          <cell r="BB58">
            <v>0.12</v>
          </cell>
          <cell r="BD58">
            <v>0.115</v>
          </cell>
          <cell r="BE58">
            <v>0.115</v>
          </cell>
          <cell r="BF58">
            <v>0.115</v>
          </cell>
          <cell r="BG58">
            <v>0.115</v>
          </cell>
        </row>
        <row r="60">
          <cell r="B60" t="str">
            <v>Gross profit $ by channel &amp;  product - MS Estimates</v>
          </cell>
        </row>
        <row r="61">
          <cell r="B61" t="str">
            <v>Generic</v>
          </cell>
          <cell r="AP61">
            <v>12.205845906233192</v>
          </cell>
          <cell r="AQ61">
            <v>18.919322154407215</v>
          </cell>
          <cell r="AR61">
            <v>21.806934340930699</v>
          </cell>
          <cell r="AS61">
            <v>52.9321024015711</v>
          </cell>
          <cell r="AT61">
            <v>21.403863677566857</v>
          </cell>
          <cell r="AU61">
            <v>28.03127709762159</v>
          </cell>
          <cell r="AV61">
            <v>26.692876202139754</v>
          </cell>
          <cell r="AW61">
            <v>30.878496690886156</v>
          </cell>
          <cell r="AX61">
            <v>107.00651366821435</v>
          </cell>
          <cell r="AY61">
            <v>28.076223958842476</v>
          </cell>
          <cell r="AZ61">
            <v>30.649710745494755</v>
          </cell>
          <cell r="BA61">
            <v>32.53792748599168</v>
          </cell>
          <cell r="BB61">
            <v>35.362341607558669</v>
          </cell>
          <cell r="BC61">
            <v>126.6262037978876</v>
          </cell>
          <cell r="BD61">
            <v>46.146357928000718</v>
          </cell>
          <cell r="BE61">
            <v>51.705446973002182</v>
          </cell>
          <cell r="BF61">
            <v>58.03880221491923</v>
          </cell>
          <cell r="BG61">
            <v>63.968994403666905</v>
          </cell>
          <cell r="BH61">
            <v>219.85960151958903</v>
          </cell>
          <cell r="BI61">
            <v>77.438318434788755</v>
          </cell>
          <cell r="BJ61">
            <v>83.54242656876319</v>
          </cell>
          <cell r="BK61">
            <v>169.95439444199667</v>
          </cell>
          <cell r="BL61">
            <v>201.12651529199999</v>
          </cell>
          <cell r="BM61">
            <v>532.06165473754857</v>
          </cell>
          <cell r="BN61">
            <v>185.6649339551</v>
          </cell>
          <cell r="BO61">
            <v>206.71466757924031</v>
          </cell>
          <cell r="BP61">
            <v>220.4582033949934</v>
          </cell>
          <cell r="BQ61">
            <v>231.421598696422</v>
          </cell>
          <cell r="BR61">
            <v>844.25940362575579</v>
          </cell>
          <cell r="BS61">
            <v>213.36942432411212</v>
          </cell>
          <cell r="BT61">
            <v>257.62264476021494</v>
          </cell>
          <cell r="BU61">
            <v>239.10633000101794</v>
          </cell>
          <cell r="BV61">
            <v>294.88142157478626</v>
          </cell>
          <cell r="BW61">
            <v>1004.9798206601313</v>
          </cell>
          <cell r="BX61">
            <v>259.64763242421554</v>
          </cell>
          <cell r="BY61">
            <v>311.70529478177656</v>
          </cell>
          <cell r="BZ61">
            <v>289.22336753167411</v>
          </cell>
          <cell r="CA61">
            <v>356.92147750199359</v>
          </cell>
          <cell r="CB61">
            <v>1217.4977722396598</v>
          </cell>
          <cell r="CC61">
            <v>321.36975945893579</v>
          </cell>
          <cell r="CD61">
            <v>354.65315987509166</v>
          </cell>
          <cell r="CE61">
            <v>320.05026886916397</v>
          </cell>
          <cell r="CF61">
            <v>340.77376728922087</v>
          </cell>
          <cell r="CG61">
            <v>1336.8469554924122</v>
          </cell>
        </row>
        <row r="62">
          <cell r="B62" t="str">
            <v>Brand</v>
          </cell>
          <cell r="AP62">
            <v>4.6081530937668314</v>
          </cell>
          <cell r="AQ62">
            <v>5.6046788455927841</v>
          </cell>
          <cell r="AR62">
            <v>6.3620665164363679</v>
          </cell>
          <cell r="AS62">
            <v>16.574898455795982</v>
          </cell>
          <cell r="AT62">
            <v>7.404136322433124</v>
          </cell>
          <cell r="AU62">
            <v>6.4987229023784367</v>
          </cell>
          <cell r="AV62">
            <v>9.5461237978602433</v>
          </cell>
          <cell r="AW62">
            <v>7.775503309113839</v>
          </cell>
          <cell r="AX62">
            <v>31.224486331785641</v>
          </cell>
          <cell r="AY62">
            <v>10.259776041157519</v>
          </cell>
          <cell r="AZ62">
            <v>7.9642882545052816</v>
          </cell>
          <cell r="BA62">
            <v>6.7310735140082647</v>
          </cell>
          <cell r="BB62">
            <v>8.0746573924413436</v>
          </cell>
          <cell r="BC62">
            <v>33.02979520211241</v>
          </cell>
          <cell r="BD62">
            <v>5.5886410719992945</v>
          </cell>
          <cell r="BE62">
            <v>8.649552026997835</v>
          </cell>
          <cell r="BF62">
            <v>10.13319878508079</v>
          </cell>
          <cell r="BG62">
            <v>12.349006596333076</v>
          </cell>
          <cell r="BH62">
            <v>36.720398480410992</v>
          </cell>
          <cell r="BI62">
            <v>13.517682565211144</v>
          </cell>
          <cell r="BJ62">
            <v>13.172574431236724</v>
          </cell>
          <cell r="BK62">
            <v>40.740605558003516</v>
          </cell>
          <cell r="BL62">
            <v>44.561251094430553</v>
          </cell>
          <cell r="BM62">
            <v>111.99211364888194</v>
          </cell>
          <cell r="BN62">
            <v>41.789637824106904</v>
          </cell>
          <cell r="BO62">
            <v>40.272486698158609</v>
          </cell>
          <cell r="BP62">
            <v>47.671889699990338</v>
          </cell>
          <cell r="BQ62">
            <v>42.948766185175863</v>
          </cell>
          <cell r="BR62">
            <v>172.68278040743172</v>
          </cell>
          <cell r="BS62">
            <v>39.376740423106654</v>
          </cell>
          <cell r="BT62">
            <v>43.958495443036639</v>
          </cell>
          <cell r="BU62">
            <v>46.1286489503184</v>
          </cell>
          <cell r="BV62">
            <v>47.074423437740478</v>
          </cell>
          <cell r="BW62">
            <v>176.53830825420218</v>
          </cell>
          <cell r="BX62">
            <v>36.293477102297459</v>
          </cell>
          <cell r="BY62">
            <v>41.923498047827138</v>
          </cell>
          <cell r="BZ62">
            <v>46.192013921613402</v>
          </cell>
          <cell r="CA62">
            <v>46.817994750161176</v>
          </cell>
          <cell r="CB62">
            <v>171.22698382189918</v>
          </cell>
          <cell r="CC62">
            <v>57.083692924498258</v>
          </cell>
          <cell r="CD62">
            <v>64.602132740882254</v>
          </cell>
          <cell r="CE62">
            <v>70.239580921332816</v>
          </cell>
          <cell r="CF62">
            <v>68.172232411295127</v>
          </cell>
          <cell r="CG62">
            <v>260.09763899800845</v>
          </cell>
        </row>
        <row r="63">
          <cell r="B63" t="str">
            <v>Gross profit - total (est)</v>
          </cell>
          <cell r="AP63">
            <v>16.813999000000024</v>
          </cell>
          <cell r="AQ63">
            <v>24.524000999999998</v>
          </cell>
          <cell r="AR63">
            <v>28.169000857367067</v>
          </cell>
          <cell r="AS63">
            <v>69.507000857367075</v>
          </cell>
          <cell r="AT63">
            <v>28.807999999999982</v>
          </cell>
          <cell r="AU63">
            <v>34.53000000000003</v>
          </cell>
          <cell r="AV63">
            <v>36.238999999999997</v>
          </cell>
          <cell r="AW63">
            <v>38.653999999999996</v>
          </cell>
          <cell r="AX63">
            <v>138.23099999999999</v>
          </cell>
          <cell r="AY63">
            <v>38.335999999999999</v>
          </cell>
          <cell r="AZ63">
            <v>38.613999000000035</v>
          </cell>
          <cell r="BA63">
            <v>39.269000999999946</v>
          </cell>
          <cell r="BB63">
            <v>43.436999000000014</v>
          </cell>
          <cell r="BC63">
            <v>159.65599900000001</v>
          </cell>
          <cell r="BD63">
            <v>51.734999000000016</v>
          </cell>
          <cell r="BE63">
            <v>60.354999000000021</v>
          </cell>
          <cell r="BF63">
            <v>68.172001000000023</v>
          </cell>
          <cell r="BG63">
            <v>76.318000999999981</v>
          </cell>
          <cell r="BH63">
            <v>256.58000000000004</v>
          </cell>
          <cell r="BI63">
            <v>90.956000999999901</v>
          </cell>
          <cell r="BJ63">
            <v>96.715000999999916</v>
          </cell>
          <cell r="BK63">
            <v>210.69500000000019</v>
          </cell>
          <cell r="BL63">
            <v>245.68776638643055</v>
          </cell>
          <cell r="BM63">
            <v>644.05376838643053</v>
          </cell>
          <cell r="BN63">
            <v>227.4545717792069</v>
          </cell>
          <cell r="BO63">
            <v>246.98715427739893</v>
          </cell>
          <cell r="BP63">
            <v>268.13009309498375</v>
          </cell>
          <cell r="BQ63">
            <v>274.37036488159788</v>
          </cell>
          <cell r="BR63">
            <v>1016.9421840331875</v>
          </cell>
          <cell r="BS63">
            <v>252.74616474721876</v>
          </cell>
          <cell r="BT63">
            <v>301.58114020325161</v>
          </cell>
          <cell r="BU63">
            <v>285.23497895133636</v>
          </cell>
          <cell r="BV63">
            <v>341.95584501252677</v>
          </cell>
          <cell r="BW63">
            <v>1181.5181289143334</v>
          </cell>
          <cell r="BX63">
            <v>295.941109526513</v>
          </cell>
          <cell r="BY63">
            <v>353.6287928296037</v>
          </cell>
          <cell r="BZ63">
            <v>335.41538145328752</v>
          </cell>
          <cell r="CA63">
            <v>403.73947225215477</v>
          </cell>
          <cell r="CB63">
            <v>1388.724756061559</v>
          </cell>
          <cell r="CC63">
            <v>378.45345238343407</v>
          </cell>
          <cell r="CD63">
            <v>419.25529261597393</v>
          </cell>
          <cell r="CE63">
            <v>390.28984979049676</v>
          </cell>
          <cell r="CF63">
            <v>408.94599970051598</v>
          </cell>
          <cell r="CG63">
            <v>1596.9445944904207</v>
          </cell>
        </row>
        <row r="64">
          <cell r="B64" t="str">
            <v>Gross profit margin</v>
          </cell>
          <cell r="AP64">
            <v>8.2075558918285774E-2</v>
          </cell>
          <cell r="AQ64">
            <v>8.2522935748945078E-2</v>
          </cell>
          <cell r="AR64">
            <v>0.10440619734978637</v>
          </cell>
          <cell r="AS64">
            <v>9.0053639170510819E-2</v>
          </cell>
          <cell r="AT64">
            <v>0.10758084995145263</v>
          </cell>
          <cell r="AU64">
            <v>0.1174865433165707</v>
          </cell>
          <cell r="AV64">
            <v>0.10137548849843203</v>
          </cell>
          <cell r="AW64">
            <v>9.2739255715529864E-2</v>
          </cell>
          <cell r="AX64">
            <v>0.10346926035321363</v>
          </cell>
          <cell r="AY64">
            <v>8.9674434271652531E-2</v>
          </cell>
          <cell r="AZ64">
            <v>8.5562656355598954E-2</v>
          </cell>
          <cell r="BA64">
            <v>8.4806563983396657E-2</v>
          </cell>
          <cell r="BB64">
            <v>8.6915543629855097E-2</v>
          </cell>
          <cell r="BC64">
            <v>8.6694178431798441E-2</v>
          </cell>
          <cell r="BD64">
            <v>4.8263726965463022E-2</v>
          </cell>
          <cell r="BE64">
            <v>5.1024806908026014E-2</v>
          </cell>
          <cell r="BF64">
            <v>5.4261129493007244E-2</v>
          </cell>
          <cell r="BG64">
            <v>5.6611780039077381E-2</v>
          </cell>
          <cell r="BH64">
            <v>5.2802474130738915E-2</v>
          </cell>
          <cell r="BI64">
            <v>5.4103602604177452E-2</v>
          </cell>
          <cell r="BJ64">
            <v>5.8222450514078025E-2</v>
          </cell>
          <cell r="BK64">
            <v>6.687127371058689E-2</v>
          </cell>
          <cell r="BL64">
            <v>7.4630516593486226E-2</v>
          </cell>
          <cell r="BM64">
            <v>6.5819952841686041E-2</v>
          </cell>
          <cell r="BN64">
            <v>7.1491754767334284E-2</v>
          </cell>
          <cell r="BO64">
            <v>7.3025792326203237E-2</v>
          </cell>
          <cell r="BP64">
            <v>7.4922494183497113E-2</v>
          </cell>
          <cell r="BQ64">
            <v>7.1641315610995029E-2</v>
          </cell>
          <cell r="BR64">
            <v>7.2782811080776291E-2</v>
          </cell>
          <cell r="BS64">
            <v>5.8925775561663313E-2</v>
          </cell>
          <cell r="BT64">
            <v>6.126275967429947E-2</v>
          </cell>
          <cell r="BU64">
            <v>5.7627668510278202E-2</v>
          </cell>
          <cell r="BV64">
            <v>6.3288113055916737E-2</v>
          </cell>
          <cell r="BW64">
            <v>6.039012599179882E-2</v>
          </cell>
          <cell r="BX64">
            <v>6.254061630708628E-2</v>
          </cell>
          <cell r="BY64">
            <v>6.3728525143820491E-2</v>
          </cell>
          <cell r="BZ64">
            <v>5.8660566921734693E-2</v>
          </cell>
          <cell r="CA64">
            <v>6.4687387835662594E-2</v>
          </cell>
          <cell r="CB64">
            <v>6.2441912251249773E-2</v>
          </cell>
          <cell r="CC64">
            <v>6.2845949944374174E-2</v>
          </cell>
          <cell r="CD64">
            <v>6.2087127399988201E-2</v>
          </cell>
          <cell r="CE64">
            <v>5.6646812233040994E-2</v>
          </cell>
          <cell r="CF64">
            <v>5.931069196804236E-2</v>
          </cell>
          <cell r="CG64">
            <v>6.0127110484077539E-2</v>
          </cell>
        </row>
        <row r="66">
          <cell r="B66" t="str">
            <v>Difference - PBM gross profit</v>
          </cell>
          <cell r="AP66">
            <v>9.9999999747524271E-7</v>
          </cell>
          <cell r="AQ66">
            <v>-9.9999999747524271E-7</v>
          </cell>
          <cell r="AR66">
            <v>-8.57367055573377E-7</v>
          </cell>
          <cell r="AS66">
            <v>-8.5736704136252229E-7</v>
          </cell>
          <cell r="AT66">
            <v>0</v>
          </cell>
          <cell r="AU66">
            <v>0</v>
          </cell>
          <cell r="AV66">
            <v>0</v>
          </cell>
          <cell r="AW66">
            <v>0</v>
          </cell>
          <cell r="AX66">
            <v>0</v>
          </cell>
          <cell r="AY66">
            <v>0</v>
          </cell>
          <cell r="AZ66">
            <v>9.9999999747524271E-7</v>
          </cell>
          <cell r="BA66">
            <v>-9.9999999747524271E-7</v>
          </cell>
          <cell r="BB66">
            <v>9.9999999747524271E-7</v>
          </cell>
          <cell r="BC66">
            <v>9.9999999747524271E-7</v>
          </cell>
          <cell r="BD66">
            <v>9.9999999747524271E-7</v>
          </cell>
          <cell r="BE66">
            <v>9.9999999747524271E-7</v>
          </cell>
          <cell r="BF66">
            <v>-9.9999999747524271E-7</v>
          </cell>
          <cell r="BG66">
            <v>-9.9999999747524271E-7</v>
          </cell>
          <cell r="BH66">
            <v>0</v>
          </cell>
          <cell r="BI66">
            <v>-9.9999999747524271E-7</v>
          </cell>
          <cell r="BJ66">
            <v>-9.9999999747524271E-7</v>
          </cell>
          <cell r="BK66">
            <v>0</v>
          </cell>
          <cell r="BL66">
            <v>3.233613569705085E-3</v>
          </cell>
          <cell r="BM66">
            <v>3.2316135697101345E-3</v>
          </cell>
          <cell r="BN66">
            <v>-2.5717792071304757E-3</v>
          </cell>
          <cell r="BO66">
            <v>-3.1542773985506756E-3</v>
          </cell>
          <cell r="BP66">
            <v>9.0690501610879437E-4</v>
          </cell>
          <cell r="BQ66">
            <v>0</v>
          </cell>
          <cell r="BR66">
            <v>-4.8191515895723569E-3</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row>
        <row r="68">
          <cell r="B68" t="str">
            <v>Margin % (PBM)</v>
          </cell>
        </row>
        <row r="69">
          <cell r="B69" t="str">
            <v>COGS</v>
          </cell>
          <cell r="AP69">
            <v>0.91792443620033182</v>
          </cell>
          <cell r="AQ69">
            <v>0.91747706761604153</v>
          </cell>
          <cell r="AR69">
            <v>0.89559380582797754</v>
          </cell>
          <cell r="AS69">
            <v>0.90994636194029843</v>
          </cell>
          <cell r="AT69">
            <v>0.89241915004854744</v>
          </cell>
          <cell r="AU69">
            <v>0.88251345668342929</v>
          </cell>
          <cell r="AV69">
            <v>0.89862451150156786</v>
          </cell>
          <cell r="AW69">
            <v>0.90726074428447012</v>
          </cell>
          <cell r="AX69">
            <v>0.8965307396467862</v>
          </cell>
          <cell r="AY69">
            <v>0.91032556572834744</v>
          </cell>
          <cell r="AZ69">
            <v>0.91443734142855548</v>
          </cell>
          <cell r="BA69">
            <v>0.91519343817623466</v>
          </cell>
          <cell r="BB69">
            <v>0.9130844543691885</v>
          </cell>
          <cell r="BC69">
            <v>0.91330582102519553</v>
          </cell>
          <cell r="BD69">
            <v>0.95173627210163414</v>
          </cell>
          <cell r="BE69">
            <v>0.94897519224656257</v>
          </cell>
          <cell r="BF69">
            <v>0.94573887130293721</v>
          </cell>
          <cell r="BG69">
            <v>0.94338822070271067</v>
          </cell>
          <cell r="BH69">
            <v>0.94719752586926087</v>
          </cell>
          <cell r="BI69">
            <v>0.94589639799065528</v>
          </cell>
          <cell r="BJ69">
            <v>0.94177755008792219</v>
          </cell>
          <cell r="BK69">
            <v>0.93312872628941312</v>
          </cell>
          <cell r="BL69">
            <v>0.92536852350020771</v>
          </cell>
          <cell r="BM69">
            <v>0.93417972352820633</v>
          </cell>
          <cell r="BN69">
            <v>0.92850912746070868</v>
          </cell>
          <cell r="BO69">
            <v>0.926975233539166</v>
          </cell>
          <cell r="BP69">
            <v>0.92507726823232694</v>
          </cell>
          <cell r="BQ69">
            <v>0.92835868438900504</v>
          </cell>
          <cell r="BR69">
            <v>0.92721757739171229</v>
          </cell>
          <cell r="BS69">
            <v>0.94107422443833666</v>
          </cell>
          <cell r="BT69">
            <v>0.93873724032570061</v>
          </cell>
          <cell r="BU69">
            <v>0.94237233148972177</v>
          </cell>
          <cell r="BV69">
            <v>0.93671188694408325</v>
          </cell>
          <cell r="BW69">
            <v>0.93960987400820117</v>
          </cell>
          <cell r="BX69">
            <v>0.93745938369291371</v>
          </cell>
          <cell r="BY69">
            <v>0.93627147485617956</v>
          </cell>
          <cell r="BZ69">
            <v>0.94133943307826529</v>
          </cell>
          <cell r="CA69">
            <v>0.93531261216433736</v>
          </cell>
          <cell r="CB69">
            <v>0.93755808774875027</v>
          </cell>
          <cell r="CC69">
            <v>0.9371540500556258</v>
          </cell>
          <cell r="CD69">
            <v>0.93791287260001177</v>
          </cell>
          <cell r="CE69">
            <v>0.94335318776695898</v>
          </cell>
          <cell r="CF69">
            <v>0.94068930803195761</v>
          </cell>
          <cell r="CG69">
            <v>0.93987288951592241</v>
          </cell>
        </row>
        <row r="70">
          <cell r="B70" t="str">
            <v>Gross margin - total</v>
          </cell>
          <cell r="AP70">
            <v>8.2075563799668169E-2</v>
          </cell>
          <cell r="AQ70">
            <v>8.2522932383958442E-2</v>
          </cell>
          <cell r="AR70">
            <v>0.10440619417202247</v>
          </cell>
          <cell r="AS70">
            <v>9.0053638059701527E-2</v>
          </cell>
          <cell r="AT70">
            <v>0.10758084995145256</v>
          </cell>
          <cell r="AU70">
            <v>0.1174865433165707</v>
          </cell>
          <cell r="AV70">
            <v>0.10137548849843214</v>
          </cell>
          <cell r="AW70">
            <v>9.2739255715529864E-2</v>
          </cell>
          <cell r="AX70">
            <v>0.10346926035321366</v>
          </cell>
          <cell r="AY70">
            <v>8.9674434271652559E-2</v>
          </cell>
          <cell r="AZ70">
            <v>8.5562658571444475E-2</v>
          </cell>
          <cell r="BA70">
            <v>8.4806561823765336E-2</v>
          </cell>
          <cell r="BB70">
            <v>8.6915545630811553E-2</v>
          </cell>
          <cell r="BC70">
            <v>8.6694178974804526E-2</v>
          </cell>
          <cell r="BD70">
            <v>4.8263727898365846E-2</v>
          </cell>
          <cell r="BE70">
            <v>5.1024807753437457E-2</v>
          </cell>
          <cell r="BF70">
            <v>5.4261128697062747E-2</v>
          </cell>
          <cell r="BG70">
            <v>5.6611779297289347E-2</v>
          </cell>
          <cell r="BH70">
            <v>5.2802474130738915E-2</v>
          </cell>
          <cell r="BI70">
            <v>5.4103602009344762E-2</v>
          </cell>
          <cell r="BJ70">
            <v>5.8222449912077825E-2</v>
          </cell>
          <cell r="BK70">
            <v>6.6871273710586876E-2</v>
          </cell>
          <cell r="BL70">
            <v>7.4631476499792307E-2</v>
          </cell>
          <cell r="BM70">
            <v>6.5820276471793573E-2</v>
          </cell>
          <cell r="BN70">
            <v>7.1490872539291275E-2</v>
          </cell>
          <cell r="BO70">
            <v>7.3024766460833973E-2</v>
          </cell>
          <cell r="BP70">
            <v>7.4922731767673015E-2</v>
          </cell>
          <cell r="BQ70">
            <v>7.1641315610995029E-2</v>
          </cell>
          <cell r="BR70">
            <v>7.2782422608287711E-2</v>
          </cell>
          <cell r="BS70">
            <v>5.8925775561663313E-2</v>
          </cell>
          <cell r="BT70">
            <v>6.126275967429947E-2</v>
          </cell>
          <cell r="BU70">
            <v>5.7627668510278202E-2</v>
          </cell>
          <cell r="BV70">
            <v>6.3288113055916737E-2</v>
          </cell>
          <cell r="BW70">
            <v>6.039012599179882E-2</v>
          </cell>
          <cell r="BX70">
            <v>6.254061630708628E-2</v>
          </cell>
          <cell r="BY70">
            <v>6.3728525143820491E-2</v>
          </cell>
          <cell r="BZ70">
            <v>5.8660566921734693E-2</v>
          </cell>
          <cell r="CA70">
            <v>6.4687387835662594E-2</v>
          </cell>
          <cell r="CB70">
            <v>6.2441912251249773E-2</v>
          </cell>
          <cell r="CC70">
            <v>6.2845949944374174E-2</v>
          </cell>
          <cell r="CD70">
            <v>6.2087127399988201E-2</v>
          </cell>
          <cell r="CE70">
            <v>5.6646812233040994E-2</v>
          </cell>
          <cell r="CF70">
            <v>5.931069196804236E-2</v>
          </cell>
          <cell r="CG70">
            <v>6.0127110484077546E-2</v>
          </cell>
        </row>
        <row r="71">
          <cell r="B71" t="str">
            <v>Revenue per script</v>
          </cell>
          <cell r="AP71">
            <v>28.452777777777779</v>
          </cell>
          <cell r="AQ71">
            <v>33.390786516853929</v>
          </cell>
          <cell r="AR71">
            <v>32.119285714285716</v>
          </cell>
          <cell r="AS71">
            <v>31.503673469387756</v>
          </cell>
          <cell r="AT71">
            <v>31.878571428571423</v>
          </cell>
          <cell r="AU71">
            <v>33.02314606741573</v>
          </cell>
          <cell r="AV71">
            <v>36.108383838383837</v>
          </cell>
          <cell r="AW71">
            <v>37.549819819819824</v>
          </cell>
          <cell r="AX71">
            <v>34.881514360313311</v>
          </cell>
          <cell r="AY71">
            <v>36.538632478632479</v>
          </cell>
          <cell r="AZ71">
            <v>38.24533898305085</v>
          </cell>
          <cell r="BA71">
            <v>38.911092436974783</v>
          </cell>
          <cell r="BB71">
            <v>39.66357142857143</v>
          </cell>
          <cell r="BC71">
            <v>38.366666666666667</v>
          </cell>
          <cell r="BD71">
            <v>50.325023474178401</v>
          </cell>
          <cell r="BE71">
            <v>51.879649122807017</v>
          </cell>
          <cell r="BF71">
            <v>53.921416309012869</v>
          </cell>
          <cell r="BG71">
            <v>55.477119341563792</v>
          </cell>
          <cell r="BH71">
            <v>52.99064340239913</v>
          </cell>
          <cell r="BI71">
            <v>48.870494186046514</v>
          </cell>
          <cell r="BJ71">
            <v>50.034006024096378</v>
          </cell>
          <cell r="BK71">
            <v>49.230546875000002</v>
          </cell>
          <cell r="BL71">
            <v>48.916136701337287</v>
          </cell>
          <cell r="BM71">
            <v>49.196003016591256</v>
          </cell>
          <cell r="BN71">
            <v>47.914954819277099</v>
          </cell>
          <cell r="BO71">
            <v>49.738161764705886</v>
          </cell>
          <cell r="BP71">
            <v>51.493050359712228</v>
          </cell>
          <cell r="BQ71">
            <v>51.174530406625543</v>
          </cell>
          <cell r="BR71">
            <v>50.127051478672087</v>
          </cell>
          <cell r="BS71">
            <v>46.140590883818867</v>
          </cell>
          <cell r="BT71">
            <v>48.262237301240653</v>
          </cell>
          <cell r="BU71">
            <v>47.478355711880575</v>
          </cell>
          <cell r="BV71">
            <v>48.132325276453521</v>
          </cell>
          <cell r="BW71">
            <v>47.548858582268039</v>
          </cell>
          <cell r="BX71">
            <v>46.275843196247209</v>
          </cell>
          <cell r="BY71">
            <v>49.456217054875147</v>
          </cell>
          <cell r="BZ71">
            <v>49.861802009322872</v>
          </cell>
          <cell r="CA71">
            <v>50.544961556830458</v>
          </cell>
          <cell r="CB71">
            <v>49.137486754377782</v>
          </cell>
          <cell r="CC71">
            <v>52.13785884833073</v>
          </cell>
          <cell r="CD71">
            <v>57.771612602019736</v>
          </cell>
          <cell r="CE71">
            <v>59.062037303752909</v>
          </cell>
          <cell r="CF71">
            <v>56.362924418284415</v>
          </cell>
          <cell r="CG71">
            <v>56.344946859583963</v>
          </cell>
        </row>
        <row r="72">
          <cell r="B72" t="str">
            <v>GM per script</v>
          </cell>
          <cell r="AP72">
            <v>2.3352777777777809</v>
          </cell>
          <cell r="AQ72">
            <v>2.7555056179775281</v>
          </cell>
          <cell r="AR72">
            <v>3.353452380952382</v>
          </cell>
          <cell r="AS72">
            <v>2.8370204081632666</v>
          </cell>
          <cell r="AT72">
            <v>3.429523809523805</v>
          </cell>
          <cell r="AU72">
            <v>3.8797752808988797</v>
          </cell>
          <cell r="AV72">
            <v>3.6605050505050536</v>
          </cell>
          <cell r="AW72">
            <v>3.4823423423423421</v>
          </cell>
          <cell r="AX72">
            <v>3.6091644908616192</v>
          </cell>
          <cell r="AY72">
            <v>3.2765811965811977</v>
          </cell>
          <cell r="AZ72">
            <v>3.2723728813559347</v>
          </cell>
          <cell r="BA72">
            <v>3.2999159663865503</v>
          </cell>
          <cell r="BB72">
            <v>3.4473809523809535</v>
          </cell>
          <cell r="BC72">
            <v>3.3261666666666669</v>
          </cell>
          <cell r="BD72">
            <v>2.4288732394366201</v>
          </cell>
          <cell r="BE72">
            <v>2.6471491228070181</v>
          </cell>
          <cell r="BF72">
            <v>2.9258369098712458</v>
          </cell>
          <cell r="BG72">
            <v>3.1406584362139913</v>
          </cell>
          <cell r="BH72">
            <v>2.798037077426391</v>
          </cell>
          <cell r="BI72">
            <v>2.6440697674418576</v>
          </cell>
          <cell r="BJ72">
            <v>2.9131024096385514</v>
          </cell>
          <cell r="BK72">
            <v>3.2921093750000026</v>
          </cell>
          <cell r="BL72">
            <v>3.6506835066864816</v>
          </cell>
          <cell r="BM72">
            <v>3.238094519859227</v>
          </cell>
          <cell r="BN72">
            <v>3.4254819277108397</v>
          </cell>
          <cell r="BO72">
            <v>3.6321176470588292</v>
          </cell>
          <cell r="BP72">
            <v>3.8579999999999979</v>
          </cell>
          <cell r="BQ72">
            <v>3.6662106841055229</v>
          </cell>
          <cell r="BR72">
            <v>3.648368244828105</v>
          </cell>
          <cell r="BS72">
            <v>2.7188701027024389</v>
          </cell>
          <cell r="BT72">
            <v>2.9566778451299176</v>
          </cell>
          <cell r="BU72">
            <v>2.7360669443773271</v>
          </cell>
          <cell r="BV72">
            <v>3.0462040437403495</v>
          </cell>
          <cell r="BW72">
            <v>2.8714815605493915</v>
          </cell>
          <cell r="BX72">
            <v>2.8941197536233858</v>
          </cell>
          <cell r="BY72">
            <v>3.1517717720998548</v>
          </cell>
          <cell r="BZ72">
            <v>2.9249215736061696</v>
          </cell>
          <cell r="CA72">
            <v>3.2696215313653481</v>
          </cell>
          <cell r="CB72">
            <v>3.0682386361638057</v>
          </cell>
          <cell r="CC72">
            <v>3.2766532673890389</v>
          </cell>
          <cell r="CD72">
            <v>3.5868734717243629</v>
          </cell>
          <cell r="CE72">
            <v>3.3456761372465538</v>
          </cell>
          <cell r="CF72">
            <v>3.3429240485909202</v>
          </cell>
          <cell r="CG72">
            <v>3.3878588450456828</v>
          </cell>
        </row>
        <row r="75">
          <cell r="B75" t="str">
            <v>Year-over-Year Growth (PBM)</v>
          </cell>
        </row>
        <row r="76">
          <cell r="B76" t="str">
            <v>Total Revenues</v>
          </cell>
          <cell r="AU76">
            <v>0.43466757785804933</v>
          </cell>
          <cell r="AV76">
            <v>0.20289186951927807</v>
          </cell>
          <cell r="AW76">
            <v>0.54484770313044373</v>
          </cell>
          <cell r="AX76">
            <v>0.7308794568822552</v>
          </cell>
          <cell r="AY76">
            <v>0.59646724923444649</v>
          </cell>
          <cell r="AZ76">
            <v>0.53550795152191522</v>
          </cell>
          <cell r="BA76">
            <v>0.29532020600157205</v>
          </cell>
          <cell r="BB76">
            <v>0.19903407605031642</v>
          </cell>
          <cell r="BC76">
            <v>0.37848232210197597</v>
          </cell>
          <cell r="BD76">
            <v>1.5074104916468225</v>
          </cell>
          <cell r="BE76">
            <v>1.6210261580562602</v>
          </cell>
          <cell r="BF76">
            <v>1.7132938264779436</v>
          </cell>
          <cell r="BG76">
            <v>1.6974773941944248</v>
          </cell>
          <cell r="BH76">
            <v>1.6385979582971331</v>
          </cell>
          <cell r="BI76">
            <v>0.56834492776066936</v>
          </cell>
          <cell r="BJ76">
            <v>0.40433746795890624</v>
          </cell>
          <cell r="BK76">
            <v>1.5078261243313076</v>
          </cell>
          <cell r="BL76">
            <v>1.4420077531685473</v>
          </cell>
          <cell r="BM76">
            <v>1.0137060471571493</v>
          </cell>
          <cell r="BN76">
            <v>0.89249172439022217</v>
          </cell>
          <cell r="BO76">
            <v>1.0360820863400737</v>
          </cell>
          <cell r="BP76">
            <v>0.13584426589817356</v>
          </cell>
          <cell r="BQ76">
            <v>0.1633393919250592</v>
          </cell>
          <cell r="BR76">
            <v>0.42791742996849202</v>
          </cell>
          <cell r="BS76">
            <v>0.34815586242310048</v>
          </cell>
          <cell r="BT76">
            <v>0.45548917337011807</v>
          </cell>
          <cell r="BU76">
            <v>0.38305136460785238</v>
          </cell>
          <cell r="BV76">
            <v>0.41082853796608121</v>
          </cell>
          <cell r="BW76">
            <v>0.4002537892113478</v>
          </cell>
          <cell r="BX76">
            <v>0.10322443949722704</v>
          </cell>
          <cell r="BY76">
            <v>0.12721336188374721</v>
          </cell>
          <cell r="BZ76">
            <v>0.15522076086831449</v>
          </cell>
          <cell r="CA76">
            <v>0.15513757943693052</v>
          </cell>
          <cell r="CB76">
            <v>0.13675148134833237</v>
          </cell>
          <cell r="CC76">
            <v>0.10650867772117034</v>
          </cell>
          <cell r="CD76">
            <v>0.10499512686812706</v>
          </cell>
          <cell r="CE76">
            <v>0.1002651963563741</v>
          </cell>
          <cell r="CF76">
            <v>0.1009255505199107</v>
          </cell>
          <cell r="CG76">
            <v>0.10304859473443773</v>
          </cell>
        </row>
        <row r="77">
          <cell r="B77" t="str">
            <v>Cost of revenues</v>
          </cell>
          <cell r="AU77">
            <v>0.37932208076747176</v>
          </cell>
          <cell r="AV77">
            <v>0.17817453622539925</v>
          </cell>
          <cell r="AW77">
            <v>0.5649724996171881</v>
          </cell>
          <cell r="AX77">
            <v>0.70536056258213664</v>
          </cell>
          <cell r="AY77">
            <v>0.628500410089885</v>
          </cell>
          <cell r="AZ77">
            <v>0.59105314292764177</v>
          </cell>
          <cell r="BA77">
            <v>0.31920344670862999</v>
          </cell>
          <cell r="BB77">
            <v>0.2067306802345108</v>
          </cell>
          <cell r="BC77">
            <v>0.40427525045273138</v>
          </cell>
          <cell r="BD77">
            <v>1.621472584963743</v>
          </cell>
          <cell r="BE77">
            <v>1.7200210331951316</v>
          </cell>
          <cell r="BF77">
            <v>1.803852534257727</v>
          </cell>
          <cell r="BG77">
            <v>1.7870022177224953</v>
          </cell>
          <cell r="BH77">
            <v>1.736513225172776</v>
          </cell>
          <cell r="BI77">
            <v>0.55872152975726053</v>
          </cell>
          <cell r="BJ77">
            <v>0.39368606353134661</v>
          </cell>
          <cell r="BK77">
            <v>1.4743876646717675</v>
          </cell>
          <cell r="BL77">
            <v>1.3953628626424774</v>
          </cell>
          <cell r="BM77">
            <v>0.98603069267306642</v>
          </cell>
          <cell r="BN77">
            <v>0.8577043357739238</v>
          </cell>
          <cell r="BO77">
            <v>1.0040801220137379</v>
          </cell>
          <cell r="BP77">
            <v>0.12604368618327522</v>
          </cell>
          <cell r="BQ77">
            <v>0.16709851260162378</v>
          </cell>
          <cell r="BR77">
            <v>0.41727561280215353</v>
          </cell>
          <cell r="BS77">
            <v>0.36639985017864451</v>
          </cell>
          <cell r="BT77">
            <v>0.47395727576973146</v>
          </cell>
          <cell r="BU77">
            <v>0.40890862179116438</v>
          </cell>
          <cell r="BV77">
            <v>0.42352291649270835</v>
          </cell>
          <cell r="BW77">
            <v>0.41896823198871869</v>
          </cell>
          <cell r="BX77">
            <v>9.8986749683098507E-2</v>
          </cell>
          <cell r="BY77">
            <v>0.12425252932579811</v>
          </cell>
          <cell r="BZ77">
            <v>0.15395456740219671</v>
          </cell>
          <cell r="CA77">
            <v>0.15341201696188178</v>
          </cell>
          <cell r="CB77">
            <v>0.13426920531616227</v>
          </cell>
          <cell r="CC77">
            <v>0.10699334582069286</v>
          </cell>
          <cell r="CD77">
            <v>0.10541636588023762</v>
          </cell>
          <cell r="CE77">
            <v>0.1005647565273502</v>
          </cell>
          <cell r="CF77">
            <v>0.10120278791657489</v>
          </cell>
          <cell r="CG77">
            <v>0.10340822507970504</v>
          </cell>
        </row>
        <row r="78">
          <cell r="B78" t="str">
            <v>Gross profit</v>
          </cell>
          <cell r="AU78">
            <v>1.053645771380991</v>
          </cell>
          <cell r="AV78">
            <v>0.47769531887131111</v>
          </cell>
          <cell r="AW78">
            <v>0.37221768610884243</v>
          </cell>
          <cell r="AX78">
            <v>0.98873494755923796</v>
          </cell>
          <cell r="AY78">
            <v>0.33074146070536181</v>
          </cell>
          <cell r="AZ78">
            <v>0.11827396466840434</v>
          </cell>
          <cell r="BA78">
            <v>8.361157868594371E-2</v>
          </cell>
          <cell r="BB78">
            <v>0.12373881098980744</v>
          </cell>
          <cell r="BC78">
            <v>0.1549941764148417</v>
          </cell>
          <cell r="BD78">
            <v>0.349514816360601</v>
          </cell>
          <cell r="BE78">
            <v>0.56303413269798441</v>
          </cell>
          <cell r="BF78">
            <v>0.73602587282589615</v>
          </cell>
          <cell r="BG78">
            <v>0.75698137532518284</v>
          </cell>
          <cell r="BH78">
            <v>0.60708022247832871</v>
          </cell>
          <cell r="BI78">
            <v>0.75811346283946812</v>
          </cell>
          <cell r="BJ78">
            <v>0.60243558942920861</v>
          </cell>
          <cell r="BK78">
            <v>2.0906383852608119</v>
          </cell>
          <cell r="BL78">
            <v>2.2193060614796027</v>
          </cell>
          <cell r="BM78">
            <v>1.5101605737002108</v>
          </cell>
          <cell r="BN78">
            <v>1.5006816482694929</v>
          </cell>
          <cell r="BO78">
            <v>1.5537300315359621</v>
          </cell>
          <cell r="BP78">
            <v>0.27260257718502889</v>
          </cell>
          <cell r="BQ78">
            <v>0.11672940759570993</v>
          </cell>
          <cell r="BR78">
            <v>0.57895553480762962</v>
          </cell>
          <cell r="BS78">
            <v>0.1112066051176468</v>
          </cell>
          <cell r="BT78">
            <v>0.22105537283083576</v>
          </cell>
          <cell r="BU78">
            <v>6.3789636227577162E-2</v>
          </cell>
          <cell r="BV78">
            <v>0.24632937365555052</v>
          </cell>
          <cell r="BW78">
            <v>0.161839627214305</v>
          </cell>
          <cell r="BX78">
            <v>0.17090247372297496</v>
          </cell>
          <cell r="BY78">
            <v>0.17258258454515563</v>
          </cell>
          <cell r="BZ78">
            <v>0.17592653848570361</v>
          </cell>
          <cell r="CA78">
            <v>0.18067720771775297</v>
          </cell>
          <cell r="CB78">
            <v>0.17537321017462726</v>
          </cell>
          <cell r="CC78">
            <v>9.9331367193104869E-2</v>
          </cell>
          <cell r="CD78">
            <v>9.8670555309468222E-2</v>
          </cell>
          <cell r="CE78">
            <v>9.5300409998324342E-2</v>
          </cell>
          <cell r="CF78">
            <v>9.65470540971336E-2</v>
          </cell>
          <cell r="CG78">
            <v>9.7457374960529863E-2</v>
          </cell>
        </row>
        <row r="79">
          <cell r="B79" t="str">
            <v>Revenue per script</v>
          </cell>
          <cell r="AU79">
            <v>0.16062995062673657</v>
          </cell>
          <cell r="AV79">
            <v>8.1387640274906525E-2</v>
          </cell>
          <cell r="AW79">
            <v>0.1690739375041197</v>
          </cell>
          <cell r="AX79">
            <v>0.10722054030327022</v>
          </cell>
          <cell r="AY79">
            <v>0.14618161483498726</v>
          </cell>
          <cell r="AZ79">
            <v>0.15813735326652933</v>
          </cell>
          <cell r="BA79">
            <v>7.7619331043324635E-2</v>
          </cell>
          <cell r="BB79">
            <v>5.6291924139564298E-2</v>
          </cell>
          <cell r="BC79">
            <v>9.9914019510535246E-2</v>
          </cell>
          <cell r="BD79">
            <v>0.37730998836938134</v>
          </cell>
          <cell r="BE79">
            <v>0.3564959940817487</v>
          </cell>
          <cell r="BF79">
            <v>0.38575950794367087</v>
          </cell>
          <cell r="BG79">
            <v>0.39869198217488711</v>
          </cell>
          <cell r="BH79">
            <v>0.38116359867243599</v>
          </cell>
          <cell r="BI79">
            <v>-2.8902704613306351E-2</v>
          </cell>
          <cell r="BJ79">
            <v>-3.5575473811353731E-2</v>
          </cell>
          <cell r="BK79">
            <v>-8.6994551610633408E-2</v>
          </cell>
          <cell r="BL79">
            <v>-0.11826465970288724</v>
          </cell>
          <cell r="BM79">
            <v>-7.1609630345346509E-2</v>
          </cell>
          <cell r="BN79">
            <v>-1.9552480135186401E-2</v>
          </cell>
          <cell r="BO79">
            <v>-5.9128637280815299E-3</v>
          </cell>
          <cell r="BP79">
            <v>4.5957309604073515E-2</v>
          </cell>
          <cell r="BQ79">
            <v>4.6168684969484008E-2</v>
          </cell>
          <cell r="BR79">
            <v>1.8925286710118172E-2</v>
          </cell>
          <cell r="BS79">
            <v>-3.7031526840642481E-2</v>
          </cell>
          <cell r="BT79">
            <v>-2.9673884419921359E-2</v>
          </cell>
          <cell r="BU79">
            <v>-7.7965756928098373E-2</v>
          </cell>
          <cell r="BV79">
            <v>-5.9447641355945824E-2</v>
          </cell>
          <cell r="BW79">
            <v>-5.1433164735432468E-2</v>
          </cell>
          <cell r="BX79">
            <v>2.9313086338427219E-3</v>
          </cell>
          <cell r="BY79">
            <v>2.4739419894315606E-2</v>
          </cell>
          <cell r="BZ79">
            <v>5.0200691698467637E-2</v>
          </cell>
          <cell r="CA79">
            <v>5.0125072215391198E-2</v>
          </cell>
          <cell r="CB79">
            <v>3.3410437589393105E-2</v>
          </cell>
          <cell r="CC79">
            <v>5.3817788305876579E-2</v>
          </cell>
          <cell r="CD79">
            <v>5.2376311302978262E-2</v>
          </cell>
          <cell r="CE79">
            <v>4.7871615577498972E-2</v>
          </cell>
          <cell r="CF79">
            <v>4.8500524304676773E-2</v>
          </cell>
          <cell r="CG79">
            <v>5.0522471175655115E-2</v>
          </cell>
        </row>
        <row r="81">
          <cell r="B81" t="str">
            <v>Total Adj. SG&amp;A Reported</v>
          </cell>
        </row>
        <row r="82">
          <cell r="B82" t="str">
            <v>Total Adj. SG&amp;A</v>
          </cell>
        </row>
        <row r="83">
          <cell r="B83" t="str">
            <v>Check</v>
          </cell>
        </row>
        <row r="85">
          <cell r="B85" t="str">
            <v>Gross profit $ per script</v>
          </cell>
        </row>
        <row r="86">
          <cell r="B86" t="str">
            <v>Generic</v>
          </cell>
          <cell r="AP86">
            <v>2.4568932983561176</v>
          </cell>
          <cell r="AQ86">
            <v>3.0808210640624027</v>
          </cell>
          <cell r="AR86">
            <v>3.7624110319066082</v>
          </cell>
          <cell r="AS86">
            <v>3.1311506892381602</v>
          </cell>
          <cell r="AT86">
            <v>3.5888436749776758</v>
          </cell>
          <cell r="AU86">
            <v>4.4360305582563049</v>
          </cell>
          <cell r="AV86">
            <v>3.7975353822933213</v>
          </cell>
          <cell r="AW86">
            <v>3.863675762122893</v>
          </cell>
          <cell r="AX86">
            <v>3.919078291393729</v>
          </cell>
          <cell r="AY86">
            <v>3.287229125259628</v>
          </cell>
          <cell r="AZ86">
            <v>3.463244152033305</v>
          </cell>
          <cell r="BA86">
            <v>3.5977363429889073</v>
          </cell>
          <cell r="BB86">
            <v>3.6448507119726519</v>
          </cell>
          <cell r="BC86">
            <v>3.5040596562494839</v>
          </cell>
          <cell r="BD86">
            <v>2.7882827250591062</v>
          </cell>
          <cell r="BE86">
            <v>2.9033010348304868</v>
          </cell>
          <cell r="BF86">
            <v>3.173954579227912</v>
          </cell>
          <cell r="BG86">
            <v>3.3271006277499056</v>
          </cell>
          <cell r="BH86">
            <v>3.059048146938053</v>
          </cell>
          <cell r="BI86">
            <v>2.8138923849850563</v>
          </cell>
          <cell r="BJ86">
            <v>3.1065903082241255</v>
          </cell>
          <cell r="BK86">
            <v>3.1994426664532507</v>
          </cell>
          <cell r="BL86">
            <v>3.6006107393974105</v>
          </cell>
          <cell r="BM86">
            <v>3.2563706369233834</v>
          </cell>
          <cell r="BN86">
            <v>3.3688658360266364</v>
          </cell>
          <cell r="BO86">
            <v>3.6189542643424426</v>
          </cell>
          <cell r="BP86">
            <v>3.776262476789884</v>
          </cell>
          <cell r="BQ86">
            <v>3.6614612347517861</v>
          </cell>
          <cell r="BR86">
            <v>3.6107744416216114</v>
          </cell>
          <cell r="BS86">
            <v>2.6610407227373347</v>
          </cell>
          <cell r="BT86">
            <v>2.9037495220455893</v>
          </cell>
          <cell r="BU86">
            <v>2.6122243915299506</v>
          </cell>
          <cell r="BV86">
            <v>2.984560324429725</v>
          </cell>
          <cell r="BW86">
            <v>2.7975219965641016</v>
          </cell>
          <cell r="BX86">
            <v>2.8765021514987659</v>
          </cell>
          <cell r="BY86">
            <v>3.1388628051454748</v>
          </cell>
          <cell r="BZ86">
            <v>2.843618662890389</v>
          </cell>
          <cell r="CA86">
            <v>3.2489366023030848</v>
          </cell>
          <cell r="CB86">
            <v>3.035111201729273</v>
          </cell>
          <cell r="CC86">
            <v>3.182694793052784</v>
          </cell>
          <cell r="CD86">
            <v>3.4614178731691343</v>
          </cell>
          <cell r="CE86">
            <v>3.1232330418382093</v>
          </cell>
          <cell r="CF86">
            <v>3.1613233072813407</v>
          </cell>
          <cell r="CG86">
            <v>3.2314271274036477</v>
          </cell>
        </row>
        <row r="87">
          <cell r="B87" t="str">
            <v>Brand</v>
          </cell>
          <cell r="AP87">
            <v>2.0645847194295834</v>
          </cell>
          <cell r="AQ87">
            <v>2.0314167617226468</v>
          </cell>
          <cell r="AR87">
            <v>2.4431899064655784</v>
          </cell>
          <cell r="AS87">
            <v>2.1823434438177718</v>
          </cell>
          <cell r="AT87">
            <v>3.0394648285850256</v>
          </cell>
          <cell r="AU87">
            <v>2.517908912196217</v>
          </cell>
          <cell r="AV87">
            <v>3.3250169968165246</v>
          </cell>
          <cell r="AW87">
            <v>2.5017706914780691</v>
          </cell>
          <cell r="AX87">
            <v>2.8396222564373987</v>
          </cell>
          <cell r="AY87">
            <v>3.2477923523765493</v>
          </cell>
          <cell r="AZ87">
            <v>2.6997587303407733</v>
          </cell>
          <cell r="BA87">
            <v>2.3568184572858071</v>
          </cell>
          <cell r="BB87">
            <v>2.7862861947692701</v>
          </cell>
          <cell r="BC87">
            <v>2.784270016194252</v>
          </cell>
          <cell r="BD87">
            <v>1.1765807852795418</v>
          </cell>
          <cell r="BE87">
            <v>1.7330966986964873</v>
          </cell>
          <cell r="BF87">
            <v>2.0209643462958713</v>
          </cell>
          <cell r="BG87">
            <v>2.4340924685890704</v>
          </cell>
          <cell r="BH87">
            <v>1.8519372950337638</v>
          </cell>
          <cell r="BI87">
            <v>1.9647794426178995</v>
          </cell>
          <cell r="BJ87">
            <v>2.0882331057762724</v>
          </cell>
          <cell r="BK87">
            <v>3.7445409520223811</v>
          </cell>
          <cell r="BL87">
            <v>3.8948737955100547</v>
          </cell>
          <cell r="BM87">
            <v>3.1539078444586424</v>
          </cell>
          <cell r="BN87">
            <v>3.7021295024899796</v>
          </cell>
          <cell r="BO87">
            <v>3.7015153215219301</v>
          </cell>
          <cell r="BP87">
            <v>4.2870404406466118</v>
          </cell>
          <cell r="BQ87">
            <v>3.6920157853272397</v>
          </cell>
          <cell r="BR87">
            <v>3.8441542382914275</v>
          </cell>
          <cell r="BS87">
            <v>3.0817726669376055</v>
          </cell>
          <cell r="BT87">
            <v>3.3102982550196125</v>
          </cell>
          <cell r="BU87">
            <v>3.6274957574702098</v>
          </cell>
          <cell r="BV87">
            <v>3.4988949596331995</v>
          </cell>
          <cell r="BW87">
            <v>3.3802056960588009</v>
          </cell>
          <cell r="BX87">
            <v>3.0267410121708629</v>
          </cell>
          <cell r="BY87">
            <v>3.2511857861799771</v>
          </cell>
          <cell r="BZ87">
            <v>3.5627190475153858</v>
          </cell>
          <cell r="CA87">
            <v>3.4364146924968932</v>
          </cell>
          <cell r="CB87">
            <v>3.3263950953613195</v>
          </cell>
          <cell r="CC87">
            <v>3.929788454231208</v>
          </cell>
          <cell r="CD87">
            <v>4.4778404495650301</v>
          </cell>
          <cell r="CE87">
            <v>4.9530863499857531</v>
          </cell>
          <cell r="CF87">
            <v>4.6895131767429952</v>
          </cell>
          <cell r="CG87">
            <v>4.5100164420914686</v>
          </cell>
        </row>
        <row r="88">
          <cell r="B88" t="str">
            <v>Gross profit - total (est)</v>
          </cell>
          <cell r="AP88">
            <v>2.3352776388888921</v>
          </cell>
          <cell r="AQ88">
            <v>2.7555057303370782</v>
          </cell>
          <cell r="AR88">
            <v>3.3534524830198889</v>
          </cell>
          <cell r="AS88">
            <v>2.8370204431578396</v>
          </cell>
          <cell r="AT88">
            <v>3.4295238095238072</v>
          </cell>
          <cell r="AU88">
            <v>3.8797752808988797</v>
          </cell>
          <cell r="AV88">
            <v>3.66050505050505</v>
          </cell>
          <cell r="AW88">
            <v>3.4823423423423421</v>
          </cell>
          <cell r="AX88">
            <v>3.6091644908616183</v>
          </cell>
          <cell r="AY88">
            <v>3.2765811965811968</v>
          </cell>
          <cell r="AZ88">
            <v>3.2723727966101723</v>
          </cell>
          <cell r="BA88">
            <v>3.2999160504201632</v>
          </cell>
          <cell r="BB88">
            <v>3.4473808730158741</v>
          </cell>
          <cell r="BC88">
            <v>3.3261666458333337</v>
          </cell>
          <cell r="BD88">
            <v>2.4288731924882634</v>
          </cell>
          <cell r="BE88">
            <v>2.6471490789473693</v>
          </cell>
          <cell r="BF88">
            <v>2.9258369527897004</v>
          </cell>
          <cell r="BG88">
            <v>3.1406584773662547</v>
          </cell>
          <cell r="BH88">
            <v>2.798037077426391</v>
          </cell>
          <cell r="BI88">
            <v>2.6440697965116251</v>
          </cell>
          <cell r="BJ88">
            <v>2.9131024397590335</v>
          </cell>
          <cell r="BK88">
            <v>3.292109375000003</v>
          </cell>
          <cell r="BL88">
            <v>3.6506354589365602</v>
          </cell>
          <cell r="BM88">
            <v>3.2380782724305206</v>
          </cell>
          <cell r="BN88">
            <v>3.4255206593254051</v>
          </cell>
          <cell r="BO88">
            <v>3.6321640334911609</v>
          </cell>
          <cell r="BP88">
            <v>3.8579869510069602</v>
          </cell>
          <cell r="BQ88">
            <v>3.6662106841055229</v>
          </cell>
          <cell r="BR88">
            <v>3.6483855340341402</v>
          </cell>
          <cell r="BS88">
            <v>2.7188701027024389</v>
          </cell>
          <cell r="BT88">
            <v>2.9566778451299176</v>
          </cell>
          <cell r="BU88">
            <v>2.7360669443773271</v>
          </cell>
          <cell r="BV88">
            <v>3.0462040437403495</v>
          </cell>
          <cell r="BW88">
            <v>2.8714815605493915</v>
          </cell>
          <cell r="BX88">
            <v>2.8941197536233858</v>
          </cell>
          <cell r="BY88">
            <v>3.1517717720998548</v>
          </cell>
          <cell r="BZ88">
            <v>2.9249215736061696</v>
          </cell>
          <cell r="CA88">
            <v>3.2696215313653481</v>
          </cell>
          <cell r="CB88">
            <v>3.0682386361638057</v>
          </cell>
          <cell r="CC88">
            <v>3.2766532673890389</v>
          </cell>
          <cell r="CD88">
            <v>3.5868734717243629</v>
          </cell>
          <cell r="CE88">
            <v>3.3456761372465538</v>
          </cell>
          <cell r="CF88">
            <v>3.3429240485909202</v>
          </cell>
          <cell r="CG88">
            <v>3.3878588450456824</v>
          </cell>
        </row>
        <row r="90">
          <cell r="B90" t="str">
            <v>EBITDA per Script</v>
          </cell>
        </row>
        <row r="91">
          <cell r="B91" t="str">
            <v>EBITDA per Script</v>
          </cell>
          <cell r="AP91">
            <v>1.3300000000000005</v>
          </cell>
          <cell r="AQ91">
            <v>1.3355056179775309</v>
          </cell>
          <cell r="AR91">
            <v>1.9872619047619078</v>
          </cell>
          <cell r="AS91">
            <v>1.8157959183673509</v>
          </cell>
          <cell r="AT91">
            <v>1.9441666666666628</v>
          </cell>
          <cell r="AU91">
            <v>2.6580898876404508</v>
          </cell>
          <cell r="AV91">
            <v>2.4555555555555566</v>
          </cell>
          <cell r="AW91">
            <v>2.73990990990991</v>
          </cell>
          <cell r="AX91">
            <v>2.4728720626631895</v>
          </cell>
          <cell r="AY91">
            <v>2.4317094017094054</v>
          </cell>
          <cell r="AZ91">
            <v>2.6659322033898332</v>
          </cell>
          <cell r="BA91">
            <v>2.5830252100840365</v>
          </cell>
          <cell r="BB91">
            <v>2.4677777777777767</v>
          </cell>
          <cell r="BC91">
            <v>2.5362708333333353</v>
          </cell>
          <cell r="BD91">
            <v>1.5735211267605622</v>
          </cell>
          <cell r="BE91">
            <v>1.7095175438596479</v>
          </cell>
          <cell r="BF91">
            <v>1.9578540772532131</v>
          </cell>
          <cell r="BG91">
            <v>1.9893004115226336</v>
          </cell>
          <cell r="BH91">
            <v>1.8151690294438338</v>
          </cell>
          <cell r="BI91">
            <v>1.5806395348837179</v>
          </cell>
          <cell r="BJ91">
            <v>1.7652710843373465</v>
          </cell>
          <cell r="BK91">
            <v>1.6118750000000008</v>
          </cell>
          <cell r="BL91">
            <v>2.1820356612184262</v>
          </cell>
          <cell r="BM91">
            <v>1.8469331322272495</v>
          </cell>
          <cell r="BN91">
            <v>2.161144578313253</v>
          </cell>
          <cell r="BO91">
            <v>2.4383088235294106</v>
          </cell>
          <cell r="BP91">
            <v>2.5671079136690649</v>
          </cell>
          <cell r="BQ91">
            <v>2.6155704121192245</v>
          </cell>
          <cell r="BR91">
            <v>2.4519907264726264</v>
          </cell>
          <cell r="BS91">
            <v>2.0397717856558737</v>
          </cell>
          <cell r="BT91">
            <v>2.1715851754511326</v>
          </cell>
          <cell r="BU91">
            <v>1.9486957856764486</v>
          </cell>
          <cell r="BV91">
            <v>2.2126753038857578</v>
          </cell>
          <cell r="BW91">
            <v>2.0965438992073744</v>
          </cell>
          <cell r="BX91">
            <v>2.1190823725224779</v>
          </cell>
          <cell r="BY91">
            <v>2.2407606357129146</v>
          </cell>
          <cell r="BZ91">
            <v>1.9777610882889112</v>
          </cell>
          <cell r="CA91">
            <v>2.2775246152801727</v>
          </cell>
          <cell r="CB91">
            <v>2.1566664682775571</v>
          </cell>
          <cell r="CC91">
            <v>2.1966544901830392</v>
          </cell>
          <cell r="CD91">
            <v>2.4239882471099286</v>
          </cell>
          <cell r="CE91">
            <v>2.1432372979456358</v>
          </cell>
          <cell r="CF91">
            <v>2.2211050159530457</v>
          </cell>
          <cell r="CG91">
            <v>2.246152100469236</v>
          </cell>
        </row>
        <row r="92">
          <cell r="B92" t="str">
            <v>Adj. EBITDA per Script</v>
          </cell>
          <cell r="AP92">
            <v>1.3300000000000005</v>
          </cell>
          <cell r="AQ92">
            <v>1.3355056179775309</v>
          </cell>
          <cell r="AR92">
            <v>1.7475000000000032</v>
          </cell>
          <cell r="AS92">
            <v>1.7335918367346961</v>
          </cell>
          <cell r="AT92">
            <v>1.944166666666663</v>
          </cell>
          <cell r="AU92">
            <v>2.6580898876404508</v>
          </cell>
          <cell r="AV92">
            <v>2.4555555555555562</v>
          </cell>
          <cell r="AW92">
            <v>2.73990990990991</v>
          </cell>
          <cell r="AX92">
            <v>2.472872062663185</v>
          </cell>
          <cell r="AY92">
            <v>2.3692307692307728</v>
          </cell>
          <cell r="AZ92">
            <v>2.6659322033898332</v>
          </cell>
          <cell r="BA92">
            <v>2.558151260504204</v>
          </cell>
          <cell r="BB92">
            <v>2.4749206349206334</v>
          </cell>
          <cell r="BC92">
            <v>2.5167500000000014</v>
          </cell>
          <cell r="BD92">
            <v>1.6525352112676044</v>
          </cell>
          <cell r="BE92">
            <v>1.8156140350877181</v>
          </cell>
          <cell r="BF92">
            <v>2.0610300429184498</v>
          </cell>
          <cell r="BG92">
            <v>2.1102057613168723</v>
          </cell>
          <cell r="BH92">
            <v>1.9181570338058864</v>
          </cell>
          <cell r="BI92">
            <v>1.6735174418604621</v>
          </cell>
          <cell r="BJ92">
            <v>1.8559036144578285</v>
          </cell>
          <cell r="BK92">
            <v>1.6499218750000009</v>
          </cell>
          <cell r="BL92">
            <v>2.1781723625557219</v>
          </cell>
          <cell r="BM92">
            <v>1.8616339869281044</v>
          </cell>
          <cell r="BN92">
            <v>2.1617771084337325</v>
          </cell>
          <cell r="BO92">
            <v>2.3245441176470578</v>
          </cell>
          <cell r="BP92">
            <v>2.4204892086330938</v>
          </cell>
          <cell r="BQ92">
            <v>2.4794088886720509</v>
          </cell>
          <cell r="BR92">
            <v>2.3512723404221449</v>
          </cell>
          <cell r="BS92">
            <v>1.9301547460689548</v>
          </cell>
          <cell r="BT92">
            <v>2.0716832146668187</v>
          </cell>
          <cell r="BU92">
            <v>1.8509499823191344</v>
          </cell>
          <cell r="BV92">
            <v>2.1219009549209757</v>
          </cell>
          <cell r="BW92">
            <v>1.9974835584950907</v>
          </cell>
          <cell r="BX92">
            <v>2.0194305183525518</v>
          </cell>
          <cell r="BY92">
            <v>2.1499406713635385</v>
          </cell>
          <cell r="BZ92">
            <v>1.8889012670549894</v>
          </cell>
          <cell r="CA92">
            <v>2.1950024798576431</v>
          </cell>
          <cell r="CB92">
            <v>2.0666116130845724</v>
          </cell>
          <cell r="CC92">
            <v>2.0638060053345542</v>
          </cell>
          <cell r="CD92">
            <v>2.292715040737908</v>
          </cell>
          <cell r="CE92">
            <v>2.0117041446303041</v>
          </cell>
          <cell r="CF92">
            <v>2.095675676531354</v>
          </cell>
          <cell r="CG92">
            <v>2.115945188350369</v>
          </cell>
        </row>
      </sheetData>
      <sheetData sheetId="5">
        <row r="1">
          <cell r="B1" t="str">
            <v>EPS (continuing) Non GAAP excluding deal Amortization</v>
          </cell>
          <cell r="Y1">
            <v>8.2644836601307212E-2</v>
          </cell>
          <cell r="Z1">
            <v>1.3086856054377908E-2</v>
          </cell>
          <cell r="AA1">
            <v>4.1722592693997668E-2</v>
          </cell>
          <cell r="AB1">
            <v>4.9976440281311298E-2</v>
          </cell>
          <cell r="AC1">
            <v>7.0619761253668908E-2</v>
          </cell>
          <cell r="AD1">
            <v>0.17860018806594849</v>
          </cell>
          <cell r="AE1">
            <v>7.7292696259811763E-2</v>
          </cell>
          <cell r="AF1">
            <v>2.9144636023563753E-2</v>
          </cell>
          <cell r="AG1">
            <v>2.9776840019880426E-2</v>
          </cell>
          <cell r="AH1">
            <v>4.9933247211184986E-2</v>
          </cell>
          <cell r="AI1">
            <v>0.18549153098937013</v>
          </cell>
          <cell r="AJ1">
            <v>4.5536636023743575E-2</v>
          </cell>
          <cell r="AK1">
            <v>3.6586638327870395E-2</v>
          </cell>
          <cell r="AL1">
            <v>3.3374156595484906E-2</v>
          </cell>
          <cell r="AM1">
            <v>4.6778768098826355E-2</v>
          </cell>
          <cell r="AN1">
            <v>0.16298946041550239</v>
          </cell>
          <cell r="AO1">
            <v>4.1934077147185986E-2</v>
          </cell>
          <cell r="AP1">
            <v>5.3271765039171144E-2</v>
          </cell>
          <cell r="AQ1">
            <v>5.9381666703632867E-2</v>
          </cell>
          <cell r="AR1">
            <v>7.0448112998570275E-2</v>
          </cell>
          <cell r="AS1">
            <v>0.22787021821037617</v>
          </cell>
          <cell r="AT1">
            <v>9.4109072957220929E-2</v>
          </cell>
          <cell r="AU1">
            <v>0.13154594151734764</v>
          </cell>
          <cell r="AV1">
            <v>0.23464907123549783</v>
          </cell>
          <cell r="AW1">
            <v>0.26826289372123968</v>
          </cell>
          <cell r="AX1">
            <v>0.65523623858651947</v>
          </cell>
          <cell r="AY1">
            <v>0.12981065180294785</v>
          </cell>
          <cell r="AZ1">
            <v>0.14457286126545499</v>
          </cell>
          <cell r="BA1">
            <v>0.13634373087234938</v>
          </cell>
          <cell r="BB1">
            <v>0.14129443873209147</v>
          </cell>
          <cell r="BC1">
            <v>0.55212573404273557</v>
          </cell>
          <cell r="BD1">
            <v>0.16251591062245058</v>
          </cell>
          <cell r="BE1">
            <v>0.18818081171385395</v>
          </cell>
          <cell r="BF1">
            <v>0.22064191353808166</v>
          </cell>
          <cell r="BG1">
            <v>0.23907536781660574</v>
          </cell>
          <cell r="BH1">
            <v>0.80999292877529894</v>
          </cell>
          <cell r="BI1">
            <v>0.26217328896710912</v>
          </cell>
          <cell r="BJ1">
            <v>0.24558665779987029</v>
          </cell>
          <cell r="BK1">
            <v>0.2514588113323637</v>
          </cell>
          <cell r="BL1">
            <v>0.39304420657084094</v>
          </cell>
          <cell r="BM1">
            <v>1.2092622311136174</v>
          </cell>
          <cell r="BN1">
            <v>0.42145385263190027</v>
          </cell>
          <cell r="BO1">
            <v>0.48706243993449866</v>
          </cell>
          <cell r="BP1">
            <v>0.52343382062961197</v>
          </cell>
          <cell r="BQ1">
            <v>0.5490294328959815</v>
          </cell>
          <cell r="BR1">
            <v>1.9811509109628951</v>
          </cell>
          <cell r="BS1">
            <v>0.51646128037320349</v>
          </cell>
          <cell r="BT1">
            <v>0.62436334388514503</v>
          </cell>
          <cell r="BU1">
            <v>0.56273086293819763</v>
          </cell>
          <cell r="BV1">
            <v>0.71580170016540556</v>
          </cell>
          <cell r="BW1">
            <v>2.4194870441657401</v>
          </cell>
          <cell r="BX1">
            <v>0.61063610690736403</v>
          </cell>
          <cell r="BY1">
            <v>0.72865998034371016</v>
          </cell>
          <cell r="BZ1">
            <v>0.64622514146804022</v>
          </cell>
          <cell r="CA1">
            <v>0.8301829562341172</v>
          </cell>
          <cell r="CB1">
            <v>2.8158434115711684</v>
          </cell>
          <cell r="CC1">
            <v>0.69483634373069836</v>
          </cell>
          <cell r="CD1">
            <v>0.79873319723718306</v>
          </cell>
          <cell r="CE1">
            <v>0.68153568913099527</v>
          </cell>
          <cell r="CF1">
            <v>0.75749756359040987</v>
          </cell>
          <cell r="CG1">
            <v>2.9326198589556345</v>
          </cell>
        </row>
        <row r="2">
          <cell r="B2" t="str">
            <v>CTRX</v>
          </cell>
        </row>
        <row r="3">
          <cell r="B3" t="str">
            <v>HCIT Segment</v>
          </cell>
        </row>
        <row r="4">
          <cell r="E4">
            <v>36891</v>
          </cell>
          <cell r="F4">
            <v>36981</v>
          </cell>
          <cell r="G4">
            <v>37072</v>
          </cell>
          <cell r="H4">
            <v>37164</v>
          </cell>
          <cell r="I4">
            <v>37256</v>
          </cell>
          <cell r="J4">
            <v>37256</v>
          </cell>
          <cell r="K4">
            <v>37346</v>
          </cell>
          <cell r="L4">
            <v>37437</v>
          </cell>
          <cell r="M4">
            <v>37529</v>
          </cell>
          <cell r="N4">
            <v>37621</v>
          </cell>
          <cell r="O4">
            <v>37621</v>
          </cell>
          <cell r="P4">
            <v>37711</v>
          </cell>
          <cell r="Q4">
            <v>37802</v>
          </cell>
          <cell r="R4">
            <v>37894</v>
          </cell>
          <cell r="S4">
            <v>37986</v>
          </cell>
          <cell r="T4">
            <v>37986</v>
          </cell>
          <cell r="U4">
            <v>38077</v>
          </cell>
          <cell r="V4">
            <v>38168</v>
          </cell>
          <cell r="W4">
            <v>38260</v>
          </cell>
          <cell r="X4">
            <v>38352</v>
          </cell>
          <cell r="Y4">
            <v>38352</v>
          </cell>
          <cell r="Z4">
            <v>38442</v>
          </cell>
          <cell r="AA4">
            <v>38533</v>
          </cell>
          <cell r="AB4">
            <v>38625</v>
          </cell>
          <cell r="AC4">
            <v>38717</v>
          </cell>
          <cell r="AD4">
            <v>38717</v>
          </cell>
          <cell r="AE4">
            <v>38807</v>
          </cell>
          <cell r="AF4">
            <v>38898</v>
          </cell>
          <cell r="AG4">
            <v>38990</v>
          </cell>
          <cell r="AH4">
            <v>39082</v>
          </cell>
          <cell r="AI4">
            <v>39082</v>
          </cell>
          <cell r="AJ4">
            <v>39172</v>
          </cell>
          <cell r="AK4">
            <v>39263</v>
          </cell>
          <cell r="AL4">
            <v>39355</v>
          </cell>
          <cell r="AM4">
            <v>39447</v>
          </cell>
          <cell r="AN4">
            <v>39447</v>
          </cell>
          <cell r="AO4">
            <v>39538</v>
          </cell>
          <cell r="AP4">
            <v>39629</v>
          </cell>
          <cell r="AQ4">
            <v>39721</v>
          </cell>
          <cell r="AR4">
            <v>39813</v>
          </cell>
          <cell r="AS4">
            <v>39813</v>
          </cell>
          <cell r="AT4">
            <v>39903</v>
          </cell>
          <cell r="AU4">
            <v>39994</v>
          </cell>
          <cell r="AV4">
            <v>40086</v>
          </cell>
          <cell r="AW4">
            <v>40178</v>
          </cell>
          <cell r="AX4">
            <v>40178</v>
          </cell>
          <cell r="AY4">
            <v>40268</v>
          </cell>
          <cell r="AZ4">
            <v>40359</v>
          </cell>
          <cell r="BA4">
            <v>40451</v>
          </cell>
          <cell r="BB4">
            <v>40543</v>
          </cell>
          <cell r="BC4">
            <v>40543</v>
          </cell>
          <cell r="BD4">
            <v>40633</v>
          </cell>
          <cell r="BE4">
            <v>40724</v>
          </cell>
          <cell r="BF4">
            <v>40816</v>
          </cell>
          <cell r="BG4">
            <v>40908</v>
          </cell>
          <cell r="BH4">
            <v>40908</v>
          </cell>
          <cell r="BI4">
            <v>40999</v>
          </cell>
          <cell r="BJ4">
            <v>41090</v>
          </cell>
          <cell r="BK4">
            <v>41182</v>
          </cell>
          <cell r="BL4">
            <v>41274</v>
          </cell>
          <cell r="BM4">
            <v>41274</v>
          </cell>
          <cell r="BN4">
            <v>41364</v>
          </cell>
          <cell r="BO4">
            <v>41455</v>
          </cell>
          <cell r="BP4">
            <v>41547</v>
          </cell>
          <cell r="BQ4">
            <v>41639</v>
          </cell>
          <cell r="BR4">
            <v>41639</v>
          </cell>
          <cell r="BS4">
            <v>41729</v>
          </cell>
          <cell r="BT4">
            <v>41820</v>
          </cell>
          <cell r="BU4">
            <v>41912</v>
          </cell>
          <cell r="BV4">
            <v>42004</v>
          </cell>
          <cell r="BW4">
            <v>42004</v>
          </cell>
          <cell r="BX4">
            <v>42094</v>
          </cell>
          <cell r="BY4">
            <v>42185</v>
          </cell>
          <cell r="BZ4">
            <v>42277</v>
          </cell>
          <cell r="CA4">
            <v>42369</v>
          </cell>
          <cell r="CB4">
            <v>42369</v>
          </cell>
          <cell r="CC4">
            <v>42094</v>
          </cell>
          <cell r="CD4">
            <v>42185</v>
          </cell>
          <cell r="CE4">
            <v>42277</v>
          </cell>
          <cell r="CF4">
            <v>42369</v>
          </cell>
          <cell r="CG4">
            <v>42369</v>
          </cell>
        </row>
        <row r="5">
          <cell r="F5" t="str">
            <v>Fiscal Year End, Dec 31 2001</v>
          </cell>
          <cell r="K5" t="str">
            <v>Fiscal Year End, Dec 31 2002</v>
          </cell>
          <cell r="P5" t="str">
            <v>Fiscal Year End, Dec 31 2003</v>
          </cell>
          <cell r="U5" t="str">
            <v>Fiscal Year End, Dec 31 2004</v>
          </cell>
          <cell r="Z5" t="str">
            <v xml:space="preserve">Fiscal Year End, Dec 31 2005 </v>
          </cell>
          <cell r="AE5" t="str">
            <v xml:space="preserve">Fiscal Year End, Dec 31 2006 </v>
          </cell>
          <cell r="AJ5" t="str">
            <v xml:space="preserve">Fiscal Year End, Dec 31 2007 </v>
          </cell>
          <cell r="AO5" t="str">
            <v>Fiscal Year End, Dec 31 2008</v>
          </cell>
          <cell r="AT5" t="str">
            <v>Fiscal Year End, Dec 31 2009</v>
          </cell>
          <cell r="AY5" t="str">
            <v>Fiscal Year End, Dec 31 2010</v>
          </cell>
          <cell r="BD5" t="str">
            <v>Fiscal Year End, Dec 31 2011</v>
          </cell>
          <cell r="BI5" t="str">
            <v>Fiscal Year End, Dec 31 2012</v>
          </cell>
          <cell r="BN5" t="str">
            <v>Fiscal Year End, Dec 31 2013</v>
          </cell>
          <cell r="BS5" t="str">
            <v>Fiscal Year End, Dec 31 2014</v>
          </cell>
          <cell r="BX5" t="str">
            <v>Fiscal Year End, Dec 31 2015</v>
          </cell>
          <cell r="CC5" t="str">
            <v>Fiscal Year End, Dec 31 2016</v>
          </cell>
        </row>
        <row r="6">
          <cell r="B6" t="str">
            <v>(In millions, except per share)</v>
          </cell>
          <cell r="D6" t="str">
            <v>1999A</v>
          </cell>
          <cell r="E6" t="str">
            <v>2000A</v>
          </cell>
          <cell r="F6" t="str">
            <v>1Q01A</v>
          </cell>
          <cell r="G6" t="str">
            <v>2Q01A</v>
          </cell>
          <cell r="H6" t="str">
            <v>3Q01A</v>
          </cell>
          <cell r="I6" t="str">
            <v>4Q01A</v>
          </cell>
          <cell r="J6" t="str">
            <v>2001A</v>
          </cell>
          <cell r="K6" t="str">
            <v>1Q02A</v>
          </cell>
          <cell r="L6" t="str">
            <v>2Q02A</v>
          </cell>
          <cell r="M6" t="str">
            <v>3Q02A</v>
          </cell>
          <cell r="N6" t="str">
            <v>4Q02A</v>
          </cell>
          <cell r="O6" t="str">
            <v>2002A</v>
          </cell>
          <cell r="P6" t="str">
            <v>1Q03A</v>
          </cell>
          <cell r="Q6" t="str">
            <v>2Q03A</v>
          </cell>
          <cell r="R6" t="str">
            <v>3Q03A</v>
          </cell>
          <cell r="S6" t="str">
            <v>4Q03A</v>
          </cell>
          <cell r="T6" t="str">
            <v>2003A</v>
          </cell>
          <cell r="U6" t="str">
            <v>1QA</v>
          </cell>
          <cell r="V6" t="str">
            <v>2QA</v>
          </cell>
          <cell r="W6" t="str">
            <v>3QA</v>
          </cell>
          <cell r="X6" t="str">
            <v>4QA</v>
          </cell>
          <cell r="Y6" t="str">
            <v>2004A</v>
          </cell>
          <cell r="Z6" t="str">
            <v>1QA</v>
          </cell>
          <cell r="AA6" t="str">
            <v>2QA</v>
          </cell>
          <cell r="AB6" t="str">
            <v>3QA</v>
          </cell>
          <cell r="AC6" t="str">
            <v>4QA</v>
          </cell>
          <cell r="AD6" t="str">
            <v>2005A</v>
          </cell>
          <cell r="AE6" t="str">
            <v>1QA</v>
          </cell>
          <cell r="AF6" t="str">
            <v>2QA</v>
          </cell>
          <cell r="AG6" t="str">
            <v>3QA</v>
          </cell>
          <cell r="AH6" t="str">
            <v>4QA</v>
          </cell>
          <cell r="AI6" t="str">
            <v>2006A</v>
          </cell>
          <cell r="AJ6" t="str">
            <v>1QA</v>
          </cell>
          <cell r="AK6" t="str">
            <v>2QA</v>
          </cell>
          <cell r="AL6" t="str">
            <v>3QA</v>
          </cell>
          <cell r="AM6" t="str">
            <v>4QA</v>
          </cell>
          <cell r="AN6" t="str">
            <v>2007A</v>
          </cell>
          <cell r="AO6" t="str">
            <v>1QA</v>
          </cell>
          <cell r="AP6" t="str">
            <v>2QA</v>
          </cell>
          <cell r="AQ6" t="str">
            <v>3QA</v>
          </cell>
          <cell r="AR6" t="str">
            <v>4QA</v>
          </cell>
          <cell r="AS6" t="str">
            <v>2008A</v>
          </cell>
          <cell r="AT6" t="str">
            <v>1QA</v>
          </cell>
          <cell r="AU6" t="str">
            <v>2QA</v>
          </cell>
          <cell r="AV6" t="str">
            <v>3QA</v>
          </cell>
          <cell r="AW6" t="str">
            <v>4QA</v>
          </cell>
          <cell r="AX6" t="str">
            <v>2009A</v>
          </cell>
          <cell r="AY6" t="str">
            <v>1QA</v>
          </cell>
          <cell r="AZ6" t="str">
            <v>2QA</v>
          </cell>
          <cell r="BA6" t="str">
            <v>3QA</v>
          </cell>
          <cell r="BB6" t="str">
            <v>4QA</v>
          </cell>
          <cell r="BC6" t="str">
            <v>2010A</v>
          </cell>
          <cell r="BD6" t="str">
            <v>1QA</v>
          </cell>
          <cell r="BE6" t="str">
            <v>2QA</v>
          </cell>
          <cell r="BF6" t="str">
            <v>3QA</v>
          </cell>
          <cell r="BG6" t="str">
            <v>4QA</v>
          </cell>
          <cell r="BH6" t="str">
            <v>2011A</v>
          </cell>
          <cell r="BI6" t="str">
            <v>1QA</v>
          </cell>
          <cell r="BJ6" t="str">
            <v>2QA</v>
          </cell>
          <cell r="BK6" t="str">
            <v>3QA</v>
          </cell>
          <cell r="BL6" t="str">
            <v>4QA</v>
          </cell>
          <cell r="BM6" t="str">
            <v>2012A</v>
          </cell>
          <cell r="BN6" t="str">
            <v>1QA</v>
          </cell>
          <cell r="BO6" t="str">
            <v>2QA</v>
          </cell>
          <cell r="BP6" t="str">
            <v>3QA</v>
          </cell>
          <cell r="BQ6" t="str">
            <v>4QE</v>
          </cell>
          <cell r="BR6" t="str">
            <v>2013E</v>
          </cell>
          <cell r="BS6" t="str">
            <v>1QE</v>
          </cell>
          <cell r="BT6" t="str">
            <v>2QE</v>
          </cell>
          <cell r="BU6" t="str">
            <v>3QE</v>
          </cell>
          <cell r="BV6" t="str">
            <v>4QE</v>
          </cell>
          <cell r="BW6" t="str">
            <v>2014E</v>
          </cell>
          <cell r="BX6" t="str">
            <v>1QE</v>
          </cell>
          <cell r="BY6" t="str">
            <v>2QE</v>
          </cell>
          <cell r="BZ6" t="str">
            <v>3QE</v>
          </cell>
          <cell r="CA6" t="str">
            <v>4QE</v>
          </cell>
          <cell r="CB6" t="str">
            <v>2015E</v>
          </cell>
          <cell r="CC6" t="str">
            <v>1QE</v>
          </cell>
          <cell r="CD6" t="str">
            <v>2QE</v>
          </cell>
          <cell r="CE6" t="str">
            <v>3QE</v>
          </cell>
          <cell r="CF6" t="str">
            <v>4QE</v>
          </cell>
          <cell r="CG6" t="str">
            <v>2016E</v>
          </cell>
        </row>
        <row r="7">
          <cell r="B7" t="str">
            <v>Transaction processing</v>
          </cell>
          <cell r="Y7">
            <v>13.542999999999999</v>
          </cell>
          <cell r="Z7">
            <v>4.9512409999999996</v>
          </cell>
          <cell r="AA7">
            <v>5.1453899999999999</v>
          </cell>
          <cell r="AB7">
            <v>5.3848729999999998</v>
          </cell>
          <cell r="AC7">
            <v>5.9645750000000035</v>
          </cell>
          <cell r="AD7">
            <v>21.446079000000001</v>
          </cell>
          <cell r="AE7">
            <v>8.7541700000000002</v>
          </cell>
          <cell r="AF7">
            <v>8.9942229999999999</v>
          </cell>
          <cell r="AG7">
            <v>10.411186000000001</v>
          </cell>
          <cell r="AH7">
            <v>10.606999999999999</v>
          </cell>
          <cell r="AI7">
            <v>38.766579</v>
          </cell>
          <cell r="AJ7">
            <v>13.832000000000001</v>
          </cell>
          <cell r="AK7">
            <v>13.093999999999999</v>
          </cell>
          <cell r="AL7">
            <v>13.18</v>
          </cell>
          <cell r="AM7">
            <v>14.167</v>
          </cell>
          <cell r="AN7">
            <v>54.273000000000003</v>
          </cell>
          <cell r="AO7">
            <v>14.648</v>
          </cell>
          <cell r="AP7">
            <v>11.888</v>
          </cell>
          <cell r="AQ7">
            <v>11.631</v>
          </cell>
          <cell r="AR7">
            <v>14.606</v>
          </cell>
          <cell r="AS7">
            <v>52.773000000000003</v>
          </cell>
          <cell r="AT7">
            <v>13.727</v>
          </cell>
          <cell r="AU7">
            <v>15.663</v>
          </cell>
          <cell r="AV7">
            <v>16.460999999999999</v>
          </cell>
          <cell r="AW7">
            <v>15.372999999999999</v>
          </cell>
          <cell r="AX7">
            <v>61.223999999999997</v>
          </cell>
        </row>
        <row r="8">
          <cell r="B8" t="str">
            <v>Maintenance</v>
          </cell>
          <cell r="Y8">
            <v>6.8840000000000003</v>
          </cell>
          <cell r="Z8">
            <v>3.24133</v>
          </cell>
          <cell r="AA8">
            <v>3.2886299999999999</v>
          </cell>
          <cell r="AB8">
            <v>3.3848090000000002</v>
          </cell>
          <cell r="AC8">
            <v>3.4287140000000011</v>
          </cell>
          <cell r="AD8">
            <v>13.343483000000001</v>
          </cell>
          <cell r="AE8">
            <v>3.6566619999999999</v>
          </cell>
          <cell r="AF8">
            <v>3.641594</v>
          </cell>
          <cell r="AG8">
            <v>3.8409059999999999</v>
          </cell>
          <cell r="AH8">
            <v>3.9</v>
          </cell>
          <cell r="AI8">
            <v>15.039162000000001</v>
          </cell>
          <cell r="AJ8">
            <v>4.0750000000000002</v>
          </cell>
          <cell r="AK8">
            <v>4.1130000000000004</v>
          </cell>
          <cell r="AL8">
            <v>4.1420000000000003</v>
          </cell>
          <cell r="AM8">
            <v>4.1449999999999996</v>
          </cell>
          <cell r="AN8">
            <v>16.475000000000001</v>
          </cell>
          <cell r="AO8">
            <v>4.21</v>
          </cell>
          <cell r="AP8">
            <v>4.13</v>
          </cell>
          <cell r="AQ8">
            <v>3.9980000000000002</v>
          </cell>
          <cell r="AR8">
            <v>4.0590000000000002</v>
          </cell>
          <cell r="AS8">
            <v>16.397000000000002</v>
          </cell>
          <cell r="AT8">
            <v>4.4740000000000002</v>
          </cell>
          <cell r="AU8">
            <v>4.4770000000000003</v>
          </cell>
          <cell r="AV8">
            <v>4.7329999999999997</v>
          </cell>
          <cell r="AW8">
            <v>4.7430000000000003</v>
          </cell>
          <cell r="AX8">
            <v>18.427</v>
          </cell>
        </row>
        <row r="9">
          <cell r="B9" t="str">
            <v>Professional services</v>
          </cell>
          <cell r="Y9">
            <v>5.5640000000000001</v>
          </cell>
          <cell r="Z9">
            <v>1.277941</v>
          </cell>
          <cell r="AA9">
            <v>2.6140599999999998</v>
          </cell>
          <cell r="AB9">
            <v>3.7077930000000001</v>
          </cell>
          <cell r="AC9">
            <v>3.5089780000000008</v>
          </cell>
          <cell r="AD9">
            <v>11.108772</v>
          </cell>
          <cell r="AE9">
            <v>4.3724179999999997</v>
          </cell>
          <cell r="AF9">
            <v>3.6621299999999999</v>
          </cell>
          <cell r="AG9">
            <v>4.0883969999999996</v>
          </cell>
          <cell r="AH9">
            <v>4.6840000000000002</v>
          </cell>
          <cell r="AI9">
            <v>16.806944999999999</v>
          </cell>
          <cell r="AJ9">
            <v>3.3050000000000002</v>
          </cell>
          <cell r="AK9">
            <v>3.302</v>
          </cell>
          <cell r="AL9">
            <v>3.395</v>
          </cell>
          <cell r="AM9">
            <v>4.03</v>
          </cell>
          <cell r="AN9">
            <v>14.032</v>
          </cell>
          <cell r="AO9">
            <v>3.7909999999999999</v>
          </cell>
          <cell r="AP9">
            <v>3.0659999999999998</v>
          </cell>
          <cell r="AQ9">
            <v>3.8359999999999999</v>
          </cell>
          <cell r="AR9">
            <v>2.7869999999999999</v>
          </cell>
          <cell r="AS9">
            <v>13.48</v>
          </cell>
          <cell r="AT9">
            <v>3.6419999999999999</v>
          </cell>
          <cell r="AU9">
            <v>3.8010000000000002</v>
          </cell>
          <cell r="AV9">
            <v>3.1869999999999998</v>
          </cell>
          <cell r="AW9">
            <v>4.7060000000000004</v>
          </cell>
          <cell r="AX9">
            <v>15.335999999999999</v>
          </cell>
        </row>
        <row r="10">
          <cell r="B10" t="str">
            <v>System sales</v>
          </cell>
          <cell r="Y10">
            <v>7.0510000000000002</v>
          </cell>
          <cell r="Z10">
            <v>1.102155</v>
          </cell>
          <cell r="AA10">
            <v>1.1611229999999999</v>
          </cell>
          <cell r="AB10">
            <v>2.2527379999999999</v>
          </cell>
          <cell r="AC10">
            <v>3.708686000000001</v>
          </cell>
          <cell r="AD10">
            <v>8.2247020000000006</v>
          </cell>
          <cell r="AE10">
            <v>2.553903</v>
          </cell>
          <cell r="AF10">
            <v>2.2298230000000001</v>
          </cell>
          <cell r="AG10">
            <v>2.705711</v>
          </cell>
          <cell r="AH10">
            <v>2.8210000000000002</v>
          </cell>
          <cell r="AI10">
            <v>10.310437</v>
          </cell>
          <cell r="AJ10">
            <v>3.11</v>
          </cell>
          <cell r="AK10">
            <v>2.5790000000000002</v>
          </cell>
          <cell r="AL10">
            <v>1.492</v>
          </cell>
          <cell r="AM10">
            <v>1.21</v>
          </cell>
          <cell r="AN10">
            <v>8.391</v>
          </cell>
          <cell r="AO10">
            <v>1.6679999999999999</v>
          </cell>
          <cell r="AP10">
            <v>3.8109999999999999</v>
          </cell>
          <cell r="AQ10">
            <v>1.458</v>
          </cell>
          <cell r="AR10">
            <v>1.512</v>
          </cell>
          <cell r="AS10">
            <v>8.4489999999999998</v>
          </cell>
          <cell r="AT10">
            <v>1.337</v>
          </cell>
          <cell r="AU10">
            <v>2.9820000000000002</v>
          </cell>
          <cell r="AV10">
            <v>1.675</v>
          </cell>
          <cell r="AW10">
            <v>1.6910000000000001</v>
          </cell>
          <cell r="AX10">
            <v>7.6849999999999996</v>
          </cell>
        </row>
        <row r="11">
          <cell r="B11" t="str">
            <v>Revenue</v>
          </cell>
          <cell r="Y11">
            <v>33.042000000000002</v>
          </cell>
          <cell r="Z11">
            <v>10.572666999999999</v>
          </cell>
          <cell r="AA11">
            <v>12.209203</v>
          </cell>
          <cell r="AB11">
            <v>14.730212999999999</v>
          </cell>
          <cell r="AC11">
            <v>16.610953000000006</v>
          </cell>
          <cell r="AD11">
            <v>54.123036000000006</v>
          </cell>
          <cell r="AE11">
            <v>19.337153000000001</v>
          </cell>
          <cell r="AF11">
            <v>18.52777</v>
          </cell>
          <cell r="AG11">
            <v>21.046200000000002</v>
          </cell>
          <cell r="AH11">
            <v>22.012</v>
          </cell>
          <cell r="AI11">
            <v>80.923123000000004</v>
          </cell>
          <cell r="AJ11">
            <v>24.321999999999999</v>
          </cell>
          <cell r="AK11">
            <v>23.088000000000001</v>
          </cell>
          <cell r="AL11">
            <v>22.209</v>
          </cell>
          <cell r="AM11">
            <v>23.552</v>
          </cell>
          <cell r="AN11">
            <v>93.170999999999992</v>
          </cell>
          <cell r="AO11">
            <v>24.317</v>
          </cell>
          <cell r="AP11">
            <v>22.895</v>
          </cell>
          <cell r="AQ11">
            <v>20.922999999999998</v>
          </cell>
          <cell r="AR11">
            <v>22.963999999999999</v>
          </cell>
          <cell r="AS11">
            <v>91.099000000000004</v>
          </cell>
          <cell r="AT11">
            <v>23.18</v>
          </cell>
          <cell r="AU11">
            <v>26.923000000000002</v>
          </cell>
          <cell r="AV11">
            <v>26.056000000000001</v>
          </cell>
          <cell r="AW11">
            <v>26.512999999999998</v>
          </cell>
          <cell r="AX11">
            <v>102.672</v>
          </cell>
          <cell r="AY11">
            <v>24.646000000000001</v>
          </cell>
          <cell r="AZ11">
            <v>28.151</v>
          </cell>
          <cell r="BA11">
            <v>26.88</v>
          </cell>
          <cell r="BB11">
            <v>27.111000000000001</v>
          </cell>
          <cell r="BC11">
            <v>106.788</v>
          </cell>
          <cell r="BD11">
            <v>25.728999999999999</v>
          </cell>
          <cell r="BE11">
            <v>29.183</v>
          </cell>
          <cell r="BF11">
            <v>30.920999999999999</v>
          </cell>
          <cell r="BG11">
            <v>30.420999999999999</v>
          </cell>
          <cell r="BH11">
            <v>116.25399999999999</v>
          </cell>
          <cell r="BI11">
            <v>35.951999999999998</v>
          </cell>
          <cell r="BJ11">
            <v>41.573999999999998</v>
          </cell>
          <cell r="BK11">
            <v>40.024999999999999</v>
          </cell>
          <cell r="BL11">
            <v>37.484000000000002</v>
          </cell>
          <cell r="BM11">
            <v>155.035</v>
          </cell>
          <cell r="BN11">
            <v>38.162999999999997</v>
          </cell>
          <cell r="BO11">
            <v>35.234999999999999</v>
          </cell>
          <cell r="BP11">
            <v>35.381</v>
          </cell>
          <cell r="BQ11">
            <v>40.031270430587952</v>
          </cell>
          <cell r="BR11">
            <v>148.81027043058793</v>
          </cell>
          <cell r="BS11">
            <v>39.547199999999997</v>
          </cell>
          <cell r="BT11">
            <v>42.969223440000007</v>
          </cell>
          <cell r="BU11">
            <v>40.0209975</v>
          </cell>
          <cell r="BV11">
            <v>44.034397473646756</v>
          </cell>
          <cell r="BW11">
            <v>166.57181841364675</v>
          </cell>
          <cell r="BX11">
            <v>43.138085760000003</v>
          </cell>
          <cell r="BY11">
            <v>46.870828928352012</v>
          </cell>
          <cell r="BZ11">
            <v>43.654904073000004</v>
          </cell>
          <cell r="CA11">
            <v>48.032720764253881</v>
          </cell>
          <cell r="CB11">
            <v>181.69653952560589</v>
          </cell>
          <cell r="CC11">
            <v>31.758354508145995</v>
          </cell>
          <cell r="CD11">
            <v>32.080630151499996</v>
          </cell>
          <cell r="CE11">
            <v>29.879497843017241</v>
          </cell>
          <cell r="CF11">
            <v>35.711912453706042</v>
          </cell>
          <cell r="CG11">
            <v>129.43039495636927</v>
          </cell>
        </row>
        <row r="12">
          <cell r="B12" t="str">
            <v>COGS</v>
          </cell>
          <cell r="Y12">
            <v>31.0837</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9.6679999999999993</v>
          </cell>
          <cell r="AI12">
            <v>32.98677</v>
          </cell>
          <cell r="AJ12">
            <v>9.6750000000000007</v>
          </cell>
          <cell r="AK12">
            <v>9.6479999999999997</v>
          </cell>
          <cell r="AL12">
            <v>10.3</v>
          </cell>
          <cell r="AM12">
            <v>9.9719999999999995</v>
          </cell>
          <cell r="AN12">
            <v>39.594999999999999</v>
          </cell>
          <cell r="AO12">
            <v>10.837</v>
          </cell>
          <cell r="AP12">
            <v>9.8689999999999998</v>
          </cell>
          <cell r="AQ12">
            <v>10.362</v>
          </cell>
          <cell r="AR12">
            <v>13.853</v>
          </cell>
          <cell r="AS12">
            <v>44.920999999999999</v>
          </cell>
          <cell r="AT12">
            <v>12.804</v>
          </cell>
          <cell r="AU12">
            <v>14.242000000000001</v>
          </cell>
          <cell r="AV12">
            <v>14.615</v>
          </cell>
          <cell r="AW12">
            <v>12.643000000000001</v>
          </cell>
          <cell r="AX12">
            <v>54.304000000000002</v>
          </cell>
          <cell r="AY12">
            <v>12.753</v>
          </cell>
          <cell r="AZ12">
            <v>13.026</v>
          </cell>
          <cell r="BA12">
            <v>13.285</v>
          </cell>
          <cell r="BB12">
            <v>13.326000000000001</v>
          </cell>
          <cell r="BC12">
            <v>52.39</v>
          </cell>
          <cell r="BD12">
            <v>13.885999999999999</v>
          </cell>
          <cell r="BE12">
            <v>15.335000000000001</v>
          </cell>
          <cell r="BF12">
            <v>16.751000000000001</v>
          </cell>
          <cell r="BG12">
            <v>17.373999999999999</v>
          </cell>
          <cell r="BH12">
            <v>63.346000000000004</v>
          </cell>
          <cell r="BI12">
            <v>16.518999999999998</v>
          </cell>
          <cell r="BJ12">
            <v>15.785</v>
          </cell>
          <cell r="BK12">
            <v>15.829000000000001</v>
          </cell>
          <cell r="BL12">
            <v>17.582999999999998</v>
          </cell>
          <cell r="BM12">
            <v>65.716000000000008</v>
          </cell>
          <cell r="BN12">
            <v>17.242999999999999</v>
          </cell>
          <cell r="BO12">
            <v>17.63</v>
          </cell>
          <cell r="BP12">
            <v>19.657</v>
          </cell>
          <cell r="BQ12">
            <v>22.240600402873504</v>
          </cell>
          <cell r="BR12">
            <v>76.770600402873498</v>
          </cell>
          <cell r="BS12">
            <v>21.971660224414233</v>
          </cell>
          <cell r="BT12">
            <v>23.87287033040559</v>
          </cell>
          <cell r="BU12">
            <v>22.234892961123201</v>
          </cell>
          <cell r="BV12">
            <v>24.464660443160856</v>
          </cell>
          <cell r="BW12">
            <v>92.544083959103887</v>
          </cell>
          <cell r="BX12">
            <v>23.966686972791049</v>
          </cell>
          <cell r="BY12">
            <v>26.040526956406421</v>
          </cell>
          <cell r="BZ12">
            <v>24.25382124199319</v>
          </cell>
          <cell r="CA12">
            <v>26.686051611399861</v>
          </cell>
          <cell r="CB12">
            <v>100.94708678259052</v>
          </cell>
          <cell r="CC12">
            <v>13.856236144819883</v>
          </cell>
          <cell r="CD12">
            <v>13.996845678506251</v>
          </cell>
          <cell r="CE12">
            <v>13.036487072883075</v>
          </cell>
          <cell r="CF12">
            <v>15.581181701802615</v>
          </cell>
          <cell r="CG12">
            <v>56.470750598011826</v>
          </cell>
        </row>
        <row r="13">
          <cell r="B13" t="str">
            <v>Gross profit</v>
          </cell>
          <cell r="Y13">
            <v>1.9583000000000013</v>
          </cell>
          <cell r="Z13">
            <v>6.0527509999999989</v>
          </cell>
          <cell r="AA13">
            <v>7.4141240000000002</v>
          </cell>
          <cell r="AB13">
            <v>9.497641999999999</v>
          </cell>
          <cell r="AC13">
            <v>10.383722000000006</v>
          </cell>
          <cell r="AD13">
            <v>33.348239000000007</v>
          </cell>
          <cell r="AE13">
            <v>11.731674000000002</v>
          </cell>
          <cell r="AF13">
            <v>11.023419000000001</v>
          </cell>
          <cell r="AG13">
            <v>12.837260000000002</v>
          </cell>
          <cell r="AH13">
            <v>12.344000000000001</v>
          </cell>
          <cell r="AI13">
            <v>47.936353000000004</v>
          </cell>
          <cell r="AJ13">
            <v>14.646999999999998</v>
          </cell>
          <cell r="AK13">
            <v>13.440000000000001</v>
          </cell>
          <cell r="AL13">
            <v>11.908999999999999</v>
          </cell>
          <cell r="AM13">
            <v>13.58</v>
          </cell>
          <cell r="AN13">
            <v>53.575999999999993</v>
          </cell>
          <cell r="AO13">
            <v>13.48</v>
          </cell>
          <cell r="AP13">
            <v>13.026</v>
          </cell>
          <cell r="AQ13">
            <v>10.560999999999998</v>
          </cell>
          <cell r="AR13">
            <v>9.1109999999999989</v>
          </cell>
          <cell r="AS13">
            <v>46.177999999999997</v>
          </cell>
          <cell r="AT13">
            <v>10.375999999999999</v>
          </cell>
          <cell r="AU13">
            <v>12.681000000000001</v>
          </cell>
          <cell r="AV13">
            <v>11.441000000000001</v>
          </cell>
          <cell r="AW13">
            <v>13.869999999999997</v>
          </cell>
          <cell r="AX13">
            <v>48.368000000000002</v>
          </cell>
          <cell r="AY13">
            <v>11.893000000000001</v>
          </cell>
          <cell r="AZ13">
            <v>15.125</v>
          </cell>
          <cell r="BA13">
            <v>13.594999999999999</v>
          </cell>
          <cell r="BB13">
            <v>13.785</v>
          </cell>
          <cell r="BC13">
            <v>54.397999999999996</v>
          </cell>
          <cell r="BD13">
            <v>11.843</v>
          </cell>
          <cell r="BE13">
            <v>13.847999999999999</v>
          </cell>
          <cell r="BF13">
            <v>14.169999999999998</v>
          </cell>
          <cell r="BG13">
            <v>13.047000000000001</v>
          </cell>
          <cell r="BH13">
            <v>52.908000000000001</v>
          </cell>
          <cell r="BI13">
            <v>19.433</v>
          </cell>
          <cell r="BJ13">
            <v>25.788999999999998</v>
          </cell>
          <cell r="BK13">
            <v>24.195999999999998</v>
          </cell>
          <cell r="BL13">
            <v>19.901000000000003</v>
          </cell>
          <cell r="BM13">
            <v>89.318999999999988</v>
          </cell>
          <cell r="BN13">
            <v>20.919999999999998</v>
          </cell>
          <cell r="BO13">
            <v>17.605</v>
          </cell>
          <cell r="BP13">
            <v>15.724</v>
          </cell>
          <cell r="BQ13">
            <v>17.790670027714448</v>
          </cell>
          <cell r="BR13">
            <v>72.039670027714436</v>
          </cell>
          <cell r="BS13">
            <v>17.575539775585764</v>
          </cell>
          <cell r="BT13">
            <v>19.096353109594418</v>
          </cell>
          <cell r="BU13">
            <v>17.786104538876799</v>
          </cell>
          <cell r="BV13">
            <v>19.5697370304859</v>
          </cell>
          <cell r="BW13">
            <v>74.02773445454288</v>
          </cell>
          <cell r="BX13">
            <v>19.171398787208954</v>
          </cell>
          <cell r="BY13">
            <v>20.830301971945591</v>
          </cell>
          <cell r="BZ13">
            <v>19.401082831006814</v>
          </cell>
          <cell r="CA13">
            <v>21.34666915285402</v>
          </cell>
          <cell r="CB13">
            <v>80.749452743015382</v>
          </cell>
          <cell r="CC13">
            <v>17.90211836332611</v>
          </cell>
          <cell r="CD13">
            <v>18.083784472993745</v>
          </cell>
          <cell r="CE13">
            <v>16.843010770134164</v>
          </cell>
          <cell r="CF13">
            <v>20.130730751903428</v>
          </cell>
          <cell r="CG13">
            <v>72.959644358357451</v>
          </cell>
        </row>
        <row r="17">
          <cell r="B17" t="str">
            <v>Transaction processing volume</v>
          </cell>
          <cell r="AH17">
            <v>92.4</v>
          </cell>
          <cell r="AI17">
            <v>92.4</v>
          </cell>
          <cell r="AJ17">
            <v>97.3</v>
          </cell>
          <cell r="AM17">
            <v>106.1</v>
          </cell>
          <cell r="AN17">
            <v>203.39999999999998</v>
          </cell>
          <cell r="AO17">
            <v>112</v>
          </cell>
          <cell r="AP17">
            <v>100.5</v>
          </cell>
          <cell r="AQ17">
            <v>103.3</v>
          </cell>
          <cell r="AR17">
            <v>115.3</v>
          </cell>
          <cell r="AS17">
            <v>431.1</v>
          </cell>
          <cell r="AT17">
            <v>96.8</v>
          </cell>
          <cell r="AU17">
            <v>98.8</v>
          </cell>
          <cell r="AV17">
            <v>92</v>
          </cell>
          <cell r="AW17">
            <v>94.6</v>
          </cell>
          <cell r="AX17">
            <v>382.20000000000005</v>
          </cell>
          <cell r="AY17">
            <v>99.5</v>
          </cell>
          <cell r="AZ17">
            <v>99.6</v>
          </cell>
          <cell r="BA17">
            <v>100.7</v>
          </cell>
          <cell r="BB17">
            <v>98.9</v>
          </cell>
          <cell r="BC17">
            <v>398.70000000000005</v>
          </cell>
          <cell r="BD17">
            <v>99.2</v>
          </cell>
          <cell r="BE17">
            <v>98.1</v>
          </cell>
          <cell r="BF17">
            <v>100.1</v>
          </cell>
          <cell r="BG17">
            <v>102.8</v>
          </cell>
          <cell r="BH17">
            <v>400.2</v>
          </cell>
          <cell r="BI17">
            <v>119.4</v>
          </cell>
          <cell r="BJ17">
            <v>116.7</v>
          </cell>
          <cell r="BK17">
            <v>113.2</v>
          </cell>
          <cell r="BL17">
            <v>114.89999999999998</v>
          </cell>
          <cell r="BM17">
            <v>464.2</v>
          </cell>
          <cell r="BN17">
            <v>119.4</v>
          </cell>
          <cell r="BO17">
            <v>121.8348</v>
          </cell>
          <cell r="BP17">
            <v>114.33200000000001</v>
          </cell>
          <cell r="BQ17">
            <v>116.04899999999998</v>
          </cell>
          <cell r="BR17">
            <v>471.61579999999998</v>
          </cell>
          <cell r="BS17">
            <v>131.34</v>
          </cell>
          <cell r="BT17">
            <v>134.01828</v>
          </cell>
          <cell r="BU17">
            <v>125.76520000000002</v>
          </cell>
          <cell r="BV17">
            <v>127.65389999999999</v>
          </cell>
          <cell r="BW17">
            <v>518.77738000000011</v>
          </cell>
          <cell r="BX17">
            <v>141.84720000000002</v>
          </cell>
          <cell r="BY17">
            <v>144.73974240000001</v>
          </cell>
          <cell r="BZ17">
            <v>135.82641600000002</v>
          </cell>
          <cell r="CA17">
            <v>137.86621199999999</v>
          </cell>
          <cell r="CB17">
            <v>560.27957040000001</v>
          </cell>
          <cell r="CC17">
            <v>123.0179394</v>
          </cell>
          <cell r="CD17">
            <v>125.5265162748</v>
          </cell>
          <cell r="CE17">
            <v>117.79637393200001</v>
          </cell>
          <cell r="CF17">
            <v>120.74921659799999</v>
          </cell>
          <cell r="CG17">
            <v>487.09004620479999</v>
          </cell>
        </row>
        <row r="19">
          <cell r="B19" t="str">
            <v>Margin %</v>
          </cell>
        </row>
        <row r="20">
          <cell r="B20" t="str">
            <v>COGS</v>
          </cell>
          <cell r="AJ20">
            <v>0.39778801085437054</v>
          </cell>
          <cell r="AK20">
            <v>0.41787941787941785</v>
          </cell>
          <cell r="AL20">
            <v>0.46377594668827954</v>
          </cell>
          <cell r="AM20">
            <v>0.42340353260869562</v>
          </cell>
          <cell r="AN20">
            <v>0.42497128934969036</v>
          </cell>
          <cell r="AO20">
            <v>0.4456553028745322</v>
          </cell>
          <cell r="AP20">
            <v>0.43105481546189123</v>
          </cell>
          <cell r="AQ20">
            <v>0.49524446781054349</v>
          </cell>
          <cell r="AR20">
            <v>0.60324856296812401</v>
          </cell>
          <cell r="AS20">
            <v>0.49310091219442581</v>
          </cell>
          <cell r="AT20">
            <v>0.55237273511647977</v>
          </cell>
          <cell r="AU20">
            <v>0.52899008282880811</v>
          </cell>
          <cell r="AV20">
            <v>0.56090727663494011</v>
          </cell>
          <cell r="AW20">
            <v>0.47686040810168601</v>
          </cell>
          <cell r="AX20">
            <v>0.52890758921614467</v>
          </cell>
          <cell r="AY20">
            <v>0.5174470502312748</v>
          </cell>
          <cell r="AZ20">
            <v>0.46271890874214061</v>
          </cell>
          <cell r="BA20">
            <v>0.49423363095238099</v>
          </cell>
          <cell r="BB20">
            <v>0.49153480137213679</v>
          </cell>
          <cell r="BC20">
            <v>0.49059819455369519</v>
          </cell>
          <cell r="BD20">
            <v>0.53970228147226862</v>
          </cell>
          <cell r="BE20">
            <v>0.52547716136106637</v>
          </cell>
          <cell r="BF20">
            <v>0.54173539018789829</v>
          </cell>
          <cell r="BG20">
            <v>0.57111863515334804</v>
          </cell>
          <cell r="BH20">
            <v>0.54489307894782124</v>
          </cell>
          <cell r="BI20">
            <v>0.4594737427681353</v>
          </cell>
          <cell r="BJ20">
            <v>0.3796844181459566</v>
          </cell>
          <cell r="BK20">
            <v>0.39547782635852596</v>
          </cell>
          <cell r="BL20">
            <v>0.46908014086010025</v>
          </cell>
          <cell r="BM20">
            <v>0.4238784790531171</v>
          </cell>
          <cell r="BN20">
            <v>0.45182506616356155</v>
          </cell>
          <cell r="BO20">
            <v>0.50035476089115938</v>
          </cell>
          <cell r="BP20">
            <v>0.55558067889545237</v>
          </cell>
          <cell r="BQ20">
            <v>0.55558067889545237</v>
          </cell>
          <cell r="BR20">
            <v>0.51589584630640728</v>
          </cell>
          <cell r="BS20">
            <v>0.55558067889545237</v>
          </cell>
          <cell r="BT20">
            <v>0.55558067889545237</v>
          </cell>
          <cell r="BU20">
            <v>0.55558067889545237</v>
          </cell>
          <cell r="BV20">
            <v>0.55558067889545237</v>
          </cell>
          <cell r="BW20">
            <v>0.55558067889545237</v>
          </cell>
          <cell r="BX20">
            <v>0.55558067889545237</v>
          </cell>
          <cell r="BY20">
            <v>0.55558067889545237</v>
          </cell>
          <cell r="BZ20">
            <v>0.55558067889545237</v>
          </cell>
          <cell r="CA20">
            <v>0.55558067889545237</v>
          </cell>
          <cell r="CB20">
            <v>0.55558067889545237</v>
          </cell>
          <cell r="CC20">
            <v>0.43630208048926994</v>
          </cell>
          <cell r="CD20">
            <v>0.43630208048926994</v>
          </cell>
          <cell r="CE20">
            <v>0.43630208048926994</v>
          </cell>
          <cell r="CF20">
            <v>0.43630208048926994</v>
          </cell>
          <cell r="CG20">
            <v>0.43630208048926994</v>
          </cell>
        </row>
        <row r="21">
          <cell r="B21" t="str">
            <v>Gross margin - total</v>
          </cell>
          <cell r="AJ21">
            <v>0.60221198914562946</v>
          </cell>
          <cell r="AK21">
            <v>0.58212058212058215</v>
          </cell>
          <cell r="AL21">
            <v>0.53622405331172041</v>
          </cell>
          <cell r="AM21">
            <v>0.57659646739130432</v>
          </cell>
          <cell r="AN21">
            <v>0.57502871065030958</v>
          </cell>
          <cell r="AO21">
            <v>0.55434469712546774</v>
          </cell>
          <cell r="AP21">
            <v>0.56894518453810872</v>
          </cell>
          <cell r="AQ21">
            <v>0.50475553218945657</v>
          </cell>
          <cell r="AR21">
            <v>0.39675143703187593</v>
          </cell>
          <cell r="AS21">
            <v>0.50689908780557413</v>
          </cell>
          <cell r="AT21">
            <v>0.44762726488352028</v>
          </cell>
          <cell r="AU21">
            <v>0.47100991717119189</v>
          </cell>
          <cell r="AV21">
            <v>0.43909272336505989</v>
          </cell>
          <cell r="AW21">
            <v>0.52313959189831394</v>
          </cell>
          <cell r="AX21">
            <v>0.47109241078385544</v>
          </cell>
          <cell r="AY21">
            <v>0.48255294976872515</v>
          </cell>
          <cell r="AZ21">
            <v>0.53728109125785939</v>
          </cell>
          <cell r="BA21">
            <v>0.50576636904761907</v>
          </cell>
          <cell r="BB21">
            <v>0.50846519862786321</v>
          </cell>
          <cell r="BC21">
            <v>0.50940180544630476</v>
          </cell>
          <cell r="BD21">
            <v>0.46029771852773138</v>
          </cell>
          <cell r="BE21">
            <v>0.47452283863893358</v>
          </cell>
          <cell r="BF21">
            <v>0.45826460981210176</v>
          </cell>
          <cell r="BG21">
            <v>0.42888136484665201</v>
          </cell>
          <cell r="BH21">
            <v>0.45510692105217887</v>
          </cell>
          <cell r="BI21">
            <v>0.54052625723186476</v>
          </cell>
          <cell r="BJ21">
            <v>0.62031558185404334</v>
          </cell>
          <cell r="BK21">
            <v>0.60452217364147409</v>
          </cell>
          <cell r="BL21">
            <v>0.53091985913989981</v>
          </cell>
          <cell r="BM21">
            <v>0.57612152094688285</v>
          </cell>
          <cell r="BN21">
            <v>0.54817493383643845</v>
          </cell>
          <cell r="BO21">
            <v>0.49964523910884068</v>
          </cell>
          <cell r="BP21">
            <v>0.44441932110454763</v>
          </cell>
          <cell r="BQ21">
            <v>0.44441932110454757</v>
          </cell>
          <cell r="BR21">
            <v>0.48410415369359272</v>
          </cell>
          <cell r="BS21">
            <v>0.44441932110454763</v>
          </cell>
          <cell r="BT21">
            <v>0.44441932110454763</v>
          </cell>
          <cell r="BU21">
            <v>0.44441932110454768</v>
          </cell>
          <cell r="BV21">
            <v>0.44441932110454768</v>
          </cell>
          <cell r="BW21">
            <v>0.44441932110454768</v>
          </cell>
          <cell r="BX21">
            <v>0.44441932110454763</v>
          </cell>
          <cell r="BY21">
            <v>0.44441932110454757</v>
          </cell>
          <cell r="BZ21">
            <v>0.44441932110454763</v>
          </cell>
          <cell r="CA21">
            <v>0.44441932110454768</v>
          </cell>
          <cell r="CB21">
            <v>0.44441932110454768</v>
          </cell>
          <cell r="CC21">
            <v>0.56369791951073001</v>
          </cell>
          <cell r="CD21">
            <v>0.56369791951073012</v>
          </cell>
          <cell r="CE21">
            <v>0.56369791951073001</v>
          </cell>
          <cell r="CF21">
            <v>0.56369791951073012</v>
          </cell>
          <cell r="CG21">
            <v>0.56369791951073012</v>
          </cell>
        </row>
        <row r="22">
          <cell r="B22" t="str">
            <v>Revenue per transaction</v>
          </cell>
          <cell r="Y22" t="str">
            <v>NM</v>
          </cell>
          <cell r="Z22" t="str">
            <v>NM</v>
          </cell>
          <cell r="AA22" t="str">
            <v>NM</v>
          </cell>
          <cell r="AB22" t="str">
            <v>NM</v>
          </cell>
          <cell r="AC22" t="str">
            <v>NM</v>
          </cell>
          <cell r="AD22" t="str">
            <v>NM</v>
          </cell>
          <cell r="AE22" t="str">
            <v>NM</v>
          </cell>
          <cell r="AF22" t="str">
            <v>NM</v>
          </cell>
          <cell r="AG22" t="str">
            <v>NM</v>
          </cell>
          <cell r="AH22">
            <v>0.23822510822510823</v>
          </cell>
          <cell r="AI22">
            <v>0.87579137445887445</v>
          </cell>
          <cell r="AJ22">
            <v>0.24996916752312437</v>
          </cell>
          <cell r="AK22" t="str">
            <v>NM</v>
          </cell>
          <cell r="AL22" t="str">
            <v>NM</v>
          </cell>
          <cell r="AM22">
            <v>0.22197926484448635</v>
          </cell>
          <cell r="AN22">
            <v>0.45806784660766964</v>
          </cell>
          <cell r="AO22">
            <v>0.21711607142857142</v>
          </cell>
          <cell r="AP22">
            <v>0.22781094527363183</v>
          </cell>
          <cell r="AQ22">
            <v>0.20254598257502418</v>
          </cell>
          <cell r="AR22">
            <v>0.19916738941890719</v>
          </cell>
          <cell r="AS22">
            <v>0.2113175597309209</v>
          </cell>
          <cell r="AT22">
            <v>0.23946280991735538</v>
          </cell>
          <cell r="AU22">
            <v>0.27250000000000002</v>
          </cell>
          <cell r="AV22">
            <v>0.28321739130434781</v>
          </cell>
          <cell r="AW22">
            <v>0.28026427061310782</v>
          </cell>
          <cell r="AX22">
            <v>0.26863422291993716</v>
          </cell>
          <cell r="AY22">
            <v>0.24769849246231157</v>
          </cell>
          <cell r="AZ22">
            <v>0.28264056224899597</v>
          </cell>
          <cell r="BA22">
            <v>0.26693147964250247</v>
          </cell>
          <cell r="BB22">
            <v>0.27412537917087965</v>
          </cell>
          <cell r="BC22">
            <v>0.2678404815650865</v>
          </cell>
          <cell r="BD22">
            <v>0.25936491935483869</v>
          </cell>
          <cell r="BE22">
            <v>0.29748216106014275</v>
          </cell>
          <cell r="BF22">
            <v>0.3089010989010989</v>
          </cell>
          <cell r="BG22">
            <v>0.31722609478646985</v>
          </cell>
          <cell r="BH22">
            <v>0.29048975512243874</v>
          </cell>
          <cell r="BI22">
            <v>0.30110552763819093</v>
          </cell>
          <cell r="BJ22">
            <v>0.35624678663239073</v>
          </cell>
          <cell r="BK22">
            <v>0.35357773851590102</v>
          </cell>
          <cell r="BL22">
            <v>0.3631067859319676</v>
          </cell>
          <cell r="BM22">
            <v>0.33398319689788886</v>
          </cell>
          <cell r="BN22">
            <v>0.30110552763819093</v>
          </cell>
          <cell r="BO22">
            <v>0.32062210796915169</v>
          </cell>
          <cell r="BP22">
            <v>0.31821996466431091</v>
          </cell>
          <cell r="BQ22">
            <v>0.3449514466353692</v>
          </cell>
          <cell r="BR22">
            <v>0.31553283505469482</v>
          </cell>
          <cell r="BS22">
            <v>0.30110552763819093</v>
          </cell>
          <cell r="BT22">
            <v>0.32062210796915169</v>
          </cell>
          <cell r="BU22">
            <v>0.31821996466431091</v>
          </cell>
          <cell r="BV22">
            <v>0.3449514466353692</v>
          </cell>
          <cell r="BW22">
            <v>0.32108535343936301</v>
          </cell>
          <cell r="BX22">
            <v>0.30411658291457283</v>
          </cell>
          <cell r="BY22">
            <v>0.32382832904884323</v>
          </cell>
          <cell r="BZ22">
            <v>0.32140216431095403</v>
          </cell>
          <cell r="CA22">
            <v>0.34840096110172292</v>
          </cell>
          <cell r="CB22">
            <v>0.32429620697375666</v>
          </cell>
          <cell r="CC22">
            <v>0.25816035175879393</v>
          </cell>
          <cell r="CD22">
            <v>0.25556855319134131</v>
          </cell>
          <cell r="CE22">
            <v>0.25365379973636282</v>
          </cell>
          <cell r="CF22">
            <v>0.29575274655899964</v>
          </cell>
          <cell r="CG22">
            <v>0.26572169964226589</v>
          </cell>
        </row>
        <row r="23">
          <cell r="B23" t="str">
            <v>GM per transaction</v>
          </cell>
          <cell r="Y23" t="str">
            <v>NM</v>
          </cell>
          <cell r="Z23" t="str">
            <v>NM</v>
          </cell>
          <cell r="AA23" t="str">
            <v>NM</v>
          </cell>
          <cell r="AB23" t="str">
            <v>NM</v>
          </cell>
          <cell r="AC23" t="str">
            <v>NM</v>
          </cell>
          <cell r="AD23" t="str">
            <v>NM</v>
          </cell>
          <cell r="AE23" t="str">
            <v>NM</v>
          </cell>
          <cell r="AF23" t="str">
            <v>NM</v>
          </cell>
          <cell r="AG23" t="str">
            <v>NM</v>
          </cell>
          <cell r="AH23">
            <v>0.1335930735930736</v>
          </cell>
          <cell r="AI23">
            <v>0.51879169913419909</v>
          </cell>
          <cell r="AJ23">
            <v>0.15053442959917779</v>
          </cell>
          <cell r="AK23" t="str">
            <v>NM</v>
          </cell>
          <cell r="AL23" t="str">
            <v>NM</v>
          </cell>
          <cell r="AM23">
            <v>0.12799245994344957</v>
          </cell>
          <cell r="AN23">
            <v>0.26340216322517207</v>
          </cell>
          <cell r="AO23">
            <v>0.12035714285714286</v>
          </cell>
          <cell r="AP23">
            <v>0.12961194029850745</v>
          </cell>
          <cell r="AQ23">
            <v>0.10223620522749273</v>
          </cell>
          <cell r="AR23">
            <v>7.9019947961838671E-2</v>
          </cell>
          <cell r="AS23">
            <v>0.10711667826490372</v>
          </cell>
          <cell r="AT23">
            <v>0.10719008264462809</v>
          </cell>
          <cell r="AU23">
            <v>0.12835020242914982</v>
          </cell>
          <cell r="AV23">
            <v>0.12435869565217392</v>
          </cell>
          <cell r="AW23">
            <v>0.14661733615221986</v>
          </cell>
          <cell r="AX23">
            <v>0.12655154369440083</v>
          </cell>
          <cell r="AY23">
            <v>0.11952763819095479</v>
          </cell>
          <cell r="AZ23">
            <v>0.1518574297188755</v>
          </cell>
          <cell r="BA23">
            <v>0.13500496524329691</v>
          </cell>
          <cell r="BB23">
            <v>0.13938321536905965</v>
          </cell>
          <cell r="BC23">
            <v>0.13643842488086277</v>
          </cell>
          <cell r="BD23">
            <v>0.11938508064516129</v>
          </cell>
          <cell r="BE23">
            <v>0.14116207951070336</v>
          </cell>
          <cell r="BF23">
            <v>0.14155844155844155</v>
          </cell>
          <cell r="BG23">
            <v>0.12691634241245137</v>
          </cell>
          <cell r="BH23">
            <v>0.13220389805097452</v>
          </cell>
          <cell r="BI23">
            <v>0.16275544388609714</v>
          </cell>
          <cell r="BJ23">
            <v>0.22098543273350468</v>
          </cell>
          <cell r="BK23">
            <v>0.21374558303886923</v>
          </cell>
          <cell r="BL23">
            <v>0.17320278503046133</v>
          </cell>
          <cell r="BM23">
            <v>0.19241490736751399</v>
          </cell>
          <cell r="BN23">
            <v>0.17520938023450583</v>
          </cell>
          <cell r="BO23">
            <v>0.14449894447235109</v>
          </cell>
          <cell r="BP23">
            <v>0.13752930063324353</v>
          </cell>
          <cell r="BQ23">
            <v>0.15330308772772236</v>
          </cell>
          <cell r="BR23">
            <v>0.15275075607669303</v>
          </cell>
          <cell r="BS23">
            <v>0.13381711417379141</v>
          </cell>
          <cell r="BT23">
            <v>0.14249065955475937</v>
          </cell>
          <cell r="BU23">
            <v>0.14142310065802619</v>
          </cell>
          <cell r="BV23">
            <v>0.15330308772772239</v>
          </cell>
          <cell r="BW23">
            <v>0.14269653479213543</v>
          </cell>
          <cell r="BX23">
            <v>0.13515528531552934</v>
          </cell>
          <cell r="BY23">
            <v>0.14391556615030696</v>
          </cell>
          <cell r="BZ23">
            <v>0.14283733166460647</v>
          </cell>
          <cell r="CA23">
            <v>0.1548361186049996</v>
          </cell>
          <cell r="CB23">
            <v>0.14412350014005684</v>
          </cell>
          <cell r="CC23">
            <v>0.14552445318659035</v>
          </cell>
          <cell r="CD23">
            <v>0.14406346172632645</v>
          </cell>
          <cell r="CE23">
            <v>0.14298411918737908</v>
          </cell>
          <cell r="CF23">
            <v>0.16671520792489233</v>
          </cell>
          <cell r="CG23">
            <v>0.14978676925720039</v>
          </cell>
        </row>
        <row r="25">
          <cell r="B25" t="str">
            <v>Year-over-Year Growth (PBM)</v>
          </cell>
        </row>
        <row r="26">
          <cell r="B26" t="str">
            <v>Total Revenues</v>
          </cell>
          <cell r="AJ26">
            <v>0.25778598328306135</v>
          </cell>
          <cell r="AK26">
            <v>0.2461294586450502</v>
          </cell>
          <cell r="AL26">
            <v>5.5249878837984934E-2</v>
          </cell>
          <cell r="AM26">
            <v>6.9961838996910775E-2</v>
          </cell>
          <cell r="AN26">
            <v>0.1513520060267568</v>
          </cell>
          <cell r="AO26">
            <v>-2.0557519940789248E-4</v>
          </cell>
          <cell r="AP26">
            <v>-8.3593208593208956E-3</v>
          </cell>
          <cell r="AQ26">
            <v>-5.7904453149624113E-2</v>
          </cell>
          <cell r="AR26">
            <v>-2.4966032608695676E-2</v>
          </cell>
          <cell r="AS26">
            <v>-2.2238679417415197E-2</v>
          </cell>
          <cell r="AT26">
            <v>-4.6757412509766838E-2</v>
          </cell>
          <cell r="AU26">
            <v>0.17593360995850627</v>
          </cell>
          <cell r="AV26">
            <v>0.245328107823926</v>
          </cell>
          <cell r="AW26">
            <v>0.15454624629855429</v>
          </cell>
          <cell r="AX26">
            <v>0.12703761841513073</v>
          </cell>
          <cell r="AY26">
            <v>6.3244176013804942E-2</v>
          </cell>
          <cell r="AZ26">
            <v>4.5611558890168213E-2</v>
          </cell>
          <cell r="BA26">
            <v>3.1624194043598397E-2</v>
          </cell>
          <cell r="BB26">
            <v>2.2554973032097525E-2</v>
          </cell>
          <cell r="BC26">
            <v>4.0088826554464774E-2</v>
          </cell>
          <cell r="BD26">
            <v>4.3942221861559716E-2</v>
          </cell>
          <cell r="BE26">
            <v>3.6659443714255335E-2</v>
          </cell>
          <cell r="BF26">
            <v>0.15033482142857135</v>
          </cell>
          <cell r="BG26">
            <v>0.12209066430600113</v>
          </cell>
          <cell r="BH26">
            <v>8.8642918680001515E-2</v>
          </cell>
          <cell r="BI26">
            <v>0.39733374791091758</v>
          </cell>
          <cell r="BJ26">
            <v>0.4245965116677517</v>
          </cell>
          <cell r="BK26">
            <v>0.29442773519614507</v>
          </cell>
          <cell r="BL26">
            <v>0.23217514217152635</v>
          </cell>
          <cell r="BM26">
            <v>0.33358852168527542</v>
          </cell>
          <cell r="BN26">
            <v>6.1498664886515231E-2</v>
          </cell>
          <cell r="BO26">
            <v>-0.15247510463270308</v>
          </cell>
          <cell r="BP26">
            <v>-0.11602748282323549</v>
          </cell>
          <cell r="BQ26">
            <v>6.7956206130294294E-2</v>
          </cell>
          <cell r="BR26">
            <v>-4.0150479371832581E-2</v>
          </cell>
          <cell r="BS26">
            <v>3.627073343290621E-2</v>
          </cell>
          <cell r="BT26">
            <v>0.21950400000000014</v>
          </cell>
          <cell r="BU26">
            <v>0.13114376360193325</v>
          </cell>
          <cell r="BV26">
            <v>0.10000000000000031</v>
          </cell>
          <cell r="BW26">
            <v>0.11935700359703083</v>
          </cell>
          <cell r="BX26">
            <v>9.0800000000000214E-2</v>
          </cell>
          <cell r="BY26">
            <v>9.0799999999999992E-2</v>
          </cell>
          <cell r="BZ26">
            <v>9.0800000000000214E-2</v>
          </cell>
          <cell r="CA26">
            <v>9.0799999999999992E-2</v>
          </cell>
          <cell r="CB26">
            <v>9.0799999999999992E-2</v>
          </cell>
          <cell r="CC26">
            <v>-4.0500000000000203E-2</v>
          </cell>
          <cell r="CD26">
            <v>-4.0500000000000091E-2</v>
          </cell>
          <cell r="CE26">
            <v>-4.049999999999998E-2</v>
          </cell>
          <cell r="CF26">
            <v>-4.0500000000000091E-2</v>
          </cell>
          <cell r="CG26">
            <v>-4.0500000000000091E-2</v>
          </cell>
        </row>
        <row r="27">
          <cell r="B27" t="str">
            <v>Cost of revenues</v>
          </cell>
          <cell r="AJ27">
            <v>0.27210922546758742</v>
          </cell>
          <cell r="AK27">
            <v>0.28565414917292653</v>
          </cell>
          <cell r="AL27">
            <v>0.25472959968034847</v>
          </cell>
          <cell r="AM27">
            <v>3.1443938767066637E-2</v>
          </cell>
          <cell r="AN27">
            <v>0.20032970794048643</v>
          </cell>
          <cell r="AO27">
            <v>0.12010335917312642</v>
          </cell>
          <cell r="AP27">
            <v>2.2906301824212383E-2</v>
          </cell>
          <cell r="AQ27">
            <v>6.019417475728206E-3</v>
          </cell>
          <cell r="AR27">
            <v>0.38918973124749301</v>
          </cell>
          <cell r="AS27">
            <v>0.13451193332491473</v>
          </cell>
          <cell r="AT27">
            <v>0.1815077973608934</v>
          </cell>
          <cell r="AU27">
            <v>0.44310467119262342</v>
          </cell>
          <cell r="AV27">
            <v>0.4104419996139741</v>
          </cell>
          <cell r="AW27">
            <v>-8.7345701292138811E-2</v>
          </cell>
          <cell r="AX27">
            <v>0.20887780770686315</v>
          </cell>
          <cell r="AY27">
            <v>-3.9831302717900918E-3</v>
          </cell>
          <cell r="AZ27">
            <v>-8.5381266676028744E-2</v>
          </cell>
          <cell r="BA27">
            <v>-9.1002394799863162E-2</v>
          </cell>
          <cell r="BB27">
            <v>5.4021988452107816E-2</v>
          </cell>
          <cell r="BC27">
            <v>-3.5246022392457332E-2</v>
          </cell>
          <cell r="BD27">
            <v>8.8841841135419042E-2</v>
          </cell>
          <cell r="BE27">
            <v>0.17726086288960552</v>
          </cell>
          <cell r="BF27">
            <v>0.26089574708317653</v>
          </cell>
          <cell r="BG27">
            <v>0.30376707188953911</v>
          </cell>
          <cell r="BH27">
            <v>0.20912387860278692</v>
          </cell>
          <cell r="BI27">
            <v>0.18961544001152242</v>
          </cell>
          <cell r="BJ27">
            <v>2.9344636452559358E-2</v>
          </cell>
          <cell r="BK27">
            <v>-5.5041490060294906E-2</v>
          </cell>
          <cell r="BL27">
            <v>1.202946932197535E-2</v>
          </cell>
          <cell r="BM27">
            <v>3.7413569917595479E-2</v>
          </cell>
          <cell r="BN27">
            <v>4.3828318905502872E-2</v>
          </cell>
          <cell r="BO27">
            <v>0.11688311688311681</v>
          </cell>
          <cell r="BP27">
            <v>0.24183460736622653</v>
          </cell>
          <cell r="BQ27">
            <v>0.26489224835770386</v>
          </cell>
          <cell r="BR27">
            <v>0.16821779175350726</v>
          </cell>
          <cell r="BS27">
            <v>0.27423651478363587</v>
          </cell>
          <cell r="BT27">
            <v>0.35410495351137783</v>
          </cell>
          <cell r="BU27">
            <v>0.13114376360193325</v>
          </cell>
          <cell r="BV27">
            <v>0.10000000000000009</v>
          </cell>
          <cell r="BW27">
            <v>0.20546255302752581</v>
          </cell>
          <cell r="BX27">
            <v>9.0800000000000214E-2</v>
          </cell>
          <cell r="BY27">
            <v>9.0800000000000214E-2</v>
          </cell>
          <cell r="BZ27">
            <v>9.0800000000000214E-2</v>
          </cell>
          <cell r="CA27">
            <v>9.0799999999999992E-2</v>
          </cell>
          <cell r="CB27">
            <v>9.0799999999999992E-2</v>
          </cell>
          <cell r="CC27">
            <v>-4.0500000000000203E-2</v>
          </cell>
          <cell r="CD27">
            <v>-4.0500000000000091E-2</v>
          </cell>
          <cell r="CE27">
            <v>-4.0500000000000091E-2</v>
          </cell>
          <cell r="CF27">
            <v>-4.0500000000000091E-2</v>
          </cell>
          <cell r="CG27">
            <v>-4.0500000000000091E-2</v>
          </cell>
        </row>
        <row r="28">
          <cell r="B28" t="str">
            <v>Gross profit</v>
          </cell>
          <cell r="AJ28">
            <v>0.24850042713426879</v>
          </cell>
          <cell r="AK28">
            <v>0.21922245720678868</v>
          </cell>
          <cell r="AL28">
            <v>-7.2309823124249495E-2</v>
          </cell>
          <cell r="AM28">
            <v>0.10012961762799732</v>
          </cell>
          <cell r="AN28">
            <v>0.11764864548623444</v>
          </cell>
          <cell r="AO28">
            <v>-7.9675018775175688E-2</v>
          </cell>
          <cell r="AP28">
            <v>-3.0803571428571486E-2</v>
          </cell>
          <cell r="AQ28">
            <v>-0.11319170375346388</v>
          </cell>
          <cell r="AR28">
            <v>-0.3290868924889544</v>
          </cell>
          <cell r="AS28">
            <v>-0.13808421681349847</v>
          </cell>
          <cell r="AT28">
            <v>-0.23026706231454008</v>
          </cell>
          <cell r="AU28">
            <v>-2.6485490557346725E-2</v>
          </cell>
          <cell r="AV28">
            <v>8.3325442666414506E-2</v>
          </cell>
          <cell r="AW28">
            <v>0.52233563823949059</v>
          </cell>
          <cell r="AX28">
            <v>4.7425180822036506E-2</v>
          </cell>
          <cell r="AY28">
            <v>0.1462027756360833</v>
          </cell>
          <cell r="AZ28">
            <v>0.19272928002523448</v>
          </cell>
          <cell r="BA28">
            <v>0.18827025609649484</v>
          </cell>
          <cell r="BB28">
            <v>-6.1283345349674168E-3</v>
          </cell>
          <cell r="BC28">
            <v>0.12466920277869642</v>
          </cell>
          <cell r="BD28">
            <v>-4.2041537038595145E-3</v>
          </cell>
          <cell r="BE28">
            <v>-8.4429752066115804E-2</v>
          </cell>
          <cell r="BF28">
            <v>4.2294961382861374E-2</v>
          </cell>
          <cell r="BG28">
            <v>-5.3536452665941203E-2</v>
          </cell>
          <cell r="BH28">
            <v>-2.7390712893856306E-2</v>
          </cell>
          <cell r="BI28">
            <v>0.64088491091784183</v>
          </cell>
          <cell r="BJ28">
            <v>0.86229058347775855</v>
          </cell>
          <cell r="BK28">
            <v>0.70755116443189836</v>
          </cell>
          <cell r="BL28">
            <v>0.52533149382999933</v>
          </cell>
          <cell r="BM28">
            <v>0.68819460195055537</v>
          </cell>
          <cell r="BN28">
            <v>7.6519322801420264E-2</v>
          </cell>
          <cell r="BO28">
            <v>-0.31734460428865008</v>
          </cell>
          <cell r="BP28">
            <v>-0.35014051909406507</v>
          </cell>
          <cell r="BQ28">
            <v>-0.10604140356190916</v>
          </cell>
          <cell r="BR28">
            <v>-0.19345637515294123</v>
          </cell>
          <cell r="BS28">
            <v>-0.15986903558385446</v>
          </cell>
          <cell r="BT28">
            <v>8.4711906253587932E-2</v>
          </cell>
          <cell r="BU28">
            <v>0.13114376360193325</v>
          </cell>
          <cell r="BV28">
            <v>0.10000000000000031</v>
          </cell>
          <cell r="BW28">
            <v>2.7596800846861447E-2</v>
          </cell>
          <cell r="BX28">
            <v>9.0800000000000214E-2</v>
          </cell>
          <cell r="BY28">
            <v>9.0799999999999992E-2</v>
          </cell>
          <cell r="BZ28">
            <v>9.0799999999999992E-2</v>
          </cell>
          <cell r="CA28">
            <v>9.0799999999999992E-2</v>
          </cell>
          <cell r="CB28">
            <v>9.0800000000000214E-2</v>
          </cell>
          <cell r="CC28">
            <v>-4.0500000000000314E-2</v>
          </cell>
          <cell r="CD28">
            <v>-4.0500000000000203E-2</v>
          </cell>
          <cell r="CE28">
            <v>-4.0500000000000091E-2</v>
          </cell>
          <cell r="CF28">
            <v>-4.049999999999998E-2</v>
          </cell>
          <cell r="CG28">
            <v>-4.0500000000000203E-2</v>
          </cell>
        </row>
        <row r="29">
          <cell r="B29" t="str">
            <v>Transaction processing volume</v>
          </cell>
          <cell r="Y29" t="str">
            <v>NM</v>
          </cell>
          <cell r="Z29" t="str">
            <v>NM</v>
          </cell>
          <cell r="AA29" t="str">
            <v>NM</v>
          </cell>
          <cell r="AB29" t="str">
            <v>NM</v>
          </cell>
          <cell r="AC29" t="str">
            <v>NM</v>
          </cell>
          <cell r="AD29" t="str">
            <v>NM</v>
          </cell>
          <cell r="AE29" t="str">
            <v>NM</v>
          </cell>
          <cell r="AF29" t="str">
            <v>NM</v>
          </cell>
          <cell r="AG29" t="str">
            <v>NM</v>
          </cell>
          <cell r="AH29" t="str">
            <v>NM</v>
          </cell>
          <cell r="AI29" t="str">
            <v>NM</v>
          </cell>
          <cell r="AJ29" t="str">
            <v>NM</v>
          </cell>
          <cell r="AK29" t="str">
            <v>NM</v>
          </cell>
          <cell r="AL29" t="str">
            <v>NM</v>
          </cell>
          <cell r="AM29">
            <v>0.1482683982683981</v>
          </cell>
          <cell r="AN29">
            <v>1.2012987012987009</v>
          </cell>
          <cell r="AO29">
            <v>0.15107913669064743</v>
          </cell>
          <cell r="AP29" t="str">
            <v>NM</v>
          </cell>
          <cell r="AQ29" t="str">
            <v>NM</v>
          </cell>
          <cell r="AR29">
            <v>8.671065032987757E-2</v>
          </cell>
          <cell r="AS29">
            <v>1.1194690265486731</v>
          </cell>
          <cell r="AT29">
            <v>-0.13571428571428579</v>
          </cell>
          <cell r="AU29">
            <v>-1.6915422885572129E-2</v>
          </cell>
          <cell r="AV29">
            <v>-0.10939012584704744</v>
          </cell>
          <cell r="AW29">
            <v>-0.1795316565481353</v>
          </cell>
          <cell r="AX29">
            <v>-0.11343075852470419</v>
          </cell>
          <cell r="AY29">
            <v>2.789256198347112E-2</v>
          </cell>
          <cell r="AZ29">
            <v>8.0971659919029104E-3</v>
          </cell>
          <cell r="BA29">
            <v>9.4565217391304301E-2</v>
          </cell>
          <cell r="BB29">
            <v>4.5454545454545636E-2</v>
          </cell>
          <cell r="BC29">
            <v>4.3171114599686033E-2</v>
          </cell>
          <cell r="BD29">
            <v>-3.0150753768843908E-3</v>
          </cell>
          <cell r="BE29">
            <v>-1.5060240963855387E-2</v>
          </cell>
          <cell r="BF29">
            <v>-5.9582919563059278E-3</v>
          </cell>
          <cell r="BG29">
            <v>3.9433771486349745E-2</v>
          </cell>
          <cell r="BH29">
            <v>3.762227238525151E-3</v>
          </cell>
          <cell r="BI29">
            <v>0.2036290322580645</v>
          </cell>
          <cell r="BJ29">
            <v>0.18960244648318048</v>
          </cell>
          <cell r="BK29">
            <v>0.13086913086913099</v>
          </cell>
          <cell r="BL29">
            <v>0.11770428015564183</v>
          </cell>
          <cell r="BM29">
            <v>0.15992003998001003</v>
          </cell>
          <cell r="BN29">
            <v>0</v>
          </cell>
          <cell r="BO29">
            <v>4.3999999999999997E-2</v>
          </cell>
          <cell r="BP29">
            <v>0.01</v>
          </cell>
          <cell r="BQ29">
            <v>0.01</v>
          </cell>
          <cell r="BR29">
            <v>1.5975441619991315E-2</v>
          </cell>
          <cell r="BS29">
            <v>0.1</v>
          </cell>
          <cell r="BT29">
            <v>0.1</v>
          </cell>
          <cell r="BU29">
            <v>0.1</v>
          </cell>
          <cell r="BV29">
            <v>0.1</v>
          </cell>
          <cell r="BW29">
            <v>0.10000000000000031</v>
          </cell>
          <cell r="BX29">
            <v>0.08</v>
          </cell>
          <cell r="BY29">
            <v>0.08</v>
          </cell>
          <cell r="BZ29">
            <v>0.08</v>
          </cell>
          <cell r="CA29">
            <v>0.08</v>
          </cell>
          <cell r="CB29">
            <v>7.9999999999999849E-2</v>
          </cell>
          <cell r="CC29">
            <v>0.01</v>
          </cell>
          <cell r="CD29">
            <v>0.01</v>
          </cell>
          <cell r="CE29">
            <v>0.01</v>
          </cell>
          <cell r="CF29">
            <v>0.01</v>
          </cell>
          <cell r="CG29">
            <v>1.0000000000000009E-2</v>
          </cell>
        </row>
        <row r="30">
          <cell r="B30" t="str">
            <v>Revenue per transaction</v>
          </cell>
          <cell r="Y30" t="str">
            <v>NM</v>
          </cell>
          <cell r="Z30" t="str">
            <v>NM</v>
          </cell>
          <cell r="AA30" t="str">
            <v>NM</v>
          </cell>
          <cell r="AB30" t="str">
            <v>NM</v>
          </cell>
          <cell r="AC30" t="str">
            <v>NM</v>
          </cell>
          <cell r="AD30" t="str">
            <v>NM</v>
          </cell>
          <cell r="AE30" t="str">
            <v>NM</v>
          </cell>
          <cell r="AF30" t="str">
            <v>NM</v>
          </cell>
          <cell r="AG30" t="str">
            <v>NM</v>
          </cell>
          <cell r="AH30" t="str">
            <v>NM</v>
          </cell>
          <cell r="AI30" t="str">
            <v>NM</v>
          </cell>
          <cell r="AJ30" t="str">
            <v>NM</v>
          </cell>
          <cell r="AK30" t="str">
            <v>NM</v>
          </cell>
          <cell r="AL30" t="str">
            <v>NM</v>
          </cell>
          <cell r="AM30">
            <v>-6.8195344737845831E-2</v>
          </cell>
          <cell r="AN30">
            <v>-0.47696693531527845</v>
          </cell>
          <cell r="AO30">
            <v>-0.13142859345448576</v>
          </cell>
          <cell r="AP30" t="str">
            <v>NM</v>
          </cell>
          <cell r="AQ30" t="str">
            <v>NM</v>
          </cell>
          <cell r="AR30">
            <v>-0.10276579410045639</v>
          </cell>
          <cell r="AS30">
            <v>-0.53867628715727744</v>
          </cell>
          <cell r="AT30">
            <v>0.10292530783993925</v>
          </cell>
          <cell r="AU30">
            <v>0.19616728543350104</v>
          </cell>
          <cell r="AV30">
            <v>0.39828688628490805</v>
          </cell>
          <cell r="AW30">
            <v>0.40717951583745582</v>
          </cell>
          <cell r="AX30">
            <v>0.27123473913857366</v>
          </cell>
          <cell r="AY30">
            <v>3.4392324001370156E-2</v>
          </cell>
          <cell r="AZ30">
            <v>3.7213072473379682E-2</v>
          </cell>
          <cell r="BA30">
            <v>-5.7503218947258627E-2</v>
          </cell>
          <cell r="BB30">
            <v>-2.1903938838863435E-2</v>
          </cell>
          <cell r="BC30">
            <v>-2.9547290967734119E-3</v>
          </cell>
          <cell r="BD30">
            <v>4.7099305193802232E-2</v>
          </cell>
          <cell r="BE30">
            <v>5.2510505544748565E-2</v>
          </cell>
          <cell r="BF30">
            <v>0.15722993524332818</v>
          </cell>
          <cell r="BG30">
            <v>0.15722993524332818</v>
          </cell>
          <cell r="BH30">
            <v>8.4562547920331355E-2</v>
          </cell>
          <cell r="BI30">
            <v>0.16093390111191819</v>
          </cell>
          <cell r="BJ30">
            <v>0.19753999823998658</v>
          </cell>
          <cell r="BK30">
            <v>0.14463088598175</v>
          </cell>
          <cell r="BL30">
            <v>0.14463088598175</v>
          </cell>
          <cell r="BM30">
            <v>0.14972452903586242</v>
          </cell>
          <cell r="BN30">
            <v>0</v>
          </cell>
          <cell r="BO30">
            <v>-0.1</v>
          </cell>
          <cell r="BP30">
            <v>-0.1</v>
          </cell>
          <cell r="BQ30">
            <v>-0.05</v>
          </cell>
          <cell r="BR30">
            <v>-5.5243383543139735E-2</v>
          </cell>
          <cell r="BS30">
            <v>0</v>
          </cell>
          <cell r="BT30">
            <v>0</v>
          </cell>
          <cell r="BU30">
            <v>0</v>
          </cell>
          <cell r="BV30">
            <v>0</v>
          </cell>
          <cell r="BW30">
            <v>1.7597275997300654E-2</v>
          </cell>
          <cell r="BX30">
            <v>0.01</v>
          </cell>
          <cell r="BY30">
            <v>0.01</v>
          </cell>
          <cell r="BZ30">
            <v>0.01</v>
          </cell>
          <cell r="CA30">
            <v>0.01</v>
          </cell>
          <cell r="CB30">
            <v>1.0000000000000009E-2</v>
          </cell>
          <cell r="CC30">
            <v>-0.05</v>
          </cell>
          <cell r="CD30">
            <v>-0.05</v>
          </cell>
          <cell r="CE30">
            <v>-0.05</v>
          </cell>
          <cell r="CF30">
            <v>-0.05</v>
          </cell>
          <cell r="CG30">
            <v>-5.0000000000000044E-2</v>
          </cell>
        </row>
        <row r="31">
          <cell r="B31" t="str">
            <v>GM per transaction</v>
          </cell>
          <cell r="Y31" t="str">
            <v>NM</v>
          </cell>
          <cell r="Z31" t="str">
            <v>NM</v>
          </cell>
          <cell r="AA31" t="str">
            <v>NM</v>
          </cell>
          <cell r="AB31" t="str">
            <v>NM</v>
          </cell>
          <cell r="AC31" t="str">
            <v>NM</v>
          </cell>
          <cell r="AD31" t="str">
            <v>NM</v>
          </cell>
          <cell r="AE31" t="str">
            <v>NM</v>
          </cell>
          <cell r="AF31" t="str">
            <v>NM</v>
          </cell>
          <cell r="AG31" t="str">
            <v>NM</v>
          </cell>
          <cell r="AH31" t="str">
            <v>NM</v>
          </cell>
          <cell r="AI31" t="str">
            <v>NM</v>
          </cell>
          <cell r="AJ31" t="str">
            <v>NM</v>
          </cell>
          <cell r="AK31" t="str">
            <v>NM</v>
          </cell>
          <cell r="AL31" t="str">
            <v>NM</v>
          </cell>
          <cell r="AM31">
            <v>-4.1922934318313398E-2</v>
          </cell>
          <cell r="AN31">
            <v>-0.49227760647527985</v>
          </cell>
          <cell r="AO31">
            <v>-0.2004676725609339</v>
          </cell>
          <cell r="AP31" t="str">
            <v>NM</v>
          </cell>
          <cell r="AQ31" t="str">
            <v>NM</v>
          </cell>
          <cell r="AR31">
            <v>-0.38262028875176113</v>
          </cell>
          <cell r="AS31">
            <v>-0.59333409812077398</v>
          </cell>
          <cell r="AT31">
            <v>-0.10939990681021172</v>
          </cell>
          <cell r="AU31">
            <v>-9.7347348280700796E-3</v>
          </cell>
          <cell r="AV31">
            <v>0.21638606768957169</v>
          </cell>
          <cell r="AW31">
            <v>0.8554471362474978</v>
          </cell>
          <cell r="AX31">
            <v>0.18143640882360024</v>
          </cell>
          <cell r="AY31">
            <v>0.11509978574445112</v>
          </cell>
          <cell r="AZ31">
            <v>0.1831491251655939</v>
          </cell>
          <cell r="BA31">
            <v>8.5609370018644881E-2</v>
          </cell>
          <cell r="BB31">
            <v>-4.9340146076925495E-2</v>
          </cell>
          <cell r="BC31">
            <v>7.812533057942761E-2</v>
          </cell>
          <cell r="BD31">
            <v>-1.192674329980048E-3</v>
          </cell>
          <cell r="BE31">
            <v>-7.0430206990674038E-2</v>
          </cell>
          <cell r="BF31">
            <v>4.8542483628912558E-2</v>
          </cell>
          <cell r="BG31">
            <v>-8.9443143664023173E-2</v>
          </cell>
          <cell r="BH31">
            <v>-3.1036174989456433E-2</v>
          </cell>
          <cell r="BI31">
            <v>0.36328126602219335</v>
          </cell>
          <cell r="BJ31">
            <v>0.56547306117539065</v>
          </cell>
          <cell r="BK31">
            <v>0.50994586183421386</v>
          </cell>
          <cell r="BL31">
            <v>0.36470041397496922</v>
          </cell>
          <cell r="BM31">
            <v>0.45544049913962148</v>
          </cell>
          <cell r="BN31">
            <v>7.6519322801420042E-2</v>
          </cell>
          <cell r="BO31">
            <v>-0.3461155213492817</v>
          </cell>
          <cell r="BP31">
            <v>-0.35657477138026239</v>
          </cell>
          <cell r="BQ31">
            <v>-0.11489247877416742</v>
          </cell>
          <cell r="BR31">
            <v>-0.20613866063434538</v>
          </cell>
          <cell r="BS31">
            <v>-0.23624457780350394</v>
          </cell>
          <cell r="BT31">
            <v>-1.3898267042192769E-2</v>
          </cell>
          <cell r="BU31">
            <v>2.8312512365393561E-2</v>
          </cell>
          <cell r="BV31">
            <v>0</v>
          </cell>
          <cell r="BW31">
            <v>-6.582109013921722E-2</v>
          </cell>
          <cell r="BX31">
            <v>1.0000000000000009E-2</v>
          </cell>
          <cell r="BY31">
            <v>1.0000000000000009E-2</v>
          </cell>
          <cell r="BZ31">
            <v>1.0000000000000231E-2</v>
          </cell>
          <cell r="CA31">
            <v>1.0000000000000009E-2</v>
          </cell>
          <cell r="CB31">
            <v>1.0000000000000453E-2</v>
          </cell>
          <cell r="CC31">
            <v>-5.0000000000000377E-2</v>
          </cell>
          <cell r="CD31">
            <v>-5.0000000000000266E-2</v>
          </cell>
          <cell r="CE31">
            <v>-5.0000000000000044E-2</v>
          </cell>
          <cell r="CF31">
            <v>-4.9999999999999933E-2</v>
          </cell>
          <cell r="CG31">
            <v>-5.0000000000000155E-2</v>
          </cell>
        </row>
      </sheetData>
      <sheetData sheetId="6"/>
      <sheetData sheetId="7"/>
      <sheetData sheetId="8">
        <row r="2">
          <cell r="C2" t="str">
            <v>CY2008</v>
          </cell>
          <cell r="H2" t="str">
            <v>CY2009</v>
          </cell>
          <cell r="M2" t="str">
            <v>CY2010 Guidance</v>
          </cell>
          <cell r="W2" t="str">
            <v>2012 Guidance</v>
          </cell>
          <cell r="AB2" t="str">
            <v>2013 Guidance</v>
          </cell>
          <cell r="AF2" t="str">
            <v>2014 Guidance</v>
          </cell>
          <cell r="AM2" t="str">
            <v>Implied 4Q14</v>
          </cell>
        </row>
        <row r="3">
          <cell r="C3" t="str">
            <v>4Q07</v>
          </cell>
          <cell r="D3" t="str">
            <v>1Q08</v>
          </cell>
          <cell r="E3" t="str">
            <v>2Q08</v>
          </cell>
          <cell r="F3" t="str">
            <v>3Q08</v>
          </cell>
          <cell r="H3" t="str">
            <v>4Q08</v>
          </cell>
          <cell r="I3" t="str">
            <v>1Q09</v>
          </cell>
          <cell r="J3" t="str">
            <v>2Q09</v>
          </cell>
          <cell r="K3" t="str">
            <v>3Q09</v>
          </cell>
          <cell r="M3" t="str">
            <v>From 4Q09 Release</v>
          </cell>
          <cell r="N3" t="str">
            <v>From 1Q10 Release</v>
          </cell>
          <cell r="O3" t="str">
            <v>From 2Q10 Release</v>
          </cell>
          <cell r="P3" t="str">
            <v>From 3Q10 Release</v>
          </cell>
          <cell r="Q3" t="str">
            <v>MS Estimate</v>
          </cell>
          <cell r="S3" t="str">
            <v>1Q11</v>
          </cell>
          <cell r="T3" t="str">
            <v>2Q11</v>
          </cell>
          <cell r="U3" t="str">
            <v>3Q11</v>
          </cell>
          <cell r="W3" t="str">
            <v>4Q11</v>
          </cell>
          <cell r="X3" t="str">
            <v>2Q12</v>
          </cell>
          <cell r="Y3" t="str">
            <v>3Q12</v>
          </cell>
          <cell r="Z3" t="str">
            <v>Consensus</v>
          </cell>
          <cell r="AB3" t="str">
            <v>4Q12</v>
          </cell>
          <cell r="AC3" t="str">
            <v>1Q13</v>
          </cell>
          <cell r="AD3" t="str">
            <v>2Q13</v>
          </cell>
          <cell r="AE3" t="str">
            <v>3Q13</v>
          </cell>
          <cell r="AF3" t="str">
            <v>4Q13</v>
          </cell>
          <cell r="AG3" t="str">
            <v>1Q14</v>
          </cell>
          <cell r="AH3" t="str">
            <v>As of 2Q14</v>
          </cell>
          <cell r="AI3" t="str">
            <v>As of 3Q14</v>
          </cell>
          <cell r="AJ3" t="str">
            <v>MS</v>
          </cell>
          <cell r="AK3" t="str">
            <v>Cons</v>
          </cell>
          <cell r="AM3" t="str">
            <v>Guidance</v>
          </cell>
          <cell r="AN3" t="str">
            <v>MS</v>
          </cell>
          <cell r="AO3" t="str">
            <v>Cons</v>
          </cell>
        </row>
        <row r="4">
          <cell r="B4" t="str">
            <v>Revenue</v>
          </cell>
          <cell r="S4" t="str">
            <v>$4.3 - $4.5 B</v>
          </cell>
          <cell r="T4" t="str">
            <v>$4.6 - $4.7 B</v>
          </cell>
          <cell r="U4" t="str">
            <v>$4.7 to $4.8 B</v>
          </cell>
          <cell r="W4" t="str">
            <v>$6.8 to $6.9 B</v>
          </cell>
          <cell r="X4" t="str">
            <v>$9.9 to $10.0 B</v>
          </cell>
          <cell r="Y4" t="str">
            <v>$9.9 to $10.0 B</v>
          </cell>
          <cell r="AB4" t="str">
            <v>$14.2-$14.6bn</v>
          </cell>
          <cell r="AC4" t="str">
            <v>$14.2-$14.6bn</v>
          </cell>
          <cell r="AD4" t="str">
            <v>$14.2-$14.6bn</v>
          </cell>
          <cell r="AE4" t="str">
            <v>$14.2-$14.6bn</v>
          </cell>
          <cell r="AF4" t="str">
            <v>$20-$21bn</v>
          </cell>
          <cell r="AG4" t="str">
            <v>$20-$21bn</v>
          </cell>
          <cell r="AH4" t="str">
            <v>$20.5-$21 B</v>
          </cell>
          <cell r="AI4" t="str">
            <v>$21.1-$21.5 B</v>
          </cell>
          <cell r="AJ4">
            <v>21.399399507166599</v>
          </cell>
          <cell r="AK4">
            <v>21.1</v>
          </cell>
          <cell r="AM4" t="str">
            <v>$5.26-$5.66 B</v>
          </cell>
          <cell r="AN4">
            <v>5.56</v>
          </cell>
          <cell r="AO4">
            <v>5.48</v>
          </cell>
        </row>
        <row r="5">
          <cell r="B5" t="str">
            <v>Adj EBITDA</v>
          </cell>
          <cell r="S5" t="str">
            <v>$165 - $171 M</v>
          </cell>
          <cell r="T5" t="str">
            <v>$168 - $172 M</v>
          </cell>
          <cell r="U5" t="str">
            <v>172 to $173 M</v>
          </cell>
          <cell r="W5" t="str">
            <v>$248 to $255 M</v>
          </cell>
          <cell r="X5" t="str">
            <v>$353 to $358 M</v>
          </cell>
          <cell r="Y5" t="str">
            <v>$353 to $358 M</v>
          </cell>
          <cell r="AB5" t="str">
            <v>$660-$670m</v>
          </cell>
          <cell r="AC5" t="str">
            <v>$660-$670m</v>
          </cell>
          <cell r="AD5" t="str">
            <v>$650-$660m</v>
          </cell>
          <cell r="AE5" t="str">
            <v>$650-$660m</v>
          </cell>
          <cell r="AF5" t="str">
            <v>$760-$810m</v>
          </cell>
          <cell r="AG5" t="str">
            <v>$770-$810m</v>
          </cell>
          <cell r="AH5" t="str">
            <v>$770-$800 M</v>
          </cell>
          <cell r="AI5" t="str">
            <v>$780-$795 M</v>
          </cell>
          <cell r="AJ5">
            <v>781.40803399655954</v>
          </cell>
          <cell r="AK5" t="str">
            <v>$779 M</v>
          </cell>
          <cell r="AM5" t="str">
            <v>$215-$230 M</v>
          </cell>
          <cell r="AN5">
            <v>216.35</v>
          </cell>
          <cell r="AO5">
            <v>217</v>
          </cell>
        </row>
        <row r="6">
          <cell r="B6" t="str">
            <v>GAAP EPS</v>
          </cell>
          <cell r="S6" t="str">
            <v>$1.40 - $1.47</v>
          </cell>
          <cell r="T6" t="str">
            <v>$1.43 - $1.47</v>
          </cell>
          <cell r="U6" t="str">
            <v>$1.46 to $1.47</v>
          </cell>
          <cell r="W6" t="str">
            <v>$1.96 to $2.04</v>
          </cell>
          <cell r="X6" t="str">
            <v>$1.24 to $1.27</v>
          </cell>
          <cell r="Y6" t="str">
            <v>$0.64 to $0.68</v>
          </cell>
          <cell r="AB6" t="str">
            <v>$1.18-$1.25</v>
          </cell>
          <cell r="AC6" t="str">
            <v>$1.18-$1.25</v>
          </cell>
          <cell r="AF6" t="str">
            <v>$1.35-$1.50</v>
          </cell>
          <cell r="AG6" t="str">
            <v>$1.35-$1.50</v>
          </cell>
          <cell r="AH6" t="str">
            <v>$1.40-$1.50</v>
          </cell>
        </row>
        <row r="7">
          <cell r="B7" t="str">
            <v>Non-GAAP EPS</v>
          </cell>
          <cell r="S7" t="str">
            <v>$1.55 - $1.62</v>
          </cell>
          <cell r="T7" t="str">
            <v>$1.58 - $1.62</v>
          </cell>
          <cell r="U7" t="str">
            <v>$1.62 to $1.63</v>
          </cell>
          <cell r="W7" t="str">
            <v>$2.37-$2.45</v>
          </cell>
          <cell r="X7" t="str">
            <v>$2.14-$2.17</v>
          </cell>
          <cell r="Y7" t="str">
            <v>$1.09-$1.13</v>
          </cell>
          <cell r="AB7" t="str">
            <v>$1.81-$1.88</v>
          </cell>
          <cell r="AC7" t="str">
            <v>$1.81-$1.88</v>
          </cell>
          <cell r="AD7" t="str">
            <v>$1.87-$1.92</v>
          </cell>
          <cell r="AE7" t="str">
            <v>$1.96-$1.99</v>
          </cell>
          <cell r="AF7" t="str">
            <v>$2.04-$2.19</v>
          </cell>
          <cell r="AG7" t="str">
            <v>$2.10-$2.22</v>
          </cell>
          <cell r="AH7" t="str">
            <v>$2.12-$2.22
(mid $2.17)</v>
          </cell>
          <cell r="AI7" t="str">
            <v>$2.20-$2.25
(mid $2.23)</v>
          </cell>
          <cell r="AJ7">
            <v>2.2254916110347449</v>
          </cell>
          <cell r="AK7">
            <v>2.21</v>
          </cell>
          <cell r="AM7" t="str">
            <v>$0.58-$0.63
(mid $0.61)</v>
          </cell>
          <cell r="AN7">
            <v>0.61</v>
          </cell>
          <cell r="AO7">
            <v>0.61</v>
          </cell>
        </row>
      </sheetData>
      <sheetData sheetId="9"/>
      <sheetData sheetId="10">
        <row r="1">
          <cell r="C1" t="str">
            <v>CTRX</v>
          </cell>
        </row>
        <row r="2">
          <cell r="C2" t="str">
            <v>Valuation</v>
          </cell>
        </row>
        <row r="3">
          <cell r="C3" t="str">
            <v>Current Price</v>
          </cell>
          <cell r="D3">
            <v>48.01999</v>
          </cell>
        </row>
        <row r="4">
          <cell r="C4" t="str">
            <v>EV</v>
          </cell>
          <cell r="D4">
            <v>10796.68</v>
          </cell>
        </row>
        <row r="5">
          <cell r="C5" t="str">
            <v>1-yr Price Target</v>
          </cell>
          <cell r="D5">
            <v>0</v>
          </cell>
        </row>
        <row r="6">
          <cell r="C6" t="str">
            <v>% upside</v>
          </cell>
          <cell r="D6">
            <v>-1</v>
          </cell>
        </row>
        <row r="8">
          <cell r="C8" t="str">
            <v>Multiples</v>
          </cell>
          <cell r="D8">
            <v>2009</v>
          </cell>
          <cell r="E8">
            <v>2010</v>
          </cell>
          <cell r="F8">
            <v>2011</v>
          </cell>
          <cell r="G8">
            <v>2012</v>
          </cell>
          <cell r="H8">
            <v>2013</v>
          </cell>
          <cell r="I8">
            <v>2014</v>
          </cell>
          <cell r="J8">
            <v>2015</v>
          </cell>
        </row>
        <row r="9">
          <cell r="C9" t="str">
            <v>EPS (MS estimate)</v>
          </cell>
          <cell r="D9">
            <v>0.65523623858651947</v>
          </cell>
          <cell r="E9">
            <v>0.55212573404273557</v>
          </cell>
          <cell r="F9">
            <v>0.80999292877529894</v>
          </cell>
          <cell r="G9">
            <v>1.2092622311136174</v>
          </cell>
          <cell r="H9">
            <v>1.9811509109628951</v>
          </cell>
          <cell r="I9">
            <v>2.4194870441657401</v>
          </cell>
          <cell r="J9">
            <v>2.8158434115711684</v>
          </cell>
        </row>
        <row r="10">
          <cell r="C10" t="str">
            <v>Y/Y growth rate</v>
          </cell>
          <cell r="D10">
            <v>1.8754799277086178</v>
          </cell>
          <cell r="E10">
            <v>-0.15736386126355684</v>
          </cell>
          <cell r="F10">
            <v>0.46704433217489538</v>
          </cell>
          <cell r="G10">
            <v>0.49292936784276575</v>
          </cell>
          <cell r="H10">
            <v>0.63831372550058085</v>
          </cell>
          <cell r="I10">
            <v>0.22125327796952199</v>
          </cell>
          <cell r="J10">
            <v>0.16381834668682638</v>
          </cell>
        </row>
        <row r="11">
          <cell r="C11" t="str">
            <v>P/E</v>
          </cell>
          <cell r="D11">
            <v>73.286529608907287</v>
          </cell>
          <cell r="E11">
            <v>86.972924895913593</v>
          </cell>
          <cell r="F11">
            <v>59.28445581939306</v>
          </cell>
          <cell r="G11">
            <v>39.710154476401762</v>
          </cell>
          <cell r="H11">
            <v>24.238431173655989</v>
          </cell>
          <cell r="I11">
            <v>19.847177985843569</v>
          </cell>
          <cell r="J11">
            <v>17.053501555758061</v>
          </cell>
        </row>
        <row r="12">
          <cell r="C12" t="str">
            <v>Target P/E</v>
          </cell>
          <cell r="D12">
            <v>0</v>
          </cell>
          <cell r="E12">
            <v>0</v>
          </cell>
          <cell r="F12">
            <v>0</v>
          </cell>
          <cell r="G12">
            <v>0</v>
          </cell>
          <cell r="H12">
            <v>0</v>
          </cell>
          <cell r="I12">
            <v>0</v>
          </cell>
          <cell r="J12">
            <v>0</v>
          </cell>
        </row>
        <row r="13">
          <cell r="C13" t="str">
            <v>PEG</v>
          </cell>
          <cell r="D13">
            <v>0</v>
          </cell>
          <cell r="E13">
            <v>0</v>
          </cell>
          <cell r="F13">
            <v>0</v>
          </cell>
          <cell r="G13">
            <v>0</v>
          </cell>
          <cell r="H13">
            <v>0</v>
          </cell>
          <cell r="I13">
            <v>0</v>
          </cell>
          <cell r="J13">
            <v>0</v>
          </cell>
        </row>
        <row r="14">
          <cell r="C14" t="str">
            <v>FCF yield</v>
          </cell>
          <cell r="D14">
            <v>2.0443701341019919E-2</v>
          </cell>
          <cell r="E14">
            <v>1.4458765528358973E-2</v>
          </cell>
          <cell r="F14">
            <v>1.3996005636536383E-2</v>
          </cell>
          <cell r="G14">
            <v>2.6012203327122251E-2</v>
          </cell>
          <cell r="H14">
            <v>3.0764496920024528E-2</v>
          </cell>
          <cell r="I14">
            <v>3.8930902751651966E-2</v>
          </cell>
          <cell r="J14">
            <v>6.3422355039875117E-2</v>
          </cell>
        </row>
        <row r="15">
          <cell r="C15" t="str">
            <v>EV/EBITDA</v>
          </cell>
          <cell r="D15">
            <v>113.99605114506215</v>
          </cell>
          <cell r="E15">
            <v>88.685652327482046</v>
          </cell>
          <cell r="F15">
            <v>64.864014034160377</v>
          </cell>
          <cell r="G15">
            <v>29.390317268037734</v>
          </cell>
          <cell r="H15">
            <v>15.797045482938849</v>
          </cell>
          <cell r="I15">
            <v>12.515606818757009</v>
          </cell>
          <cell r="J15">
            <v>11.060638556056405</v>
          </cell>
        </row>
        <row r="17">
          <cell r="C17" t="str">
            <v>DCF Valuation</v>
          </cell>
          <cell r="D17">
            <v>2009</v>
          </cell>
          <cell r="E17">
            <v>2010</v>
          </cell>
          <cell r="F17">
            <v>2011</v>
          </cell>
          <cell r="G17">
            <v>2012</v>
          </cell>
          <cell r="H17">
            <v>2013</v>
          </cell>
          <cell r="I17">
            <v>2014</v>
          </cell>
          <cell r="J17">
            <v>2015</v>
          </cell>
          <cell r="K17">
            <v>2016</v>
          </cell>
        </row>
        <row r="18">
          <cell r="C18" t="str">
            <v>EBITDA</v>
          </cell>
          <cell r="D18">
            <v>94.711000000000169</v>
          </cell>
          <cell r="E18">
            <v>121.7410000000001</v>
          </cell>
          <cell r="F18">
            <v>166.45099999999957</v>
          </cell>
          <cell r="G18">
            <v>367.35499999999996</v>
          </cell>
          <cell r="H18">
            <v>683.46198101794721</v>
          </cell>
          <cell r="I18">
            <v>862.6573330682719</v>
          </cell>
          <cell r="J18">
            <v>976.13532394909782</v>
          </cell>
          <cell r="K18">
            <v>1024.9420901465528</v>
          </cell>
        </row>
        <row r="19">
          <cell r="C19" t="str">
            <v>Less: Maintenance Capex</v>
          </cell>
          <cell r="D19">
            <v>-8.9939999999999998</v>
          </cell>
          <cell r="E19">
            <v>-9.07</v>
          </cell>
          <cell r="F19">
            <v>-9.6890000000000001</v>
          </cell>
          <cell r="G19">
            <v>-40.234999999999999</v>
          </cell>
          <cell r="H19">
            <v>-95.771999999999991</v>
          </cell>
          <cell r="I19">
            <v>-10</v>
          </cell>
          <cell r="J19">
            <v>-10</v>
          </cell>
          <cell r="K19">
            <v>-10</v>
          </cell>
        </row>
        <row r="20">
          <cell r="C20" t="str">
            <v>Less: NWC</v>
          </cell>
          <cell r="D20">
            <v>28.652000000000001</v>
          </cell>
          <cell r="E20">
            <v>16.16800000000001</v>
          </cell>
          <cell r="F20">
            <v>-22.789999999999992</v>
          </cell>
          <cell r="G20">
            <v>-21.622</v>
          </cell>
          <cell r="H20">
            <v>-128.76730235377917</v>
          </cell>
          <cell r="I20">
            <v>-204.23954675955622</v>
          </cell>
          <cell r="J20">
            <v>-41.905280508662031</v>
          </cell>
          <cell r="K20">
            <v>-41.905280508662031</v>
          </cell>
        </row>
        <row r="21">
          <cell r="C21" t="str">
            <v>Free Cash Flow</v>
          </cell>
          <cell r="D21">
            <v>114.36900000000017</v>
          </cell>
          <cell r="E21">
            <v>128.83900000000011</v>
          </cell>
          <cell r="F21">
            <v>133.97199999999958</v>
          </cell>
          <cell r="G21">
            <v>305.49799999999993</v>
          </cell>
          <cell r="H21">
            <v>458.92267866416807</v>
          </cell>
          <cell r="I21">
            <v>648.41778630871568</v>
          </cell>
          <cell r="J21">
            <v>924.23004344043579</v>
          </cell>
          <cell r="K21">
            <v>973.03680963789077</v>
          </cell>
        </row>
        <row r="22">
          <cell r="C22" t="str">
            <v>Taxes on EBIT</v>
          </cell>
          <cell r="D22">
            <v>-31.514660185797226</v>
          </cell>
          <cell r="E22">
            <v>-39.374645003895239</v>
          </cell>
          <cell r="F22">
            <v>-57.931143716058813</v>
          </cell>
          <cell r="G22">
            <v>-127.41981611885528</v>
          </cell>
          <cell r="H22">
            <v>-175.69705695272918</v>
          </cell>
          <cell r="I22">
            <v>-245.52639992048151</v>
          </cell>
          <cell r="J22">
            <v>-279.56979718472928</v>
          </cell>
          <cell r="K22">
            <v>-291.91104289136717</v>
          </cell>
        </row>
        <row r="23">
          <cell r="C23" t="str">
            <v>Operating FCF - After Tax</v>
          </cell>
          <cell r="D23">
            <v>82.854339814202945</v>
          </cell>
          <cell r="E23">
            <v>89.464354996104873</v>
          </cell>
          <cell r="F23">
            <v>76.040856283940769</v>
          </cell>
          <cell r="G23">
            <v>178.07818388114464</v>
          </cell>
          <cell r="H23">
            <v>283.22562171143886</v>
          </cell>
          <cell r="I23">
            <v>402.8913863882342</v>
          </cell>
          <cell r="J23">
            <v>644.66024625570651</v>
          </cell>
          <cell r="K23">
            <v>681.1257667465236</v>
          </cell>
        </row>
        <row r="24">
          <cell r="C24" t="str">
            <v>PV of FCF</v>
          </cell>
          <cell r="D24">
            <v>110.27400752351386</v>
          </cell>
          <cell r="E24">
            <v>110.33140770990508</v>
          </cell>
          <cell r="F24">
            <v>86.893511979764057</v>
          </cell>
          <cell r="G24">
            <v>188.55684256783391</v>
          </cell>
          <cell r="H24">
            <v>277.87875582025885</v>
          </cell>
          <cell r="I24">
            <v>366.27056380139163</v>
          </cell>
          <cell r="J24">
            <v>543.04541569195305</v>
          </cell>
          <cell r="K24">
            <v>531.64752866929621</v>
          </cell>
        </row>
        <row r="26">
          <cell r="C26" t="str">
            <v>Discounted Cash Flow (DCF)</v>
          </cell>
        </row>
        <row r="27">
          <cell r="C27" t="str">
            <v>WACC Applied (%)</v>
          </cell>
          <cell r="F27">
            <v>7.9216986651007362E-2</v>
          </cell>
        </row>
        <row r="28">
          <cell r="C28" t="str">
            <v>Intermediate Growth rate (%)</v>
          </cell>
          <cell r="F28">
            <v>0.05</v>
          </cell>
        </row>
        <row r="29">
          <cell r="C29" t="str">
            <v>Terminal Growth Rate (%)</v>
          </cell>
          <cell r="F29">
            <v>0.03</v>
          </cell>
        </row>
        <row r="30">
          <cell r="C30" t="str">
            <v>Discounted Net Cash Flow</v>
          </cell>
          <cell r="F30">
            <v>1907.3991065507337</v>
          </cell>
        </row>
        <row r="31">
          <cell r="C31" t="str">
            <v>Terminal Value</v>
          </cell>
          <cell r="F31">
            <v>14254.418799013571</v>
          </cell>
        </row>
        <row r="32">
          <cell r="C32" t="str">
            <v>Discounted Value of Terminal Value</v>
          </cell>
          <cell r="F32">
            <v>12007.560303458053</v>
          </cell>
        </row>
        <row r="33">
          <cell r="C33" t="str">
            <v>Terminal Value as % of total</v>
          </cell>
          <cell r="F33">
            <v>0.86292456554499353</v>
          </cell>
        </row>
        <row r="34">
          <cell r="C34" t="str">
            <v>Firm Value</v>
          </cell>
          <cell r="F34">
            <v>13914.959410008787</v>
          </cell>
        </row>
        <row r="35">
          <cell r="C35" t="str">
            <v>Gross Debt</v>
          </cell>
          <cell r="F35">
            <v>1132.153</v>
          </cell>
        </row>
        <row r="36">
          <cell r="C36" t="str">
            <v>Cash/Marketable Securities</v>
          </cell>
          <cell r="F36">
            <v>370.77600000000001</v>
          </cell>
        </row>
        <row r="37">
          <cell r="C37" t="str">
            <v>Equity Value</v>
          </cell>
          <cell r="F37">
            <v>13153.582410008787</v>
          </cell>
        </row>
        <row r="38">
          <cell r="C38" t="str">
            <v>Shares Outstanding  (millions)</v>
          </cell>
          <cell r="F38">
            <v>205.1</v>
          </cell>
        </row>
        <row r="39">
          <cell r="C39" t="str">
            <v>Equity Value per Share ($)</v>
          </cell>
          <cell r="F39">
            <v>64.132532472007739</v>
          </cell>
        </row>
        <row r="41">
          <cell r="C41" t="str">
            <v>Time of Valuation</v>
          </cell>
          <cell r="F41">
            <v>2013.75</v>
          </cell>
        </row>
        <row r="42">
          <cell r="C42" t="str">
            <v>Year of Terminal Value</v>
          </cell>
          <cell r="F42">
            <v>2016</v>
          </cell>
        </row>
        <row r="44">
          <cell r="C44" t="str">
            <v>WACC Calculation</v>
          </cell>
        </row>
        <row r="45">
          <cell r="C45" t="str">
            <v>Beta</v>
          </cell>
          <cell r="D45">
            <v>1.0680000000000001</v>
          </cell>
        </row>
        <row r="46">
          <cell r="C46" t="str">
            <v>10-year Bond yield (risk-free rate)</v>
          </cell>
          <cell r="D46">
            <v>1.821E-2</v>
          </cell>
        </row>
        <row r="47">
          <cell r="C47" t="str">
            <v>Equity Risk Premium</v>
          </cell>
          <cell r="D47">
            <v>6.25E-2</v>
          </cell>
        </row>
        <row r="48">
          <cell r="C48" t="str">
            <v>Cost of Equity</v>
          </cell>
          <cell r="D48">
            <v>8.4960000000000008E-2</v>
          </cell>
        </row>
        <row r="50">
          <cell r="C50" t="str">
            <v>Cost of Debt (before tax)</v>
          </cell>
          <cell r="D50">
            <v>0.05</v>
          </cell>
        </row>
        <row r="51">
          <cell r="C51" t="str">
            <v>Cost of debt (after tax 30.0%)</v>
          </cell>
          <cell r="D51">
            <v>3.5000000000000003E-2</v>
          </cell>
        </row>
        <row r="53">
          <cell r="C53" t="str">
            <v>Total Equity Market Value</v>
          </cell>
          <cell r="D53">
            <v>0.88504777123713674</v>
          </cell>
        </row>
        <row r="54">
          <cell r="C54" t="str">
            <v>Total Debt</v>
          </cell>
          <cell r="D54">
            <v>0.11495222876286322</v>
          </cell>
        </row>
        <row r="56">
          <cell r="C56" t="str">
            <v>WACC</v>
          </cell>
          <cell r="D56">
            <v>7.9216986651007362E-2</v>
          </cell>
        </row>
      </sheetData>
      <sheetData sheetId="11">
        <row r="36">
          <cell r="B36" t="str">
            <v>NorthAmerica</v>
          </cell>
        </row>
        <row r="37">
          <cell r="B37" t="str">
            <v>excel</v>
          </cell>
        </row>
        <row r="38">
          <cell r="B38" t="str">
            <v>en-US</v>
          </cell>
        </row>
        <row r="39">
          <cell r="B39" t="str">
            <v>sopcak</v>
          </cell>
        </row>
        <row r="40">
          <cell r="B40">
            <v>1500005520</v>
          </cell>
        </row>
        <row r="41">
          <cell r="B41">
            <v>1</v>
          </cell>
        </row>
      </sheetData>
      <sheetData sheetId="12"/>
      <sheetData sheetId="13"/>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Company questions"/>
      <sheetName val="CYH"/>
      <sheetName val="__FDSCACHE__"/>
      <sheetName val="Revenue Model"/>
      <sheetName val="Cost Model"/>
      <sheetName val="Mgmt Guidance"/>
      <sheetName val="Annuals"/>
      <sheetName val="Preview, A vs. E"/>
      <sheetName val="Preview"/>
      <sheetName val="Options"/>
      <sheetName val="Facilities"/>
      <sheetName val="Trend Analysis"/>
      <sheetName val="AR Agings Details"/>
      <sheetName val="Residual  Income"/>
      <sheetName val="ROIC-NOPAT"/>
      <sheetName val="ROIC-NOA"/>
      <sheetName val="ROIC-Summary"/>
      <sheetName val="mwareDates"/>
      <sheetName val="Model_Template"/>
      <sheetName val="mwareSettings"/>
      <sheetName val="NY UPLOAD shadow"/>
      <sheetName val="MWare_Cached"/>
      <sheetName val="Sheet1"/>
      <sheetName val="Black White"/>
      <sheetName val="mwarePreview"/>
      <sheetName val="Guidance"/>
      <sheetName val="NY UPLOAD"/>
      <sheetName val="Comps"/>
      <sheetName val="AR Details"/>
      <sheetName val="FMV-03"/>
      <sheetName val="Same Store"/>
      <sheetName val="CYH Valuation Sheet"/>
      <sheetName val="Source"/>
      <sheetName val="Financial Position"/>
      <sheetName val="Hospitals"/>
      <sheetName val="Ques"/>
      <sheetName val="Ratio_Analysis"/>
      <sheetName val="FMV-02"/>
      <sheetName val="ROI"/>
      <sheetName val="Costs"/>
      <sheetName val="WACC"/>
      <sheetName val="Graphs"/>
      <sheetName val="ROIC"/>
      <sheetName val="ROIC-adj to NOA"/>
      <sheetName val="Data Boxes"/>
      <sheetName val="Charts"/>
      <sheetName val="ROI Table"/>
      <sheetName val="DCF"/>
      <sheetName val="3Q updates"/>
      <sheetName val="#REF"/>
      <sheetName val="Restated Revenue Model"/>
      <sheetName val="䐀_x0000_　_x0000_耀_x0000__x0000__x0000_"/>
      <sheetName val=""/>
      <sheetName val="Cover"/>
      <sheetName val="Variance"/>
      <sheetName val="Income Statement"/>
      <sheetName val="Balance Sheet &amp; Cash Flow"/>
      <sheetName val="Drivers"/>
      <sheetName val="Scenarios"/>
      <sheetName val="Revenue Assumptions"/>
      <sheetName val="Expense Assumptions"/>
      <sheetName val="Debt"/>
      <sheetName val="Valuation"/>
      <sheetName val="MWA RR"/>
      <sheetName val="MW-Cache"/>
    </sheetNames>
    <sheetDataSet>
      <sheetData sheetId="0"/>
      <sheetData sheetId="1"/>
      <sheetData sheetId="2"/>
      <sheetData sheetId="3" refreshError="1">
        <row r="1">
          <cell r="A1" t="str">
            <v>Community Health Systems</v>
          </cell>
          <cell r="CF1" t="str">
            <v>ElementName</v>
          </cell>
          <cell r="CG1" t="str">
            <v>ScaleOverride</v>
          </cell>
          <cell r="CH1" t="str">
            <v>UnitOverride</v>
          </cell>
          <cell r="CI1" t="str">
            <v>ReverseSign</v>
          </cell>
          <cell r="CJ1" t="str">
            <v>IsDrivingAssumption</v>
          </cell>
          <cell r="CK1" t="str">
            <v>SegmentID</v>
          </cell>
        </row>
        <row r="4">
          <cell r="A4" t="str">
            <v>1 Base Case</v>
          </cell>
        </row>
        <row r="5">
          <cell r="A5" t="str">
            <v>2 Bull Case</v>
          </cell>
          <cell r="C5">
            <v>1</v>
          </cell>
        </row>
        <row r="6">
          <cell r="A6" t="str">
            <v>3 Bear Case</v>
          </cell>
        </row>
        <row r="8">
          <cell r="A8" t="str">
            <v>SCENARIO ANALYSIS ASSUMPTIONS</v>
          </cell>
        </row>
        <row r="9">
          <cell r="A9" t="str">
            <v>($ mil)  FY ending Dec. 31</v>
          </cell>
          <cell r="C9">
            <v>1995</v>
          </cell>
          <cell r="D9">
            <v>1996</v>
          </cell>
          <cell r="E9">
            <v>1997</v>
          </cell>
          <cell r="F9">
            <v>1998</v>
          </cell>
          <cell r="G9" t="str">
            <v>1Q99</v>
          </cell>
          <cell r="H9" t="str">
            <v>2Q99</v>
          </cell>
          <cell r="I9" t="str">
            <v>3Q99</v>
          </cell>
          <cell r="J9" t="str">
            <v>4Q99</v>
          </cell>
          <cell r="K9">
            <v>1999</v>
          </cell>
          <cell r="M9" t="str">
            <v>1Q00</v>
          </cell>
          <cell r="N9" t="str">
            <v>2Q00</v>
          </cell>
          <cell r="O9" t="str">
            <v>3Q00</v>
          </cell>
          <cell r="P9" t="str">
            <v>4Q00</v>
          </cell>
          <cell r="Q9">
            <v>2000</v>
          </cell>
          <cell r="R9" t="str">
            <v>1Q01</v>
          </cell>
          <cell r="S9" t="str">
            <v>2Q01</v>
          </cell>
          <cell r="T9" t="str">
            <v>3Q01</v>
          </cell>
          <cell r="U9" t="str">
            <v>4Q01</v>
          </cell>
          <cell r="V9">
            <v>2001</v>
          </cell>
          <cell r="X9" t="str">
            <v>1Q02</v>
          </cell>
          <cell r="Y9" t="str">
            <v>2Q02</v>
          </cell>
          <cell r="Z9" t="str">
            <v>3Q02</v>
          </cell>
          <cell r="AA9" t="str">
            <v>4Q02</v>
          </cell>
          <cell r="AB9">
            <v>2002</v>
          </cell>
          <cell r="AD9" t="str">
            <v>1Q03</v>
          </cell>
          <cell r="AE9" t="str">
            <v>2Q03</v>
          </cell>
          <cell r="AF9" t="str">
            <v>3Q03</v>
          </cell>
          <cell r="AG9" t="str">
            <v>4Q03</v>
          </cell>
          <cell r="AH9">
            <v>2003</v>
          </cell>
          <cell r="AI9" t="str">
            <v>1Q04</v>
          </cell>
          <cell r="AJ9" t="str">
            <v>2Q04</v>
          </cell>
          <cell r="AK9" t="str">
            <v>3Q04</v>
          </cell>
          <cell r="AL9" t="str">
            <v>4Q04</v>
          </cell>
          <cell r="AM9">
            <v>2004</v>
          </cell>
          <cell r="AN9" t="str">
            <v>2002</v>
          </cell>
          <cell r="AO9">
            <v>2003</v>
          </cell>
          <cell r="AP9" t="str">
            <v>1Q03</v>
          </cell>
          <cell r="AQ9" t="str">
            <v>2Q03</v>
          </cell>
          <cell r="AR9" t="str">
            <v>3Q03</v>
          </cell>
          <cell r="AS9" t="str">
            <v>4Q03</v>
          </cell>
          <cell r="AT9">
            <v>2003</v>
          </cell>
          <cell r="AU9">
            <v>0</v>
          </cell>
          <cell r="AV9" t="str">
            <v>1Q04</v>
          </cell>
          <cell r="AW9" t="str">
            <v>2Q04</v>
          </cell>
          <cell r="AX9" t="str">
            <v>3Q04</v>
          </cell>
          <cell r="AY9" t="str">
            <v>4Q04</v>
          </cell>
          <cell r="AZ9">
            <v>2004</v>
          </cell>
          <cell r="BA9">
            <v>0</v>
          </cell>
          <cell r="BC9" t="str">
            <v>1Q05</v>
          </cell>
          <cell r="BD9" t="str">
            <v>2Q05</v>
          </cell>
          <cell r="BE9" t="str">
            <v>3Q05</v>
          </cell>
          <cell r="BF9" t="str">
            <v>4Q05</v>
          </cell>
          <cell r="BG9">
            <v>2005</v>
          </cell>
          <cell r="BO9" t="str">
            <v>1Q06</v>
          </cell>
          <cell r="BP9" t="str">
            <v>2Q06</v>
          </cell>
          <cell r="BQ9" t="str">
            <v>3Q06E</v>
          </cell>
          <cell r="BR9" t="str">
            <v>4Q06E</v>
          </cell>
          <cell r="BS9" t="str">
            <v>2006E</v>
          </cell>
          <cell r="CA9" t="str">
            <v>2007E</v>
          </cell>
          <cell r="CB9" t="str">
            <v>2008E</v>
          </cell>
          <cell r="CC9" t="str">
            <v>2009E</v>
          </cell>
          <cell r="CD9" t="str">
            <v>2010E</v>
          </cell>
        </row>
        <row r="10">
          <cell r="B10" t="str">
            <v>Adjusted admit per weighted avg. bed (% change)</v>
          </cell>
        </row>
        <row r="11">
          <cell r="B11">
            <v>1</v>
          </cell>
          <cell r="C11" t="str">
            <v>N/A</v>
          </cell>
          <cell r="D11">
            <v>9.7434439501706605E-2</v>
          </cell>
          <cell r="E11">
            <v>0.23079395211217091</v>
          </cell>
          <cell r="F11">
            <v>5.192536063977804E-2</v>
          </cell>
          <cell r="G11" t="str">
            <v>N/A</v>
          </cell>
          <cell r="H11" t="str">
            <v>N/A</v>
          </cell>
          <cell r="I11" t="str">
            <v>N/A</v>
          </cell>
          <cell r="J11" t="str">
            <v>N/A</v>
          </cell>
          <cell r="K11">
            <v>7.5208601632193117E-2</v>
          </cell>
          <cell r="M11">
            <v>4.5067275413327001E-2</v>
          </cell>
          <cell r="N11">
            <v>0.1054415913692337</v>
          </cell>
          <cell r="O11">
            <v>0.13019772488184045</v>
          </cell>
          <cell r="P11">
            <v>4.9891575984546854E-2</v>
          </cell>
          <cell r="Q11">
            <v>7.8435376274854862E-2</v>
          </cell>
          <cell r="R11">
            <v>0.1333241024056997</v>
          </cell>
          <cell r="S11">
            <v>8.7005874625384561E-2</v>
          </cell>
          <cell r="T11">
            <v>2.5019925077568894E-2</v>
          </cell>
          <cell r="U11">
            <v>3.7624557913103374E-2</v>
          </cell>
          <cell r="V11">
            <v>8.0062003478497568E-2</v>
          </cell>
          <cell r="X11">
            <v>-3.7127948868690974E-2</v>
          </cell>
          <cell r="Y11">
            <v>2.3914744203437088E-3</v>
          </cell>
          <cell r="Z11">
            <v>5.1655549585937877E-2</v>
          </cell>
          <cell r="AA11">
            <v>1.0554145371384438E-2</v>
          </cell>
          <cell r="AB11">
            <v>1.4377585577737495E-2</v>
          </cell>
          <cell r="AD11">
            <v>3.0595374364814631E-3</v>
          </cell>
          <cell r="AE11">
            <v>-5.7418789965242745E-2</v>
          </cell>
          <cell r="AF11">
            <v>-7.3758570637697529E-2</v>
          </cell>
          <cell r="AG11">
            <v>5.771381650581997E-3</v>
          </cell>
          <cell r="AH11">
            <v>-3.0893461527183308E-2</v>
          </cell>
          <cell r="AI11">
            <v>-0.65986490926365904</v>
          </cell>
          <cell r="AJ11">
            <v>-6.4954854472465517E-2</v>
          </cell>
          <cell r="AK11">
            <v>5.4757660893682836E-2</v>
          </cell>
          <cell r="AL11">
            <v>-9.0739772625232362E-3</v>
          </cell>
          <cell r="AM11">
            <v>8.0958769026336475E-2</v>
          </cell>
          <cell r="AN11" t="str">
            <v>N/A</v>
          </cell>
          <cell r="AO11">
            <v>-3.0003236614868589E-2</v>
          </cell>
          <cell r="AP11" t="str">
            <v>N/A</v>
          </cell>
          <cell r="AQ11" t="str">
            <v>N/A</v>
          </cell>
          <cell r="AR11">
            <v>-4.7729185311577438E-2</v>
          </cell>
          <cell r="AS11">
            <v>1.5377914146252891E-2</v>
          </cell>
          <cell r="AT11">
            <v>-1.5987202914742982E-2</v>
          </cell>
          <cell r="AV11" t="str">
            <v>N/A</v>
          </cell>
          <cell r="AW11" t="str">
            <v>N/A</v>
          </cell>
          <cell r="AX11">
            <v>4.9104772733107538E-2</v>
          </cell>
          <cell r="AY11">
            <v>-3.1714786188078437E-3</v>
          </cell>
          <cell r="AZ11">
            <v>9.1586169432618325E-2</v>
          </cell>
          <cell r="BC11">
            <v>2.9616637635490495E-2</v>
          </cell>
          <cell r="BD11">
            <v>2.0692941835073198E-2</v>
          </cell>
          <cell r="BE11">
            <v>9.439933604440176E-3</v>
          </cell>
          <cell r="BF11">
            <v>6.5219393346580556E-3</v>
          </cell>
          <cell r="BG11">
            <v>1.6614437904113766E-2</v>
          </cell>
          <cell r="BO11">
            <v>-8.8586340198234526E-3</v>
          </cell>
          <cell r="BP11">
            <v>-2.8866053363545419E-3</v>
          </cell>
          <cell r="BQ11">
            <v>-2.75E-2</v>
          </cell>
          <cell r="BR11">
            <v>-0.01</v>
          </cell>
          <cell r="CA11">
            <v>0</v>
          </cell>
          <cell r="CB11">
            <v>0</v>
          </cell>
          <cell r="CC11">
            <v>0</v>
          </cell>
          <cell r="CD11">
            <v>0</v>
          </cell>
        </row>
        <row r="12">
          <cell r="B12">
            <v>2</v>
          </cell>
          <cell r="BQ12">
            <v>0</v>
          </cell>
          <cell r="BR12">
            <v>0</v>
          </cell>
          <cell r="CA12">
            <v>0</v>
          </cell>
          <cell r="CB12">
            <v>0</v>
          </cell>
          <cell r="CC12">
            <v>0</v>
          </cell>
          <cell r="CD12">
            <v>0</v>
          </cell>
        </row>
        <row r="13">
          <cell r="B13">
            <v>3</v>
          </cell>
          <cell r="BQ13">
            <v>0</v>
          </cell>
          <cell r="BR13">
            <v>0</v>
          </cell>
          <cell r="CA13">
            <v>0</v>
          </cell>
          <cell r="CB13">
            <v>0</v>
          </cell>
          <cell r="CC13">
            <v>0</v>
          </cell>
          <cell r="CD13">
            <v>0</v>
          </cell>
        </row>
        <row r="15">
          <cell r="B15" t="str">
            <v>Same-store adj. admit growth (projections consolidated)</v>
          </cell>
          <cell r="C15" t="str">
            <v>N/A</v>
          </cell>
          <cell r="D15" t="str">
            <v>N/A</v>
          </cell>
          <cell r="E15" t="str">
            <v>N/A</v>
          </cell>
          <cell r="F15" t="str">
            <v>N/A</v>
          </cell>
          <cell r="G15" t="str">
            <v>N/A</v>
          </cell>
          <cell r="H15" t="str">
            <v>N/A</v>
          </cell>
          <cell r="I15" t="str">
            <v>N/A</v>
          </cell>
          <cell r="J15" t="str">
            <v>N/A</v>
          </cell>
          <cell r="K15">
            <v>7.6999999999999999E-2</v>
          </cell>
          <cell r="M15">
            <v>6.5000000000000002E-2</v>
          </cell>
          <cell r="N15">
            <v>0.106</v>
          </cell>
          <cell r="O15">
            <v>9.2999999999999999E-2</v>
          </cell>
          <cell r="P15">
            <v>3.4000000000000002E-2</v>
          </cell>
          <cell r="Q15">
            <v>7.2999999999999995E-2</v>
          </cell>
          <cell r="R15">
            <v>5.5E-2</v>
          </cell>
          <cell r="S15">
            <v>3.1E-2</v>
          </cell>
          <cell r="T15">
            <v>4.3999999999999997E-2</v>
          </cell>
          <cell r="U15">
            <v>4.7E-2</v>
          </cell>
          <cell r="V15">
            <v>4.4999999999999998E-2</v>
          </cell>
          <cell r="X15">
            <v>4.3999999999999997E-2</v>
          </cell>
          <cell r="Y15">
            <v>6.4000000000000001E-2</v>
          </cell>
          <cell r="Z15">
            <v>0.06</v>
          </cell>
          <cell r="AA15">
            <v>3.9727501744509341E-2</v>
          </cell>
          <cell r="AB15">
            <v>5.0999999999999997E-2</v>
          </cell>
          <cell r="AD15">
            <v>-0.01</v>
          </cell>
          <cell r="AE15">
            <v>-2.1323692171474895E-2</v>
          </cell>
          <cell r="AF15">
            <v>-0.01</v>
          </cell>
          <cell r="AG15">
            <v>2.3808552309450004E-2</v>
          </cell>
          <cell r="AH15">
            <v>-4.2501078674792581E-3</v>
          </cell>
          <cell r="AI15">
            <v>2.1000000000000001E-2</v>
          </cell>
          <cell r="AJ15">
            <v>3.5999999999999997E-2</v>
          </cell>
          <cell r="AK15">
            <v>0.01</v>
          </cell>
          <cell r="AL15">
            <v>-1.3139378607004537E-2</v>
          </cell>
          <cell r="AM15">
            <v>1.2617184592278674E-2</v>
          </cell>
          <cell r="AN15">
            <v>5.0999999999999997E-2</v>
          </cell>
          <cell r="AO15" t="str">
            <v>N/A</v>
          </cell>
          <cell r="AP15" t="str">
            <v>N/A</v>
          </cell>
          <cell r="AQ15" t="str">
            <v>N/A</v>
          </cell>
          <cell r="AR15">
            <v>-0.01</v>
          </cell>
          <cell r="AS15">
            <v>2.3808552309450004E-2</v>
          </cell>
          <cell r="AT15">
            <v>-3.0000000000000001E-3</v>
          </cell>
          <cell r="AV15">
            <v>2.1000000000000001E-2</v>
          </cell>
          <cell r="AW15">
            <v>3.5999999999999997E-2</v>
          </cell>
          <cell r="AX15">
            <v>0.01</v>
          </cell>
          <cell r="AY15">
            <v>-1.3139378607004537E-2</v>
          </cell>
          <cell r="AZ15">
            <v>1.2E-2</v>
          </cell>
          <cell r="BC15">
            <v>2.8000000000000001E-2</v>
          </cell>
          <cell r="BD15">
            <v>1.2999999999999999E-2</v>
          </cell>
          <cell r="BE15">
            <v>2.601421865378617E-2</v>
          </cell>
          <cell r="BF15">
            <v>5.0000000000000001E-3</v>
          </cell>
          <cell r="BG15">
            <v>1.7999999999999999E-2</v>
          </cell>
          <cell r="BO15">
            <v>-8.9999999999999993E-3</v>
          </cell>
          <cell r="BP15">
            <v>5.0000000000000001E-3</v>
          </cell>
          <cell r="BQ15">
            <v>0.11277917270239812</v>
          </cell>
          <cell r="BR15">
            <v>9.1908558691623954E-2</v>
          </cell>
          <cell r="BS15">
            <v>9.4401955753214972E-2</v>
          </cell>
          <cell r="CA15">
            <v>6.9757503957440514E-2</v>
          </cell>
          <cell r="CB15">
            <v>4.9358662120474239E-2</v>
          </cell>
          <cell r="CC15">
            <v>4.1157357264428152E-2</v>
          </cell>
          <cell r="CD15">
            <v>3.4477634120968936E-2</v>
          </cell>
        </row>
        <row r="17">
          <cell r="B17" t="str">
            <v>Salaries and benefits (% of revenue)</v>
          </cell>
        </row>
        <row r="18">
          <cell r="B18">
            <v>1</v>
          </cell>
          <cell r="C18">
            <v>0.39687899251688263</v>
          </cell>
          <cell r="D18">
            <v>0.39141617103359588</v>
          </cell>
          <cell r="E18">
            <v>0.39978448275862072</v>
          </cell>
          <cell r="F18">
            <v>0.38412319501977576</v>
          </cell>
          <cell r="G18">
            <v>0.38590287600188594</v>
          </cell>
          <cell r="H18">
            <v>0.39240931781637067</v>
          </cell>
          <cell r="I18">
            <v>0.39331424974521911</v>
          </cell>
          <cell r="J18">
            <v>0.38202212106913874</v>
          </cell>
          <cell r="K18">
            <v>0.38827615646236457</v>
          </cell>
          <cell r="M18">
            <v>0.39010727326332978</v>
          </cell>
          <cell r="N18">
            <v>0.39041609908682706</v>
          </cell>
          <cell r="O18">
            <v>0.3867196967705952</v>
          </cell>
          <cell r="P18">
            <v>0.38113072654745755</v>
          </cell>
          <cell r="Q18">
            <v>0.38683485096459747</v>
          </cell>
          <cell r="R18">
            <v>0.38564136010736372</v>
          </cell>
          <cell r="S18">
            <v>0.3892329680800381</v>
          </cell>
          <cell r="T18">
            <v>0.39205989884028813</v>
          </cell>
          <cell r="U18">
            <v>0.40407579444693426</v>
          </cell>
          <cell r="V18">
            <v>0.39326769503284376</v>
          </cell>
          <cell r="X18">
            <v>0.40704079892187528</v>
          </cell>
          <cell r="Y18">
            <v>0.40373589756154565</v>
          </cell>
          <cell r="Z18">
            <v>0.4005835312503957</v>
          </cell>
          <cell r="AA18">
            <v>0.40086721796135222</v>
          </cell>
          <cell r="AB18">
            <v>0.40298452520590411</v>
          </cell>
          <cell r="AD18">
            <v>0.40767689453750089</v>
          </cell>
          <cell r="AE18">
            <v>0.40059303841665744</v>
          </cell>
          <cell r="AF18">
            <v>0.39878177980752999</v>
          </cell>
          <cell r="AG18">
            <v>0.40027948560561083</v>
          </cell>
          <cell r="AH18">
            <v>0.40169066514641794</v>
          </cell>
          <cell r="AI18">
            <v>0.40179674504119772</v>
          </cell>
          <cell r="AJ18">
            <v>0.40237860850050822</v>
          </cell>
          <cell r="AK18">
            <v>0.40098147704950277</v>
          </cell>
          <cell r="AL18">
            <v>0.39912329508886929</v>
          </cell>
          <cell r="AM18">
            <v>0.40072032961246051</v>
          </cell>
          <cell r="AN18">
            <v>0.40216993377042631</v>
          </cell>
          <cell r="AO18">
            <v>0.39987857367028823</v>
          </cell>
          <cell r="AP18">
            <v>0</v>
          </cell>
          <cell r="AQ18">
            <v>0</v>
          </cell>
          <cell r="AR18">
            <v>0.39857190362804945</v>
          </cell>
          <cell r="AS18">
            <v>0.39952331505998645</v>
          </cell>
          <cell r="AT18">
            <v>0.40105250135334886</v>
          </cell>
          <cell r="AV18">
            <v>0.39985050496244023</v>
          </cell>
          <cell r="AW18">
            <v>0.40080248162384519</v>
          </cell>
          <cell r="AX18">
            <v>0.39965139840973618</v>
          </cell>
          <cell r="AY18">
            <v>0.39704267657992565</v>
          </cell>
          <cell r="AZ18">
            <v>0.3992924004848436</v>
          </cell>
          <cell r="BC18">
            <v>0.39606699821527463</v>
          </cell>
          <cell r="BD18">
            <v>0.39739833115275852</v>
          </cell>
          <cell r="BE18">
            <v>0.40018659828316661</v>
          </cell>
          <cell r="BF18">
            <v>0.39630168928895088</v>
          </cell>
          <cell r="BG18">
            <v>0.39747988401206952</v>
          </cell>
          <cell r="BO18">
            <v>0.3935154428081305</v>
          </cell>
          <cell r="BP18">
            <v>0.39295549519628592</v>
          </cell>
          <cell r="BQ18">
            <v>0.39800000000000002</v>
          </cell>
          <cell r="BR18">
            <v>0.39800000000000002</v>
          </cell>
          <cell r="CA18">
            <v>0.39800000000000002</v>
          </cell>
          <cell r="CB18">
            <v>0.39800000000000002</v>
          </cell>
          <cell r="CC18">
            <v>0.39800000000000002</v>
          </cell>
          <cell r="CD18">
            <v>0.39800000000000002</v>
          </cell>
        </row>
        <row r="19">
          <cell r="B19">
            <v>2</v>
          </cell>
          <cell r="BQ19">
            <v>0</v>
          </cell>
          <cell r="BR19">
            <v>0</v>
          </cell>
          <cell r="CA19">
            <v>0</v>
          </cell>
          <cell r="CB19">
            <v>0</v>
          </cell>
          <cell r="CC19">
            <v>0</v>
          </cell>
          <cell r="CD19">
            <v>0</v>
          </cell>
        </row>
        <row r="20">
          <cell r="B20">
            <v>3</v>
          </cell>
          <cell r="BQ20">
            <v>0</v>
          </cell>
          <cell r="BR20">
            <v>0</v>
          </cell>
          <cell r="CA20">
            <v>0</v>
          </cell>
          <cell r="CB20">
            <v>0</v>
          </cell>
          <cell r="CC20">
            <v>0</v>
          </cell>
          <cell r="CD20">
            <v>0</v>
          </cell>
        </row>
        <row r="21">
          <cell r="B21" t="str">
            <v>Provision for doubtful accounts (% of revenue)</v>
          </cell>
        </row>
        <row r="22">
          <cell r="B22">
            <v>1</v>
          </cell>
          <cell r="C22">
            <v>7.023179412301514E-2</v>
          </cell>
          <cell r="D22">
            <v>8.1658897283394941E-2</v>
          </cell>
          <cell r="E22">
            <v>7.7316810344827583E-2</v>
          </cell>
          <cell r="F22">
            <v>8.0747267663647634E-2</v>
          </cell>
          <cell r="G22">
            <v>8.575915195206156E-2</v>
          </cell>
          <cell r="H22">
            <v>8.4531034561780752E-2</v>
          </cell>
          <cell r="I22">
            <v>9.2054583058569617E-2</v>
          </cell>
          <cell r="J22">
            <v>8.983388381581503E-2</v>
          </cell>
          <cell r="K22">
            <v>8.8104760114560546E-2</v>
          </cell>
          <cell r="M22">
            <v>9.0571551687828641E-2</v>
          </cell>
          <cell r="N22">
            <v>9.0305105695979007E-2</v>
          </cell>
          <cell r="O22">
            <v>9.1085627848981013E-2</v>
          </cell>
          <cell r="P22">
            <v>9.3474369494160062E-2</v>
          </cell>
          <cell r="Q22">
            <v>9.1441426959680772E-2</v>
          </cell>
          <cell r="R22">
            <v>9.2746679376387517E-2</v>
          </cell>
          <cell r="S22">
            <v>9.2255349717766374E-2</v>
          </cell>
          <cell r="T22">
            <v>9.2143198365696913E-2</v>
          </cell>
          <cell r="U22">
            <v>9.1901185754195799E-2</v>
          </cell>
          <cell r="V22">
            <v>9.2243560410362385E-2</v>
          </cell>
          <cell r="X22">
            <v>9.3524316847197572E-2</v>
          </cell>
          <cell r="Y22">
            <v>8.9942742120916283E-2</v>
          </cell>
          <cell r="Z22">
            <v>9.4694496247564847E-2</v>
          </cell>
          <cell r="AA22">
            <v>8.8031192424696855E-2</v>
          </cell>
          <cell r="AB22">
            <v>9.1498111494321313E-2</v>
          </cell>
          <cell r="AD22">
            <v>9.4559646400526637E-2</v>
          </cell>
          <cell r="AE22">
            <v>9.4444943122777819E-2</v>
          </cell>
          <cell r="AF22">
            <v>9.7770192331630285E-2</v>
          </cell>
          <cell r="AG22">
            <v>0.10239713621590074</v>
          </cell>
          <cell r="AH22">
            <v>9.7550151272267502E-2</v>
          </cell>
          <cell r="AI22">
            <v>0.1047100109925387</v>
          </cell>
          <cell r="AJ22">
            <v>0.10043518924771622</v>
          </cell>
          <cell r="AK22">
            <v>0.10473630209209581</v>
          </cell>
          <cell r="AL22">
            <v>0.10322219456149268</v>
          </cell>
          <cell r="AM22">
            <v>0.10315932619205009</v>
          </cell>
          <cell r="AN22">
            <v>9.0708815448390115E-2</v>
          </cell>
          <cell r="AO22">
            <v>9.5574850925829055E-2</v>
          </cell>
          <cell r="AP22">
            <v>0</v>
          </cell>
          <cell r="AQ22">
            <v>0</v>
          </cell>
          <cell r="AR22">
            <v>9.7605293694234721E-2</v>
          </cell>
          <cell r="AS22">
            <v>0.10221876097546077</v>
          </cell>
          <cell r="AT22">
            <v>9.7406790557379483E-2</v>
          </cell>
          <cell r="AV22">
            <v>0.10246820666214507</v>
          </cell>
          <cell r="AW22">
            <v>9.8943338676294387E-2</v>
          </cell>
          <cell r="AX22">
            <v>0.1028805823986992</v>
          </cell>
          <cell r="AY22">
            <v>0.10100342007434945</v>
          </cell>
          <cell r="AZ22">
            <v>0.10133987533038012</v>
          </cell>
          <cell r="BC22">
            <v>0.10244940066918944</v>
          </cell>
          <cell r="BD22">
            <v>9.9684560441833076E-2</v>
          </cell>
          <cell r="BE22">
            <v>0.10005714168878979</v>
          </cell>
          <cell r="BF22">
            <v>0.10180842506135</v>
          </cell>
          <cell r="BG22">
            <v>0.10100686939587836</v>
          </cell>
          <cell r="BO22">
            <v>0.10480711345247536</v>
          </cell>
          <cell r="BP22">
            <v>0.10904628793633499</v>
          </cell>
          <cell r="BQ22">
            <v>0.107</v>
          </cell>
          <cell r="BR22">
            <v>0.107</v>
          </cell>
          <cell r="CA22">
            <v>0.104</v>
          </cell>
          <cell r="CB22">
            <v>0.104</v>
          </cell>
          <cell r="CC22">
            <v>0.104</v>
          </cell>
          <cell r="CD22">
            <v>0.104</v>
          </cell>
        </row>
        <row r="23">
          <cell r="B23">
            <v>2</v>
          </cell>
          <cell r="BQ23">
            <v>0</v>
          </cell>
          <cell r="BR23">
            <v>0</v>
          </cell>
          <cell r="CA23">
            <v>0</v>
          </cell>
          <cell r="CB23">
            <v>0</v>
          </cell>
          <cell r="CC23">
            <v>0</v>
          </cell>
          <cell r="CD23">
            <v>0</v>
          </cell>
        </row>
        <row r="24">
          <cell r="B24">
            <v>3</v>
          </cell>
          <cell r="BQ24">
            <v>0</v>
          </cell>
          <cell r="BR24">
            <v>0</v>
          </cell>
          <cell r="CA24">
            <v>0</v>
          </cell>
          <cell r="CB24">
            <v>0</v>
          </cell>
          <cell r="CC24">
            <v>0</v>
          </cell>
          <cell r="CD24">
            <v>0</v>
          </cell>
        </row>
        <row r="25">
          <cell r="B25" t="str">
            <v>Other operating expenses (% of revenue)</v>
          </cell>
        </row>
        <row r="26">
          <cell r="B26">
            <v>1</v>
          </cell>
          <cell r="C26">
            <v>0.21774046358824603</v>
          </cell>
          <cell r="D26">
            <v>0.21186304452660346</v>
          </cell>
          <cell r="E26">
            <v>0.20985991379310343</v>
          </cell>
          <cell r="F26">
            <v>0.19652226824873034</v>
          </cell>
          <cell r="G26">
            <v>0.16004699548295837</v>
          </cell>
          <cell r="H26">
            <v>0.19246737274702946</v>
          </cell>
          <cell r="I26">
            <v>0.19876281397997719</v>
          </cell>
          <cell r="J26">
            <v>0.22048211163229617</v>
          </cell>
          <cell r="K26">
            <v>0.1936047216869623</v>
          </cell>
          <cell r="M26">
            <v>0.18509578779916475</v>
          </cell>
          <cell r="N26">
            <v>0.19246632359618585</v>
          </cell>
          <cell r="O26">
            <v>0.19832850046868566</v>
          </cell>
          <cell r="P26">
            <v>0.19874237340460962</v>
          </cell>
          <cell r="Q26">
            <v>0.19399910729038708</v>
          </cell>
          <cell r="R26">
            <v>0.18585458239787281</v>
          </cell>
          <cell r="S26">
            <v>0.19473496479250901</v>
          </cell>
          <cell r="T26">
            <v>0.19888901958619098</v>
          </cell>
          <cell r="U26">
            <v>0.19317406000393716</v>
          </cell>
          <cell r="V26">
            <v>0.19322636356926709</v>
          </cell>
          <cell r="X26">
            <v>0.1835154886705066</v>
          </cell>
          <cell r="Y26">
            <v>0.20179915639806853</v>
          </cell>
          <cell r="Z26">
            <v>0.20758228857845204</v>
          </cell>
          <cell r="AA26">
            <v>0.21365611208706459</v>
          </cell>
          <cell r="AB26">
            <v>0.20196308245209887</v>
          </cell>
          <cell r="AD26">
            <v>0.19510918779208131</v>
          </cell>
          <cell r="AE26">
            <v>0.20707051497581747</v>
          </cell>
          <cell r="AF26">
            <v>0.21227293222059632</v>
          </cell>
          <cell r="AG26">
            <v>0.20538544360478572</v>
          </cell>
          <cell r="AH26">
            <v>0.20514290431464627</v>
          </cell>
          <cell r="AI26">
            <v>0.19665457163146785</v>
          </cell>
          <cell r="AJ26">
            <v>0.2044074433215472</v>
          </cell>
          <cell r="AK26">
            <v>0.20305343149683541</v>
          </cell>
          <cell r="AL26">
            <v>0.20227654177656074</v>
          </cell>
          <cell r="AM26">
            <v>0.20128510691670656</v>
          </cell>
          <cell r="AN26">
            <v>0.20001442185021245</v>
          </cell>
          <cell r="AO26">
            <v>0.20230149597238206</v>
          </cell>
          <cell r="AP26">
            <v>0</v>
          </cell>
          <cell r="AQ26">
            <v>0</v>
          </cell>
          <cell r="AR26">
            <v>0.21283097866274167</v>
          </cell>
          <cell r="AS26">
            <v>0.20591873196206878</v>
          </cell>
          <cell r="AT26">
            <v>0.20418797997401283</v>
          </cell>
          <cell r="AV26">
            <v>0.19219087157145437</v>
          </cell>
          <cell r="AW26">
            <v>0.2004557078904641</v>
          </cell>
          <cell r="AX26">
            <v>0.19981522883908279</v>
          </cell>
          <cell r="AY26">
            <v>0.19911018587360596</v>
          </cell>
          <cell r="AZ26">
            <v>0.19792808319132751</v>
          </cell>
          <cell r="BC26">
            <v>0.19604894177127108</v>
          </cell>
          <cell r="BD26">
            <v>0.20620691006380631</v>
          </cell>
          <cell r="BE26">
            <v>0.20887600899201417</v>
          </cell>
          <cell r="BF26">
            <v>0.20780392436384371</v>
          </cell>
          <cell r="BG26">
            <v>0.20482195210682871</v>
          </cell>
          <cell r="BO26">
            <v>0.20168582121683837</v>
          </cell>
          <cell r="BP26">
            <v>0.2065050412137365</v>
          </cell>
          <cell r="BQ26">
            <v>0.20699999999999999</v>
          </cell>
          <cell r="BR26">
            <v>0.20499999999999999</v>
          </cell>
          <cell r="CA26">
            <v>0.20300000000000001</v>
          </cell>
          <cell r="CB26">
            <v>0.20300000000000001</v>
          </cell>
          <cell r="CC26">
            <v>0.20300000000000001</v>
          </cell>
          <cell r="CD26">
            <v>0.20300000000000001</v>
          </cell>
        </row>
        <row r="27">
          <cell r="B27">
            <v>2</v>
          </cell>
          <cell r="BQ27">
            <v>0</v>
          </cell>
          <cell r="BR27">
            <v>0</v>
          </cell>
          <cell r="CA27">
            <v>0</v>
          </cell>
          <cell r="CB27">
            <v>0</v>
          </cell>
          <cell r="CC27">
            <v>0</v>
          </cell>
          <cell r="CD27">
            <v>0</v>
          </cell>
        </row>
        <row r="28">
          <cell r="B28">
            <v>3</v>
          </cell>
          <cell r="BQ28">
            <v>0</v>
          </cell>
          <cell r="BR28">
            <v>0</v>
          </cell>
          <cell r="CA28">
            <v>0</v>
          </cell>
          <cell r="CB28">
            <v>0</v>
          </cell>
          <cell r="CC28">
            <v>0</v>
          </cell>
          <cell r="CD28">
            <v>0</v>
          </cell>
        </row>
        <row r="29">
          <cell r="A29" t="str">
            <v>REVENUE &amp; EARNINGS</v>
          </cell>
          <cell r="AI29" t="str">
            <v>Not restated</v>
          </cell>
          <cell r="AK29" t="str">
            <v>First restatements</v>
          </cell>
          <cell r="AN29" t="str">
            <v>Restated</v>
          </cell>
          <cell r="BI29" t="str">
            <v>1Q05</v>
          </cell>
          <cell r="BJ29" t="str">
            <v>2Q05</v>
          </cell>
          <cell r="BK29" t="str">
            <v>3Q05</v>
          </cell>
          <cell r="BL29" t="str">
            <v>4Q05</v>
          </cell>
          <cell r="BM29" t="str">
            <v>2005/04</v>
          </cell>
          <cell r="BU29" t="str">
            <v>1Q06</v>
          </cell>
          <cell r="BV29" t="str">
            <v>2Q06</v>
          </cell>
          <cell r="BW29" t="str">
            <v>3Q06</v>
          </cell>
          <cell r="BX29" t="str">
            <v>4Q06</v>
          </cell>
          <cell r="BY29" t="str">
            <v>2006/05</v>
          </cell>
        </row>
        <row r="30">
          <cell r="A30" t="str">
            <v>($ mil)  FY ending Dec. 31</v>
          </cell>
          <cell r="C30">
            <v>1995</v>
          </cell>
          <cell r="D30">
            <v>1996</v>
          </cell>
          <cell r="E30">
            <v>1997</v>
          </cell>
          <cell r="F30">
            <v>1998</v>
          </cell>
          <cell r="G30" t="str">
            <v>1Q99</v>
          </cell>
          <cell r="H30" t="str">
            <v>2Q99</v>
          </cell>
          <cell r="I30" t="str">
            <v>3Q99</v>
          </cell>
          <cell r="J30" t="str">
            <v>4Q99</v>
          </cell>
          <cell r="K30">
            <v>1999</v>
          </cell>
          <cell r="M30" t="str">
            <v>1Q00</v>
          </cell>
          <cell r="N30" t="str">
            <v>2Q00</v>
          </cell>
          <cell r="O30" t="str">
            <v>3Q00</v>
          </cell>
          <cell r="P30" t="str">
            <v>4Q00</v>
          </cell>
          <cell r="Q30">
            <v>2000</v>
          </cell>
          <cell r="R30" t="str">
            <v>1Q01</v>
          </cell>
          <cell r="S30" t="str">
            <v>2Q01</v>
          </cell>
          <cell r="T30" t="str">
            <v>3Q01</v>
          </cell>
          <cell r="U30" t="str">
            <v>4Q01</v>
          </cell>
          <cell r="V30">
            <v>2001</v>
          </cell>
          <cell r="X30" t="str">
            <v>1Q02</v>
          </cell>
          <cell r="Y30" t="str">
            <v>2Q02</v>
          </cell>
          <cell r="Z30" t="str">
            <v>3Q02</v>
          </cell>
          <cell r="AA30" t="str">
            <v>4Q02</v>
          </cell>
          <cell r="AB30">
            <v>2002</v>
          </cell>
          <cell r="AD30" t="str">
            <v>1Q03</v>
          </cell>
          <cell r="AE30" t="str">
            <v>2Q03</v>
          </cell>
          <cell r="AF30" t="str">
            <v>3Q03</v>
          </cell>
          <cell r="AG30" t="str">
            <v>4Q03</v>
          </cell>
          <cell r="AH30">
            <v>2003</v>
          </cell>
          <cell r="AI30" t="str">
            <v>1Q04</v>
          </cell>
          <cell r="AJ30" t="str">
            <v>2Q04</v>
          </cell>
          <cell r="AK30" t="str">
            <v>3Q04</v>
          </cell>
          <cell r="AL30" t="str">
            <v>4Q04</v>
          </cell>
          <cell r="AM30">
            <v>2004</v>
          </cell>
          <cell r="AN30" t="str">
            <v>2002</v>
          </cell>
          <cell r="AO30">
            <v>2003</v>
          </cell>
          <cell r="AP30" t="str">
            <v>1Q03</v>
          </cell>
          <cell r="AQ30" t="str">
            <v>2Q03</v>
          </cell>
          <cell r="AR30" t="str">
            <v>3Q03</v>
          </cell>
          <cell r="AS30" t="str">
            <v>4Q03</v>
          </cell>
          <cell r="AT30">
            <v>2003</v>
          </cell>
          <cell r="AV30" t="str">
            <v>1Q04</v>
          </cell>
          <cell r="AW30" t="str">
            <v>2Q04</v>
          </cell>
          <cell r="AX30" t="str">
            <v>3Q04</v>
          </cell>
          <cell r="AY30" t="str">
            <v>4Q04</v>
          </cell>
          <cell r="AZ30">
            <v>2004</v>
          </cell>
          <cell r="BC30" t="str">
            <v>1Q05</v>
          </cell>
          <cell r="BD30" t="str">
            <v>2Q05</v>
          </cell>
          <cell r="BE30" t="str">
            <v>3Q05</v>
          </cell>
          <cell r="BF30" t="str">
            <v>4Q05</v>
          </cell>
          <cell r="BG30">
            <v>2005</v>
          </cell>
          <cell r="BI30" t="str">
            <v>% CHG</v>
          </cell>
          <cell r="BJ30" t="str">
            <v>% CHG</v>
          </cell>
          <cell r="BK30" t="str">
            <v>% CHG</v>
          </cell>
          <cell r="BL30" t="str">
            <v>% CHG</v>
          </cell>
          <cell r="BM30" t="str">
            <v>% CHG</v>
          </cell>
          <cell r="BO30" t="str">
            <v>1Q06</v>
          </cell>
          <cell r="BP30" t="str">
            <v>2Q06</v>
          </cell>
          <cell r="BQ30" t="str">
            <v>3Q06E</v>
          </cell>
          <cell r="BR30" t="str">
            <v>4Q06E</v>
          </cell>
          <cell r="BS30" t="str">
            <v>2006E</v>
          </cell>
          <cell r="BU30" t="str">
            <v>% CHG</v>
          </cell>
          <cell r="BV30" t="str">
            <v>% CHG</v>
          </cell>
          <cell r="BW30" t="str">
            <v>% CHG</v>
          </cell>
          <cell r="BX30" t="str">
            <v>% CHG</v>
          </cell>
          <cell r="BY30" t="str">
            <v>% CHG</v>
          </cell>
          <cell r="CA30" t="str">
            <v>2007E</v>
          </cell>
          <cell r="CB30" t="str">
            <v>2008E</v>
          </cell>
          <cell r="CC30" t="str">
            <v>2009E</v>
          </cell>
          <cell r="CD30" t="str">
            <v>2010E</v>
          </cell>
        </row>
        <row r="31">
          <cell r="A31" t="str">
            <v>Net Revenue</v>
          </cell>
          <cell r="C31">
            <v>547.9</v>
          </cell>
          <cell r="D31">
            <v>622.1</v>
          </cell>
          <cell r="E31">
            <v>742.4</v>
          </cell>
          <cell r="F31">
            <v>854.58</v>
          </cell>
          <cell r="G31">
            <v>263.00400000000002</v>
          </cell>
          <cell r="H31">
            <v>261.82100000000003</v>
          </cell>
          <cell r="I31">
            <v>266.89600000000002</v>
          </cell>
          <cell r="J31">
            <v>288.23200000000003</v>
          </cell>
          <cell r="K31">
            <v>1079.953</v>
          </cell>
          <cell r="L31">
            <v>0</v>
          </cell>
          <cell r="M31">
            <v>308.65100000000001</v>
          </cell>
          <cell r="N31">
            <v>317.13600000000002</v>
          </cell>
          <cell r="O31">
            <v>342.447</v>
          </cell>
          <cell r="P31">
            <v>369.267</v>
          </cell>
          <cell r="Q31">
            <v>1337.501</v>
          </cell>
          <cell r="R31">
            <v>398.64499999999998</v>
          </cell>
          <cell r="S31">
            <v>400.90899999999999</v>
          </cell>
          <cell r="T31">
            <v>416.56900000000002</v>
          </cell>
          <cell r="U31">
            <v>477.50200000000001</v>
          </cell>
          <cell r="V31">
            <v>1693.625</v>
          </cell>
          <cell r="W31">
            <v>0</v>
          </cell>
          <cell r="X31">
            <v>533.51900000000001</v>
          </cell>
          <cell r="Y31">
            <v>530.58199999999999</v>
          </cell>
          <cell r="Z31">
            <v>552.84100000000001</v>
          </cell>
          <cell r="AA31">
            <v>583.47500000000002</v>
          </cell>
          <cell r="AB31">
            <v>2200.4169999999999</v>
          </cell>
          <cell r="AC31">
            <v>0</v>
          </cell>
          <cell r="AD31">
            <v>659.27700000000004</v>
          </cell>
          <cell r="AE31">
            <v>657.29300000000001</v>
          </cell>
          <cell r="AF31">
            <v>723.02200000000005</v>
          </cell>
          <cell r="AG31">
            <v>795.03200000000004</v>
          </cell>
          <cell r="AH31">
            <v>2834.6240000000003</v>
          </cell>
          <cell r="AI31">
            <v>822.37599999999998</v>
          </cell>
          <cell r="AJ31">
            <v>813.66899999999998</v>
          </cell>
          <cell r="AK31">
            <v>844.03399999999999</v>
          </cell>
          <cell r="AL31">
            <v>871.673</v>
          </cell>
          <cell r="AM31">
            <v>3332.6410000000001</v>
          </cell>
          <cell r="AN31">
            <v>2163.384</v>
          </cell>
          <cell r="AO31">
            <v>2676.52</v>
          </cell>
          <cell r="AP31">
            <v>649.33699999999999</v>
          </cell>
          <cell r="AQ31">
            <v>648.88800000000003</v>
          </cell>
          <cell r="AR31">
            <v>712.697</v>
          </cell>
          <cell r="AS31">
            <v>785.84400000000005</v>
          </cell>
          <cell r="AT31">
            <v>2796.7660000000001</v>
          </cell>
          <cell r="AU31">
            <v>0</v>
          </cell>
          <cell r="AV31">
            <v>779.95900000000006</v>
          </cell>
          <cell r="AW31">
            <v>771.10799999999995</v>
          </cell>
          <cell r="AX31">
            <v>811.81500000000005</v>
          </cell>
          <cell r="AY31">
            <v>840.625</v>
          </cell>
          <cell r="AZ31">
            <v>3203.5070000000001</v>
          </cell>
          <cell r="BA31">
            <v>0</v>
          </cell>
          <cell r="BC31">
            <v>908.26300000000003</v>
          </cell>
          <cell r="BD31">
            <v>918.71799999999996</v>
          </cell>
          <cell r="BE31">
            <v>929.26900000000001</v>
          </cell>
          <cell r="BF31">
            <v>982.07</v>
          </cell>
          <cell r="BG31">
            <v>3738.32</v>
          </cell>
          <cell r="BH31">
            <v>0</v>
          </cell>
          <cell r="BO31">
            <v>1026.5619999999999</v>
          </cell>
          <cell r="BP31">
            <v>1061.0540000000001</v>
          </cell>
          <cell r="BQ31">
            <v>1114.7858163254537</v>
          </cell>
          <cell r="BR31">
            <v>1124.0622105724831</v>
          </cell>
          <cell r="BS31">
            <v>4326.4640268979365</v>
          </cell>
          <cell r="BT31">
            <v>0</v>
          </cell>
          <cell r="CA31">
            <v>4738.6819990098702</v>
          </cell>
          <cell r="CB31">
            <v>5141.8963151404741</v>
          </cell>
          <cell r="CC31">
            <v>5536.6411001305023</v>
          </cell>
          <cell r="CD31">
            <v>5924.1187250510684</v>
          </cell>
          <cell r="CF31" t="str">
            <v>mstag:revenueGross</v>
          </cell>
          <cell r="CG31">
            <v>6</v>
          </cell>
          <cell r="CH31" t="str">
            <v>ISO4217:USD</v>
          </cell>
          <cell r="CI31" t="b">
            <v>0</v>
          </cell>
          <cell r="CJ31" t="b">
            <v>0</v>
          </cell>
        </row>
        <row r="32">
          <cell r="A32" t="str">
            <v>% Change</v>
          </cell>
          <cell r="C32" t="str">
            <v>N/A</v>
          </cell>
          <cell r="D32">
            <v>0.1354261726592445</v>
          </cell>
          <cell r="E32">
            <v>0.19337727053528364</v>
          </cell>
          <cell r="F32">
            <v>0.15110452586206913</v>
          </cell>
          <cell r="G32" t="str">
            <v>N/A</v>
          </cell>
          <cell r="H32" t="str">
            <v>N/A</v>
          </cell>
          <cell r="I32" t="str">
            <v>N/A</v>
          </cell>
          <cell r="J32" t="str">
            <v>N/A</v>
          </cell>
          <cell r="K32">
            <v>0.26372370053125493</v>
          </cell>
          <cell r="M32">
            <v>0.17356009794527827</v>
          </cell>
          <cell r="N32">
            <v>0.21127029535445963</v>
          </cell>
          <cell r="O32">
            <v>0.28307280738564833</v>
          </cell>
          <cell r="P32">
            <v>0.28114504982097732</v>
          </cell>
          <cell r="Q32">
            <v>0.23848074869924885</v>
          </cell>
          <cell r="R32">
            <v>0.29157203443371316</v>
          </cell>
          <cell r="S32">
            <v>0.26415481055446222</v>
          </cell>
          <cell r="T32">
            <v>0.21644809269755605</v>
          </cell>
          <cell r="U32">
            <v>0.29310769714055152</v>
          </cell>
          <cell r="V32">
            <v>0.26626073550599227</v>
          </cell>
          <cell r="X32">
            <v>0.33833109658969773</v>
          </cell>
          <cell r="Y32">
            <v>0.32344746563434601</v>
          </cell>
          <cell r="Z32">
            <v>0.32712947914991264</v>
          </cell>
          <cell r="AA32">
            <v>0.22193205473484934</v>
          </cell>
          <cell r="AB32">
            <v>0.29923507269909222</v>
          </cell>
          <cell r="AD32">
            <v>0.23571419199691124</v>
          </cell>
          <cell r="AE32">
            <v>0.23881511246141041</v>
          </cell>
          <cell r="AF32">
            <v>0.30782991854800934</v>
          </cell>
          <cell r="AG32">
            <v>0.36258108745019069</v>
          </cell>
          <cell r="AH32">
            <v>0.28822127805775022</v>
          </cell>
          <cell r="AI32">
            <v>1.0629281691730736</v>
          </cell>
          <cell r="AJ32">
            <v>1.0295603241633389</v>
          </cell>
          <cell r="AK32">
            <v>0.2841061748717848</v>
          </cell>
          <cell r="AL32">
            <v>0.20559678681976479</v>
          </cell>
          <cell r="AM32">
            <v>3.1918325300113706</v>
          </cell>
          <cell r="AN32">
            <v>0.30522558656851762</v>
          </cell>
          <cell r="AO32">
            <v>0.2371913631606779</v>
          </cell>
          <cell r="AP32" t="str">
            <v>N/A</v>
          </cell>
          <cell r="AQ32" t="str">
            <v>N/A</v>
          </cell>
          <cell r="AR32" t="str">
            <v>N/A</v>
          </cell>
          <cell r="AS32" t="str">
            <v>N/A</v>
          </cell>
          <cell r="AT32">
            <v>0.29277372856598749</v>
          </cell>
          <cell r="AV32">
            <v>0.18305204034116151</v>
          </cell>
          <cell r="AW32">
            <v>0.17315717647989537</v>
          </cell>
          <cell r="AX32">
            <v>0.13907452956866662</v>
          </cell>
          <cell r="AY32">
            <v>6.9709764278915287E-2</v>
          </cell>
          <cell r="AZ32">
            <v>0.14543261753039038</v>
          </cell>
          <cell r="BC32">
            <v>0.16450095453735392</v>
          </cell>
          <cell r="BD32">
            <v>0.19142584436940102</v>
          </cell>
          <cell r="BE32">
            <v>0.14468074622912841</v>
          </cell>
          <cell r="BF32">
            <v>0.16826171003717483</v>
          </cell>
          <cell r="BG32">
            <v>0.16694610000852195</v>
          </cell>
          <cell r="BI32">
            <v>0.16450095453735392</v>
          </cell>
          <cell r="BJ32">
            <v>0.19142584436940102</v>
          </cell>
          <cell r="BK32">
            <v>0.14468074622912841</v>
          </cell>
          <cell r="BL32">
            <v>0.16826171003717483</v>
          </cell>
          <cell r="BM32">
            <v>0.16694610000852195</v>
          </cell>
          <cell r="BO32">
            <v>0.13024751641319732</v>
          </cell>
          <cell r="BP32">
            <v>0.15492893357918325</v>
          </cell>
          <cell r="BQ32">
            <v>0.1996373669254583</v>
          </cell>
          <cell r="BR32">
            <v>0.14458461267779588</v>
          </cell>
          <cell r="BS32">
            <v>0.15732843279813835</v>
          </cell>
          <cell r="BU32">
            <v>0.13024751641319732</v>
          </cell>
          <cell r="BV32">
            <v>0.15492893357918325</v>
          </cell>
          <cell r="BW32">
            <v>0.1996373669254583</v>
          </cell>
          <cell r="BX32">
            <v>0.14458461267779588</v>
          </cell>
          <cell r="BY32">
            <v>0.15732843279813835</v>
          </cell>
          <cell r="CA32">
            <v>9.5278261774313977E-2</v>
          </cell>
          <cell r="CB32">
            <v>8.508997147621522E-2</v>
          </cell>
          <cell r="CC32">
            <v>7.6770273221513641E-2</v>
          </cell>
          <cell r="CD32">
            <v>6.9984240970835776E-2</v>
          </cell>
        </row>
        <row r="34">
          <cell r="A34" t="str">
            <v>Salaries and benefits</v>
          </cell>
          <cell r="C34">
            <v>217.45</v>
          </cell>
          <cell r="D34">
            <v>243.5</v>
          </cell>
          <cell r="E34">
            <v>296.8</v>
          </cell>
          <cell r="F34">
            <v>328.26400000000001</v>
          </cell>
          <cell r="G34">
            <v>101.49400000000001</v>
          </cell>
          <cell r="H34">
            <v>102.741</v>
          </cell>
          <cell r="I34">
            <v>104.974</v>
          </cell>
          <cell r="J34">
            <v>110.111</v>
          </cell>
          <cell r="K34">
            <v>419.32</v>
          </cell>
          <cell r="L34">
            <v>0</v>
          </cell>
          <cell r="M34">
            <v>120.407</v>
          </cell>
          <cell r="N34">
            <v>123.815</v>
          </cell>
          <cell r="O34">
            <v>132.43100000000001</v>
          </cell>
          <cell r="P34">
            <v>140.739</v>
          </cell>
          <cell r="Q34">
            <v>517.39200000000005</v>
          </cell>
          <cell r="R34">
            <v>153.73400000000001</v>
          </cell>
          <cell r="S34">
            <v>156.047</v>
          </cell>
          <cell r="T34">
            <v>163.32</v>
          </cell>
          <cell r="U34">
            <v>192.947</v>
          </cell>
          <cell r="V34">
            <v>666.048</v>
          </cell>
          <cell r="W34">
            <v>0</v>
          </cell>
          <cell r="X34">
            <v>217.16399999999999</v>
          </cell>
          <cell r="Y34">
            <v>214.215</v>
          </cell>
          <cell r="Z34">
            <v>221.459</v>
          </cell>
          <cell r="AA34">
            <v>233.89599999999999</v>
          </cell>
          <cell r="AB34">
            <v>886.73399999999992</v>
          </cell>
          <cell r="AC34">
            <v>0</v>
          </cell>
          <cell r="AD34">
            <v>268.77199999999999</v>
          </cell>
          <cell r="AE34">
            <v>263.30700000000002</v>
          </cell>
          <cell r="AF34">
            <v>288.32799999999997</v>
          </cell>
          <cell r="AG34">
            <v>318.23500000000001</v>
          </cell>
          <cell r="AH34">
            <v>1138.6419999999998</v>
          </cell>
          <cell r="AI34">
            <v>330.428</v>
          </cell>
          <cell r="AJ34">
            <v>327.40300000000002</v>
          </cell>
          <cell r="AK34">
            <v>338.44200000000001</v>
          </cell>
          <cell r="AL34">
            <v>347.90499999999997</v>
          </cell>
          <cell r="AM34">
            <v>1335.4570000000001</v>
          </cell>
          <cell r="AN34">
            <v>870.048</v>
          </cell>
          <cell r="AO34">
            <v>1070.2829999999999</v>
          </cell>
          <cell r="AR34">
            <v>284.06099999999998</v>
          </cell>
          <cell r="AS34">
            <v>313.96300000000002</v>
          </cell>
          <cell r="AT34">
            <v>1121.6500000000001</v>
          </cell>
          <cell r="AU34">
            <v>0</v>
          </cell>
          <cell r="AV34">
            <v>311.86699999999996</v>
          </cell>
          <cell r="AW34">
            <v>309.06200000000001</v>
          </cell>
          <cell r="AX34">
            <v>324.44299999999998</v>
          </cell>
          <cell r="AY34">
            <v>333.76400000000001</v>
          </cell>
          <cell r="AZ34">
            <v>1279.136</v>
          </cell>
          <cell r="BA34">
            <v>0</v>
          </cell>
          <cell r="BC34">
            <v>359.733</v>
          </cell>
          <cell r="BD34">
            <v>365.09699999999998</v>
          </cell>
          <cell r="BE34">
            <v>371.88099999999997</v>
          </cell>
          <cell r="BF34">
            <v>389.19600000000003</v>
          </cell>
          <cell r="BG34">
            <v>1485.9069999999997</v>
          </cell>
          <cell r="BH34">
            <v>0</v>
          </cell>
          <cell r="BI34">
            <v>0.15348209332824592</v>
          </cell>
          <cell r="BJ34">
            <v>0.18130666338792856</v>
          </cell>
          <cell r="BK34">
            <v>0.14621366464987684</v>
          </cell>
          <cell r="BL34">
            <v>0.16608142280174021</v>
          </cell>
          <cell r="BM34">
            <v>0.16164895679583702</v>
          </cell>
          <cell r="BO34">
            <v>403.96800000000002</v>
          </cell>
          <cell r="BP34">
            <v>416.947</v>
          </cell>
          <cell r="BQ34">
            <v>443.68475489753058</v>
          </cell>
          <cell r="BR34">
            <v>447.37675980784832</v>
          </cell>
          <cell r="BS34">
            <v>1711.976514705379</v>
          </cell>
          <cell r="BT34">
            <v>0</v>
          </cell>
          <cell r="BU34">
            <v>0.12296619993161606</v>
          </cell>
          <cell r="BV34">
            <v>0.14201705300235279</v>
          </cell>
          <cell r="BW34">
            <v>0.19308261217306244</v>
          </cell>
          <cell r="BX34">
            <v>0.14948961399358751</v>
          </cell>
          <cell r="BY34">
            <v>0.1521424387295971</v>
          </cell>
          <cell r="CA34">
            <v>1885.9954356059284</v>
          </cell>
          <cell r="CB34">
            <v>2046.4747334259089</v>
          </cell>
          <cell r="CC34">
            <v>2203.5831578519401</v>
          </cell>
          <cell r="CD34">
            <v>2357.7992525703253</v>
          </cell>
          <cell r="CF34" t="str">
            <v>mstag:employeeExpenses</v>
          </cell>
          <cell r="CG34">
            <v>6</v>
          </cell>
          <cell r="CH34" t="str">
            <v>ISO4217:USD</v>
          </cell>
          <cell r="CI34" t="b">
            <v>0</v>
          </cell>
          <cell r="CJ34" t="b">
            <v>0</v>
          </cell>
        </row>
        <row r="35">
          <cell r="A35" t="str">
            <v xml:space="preserve">% of Net Revenue </v>
          </cell>
          <cell r="C35">
            <v>0.39687899251688263</v>
          </cell>
          <cell r="D35">
            <v>0.39141617103359588</v>
          </cell>
          <cell r="E35">
            <v>0.39978448275862072</v>
          </cell>
          <cell r="F35">
            <v>0.38412319501977576</v>
          </cell>
          <cell r="G35">
            <v>0.38590287600188594</v>
          </cell>
          <cell r="H35">
            <v>0.39240931781637067</v>
          </cell>
          <cell r="I35">
            <v>0.39331424974521911</v>
          </cell>
          <cell r="J35">
            <v>0.38202212106913874</v>
          </cell>
          <cell r="K35">
            <v>0.38827615646236457</v>
          </cell>
          <cell r="M35">
            <v>0.39010727326332978</v>
          </cell>
          <cell r="N35">
            <v>0.39041609908682706</v>
          </cell>
          <cell r="O35">
            <v>0.3867196967705952</v>
          </cell>
          <cell r="P35">
            <v>0.38113072654745755</v>
          </cell>
          <cell r="Q35">
            <v>0.38683485096459747</v>
          </cell>
          <cell r="R35">
            <v>0.38564136010736372</v>
          </cell>
          <cell r="S35">
            <v>0.3892329680800381</v>
          </cell>
          <cell r="T35">
            <v>0.39205989884028813</v>
          </cell>
          <cell r="U35">
            <v>0.40407579444693426</v>
          </cell>
          <cell r="V35">
            <v>0.39326769503284376</v>
          </cell>
          <cell r="X35">
            <v>0.40704079892187528</v>
          </cell>
          <cell r="Y35">
            <v>0.40373589756154565</v>
          </cell>
          <cell r="Z35">
            <v>0.4005835312503957</v>
          </cell>
          <cell r="AA35">
            <v>0.40086721796135222</v>
          </cell>
          <cell r="AB35">
            <v>0.40298452520590411</v>
          </cell>
          <cell r="AD35">
            <v>0.40767689453750089</v>
          </cell>
          <cell r="AE35">
            <v>0.40059303841665744</v>
          </cell>
          <cell r="AF35">
            <v>0.39878177980752999</v>
          </cell>
          <cell r="AG35">
            <v>0.40027948560561083</v>
          </cell>
          <cell r="AH35">
            <v>0.40169066514641794</v>
          </cell>
          <cell r="AI35">
            <v>0.40179674504119772</v>
          </cell>
          <cell r="AJ35">
            <v>0.40237860850050822</v>
          </cell>
          <cell r="AK35">
            <v>0.40098147704950277</v>
          </cell>
          <cell r="AL35">
            <v>0.39912329508886929</v>
          </cell>
          <cell r="AM35">
            <v>0.40072032961246051</v>
          </cell>
          <cell r="AN35">
            <v>0.40216993377042631</v>
          </cell>
          <cell r="AO35">
            <v>0.39987857367028823</v>
          </cell>
          <cell r="AR35">
            <v>0.39857190362804945</v>
          </cell>
          <cell r="AS35">
            <v>0.39952331505998645</v>
          </cell>
          <cell r="AT35">
            <v>0.40105250135334886</v>
          </cell>
          <cell r="AV35">
            <v>0.39985050496244023</v>
          </cell>
          <cell r="AW35">
            <v>0.40080248162384519</v>
          </cell>
          <cell r="AX35">
            <v>0.39965139840973618</v>
          </cell>
          <cell r="AY35">
            <v>0.39704267657992565</v>
          </cell>
          <cell r="AZ35">
            <v>0.3992924004848436</v>
          </cell>
          <cell r="BC35">
            <v>0.39606699821527463</v>
          </cell>
          <cell r="BD35">
            <v>0.39739833115275852</v>
          </cell>
          <cell r="BE35">
            <v>0.40018659828316661</v>
          </cell>
          <cell r="BF35">
            <v>0.39630168928895088</v>
          </cell>
          <cell r="BG35">
            <v>0.39747988401206952</v>
          </cell>
          <cell r="BO35">
            <v>0.3935154428081305</v>
          </cell>
          <cell r="BP35">
            <v>0.39295549519628592</v>
          </cell>
          <cell r="BQ35">
            <v>0.39800000000000002</v>
          </cell>
          <cell r="BR35">
            <v>0.39800000000000002</v>
          </cell>
          <cell r="BS35">
            <v>0.39569877481053778</v>
          </cell>
          <cell r="CA35">
            <v>0.39800000000000002</v>
          </cell>
          <cell r="CB35">
            <v>0.39800000000000002</v>
          </cell>
          <cell r="CC35">
            <v>0.39800000000000002</v>
          </cell>
          <cell r="CD35">
            <v>0.39800000000000002</v>
          </cell>
        </row>
        <row r="36">
          <cell r="A36" t="str">
            <v>Options expense (SFAS 123-R)</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X36">
            <v>0</v>
          </cell>
          <cell r="Y36">
            <v>0</v>
          </cell>
          <cell r="Z36">
            <v>0</v>
          </cell>
          <cell r="AA36">
            <v>0</v>
          </cell>
          <cell r="AB36">
            <v>0</v>
          </cell>
          <cell r="AD36">
            <v>0</v>
          </cell>
          <cell r="AE36">
            <v>0</v>
          </cell>
          <cell r="AF36">
            <v>0</v>
          </cell>
          <cell r="AG36">
            <v>0</v>
          </cell>
          <cell r="AH36">
            <v>0</v>
          </cell>
          <cell r="AI36">
            <v>0</v>
          </cell>
          <cell r="AJ36">
            <v>0</v>
          </cell>
          <cell r="AK36">
            <v>0</v>
          </cell>
          <cell r="AL36">
            <v>0</v>
          </cell>
          <cell r="AM36">
            <v>0</v>
          </cell>
          <cell r="AN36">
            <v>0</v>
          </cell>
          <cell r="AO36">
            <v>0</v>
          </cell>
          <cell r="AR36">
            <v>0</v>
          </cell>
          <cell r="AS36">
            <v>0</v>
          </cell>
          <cell r="AT36">
            <v>0</v>
          </cell>
          <cell r="AV36">
            <v>0</v>
          </cell>
          <cell r="AW36">
            <v>0</v>
          </cell>
          <cell r="AX36">
            <v>0</v>
          </cell>
          <cell r="AY36">
            <v>0</v>
          </cell>
          <cell r="AZ36">
            <v>0</v>
          </cell>
          <cell r="BC36">
            <v>0.5</v>
          </cell>
          <cell r="BD36">
            <v>0</v>
          </cell>
          <cell r="BE36">
            <v>0</v>
          </cell>
          <cell r="BF36">
            <v>0</v>
          </cell>
          <cell r="BG36">
            <v>0</v>
          </cell>
          <cell r="BI36" t="str">
            <v>N/A</v>
          </cell>
          <cell r="BJ36" t="str">
            <v>N/A</v>
          </cell>
          <cell r="BK36" t="str">
            <v>N/A</v>
          </cell>
          <cell r="BL36" t="str">
            <v>N/A</v>
          </cell>
          <cell r="BM36" t="str">
            <v>N/A</v>
          </cell>
          <cell r="BO36">
            <v>3.7</v>
          </cell>
          <cell r="BP36">
            <v>3.2</v>
          </cell>
          <cell r="BQ36">
            <v>3.774029257649588</v>
          </cell>
          <cell r="BR36">
            <v>3.8054456290962575</v>
          </cell>
          <cell r="BS36">
            <v>14.663967386745846</v>
          </cell>
          <cell r="BU36" t="str">
            <v>N/A</v>
          </cell>
          <cell r="BV36" t="str">
            <v>N/A</v>
          </cell>
          <cell r="BW36" t="str">
            <v>N/A</v>
          </cell>
          <cell r="BX36" t="str">
            <v>N/A</v>
          </cell>
          <cell r="BY36" t="str">
            <v>N/A</v>
          </cell>
          <cell r="CA36">
            <v>15.95207186160092</v>
          </cell>
          <cell r="CB36">
            <v>17.309433201291078</v>
          </cell>
          <cell r="CC36">
            <v>18.638283117463732</v>
          </cell>
          <cell r="CD36">
            <v>0</v>
          </cell>
          <cell r="CF36" t="str">
            <v>mstag:stockCompensation</v>
          </cell>
          <cell r="CG36">
            <v>6</v>
          </cell>
          <cell r="CH36" t="str">
            <v>ISO4217:USD</v>
          </cell>
          <cell r="CI36" t="b">
            <v>0</v>
          </cell>
          <cell r="CJ36" t="b">
            <v>0</v>
          </cell>
        </row>
        <row r="37">
          <cell r="A37" t="str">
            <v xml:space="preserve">% of Net Revenue </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X37">
            <v>0</v>
          </cell>
          <cell r="Y37">
            <v>0</v>
          </cell>
          <cell r="Z37">
            <v>0</v>
          </cell>
          <cell r="AA37">
            <v>0</v>
          </cell>
          <cell r="AB37">
            <v>0</v>
          </cell>
          <cell r="AD37">
            <v>0</v>
          </cell>
          <cell r="AE37">
            <v>0</v>
          </cell>
          <cell r="AF37">
            <v>0</v>
          </cell>
          <cell r="AG37">
            <v>0</v>
          </cell>
          <cell r="AH37">
            <v>0</v>
          </cell>
          <cell r="AI37">
            <v>0</v>
          </cell>
          <cell r="AJ37">
            <v>0</v>
          </cell>
          <cell r="AK37">
            <v>0</v>
          </cell>
          <cell r="AL37">
            <v>0</v>
          </cell>
          <cell r="AM37">
            <v>0</v>
          </cell>
          <cell r="AN37">
            <v>0</v>
          </cell>
          <cell r="AO37">
            <v>0</v>
          </cell>
          <cell r="AR37">
            <v>0</v>
          </cell>
          <cell r="AS37">
            <v>0</v>
          </cell>
          <cell r="AT37">
            <v>0</v>
          </cell>
          <cell r="AV37">
            <v>0</v>
          </cell>
          <cell r="AW37">
            <v>0</v>
          </cell>
          <cell r="AX37">
            <v>0</v>
          </cell>
          <cell r="AY37">
            <v>0</v>
          </cell>
          <cell r="AZ37">
            <v>0</v>
          </cell>
          <cell r="BC37">
            <v>0</v>
          </cell>
          <cell r="BD37">
            <v>0</v>
          </cell>
          <cell r="BE37">
            <v>0</v>
          </cell>
          <cell r="BF37">
            <v>0</v>
          </cell>
          <cell r="BG37">
            <v>0</v>
          </cell>
          <cell r="BO37">
            <v>3.6042635515438916E-3</v>
          </cell>
          <cell r="BP37">
            <v>3.0158691263592616E-3</v>
          </cell>
          <cell r="BQ37">
            <v>3.3854299206008084E-3</v>
          </cell>
          <cell r="BR37">
            <v>3.3854404082832301E-3</v>
          </cell>
          <cell r="BS37">
            <v>3.3893653791130379E-3</v>
          </cell>
          <cell r="CA37">
            <v>3.3663520499864828E-3</v>
          </cell>
          <cell r="CB37">
            <v>3.3663520499864832E-3</v>
          </cell>
          <cell r="CC37">
            <v>3.3663520499864828E-3</v>
          </cell>
          <cell r="CD37">
            <v>0</v>
          </cell>
        </row>
        <row r="38">
          <cell r="A38" t="str">
            <v>Provision for bad debt</v>
          </cell>
          <cell r="C38">
            <v>38.479999999999997</v>
          </cell>
          <cell r="D38">
            <v>50.8</v>
          </cell>
          <cell r="E38">
            <v>57.4</v>
          </cell>
          <cell r="F38">
            <v>69.004999999999995</v>
          </cell>
          <cell r="G38">
            <v>22.555</v>
          </cell>
          <cell r="H38">
            <v>22.132000000000001</v>
          </cell>
          <cell r="I38">
            <v>24.568999999999999</v>
          </cell>
          <cell r="J38">
            <v>25.893000000000001</v>
          </cell>
          <cell r="K38">
            <v>95.149000000000001</v>
          </cell>
          <cell r="L38">
            <v>0</v>
          </cell>
          <cell r="M38">
            <v>27.954999999999998</v>
          </cell>
          <cell r="N38">
            <v>28.638999999999999</v>
          </cell>
          <cell r="O38">
            <v>31.192</v>
          </cell>
          <cell r="P38">
            <v>34.517000000000003</v>
          </cell>
          <cell r="Q38">
            <v>122.303</v>
          </cell>
          <cell r="R38">
            <v>36.972999999999999</v>
          </cell>
          <cell r="S38">
            <v>36.985999999999997</v>
          </cell>
          <cell r="T38">
            <v>38.384</v>
          </cell>
          <cell r="U38">
            <v>43.883000000000003</v>
          </cell>
          <cell r="V38">
            <v>156.226</v>
          </cell>
          <cell r="W38">
            <v>0</v>
          </cell>
          <cell r="X38">
            <v>49.896999999999998</v>
          </cell>
          <cell r="Y38">
            <v>47.722000000000001</v>
          </cell>
          <cell r="Z38">
            <v>52.350999999999999</v>
          </cell>
          <cell r="AA38">
            <v>51.363999999999997</v>
          </cell>
          <cell r="AB38">
            <v>201.334</v>
          </cell>
          <cell r="AC38">
            <v>0</v>
          </cell>
          <cell r="AD38">
            <v>62.341000000000001</v>
          </cell>
          <cell r="AE38">
            <v>62.078000000000003</v>
          </cell>
          <cell r="AF38">
            <v>70.69</v>
          </cell>
          <cell r="AG38">
            <v>81.409000000000006</v>
          </cell>
          <cell r="AH38">
            <v>276.51800000000003</v>
          </cell>
          <cell r="AI38">
            <v>86.111000000000004</v>
          </cell>
          <cell r="AJ38">
            <v>81.721000000000004</v>
          </cell>
          <cell r="AK38">
            <v>88.400999999999996</v>
          </cell>
          <cell r="AL38">
            <v>89.975999999999999</v>
          </cell>
          <cell r="AM38">
            <v>343.79300000000001</v>
          </cell>
          <cell r="AN38">
            <v>196.238</v>
          </cell>
          <cell r="AO38">
            <v>255.80799999999999</v>
          </cell>
          <cell r="AR38">
            <v>69.563000000000002</v>
          </cell>
          <cell r="AS38">
            <v>80.328000000000003</v>
          </cell>
          <cell r="AT38">
            <v>272.42399999999998</v>
          </cell>
          <cell r="AU38">
            <v>0</v>
          </cell>
          <cell r="AV38">
            <v>79.921000000000006</v>
          </cell>
          <cell r="AW38">
            <v>76.296000000000006</v>
          </cell>
          <cell r="AX38">
            <v>83.52</v>
          </cell>
          <cell r="AY38">
            <v>84.906000000000006</v>
          </cell>
          <cell r="AZ38">
            <v>324.64300000000003</v>
          </cell>
          <cell r="BA38">
            <v>0</v>
          </cell>
          <cell r="BC38">
            <v>93.051000000000002</v>
          </cell>
          <cell r="BD38">
            <v>91.581999999999994</v>
          </cell>
          <cell r="BE38">
            <v>92.98</v>
          </cell>
          <cell r="BF38">
            <v>99.983000000000004</v>
          </cell>
          <cell r="BG38">
            <v>377.596</v>
          </cell>
          <cell r="BH38">
            <v>0</v>
          </cell>
          <cell r="BI38">
            <v>0.16428723364322262</v>
          </cell>
          <cell r="BJ38">
            <v>0.20035126350005217</v>
          </cell>
          <cell r="BK38">
            <v>0.11326628352490431</v>
          </cell>
          <cell r="BL38">
            <v>0.17757284526417449</v>
          </cell>
          <cell r="BM38">
            <v>0.16311147937888681</v>
          </cell>
          <cell r="BO38">
            <v>107.59099999999999</v>
          </cell>
          <cell r="BP38">
            <v>115.70399999999999</v>
          </cell>
          <cell r="BQ38">
            <v>119.28208234682354</v>
          </cell>
          <cell r="BR38">
            <v>120.27465653125569</v>
          </cell>
          <cell r="BS38">
            <v>462.85173887807923</v>
          </cell>
          <cell r="BT38">
            <v>0</v>
          </cell>
          <cell r="BU38">
            <v>0.15625839593341273</v>
          </cell>
          <cell r="BV38">
            <v>0.26339236967963142</v>
          </cell>
          <cell r="BW38">
            <v>0.28287892392797964</v>
          </cell>
          <cell r="BX38">
            <v>0.20295106699394583</v>
          </cell>
          <cell r="BY38">
            <v>0.2257855985711692</v>
          </cell>
          <cell r="CA38">
            <v>492.82292789702649</v>
          </cell>
          <cell r="CB38">
            <v>534.75721677460933</v>
          </cell>
          <cell r="CC38">
            <v>575.8106744135722</v>
          </cell>
          <cell r="CD38">
            <v>616.10834740531106</v>
          </cell>
          <cell r="CF38" t="str">
            <v>mstag:changeInAllowanceForDoubtfulAccountsRecurring</v>
          </cell>
          <cell r="CG38">
            <v>6</v>
          </cell>
          <cell r="CH38" t="str">
            <v>ISO4217:USD</v>
          </cell>
          <cell r="CI38" t="b">
            <v>0</v>
          </cell>
          <cell r="CJ38" t="b">
            <v>0</v>
          </cell>
        </row>
        <row r="39">
          <cell r="A39" t="str">
            <v>% of Net Revenue</v>
          </cell>
          <cell r="C39">
            <v>7.023179412301514E-2</v>
          </cell>
          <cell r="D39">
            <v>8.1658897283394941E-2</v>
          </cell>
          <cell r="E39">
            <v>7.7316810344827583E-2</v>
          </cell>
          <cell r="F39">
            <v>8.0747267663647634E-2</v>
          </cell>
          <cell r="G39">
            <v>8.575915195206156E-2</v>
          </cell>
          <cell r="H39">
            <v>8.4531034561780752E-2</v>
          </cell>
          <cell r="I39">
            <v>9.2054583058569617E-2</v>
          </cell>
          <cell r="J39">
            <v>8.983388381581503E-2</v>
          </cell>
          <cell r="K39">
            <v>8.8104760114560546E-2</v>
          </cell>
          <cell r="M39">
            <v>9.0571551687828641E-2</v>
          </cell>
          <cell r="N39">
            <v>9.0305105695979007E-2</v>
          </cell>
          <cell r="O39">
            <v>9.1085627848981013E-2</v>
          </cell>
          <cell r="P39">
            <v>9.3474369494160062E-2</v>
          </cell>
          <cell r="Q39">
            <v>9.1441426959680772E-2</v>
          </cell>
          <cell r="R39">
            <v>9.2746679376387517E-2</v>
          </cell>
          <cell r="S39">
            <v>9.2255349717766374E-2</v>
          </cell>
          <cell r="T39">
            <v>9.2143198365696913E-2</v>
          </cell>
          <cell r="U39">
            <v>9.1901185754195799E-2</v>
          </cell>
          <cell r="V39">
            <v>9.2243560410362385E-2</v>
          </cell>
          <cell r="X39">
            <v>9.3524316847197572E-2</v>
          </cell>
          <cell r="Y39">
            <v>8.9942742120916283E-2</v>
          </cell>
          <cell r="Z39">
            <v>9.4694496247564847E-2</v>
          </cell>
          <cell r="AA39">
            <v>8.8031192424696855E-2</v>
          </cell>
          <cell r="AB39">
            <v>9.1498111494321313E-2</v>
          </cell>
          <cell r="AD39">
            <v>9.4559646400526637E-2</v>
          </cell>
          <cell r="AE39">
            <v>9.4444943122777819E-2</v>
          </cell>
          <cell r="AF39">
            <v>9.7770192331630285E-2</v>
          </cell>
          <cell r="AG39">
            <v>0.10239713621590074</v>
          </cell>
          <cell r="AH39">
            <v>9.7550151272267502E-2</v>
          </cell>
          <cell r="AI39">
            <v>0.1047100109925387</v>
          </cell>
          <cell r="AJ39">
            <v>0.10043518924771622</v>
          </cell>
          <cell r="AK39">
            <v>0.10473630209209581</v>
          </cell>
          <cell r="AL39">
            <v>0.10322219456149268</v>
          </cell>
          <cell r="AM39">
            <v>0.10315932619205009</v>
          </cell>
          <cell r="AN39">
            <v>9.0708815448390115E-2</v>
          </cell>
          <cell r="AO39">
            <v>9.5574850925829055E-2</v>
          </cell>
          <cell r="AR39">
            <v>9.7605293694234721E-2</v>
          </cell>
          <cell r="AS39">
            <v>0.10221876097546077</v>
          </cell>
          <cell r="AT39">
            <v>9.7406790557379483E-2</v>
          </cell>
          <cell r="AV39">
            <v>0.10246820666214507</v>
          </cell>
          <cell r="AW39">
            <v>9.8943338676294387E-2</v>
          </cell>
          <cell r="AX39">
            <v>0.1028805823986992</v>
          </cell>
          <cell r="AY39">
            <v>0.10100342007434945</v>
          </cell>
          <cell r="AZ39">
            <v>0.10133987533038012</v>
          </cell>
          <cell r="BC39">
            <v>0.10244940066918944</v>
          </cell>
          <cell r="BD39">
            <v>9.9684560441833076E-2</v>
          </cell>
          <cell r="BE39">
            <v>0.10005714168878979</v>
          </cell>
          <cell r="BF39">
            <v>0.10180842506135</v>
          </cell>
          <cell r="BG39">
            <v>0.10100686939587836</v>
          </cell>
          <cell r="BO39">
            <v>0.10480711345247536</v>
          </cell>
          <cell r="BP39">
            <v>0.10904628793633499</v>
          </cell>
          <cell r="BQ39">
            <v>0.107</v>
          </cell>
          <cell r="BR39">
            <v>0.107</v>
          </cell>
          <cell r="BS39">
            <v>0.10698152948932357</v>
          </cell>
          <cell r="CA39">
            <v>0.104</v>
          </cell>
          <cell r="CB39">
            <v>0.104</v>
          </cell>
          <cell r="CC39">
            <v>0.104</v>
          </cell>
          <cell r="CD39">
            <v>0.104</v>
          </cell>
        </row>
        <row r="40">
          <cell r="A40" t="str">
            <v>Supplies</v>
          </cell>
          <cell r="C40">
            <v>61.65</v>
          </cell>
          <cell r="D40">
            <v>70.7</v>
          </cell>
          <cell r="E40">
            <v>90.4</v>
          </cell>
          <cell r="F40">
            <v>100.633</v>
          </cell>
          <cell r="G40">
            <v>32.015999999999991</v>
          </cell>
          <cell r="H40">
            <v>30.143999999999998</v>
          </cell>
          <cell r="I40">
            <v>30.853000000000002</v>
          </cell>
          <cell r="J40">
            <v>33.950000000000003</v>
          </cell>
          <cell r="K40">
            <v>126.693</v>
          </cell>
          <cell r="L40">
            <v>-0.26999999999998892</v>
          </cell>
          <cell r="M40">
            <v>35.978999999999999</v>
          </cell>
          <cell r="N40">
            <v>36.430999999999997</v>
          </cell>
          <cell r="O40">
            <v>40.006</v>
          </cell>
          <cell r="P40">
            <v>41.795000000000002</v>
          </cell>
          <cell r="Q40">
            <v>154.21100000000001</v>
          </cell>
          <cell r="R40">
            <v>46.759</v>
          </cell>
          <cell r="S40">
            <v>46.128999999999998</v>
          </cell>
          <cell r="T40">
            <v>48.142000000000003</v>
          </cell>
          <cell r="U40">
            <v>54.978000000000002</v>
          </cell>
          <cell r="V40">
            <v>196.00800000000001</v>
          </cell>
          <cell r="W40">
            <v>0</v>
          </cell>
          <cell r="X40">
            <v>64</v>
          </cell>
          <cell r="Y40">
            <v>61.905000000000001</v>
          </cell>
          <cell r="Z40">
            <v>62.96</v>
          </cell>
          <cell r="AA40">
            <v>65.822000000000003</v>
          </cell>
          <cell r="AB40">
            <v>254.68700000000001</v>
          </cell>
          <cell r="AC40">
            <v>0</v>
          </cell>
          <cell r="AD40">
            <v>76.819999999999993</v>
          </cell>
          <cell r="AE40">
            <v>76.152000000000001</v>
          </cell>
          <cell r="AF40">
            <v>84.228999999999999</v>
          </cell>
          <cell r="AG40">
            <v>95.177000000000007</v>
          </cell>
          <cell r="AH40">
            <v>332.37799999999999</v>
          </cell>
          <cell r="AI40">
            <v>99.391999999999996</v>
          </cell>
          <cell r="AJ40">
            <v>96.644999999999996</v>
          </cell>
          <cell r="AK40">
            <v>103.839</v>
          </cell>
          <cell r="AL40">
            <v>106.292</v>
          </cell>
          <cell r="AM40">
            <v>404.06299999999999</v>
          </cell>
          <cell r="AN40">
            <v>251.114</v>
          </cell>
          <cell r="AO40">
            <v>314.81799999999998</v>
          </cell>
          <cell r="AR40">
            <v>83.174000000000007</v>
          </cell>
          <cell r="AS40">
            <v>94.225999999999999</v>
          </cell>
          <cell r="AT40">
            <v>328.49599999999998</v>
          </cell>
          <cell r="AU40">
            <v>0</v>
          </cell>
          <cell r="AV40">
            <v>94.399999999999991</v>
          </cell>
          <cell r="AW40">
            <v>92.241</v>
          </cell>
          <cell r="AX40">
            <v>100.13500000000001</v>
          </cell>
          <cell r="AY40">
            <v>102.80800000000001</v>
          </cell>
          <cell r="AZ40">
            <v>389.584</v>
          </cell>
          <cell r="BA40">
            <v>0</v>
          </cell>
          <cell r="BC40">
            <v>112.65600000000001</v>
          </cell>
          <cell r="BD40">
            <v>110.429</v>
          </cell>
          <cell r="BE40">
            <v>110.48099999999999</v>
          </cell>
          <cell r="BF40">
            <v>114.64400000000001</v>
          </cell>
          <cell r="BG40">
            <v>448.21000000000004</v>
          </cell>
          <cell r="BH40">
            <v>0</v>
          </cell>
          <cell r="BI40">
            <v>0.19338983050847469</v>
          </cell>
          <cell r="BJ40">
            <v>0.19717912858707076</v>
          </cell>
          <cell r="BK40">
            <v>0.10332051730164271</v>
          </cell>
          <cell r="BL40">
            <v>0.11512722745311654</v>
          </cell>
          <cell r="BM40">
            <v>0.15048359275534939</v>
          </cell>
          <cell r="BO40">
            <v>122.82</v>
          </cell>
          <cell r="BP40">
            <v>125.7</v>
          </cell>
          <cell r="BQ40">
            <v>129.31515469375262</v>
          </cell>
          <cell r="BR40">
            <v>132.639340847553</v>
          </cell>
          <cell r="BS40">
            <v>510.4744955413056</v>
          </cell>
          <cell r="BT40">
            <v>0</v>
          </cell>
          <cell r="BU40">
            <v>9.0221559437579701E-2</v>
          </cell>
          <cell r="BV40">
            <v>0.13828794972335157</v>
          </cell>
          <cell r="BW40">
            <v>0.17047415115497344</v>
          </cell>
          <cell r="BX40">
            <v>0.15696714043083793</v>
          </cell>
          <cell r="BY40">
            <v>0.13891813110217432</v>
          </cell>
          <cell r="CA40">
            <v>568.64183988118441</v>
          </cell>
          <cell r="CB40">
            <v>617.02755781685687</v>
          </cell>
          <cell r="CC40">
            <v>664.39693201566024</v>
          </cell>
          <cell r="CD40">
            <v>710.89424700612813</v>
          </cell>
          <cell r="CF40" t="str">
            <v>mstag:costOfMaterials</v>
          </cell>
          <cell r="CG40">
            <v>6</v>
          </cell>
          <cell r="CH40" t="str">
            <v>ISO4217:USD</v>
          </cell>
          <cell r="CI40" t="b">
            <v>0</v>
          </cell>
          <cell r="CJ40" t="b">
            <v>0</v>
          </cell>
        </row>
        <row r="41">
          <cell r="A41" t="str">
            <v>% of Net Revenue</v>
          </cell>
          <cell r="C41">
            <v>0.11252053294396788</v>
          </cell>
          <cell r="D41">
            <v>0.11364732358141778</v>
          </cell>
          <cell r="E41">
            <v>0.12176724137931036</v>
          </cell>
          <cell r="F41">
            <v>0.11775726087668795</v>
          </cell>
          <cell r="G41">
            <v>0.12173198886708943</v>
          </cell>
          <cell r="H41">
            <v>0.11513209406426526</v>
          </cell>
          <cell r="I41">
            <v>0.11559933457226784</v>
          </cell>
          <cell r="J41">
            <v>0.1177870604235477</v>
          </cell>
          <cell r="K41">
            <v>0.11731343864038528</v>
          </cell>
          <cell r="M41">
            <v>0.11656855153555309</v>
          </cell>
          <cell r="N41">
            <v>0.11487500630644265</v>
          </cell>
          <cell r="O41">
            <v>0.11682391727771013</v>
          </cell>
          <cell r="P41">
            <v>0.11318368551752526</v>
          </cell>
          <cell r="Q41">
            <v>0.11529785772122789</v>
          </cell>
          <cell r="R41">
            <v>0.11729483625782339</v>
          </cell>
          <cell r="S41">
            <v>0.11506102382336141</v>
          </cell>
          <cell r="T41">
            <v>0.11556788911320814</v>
          </cell>
          <cell r="U41">
            <v>0.11513669052695068</v>
          </cell>
          <cell r="V41">
            <v>0.11573282161045097</v>
          </cell>
          <cell r="X41">
            <v>0.11995823953786088</v>
          </cell>
          <cell r="Y41">
            <v>0.11667376578926537</v>
          </cell>
          <cell r="Z41">
            <v>0.11388446225949234</v>
          </cell>
          <cell r="AA41">
            <v>0.11281031749432281</v>
          </cell>
          <cell r="AB41">
            <v>0.1157448792660664</v>
          </cell>
          <cell r="AD41">
            <v>0.11652158349221949</v>
          </cell>
          <cell r="AE41">
            <v>0.11585700745329708</v>
          </cell>
          <cell r="AF41">
            <v>0.11649576361438517</v>
          </cell>
          <cell r="AG41">
            <v>0.1197146781513197</v>
          </cell>
          <cell r="AH41">
            <v>0.11725646858278203</v>
          </cell>
          <cell r="AI41">
            <v>0.12085955815831201</v>
          </cell>
          <cell r="AJ41">
            <v>0.11877679990266311</v>
          </cell>
          <cell r="AK41">
            <v>0.12302703445595793</v>
          </cell>
          <cell r="AL41">
            <v>0.12194022299646771</v>
          </cell>
          <cell r="AM41">
            <v>0.12124408239591362</v>
          </cell>
          <cell r="AN41">
            <v>0.11607463122589425</v>
          </cell>
          <cell r="AO41">
            <v>0.11762213620671617</v>
          </cell>
          <cell r="AR41">
            <v>0.1167031711933683</v>
          </cell>
          <cell r="AS41">
            <v>0.11990420490580826</v>
          </cell>
          <cell r="AT41">
            <v>0.11745566128878854</v>
          </cell>
          <cell r="AV41">
            <v>0.12103200296425835</v>
          </cell>
          <cell r="AW41">
            <v>0.11962137599402418</v>
          </cell>
          <cell r="AX41">
            <v>0.12334706798962818</v>
          </cell>
          <cell r="AY41">
            <v>0.12229947955390336</v>
          </cell>
          <cell r="AZ41">
            <v>0.1216117211543474</v>
          </cell>
          <cell r="BC41">
            <v>0.12403455827221851</v>
          </cell>
          <cell r="BD41">
            <v>0.12019901645553914</v>
          </cell>
          <cell r="BE41">
            <v>0.11889022446675827</v>
          </cell>
          <cell r="BF41">
            <v>0.11673709613367683</v>
          </cell>
          <cell r="BG41">
            <v>0.11989610306233817</v>
          </cell>
          <cell r="BO41">
            <v>0.11964206740557318</v>
          </cell>
          <cell r="BP41">
            <v>0.11846710911979974</v>
          </cell>
          <cell r="BQ41">
            <v>0.11600000000000001</v>
          </cell>
          <cell r="BR41">
            <v>0.11799999999999999</v>
          </cell>
          <cell r="BS41">
            <v>0.11798884547927571</v>
          </cell>
          <cell r="CA41">
            <v>0.12</v>
          </cell>
          <cell r="CB41">
            <v>0.12</v>
          </cell>
          <cell r="CC41">
            <v>0.12</v>
          </cell>
          <cell r="CD41">
            <v>0.12</v>
          </cell>
        </row>
        <row r="42">
          <cell r="A42" t="str">
            <v>Other operating expenses</v>
          </cell>
          <cell r="C42">
            <v>119.3</v>
          </cell>
          <cell r="D42">
            <v>131.80000000000001</v>
          </cell>
          <cell r="E42">
            <v>155.79999999999998</v>
          </cell>
          <cell r="F42">
            <v>167.94399999999999</v>
          </cell>
          <cell r="G42">
            <v>42.092999999999982</v>
          </cell>
          <cell r="H42">
            <v>50.392000000000003</v>
          </cell>
          <cell r="I42">
            <v>53.048999999999999</v>
          </cell>
          <cell r="J42">
            <v>63.55</v>
          </cell>
          <cell r="K42">
            <v>209.084</v>
          </cell>
          <cell r="L42">
            <v>0</v>
          </cell>
          <cell r="M42">
            <v>57.13</v>
          </cell>
          <cell r="N42">
            <v>61.037999999999997</v>
          </cell>
          <cell r="O42">
            <v>67.917000000000002</v>
          </cell>
          <cell r="P42">
            <v>73.388999999999982</v>
          </cell>
          <cell r="Q42">
            <v>259.47399999999999</v>
          </cell>
          <cell r="R42">
            <v>74.09</v>
          </cell>
          <cell r="S42">
            <v>78.070999999999998</v>
          </cell>
          <cell r="T42">
            <v>82.850999999999999</v>
          </cell>
          <cell r="U42">
            <v>92.241</v>
          </cell>
          <cell r="V42">
            <v>327.25299999999999</v>
          </cell>
          <cell r="W42">
            <v>0</v>
          </cell>
          <cell r="X42">
            <v>97.909000000000006</v>
          </cell>
          <cell r="Y42">
            <v>107.071</v>
          </cell>
          <cell r="Z42">
            <v>114.76</v>
          </cell>
          <cell r="AA42">
            <v>124.66300000000001</v>
          </cell>
          <cell r="AB42">
            <v>444.40300000000002</v>
          </cell>
          <cell r="AC42">
            <v>0</v>
          </cell>
          <cell r="AD42">
            <v>128.631</v>
          </cell>
          <cell r="AE42">
            <v>136.10599999999999</v>
          </cell>
          <cell r="AF42">
            <v>153.47800000000001</v>
          </cell>
          <cell r="AG42">
            <v>163.28800000000001</v>
          </cell>
          <cell r="AH42">
            <v>581.50299999999993</v>
          </cell>
          <cell r="AI42">
            <v>161.72399999999999</v>
          </cell>
          <cell r="AJ42">
            <v>166.32</v>
          </cell>
          <cell r="AK42">
            <v>171.38399999999999</v>
          </cell>
          <cell r="AL42">
            <v>176.31900000000002</v>
          </cell>
          <cell r="AM42">
            <v>670.81099999999992</v>
          </cell>
          <cell r="AN42">
            <v>432.70800000000003</v>
          </cell>
          <cell r="AO42">
            <v>541.46400000000006</v>
          </cell>
          <cell r="AR42">
            <v>151.684</v>
          </cell>
          <cell r="AS42">
            <v>161.82</v>
          </cell>
          <cell r="AT42">
            <v>571.06600000000003</v>
          </cell>
          <cell r="AU42">
            <v>0</v>
          </cell>
          <cell r="AV42">
            <v>149.90099999999998</v>
          </cell>
          <cell r="AW42">
            <v>154.57299999999998</v>
          </cell>
          <cell r="AX42">
            <v>162.21299999999999</v>
          </cell>
          <cell r="AY42">
            <v>167.37700000000001</v>
          </cell>
          <cell r="AZ42">
            <v>634.06400000000008</v>
          </cell>
          <cell r="BA42">
            <v>0</v>
          </cell>
          <cell r="BC42">
            <v>178.06399999999999</v>
          </cell>
          <cell r="BD42">
            <v>189.446</v>
          </cell>
          <cell r="BE42">
            <v>194.102</v>
          </cell>
          <cell r="BF42">
            <v>204.078</v>
          </cell>
          <cell r="BG42">
            <v>765.68999999999994</v>
          </cell>
          <cell r="BH42">
            <v>0</v>
          </cell>
          <cell r="BI42">
            <v>0.18787733237269943</v>
          </cell>
          <cell r="BJ42">
            <v>0.22560861211207661</v>
          </cell>
          <cell r="BK42">
            <v>0.19658720324511614</v>
          </cell>
          <cell r="BL42">
            <v>0.2192714650161014</v>
          </cell>
          <cell r="BM42">
            <v>0.2075910318201315</v>
          </cell>
          <cell r="BO42">
            <v>207.04300000000001</v>
          </cell>
          <cell r="BP42">
            <v>219.113</v>
          </cell>
          <cell r="BQ42">
            <v>230.7606639793689</v>
          </cell>
          <cell r="BR42">
            <v>230.43275316735901</v>
          </cell>
          <cell r="BS42">
            <v>887.34941714672789</v>
          </cell>
          <cell r="BT42">
            <v>0</v>
          </cell>
          <cell r="BU42">
            <v>0.16274485578219067</v>
          </cell>
          <cell r="BV42">
            <v>0.15659871414545568</v>
          </cell>
          <cell r="BW42">
            <v>0.18886288641729032</v>
          </cell>
          <cell r="BX42">
            <v>0.12914058922254723</v>
          </cell>
          <cell r="BY42">
            <v>0.1588886065466808</v>
          </cell>
          <cell r="CA42">
            <v>961.95244579900373</v>
          </cell>
          <cell r="CB42">
            <v>1043.8049519735164</v>
          </cell>
          <cell r="CC42">
            <v>1123.9381433264921</v>
          </cell>
          <cell r="CD42">
            <v>1202.5961011853669</v>
          </cell>
          <cell r="CF42" t="str">
            <v>mstag:sellingGeneralAndAdministrativeExpenses</v>
          </cell>
          <cell r="CG42">
            <v>6</v>
          </cell>
          <cell r="CH42" t="str">
            <v>ISO4217:USD</v>
          </cell>
          <cell r="CI42" t="b">
            <v>0</v>
          </cell>
          <cell r="CJ42" t="b">
            <v>0</v>
          </cell>
        </row>
        <row r="43">
          <cell r="A43" t="str">
            <v>% of Net Revenue</v>
          </cell>
          <cell r="C43">
            <v>0.21774046358824603</v>
          </cell>
          <cell r="D43">
            <v>0.21186304452660346</v>
          </cell>
          <cell r="E43">
            <v>0.20985991379310343</v>
          </cell>
          <cell r="F43">
            <v>0.19652226824873034</v>
          </cell>
          <cell r="G43">
            <v>0.16004699548295837</v>
          </cell>
          <cell r="H43">
            <v>0.19246737274702946</v>
          </cell>
          <cell r="I43">
            <v>0.19876281397997719</v>
          </cell>
          <cell r="J43">
            <v>0.22048211163229617</v>
          </cell>
          <cell r="K43">
            <v>0.1936047216869623</v>
          </cell>
          <cell r="M43">
            <v>0.18509578779916475</v>
          </cell>
          <cell r="N43">
            <v>0.19246632359618585</v>
          </cell>
          <cell r="O43">
            <v>0.19832850046868566</v>
          </cell>
          <cell r="P43">
            <v>0.19874237340460962</v>
          </cell>
          <cell r="Q43">
            <v>0.19399910729038708</v>
          </cell>
          <cell r="R43">
            <v>0.18585458239787281</v>
          </cell>
          <cell r="S43">
            <v>0.19473496479250901</v>
          </cell>
          <cell r="T43">
            <v>0.19888901958619098</v>
          </cell>
          <cell r="U43">
            <v>0.19317406000393716</v>
          </cell>
          <cell r="V43">
            <v>0.19322636356926709</v>
          </cell>
          <cell r="X43">
            <v>0.1835154886705066</v>
          </cell>
          <cell r="Y43">
            <v>0.20179915639806853</v>
          </cell>
          <cell r="Z43">
            <v>0.20758228857845204</v>
          </cell>
          <cell r="AA43">
            <v>0.21365611208706459</v>
          </cell>
          <cell r="AB43">
            <v>0.20196308245209887</v>
          </cell>
          <cell r="AD43">
            <v>0.19510918779208131</v>
          </cell>
          <cell r="AE43">
            <v>0.20707051497581747</v>
          </cell>
          <cell r="AF43">
            <v>0.21227293222059632</v>
          </cell>
          <cell r="AG43">
            <v>0.20538544360478572</v>
          </cell>
          <cell r="AH43">
            <v>0.20514290431464627</v>
          </cell>
          <cell r="AI43">
            <v>0.19665457163146785</v>
          </cell>
          <cell r="AJ43">
            <v>0.2044074433215472</v>
          </cell>
          <cell r="AK43">
            <v>0.20305343149683541</v>
          </cell>
          <cell r="AL43">
            <v>0.20227654177656074</v>
          </cell>
          <cell r="AM43">
            <v>0.20128510691670656</v>
          </cell>
          <cell r="AN43">
            <v>0.20001442185021245</v>
          </cell>
          <cell r="AO43">
            <v>0.20230149597238206</v>
          </cell>
          <cell r="AR43">
            <v>0.21283097866274167</v>
          </cell>
          <cell r="AS43">
            <v>0.20591873196206878</v>
          </cell>
          <cell r="AT43">
            <v>0.20418797997401283</v>
          </cell>
          <cell r="AV43">
            <v>0.19219087157145437</v>
          </cell>
          <cell r="AW43">
            <v>0.2004557078904641</v>
          </cell>
          <cell r="AX43">
            <v>0.19981522883908279</v>
          </cell>
          <cell r="AY43">
            <v>0.19911018587360596</v>
          </cell>
          <cell r="AZ43">
            <v>0.19792808319132751</v>
          </cell>
          <cell r="BC43">
            <v>0.19604894177127108</v>
          </cell>
          <cell r="BD43">
            <v>0.20620691006380631</v>
          </cell>
          <cell r="BE43">
            <v>0.20887600899201417</v>
          </cell>
          <cell r="BF43">
            <v>0.20780392436384371</v>
          </cell>
          <cell r="BG43">
            <v>0.20482195210682871</v>
          </cell>
          <cell r="BO43">
            <v>0.20168582121683837</v>
          </cell>
          <cell r="BP43">
            <v>0.2065050412137365</v>
          </cell>
          <cell r="BQ43">
            <v>0.20699999999999999</v>
          </cell>
          <cell r="BR43">
            <v>0.20499999999999999</v>
          </cell>
          <cell r="BS43">
            <v>0.20509806891494139</v>
          </cell>
          <cell r="CA43">
            <v>0.20300000000000001</v>
          </cell>
          <cell r="CB43">
            <v>0.20300000000000001</v>
          </cell>
          <cell r="CC43">
            <v>0.20300000000000001</v>
          </cell>
          <cell r="CD43">
            <v>0.20300000000000001</v>
          </cell>
        </row>
        <row r="44">
          <cell r="A44" t="str">
            <v>EBITDAR</v>
          </cell>
          <cell r="C44">
            <v>111.01999999999997</v>
          </cell>
          <cell r="D44">
            <v>125.30000000000001</v>
          </cell>
          <cell r="E44">
            <v>141.99999999999997</v>
          </cell>
          <cell r="F44">
            <v>188.73400000000007</v>
          </cell>
          <cell r="G44">
            <v>64.846000000000004</v>
          </cell>
          <cell r="H44">
            <v>56.412000000000027</v>
          </cell>
          <cell r="I44">
            <v>53.451000000000029</v>
          </cell>
          <cell r="J44">
            <v>54.728000000000037</v>
          </cell>
          <cell r="K44">
            <v>229.70700000000005</v>
          </cell>
          <cell r="L44">
            <v>0.26999999999994628</v>
          </cell>
          <cell r="M44">
            <v>67.180000000000035</v>
          </cell>
          <cell r="N44">
            <v>67.213000000000036</v>
          </cell>
          <cell r="O44">
            <v>70.900999999999982</v>
          </cell>
          <cell r="P44">
            <v>78.827000000000027</v>
          </cell>
          <cell r="Q44">
            <v>284.12099999999992</v>
          </cell>
          <cell r="R44">
            <v>87.08899999999997</v>
          </cell>
          <cell r="S44">
            <v>83.676000000000016</v>
          </cell>
          <cell r="T44">
            <v>83.872000000000014</v>
          </cell>
          <cell r="U44">
            <v>93.452999999999989</v>
          </cell>
          <cell r="V44">
            <v>348.09</v>
          </cell>
          <cell r="W44">
            <v>0</v>
          </cell>
          <cell r="X44">
            <v>104.54900000000002</v>
          </cell>
          <cell r="Y44">
            <v>99.668999999999983</v>
          </cell>
          <cell r="Z44">
            <v>101.31099999999999</v>
          </cell>
          <cell r="AA44">
            <v>107.73000000000008</v>
          </cell>
          <cell r="AB44">
            <v>413.2589999999999</v>
          </cell>
          <cell r="AC44">
            <v>-1.8474111129762605E-13</v>
          </cell>
          <cell r="AD44">
            <v>122.71300000000005</v>
          </cell>
          <cell r="AE44">
            <v>119.65000000000003</v>
          </cell>
          <cell r="AF44">
            <v>126.29700000000008</v>
          </cell>
          <cell r="AG44">
            <v>136.923</v>
          </cell>
          <cell r="AH44">
            <v>505.58300000000054</v>
          </cell>
          <cell r="AI44">
            <v>144.721</v>
          </cell>
          <cell r="AJ44">
            <v>141.57999999999998</v>
          </cell>
          <cell r="AK44">
            <v>141.96799999999999</v>
          </cell>
          <cell r="AL44">
            <v>151.18099999999998</v>
          </cell>
          <cell r="AM44">
            <v>578.51700000000005</v>
          </cell>
          <cell r="AN44">
            <v>413.2759999999999</v>
          </cell>
          <cell r="AO44">
            <v>494.14700000000005</v>
          </cell>
          <cell r="AR44">
            <v>124.215</v>
          </cell>
          <cell r="AS44">
            <v>135.50700000000001</v>
          </cell>
          <cell r="AT44">
            <v>503.12999999999988</v>
          </cell>
          <cell r="AU44">
            <v>3.4106051316484809E-13</v>
          </cell>
          <cell r="AV44">
            <v>143.87000000000015</v>
          </cell>
          <cell r="AW44">
            <v>138.93599999999998</v>
          </cell>
          <cell r="AX44">
            <v>141.5040000000001</v>
          </cell>
          <cell r="AY44">
            <v>151.76999999999998</v>
          </cell>
          <cell r="AZ44">
            <v>576.07999999999993</v>
          </cell>
          <cell r="BA44">
            <v>-2.5579538487363607E-13</v>
          </cell>
          <cell r="BC44">
            <v>164.25899999999999</v>
          </cell>
          <cell r="BD44">
            <v>162.16400000000002</v>
          </cell>
          <cell r="BE44">
            <v>159.82500000000002</v>
          </cell>
          <cell r="BF44">
            <v>174.16900000000001</v>
          </cell>
          <cell r="BG44">
            <v>660.91700000000048</v>
          </cell>
          <cell r="BH44">
            <v>0.50000000000045475</v>
          </cell>
          <cell r="BI44">
            <v>0.14171821783554472</v>
          </cell>
          <cell r="BJ44">
            <v>0.16718489088501221</v>
          </cell>
          <cell r="BK44">
            <v>0.12947337177747564</v>
          </cell>
          <cell r="BL44">
            <v>0.14758516175792336</v>
          </cell>
          <cell r="BM44">
            <v>0.14726600472156748</v>
          </cell>
          <cell r="BO44">
            <v>181.43999999999977</v>
          </cell>
          <cell r="BP44">
            <v>180.3900000000001</v>
          </cell>
          <cell r="BQ44">
            <v>187.96913115032837</v>
          </cell>
          <cell r="BR44">
            <v>189.53325458937076</v>
          </cell>
          <cell r="BS44">
            <v>739.14789323969887</v>
          </cell>
          <cell r="BT44">
            <v>-0.18449250000014672</v>
          </cell>
          <cell r="BU44">
            <v>0.10459700838310093</v>
          </cell>
          <cell r="BV44">
            <v>0.1123923928862145</v>
          </cell>
          <cell r="BW44">
            <v>0.1760934218697221</v>
          </cell>
          <cell r="BX44">
            <v>8.8214634001290371E-2</v>
          </cell>
          <cell r="BY44">
            <v>0.11836719775659921</v>
          </cell>
          <cell r="CA44">
            <v>813.31727796512632</v>
          </cell>
          <cell r="CB44">
            <v>882.52242194829137</v>
          </cell>
          <cell r="CC44">
            <v>950.27390940537407</v>
          </cell>
          <cell r="CD44">
            <v>1036.7207768839371</v>
          </cell>
        </row>
        <row r="45">
          <cell r="A45" t="str">
            <v>EBITDAR Margin</v>
          </cell>
          <cell r="C45">
            <v>0.20262821682788826</v>
          </cell>
          <cell r="D45">
            <v>0.20141456357498796</v>
          </cell>
          <cell r="E45">
            <v>0.1912715517241379</v>
          </cell>
          <cell r="F45">
            <v>0.2208500081911583</v>
          </cell>
          <cell r="G45">
            <v>0.24655898769600462</v>
          </cell>
          <cell r="H45">
            <v>0.21546018081055385</v>
          </cell>
          <cell r="I45">
            <v>0.20026901864396629</v>
          </cell>
          <cell r="J45">
            <v>0.18987482305920242</v>
          </cell>
          <cell r="K45">
            <v>0.21270092309572736</v>
          </cell>
          <cell r="M45">
            <v>0.21765683571412384</v>
          </cell>
          <cell r="N45">
            <v>0.21193746531456545</v>
          </cell>
          <cell r="O45">
            <v>0.20704225763402798</v>
          </cell>
          <cell r="P45">
            <v>0.21346884503624755</v>
          </cell>
          <cell r="Q45">
            <v>0.21242675706410682</v>
          </cell>
          <cell r="R45">
            <v>0.21846254186055256</v>
          </cell>
          <cell r="S45">
            <v>0.20871569358632511</v>
          </cell>
          <cell r="T45">
            <v>0.20133999409461581</v>
          </cell>
          <cell r="U45">
            <v>0.1957122692679821</v>
          </cell>
          <cell r="V45">
            <v>0.20552955937707579</v>
          </cell>
          <cell r="X45">
            <v>0.19596115602255967</v>
          </cell>
          <cell r="Y45">
            <v>0.18784843813020416</v>
          </cell>
          <cell r="Z45">
            <v>0.18325522166409508</v>
          </cell>
          <cell r="AA45">
            <v>0.18463516003256364</v>
          </cell>
          <cell r="AB45">
            <v>0.18780940158160928</v>
          </cell>
          <cell r="AD45">
            <v>0.18613268777767167</v>
          </cell>
          <cell r="AE45">
            <v>0.18203449603145025</v>
          </cell>
          <cell r="AF45">
            <v>0.17467933202585822</v>
          </cell>
          <cell r="AG45">
            <v>0.17222325642238298</v>
          </cell>
          <cell r="AH45">
            <v>0.17835981068388629</v>
          </cell>
          <cell r="AI45">
            <v>0.17597911417648376</v>
          </cell>
          <cell r="AJ45">
            <v>0.17400195902756524</v>
          </cell>
          <cell r="AK45">
            <v>0.16820175490560807</v>
          </cell>
          <cell r="AL45">
            <v>0.17343774557660957</v>
          </cell>
          <cell r="AM45">
            <v>0.17359115488286919</v>
          </cell>
          <cell r="AN45">
            <v>0.19103219770507682</v>
          </cell>
          <cell r="AO45">
            <v>0.18462294322478445</v>
          </cell>
          <cell r="AR45">
            <v>0.17428865282160583</v>
          </cell>
          <cell r="AS45">
            <v>0.17243498709667568</v>
          </cell>
          <cell r="AT45">
            <v>0.17989706682647025</v>
          </cell>
          <cell r="AV45">
            <v>0.18445841383970202</v>
          </cell>
          <cell r="AW45">
            <v>0.18017709581537214</v>
          </cell>
          <cell r="AX45">
            <v>0.17430572236285372</v>
          </cell>
          <cell r="AY45">
            <v>0.18054423791821558</v>
          </cell>
          <cell r="AZ45">
            <v>0.17982791983910132</v>
          </cell>
          <cell r="BC45">
            <v>0.18084959973047451</v>
          </cell>
          <cell r="BD45">
            <v>0.17651118188606299</v>
          </cell>
          <cell r="BE45">
            <v>0.17199002656927112</v>
          </cell>
          <cell r="BF45">
            <v>0.17734886515217857</v>
          </cell>
          <cell r="BG45">
            <v>0.17679519142288527</v>
          </cell>
          <cell r="BO45">
            <v>0.17674529156543861</v>
          </cell>
          <cell r="BP45">
            <v>0.17001019740748358</v>
          </cell>
          <cell r="BQ45">
            <v>0.16861457007939912</v>
          </cell>
          <cell r="BR45">
            <v>0.1686145595917167</v>
          </cell>
          <cell r="BS45">
            <v>0.17084341592680849</v>
          </cell>
          <cell r="CA45">
            <v>0.17163364795001351</v>
          </cell>
          <cell r="CB45">
            <v>0.1716336479500134</v>
          </cell>
          <cell r="CC45">
            <v>0.17163364795001351</v>
          </cell>
          <cell r="CD45">
            <v>0.17500000000000002</v>
          </cell>
        </row>
        <row r="46">
          <cell r="A46" t="str">
            <v>Rent expense</v>
          </cell>
          <cell r="C46">
            <v>16.3</v>
          </cell>
          <cell r="D46">
            <v>17.7</v>
          </cell>
          <cell r="E46">
            <v>19.8</v>
          </cell>
          <cell r="F46">
            <v>22.344000000000001</v>
          </cell>
          <cell r="G46">
            <v>12.845999999999997</v>
          </cell>
          <cell r="H46">
            <v>6.4329999999999998</v>
          </cell>
          <cell r="I46">
            <v>6.2430000000000003</v>
          </cell>
          <cell r="J46">
            <v>0</v>
          </cell>
          <cell r="K46">
            <v>25.521999999999998</v>
          </cell>
          <cell r="L46">
            <v>1.7763568394002505E-15</v>
          </cell>
          <cell r="M46">
            <v>7.0990000000000002</v>
          </cell>
          <cell r="N46">
            <v>7.4379999999999997</v>
          </cell>
          <cell r="O46">
            <v>8.1319999999999997</v>
          </cell>
          <cell r="P46">
            <v>8.7160000000000029</v>
          </cell>
          <cell r="Q46">
            <v>31.385000000000002</v>
          </cell>
          <cell r="R46">
            <v>9.8409999999999993</v>
          </cell>
          <cell r="S46">
            <v>9.8460000000000001</v>
          </cell>
          <cell r="T46">
            <v>9.8460000000000001</v>
          </cell>
          <cell r="U46">
            <v>9.8460000000000001</v>
          </cell>
          <cell r="V46">
            <v>39.378999999999998</v>
          </cell>
          <cell r="W46">
            <v>0</v>
          </cell>
          <cell r="X46">
            <v>12.148999999999999</v>
          </cell>
          <cell r="Y46">
            <v>12.148999999999999</v>
          </cell>
          <cell r="Z46">
            <v>13.997</v>
          </cell>
          <cell r="AA46">
            <v>13</v>
          </cell>
          <cell r="AB46">
            <v>51.295000000000002</v>
          </cell>
          <cell r="AC46">
            <v>0</v>
          </cell>
          <cell r="AD46">
            <v>16.138999999999999</v>
          </cell>
          <cell r="AE46">
            <v>16.917000000000002</v>
          </cell>
          <cell r="AF46">
            <v>18.004000000000001</v>
          </cell>
          <cell r="AG46">
            <v>18</v>
          </cell>
          <cell r="AH46">
            <v>69.06</v>
          </cell>
          <cell r="AI46">
            <v>19.698</v>
          </cell>
          <cell r="AJ46">
            <v>20.11</v>
          </cell>
          <cell r="AK46">
            <v>20.951000000000001</v>
          </cell>
          <cell r="AL46">
            <v>21.2</v>
          </cell>
          <cell r="AM46">
            <v>81.388000000000005</v>
          </cell>
          <cell r="AN46">
            <v>53.698</v>
          </cell>
          <cell r="AO46">
            <v>65.08</v>
          </cell>
          <cell r="AR46">
            <v>16.917000000000002</v>
          </cell>
          <cell r="AS46">
            <v>16.917000000000002</v>
          </cell>
          <cell r="AT46">
            <v>69.155000000000001</v>
          </cell>
          <cell r="AU46">
            <v>0</v>
          </cell>
          <cell r="AV46">
            <v>19.698</v>
          </cell>
          <cell r="AW46">
            <v>20.11</v>
          </cell>
          <cell r="AX46">
            <v>20.951000000000001</v>
          </cell>
          <cell r="AY46">
            <v>21.2</v>
          </cell>
          <cell r="AZ46">
            <v>81.959000000000003</v>
          </cell>
          <cell r="BA46">
            <v>0</v>
          </cell>
          <cell r="BC46">
            <v>20.477</v>
          </cell>
          <cell r="BD46">
            <v>22.012</v>
          </cell>
          <cell r="BE46">
            <v>22.327999999999999</v>
          </cell>
          <cell r="BF46">
            <v>22.4</v>
          </cell>
          <cell r="BG46">
            <v>87.217000000000013</v>
          </cell>
          <cell r="BH46">
            <v>0</v>
          </cell>
          <cell r="BI46">
            <v>3.9547162148441561E-2</v>
          </cell>
          <cell r="BJ46">
            <v>9.4579811039283923E-2</v>
          </cell>
          <cell r="BK46">
            <v>6.5724786406376801E-2</v>
          </cell>
          <cell r="BL46">
            <v>5.6603773584905648E-2</v>
          </cell>
          <cell r="BM46">
            <v>6.4154028233629035E-2</v>
          </cell>
          <cell r="BO46">
            <v>22.981999999999999</v>
          </cell>
          <cell r="BP46">
            <v>23.646000000000001</v>
          </cell>
          <cell r="BQ46">
            <v>23.846</v>
          </cell>
          <cell r="BR46">
            <v>24.045999999999999</v>
          </cell>
          <cell r="BS46">
            <v>94.52000000000001</v>
          </cell>
          <cell r="BT46">
            <v>0</v>
          </cell>
          <cell r="BU46">
            <v>0.12233237290618737</v>
          </cell>
          <cell r="BV46">
            <v>7.4232236961657261E-2</v>
          </cell>
          <cell r="BW46">
            <v>6.7986384808312428E-2</v>
          </cell>
          <cell r="BX46">
            <v>7.3482142857142829E-2</v>
          </cell>
          <cell r="BY46">
            <v>8.3733675774218197E-2</v>
          </cell>
          <cell r="CA46">
            <v>103.52570130290816</v>
          </cell>
          <cell r="CB46">
            <v>112.33470027382778</v>
          </cell>
          <cell r="CC46">
            <v>120.95866590610638</v>
          </cell>
          <cell r="CD46">
            <v>129.42386632839015</v>
          </cell>
          <cell r="CF46" t="str">
            <v>mstag:sellingGeneralAndAdministrativeExpenses</v>
          </cell>
          <cell r="CG46">
            <v>6</v>
          </cell>
          <cell r="CH46" t="str">
            <v>ISO4217:USD</v>
          </cell>
          <cell r="CI46" t="b">
            <v>0</v>
          </cell>
          <cell r="CJ46" t="b">
            <v>0</v>
          </cell>
        </row>
        <row r="47">
          <cell r="A47" t="str">
            <v>% of Net Revenue</v>
          </cell>
          <cell r="C47">
            <v>2.9749954371235631E-2</v>
          </cell>
          <cell r="D47">
            <v>2.8452017360552962E-2</v>
          </cell>
          <cell r="E47">
            <v>2.6670258620689658E-2</v>
          </cell>
          <cell r="F47">
            <v>2.6146177069437618E-2</v>
          </cell>
          <cell r="G47">
            <v>4.8843363599032699E-2</v>
          </cell>
          <cell r="H47">
            <v>2.4570221639975399E-2</v>
          </cell>
          <cell r="I47">
            <v>2.3391133625082428E-2</v>
          </cell>
          <cell r="J47">
            <v>0</v>
          </cell>
          <cell r="K47">
            <v>2.3632509933302653E-2</v>
          </cell>
          <cell r="M47">
            <v>2.3000087477442161E-2</v>
          </cell>
          <cell r="N47">
            <v>2.345366025932092E-2</v>
          </cell>
          <cell r="O47">
            <v>2.3746740371502744E-2</v>
          </cell>
          <cell r="P47">
            <v>2.3603517238204343E-2</v>
          </cell>
          <cell r="Q47">
            <v>2.346540301652111E-2</v>
          </cell>
          <cell r="R47">
            <v>2.4686124245882929E-2</v>
          </cell>
          <cell r="S47">
            <v>2.4559189242446541E-2</v>
          </cell>
          <cell r="T47">
            <v>2.3635940264397973E-2</v>
          </cell>
          <cell r="U47">
            <v>2.0619808922266294E-2</v>
          </cell>
          <cell r="V47">
            <v>2.3251310059783009E-2</v>
          </cell>
          <cell r="X47">
            <v>2.2771447689772996E-2</v>
          </cell>
          <cell r="Y47">
            <v>2.2897497465047816E-2</v>
          </cell>
          <cell r="Z47">
            <v>2.5318310327924302E-2</v>
          </cell>
          <cell r="AA47">
            <v>2.2280303354899524E-2</v>
          </cell>
          <cell r="AB47">
            <v>2.3311490503845411E-2</v>
          </cell>
          <cell r="AD47">
            <v>2.1999999999999999E-2</v>
          </cell>
          <cell r="AE47">
            <v>2.5737380437643488E-2</v>
          </cell>
          <cell r="AF47">
            <v>2.4901040355618503E-2</v>
          </cell>
          <cell r="AG47">
            <v>2.2640598114289739E-2</v>
          </cell>
          <cell r="AH47">
            <v>2.4363019575082974E-2</v>
          </cell>
          <cell r="AI47">
            <v>2.3952547253324515E-2</v>
          </cell>
          <cell r="AJ47">
            <v>2.4715209747452588E-2</v>
          </cell>
          <cell r="AK47">
            <v>2.4822459758730098E-2</v>
          </cell>
          <cell r="AL47">
            <v>2.4321046998128884E-2</v>
          </cell>
          <cell r="AM47">
            <v>2.4421472339804979E-2</v>
          </cell>
          <cell r="AN47">
            <v>2.4821298484226564E-2</v>
          </cell>
          <cell r="AR47">
            <v>2.3736594934453212E-2</v>
          </cell>
          <cell r="AS47">
            <v>2.1527173332111717E-2</v>
          </cell>
          <cell r="AT47">
            <v>2.4726773709348584E-2</v>
          </cell>
          <cell r="AV47">
            <v>2.5255173669385185E-2</v>
          </cell>
          <cell r="AW47">
            <v>2.6079355939764598E-2</v>
          </cell>
          <cell r="AX47">
            <v>2.5807603949175612E-2</v>
          </cell>
          <cell r="AY47">
            <v>2.5219330855018585E-2</v>
          </cell>
          <cell r="AZ47">
            <v>2.5584148871845763E-2</v>
          </cell>
          <cell r="BC47">
            <v>2.2545231942730243E-2</v>
          </cell>
          <cell r="BD47">
            <v>2.3959473962630536E-2</v>
          </cell>
          <cell r="BE47">
            <v>2.402748827304042E-2</v>
          </cell>
          <cell r="BF47">
            <v>2.2808964737747815E-2</v>
          </cell>
          <cell r="BG47">
            <v>2.3330533501679903E-2</v>
          </cell>
          <cell r="BO47">
            <v>2.2387347281508572E-2</v>
          </cell>
          <cell r="BP47">
            <v>2.2285387925590969E-2</v>
          </cell>
          <cell r="BQ47">
            <v>2.1390656080107796E-2</v>
          </cell>
          <cell r="BR47">
            <v>2.1392054437764089E-2</v>
          </cell>
          <cell r="BS47">
            <v>2.1846939998197697E-2</v>
          </cell>
          <cell r="CA47">
            <v>2.1846939998197697E-2</v>
          </cell>
          <cell r="CB47">
            <v>2.1846939998197697E-2</v>
          </cell>
          <cell r="CC47">
            <v>2.1846939998197697E-2</v>
          </cell>
          <cell r="CD47">
            <v>2.1846939998197697E-2</v>
          </cell>
        </row>
        <row r="48">
          <cell r="A48" t="str">
            <v xml:space="preserve">EBITDA </v>
          </cell>
          <cell r="C48">
            <v>94.71999999999997</v>
          </cell>
          <cell r="D48">
            <v>107.60000000000001</v>
          </cell>
          <cell r="E48">
            <v>122.19999999999997</v>
          </cell>
          <cell r="F48">
            <v>166.39000000000007</v>
          </cell>
          <cell r="G48">
            <v>52.000000000000007</v>
          </cell>
          <cell r="H48">
            <v>49.979000000000028</v>
          </cell>
          <cell r="I48">
            <v>47.208000000000027</v>
          </cell>
          <cell r="J48">
            <v>54.728000000000037</v>
          </cell>
          <cell r="K48">
            <v>204.18500000000006</v>
          </cell>
          <cell r="L48">
            <v>0.2699999999999676</v>
          </cell>
          <cell r="M48">
            <v>60.081000000000031</v>
          </cell>
          <cell r="N48">
            <v>59.775000000000034</v>
          </cell>
          <cell r="O48">
            <v>62.768999999999984</v>
          </cell>
          <cell r="P48">
            <v>70.111000000000018</v>
          </cell>
          <cell r="Q48">
            <v>252.73599999999993</v>
          </cell>
          <cell r="R48">
            <v>77.247999999999976</v>
          </cell>
          <cell r="S48">
            <v>73.830000000000013</v>
          </cell>
          <cell r="T48">
            <v>74.02600000000001</v>
          </cell>
          <cell r="U48">
            <v>83.606999999999985</v>
          </cell>
          <cell r="V48">
            <v>308.71099999999996</v>
          </cell>
          <cell r="W48">
            <v>0</v>
          </cell>
          <cell r="X48">
            <v>92.40000000000002</v>
          </cell>
          <cell r="Y48">
            <v>87.519999999999982</v>
          </cell>
          <cell r="Z48">
            <v>87.313999999999993</v>
          </cell>
          <cell r="AA48">
            <v>94.730000000000075</v>
          </cell>
          <cell r="AB48">
            <v>361.96399999999988</v>
          </cell>
          <cell r="AC48">
            <v>-1.9895196601282805E-13</v>
          </cell>
          <cell r="AD48">
            <v>106.57400000000005</v>
          </cell>
          <cell r="AE48">
            <v>102.73300000000003</v>
          </cell>
          <cell r="AF48">
            <v>108.29300000000008</v>
          </cell>
          <cell r="AG48">
            <v>118.923</v>
          </cell>
          <cell r="AH48">
            <v>436.52300000000054</v>
          </cell>
          <cell r="AI48">
            <v>125.023</v>
          </cell>
          <cell r="AJ48">
            <v>121.46999999999998</v>
          </cell>
          <cell r="AK48">
            <v>121.017</v>
          </cell>
          <cell r="AL48">
            <v>129.98099999999999</v>
          </cell>
          <cell r="AM48">
            <v>497.12900000000002</v>
          </cell>
          <cell r="AN48">
            <v>359.57799999999992</v>
          </cell>
          <cell r="AO48">
            <v>429.06700000000006</v>
          </cell>
          <cell r="AR48">
            <v>107.298</v>
          </cell>
          <cell r="AS48">
            <v>118.59</v>
          </cell>
          <cell r="AT48">
            <v>433.97499999999991</v>
          </cell>
          <cell r="AU48">
            <v>3.5527136788005009E-13</v>
          </cell>
          <cell r="AV48">
            <v>124.17200000000014</v>
          </cell>
          <cell r="AW48">
            <v>118.82599999999998</v>
          </cell>
          <cell r="AX48">
            <v>120.55300000000011</v>
          </cell>
          <cell r="AY48">
            <v>130.57</v>
          </cell>
          <cell r="AZ48">
            <v>494.12099999999992</v>
          </cell>
          <cell r="BA48">
            <v>-2.8421709430404007E-13</v>
          </cell>
          <cell r="BC48">
            <v>143.78199999999998</v>
          </cell>
          <cell r="BD48">
            <v>140.15200000000002</v>
          </cell>
          <cell r="BE48">
            <v>137.49700000000001</v>
          </cell>
          <cell r="BF48">
            <v>151.76900000000001</v>
          </cell>
          <cell r="BG48">
            <v>573.7000000000005</v>
          </cell>
          <cell r="BH48">
            <v>0.50000000000051159</v>
          </cell>
          <cell r="BI48">
            <v>0.15792610250297834</v>
          </cell>
          <cell r="BJ48">
            <v>0.17947250601720199</v>
          </cell>
          <cell r="BK48">
            <v>0.14055228820518684</v>
          </cell>
          <cell r="BL48">
            <v>0.16235735620739833</v>
          </cell>
          <cell r="BM48">
            <v>0.16105164524478943</v>
          </cell>
          <cell r="BO48">
            <v>158.45799999999977</v>
          </cell>
          <cell r="BP48">
            <v>156.74400000000009</v>
          </cell>
          <cell r="BQ48">
            <v>164.12313115032836</v>
          </cell>
          <cell r="BR48">
            <v>165.48725458937076</v>
          </cell>
          <cell r="BS48">
            <v>644.62789323969889</v>
          </cell>
          <cell r="BT48">
            <v>-0.18449250000006145</v>
          </cell>
          <cell r="BU48">
            <v>0.1020711911087604</v>
          </cell>
          <cell r="BV48">
            <v>0.1183857526114509</v>
          </cell>
          <cell r="BW48">
            <v>0.19364881524926614</v>
          </cell>
          <cell r="BX48">
            <v>9.0389042488062454E-2</v>
          </cell>
          <cell r="BY48">
            <v>0.12363237448091047</v>
          </cell>
          <cell r="CA48">
            <v>709.79157666221818</v>
          </cell>
          <cell r="CB48">
            <v>770.18772167446355</v>
          </cell>
          <cell r="CC48">
            <v>829.31524349926769</v>
          </cell>
          <cell r="CD48">
            <v>907.2969105555469</v>
          </cell>
        </row>
        <row r="49">
          <cell r="A49" t="str">
            <v>EBITDA Margin</v>
          </cell>
          <cell r="C49">
            <v>0.17287826245665264</v>
          </cell>
          <cell r="D49">
            <v>0.17296254621443499</v>
          </cell>
          <cell r="E49">
            <v>0.16460129310344826</v>
          </cell>
          <cell r="F49">
            <v>0.19470383112172068</v>
          </cell>
          <cell r="G49">
            <v>0.19771562409697191</v>
          </cell>
          <cell r="H49">
            <v>0.19088995917057847</v>
          </cell>
          <cell r="I49">
            <v>0.17687788501888385</v>
          </cell>
          <cell r="J49">
            <v>0.18987482305920242</v>
          </cell>
          <cell r="K49">
            <v>0.18906841316242473</v>
          </cell>
          <cell r="M49">
            <v>0.19465674823668166</v>
          </cell>
          <cell r="N49">
            <v>0.18848380505524454</v>
          </cell>
          <cell r="O49">
            <v>0.18329551726252524</v>
          </cell>
          <cell r="P49">
            <v>0.18986532779804322</v>
          </cell>
          <cell r="Q49">
            <v>0.18896135404758571</v>
          </cell>
          <cell r="R49">
            <v>0.19377641761466965</v>
          </cell>
          <cell r="S49">
            <v>0.18415650434387856</v>
          </cell>
          <cell r="T49">
            <v>0.17770405383021781</v>
          </cell>
          <cell r="U49">
            <v>0.17509246034571579</v>
          </cell>
          <cell r="V49">
            <v>0.18227824931729275</v>
          </cell>
          <cell r="X49">
            <v>0.17318970833278668</v>
          </cell>
          <cell r="Y49">
            <v>0.16495094066515634</v>
          </cell>
          <cell r="Z49">
            <v>0.15793691133617077</v>
          </cell>
          <cell r="AA49">
            <v>0.16235485667766411</v>
          </cell>
          <cell r="AB49">
            <v>0.16449791107776385</v>
          </cell>
          <cell r="AD49">
            <v>0.16165284091512377</v>
          </cell>
          <cell r="AE49">
            <v>0.15629711559380677</v>
          </cell>
          <cell r="AF49">
            <v>0.14977829167023973</v>
          </cell>
          <cell r="AG49">
            <v>0.14958265830809325</v>
          </cell>
          <cell r="AH49">
            <v>0.15399679110880332</v>
          </cell>
          <cell r="AI49">
            <v>0.15202656692315925</v>
          </cell>
          <cell r="AJ49">
            <v>0.14928674928011265</v>
          </cell>
          <cell r="AK49">
            <v>0.14337929514687797</v>
          </cell>
          <cell r="AL49">
            <v>0.14911669857848067</v>
          </cell>
          <cell r="AM49">
            <v>0.1491696825430642</v>
          </cell>
          <cell r="AN49">
            <v>0.16621089922085025</v>
          </cell>
          <cell r="AO49">
            <v>0.16030778772435852</v>
          </cell>
          <cell r="AR49">
            <v>0.15055205788715262</v>
          </cell>
          <cell r="AS49">
            <v>0.15090781376456394</v>
          </cell>
          <cell r="AT49">
            <v>0.15517029311712166</v>
          </cell>
          <cell r="AV49">
            <v>0.15920324017031681</v>
          </cell>
          <cell r="AW49">
            <v>0.15409773987560754</v>
          </cell>
          <cell r="AX49">
            <v>0.14849811841367813</v>
          </cell>
          <cell r="AY49">
            <v>0.15532490706319702</v>
          </cell>
          <cell r="AZ49">
            <v>0.15424377096725556</v>
          </cell>
          <cell r="BC49">
            <v>0.15830436778774426</v>
          </cell>
          <cell r="BD49">
            <v>0.15255170792343245</v>
          </cell>
          <cell r="BE49">
            <v>0.14796253829623071</v>
          </cell>
          <cell r="BF49">
            <v>0.15453990041443075</v>
          </cell>
          <cell r="BG49">
            <v>0.15346465792120537</v>
          </cell>
          <cell r="BO49">
            <v>0.15435794428393004</v>
          </cell>
          <cell r="BP49">
            <v>0.14772480948189259</v>
          </cell>
          <cell r="BQ49">
            <v>0.14722391399929133</v>
          </cell>
          <cell r="BR49">
            <v>0.14722250515395263</v>
          </cell>
          <cell r="BS49">
            <v>0.14899647592861079</v>
          </cell>
          <cell r="CA49">
            <v>0.14978670795181581</v>
          </cell>
          <cell r="CB49">
            <v>0.1497867079518157</v>
          </cell>
          <cell r="CC49">
            <v>0.14978670795181581</v>
          </cell>
          <cell r="CD49">
            <v>0.15315306000180232</v>
          </cell>
        </row>
        <row r="51">
          <cell r="A51" t="str">
            <v>EBITDA (pre-SFAS 123-R)</v>
          </cell>
          <cell r="C51">
            <v>94.71999999999997</v>
          </cell>
          <cell r="D51">
            <v>107.60000000000001</v>
          </cell>
          <cell r="E51">
            <v>122.19999999999997</v>
          </cell>
          <cell r="F51">
            <v>166.39000000000007</v>
          </cell>
          <cell r="G51">
            <v>52.000000000000007</v>
          </cell>
          <cell r="H51">
            <v>49.979000000000028</v>
          </cell>
          <cell r="I51">
            <v>47.208000000000027</v>
          </cell>
          <cell r="J51">
            <v>54.728000000000037</v>
          </cell>
          <cell r="K51">
            <v>204.18500000000006</v>
          </cell>
          <cell r="M51">
            <v>60.081000000000031</v>
          </cell>
          <cell r="N51">
            <v>59.775000000000034</v>
          </cell>
          <cell r="O51">
            <v>62.768999999999984</v>
          </cell>
          <cell r="P51">
            <v>70.111000000000018</v>
          </cell>
          <cell r="Q51">
            <v>252.73599999999993</v>
          </cell>
          <cell r="R51">
            <v>77.247999999999976</v>
          </cell>
          <cell r="S51">
            <v>73.830000000000013</v>
          </cell>
          <cell r="T51">
            <v>74.02600000000001</v>
          </cell>
          <cell r="U51">
            <v>83.606999999999985</v>
          </cell>
          <cell r="V51">
            <v>308.71099999999996</v>
          </cell>
          <cell r="X51">
            <v>92.40000000000002</v>
          </cell>
          <cell r="Y51">
            <v>87.519999999999982</v>
          </cell>
          <cell r="Z51">
            <v>87.313999999999993</v>
          </cell>
          <cell r="AA51">
            <v>94.730000000000075</v>
          </cell>
          <cell r="AB51">
            <v>361.96399999999988</v>
          </cell>
          <cell r="AD51">
            <v>106.57400000000005</v>
          </cell>
          <cell r="AE51">
            <v>102.73300000000003</v>
          </cell>
          <cell r="AF51">
            <v>108.29300000000008</v>
          </cell>
          <cell r="AG51">
            <v>118.923</v>
          </cell>
          <cell r="AH51">
            <v>436.52300000000054</v>
          </cell>
          <cell r="AI51">
            <v>125.023</v>
          </cell>
          <cell r="AJ51">
            <v>121.46999999999998</v>
          </cell>
          <cell r="AK51">
            <v>121.017</v>
          </cell>
          <cell r="AL51">
            <v>129.98099999999999</v>
          </cell>
          <cell r="AM51">
            <v>497.12900000000002</v>
          </cell>
          <cell r="AN51">
            <v>359.57799999999992</v>
          </cell>
          <cell r="AO51">
            <v>429.06700000000006</v>
          </cell>
          <cell r="AR51">
            <v>107.298</v>
          </cell>
          <cell r="AS51">
            <v>118.59</v>
          </cell>
          <cell r="AT51">
            <v>433.97499999999991</v>
          </cell>
          <cell r="AV51">
            <v>124.17200000000014</v>
          </cell>
          <cell r="AW51">
            <v>118.82599999999998</v>
          </cell>
          <cell r="AX51">
            <v>120.55300000000011</v>
          </cell>
          <cell r="AY51">
            <v>130.57</v>
          </cell>
          <cell r="AZ51">
            <v>494.12099999999992</v>
          </cell>
          <cell r="BC51">
            <v>144.28199999999998</v>
          </cell>
          <cell r="BD51">
            <v>140.15200000000002</v>
          </cell>
          <cell r="BE51">
            <v>137.49700000000001</v>
          </cell>
          <cell r="BF51">
            <v>151.76900000000001</v>
          </cell>
          <cell r="BG51">
            <v>573.7000000000005</v>
          </cell>
          <cell r="BI51">
            <v>0.16195277518280959</v>
          </cell>
          <cell r="BJ51">
            <v>0.17947250601720199</v>
          </cell>
          <cell r="BK51">
            <v>0.14055228820518684</v>
          </cell>
          <cell r="BL51">
            <v>0.16235735620739833</v>
          </cell>
          <cell r="BM51">
            <v>0.16105164524478943</v>
          </cell>
          <cell r="BO51">
            <v>162.15799999999976</v>
          </cell>
          <cell r="BP51">
            <v>159.94400000000007</v>
          </cell>
          <cell r="BQ51">
            <v>167.89716040797796</v>
          </cell>
          <cell r="BR51">
            <v>169.29270021846702</v>
          </cell>
          <cell r="BS51">
            <v>659.29186062644476</v>
          </cell>
          <cell r="BU51">
            <v>0.12389625871556942</v>
          </cell>
          <cell r="BV51">
            <v>0.14121810605628204</v>
          </cell>
          <cell r="BW51">
            <v>0.22109689962674062</v>
          </cell>
          <cell r="BX51">
            <v>0.11546297477394596</v>
          </cell>
          <cell r="BY51">
            <v>0.14919271505393783</v>
          </cell>
          <cell r="CA51">
            <v>725.74364852381905</v>
          </cell>
          <cell r="CB51">
            <v>787.49715487575463</v>
          </cell>
          <cell r="CC51">
            <v>847.95352661673144</v>
          </cell>
          <cell r="CD51">
            <v>907.2969105555469</v>
          </cell>
        </row>
        <row r="52">
          <cell r="A52" t="str">
            <v>Adjusted EBITDA Margin</v>
          </cell>
          <cell r="C52">
            <v>0.17287826245665264</v>
          </cell>
          <cell r="D52">
            <v>0.17296254621443499</v>
          </cell>
          <cell r="E52">
            <v>0.16460129310344826</v>
          </cell>
          <cell r="F52">
            <v>0.19470383112172068</v>
          </cell>
          <cell r="G52">
            <v>0.19771562409697191</v>
          </cell>
          <cell r="H52">
            <v>0.19088995917057847</v>
          </cell>
          <cell r="I52">
            <v>0.17687788501888385</v>
          </cell>
          <cell r="J52">
            <v>0.18987482305920242</v>
          </cell>
          <cell r="K52">
            <v>0.18906841316242473</v>
          </cell>
          <cell r="M52">
            <v>0.19465674823668166</v>
          </cell>
          <cell r="N52">
            <v>0.18848380505524454</v>
          </cell>
          <cell r="O52">
            <v>0.18329551726252524</v>
          </cell>
          <cell r="P52">
            <v>0.18986532779804322</v>
          </cell>
          <cell r="Q52">
            <v>0.18896135404758571</v>
          </cell>
          <cell r="R52">
            <v>0.19377641761466965</v>
          </cell>
          <cell r="S52">
            <v>0.18415650434387856</v>
          </cell>
          <cell r="T52">
            <v>0.17770405383021781</v>
          </cell>
          <cell r="U52">
            <v>0.17509246034571579</v>
          </cell>
          <cell r="V52">
            <v>0.18227824931729275</v>
          </cell>
          <cell r="X52">
            <v>0.17318970833278668</v>
          </cell>
          <cell r="Y52">
            <v>0.16495094066515634</v>
          </cell>
          <cell r="Z52">
            <v>0.15793691133617077</v>
          </cell>
          <cell r="AA52">
            <v>0.16235485667766411</v>
          </cell>
          <cell r="AB52">
            <v>0.16449791107776385</v>
          </cell>
          <cell r="AD52">
            <v>0.16165284091512377</v>
          </cell>
          <cell r="AE52">
            <v>0.15629711559380677</v>
          </cell>
          <cell r="AF52">
            <v>0.14977829167023973</v>
          </cell>
          <cell r="AG52">
            <v>0.14958265830809325</v>
          </cell>
          <cell r="AH52">
            <v>0.15399679110880332</v>
          </cell>
          <cell r="AI52">
            <v>0.15202656692315925</v>
          </cell>
          <cell r="AJ52">
            <v>0.14928674928011265</v>
          </cell>
          <cell r="AK52">
            <v>0.14337929514687797</v>
          </cell>
          <cell r="AL52">
            <v>0.14911669857848067</v>
          </cell>
          <cell r="AM52">
            <v>0.1491696825430642</v>
          </cell>
          <cell r="AN52">
            <v>0.16621089922085025</v>
          </cell>
          <cell r="AO52">
            <v>0.16030778772435852</v>
          </cell>
          <cell r="AR52">
            <v>0.15055205788715262</v>
          </cell>
          <cell r="AS52">
            <v>0.15090781376456394</v>
          </cell>
          <cell r="AT52">
            <v>0.15517029311712166</v>
          </cell>
          <cell r="AV52">
            <v>0.15920324017031681</v>
          </cell>
          <cell r="AW52">
            <v>0.15409773987560754</v>
          </cell>
          <cell r="AX52">
            <v>0.14849811841367813</v>
          </cell>
          <cell r="AY52">
            <v>0.15532490706319702</v>
          </cell>
          <cell r="AZ52">
            <v>0.15424377096725556</v>
          </cell>
          <cell r="BC52">
            <v>0.15885486912931604</v>
          </cell>
          <cell r="BD52">
            <v>0.15255170792343245</v>
          </cell>
          <cell r="BE52">
            <v>0.14796253829623071</v>
          </cell>
          <cell r="BF52">
            <v>0.15453990041443075</v>
          </cell>
          <cell r="BG52">
            <v>0.15346465792120537</v>
          </cell>
          <cell r="BO52">
            <v>0.15796220783547391</v>
          </cell>
          <cell r="BP52">
            <v>0.15074067860825185</v>
          </cell>
          <cell r="BQ52">
            <v>0.15060934391989214</v>
          </cell>
          <cell r="BR52">
            <v>0.15060794556223583</v>
          </cell>
          <cell r="BS52">
            <v>0.15238584130772384</v>
          </cell>
          <cell r="CA52">
            <v>0.15315306000180229</v>
          </cell>
          <cell r="CB52">
            <v>0.1531530600018022</v>
          </cell>
          <cell r="CC52">
            <v>0.15315306000180229</v>
          </cell>
          <cell r="CD52">
            <v>0.15315306000180232</v>
          </cell>
        </row>
        <row r="54">
          <cell r="A54" t="str">
            <v>Depreciation</v>
          </cell>
          <cell r="C54">
            <v>35.94</v>
          </cell>
          <cell r="D54">
            <v>36.4</v>
          </cell>
          <cell r="E54">
            <v>43.8</v>
          </cell>
          <cell r="F54">
            <v>49.860999999999997</v>
          </cell>
          <cell r="G54">
            <v>13.032999999999996</v>
          </cell>
          <cell r="H54">
            <v>13.929</v>
          </cell>
          <cell r="I54">
            <v>14.369</v>
          </cell>
          <cell r="J54">
            <v>15.612</v>
          </cell>
          <cell r="K54">
            <v>56.942999999999998</v>
          </cell>
          <cell r="L54">
            <v>0</v>
          </cell>
          <cell r="M54">
            <v>16.38</v>
          </cell>
          <cell r="N54">
            <v>17.53</v>
          </cell>
          <cell r="O54">
            <v>18.655000000000001</v>
          </cell>
          <cell r="P54">
            <v>19.366</v>
          </cell>
          <cell r="Q54">
            <v>71.930999999999997</v>
          </cell>
          <cell r="R54">
            <v>21.460999999999999</v>
          </cell>
          <cell r="S54">
            <v>21.632999999999999</v>
          </cell>
          <cell r="T54">
            <v>23.318000000000001</v>
          </cell>
          <cell r="U54">
            <v>24.501000000000001</v>
          </cell>
          <cell r="V54">
            <v>90.912999999999997</v>
          </cell>
          <cell r="W54">
            <v>0</v>
          </cell>
          <cell r="X54">
            <v>28.409000000000002</v>
          </cell>
          <cell r="Y54">
            <v>28.84</v>
          </cell>
          <cell r="Z54">
            <v>28.806999999999999</v>
          </cell>
          <cell r="AA54">
            <v>31.725999999999999</v>
          </cell>
          <cell r="AB54">
            <v>117.782</v>
          </cell>
          <cell r="AC54">
            <v>0</v>
          </cell>
          <cell r="AD54">
            <v>33.141999999999996</v>
          </cell>
          <cell r="AE54">
            <v>34.124666666666663</v>
          </cell>
          <cell r="AF54">
            <v>36.140666666666668</v>
          </cell>
          <cell r="AG54">
            <v>39.558666666666667</v>
          </cell>
          <cell r="AH54">
            <v>142.96600000000001</v>
          </cell>
          <cell r="AI54">
            <v>38.151000000000003</v>
          </cell>
          <cell r="AJ54">
            <v>38.467999999999996</v>
          </cell>
          <cell r="AK54">
            <v>39.073999999999991</v>
          </cell>
          <cell r="AL54">
            <v>41.365999999999993</v>
          </cell>
          <cell r="AM54">
            <v>155.584</v>
          </cell>
          <cell r="AN54">
            <v>114.57600000000001</v>
          </cell>
          <cell r="AO54">
            <v>132.93</v>
          </cell>
          <cell r="AR54">
            <v>35.346666666666664</v>
          </cell>
          <cell r="AS54">
            <v>38.856666666666669</v>
          </cell>
          <cell r="AT54">
            <v>139.69666666666666</v>
          </cell>
          <cell r="AU54">
            <v>0</v>
          </cell>
          <cell r="AV54">
            <v>36.149000000000001</v>
          </cell>
          <cell r="AW54">
            <v>35.843000000000004</v>
          </cell>
          <cell r="AX54">
            <v>37.073</v>
          </cell>
          <cell r="AY54">
            <v>39.261999999999986</v>
          </cell>
          <cell r="AZ54">
            <v>148.14099999999999</v>
          </cell>
          <cell r="BA54">
            <v>-0.18599999999999994</v>
          </cell>
          <cell r="BC54">
            <v>39.546999999999997</v>
          </cell>
          <cell r="BD54">
            <v>40.232999999999997</v>
          </cell>
          <cell r="BE54">
            <v>40.24</v>
          </cell>
          <cell r="BF54">
            <v>43.243000000000002</v>
          </cell>
          <cell r="BG54">
            <v>163.26300000000001</v>
          </cell>
          <cell r="BH54">
            <v>0</v>
          </cell>
          <cell r="BI54">
            <v>9.3999834020304762E-2</v>
          </cell>
          <cell r="BJ54">
            <v>0.12247858717183258</v>
          </cell>
          <cell r="BK54">
            <v>8.542605130418357E-2</v>
          </cell>
          <cell r="BL54">
            <v>0.10139575161734027</v>
          </cell>
          <cell r="BM54">
            <v>0.10207842528402011</v>
          </cell>
          <cell r="BO54">
            <v>42.180999999999997</v>
          </cell>
          <cell r="BP54">
            <v>46.857999999999997</v>
          </cell>
          <cell r="BQ54">
            <v>47.905259999999998</v>
          </cell>
          <cell r="BR54">
            <v>50.044259999999994</v>
          </cell>
          <cell r="BS54">
            <v>186.98851999999999</v>
          </cell>
          <cell r="BT54">
            <v>0</v>
          </cell>
          <cell r="BU54">
            <v>6.6604293625306621E-2</v>
          </cell>
          <cell r="BV54">
            <v>0.1646658215892427</v>
          </cell>
          <cell r="BW54">
            <v>0.19048856858846919</v>
          </cell>
          <cell r="BX54">
            <v>0.15728002220012471</v>
          </cell>
          <cell r="BY54">
            <v>0.14532086265718491</v>
          </cell>
          <cell r="CA54">
            <v>221.87835655737706</v>
          </cell>
          <cell r="CB54">
            <v>248.29950389344268</v>
          </cell>
          <cell r="CC54">
            <v>275.04176700051238</v>
          </cell>
          <cell r="CD54">
            <v>307.03447169492193</v>
          </cell>
          <cell r="CF54" t="str">
            <v>mstag:depreciationInIncomeStatement</v>
          </cell>
          <cell r="CG54">
            <v>6</v>
          </cell>
          <cell r="CH54" t="str">
            <v>ISO4217:USD</v>
          </cell>
          <cell r="CI54" t="b">
            <v>0</v>
          </cell>
          <cell r="CJ54" t="b">
            <v>0</v>
          </cell>
        </row>
        <row r="55">
          <cell r="A55" t="str">
            <v>% of Net Revenue</v>
          </cell>
          <cell r="C55">
            <v>6.559591166271217E-2</v>
          </cell>
          <cell r="D55">
            <v>5.8511493329046774E-2</v>
          </cell>
          <cell r="E55">
            <v>5.8997844827586202E-2</v>
          </cell>
          <cell r="F55">
            <v>5.8345620070677985E-2</v>
          </cell>
          <cell r="G55">
            <v>4.9554379401073725E-2</v>
          </cell>
          <cell r="H55">
            <v>5.3200469022729263E-2</v>
          </cell>
          <cell r="I55">
            <v>5.3837449793177866E-2</v>
          </cell>
          <cell r="J55">
            <v>5.4164700657803433E-2</v>
          </cell>
          <cell r="K55">
            <v>5.2727294613747082E-2</v>
          </cell>
          <cell r="M55">
            <v>5.3069648243485354E-2</v>
          </cell>
          <cell r="N55">
            <v>5.5275969930881387E-2</v>
          </cell>
          <cell r="O55">
            <v>5.4475583082929623E-2</v>
          </cell>
          <cell r="P55">
            <v>5.244443722293083E-2</v>
          </cell>
          <cell r="Q55">
            <v>5.3780146706432365E-2</v>
          </cell>
          <cell r="R55">
            <v>5.3834865607244542E-2</v>
          </cell>
          <cell r="S55">
            <v>5.3959876181377819E-2</v>
          </cell>
          <cell r="T55">
            <v>5.5976320849607152E-2</v>
          </cell>
          <cell r="U55">
            <v>5.1310779850136753E-2</v>
          </cell>
          <cell r="V55">
            <v>5.3679533544911062E-2</v>
          </cell>
          <cell r="X55">
            <v>5.3248337922360785E-2</v>
          </cell>
          <cell r="Y55">
            <v>5.435540595044687E-2</v>
          </cell>
          <cell r="Z55">
            <v>5.2107206231086334E-2</v>
          </cell>
          <cell r="AA55">
            <v>5.4374223402887868E-2</v>
          </cell>
          <cell r="AB55">
            <v>5.3527126903673256E-2</v>
          </cell>
          <cell r="AD55">
            <v>5.0270220256432414E-2</v>
          </cell>
          <cell r="AE55">
            <v>5.1916978678712027E-2</v>
          </cell>
          <cell r="AF55">
            <v>4.9985569825906635E-2</v>
          </cell>
          <cell r="AG55">
            <v>4.9757326329841652E-2</v>
          </cell>
          <cell r="AH55">
            <v>5.0435613330021896E-2</v>
          </cell>
          <cell r="AI55">
            <v>4.6391188458807166E-2</v>
          </cell>
          <cell r="AJ55">
            <v>4.7277209774490604E-2</v>
          </cell>
          <cell r="AK55">
            <v>4.6294343592793642E-2</v>
          </cell>
          <cell r="AL55">
            <v>4.7455869345499967E-2</v>
          </cell>
          <cell r="AM55">
            <v>4.6684896452993285E-2</v>
          </cell>
          <cell r="AN55">
            <v>5.2961471472470913E-2</v>
          </cell>
          <cell r="AO55">
            <v>4.9665236949471704E-2</v>
          </cell>
          <cell r="AR55">
            <v>4.9595643964639481E-2</v>
          </cell>
          <cell r="AS55">
            <v>4.9445776345771762E-2</v>
          </cell>
          <cell r="AT55">
            <v>4.9949358175359206E-2</v>
          </cell>
          <cell r="AV55">
            <v>4.6347307999523052E-2</v>
          </cell>
          <cell r="AW55">
            <v>4.6482464194380041E-2</v>
          </cell>
          <cell r="AX55">
            <v>4.5666808324556697E-2</v>
          </cell>
          <cell r="AY55">
            <v>4.6705724907063179E-2</v>
          </cell>
          <cell r="AZ55">
            <v>4.6243382642834861E-2</v>
          </cell>
          <cell r="BC55">
            <v>4.3541353110277528E-2</v>
          </cell>
          <cell r="BD55">
            <v>4.3792545699550892E-2</v>
          </cell>
          <cell r="BE55">
            <v>4.3302854178929893E-2</v>
          </cell>
          <cell r="BF55">
            <v>4.4032502774751292E-2</v>
          </cell>
          <cell r="BG55">
            <v>4.3672826296304222E-2</v>
          </cell>
          <cell r="BO55">
            <v>4.1089578612884564E-2</v>
          </cell>
          <cell r="BP55">
            <v>4.4161748600919454E-2</v>
          </cell>
          <cell r="BQ55">
            <v>4.2972613481847895E-2</v>
          </cell>
          <cell r="BR55">
            <v>4.4520898869567491E-2</v>
          </cell>
          <cell r="BS55">
            <v>4.321970986872397E-2</v>
          </cell>
          <cell r="BU55">
            <v>-5.6309102089301954E-2</v>
          </cell>
          <cell r="BV55">
            <v>8.4307248064903195E-3</v>
          </cell>
          <cell r="BW55">
            <v>-7.6263032389833896E-3</v>
          </cell>
          <cell r="BX55">
            <v>1.1091717800248535E-2</v>
          </cell>
          <cell r="BY55">
            <v>-1.0375248547140559E-2</v>
          </cell>
          <cell r="CA55">
            <v>4.6822799378337207E-2</v>
          </cell>
          <cell r="CB55">
            <v>4.8289480898772122E-2</v>
          </cell>
          <cell r="CC55">
            <v>4.9676647271579416E-2</v>
          </cell>
          <cell r="CD55">
            <v>5.1827872793395978E-2</v>
          </cell>
        </row>
        <row r="56">
          <cell r="A56" t="str">
            <v>Amortization of goodwill</v>
          </cell>
          <cell r="C56">
            <v>0.19</v>
          </cell>
          <cell r="D56">
            <v>11.8</v>
          </cell>
          <cell r="E56">
            <v>25.353999999999999</v>
          </cell>
          <cell r="F56">
            <v>26.638999999999999</v>
          </cell>
          <cell r="G56">
            <v>5.6769999999999987</v>
          </cell>
          <cell r="H56">
            <v>6.2770000000000001</v>
          </cell>
          <cell r="I56">
            <v>6.327</v>
          </cell>
          <cell r="J56">
            <v>6.4269999999999996</v>
          </cell>
          <cell r="K56">
            <v>24.707999999999998</v>
          </cell>
          <cell r="L56">
            <v>0</v>
          </cell>
          <cell r="M56">
            <v>6.1680000000000001</v>
          </cell>
          <cell r="N56">
            <v>6.21</v>
          </cell>
          <cell r="O56">
            <v>6.5419999999999998</v>
          </cell>
          <cell r="P56">
            <v>6.7729999999999997</v>
          </cell>
          <cell r="Q56">
            <v>25.693000000000001</v>
          </cell>
          <cell r="R56">
            <v>7.0460000000000003</v>
          </cell>
          <cell r="S56">
            <v>7.0279999999999996</v>
          </cell>
          <cell r="T56">
            <v>7.3129999999999997</v>
          </cell>
          <cell r="U56">
            <v>7.3680000000000003</v>
          </cell>
          <cell r="V56">
            <v>28.755000000000003</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R56">
            <v>0</v>
          </cell>
          <cell r="AS56">
            <v>0</v>
          </cell>
          <cell r="AT56">
            <v>0</v>
          </cell>
          <cell r="AU56">
            <v>0</v>
          </cell>
          <cell r="AV56">
            <v>0</v>
          </cell>
          <cell r="AW56">
            <v>0</v>
          </cell>
          <cell r="AX56">
            <v>0</v>
          </cell>
          <cell r="AY56">
            <v>0</v>
          </cell>
          <cell r="AZ56">
            <v>0</v>
          </cell>
          <cell r="BC56">
            <v>0</v>
          </cell>
          <cell r="BD56">
            <v>0</v>
          </cell>
          <cell r="BE56">
            <v>0</v>
          </cell>
          <cell r="BF56">
            <v>0</v>
          </cell>
          <cell r="BG56">
            <v>0</v>
          </cell>
          <cell r="BO56">
            <v>0</v>
          </cell>
          <cell r="BP56">
            <v>0</v>
          </cell>
          <cell r="BQ56">
            <v>0</v>
          </cell>
          <cell r="BR56">
            <v>0</v>
          </cell>
          <cell r="BS56">
            <v>0</v>
          </cell>
          <cell r="BU56" t="str">
            <v>N/A</v>
          </cell>
          <cell r="BV56" t="str">
            <v>N/A</v>
          </cell>
          <cell r="BW56" t="str">
            <v>N/A</v>
          </cell>
          <cell r="BX56" t="str">
            <v>N/A</v>
          </cell>
          <cell r="BY56" t="str">
            <v>N/A</v>
          </cell>
          <cell r="CA56">
            <v>0</v>
          </cell>
          <cell r="CB56">
            <v>0</v>
          </cell>
          <cell r="CC56">
            <v>0</v>
          </cell>
          <cell r="CD56">
            <v>0</v>
          </cell>
          <cell r="CF56" t="str">
            <v>mstag:amortizationOfGoodwillInIncomeStatement</v>
          </cell>
          <cell r="CG56">
            <v>6</v>
          </cell>
          <cell r="CH56" t="str">
            <v>ISO4217:USD</v>
          </cell>
          <cell r="CI56" t="b">
            <v>0</v>
          </cell>
          <cell r="CJ56" t="b">
            <v>0</v>
          </cell>
        </row>
        <row r="57">
          <cell r="A57" t="str">
            <v xml:space="preserve">Amortization </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X57">
            <v>7.4999999999999997E-2</v>
          </cell>
          <cell r="Y57">
            <v>7.4999999999999997E-2</v>
          </cell>
          <cell r="Z57">
            <v>7.4999999999999997E-2</v>
          </cell>
          <cell r="AA57">
            <v>7.4999999999999997E-2</v>
          </cell>
          <cell r="AB57">
            <v>0.3</v>
          </cell>
          <cell r="AC57">
            <v>0</v>
          </cell>
          <cell r="AD57">
            <v>0.1</v>
          </cell>
          <cell r="AE57">
            <v>0.23333333333333336</v>
          </cell>
          <cell r="AF57">
            <v>0.23333333333333336</v>
          </cell>
          <cell r="AG57">
            <v>0.23333333333333336</v>
          </cell>
          <cell r="AH57">
            <v>0.8</v>
          </cell>
          <cell r="AI57">
            <v>0.3</v>
          </cell>
          <cell r="AJ57">
            <v>0.23800000000000332</v>
          </cell>
          <cell r="AK57">
            <v>0.23800000000000332</v>
          </cell>
          <cell r="AL57">
            <v>0.23800000000000332</v>
          </cell>
          <cell r="AM57">
            <v>1.1000000000000001</v>
          </cell>
          <cell r="AN57">
            <v>0.3</v>
          </cell>
          <cell r="AO57">
            <v>0</v>
          </cell>
          <cell r="AR57">
            <v>0.23333333333333336</v>
          </cell>
          <cell r="AS57">
            <v>0.23333333333333336</v>
          </cell>
          <cell r="AT57">
            <v>0.93333333333333346</v>
          </cell>
          <cell r="AU57">
            <v>0</v>
          </cell>
          <cell r="AV57">
            <v>0.3</v>
          </cell>
          <cell r="AW57">
            <v>0.3</v>
          </cell>
          <cell r="AX57">
            <v>0.3</v>
          </cell>
          <cell r="AY57">
            <v>0.11400000000000998</v>
          </cell>
          <cell r="AZ57">
            <v>1.01400000000001</v>
          </cell>
          <cell r="BA57">
            <v>0</v>
          </cell>
          <cell r="BC57">
            <v>0.25</v>
          </cell>
          <cell r="BD57">
            <v>0.25</v>
          </cell>
          <cell r="BE57">
            <v>0.25</v>
          </cell>
          <cell r="BF57">
            <v>0.55000000000000004</v>
          </cell>
          <cell r="BG57">
            <v>1.3</v>
          </cell>
          <cell r="BH57">
            <v>0</v>
          </cell>
          <cell r="BI57">
            <v>-0.16666666666666663</v>
          </cell>
          <cell r="BJ57">
            <v>-0.16666666666666663</v>
          </cell>
          <cell r="BK57">
            <v>-0.16666666666666663</v>
          </cell>
          <cell r="BL57" t="str">
            <v>N/A</v>
          </cell>
          <cell r="BM57">
            <v>0.2820512820512695</v>
          </cell>
          <cell r="BO57">
            <v>0.32500000000000001</v>
          </cell>
          <cell r="BP57">
            <v>0.32500000000000001</v>
          </cell>
          <cell r="BQ57">
            <v>0.32500000000000001</v>
          </cell>
          <cell r="BR57">
            <v>0.32500000000000001</v>
          </cell>
          <cell r="BS57">
            <v>1.3</v>
          </cell>
          <cell r="BT57">
            <v>0</v>
          </cell>
          <cell r="BU57">
            <v>0.30000000000000004</v>
          </cell>
          <cell r="BV57">
            <v>0.30000000000000004</v>
          </cell>
          <cell r="BW57">
            <v>0.30000000000000004</v>
          </cell>
          <cell r="BX57">
            <v>-0.40909090909090917</v>
          </cell>
          <cell r="BY57">
            <v>0</v>
          </cell>
          <cell r="CA57">
            <v>1.2</v>
          </cell>
          <cell r="CB57">
            <v>1.2</v>
          </cell>
          <cell r="CC57">
            <v>1.7</v>
          </cell>
          <cell r="CD57">
            <v>1.7</v>
          </cell>
          <cell r="CF57" t="str">
            <v>mstag:amortizationOfOtherIntangiblesInIncomeStatement</v>
          </cell>
          <cell r="CG57">
            <v>6</v>
          </cell>
          <cell r="CH57" t="str">
            <v>ISO4217:USD</v>
          </cell>
          <cell r="CI57" t="b">
            <v>0</v>
          </cell>
          <cell r="CJ57" t="b">
            <v>0</v>
          </cell>
        </row>
        <row r="58">
          <cell r="A58" t="str">
            <v>Operating Income (EBIT)</v>
          </cell>
          <cell r="C58">
            <v>58.589999999999975</v>
          </cell>
          <cell r="D58">
            <v>59.40000000000002</v>
          </cell>
          <cell r="E58">
            <v>53.045999999999978</v>
          </cell>
          <cell r="F58">
            <v>89.890000000000086</v>
          </cell>
          <cell r="G58">
            <v>33.290000000000013</v>
          </cell>
          <cell r="H58">
            <v>29.773000000000025</v>
          </cell>
          <cell r="I58">
            <v>26.512000000000029</v>
          </cell>
          <cell r="J58">
            <v>32.689000000000036</v>
          </cell>
          <cell r="K58">
            <v>122.53400000000008</v>
          </cell>
          <cell r="L58">
            <v>0.2699999999999676</v>
          </cell>
          <cell r="M58">
            <v>37.533000000000037</v>
          </cell>
          <cell r="N58">
            <v>36.035000000000032</v>
          </cell>
          <cell r="O58">
            <v>37.571999999999981</v>
          </cell>
          <cell r="P58">
            <v>43.972000000000023</v>
          </cell>
          <cell r="Q58">
            <v>155.11199999999994</v>
          </cell>
          <cell r="R58">
            <v>48.740999999999978</v>
          </cell>
          <cell r="S58">
            <v>45.169000000000018</v>
          </cell>
          <cell r="T58">
            <v>43.39500000000001</v>
          </cell>
          <cell r="U58">
            <v>51.737999999999978</v>
          </cell>
          <cell r="V58">
            <v>189.04299999999995</v>
          </cell>
          <cell r="X58">
            <v>63.916000000000011</v>
          </cell>
          <cell r="Y58">
            <v>58.604999999999976</v>
          </cell>
          <cell r="Z58">
            <v>58.431999999999988</v>
          </cell>
          <cell r="AA58">
            <v>62.929000000000073</v>
          </cell>
          <cell r="AB58">
            <v>243.88199999999989</v>
          </cell>
          <cell r="AC58">
            <v>-1.4210854715202004E-13</v>
          </cell>
          <cell r="AD58">
            <v>73.332000000000065</v>
          </cell>
          <cell r="AE58">
            <v>68.375000000000043</v>
          </cell>
          <cell r="AF58">
            <v>71.919000000000082</v>
          </cell>
          <cell r="AG58">
            <v>79.131</v>
          </cell>
          <cell r="AH58">
            <v>292.75700000000052</v>
          </cell>
          <cell r="AI58">
            <v>86.571999999999989</v>
          </cell>
          <cell r="AJ58">
            <v>82.763999999999982</v>
          </cell>
          <cell r="AK58">
            <v>81.705000000000013</v>
          </cell>
          <cell r="AL58">
            <v>88.37700000000001</v>
          </cell>
          <cell r="AM58">
            <v>340.44499999999999</v>
          </cell>
          <cell r="AN58">
            <v>244.70199999999988</v>
          </cell>
          <cell r="AO58">
            <v>296.13700000000006</v>
          </cell>
          <cell r="AR58">
            <v>71.718000000000004</v>
          </cell>
          <cell r="AS58">
            <v>79.5</v>
          </cell>
          <cell r="AT58">
            <v>293.34499999999991</v>
          </cell>
          <cell r="AU58">
            <v>3.2684965844964609E-13</v>
          </cell>
          <cell r="AV58">
            <v>87.723000000000141</v>
          </cell>
          <cell r="AW58">
            <v>82.682999999999979</v>
          </cell>
          <cell r="AX58">
            <v>83.180000000000106</v>
          </cell>
          <cell r="AY58">
            <v>91.194000000000003</v>
          </cell>
          <cell r="AZ58">
            <v>344.96599999999989</v>
          </cell>
          <cell r="BA58">
            <v>0.18599999999966599</v>
          </cell>
          <cell r="BC58">
            <v>103.98499999999999</v>
          </cell>
          <cell r="BD58">
            <v>99.669000000000011</v>
          </cell>
          <cell r="BE58">
            <v>97.007000000000005</v>
          </cell>
          <cell r="BF58">
            <v>107.97600000000001</v>
          </cell>
          <cell r="BG58">
            <v>409.13700000000046</v>
          </cell>
          <cell r="BH58">
            <v>0.50000000000046896</v>
          </cell>
          <cell r="BI58">
            <v>0.18537897700716832</v>
          </cell>
          <cell r="BJ58">
            <v>0.20543521642901252</v>
          </cell>
          <cell r="BK58">
            <v>0.16622986294782249</v>
          </cell>
          <cell r="BL58">
            <v>0.18402526482005399</v>
          </cell>
          <cell r="BM58">
            <v>0.18602123107784707</v>
          </cell>
          <cell r="BO58">
            <v>115.95199999999977</v>
          </cell>
          <cell r="BP58">
            <v>109.56100000000008</v>
          </cell>
          <cell r="BQ58">
            <v>115.89287115032836</v>
          </cell>
          <cell r="BR58">
            <v>115.11799458937077</v>
          </cell>
          <cell r="BS58">
            <v>456.33937323969889</v>
          </cell>
          <cell r="BT58">
            <v>-0.18449250000010409</v>
          </cell>
          <cell r="BU58">
            <v>0.11508390633264209</v>
          </cell>
          <cell r="BV58">
            <v>9.9248512576629366E-2</v>
          </cell>
          <cell r="BW58">
            <v>0.19468565310058406</v>
          </cell>
          <cell r="BX58">
            <v>6.6144278259712808E-2</v>
          </cell>
          <cell r="BY58">
            <v>0.11537058061162497</v>
          </cell>
          <cell r="CA58">
            <v>486.71322010484113</v>
          </cell>
          <cell r="CB58">
            <v>521.8882177810209</v>
          </cell>
          <cell r="CC58">
            <v>554.27347649875537</v>
          </cell>
          <cell r="CD58">
            <v>600.26243886062502</v>
          </cell>
        </row>
        <row r="59">
          <cell r="A59" t="str">
            <v>EBIT Margin</v>
          </cell>
          <cell r="C59">
            <v>0.1069355721847052</v>
          </cell>
          <cell r="D59">
            <v>9.5483041311686251E-2</v>
          </cell>
          <cell r="E59">
            <v>7.1452047413793074E-2</v>
          </cell>
          <cell r="F59">
            <v>0.10518617332490823</v>
          </cell>
          <cell r="G59">
            <v>0.12657602165746532</v>
          </cell>
          <cell r="H59">
            <v>0.11371509542779236</v>
          </cell>
          <cell r="I59">
            <v>9.9334572267849752E-2</v>
          </cell>
          <cell r="J59">
            <v>0.1134121124649589</v>
          </cell>
          <cell r="K59">
            <v>0.11346234512057476</v>
          </cell>
          <cell r="M59">
            <v>0.12160336431762747</v>
          </cell>
          <cell r="N59">
            <v>0.11362633065940174</v>
          </cell>
          <cell r="O59">
            <v>0.10971624806174381</v>
          </cell>
          <cell r="P59">
            <v>0.119079148691868</v>
          </cell>
          <cell r="Q59">
            <v>0.11597150207738158</v>
          </cell>
          <cell r="R59">
            <v>0.12226667837298845</v>
          </cell>
          <cell r="S59">
            <v>0.11266646545724845</v>
          </cell>
          <cell r="T59">
            <v>0.10417241801478269</v>
          </cell>
          <cell r="U59">
            <v>0.10835137863296902</v>
          </cell>
          <cell r="V59">
            <v>0.11162034098457448</v>
          </cell>
          <cell r="X59">
            <v>0.11980079434846747</v>
          </cell>
          <cell r="Y59">
            <v>0.11045418050367328</v>
          </cell>
          <cell r="Z59">
            <v>0.10569404222914</v>
          </cell>
          <cell r="AA59">
            <v>0.10785209306311337</v>
          </cell>
          <cell r="AB59">
            <v>0.11083444637993613</v>
          </cell>
          <cell r="AD59">
            <v>0.11123093934719407</v>
          </cell>
          <cell r="AE59">
            <v>0.10402514555913427</v>
          </cell>
          <cell r="AF59">
            <v>9.947000229591918E-2</v>
          </cell>
          <cell r="AG59">
            <v>9.9531842743436738E-2</v>
          </cell>
          <cell r="AH59">
            <v>0.1032789533991106</v>
          </cell>
          <cell r="AI59">
            <v>0.10527058182631788</v>
          </cell>
          <cell r="AJ59">
            <v>0.10171703727191277</v>
          </cell>
          <cell r="AK59">
            <v>9.6802972392107445E-2</v>
          </cell>
          <cell r="AL59">
            <v>0.10138779106385079</v>
          </cell>
          <cell r="AM59">
            <v>0.10215471753483198</v>
          </cell>
          <cell r="AN59">
            <v>0.11311075611172121</v>
          </cell>
          <cell r="AO59">
            <v>0.11064255077488681</v>
          </cell>
          <cell r="AR59">
            <v>0.1006290190642026</v>
          </cell>
          <cell r="AS59">
            <v>0.10116511674072716</v>
          </cell>
          <cell r="AT59">
            <v>0.10488721616323994</v>
          </cell>
          <cell r="AV59">
            <v>0.11247129656815312</v>
          </cell>
          <cell r="AW59">
            <v>0.10722622512021661</v>
          </cell>
          <cell r="AX59">
            <v>0.10246176776728701</v>
          </cell>
          <cell r="AY59">
            <v>0.1084835687732342</v>
          </cell>
          <cell r="AZ59">
            <v>0.10768386021944072</v>
          </cell>
          <cell r="BC59">
            <v>0.11448776400668087</v>
          </cell>
          <cell r="BD59">
            <v>0.10848704390248151</v>
          </cell>
          <cell r="BE59">
            <v>0.10439065545068221</v>
          </cell>
          <cell r="BF59">
            <v>0.1099473560947794</v>
          </cell>
          <cell r="BG59">
            <v>0.10944408183355102</v>
          </cell>
          <cell r="BO59">
            <v>0.11295177495368013</v>
          </cell>
          <cell r="BP59">
            <v>0.10325676167282727</v>
          </cell>
          <cell r="BQ59">
            <v>0.1039597646948302</v>
          </cell>
          <cell r="BR59">
            <v>0.10241247637952472</v>
          </cell>
          <cell r="BS59">
            <v>0.10547628973744017</v>
          </cell>
          <cell r="CA59">
            <v>0.10271067360218264</v>
          </cell>
          <cell r="CB59">
            <v>0.10149722705304359</v>
          </cell>
          <cell r="CC59">
            <v>0.1001100606802364</v>
          </cell>
          <cell r="CD59">
            <v>0.10132518720840634</v>
          </cell>
        </row>
        <row r="61">
          <cell r="A61" t="str">
            <v>Interest expense</v>
          </cell>
          <cell r="C61">
            <v>18.8</v>
          </cell>
          <cell r="D61">
            <v>47.9</v>
          </cell>
          <cell r="E61">
            <v>89.72</v>
          </cell>
          <cell r="F61">
            <v>101.191</v>
          </cell>
          <cell r="G61">
            <v>26.761999999999997</v>
          </cell>
          <cell r="H61">
            <v>28.919</v>
          </cell>
          <cell r="I61">
            <v>29.748000000000001</v>
          </cell>
          <cell r="J61">
            <v>31.062000000000001</v>
          </cell>
          <cell r="K61">
            <v>116.779</v>
          </cell>
          <cell r="L61">
            <v>0.2879999999999967</v>
          </cell>
          <cell r="M61">
            <v>32.683</v>
          </cell>
          <cell r="N61">
            <v>32.622</v>
          </cell>
          <cell r="O61">
            <v>32.408999999999999</v>
          </cell>
          <cell r="P61">
            <v>29.655999999999999</v>
          </cell>
          <cell r="Q61">
            <v>127.97</v>
          </cell>
          <cell r="R61">
            <v>27.463250000000002</v>
          </cell>
          <cell r="S61">
            <v>25.53125</v>
          </cell>
          <cell r="T61">
            <v>23.451250000000002</v>
          </cell>
          <cell r="U61">
            <v>17.922749999999997</v>
          </cell>
          <cell r="V61">
            <v>94.368499999999997</v>
          </cell>
          <cell r="W61">
            <v>0</v>
          </cell>
          <cell r="X61">
            <v>16.828749999999999</v>
          </cell>
          <cell r="Y61">
            <v>16.621749999999999</v>
          </cell>
          <cell r="Z61">
            <v>14.88775</v>
          </cell>
          <cell r="AA61">
            <v>14.92075</v>
          </cell>
          <cell r="AB61">
            <v>63.259</v>
          </cell>
          <cell r="AC61">
            <v>0</v>
          </cell>
          <cell r="AD61">
            <v>17.061249999999998</v>
          </cell>
          <cell r="AE61">
            <v>16.712250000000001</v>
          </cell>
          <cell r="AF61">
            <v>18.513249999999999</v>
          </cell>
          <cell r="AG61">
            <v>18.986249999999998</v>
          </cell>
          <cell r="AH61">
            <v>71.272999999999996</v>
          </cell>
          <cell r="AI61">
            <v>18.8535</v>
          </cell>
          <cell r="AJ61">
            <v>18.619499999999999</v>
          </cell>
          <cell r="AK61">
            <v>19.290499999999998</v>
          </cell>
          <cell r="AL61">
            <v>21.718499999999999</v>
          </cell>
          <cell r="AM61">
            <v>78.381999999999991</v>
          </cell>
          <cell r="AN61">
            <v>62.959000000000003</v>
          </cell>
          <cell r="AO61">
            <v>68.37299999999999</v>
          </cell>
          <cell r="AR61">
            <v>18.43825</v>
          </cell>
          <cell r="AS61">
            <v>18.866</v>
          </cell>
          <cell r="AT61">
            <v>70.972999999999999</v>
          </cell>
          <cell r="AU61">
            <v>0</v>
          </cell>
          <cell r="AV61">
            <v>18.1785</v>
          </cell>
          <cell r="AW61">
            <v>17.894500000000001</v>
          </cell>
          <cell r="AX61">
            <v>18.640499999999999</v>
          </cell>
          <cell r="AY61">
            <v>21.0685</v>
          </cell>
          <cell r="AZ61">
            <v>75.781999999999996</v>
          </cell>
          <cell r="BC61">
            <v>22.780999999999999</v>
          </cell>
          <cell r="BD61">
            <v>23.012</v>
          </cell>
          <cell r="BE61">
            <v>24.17</v>
          </cell>
          <cell r="BF61">
            <v>24.65</v>
          </cell>
          <cell r="BG61">
            <v>94.613</v>
          </cell>
          <cell r="BH61">
            <v>0</v>
          </cell>
          <cell r="BO61">
            <v>21.786999999999999</v>
          </cell>
          <cell r="BP61">
            <v>23.87</v>
          </cell>
          <cell r="BQ61">
            <v>24.900095612552189</v>
          </cell>
          <cell r="BR61">
            <v>24.900095612552189</v>
          </cell>
          <cell r="BS61">
            <v>95.457191225104381</v>
          </cell>
          <cell r="BT61">
            <v>0</v>
          </cell>
          <cell r="CA61">
            <v>102.60000000000001</v>
          </cell>
          <cell r="CB61">
            <v>102.60000000000001</v>
          </cell>
          <cell r="CC61">
            <v>136.80000000000001</v>
          </cell>
          <cell r="CD61">
            <v>141.07500000000002</v>
          </cell>
          <cell r="CF61" t="str">
            <v>mstag:interestExpense</v>
          </cell>
          <cell r="CG61">
            <v>6</v>
          </cell>
          <cell r="CH61" t="str">
            <v>ISO4217:USD</v>
          </cell>
          <cell r="CI61" t="b">
            <v>0</v>
          </cell>
          <cell r="CJ61" t="b">
            <v>0</v>
          </cell>
        </row>
        <row r="62">
          <cell r="A62" t="str">
            <v>Interest income</v>
          </cell>
          <cell r="C62">
            <v>0</v>
          </cell>
          <cell r="D62">
            <v>0</v>
          </cell>
          <cell r="E62">
            <v>0</v>
          </cell>
          <cell r="F62">
            <v>0</v>
          </cell>
          <cell r="G62">
            <v>0</v>
          </cell>
          <cell r="H62">
            <v>0</v>
          </cell>
          <cell r="I62">
            <v>0</v>
          </cell>
          <cell r="J62">
            <v>0</v>
          </cell>
          <cell r="K62">
            <v>-0.28799999999999998</v>
          </cell>
          <cell r="L62">
            <v>-0.28799999999999998</v>
          </cell>
          <cell r="M62">
            <v>0</v>
          </cell>
          <cell r="N62">
            <v>0</v>
          </cell>
          <cell r="O62">
            <v>0</v>
          </cell>
          <cell r="P62">
            <v>0</v>
          </cell>
          <cell r="Q62">
            <v>-0.6</v>
          </cell>
          <cell r="R62">
            <v>-8.9749999999999996E-2</v>
          </cell>
          <cell r="S62">
            <v>-8.9749999999999996E-2</v>
          </cell>
          <cell r="T62">
            <v>-8.9749999999999996E-2</v>
          </cell>
          <cell r="U62">
            <v>-8.9749999999999996E-2</v>
          </cell>
          <cell r="V62">
            <v>-0.35899999999999999</v>
          </cell>
          <cell r="W62">
            <v>0</v>
          </cell>
          <cell r="X62">
            <v>-9.9750000000000005E-2</v>
          </cell>
          <cell r="Y62">
            <v>-9.9750000000000005E-2</v>
          </cell>
          <cell r="Z62">
            <v>-9.9750000000000005E-2</v>
          </cell>
          <cell r="AA62">
            <v>-9.9750000000000005E-2</v>
          </cell>
          <cell r="AB62">
            <v>-0.39900000000000002</v>
          </cell>
          <cell r="AC62">
            <v>0</v>
          </cell>
          <cell r="AD62">
            <v>-4.5249999999999999E-2</v>
          </cell>
          <cell r="AE62">
            <v>-4.5249999999999999E-2</v>
          </cell>
          <cell r="AF62">
            <v>-4.5249999999999999E-2</v>
          </cell>
          <cell r="AG62">
            <v>-4.5249999999999999E-2</v>
          </cell>
          <cell r="AH62">
            <v>-0.18099999999999999</v>
          </cell>
          <cell r="AI62">
            <v>-0.13150000000000001</v>
          </cell>
          <cell r="AJ62">
            <v>-0.13150000000000001</v>
          </cell>
          <cell r="AK62">
            <v>-0.13150000000000001</v>
          </cell>
          <cell r="AL62">
            <v>-0.13150000000000001</v>
          </cell>
          <cell r="AM62">
            <v>-0.52600000000000002</v>
          </cell>
          <cell r="AN62">
            <v>-0.39900000000000002</v>
          </cell>
          <cell r="AO62">
            <v>-0.18099999999999999</v>
          </cell>
          <cell r="AR62">
            <v>-4.5249999999999999E-2</v>
          </cell>
          <cell r="AS62">
            <v>0</v>
          </cell>
          <cell r="AT62">
            <v>-0.18099999999999999</v>
          </cell>
          <cell r="AV62">
            <v>-0.13150000000000001</v>
          </cell>
          <cell r="AW62">
            <v>-0.13150000000000001</v>
          </cell>
          <cell r="AX62">
            <v>-0.13150000000000001</v>
          </cell>
          <cell r="AY62">
            <v>-0.13150000000000001</v>
          </cell>
          <cell r="AZ62">
            <v>-0.52600000000000002</v>
          </cell>
          <cell r="BC62">
            <v>0</v>
          </cell>
          <cell r="BD62">
            <v>0</v>
          </cell>
          <cell r="BE62">
            <v>0</v>
          </cell>
          <cell r="BF62">
            <v>0</v>
          </cell>
          <cell r="BG62">
            <v>0</v>
          </cell>
          <cell r="BH62">
            <v>0</v>
          </cell>
          <cell r="BO62">
            <v>0</v>
          </cell>
          <cell r="BP62">
            <v>0</v>
          </cell>
          <cell r="BQ62">
            <v>0</v>
          </cell>
          <cell r="BR62">
            <v>0</v>
          </cell>
          <cell r="BS62">
            <v>0</v>
          </cell>
          <cell r="BT62">
            <v>0</v>
          </cell>
          <cell r="CA62">
            <v>0</v>
          </cell>
          <cell r="CB62">
            <v>0</v>
          </cell>
          <cell r="CC62">
            <v>0</v>
          </cell>
          <cell r="CD62">
            <v>0</v>
          </cell>
          <cell r="CF62" t="str">
            <v>mstag:interestAndDividendIncome</v>
          </cell>
          <cell r="CG62">
            <v>6</v>
          </cell>
          <cell r="CH62" t="str">
            <v>ISO4217:USD</v>
          </cell>
          <cell r="CI62" t="b">
            <v>1</v>
          </cell>
          <cell r="CJ62" t="b">
            <v>0</v>
          </cell>
        </row>
        <row r="63">
          <cell r="A63" t="str">
            <v>Minority interest in earnings</v>
          </cell>
          <cell r="C63">
            <v>0</v>
          </cell>
          <cell r="D63">
            <v>0</v>
          </cell>
          <cell r="E63">
            <v>0</v>
          </cell>
          <cell r="F63">
            <v>0</v>
          </cell>
          <cell r="G63">
            <v>0</v>
          </cell>
          <cell r="H63">
            <v>0</v>
          </cell>
          <cell r="I63">
            <v>0</v>
          </cell>
          <cell r="J63">
            <v>0</v>
          </cell>
          <cell r="K63">
            <v>0</v>
          </cell>
          <cell r="M63">
            <v>0</v>
          </cell>
          <cell r="N63">
            <v>0</v>
          </cell>
          <cell r="O63">
            <v>0</v>
          </cell>
          <cell r="P63">
            <v>0</v>
          </cell>
          <cell r="Q63">
            <v>0</v>
          </cell>
          <cell r="R63">
            <v>0</v>
          </cell>
          <cell r="S63">
            <v>0</v>
          </cell>
          <cell r="T63">
            <v>0</v>
          </cell>
          <cell r="U63">
            <v>0</v>
          </cell>
          <cell r="V63">
            <v>0</v>
          </cell>
          <cell r="X63">
            <v>0.76100000000000001</v>
          </cell>
          <cell r="Y63">
            <v>0.755</v>
          </cell>
          <cell r="Z63">
            <v>0.34499999999999997</v>
          </cell>
          <cell r="AA63">
            <v>0.375</v>
          </cell>
          <cell r="AB63">
            <v>2.2359999999999998</v>
          </cell>
          <cell r="AC63">
            <v>0</v>
          </cell>
          <cell r="AD63">
            <v>0.372</v>
          </cell>
          <cell r="AE63">
            <v>0.68</v>
          </cell>
          <cell r="AF63">
            <v>0.65100000000000002</v>
          </cell>
          <cell r="AG63">
            <v>0.28399999999999997</v>
          </cell>
          <cell r="AH63">
            <v>1.9870000000000001</v>
          </cell>
          <cell r="AI63">
            <v>0.373</v>
          </cell>
          <cell r="AJ63">
            <v>0.63500000000000001</v>
          </cell>
          <cell r="AK63">
            <v>0.08</v>
          </cell>
          <cell r="AL63">
            <v>0.49</v>
          </cell>
          <cell r="AM63">
            <v>1.5780000000000001</v>
          </cell>
          <cell r="AN63">
            <v>2.2360000000000002</v>
          </cell>
          <cell r="AO63">
            <v>2.3290000000000002</v>
          </cell>
          <cell r="AP63">
            <v>0.372</v>
          </cell>
          <cell r="AQ63">
            <v>0.68</v>
          </cell>
          <cell r="AR63">
            <v>0.65100000000000002</v>
          </cell>
          <cell r="AS63">
            <v>0.28399999999999997</v>
          </cell>
          <cell r="AT63">
            <v>1.9870000000000001</v>
          </cell>
          <cell r="AV63">
            <v>0.373</v>
          </cell>
          <cell r="AW63">
            <v>0.76800000000000002</v>
          </cell>
          <cell r="AX63">
            <v>0.55400000000000027</v>
          </cell>
          <cell r="AY63">
            <v>0.79900000000000004</v>
          </cell>
          <cell r="AZ63">
            <v>2.4940000000000002</v>
          </cell>
          <cell r="BA63">
            <v>0</v>
          </cell>
          <cell r="BC63">
            <v>0.88700000000000001</v>
          </cell>
          <cell r="BD63">
            <v>0.76800000000000002</v>
          </cell>
          <cell r="BE63">
            <v>0.71499999999999997</v>
          </cell>
          <cell r="BF63">
            <v>0.38500000000000001</v>
          </cell>
          <cell r="BG63">
            <v>2.7549999999999999</v>
          </cell>
          <cell r="BH63">
            <v>0</v>
          </cell>
          <cell r="BO63">
            <v>0.61299999999999999</v>
          </cell>
          <cell r="BP63">
            <v>0.45500000000000002</v>
          </cell>
          <cell r="BQ63">
            <v>0.7</v>
          </cell>
          <cell r="BR63">
            <v>0.9</v>
          </cell>
          <cell r="BS63">
            <v>2.6680000000000001</v>
          </cell>
          <cell r="BT63">
            <v>0</v>
          </cell>
          <cell r="CA63">
            <v>2.8280800000000004</v>
          </cell>
          <cell r="CB63">
            <v>2.9694840000000005</v>
          </cell>
          <cell r="CC63">
            <v>3.1179582000000008</v>
          </cell>
          <cell r="CD63">
            <v>3.273856110000001</v>
          </cell>
          <cell r="CF63" t="str">
            <v>mstag:minorityInterestsInNetIncome</v>
          </cell>
          <cell r="CG63">
            <v>6</v>
          </cell>
          <cell r="CH63" t="str">
            <v>ISO4217:USD</v>
          </cell>
          <cell r="CI63" t="b">
            <v>0</v>
          </cell>
          <cell r="CJ63" t="b">
            <v>0</v>
          </cell>
        </row>
        <row r="64">
          <cell r="A64" t="str">
            <v>Early retirement of debt</v>
          </cell>
          <cell r="C64">
            <v>0</v>
          </cell>
          <cell r="D64">
            <v>0</v>
          </cell>
          <cell r="E64">
            <v>0</v>
          </cell>
          <cell r="F64">
            <v>0</v>
          </cell>
          <cell r="G64">
            <v>0</v>
          </cell>
          <cell r="H64">
            <v>0</v>
          </cell>
          <cell r="I64">
            <v>0</v>
          </cell>
          <cell r="J64">
            <v>0</v>
          </cell>
          <cell r="K64">
            <v>0</v>
          </cell>
          <cell r="M64">
            <v>0</v>
          </cell>
          <cell r="N64">
            <v>0</v>
          </cell>
          <cell r="O64">
            <v>0</v>
          </cell>
          <cell r="P64">
            <v>0</v>
          </cell>
          <cell r="Q64">
            <v>0</v>
          </cell>
          <cell r="R64">
            <v>0</v>
          </cell>
          <cell r="S64">
            <v>0</v>
          </cell>
          <cell r="T64">
            <v>0</v>
          </cell>
          <cell r="U64">
            <v>0</v>
          </cell>
          <cell r="V64">
            <v>0</v>
          </cell>
          <cell r="X64">
            <v>0</v>
          </cell>
          <cell r="Y64">
            <v>0</v>
          </cell>
          <cell r="Z64">
            <v>0</v>
          </cell>
          <cell r="AA64">
            <v>0</v>
          </cell>
          <cell r="AB64">
            <v>0</v>
          </cell>
          <cell r="AD64">
            <v>0</v>
          </cell>
          <cell r="AE64">
            <v>0</v>
          </cell>
          <cell r="AF64">
            <v>0</v>
          </cell>
          <cell r="AG64">
            <v>0</v>
          </cell>
          <cell r="AH64">
            <v>0</v>
          </cell>
          <cell r="AI64">
            <v>0</v>
          </cell>
          <cell r="AJ64">
            <v>0</v>
          </cell>
          <cell r="AK64">
            <v>0.78800000000000003</v>
          </cell>
          <cell r="AL64">
            <v>0</v>
          </cell>
          <cell r="AM64">
            <v>0.78800000000000003</v>
          </cell>
          <cell r="AN64">
            <v>8.6460000000000008</v>
          </cell>
          <cell r="AO64">
            <v>0</v>
          </cell>
          <cell r="AP64">
            <v>0</v>
          </cell>
          <cell r="AQ64">
            <v>0</v>
          </cell>
          <cell r="AR64">
            <v>0</v>
          </cell>
          <cell r="AS64">
            <v>0</v>
          </cell>
          <cell r="AT64">
            <v>0</v>
          </cell>
          <cell r="AV64">
            <v>0</v>
          </cell>
          <cell r="AW64">
            <v>0</v>
          </cell>
          <cell r="AX64">
            <v>0.78800000000000003</v>
          </cell>
          <cell r="AY64">
            <v>0</v>
          </cell>
          <cell r="AZ64">
            <v>0.78800000000000003</v>
          </cell>
          <cell r="BC64">
            <v>0</v>
          </cell>
          <cell r="BD64">
            <v>0</v>
          </cell>
          <cell r="BE64">
            <v>0</v>
          </cell>
          <cell r="BF64">
            <v>0</v>
          </cell>
          <cell r="BG64">
            <v>0</v>
          </cell>
          <cell r="BO64">
            <v>0</v>
          </cell>
          <cell r="BP64">
            <v>0</v>
          </cell>
          <cell r="BQ64">
            <v>0</v>
          </cell>
          <cell r="BR64">
            <v>0</v>
          </cell>
          <cell r="BS64">
            <v>0</v>
          </cell>
          <cell r="CA64">
            <v>0</v>
          </cell>
          <cell r="CB64">
            <v>0</v>
          </cell>
          <cell r="CC64">
            <v>0</v>
          </cell>
          <cell r="CD64">
            <v>0</v>
          </cell>
          <cell r="CF64" t="str">
            <v>mstag:gainLossOnRedemptionAndExtinguishmentOfDebt</v>
          </cell>
          <cell r="CG64">
            <v>6</v>
          </cell>
          <cell r="CH64" t="str">
            <v>ISO4217:USD</v>
          </cell>
          <cell r="CI64" t="b">
            <v>1</v>
          </cell>
          <cell r="CJ64" t="b">
            <v>0</v>
          </cell>
        </row>
        <row r="65">
          <cell r="A65" t="str">
            <v>Compliance settlement and Year 2000 redemption</v>
          </cell>
          <cell r="C65">
            <v>0</v>
          </cell>
          <cell r="D65">
            <v>0</v>
          </cell>
          <cell r="E65">
            <v>0</v>
          </cell>
          <cell r="F65">
            <v>20.209</v>
          </cell>
          <cell r="G65">
            <v>0.29999999999999927</v>
          </cell>
          <cell r="H65">
            <v>0.6</v>
          </cell>
          <cell r="I65">
            <v>0.8</v>
          </cell>
          <cell r="J65">
            <v>15.579000000000001</v>
          </cell>
          <cell r="K65">
            <v>17.279</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O65">
            <v>0</v>
          </cell>
          <cell r="AR65">
            <v>0</v>
          </cell>
          <cell r="AT65">
            <v>0</v>
          </cell>
          <cell r="AU65">
            <v>0</v>
          </cell>
          <cell r="AV65">
            <v>0</v>
          </cell>
          <cell r="AW65">
            <v>0</v>
          </cell>
          <cell r="AX65">
            <v>0</v>
          </cell>
          <cell r="AY65">
            <v>0</v>
          </cell>
          <cell r="AZ65">
            <v>0</v>
          </cell>
          <cell r="BA65">
            <v>0</v>
          </cell>
          <cell r="BC65">
            <v>0</v>
          </cell>
          <cell r="BD65">
            <v>0</v>
          </cell>
          <cell r="BE65">
            <v>0</v>
          </cell>
          <cell r="BF65">
            <v>0</v>
          </cell>
          <cell r="BG65">
            <v>0</v>
          </cell>
          <cell r="BH65">
            <v>0</v>
          </cell>
          <cell r="BO65">
            <v>0</v>
          </cell>
          <cell r="BP65">
            <v>0</v>
          </cell>
          <cell r="BQ65">
            <v>0</v>
          </cell>
          <cell r="BR65">
            <v>0</v>
          </cell>
          <cell r="BS65">
            <v>0</v>
          </cell>
          <cell r="BT65">
            <v>0</v>
          </cell>
          <cell r="CA65">
            <v>0</v>
          </cell>
          <cell r="CB65">
            <v>0</v>
          </cell>
          <cell r="CC65">
            <v>0</v>
          </cell>
          <cell r="CD65">
            <v>0</v>
          </cell>
        </row>
        <row r="66">
          <cell r="A66" t="str">
            <v>Loss (gain) from hospital sales</v>
          </cell>
          <cell r="C66">
            <v>0</v>
          </cell>
          <cell r="D66">
            <v>3.1459999999999999</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O66">
            <v>0</v>
          </cell>
          <cell r="AR66">
            <v>0</v>
          </cell>
          <cell r="AT66">
            <v>0</v>
          </cell>
          <cell r="AU66">
            <v>0</v>
          </cell>
          <cell r="AV66">
            <v>0</v>
          </cell>
          <cell r="AW66">
            <v>0</v>
          </cell>
          <cell r="AX66">
            <v>0</v>
          </cell>
          <cell r="AY66">
            <v>0</v>
          </cell>
          <cell r="AZ66">
            <v>0</v>
          </cell>
          <cell r="BA66">
            <v>0</v>
          </cell>
          <cell r="BC66">
            <v>0</v>
          </cell>
          <cell r="BD66">
            <v>0</v>
          </cell>
          <cell r="BE66">
            <v>0</v>
          </cell>
          <cell r="BF66">
            <v>0</v>
          </cell>
          <cell r="BG66">
            <v>0</v>
          </cell>
          <cell r="BH66">
            <v>0</v>
          </cell>
          <cell r="BO66">
            <v>0</v>
          </cell>
          <cell r="BP66">
            <v>0</v>
          </cell>
          <cell r="BQ66">
            <v>0</v>
          </cell>
          <cell r="BR66">
            <v>0</v>
          </cell>
          <cell r="BS66">
            <v>0</v>
          </cell>
          <cell r="BT66">
            <v>0</v>
          </cell>
          <cell r="CA66">
            <v>0</v>
          </cell>
          <cell r="CB66">
            <v>0</v>
          </cell>
          <cell r="CC66">
            <v>0</v>
          </cell>
          <cell r="CD66">
            <v>0</v>
          </cell>
        </row>
        <row r="67">
          <cell r="A67" t="str">
            <v>Impairment of long-lived assets and relocation costs</v>
          </cell>
          <cell r="C67">
            <v>25.4</v>
          </cell>
          <cell r="D67">
            <v>15.654999999999999</v>
          </cell>
          <cell r="E67">
            <v>0</v>
          </cell>
          <cell r="F67">
            <v>164.833</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O67">
            <v>0</v>
          </cell>
          <cell r="AR67">
            <v>0</v>
          </cell>
          <cell r="AT67">
            <v>0</v>
          </cell>
          <cell r="AU67">
            <v>0</v>
          </cell>
          <cell r="AV67">
            <v>0</v>
          </cell>
          <cell r="AW67">
            <v>0</v>
          </cell>
          <cell r="AX67">
            <v>0</v>
          </cell>
          <cell r="AY67">
            <v>0</v>
          </cell>
          <cell r="AZ67">
            <v>0</v>
          </cell>
          <cell r="BA67">
            <v>0</v>
          </cell>
          <cell r="BC67">
            <v>0</v>
          </cell>
          <cell r="BD67">
            <v>0</v>
          </cell>
          <cell r="BE67">
            <v>0</v>
          </cell>
          <cell r="BF67">
            <v>0</v>
          </cell>
          <cell r="BG67">
            <v>0</v>
          </cell>
          <cell r="BH67">
            <v>0</v>
          </cell>
          <cell r="BO67">
            <v>0</v>
          </cell>
          <cell r="BP67">
            <v>0</v>
          </cell>
          <cell r="BQ67">
            <v>0</v>
          </cell>
          <cell r="BR67">
            <v>0</v>
          </cell>
          <cell r="BS67">
            <v>0</v>
          </cell>
          <cell r="BT67">
            <v>0</v>
          </cell>
          <cell r="CA67">
            <v>0</v>
          </cell>
          <cell r="CB67">
            <v>0</v>
          </cell>
          <cell r="CC67">
            <v>0</v>
          </cell>
          <cell r="CD67">
            <v>0</v>
          </cell>
        </row>
        <row r="68">
          <cell r="A68" t="str">
            <v>Pretax Income</v>
          </cell>
          <cell r="C68">
            <v>14.389999999999972</v>
          </cell>
          <cell r="D68">
            <v>-7.3009999999999735</v>
          </cell>
          <cell r="E68">
            <v>-36.674000000000021</v>
          </cell>
          <cell r="F68">
            <v>-196.3429999999999</v>
          </cell>
          <cell r="G68">
            <v>6.2280000000000157</v>
          </cell>
          <cell r="H68">
            <v>0.25400000000002265</v>
          </cell>
          <cell r="I68">
            <v>-4.0359999999999729</v>
          </cell>
          <cell r="J68">
            <v>-13.95199999999997</v>
          </cell>
          <cell r="K68">
            <v>-11.505999999999904</v>
          </cell>
          <cell r="L68">
            <v>0</v>
          </cell>
          <cell r="M68">
            <v>4.8500000000000369</v>
          </cell>
          <cell r="N68">
            <v>3.4130000000000322</v>
          </cell>
          <cell r="O68">
            <v>5.1629999999999825</v>
          </cell>
          <cell r="P68">
            <v>14.316000000000024</v>
          </cell>
          <cell r="Q68">
            <v>27.741999999999933</v>
          </cell>
          <cell r="R68">
            <v>21.367499999999975</v>
          </cell>
          <cell r="S68">
            <v>19.727500000000017</v>
          </cell>
          <cell r="T68">
            <v>20.033500000000007</v>
          </cell>
          <cell r="U68">
            <v>33.90499999999998</v>
          </cell>
          <cell r="V68">
            <v>95.033499999999947</v>
          </cell>
          <cell r="W68">
            <v>0</v>
          </cell>
          <cell r="X68">
            <v>46.426000000000016</v>
          </cell>
          <cell r="Y68">
            <v>41.327999999999975</v>
          </cell>
          <cell r="Z68">
            <v>43.298999999999985</v>
          </cell>
          <cell r="AA68">
            <v>47.733000000000075</v>
          </cell>
          <cell r="AB68">
            <v>178.78599999999989</v>
          </cell>
          <cell r="AC68">
            <v>-1.6342482922482304E-13</v>
          </cell>
          <cell r="AD68">
            <v>55.944000000000067</v>
          </cell>
          <cell r="AE68">
            <v>51.028000000000041</v>
          </cell>
          <cell r="AF68">
            <v>52.800000000000082</v>
          </cell>
          <cell r="AG68">
            <v>59.906000000000006</v>
          </cell>
          <cell r="AH68">
            <v>219.67800000000051</v>
          </cell>
          <cell r="AI68">
            <v>67.47699999999999</v>
          </cell>
          <cell r="AJ68">
            <v>63.640999999999977</v>
          </cell>
          <cell r="AK68">
            <v>61.678000000000011</v>
          </cell>
          <cell r="AL68">
            <v>66.300000000000011</v>
          </cell>
          <cell r="AM68">
            <v>260.22300000000001</v>
          </cell>
          <cell r="AN68">
            <v>171.25999999999988</v>
          </cell>
          <cell r="AO68">
            <v>225.61600000000007</v>
          </cell>
          <cell r="AP68">
            <v>55.682000000000002</v>
          </cell>
          <cell r="AQ68">
            <v>51.86</v>
          </cell>
          <cell r="AR68">
            <v>52.674000000000007</v>
          </cell>
          <cell r="AS68">
            <v>60.35</v>
          </cell>
          <cell r="AT68">
            <v>220.56599999999992</v>
          </cell>
          <cell r="AU68">
            <v>2.9842794901924208E-13</v>
          </cell>
          <cell r="AV68">
            <v>69.303000000000139</v>
          </cell>
          <cell r="AW68">
            <v>64.151999999999973</v>
          </cell>
          <cell r="AX68">
            <v>63.329000000000107</v>
          </cell>
          <cell r="AY68">
            <v>69.457999999999998</v>
          </cell>
          <cell r="AZ68">
            <v>266.42799999999988</v>
          </cell>
          <cell r="BA68">
            <v>0.1859999999996802</v>
          </cell>
          <cell r="BC68">
            <v>80.316999999999979</v>
          </cell>
          <cell r="BD68">
            <v>75.88900000000001</v>
          </cell>
          <cell r="BE68">
            <v>72.122</v>
          </cell>
          <cell r="BF68">
            <v>82.941000000000017</v>
          </cell>
          <cell r="BG68">
            <v>311.76900000000046</v>
          </cell>
          <cell r="BH68">
            <v>0.50000000000045475</v>
          </cell>
          <cell r="BI68">
            <v>0.15892529904910058</v>
          </cell>
          <cell r="BJ68">
            <v>0.18295610425240127</v>
          </cell>
          <cell r="BK68">
            <v>0.13884634211814295</v>
          </cell>
          <cell r="BL68">
            <v>0.19411730830141982</v>
          </cell>
          <cell r="BM68">
            <v>0.17018106205053751</v>
          </cell>
          <cell r="BO68">
            <v>93.551999999999765</v>
          </cell>
          <cell r="BP68">
            <v>85.236000000000075</v>
          </cell>
          <cell r="BQ68">
            <v>90.29277553777618</v>
          </cell>
          <cell r="BR68">
            <v>89.317898976818583</v>
          </cell>
          <cell r="BS68">
            <v>358.21418201459448</v>
          </cell>
          <cell r="BT68">
            <v>-0.18449250000014672</v>
          </cell>
          <cell r="BU68">
            <v>0.16478454125527331</v>
          </cell>
          <cell r="BV68">
            <v>0.12316673035617898</v>
          </cell>
          <cell r="BW68">
            <v>0.25194497570472496</v>
          </cell>
          <cell r="BX68">
            <v>7.6884761177446137E-2</v>
          </cell>
          <cell r="BY68">
            <v>0.14897306022918877</v>
          </cell>
          <cell r="CA68">
            <v>381.2851401048411</v>
          </cell>
          <cell r="CB68">
            <v>416.31873378102091</v>
          </cell>
          <cell r="CC68">
            <v>414.35551829875533</v>
          </cell>
          <cell r="CD68">
            <v>455.91358275062498</v>
          </cell>
        </row>
        <row r="69">
          <cell r="A69" t="str">
            <v>Tax expense (benefit)</v>
          </cell>
          <cell r="C69">
            <v>4.4429999999999996</v>
          </cell>
          <cell r="D69">
            <v>-14.491</v>
          </cell>
          <cell r="E69">
            <v>-4.5010000000000003</v>
          </cell>
          <cell r="F69">
            <v>-13.404999999999999</v>
          </cell>
          <cell r="G69">
            <v>4.58</v>
          </cell>
          <cell r="H69">
            <v>2.097</v>
          </cell>
          <cell r="I69">
            <v>0.39100000000000001</v>
          </cell>
          <cell r="J69">
            <v>-1.5149999999999999</v>
          </cell>
          <cell r="K69">
            <v>5.5529999999999999</v>
          </cell>
          <cell r="L69">
            <v>0</v>
          </cell>
          <cell r="M69">
            <v>3.9289999999999998</v>
          </cell>
          <cell r="N69">
            <v>3.2349999999999999</v>
          </cell>
          <cell r="O69">
            <v>3.9049999999999998</v>
          </cell>
          <cell r="P69">
            <v>7.1040000000000001</v>
          </cell>
          <cell r="Q69">
            <v>18.172999999999998</v>
          </cell>
          <cell r="R69">
            <v>10.34</v>
          </cell>
          <cell r="S69">
            <v>9.8970000000000002</v>
          </cell>
          <cell r="T69">
            <v>9.8130000000000006</v>
          </cell>
          <cell r="U69">
            <v>15.894</v>
          </cell>
          <cell r="V69">
            <v>45.944000000000003</v>
          </cell>
          <cell r="W69">
            <v>0</v>
          </cell>
          <cell r="X69">
            <v>19.25</v>
          </cell>
          <cell r="Y69">
            <v>17.050999999999998</v>
          </cell>
          <cell r="Z69">
            <v>17.768999999999998</v>
          </cell>
          <cell r="AA69">
            <v>19.321999999999999</v>
          </cell>
          <cell r="AB69">
            <v>73.391999999999996</v>
          </cell>
          <cell r="AC69">
            <v>0</v>
          </cell>
          <cell r="AD69">
            <v>22.405000000000001</v>
          </cell>
          <cell r="AE69">
            <v>20.411999999999999</v>
          </cell>
          <cell r="AF69">
            <v>21.117000000000001</v>
          </cell>
          <cell r="AG69">
            <v>24.271999999999998</v>
          </cell>
          <cell r="AH69">
            <v>88.205999999999989</v>
          </cell>
          <cell r="AI69">
            <v>26.701000000000001</v>
          </cell>
          <cell r="AJ69">
            <v>25.202000000000002</v>
          </cell>
          <cell r="AK69">
            <v>24.029</v>
          </cell>
          <cell r="AL69">
            <v>25.658000000000001</v>
          </cell>
          <cell r="AM69">
            <v>102.002</v>
          </cell>
          <cell r="AN69">
            <v>70.459000000000003</v>
          </cell>
          <cell r="AO69">
            <v>90.197000000000003</v>
          </cell>
          <cell r="AP69">
            <v>21.972000000000001</v>
          </cell>
          <cell r="AQ69">
            <v>21.785</v>
          </cell>
          <cell r="AR69">
            <v>21.073</v>
          </cell>
          <cell r="AS69">
            <v>24.427</v>
          </cell>
          <cell r="AT69">
            <v>88.516999999999996</v>
          </cell>
          <cell r="AU69">
            <v>0</v>
          </cell>
          <cell r="AV69">
            <v>27.114999999999998</v>
          </cell>
          <cell r="AW69">
            <v>25.346</v>
          </cell>
          <cell r="AX69">
            <v>24.669</v>
          </cell>
          <cell r="AY69">
            <v>26.617000000000001</v>
          </cell>
          <cell r="AZ69">
            <v>104.071</v>
          </cell>
          <cell r="BA69">
            <v>0.32399999999999807</v>
          </cell>
          <cell r="BC69">
            <v>31.238</v>
          </cell>
          <cell r="BD69">
            <v>29.39</v>
          </cell>
          <cell r="BE69">
            <v>28.056000000000001</v>
          </cell>
          <cell r="BF69">
            <v>32.097999999999999</v>
          </cell>
          <cell r="BG69">
            <v>120.782</v>
          </cell>
          <cell r="BH69">
            <v>0</v>
          </cell>
          <cell r="BI69">
            <v>0.15205605753273099</v>
          </cell>
          <cell r="BJ69">
            <v>0.1595518030458456</v>
          </cell>
          <cell r="BK69">
            <v>0.13729782317888839</v>
          </cell>
          <cell r="BL69">
            <v>0.20592102791449074</v>
          </cell>
          <cell r="BM69">
            <v>0.16057307030777057</v>
          </cell>
          <cell r="BO69">
            <v>36.298000000000002</v>
          </cell>
          <cell r="BP69">
            <v>32.866999999999997</v>
          </cell>
          <cell r="BQ69">
            <v>35.123889684194936</v>
          </cell>
          <cell r="BR69">
            <v>34.744662701982428</v>
          </cell>
          <cell r="BS69">
            <v>139.03355238617735</v>
          </cell>
          <cell r="BT69">
            <v>0</v>
          </cell>
          <cell r="BU69">
            <v>0.16198220116524764</v>
          </cell>
          <cell r="BV69">
            <v>0.11830554610411692</v>
          </cell>
          <cell r="BW69">
            <v>0.25192078999839373</v>
          </cell>
          <cell r="BX69">
            <v>8.2455688889726098E-2</v>
          </cell>
          <cell r="BY69">
            <v>0.15111152643752668</v>
          </cell>
          <cell r="CA69">
            <v>148.70120464088802</v>
          </cell>
          <cell r="CB69">
            <v>162.36430617459817</v>
          </cell>
          <cell r="CC69">
            <v>161.59865213651457</v>
          </cell>
          <cell r="CD69">
            <v>177.80629727274376</v>
          </cell>
          <cell r="CF69" t="str">
            <v>mstag:taxExpenseIncome</v>
          </cell>
          <cell r="CG69">
            <v>6</v>
          </cell>
          <cell r="CH69" t="str">
            <v>ISO4217:USD</v>
          </cell>
          <cell r="CI69" t="b">
            <v>0</v>
          </cell>
          <cell r="CJ69" t="b">
            <v>0</v>
          </cell>
        </row>
        <row r="70">
          <cell r="A70" t="str">
            <v>Effective tax rate</v>
          </cell>
          <cell r="C70">
            <v>0.30875608061153637</v>
          </cell>
          <cell r="D70" t="str">
            <v>N/A</v>
          </cell>
          <cell r="E70" t="str">
            <v>N/A</v>
          </cell>
          <cell r="F70" t="str">
            <v>N/A</v>
          </cell>
          <cell r="G70">
            <v>0.73538856775850814</v>
          </cell>
          <cell r="H70">
            <v>8.2559055118102869</v>
          </cell>
          <cell r="I70" t="str">
            <v>N/A</v>
          </cell>
          <cell r="J70" t="str">
            <v>N/A</v>
          </cell>
          <cell r="K70" t="str">
            <v>N/A</v>
          </cell>
          <cell r="M70">
            <v>0.8101030927834989</v>
          </cell>
          <cell r="N70">
            <v>0.94784646938176653</v>
          </cell>
          <cell r="O70">
            <v>0.7563432113112557</v>
          </cell>
          <cell r="P70">
            <v>0.49622799664710732</v>
          </cell>
          <cell r="Q70">
            <v>0.65507173239132155</v>
          </cell>
          <cell r="R70">
            <v>0.48391248391248448</v>
          </cell>
          <cell r="S70">
            <v>0.50168546445317408</v>
          </cell>
          <cell r="T70">
            <v>0.48982953552799047</v>
          </cell>
          <cell r="U70">
            <v>0.4687804158678664</v>
          </cell>
          <cell r="V70">
            <v>0.48345057269278757</v>
          </cell>
          <cell r="X70">
            <v>0.41463834920087866</v>
          </cell>
          <cell r="Y70">
            <v>0.41257742934572222</v>
          </cell>
          <cell r="Z70">
            <v>0.41037899258643395</v>
          </cell>
          <cell r="AA70">
            <v>0.40479332956235664</v>
          </cell>
          <cell r="AB70">
            <v>0.41050194086785341</v>
          </cell>
          <cell r="AD70">
            <v>0.40048977548977505</v>
          </cell>
          <cell r="AE70">
            <v>0.40001567766716278</v>
          </cell>
          <cell r="AF70">
            <v>0.39994318181818123</v>
          </cell>
          <cell r="AG70">
            <v>0.40516809668480613</v>
          </cell>
          <cell r="AH70">
            <v>0.40152404883511222</v>
          </cell>
          <cell r="AI70">
            <v>0.39570520325444231</v>
          </cell>
          <cell r="AJ70">
            <v>0.39600257695510771</v>
          </cell>
          <cell r="AK70">
            <v>0.38958785952851899</v>
          </cell>
          <cell r="AL70">
            <v>0.386998491704374</v>
          </cell>
          <cell r="AM70">
            <v>0.39197918708184898</v>
          </cell>
          <cell r="AN70">
            <v>0.41141539180193887</v>
          </cell>
          <cell r="AO70">
            <v>0.39978104389759578</v>
          </cell>
          <cell r="AP70">
            <v>0.39459789519054633</v>
          </cell>
          <cell r="AQ70">
            <v>0.42007327419976864</v>
          </cell>
          <cell r="AR70">
            <v>0.40006454797433266</v>
          </cell>
          <cell r="AS70">
            <v>0.40475559237779618</v>
          </cell>
          <cell r="AT70">
            <v>0.40131751947262961</v>
          </cell>
          <cell r="AV70">
            <v>0.39125290391469264</v>
          </cell>
          <cell r="AW70">
            <v>0.39509290435216377</v>
          </cell>
          <cell r="AX70">
            <v>0.38953717885960554</v>
          </cell>
          <cell r="AY70">
            <v>0.38320999740850586</v>
          </cell>
          <cell r="AZ70">
            <v>0.39061585118681236</v>
          </cell>
          <cell r="BC70">
            <v>0.38893384962087735</v>
          </cell>
          <cell r="BD70">
            <v>0.38727615332920445</v>
          </cell>
          <cell r="BE70">
            <v>0.38900751504395331</v>
          </cell>
          <cell r="BF70">
            <v>0.38699798652053863</v>
          </cell>
          <cell r="BG70">
            <v>0.38740862625854339</v>
          </cell>
          <cell r="BO70">
            <v>0.38799811869334799</v>
          </cell>
          <cell r="BP70">
            <v>0.38559998122858846</v>
          </cell>
          <cell r="BQ70">
            <v>0.38900000000000001</v>
          </cell>
          <cell r="BR70">
            <v>0.38900000000000001</v>
          </cell>
          <cell r="BS70">
            <v>0.38812967036719054</v>
          </cell>
          <cell r="CA70">
            <v>0.39</v>
          </cell>
          <cell r="CB70">
            <v>0.39</v>
          </cell>
          <cell r="CC70">
            <v>0.39</v>
          </cell>
          <cell r="CD70">
            <v>0.39</v>
          </cell>
        </row>
        <row r="72">
          <cell r="A72" t="str">
            <v>Cumulative effect of a change in accounting principle</v>
          </cell>
          <cell r="C72">
            <v>0</v>
          </cell>
          <cell r="D72">
            <v>0</v>
          </cell>
          <cell r="E72">
            <v>0</v>
          </cell>
          <cell r="F72">
            <v>0.35199999999999998</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C72">
            <v>0</v>
          </cell>
          <cell r="BD72">
            <v>0</v>
          </cell>
          <cell r="BE72">
            <v>0</v>
          </cell>
          <cell r="BF72">
            <v>0</v>
          </cell>
          <cell r="BG72">
            <v>0</v>
          </cell>
          <cell r="BH72">
            <v>0</v>
          </cell>
          <cell r="BO72">
            <v>0</v>
          </cell>
          <cell r="BP72">
            <v>0</v>
          </cell>
          <cell r="BQ72">
            <v>0</v>
          </cell>
          <cell r="BR72">
            <v>0</v>
          </cell>
          <cell r="BS72">
            <v>0</v>
          </cell>
          <cell r="BT72">
            <v>0</v>
          </cell>
          <cell r="CA72">
            <v>0</v>
          </cell>
          <cell r="CB72">
            <v>0</v>
          </cell>
          <cell r="CC72">
            <v>0</v>
          </cell>
          <cell r="CD72">
            <v>0</v>
          </cell>
          <cell r="CF72" t="str">
            <v>mstag:cumulativeEffectOfChangeInAccountingPrincipleNetOfTax</v>
          </cell>
          <cell r="CG72">
            <v>6</v>
          </cell>
          <cell r="CH72" t="str">
            <v>ISO4217:USD</v>
          </cell>
          <cell r="CI72" t="b">
            <v>0</v>
          </cell>
          <cell r="CJ72" t="b">
            <v>0</v>
          </cell>
        </row>
        <row r="73">
          <cell r="A73" t="str">
            <v>Early retirement of debt, net</v>
          </cell>
          <cell r="C73">
            <v>0</v>
          </cell>
          <cell r="D73">
            <v>0</v>
          </cell>
          <cell r="E73">
            <v>0</v>
          </cell>
          <cell r="F73">
            <v>0</v>
          </cell>
          <cell r="G73">
            <v>0</v>
          </cell>
          <cell r="H73">
            <v>0</v>
          </cell>
          <cell r="I73">
            <v>0</v>
          </cell>
          <cell r="J73">
            <v>0</v>
          </cell>
          <cell r="K73">
            <v>0</v>
          </cell>
          <cell r="M73">
            <v>0</v>
          </cell>
          <cell r="N73">
            <v>0</v>
          </cell>
          <cell r="O73">
            <v>0</v>
          </cell>
          <cell r="P73">
            <v>0</v>
          </cell>
          <cell r="Q73">
            <v>0</v>
          </cell>
          <cell r="R73">
            <v>0</v>
          </cell>
          <cell r="S73">
            <v>0</v>
          </cell>
          <cell r="T73">
            <v>0</v>
          </cell>
          <cell r="U73">
            <v>3.8079999999999998</v>
          </cell>
          <cell r="V73">
            <v>3.8079999999999998</v>
          </cell>
          <cell r="W73">
            <v>0</v>
          </cell>
          <cell r="X73">
            <v>0</v>
          </cell>
          <cell r="Y73">
            <v>0</v>
          </cell>
          <cell r="Z73">
            <v>5.274</v>
          </cell>
          <cell r="AA73">
            <v>0</v>
          </cell>
          <cell r="AB73">
            <v>5.274</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V73">
            <v>0</v>
          </cell>
          <cell r="AW73">
            <v>0</v>
          </cell>
          <cell r="AX73">
            <v>0</v>
          </cell>
          <cell r="AY73">
            <v>0</v>
          </cell>
          <cell r="AZ73">
            <v>0</v>
          </cell>
          <cell r="BA73">
            <v>0</v>
          </cell>
          <cell r="BC73">
            <v>0</v>
          </cell>
          <cell r="BD73">
            <v>0</v>
          </cell>
          <cell r="BE73">
            <v>0</v>
          </cell>
          <cell r="BF73">
            <v>0</v>
          </cell>
          <cell r="BG73">
            <v>0</v>
          </cell>
          <cell r="BH73">
            <v>0</v>
          </cell>
          <cell r="BO73">
            <v>0</v>
          </cell>
          <cell r="BP73">
            <v>0</v>
          </cell>
          <cell r="BQ73">
            <v>0</v>
          </cell>
          <cell r="BR73">
            <v>0</v>
          </cell>
          <cell r="BS73">
            <v>0</v>
          </cell>
          <cell r="BT73">
            <v>0</v>
          </cell>
          <cell r="CA73">
            <v>0</v>
          </cell>
          <cell r="CB73">
            <v>0</v>
          </cell>
          <cell r="CC73">
            <v>0</v>
          </cell>
          <cell r="CD73">
            <v>0</v>
          </cell>
          <cell r="CF73" t="str">
            <v>mstag:incomeLossFromExtraordinaryItemsNetOfTax</v>
          </cell>
          <cell r="CG73">
            <v>6</v>
          </cell>
          <cell r="CH73" t="str">
            <v>ISO4217:USD</v>
          </cell>
          <cell r="CI73" t="b">
            <v>0</v>
          </cell>
          <cell r="CJ73" t="b">
            <v>0</v>
          </cell>
        </row>
        <row r="74">
          <cell r="A74" t="str">
            <v>Discontinued operations, net:</v>
          </cell>
          <cell r="AI74">
            <v>0</v>
          </cell>
          <cell r="AJ74">
            <v>0</v>
          </cell>
          <cell r="CB74">
            <v>0</v>
          </cell>
          <cell r="CC74">
            <v>0</v>
          </cell>
          <cell r="CD74">
            <v>0</v>
          </cell>
        </row>
        <row r="75">
          <cell r="A75" t="str">
            <v>(Loss)/income of discontinued operations</v>
          </cell>
          <cell r="C75">
            <v>0</v>
          </cell>
          <cell r="D75">
            <v>0</v>
          </cell>
          <cell r="E75">
            <v>0</v>
          </cell>
          <cell r="F75">
            <v>0</v>
          </cell>
          <cell r="G75">
            <v>0</v>
          </cell>
          <cell r="H75">
            <v>0</v>
          </cell>
          <cell r="I75">
            <v>0</v>
          </cell>
          <cell r="J75">
            <v>0</v>
          </cell>
          <cell r="K75">
            <v>0</v>
          </cell>
          <cell r="M75">
            <v>0</v>
          </cell>
          <cell r="N75">
            <v>0</v>
          </cell>
          <cell r="O75">
            <v>0</v>
          </cell>
          <cell r="P75">
            <v>0</v>
          </cell>
          <cell r="Q75">
            <v>0</v>
          </cell>
          <cell r="R75">
            <v>0</v>
          </cell>
          <cell r="S75">
            <v>0</v>
          </cell>
          <cell r="T75">
            <v>0</v>
          </cell>
          <cell r="U75">
            <v>0</v>
          </cell>
          <cell r="V75">
            <v>0</v>
          </cell>
          <cell r="X75">
            <v>0</v>
          </cell>
          <cell r="Y75">
            <v>0</v>
          </cell>
          <cell r="Z75">
            <v>0</v>
          </cell>
          <cell r="AA75">
            <v>0</v>
          </cell>
          <cell r="AB75">
            <v>0</v>
          </cell>
          <cell r="AD75">
            <v>0</v>
          </cell>
          <cell r="AE75">
            <v>0</v>
          </cell>
          <cell r="AF75">
            <v>0</v>
          </cell>
          <cell r="AG75">
            <v>0</v>
          </cell>
          <cell r="AH75">
            <v>0</v>
          </cell>
          <cell r="AI75">
            <v>0</v>
          </cell>
          <cell r="AJ75">
            <v>0</v>
          </cell>
          <cell r="AK75">
            <v>-1.9650000000000001</v>
          </cell>
          <cell r="AL75">
            <v>-1.1779999999999997</v>
          </cell>
          <cell r="AM75">
            <v>-3.1429999999999998</v>
          </cell>
          <cell r="AN75">
            <v>0</v>
          </cell>
          <cell r="AO75">
            <v>-3.9470000000000001</v>
          </cell>
          <cell r="AP75">
            <v>0</v>
          </cell>
          <cell r="AQ75">
            <v>0</v>
          </cell>
          <cell r="AR75">
            <v>8.2000000000000003E-2</v>
          </cell>
          <cell r="AS75">
            <v>0</v>
          </cell>
          <cell r="AT75">
            <v>0</v>
          </cell>
          <cell r="AV75">
            <v>-0.87</v>
          </cell>
          <cell r="AW75">
            <v>-0.36699999999999999</v>
          </cell>
          <cell r="AX75">
            <v>-3.1890000000000001</v>
          </cell>
          <cell r="AY75">
            <v>-2.2519999999999998</v>
          </cell>
          <cell r="AZ75">
            <v>-7.2789999999999999</v>
          </cell>
          <cell r="BA75">
            <v>-0.60099999999999998</v>
          </cell>
          <cell r="BC75">
            <v>-5.4729999999999999</v>
          </cell>
          <cell r="BD75">
            <v>-1.151</v>
          </cell>
          <cell r="BE75">
            <v>-1.18</v>
          </cell>
          <cell r="BF75">
            <v>-2.7010000000000001</v>
          </cell>
          <cell r="BG75">
            <v>-10.504999999999999</v>
          </cell>
          <cell r="BO75">
            <v>-0.65700000000000003</v>
          </cell>
          <cell r="BP75">
            <v>0</v>
          </cell>
          <cell r="BQ75">
            <v>0</v>
          </cell>
          <cell r="BR75">
            <v>0</v>
          </cell>
          <cell r="BS75">
            <v>-0.65700000000000003</v>
          </cell>
          <cell r="CA75">
            <v>0</v>
          </cell>
          <cell r="CB75">
            <v>0</v>
          </cell>
          <cell r="CC75">
            <v>0</v>
          </cell>
          <cell r="CD75">
            <v>0</v>
          </cell>
        </row>
        <row r="76">
          <cell r="A76" t="str">
            <v>Impairment on discontinued operations</v>
          </cell>
          <cell r="C76">
            <v>0</v>
          </cell>
          <cell r="D76">
            <v>0</v>
          </cell>
          <cell r="E76">
            <v>0</v>
          </cell>
          <cell r="F76">
            <v>0</v>
          </cell>
          <cell r="G76">
            <v>0</v>
          </cell>
          <cell r="H76">
            <v>0</v>
          </cell>
          <cell r="I76">
            <v>0</v>
          </cell>
          <cell r="J76">
            <v>0</v>
          </cell>
          <cell r="K76">
            <v>0</v>
          </cell>
          <cell r="M76">
            <v>0</v>
          </cell>
          <cell r="N76">
            <v>0</v>
          </cell>
          <cell r="O76">
            <v>0</v>
          </cell>
          <cell r="P76">
            <v>0</v>
          </cell>
          <cell r="Q76">
            <v>0</v>
          </cell>
          <cell r="R76">
            <v>0</v>
          </cell>
          <cell r="S76">
            <v>0</v>
          </cell>
          <cell r="T76">
            <v>0</v>
          </cell>
          <cell r="U76">
            <v>0</v>
          </cell>
          <cell r="V76">
            <v>0</v>
          </cell>
          <cell r="X76">
            <v>0</v>
          </cell>
          <cell r="Y76">
            <v>0</v>
          </cell>
          <cell r="Z76">
            <v>0</v>
          </cell>
          <cell r="AA76">
            <v>0</v>
          </cell>
          <cell r="AB76">
            <v>0</v>
          </cell>
          <cell r="AD76">
            <v>0</v>
          </cell>
          <cell r="AE76">
            <v>0</v>
          </cell>
          <cell r="AF76">
            <v>0</v>
          </cell>
          <cell r="AG76">
            <v>0</v>
          </cell>
          <cell r="AH76">
            <v>0</v>
          </cell>
          <cell r="AI76">
            <v>0</v>
          </cell>
          <cell r="AJ76">
            <v>0</v>
          </cell>
          <cell r="AK76">
            <v>-1.625</v>
          </cell>
          <cell r="AL76">
            <v>0</v>
          </cell>
          <cell r="AM76">
            <v>-1.625</v>
          </cell>
          <cell r="AN76">
            <v>0</v>
          </cell>
          <cell r="AO76">
            <v>0</v>
          </cell>
          <cell r="AP76">
            <v>0</v>
          </cell>
          <cell r="AQ76">
            <v>0</v>
          </cell>
          <cell r="AR76">
            <v>0</v>
          </cell>
          <cell r="AS76">
            <v>0</v>
          </cell>
          <cell r="AT76">
            <v>0</v>
          </cell>
          <cell r="AV76">
            <v>0</v>
          </cell>
          <cell r="AW76">
            <v>0</v>
          </cell>
          <cell r="AX76">
            <v>0</v>
          </cell>
          <cell r="AY76">
            <v>0</v>
          </cell>
          <cell r="AZ76">
            <v>-1.625</v>
          </cell>
          <cell r="BA76">
            <v>-1.625</v>
          </cell>
          <cell r="BC76">
            <v>0</v>
          </cell>
          <cell r="BD76">
            <v>-4.4710000000000001</v>
          </cell>
          <cell r="BE76">
            <v>0</v>
          </cell>
          <cell r="BF76">
            <v>0</v>
          </cell>
          <cell r="BG76">
            <v>-4.4710000000000001</v>
          </cell>
          <cell r="BO76">
            <v>0</v>
          </cell>
          <cell r="BP76">
            <v>0</v>
          </cell>
          <cell r="BQ76">
            <v>0</v>
          </cell>
          <cell r="BR76">
            <v>0</v>
          </cell>
          <cell r="BS76">
            <v>0</v>
          </cell>
          <cell r="CA76">
            <v>0</v>
          </cell>
          <cell r="CB76">
            <v>0</v>
          </cell>
          <cell r="CC76">
            <v>0</v>
          </cell>
          <cell r="CD76">
            <v>0</v>
          </cell>
        </row>
        <row r="77">
          <cell r="A77" t="str">
            <v>(Loss)/gain on sale</v>
          </cell>
          <cell r="C77">
            <v>0</v>
          </cell>
          <cell r="D77">
            <v>0</v>
          </cell>
          <cell r="E77">
            <v>0</v>
          </cell>
          <cell r="F77">
            <v>0</v>
          </cell>
          <cell r="G77">
            <v>0</v>
          </cell>
          <cell r="H77">
            <v>0</v>
          </cell>
          <cell r="I77">
            <v>0</v>
          </cell>
          <cell r="J77">
            <v>0</v>
          </cell>
          <cell r="K77">
            <v>0</v>
          </cell>
          <cell r="M77">
            <v>0</v>
          </cell>
          <cell r="N77">
            <v>0</v>
          </cell>
          <cell r="O77">
            <v>0</v>
          </cell>
          <cell r="P77">
            <v>0</v>
          </cell>
          <cell r="Q77">
            <v>0</v>
          </cell>
          <cell r="R77">
            <v>0</v>
          </cell>
          <cell r="S77">
            <v>0</v>
          </cell>
          <cell r="T77">
            <v>0</v>
          </cell>
          <cell r="U77">
            <v>0</v>
          </cell>
          <cell r="V77">
            <v>0</v>
          </cell>
          <cell r="X77">
            <v>0</v>
          </cell>
          <cell r="Y77">
            <v>0</v>
          </cell>
          <cell r="Z77">
            <v>0</v>
          </cell>
          <cell r="AA77">
            <v>0</v>
          </cell>
          <cell r="AB77">
            <v>0</v>
          </cell>
          <cell r="AD77">
            <v>0</v>
          </cell>
          <cell r="AE77">
            <v>0</v>
          </cell>
          <cell r="AF77">
            <v>0</v>
          </cell>
          <cell r="AG77">
            <v>0</v>
          </cell>
          <cell r="AH77">
            <v>0</v>
          </cell>
          <cell r="AI77">
            <v>0</v>
          </cell>
          <cell r="AJ77">
            <v>0</v>
          </cell>
          <cell r="AK77">
            <v>-2.02</v>
          </cell>
          <cell r="AL77">
            <v>0</v>
          </cell>
          <cell r="AM77">
            <v>-2.02</v>
          </cell>
          <cell r="AN77">
            <v>0</v>
          </cell>
          <cell r="AO77">
            <v>0</v>
          </cell>
          <cell r="AP77">
            <v>0</v>
          </cell>
          <cell r="AQ77">
            <v>0</v>
          </cell>
          <cell r="AR77">
            <v>0</v>
          </cell>
          <cell r="AS77">
            <v>0</v>
          </cell>
          <cell r="AT77">
            <v>0</v>
          </cell>
          <cell r="AV77">
            <v>0</v>
          </cell>
          <cell r="AW77">
            <v>0</v>
          </cell>
          <cell r="AX77">
            <v>-3.645</v>
          </cell>
          <cell r="AY77">
            <v>0</v>
          </cell>
          <cell r="AZ77">
            <v>-2.02</v>
          </cell>
          <cell r="BA77">
            <v>1.625</v>
          </cell>
          <cell r="BC77">
            <v>-7.6180000000000003</v>
          </cell>
          <cell r="BD77">
            <v>0</v>
          </cell>
          <cell r="BE77">
            <v>0</v>
          </cell>
          <cell r="BF77">
            <v>0</v>
          </cell>
          <cell r="BG77">
            <v>-7.6180000000000003</v>
          </cell>
          <cell r="BO77">
            <v>-2.5590000000000002</v>
          </cell>
          <cell r="BP77">
            <v>0</v>
          </cell>
          <cell r="BQ77">
            <v>0</v>
          </cell>
          <cell r="BR77">
            <v>0</v>
          </cell>
          <cell r="BS77">
            <v>-2.5590000000000002</v>
          </cell>
          <cell r="CA77">
            <v>0</v>
          </cell>
          <cell r="CB77">
            <v>0</v>
          </cell>
          <cell r="CC77">
            <v>0</v>
          </cell>
          <cell r="CD77">
            <v>0</v>
          </cell>
        </row>
        <row r="78">
          <cell r="A78" t="str">
            <v>Discontinued operations, net</v>
          </cell>
          <cell r="C78">
            <v>0</v>
          </cell>
          <cell r="D78">
            <v>0</v>
          </cell>
          <cell r="E78">
            <v>0</v>
          </cell>
          <cell r="F78">
            <v>0</v>
          </cell>
          <cell r="G78">
            <v>0</v>
          </cell>
          <cell r="H78">
            <v>0</v>
          </cell>
          <cell r="I78">
            <v>0</v>
          </cell>
          <cell r="J78">
            <v>0</v>
          </cell>
          <cell r="K78">
            <v>0</v>
          </cell>
          <cell r="M78">
            <v>0</v>
          </cell>
          <cell r="N78">
            <v>0</v>
          </cell>
          <cell r="O78">
            <v>0</v>
          </cell>
          <cell r="P78">
            <v>0</v>
          </cell>
          <cell r="Q78">
            <v>0</v>
          </cell>
          <cell r="R78">
            <v>0</v>
          </cell>
          <cell r="S78">
            <v>0</v>
          </cell>
          <cell r="T78">
            <v>0</v>
          </cell>
          <cell r="U78">
            <v>0</v>
          </cell>
          <cell r="V78">
            <v>0</v>
          </cell>
          <cell r="X78">
            <v>0</v>
          </cell>
          <cell r="Y78">
            <v>0</v>
          </cell>
          <cell r="Z78">
            <v>0</v>
          </cell>
          <cell r="AA78">
            <v>0</v>
          </cell>
          <cell r="AB78">
            <v>0</v>
          </cell>
          <cell r="AD78">
            <v>0</v>
          </cell>
          <cell r="AE78">
            <v>0</v>
          </cell>
          <cell r="AF78">
            <v>0</v>
          </cell>
          <cell r="AG78">
            <v>0</v>
          </cell>
          <cell r="AH78">
            <v>0</v>
          </cell>
          <cell r="AI78">
            <v>0</v>
          </cell>
          <cell r="AJ78">
            <v>0</v>
          </cell>
          <cell r="AK78">
            <v>-5.6099999999999994</v>
          </cell>
          <cell r="AL78">
            <v>-0.41299999999999998</v>
          </cell>
          <cell r="AM78">
            <v>-6.7880000000000003</v>
          </cell>
          <cell r="AN78">
            <v>-0.81699999999999995</v>
          </cell>
          <cell r="AO78">
            <v>-3.9470000000000001</v>
          </cell>
          <cell r="AP78">
            <v>0.17100000000000001</v>
          </cell>
          <cell r="AQ78">
            <v>-0.54100000000000004</v>
          </cell>
          <cell r="AR78">
            <v>8.2000000000000003E-2</v>
          </cell>
          <cell r="AS78">
            <v>-0.28899999999999998</v>
          </cell>
          <cell r="AT78">
            <v>-0.57699999999999996</v>
          </cell>
          <cell r="AV78">
            <v>-0.87</v>
          </cell>
          <cell r="AW78">
            <v>-0.36699999999999999</v>
          </cell>
          <cell r="AX78">
            <v>-6.8339999999999996</v>
          </cell>
          <cell r="AY78">
            <v>-2.2519999999999998</v>
          </cell>
          <cell r="AZ78">
            <v>-10.923999999999999</v>
          </cell>
          <cell r="BA78">
            <v>-0.60100000000000176</v>
          </cell>
          <cell r="BC78">
            <v>-13.091000000000001</v>
          </cell>
          <cell r="BD78">
            <v>-5.6219999999999999</v>
          </cell>
          <cell r="BE78">
            <v>-1.18</v>
          </cell>
          <cell r="BF78">
            <v>-2.7010000000000001</v>
          </cell>
          <cell r="BG78">
            <v>-22.594000000000001</v>
          </cell>
          <cell r="BO78">
            <v>-3.2160000000000002</v>
          </cell>
          <cell r="BP78">
            <v>0</v>
          </cell>
          <cell r="BQ78">
            <v>0</v>
          </cell>
          <cell r="BR78">
            <v>0</v>
          </cell>
          <cell r="BS78">
            <v>-3.2160000000000002</v>
          </cell>
          <cell r="CA78">
            <v>0</v>
          </cell>
          <cell r="CB78">
            <v>0</v>
          </cell>
          <cell r="CC78">
            <v>0</v>
          </cell>
          <cell r="CD78">
            <v>0</v>
          </cell>
          <cell r="CF78" t="str">
            <v>mstag:incomeLossFromDiscontinuedOperationsNetOfTax</v>
          </cell>
          <cell r="CG78">
            <v>6</v>
          </cell>
          <cell r="CH78" t="str">
            <v>ISO4217:USD</v>
          </cell>
          <cell r="CI78" t="b">
            <v>0</v>
          </cell>
          <cell r="CJ78" t="b">
            <v>0</v>
          </cell>
        </row>
        <row r="79">
          <cell r="A79" t="str">
            <v xml:space="preserve">Add: Convertible notes interest, net </v>
          </cell>
          <cell r="C79">
            <v>0</v>
          </cell>
          <cell r="D79">
            <v>0</v>
          </cell>
          <cell r="E79">
            <v>0</v>
          </cell>
          <cell r="F79">
            <v>0</v>
          </cell>
          <cell r="G79">
            <v>0</v>
          </cell>
          <cell r="H79">
            <v>0</v>
          </cell>
          <cell r="I79">
            <v>0</v>
          </cell>
          <cell r="J79">
            <v>0</v>
          </cell>
          <cell r="K79">
            <v>0</v>
          </cell>
          <cell r="M79">
            <v>0</v>
          </cell>
          <cell r="N79">
            <v>0</v>
          </cell>
          <cell r="O79">
            <v>0</v>
          </cell>
          <cell r="P79">
            <v>0</v>
          </cell>
          <cell r="Q79">
            <v>0</v>
          </cell>
          <cell r="R79">
            <v>0</v>
          </cell>
          <cell r="S79">
            <v>0</v>
          </cell>
          <cell r="T79">
            <v>0</v>
          </cell>
          <cell r="U79">
            <v>0</v>
          </cell>
          <cell r="V79">
            <v>0</v>
          </cell>
          <cell r="W79">
            <v>0</v>
          </cell>
          <cell r="X79">
            <v>2.1890000000000001</v>
          </cell>
          <cell r="Y79">
            <v>0</v>
          </cell>
          <cell r="Z79">
            <v>2.2000000000000002</v>
          </cell>
          <cell r="AA79">
            <v>2.2000000000000002</v>
          </cell>
          <cell r="AB79">
            <v>8.7569999999999997</v>
          </cell>
          <cell r="AD79">
            <v>2.1890000000000001</v>
          </cell>
          <cell r="AE79">
            <v>2.1890000000000001</v>
          </cell>
          <cell r="AF79">
            <v>2.1890000000000001</v>
          </cell>
          <cell r="AG79">
            <v>2.19</v>
          </cell>
          <cell r="AH79">
            <v>8.7569999999999997</v>
          </cell>
          <cell r="AI79">
            <v>2.17</v>
          </cell>
          <cell r="AJ79">
            <v>2.1890000000000001</v>
          </cell>
          <cell r="AK79">
            <v>2.1890000000000001</v>
          </cell>
          <cell r="AL79">
            <v>2.19</v>
          </cell>
          <cell r="AM79">
            <v>8.7569999999999997</v>
          </cell>
          <cell r="AN79">
            <v>8.7569999999999997</v>
          </cell>
          <cell r="AO79">
            <v>8.7569999999999997</v>
          </cell>
          <cell r="AP79">
            <v>2.1890000000000001</v>
          </cell>
          <cell r="AQ79">
            <v>2.1890000000000001</v>
          </cell>
          <cell r="AR79">
            <v>2.1890000000000001</v>
          </cell>
          <cell r="AS79">
            <v>2.19</v>
          </cell>
          <cell r="AT79">
            <v>8.7569999999999997</v>
          </cell>
          <cell r="AU79">
            <v>0</v>
          </cell>
          <cell r="AV79">
            <v>2.1890000000000001</v>
          </cell>
          <cell r="AW79">
            <v>2.1890000000000001</v>
          </cell>
          <cell r="AX79">
            <v>2.1890000000000001</v>
          </cell>
          <cell r="AY79">
            <v>2.19</v>
          </cell>
          <cell r="AZ79">
            <v>8.7569999999999997</v>
          </cell>
          <cell r="BA79">
            <v>0</v>
          </cell>
          <cell r="BC79">
            <v>2.1890000000000001</v>
          </cell>
          <cell r="BD79">
            <v>2.1890000000000001</v>
          </cell>
          <cell r="BE79">
            <v>2.1890000000000001</v>
          </cell>
          <cell r="BF79">
            <v>1.998</v>
          </cell>
          <cell r="BG79">
            <v>8.5649999999999995</v>
          </cell>
          <cell r="BH79">
            <v>0</v>
          </cell>
          <cell r="BO79">
            <v>0.13500000000000001</v>
          </cell>
          <cell r="BP79">
            <v>0</v>
          </cell>
          <cell r="BQ79">
            <v>0</v>
          </cell>
          <cell r="BR79">
            <v>0</v>
          </cell>
          <cell r="BS79">
            <v>0.13500000000000001</v>
          </cell>
          <cell r="BT79">
            <v>0</v>
          </cell>
          <cell r="CA79">
            <v>0</v>
          </cell>
          <cell r="CB79">
            <v>0</v>
          </cell>
          <cell r="CC79">
            <v>0</v>
          </cell>
          <cell r="CD79">
            <v>0</v>
          </cell>
          <cell r="CF79" t="str">
            <v>mstag:adjustmentToNetIncomeForDilutiveItems</v>
          </cell>
          <cell r="CG79">
            <v>6</v>
          </cell>
          <cell r="CH79" t="str">
            <v>ISO4217:USD</v>
          </cell>
          <cell r="CI79" t="b">
            <v>0</v>
          </cell>
          <cell r="CJ79" t="b">
            <v>0</v>
          </cell>
        </row>
        <row r="80">
          <cell r="A80" t="str">
            <v>Net Income As Reported</v>
          </cell>
          <cell r="C80">
            <v>9.9469999999999725</v>
          </cell>
          <cell r="D80">
            <v>7.1900000000000261</v>
          </cell>
          <cell r="E80">
            <v>-32.173000000000023</v>
          </cell>
          <cell r="F80">
            <v>-183.28999999999991</v>
          </cell>
          <cell r="G80">
            <v>1.6480000000000157</v>
          </cell>
          <cell r="H80">
            <v>-1.8429999999999773</v>
          </cell>
          <cell r="I80">
            <v>-4.426999999999973</v>
          </cell>
          <cell r="J80">
            <v>-12.436999999999969</v>
          </cell>
          <cell r="K80">
            <v>-17.058999999999905</v>
          </cell>
          <cell r="L80">
            <v>0</v>
          </cell>
          <cell r="M80">
            <v>0.92100000000003712</v>
          </cell>
          <cell r="N80">
            <v>0.17800000000003235</v>
          </cell>
          <cell r="O80">
            <v>1.2579999999999827</v>
          </cell>
          <cell r="P80">
            <v>7.2120000000000237</v>
          </cell>
          <cell r="Q80">
            <v>9.5689999999999351</v>
          </cell>
          <cell r="R80">
            <v>11.027499999999975</v>
          </cell>
          <cell r="S80">
            <v>9.8305000000000167</v>
          </cell>
          <cell r="T80">
            <v>10.220500000000007</v>
          </cell>
          <cell r="U80">
            <v>14.202999999999982</v>
          </cell>
          <cell r="V80">
            <v>45.281499999999944</v>
          </cell>
          <cell r="W80">
            <v>-3.3750779948604759E-14</v>
          </cell>
          <cell r="X80">
            <v>27.176000000000016</v>
          </cell>
          <cell r="Y80">
            <v>24.276999999999976</v>
          </cell>
          <cell r="Z80">
            <v>20.255999999999986</v>
          </cell>
          <cell r="AA80">
            <v>28.411000000000076</v>
          </cell>
          <cell r="AB80">
            <v>100.11999999999989</v>
          </cell>
          <cell r="AC80">
            <v>-1.5987211554602254E-13</v>
          </cell>
          <cell r="AD80">
            <v>33.539000000000065</v>
          </cell>
          <cell r="AE80">
            <v>30.616000000000042</v>
          </cell>
          <cell r="AF80">
            <v>31.683000000000082</v>
          </cell>
          <cell r="AG80">
            <v>35.634000000000007</v>
          </cell>
          <cell r="AH80">
            <v>131.47200000000052</v>
          </cell>
          <cell r="AI80">
            <v>40.775999999999989</v>
          </cell>
          <cell r="AJ80">
            <v>38.438999999999979</v>
          </cell>
          <cell r="AK80">
            <v>32.039000000000016</v>
          </cell>
          <cell r="AL80">
            <v>40.229000000000013</v>
          </cell>
          <cell r="AM80">
            <v>151.43299999999999</v>
          </cell>
          <cell r="AN80">
            <v>99.983999999999881</v>
          </cell>
          <cell r="AO80">
            <v>131.47200000000007</v>
          </cell>
          <cell r="AP80">
            <v>33.539000000000001</v>
          </cell>
          <cell r="AQ80">
            <v>30.616</v>
          </cell>
          <cell r="AR80">
            <v>31.683000000000007</v>
          </cell>
          <cell r="AS80">
            <v>35.634</v>
          </cell>
          <cell r="AT80">
            <v>131.47199999999992</v>
          </cell>
          <cell r="AU80">
            <v>3.1974423109204508E-13</v>
          </cell>
          <cell r="AV80">
            <v>41.318000000000147</v>
          </cell>
          <cell r="AW80">
            <v>38.438999999999972</v>
          </cell>
          <cell r="AX80">
            <v>31.826000000000111</v>
          </cell>
          <cell r="AY80">
            <v>40.588999999999992</v>
          </cell>
          <cell r="AZ80">
            <v>151.43299999999988</v>
          </cell>
          <cell r="BC80">
            <v>35.987999999999978</v>
          </cell>
          <cell r="BD80">
            <v>40.87700000000001</v>
          </cell>
          <cell r="BE80">
            <v>42.886000000000003</v>
          </cell>
          <cell r="BF80">
            <v>48.142000000000017</v>
          </cell>
          <cell r="BG80">
            <v>168.39300000000048</v>
          </cell>
          <cell r="BH80">
            <v>0.50000000000048317</v>
          </cell>
          <cell r="BI80">
            <v>-0.12899946754441527</v>
          </cell>
          <cell r="BJ80">
            <v>6.3425167147949768E-2</v>
          </cell>
          <cell r="BK80">
            <v>0.34751461069565304</v>
          </cell>
          <cell r="BL80">
            <v>0.18608489984971355</v>
          </cell>
          <cell r="BM80">
            <v>0.11199672462409516</v>
          </cell>
          <cell r="BO80">
            <v>54.037999999999762</v>
          </cell>
          <cell r="BP80">
            <v>52.369000000000078</v>
          </cell>
          <cell r="BQ80">
            <v>55.168885853581244</v>
          </cell>
          <cell r="BR80">
            <v>54.573236274836155</v>
          </cell>
          <cell r="BS80">
            <v>215.96462962841713</v>
          </cell>
          <cell r="BT80">
            <v>-0.18449250000011119</v>
          </cell>
          <cell r="BU80">
            <v>0.50155607424696558</v>
          </cell>
          <cell r="BV80">
            <v>0.28113609120043215</v>
          </cell>
          <cell r="BW80">
            <v>0.28640782198342674</v>
          </cell>
          <cell r="BX80">
            <v>0.1335888885969867</v>
          </cell>
          <cell r="BY80">
            <v>0.28250360542550168</v>
          </cell>
          <cell r="CA80">
            <v>232.58393546395308</v>
          </cell>
          <cell r="CB80">
            <v>253.95442760642274</v>
          </cell>
          <cell r="CC80">
            <v>252.75686616224075</v>
          </cell>
          <cell r="CD80">
            <v>278.10728547788119</v>
          </cell>
        </row>
        <row r="82">
          <cell r="A82" t="str">
            <v>Discontinued operations, net</v>
          </cell>
          <cell r="C82">
            <v>0</v>
          </cell>
          <cell r="D82">
            <v>0</v>
          </cell>
          <cell r="E82">
            <v>0</v>
          </cell>
          <cell r="F82">
            <v>0</v>
          </cell>
          <cell r="G82">
            <v>0</v>
          </cell>
          <cell r="H82">
            <v>0</v>
          </cell>
          <cell r="I82">
            <v>0</v>
          </cell>
          <cell r="J82">
            <v>0</v>
          </cell>
          <cell r="K82">
            <v>0</v>
          </cell>
          <cell r="M82">
            <v>0</v>
          </cell>
          <cell r="N82">
            <v>0</v>
          </cell>
          <cell r="O82">
            <v>0</v>
          </cell>
          <cell r="P82">
            <v>0</v>
          </cell>
          <cell r="Q82">
            <v>0</v>
          </cell>
          <cell r="R82">
            <v>0</v>
          </cell>
          <cell r="S82">
            <v>0</v>
          </cell>
          <cell r="T82">
            <v>0</v>
          </cell>
          <cell r="U82">
            <v>0</v>
          </cell>
          <cell r="V82">
            <v>0</v>
          </cell>
          <cell r="X82">
            <v>0</v>
          </cell>
          <cell r="Y82">
            <v>0</v>
          </cell>
          <cell r="Z82">
            <v>0</v>
          </cell>
          <cell r="AA82">
            <v>0</v>
          </cell>
          <cell r="AB82">
            <v>0</v>
          </cell>
          <cell r="AD82">
            <v>0</v>
          </cell>
          <cell r="AE82">
            <v>0</v>
          </cell>
          <cell r="AF82">
            <v>0</v>
          </cell>
          <cell r="AG82">
            <v>0</v>
          </cell>
          <cell r="AH82">
            <v>0</v>
          </cell>
          <cell r="AI82">
            <v>0</v>
          </cell>
          <cell r="AJ82">
            <v>0</v>
          </cell>
          <cell r="AK82">
            <v>5.6099999999999994</v>
          </cell>
          <cell r="AL82">
            <v>0.41299999999999998</v>
          </cell>
          <cell r="AM82">
            <v>6.7880000000000003</v>
          </cell>
          <cell r="AN82">
            <v>0.81699999999999995</v>
          </cell>
          <cell r="AO82">
            <v>3.9470000000000001</v>
          </cell>
          <cell r="AP82">
            <v>-0.17100000000000001</v>
          </cell>
          <cell r="AQ82">
            <v>0.54100000000000004</v>
          </cell>
          <cell r="AR82">
            <v>-8.2000000000000003E-2</v>
          </cell>
          <cell r="AS82">
            <v>0.28899999999999998</v>
          </cell>
          <cell r="AT82">
            <v>0.57699999999999996</v>
          </cell>
          <cell r="AV82">
            <v>0.87</v>
          </cell>
          <cell r="AW82">
            <v>0.36699999999999999</v>
          </cell>
          <cell r="AX82">
            <v>6.8339999999999996</v>
          </cell>
          <cell r="AY82">
            <v>2.2519999999999998</v>
          </cell>
          <cell r="AZ82">
            <v>10.923999999999999</v>
          </cell>
          <cell r="BC82">
            <v>13.091000000000001</v>
          </cell>
          <cell r="BD82">
            <v>5.6219999999999999</v>
          </cell>
          <cell r="BE82">
            <v>1.18</v>
          </cell>
          <cell r="BF82">
            <v>2.7010000000000001</v>
          </cell>
          <cell r="BG82">
            <v>22.594000000000001</v>
          </cell>
          <cell r="BO82">
            <v>3.2160000000000002</v>
          </cell>
          <cell r="BP82">
            <v>0</v>
          </cell>
          <cell r="BQ82">
            <v>0</v>
          </cell>
          <cell r="BR82">
            <v>0</v>
          </cell>
          <cell r="BS82">
            <v>3.2160000000000002</v>
          </cell>
          <cell r="CA82">
            <v>0</v>
          </cell>
          <cell r="CB82">
            <v>0</v>
          </cell>
          <cell r="CC82">
            <v>0</v>
          </cell>
          <cell r="CD82">
            <v>0</v>
          </cell>
        </row>
        <row r="83">
          <cell r="A83" t="str">
            <v>Compliance settlement and Year 2000 redemption, net</v>
          </cell>
          <cell r="C83">
            <v>0</v>
          </cell>
          <cell r="D83">
            <v>0</v>
          </cell>
          <cell r="E83">
            <v>0</v>
          </cell>
          <cell r="F83">
            <v>13.13585</v>
          </cell>
          <cell r="G83">
            <v>0.19499999999999953</v>
          </cell>
          <cell r="H83">
            <v>0.39</v>
          </cell>
          <cell r="I83">
            <v>0.52</v>
          </cell>
          <cell r="J83">
            <v>10.12635</v>
          </cell>
          <cell r="K83">
            <v>11.231350000000001</v>
          </cell>
          <cell r="M83">
            <v>0</v>
          </cell>
          <cell r="N83">
            <v>0</v>
          </cell>
          <cell r="O83">
            <v>0</v>
          </cell>
          <cell r="P83">
            <v>0</v>
          </cell>
          <cell r="Q83">
            <v>0</v>
          </cell>
          <cell r="R83">
            <v>0</v>
          </cell>
          <cell r="S83">
            <v>0</v>
          </cell>
          <cell r="T83">
            <v>0</v>
          </cell>
          <cell r="U83">
            <v>0</v>
          </cell>
          <cell r="V83">
            <v>0</v>
          </cell>
          <cell r="X83">
            <v>0</v>
          </cell>
          <cell r="Y83">
            <v>0</v>
          </cell>
          <cell r="Z83">
            <v>0</v>
          </cell>
          <cell r="AA83">
            <v>0</v>
          </cell>
          <cell r="AB83">
            <v>0</v>
          </cell>
          <cell r="AD83">
            <v>0</v>
          </cell>
          <cell r="AE83">
            <v>0</v>
          </cell>
          <cell r="AF83">
            <v>0</v>
          </cell>
          <cell r="AG83">
            <v>0</v>
          </cell>
          <cell r="AH83">
            <v>0</v>
          </cell>
          <cell r="AI83">
            <v>0</v>
          </cell>
          <cell r="AJ83">
            <v>0</v>
          </cell>
          <cell r="AK83">
            <v>0</v>
          </cell>
          <cell r="AL83">
            <v>0</v>
          </cell>
          <cell r="AM83">
            <v>0</v>
          </cell>
          <cell r="AN83">
            <v>0</v>
          </cell>
          <cell r="AO83">
            <v>0</v>
          </cell>
          <cell r="AR83">
            <v>0</v>
          </cell>
          <cell r="AS83">
            <v>0</v>
          </cell>
          <cell r="AT83">
            <v>0</v>
          </cell>
          <cell r="AV83">
            <v>0</v>
          </cell>
          <cell r="AW83">
            <v>0</v>
          </cell>
          <cell r="AX83">
            <v>0</v>
          </cell>
          <cell r="AY83">
            <v>0</v>
          </cell>
          <cell r="AZ83">
            <v>0</v>
          </cell>
          <cell r="BC83">
            <v>0</v>
          </cell>
          <cell r="BD83">
            <v>0</v>
          </cell>
          <cell r="BE83">
            <v>0</v>
          </cell>
          <cell r="BF83">
            <v>0</v>
          </cell>
          <cell r="BG83">
            <v>0</v>
          </cell>
          <cell r="BO83">
            <v>0</v>
          </cell>
          <cell r="BP83">
            <v>0</v>
          </cell>
          <cell r="BQ83">
            <v>0</v>
          </cell>
          <cell r="BR83">
            <v>0</v>
          </cell>
          <cell r="BS83">
            <v>0</v>
          </cell>
          <cell r="CA83">
            <v>0</v>
          </cell>
          <cell r="CB83">
            <v>0</v>
          </cell>
          <cell r="CC83">
            <v>0</v>
          </cell>
          <cell r="CD83">
            <v>0</v>
          </cell>
          <cell r="CF83" t="str">
            <v>mstag:otherProvisionsOneTime</v>
          </cell>
          <cell r="CG83">
            <v>6</v>
          </cell>
          <cell r="CH83" t="str">
            <v>ISO4217:USD</v>
          </cell>
          <cell r="CI83" t="b">
            <v>0</v>
          </cell>
          <cell r="CJ83" t="b">
            <v>0</v>
          </cell>
        </row>
        <row r="84">
          <cell r="A84" t="str">
            <v>Loss (gain) from hospital sales, net</v>
          </cell>
          <cell r="C84">
            <v>0</v>
          </cell>
          <cell r="D84">
            <v>2.0449000000000002</v>
          </cell>
          <cell r="E84">
            <v>0</v>
          </cell>
          <cell r="F84">
            <v>0</v>
          </cell>
          <cell r="G84">
            <v>0</v>
          </cell>
          <cell r="H84">
            <v>0</v>
          </cell>
          <cell r="I84">
            <v>0</v>
          </cell>
          <cell r="J84">
            <v>0</v>
          </cell>
          <cell r="K84">
            <v>0</v>
          </cell>
          <cell r="M84">
            <v>0</v>
          </cell>
          <cell r="N84">
            <v>0</v>
          </cell>
          <cell r="O84">
            <v>0</v>
          </cell>
          <cell r="P84">
            <v>0</v>
          </cell>
          <cell r="Q84">
            <v>0</v>
          </cell>
          <cell r="R84">
            <v>0</v>
          </cell>
          <cell r="S84">
            <v>0</v>
          </cell>
          <cell r="T84">
            <v>0</v>
          </cell>
          <cell r="U84">
            <v>0</v>
          </cell>
          <cell r="V84">
            <v>0</v>
          </cell>
          <cell r="X84">
            <v>0</v>
          </cell>
          <cell r="Y84">
            <v>0</v>
          </cell>
          <cell r="Z84">
            <v>0</v>
          </cell>
          <cell r="AA84">
            <v>0</v>
          </cell>
          <cell r="AB84">
            <v>0</v>
          </cell>
          <cell r="AD84">
            <v>0</v>
          </cell>
          <cell r="AE84">
            <v>0</v>
          </cell>
          <cell r="AF84">
            <v>0</v>
          </cell>
          <cell r="AG84">
            <v>0</v>
          </cell>
          <cell r="AH84">
            <v>0</v>
          </cell>
          <cell r="AI84">
            <v>0</v>
          </cell>
          <cell r="AJ84">
            <v>0</v>
          </cell>
          <cell r="AK84">
            <v>0</v>
          </cell>
          <cell r="AL84">
            <v>0</v>
          </cell>
          <cell r="AM84">
            <v>0</v>
          </cell>
          <cell r="AN84">
            <v>0</v>
          </cell>
          <cell r="AO84">
            <v>0</v>
          </cell>
          <cell r="AR84">
            <v>0</v>
          </cell>
          <cell r="AS84">
            <v>0</v>
          </cell>
          <cell r="AT84">
            <v>0</v>
          </cell>
          <cell r="AV84">
            <v>0</v>
          </cell>
          <cell r="AW84">
            <v>0</v>
          </cell>
          <cell r="AX84">
            <v>0</v>
          </cell>
          <cell r="AY84">
            <v>0</v>
          </cell>
          <cell r="AZ84">
            <v>0</v>
          </cell>
          <cell r="BC84">
            <v>0</v>
          </cell>
          <cell r="BD84">
            <v>0</v>
          </cell>
          <cell r="BE84">
            <v>0</v>
          </cell>
          <cell r="BF84">
            <v>0</v>
          </cell>
          <cell r="BG84">
            <v>0</v>
          </cell>
          <cell r="BO84">
            <v>0</v>
          </cell>
          <cell r="BP84">
            <v>0</v>
          </cell>
          <cell r="BQ84">
            <v>0</v>
          </cell>
          <cell r="BR84">
            <v>0</v>
          </cell>
          <cell r="BS84">
            <v>0</v>
          </cell>
          <cell r="CA84">
            <v>0</v>
          </cell>
          <cell r="CB84">
            <v>0</v>
          </cell>
          <cell r="CC84">
            <v>0</v>
          </cell>
          <cell r="CD84">
            <v>0</v>
          </cell>
          <cell r="CF84" t="str">
            <v>mstag:gainsLossesFromSaleOfOperatingAssetsOneTimeIncomeStatement</v>
          </cell>
          <cell r="CG84">
            <v>6</v>
          </cell>
          <cell r="CH84" t="str">
            <v>ISO4217:USD</v>
          </cell>
          <cell r="CI84" t="b">
            <v>1</v>
          </cell>
          <cell r="CJ84" t="b">
            <v>0</v>
          </cell>
        </row>
        <row r="85">
          <cell r="A85" t="str">
            <v>Impairment of long-lived assets and relocation costs, net</v>
          </cell>
          <cell r="C85">
            <v>16.509999999999998</v>
          </cell>
          <cell r="D85">
            <v>10.175750000000001</v>
          </cell>
          <cell r="E85">
            <v>0</v>
          </cell>
          <cell r="F85">
            <v>107.14145000000001</v>
          </cell>
          <cell r="G85">
            <v>0</v>
          </cell>
          <cell r="H85">
            <v>0</v>
          </cell>
          <cell r="I85">
            <v>0</v>
          </cell>
          <cell r="J85">
            <v>0</v>
          </cell>
          <cell r="K85">
            <v>0</v>
          </cell>
          <cell r="M85">
            <v>0</v>
          </cell>
          <cell r="N85">
            <v>0</v>
          </cell>
          <cell r="O85">
            <v>0</v>
          </cell>
          <cell r="P85">
            <v>0</v>
          </cell>
          <cell r="Q85">
            <v>0</v>
          </cell>
          <cell r="R85">
            <v>0</v>
          </cell>
          <cell r="S85">
            <v>0</v>
          </cell>
          <cell r="T85">
            <v>0</v>
          </cell>
          <cell r="U85">
            <v>0</v>
          </cell>
          <cell r="V85">
            <v>0</v>
          </cell>
          <cell r="X85">
            <v>0</v>
          </cell>
          <cell r="Y85">
            <v>0</v>
          </cell>
          <cell r="Z85">
            <v>0</v>
          </cell>
          <cell r="AA85">
            <v>0</v>
          </cell>
          <cell r="AB85">
            <v>0</v>
          </cell>
          <cell r="AD85">
            <v>0</v>
          </cell>
          <cell r="AE85">
            <v>0</v>
          </cell>
          <cell r="AF85">
            <v>0</v>
          </cell>
          <cell r="AG85">
            <v>0</v>
          </cell>
          <cell r="AH85">
            <v>0</v>
          </cell>
          <cell r="AI85">
            <v>0</v>
          </cell>
          <cell r="AJ85">
            <v>0</v>
          </cell>
          <cell r="AK85">
            <v>0</v>
          </cell>
          <cell r="AL85">
            <v>0</v>
          </cell>
          <cell r="AM85">
            <v>0</v>
          </cell>
          <cell r="AN85">
            <v>0</v>
          </cell>
          <cell r="AO85">
            <v>0</v>
          </cell>
          <cell r="AR85">
            <v>0</v>
          </cell>
          <cell r="AS85">
            <v>0</v>
          </cell>
          <cell r="AT85">
            <v>0</v>
          </cell>
          <cell r="AV85">
            <v>0</v>
          </cell>
          <cell r="AW85">
            <v>0</v>
          </cell>
          <cell r="AX85">
            <v>0</v>
          </cell>
          <cell r="AY85">
            <v>0</v>
          </cell>
          <cell r="AZ85">
            <v>0</v>
          </cell>
          <cell r="BC85">
            <v>0</v>
          </cell>
          <cell r="BD85">
            <v>0</v>
          </cell>
          <cell r="BE85">
            <v>0</v>
          </cell>
          <cell r="BF85">
            <v>0</v>
          </cell>
          <cell r="BG85">
            <v>0</v>
          </cell>
          <cell r="BO85">
            <v>0</v>
          </cell>
          <cell r="BP85">
            <v>0</v>
          </cell>
          <cell r="BQ85">
            <v>0</v>
          </cell>
          <cell r="BR85">
            <v>0</v>
          </cell>
          <cell r="BS85">
            <v>0</v>
          </cell>
          <cell r="CA85">
            <v>0</v>
          </cell>
          <cell r="CB85">
            <v>0</v>
          </cell>
          <cell r="CC85">
            <v>0</v>
          </cell>
          <cell r="CD85">
            <v>0</v>
          </cell>
          <cell r="CF85" t="str">
            <v>mstag:assetImpairmentNonGoodwillOneTimeIncomeStatement</v>
          </cell>
          <cell r="CG85">
            <v>6</v>
          </cell>
          <cell r="CH85" t="str">
            <v>ISO4217:USD</v>
          </cell>
          <cell r="CI85" t="b">
            <v>0</v>
          </cell>
          <cell r="CJ85" t="b">
            <v>0</v>
          </cell>
        </row>
        <row r="86">
          <cell r="A86" t="str">
            <v>Cumulative effect of a change in accounting principle</v>
          </cell>
          <cell r="C86">
            <v>0</v>
          </cell>
          <cell r="D86">
            <v>0</v>
          </cell>
          <cell r="E86">
            <v>0</v>
          </cell>
          <cell r="F86">
            <v>0.35199999999999998</v>
          </cell>
          <cell r="G86">
            <v>0</v>
          </cell>
          <cell r="H86">
            <v>0</v>
          </cell>
          <cell r="I86">
            <v>0</v>
          </cell>
          <cell r="J86">
            <v>0</v>
          </cell>
          <cell r="K86">
            <v>0</v>
          </cell>
          <cell r="M86">
            <v>0</v>
          </cell>
          <cell r="N86">
            <v>0</v>
          </cell>
          <cell r="O86">
            <v>0</v>
          </cell>
          <cell r="P86">
            <v>0</v>
          </cell>
          <cell r="Q86">
            <v>0</v>
          </cell>
          <cell r="R86">
            <v>0</v>
          </cell>
          <cell r="S86">
            <v>0</v>
          </cell>
          <cell r="T86">
            <v>0</v>
          </cell>
          <cell r="U86">
            <v>0</v>
          </cell>
          <cell r="V86">
            <v>0</v>
          </cell>
          <cell r="X86">
            <v>0</v>
          </cell>
          <cell r="Y86">
            <v>0</v>
          </cell>
          <cell r="Z86">
            <v>0</v>
          </cell>
          <cell r="AA86">
            <v>0</v>
          </cell>
          <cell r="AB86">
            <v>0</v>
          </cell>
          <cell r="AD86">
            <v>0</v>
          </cell>
          <cell r="AE86">
            <v>0</v>
          </cell>
          <cell r="AF86">
            <v>0</v>
          </cell>
          <cell r="AG86">
            <v>0</v>
          </cell>
          <cell r="AH86">
            <v>0</v>
          </cell>
          <cell r="AI86">
            <v>0</v>
          </cell>
          <cell r="AJ86">
            <v>0</v>
          </cell>
          <cell r="AK86">
            <v>0</v>
          </cell>
          <cell r="AL86">
            <v>0</v>
          </cell>
          <cell r="AM86">
            <v>0</v>
          </cell>
          <cell r="AN86">
            <v>0</v>
          </cell>
          <cell r="AO86">
            <v>0</v>
          </cell>
          <cell r="AR86">
            <v>0</v>
          </cell>
          <cell r="AS86">
            <v>0</v>
          </cell>
          <cell r="AT86">
            <v>0</v>
          </cell>
          <cell r="AV86">
            <v>0</v>
          </cell>
          <cell r="AW86">
            <v>0</v>
          </cell>
          <cell r="AX86">
            <v>0</v>
          </cell>
          <cell r="AY86">
            <v>0</v>
          </cell>
          <cell r="AZ86">
            <v>0</v>
          </cell>
          <cell r="BC86">
            <v>0</v>
          </cell>
          <cell r="BD86">
            <v>0</v>
          </cell>
          <cell r="BE86">
            <v>0</v>
          </cell>
          <cell r="BF86">
            <v>0</v>
          </cell>
          <cell r="BG86">
            <v>0</v>
          </cell>
          <cell r="BO86">
            <v>0</v>
          </cell>
          <cell r="BP86">
            <v>0</v>
          </cell>
          <cell r="BQ86">
            <v>0</v>
          </cell>
          <cell r="BR86">
            <v>0</v>
          </cell>
          <cell r="BS86">
            <v>0</v>
          </cell>
          <cell r="CA86">
            <v>0</v>
          </cell>
          <cell r="CB86">
            <v>0</v>
          </cell>
          <cell r="CC86">
            <v>0</v>
          </cell>
          <cell r="CD86">
            <v>0</v>
          </cell>
        </row>
        <row r="87">
          <cell r="A87" t="str">
            <v>Early retirement of debt, net</v>
          </cell>
          <cell r="C87">
            <v>0</v>
          </cell>
          <cell r="D87">
            <v>0</v>
          </cell>
          <cell r="E87">
            <v>0</v>
          </cell>
          <cell r="F87">
            <v>0</v>
          </cell>
          <cell r="G87">
            <v>0</v>
          </cell>
          <cell r="H87">
            <v>0</v>
          </cell>
          <cell r="I87">
            <v>0</v>
          </cell>
          <cell r="J87">
            <v>0</v>
          </cell>
          <cell r="K87">
            <v>0</v>
          </cell>
          <cell r="M87">
            <v>0</v>
          </cell>
          <cell r="N87">
            <v>0</v>
          </cell>
          <cell r="O87">
            <v>0</v>
          </cell>
          <cell r="P87">
            <v>0</v>
          </cell>
          <cell r="Q87">
            <v>0</v>
          </cell>
          <cell r="R87">
            <v>0</v>
          </cell>
          <cell r="S87">
            <v>0</v>
          </cell>
          <cell r="T87">
            <v>0</v>
          </cell>
          <cell r="U87">
            <v>3.8079999999999998</v>
          </cell>
          <cell r="V87">
            <v>3.8079999999999998</v>
          </cell>
          <cell r="X87">
            <v>0</v>
          </cell>
          <cell r="Y87">
            <v>0</v>
          </cell>
          <cell r="Z87">
            <v>5.274</v>
          </cell>
          <cell r="AA87">
            <v>0</v>
          </cell>
          <cell r="AB87">
            <v>5.274</v>
          </cell>
          <cell r="AD87">
            <v>0</v>
          </cell>
          <cell r="AE87">
            <v>0</v>
          </cell>
          <cell r="AF87">
            <v>0</v>
          </cell>
          <cell r="AG87">
            <v>0</v>
          </cell>
          <cell r="AH87">
            <v>0</v>
          </cell>
          <cell r="AI87">
            <v>0</v>
          </cell>
          <cell r="AJ87">
            <v>0</v>
          </cell>
          <cell r="AK87">
            <v>0</v>
          </cell>
          <cell r="AL87">
            <v>0</v>
          </cell>
          <cell r="AM87">
            <v>0</v>
          </cell>
          <cell r="AN87">
            <v>0</v>
          </cell>
          <cell r="AO87">
            <v>0</v>
          </cell>
          <cell r="AR87">
            <v>0</v>
          </cell>
          <cell r="AS87">
            <v>0</v>
          </cell>
          <cell r="AT87">
            <v>0</v>
          </cell>
          <cell r="AV87">
            <v>0</v>
          </cell>
          <cell r="AW87">
            <v>0</v>
          </cell>
          <cell r="AX87">
            <v>0</v>
          </cell>
          <cell r="AY87">
            <v>0</v>
          </cell>
          <cell r="AZ87">
            <v>0</v>
          </cell>
          <cell r="BC87">
            <v>0</v>
          </cell>
          <cell r="BD87">
            <v>0</v>
          </cell>
          <cell r="BE87">
            <v>0</v>
          </cell>
          <cell r="BF87">
            <v>0</v>
          </cell>
          <cell r="BG87">
            <v>0</v>
          </cell>
          <cell r="BO87">
            <v>0</v>
          </cell>
          <cell r="BP87">
            <v>0</v>
          </cell>
          <cell r="BQ87">
            <v>0</v>
          </cell>
          <cell r="BR87">
            <v>0</v>
          </cell>
          <cell r="BS87">
            <v>0</v>
          </cell>
          <cell r="CA87">
            <v>0</v>
          </cell>
          <cell r="CB87">
            <v>0</v>
          </cell>
          <cell r="CC87">
            <v>0</v>
          </cell>
          <cell r="CD87">
            <v>0</v>
          </cell>
        </row>
        <row r="88">
          <cell r="A88" t="str">
            <v>Net Income From Continuing Operations</v>
          </cell>
          <cell r="C88">
            <v>26.456999999999972</v>
          </cell>
          <cell r="D88">
            <v>19.410650000000025</v>
          </cell>
          <cell r="E88">
            <v>-32.173000000000023</v>
          </cell>
          <cell r="F88">
            <v>-62.660699999999892</v>
          </cell>
          <cell r="G88">
            <v>1.8430000000000153</v>
          </cell>
          <cell r="H88">
            <v>-1.4529999999999772</v>
          </cell>
          <cell r="I88">
            <v>-3.9069999999999729</v>
          </cell>
          <cell r="J88">
            <v>-2.3106499999999688</v>
          </cell>
          <cell r="K88">
            <v>-5.8276499999999043</v>
          </cell>
          <cell r="L88">
            <v>0</v>
          </cell>
          <cell r="M88">
            <v>0.92100000000003712</v>
          </cell>
          <cell r="N88">
            <v>0.17800000000003235</v>
          </cell>
          <cell r="O88">
            <v>1.2579999999999827</v>
          </cell>
          <cell r="P88">
            <v>7.2120000000000237</v>
          </cell>
          <cell r="Q88">
            <v>9.5689999999999351</v>
          </cell>
          <cell r="R88">
            <v>11.027499999999975</v>
          </cell>
          <cell r="S88">
            <v>9.8305000000000167</v>
          </cell>
          <cell r="T88">
            <v>10.220500000000007</v>
          </cell>
          <cell r="U88">
            <v>18.010999999999981</v>
          </cell>
          <cell r="V88">
            <v>49.089499999999944</v>
          </cell>
          <cell r="W88">
            <v>-3.5527136788005009E-14</v>
          </cell>
          <cell r="X88">
            <v>27.176000000000016</v>
          </cell>
          <cell r="Y88">
            <v>24.276999999999976</v>
          </cell>
          <cell r="Z88">
            <v>25.529999999999987</v>
          </cell>
          <cell r="AA88">
            <v>28.411000000000076</v>
          </cell>
          <cell r="AB88">
            <v>105.39399999999989</v>
          </cell>
          <cell r="AC88">
            <v>-1.5987211554602254E-13</v>
          </cell>
          <cell r="AD88">
            <v>33.539000000000065</v>
          </cell>
          <cell r="AE88">
            <v>30.616000000000042</v>
          </cell>
          <cell r="AF88">
            <v>31.683000000000082</v>
          </cell>
          <cell r="AG88">
            <v>35.634000000000007</v>
          </cell>
          <cell r="AH88">
            <v>131.47200000000052</v>
          </cell>
          <cell r="AI88">
            <v>40.775999999999989</v>
          </cell>
          <cell r="AJ88">
            <v>38.438999999999979</v>
          </cell>
          <cell r="AK88">
            <v>37.649000000000015</v>
          </cell>
          <cell r="AL88">
            <v>40.64200000000001</v>
          </cell>
          <cell r="AM88">
            <v>158.221</v>
          </cell>
          <cell r="AN88">
            <v>100.80099999999987</v>
          </cell>
          <cell r="AO88">
            <v>135.41900000000007</v>
          </cell>
          <cell r="AP88">
            <v>33.368000000000002</v>
          </cell>
          <cell r="AQ88">
            <v>31.157</v>
          </cell>
          <cell r="AR88">
            <v>31.601000000000006</v>
          </cell>
          <cell r="AS88">
            <v>35.923000000000002</v>
          </cell>
          <cell r="AT88">
            <v>132.04899999999992</v>
          </cell>
          <cell r="AU88">
            <v>3.1974423109204508E-13</v>
          </cell>
          <cell r="AV88">
            <v>42.188000000000144</v>
          </cell>
          <cell r="AW88">
            <v>38.805999999999969</v>
          </cell>
          <cell r="AX88">
            <v>38.66000000000011</v>
          </cell>
          <cell r="AY88">
            <v>42.840999999999994</v>
          </cell>
          <cell r="AZ88">
            <v>162.35699999999989</v>
          </cell>
          <cell r="BA88">
            <v>-0.13800000000033208</v>
          </cell>
          <cell r="BC88">
            <v>49.078999999999979</v>
          </cell>
          <cell r="BD88">
            <v>46.499000000000009</v>
          </cell>
          <cell r="BE88">
            <v>44.066000000000003</v>
          </cell>
          <cell r="BF88">
            <v>50.843000000000018</v>
          </cell>
          <cell r="BG88">
            <v>190.98700000000048</v>
          </cell>
          <cell r="BH88">
            <v>0.50000000000046896</v>
          </cell>
          <cell r="BI88">
            <v>0.16334028633734254</v>
          </cell>
          <cell r="BJ88">
            <v>0.19824253981343221</v>
          </cell>
          <cell r="BK88">
            <v>0.13983445421624108</v>
          </cell>
          <cell r="BL88">
            <v>0.18678368852267746</v>
          </cell>
          <cell r="BM88">
            <v>0.17633979440369441</v>
          </cell>
          <cell r="BO88">
            <v>57.253999999999763</v>
          </cell>
          <cell r="BP88">
            <v>52.369000000000078</v>
          </cell>
          <cell r="BQ88">
            <v>55.168885853581244</v>
          </cell>
          <cell r="BR88">
            <v>54.573236274836155</v>
          </cell>
          <cell r="BS88">
            <v>219.18062962841714</v>
          </cell>
          <cell r="BT88">
            <v>-0.18449250000011119</v>
          </cell>
          <cell r="BU88">
            <v>0.16656818598585521</v>
          </cell>
          <cell r="BV88">
            <v>0.12623927396288237</v>
          </cell>
          <cell r="BW88">
            <v>0.25196037429268014</v>
          </cell>
          <cell r="BX88">
            <v>7.3367745310782828E-2</v>
          </cell>
          <cell r="BY88">
            <v>0.14762067380720456</v>
          </cell>
          <cell r="CA88">
            <v>232.58393546395308</v>
          </cell>
          <cell r="CB88">
            <v>253.95442760642274</v>
          </cell>
          <cell r="CC88">
            <v>252.75686616224075</v>
          </cell>
          <cell r="CD88">
            <v>278.10728547788119</v>
          </cell>
        </row>
        <row r="90">
          <cell r="A90" t="str">
            <v>Sharecount</v>
          </cell>
        </row>
        <row r="91">
          <cell r="A91" t="str">
            <v>Basic</v>
          </cell>
          <cell r="C91">
            <v>0</v>
          </cell>
          <cell r="D91">
            <v>0</v>
          </cell>
          <cell r="E91">
            <v>54</v>
          </cell>
          <cell r="F91">
            <v>54.249895000000002</v>
          </cell>
          <cell r="G91">
            <v>54.439</v>
          </cell>
          <cell r="H91">
            <v>54.517659999999999</v>
          </cell>
          <cell r="I91">
            <v>54.495334</v>
          </cell>
          <cell r="J91">
            <v>54.46</v>
          </cell>
          <cell r="K91">
            <v>54.545000000000002</v>
          </cell>
          <cell r="M91">
            <v>54.634284999999998</v>
          </cell>
          <cell r="N91">
            <v>58.175049999999999</v>
          </cell>
          <cell r="O91">
            <v>75.120859999999993</v>
          </cell>
          <cell r="P91">
            <v>81.718000000000004</v>
          </cell>
          <cell r="Q91">
            <v>67.412000000000006</v>
          </cell>
          <cell r="R91">
            <v>85.528371000000007</v>
          </cell>
          <cell r="S91">
            <v>85.713342999999995</v>
          </cell>
          <cell r="T91">
            <v>85.944772999999998</v>
          </cell>
          <cell r="U91">
            <v>96.147143</v>
          </cell>
          <cell r="V91">
            <v>88.382442999999995</v>
          </cell>
          <cell r="X91">
            <v>98.111557000000005</v>
          </cell>
          <cell r="Y91">
            <v>98.267874000000006</v>
          </cell>
          <cell r="Z91">
            <v>98.533822000000001</v>
          </cell>
          <cell r="AA91">
            <v>98.571811999999994</v>
          </cell>
          <cell r="AB91">
            <v>98.421052000000003</v>
          </cell>
          <cell r="AD91">
            <v>98.354944000000003</v>
          </cell>
          <cell r="AE91">
            <v>98.256321999999997</v>
          </cell>
          <cell r="AF91">
            <v>98.409887999999995</v>
          </cell>
          <cell r="AG91">
            <v>98.468999999999994</v>
          </cell>
          <cell r="AH91">
            <v>98.391848999999993</v>
          </cell>
          <cell r="AI91">
            <v>98.698285999999996</v>
          </cell>
          <cell r="AJ91">
            <v>98.779917999999995</v>
          </cell>
          <cell r="AK91">
            <v>97.794824000000006</v>
          </cell>
          <cell r="AL91">
            <v>87.369</v>
          </cell>
          <cell r="AM91">
            <v>95.643732999999997</v>
          </cell>
          <cell r="AN91">
            <v>98.421052000000003</v>
          </cell>
          <cell r="AO91">
            <v>98.391848999999993</v>
          </cell>
          <cell r="AP91">
            <v>98.354944000000003</v>
          </cell>
          <cell r="AQ91">
            <v>98.256321999999997</v>
          </cell>
          <cell r="AR91">
            <v>98.409887999999995</v>
          </cell>
          <cell r="AS91">
            <v>98.468999999999994</v>
          </cell>
          <cell r="AT91">
            <v>98.391848999999993</v>
          </cell>
          <cell r="AV91">
            <v>98.698285999999996</v>
          </cell>
          <cell r="AW91">
            <v>98.779917999999995</v>
          </cell>
          <cell r="AX91">
            <v>97.794824000000006</v>
          </cell>
          <cell r="AY91">
            <v>87.369</v>
          </cell>
          <cell r="AZ91">
            <v>95.643732999999997</v>
          </cell>
          <cell r="BC91">
            <v>87.926338000000001</v>
          </cell>
          <cell r="BD91">
            <v>89.149815000000004</v>
          </cell>
          <cell r="BE91">
            <v>88.325411000000003</v>
          </cell>
          <cell r="BF91">
            <v>89.010999999999996</v>
          </cell>
          <cell r="BG91">
            <v>88.601168000000001</v>
          </cell>
          <cell r="BO91">
            <v>96.552447999999998</v>
          </cell>
          <cell r="BP91">
            <v>95.769000000000005</v>
          </cell>
          <cell r="BQ91">
            <v>95.660098303428285</v>
          </cell>
          <cell r="BR91">
            <v>95.914158775697047</v>
          </cell>
          <cell r="BS91">
            <v>95.97392626978133</v>
          </cell>
          <cell r="CA91">
            <v>98.709371747965832</v>
          </cell>
          <cell r="CB91">
            <v>103.79167674796582</v>
          </cell>
          <cell r="CC91">
            <v>105.60367967783411</v>
          </cell>
          <cell r="CF91" t="str">
            <v>mstag:averageBasicSharesOutstanding</v>
          </cell>
          <cell r="CG91">
            <v>6</v>
          </cell>
          <cell r="CH91" t="str">
            <v>ms_eqr_gcim_Decimal:ms_eqr_gcim_decimal</v>
          </cell>
          <cell r="CI91" t="b">
            <v>0</v>
          </cell>
          <cell r="CJ91" t="b">
            <v>0</v>
          </cell>
        </row>
        <row r="92">
          <cell r="A92" t="str">
            <v>Diluted</v>
          </cell>
          <cell r="C92">
            <v>0</v>
          </cell>
          <cell r="D92">
            <v>0</v>
          </cell>
          <cell r="E92">
            <v>54</v>
          </cell>
          <cell r="F92">
            <v>54.249895000000002</v>
          </cell>
          <cell r="G92">
            <v>55.631999999999998</v>
          </cell>
          <cell r="H92">
            <v>54.517659999999999</v>
          </cell>
          <cell r="I92">
            <v>54.495334</v>
          </cell>
          <cell r="J92">
            <v>54.46</v>
          </cell>
          <cell r="K92">
            <v>54.545000000000002</v>
          </cell>
          <cell r="M92">
            <v>55.838214000000001</v>
          </cell>
          <cell r="N92">
            <v>59.310600999999998</v>
          </cell>
          <cell r="O92">
            <v>77.193349999999995</v>
          </cell>
          <cell r="P92">
            <v>84.066999999999993</v>
          </cell>
          <cell r="Q92">
            <v>69.102000000000004</v>
          </cell>
          <cell r="R92">
            <v>87.576419999999999</v>
          </cell>
          <cell r="S92">
            <v>87.517797000000002</v>
          </cell>
          <cell r="T92">
            <v>87.833430000000007</v>
          </cell>
          <cell r="U92">
            <v>97.881592999999995</v>
          </cell>
          <cell r="V92">
            <v>90.251428000000004</v>
          </cell>
          <cell r="X92">
            <v>108.171728</v>
          </cell>
          <cell r="Y92">
            <v>99.843631999999999</v>
          </cell>
          <cell r="Z92">
            <v>108.51271800000001</v>
          </cell>
          <cell r="AA92">
            <v>108.39688599999999</v>
          </cell>
          <cell r="AB92">
            <v>108.378131</v>
          </cell>
          <cell r="AD92">
            <v>107.82025</v>
          </cell>
          <cell r="AE92">
            <v>107.765057</v>
          </cell>
          <cell r="AF92">
            <v>108.123167</v>
          </cell>
          <cell r="AG92">
            <v>108.673</v>
          </cell>
          <cell r="AH92">
            <v>108.094956</v>
          </cell>
          <cell r="AI92">
            <v>109.136803</v>
          </cell>
          <cell r="AJ92">
            <v>108.999363</v>
          </cell>
          <cell r="AK92">
            <v>107.86963900000001</v>
          </cell>
          <cell r="AL92">
            <v>97.516000000000005</v>
          </cell>
          <cell r="AM92">
            <v>105.86378999999999</v>
          </cell>
          <cell r="AN92">
            <v>108.378131</v>
          </cell>
          <cell r="AO92">
            <v>108.094956</v>
          </cell>
          <cell r="AP92">
            <v>107.82025</v>
          </cell>
          <cell r="AQ92">
            <v>107.765057</v>
          </cell>
          <cell r="AR92">
            <v>108.123167</v>
          </cell>
          <cell r="AS92">
            <v>108.673</v>
          </cell>
          <cell r="AT92">
            <v>108.094956</v>
          </cell>
          <cell r="AV92">
            <v>109.136803</v>
          </cell>
          <cell r="AW92">
            <v>108.999363</v>
          </cell>
          <cell r="AX92">
            <v>107.86963900000001</v>
          </cell>
          <cell r="AY92">
            <v>97.516000000000005</v>
          </cell>
          <cell r="AZ92">
            <v>105.86378999999999</v>
          </cell>
          <cell r="BC92">
            <v>98.087085999999999</v>
          </cell>
          <cell r="BD92">
            <v>99.328929000000002</v>
          </cell>
          <cell r="BE92">
            <v>98.528968000000006</v>
          </cell>
          <cell r="BF92">
            <v>98.388999999999996</v>
          </cell>
          <cell r="BG92">
            <v>98.579977</v>
          </cell>
          <cell r="BO92">
            <v>98.209271000000001</v>
          </cell>
          <cell r="BP92">
            <v>96.87</v>
          </cell>
          <cell r="BQ92">
            <v>96.761098303428284</v>
          </cell>
          <cell r="BR92">
            <v>97.015158775697046</v>
          </cell>
          <cell r="BS92">
            <v>97.074926269781329</v>
          </cell>
          <cell r="CA92">
            <v>99.810371747965831</v>
          </cell>
          <cell r="CB92">
            <v>104.89267674796582</v>
          </cell>
          <cell r="CC92">
            <v>106.70467967783411</v>
          </cell>
          <cell r="CF92" t="str">
            <v>mstag:averageDilutedSharesOutstanding</v>
          </cell>
          <cell r="CG92">
            <v>6</v>
          </cell>
          <cell r="CH92" t="str">
            <v>ms_eqr_gcim_Decimal:ms_eqr_gcim_decimal</v>
          </cell>
          <cell r="CI92" t="b">
            <v>0</v>
          </cell>
          <cell r="CJ92" t="b">
            <v>0</v>
          </cell>
        </row>
        <row r="94">
          <cell r="A94" t="str">
            <v>Earnings Per Share From Continuing Ops</v>
          </cell>
        </row>
        <row r="95">
          <cell r="A95" t="str">
            <v>Basic</v>
          </cell>
          <cell r="C95" t="str">
            <v>NM</v>
          </cell>
          <cell r="D95" t="str">
            <v>NM</v>
          </cell>
          <cell r="E95">
            <v>-0.59579629629629671</v>
          </cell>
          <cell r="F95">
            <v>-1.155038180258227</v>
          </cell>
          <cell r="G95">
            <v>3.3854405848748423E-2</v>
          </cell>
          <cell r="H95">
            <v>-2.6651914260442895E-2</v>
          </cell>
          <cell r="I95">
            <v>-7.1694211471388963E-2</v>
          </cell>
          <cell r="J95">
            <v>-4.242838780756461E-2</v>
          </cell>
          <cell r="K95">
            <v>-0.10684114034283443</v>
          </cell>
          <cell r="M95">
            <v>1.6857546502165026E-2</v>
          </cell>
          <cell r="N95">
            <v>3.0597309327629689E-3</v>
          </cell>
          <cell r="O95">
            <v>1.6746347153107442E-2</v>
          </cell>
          <cell r="P95">
            <v>8.8254729680119728E-2</v>
          </cell>
          <cell r="Q95">
            <v>0.14194802112383453</v>
          </cell>
          <cell r="R95">
            <v>0.12893382477727741</v>
          </cell>
          <cell r="S95">
            <v>0.11469042807022493</v>
          </cell>
          <cell r="T95">
            <v>0.11891939024610615</v>
          </cell>
          <cell r="U95">
            <v>0.18732745912169207</v>
          </cell>
          <cell r="V95">
            <v>0.5554213974374973</v>
          </cell>
          <cell r="X95">
            <v>0.2769908136306512</v>
          </cell>
          <cell r="Y95">
            <v>0.24704920348638024</v>
          </cell>
          <cell r="Z95">
            <v>0.25909885034196672</v>
          </cell>
          <cell r="AA95">
            <v>0.28822641507290214</v>
          </cell>
          <cell r="AB95">
            <v>1.0708481352139976</v>
          </cell>
          <cell r="AC95">
            <v>-5.1714731790269974E-4</v>
          </cell>
          <cell r="AD95">
            <v>0.34099963495480273</v>
          </cell>
          <cell r="AE95">
            <v>0.3115931817598469</v>
          </cell>
          <cell r="AF95">
            <v>0.32194935533307467</v>
          </cell>
          <cell r="AG95">
            <v>0.36188038875179002</v>
          </cell>
          <cell r="AH95">
            <v>1.3362082462745519</v>
          </cell>
          <cell r="AI95">
            <v>0.41313787353916148</v>
          </cell>
          <cell r="AJ95">
            <v>0.38913780025612071</v>
          </cell>
          <cell r="AK95">
            <v>0.38497947498734714</v>
          </cell>
          <cell r="AL95">
            <v>0.46517643557783667</v>
          </cell>
          <cell r="AM95">
            <v>1.6542746193313054</v>
          </cell>
          <cell r="AN95">
            <v>1.0241812899947449</v>
          </cell>
          <cell r="AO95">
            <v>1.3763233578423766</v>
          </cell>
          <cell r="AP95">
            <v>0.33926103399540342</v>
          </cell>
          <cell r="AQ95">
            <v>0.3170991887931649</v>
          </cell>
          <cell r="AR95">
            <v>0.321116105731164</v>
          </cell>
          <cell r="AS95">
            <v>0.36481532258883509</v>
          </cell>
          <cell r="AT95">
            <v>1.3420725531847657</v>
          </cell>
          <cell r="AU95" t="str">
            <v>round err</v>
          </cell>
          <cell r="AV95">
            <v>0.42744409968781166</v>
          </cell>
          <cell r="AW95">
            <v>0.39285313032958757</v>
          </cell>
          <cell r="AX95">
            <v>0.39531744543044639</v>
          </cell>
          <cell r="AY95">
            <v>0.49034554590300899</v>
          </cell>
          <cell r="AZ95">
            <v>1.6975184354211674</v>
          </cell>
          <cell r="BA95">
            <v>-8.4417859296872511E-3</v>
          </cell>
          <cell r="BC95">
            <v>0.55818314644242295</v>
          </cell>
          <cell r="BD95">
            <v>0.52158268640265837</v>
          </cell>
          <cell r="BE95">
            <v>0.49890512255867114</v>
          </cell>
          <cell r="BF95">
            <v>0.57119906528406628</v>
          </cell>
          <cell r="BG95">
            <v>2.1555810641232234</v>
          </cell>
          <cell r="BH95">
            <v>5.711043435404517E-3</v>
          </cell>
          <cell r="BO95">
            <v>0.59298341146150702</v>
          </cell>
          <cell r="BP95">
            <v>0.54682621725192992</v>
          </cell>
          <cell r="BQ95">
            <v>0.57671784612418797</v>
          </cell>
          <cell r="BR95">
            <v>0.56897998138585615</v>
          </cell>
          <cell r="BS95">
            <v>2.2837518287238092</v>
          </cell>
          <cell r="BT95">
            <v>-1.7556274996718413E-3</v>
          </cell>
          <cell r="CA95">
            <v>2.356249779988556</v>
          </cell>
          <cell r="CB95">
            <v>2.4467706425351676</v>
          </cell>
          <cell r="CC95">
            <v>2.3934475288486907</v>
          </cell>
          <cell r="CJ95" t="b">
            <v>0</v>
          </cell>
        </row>
        <row r="96">
          <cell r="A96" t="str">
            <v>Diluted</v>
          </cell>
          <cell r="C96" t="str">
            <v>NM</v>
          </cell>
          <cell r="D96" t="str">
            <v>NM</v>
          </cell>
          <cell r="E96">
            <v>-0.59579629629629671</v>
          </cell>
          <cell r="F96">
            <v>-1.155038180258227</v>
          </cell>
          <cell r="G96">
            <v>3.3128415300546721E-2</v>
          </cell>
          <cell r="H96">
            <v>-2.6651914260442895E-2</v>
          </cell>
          <cell r="I96">
            <v>-7.1694211471388963E-2</v>
          </cell>
          <cell r="J96">
            <v>-4.242838780756461E-2</v>
          </cell>
          <cell r="K96">
            <v>-0.10684114034283443</v>
          </cell>
          <cell r="M96">
            <v>1.6494080559239181E-2</v>
          </cell>
          <cell r="N96">
            <v>3.0011498281737586E-3</v>
          </cell>
          <cell r="O96">
            <v>1.6296740587109934E-2</v>
          </cell>
          <cell r="P96">
            <v>8.5788716143076649E-2</v>
          </cell>
          <cell r="Q96">
            <v>0.13847645509536533</v>
          </cell>
          <cell r="R96">
            <v>0.1259185977229941</v>
          </cell>
          <cell r="S96">
            <v>0.11232572501796424</v>
          </cell>
          <cell r="T96">
            <v>0.11636230077773356</v>
          </cell>
          <cell r="U96">
            <v>0.18400803918260691</v>
          </cell>
          <cell r="V96">
            <v>0.54391937155830861</v>
          </cell>
          <cell r="X96">
            <v>0.27146649631038544</v>
          </cell>
          <cell r="Y96">
            <v>0.24315020911899496</v>
          </cell>
          <cell r="Z96">
            <v>0.25554608262600137</v>
          </cell>
          <cell r="AA96">
            <v>0.28239741130570922</v>
          </cell>
          <cell r="AB96">
            <v>1.0532659951480423</v>
          </cell>
          <cell r="AC96">
            <v>7.0579578695129097E-4</v>
          </cell>
          <cell r="AD96">
            <v>0.33136632497142293</v>
          </cell>
          <cell r="AE96">
            <v>0.30441221777482141</v>
          </cell>
          <cell r="AF96">
            <v>0.31327236280454202</v>
          </cell>
          <cell r="AG96">
            <v>0.34805333431487129</v>
          </cell>
          <cell r="AH96">
            <v>1.2972760727151833</v>
          </cell>
          <cell r="AI96">
            <v>0.39</v>
          </cell>
          <cell r="AJ96">
            <v>0.37273612323771083</v>
          </cell>
          <cell r="AK96">
            <v>0.36931615206388158</v>
          </cell>
          <cell r="AL96">
            <v>0.43923048525370201</v>
          </cell>
          <cell r="AM96">
            <v>1.5772909698396402</v>
          </cell>
          <cell r="AN96">
            <v>1.0108865966695797</v>
          </cell>
          <cell r="AO96">
            <v>1.3337902649222604</v>
          </cell>
          <cell r="AP96">
            <v>0.32978035202107214</v>
          </cell>
          <cell r="AQ96">
            <v>0.30943239792468169</v>
          </cell>
          <cell r="AR96">
            <v>0.31251396844489404</v>
          </cell>
          <cell r="AS96">
            <v>0.35071268852428844</v>
          </cell>
          <cell r="AT96">
            <v>1.3026139721080041</v>
          </cell>
          <cell r="AU96" t="str">
            <v>round err</v>
          </cell>
          <cell r="AV96">
            <v>0.39</v>
          </cell>
          <cell r="AW96">
            <v>0.37610311539160068</v>
          </cell>
          <cell r="AX96">
            <v>0.37868857612474355</v>
          </cell>
          <cell r="AY96">
            <v>0.46178063087083132</v>
          </cell>
          <cell r="AZ96">
            <v>1.6163600415212784</v>
          </cell>
          <cell r="BA96">
            <v>9.787719134102979E-3</v>
          </cell>
          <cell r="BC96">
            <v>0.5226783880601773</v>
          </cell>
          <cell r="BD96">
            <v>0.49016938459086784</v>
          </cell>
          <cell r="BE96">
            <v>0.46945584571635823</v>
          </cell>
          <cell r="BF96">
            <v>0.5370620699468438</v>
          </cell>
          <cell r="BG96">
            <v>2.0242650289926574</v>
          </cell>
          <cell r="BH96">
            <v>4.8993406784101357E-3</v>
          </cell>
          <cell r="BI96">
            <v>0.34020099502609558</v>
          </cell>
          <cell r="BJ96">
            <v>0.30328456354449695</v>
          </cell>
          <cell r="BK96">
            <v>0.23968842820786618</v>
          </cell>
          <cell r="BL96">
            <v>0.16302424580703145</v>
          </cell>
          <cell r="BM96">
            <v>0.25236022729655505</v>
          </cell>
          <cell r="BO96">
            <v>0.58435420012434225</v>
          </cell>
          <cell r="BP96">
            <v>0.54061112831630098</v>
          </cell>
          <cell r="BQ96">
            <v>0.57015563920719359</v>
          </cell>
          <cell r="BR96">
            <v>0.56252277441519916</v>
          </cell>
          <cell r="BS96">
            <v>2.2576437420630358</v>
          </cell>
          <cell r="BT96">
            <v>0</v>
          </cell>
          <cell r="BU96">
            <v>0.11799954517550093</v>
          </cell>
          <cell r="BV96">
            <v>0.10290676103228202</v>
          </cell>
          <cell r="BW96">
            <v>0.21450322625586704</v>
          </cell>
          <cell r="BX96">
            <v>4.7407377830416042E-2</v>
          </cell>
          <cell r="BY96">
            <v>0.11529059175937828</v>
          </cell>
          <cell r="CA96">
            <v>2.3302581824988868</v>
          </cell>
          <cell r="CB96">
            <v>2.4210882540124294</v>
          </cell>
          <cell r="CC96">
            <v>2.3687514636225111</v>
          </cell>
          <cell r="CJ96" t="b">
            <v>0</v>
          </cell>
        </row>
        <row r="97">
          <cell r="A97" t="str">
            <v>% Change (adjusted for SFAS 123-R)</v>
          </cell>
          <cell r="C97" t="str">
            <v>NM</v>
          </cell>
          <cell r="D97" t="str">
            <v>NM</v>
          </cell>
          <cell r="E97" t="str">
            <v>NM</v>
          </cell>
          <cell r="F97" t="str">
            <v>NM</v>
          </cell>
          <cell r="G97" t="str">
            <v>NM</v>
          </cell>
          <cell r="H97" t="str">
            <v>NM</v>
          </cell>
          <cell r="I97" t="str">
            <v>NM</v>
          </cell>
          <cell r="J97" t="str">
            <v>NM</v>
          </cell>
          <cell r="K97" t="str">
            <v>NM</v>
          </cell>
          <cell r="M97">
            <v>-0.50211682600565033</v>
          </cell>
          <cell r="N97" t="str">
            <v>NM</v>
          </cell>
          <cell r="O97" t="str">
            <v>NM</v>
          </cell>
          <cell r="P97" t="str">
            <v>NM</v>
          </cell>
          <cell r="Q97" t="str">
            <v>NM</v>
          </cell>
          <cell r="R97">
            <v>6.634168953568051</v>
          </cell>
          <cell r="S97">
            <v>36.427563250421258</v>
          </cell>
          <cell r="T97">
            <v>6.1402192454220854</v>
          </cell>
          <cell r="U97">
            <v>1.1448979242878763</v>
          </cell>
          <cell r="V97">
            <v>2.9278834165976066</v>
          </cell>
          <cell r="X97">
            <v>0.42877103321255494</v>
          </cell>
          <cell r="Y97">
            <v>0.35083449510552756</v>
          </cell>
          <cell r="Z97">
            <v>0.41970045903334108</v>
          </cell>
          <cell r="AA97">
            <v>0.12958964522283689</v>
          </cell>
          <cell r="AB97">
            <v>0.30032838907165704</v>
          </cell>
          <cell r="AD97">
            <v>0.2206527489585679</v>
          </cell>
          <cell r="AE97">
            <v>0.2519512891960769</v>
          </cell>
          <cell r="AF97">
            <v>0.22589381760558869</v>
          </cell>
          <cell r="AG97">
            <v>0.23249477644143934</v>
          </cell>
          <cell r="AH97">
            <v>0.23166994727940882</v>
          </cell>
          <cell r="AI97">
            <v>2.0972390659714422</v>
          </cell>
          <cell r="AJ97">
            <v>2.3183504774004278</v>
          </cell>
          <cell r="AK97">
            <v>0.21321067453695508</v>
          </cell>
          <cell r="AL97">
            <v>0.40207224576573397</v>
          </cell>
          <cell r="AM97">
            <v>3.5317507816567044</v>
          </cell>
          <cell r="AN97" t="str">
            <v>NA</v>
          </cell>
          <cell r="AO97">
            <v>0.31942620400399435</v>
          </cell>
          <cell r="AP97" t="str">
            <v>NA</v>
          </cell>
          <cell r="AQ97" t="str">
            <v>NA</v>
          </cell>
          <cell r="AR97" t="str">
            <v>NA</v>
          </cell>
          <cell r="AS97" t="str">
            <v>NA</v>
          </cell>
          <cell r="AT97">
            <v>0.28858565975603589</v>
          </cell>
          <cell r="AV97">
            <v>0.17694518304970686</v>
          </cell>
          <cell r="AW97">
            <v>0.23550597982177623</v>
          </cell>
          <cell r="AX97">
            <v>0.21174927958945977</v>
          </cell>
          <cell r="AY97">
            <v>0.31669211289129318</v>
          </cell>
          <cell r="AZ97">
            <v>0.24085882397341618</v>
          </cell>
          <cell r="BC97">
            <v>0.34020099502609558</v>
          </cell>
          <cell r="BD97">
            <v>0.30328456354449695</v>
          </cell>
          <cell r="BE97">
            <v>0.23968842820786618</v>
          </cell>
          <cell r="BF97">
            <v>0.16302424580703145</v>
          </cell>
          <cell r="BG97">
            <v>0.25236022729655505</v>
          </cell>
          <cell r="BO97">
            <v>0.15970906545653563</v>
          </cell>
          <cell r="BP97">
            <v>0.15032103101182659</v>
          </cell>
          <cell r="BQ97">
            <v>0.26601439592802345</v>
          </cell>
          <cell r="BR97">
            <v>9.2690162982104196E-2</v>
          </cell>
          <cell r="BS97">
            <v>0.16150172176111943</v>
          </cell>
          <cell r="CA97">
            <v>3.2163817117352611E-2</v>
          </cell>
          <cell r="CB97">
            <v>3.8978544178370766E-2</v>
          </cell>
          <cell r="CC97">
            <v>-2.1617051878708438E-2</v>
          </cell>
        </row>
        <row r="99">
          <cell r="A99" t="str">
            <v>Earnings Per Share As Reported</v>
          </cell>
        </row>
        <row r="100">
          <cell r="A100" t="str">
            <v>Basic</v>
          </cell>
          <cell r="C100" t="str">
            <v>NM</v>
          </cell>
          <cell r="D100" t="str">
            <v>NM</v>
          </cell>
          <cell r="E100">
            <v>-0.59579629629629671</v>
          </cell>
          <cell r="F100">
            <v>-3.3786240507930918</v>
          </cell>
          <cell r="G100">
            <v>3.0272414996601989E-2</v>
          </cell>
          <cell r="H100">
            <v>-3.380555951961213E-2</v>
          </cell>
          <cell r="I100">
            <v>-8.123631281900158E-2</v>
          </cell>
          <cell r="J100">
            <v>-0.22836944546456059</v>
          </cell>
          <cell r="K100">
            <v>-0.31275093959116151</v>
          </cell>
          <cell r="M100">
            <v>1.6857546502165026E-2</v>
          </cell>
          <cell r="N100">
            <v>3.0597309327629689E-3</v>
          </cell>
          <cell r="O100">
            <v>1.6746347153107442E-2</v>
          </cell>
          <cell r="P100">
            <v>8.8254729680119728E-2</v>
          </cell>
          <cell r="Q100">
            <v>0.14194802112383453</v>
          </cell>
          <cell r="R100">
            <v>0.12893382477727741</v>
          </cell>
          <cell r="S100">
            <v>0.11469042807022493</v>
          </cell>
          <cell r="T100">
            <v>0.11891939024610615</v>
          </cell>
          <cell r="U100">
            <v>0.14772149807925111</v>
          </cell>
          <cell r="V100">
            <v>0.51233591721378358</v>
          </cell>
          <cell r="X100">
            <v>0.2769908136306512</v>
          </cell>
          <cell r="Y100">
            <v>0.24704920348638024</v>
          </cell>
          <cell r="Z100">
            <v>0.20557408196344992</v>
          </cell>
          <cell r="AA100">
            <v>0.28822641507290214</v>
          </cell>
          <cell r="AB100">
            <v>1.017262038613445</v>
          </cell>
          <cell r="AC100">
            <v>-5.7847553993850553E-4</v>
          </cell>
          <cell r="AD100">
            <v>0.34099963495480273</v>
          </cell>
          <cell r="AE100">
            <v>0.3115931817598469</v>
          </cell>
          <cell r="AF100">
            <v>0.32194935533307467</v>
          </cell>
          <cell r="AG100">
            <v>0.36188038875179002</v>
          </cell>
          <cell r="AH100">
            <v>1.3362082462745519</v>
          </cell>
          <cell r="AI100">
            <v>0.41313787353916148</v>
          </cell>
          <cell r="AJ100">
            <v>0.38913780025612071</v>
          </cell>
          <cell r="AK100">
            <v>0.32761447579270669</v>
          </cell>
          <cell r="AL100">
            <v>0.4604493584681067</v>
          </cell>
          <cell r="AM100">
            <v>1.5833029018221194</v>
          </cell>
          <cell r="AN100">
            <v>1.0158802204227595</v>
          </cell>
          <cell r="AO100">
            <v>1.3362082462745473</v>
          </cell>
          <cell r="AP100">
            <v>0.34099963495480207</v>
          </cell>
          <cell r="AQ100">
            <v>0.31159318175984646</v>
          </cell>
          <cell r="AR100">
            <v>0.32194935533307395</v>
          </cell>
          <cell r="AS100">
            <v>0.36188038875178991</v>
          </cell>
          <cell r="AT100">
            <v>1.3362082462745459</v>
          </cell>
          <cell r="AU100" t="str">
            <v>round err</v>
          </cell>
          <cell r="AV100">
            <v>0.41862935694749703</v>
          </cell>
          <cell r="AW100">
            <v>0.3891378002561206</v>
          </cell>
          <cell r="AX100">
            <v>0.32543644641152081</v>
          </cell>
          <cell r="AY100">
            <v>0.46456981309159989</v>
          </cell>
          <cell r="AZ100">
            <v>1.5833029018221181</v>
          </cell>
          <cell r="BA100" t="str">
            <v>round err</v>
          </cell>
          <cell r="BC100">
            <v>0.40929715507997133</v>
          </cell>
          <cell r="BD100">
            <v>0.45852030091144896</v>
          </cell>
          <cell r="BE100">
            <v>0.48554543380500093</v>
          </cell>
          <cell r="BF100">
            <v>0.54085450112907418</v>
          </cell>
          <cell r="BG100">
            <v>1.9005731391712632</v>
          </cell>
          <cell r="BH100" t="str">
            <v>round err</v>
          </cell>
          <cell r="BO100">
            <v>0.55967508975018188</v>
          </cell>
          <cell r="BP100">
            <v>0.54682621725192992</v>
          </cell>
          <cell r="BQ100">
            <v>0.57671784612418797</v>
          </cell>
          <cell r="BR100">
            <v>0.56897998138585615</v>
          </cell>
          <cell r="BS100">
            <v>2.2502427276064925</v>
          </cell>
          <cell r="BT100" t="str">
            <v>round err</v>
          </cell>
          <cell r="CA100">
            <v>2.356249779988556</v>
          </cell>
          <cell r="CB100">
            <v>2.4467706425351676</v>
          </cell>
          <cell r="CC100">
            <v>2.3934475288486907</v>
          </cell>
          <cell r="CJ100" t="b">
            <v>0</v>
          </cell>
        </row>
        <row r="101">
          <cell r="A101" t="str">
            <v>Diluted</v>
          </cell>
          <cell r="C101" t="str">
            <v>NM</v>
          </cell>
          <cell r="D101" t="str">
            <v>NM</v>
          </cell>
          <cell r="E101">
            <v>-0.59579629629629671</v>
          </cell>
          <cell r="F101">
            <v>-3.3786240507930918</v>
          </cell>
          <cell r="G101">
            <v>2.9623238423928958E-2</v>
          </cell>
          <cell r="H101">
            <v>-3.380555951961213E-2</v>
          </cell>
          <cell r="I101">
            <v>-8.123631281900158E-2</v>
          </cell>
          <cell r="J101">
            <v>-0.22836944546456059</v>
          </cell>
          <cell r="K101">
            <v>-0.31275093959116151</v>
          </cell>
          <cell r="M101">
            <v>1.6494080559239181E-2</v>
          </cell>
          <cell r="N101">
            <v>3.0011498281737586E-3</v>
          </cell>
          <cell r="O101">
            <v>1.6296740587109934E-2</v>
          </cell>
          <cell r="P101">
            <v>8.5788716143076649E-2</v>
          </cell>
          <cell r="Q101">
            <v>0.13847645509536533</v>
          </cell>
          <cell r="R101">
            <v>0.1259185977229941</v>
          </cell>
          <cell r="S101">
            <v>0.11232572501796424</v>
          </cell>
          <cell r="T101">
            <v>0.11636230077773356</v>
          </cell>
          <cell r="U101">
            <v>0.14510389098387458</v>
          </cell>
          <cell r="V101">
            <v>0.50172613335270377</v>
          </cell>
          <cell r="X101">
            <v>0.27146649631038544</v>
          </cell>
          <cell r="Y101">
            <v>0.24315020911899496</v>
          </cell>
          <cell r="Z101">
            <v>0.20694348472591004</v>
          </cell>
          <cell r="AA101">
            <v>0.28239741130570922</v>
          </cell>
          <cell r="AB101">
            <v>1.0046030411799582</v>
          </cell>
          <cell r="AC101">
            <v>6.4543971895852925E-4</v>
          </cell>
          <cell r="AD101">
            <v>0.33136632497142293</v>
          </cell>
          <cell r="AE101">
            <v>0.30441221777482141</v>
          </cell>
          <cell r="AF101">
            <v>0.31327236280454202</v>
          </cell>
          <cell r="AG101">
            <v>0.34805333431487129</v>
          </cell>
          <cell r="AH101">
            <v>1.2972760727151833</v>
          </cell>
          <cell r="AI101">
            <v>0.39350612093704074</v>
          </cell>
          <cell r="AJ101">
            <v>0.37273612323771083</v>
          </cell>
          <cell r="AK101">
            <v>0.31730893249767911</v>
          </cell>
          <cell r="AL101">
            <v>0.43499528282538258</v>
          </cell>
          <cell r="AM101">
            <v>1.5131708396232555</v>
          </cell>
          <cell r="AN101">
            <v>1.0033481754727795</v>
          </cell>
          <cell r="AO101">
            <v>1.2972760727151791</v>
          </cell>
          <cell r="AP101">
            <v>0.33136632497142238</v>
          </cell>
          <cell r="AQ101">
            <v>0.30441221777482103</v>
          </cell>
          <cell r="AR101">
            <v>0.31327236280454129</v>
          </cell>
          <cell r="AS101">
            <v>0.34805333431487118</v>
          </cell>
          <cell r="AT101">
            <v>1.2972760727151778</v>
          </cell>
          <cell r="AU101" t="str">
            <v>round err</v>
          </cell>
          <cell r="AV101">
            <v>0.39864645842704544</v>
          </cell>
          <cell r="AW101">
            <v>0.37273612323771077</v>
          </cell>
          <cell r="AX101">
            <v>0.31533432683500601</v>
          </cell>
          <cell r="AY101">
            <v>0.43868698469994655</v>
          </cell>
          <cell r="AZ101">
            <v>1.5131708396232544</v>
          </cell>
          <cell r="BA101" t="str">
            <v>round err</v>
          </cell>
          <cell r="BC101">
            <v>0.38921535501625543</v>
          </cell>
          <cell r="BD101">
            <v>0.4335695595791636</v>
          </cell>
          <cell r="BE101">
            <v>0.45747967237411846</v>
          </cell>
          <cell r="BF101">
            <v>0.50960981410523554</v>
          </cell>
          <cell r="BG101">
            <v>1.7950704127269221</v>
          </cell>
          <cell r="BH101" t="str">
            <v>round err</v>
          </cell>
          <cell r="BI101">
            <v>-2.3657813110901982E-2</v>
          </cell>
          <cell r="BJ101">
            <v>0.16320778306388228</v>
          </cell>
          <cell r="BK101">
            <v>0.45077663115785005</v>
          </cell>
          <cell r="BL101">
            <v>0.16167069431931935</v>
          </cell>
          <cell r="BM101">
            <v>0.18629725456106105</v>
          </cell>
          <cell r="BO101">
            <v>0.55160780085619165</v>
          </cell>
          <cell r="BP101">
            <v>0.54061112831630098</v>
          </cell>
          <cell r="BQ101">
            <v>0.57015563920719359</v>
          </cell>
          <cell r="BR101">
            <v>0.56252277441519916</v>
          </cell>
          <cell r="BS101">
            <v>2.2261117049716188</v>
          </cell>
          <cell r="BT101" t="str">
            <v>round err</v>
          </cell>
          <cell r="BU101">
            <v>0.41723031670514121</v>
          </cell>
          <cell r="BV101">
            <v>0.24688441882551748</v>
          </cell>
          <cell r="BW101">
            <v>0.24629720977182745</v>
          </cell>
          <cell r="BX101">
            <v>0.10383034008649794</v>
          </cell>
          <cell r="BY101">
            <v>0.2401250052302375</v>
          </cell>
          <cell r="CA101">
            <v>2.3302581824988868</v>
          </cell>
          <cell r="CB101">
            <v>2.4210882540124294</v>
          </cell>
          <cell r="CC101">
            <v>2.3687514636225111</v>
          </cell>
          <cell r="CJ101" t="b">
            <v>0</v>
          </cell>
        </row>
        <row r="102">
          <cell r="A102" t="str">
            <v>Diluted (ex SFAS 123-R)</v>
          </cell>
          <cell r="C102" t="str">
            <v>NM</v>
          </cell>
          <cell r="D102" t="str">
            <v>NM</v>
          </cell>
          <cell r="E102">
            <v>-0.59579629629629671</v>
          </cell>
          <cell r="F102">
            <v>-3.3786240507930918</v>
          </cell>
          <cell r="K102">
            <v>-0.31275093959116151</v>
          </cell>
          <cell r="Q102">
            <v>0.13847645509536533</v>
          </cell>
          <cell r="V102">
            <v>0.50172613335270377</v>
          </cell>
          <cell r="AB102">
            <v>1.0046030411799582</v>
          </cell>
          <cell r="AH102">
            <v>1.2972760727151833</v>
          </cell>
          <cell r="AN102">
            <v>1.0033481754727795</v>
          </cell>
          <cell r="AO102">
            <v>1.2972760727151791</v>
          </cell>
          <cell r="BC102">
            <v>0.38921535501625543</v>
          </cell>
          <cell r="BD102">
            <v>0.4335695595791636</v>
          </cell>
          <cell r="BE102">
            <v>0.45747967237411846</v>
          </cell>
          <cell r="BF102">
            <v>0.50960981410523554</v>
          </cell>
          <cell r="BG102">
            <v>1.7950704127269221</v>
          </cell>
          <cell r="BO102">
            <v>0.60615486495159665</v>
          </cell>
          <cell r="BP102">
            <v>0.56385215185299964</v>
          </cell>
          <cell r="BQ102">
            <v>0.59433785892947466</v>
          </cell>
          <cell r="BR102">
            <v>0.58684244074172298</v>
          </cell>
          <cell r="BS102">
            <v>2.3511873164757939</v>
          </cell>
          <cell r="BT102" t="str">
            <v>ok</v>
          </cell>
          <cell r="BU102">
            <v>0.55737654524519176</v>
          </cell>
          <cell r="BV102">
            <v>0.30048832856322405</v>
          </cell>
          <cell r="BW102">
            <v>0.29915686929896212</v>
          </cell>
          <cell r="BX102">
            <v>0.15155247112360115</v>
          </cell>
          <cell r="BY102">
            <v>0.3098022783986869</v>
          </cell>
          <cell r="CA102">
            <v>2.4293489320972035</v>
          </cell>
          <cell r="CB102">
            <v>2.5234009122219891</v>
          </cell>
          <cell r="CC102">
            <v>2.4770478904307534</v>
          </cell>
          <cell r="CF102" t="str">
            <v>mstag:adjEpsForConsensus</v>
          </cell>
          <cell r="CG102">
            <v>0</v>
          </cell>
          <cell r="CH102" t="str">
            <v>ISO4217:USD</v>
          </cell>
          <cell r="CI102" t="b">
            <v>0</v>
          </cell>
          <cell r="CJ102" t="b">
            <v>0</v>
          </cell>
        </row>
        <row r="104">
          <cell r="A104" t="str">
            <v>Company Guidance (vs. cont. ops)</v>
          </cell>
          <cell r="AA104">
            <v>0.25</v>
          </cell>
          <cell r="AB104">
            <v>1.02</v>
          </cell>
          <cell r="AD104">
            <v>0.31</v>
          </cell>
          <cell r="AE104">
            <v>0.28999999999999998</v>
          </cell>
          <cell r="AF104">
            <v>0.28999999999999998</v>
          </cell>
          <cell r="AG104">
            <v>0.31</v>
          </cell>
          <cell r="AH104">
            <v>1.25</v>
          </cell>
          <cell r="AI104">
            <v>0.38</v>
          </cell>
          <cell r="AJ104">
            <v>0.35</v>
          </cell>
          <cell r="AK104">
            <v>0.36</v>
          </cell>
          <cell r="AL104">
            <v>0.40000000000000013</v>
          </cell>
          <cell r="AM104">
            <v>1.53</v>
          </cell>
          <cell r="AV104">
            <v>0.38</v>
          </cell>
          <cell r="AW104">
            <v>0.35</v>
          </cell>
          <cell r="AX104">
            <v>0.36</v>
          </cell>
          <cell r="AY104">
            <v>0.40000000000000013</v>
          </cell>
          <cell r="AZ104">
            <v>1.53</v>
          </cell>
          <cell r="BC104">
            <v>0.45</v>
          </cell>
          <cell r="BD104">
            <v>0.43</v>
          </cell>
          <cell r="BE104">
            <v>0.43</v>
          </cell>
          <cell r="BF104">
            <v>0.47</v>
          </cell>
          <cell r="BG104">
            <v>1.95</v>
          </cell>
          <cell r="BO104" t="str">
            <v>$0.55-0.57</v>
          </cell>
          <cell r="BP104" t="str">
            <v>$0.51-0.53</v>
          </cell>
          <cell r="BQ104" t="str">
            <v>$0.50-0.51</v>
          </cell>
          <cell r="BR104" t="str">
            <v>$0.56-0.58</v>
          </cell>
          <cell r="BS104" t="str">
            <v>2.16-2.21</v>
          </cell>
        </row>
        <row r="105">
          <cell r="AW105">
            <v>0.36</v>
          </cell>
          <cell r="AX105">
            <v>0.37</v>
          </cell>
          <cell r="AY105">
            <v>0.42999999999999994</v>
          </cell>
          <cell r="AZ105">
            <v>1.56</v>
          </cell>
          <cell r="BC105">
            <v>0.47</v>
          </cell>
          <cell r="BD105">
            <v>0.45</v>
          </cell>
          <cell r="BE105">
            <v>0.45</v>
          </cell>
          <cell r="BF105">
            <v>0.51</v>
          </cell>
          <cell r="BG105">
            <v>1.98</v>
          </cell>
        </row>
        <row r="106">
          <cell r="A106" t="str">
            <v>SFAS 123 adjusted</v>
          </cell>
          <cell r="AA106">
            <v>0.27</v>
          </cell>
          <cell r="AB106">
            <v>1.03</v>
          </cell>
          <cell r="AD106">
            <v>0.33</v>
          </cell>
          <cell r="AE106">
            <v>0.3</v>
          </cell>
          <cell r="AF106">
            <v>0.3</v>
          </cell>
          <cell r="AG106">
            <v>0.32</v>
          </cell>
          <cell r="AH106">
            <v>1.27</v>
          </cell>
          <cell r="AJ106">
            <v>0.36</v>
          </cell>
          <cell r="AK106">
            <v>0.37</v>
          </cell>
          <cell r="AL106">
            <v>0.42999999999999994</v>
          </cell>
          <cell r="AM106">
            <v>1.56</v>
          </cell>
          <cell r="BS106" t="str">
            <v>$2.26-2.34</v>
          </cell>
        </row>
        <row r="108">
          <cell r="A108" t="str">
            <v>First Call Consensus</v>
          </cell>
          <cell r="AA108">
            <v>0.27</v>
          </cell>
          <cell r="AB108">
            <v>1.03</v>
          </cell>
          <cell r="AD108">
            <v>0.33</v>
          </cell>
          <cell r="AE108">
            <v>0.28999999999999998</v>
          </cell>
          <cell r="AF108">
            <v>0.3</v>
          </cell>
          <cell r="AG108">
            <v>0.32</v>
          </cell>
          <cell r="AH108">
            <v>1.27</v>
          </cell>
          <cell r="AI108">
            <v>0.38</v>
          </cell>
          <cell r="AJ108">
            <v>0.36</v>
          </cell>
          <cell r="AK108">
            <v>0.37</v>
          </cell>
          <cell r="AL108">
            <v>0.42</v>
          </cell>
          <cell r="AM108">
            <v>1.56</v>
          </cell>
          <cell r="AV108">
            <v>0.38</v>
          </cell>
          <cell r="AW108">
            <v>0.36</v>
          </cell>
          <cell r="AX108">
            <v>0.37</v>
          </cell>
          <cell r="AY108">
            <v>0.42</v>
          </cell>
          <cell r="AZ108">
            <v>1.56</v>
          </cell>
          <cell r="BC108">
            <v>0.47</v>
          </cell>
          <cell r="BD108">
            <v>0.45</v>
          </cell>
          <cell r="BE108">
            <v>0.45</v>
          </cell>
          <cell r="BF108">
            <v>0.51</v>
          </cell>
          <cell r="BG108">
            <v>1.98</v>
          </cell>
          <cell r="BO108">
            <v>0.59</v>
          </cell>
          <cell r="BP108">
            <v>0.53</v>
          </cell>
          <cell r="BQ108">
            <v>0.51</v>
          </cell>
          <cell r="BR108">
            <v>0.57999999999999996</v>
          </cell>
          <cell r="BS108">
            <v>2.2000000000000002</v>
          </cell>
          <cell r="CA108">
            <v>2.56</v>
          </cell>
        </row>
        <row r="109">
          <cell r="A109" t="str">
            <v>MS Estimate</v>
          </cell>
          <cell r="AD109">
            <v>0.32</v>
          </cell>
          <cell r="AE109">
            <v>0.28999999999999998</v>
          </cell>
          <cell r="AF109">
            <v>0.28999999999999998</v>
          </cell>
          <cell r="AG109">
            <v>0.32</v>
          </cell>
          <cell r="AH109">
            <v>1.27</v>
          </cell>
          <cell r="AI109">
            <v>0.38</v>
          </cell>
          <cell r="AV109">
            <v>0.38</v>
          </cell>
          <cell r="BC109">
            <v>0.48</v>
          </cell>
          <cell r="BD109">
            <v>0.4335695595791636</v>
          </cell>
          <cell r="BE109">
            <v>0.45747967237411846</v>
          </cell>
          <cell r="BF109">
            <v>0.52</v>
          </cell>
          <cell r="BG109">
            <v>1.99</v>
          </cell>
        </row>
        <row r="111">
          <cell r="A111" t="str">
            <v>Sharecount and Dividends (see Options tab)</v>
          </cell>
        </row>
        <row r="112">
          <cell r="A112" t="str">
            <v>Period-end basic shares issued</v>
          </cell>
          <cell r="K112">
            <v>56.588787000000004</v>
          </cell>
          <cell r="N112">
            <v>75.338786999999996</v>
          </cell>
          <cell r="O112">
            <v>77.014504000000002</v>
          </cell>
          <cell r="P112">
            <v>87.105562000000006</v>
          </cell>
          <cell r="Q112">
            <v>87.105562000000006</v>
          </cell>
          <cell r="R112">
            <v>87.109921</v>
          </cell>
          <cell r="S112">
            <v>87.296184999999994</v>
          </cell>
          <cell r="T112">
            <v>87.438096999999999</v>
          </cell>
          <cell r="U112">
            <v>99.444997999999998</v>
          </cell>
          <cell r="V112">
            <v>99.444997999999998</v>
          </cell>
          <cell r="X112">
            <v>99.455288999999993</v>
          </cell>
          <cell r="Y112">
            <v>99.760501000000005</v>
          </cell>
          <cell r="Z112">
            <v>99.778499999999994</v>
          </cell>
          <cell r="AA112">
            <v>99.787034000000006</v>
          </cell>
          <cell r="AB112">
            <v>99.787034000000006</v>
          </cell>
          <cell r="AD112">
            <v>99.227558999999999</v>
          </cell>
          <cell r="AE112">
            <v>99.454054999999997</v>
          </cell>
          <cell r="AF112">
            <v>99.462194999999994</v>
          </cell>
          <cell r="AG112">
            <v>99.657532000000003</v>
          </cell>
          <cell r="AH112">
            <v>99.657532000000003</v>
          </cell>
          <cell r="AI112">
            <v>99.737320999999994</v>
          </cell>
          <cell r="AJ112">
            <v>99.050212000000002</v>
          </cell>
          <cell r="AK112">
            <v>88.158165999999994</v>
          </cell>
          <cell r="AL112">
            <v>87.616184000000004</v>
          </cell>
          <cell r="AM112">
            <v>87.616184000000004</v>
          </cell>
          <cell r="AV112">
            <v>99.737320999999994</v>
          </cell>
          <cell r="AW112">
            <v>99.050212000000002</v>
          </cell>
          <cell r="AX112">
            <v>88.158165999999994</v>
          </cell>
          <cell r="AY112">
            <v>87.616184000000004</v>
          </cell>
          <cell r="AZ112">
            <v>87.616184000000004</v>
          </cell>
          <cell r="BC112">
            <v>90.113917999999998</v>
          </cell>
          <cell r="BD112">
            <v>91.194637</v>
          </cell>
          <cell r="BE112">
            <v>89.489495000000005</v>
          </cell>
          <cell r="BF112">
            <v>94.539837000000006</v>
          </cell>
          <cell r="BG112">
            <v>94.539837000000006</v>
          </cell>
          <cell r="BO112">
            <v>98.468051000000003</v>
          </cell>
          <cell r="BP112">
            <v>95.832808999999997</v>
          </cell>
          <cell r="BQ112">
            <v>96.635647303428286</v>
          </cell>
          <cell r="BR112">
            <v>97.143768247965824</v>
          </cell>
          <cell r="BS112">
            <v>97.143768247965824</v>
          </cell>
          <cell r="CA112">
            <v>102.22607324796583</v>
          </cell>
          <cell r="CB112">
            <v>107.30837824796583</v>
          </cell>
          <cell r="CC112">
            <v>105.85007910770238</v>
          </cell>
        </row>
        <row r="113">
          <cell r="A113" t="str">
            <v>Treasury stock held EOP</v>
          </cell>
          <cell r="K113">
            <v>-0.96797999999999995</v>
          </cell>
          <cell r="M113">
            <v>-0.96797999999999995</v>
          </cell>
          <cell r="N113">
            <v>-0.96797999999999995</v>
          </cell>
          <cell r="O113">
            <v>-0.96797999999999995</v>
          </cell>
          <cell r="P113">
            <v>-0.96797999999999995</v>
          </cell>
          <cell r="Q113">
            <v>-0.96797999999999995</v>
          </cell>
          <cell r="R113">
            <v>-0.97554490000000005</v>
          </cell>
          <cell r="S113">
            <v>-0.975549</v>
          </cell>
          <cell r="T113">
            <v>-0.975549</v>
          </cell>
          <cell r="U113">
            <v>-0.975549</v>
          </cell>
          <cell r="V113">
            <v>-0.975549</v>
          </cell>
          <cell r="X113">
            <v>-0.975549</v>
          </cell>
          <cell r="Y113">
            <v>-0.975549</v>
          </cell>
          <cell r="Z113">
            <v>-0.975549</v>
          </cell>
          <cell r="AA113">
            <v>-0.97554900000000089</v>
          </cell>
          <cell r="AB113">
            <v>-0.97554900000000089</v>
          </cell>
          <cell r="AD113">
            <v>-0.97554900000000089</v>
          </cell>
          <cell r="AE113">
            <v>-0.97554900000000089</v>
          </cell>
          <cell r="AF113">
            <v>-0.97554900000000089</v>
          </cell>
          <cell r="AG113">
            <v>-0.975549</v>
          </cell>
          <cell r="AH113">
            <v>-0.975549</v>
          </cell>
          <cell r="AI113">
            <v>-0.975549</v>
          </cell>
          <cell r="AJ113">
            <v>-0.975549</v>
          </cell>
          <cell r="AK113">
            <v>-0.975549</v>
          </cell>
          <cell r="AL113">
            <v>-0.975549</v>
          </cell>
          <cell r="AM113">
            <v>-0.975549</v>
          </cell>
          <cell r="AV113">
            <v>-0.975549</v>
          </cell>
          <cell r="AW113">
            <v>-0.975549</v>
          </cell>
          <cell r="AX113">
            <v>-0.975549</v>
          </cell>
          <cell r="AY113">
            <v>-0.975549</v>
          </cell>
          <cell r="AZ113">
            <v>-0.975549</v>
          </cell>
          <cell r="BC113">
            <v>-0.975549</v>
          </cell>
          <cell r="BD113">
            <v>-0.975549</v>
          </cell>
          <cell r="BE113">
            <v>-0.975549</v>
          </cell>
          <cell r="BF113">
            <v>-0.975549</v>
          </cell>
          <cell r="BG113">
            <v>-0.975549</v>
          </cell>
          <cell r="BO113">
            <v>-0.975549</v>
          </cell>
          <cell r="BP113">
            <v>-0.975549</v>
          </cell>
          <cell r="BQ113">
            <v>-0.975549</v>
          </cell>
          <cell r="BR113">
            <v>-0.975549</v>
          </cell>
          <cell r="BS113">
            <v>-0.975549</v>
          </cell>
          <cell r="CA113">
            <v>-0.975549</v>
          </cell>
          <cell r="CB113">
            <v>-0.975549</v>
          </cell>
          <cell r="CC113">
            <v>-0.975549</v>
          </cell>
        </row>
        <row r="114">
          <cell r="A114" t="str">
            <v>Net period-end basic shares outstanding</v>
          </cell>
          <cell r="K114">
            <v>55.620807000000006</v>
          </cell>
          <cell r="M114">
            <v>-0.96797999999999995</v>
          </cell>
          <cell r="N114">
            <v>74.370806999999999</v>
          </cell>
          <cell r="O114">
            <v>76.046524000000005</v>
          </cell>
          <cell r="P114">
            <v>86.137582000000009</v>
          </cell>
          <cell r="Q114">
            <v>86.137582000000009</v>
          </cell>
          <cell r="R114">
            <v>86.134376099999997</v>
          </cell>
          <cell r="S114">
            <v>86.320635999999993</v>
          </cell>
          <cell r="T114">
            <v>86.462547999999998</v>
          </cell>
          <cell r="U114">
            <v>98.469448999999997</v>
          </cell>
          <cell r="V114">
            <v>98.469448999999997</v>
          </cell>
          <cell r="X114">
            <v>98.479739999999993</v>
          </cell>
          <cell r="Y114">
            <v>98.784952000000004</v>
          </cell>
          <cell r="Z114">
            <v>98.802950999999993</v>
          </cell>
          <cell r="AA114">
            <v>98.811485000000005</v>
          </cell>
          <cell r="AB114">
            <v>98.811485000000005</v>
          </cell>
          <cell r="AD114">
            <v>98.681983000000002</v>
          </cell>
          <cell r="AE114">
            <v>98.681983000000002</v>
          </cell>
          <cell r="AF114">
            <v>98.681983000000002</v>
          </cell>
          <cell r="AG114">
            <v>98.681983000000002</v>
          </cell>
          <cell r="AH114">
            <v>98.681983000000002</v>
          </cell>
          <cell r="AI114">
            <v>98.761771999999993</v>
          </cell>
          <cell r="AJ114">
            <v>98.074663000000001</v>
          </cell>
          <cell r="AK114">
            <v>87.182616999999993</v>
          </cell>
          <cell r="AL114">
            <v>86.640635000000003</v>
          </cell>
          <cell r="AM114">
            <v>86.640635000000003</v>
          </cell>
          <cell r="AV114">
            <v>98.761771999999993</v>
          </cell>
          <cell r="AW114">
            <v>98.074663000000001</v>
          </cell>
          <cell r="AX114">
            <v>87.182616999999993</v>
          </cell>
          <cell r="AY114">
            <v>86.640635000000003</v>
          </cell>
          <cell r="AZ114">
            <v>86.640635000000003</v>
          </cell>
          <cell r="BC114">
            <v>89.138368999999997</v>
          </cell>
          <cell r="BD114">
            <v>90.219087999999999</v>
          </cell>
          <cell r="BE114">
            <v>88.513946000000004</v>
          </cell>
          <cell r="BF114">
            <v>93.564288000000005</v>
          </cell>
          <cell r="BG114">
            <v>93.564288000000005</v>
          </cell>
          <cell r="BO114">
            <v>97.492502000000002</v>
          </cell>
          <cell r="BP114">
            <v>94.857259999999997</v>
          </cell>
          <cell r="BQ114">
            <v>95.660098303428285</v>
          </cell>
          <cell r="BR114">
            <v>96.168219247965823</v>
          </cell>
          <cell r="BS114">
            <v>96.168219247965823</v>
          </cell>
          <cell r="CA114">
            <v>101.25052424796583</v>
          </cell>
          <cell r="CB114">
            <v>106.33282924796583</v>
          </cell>
          <cell r="CC114">
            <v>104.87453010770238</v>
          </cell>
          <cell r="CF114" t="str">
            <v>mstag:periodEndBasicSharesOutstanding</v>
          </cell>
          <cell r="CG114">
            <v>6</v>
          </cell>
          <cell r="CH114" t="str">
            <v>ms_eqr_gcim_Decimal:ms_eqr_gcim_decimal</v>
          </cell>
          <cell r="CI114" t="b">
            <v>0</v>
          </cell>
          <cell r="CJ114" t="b">
            <v>0</v>
          </cell>
        </row>
        <row r="116">
          <cell r="A116" t="str">
            <v>Net issuances/(repurchases) - $</v>
          </cell>
          <cell r="N116">
            <v>700.46900000000005</v>
          </cell>
          <cell r="O116">
            <v>20.482999999999816</v>
          </cell>
          <cell r="P116">
            <v>271.00500000000005</v>
          </cell>
          <cell r="Q116">
            <v>0.63600000000000001</v>
          </cell>
          <cell r="R116">
            <v>-4.5999999999907892E-2</v>
          </cell>
          <cell r="S116">
            <v>3.2139999999999729</v>
          </cell>
          <cell r="T116">
            <v>3.7379999999999445</v>
          </cell>
          <cell r="U116">
            <v>307.84199999999993</v>
          </cell>
          <cell r="V116">
            <v>7.9239999999999995</v>
          </cell>
          <cell r="X116">
            <v>-0.46200000000005215</v>
          </cell>
          <cell r="Y116">
            <v>5.4010000000003773</v>
          </cell>
          <cell r="Z116">
            <v>-5.5400000000000951</v>
          </cell>
          <cell r="AA116">
            <v>-0.74300000000013178</v>
          </cell>
          <cell r="AB116">
            <v>2.5379999999999998</v>
          </cell>
          <cell r="AD116">
            <v>-1.8610000000001676</v>
          </cell>
          <cell r="AE116">
            <v>3.9120000000001838</v>
          </cell>
          <cell r="AF116">
            <v>-5.1829999999999146</v>
          </cell>
          <cell r="AG116">
            <v>7.9440000000002815</v>
          </cell>
          <cell r="AH116">
            <v>-3.399</v>
          </cell>
          <cell r="AI116">
            <v>382.10799999999995</v>
          </cell>
          <cell r="AJ116">
            <v>0.89100000000000001</v>
          </cell>
          <cell r="AK116">
            <v>-288.31299999999999</v>
          </cell>
          <cell r="AL116">
            <v>5.7900000000000134</v>
          </cell>
          <cell r="AM116">
            <v>-268.18199999999996</v>
          </cell>
          <cell r="AV116">
            <v>-84.271999999999991</v>
          </cell>
          <cell r="AW116">
            <v>0.89100000000000001</v>
          </cell>
          <cell r="AX116">
            <v>-288.31299999999999</v>
          </cell>
          <cell r="AY116">
            <v>5.7900000000000134</v>
          </cell>
          <cell r="AZ116">
            <v>-268.18200000000002</v>
          </cell>
          <cell r="BC116">
            <v>12.56</v>
          </cell>
          <cell r="BD116">
            <v>16.093999999999998</v>
          </cell>
          <cell r="BE116">
            <v>-61.423000000000002</v>
          </cell>
          <cell r="BF116">
            <v>3</v>
          </cell>
          <cell r="BG116">
            <v>161.101</v>
          </cell>
          <cell r="BO116">
            <v>-6.1929999999999996</v>
          </cell>
          <cell r="BP116">
            <v>-122.774</v>
          </cell>
          <cell r="BQ116">
            <v>-0.4375602636793694</v>
          </cell>
          <cell r="BR116">
            <v>-0.24631146895295686</v>
          </cell>
          <cell r="BS116">
            <v>-129.65087173263231</v>
          </cell>
          <cell r="CA116">
            <v>75.923171107061762</v>
          </cell>
          <cell r="CB116">
            <v>81.9970247956267</v>
          </cell>
          <cell r="CC116">
            <v>-76.933180722713445</v>
          </cell>
          <cell r="CD116">
            <v>0</v>
          </cell>
          <cell r="CF116" t="str">
            <v>mstag:netIssuanceRepurchaseOfCommonStock</v>
          </cell>
          <cell r="CG116">
            <v>6</v>
          </cell>
          <cell r="CH116" t="str">
            <v>ISO4217:USD</v>
          </cell>
          <cell r="CI116" t="b">
            <v>0</v>
          </cell>
          <cell r="CJ116" t="b">
            <v>0</v>
          </cell>
        </row>
        <row r="119">
          <cell r="A119" t="str">
            <v>Common dividends</v>
          </cell>
          <cell r="F119">
            <v>0</v>
          </cell>
          <cell r="G119">
            <v>0</v>
          </cell>
          <cell r="H119">
            <v>0</v>
          </cell>
          <cell r="I119">
            <v>0</v>
          </cell>
          <cell r="J119">
            <v>0</v>
          </cell>
          <cell r="K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D119">
            <v>0</v>
          </cell>
          <cell r="AE119">
            <v>0</v>
          </cell>
          <cell r="AF119">
            <v>0</v>
          </cell>
          <cell r="AG119">
            <v>0</v>
          </cell>
          <cell r="AH119">
            <v>0</v>
          </cell>
          <cell r="AI119">
            <v>0</v>
          </cell>
          <cell r="AJ119">
            <v>0</v>
          </cell>
          <cell r="AK119">
            <v>0</v>
          </cell>
          <cell r="AL119">
            <v>0</v>
          </cell>
          <cell r="AM119">
            <v>0</v>
          </cell>
          <cell r="AV119">
            <v>0</v>
          </cell>
          <cell r="AW119">
            <v>0</v>
          </cell>
          <cell r="AX119">
            <v>0</v>
          </cell>
          <cell r="AY119">
            <v>0</v>
          </cell>
          <cell r="AZ119">
            <v>0</v>
          </cell>
          <cell r="BC119">
            <v>0</v>
          </cell>
          <cell r="BD119">
            <v>0</v>
          </cell>
          <cell r="BE119">
            <v>0</v>
          </cell>
          <cell r="BF119">
            <v>0</v>
          </cell>
          <cell r="BG119">
            <v>0</v>
          </cell>
          <cell r="BO119">
            <v>0</v>
          </cell>
          <cell r="BP119">
            <v>0</v>
          </cell>
          <cell r="BQ119">
            <v>0</v>
          </cell>
          <cell r="BR119">
            <v>0</v>
          </cell>
          <cell r="BS119">
            <v>0</v>
          </cell>
          <cell r="CA119">
            <v>0</v>
          </cell>
          <cell r="CB119">
            <v>0</v>
          </cell>
          <cell r="CC119">
            <v>0</v>
          </cell>
          <cell r="CD119">
            <v>0</v>
          </cell>
          <cell r="CF119" t="str">
            <v>mstag:commonDividends</v>
          </cell>
          <cell r="CG119">
            <v>6</v>
          </cell>
          <cell r="CH119" t="str">
            <v>ISO4217:USD</v>
          </cell>
          <cell r="CI119" t="b">
            <v>0</v>
          </cell>
          <cell r="CJ119" t="b">
            <v>0</v>
          </cell>
        </row>
        <row r="121">
          <cell r="A121" t="str">
            <v>Dilution ratio</v>
          </cell>
          <cell r="K121">
            <v>1</v>
          </cell>
          <cell r="M121">
            <v>0.97843897729250429</v>
          </cell>
          <cell r="N121">
            <v>0.98085416467116904</v>
          </cell>
          <cell r="O121">
            <v>0.9731519619241813</v>
          </cell>
          <cell r="P121">
            <v>0.97205800135606135</v>
          </cell>
          <cell r="Q121">
            <v>0.97554339961216752</v>
          </cell>
          <cell r="R121">
            <v>0.9766141502472927</v>
          </cell>
          <cell r="S121">
            <v>0.97938186218284262</v>
          </cell>
          <cell r="T121">
            <v>0.9784972874223401</v>
          </cell>
          <cell r="U121">
            <v>0.98228012083947192</v>
          </cell>
          <cell r="V121">
            <v>0.97929135259776712</v>
          </cell>
          <cell r="X121">
            <v>0.90699814835166548</v>
          </cell>
          <cell r="Y121">
            <v>0.98421774159818232</v>
          </cell>
          <cell r="Z121">
            <v>0.90803938760431746</v>
          </cell>
          <cell r="AA121">
            <v>0.90936018217349901</v>
          </cell>
          <cell r="AB121">
            <v>0.90812649278847601</v>
          </cell>
          <cell r="AD121">
            <v>0.91221216793691351</v>
          </cell>
          <cell r="AE121">
            <v>0.91176420943200542</v>
          </cell>
          <cell r="AF121">
            <v>0.91016468283804519</v>
          </cell>
          <cell r="AG121">
            <v>0.90610363199690813</v>
          </cell>
          <cell r="AH121">
            <v>0.91023533975072801</v>
          </cell>
          <cell r="AI121">
            <v>0.90435383195162855</v>
          </cell>
          <cell r="AJ121">
            <v>0.90624307593430609</v>
          </cell>
          <cell r="AK121">
            <v>0.90660194014369511</v>
          </cell>
          <cell r="AL121">
            <v>0.89594528077443691</v>
          </cell>
          <cell r="AM121">
            <v>0.903460314428569</v>
          </cell>
          <cell r="AV121">
            <v>0.90435383195162855</v>
          </cell>
          <cell r="AW121">
            <v>0.90624307593430609</v>
          </cell>
          <cell r="AX121">
            <v>0.90660194014369511</v>
          </cell>
          <cell r="AY121">
            <v>0.89594528077443691</v>
          </cell>
          <cell r="AZ121">
            <v>0.903460314428569</v>
          </cell>
          <cell r="BC121">
            <v>0.89641095057100584</v>
          </cell>
          <cell r="BD121">
            <v>0.8975211541845981</v>
          </cell>
          <cell r="BE121">
            <v>0.89644104462760632</v>
          </cell>
          <cell r="BF121">
            <v>0.90468446675949543</v>
          </cell>
          <cell r="BG121">
            <v>0.8987744843965626</v>
          </cell>
          <cell r="BO121">
            <v>0.98312966807380131</v>
          </cell>
          <cell r="BP121">
            <v>0.98863425209043043</v>
          </cell>
          <cell r="BQ121">
            <v>0.98862146028409648</v>
          </cell>
          <cell r="BR121">
            <v>0.98865125807250853</v>
          </cell>
          <cell r="BS121">
            <v>0.98865824531310786</v>
          </cell>
          <cell r="CA121">
            <v>0.98896908226351299</v>
          </cell>
          <cell r="CB121">
            <v>0.98950355702481063</v>
          </cell>
          <cell r="CC121">
            <v>0.98968180211660661</v>
          </cell>
        </row>
        <row r="123">
          <cell r="A123" t="str">
            <v>BALANCE SHEET</v>
          </cell>
        </row>
        <row r="124">
          <cell r="A124" t="str">
            <v>($ mil)  FY ending Dec. 31</v>
          </cell>
          <cell r="C124">
            <v>1995</v>
          </cell>
          <cell r="D124">
            <v>1996</v>
          </cell>
          <cell r="E124">
            <v>1997</v>
          </cell>
          <cell r="F124">
            <v>1998</v>
          </cell>
          <cell r="G124" t="str">
            <v>1Q99</v>
          </cell>
          <cell r="H124" t="str">
            <v>2Q99</v>
          </cell>
          <cell r="I124" t="str">
            <v>3Q99</v>
          </cell>
          <cell r="J124" t="str">
            <v>4Q99</v>
          </cell>
          <cell r="K124">
            <v>1999</v>
          </cell>
          <cell r="M124" t="str">
            <v>1Q00</v>
          </cell>
          <cell r="N124" t="str">
            <v>2Q00</v>
          </cell>
          <cell r="O124" t="str">
            <v>3Q00</v>
          </cell>
          <cell r="P124" t="str">
            <v>4Q00</v>
          </cell>
          <cell r="Q124">
            <v>2000</v>
          </cell>
          <cell r="R124" t="str">
            <v>1Q01</v>
          </cell>
          <cell r="S124" t="str">
            <v>2Q01</v>
          </cell>
          <cell r="T124" t="str">
            <v>3Q01</v>
          </cell>
          <cell r="U124" t="str">
            <v>4Q01</v>
          </cell>
          <cell r="V124">
            <v>2001</v>
          </cell>
          <cell r="X124" t="str">
            <v>1Q02</v>
          </cell>
          <cell r="Y124" t="str">
            <v>2Q02</v>
          </cell>
          <cell r="Z124" t="str">
            <v>3Q02</v>
          </cell>
          <cell r="AA124" t="str">
            <v>4Q02</v>
          </cell>
          <cell r="AB124">
            <v>2002</v>
          </cell>
          <cell r="AD124" t="str">
            <v>1Q03</v>
          </cell>
          <cell r="AE124" t="str">
            <v>2Q03</v>
          </cell>
          <cell r="AF124" t="str">
            <v>3Q03</v>
          </cell>
          <cell r="AG124" t="str">
            <v>4Q03</v>
          </cell>
          <cell r="AH124">
            <v>2003</v>
          </cell>
          <cell r="AI124" t="str">
            <v>1Q04</v>
          </cell>
          <cell r="AJ124" t="str">
            <v>2Q04</v>
          </cell>
          <cell r="AK124" t="str">
            <v>3Q04</v>
          </cell>
          <cell r="AL124" t="str">
            <v>4Q04</v>
          </cell>
          <cell r="AM124">
            <v>2004</v>
          </cell>
          <cell r="AN124" t="str">
            <v>2002</v>
          </cell>
          <cell r="AP124" t="str">
            <v>1Q03</v>
          </cell>
          <cell r="AQ124" t="str">
            <v>2Q03</v>
          </cell>
          <cell r="AR124" t="str">
            <v>3Q03</v>
          </cell>
          <cell r="AS124" t="str">
            <v>4Q03</v>
          </cell>
          <cell r="AT124">
            <v>2003</v>
          </cell>
          <cell r="AV124" t="str">
            <v>1Q04</v>
          </cell>
          <cell r="AW124" t="str">
            <v>2Q04</v>
          </cell>
          <cell r="AX124" t="str">
            <v>3Q04</v>
          </cell>
          <cell r="AY124" t="str">
            <v>4Q04</v>
          </cell>
          <cell r="AZ124">
            <v>2004</v>
          </cell>
          <cell r="BC124" t="str">
            <v>1Q05</v>
          </cell>
          <cell r="BD124" t="str">
            <v>2Q05</v>
          </cell>
          <cell r="BE124" t="str">
            <v>3Q05</v>
          </cell>
          <cell r="BF124" t="str">
            <v>4Q05</v>
          </cell>
          <cell r="BG124">
            <v>2005</v>
          </cell>
          <cell r="BO124" t="str">
            <v>1Q06</v>
          </cell>
          <cell r="BP124" t="str">
            <v>2Q06</v>
          </cell>
          <cell r="BQ124" t="str">
            <v>3Q06E</v>
          </cell>
          <cell r="BR124" t="str">
            <v>4Q06E</v>
          </cell>
          <cell r="BS124" t="str">
            <v>2006E</v>
          </cell>
          <cell r="CA124" t="str">
            <v>2007E</v>
          </cell>
          <cell r="CB124" t="str">
            <v>2008E</v>
          </cell>
          <cell r="CC124" t="str">
            <v>2009E</v>
          </cell>
          <cell r="CD124" t="str">
            <v>2010E</v>
          </cell>
        </row>
        <row r="125">
          <cell r="A125" t="str">
            <v>Current Assets:</v>
          </cell>
        </row>
        <row r="126">
          <cell r="A126" t="str">
            <v>Cash and cash equivalents</v>
          </cell>
          <cell r="E126">
            <v>7.6630000000000003</v>
          </cell>
          <cell r="F126">
            <v>6.7190000000000003</v>
          </cell>
          <cell r="K126">
            <v>4.2820000000000453</v>
          </cell>
          <cell r="M126">
            <v>10.88500000000009</v>
          </cell>
          <cell r="N126">
            <v>5.9900000000000233</v>
          </cell>
          <cell r="O126">
            <v>7.9420000000000712</v>
          </cell>
          <cell r="P126">
            <v>13.740000000000066</v>
          </cell>
          <cell r="Q126">
            <v>13.739999999999959</v>
          </cell>
          <cell r="R126">
            <v>23.215999999999962</v>
          </cell>
          <cell r="S126">
            <v>35.739999999999966</v>
          </cell>
          <cell r="T126">
            <v>17.698999999999959</v>
          </cell>
          <cell r="U126">
            <v>8.3860000000002124</v>
          </cell>
          <cell r="V126">
            <v>8.3860000000002124</v>
          </cell>
          <cell r="X126">
            <v>23.698000000000121</v>
          </cell>
          <cell r="Y126">
            <v>20.024000000000093</v>
          </cell>
          <cell r="Z126">
            <v>117.53000000000014</v>
          </cell>
          <cell r="AA126">
            <v>132.84400000000008</v>
          </cell>
          <cell r="AB126">
            <v>132.84400000000008</v>
          </cell>
          <cell r="AC126">
            <v>0</v>
          </cell>
          <cell r="AD126">
            <v>19.563000000000144</v>
          </cell>
          <cell r="AE126">
            <v>25.306000000000196</v>
          </cell>
          <cell r="AF126">
            <v>62.642000000000294</v>
          </cell>
          <cell r="AG126">
            <v>16.331000000000259</v>
          </cell>
          <cell r="AH126">
            <v>16.3310000000005</v>
          </cell>
          <cell r="AI126">
            <v>16.100000000000001</v>
          </cell>
          <cell r="AJ126">
            <v>10.660000000000124</v>
          </cell>
          <cell r="AK126">
            <v>12.007000000000147</v>
          </cell>
          <cell r="AL126">
            <v>74.553000000000225</v>
          </cell>
          <cell r="AM126">
            <v>74.639000000000152</v>
          </cell>
          <cell r="AN126">
            <v>132.84400000000008</v>
          </cell>
          <cell r="AP126">
            <v>19.563000000000144</v>
          </cell>
          <cell r="AQ126">
            <v>25.306000000000196</v>
          </cell>
          <cell r="AR126">
            <v>62.642000000000294</v>
          </cell>
          <cell r="AS126">
            <v>16.331000000000259</v>
          </cell>
          <cell r="AT126">
            <v>16.3310000000005</v>
          </cell>
          <cell r="AV126">
            <v>16.100000000000001</v>
          </cell>
          <cell r="AW126">
            <v>18.605000000000508</v>
          </cell>
          <cell r="AX126">
            <v>19.952000000000531</v>
          </cell>
          <cell r="AY126">
            <v>82.498000000000488</v>
          </cell>
          <cell r="AZ126">
            <v>92.398000000000337</v>
          </cell>
          <cell r="BC126">
            <v>218.44700000000046</v>
          </cell>
          <cell r="BD126">
            <v>272.36370000000045</v>
          </cell>
          <cell r="BE126">
            <v>184.27970000000047</v>
          </cell>
          <cell r="BF126">
            <v>104.10770000000048</v>
          </cell>
          <cell r="BG126">
            <v>104.10770000000049</v>
          </cell>
          <cell r="BO126">
            <v>111.95070000000024</v>
          </cell>
          <cell r="BP126">
            <v>24.156700000000328</v>
          </cell>
          <cell r="BQ126">
            <v>14.664571244350228</v>
          </cell>
          <cell r="BR126">
            <v>-5.9218167876826584</v>
          </cell>
          <cell r="BS126">
            <v>-5.92181678768263</v>
          </cell>
          <cell r="CA126">
            <v>125.74287971764748</v>
          </cell>
          <cell r="CB126">
            <v>237.09962182350392</v>
          </cell>
          <cell r="CC126">
            <v>826.30964225855632</v>
          </cell>
          <cell r="CD126">
            <v>1010.9029081688736</v>
          </cell>
          <cell r="CF126" t="str">
            <v>mstag:cashAndCashEquivalents</v>
          </cell>
          <cell r="CG126">
            <v>6</v>
          </cell>
          <cell r="CH126" t="str">
            <v>ISO4217:USD</v>
          </cell>
          <cell r="CI126" t="b">
            <v>0</v>
          </cell>
          <cell r="CJ126" t="b">
            <v>0</v>
          </cell>
        </row>
        <row r="127">
          <cell r="A127" t="str">
            <v>Patient accounts receivable, net</v>
          </cell>
          <cell r="F127">
            <v>148.797</v>
          </cell>
          <cell r="K127">
            <v>226.35</v>
          </cell>
          <cell r="M127">
            <v>0</v>
          </cell>
          <cell r="N127">
            <v>248.45099999999999</v>
          </cell>
          <cell r="O127">
            <v>296.26499999999999</v>
          </cell>
          <cell r="P127">
            <v>309.82600000000002</v>
          </cell>
          <cell r="Q127">
            <v>309.82600000000002</v>
          </cell>
          <cell r="R127">
            <v>313.11700000000002</v>
          </cell>
          <cell r="S127">
            <v>316.49900000000002</v>
          </cell>
          <cell r="T127">
            <v>334.53800000000001</v>
          </cell>
          <cell r="U127">
            <v>370.05200000000002</v>
          </cell>
          <cell r="V127">
            <v>370.05200000000002</v>
          </cell>
          <cell r="X127">
            <v>408.83699999999999</v>
          </cell>
          <cell r="Y127">
            <v>375.84199999999998</v>
          </cell>
          <cell r="Z127">
            <v>390.77499999999998</v>
          </cell>
          <cell r="AA127">
            <v>400.44200000000001</v>
          </cell>
          <cell r="AB127">
            <v>400.44200000000001</v>
          </cell>
          <cell r="AC127">
            <v>0</v>
          </cell>
          <cell r="AD127">
            <v>464.79599999999999</v>
          </cell>
          <cell r="AE127">
            <v>411.08499999999998</v>
          </cell>
          <cell r="AF127">
            <v>492.12200000000001</v>
          </cell>
          <cell r="AG127">
            <v>559.09699999999998</v>
          </cell>
          <cell r="AH127">
            <v>559.09699999999998</v>
          </cell>
          <cell r="AI127">
            <v>583.875</v>
          </cell>
          <cell r="AJ127">
            <v>552.37800000000004</v>
          </cell>
          <cell r="AK127">
            <v>577.91</v>
          </cell>
          <cell r="AL127">
            <v>597.26099999999997</v>
          </cell>
          <cell r="AM127">
            <v>597.26099999999997</v>
          </cell>
          <cell r="AN127">
            <v>400.44200000000001</v>
          </cell>
          <cell r="AP127">
            <v>464.79599999999999</v>
          </cell>
          <cell r="AQ127">
            <v>411.08499999999998</v>
          </cell>
          <cell r="AR127">
            <v>492.12200000000001</v>
          </cell>
          <cell r="AS127">
            <v>559.09699999999998</v>
          </cell>
          <cell r="AT127">
            <v>559.09699999999998</v>
          </cell>
          <cell r="AV127">
            <v>583.875</v>
          </cell>
          <cell r="AW127">
            <v>552.37800000000004</v>
          </cell>
          <cell r="AX127">
            <v>577.91</v>
          </cell>
          <cell r="AY127">
            <v>597.26099999999997</v>
          </cell>
          <cell r="AZ127">
            <v>597.26099999999997</v>
          </cell>
          <cell r="BC127">
            <v>606.54100000000005</v>
          </cell>
          <cell r="BD127">
            <v>614.64400000000001</v>
          </cell>
          <cell r="BE127">
            <v>629.86199999999997</v>
          </cell>
          <cell r="BF127">
            <v>656.029</v>
          </cell>
          <cell r="BG127">
            <v>656.029</v>
          </cell>
          <cell r="BO127">
            <v>699.06700000000001</v>
          </cell>
          <cell r="BP127">
            <v>727.68799999999999</v>
          </cell>
          <cell r="BQ127">
            <v>739.15146517231176</v>
          </cell>
          <cell r="BR127">
            <v>745.30211787958126</v>
          </cell>
          <cell r="BS127">
            <v>745.30211787958126</v>
          </cell>
          <cell r="CA127">
            <v>791.94411490301934</v>
          </cell>
          <cell r="CB127">
            <v>842.93382215417603</v>
          </cell>
          <cell r="CC127">
            <v>910.13278358309617</v>
          </cell>
          <cell r="CD127">
            <v>973.82773562483317</v>
          </cell>
          <cell r="CF127" t="str">
            <v>mstag:tradeReceivables</v>
          </cell>
          <cell r="CG127">
            <v>6</v>
          </cell>
          <cell r="CH127" t="str">
            <v>ISO4217:USD</v>
          </cell>
          <cell r="CI127" t="b">
            <v>0</v>
          </cell>
          <cell r="CJ127" t="b">
            <v>0</v>
          </cell>
        </row>
        <row r="128">
          <cell r="A128" t="str">
            <v>Supplies</v>
          </cell>
          <cell r="F128">
            <v>26.036999999999999</v>
          </cell>
          <cell r="K128">
            <v>32.134</v>
          </cell>
          <cell r="M128">
            <v>0</v>
          </cell>
          <cell r="N128">
            <v>60.636000000000003</v>
          </cell>
          <cell r="O128">
            <v>36.677</v>
          </cell>
          <cell r="P128">
            <v>39.679000000000002</v>
          </cell>
          <cell r="Q128">
            <v>39.679000000000002</v>
          </cell>
          <cell r="R128">
            <v>40.247</v>
          </cell>
          <cell r="S128">
            <v>41.86</v>
          </cell>
          <cell r="T128">
            <v>42.668999999999997</v>
          </cell>
          <cell r="U128">
            <v>47.466000000000001</v>
          </cell>
          <cell r="V128">
            <v>47.466000000000001</v>
          </cell>
          <cell r="X128">
            <v>49.996000000000002</v>
          </cell>
          <cell r="Y128">
            <v>53.802</v>
          </cell>
          <cell r="Z128">
            <v>56.476999999999997</v>
          </cell>
          <cell r="AA128">
            <v>60.456000000000003</v>
          </cell>
          <cell r="AB128">
            <v>60.456000000000003</v>
          </cell>
          <cell r="AC128">
            <v>0</v>
          </cell>
          <cell r="AD128">
            <v>63.774999999999999</v>
          </cell>
          <cell r="AE128">
            <v>64.176000000000002</v>
          </cell>
          <cell r="AF128">
            <v>70.536000000000001</v>
          </cell>
          <cell r="AG128">
            <v>77.418000000000006</v>
          </cell>
          <cell r="AH128">
            <v>77.418000000000006</v>
          </cell>
          <cell r="AI128">
            <v>79.227000000000004</v>
          </cell>
          <cell r="AJ128">
            <v>82.808000000000007</v>
          </cell>
          <cell r="AK128">
            <v>85.653000000000006</v>
          </cell>
          <cell r="AL128">
            <v>88.266999999999996</v>
          </cell>
          <cell r="AM128">
            <v>88.266999999999996</v>
          </cell>
          <cell r="AN128">
            <v>60.456000000000003</v>
          </cell>
          <cell r="AP128">
            <v>63.774999999999999</v>
          </cell>
          <cell r="AQ128">
            <v>64.176000000000002</v>
          </cell>
          <cell r="AR128">
            <v>70.536000000000001</v>
          </cell>
          <cell r="AS128">
            <v>77.418000000000006</v>
          </cell>
          <cell r="AT128">
            <v>77.418000000000006</v>
          </cell>
          <cell r="AV128">
            <v>79.227000000000004</v>
          </cell>
          <cell r="AW128">
            <v>82.808000000000007</v>
          </cell>
          <cell r="AX128">
            <v>85.653000000000006</v>
          </cell>
          <cell r="AY128">
            <v>88.266999999999996</v>
          </cell>
          <cell r="AZ128">
            <v>88.266999999999996</v>
          </cell>
          <cell r="BC128">
            <v>86.313999999999993</v>
          </cell>
          <cell r="BD128">
            <v>88.635000000000005</v>
          </cell>
          <cell r="BE128">
            <v>90.213999999999999</v>
          </cell>
          <cell r="BF128">
            <v>95.2</v>
          </cell>
          <cell r="BG128">
            <v>95.2</v>
          </cell>
          <cell r="BO128">
            <v>94.864000000000004</v>
          </cell>
          <cell r="BP128">
            <v>102.874</v>
          </cell>
          <cell r="BQ128">
            <v>102.99651563876473</v>
          </cell>
          <cell r="BR128">
            <v>103.85357380289246</v>
          </cell>
          <cell r="BS128">
            <v>103.85357380289246</v>
          </cell>
          <cell r="CA128">
            <v>113.74856179388246</v>
          </cell>
          <cell r="CB128">
            <v>123.09019027437245</v>
          </cell>
          <cell r="CC128">
            <v>132.90298071074088</v>
          </cell>
          <cell r="CD128">
            <v>142.2040949385437</v>
          </cell>
          <cell r="CF128" t="str">
            <v>mstag:inventories</v>
          </cell>
          <cell r="CG128">
            <v>6</v>
          </cell>
          <cell r="CH128" t="str">
            <v>ISO4217:USD</v>
          </cell>
          <cell r="CI128" t="b">
            <v>0</v>
          </cell>
          <cell r="CJ128" t="b">
            <v>0</v>
          </cell>
        </row>
        <row r="129">
          <cell r="A129" t="str">
            <v>Prepaid expenses and taxes</v>
          </cell>
          <cell r="F129">
            <v>7.5640000000000001</v>
          </cell>
          <cell r="K129">
            <v>9.8460000000000001</v>
          </cell>
          <cell r="M129">
            <v>0</v>
          </cell>
          <cell r="N129">
            <v>15.304</v>
          </cell>
          <cell r="O129">
            <v>16.274999999999999</v>
          </cell>
          <cell r="P129">
            <v>19.989000000000001</v>
          </cell>
          <cell r="Q129">
            <v>19.989000000000001</v>
          </cell>
          <cell r="R129">
            <v>17.733000000000001</v>
          </cell>
          <cell r="S129">
            <v>14.169</v>
          </cell>
          <cell r="T129">
            <v>13.180999999999999</v>
          </cell>
          <cell r="U129">
            <v>14.846</v>
          </cell>
          <cell r="V129">
            <v>14.846</v>
          </cell>
          <cell r="X129">
            <v>17.113</v>
          </cell>
          <cell r="Y129">
            <v>16.506</v>
          </cell>
          <cell r="Z129">
            <v>25.06</v>
          </cell>
          <cell r="AA129">
            <v>22.106999999999999</v>
          </cell>
          <cell r="AB129">
            <v>22.106999999999999</v>
          </cell>
          <cell r="AC129">
            <v>0</v>
          </cell>
          <cell r="AD129">
            <v>20.58</v>
          </cell>
          <cell r="AE129">
            <v>25.59</v>
          </cell>
          <cell r="AF129">
            <v>25.416</v>
          </cell>
          <cell r="AG129">
            <v>24.314</v>
          </cell>
          <cell r="AH129">
            <v>24.314</v>
          </cell>
          <cell r="AI129">
            <v>24.088000000000001</v>
          </cell>
          <cell r="AJ129">
            <v>32.32</v>
          </cell>
          <cell r="AK129">
            <v>35.029000000000003</v>
          </cell>
          <cell r="AL129">
            <v>30.483000000000001</v>
          </cell>
          <cell r="AM129">
            <v>30.483000000000001</v>
          </cell>
          <cell r="AN129">
            <v>22.106999999999999</v>
          </cell>
          <cell r="AP129">
            <v>20.58</v>
          </cell>
          <cell r="AQ129">
            <v>25.59</v>
          </cell>
          <cell r="AR129">
            <v>25.416</v>
          </cell>
          <cell r="AS129">
            <v>24.314</v>
          </cell>
          <cell r="AT129">
            <v>24.314</v>
          </cell>
          <cell r="AV129">
            <v>24.088000000000001</v>
          </cell>
          <cell r="AW129">
            <v>32.32</v>
          </cell>
          <cell r="AX129">
            <v>35.029000000000003</v>
          </cell>
          <cell r="AY129">
            <v>30.483000000000001</v>
          </cell>
          <cell r="AZ129">
            <v>30.483000000000001</v>
          </cell>
          <cell r="BC129">
            <v>29.76</v>
          </cell>
          <cell r="BD129">
            <v>29.652999999999999</v>
          </cell>
          <cell r="BE129">
            <v>36.531999999999996</v>
          </cell>
          <cell r="BF129">
            <v>33.377000000000002</v>
          </cell>
          <cell r="BG129">
            <v>33.377000000000002</v>
          </cell>
          <cell r="BO129">
            <v>32.445</v>
          </cell>
          <cell r="BP129">
            <v>31.187999999999999</v>
          </cell>
          <cell r="BQ129">
            <v>39.017503571390883</v>
          </cell>
          <cell r="BR129">
            <v>39.342177370036914</v>
          </cell>
          <cell r="BS129">
            <v>39.342177370036914</v>
          </cell>
          <cell r="CA129">
            <v>43.090631644270779</v>
          </cell>
          <cell r="CB129">
            <v>46.757212261773873</v>
          </cell>
          <cell r="CC129">
            <v>50.346776222186556</v>
          </cell>
          <cell r="CD129">
            <v>53.870257141424801</v>
          </cell>
          <cell r="CF129" t="str">
            <v>mstag:prepaidExpensesCurrent</v>
          </cell>
          <cell r="CG129">
            <v>6</v>
          </cell>
          <cell r="CH129" t="str">
            <v>ISO4217:USD</v>
          </cell>
          <cell r="CI129" t="b">
            <v>0</v>
          </cell>
          <cell r="CJ129" t="b">
            <v>0</v>
          </cell>
        </row>
        <row r="130">
          <cell r="A130" t="str">
            <v>Deferred income taxes</v>
          </cell>
          <cell r="F130">
            <v>7.4560000000000004</v>
          </cell>
          <cell r="K130">
            <v>5.8620000000000001</v>
          </cell>
          <cell r="M130">
            <v>0</v>
          </cell>
          <cell r="N130">
            <v>5.7789999999999999</v>
          </cell>
          <cell r="O130">
            <v>5.7789999999999999</v>
          </cell>
          <cell r="P130">
            <v>2.2330000000000001</v>
          </cell>
          <cell r="Q130">
            <v>2.2330000000000001</v>
          </cell>
          <cell r="R130">
            <v>2.2330000000000001</v>
          </cell>
          <cell r="S130">
            <v>2.2330000000000001</v>
          </cell>
          <cell r="T130">
            <v>2.2330000000000001</v>
          </cell>
          <cell r="U130">
            <v>33.411000000000001</v>
          </cell>
          <cell r="V130">
            <v>33.411000000000001</v>
          </cell>
          <cell r="X130">
            <v>33.411000000000001</v>
          </cell>
          <cell r="Y130">
            <v>33.411000000000001</v>
          </cell>
          <cell r="Z130">
            <v>33.411000000000001</v>
          </cell>
          <cell r="AA130">
            <v>15.683999999999999</v>
          </cell>
          <cell r="AB130">
            <v>15.683999999999999</v>
          </cell>
          <cell r="AC130">
            <v>0</v>
          </cell>
          <cell r="AD130">
            <v>15.683999999999999</v>
          </cell>
          <cell r="AE130">
            <v>15.683999999999999</v>
          </cell>
          <cell r="AF130">
            <v>15.683999999999999</v>
          </cell>
          <cell r="AG130">
            <v>0</v>
          </cell>
          <cell r="AH130">
            <v>0</v>
          </cell>
          <cell r="AI130">
            <v>33.411000000000001</v>
          </cell>
          <cell r="AJ130">
            <v>33.411000000000001</v>
          </cell>
          <cell r="AK130">
            <v>33.411000000000001</v>
          </cell>
          <cell r="AL130">
            <v>33.411000000000001</v>
          </cell>
          <cell r="AM130">
            <v>33.411000000000001</v>
          </cell>
          <cell r="AN130">
            <v>15.683999999999999</v>
          </cell>
          <cell r="AP130">
            <v>15.683999999999999</v>
          </cell>
          <cell r="AQ130">
            <v>15.683999999999999</v>
          </cell>
          <cell r="AR130">
            <v>15.683999999999999</v>
          </cell>
          <cell r="AS130">
            <v>0</v>
          </cell>
          <cell r="AT130">
            <v>0</v>
          </cell>
          <cell r="AV130">
            <v>0</v>
          </cell>
          <cell r="AW130">
            <v>0</v>
          </cell>
          <cell r="AX130">
            <v>0</v>
          </cell>
          <cell r="AY130">
            <v>0</v>
          </cell>
          <cell r="AZ130">
            <v>0</v>
          </cell>
          <cell r="BC130">
            <v>0</v>
          </cell>
          <cell r="BD130">
            <v>0</v>
          </cell>
          <cell r="BE130">
            <v>0</v>
          </cell>
          <cell r="BF130">
            <v>4.1280000000000001</v>
          </cell>
          <cell r="BG130">
            <v>4.1280000000000001</v>
          </cell>
          <cell r="BO130">
            <v>4.1280000000000001</v>
          </cell>
          <cell r="BP130">
            <v>4.1280000000000001</v>
          </cell>
          <cell r="BQ130">
            <v>4.1280000000000001</v>
          </cell>
          <cell r="BR130">
            <v>4.1280000000000001</v>
          </cell>
          <cell r="BS130">
            <v>4.1280000000000001</v>
          </cell>
          <cell r="CA130">
            <v>4.1280000000000001</v>
          </cell>
          <cell r="CB130">
            <v>4.1280000000000001</v>
          </cell>
          <cell r="CC130">
            <v>4.1280000000000001</v>
          </cell>
          <cell r="CD130">
            <v>4.1280000000000001</v>
          </cell>
          <cell r="CF130" t="str">
            <v>mstag:deferredTaxAssetsCurrent</v>
          </cell>
          <cell r="CG130">
            <v>6</v>
          </cell>
          <cell r="CH130" t="str">
            <v>ISO4217:USD</v>
          </cell>
          <cell r="CI130" t="b">
            <v>0</v>
          </cell>
          <cell r="CJ130" t="b">
            <v>0</v>
          </cell>
        </row>
        <row r="131">
          <cell r="A131" t="str">
            <v>Other current assets</v>
          </cell>
          <cell r="F131">
            <v>13.683</v>
          </cell>
          <cell r="K131">
            <v>22.021999999999998</v>
          </cell>
          <cell r="M131">
            <v>0</v>
          </cell>
          <cell r="N131">
            <v>0</v>
          </cell>
          <cell r="O131">
            <v>30.486000000000001</v>
          </cell>
          <cell r="P131">
            <v>23.11</v>
          </cell>
          <cell r="Q131">
            <v>23.11</v>
          </cell>
          <cell r="R131">
            <v>21.82</v>
          </cell>
          <cell r="S131">
            <v>15.33</v>
          </cell>
          <cell r="T131">
            <v>17.510000000000002</v>
          </cell>
          <cell r="U131">
            <v>20.398</v>
          </cell>
          <cell r="V131">
            <v>20.398</v>
          </cell>
          <cell r="X131">
            <v>22.22</v>
          </cell>
          <cell r="Y131">
            <v>18.253</v>
          </cell>
          <cell r="Z131">
            <v>13.94</v>
          </cell>
          <cell r="AA131">
            <v>16.193000000000001</v>
          </cell>
          <cell r="AB131">
            <v>16.193000000000001</v>
          </cell>
          <cell r="AC131">
            <v>0</v>
          </cell>
          <cell r="AD131">
            <v>17.431000000000001</v>
          </cell>
          <cell r="AE131">
            <v>16.091999999999999</v>
          </cell>
          <cell r="AF131">
            <v>19.16</v>
          </cell>
          <cell r="AG131">
            <v>18.920000000000002</v>
          </cell>
          <cell r="AH131">
            <v>18.920000000000002</v>
          </cell>
          <cell r="AI131">
            <v>16.695</v>
          </cell>
          <cell r="AJ131">
            <v>16.061</v>
          </cell>
          <cell r="AK131">
            <v>19.641999999999999</v>
          </cell>
          <cell r="AL131">
            <v>16.940000000000001</v>
          </cell>
          <cell r="AM131">
            <v>16.940000000000001</v>
          </cell>
          <cell r="AN131">
            <v>16.193000000000001</v>
          </cell>
          <cell r="AP131">
            <v>17.431000000000001</v>
          </cell>
          <cell r="AQ131">
            <v>16.091999999999999</v>
          </cell>
          <cell r="AR131">
            <v>19.16</v>
          </cell>
          <cell r="AS131">
            <v>18.920000000000002</v>
          </cell>
          <cell r="AT131">
            <v>18.920000000000002</v>
          </cell>
          <cell r="AV131">
            <v>16.695</v>
          </cell>
          <cell r="AW131">
            <v>16.061</v>
          </cell>
          <cell r="AX131">
            <v>19.641999999999999</v>
          </cell>
          <cell r="AY131">
            <v>16.940000000000001</v>
          </cell>
          <cell r="AZ131">
            <v>16.940000000000001</v>
          </cell>
          <cell r="BA131">
            <v>135.69</v>
          </cell>
          <cell r="BC131">
            <v>15.131999999999994</v>
          </cell>
          <cell r="BD131">
            <v>16.253</v>
          </cell>
          <cell r="BE131">
            <v>19.902999999999999</v>
          </cell>
          <cell r="BF131">
            <v>21.367000000000001</v>
          </cell>
          <cell r="BG131">
            <v>21.367000000000001</v>
          </cell>
          <cell r="BO131">
            <v>53.454999999999998</v>
          </cell>
          <cell r="BP131">
            <v>49.607999999999997</v>
          </cell>
          <cell r="BQ131">
            <v>55.739290816272685</v>
          </cell>
          <cell r="BR131">
            <v>56.203110528624158</v>
          </cell>
          <cell r="BS131">
            <v>56.203110528624158</v>
          </cell>
          <cell r="CA131">
            <v>61.558045206101106</v>
          </cell>
          <cell r="CB131">
            <v>66.796017516819802</v>
          </cell>
          <cell r="CC131">
            <v>71.923966031695073</v>
          </cell>
          <cell r="CD131">
            <v>76.957510202035422</v>
          </cell>
          <cell r="CF131" t="str">
            <v>mstag:otherAssetsOperatingCurrent</v>
          </cell>
          <cell r="CG131">
            <v>6</v>
          </cell>
          <cell r="CH131" t="str">
            <v>ISO4217:USD</v>
          </cell>
          <cell r="CI131" t="b">
            <v>0</v>
          </cell>
          <cell r="CJ131" t="b">
            <v>0</v>
          </cell>
        </row>
        <row r="132">
          <cell r="A132" t="str">
            <v>Total Current Assets</v>
          </cell>
          <cell r="E132">
            <v>7.6630000000000003</v>
          </cell>
          <cell r="F132">
            <v>210.25599999999997</v>
          </cell>
          <cell r="K132">
            <v>300.49600000000004</v>
          </cell>
          <cell r="L132">
            <v>0</v>
          </cell>
          <cell r="M132">
            <v>10.88500000000009</v>
          </cell>
          <cell r="N132">
            <v>336.16</v>
          </cell>
          <cell r="O132">
            <v>393.42400000000004</v>
          </cell>
          <cell r="P132">
            <v>408.57700000000011</v>
          </cell>
          <cell r="Q132">
            <v>408.577</v>
          </cell>
          <cell r="R132">
            <v>418.36599999999999</v>
          </cell>
          <cell r="S132">
            <v>425.83099999999996</v>
          </cell>
          <cell r="T132">
            <v>427.82999999999993</v>
          </cell>
          <cell r="U132">
            <v>494.55900000000025</v>
          </cell>
          <cell r="V132">
            <v>494.55900000000025</v>
          </cell>
          <cell r="W132">
            <v>0</v>
          </cell>
          <cell r="X132">
            <v>555.27500000000009</v>
          </cell>
          <cell r="Y132">
            <v>517.83800000000008</v>
          </cell>
          <cell r="Z132">
            <v>637.19300000000021</v>
          </cell>
          <cell r="AA132">
            <v>647.726</v>
          </cell>
          <cell r="AB132">
            <v>647.726</v>
          </cell>
          <cell r="AC132">
            <v>0</v>
          </cell>
          <cell r="AD132">
            <v>601.82900000000018</v>
          </cell>
          <cell r="AE132">
            <v>557.93300000000011</v>
          </cell>
          <cell r="AF132">
            <v>685.5600000000004</v>
          </cell>
          <cell r="AG132">
            <v>696.08000000000015</v>
          </cell>
          <cell r="AH132">
            <v>696.08000000000038</v>
          </cell>
          <cell r="AI132">
            <v>753.39600000000007</v>
          </cell>
          <cell r="AJ132">
            <v>727.63800000000026</v>
          </cell>
          <cell r="AK132">
            <v>763.65200000000027</v>
          </cell>
          <cell r="AL132">
            <v>840.91500000000019</v>
          </cell>
          <cell r="AM132">
            <v>841.0010000000002</v>
          </cell>
          <cell r="AN132">
            <v>647.726</v>
          </cell>
          <cell r="AP132">
            <v>601.82900000000018</v>
          </cell>
          <cell r="AQ132">
            <v>557.93300000000011</v>
          </cell>
          <cell r="AR132">
            <v>685.5600000000004</v>
          </cell>
          <cell r="AS132">
            <v>696.08000000000015</v>
          </cell>
          <cell r="AT132">
            <v>696.08000000000038</v>
          </cell>
          <cell r="AV132">
            <v>719.98500000000001</v>
          </cell>
          <cell r="AW132">
            <v>702.17200000000059</v>
          </cell>
          <cell r="AX132">
            <v>738.1860000000006</v>
          </cell>
          <cell r="AY132">
            <v>815.44900000000052</v>
          </cell>
          <cell r="AZ132">
            <v>825.34900000000039</v>
          </cell>
          <cell r="BC132">
            <v>956.19400000000041</v>
          </cell>
          <cell r="BD132">
            <v>1021.5487000000005</v>
          </cell>
          <cell r="BE132">
            <v>960.79070000000058</v>
          </cell>
          <cell r="BF132">
            <v>914.20870000000048</v>
          </cell>
          <cell r="BG132">
            <v>914.20870000000048</v>
          </cell>
          <cell r="BO132">
            <v>995.90970000000038</v>
          </cell>
          <cell r="BP132">
            <v>939.64270000000033</v>
          </cell>
          <cell r="BQ132">
            <v>955.6973464430904</v>
          </cell>
          <cell r="BR132">
            <v>942.90716279345213</v>
          </cell>
          <cell r="BS132">
            <v>942.90716279345224</v>
          </cell>
          <cell r="CA132">
            <v>1140.2122332649212</v>
          </cell>
          <cell r="CB132">
            <v>1320.8048640306461</v>
          </cell>
          <cell r="CC132">
            <v>1995.7441488062748</v>
          </cell>
          <cell r="CD132">
            <v>2261.8905060757106</v>
          </cell>
        </row>
        <row r="134">
          <cell r="A134" t="str">
            <v>Property and equipment, net</v>
          </cell>
          <cell r="E134">
            <v>0</v>
          </cell>
          <cell r="F134">
            <v>553.01499999999999</v>
          </cell>
          <cell r="K134">
            <v>623.34299999999996</v>
          </cell>
          <cell r="M134">
            <v>0</v>
          </cell>
          <cell r="N134">
            <v>652.19200000000001</v>
          </cell>
          <cell r="O134">
            <v>677.47699999999998</v>
          </cell>
          <cell r="P134">
            <v>708.08100000000002</v>
          </cell>
          <cell r="Q134">
            <v>708.08100000000002</v>
          </cell>
          <cell r="R134">
            <v>718.96599999999989</v>
          </cell>
          <cell r="S134">
            <v>766.70900000000006</v>
          </cell>
          <cell r="T134">
            <v>777.94399999999996</v>
          </cell>
          <cell r="U134">
            <v>866.53400000000011</v>
          </cell>
          <cell r="V134">
            <v>866.53400000000011</v>
          </cell>
          <cell r="X134">
            <v>921.13499999999999</v>
          </cell>
          <cell r="Y134">
            <v>937.63499999999999</v>
          </cell>
          <cell r="Z134">
            <v>981.71699999999998</v>
          </cell>
          <cell r="AA134">
            <v>1029.337</v>
          </cell>
          <cell r="AB134">
            <v>1029.337</v>
          </cell>
          <cell r="AC134">
            <v>0</v>
          </cell>
          <cell r="AD134">
            <v>1130.2660000000001</v>
          </cell>
          <cell r="AE134">
            <v>1134.4299999999998</v>
          </cell>
          <cell r="AF134">
            <v>1250.799</v>
          </cell>
          <cell r="AG134">
            <v>1395.345</v>
          </cell>
          <cell r="AH134">
            <v>1395.345</v>
          </cell>
          <cell r="AI134">
            <v>1398.4490000000001</v>
          </cell>
          <cell r="AJ134">
            <v>1408.056</v>
          </cell>
          <cell r="AK134">
            <v>1478.7470000000001</v>
          </cell>
          <cell r="AL134">
            <v>1484.548</v>
          </cell>
          <cell r="AM134">
            <v>1484.548</v>
          </cell>
          <cell r="AN134">
            <v>1029.337</v>
          </cell>
          <cell r="AP134">
            <v>1130.2660000000001</v>
          </cell>
          <cell r="AQ134">
            <v>1134.43</v>
          </cell>
          <cell r="AR134">
            <v>1250.799</v>
          </cell>
          <cell r="AS134">
            <v>1395.345</v>
          </cell>
          <cell r="AT134">
            <v>1395.345</v>
          </cell>
          <cell r="AV134">
            <v>1398.4490000000001</v>
          </cell>
          <cell r="AW134">
            <v>1408.056</v>
          </cell>
          <cell r="AX134">
            <v>1478.7470000000001</v>
          </cell>
          <cell r="AY134">
            <v>1484.548</v>
          </cell>
          <cell r="AZ134">
            <v>1484.548</v>
          </cell>
          <cell r="BC134">
            <v>1477.2349999999999</v>
          </cell>
          <cell r="BD134">
            <v>1484.4690000000001</v>
          </cell>
          <cell r="BE134">
            <v>1499.69</v>
          </cell>
          <cell r="BF134">
            <v>1610.991</v>
          </cell>
          <cell r="BG134">
            <v>1610.9910000000002</v>
          </cell>
          <cell r="BO134">
            <v>1627.4580000000001</v>
          </cell>
          <cell r="BP134">
            <v>1757.2180000000001</v>
          </cell>
          <cell r="BQ134">
            <v>1828.3127399999998</v>
          </cell>
          <cell r="BR134">
            <v>1873.16848</v>
          </cell>
          <cell r="BS134">
            <v>1873.16848</v>
          </cell>
          <cell r="CA134">
            <v>1993.9740234426231</v>
          </cell>
          <cell r="CB134">
            <v>2104.0226145491806</v>
          </cell>
          <cell r="CC134">
            <v>2179.4999723611681</v>
          </cell>
          <cell r="CD134">
            <v>2236.1105817193716</v>
          </cell>
          <cell r="CF134" t="str">
            <v>mstag:propertyPlantAndEquipmentNet</v>
          </cell>
          <cell r="CG134">
            <v>6</v>
          </cell>
          <cell r="CH134" t="str">
            <v>ISO4217:USD</v>
          </cell>
          <cell r="CI134" t="b">
            <v>0</v>
          </cell>
          <cell r="CJ134" t="b">
            <v>0</v>
          </cell>
        </row>
        <row r="135">
          <cell r="A135" t="str">
            <v>Goodwill</v>
          </cell>
          <cell r="F135">
            <v>878.41600000000005</v>
          </cell>
          <cell r="K135">
            <v>877.89</v>
          </cell>
          <cell r="M135">
            <v>0</v>
          </cell>
          <cell r="N135">
            <v>874.21799999999996</v>
          </cell>
          <cell r="O135">
            <v>910.94399999999996</v>
          </cell>
          <cell r="P135">
            <v>985.56799999999998</v>
          </cell>
          <cell r="Q135">
            <v>985.56799999999998</v>
          </cell>
          <cell r="R135">
            <v>981.596</v>
          </cell>
          <cell r="S135">
            <v>991.55700000000002</v>
          </cell>
          <cell r="T135">
            <v>986.68600000000004</v>
          </cell>
          <cell r="U135">
            <v>1000.918</v>
          </cell>
          <cell r="V135">
            <v>1000.918</v>
          </cell>
          <cell r="X135">
            <v>1013.377</v>
          </cell>
          <cell r="Y135">
            <v>1021.0170000000001</v>
          </cell>
          <cell r="Z135">
            <v>1048.402</v>
          </cell>
          <cell r="AA135">
            <v>1029.9749999999999</v>
          </cell>
          <cell r="AB135">
            <v>1029.9749999999999</v>
          </cell>
          <cell r="AC135">
            <v>0</v>
          </cell>
          <cell r="AD135">
            <v>1084.3530000000001</v>
          </cell>
          <cell r="AE135">
            <v>1091.9179999999999</v>
          </cell>
          <cell r="AF135">
            <v>1154.481</v>
          </cell>
          <cell r="AG135">
            <v>1155.797</v>
          </cell>
          <cell r="AH135">
            <v>1155.797</v>
          </cell>
          <cell r="AI135">
            <v>1159.2329999999999</v>
          </cell>
          <cell r="AJ135">
            <v>1158.5509999999999</v>
          </cell>
          <cell r="AK135">
            <v>1213.479</v>
          </cell>
          <cell r="AL135">
            <v>1213.7829999999999</v>
          </cell>
          <cell r="AM135">
            <v>1213.7829999999999</v>
          </cell>
          <cell r="AN135">
            <v>1029.9749999999999</v>
          </cell>
          <cell r="AP135">
            <v>1084.3530000000001</v>
          </cell>
          <cell r="AQ135">
            <v>1091.9179999999999</v>
          </cell>
          <cell r="AR135">
            <v>1154.481</v>
          </cell>
          <cell r="AS135">
            <v>1155.797</v>
          </cell>
          <cell r="AT135">
            <v>1155.797</v>
          </cell>
          <cell r="AV135">
            <v>1159.2329999999999</v>
          </cell>
          <cell r="AW135">
            <v>1158.5509999999999</v>
          </cell>
          <cell r="AX135">
            <v>1213.479</v>
          </cell>
          <cell r="AY135">
            <v>1213.7829999999999</v>
          </cell>
          <cell r="AZ135">
            <v>1213.7829999999999</v>
          </cell>
          <cell r="BC135">
            <v>1205.1199999999999</v>
          </cell>
          <cell r="BD135">
            <v>1217.5129999999999</v>
          </cell>
          <cell r="BE135">
            <v>1236.623</v>
          </cell>
          <cell r="BF135">
            <v>1259.816</v>
          </cell>
          <cell r="BG135">
            <v>1259.816</v>
          </cell>
          <cell r="BO135">
            <v>1267.557</v>
          </cell>
          <cell r="BP135">
            <v>1316.9390000000001</v>
          </cell>
          <cell r="BQ135">
            <v>1356.9390000000001</v>
          </cell>
          <cell r="BR135">
            <v>1376.9390000000001</v>
          </cell>
          <cell r="BS135">
            <v>1376.9390000000001</v>
          </cell>
          <cell r="CA135">
            <v>1445.1661200000001</v>
          </cell>
          <cell r="CB135">
            <v>1516.8045960000002</v>
          </cell>
          <cell r="CC135">
            <v>1573.2198958500003</v>
          </cell>
          <cell r="CD135">
            <v>1632.4559606925002</v>
          </cell>
          <cell r="CF135" t="str">
            <v>mstag:goodwill</v>
          </cell>
          <cell r="CG135">
            <v>6</v>
          </cell>
          <cell r="CH135" t="str">
            <v>ISO4217:USD</v>
          </cell>
          <cell r="CI135" t="b">
            <v>0</v>
          </cell>
          <cell r="CJ135" t="b">
            <v>0</v>
          </cell>
        </row>
        <row r="136">
          <cell r="A136" t="str">
            <v>Other intangible assets</v>
          </cell>
          <cell r="F136">
            <v>0</v>
          </cell>
          <cell r="K136">
            <v>0</v>
          </cell>
          <cell r="M136">
            <v>0</v>
          </cell>
          <cell r="N136">
            <v>0</v>
          </cell>
          <cell r="O136">
            <v>0</v>
          </cell>
          <cell r="P136">
            <v>0</v>
          </cell>
          <cell r="Q136">
            <v>0</v>
          </cell>
          <cell r="R136">
            <v>0</v>
          </cell>
          <cell r="S136">
            <v>0</v>
          </cell>
          <cell r="T136">
            <v>0</v>
          </cell>
          <cell r="U136">
            <v>0</v>
          </cell>
          <cell r="V136">
            <v>0</v>
          </cell>
          <cell r="X136">
            <v>0</v>
          </cell>
          <cell r="Y136">
            <v>0</v>
          </cell>
          <cell r="Z136">
            <v>0</v>
          </cell>
          <cell r="AA136">
            <v>0</v>
          </cell>
          <cell r="AB136">
            <v>0</v>
          </cell>
          <cell r="AD136">
            <v>7.8</v>
          </cell>
          <cell r="AE136">
            <v>7.8</v>
          </cell>
          <cell r="AF136">
            <v>7.8</v>
          </cell>
          <cell r="AG136">
            <v>7.8</v>
          </cell>
          <cell r="AH136">
            <v>7.8</v>
          </cell>
          <cell r="AI136">
            <v>7.5</v>
          </cell>
          <cell r="AJ136">
            <v>7.3</v>
          </cell>
          <cell r="AK136">
            <v>7</v>
          </cell>
          <cell r="AL136">
            <v>6.7619999999999969</v>
          </cell>
          <cell r="AM136">
            <v>6.7619999999999969</v>
          </cell>
          <cell r="AN136">
            <v>0</v>
          </cell>
          <cell r="AP136">
            <v>7.8</v>
          </cell>
          <cell r="AQ136">
            <v>7.8</v>
          </cell>
          <cell r="AR136">
            <v>7.8</v>
          </cell>
          <cell r="AS136">
            <v>7.8</v>
          </cell>
          <cell r="AT136">
            <v>7.8</v>
          </cell>
          <cell r="AV136">
            <v>7.5</v>
          </cell>
          <cell r="AW136">
            <v>7.3</v>
          </cell>
          <cell r="AX136">
            <v>7</v>
          </cell>
          <cell r="AY136">
            <v>6.7</v>
          </cell>
          <cell r="AZ136">
            <v>6.7</v>
          </cell>
          <cell r="BA136">
            <v>118.828</v>
          </cell>
          <cell r="BC136">
            <v>7.3</v>
          </cell>
          <cell r="BD136">
            <v>7.05</v>
          </cell>
          <cell r="BE136">
            <v>7.7</v>
          </cell>
          <cell r="BF136">
            <v>7.6</v>
          </cell>
          <cell r="BG136">
            <v>7.6</v>
          </cell>
          <cell r="BO136">
            <v>7.2749999999999995</v>
          </cell>
          <cell r="BP136">
            <v>6.9499999999999993</v>
          </cell>
          <cell r="BQ136">
            <v>6.6249999999999991</v>
          </cell>
          <cell r="BR136">
            <v>6.2999999999999989</v>
          </cell>
          <cell r="BS136">
            <v>6.2999999999999989</v>
          </cell>
          <cell r="CA136">
            <v>5.0999999999999988</v>
          </cell>
          <cell r="CB136">
            <v>3.8999999999999986</v>
          </cell>
          <cell r="CC136">
            <v>2.1999999999999984</v>
          </cell>
          <cell r="CD136">
            <v>0.49999999999999845</v>
          </cell>
          <cell r="CF136" t="str">
            <v>mstag:otherIntangibleAssets</v>
          </cell>
          <cell r="CG136">
            <v>6</v>
          </cell>
          <cell r="CH136" t="str">
            <v>ISO4217:USD</v>
          </cell>
          <cell r="CI136" t="b">
            <v>0</v>
          </cell>
          <cell r="CJ136" t="b">
            <v>0</v>
          </cell>
        </row>
        <row r="137">
          <cell r="A137" t="str">
            <v>Other assets</v>
          </cell>
          <cell r="F137">
            <v>85.474000000000004</v>
          </cell>
          <cell r="K137">
            <v>93.355000000000004</v>
          </cell>
          <cell r="M137">
            <v>0</v>
          </cell>
          <cell r="N137">
            <v>113.229</v>
          </cell>
          <cell r="O137">
            <v>117.941</v>
          </cell>
          <cell r="P137">
            <v>111.611</v>
          </cell>
          <cell r="Q137">
            <v>111.611</v>
          </cell>
          <cell r="R137">
            <v>103.012</v>
          </cell>
          <cell r="S137">
            <v>95.989000000000004</v>
          </cell>
          <cell r="T137">
            <v>106.143</v>
          </cell>
          <cell r="U137">
            <v>98.653000000000006</v>
          </cell>
          <cell r="V137">
            <v>98.653000000000006</v>
          </cell>
          <cell r="X137">
            <v>104.274</v>
          </cell>
          <cell r="Y137">
            <v>101.777</v>
          </cell>
          <cell r="Z137">
            <v>101.18300000000001</v>
          </cell>
          <cell r="AA137">
            <v>102.458</v>
          </cell>
          <cell r="AB137">
            <v>102.458</v>
          </cell>
          <cell r="AC137">
            <v>0</v>
          </cell>
          <cell r="AD137">
            <v>97.472000000000008</v>
          </cell>
          <cell r="AE137">
            <v>94.954999999999998</v>
          </cell>
          <cell r="AF137">
            <v>89.085000000000008</v>
          </cell>
          <cell r="AG137">
            <v>95.189000000000007</v>
          </cell>
          <cell r="AH137">
            <v>95.189000000000007</v>
          </cell>
          <cell r="AI137">
            <v>95.096000000000004</v>
          </cell>
          <cell r="AJ137">
            <v>105.185</v>
          </cell>
          <cell r="AK137">
            <v>97.283000000000001</v>
          </cell>
          <cell r="AL137">
            <v>112.066</v>
          </cell>
          <cell r="AM137">
            <v>112.066</v>
          </cell>
          <cell r="AN137">
            <v>102.458</v>
          </cell>
          <cell r="AP137">
            <v>97.472000000000008</v>
          </cell>
          <cell r="AQ137">
            <v>94.954999999999998</v>
          </cell>
          <cell r="AR137">
            <v>89.084999999999994</v>
          </cell>
          <cell r="AS137">
            <v>95.189000000000007</v>
          </cell>
          <cell r="AT137">
            <v>95.189000000000007</v>
          </cell>
          <cell r="AV137">
            <v>95.096000000000004</v>
          </cell>
          <cell r="AW137">
            <v>105.185</v>
          </cell>
          <cell r="AX137">
            <v>97.283000000000001</v>
          </cell>
          <cell r="AY137">
            <v>112.128</v>
          </cell>
          <cell r="AZ137">
            <v>112.128</v>
          </cell>
          <cell r="BC137">
            <v>115.26570000000001</v>
          </cell>
          <cell r="BD137">
            <v>117.59</v>
          </cell>
          <cell r="BE137">
            <v>139.27900000000002</v>
          </cell>
          <cell r="BF137">
            <v>141.602</v>
          </cell>
          <cell r="BG137">
            <v>141.602</v>
          </cell>
          <cell r="BO137">
            <v>151.089</v>
          </cell>
          <cell r="BP137">
            <v>157.91000000000003</v>
          </cell>
          <cell r="BQ137">
            <v>167.91000000000003</v>
          </cell>
          <cell r="BR137">
            <v>172.91000000000003</v>
          </cell>
          <cell r="BS137">
            <v>172.91000000000003</v>
          </cell>
          <cell r="CA137">
            <v>189.96678000000003</v>
          </cell>
          <cell r="CB137">
            <v>207.87639900000002</v>
          </cell>
          <cell r="CC137">
            <v>221.98022396250002</v>
          </cell>
          <cell r="CD137">
            <v>236.78924017312502</v>
          </cell>
          <cell r="CF137" t="str">
            <v>mstag:otherAssetsOperatingNonCurrent</v>
          </cell>
          <cell r="CG137">
            <v>6</v>
          </cell>
          <cell r="CH137" t="str">
            <v>ISO4217:USD</v>
          </cell>
          <cell r="CI137" t="b">
            <v>0</v>
          </cell>
          <cell r="CJ137" t="b">
            <v>0</v>
          </cell>
        </row>
        <row r="138">
          <cell r="A138" t="str">
            <v>Total Assets</v>
          </cell>
          <cell r="E138">
            <v>1643.521</v>
          </cell>
          <cell r="F138">
            <v>1727.1610000000001</v>
          </cell>
          <cell r="K138">
            <v>1895.0840000000001</v>
          </cell>
          <cell r="L138">
            <v>0</v>
          </cell>
          <cell r="M138">
            <v>10.88500000000009</v>
          </cell>
          <cell r="N138">
            <v>1975.799</v>
          </cell>
          <cell r="O138">
            <v>2099.7860000000001</v>
          </cell>
          <cell r="P138">
            <v>2213.837</v>
          </cell>
          <cell r="Q138">
            <v>2213.837</v>
          </cell>
          <cell r="R138">
            <v>2221.9399999999996</v>
          </cell>
          <cell r="S138">
            <v>2280.0860000000002</v>
          </cell>
          <cell r="T138">
            <v>2298.6030000000001</v>
          </cell>
          <cell r="U138">
            <v>2460.6640000000007</v>
          </cell>
          <cell r="V138">
            <v>2460.6640000000007</v>
          </cell>
          <cell r="W138">
            <v>0</v>
          </cell>
          <cell r="X138">
            <v>2594.0610000000001</v>
          </cell>
          <cell r="Y138">
            <v>2578.2670000000003</v>
          </cell>
          <cell r="Z138">
            <v>2768.4950000000003</v>
          </cell>
          <cell r="AA138">
            <v>2809.4960000000001</v>
          </cell>
          <cell r="AB138">
            <v>2809.4960000000001</v>
          </cell>
          <cell r="AC138">
            <v>0</v>
          </cell>
          <cell r="AD138">
            <v>2921.7200000000007</v>
          </cell>
          <cell r="AE138">
            <v>2887.0360000000001</v>
          </cell>
          <cell r="AF138">
            <v>3187.7250000000004</v>
          </cell>
          <cell r="AG138">
            <v>3350.2110000000002</v>
          </cell>
          <cell r="AH138">
            <v>3350.2110000000002</v>
          </cell>
          <cell r="AI138">
            <v>3413.674</v>
          </cell>
          <cell r="AJ138">
            <v>3406.7300000000005</v>
          </cell>
          <cell r="AK138">
            <v>3560.1610000000001</v>
          </cell>
          <cell r="AL138">
            <v>3658.0740000000005</v>
          </cell>
          <cell r="AM138">
            <v>3658.1600000000003</v>
          </cell>
          <cell r="AN138">
            <v>2809.4960000000001</v>
          </cell>
          <cell r="AP138">
            <v>2921.7200000000007</v>
          </cell>
          <cell r="AQ138">
            <v>2887.0360000000001</v>
          </cell>
          <cell r="AR138">
            <v>3187.7250000000004</v>
          </cell>
          <cell r="AS138">
            <v>3350.2110000000002</v>
          </cell>
          <cell r="AT138">
            <v>3350.2110000000002</v>
          </cell>
          <cell r="AV138">
            <v>3380.2629999999999</v>
          </cell>
          <cell r="AW138">
            <v>3381.2640000000006</v>
          </cell>
          <cell r="AX138">
            <v>3534.6950000000006</v>
          </cell>
          <cell r="AY138">
            <v>3632.6080000000006</v>
          </cell>
          <cell r="AZ138">
            <v>3642.5080000000007</v>
          </cell>
          <cell r="BC138">
            <v>3761.1147000000001</v>
          </cell>
          <cell r="BD138">
            <v>3848.1707000000006</v>
          </cell>
          <cell r="BE138">
            <v>3844.0827000000004</v>
          </cell>
          <cell r="BF138">
            <v>3934.2177000000001</v>
          </cell>
          <cell r="BG138">
            <v>3934.2177000000006</v>
          </cell>
          <cell r="BO138">
            <v>4049.288700000001</v>
          </cell>
          <cell r="BP138">
            <v>4178.6597000000002</v>
          </cell>
          <cell r="BQ138">
            <v>4315.4840864430898</v>
          </cell>
          <cell r="BR138">
            <v>4372.2246427934524</v>
          </cell>
          <cell r="BS138">
            <v>4372.2246427934524</v>
          </cell>
          <cell r="CA138">
            <v>4774.419156707545</v>
          </cell>
          <cell r="CB138">
            <v>5153.4084735798269</v>
          </cell>
          <cell r="CC138">
            <v>5972.6442409799429</v>
          </cell>
          <cell r="CD138">
            <v>6367.7462886607073</v>
          </cell>
        </row>
        <row r="140">
          <cell r="A140" t="str">
            <v>Current Liabilities:</v>
          </cell>
        </row>
        <row r="141">
          <cell r="A141" t="str">
            <v>Current maturities of long-term debt</v>
          </cell>
          <cell r="F141">
            <v>21.248000000000001</v>
          </cell>
          <cell r="K141">
            <v>27.029</v>
          </cell>
          <cell r="M141">
            <v>27.029</v>
          </cell>
          <cell r="N141">
            <v>26.986999999999998</v>
          </cell>
          <cell r="O141">
            <v>32.82</v>
          </cell>
          <cell r="P141">
            <v>17.433</v>
          </cell>
          <cell r="Q141">
            <v>17.433</v>
          </cell>
          <cell r="R141">
            <v>17.143999999999998</v>
          </cell>
          <cell r="S141">
            <v>21.498999999999999</v>
          </cell>
          <cell r="T141">
            <v>42.182000000000002</v>
          </cell>
          <cell r="U141">
            <v>58.691000000000003</v>
          </cell>
          <cell r="V141">
            <v>58.691000000000003</v>
          </cell>
          <cell r="X141">
            <v>88.09</v>
          </cell>
          <cell r="Y141">
            <v>31.748000000000001</v>
          </cell>
          <cell r="Z141">
            <v>15.597</v>
          </cell>
          <cell r="AA141">
            <v>18.529</v>
          </cell>
          <cell r="AB141">
            <v>18.529</v>
          </cell>
          <cell r="AC141">
            <v>0</v>
          </cell>
          <cell r="AD141">
            <v>19.204000000000001</v>
          </cell>
          <cell r="AE141">
            <v>17.78</v>
          </cell>
          <cell r="AF141">
            <v>17.443000000000001</v>
          </cell>
          <cell r="AG141">
            <v>29.677</v>
          </cell>
          <cell r="AH141">
            <v>29.677</v>
          </cell>
          <cell r="AI141">
            <v>22.163</v>
          </cell>
          <cell r="AJ141">
            <v>20.132000000000001</v>
          </cell>
          <cell r="AK141">
            <v>20.687000000000001</v>
          </cell>
          <cell r="AL141">
            <v>26.867000000000001</v>
          </cell>
          <cell r="AM141">
            <v>26.867000000000001</v>
          </cell>
          <cell r="AN141">
            <v>18.529</v>
          </cell>
          <cell r="AP141">
            <v>19.204000000000001</v>
          </cell>
          <cell r="AQ141">
            <v>17.78</v>
          </cell>
          <cell r="AR141">
            <v>17.443000000000001</v>
          </cell>
          <cell r="AS141">
            <v>29.677</v>
          </cell>
          <cell r="AT141">
            <v>29.677</v>
          </cell>
          <cell r="AV141">
            <v>22.163</v>
          </cell>
          <cell r="AW141">
            <v>20.132000000000001</v>
          </cell>
          <cell r="AX141">
            <v>20.687000000000001</v>
          </cell>
          <cell r="AY141">
            <v>26.867000000000001</v>
          </cell>
          <cell r="AZ141">
            <v>26.867000000000001</v>
          </cell>
          <cell r="BC141">
            <v>25.04</v>
          </cell>
          <cell r="BD141">
            <v>22.831</v>
          </cell>
          <cell r="BE141">
            <v>22.79</v>
          </cell>
          <cell r="BF141">
            <v>19.123999999999999</v>
          </cell>
          <cell r="BG141">
            <v>19.123999999999999</v>
          </cell>
          <cell r="BO141">
            <v>19.283999999999999</v>
          </cell>
          <cell r="BP141">
            <v>20.620999999999999</v>
          </cell>
          <cell r="BQ141">
            <v>20.620999999999999</v>
          </cell>
          <cell r="BR141">
            <v>20.620999999999999</v>
          </cell>
          <cell r="BS141">
            <v>20.620999999999999</v>
          </cell>
          <cell r="CA141">
            <v>20.620999999999999</v>
          </cell>
          <cell r="CB141">
            <v>20.620999999999999</v>
          </cell>
          <cell r="CC141">
            <v>20.620999999999999</v>
          </cell>
          <cell r="CD141">
            <v>20.620999999999999</v>
          </cell>
          <cell r="CF141" t="str">
            <v>mstag:shortTermBorrowings</v>
          </cell>
          <cell r="CG141">
            <v>6</v>
          </cell>
          <cell r="CH141" t="str">
            <v>ISO4217:USD</v>
          </cell>
          <cell r="CI141" t="b">
            <v>0</v>
          </cell>
          <cell r="CJ141" t="b">
            <v>0</v>
          </cell>
        </row>
        <row r="142">
          <cell r="A142" t="str">
            <v>Parity check</v>
          </cell>
          <cell r="E142">
            <v>0</v>
          </cell>
          <cell r="F142">
            <v>63.843000000000004</v>
          </cell>
          <cell r="K142">
            <v>0</v>
          </cell>
          <cell r="M142">
            <v>-1178.396</v>
          </cell>
          <cell r="N142">
            <v>0</v>
          </cell>
          <cell r="O142">
            <v>0</v>
          </cell>
          <cell r="P142">
            <v>0</v>
          </cell>
          <cell r="Q142">
            <v>0</v>
          </cell>
          <cell r="R142">
            <v>0</v>
          </cell>
          <cell r="S142">
            <v>0</v>
          </cell>
          <cell r="T142">
            <v>0</v>
          </cell>
          <cell r="U142">
            <v>0</v>
          </cell>
          <cell r="V142">
            <v>0</v>
          </cell>
          <cell r="W142">
            <v>0</v>
          </cell>
          <cell r="X142">
            <v>102.625</v>
          </cell>
          <cell r="Y142">
            <v>104.34399999999999</v>
          </cell>
          <cell r="Z142">
            <v>118.312</v>
          </cell>
          <cell r="AA142">
            <v>111.67700000000001</v>
          </cell>
          <cell r="AB142">
            <v>111.67700000000001</v>
          </cell>
          <cell r="AC142">
            <v>0</v>
          </cell>
          <cell r="AD142">
            <v>114.136</v>
          </cell>
          <cell r="AE142">
            <v>108.735</v>
          </cell>
          <cell r="AF142">
            <v>125.20699999999999</v>
          </cell>
          <cell r="AG142">
            <v>154.71100000000001</v>
          </cell>
          <cell r="AH142">
            <v>154.71100000000001</v>
          </cell>
          <cell r="AI142">
            <v>139.74199999999999</v>
          </cell>
          <cell r="AJ142">
            <v>140.852</v>
          </cell>
          <cell r="AK142">
            <v>147.011</v>
          </cell>
          <cell r="AL142">
            <v>162.63800000000001</v>
          </cell>
          <cell r="AM142">
            <v>162.63800000000001</v>
          </cell>
          <cell r="AN142">
            <v>111.67700000000001</v>
          </cell>
          <cell r="AP142">
            <v>0</v>
          </cell>
          <cell r="AQ142">
            <v>0</v>
          </cell>
          <cell r="AR142">
            <v>0</v>
          </cell>
          <cell r="AS142">
            <v>0</v>
          </cell>
          <cell r="AT142">
            <v>0</v>
          </cell>
          <cell r="AV142">
            <v>0</v>
          </cell>
          <cell r="AW142">
            <v>0</v>
          </cell>
          <cell r="AX142">
            <v>0</v>
          </cell>
          <cell r="AY142">
            <v>0</v>
          </cell>
          <cell r="AZ142">
            <v>9.9000000000005457</v>
          </cell>
          <cell r="BC142">
            <v>0</v>
          </cell>
          <cell r="BD142">
            <v>0</v>
          </cell>
          <cell r="BE142">
            <v>0</v>
          </cell>
          <cell r="BF142">
            <v>0</v>
          </cell>
          <cell r="BG142">
            <v>189.94</v>
          </cell>
          <cell r="BO142">
            <v>158.19</v>
          </cell>
          <cell r="BP142">
            <v>197.01</v>
          </cell>
          <cell r="BQ142">
            <v>195.69337971365297</v>
          </cell>
          <cell r="BR142">
            <v>197.32179022549565</v>
          </cell>
          <cell r="BS142">
            <v>197.32179022549565</v>
          </cell>
          <cell r="CA142">
            <v>216.06412783319809</v>
          </cell>
          <cell r="CB142">
            <v>233.80844721928619</v>
          </cell>
          <cell r="CC142">
            <v>252.44773349954511</v>
          </cell>
          <cell r="CD142">
            <v>270.11509651331858</v>
          </cell>
          <cell r="CF142" t="str">
            <v>mstag:tradeAndOtherPayablesCurrent</v>
          </cell>
          <cell r="CG142">
            <v>6</v>
          </cell>
          <cell r="CH142" t="str">
            <v>ISO4217:USD</v>
          </cell>
          <cell r="CI142" t="b">
            <v>0</v>
          </cell>
          <cell r="CJ142" t="b">
            <v>0</v>
          </cell>
        </row>
        <row r="143">
          <cell r="A143" t="str">
            <v>Income taxes payable</v>
          </cell>
          <cell r="F143">
            <v>0</v>
          </cell>
          <cell r="K143">
            <v>0</v>
          </cell>
          <cell r="M143">
            <v>0</v>
          </cell>
          <cell r="N143">
            <v>6.2610000000000001</v>
          </cell>
          <cell r="O143">
            <v>9.859</v>
          </cell>
          <cell r="P143">
            <v>0</v>
          </cell>
          <cell r="Q143">
            <v>0</v>
          </cell>
          <cell r="R143">
            <v>9.9610000000000003</v>
          </cell>
          <cell r="S143">
            <v>16.998000000000001</v>
          </cell>
          <cell r="T143">
            <v>26.023</v>
          </cell>
          <cell r="U143">
            <v>2.3250000000000002</v>
          </cell>
          <cell r="V143">
            <v>2.3250000000000002</v>
          </cell>
          <cell r="X143">
            <v>21.216999999999999</v>
          </cell>
          <cell r="Y143">
            <v>23.393999999999998</v>
          </cell>
          <cell r="Z143">
            <v>32.332999999999998</v>
          </cell>
          <cell r="AA143">
            <v>6.5590000000000002</v>
          </cell>
          <cell r="AB143">
            <v>6.5590000000000002</v>
          </cell>
          <cell r="AC143">
            <v>0</v>
          </cell>
          <cell r="AD143">
            <v>22.148</v>
          </cell>
          <cell r="AE143">
            <v>30.431000000000001</v>
          </cell>
          <cell r="AF143">
            <v>50.16</v>
          </cell>
          <cell r="AG143">
            <v>9.7949999999999999</v>
          </cell>
          <cell r="AH143">
            <v>9.7949999999999999</v>
          </cell>
          <cell r="AI143">
            <v>23.769000000000002</v>
          </cell>
          <cell r="AJ143">
            <v>46.82</v>
          </cell>
          <cell r="AK143">
            <v>40.344999999999999</v>
          </cell>
          <cell r="AL143">
            <v>4.1079999999999997</v>
          </cell>
          <cell r="AM143">
            <v>4.1079999999999997</v>
          </cell>
          <cell r="AN143">
            <v>6.5590000000000002</v>
          </cell>
          <cell r="AP143">
            <v>22.148</v>
          </cell>
          <cell r="AQ143">
            <v>30.431000000000001</v>
          </cell>
          <cell r="AR143">
            <v>50.16</v>
          </cell>
          <cell r="AS143">
            <v>9.7949999999999999</v>
          </cell>
          <cell r="AT143">
            <v>9.7949999999999999</v>
          </cell>
          <cell r="AV143">
            <v>23.769000000000002</v>
          </cell>
          <cell r="AW143">
            <v>46.82</v>
          </cell>
          <cell r="AX143">
            <v>40.344999999999999</v>
          </cell>
          <cell r="AY143">
            <v>4.1079999999999997</v>
          </cell>
          <cell r="AZ143">
            <v>4.1079999999999997</v>
          </cell>
          <cell r="BC143">
            <v>22.666</v>
          </cell>
          <cell r="BD143">
            <v>27.12</v>
          </cell>
          <cell r="BE143">
            <v>23.283999999999999</v>
          </cell>
          <cell r="BF143">
            <v>19.811</v>
          </cell>
          <cell r="BG143">
            <v>19.811</v>
          </cell>
          <cell r="BO143">
            <v>31.821999999999999</v>
          </cell>
          <cell r="BP143">
            <v>50.289000000000001</v>
          </cell>
          <cell r="BQ143">
            <v>50.289000000000001</v>
          </cell>
          <cell r="BR143">
            <v>50.289000000000001</v>
          </cell>
          <cell r="BS143">
            <v>50.289000000000001</v>
          </cell>
          <cell r="CA143">
            <v>50.289000000000001</v>
          </cell>
          <cell r="CB143">
            <v>50.289000000000001</v>
          </cell>
          <cell r="CC143">
            <v>50.289000000000001</v>
          </cell>
          <cell r="CD143">
            <v>50.289000000000001</v>
          </cell>
          <cell r="CF143" t="str">
            <v>mstag:incomeTaxPayable</v>
          </cell>
          <cell r="CG143">
            <v>6</v>
          </cell>
          <cell r="CH143" t="str">
            <v>ISO4217:USD</v>
          </cell>
          <cell r="CI143" t="b">
            <v>0</v>
          </cell>
          <cell r="CJ143" t="b">
            <v>0</v>
          </cell>
        </row>
        <row r="144">
          <cell r="A144" t="str">
            <v>CASH FLOW STATEMENT</v>
          </cell>
          <cell r="F144">
            <v>20</v>
          </cell>
          <cell r="K144">
            <v>30.9</v>
          </cell>
          <cell r="M144">
            <v>0</v>
          </cell>
          <cell r="N144">
            <v>0</v>
          </cell>
          <cell r="O144">
            <v>0</v>
          </cell>
          <cell r="P144">
            <v>0</v>
          </cell>
          <cell r="Q144">
            <v>0</v>
          </cell>
          <cell r="R144">
            <v>0</v>
          </cell>
          <cell r="S144">
            <v>0</v>
          </cell>
          <cell r="T144">
            <v>0</v>
          </cell>
          <cell r="U144">
            <v>0</v>
          </cell>
          <cell r="V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P144">
            <v>0</v>
          </cell>
          <cell r="AQ144">
            <v>0</v>
          </cell>
          <cell r="AR144">
            <v>0</v>
          </cell>
          <cell r="AS144">
            <v>0</v>
          </cell>
          <cell r="AT144">
            <v>0</v>
          </cell>
          <cell r="AV144">
            <v>0</v>
          </cell>
          <cell r="AW144">
            <v>0</v>
          </cell>
          <cell r="AX144">
            <v>0</v>
          </cell>
          <cell r="AY144">
            <v>0</v>
          </cell>
          <cell r="AZ144">
            <v>0</v>
          </cell>
          <cell r="BC144">
            <v>0</v>
          </cell>
          <cell r="BD144">
            <v>0</v>
          </cell>
          <cell r="BE144">
            <v>0</v>
          </cell>
          <cell r="BF144">
            <v>0</v>
          </cell>
          <cell r="BG144">
            <v>0</v>
          </cell>
          <cell r="BO144">
            <v>0</v>
          </cell>
          <cell r="BP144">
            <v>0</v>
          </cell>
          <cell r="BQ144">
            <v>0</v>
          </cell>
          <cell r="BR144">
            <v>0</v>
          </cell>
          <cell r="BS144">
            <v>0</v>
          </cell>
          <cell r="CA144">
            <v>0</v>
          </cell>
          <cell r="CB144">
            <v>0</v>
          </cell>
          <cell r="CC144">
            <v>0</v>
          </cell>
          <cell r="CD144">
            <v>0</v>
          </cell>
          <cell r="CF144" t="str">
            <v>mstag:otherLiabilitiesNonOperatingCurrent</v>
          </cell>
          <cell r="CG144">
            <v>6</v>
          </cell>
          <cell r="CH144" t="str">
            <v>ISO4217:USD</v>
          </cell>
          <cell r="CI144" t="b">
            <v>0</v>
          </cell>
          <cell r="CJ144" t="b">
            <v>0</v>
          </cell>
        </row>
        <row r="145">
          <cell r="A145" t="str">
            <v>($ mil)  FY ending Dec. 31</v>
          </cell>
          <cell r="C145">
            <v>1995</v>
          </cell>
          <cell r="D145">
            <v>1996</v>
          </cell>
          <cell r="E145">
            <v>1997</v>
          </cell>
          <cell r="F145">
            <v>36.524000000000001</v>
          </cell>
          <cell r="G145" t="str">
            <v>1Q99</v>
          </cell>
          <cell r="H145" t="str">
            <v>2Q99</v>
          </cell>
          <cell r="I145" t="str">
            <v>3Q99</v>
          </cell>
          <cell r="J145" t="str">
            <v>4Q99</v>
          </cell>
          <cell r="K145">
            <v>49.345999999999997</v>
          </cell>
          <cell r="M145" t="str">
            <v>1Q00</v>
          </cell>
          <cell r="N145" t="str">
            <v>2Q00</v>
          </cell>
          <cell r="O145" t="str">
            <v>3Q00</v>
          </cell>
          <cell r="P145" t="str">
            <v>4Q00</v>
          </cell>
          <cell r="Q145">
            <v>2000</v>
          </cell>
          <cell r="R145" t="str">
            <v>1Q01</v>
          </cell>
          <cell r="S145" t="str">
            <v>2Q01</v>
          </cell>
          <cell r="T145" t="str">
            <v>3Q01</v>
          </cell>
          <cell r="U145" t="str">
            <v>4Q01</v>
          </cell>
          <cell r="V145">
            <v>2001</v>
          </cell>
          <cell r="X145" t="str">
            <v>1Q02</v>
          </cell>
          <cell r="Y145" t="str">
            <v>2Q02</v>
          </cell>
          <cell r="Z145" t="str">
            <v>3Q02</v>
          </cell>
          <cell r="AA145" t="str">
            <v>4Q02</v>
          </cell>
          <cell r="AB145">
            <v>2002</v>
          </cell>
          <cell r="AC145">
            <v>0</v>
          </cell>
          <cell r="AD145" t="str">
            <v>1Q03</v>
          </cell>
          <cell r="AE145" t="str">
            <v>2Q03</v>
          </cell>
          <cell r="AF145" t="str">
            <v>3Q03</v>
          </cell>
          <cell r="AG145" t="str">
            <v>4Q03</v>
          </cell>
          <cell r="AH145">
            <v>2003</v>
          </cell>
          <cell r="AI145" t="str">
            <v>1Q04</v>
          </cell>
          <cell r="AJ145" t="str">
            <v>2Q04</v>
          </cell>
          <cell r="AK145" t="str">
            <v>3Q04</v>
          </cell>
          <cell r="AL145" t="str">
            <v>4Q04</v>
          </cell>
          <cell r="AM145">
            <v>2004</v>
          </cell>
          <cell r="AN145">
            <v>2002</v>
          </cell>
          <cell r="AO145">
            <v>2003</v>
          </cell>
          <cell r="AP145">
            <v>0</v>
          </cell>
          <cell r="AQ145">
            <v>0</v>
          </cell>
          <cell r="AR145">
            <v>0</v>
          </cell>
          <cell r="AS145">
            <v>115.47799999999999</v>
          </cell>
          <cell r="AT145">
            <v>115.47799999999999</v>
          </cell>
          <cell r="AV145" t="str">
            <v>1Q04</v>
          </cell>
          <cell r="AW145" t="str">
            <v>2Q04</v>
          </cell>
          <cell r="AX145" t="str">
            <v>3Q04</v>
          </cell>
          <cell r="AY145" t="str">
            <v>4Q04</v>
          </cell>
          <cell r="AZ145">
            <v>2004</v>
          </cell>
          <cell r="BC145" t="str">
            <v>1Q05</v>
          </cell>
          <cell r="BD145" t="str">
            <v>2Q05</v>
          </cell>
          <cell r="BE145" t="str">
            <v>3Q05</v>
          </cell>
          <cell r="BF145" t="str">
            <v>4Q05</v>
          </cell>
          <cell r="BG145">
            <v>121.77500000000001</v>
          </cell>
          <cell r="BO145">
            <v>113.11104000000002</v>
          </cell>
          <cell r="BP145">
            <v>116.74516000000001</v>
          </cell>
          <cell r="BQ145">
            <v>115.35803627335795</v>
          </cell>
          <cell r="BR145">
            <v>116.31795755004056</v>
          </cell>
          <cell r="BS145">
            <v>116.31795755004056</v>
          </cell>
          <cell r="CA145">
            <v>128.14144068800721</v>
          </cell>
          <cell r="CB145">
            <v>139.04499222107086</v>
          </cell>
          <cell r="CC145">
            <v>149.71951426396572</v>
          </cell>
          <cell r="CD145">
            <v>160.19752082825156</v>
          </cell>
          <cell r="CF145" t="str">
            <v>mstag:payrollAndBenefitsRelatedLiabilities</v>
          </cell>
          <cell r="CG145">
            <v>6</v>
          </cell>
          <cell r="CH145" t="str">
            <v>ISO4217:USD</v>
          </cell>
          <cell r="CI145" t="b">
            <v>0</v>
          </cell>
          <cell r="CJ145" t="b">
            <v>0</v>
          </cell>
        </row>
        <row r="146">
          <cell r="A146" t="str">
            <v>Cash Flow from Operating Activities:</v>
          </cell>
          <cell r="C146">
            <v>1995</v>
          </cell>
          <cell r="D146">
            <v>1996</v>
          </cell>
          <cell r="E146">
            <v>69.153999999999996</v>
          </cell>
          <cell r="F146">
            <v>49.860999999999997</v>
          </cell>
          <cell r="G146">
            <v>13.032999999999996</v>
          </cell>
          <cell r="H146">
            <v>13.929</v>
          </cell>
          <cell r="I146">
            <v>14.369</v>
          </cell>
          <cell r="J146">
            <v>15.612</v>
          </cell>
          <cell r="K146">
            <v>56.942999999999998</v>
          </cell>
          <cell r="M146" t="str">
            <v>1Q00</v>
          </cell>
          <cell r="N146" t="str">
            <v>2Q00</v>
          </cell>
          <cell r="O146" t="str">
            <v>3Q00</v>
          </cell>
          <cell r="P146" t="str">
            <v>4Q00</v>
          </cell>
          <cell r="Q146">
            <v>2000</v>
          </cell>
          <cell r="R146" t="str">
            <v>1Q01</v>
          </cell>
          <cell r="S146" t="str">
            <v>2Q01</v>
          </cell>
          <cell r="T146" t="str">
            <v>3Q01</v>
          </cell>
          <cell r="U146" t="str">
            <v>4Q01</v>
          </cell>
          <cell r="V146">
            <v>2001</v>
          </cell>
          <cell r="W146">
            <v>0</v>
          </cell>
          <cell r="X146" t="str">
            <v>1Q02</v>
          </cell>
          <cell r="Y146" t="str">
            <v>2Q02</v>
          </cell>
          <cell r="Z146" t="str">
            <v>3Q02</v>
          </cell>
          <cell r="AA146" t="str">
            <v>4Q02</v>
          </cell>
          <cell r="AB146">
            <v>2002</v>
          </cell>
          <cell r="AC146">
            <v>0</v>
          </cell>
          <cell r="AD146" t="str">
            <v>1Q03</v>
          </cell>
          <cell r="AE146" t="str">
            <v>2Q03</v>
          </cell>
          <cell r="AF146" t="str">
            <v>3Q03</v>
          </cell>
          <cell r="AG146" t="str">
            <v>4Q03</v>
          </cell>
          <cell r="AH146">
            <v>2003</v>
          </cell>
          <cell r="AI146" t="str">
            <v>1Q04</v>
          </cell>
          <cell r="AJ146" t="str">
            <v>2Q04</v>
          </cell>
          <cell r="AK146" t="str">
            <v>3Q04</v>
          </cell>
          <cell r="AL146" t="str">
            <v>4Q04</v>
          </cell>
          <cell r="AM146">
            <v>2004</v>
          </cell>
          <cell r="AN146">
            <v>2002</v>
          </cell>
          <cell r="AO146">
            <v>2003</v>
          </cell>
          <cell r="AP146" t="str">
            <v>1Q03</v>
          </cell>
          <cell r="AQ146" t="str">
            <v>2Q03</v>
          </cell>
          <cell r="AR146" t="str">
            <v>3Q03</v>
          </cell>
          <cell r="AS146" t="str">
            <v>4Q03</v>
          </cell>
          <cell r="AT146">
            <v>2003</v>
          </cell>
          <cell r="AV146" t="str">
            <v>1Q04</v>
          </cell>
          <cell r="AW146" t="str">
            <v>2Q04</v>
          </cell>
          <cell r="AX146" t="str">
            <v>3Q04</v>
          </cell>
          <cell r="AY146" t="str">
            <v>4Q04</v>
          </cell>
          <cell r="AZ146">
            <v>2004</v>
          </cell>
          <cell r="BA146">
            <v>0</v>
          </cell>
          <cell r="BB146" t="str">
            <v>1Q05</v>
          </cell>
          <cell r="BC146">
            <v>40.887</v>
          </cell>
          <cell r="BD146">
            <v>40.492999999999995</v>
          </cell>
          <cell r="BE146">
            <v>40.24</v>
          </cell>
          <cell r="BF146">
            <v>8.5909999999999993</v>
          </cell>
          <cell r="BG146">
            <v>8.5909999999999993</v>
          </cell>
          <cell r="BO146">
            <v>11.061999999999999</v>
          </cell>
          <cell r="BP146">
            <v>6.8769999999999998</v>
          </cell>
          <cell r="BQ146">
            <v>6.8769999999999998</v>
          </cell>
          <cell r="BR146">
            <v>6.8769999999999998</v>
          </cell>
          <cell r="BS146">
            <v>6.8769999999999998</v>
          </cell>
          <cell r="CA146">
            <v>6.8769999999999998</v>
          </cell>
          <cell r="CB146">
            <v>6.8769999999999998</v>
          </cell>
          <cell r="CC146">
            <v>6.8769999999999998</v>
          </cell>
          <cell r="CD146">
            <v>6.8769999999999998</v>
          </cell>
          <cell r="CF146" t="str">
            <v>mstag:otherAccruedExpenses</v>
          </cell>
          <cell r="CG146">
            <v>6</v>
          </cell>
          <cell r="CH146" t="str">
            <v>ISO4217:USD</v>
          </cell>
          <cell r="CI146" t="b">
            <v>0</v>
          </cell>
          <cell r="CJ146" t="b">
            <v>0</v>
          </cell>
        </row>
        <row r="147">
          <cell r="A147" t="str">
            <v>Net Income</v>
          </cell>
          <cell r="E147">
            <v>-32.173000000000023</v>
          </cell>
          <cell r="F147">
            <v>-183.28999999999991</v>
          </cell>
          <cell r="G147">
            <v>1.6480000000000157</v>
          </cell>
          <cell r="H147">
            <v>-1.8429999999999773</v>
          </cell>
          <cell r="I147">
            <v>-4.426999999999973</v>
          </cell>
          <cell r="J147">
            <v>-12.167000000000067</v>
          </cell>
          <cell r="K147">
            <v>-16.789000000000001</v>
          </cell>
          <cell r="M147">
            <v>0.92100000000003712</v>
          </cell>
          <cell r="N147">
            <v>0.17799999999996285</v>
          </cell>
          <cell r="O147">
            <v>1.2580000000000005</v>
          </cell>
          <cell r="P147">
            <v>7.2120000000000237</v>
          </cell>
          <cell r="Q147">
            <v>9.5689999999999351</v>
          </cell>
          <cell r="R147">
            <v>10.848000000000001</v>
          </cell>
          <cell r="S147">
            <v>9.650999999999998</v>
          </cell>
          <cell r="T147">
            <v>10.041000000000002</v>
          </cell>
          <cell r="U147">
            <v>14.203000000000001</v>
          </cell>
          <cell r="V147">
            <v>44.743000000000002</v>
          </cell>
          <cell r="W147">
            <v>0</v>
          </cell>
          <cell r="X147">
            <v>27.175999999999998</v>
          </cell>
          <cell r="Y147">
            <v>24.276999999999976</v>
          </cell>
          <cell r="Z147">
            <v>20.120000000000022</v>
          </cell>
          <cell r="AA147">
            <v>28.411000000000001</v>
          </cell>
          <cell r="AB147">
            <v>99.983999999999995</v>
          </cell>
          <cell r="AC147">
            <v>0</v>
          </cell>
          <cell r="AD147">
            <v>33.539000000000065</v>
          </cell>
          <cell r="AE147">
            <v>30.616000000000042</v>
          </cell>
          <cell r="AF147">
            <v>31.683000000000082</v>
          </cell>
          <cell r="AG147">
            <v>35.634000000000007</v>
          </cell>
          <cell r="AH147">
            <v>131.47200000000052</v>
          </cell>
          <cell r="AI147">
            <v>40.725999999999999</v>
          </cell>
          <cell r="AJ147">
            <v>38.439000000000007</v>
          </cell>
          <cell r="AK147">
            <v>32.039000000000016</v>
          </cell>
          <cell r="AL147">
            <v>40.229000000000013</v>
          </cell>
          <cell r="AM147">
            <v>151.43300000000005</v>
          </cell>
          <cell r="AN147">
            <v>80.525000000000006</v>
          </cell>
          <cell r="AP147">
            <v>155.08000000000001</v>
          </cell>
          <cell r="AQ147">
            <v>171.00299999999999</v>
          </cell>
          <cell r="AR147">
            <v>191.251</v>
          </cell>
          <cell r="AS147">
            <v>80.844999999999999</v>
          </cell>
          <cell r="AT147">
            <v>80.844999999999999</v>
          </cell>
          <cell r="AV147">
            <v>40.725999999999999</v>
          </cell>
          <cell r="AW147">
            <v>38.439000000000007</v>
          </cell>
          <cell r="AX147">
            <v>31.826000000000111</v>
          </cell>
          <cell r="AY147">
            <v>40.441999999999879</v>
          </cell>
          <cell r="AZ147">
            <v>151.43299999999999</v>
          </cell>
          <cell r="BA147">
            <v>0</v>
          </cell>
          <cell r="BC147">
            <v>35.987999999999978</v>
          </cell>
          <cell r="BD147">
            <v>40.87700000000001</v>
          </cell>
          <cell r="BE147">
            <v>42.886000000000003</v>
          </cell>
          <cell r="BF147">
            <v>48.142000000000017</v>
          </cell>
          <cell r="BG147">
            <v>78.162000000000006</v>
          </cell>
          <cell r="BO147">
            <v>139.12696</v>
          </cell>
          <cell r="BP147">
            <v>142.24383999999998</v>
          </cell>
          <cell r="BQ147">
            <v>154.60964486617718</v>
          </cell>
          <cell r="BR147">
            <v>154.38994462213054</v>
          </cell>
          <cell r="BS147">
            <v>154.38994462213054</v>
          </cell>
          <cell r="CA147">
            <v>167.37012721953855</v>
          </cell>
          <cell r="CB147">
            <v>181.61164657061957</v>
          </cell>
          <cell r="CC147">
            <v>195.554022298055</v>
          </cell>
          <cell r="CD147">
            <v>209.23972211737825</v>
          </cell>
          <cell r="CF147" t="str">
            <v>mstag:otherAccruedExpenses</v>
          </cell>
          <cell r="CG147">
            <v>6</v>
          </cell>
          <cell r="CH147" t="str">
            <v>ISO4217:USD</v>
          </cell>
          <cell r="CI147" t="b">
            <v>0</v>
          </cell>
          <cell r="CJ147" t="b">
            <v>0</v>
          </cell>
        </row>
        <row r="148">
          <cell r="A148" t="str">
            <v>Adj. to Reconcile Net Income to Net Cash:</v>
          </cell>
          <cell r="E148">
            <v>-32.173000000000023</v>
          </cell>
          <cell r="F148">
            <v>-183.28999999999991</v>
          </cell>
          <cell r="G148">
            <v>1.6480000000000157</v>
          </cell>
          <cell r="H148">
            <v>-1.8429999999999773</v>
          </cell>
          <cell r="I148">
            <v>-4.426999999999973</v>
          </cell>
          <cell r="J148">
            <v>-12.167000000000067</v>
          </cell>
          <cell r="K148">
            <v>-16.789000000000001</v>
          </cell>
          <cell r="M148">
            <v>0.92100000000003712</v>
          </cell>
          <cell r="N148">
            <v>0.17799999999996285</v>
          </cell>
          <cell r="O148">
            <v>1.2580000000000005</v>
          </cell>
          <cell r="P148">
            <v>7.2120000000000237</v>
          </cell>
          <cell r="Q148">
            <v>9.5689999999999351</v>
          </cell>
          <cell r="R148">
            <v>10.848000000000001</v>
          </cell>
          <cell r="S148">
            <v>9.650999999999998</v>
          </cell>
          <cell r="T148">
            <v>10.041000000000002</v>
          </cell>
          <cell r="U148">
            <v>14.203000000000001</v>
          </cell>
          <cell r="V148">
            <v>44.743000000000002</v>
          </cell>
          <cell r="W148">
            <v>0</v>
          </cell>
          <cell r="X148">
            <v>27.175999999999998</v>
          </cell>
          <cell r="Y148">
            <v>24.276999999999976</v>
          </cell>
          <cell r="Z148">
            <v>20.120000000000022</v>
          </cell>
          <cell r="AA148">
            <v>28.411000000000001</v>
          </cell>
          <cell r="AB148">
            <v>99.983999999999995</v>
          </cell>
          <cell r="AC148">
            <v>0</v>
          </cell>
          <cell r="AD148">
            <v>33.539000000000065</v>
          </cell>
          <cell r="AE148">
            <v>30.616000000000042</v>
          </cell>
          <cell r="AF148">
            <v>31.683000000000082</v>
          </cell>
          <cell r="AG148">
            <v>35.634000000000007</v>
          </cell>
          <cell r="AH148">
            <v>131.47200000000052</v>
          </cell>
          <cell r="AI148">
            <v>40.725999999999999</v>
          </cell>
          <cell r="AJ148">
            <v>38.439000000000007</v>
          </cell>
          <cell r="AK148">
            <v>32.039000000000016</v>
          </cell>
          <cell r="AL148">
            <v>40.229000000000013</v>
          </cell>
          <cell r="AM148">
            <v>151.43300000000005</v>
          </cell>
          <cell r="AN148">
            <v>318.43000000000006</v>
          </cell>
          <cell r="AP148">
            <v>320.48099999999999</v>
          </cell>
          <cell r="AQ148">
            <v>334.71600000000001</v>
          </cell>
          <cell r="AR148">
            <v>394.83600000000001</v>
          </cell>
          <cell r="AS148">
            <v>398.06399999999996</v>
          </cell>
          <cell r="AT148">
            <v>398.06399999999996</v>
          </cell>
          <cell r="AV148">
            <v>40.725999999999999</v>
          </cell>
          <cell r="AW148">
            <v>38.439000000000007</v>
          </cell>
          <cell r="AX148">
            <v>31.826000000000111</v>
          </cell>
          <cell r="AY148">
            <v>40.441999999999879</v>
          </cell>
          <cell r="AZ148">
            <v>151.43299999999999</v>
          </cell>
          <cell r="BA148">
            <v>0</v>
          </cell>
          <cell r="BB148">
            <v>35.638999999999903</v>
          </cell>
          <cell r="BC148">
            <v>0.25</v>
          </cell>
          <cell r="BD148">
            <v>0.25</v>
          </cell>
          <cell r="BE148">
            <v>0.25</v>
          </cell>
          <cell r="BF148">
            <v>437.40300000000002</v>
          </cell>
          <cell r="BG148">
            <v>437.40300000000002</v>
          </cell>
          <cell r="BO148">
            <v>472.596</v>
          </cell>
          <cell r="BP148">
            <v>533.78600000000006</v>
          </cell>
          <cell r="BQ148">
            <v>543.44806085318805</v>
          </cell>
          <cell r="BR148">
            <v>545.81669239766677</v>
          </cell>
          <cell r="BS148">
            <v>545.81669239766677</v>
          </cell>
          <cell r="CA148">
            <v>589.3626957407439</v>
          </cell>
          <cell r="CB148">
            <v>632.25208601097665</v>
          </cell>
          <cell r="CC148">
            <v>675.50827006156578</v>
          </cell>
          <cell r="CD148">
            <v>717.3393394589483</v>
          </cell>
        </row>
        <row r="149">
          <cell r="A149" t="str">
            <v xml:space="preserve">Depreciation </v>
          </cell>
          <cell r="E149">
            <v>69.153999999999996</v>
          </cell>
          <cell r="F149">
            <v>49.860999999999997</v>
          </cell>
          <cell r="G149">
            <v>13.032999999999996</v>
          </cell>
          <cell r="H149">
            <v>13.929</v>
          </cell>
          <cell r="I149">
            <v>14.369</v>
          </cell>
          <cell r="J149">
            <v>15.612</v>
          </cell>
          <cell r="K149">
            <v>56.942999999999998</v>
          </cell>
          <cell r="M149">
            <v>16.38</v>
          </cell>
          <cell r="N149">
            <v>17.529999999999998</v>
          </cell>
          <cell r="O149">
            <v>18.655000000000001</v>
          </cell>
          <cell r="P149">
            <v>19.366</v>
          </cell>
          <cell r="Q149">
            <v>71.930999999999997</v>
          </cell>
          <cell r="R149">
            <v>21.460999999999999</v>
          </cell>
          <cell r="S149">
            <v>21.632999999999999</v>
          </cell>
          <cell r="T149">
            <v>23.318000000000001</v>
          </cell>
          <cell r="U149">
            <v>24.501000000000019</v>
          </cell>
          <cell r="V149">
            <v>90.913000000000011</v>
          </cell>
          <cell r="W149">
            <v>0</v>
          </cell>
          <cell r="X149">
            <v>28.409000000000002</v>
          </cell>
          <cell r="Y149">
            <v>28.84</v>
          </cell>
          <cell r="Z149">
            <v>28.942999999999998</v>
          </cell>
          <cell r="AA149">
            <v>31.725999999999999</v>
          </cell>
          <cell r="AB149">
            <v>117.91800000000001</v>
          </cell>
          <cell r="AC149">
            <v>0</v>
          </cell>
          <cell r="AD149">
            <v>33.141999999999996</v>
          </cell>
          <cell r="AE149">
            <v>34.124666666666663</v>
          </cell>
          <cell r="AF149">
            <v>36.140666666666668</v>
          </cell>
          <cell r="AG149">
            <v>39.558666666666667</v>
          </cell>
          <cell r="AH149">
            <v>142.96600000000001</v>
          </cell>
          <cell r="AI149">
            <v>38.151000000000003</v>
          </cell>
          <cell r="AJ149">
            <v>38.467999999999989</v>
          </cell>
          <cell r="AK149">
            <v>39.380999999999993</v>
          </cell>
          <cell r="AL149">
            <v>41.365999999999993</v>
          </cell>
          <cell r="AM149">
            <v>157.36599999999999</v>
          </cell>
          <cell r="AV149">
            <v>38.151000000000003</v>
          </cell>
          <cell r="AW149">
            <v>38.405999999999999</v>
          </cell>
          <cell r="AX149">
            <v>39.31900000000001</v>
          </cell>
          <cell r="AY149">
            <v>41.489999999999959</v>
          </cell>
          <cell r="AZ149">
            <v>157.36599999999999</v>
          </cell>
          <cell r="BA149">
            <v>0</v>
          </cell>
          <cell r="BC149">
            <v>40.887</v>
          </cell>
          <cell r="BD149">
            <v>40.492999999999995</v>
          </cell>
          <cell r="BE149">
            <v>40.24</v>
          </cell>
          <cell r="BF149">
            <v>43.24199999999999</v>
          </cell>
        </row>
        <row r="150">
          <cell r="A150" t="str">
            <v>Amortization of goodwill</v>
          </cell>
          <cell r="E150">
            <v>25.353999999999999</v>
          </cell>
          <cell r="F150">
            <v>26.638999999999999</v>
          </cell>
          <cell r="G150">
            <v>5.6769999999999987</v>
          </cell>
          <cell r="H150">
            <v>6.2770000000000001</v>
          </cell>
          <cell r="I150">
            <v>6.327</v>
          </cell>
          <cell r="J150">
            <v>6.4270000000000005</v>
          </cell>
          <cell r="K150">
            <v>24.707999999999998</v>
          </cell>
          <cell r="M150">
            <v>6.1680000000000001</v>
          </cell>
          <cell r="N150">
            <v>6.21</v>
          </cell>
          <cell r="O150">
            <v>6.5419999999999998</v>
          </cell>
          <cell r="P150">
            <v>6.7729999999999997</v>
          </cell>
          <cell r="Q150">
            <v>25.693000000000001</v>
          </cell>
          <cell r="R150">
            <v>7.0460000000000003</v>
          </cell>
          <cell r="S150">
            <v>7.0279999999999996</v>
          </cell>
          <cell r="T150">
            <v>7.3129999999999997</v>
          </cell>
          <cell r="U150">
            <v>7.3680000000000003</v>
          </cell>
          <cell r="V150">
            <v>28.755000000000003</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65.12</v>
          </cell>
          <cell r="AP150">
            <v>65.12</v>
          </cell>
          <cell r="AQ150">
            <v>65.295000000000002</v>
          </cell>
          <cell r="AR150">
            <v>65.295000000000002</v>
          </cell>
          <cell r="AS150">
            <v>110.34099999999999</v>
          </cell>
          <cell r="AT150">
            <v>110.34099999999999</v>
          </cell>
          <cell r="AV150">
            <v>0</v>
          </cell>
          <cell r="AW150">
            <v>0</v>
          </cell>
          <cell r="AX150">
            <v>0</v>
          </cell>
          <cell r="AY150">
            <v>0</v>
          </cell>
          <cell r="AZ150">
            <v>0</v>
          </cell>
          <cell r="BA150">
            <v>0</v>
          </cell>
          <cell r="BB150">
            <v>40.887</v>
          </cell>
          <cell r="BC150">
            <v>0</v>
          </cell>
          <cell r="BD150">
            <v>0</v>
          </cell>
          <cell r="BE150">
            <v>0</v>
          </cell>
          <cell r="BF150">
            <v>157.57900000000001</v>
          </cell>
          <cell r="BG150">
            <v>157.57900000000001</v>
          </cell>
          <cell r="BO150">
            <v>157.57900000000001</v>
          </cell>
          <cell r="BP150">
            <v>157.57900000000001</v>
          </cell>
          <cell r="BQ150">
            <v>157.57900000000001</v>
          </cell>
          <cell r="BR150">
            <v>157.57900000000001</v>
          </cell>
          <cell r="BS150">
            <v>157.57900000000001</v>
          </cell>
          <cell r="CA150">
            <v>157.57900000000001</v>
          </cell>
          <cell r="CB150">
            <v>157.57900000000001</v>
          </cell>
          <cell r="CC150">
            <v>157.57900000000001</v>
          </cell>
          <cell r="CD150">
            <v>142.26</v>
          </cell>
          <cell r="CF150" t="str">
            <v>mstag:deferredTaxLiabilitiesNonCurrent</v>
          </cell>
          <cell r="CG150">
            <v>6</v>
          </cell>
          <cell r="CH150" t="str">
            <v>ISO4217:USD</v>
          </cell>
          <cell r="CI150" t="b">
            <v>0</v>
          </cell>
          <cell r="CJ150" t="b">
            <v>0</v>
          </cell>
        </row>
        <row r="151">
          <cell r="A151" t="str">
            <v>Amortization of intangibles</v>
          </cell>
          <cell r="E151">
            <v>0</v>
          </cell>
          <cell r="F151">
            <v>0</v>
          </cell>
          <cell r="G151">
            <v>0</v>
          </cell>
          <cell r="H151">
            <v>0</v>
          </cell>
          <cell r="I151">
            <v>0</v>
          </cell>
          <cell r="J151">
            <v>0</v>
          </cell>
          <cell r="K151">
            <v>0</v>
          </cell>
          <cell r="M151">
            <v>0</v>
          </cell>
          <cell r="N151">
            <v>0</v>
          </cell>
          <cell r="O151">
            <v>0</v>
          </cell>
          <cell r="P151">
            <v>0</v>
          </cell>
          <cell r="Q151">
            <v>0</v>
          </cell>
          <cell r="R151">
            <v>0</v>
          </cell>
          <cell r="S151">
            <v>0</v>
          </cell>
          <cell r="T151">
            <v>0</v>
          </cell>
          <cell r="U151">
            <v>0</v>
          </cell>
          <cell r="V151">
            <v>0</v>
          </cell>
          <cell r="W151">
            <v>0</v>
          </cell>
          <cell r="X151">
            <v>7.4999999999999997E-2</v>
          </cell>
          <cell r="Y151">
            <v>7.4999999999999997E-2</v>
          </cell>
          <cell r="Z151">
            <v>7.4999999999999997E-2</v>
          </cell>
          <cell r="AA151">
            <v>7.4999999999999997E-2</v>
          </cell>
          <cell r="AB151">
            <v>0.3</v>
          </cell>
          <cell r="AC151">
            <v>0</v>
          </cell>
          <cell r="AD151">
            <v>0.1</v>
          </cell>
          <cell r="AE151">
            <v>0.23333333333333336</v>
          </cell>
          <cell r="AF151">
            <v>0.23333333333333336</v>
          </cell>
          <cell r="AG151">
            <v>0.23333333333333336</v>
          </cell>
          <cell r="AH151">
            <v>0.8</v>
          </cell>
          <cell r="AI151">
            <v>0.3</v>
          </cell>
          <cell r="AJ151">
            <v>0.23800000000000332</v>
          </cell>
          <cell r="AK151">
            <v>0.23800000000000332</v>
          </cell>
          <cell r="AL151">
            <v>0.23800000000000332</v>
          </cell>
          <cell r="AM151">
            <v>1.1000000000000001</v>
          </cell>
          <cell r="AN151">
            <v>1173.9290000000001</v>
          </cell>
          <cell r="AP151">
            <v>1252.67</v>
          </cell>
          <cell r="AQ151">
            <v>1168.1969999999999</v>
          </cell>
          <cell r="AR151">
            <v>1371.097</v>
          </cell>
          <cell r="AS151">
            <v>1444.981</v>
          </cell>
          <cell r="AT151">
            <v>1444.981</v>
          </cell>
          <cell r="AV151">
            <v>0.3</v>
          </cell>
          <cell r="AW151">
            <v>0.3</v>
          </cell>
          <cell r="AX151">
            <v>0.3</v>
          </cell>
          <cell r="AY151">
            <v>0.11400000000000998</v>
          </cell>
          <cell r="AZ151">
            <v>1.01400000000001</v>
          </cell>
          <cell r="BA151">
            <v>0</v>
          </cell>
          <cell r="BB151">
            <v>0</v>
          </cell>
          <cell r="BC151">
            <v>0.25</v>
          </cell>
          <cell r="BD151">
            <v>0.25</v>
          </cell>
          <cell r="BE151">
            <v>0.25</v>
          </cell>
          <cell r="BF151">
            <v>1648.5</v>
          </cell>
          <cell r="BG151">
            <v>1648.5</v>
          </cell>
          <cell r="BO151">
            <v>1516.269</v>
          </cell>
          <cell r="BP151">
            <v>1656.9829999999999</v>
          </cell>
          <cell r="BQ151">
            <v>1729.3789999999999</v>
          </cell>
          <cell r="BR151">
            <v>1729.3789999999999</v>
          </cell>
          <cell r="BS151">
            <v>1729.3789999999999</v>
          </cell>
          <cell r="CA151">
            <v>1779.3789999999999</v>
          </cell>
          <cell r="CB151">
            <v>1779.3789999999999</v>
          </cell>
          <cell r="CC151">
            <v>2379.3789999999999</v>
          </cell>
          <cell r="CD151">
            <v>2454.3789999999999</v>
          </cell>
          <cell r="CF151" t="str">
            <v>mstag:longTermDebt</v>
          </cell>
          <cell r="CG151">
            <v>6</v>
          </cell>
          <cell r="CH151" t="str">
            <v>ISO4217:USD</v>
          </cell>
          <cell r="CI151" t="b">
            <v>0</v>
          </cell>
          <cell r="CJ151" t="b">
            <v>0</v>
          </cell>
        </row>
        <row r="152">
          <cell r="A152" t="str">
            <v>Provision for doubtful accounts</v>
          </cell>
          <cell r="E152">
            <v>0</v>
          </cell>
          <cell r="F152">
            <v>0</v>
          </cell>
          <cell r="G152">
            <v>0</v>
          </cell>
          <cell r="H152">
            <v>0</v>
          </cell>
          <cell r="I152">
            <v>0</v>
          </cell>
          <cell r="J152">
            <v>0</v>
          </cell>
          <cell r="K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8.3000000000000007</v>
          </cell>
          <cell r="AP152">
            <v>8.1999999999999993</v>
          </cell>
          <cell r="AQ152">
            <v>8.1999999999999993</v>
          </cell>
          <cell r="AR152">
            <v>8.1999999999999993</v>
          </cell>
          <cell r="AS152">
            <v>8.1999999999999993</v>
          </cell>
          <cell r="AT152">
            <v>8.1999999999999993</v>
          </cell>
          <cell r="AV152">
            <v>0</v>
          </cell>
          <cell r="AW152">
            <v>0</v>
          </cell>
          <cell r="AX152">
            <v>0</v>
          </cell>
          <cell r="AY152">
            <v>0</v>
          </cell>
          <cell r="AZ152">
            <v>0</v>
          </cell>
          <cell r="BA152">
            <v>0</v>
          </cell>
          <cell r="BB152">
            <v>0.25</v>
          </cell>
          <cell r="BC152">
            <v>0</v>
          </cell>
          <cell r="BD152">
            <v>0</v>
          </cell>
          <cell r="BE152">
            <v>0</v>
          </cell>
          <cell r="BF152">
            <v>17.2</v>
          </cell>
          <cell r="BG152">
            <v>17.2</v>
          </cell>
          <cell r="BO152">
            <v>20.2</v>
          </cell>
          <cell r="BP152">
            <v>20.3</v>
          </cell>
          <cell r="BQ152">
            <v>20.335000000000001</v>
          </cell>
          <cell r="BR152">
            <v>20.38</v>
          </cell>
          <cell r="BS152">
            <v>20.38</v>
          </cell>
          <cell r="CA152">
            <v>20.521403999999997</v>
          </cell>
          <cell r="CB152">
            <v>20.669878199999999</v>
          </cell>
          <cell r="CC152">
            <v>20.82577611</v>
          </cell>
          <cell r="CD152">
            <v>20.989468915499998</v>
          </cell>
          <cell r="CF152" t="str">
            <v>mstag:minorityInterestsInShareholdersEquity</v>
          </cell>
          <cell r="CG152">
            <v>6</v>
          </cell>
          <cell r="CH152" t="str">
            <v>ISO4217:USD</v>
          </cell>
          <cell r="CI152" t="b">
            <v>0</v>
          </cell>
          <cell r="CJ152" t="b">
            <v>0</v>
          </cell>
        </row>
        <row r="153">
          <cell r="A153" t="str">
            <v>Minority interest</v>
          </cell>
          <cell r="E153">
            <v>0</v>
          </cell>
          <cell r="F153">
            <v>0</v>
          </cell>
          <cell r="G153">
            <v>0</v>
          </cell>
          <cell r="H153">
            <v>0</v>
          </cell>
          <cell r="I153">
            <v>0</v>
          </cell>
          <cell r="J153">
            <v>0</v>
          </cell>
          <cell r="K153">
            <v>0</v>
          </cell>
          <cell r="M153">
            <v>0</v>
          </cell>
          <cell r="N153">
            <v>0</v>
          </cell>
          <cell r="O153">
            <v>0</v>
          </cell>
          <cell r="P153">
            <v>0</v>
          </cell>
          <cell r="Q153">
            <v>0</v>
          </cell>
          <cell r="R153">
            <v>0</v>
          </cell>
          <cell r="S153">
            <v>0</v>
          </cell>
          <cell r="T153">
            <v>0</v>
          </cell>
          <cell r="U153">
            <v>0.109</v>
          </cell>
          <cell r="V153">
            <v>0.109</v>
          </cell>
          <cell r="W153">
            <v>0</v>
          </cell>
          <cell r="X153">
            <v>0.76100000000000001</v>
          </cell>
          <cell r="Y153">
            <v>0.755</v>
          </cell>
          <cell r="Z153">
            <v>0.34499999999999986</v>
          </cell>
          <cell r="AA153">
            <v>0.375</v>
          </cell>
          <cell r="AB153">
            <v>2.2360000000000002</v>
          </cell>
          <cell r="AC153">
            <v>0</v>
          </cell>
          <cell r="AD153">
            <v>0.372</v>
          </cell>
          <cell r="AE153">
            <v>0.68</v>
          </cell>
          <cell r="AF153">
            <v>0.65100000000000002</v>
          </cell>
          <cell r="AG153">
            <v>0.28399999999999997</v>
          </cell>
          <cell r="AH153">
            <v>1.9870000000000001</v>
          </cell>
          <cell r="AI153">
            <v>0.373</v>
          </cell>
          <cell r="AJ153">
            <v>0.63500000000000001</v>
          </cell>
          <cell r="AK153">
            <v>0.08</v>
          </cell>
          <cell r="AL153">
            <v>0.49</v>
          </cell>
          <cell r="AM153">
            <v>1.5780000000000001</v>
          </cell>
          <cell r="AN153">
            <v>29.412000000000003</v>
          </cell>
          <cell r="AP153">
            <v>37.772999999999996</v>
          </cell>
          <cell r="AQ153">
            <v>39.255000000000003</v>
          </cell>
          <cell r="AR153">
            <v>41.286000000000001</v>
          </cell>
          <cell r="AS153">
            <v>38.036000000000001</v>
          </cell>
          <cell r="AT153">
            <v>38.036000000000001</v>
          </cell>
          <cell r="AV153">
            <v>0.373</v>
          </cell>
          <cell r="AW153">
            <v>0.63500000000000001</v>
          </cell>
          <cell r="AX153">
            <v>0.55400000000000027</v>
          </cell>
          <cell r="AY153">
            <v>1.5999999999999792E-2</v>
          </cell>
          <cell r="AZ153">
            <v>1.5780000000000001</v>
          </cell>
          <cell r="BA153">
            <v>0</v>
          </cell>
          <cell r="BB153">
            <v>0</v>
          </cell>
          <cell r="BC153">
            <v>0.88700000000000001</v>
          </cell>
          <cell r="BD153">
            <v>0.76770000000000005</v>
          </cell>
          <cell r="BE153">
            <v>0.71499999999999997</v>
          </cell>
          <cell r="BF153">
            <v>108.959</v>
          </cell>
          <cell r="BG153">
            <v>108.959</v>
          </cell>
          <cell r="BO153">
            <v>119.61800000000001</v>
          </cell>
          <cell r="BP153">
            <v>111.71300000000001</v>
          </cell>
          <cell r="BQ153">
            <v>111.71300000000001</v>
          </cell>
          <cell r="BR153">
            <v>111.71300000000001</v>
          </cell>
          <cell r="BS153">
            <v>111.71300000000001</v>
          </cell>
          <cell r="CA153">
            <v>111.71300000000001</v>
          </cell>
          <cell r="CB153">
            <v>111.71300000000001</v>
          </cell>
          <cell r="CC153">
            <v>111.71300000000001</v>
          </cell>
          <cell r="CD153">
            <v>111.71300000000001</v>
          </cell>
          <cell r="CF153" t="str">
            <v>mstag:otherLiabilitiesOperatingNonCurrent</v>
          </cell>
          <cell r="CG153">
            <v>6</v>
          </cell>
          <cell r="CH153" t="str">
            <v>ISO4217:USD</v>
          </cell>
          <cell r="CI153" t="b">
            <v>0</v>
          </cell>
          <cell r="CJ153" t="b">
            <v>0</v>
          </cell>
        </row>
        <row r="154">
          <cell r="A154" t="str">
            <v>Deferred income taxes</v>
          </cell>
          <cell r="E154">
            <v>-5.7510000000000003</v>
          </cell>
          <cell r="F154">
            <v>-14.797000000000001</v>
          </cell>
          <cell r="G154">
            <v>0</v>
          </cell>
          <cell r="H154">
            <v>0</v>
          </cell>
          <cell r="I154">
            <v>0</v>
          </cell>
          <cell r="J154">
            <v>-3.7989999999999999</v>
          </cell>
          <cell r="K154">
            <v>-3.7989999999999999</v>
          </cell>
          <cell r="M154">
            <v>0</v>
          </cell>
          <cell r="N154">
            <v>0</v>
          </cell>
          <cell r="O154">
            <v>0</v>
          </cell>
          <cell r="P154">
            <v>17.21</v>
          </cell>
          <cell r="Q154">
            <v>17.21</v>
          </cell>
          <cell r="R154">
            <v>0</v>
          </cell>
          <cell r="S154">
            <v>0</v>
          </cell>
          <cell r="T154">
            <v>0</v>
          </cell>
          <cell r="U154">
            <v>25.28</v>
          </cell>
          <cell r="V154">
            <v>25.28</v>
          </cell>
          <cell r="W154">
            <v>0</v>
          </cell>
          <cell r="X154">
            <v>0</v>
          </cell>
          <cell r="Y154">
            <v>0</v>
          </cell>
          <cell r="Z154">
            <v>0</v>
          </cell>
          <cell r="AA154">
            <v>38.171999999999997</v>
          </cell>
          <cell r="AB154">
            <v>38.171999999999997</v>
          </cell>
          <cell r="AC154">
            <v>0</v>
          </cell>
          <cell r="AD154">
            <v>0</v>
          </cell>
          <cell r="AE154">
            <v>0.17499999999999999</v>
          </cell>
          <cell r="AF154">
            <v>0</v>
          </cell>
          <cell r="AG154">
            <v>62.737000000000002</v>
          </cell>
          <cell r="AH154">
            <v>62.911999999999999</v>
          </cell>
          <cell r="AI154">
            <v>0</v>
          </cell>
          <cell r="AJ154">
            <v>0</v>
          </cell>
          <cell r="AK154">
            <v>0</v>
          </cell>
          <cell r="AL154">
            <v>41.902000000000001</v>
          </cell>
          <cell r="AM154">
            <v>41.902000000000001</v>
          </cell>
          <cell r="AN154">
            <v>1595.1910000000003</v>
          </cell>
          <cell r="AP154">
            <v>1684.2440000000001</v>
          </cell>
          <cell r="AQ154">
            <v>1615.663</v>
          </cell>
          <cell r="AR154">
            <v>1880.7140000000002</v>
          </cell>
          <cell r="AS154">
            <v>1999.6220000000001</v>
          </cell>
          <cell r="AT154">
            <v>1999.6220000000001</v>
          </cell>
          <cell r="AV154">
            <v>0</v>
          </cell>
          <cell r="AW154">
            <v>0</v>
          </cell>
          <cell r="AX154">
            <v>0</v>
          </cell>
          <cell r="AY154">
            <v>41.902000000000001</v>
          </cell>
          <cell r="AZ154">
            <v>41.902000000000001</v>
          </cell>
          <cell r="BA154">
            <v>0</v>
          </cell>
          <cell r="BB154">
            <v>1.2363</v>
          </cell>
          <cell r="BC154">
            <v>0</v>
          </cell>
          <cell r="BD154">
            <v>0</v>
          </cell>
          <cell r="BE154">
            <v>0</v>
          </cell>
          <cell r="BF154">
            <v>2369.6409999999996</v>
          </cell>
          <cell r="BG154">
            <v>2369.6409999999996</v>
          </cell>
          <cell r="BO154">
            <v>2286.2619999999997</v>
          </cell>
          <cell r="BP154">
            <v>2480.3610000000003</v>
          </cell>
          <cell r="BQ154">
            <v>2562.4540608531884</v>
          </cell>
          <cell r="BR154">
            <v>2564.8676923976668</v>
          </cell>
          <cell r="BS154">
            <v>2564.8676923976668</v>
          </cell>
          <cell r="CA154">
            <v>2658.555099740744</v>
          </cell>
          <cell r="CB154">
            <v>2701.5929642109768</v>
          </cell>
          <cell r="CC154">
            <v>3345.0050461715655</v>
          </cell>
          <cell r="CD154">
            <v>3446.6808083744481</v>
          </cell>
        </row>
        <row r="155">
          <cell r="A155" t="str">
            <v>Impairment charge</v>
          </cell>
          <cell r="E155">
            <v>0</v>
          </cell>
          <cell r="F155">
            <v>164.833</v>
          </cell>
          <cell r="G155">
            <v>0</v>
          </cell>
          <cell r="H155">
            <v>0</v>
          </cell>
          <cell r="I155">
            <v>0</v>
          </cell>
          <cell r="J155">
            <v>0</v>
          </cell>
          <cell r="K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1.625</v>
          </cell>
          <cell r="AL155">
            <v>0</v>
          </cell>
          <cell r="AM155">
            <v>1.625</v>
          </cell>
          <cell r="AV155">
            <v>0</v>
          </cell>
          <cell r="AW155">
            <v>0</v>
          </cell>
          <cell r="AX155">
            <v>1.625</v>
          </cell>
          <cell r="AY155">
            <v>0.91400000000000015</v>
          </cell>
          <cell r="AZ155">
            <v>2.5390000000000001</v>
          </cell>
          <cell r="BA155">
            <v>0</v>
          </cell>
          <cell r="BB155">
            <v>0</v>
          </cell>
          <cell r="BC155">
            <v>0</v>
          </cell>
          <cell r="BD155">
            <v>6.718</v>
          </cell>
          <cell r="BE155">
            <v>0</v>
          </cell>
          <cell r="BF155">
            <v>0</v>
          </cell>
        </row>
        <row r="156">
          <cell r="A156" t="str">
            <v>Loss on sale of hospitals</v>
          </cell>
          <cell r="E156">
            <v>0</v>
          </cell>
          <cell r="F156">
            <v>0</v>
          </cell>
          <cell r="G156">
            <v>0</v>
          </cell>
          <cell r="H156">
            <v>0</v>
          </cell>
          <cell r="I156">
            <v>0</v>
          </cell>
          <cell r="J156">
            <v>0</v>
          </cell>
          <cell r="K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V156">
            <v>0</v>
          </cell>
          <cell r="AW156">
            <v>0</v>
          </cell>
          <cell r="AX156">
            <v>0</v>
          </cell>
          <cell r="AY156">
            <v>2.1859999999999999</v>
          </cell>
          <cell r="AZ156">
            <v>2.1859999999999999</v>
          </cell>
          <cell r="BA156">
            <v>0</v>
          </cell>
          <cell r="BB156">
            <v>0</v>
          </cell>
          <cell r="BC156">
            <v>6.2949999999999999</v>
          </cell>
          <cell r="BD156">
            <v>0</v>
          </cell>
          <cell r="BE156">
            <v>0</v>
          </cell>
          <cell r="BF156">
            <v>0</v>
          </cell>
        </row>
        <row r="157">
          <cell r="A157" t="str">
            <v>Compliance settlement costs</v>
          </cell>
          <cell r="E157">
            <v>0</v>
          </cell>
          <cell r="F157">
            <v>20</v>
          </cell>
          <cell r="G157">
            <v>0</v>
          </cell>
          <cell r="H157">
            <v>0</v>
          </cell>
          <cell r="I157">
            <v>0</v>
          </cell>
          <cell r="J157">
            <v>0</v>
          </cell>
          <cell r="K157">
            <v>14</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P157">
            <v>0</v>
          </cell>
          <cell r="AQ157">
            <v>0</v>
          </cell>
          <cell r="AR157">
            <v>0</v>
          </cell>
          <cell r="AS157">
            <v>0</v>
          </cell>
          <cell r="AT157">
            <v>0</v>
          </cell>
          <cell r="AV157">
            <v>0</v>
          </cell>
          <cell r="AW157">
            <v>0</v>
          </cell>
          <cell r="AX157">
            <v>0</v>
          </cell>
          <cell r="AY157">
            <v>0</v>
          </cell>
          <cell r="AZ157">
            <v>0</v>
          </cell>
          <cell r="BA157">
            <v>0</v>
          </cell>
          <cell r="BB157">
            <v>6.2949999999999999</v>
          </cell>
          <cell r="BC157">
            <v>0</v>
          </cell>
          <cell r="BD157">
            <v>0</v>
          </cell>
          <cell r="BE157">
            <v>0</v>
          </cell>
          <cell r="BF157">
            <v>0</v>
          </cell>
          <cell r="BG157">
            <v>0</v>
          </cell>
          <cell r="BO157">
            <v>0</v>
          </cell>
          <cell r="BP157">
            <v>0</v>
          </cell>
          <cell r="BQ157">
            <v>0</v>
          </cell>
          <cell r="BR157">
            <v>0</v>
          </cell>
          <cell r="BS157">
            <v>0</v>
          </cell>
          <cell r="CA157">
            <v>0</v>
          </cell>
          <cell r="CB157">
            <v>0</v>
          </cell>
          <cell r="CC157">
            <v>0</v>
          </cell>
          <cell r="CD157">
            <v>0</v>
          </cell>
          <cell r="CF157" t="str">
            <v>mstag:preferredEquity</v>
          </cell>
          <cell r="CG157">
            <v>6</v>
          </cell>
          <cell r="CH157" t="str">
            <v>ISO4217:USD</v>
          </cell>
          <cell r="CI157" t="b">
            <v>0</v>
          </cell>
          <cell r="CJ157" t="b">
            <v>0</v>
          </cell>
        </row>
        <row r="158">
          <cell r="A158" t="str">
            <v>Stock compensation expense</v>
          </cell>
          <cell r="E158">
            <v>0</v>
          </cell>
          <cell r="F158">
            <v>0</v>
          </cell>
          <cell r="G158">
            <v>0</v>
          </cell>
          <cell r="H158">
            <v>2.8000000000000001E-2</v>
          </cell>
          <cell r="I158">
            <v>-2.8000000000000001E-2</v>
          </cell>
          <cell r="J158">
            <v>8.3000000000000004E-2</v>
          </cell>
          <cell r="K158">
            <v>8.3000000000000004E-2</v>
          </cell>
          <cell r="M158">
            <v>0</v>
          </cell>
          <cell r="N158">
            <v>4.2999999999999997E-2</v>
          </cell>
          <cell r="O158">
            <v>0</v>
          </cell>
          <cell r="P158">
            <v>3.1E-2</v>
          </cell>
          <cell r="Q158">
            <v>7.3999999999999996E-2</v>
          </cell>
          <cell r="R158">
            <v>1.0999999999999999E-2</v>
          </cell>
          <cell r="S158">
            <v>1.0999999999999999E-2</v>
          </cell>
          <cell r="T158">
            <v>1.1000000000000003E-2</v>
          </cell>
          <cell r="U158">
            <v>1.0999999999999996E-2</v>
          </cell>
          <cell r="V158">
            <v>4.3999999999999997E-2</v>
          </cell>
          <cell r="W158">
            <v>0</v>
          </cell>
          <cell r="X158">
            <v>0</v>
          </cell>
          <cell r="Y158">
            <v>1.2999999999999999E-2</v>
          </cell>
          <cell r="Z158">
            <v>7.000000000000001E-3</v>
          </cell>
          <cell r="AA158">
            <v>5.9999999999999984E-3</v>
          </cell>
          <cell r="AB158">
            <v>2.5999999999999999E-2</v>
          </cell>
          <cell r="AC158">
            <v>0</v>
          </cell>
          <cell r="AD158">
            <v>4.0000000000000001E-3</v>
          </cell>
          <cell r="AE158">
            <v>2E-3</v>
          </cell>
          <cell r="AF158">
            <v>4.0000000000000001E-3</v>
          </cell>
          <cell r="AG158">
            <v>2.9999999999999992E-3</v>
          </cell>
          <cell r="AH158">
            <v>1.2999999999999999E-2</v>
          </cell>
          <cell r="AI158">
            <v>2E-3</v>
          </cell>
          <cell r="AJ158">
            <v>0</v>
          </cell>
          <cell r="AK158">
            <v>0</v>
          </cell>
          <cell r="AL158">
            <v>0</v>
          </cell>
          <cell r="AM158">
            <v>2E-3</v>
          </cell>
          <cell r="AN158">
            <v>0.998</v>
          </cell>
          <cell r="AP158">
            <v>0.99199999999999999</v>
          </cell>
          <cell r="AQ158">
            <v>0.995</v>
          </cell>
          <cell r="AR158">
            <v>0.995</v>
          </cell>
          <cell r="AS158">
            <v>0.997</v>
          </cell>
          <cell r="AT158">
            <v>0.997</v>
          </cell>
          <cell r="AV158">
            <v>2E-3</v>
          </cell>
          <cell r="AW158">
            <v>0</v>
          </cell>
          <cell r="AX158">
            <v>0</v>
          </cell>
          <cell r="AY158">
            <v>0.26100000000000001</v>
          </cell>
          <cell r="AZ158">
            <v>2E-3</v>
          </cell>
          <cell r="BA158">
            <v>-0.26100000000000001</v>
          </cell>
          <cell r="BB158">
            <v>0</v>
          </cell>
          <cell r="BC158">
            <v>0.496</v>
          </cell>
          <cell r="BD158">
            <v>1.488</v>
          </cell>
          <cell r="BE158">
            <v>1.4849999999999999</v>
          </cell>
          <cell r="BF158">
            <v>0.94499999999999995</v>
          </cell>
          <cell r="BG158">
            <v>0.94499999999999995</v>
          </cell>
          <cell r="BO158">
            <v>0.99399999999999999</v>
          </cell>
          <cell r="BP158">
            <v>0.95799999999999996</v>
          </cell>
          <cell r="BQ158">
            <v>0.95799999999999996</v>
          </cell>
          <cell r="BR158">
            <v>0.95799999999999996</v>
          </cell>
          <cell r="BS158">
            <v>0.95799999999999996</v>
          </cell>
          <cell r="CA158">
            <v>0.95799999999999996</v>
          </cell>
          <cell r="CB158">
            <v>0.95799999999999996</v>
          </cell>
          <cell r="CC158">
            <v>0.95799999999999996</v>
          </cell>
          <cell r="CD158">
            <v>0.95799999999999996</v>
          </cell>
          <cell r="CF158" t="str">
            <v>mstag:commonStock</v>
          </cell>
          <cell r="CG158">
            <v>6</v>
          </cell>
          <cell r="CH158" t="str">
            <v>ISO4217:USD</v>
          </cell>
          <cell r="CI158" t="b">
            <v>0</v>
          </cell>
          <cell r="CJ158" t="b">
            <v>0</v>
          </cell>
        </row>
        <row r="159">
          <cell r="A159" t="str">
            <v>Excess tax benefits relating to stock-based comp</v>
          </cell>
          <cell r="E159">
            <v>0</v>
          </cell>
          <cell r="F159">
            <v>0</v>
          </cell>
          <cell r="G159">
            <v>0</v>
          </cell>
          <cell r="H159">
            <v>0</v>
          </cell>
          <cell r="I159">
            <v>0</v>
          </cell>
          <cell r="J159">
            <v>0</v>
          </cell>
          <cell r="K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1319.37</v>
          </cell>
          <cell r="AP159">
            <v>1309.1969999999999</v>
          </cell>
          <cell r="AQ159">
            <v>1313.1030000000001</v>
          </cell>
          <cell r="AR159">
            <v>1312.2860000000001</v>
          </cell>
          <cell r="AS159">
            <v>1315.9590000000001</v>
          </cell>
          <cell r="AT159">
            <v>1315.9590000000001</v>
          </cell>
          <cell r="AV159">
            <v>0</v>
          </cell>
          <cell r="AW159">
            <v>0</v>
          </cell>
          <cell r="AX159">
            <v>0</v>
          </cell>
          <cell r="AY159">
            <v>0</v>
          </cell>
          <cell r="AZ159">
            <v>0</v>
          </cell>
          <cell r="BA159">
            <v>-0.26100000000000001</v>
          </cell>
          <cell r="BB159">
            <v>0.496</v>
          </cell>
          <cell r="BC159">
            <v>0</v>
          </cell>
          <cell r="BD159">
            <v>0</v>
          </cell>
          <cell r="BE159">
            <v>0</v>
          </cell>
          <cell r="BF159">
            <v>1208.93</v>
          </cell>
          <cell r="BG159">
            <v>1208.93</v>
          </cell>
          <cell r="BO159">
            <v>1334.789</v>
          </cell>
          <cell r="BP159">
            <v>1215.4949999999999</v>
          </cell>
          <cell r="BQ159">
            <v>1225.0574397363205</v>
          </cell>
          <cell r="BR159">
            <v>1234.8111282673676</v>
          </cell>
          <cell r="BS159">
            <v>1234.8111282673676</v>
          </cell>
          <cell r="CA159">
            <v>1310.7342993744294</v>
          </cell>
          <cell r="CB159">
            <v>1392.731324170056</v>
          </cell>
          <cell r="CC159">
            <v>1315.7981434473427</v>
          </cell>
          <cell r="CD159">
            <v>1315.7981434473427</v>
          </cell>
          <cell r="CF159" t="str">
            <v>mstag:additionalPaidInCapital</v>
          </cell>
          <cell r="CG159">
            <v>6</v>
          </cell>
          <cell r="CH159" t="str">
            <v>ISO4217:USD</v>
          </cell>
          <cell r="CI159" t="b">
            <v>0</v>
          </cell>
          <cell r="CJ159" t="b">
            <v>0</v>
          </cell>
        </row>
        <row r="160">
          <cell r="A160" t="str">
            <v>Other non-cash (income) expenses, net</v>
          </cell>
          <cell r="E160">
            <v>0.14599999999999999</v>
          </cell>
          <cell r="F160">
            <v>-0.52800000000000002</v>
          </cell>
          <cell r="G160">
            <v>0</v>
          </cell>
          <cell r="H160">
            <v>3.4430000000000001</v>
          </cell>
          <cell r="I160">
            <v>-3.4430000000000001</v>
          </cell>
          <cell r="J160">
            <v>-0.56999999999999984</v>
          </cell>
          <cell r="K160">
            <v>-0.56999999999999995</v>
          </cell>
          <cell r="M160">
            <v>1.276</v>
          </cell>
          <cell r="N160">
            <v>-1.774</v>
          </cell>
          <cell r="O160">
            <v>5.0999999999999934E-2</v>
          </cell>
          <cell r="P160">
            <v>-4.5830000000000002</v>
          </cell>
          <cell r="Q160">
            <v>-5.03</v>
          </cell>
          <cell r="R160">
            <v>2.8279999999999998</v>
          </cell>
          <cell r="S160">
            <v>-2.3540000000000001</v>
          </cell>
          <cell r="T160">
            <v>2.5470000000000002</v>
          </cell>
          <cell r="U160">
            <v>0.68299999999999983</v>
          </cell>
          <cell r="V160">
            <v>3.7039999999999997</v>
          </cell>
          <cell r="W160">
            <v>0</v>
          </cell>
          <cell r="X160">
            <v>0.51900000000000002</v>
          </cell>
          <cell r="Y160">
            <v>1.964</v>
          </cell>
          <cell r="Z160">
            <v>0.8849999999999999</v>
          </cell>
          <cell r="AA160">
            <v>2.0920000000000001</v>
          </cell>
          <cell r="AB160">
            <v>5.46</v>
          </cell>
          <cell r="AC160">
            <v>0</v>
          </cell>
          <cell r="AD160">
            <v>-2.5999999999999999E-2</v>
          </cell>
          <cell r="AE160">
            <v>-3.3000000000000002E-2</v>
          </cell>
          <cell r="AF160">
            <v>1.6000000000000004E-2</v>
          </cell>
          <cell r="AG160">
            <v>0.36299999999999999</v>
          </cell>
          <cell r="AH160">
            <v>0.32</v>
          </cell>
          <cell r="AI160">
            <v>-0.49299999999999999</v>
          </cell>
          <cell r="AJ160">
            <v>0.40200000000000002</v>
          </cell>
          <cell r="AK160">
            <v>3.8309999999999995</v>
          </cell>
          <cell r="AL160">
            <v>-0.26299999999999968</v>
          </cell>
          <cell r="AM160">
            <v>3.4769999999999999</v>
          </cell>
          <cell r="AN160">
            <v>-91.055999999999997</v>
          </cell>
          <cell r="AP160">
            <v>-66.024000000000001</v>
          </cell>
          <cell r="AQ160">
            <v>-36.039000000000001</v>
          </cell>
          <cell r="AR160">
            <v>4.782</v>
          </cell>
          <cell r="AS160">
            <v>40.415999999999997</v>
          </cell>
          <cell r="AT160">
            <v>40.415999999999997</v>
          </cell>
          <cell r="AV160">
            <v>-0.49299999999999999</v>
          </cell>
          <cell r="AW160">
            <v>0.40200000000000002</v>
          </cell>
          <cell r="AX160">
            <v>3.8309999999999995</v>
          </cell>
          <cell r="AY160">
            <v>-2.2829999999999999</v>
          </cell>
          <cell r="AZ160">
            <v>1.4570000000000001</v>
          </cell>
          <cell r="BA160">
            <v>0</v>
          </cell>
          <cell r="BB160">
            <v>-0.47099999999999997</v>
          </cell>
          <cell r="BC160">
            <v>-0.47099999999999997</v>
          </cell>
          <cell r="BD160">
            <v>-0.04</v>
          </cell>
          <cell r="BE160">
            <v>0.32800000000000001</v>
          </cell>
          <cell r="BF160">
            <v>359.39299999999997</v>
          </cell>
          <cell r="BG160">
            <v>359.39299999999997</v>
          </cell>
          <cell r="BO160">
            <v>413.43099999999998</v>
          </cell>
          <cell r="BP160">
            <v>465.8</v>
          </cell>
          <cell r="BQ160">
            <v>520.96888585358124</v>
          </cell>
          <cell r="BR160">
            <v>575.54212212841742</v>
          </cell>
          <cell r="BS160">
            <v>575.54212212841742</v>
          </cell>
          <cell r="CA160">
            <v>808.12605759237044</v>
          </cell>
          <cell r="CB160">
            <v>1062.0804851987932</v>
          </cell>
          <cell r="CC160">
            <v>1314.8373513610341</v>
          </cell>
          <cell r="CD160">
            <v>1592.9446368389154</v>
          </cell>
          <cell r="CF160" t="str">
            <v>mstag:retainedEarnings</v>
          </cell>
          <cell r="CG160">
            <v>6</v>
          </cell>
          <cell r="CH160" t="str">
            <v>ISO4217:USD</v>
          </cell>
          <cell r="CI160" t="b">
            <v>0</v>
          </cell>
          <cell r="CJ160" t="b">
            <v>0</v>
          </cell>
        </row>
        <row r="161">
          <cell r="A161" t="str">
            <v>Changes in Operating Assets</v>
          </cell>
          <cell r="E161">
            <v>0</v>
          </cell>
          <cell r="F161">
            <v>0</v>
          </cell>
          <cell r="G161">
            <v>0</v>
          </cell>
          <cell r="H161">
            <v>0</v>
          </cell>
          <cell r="I161">
            <v>0</v>
          </cell>
          <cell r="J161">
            <v>0</v>
          </cell>
          <cell r="K161">
            <v>0</v>
          </cell>
          <cell r="M161">
            <v>0</v>
          </cell>
          <cell r="N161">
            <v>-30.9</v>
          </cell>
          <cell r="O161">
            <v>0</v>
          </cell>
          <cell r="P161">
            <v>0</v>
          </cell>
          <cell r="Q161">
            <v>-30.9</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-6.6779999999999999</v>
          </cell>
          <cell r="AP161">
            <v>-6.6779999999999999</v>
          </cell>
          <cell r="AQ161">
            <v>-6.6779999999999999</v>
          </cell>
          <cell r="AR161">
            <v>-6.6779999999999999</v>
          </cell>
          <cell r="AS161">
            <v>-6.6779999999999999</v>
          </cell>
          <cell r="AT161">
            <v>-6.6779999999999999</v>
          </cell>
          <cell r="AV161">
            <v>0</v>
          </cell>
          <cell r="AW161">
            <v>0</v>
          </cell>
          <cell r="AX161">
            <v>0</v>
          </cell>
          <cell r="AY161">
            <v>0</v>
          </cell>
          <cell r="AZ161">
            <v>0</v>
          </cell>
          <cell r="BA161">
            <v>0</v>
          </cell>
          <cell r="BC161">
            <v>0</v>
          </cell>
          <cell r="BD161">
            <v>0</v>
          </cell>
          <cell r="BE161">
            <v>0</v>
          </cell>
          <cell r="BF161">
            <v>-6.6779999999999999</v>
          </cell>
          <cell r="BG161">
            <v>-6.6779999999999999</v>
          </cell>
          <cell r="BO161">
            <v>-6.6779999999999999</v>
          </cell>
          <cell r="BP161">
            <v>-6.6779999999999999</v>
          </cell>
          <cell r="BQ161">
            <v>-16.678000000000001</v>
          </cell>
          <cell r="BR161">
            <v>-26.678000000000001</v>
          </cell>
          <cell r="BS161">
            <v>-26.678000000000001</v>
          </cell>
          <cell r="CA161">
            <v>-26.678000000000001</v>
          </cell>
          <cell r="CB161">
            <v>-26.678000000000001</v>
          </cell>
          <cell r="CC161">
            <v>-26.678000000000001</v>
          </cell>
          <cell r="CD161">
            <v>-26.678000000000001</v>
          </cell>
          <cell r="CF161" t="str">
            <v>mstag:treasuryStockAndInvestmentInOwnShares</v>
          </cell>
          <cell r="CG161">
            <v>6</v>
          </cell>
          <cell r="CH161" t="str">
            <v>ISO4217:USD</v>
          </cell>
          <cell r="CI161" t="b">
            <v>1</v>
          </cell>
          <cell r="CJ161" t="b">
            <v>0</v>
          </cell>
        </row>
        <row r="162">
          <cell r="A162" t="str">
            <v>Patient account receivable</v>
          </cell>
          <cell r="E162">
            <v>-9.3360000000000003</v>
          </cell>
          <cell r="F162">
            <v>-33.908000000000001</v>
          </cell>
          <cell r="G162">
            <v>-24.206</v>
          </cell>
          <cell r="H162">
            <v>0.53099999999999881</v>
          </cell>
          <cell r="I162">
            <v>-16.218999999999998</v>
          </cell>
          <cell r="J162">
            <v>-3.0790000000000006</v>
          </cell>
          <cell r="K162">
            <v>-42.972999999999999</v>
          </cell>
          <cell r="M162">
            <v>-2.5110000000000001</v>
          </cell>
          <cell r="N162">
            <v>-6.81</v>
          </cell>
          <cell r="O162">
            <v>-33.002999999999993</v>
          </cell>
          <cell r="P162">
            <v>-10.665000000000006</v>
          </cell>
          <cell r="Q162">
            <v>-52.988999999999997</v>
          </cell>
          <cell r="R162">
            <v>-3.29</v>
          </cell>
          <cell r="S162">
            <v>9.5670000000000002</v>
          </cell>
          <cell r="T162">
            <v>-16.222000000000001</v>
          </cell>
          <cell r="U162">
            <v>-12.995999999999999</v>
          </cell>
          <cell r="V162">
            <v>-22.940999999999999</v>
          </cell>
          <cell r="W162">
            <v>0</v>
          </cell>
          <cell r="X162">
            <v>-27.683</v>
          </cell>
          <cell r="Y162">
            <v>23.317999999999998</v>
          </cell>
          <cell r="Z162">
            <v>-6.2509999999999977</v>
          </cell>
          <cell r="AA162">
            <v>-8.4830000000000005</v>
          </cell>
          <cell r="AB162">
            <v>-19.099</v>
          </cell>
          <cell r="AC162">
            <v>0</v>
          </cell>
          <cell r="AD162">
            <v>-63.86</v>
          </cell>
          <cell r="AE162">
            <v>53.176000000000002</v>
          </cell>
          <cell r="AF162">
            <v>-68.808999999999983</v>
          </cell>
          <cell r="AG162">
            <v>-71.350000000000009</v>
          </cell>
          <cell r="AH162">
            <v>-150.84299999999999</v>
          </cell>
          <cell r="AI162">
            <v>-23.161999999999999</v>
          </cell>
          <cell r="AJ162">
            <v>31.497</v>
          </cell>
          <cell r="AK162">
            <v>-20.048000000000002</v>
          </cell>
          <cell r="AL162">
            <v>-20.100999999999999</v>
          </cell>
          <cell r="AM162">
            <v>-31.814</v>
          </cell>
          <cell r="AN162">
            <v>0</v>
          </cell>
          <cell r="AP162">
            <v>0</v>
          </cell>
          <cell r="AQ162">
            <v>0</v>
          </cell>
          <cell r="AR162">
            <v>0</v>
          </cell>
          <cell r="AS162">
            <v>0</v>
          </cell>
          <cell r="AT162">
            <v>0</v>
          </cell>
          <cell r="AV162">
            <v>-23.161999999999999</v>
          </cell>
          <cell r="AW162">
            <v>31.497</v>
          </cell>
          <cell r="AX162">
            <v>-20.048000000000002</v>
          </cell>
          <cell r="AY162">
            <v>-20.100999999999999</v>
          </cell>
          <cell r="AZ162">
            <v>-31.814</v>
          </cell>
          <cell r="BA162">
            <v>0</v>
          </cell>
          <cell r="BB162">
            <v>-11.51</v>
          </cell>
          <cell r="BC162">
            <v>-11.51</v>
          </cell>
          <cell r="BD162">
            <v>-5.206999999999999</v>
          </cell>
          <cell r="BE162">
            <v>-15.667</v>
          </cell>
          <cell r="BF162">
            <v>0</v>
          </cell>
          <cell r="BG162">
            <v>0</v>
          </cell>
          <cell r="BO162">
            <v>0</v>
          </cell>
          <cell r="BP162">
            <v>0</v>
          </cell>
          <cell r="BQ162">
            <v>0</v>
          </cell>
          <cell r="BR162">
            <v>0</v>
          </cell>
          <cell r="BS162">
            <v>0</v>
          </cell>
          <cell r="CA162">
            <v>0</v>
          </cell>
          <cell r="CB162">
            <v>0</v>
          </cell>
          <cell r="CC162">
            <v>0</v>
          </cell>
          <cell r="CD162">
            <v>0</v>
          </cell>
          <cell r="CF162" t="str">
            <v>mstag:otherAccumulatedOciAndReserves</v>
          </cell>
          <cell r="CG162">
            <v>6</v>
          </cell>
          <cell r="CH162" t="str">
            <v>ISO4217:USD</v>
          </cell>
          <cell r="CI162" t="b">
            <v>0</v>
          </cell>
          <cell r="CJ162" t="b">
            <v>0</v>
          </cell>
        </row>
        <row r="163">
          <cell r="A163" t="str">
            <v>Supplies, prepaid expenses and other</v>
          </cell>
          <cell r="E163">
            <v>11.076000000000001</v>
          </cell>
          <cell r="F163">
            <v>-7.7240000000000002</v>
          </cell>
          <cell r="G163">
            <v>2.117</v>
          </cell>
          <cell r="H163">
            <v>-3.0030000000000001</v>
          </cell>
          <cell r="I163">
            <v>-8.6110000000000007</v>
          </cell>
          <cell r="J163">
            <v>-8.1009999999999991</v>
          </cell>
          <cell r="K163">
            <v>-17.597999999999999</v>
          </cell>
          <cell r="M163">
            <v>-4.5949999999999998</v>
          </cell>
          <cell r="N163">
            <v>0.60599999999999987</v>
          </cell>
          <cell r="O163">
            <v>-2.0750000000000002</v>
          </cell>
          <cell r="P163">
            <v>-9.5399999999999991</v>
          </cell>
          <cell r="Q163">
            <v>-15.603999999999999</v>
          </cell>
          <cell r="R163">
            <v>2.976</v>
          </cell>
          <cell r="S163">
            <v>3.2990000000000004</v>
          </cell>
          <cell r="T163">
            <v>3.7509999999999994</v>
          </cell>
          <cell r="U163">
            <v>-8.027000000000001</v>
          </cell>
          <cell r="V163">
            <v>1.9989999999999988</v>
          </cell>
          <cell r="W163">
            <v>0</v>
          </cell>
          <cell r="X163">
            <v>-3.4380000000000002</v>
          </cell>
          <cell r="Y163">
            <v>1.4120000000000004</v>
          </cell>
          <cell r="Z163">
            <v>-5.6180000000000003</v>
          </cell>
          <cell r="AA163">
            <v>-4.9220000000000006</v>
          </cell>
          <cell r="AB163">
            <v>-12.566000000000001</v>
          </cell>
          <cell r="AC163">
            <v>0</v>
          </cell>
          <cell r="AD163">
            <v>-0.26500000000000001</v>
          </cell>
          <cell r="AE163">
            <v>-6.0600000000000005</v>
          </cell>
          <cell r="AF163">
            <v>-2.5739999999999985</v>
          </cell>
          <cell r="AG163">
            <v>-4.8280000000000021</v>
          </cell>
          <cell r="AH163">
            <v>-13.727</v>
          </cell>
          <cell r="AI163">
            <v>0.68799999999999994</v>
          </cell>
          <cell r="AJ163">
            <v>-11.179</v>
          </cell>
          <cell r="AK163">
            <v>-7.2869999999999981</v>
          </cell>
          <cell r="AL163">
            <v>4.2289999999999992</v>
          </cell>
          <cell r="AM163">
            <v>-13.548999999999999</v>
          </cell>
          <cell r="AN163">
            <v>-8.3409999999999993</v>
          </cell>
          <cell r="AP163">
            <v>0</v>
          </cell>
          <cell r="AQ163">
            <v>0</v>
          </cell>
          <cell r="AR163">
            <v>-4.3689999999999998</v>
          </cell>
          <cell r="AS163">
            <v>-0.10299999999999999</v>
          </cell>
          <cell r="AT163">
            <v>-0.10299999999999999</v>
          </cell>
          <cell r="AV163">
            <v>0.68799999999999994</v>
          </cell>
          <cell r="AW163">
            <v>-11.179</v>
          </cell>
          <cell r="AX163">
            <v>-7.2869999999999981</v>
          </cell>
          <cell r="AY163">
            <v>4.2289999999999992</v>
          </cell>
          <cell r="AZ163">
            <v>-13.548999999999999</v>
          </cell>
          <cell r="BA163">
            <v>0</v>
          </cell>
          <cell r="BB163">
            <v>1.849</v>
          </cell>
          <cell r="BC163">
            <v>1.849</v>
          </cell>
          <cell r="BD163">
            <v>-2.4980000000000002</v>
          </cell>
          <cell r="BE163">
            <v>-10.661999999999999</v>
          </cell>
          <cell r="BF163">
            <v>15.1907</v>
          </cell>
          <cell r="BG163">
            <v>15.1907</v>
          </cell>
          <cell r="BO163">
            <v>20.491</v>
          </cell>
          <cell r="BP163">
            <v>22.724</v>
          </cell>
          <cell r="BQ163">
            <v>22.724</v>
          </cell>
          <cell r="BR163">
            <v>22.724</v>
          </cell>
          <cell r="BS163">
            <v>22.724</v>
          </cell>
          <cell r="CA163">
            <v>22.724</v>
          </cell>
          <cell r="CB163">
            <v>22.724</v>
          </cell>
          <cell r="CC163">
            <v>22.724</v>
          </cell>
          <cell r="CD163">
            <v>22.724</v>
          </cell>
          <cell r="CF163" t="str">
            <v>mstag:otherAccumulatedOciAndReserves</v>
          </cell>
          <cell r="CG163">
            <v>6</v>
          </cell>
          <cell r="CH163" t="str">
            <v>ISO4217:USD</v>
          </cell>
          <cell r="CI163" t="b">
            <v>0</v>
          </cell>
          <cell r="CJ163" t="b">
            <v>0</v>
          </cell>
        </row>
        <row r="164">
          <cell r="A164" t="str">
            <v>Accounts payable, accrued liabilities &amp; taxes</v>
          </cell>
          <cell r="E164">
            <v>-3.3220000000000001</v>
          </cell>
          <cell r="F164">
            <v>4.4610000000000003</v>
          </cell>
          <cell r="G164">
            <v>0.47199999999999998</v>
          </cell>
          <cell r="H164">
            <v>-25.352</v>
          </cell>
          <cell r="I164">
            <v>13.42</v>
          </cell>
          <cell r="J164">
            <v>-16.279999999999998</v>
          </cell>
          <cell r="K164">
            <v>-27.74</v>
          </cell>
          <cell r="M164">
            <v>-16.274999999999999</v>
          </cell>
          <cell r="N164">
            <v>-14.211000000000002</v>
          </cell>
          <cell r="O164">
            <v>20.079999999999998</v>
          </cell>
          <cell r="P164">
            <v>28.337000000000003</v>
          </cell>
          <cell r="Q164">
            <v>17.931000000000001</v>
          </cell>
          <cell r="R164">
            <v>-5.3570000000000002</v>
          </cell>
          <cell r="S164">
            <v>8.0340000000000007</v>
          </cell>
          <cell r="T164">
            <v>0.31399999999999917</v>
          </cell>
          <cell r="U164">
            <v>-29.944000000000003</v>
          </cell>
          <cell r="V164">
            <v>-26.953000000000003</v>
          </cell>
          <cell r="W164">
            <v>0</v>
          </cell>
          <cell r="X164">
            <v>30.303999999999998</v>
          </cell>
          <cell r="Y164">
            <v>-3.884999999999998</v>
          </cell>
          <cell r="Z164">
            <v>15.487999999999996</v>
          </cell>
          <cell r="AA164">
            <v>-15.906999999999996</v>
          </cell>
          <cell r="AB164">
            <v>26</v>
          </cell>
          <cell r="AC164">
            <v>0</v>
          </cell>
          <cell r="AD164">
            <v>-4.7</v>
          </cell>
          <cell r="AE164">
            <v>24.419999999999998</v>
          </cell>
          <cell r="AF164">
            <v>39.37700000000001</v>
          </cell>
          <cell r="AG164">
            <v>-24.375000000000007</v>
          </cell>
          <cell r="AH164">
            <v>34.722000000000001</v>
          </cell>
          <cell r="AI164">
            <v>-3.8010000000000002</v>
          </cell>
          <cell r="AJ164">
            <v>40.212000000000003</v>
          </cell>
          <cell r="AK164">
            <v>0.51599999999999646</v>
          </cell>
          <cell r="AL164">
            <v>-60.218000000000004</v>
          </cell>
          <cell r="AM164">
            <v>-23.291</v>
          </cell>
          <cell r="AN164">
            <v>1.2E-2</v>
          </cell>
          <cell r="AP164">
            <v>-1.0999999999999999E-2</v>
          </cell>
          <cell r="AQ164">
            <v>-8.0000000000000002E-3</v>
          </cell>
          <cell r="AR164">
            <v>-5.0000000000000001E-3</v>
          </cell>
          <cell r="AS164">
            <v>-2E-3</v>
          </cell>
          <cell r="AT164">
            <v>-2E-3</v>
          </cell>
          <cell r="AV164">
            <v>-3.8010000000000002</v>
          </cell>
          <cell r="AW164">
            <v>40.212000000000003</v>
          </cell>
          <cell r="AX164">
            <v>0.51599999999999646</v>
          </cell>
          <cell r="AY164">
            <v>-61.297999999999988</v>
          </cell>
          <cell r="AZ164">
            <v>-24.370999999999999</v>
          </cell>
          <cell r="BA164">
            <v>0</v>
          </cell>
          <cell r="BB164">
            <v>66.025000000000006</v>
          </cell>
          <cell r="BC164">
            <v>66.025000000000006</v>
          </cell>
          <cell r="BD164">
            <v>24.841999999999999</v>
          </cell>
          <cell r="BE164">
            <v>4.3990000000000009</v>
          </cell>
          <cell r="BF164">
            <v>-13.204000000000001</v>
          </cell>
          <cell r="BG164">
            <v>-13.204000000000001</v>
          </cell>
          <cell r="BO164">
            <v>-2.9999999999999997E-4</v>
          </cell>
          <cell r="BP164">
            <v>-2.9999999999999997E-4</v>
          </cell>
          <cell r="BQ164">
            <v>-2.9999999999999997E-4</v>
          </cell>
          <cell r="BR164">
            <v>-2.9999999999999997E-4</v>
          </cell>
          <cell r="BS164">
            <v>-2.9999999999999997E-4</v>
          </cell>
          <cell r="CA164">
            <v>-2.9999999999999997E-4</v>
          </cell>
          <cell r="CB164">
            <v>-2.9999999999999997E-4</v>
          </cell>
          <cell r="CC164">
            <v>-2.9999999999999997E-4</v>
          </cell>
          <cell r="CD164">
            <v>-2.9999999999999997E-4</v>
          </cell>
          <cell r="CF164" t="str">
            <v>mstag:unearnedCompensationReserve</v>
          </cell>
          <cell r="CG164">
            <v>6</v>
          </cell>
          <cell r="CH164" t="str">
            <v>ISO4217:USD</v>
          </cell>
          <cell r="CI164" t="b">
            <v>0</v>
          </cell>
          <cell r="CJ164" t="b">
            <v>0</v>
          </cell>
        </row>
        <row r="165">
          <cell r="A165" t="str">
            <v xml:space="preserve">Compliance settlement payable </v>
          </cell>
          <cell r="E165">
            <v>0</v>
          </cell>
          <cell r="F165">
            <v>0</v>
          </cell>
          <cell r="G165">
            <v>0</v>
          </cell>
          <cell r="H165">
            <v>0</v>
          </cell>
          <cell r="I165">
            <v>0</v>
          </cell>
          <cell r="J165">
            <v>0</v>
          </cell>
          <cell r="K165">
            <v>0</v>
          </cell>
          <cell r="M165">
            <v>0</v>
          </cell>
          <cell r="N165">
            <v>-30.9</v>
          </cell>
          <cell r="O165">
            <v>0</v>
          </cell>
          <cell r="P165">
            <v>0</v>
          </cell>
          <cell r="Q165">
            <v>-30.9</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1214.3049999999998</v>
          </cell>
          <cell r="AP165">
            <v>1237.4759999999999</v>
          </cell>
          <cell r="AQ165">
            <v>1271.3729999999998</v>
          </cell>
          <cell r="AR165">
            <v>1307.0109999999997</v>
          </cell>
          <cell r="AS165">
            <v>1350.5889999999999</v>
          </cell>
          <cell r="AT165">
            <v>1350.5889999999999</v>
          </cell>
          <cell r="AV165">
            <v>0</v>
          </cell>
          <cell r="AW165">
            <v>0</v>
          </cell>
          <cell r="AX165">
            <v>0</v>
          </cell>
          <cell r="AY165">
            <v>0</v>
          </cell>
          <cell r="AZ165">
            <v>0</v>
          </cell>
          <cell r="BA165">
            <v>0</v>
          </cell>
          <cell r="BB165">
            <v>0</v>
          </cell>
          <cell r="BC165">
            <v>0</v>
          </cell>
          <cell r="BD165">
            <v>0</v>
          </cell>
          <cell r="BE165">
            <v>0</v>
          </cell>
          <cell r="BF165">
            <v>1564.5767000000001</v>
          </cell>
          <cell r="BG165">
            <v>1564.5767000000001</v>
          </cell>
          <cell r="BO165">
            <v>1763.0266999999999</v>
          </cell>
          <cell r="BP165">
            <v>1698.2986999999998</v>
          </cell>
          <cell r="BQ165">
            <v>1753.0300255899017</v>
          </cell>
          <cell r="BR165">
            <v>1807.3569503957849</v>
          </cell>
          <cell r="BS165">
            <v>1807.3569503957849</v>
          </cell>
          <cell r="CA165">
            <v>2115.8640569668</v>
          </cell>
          <cell r="CB165">
            <v>2451.8155093688497</v>
          </cell>
          <cell r="CC165">
            <v>2627.6391948083769</v>
          </cell>
          <cell r="CD165">
            <v>2905.7464802862582</v>
          </cell>
        </row>
        <row r="166">
          <cell r="A166" t="str">
            <v>Other</v>
          </cell>
          <cell r="E166">
            <v>-8.2550000000000008</v>
          </cell>
          <cell r="F166">
            <v>-9.8279999999999994</v>
          </cell>
          <cell r="G166">
            <v>-17.870999999999999</v>
          </cell>
          <cell r="H166">
            <v>14.184999999999999</v>
          </cell>
          <cell r="I166">
            <v>-8.5670000000000002</v>
          </cell>
          <cell r="J166">
            <v>14.68</v>
          </cell>
          <cell r="K166">
            <v>2.427</v>
          </cell>
          <cell r="M166">
            <v>-6.3090000000000002</v>
          </cell>
          <cell r="N166">
            <v>-0.32599999999999962</v>
          </cell>
          <cell r="O166">
            <v>-9.097999999999999</v>
          </cell>
          <cell r="P166">
            <v>0.83299999999999841</v>
          </cell>
          <cell r="Q166">
            <v>-14.9</v>
          </cell>
          <cell r="R166">
            <v>-4.968</v>
          </cell>
          <cell r="S166">
            <v>7.1040000000000001</v>
          </cell>
          <cell r="T166">
            <v>-12.535</v>
          </cell>
          <cell r="U166">
            <v>19.132999999999999</v>
          </cell>
          <cell r="V166">
            <v>8.7339999999999982</v>
          </cell>
          <cell r="W166">
            <v>0</v>
          </cell>
          <cell r="X166">
            <v>-7.2640000000000002</v>
          </cell>
          <cell r="Y166">
            <v>10.127000000000001</v>
          </cell>
          <cell r="Z166">
            <v>7.1070000000000002</v>
          </cell>
          <cell r="AA166">
            <v>17.097999999999999</v>
          </cell>
          <cell r="AB166">
            <v>27.068000000000001</v>
          </cell>
          <cell r="AC166">
            <v>0</v>
          </cell>
          <cell r="AD166">
            <v>10.204000000000001</v>
          </cell>
          <cell r="AE166">
            <v>5.4469999999999992</v>
          </cell>
          <cell r="AF166">
            <v>10.343</v>
          </cell>
          <cell r="AG166">
            <v>7.088000000000001</v>
          </cell>
          <cell r="AH166">
            <v>33.082000000000001</v>
          </cell>
          <cell r="AI166">
            <v>8.9469999999999992</v>
          </cell>
          <cell r="AJ166">
            <v>5.5420000000000016</v>
          </cell>
          <cell r="AK166">
            <v>6.8140000000000001</v>
          </cell>
          <cell r="AL166">
            <v>14.703999999999997</v>
          </cell>
          <cell r="AM166">
            <v>36.006999999999998</v>
          </cell>
          <cell r="AN166">
            <v>2809.4960000000001</v>
          </cell>
          <cell r="AP166">
            <v>2921.7200000000003</v>
          </cell>
          <cell r="AQ166">
            <v>2887.0360000000001</v>
          </cell>
          <cell r="AR166">
            <v>3187.7249999999999</v>
          </cell>
          <cell r="AS166">
            <v>3350.2110000000002</v>
          </cell>
          <cell r="AT166">
            <v>3350.2110000000002</v>
          </cell>
          <cell r="AV166">
            <v>8.9469999999999992</v>
          </cell>
          <cell r="AW166">
            <v>5.5420000000000016</v>
          </cell>
          <cell r="AX166">
            <v>6.8140000000000001</v>
          </cell>
          <cell r="AY166">
            <v>14.703999999999997</v>
          </cell>
          <cell r="AZ166">
            <v>36.006999999999998</v>
          </cell>
          <cell r="BA166">
            <v>0</v>
          </cell>
          <cell r="BB166">
            <v>8.0129999999999999</v>
          </cell>
          <cell r="BC166">
            <v>8.0129999999999999</v>
          </cell>
          <cell r="BD166">
            <v>19.996000000000002</v>
          </cell>
          <cell r="BE166">
            <v>-4.6070000000000011</v>
          </cell>
          <cell r="BF166">
            <v>3934.2176999999997</v>
          </cell>
          <cell r="BG166">
            <v>3934.2176999999997</v>
          </cell>
          <cell r="BO166">
            <v>4049.2886999999996</v>
          </cell>
          <cell r="BP166">
            <v>4178.6597000000002</v>
          </cell>
          <cell r="BQ166">
            <v>4315.4840864430898</v>
          </cell>
          <cell r="BR166">
            <v>4372.2246427934515</v>
          </cell>
          <cell r="BS166">
            <v>4372.2246427934515</v>
          </cell>
          <cell r="CA166">
            <v>4774.4191567075441</v>
          </cell>
          <cell r="CB166">
            <v>5153.408473579826</v>
          </cell>
          <cell r="CC166">
            <v>5972.644240979942</v>
          </cell>
          <cell r="CD166">
            <v>6352.4272886607068</v>
          </cell>
        </row>
        <row r="167">
          <cell r="A167" t="str">
            <v>Net Cash from Operating Activities</v>
          </cell>
          <cell r="E167">
            <v>46.892999999999972</v>
          </cell>
          <cell r="F167">
            <v>15.719000000000083</v>
          </cell>
          <cell r="G167">
            <v>-19.129999999999988</v>
          </cell>
          <cell r="H167">
            <v>8.1950000000000216</v>
          </cell>
          <cell r="I167">
            <v>-7.1789999999999701</v>
          </cell>
          <cell r="J167">
            <v>-7.1940000000000666</v>
          </cell>
          <cell r="K167">
            <v>0</v>
          </cell>
          <cell r="M167">
            <v>-4.9449999999999603</v>
          </cell>
          <cell r="N167">
            <v>-29.454000000000043</v>
          </cell>
          <cell r="O167">
            <v>2.4100000000000037</v>
          </cell>
          <cell r="P167">
            <v>54.974000000000025</v>
          </cell>
          <cell r="Q167">
            <v>22.984999999999943</v>
          </cell>
          <cell r="R167">
            <v>31.555000000000003</v>
          </cell>
          <cell r="S167">
            <v>63.972999999999999</v>
          </cell>
          <cell r="T167">
            <v>18.538</v>
          </cell>
          <cell r="U167">
            <v>40.321000000000026</v>
          </cell>
          <cell r="V167">
            <v>154.38700000000003</v>
          </cell>
          <cell r="W167">
            <v>0</v>
          </cell>
          <cell r="X167">
            <v>48.859000000000002</v>
          </cell>
          <cell r="Y167">
            <v>86.895999999999972</v>
          </cell>
          <cell r="Z167">
            <v>61.101000000000013</v>
          </cell>
          <cell r="AA167">
            <v>88.643000000000001</v>
          </cell>
          <cell r="AB167">
            <v>285.49900000000002</v>
          </cell>
          <cell r="AC167">
            <v>0</v>
          </cell>
          <cell r="AD167">
            <v>8.5100000000000726</v>
          </cell>
          <cell r="AE167">
            <v>142.78100000000003</v>
          </cell>
          <cell r="AF167">
            <v>47.065000000000126</v>
          </cell>
          <cell r="AG167">
            <v>45.347999999999971</v>
          </cell>
          <cell r="AH167">
            <v>243.70400000000055</v>
          </cell>
          <cell r="AI167">
            <v>61.731000000000009</v>
          </cell>
          <cell r="AJ167">
            <v>144.25399999999999</v>
          </cell>
          <cell r="AK167">
            <v>57.188999999999979</v>
          </cell>
          <cell r="AL167">
            <v>62.575999999999979</v>
          </cell>
          <cell r="AM167">
            <v>325.83600000000001</v>
          </cell>
          <cell r="AN167">
            <v>0</v>
          </cell>
          <cell r="AP167">
            <v>0</v>
          </cell>
          <cell r="AQ167">
            <v>0</v>
          </cell>
          <cell r="AR167">
            <v>0</v>
          </cell>
          <cell r="AS167">
            <v>0</v>
          </cell>
          <cell r="AT167">
            <v>0</v>
          </cell>
          <cell r="AV167">
            <v>61.731000000000009</v>
          </cell>
          <cell r="AW167">
            <v>144.25399999999999</v>
          </cell>
          <cell r="AX167">
            <v>57.188999999999979</v>
          </cell>
          <cell r="AY167">
            <v>62.575999999999851</v>
          </cell>
          <cell r="AZ167">
            <v>325.74999999999994</v>
          </cell>
          <cell r="BA167">
            <v>0</v>
          </cell>
          <cell r="BB167">
            <v>148.7092999999999</v>
          </cell>
          <cell r="BC167">
            <v>0</v>
          </cell>
          <cell r="BD167">
            <v>0</v>
          </cell>
          <cell r="BE167">
            <v>0</v>
          </cell>
          <cell r="BF167">
            <v>75.286000000000016</v>
          </cell>
        </row>
        <row r="168">
          <cell r="A168" t="str">
            <v>Proceeds from sale of equipment</v>
          </cell>
          <cell r="E168">
            <v>18.75</v>
          </cell>
          <cell r="F168">
            <v>1.5309999999999999</v>
          </cell>
          <cell r="G168">
            <v>2.1999999999999999E-2</v>
          </cell>
          <cell r="H168">
            <v>3.9E-2</v>
          </cell>
          <cell r="I168">
            <v>5.2000000000000011E-2</v>
          </cell>
          <cell r="J168">
            <v>7.9999999999999793E-3</v>
          </cell>
          <cell r="K168">
            <v>0.121</v>
          </cell>
          <cell r="M168">
            <v>7.0000000000000001E-3</v>
          </cell>
          <cell r="N168">
            <v>5.5E-2</v>
          </cell>
          <cell r="O168">
            <v>2.3000000000000007E-2</v>
          </cell>
          <cell r="P168">
            <v>2.1999999999999992E-2</v>
          </cell>
          <cell r="Q168">
            <v>0.107</v>
          </cell>
          <cell r="R168">
            <v>5.2999999999999999E-2</v>
          </cell>
          <cell r="S168">
            <v>0</v>
          </cell>
          <cell r="T168">
            <v>0.11500000000000002</v>
          </cell>
          <cell r="U168">
            <v>0.25499999999999995</v>
          </cell>
          <cell r="V168">
            <v>0.42299999999999993</v>
          </cell>
          <cell r="W168">
            <v>0</v>
          </cell>
          <cell r="X168">
            <v>1.2E-2</v>
          </cell>
          <cell r="Y168">
            <v>0.10200000000000001</v>
          </cell>
          <cell r="Z168">
            <v>0.32599999999999996</v>
          </cell>
          <cell r="AA168">
            <v>3.3000000000000029E-2</v>
          </cell>
          <cell r="AB168">
            <v>0.47299999999999998</v>
          </cell>
          <cell r="AC168">
            <v>0</v>
          </cell>
          <cell r="AD168">
            <v>3.0000000000000001E-3</v>
          </cell>
          <cell r="AE168">
            <v>0.247</v>
          </cell>
          <cell r="AF168">
            <v>0.78600000000000003</v>
          </cell>
          <cell r="AG168">
            <v>3.6000000000000032E-2</v>
          </cell>
          <cell r="AH168">
            <v>1.0720000000000001</v>
          </cell>
          <cell r="AI168">
            <v>0.83899999999999997</v>
          </cell>
          <cell r="AJ168">
            <v>0.13700000000000001</v>
          </cell>
          <cell r="AK168">
            <v>7.9379999999999988</v>
          </cell>
          <cell r="AL168">
            <v>-8.1239999999999988</v>
          </cell>
          <cell r="AM168">
            <v>0.79</v>
          </cell>
          <cell r="AN168">
            <v>0</v>
          </cell>
          <cell r="AP168">
            <v>0</v>
          </cell>
          <cell r="AQ168">
            <v>0</v>
          </cell>
          <cell r="AR168">
            <v>0</v>
          </cell>
          <cell r="AS168">
            <v>0</v>
          </cell>
          <cell r="AT168">
            <v>0</v>
          </cell>
          <cell r="AV168">
            <v>0.83899999999999997</v>
          </cell>
          <cell r="AW168">
            <v>0.13700000000000001</v>
          </cell>
          <cell r="AX168">
            <v>7.9379999999999988</v>
          </cell>
          <cell r="AY168">
            <v>-8.1239999999999988</v>
          </cell>
          <cell r="AZ168">
            <v>0.79</v>
          </cell>
          <cell r="BA168">
            <v>0</v>
          </cell>
          <cell r="BC168">
            <v>2.1309999999999998</v>
          </cell>
          <cell r="BD168">
            <v>2.4000000000000021E-2</v>
          </cell>
          <cell r="BE168">
            <v>-2.1549999999999998</v>
          </cell>
          <cell r="BF168">
            <v>0</v>
          </cell>
          <cell r="BG168">
            <v>0</v>
          </cell>
          <cell r="BO168">
            <v>0</v>
          </cell>
          <cell r="BP168">
            <v>0</v>
          </cell>
          <cell r="BQ168">
            <v>0</v>
          </cell>
          <cell r="BR168">
            <v>0</v>
          </cell>
          <cell r="BS168">
            <v>0</v>
          </cell>
          <cell r="CA168">
            <v>0</v>
          </cell>
          <cell r="CB168">
            <v>0</v>
          </cell>
          <cell r="CC168">
            <v>0</v>
          </cell>
          <cell r="CD168">
            <v>15.319000000000415</v>
          </cell>
        </row>
        <row r="169">
          <cell r="A169" t="str">
            <v>Cash Flow from Investing Activities:</v>
          </cell>
          <cell r="J169">
            <v>0</v>
          </cell>
          <cell r="K169">
            <v>0</v>
          </cell>
          <cell r="M169">
            <v>0</v>
          </cell>
          <cell r="N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4.0880000000000001</v>
          </cell>
          <cell r="AH169">
            <v>4.0880000000000001</v>
          </cell>
          <cell r="AI169">
            <v>0</v>
          </cell>
          <cell r="AJ169">
            <v>0</v>
          </cell>
          <cell r="AK169">
            <v>0</v>
          </cell>
          <cell r="AL169">
            <v>7.85</v>
          </cell>
          <cell r="AM169">
            <v>7.85</v>
          </cell>
          <cell r="AV169">
            <v>0</v>
          </cell>
          <cell r="AW169">
            <v>0</v>
          </cell>
          <cell r="AX169">
            <v>0</v>
          </cell>
          <cell r="AY169">
            <v>7.85</v>
          </cell>
          <cell r="AZ169">
            <v>7.85</v>
          </cell>
          <cell r="BA169">
            <v>0</v>
          </cell>
          <cell r="BC169">
            <v>51.860999999999997</v>
          </cell>
          <cell r="BD169">
            <v>0</v>
          </cell>
          <cell r="BE169">
            <v>0.13700000000000045</v>
          </cell>
        </row>
        <row r="170">
          <cell r="A170" t="str">
            <v>Acquisitions of facilities</v>
          </cell>
          <cell r="C170">
            <v>1995</v>
          </cell>
          <cell r="D170">
            <v>1996</v>
          </cell>
          <cell r="E170">
            <v>-36.295999999999999</v>
          </cell>
          <cell r="F170">
            <v>-172.59700000000001</v>
          </cell>
          <cell r="G170">
            <v>-44.347000000000001</v>
          </cell>
          <cell r="H170">
            <v>0</v>
          </cell>
          <cell r="I170">
            <v>-5.7950000000000017</v>
          </cell>
          <cell r="J170">
            <v>-12.556999999999995</v>
          </cell>
          <cell r="K170">
            <v>-62.698999999999998</v>
          </cell>
          <cell r="M170">
            <v>-21.391999999999999</v>
          </cell>
          <cell r="N170">
            <v>-19.247000000000003</v>
          </cell>
          <cell r="O170">
            <v>-35.015000000000001</v>
          </cell>
          <cell r="P170">
            <v>-72.562000000000012</v>
          </cell>
          <cell r="Q170">
            <v>-148.21600000000001</v>
          </cell>
          <cell r="R170">
            <v>0</v>
          </cell>
          <cell r="S170">
            <v>-50.063000000000002</v>
          </cell>
          <cell r="T170">
            <v>-5.0030000000000001</v>
          </cell>
          <cell r="U170">
            <v>-95.874999999999986</v>
          </cell>
          <cell r="V170">
            <v>-150.94099999999997</v>
          </cell>
          <cell r="W170">
            <v>0</v>
          </cell>
          <cell r="X170" t="str">
            <v>1Q02</v>
          </cell>
          <cell r="Y170" t="str">
            <v>2Q02</v>
          </cell>
          <cell r="Z170" t="str">
            <v>3Q02</v>
          </cell>
          <cell r="AA170" t="str">
            <v>4Q02</v>
          </cell>
          <cell r="AB170">
            <v>2002</v>
          </cell>
          <cell r="AC170">
            <v>0</v>
          </cell>
          <cell r="AD170" t="str">
            <v>1Q03</v>
          </cell>
          <cell r="AE170" t="str">
            <v>2Q03</v>
          </cell>
          <cell r="AF170" t="str">
            <v>3Q03</v>
          </cell>
          <cell r="AG170" t="str">
            <v>4Q03</v>
          </cell>
          <cell r="AH170">
            <v>2003</v>
          </cell>
          <cell r="AI170" t="str">
            <v>1Q04</v>
          </cell>
          <cell r="AJ170" t="str">
            <v>2Q04</v>
          </cell>
          <cell r="AK170" t="str">
            <v>3Q04</v>
          </cell>
          <cell r="AL170" t="str">
            <v>4Q04</v>
          </cell>
          <cell r="AM170">
            <v>2004</v>
          </cell>
          <cell r="AN170">
            <v>2002</v>
          </cell>
          <cell r="AO170">
            <v>2003</v>
          </cell>
          <cell r="AP170" t="str">
            <v>1Q03</v>
          </cell>
          <cell r="AQ170" t="str">
            <v>2Q03</v>
          </cell>
          <cell r="AR170" t="str">
            <v>3Q03</v>
          </cell>
          <cell r="AS170" t="str">
            <v>4Q03</v>
          </cell>
          <cell r="AT170">
            <v>2003</v>
          </cell>
          <cell r="AV170">
            <v>-3.9860000000000002</v>
          </cell>
          <cell r="AW170">
            <v>-1.3039999999999998</v>
          </cell>
          <cell r="AX170">
            <v>-126.52499999999999</v>
          </cell>
          <cell r="AY170">
            <v>-1.2179999999999951</v>
          </cell>
          <cell r="AZ170">
            <v>-133.03299999999999</v>
          </cell>
          <cell r="BA170">
            <v>0</v>
          </cell>
          <cell r="BB170">
            <v>-24.853999999999999</v>
          </cell>
          <cell r="BC170" t="str">
            <v>1Q05</v>
          </cell>
          <cell r="BD170" t="str">
            <v>2Q05</v>
          </cell>
          <cell r="BE170" t="str">
            <v>3Q05</v>
          </cell>
          <cell r="BF170">
            <v>-97.425999999999974</v>
          </cell>
        </row>
        <row r="171">
          <cell r="A171" t="str">
            <v>Purchases of property and equipment</v>
          </cell>
          <cell r="C171">
            <v>1995</v>
          </cell>
          <cell r="D171">
            <v>1996</v>
          </cell>
          <cell r="E171">
            <v>-48.826000000000001</v>
          </cell>
          <cell r="F171">
            <v>-52.88</v>
          </cell>
          <cell r="G171">
            <v>-19.215</v>
          </cell>
          <cell r="H171">
            <v>-18.697999999999997</v>
          </cell>
          <cell r="I171">
            <v>-19.455000000000002</v>
          </cell>
          <cell r="J171">
            <v>-19.887000000000004</v>
          </cell>
          <cell r="K171">
            <v>-77.254999999999995</v>
          </cell>
          <cell r="M171">
            <v>-12.002000000000001</v>
          </cell>
          <cell r="N171">
            <v>-12.004</v>
          </cell>
          <cell r="O171">
            <v>-12.741999999999999</v>
          </cell>
          <cell r="P171">
            <v>-26.257000000000005</v>
          </cell>
          <cell r="Q171">
            <v>-63.005000000000003</v>
          </cell>
          <cell r="R171">
            <v>-18.577000000000002</v>
          </cell>
          <cell r="S171">
            <v>-20.478999999999996</v>
          </cell>
          <cell r="T171">
            <v>-25.707000000000004</v>
          </cell>
          <cell r="U171">
            <v>-18.468999999999991</v>
          </cell>
          <cell r="V171">
            <v>-83.231999999999999</v>
          </cell>
          <cell r="W171">
            <v>0</v>
          </cell>
          <cell r="X171">
            <v>-18.411000000000001</v>
          </cell>
          <cell r="Y171">
            <v>-32.481000000000002</v>
          </cell>
          <cell r="Z171">
            <v>-30.7</v>
          </cell>
          <cell r="AA171">
            <v>-22.382999999999996</v>
          </cell>
          <cell r="AB171">
            <v>-103.97499999999999</v>
          </cell>
          <cell r="AC171">
            <v>0</v>
          </cell>
          <cell r="AD171">
            <v>-32.261000000000003</v>
          </cell>
          <cell r="AE171">
            <v>-34.089999999999996</v>
          </cell>
          <cell r="AF171">
            <v>-34.558000000000014</v>
          </cell>
          <cell r="AG171">
            <v>-45.469999999999963</v>
          </cell>
          <cell r="AH171">
            <v>-146.37899999999999</v>
          </cell>
          <cell r="AI171">
            <v>-39.896999999999998</v>
          </cell>
          <cell r="AJ171">
            <v>-43.246000000000002</v>
          </cell>
          <cell r="AK171">
            <v>-42.05899999999999</v>
          </cell>
          <cell r="AL171">
            <v>-39.083999999999996</v>
          </cell>
          <cell r="AM171">
            <v>-164.286</v>
          </cell>
          <cell r="AN171">
            <v>2002</v>
          </cell>
          <cell r="AO171">
            <v>2003</v>
          </cell>
          <cell r="AP171" t="str">
            <v>1Q03</v>
          </cell>
          <cell r="AQ171" t="str">
            <v>2Q03</v>
          </cell>
          <cell r="AR171" t="str">
            <v>3Q03</v>
          </cell>
          <cell r="AS171" t="str">
            <v>4Q03</v>
          </cell>
          <cell r="AT171">
            <v>2003</v>
          </cell>
          <cell r="AV171">
            <v>-39.896999999999998</v>
          </cell>
          <cell r="AW171">
            <v>-43.246000000000002</v>
          </cell>
          <cell r="AX171">
            <v>-42.05899999999999</v>
          </cell>
          <cell r="AY171">
            <v>-39.083999999999996</v>
          </cell>
          <cell r="AZ171">
            <v>-164.286</v>
          </cell>
          <cell r="BA171">
            <v>0</v>
          </cell>
          <cell r="BB171">
            <v>-33.165999999999997</v>
          </cell>
          <cell r="BC171">
            <v>-33.165999999999997</v>
          </cell>
          <cell r="BD171">
            <v>-43.569000000000003</v>
          </cell>
          <cell r="BE171">
            <v>-53.935999999999993</v>
          </cell>
          <cell r="BF171" t="str">
            <v>4Q05</v>
          </cell>
          <cell r="BG171">
            <v>2005</v>
          </cell>
          <cell r="BO171" t="str">
            <v>1Q06</v>
          </cell>
          <cell r="BP171" t="str">
            <v>2Q06</v>
          </cell>
          <cell r="BQ171" t="str">
            <v>3Q06E</v>
          </cell>
          <cell r="BR171" t="str">
            <v>4Q06E</v>
          </cell>
          <cell r="BS171" t="str">
            <v>2006E</v>
          </cell>
          <cell r="CA171" t="str">
            <v>2007E</v>
          </cell>
          <cell r="CB171" t="str">
            <v>2008E</v>
          </cell>
          <cell r="CC171" t="str">
            <v>2009E</v>
          </cell>
          <cell r="CD171" t="str">
            <v>2010E</v>
          </cell>
        </row>
        <row r="172">
          <cell r="A172" t="str">
            <v>Proceeds from sale of equipment</v>
          </cell>
          <cell r="E172">
            <v>18.75</v>
          </cell>
          <cell r="F172">
            <v>1.5309999999999999</v>
          </cell>
          <cell r="G172">
            <v>2.1999999999999999E-2</v>
          </cell>
          <cell r="H172">
            <v>3.9E-2</v>
          </cell>
          <cell r="I172">
            <v>5.2000000000000011E-2</v>
          </cell>
          <cell r="J172">
            <v>7.9999999999999793E-3</v>
          </cell>
          <cell r="K172">
            <v>0.121</v>
          </cell>
          <cell r="M172">
            <v>7.0000000000000001E-3</v>
          </cell>
          <cell r="N172">
            <v>5.5E-2</v>
          </cell>
          <cell r="O172">
            <v>2.3000000000000007E-2</v>
          </cell>
          <cell r="P172">
            <v>2.1999999999999992E-2</v>
          </cell>
          <cell r="Q172">
            <v>0.107</v>
          </cell>
          <cell r="R172">
            <v>5.2999999999999999E-2</v>
          </cell>
          <cell r="S172">
            <v>0</v>
          </cell>
          <cell r="T172">
            <v>0.11500000000000002</v>
          </cell>
          <cell r="U172">
            <v>0.25499999999999995</v>
          </cell>
          <cell r="V172">
            <v>0.42299999999999993</v>
          </cell>
          <cell r="W172">
            <v>0</v>
          </cell>
          <cell r="X172">
            <v>1.2E-2</v>
          </cell>
          <cell r="Y172">
            <v>0.10200000000000001</v>
          </cell>
          <cell r="Z172">
            <v>0.32599999999999996</v>
          </cell>
          <cell r="AA172">
            <v>3.3000000000000029E-2</v>
          </cell>
          <cell r="AB172">
            <v>0.47299999999999998</v>
          </cell>
          <cell r="AC172">
            <v>0</v>
          </cell>
          <cell r="AD172">
            <v>33.539000000000065</v>
          </cell>
          <cell r="AE172">
            <v>30.616000000000042</v>
          </cell>
          <cell r="AF172">
            <v>31.683000000000082</v>
          </cell>
          <cell r="AG172">
            <v>35.634000000000007</v>
          </cell>
          <cell r="AH172">
            <v>131.47200000000052</v>
          </cell>
          <cell r="AI172">
            <v>40.725999999999999</v>
          </cell>
          <cell r="AJ172">
            <v>38.439000000000007</v>
          </cell>
          <cell r="AK172">
            <v>32.039000000000016</v>
          </cell>
          <cell r="AL172">
            <v>40.229000000000013</v>
          </cell>
          <cell r="AM172">
            <v>151.43300000000005</v>
          </cell>
          <cell r="AV172">
            <v>0.83899999999999997</v>
          </cell>
          <cell r="AW172">
            <v>0.13700000000000001</v>
          </cell>
          <cell r="AX172">
            <v>7.9379999999999988</v>
          </cell>
          <cell r="AY172">
            <v>-8.1239999999999988</v>
          </cell>
          <cell r="AZ172">
            <v>0.79</v>
          </cell>
          <cell r="BA172">
            <v>8.8817841970012523E-16</v>
          </cell>
          <cell r="BB172">
            <v>2.1309999999999998</v>
          </cell>
          <cell r="BC172">
            <v>35.987999999999978</v>
          </cell>
          <cell r="BD172">
            <v>40.87700000000001</v>
          </cell>
          <cell r="BE172">
            <v>42.886000000000003</v>
          </cell>
          <cell r="BF172">
            <v>2.3250000000000006</v>
          </cell>
        </row>
        <row r="173">
          <cell r="A173" t="str">
            <v>Disposition of a facility</v>
          </cell>
          <cell r="E173">
            <v>-32.173000000000023</v>
          </cell>
          <cell r="F173">
            <v>-183.28999999999991</v>
          </cell>
          <cell r="G173">
            <v>1.6480000000000157</v>
          </cell>
          <cell r="H173">
            <v>-1.8429999999999773</v>
          </cell>
          <cell r="I173">
            <v>-4.426999999999973</v>
          </cell>
          <cell r="J173">
            <v>0</v>
          </cell>
          <cell r="K173">
            <v>0</v>
          </cell>
          <cell r="M173">
            <v>0</v>
          </cell>
          <cell r="N173">
            <v>0</v>
          </cell>
          <cell r="O173">
            <v>1.2580000000000005</v>
          </cell>
          <cell r="P173">
            <v>7.2120000000000237</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4.0880000000000001</v>
          </cell>
          <cell r="AH173">
            <v>4.0880000000000001</v>
          </cell>
          <cell r="AI173">
            <v>0</v>
          </cell>
          <cell r="AJ173">
            <v>0</v>
          </cell>
          <cell r="AK173">
            <v>0</v>
          </cell>
          <cell r="AL173">
            <v>7.85</v>
          </cell>
          <cell r="AM173">
            <v>7.85</v>
          </cell>
          <cell r="AV173">
            <v>0</v>
          </cell>
          <cell r="AW173">
            <v>0</v>
          </cell>
          <cell r="AX173">
            <v>0</v>
          </cell>
          <cell r="AY173">
            <v>7.85</v>
          </cell>
          <cell r="AZ173">
            <v>7.85</v>
          </cell>
          <cell r="BA173">
            <v>0</v>
          </cell>
          <cell r="BB173">
            <v>51.860999999999997</v>
          </cell>
          <cell r="BC173">
            <v>51.860999999999997</v>
          </cell>
          <cell r="BD173">
            <v>0</v>
          </cell>
          <cell r="BE173">
            <v>0.13700000000000045</v>
          </cell>
          <cell r="BF173">
            <v>48.142000000000017</v>
          </cell>
          <cell r="BG173">
            <v>167.893</v>
          </cell>
          <cell r="BO173">
            <v>54.037999999999762</v>
          </cell>
          <cell r="BP173">
            <v>52.369000000000078</v>
          </cell>
          <cell r="BQ173">
            <v>55.168885853581244</v>
          </cell>
          <cell r="BR173">
            <v>54.573236274836155</v>
          </cell>
          <cell r="BS173">
            <v>216.14912212841725</v>
          </cell>
          <cell r="CA173">
            <v>232.58393546395308</v>
          </cell>
          <cell r="CB173">
            <v>253.95442760642274</v>
          </cell>
          <cell r="CC173">
            <v>252.75686616224075</v>
          </cell>
          <cell r="CD173">
            <v>278.10728547788119</v>
          </cell>
          <cell r="CF173" t="str">
            <v>mstag:netIncomeReported</v>
          </cell>
          <cell r="CG173">
            <v>6</v>
          </cell>
          <cell r="CH173" t="str">
            <v>ISO4217:USD</v>
          </cell>
          <cell r="CI173" t="b">
            <v>0</v>
          </cell>
          <cell r="CJ173" t="b">
            <v>0</v>
          </cell>
        </row>
        <row r="174">
          <cell r="A174" t="str">
            <v>Increase in other assets</v>
          </cell>
          <cell r="E174">
            <v>-10.279</v>
          </cell>
          <cell r="F174">
            <v>-12.606999999999999</v>
          </cell>
          <cell r="G174">
            <v>-2.6030000000000002</v>
          </cell>
          <cell r="H174">
            <v>-3.2429999999999999</v>
          </cell>
          <cell r="I174">
            <v>-4.0839999999999996</v>
          </cell>
          <cell r="J174">
            <v>-5.7780000000000005</v>
          </cell>
          <cell r="K174">
            <v>-15.708</v>
          </cell>
          <cell r="M174">
            <v>-5.0359999999999996</v>
          </cell>
          <cell r="N174">
            <v>-4.6420000000000012</v>
          </cell>
          <cell r="O174">
            <v>-7.0829999999999984</v>
          </cell>
          <cell r="P174">
            <v>-16.565999999999999</v>
          </cell>
          <cell r="Q174">
            <v>-33.326999999999998</v>
          </cell>
          <cell r="R174">
            <v>-6.2050000000000001</v>
          </cell>
          <cell r="S174">
            <v>-9.1929999999999996</v>
          </cell>
          <cell r="T174">
            <v>-9.859</v>
          </cell>
          <cell r="U174">
            <v>-6.1040000000000028</v>
          </cell>
          <cell r="V174">
            <v>-31.361000000000001</v>
          </cell>
          <cell r="W174">
            <v>0</v>
          </cell>
          <cell r="X174">
            <v>-7.1669999999999998</v>
          </cell>
          <cell r="Y174">
            <v>-7.593</v>
          </cell>
          <cell r="Z174">
            <v>-8.6390000000000011</v>
          </cell>
          <cell r="AA174">
            <v>-8.1699999999999982</v>
          </cell>
          <cell r="AB174">
            <v>-31.568999999999999</v>
          </cell>
          <cell r="AC174">
            <v>0</v>
          </cell>
          <cell r="AD174">
            <v>-7.4279999999999999</v>
          </cell>
          <cell r="AE174">
            <v>-6.2120000000000006</v>
          </cell>
          <cell r="AF174">
            <v>-7.5700000000000012</v>
          </cell>
          <cell r="AG174">
            <v>-7.7689999999999992</v>
          </cell>
          <cell r="AH174">
            <v>-28.978999999999999</v>
          </cell>
          <cell r="AI174">
            <v>-7.4080000000000004</v>
          </cell>
          <cell r="AJ174">
            <v>-7.444</v>
          </cell>
          <cell r="AK174">
            <v>-8.7240000000000002</v>
          </cell>
          <cell r="AL174">
            <v>-6.2240000000000011</v>
          </cell>
          <cell r="AM174">
            <v>-29.8</v>
          </cell>
          <cell r="AV174">
            <v>-7.4080000000000004</v>
          </cell>
          <cell r="AW174">
            <v>-7.444</v>
          </cell>
          <cell r="AX174">
            <v>-8.7240000000000002</v>
          </cell>
          <cell r="AY174">
            <v>-6.2240000000000011</v>
          </cell>
          <cell r="AZ174">
            <v>-29.8</v>
          </cell>
          <cell r="BA174">
            <v>0</v>
          </cell>
          <cell r="BB174">
            <v>-7.2370000000000001</v>
          </cell>
          <cell r="BC174">
            <v>40.887</v>
          </cell>
          <cell r="BD174">
            <v>40.492999999999995</v>
          </cell>
          <cell r="BE174">
            <v>40.24</v>
          </cell>
          <cell r="BF174">
            <v>-5.0109999999999992</v>
          </cell>
        </row>
        <row r="175">
          <cell r="A175" t="str">
            <v>Net Cash from Investing Activities</v>
          </cell>
          <cell r="E175">
            <v>-76.650999999999996</v>
          </cell>
          <cell r="F175">
            <v>-236.553</v>
          </cell>
          <cell r="G175">
            <v>-66.143000000000001</v>
          </cell>
          <cell r="H175">
            <v>-21.901999999999994</v>
          </cell>
          <cell r="I175">
            <v>-29.282000000000004</v>
          </cell>
          <cell r="J175">
            <v>-38.213999999999999</v>
          </cell>
          <cell r="K175">
            <v>-155.541</v>
          </cell>
          <cell r="M175">
            <v>-38.423000000000002</v>
          </cell>
          <cell r="N175">
            <v>-35.838000000000008</v>
          </cell>
          <cell r="O175">
            <v>-54.816999999999993</v>
          </cell>
          <cell r="P175">
            <v>-115.36300000000001</v>
          </cell>
          <cell r="Q175">
            <v>-244.441</v>
          </cell>
          <cell r="R175">
            <v>-24.728999999999999</v>
          </cell>
          <cell r="S175">
            <v>-79.734999999999999</v>
          </cell>
          <cell r="T175">
            <v>-40.454000000000008</v>
          </cell>
          <cell r="U175">
            <v>-120.19299999999997</v>
          </cell>
          <cell r="V175">
            <v>-265.11099999999999</v>
          </cell>
          <cell r="W175">
            <v>0</v>
          </cell>
          <cell r="X175">
            <v>-81.671999999999997</v>
          </cell>
          <cell r="Y175">
            <v>-53.988</v>
          </cell>
          <cell r="Z175">
            <v>-96.583999999999989</v>
          </cell>
          <cell r="AA175">
            <v>-58.896000000000001</v>
          </cell>
          <cell r="AB175">
            <v>-291.14</v>
          </cell>
          <cell r="AC175">
            <v>0</v>
          </cell>
          <cell r="AD175">
            <v>0</v>
          </cell>
          <cell r="AE175">
            <v>0</v>
          </cell>
          <cell r="AF175">
            <v>0</v>
          </cell>
          <cell r="AG175">
            <v>0</v>
          </cell>
          <cell r="AH175">
            <v>0</v>
          </cell>
          <cell r="AI175">
            <v>0</v>
          </cell>
          <cell r="AJ175">
            <v>0</v>
          </cell>
          <cell r="AK175">
            <v>0</v>
          </cell>
          <cell r="AL175">
            <v>0</v>
          </cell>
          <cell r="AM175">
            <v>0</v>
          </cell>
          <cell r="AV175">
            <v>-50.451999999999998</v>
          </cell>
          <cell r="AW175">
            <v>-51.857000000000006</v>
          </cell>
          <cell r="AX175">
            <v>-169.36999999999998</v>
          </cell>
          <cell r="AY175">
            <v>-46.79999999999999</v>
          </cell>
          <cell r="AZ175">
            <v>-318.47899999999993</v>
          </cell>
          <cell r="BA175">
            <v>0</v>
          </cell>
          <cell r="BB175">
            <v>-11.264999999999999</v>
          </cell>
          <cell r="BC175">
            <v>0</v>
          </cell>
          <cell r="BD175">
            <v>0</v>
          </cell>
          <cell r="BE175">
            <v>0</v>
          </cell>
          <cell r="BF175">
            <v>43.24199999999999</v>
          </cell>
          <cell r="BG175">
            <v>164.86199999999999</v>
          </cell>
          <cell r="BO175">
            <v>42.180999999999997</v>
          </cell>
          <cell r="BP175">
            <v>46.857999999999997</v>
          </cell>
          <cell r="BQ175">
            <v>47.905259999999998</v>
          </cell>
          <cell r="BR175">
            <v>50.044259999999994</v>
          </cell>
          <cell r="BS175">
            <v>186.98851999999999</v>
          </cell>
          <cell r="CA175">
            <v>221.87835655737706</v>
          </cell>
          <cell r="CB175">
            <v>248.29950389344268</v>
          </cell>
          <cell r="CC175">
            <v>275.04176700051238</v>
          </cell>
          <cell r="CD175">
            <v>307.03447169492193</v>
          </cell>
          <cell r="CF175" t="str">
            <v>mstag:depreciation</v>
          </cell>
          <cell r="CG175">
            <v>6</v>
          </cell>
          <cell r="CH175" t="str">
            <v>ISO4217:USD</v>
          </cell>
          <cell r="CI175" t="b">
            <v>0</v>
          </cell>
          <cell r="CJ175" t="b">
            <v>0</v>
          </cell>
        </row>
        <row r="176">
          <cell r="A176" t="str">
            <v>Debt issuance costs</v>
          </cell>
          <cell r="E176">
            <v>0</v>
          </cell>
          <cell r="F176">
            <v>0</v>
          </cell>
          <cell r="G176">
            <v>0</v>
          </cell>
          <cell r="H176">
            <v>0</v>
          </cell>
          <cell r="I176">
            <v>0</v>
          </cell>
          <cell r="J176">
            <v>0</v>
          </cell>
          <cell r="K176">
            <v>0</v>
          </cell>
          <cell r="M176">
            <v>0</v>
          </cell>
          <cell r="N176">
            <v>0</v>
          </cell>
          <cell r="O176">
            <v>0</v>
          </cell>
          <cell r="P176">
            <v>0</v>
          </cell>
          <cell r="Q176">
            <v>0</v>
          </cell>
          <cell r="R176">
            <v>0</v>
          </cell>
          <cell r="S176">
            <v>0</v>
          </cell>
          <cell r="T176">
            <v>0</v>
          </cell>
          <cell r="U176">
            <v>-7.75</v>
          </cell>
          <cell r="V176">
            <v>-7.75</v>
          </cell>
          <cell r="W176">
            <v>0</v>
          </cell>
          <cell r="X176">
            <v>0</v>
          </cell>
          <cell r="Y176">
            <v>0</v>
          </cell>
          <cell r="Z176">
            <v>0</v>
          </cell>
          <cell r="AA176">
            <v>-8.9589999999999996</v>
          </cell>
          <cell r="AB176">
            <v>-8.9589999999999996</v>
          </cell>
          <cell r="AC176">
            <v>0</v>
          </cell>
          <cell r="AD176">
            <v>0.1</v>
          </cell>
          <cell r="AE176">
            <v>0.23333333333333336</v>
          </cell>
          <cell r="AF176">
            <v>0.23333333333333336</v>
          </cell>
          <cell r="AG176">
            <v>0.23333333333333336</v>
          </cell>
          <cell r="AH176">
            <v>0.8</v>
          </cell>
          <cell r="AI176">
            <v>0.3</v>
          </cell>
          <cell r="AJ176">
            <v>0.23800000000000332</v>
          </cell>
          <cell r="AK176">
            <v>0.23800000000000332</v>
          </cell>
          <cell r="AL176">
            <v>0.23800000000000332</v>
          </cell>
          <cell r="AM176">
            <v>1.1000000000000001</v>
          </cell>
          <cell r="AV176">
            <v>0</v>
          </cell>
          <cell r="AW176">
            <v>0</v>
          </cell>
          <cell r="AX176">
            <v>-4.6689999999999996</v>
          </cell>
          <cell r="AY176">
            <v>-8.1140000000000008</v>
          </cell>
          <cell r="AZ176">
            <v>-12.782999999999999</v>
          </cell>
          <cell r="BA176">
            <v>0</v>
          </cell>
          <cell r="BC176">
            <v>-0.749</v>
          </cell>
          <cell r="BD176">
            <v>-0.24199999999999999</v>
          </cell>
          <cell r="BE176">
            <v>-0.13100000000000012</v>
          </cell>
          <cell r="BF176">
            <v>0</v>
          </cell>
          <cell r="BG176">
            <v>0</v>
          </cell>
          <cell r="BO176">
            <v>0</v>
          </cell>
          <cell r="BP176">
            <v>0</v>
          </cell>
          <cell r="BQ176">
            <v>0</v>
          </cell>
          <cell r="BR176">
            <v>0</v>
          </cell>
          <cell r="BS176">
            <v>0</v>
          </cell>
          <cell r="CA176">
            <v>0</v>
          </cell>
          <cell r="CF176" t="str">
            <v>mstag:amortizationOfGoodwillCashFlowStatement</v>
          </cell>
          <cell r="CG176">
            <v>6</v>
          </cell>
          <cell r="CH176" t="str">
            <v>ISO4217:USD</v>
          </cell>
          <cell r="CI176" t="b">
            <v>0</v>
          </cell>
          <cell r="CJ176" t="b">
            <v>0</v>
          </cell>
        </row>
        <row r="177">
          <cell r="A177" t="str">
            <v>Cash Flow from Financing Activities:</v>
          </cell>
          <cell r="E177">
            <v>-1.0409999999999999</v>
          </cell>
          <cell r="F177">
            <v>0</v>
          </cell>
          <cell r="G177">
            <v>0</v>
          </cell>
          <cell r="H177">
            <v>0</v>
          </cell>
          <cell r="I177">
            <v>0</v>
          </cell>
          <cell r="J177">
            <v>0</v>
          </cell>
          <cell r="K177">
            <v>0</v>
          </cell>
          <cell r="M177">
            <v>0</v>
          </cell>
          <cell r="N177">
            <v>0</v>
          </cell>
          <cell r="O177">
            <v>0</v>
          </cell>
          <cell r="P177">
            <v>0.63600000000000001</v>
          </cell>
          <cell r="Q177">
            <v>0.63600000000000001</v>
          </cell>
          <cell r="R177">
            <v>0</v>
          </cell>
          <cell r="S177">
            <v>2.2890000000000001</v>
          </cell>
          <cell r="T177">
            <v>3.4239999999999999</v>
          </cell>
          <cell r="U177">
            <v>-2.7280000000000002</v>
          </cell>
          <cell r="V177">
            <v>2.9849999999999999</v>
          </cell>
          <cell r="W177">
            <v>0</v>
          </cell>
          <cell r="X177">
            <v>0</v>
          </cell>
          <cell r="Y177">
            <v>1.4630000000000001</v>
          </cell>
          <cell r="Z177">
            <v>0.9009999999999998</v>
          </cell>
          <cell r="AA177">
            <v>0.17700000000000005</v>
          </cell>
          <cell r="AB177">
            <v>2.5409999999999999</v>
          </cell>
          <cell r="AC177">
            <v>0</v>
          </cell>
          <cell r="AD177">
            <v>0</v>
          </cell>
          <cell r="AE177">
            <v>0.76800000000000002</v>
          </cell>
          <cell r="AF177">
            <v>0.71100000000000008</v>
          </cell>
          <cell r="AG177">
            <v>2.7850000000000001</v>
          </cell>
          <cell r="AH177">
            <v>4.2640000000000002</v>
          </cell>
          <cell r="AI177">
            <v>1.012</v>
          </cell>
          <cell r="AJ177">
            <v>0.89100000000000001</v>
          </cell>
          <cell r="AK177">
            <v>2.1679999999999997</v>
          </cell>
          <cell r="AL177">
            <v>5.8290000000000006</v>
          </cell>
          <cell r="AM177">
            <v>9.9</v>
          </cell>
          <cell r="AV177">
            <v>1.012</v>
          </cell>
          <cell r="AW177">
            <v>0.89100000000000001</v>
          </cell>
          <cell r="AX177">
            <v>2.1679999999999997</v>
          </cell>
          <cell r="AY177">
            <v>5.8290000000000006</v>
          </cell>
          <cell r="AZ177">
            <v>9.9</v>
          </cell>
          <cell r="BA177">
            <v>0</v>
          </cell>
          <cell r="BC177">
            <v>15.958</v>
          </cell>
          <cell r="BD177">
            <v>19.942</v>
          </cell>
          <cell r="BE177">
            <v>4.2460000000000004</v>
          </cell>
          <cell r="BF177">
            <v>0.55000000000000004</v>
          </cell>
          <cell r="BG177">
            <v>1.3</v>
          </cell>
          <cell r="BO177">
            <v>0.32500000000000001</v>
          </cell>
          <cell r="BP177">
            <v>0.32500000000000001</v>
          </cell>
          <cell r="BQ177">
            <v>0.32500000000000001</v>
          </cell>
          <cell r="BR177">
            <v>0.32500000000000001</v>
          </cell>
          <cell r="BS177">
            <v>1.3</v>
          </cell>
          <cell r="CA177">
            <v>1.2</v>
          </cell>
          <cell r="CB177">
            <v>1.2</v>
          </cell>
          <cell r="CC177">
            <v>1.7</v>
          </cell>
          <cell r="CD177">
            <v>1.7</v>
          </cell>
          <cell r="CF177" t="str">
            <v>mstag:amortizationOfOtherIntangibles</v>
          </cell>
          <cell r="CG177">
            <v>6</v>
          </cell>
          <cell r="CH177" t="str">
            <v>ISO4217:USD</v>
          </cell>
          <cell r="CI177" t="b">
            <v>0</v>
          </cell>
          <cell r="CJ177" t="b">
            <v>0</v>
          </cell>
        </row>
        <row r="178">
          <cell r="A178" t="str">
            <v>Proceeds from issuance of common stock</v>
          </cell>
          <cell r="E178">
            <v>0.67600000000000005</v>
          </cell>
          <cell r="F178">
            <v>1.875</v>
          </cell>
          <cell r="G178">
            <v>0</v>
          </cell>
          <cell r="H178">
            <v>2.4E-2</v>
          </cell>
          <cell r="I178">
            <v>-0.54200000000000004</v>
          </cell>
          <cell r="J178">
            <v>2.7329999999999997</v>
          </cell>
          <cell r="K178">
            <v>2.2149999999999999</v>
          </cell>
          <cell r="M178">
            <v>0</v>
          </cell>
          <cell r="N178">
            <v>225.22499999999999</v>
          </cell>
          <cell r="O178">
            <v>20.474000000000018</v>
          </cell>
          <cell r="P178">
            <v>268.82499999999999</v>
          </cell>
          <cell r="Q178">
            <v>514.524</v>
          </cell>
          <cell r="R178">
            <v>0</v>
          </cell>
          <cell r="S178">
            <v>0</v>
          </cell>
          <cell r="T178">
            <v>3.0000000000000001E-3</v>
          </cell>
          <cell r="U178">
            <v>306.07100000000003</v>
          </cell>
          <cell r="V178">
            <v>306.07400000000001</v>
          </cell>
          <cell r="W178">
            <v>0</v>
          </cell>
          <cell r="X178">
            <v>4.9000000000000002E-2</v>
          </cell>
          <cell r="Y178">
            <v>3.851</v>
          </cell>
          <cell r="Z178">
            <v>-3.8969999999999998</v>
          </cell>
          <cell r="AA178">
            <v>-3.0000000000001137E-3</v>
          </cell>
          <cell r="AB178">
            <v>0</v>
          </cell>
          <cell r="AC178">
            <v>0</v>
          </cell>
          <cell r="AD178">
            <v>0.13300000000000001</v>
          </cell>
          <cell r="AE178">
            <v>-0.13300000000000001</v>
          </cell>
          <cell r="AF178">
            <v>0</v>
          </cell>
          <cell r="AG178">
            <v>0</v>
          </cell>
          <cell r="AH178">
            <v>0</v>
          </cell>
          <cell r="AI178">
            <v>0</v>
          </cell>
          <cell r="AJ178">
            <v>0</v>
          </cell>
          <cell r="AK178">
            <v>0</v>
          </cell>
          <cell r="AL178">
            <v>0</v>
          </cell>
          <cell r="AM178">
            <v>0</v>
          </cell>
          <cell r="AV178">
            <v>0</v>
          </cell>
          <cell r="AW178">
            <v>0</v>
          </cell>
          <cell r="AX178">
            <v>0</v>
          </cell>
          <cell r="AY178">
            <v>0</v>
          </cell>
          <cell r="AZ178">
            <v>0</v>
          </cell>
          <cell r="BA178">
            <v>0</v>
          </cell>
          <cell r="BB178">
            <v>0</v>
          </cell>
          <cell r="BC178">
            <v>0.88700000000000001</v>
          </cell>
          <cell r="BD178">
            <v>0.76770000000000005</v>
          </cell>
          <cell r="BE178">
            <v>0.71499999999999997</v>
          </cell>
          <cell r="BF178">
            <v>0</v>
          </cell>
          <cell r="BG178">
            <v>0</v>
          </cell>
          <cell r="BO178">
            <v>0</v>
          </cell>
          <cell r="BP178">
            <v>0</v>
          </cell>
          <cell r="BQ178">
            <v>0</v>
          </cell>
          <cell r="BR178">
            <v>0</v>
          </cell>
          <cell r="BS178">
            <v>0</v>
          </cell>
          <cell r="CA178">
            <v>0</v>
          </cell>
          <cell r="CB178">
            <v>0</v>
          </cell>
          <cell r="CC178">
            <v>0</v>
          </cell>
          <cell r="CD178">
            <v>0</v>
          </cell>
          <cell r="CF178" t="str">
            <v>mstag:otherProvisionsRecurringCashFlowStatement</v>
          </cell>
          <cell r="CG178">
            <v>6</v>
          </cell>
          <cell r="CH178" t="str">
            <v>ISO4217:USD</v>
          </cell>
          <cell r="CI178" t="b">
            <v>0</v>
          </cell>
          <cell r="CJ178" t="b">
            <v>0</v>
          </cell>
        </row>
        <row r="179">
          <cell r="A179" t="str">
            <v>Proceeds from issuance of convertible debt</v>
          </cell>
          <cell r="E179">
            <v>0</v>
          </cell>
          <cell r="F179">
            <v>0</v>
          </cell>
          <cell r="G179">
            <v>0</v>
          </cell>
          <cell r="H179">
            <v>0</v>
          </cell>
          <cell r="I179">
            <v>0</v>
          </cell>
          <cell r="J179">
            <v>0</v>
          </cell>
          <cell r="K179">
            <v>0</v>
          </cell>
          <cell r="M179">
            <v>0</v>
          </cell>
          <cell r="N179">
            <v>0</v>
          </cell>
          <cell r="O179">
            <v>0</v>
          </cell>
          <cell r="P179">
            <v>0</v>
          </cell>
          <cell r="Q179">
            <v>0</v>
          </cell>
          <cell r="R179">
            <v>0</v>
          </cell>
          <cell r="S179">
            <v>0</v>
          </cell>
          <cell r="T179">
            <v>0</v>
          </cell>
          <cell r="U179">
            <v>287.5</v>
          </cell>
          <cell r="V179">
            <v>287.5</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300</v>
          </cell>
          <cell r="AM179">
            <v>300</v>
          </cell>
          <cell r="AV179">
            <v>0</v>
          </cell>
          <cell r="AW179">
            <v>0</v>
          </cell>
          <cell r="AX179">
            <v>0</v>
          </cell>
          <cell r="AY179">
            <v>300</v>
          </cell>
          <cell r="AZ179">
            <v>300</v>
          </cell>
          <cell r="BA179">
            <v>0</v>
          </cell>
          <cell r="BB179">
            <v>0</v>
          </cell>
          <cell r="BC179">
            <v>0</v>
          </cell>
          <cell r="BD179">
            <v>0</v>
          </cell>
          <cell r="BE179">
            <v>0</v>
          </cell>
          <cell r="BF179">
            <v>0.38500000000000001</v>
          </cell>
          <cell r="BG179">
            <v>2.7546999999999997</v>
          </cell>
          <cell r="BO179">
            <v>0.61299999999999999</v>
          </cell>
          <cell r="BP179">
            <v>0.45500000000000002</v>
          </cell>
          <cell r="BQ179">
            <v>0.7</v>
          </cell>
          <cell r="BR179">
            <v>0.9</v>
          </cell>
          <cell r="BS179">
            <v>2.6680000000000001</v>
          </cell>
          <cell r="CA179">
            <v>2.8280800000000004</v>
          </cell>
          <cell r="CB179">
            <v>2.9694840000000005</v>
          </cell>
          <cell r="CC179">
            <v>3.1179582000000008</v>
          </cell>
          <cell r="CD179">
            <v>3.273856110000001</v>
          </cell>
          <cell r="CF179" t="str">
            <v>mstag:netIncreaseInMinorityInterestsInShareholdersEquity</v>
          </cell>
          <cell r="CG179">
            <v>6</v>
          </cell>
          <cell r="CH179" t="str">
            <v>ISO4217:USD</v>
          </cell>
          <cell r="CI179" t="b">
            <v>0</v>
          </cell>
          <cell r="CJ179" t="b">
            <v>0</v>
          </cell>
        </row>
        <row r="180">
          <cell r="A180" t="str">
            <v>Debt issuance costs</v>
          </cell>
          <cell r="E180">
            <v>0</v>
          </cell>
          <cell r="F180">
            <v>0</v>
          </cell>
          <cell r="G180">
            <v>0</v>
          </cell>
          <cell r="H180">
            <v>0</v>
          </cell>
          <cell r="I180">
            <v>0</v>
          </cell>
          <cell r="J180">
            <v>0</v>
          </cell>
          <cell r="K180">
            <v>0</v>
          </cell>
          <cell r="M180">
            <v>0</v>
          </cell>
          <cell r="N180">
            <v>0</v>
          </cell>
          <cell r="O180">
            <v>0</v>
          </cell>
          <cell r="P180">
            <v>0</v>
          </cell>
          <cell r="Q180">
            <v>0</v>
          </cell>
          <cell r="R180">
            <v>0</v>
          </cell>
          <cell r="S180">
            <v>0</v>
          </cell>
          <cell r="T180">
            <v>0</v>
          </cell>
          <cell r="U180">
            <v>-7.75</v>
          </cell>
          <cell r="V180">
            <v>-7.75</v>
          </cell>
          <cell r="W180">
            <v>0</v>
          </cell>
          <cell r="X180">
            <v>0</v>
          </cell>
          <cell r="Y180">
            <v>0</v>
          </cell>
          <cell r="Z180">
            <v>0</v>
          </cell>
          <cell r="AA180">
            <v>-8.9589999999999996</v>
          </cell>
          <cell r="AB180">
            <v>-8.9589999999999996</v>
          </cell>
          <cell r="AC180">
            <v>0</v>
          </cell>
          <cell r="AD180">
            <v>0</v>
          </cell>
          <cell r="AE180">
            <v>0</v>
          </cell>
          <cell r="AF180">
            <v>0</v>
          </cell>
          <cell r="AG180">
            <v>-1.2609999999999999</v>
          </cell>
          <cell r="AH180">
            <v>-1.2609999999999999</v>
          </cell>
          <cell r="AI180">
            <v>0</v>
          </cell>
          <cell r="AJ180">
            <v>0</v>
          </cell>
          <cell r="AK180">
            <v>-4.6689999999999996</v>
          </cell>
          <cell r="AL180">
            <v>-8.1140000000000008</v>
          </cell>
          <cell r="AM180">
            <v>-12.782999999999999</v>
          </cell>
          <cell r="AV180">
            <v>0</v>
          </cell>
          <cell r="AW180">
            <v>0</v>
          </cell>
          <cell r="AX180">
            <v>-4.6689999999999996</v>
          </cell>
          <cell r="AY180">
            <v>-8.1140000000000008</v>
          </cell>
          <cell r="AZ180">
            <v>-12.782999999999999</v>
          </cell>
          <cell r="BA180">
            <v>0</v>
          </cell>
          <cell r="BB180">
            <v>-0.749</v>
          </cell>
          <cell r="BC180">
            <v>0</v>
          </cell>
          <cell r="BD180">
            <v>6.718</v>
          </cell>
          <cell r="BE180">
            <v>0</v>
          </cell>
          <cell r="BF180">
            <v>9.8889999999999993</v>
          </cell>
          <cell r="BG180">
            <v>9.8889999999999993</v>
          </cell>
          <cell r="BO180">
            <v>0</v>
          </cell>
          <cell r="BP180">
            <v>0</v>
          </cell>
          <cell r="BQ180">
            <v>0</v>
          </cell>
          <cell r="BR180">
            <v>0</v>
          </cell>
          <cell r="BS180">
            <v>0</v>
          </cell>
          <cell r="CA180">
            <v>0</v>
          </cell>
          <cell r="CB180">
            <v>0</v>
          </cell>
          <cell r="CC180">
            <v>0</v>
          </cell>
          <cell r="CD180">
            <v>0</v>
          </cell>
          <cell r="CF180" t="str">
            <v>mstag:deferredTax</v>
          </cell>
          <cell r="CG180">
            <v>6</v>
          </cell>
          <cell r="CH180" t="str">
            <v>ISO4217:USD</v>
          </cell>
          <cell r="CI180" t="b">
            <v>0</v>
          </cell>
          <cell r="CJ180" t="b">
            <v>0</v>
          </cell>
        </row>
        <row r="181">
          <cell r="A181" t="str">
            <v>Proceeds from exercise of stock options</v>
          </cell>
          <cell r="E181">
            <v>-1.0409999999999999</v>
          </cell>
          <cell r="F181">
            <v>0</v>
          </cell>
          <cell r="G181">
            <v>0</v>
          </cell>
          <cell r="H181">
            <v>0</v>
          </cell>
          <cell r="I181">
            <v>0</v>
          </cell>
          <cell r="J181">
            <v>0</v>
          </cell>
          <cell r="K181">
            <v>0</v>
          </cell>
          <cell r="M181">
            <v>0</v>
          </cell>
          <cell r="N181">
            <v>0</v>
          </cell>
          <cell r="O181">
            <v>0</v>
          </cell>
          <cell r="P181">
            <v>0.63600000000000001</v>
          </cell>
          <cell r="Q181">
            <v>0.63600000000000001</v>
          </cell>
          <cell r="R181">
            <v>0</v>
          </cell>
          <cell r="S181">
            <v>2.2890000000000001</v>
          </cell>
          <cell r="T181">
            <v>3.4239999999999999</v>
          </cell>
          <cell r="U181">
            <v>-2.7280000000000002</v>
          </cell>
          <cell r="V181">
            <v>2.9849999999999999</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V181">
            <v>1.012</v>
          </cell>
          <cell r="AW181">
            <v>0.89100000000000001</v>
          </cell>
          <cell r="AX181">
            <v>2.1679999999999997</v>
          </cell>
          <cell r="AY181">
            <v>5.8290000000000006</v>
          </cell>
          <cell r="AZ181">
            <v>9.9</v>
          </cell>
          <cell r="BA181">
            <v>0</v>
          </cell>
          <cell r="BB181">
            <v>15.958</v>
          </cell>
          <cell r="BC181">
            <v>6.2949999999999999</v>
          </cell>
          <cell r="BD181">
            <v>0</v>
          </cell>
          <cell r="BE181">
            <v>0</v>
          </cell>
          <cell r="BF181">
            <v>0</v>
          </cell>
          <cell r="BG181">
            <v>6.718</v>
          </cell>
          <cell r="BO181">
            <v>0</v>
          </cell>
          <cell r="BP181">
            <v>0</v>
          </cell>
          <cell r="BQ181">
            <v>0</v>
          </cell>
          <cell r="BR181">
            <v>0</v>
          </cell>
          <cell r="BS181">
            <v>0</v>
          </cell>
          <cell r="CA181">
            <v>0</v>
          </cell>
          <cell r="CB181">
            <v>0</v>
          </cell>
          <cell r="CC181">
            <v>0</v>
          </cell>
          <cell r="CD181">
            <v>0</v>
          </cell>
          <cell r="CF181" t="str">
            <v>mstag:assetImpairmentNonGoodwillOneTime</v>
          </cell>
          <cell r="CG181">
            <v>6</v>
          </cell>
          <cell r="CH181" t="str">
            <v>ISO4217:USD</v>
          </cell>
          <cell r="CI181" t="b">
            <v>0</v>
          </cell>
          <cell r="CJ181" t="b">
            <v>0</v>
          </cell>
        </row>
        <row r="182">
          <cell r="A182" t="str">
            <v>Excess tax benefits relating to stock-based comp</v>
          </cell>
          <cell r="E182">
            <v>0</v>
          </cell>
          <cell r="F182">
            <v>0</v>
          </cell>
          <cell r="G182">
            <v>0</v>
          </cell>
          <cell r="H182">
            <v>0</v>
          </cell>
          <cell r="I182">
            <v>0</v>
          </cell>
          <cell r="J182">
            <v>0</v>
          </cell>
          <cell r="K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V182">
            <v>0</v>
          </cell>
          <cell r="AW182">
            <v>0</v>
          </cell>
          <cell r="AX182">
            <v>0</v>
          </cell>
          <cell r="AY182">
            <v>0</v>
          </cell>
          <cell r="AZ182">
            <v>9.9</v>
          </cell>
          <cell r="BA182">
            <v>0</v>
          </cell>
          <cell r="BB182">
            <v>-4.3899999999999997</v>
          </cell>
          <cell r="BC182">
            <v>0</v>
          </cell>
          <cell r="BD182">
            <v>0</v>
          </cell>
          <cell r="BE182">
            <v>0</v>
          </cell>
          <cell r="BF182">
            <v>0</v>
          </cell>
          <cell r="BG182">
            <v>6.2949999999999999</v>
          </cell>
          <cell r="BO182">
            <v>3.9369999999999998</v>
          </cell>
          <cell r="BP182">
            <v>0</v>
          </cell>
          <cell r="BQ182">
            <v>0</v>
          </cell>
          <cell r="BR182">
            <v>0</v>
          </cell>
          <cell r="BS182">
            <v>3.9369999999999998</v>
          </cell>
          <cell r="CA182">
            <v>0</v>
          </cell>
          <cell r="CB182">
            <v>0</v>
          </cell>
          <cell r="CC182">
            <v>0</v>
          </cell>
          <cell r="CD182">
            <v>0</v>
          </cell>
          <cell r="CF182" t="str">
            <v>mstag:gainsLossesFromSaleOfOperatingAssetsOneTime</v>
          </cell>
          <cell r="CG182">
            <v>6</v>
          </cell>
          <cell r="CH182" t="str">
            <v>ISO4217:USD</v>
          </cell>
          <cell r="CI182" t="b">
            <v>1</v>
          </cell>
          <cell r="CJ182" t="b">
            <v>0</v>
          </cell>
        </row>
        <row r="183">
          <cell r="A183" t="str">
            <v>Common stock purchased for treasury</v>
          </cell>
          <cell r="E183">
            <v>0</v>
          </cell>
          <cell r="F183">
            <v>-5.6340000000000003</v>
          </cell>
          <cell r="G183">
            <v>0</v>
          </cell>
          <cell r="H183">
            <v>0</v>
          </cell>
          <cell r="I183">
            <v>0</v>
          </cell>
          <cell r="J183">
            <v>-2.78</v>
          </cell>
          <cell r="K183">
            <v>-2.78</v>
          </cell>
          <cell r="M183">
            <v>0</v>
          </cell>
          <cell r="N183">
            <v>0</v>
          </cell>
          <cell r="O183">
            <v>0</v>
          </cell>
          <cell r="P183">
            <v>0</v>
          </cell>
          <cell r="Q183">
            <v>0</v>
          </cell>
          <cell r="R183">
            <v>-8.2000000000000003E-2</v>
          </cell>
          <cell r="S183">
            <v>-8.9999999999999941E-3</v>
          </cell>
          <cell r="T183">
            <v>0</v>
          </cell>
          <cell r="U183">
            <v>0</v>
          </cell>
          <cell r="V183">
            <v>-9.0999999999999998E-2</v>
          </cell>
          <cell r="W183">
            <v>0</v>
          </cell>
          <cell r="X183">
            <v>0</v>
          </cell>
          <cell r="Y183">
            <v>0</v>
          </cell>
          <cell r="Z183">
            <v>0</v>
          </cell>
          <cell r="AA183">
            <v>0</v>
          </cell>
          <cell r="AB183">
            <v>0</v>
          </cell>
          <cell r="AC183">
            <v>0</v>
          </cell>
          <cell r="AD183">
            <v>-10.29</v>
          </cell>
          <cell r="AE183">
            <v>-2.2430000000000003</v>
          </cell>
          <cell r="AF183">
            <v>-1.527000000000001</v>
          </cell>
          <cell r="AG183">
            <v>-0.64799999999999969</v>
          </cell>
          <cell r="AH183">
            <v>-14.708</v>
          </cell>
          <cell r="AI183">
            <v>0</v>
          </cell>
          <cell r="AJ183">
            <v>0</v>
          </cell>
          <cell r="AK183">
            <v>-290.48099999999999</v>
          </cell>
          <cell r="AL183">
            <v>-3.8999999999987267E-2</v>
          </cell>
          <cell r="AM183">
            <v>-290.52</v>
          </cell>
          <cell r="AV183">
            <v>0</v>
          </cell>
          <cell r="AW183">
            <v>0</v>
          </cell>
          <cell r="AX183">
            <v>-290.48099999999999</v>
          </cell>
          <cell r="AY183">
            <v>-3.8999999999987267E-2</v>
          </cell>
          <cell r="AZ183">
            <v>-290.52</v>
          </cell>
          <cell r="BA183">
            <v>0</v>
          </cell>
          <cell r="BB183">
            <v>1.383</v>
          </cell>
          <cell r="BC183">
            <v>0.496</v>
          </cell>
          <cell r="BD183">
            <v>1.488</v>
          </cell>
          <cell r="BE183">
            <v>1.4849999999999999</v>
          </cell>
          <cell r="BF183">
            <v>0</v>
          </cell>
          <cell r="BG183">
            <v>0</v>
          </cell>
          <cell r="BO183">
            <v>0</v>
          </cell>
          <cell r="BP183">
            <v>0</v>
          </cell>
          <cell r="BQ183">
            <v>0</v>
          </cell>
          <cell r="BR183">
            <v>0</v>
          </cell>
          <cell r="BS183">
            <v>0</v>
          </cell>
          <cell r="CA183">
            <v>0</v>
          </cell>
          <cell r="CB183">
            <v>0</v>
          </cell>
          <cell r="CC183">
            <v>0</v>
          </cell>
          <cell r="CD183">
            <v>0</v>
          </cell>
          <cell r="CF183" t="str">
            <v>mstag:legalProvisionOneTimeCashFlowStatement</v>
          </cell>
          <cell r="CG183">
            <v>6</v>
          </cell>
          <cell r="CH183" t="str">
            <v>ISO4217:USD</v>
          </cell>
          <cell r="CI183" t="b">
            <v>0</v>
          </cell>
          <cell r="CJ183" t="b">
            <v>0</v>
          </cell>
        </row>
        <row r="184">
          <cell r="A184" t="str">
            <v>Proceeds from minority investments</v>
          </cell>
          <cell r="E184">
            <v>0</v>
          </cell>
          <cell r="F184">
            <v>0</v>
          </cell>
          <cell r="G184">
            <v>0</v>
          </cell>
          <cell r="H184">
            <v>0</v>
          </cell>
          <cell r="I184">
            <v>0</v>
          </cell>
          <cell r="J184">
            <v>0</v>
          </cell>
          <cell r="K184">
            <v>0</v>
          </cell>
          <cell r="M184">
            <v>0</v>
          </cell>
          <cell r="N184">
            <v>0</v>
          </cell>
          <cell r="O184">
            <v>0</v>
          </cell>
          <cell r="P184">
            <v>0</v>
          </cell>
          <cell r="Q184">
            <v>0</v>
          </cell>
          <cell r="R184">
            <v>0</v>
          </cell>
          <cell r="S184">
            <v>0</v>
          </cell>
          <cell r="T184">
            <v>0</v>
          </cell>
          <cell r="U184">
            <v>3.96</v>
          </cell>
          <cell r="V184">
            <v>3.96</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V184">
            <v>0</v>
          </cell>
          <cell r="AW184">
            <v>0</v>
          </cell>
          <cell r="AX184">
            <v>0</v>
          </cell>
          <cell r="AY184">
            <v>0</v>
          </cell>
          <cell r="AZ184">
            <v>0</v>
          </cell>
          <cell r="BA184">
            <v>0</v>
          </cell>
          <cell r="BB184">
            <v>-0.28999999999999998</v>
          </cell>
          <cell r="BC184">
            <v>0</v>
          </cell>
          <cell r="BD184">
            <v>0</v>
          </cell>
          <cell r="BE184">
            <v>0</v>
          </cell>
          <cell r="BF184">
            <v>1.488</v>
          </cell>
          <cell r="BG184">
            <v>4.9569999999999999</v>
          </cell>
          <cell r="BO184">
            <v>3.6509999999999998</v>
          </cell>
          <cell r="BP184">
            <v>5.2949999999999999</v>
          </cell>
          <cell r="BQ184">
            <v>0</v>
          </cell>
          <cell r="BR184">
            <v>0</v>
          </cell>
          <cell r="BS184">
            <v>8.9459999999999997</v>
          </cell>
          <cell r="CA184">
            <v>0</v>
          </cell>
          <cell r="CB184">
            <v>0</v>
          </cell>
          <cell r="CC184">
            <v>0</v>
          </cell>
          <cell r="CD184">
            <v>0</v>
          </cell>
          <cell r="CF184" t="str">
            <v>mstag:stockBasedCompensationChargePreTax</v>
          </cell>
          <cell r="CG184">
            <v>6</v>
          </cell>
          <cell r="CH184" t="str">
            <v>ISO4217:USD</v>
          </cell>
          <cell r="CI184" t="b">
            <v>0</v>
          </cell>
          <cell r="CJ184" t="b">
            <v>0</v>
          </cell>
        </row>
        <row r="185">
          <cell r="A185" t="str">
            <v>Redemption of minority investments</v>
          </cell>
          <cell r="E185">
            <v>0</v>
          </cell>
          <cell r="F185">
            <v>0</v>
          </cell>
          <cell r="G185">
            <v>0</v>
          </cell>
          <cell r="H185">
            <v>0</v>
          </cell>
          <cell r="I185">
            <v>0</v>
          </cell>
          <cell r="J185">
            <v>-0.107</v>
          </cell>
          <cell r="K185">
            <v>-0.107</v>
          </cell>
          <cell r="M185">
            <v>0</v>
          </cell>
          <cell r="N185">
            <v>0</v>
          </cell>
          <cell r="O185">
            <v>0</v>
          </cell>
          <cell r="P185">
            <v>0</v>
          </cell>
          <cell r="Q185">
            <v>0</v>
          </cell>
          <cell r="R185">
            <v>0</v>
          </cell>
          <cell r="S185">
            <v>0</v>
          </cell>
          <cell r="T185">
            <v>0</v>
          </cell>
          <cell r="U185">
            <v>-1.5940000000000001</v>
          </cell>
          <cell r="V185">
            <v>-1.5940000000000001</v>
          </cell>
          <cell r="W185">
            <v>0</v>
          </cell>
          <cell r="X185">
            <v>0</v>
          </cell>
          <cell r="Y185">
            <v>-0.57099999999999995</v>
          </cell>
          <cell r="Z185">
            <v>-0.13700000000000001</v>
          </cell>
          <cell r="AA185">
            <v>1.0000000000000009E-3</v>
          </cell>
          <cell r="AB185">
            <v>-0.70699999999999996</v>
          </cell>
          <cell r="AC185">
            <v>0</v>
          </cell>
          <cell r="AD185">
            <v>-8.5999999999999993E-2</v>
          </cell>
          <cell r="AE185">
            <v>-2.9000000000000012E-2</v>
          </cell>
          <cell r="AF185">
            <v>-0.221</v>
          </cell>
          <cell r="AG185">
            <v>-9.4E-2</v>
          </cell>
          <cell r="AH185">
            <v>-0.43</v>
          </cell>
          <cell r="AI185">
            <v>-0.99299999999999999</v>
          </cell>
          <cell r="AJ185">
            <v>-0.95200000000000007</v>
          </cell>
          <cell r="AK185">
            <v>-0.27300000000000002</v>
          </cell>
          <cell r="AL185">
            <v>-1.3039999999999998</v>
          </cell>
          <cell r="AM185">
            <v>-3.5219999999999998</v>
          </cell>
          <cell r="AV185">
            <v>-0.99299999999999999</v>
          </cell>
          <cell r="AW185">
            <v>-0.95200000000000007</v>
          </cell>
          <cell r="AX185">
            <v>-0.27300000000000002</v>
          </cell>
          <cell r="AY185">
            <v>-1.3039999999999998</v>
          </cell>
          <cell r="AZ185">
            <v>-3.5219999999999998</v>
          </cell>
          <cell r="BA185">
            <v>0</v>
          </cell>
          <cell r="BB185">
            <v>-0.38200000000000001</v>
          </cell>
          <cell r="BC185">
            <v>-0.47099999999999997</v>
          </cell>
          <cell r="BD185">
            <v>-0.04</v>
          </cell>
          <cell r="BE185">
            <v>0.32800000000000001</v>
          </cell>
          <cell r="BF185">
            <v>0</v>
          </cell>
          <cell r="BG185">
            <v>0</v>
          </cell>
          <cell r="BO185">
            <v>-4.3600000000000003</v>
          </cell>
          <cell r="BP185">
            <v>-0.22799999999999976</v>
          </cell>
          <cell r="BQ185">
            <v>0</v>
          </cell>
          <cell r="BR185">
            <v>0</v>
          </cell>
          <cell r="BS185">
            <v>-4.5880000000000001</v>
          </cell>
        </row>
        <row r="186">
          <cell r="A186" t="str">
            <v>Distributions to minority investors</v>
          </cell>
          <cell r="E186">
            <v>0</v>
          </cell>
          <cell r="F186">
            <v>0</v>
          </cell>
          <cell r="G186">
            <v>0</v>
          </cell>
          <cell r="H186">
            <v>0</v>
          </cell>
          <cell r="I186">
            <v>0</v>
          </cell>
          <cell r="J186">
            <v>-0.33100000000000002</v>
          </cell>
          <cell r="K186">
            <v>-0.33100000000000002</v>
          </cell>
          <cell r="M186">
            <v>0</v>
          </cell>
          <cell r="N186">
            <v>0</v>
          </cell>
          <cell r="O186">
            <v>0</v>
          </cell>
          <cell r="P186">
            <v>0</v>
          </cell>
          <cell r="Q186">
            <v>0</v>
          </cell>
          <cell r="R186">
            <v>0</v>
          </cell>
          <cell r="S186">
            <v>0</v>
          </cell>
          <cell r="T186">
            <v>0</v>
          </cell>
          <cell r="U186">
            <v>-0.32400000000000001</v>
          </cell>
          <cell r="V186">
            <v>-0.32400000000000001</v>
          </cell>
          <cell r="W186">
            <v>0</v>
          </cell>
          <cell r="X186">
            <v>0</v>
          </cell>
          <cell r="Y186">
            <v>-0.217</v>
          </cell>
          <cell r="Z186">
            <v>-0.64600000000000002</v>
          </cell>
          <cell r="AA186">
            <v>-1.0269999999999999</v>
          </cell>
          <cell r="AB186">
            <v>-1.89</v>
          </cell>
          <cell r="AC186">
            <v>0</v>
          </cell>
          <cell r="AD186">
            <v>-1.161</v>
          </cell>
          <cell r="AE186">
            <v>-0.37799999999999989</v>
          </cell>
          <cell r="AF186">
            <v>-0.29700000000000015</v>
          </cell>
          <cell r="AG186">
            <v>-0.63500000000000001</v>
          </cell>
          <cell r="AH186">
            <v>-2.4710000000000001</v>
          </cell>
          <cell r="AI186">
            <v>-0.32800000000000001</v>
          </cell>
          <cell r="AJ186">
            <v>-0.28799999999999998</v>
          </cell>
          <cell r="AK186">
            <v>-0.38199999999999995</v>
          </cell>
          <cell r="AL186">
            <v>-0.24000000000000005</v>
          </cell>
          <cell r="AM186">
            <v>-1.238</v>
          </cell>
          <cell r="AV186">
            <v>-0.32800000000000001</v>
          </cell>
          <cell r="AW186">
            <v>-0.28799999999999998</v>
          </cell>
          <cell r="AX186">
            <v>-0.38199999999999995</v>
          </cell>
          <cell r="AY186">
            <v>-0.24000000000000005</v>
          </cell>
          <cell r="AZ186">
            <v>-1.238</v>
          </cell>
          <cell r="BA186">
            <v>0</v>
          </cell>
          <cell r="BB186">
            <v>0</v>
          </cell>
          <cell r="BC186">
            <v>-0.38200000000000001</v>
          </cell>
          <cell r="BD186">
            <v>-0.59699999999999998</v>
          </cell>
          <cell r="BE186">
            <v>-0.50800000000000012</v>
          </cell>
          <cell r="BF186">
            <v>0.92300000000000004</v>
          </cell>
          <cell r="BG186">
            <v>0.74</v>
          </cell>
          <cell r="BO186">
            <v>-0.59</v>
          </cell>
          <cell r="BP186">
            <v>-4.500000000000004E-2</v>
          </cell>
          <cell r="BQ186">
            <v>0</v>
          </cell>
          <cell r="BR186">
            <v>0</v>
          </cell>
          <cell r="BS186">
            <v>-0.63500000000000001</v>
          </cell>
          <cell r="CA186">
            <v>0</v>
          </cell>
          <cell r="CB186">
            <v>0</v>
          </cell>
          <cell r="CC186">
            <v>0</v>
          </cell>
          <cell r="CD186">
            <v>0</v>
          </cell>
          <cell r="CF186" t="str">
            <v>mstag:otherCashFlow</v>
          </cell>
          <cell r="CG186">
            <v>6</v>
          </cell>
          <cell r="CH186" t="str">
            <v>ISO4217:USD</v>
          </cell>
          <cell r="CI186" t="b">
            <v>0</v>
          </cell>
          <cell r="CJ186" t="b">
            <v>0</v>
          </cell>
        </row>
        <row r="187">
          <cell r="A187" t="str">
            <v>Borrowings under Credit Agreement</v>
          </cell>
          <cell r="E187">
            <v>73.403999999999996</v>
          </cell>
          <cell r="F187">
            <v>242.49100000000001</v>
          </cell>
          <cell r="G187">
            <v>339.1</v>
          </cell>
          <cell r="H187">
            <v>12.099999999999966</v>
          </cell>
          <cell r="I187">
            <v>57.199999999999989</v>
          </cell>
          <cell r="J187">
            <v>27.900000000000034</v>
          </cell>
          <cell r="K187">
            <v>436.3</v>
          </cell>
          <cell r="M187">
            <v>67.400000000000006</v>
          </cell>
          <cell r="N187">
            <v>70.330999999999989</v>
          </cell>
          <cell r="O187">
            <v>59</v>
          </cell>
          <cell r="P187">
            <v>44.579000000000008</v>
          </cell>
          <cell r="Q187">
            <v>241.31</v>
          </cell>
          <cell r="R187">
            <v>20</v>
          </cell>
          <cell r="S187">
            <v>49</v>
          </cell>
          <cell r="T187">
            <v>1.0120000000000005</v>
          </cell>
          <cell r="U187">
            <v>54.671999999999997</v>
          </cell>
          <cell r="V187">
            <v>124.684</v>
          </cell>
          <cell r="W187">
            <v>0</v>
          </cell>
          <cell r="X187">
            <v>56.89</v>
          </cell>
          <cell r="Y187">
            <v>-0.99000000000000199</v>
          </cell>
          <cell r="Z187">
            <v>850</v>
          </cell>
          <cell r="AA187">
            <v>0</v>
          </cell>
          <cell r="AB187">
            <v>905.9</v>
          </cell>
          <cell r="AC187">
            <v>0</v>
          </cell>
          <cell r="AD187">
            <v>80</v>
          </cell>
          <cell r="AE187">
            <v>0</v>
          </cell>
          <cell r="AF187">
            <v>200</v>
          </cell>
          <cell r="AG187">
            <v>110.69999999999999</v>
          </cell>
          <cell r="AH187">
            <v>390.7</v>
          </cell>
          <cell r="AI187">
            <v>34.44</v>
          </cell>
          <cell r="AJ187">
            <v>11.200000000000003</v>
          </cell>
          <cell r="AK187">
            <v>1587.271</v>
          </cell>
          <cell r="AL187">
            <v>92.85700000000007</v>
          </cell>
          <cell r="AM187">
            <v>1725.768</v>
          </cell>
          <cell r="AV187">
            <v>34.44</v>
          </cell>
          <cell r="AW187">
            <v>11.200000000000003</v>
          </cell>
          <cell r="AX187">
            <v>1587.271</v>
          </cell>
          <cell r="AY187">
            <v>92.85700000000007</v>
          </cell>
          <cell r="AZ187">
            <v>1725.768</v>
          </cell>
          <cell r="BA187">
            <v>0</v>
          </cell>
          <cell r="BB187">
            <v>-13.025</v>
          </cell>
          <cell r="BC187">
            <v>-11.51</v>
          </cell>
          <cell r="BD187">
            <v>-5.206999999999999</v>
          </cell>
          <cell r="BE187">
            <v>-15.667</v>
          </cell>
          <cell r="BF187">
            <v>9</v>
          </cell>
          <cell r="BS187">
            <v>0</v>
          </cell>
        </row>
        <row r="188">
          <cell r="A188" t="str">
            <v>Issuance (repayment) of debt</v>
          </cell>
          <cell r="E188">
            <v>-36.856999999999999</v>
          </cell>
          <cell r="F188">
            <v>-18.841999999999999</v>
          </cell>
          <cell r="G188">
            <v>-249.505</v>
          </cell>
          <cell r="H188">
            <v>-7.8720000000000141</v>
          </cell>
          <cell r="I188">
            <v>-12.319000000000017</v>
          </cell>
          <cell r="J188">
            <v>-1.1889999999999645</v>
          </cell>
          <cell r="K188">
            <v>-270.88499999999999</v>
          </cell>
          <cell r="M188">
            <v>-17.428999999999998</v>
          </cell>
          <cell r="N188">
            <v>-235.15899999999999</v>
          </cell>
          <cell r="O188">
            <v>-25.114999999999984</v>
          </cell>
          <cell r="P188">
            <v>-247.85300000000004</v>
          </cell>
          <cell r="Q188">
            <v>-525.55600000000004</v>
          </cell>
          <cell r="R188">
            <v>-17.268000000000001</v>
          </cell>
          <cell r="S188">
            <v>-22.994</v>
          </cell>
          <cell r="T188">
            <v>-0.56400000000000006</v>
          </cell>
          <cell r="U188">
            <v>-569.24799999999993</v>
          </cell>
          <cell r="V188">
            <v>-610.07399999999996</v>
          </cell>
          <cell r="W188">
            <v>0</v>
          </cell>
          <cell r="X188">
            <v>-8.8140000000000001</v>
          </cell>
          <cell r="Y188">
            <v>-41.887999999999998</v>
          </cell>
          <cell r="Z188">
            <v>-713.23199999999997</v>
          </cell>
          <cell r="AA188">
            <v>-4.6220000000000709</v>
          </cell>
          <cell r="AB188">
            <v>-768.55600000000004</v>
          </cell>
          <cell r="AC188">
            <v>0</v>
          </cell>
          <cell r="AD188">
            <v>-3.46</v>
          </cell>
          <cell r="AE188">
            <v>-85.033000000000001</v>
          </cell>
          <cell r="AF188">
            <v>-3.9960000000000031</v>
          </cell>
          <cell r="AG188">
            <v>-23.051999999999985</v>
          </cell>
          <cell r="AH188">
            <v>-115.541</v>
          </cell>
          <cell r="AI188">
            <v>-45.640999999999998</v>
          </cell>
          <cell r="AJ188">
            <v>-100.74299999999999</v>
          </cell>
          <cell r="AK188">
            <v>-1180.106</v>
          </cell>
          <cell r="AL188">
            <v>-342.21900000000005</v>
          </cell>
          <cell r="AM188">
            <v>-1668.7090000000001</v>
          </cell>
          <cell r="AV188">
            <v>-45.640999999999998</v>
          </cell>
          <cell r="AW188">
            <v>-100.74299999999999</v>
          </cell>
          <cell r="AX188">
            <v>-1180.106</v>
          </cell>
          <cell r="AY188">
            <v>-342.21900000000005</v>
          </cell>
          <cell r="AZ188">
            <v>-1668.7090000000001</v>
          </cell>
          <cell r="BA188">
            <v>0</v>
          </cell>
          <cell r="BB188">
            <v>-1.495000000000001</v>
          </cell>
          <cell r="BC188">
            <v>1.849</v>
          </cell>
          <cell r="BD188">
            <v>-2.4980000000000002</v>
          </cell>
          <cell r="BE188">
            <v>-10.661999999999999</v>
          </cell>
          <cell r="BF188">
            <v>-15.070999999999996</v>
          </cell>
          <cell r="BG188">
            <v>-47.454999999999998</v>
          </cell>
          <cell r="BO188">
            <v>-42.326000000000001</v>
          </cell>
          <cell r="BP188">
            <v>-15.634999999999998</v>
          </cell>
          <cell r="BQ188">
            <v>-11.463465172311771</v>
          </cell>
          <cell r="BR188">
            <v>-6.1506527072695008</v>
          </cell>
          <cell r="BS188">
            <v>-75.575117879581271</v>
          </cell>
          <cell r="CA188">
            <v>-46.64199702343808</v>
          </cell>
          <cell r="CB188">
            <v>-50.989707251156688</v>
          </cell>
          <cell r="CC188">
            <v>-67.198961428920143</v>
          </cell>
          <cell r="CD188">
            <v>-63.694952041736997</v>
          </cell>
          <cell r="CF188" t="str">
            <v>mstag:netDecreaseInTradeReceivables</v>
          </cell>
          <cell r="CG188">
            <v>6</v>
          </cell>
          <cell r="CH188" t="str">
            <v>ISO4217:USD</v>
          </cell>
          <cell r="CI188" t="b">
            <v>0</v>
          </cell>
          <cell r="CJ188" t="b">
            <v>0</v>
          </cell>
        </row>
        <row r="189">
          <cell r="A189" t="str">
            <v>Net Cash from Financing Activities</v>
          </cell>
          <cell r="E189">
            <v>36.182000000000002</v>
          </cell>
          <cell r="F189">
            <v>219.89000000000004</v>
          </cell>
          <cell r="G189">
            <v>89.595000000000027</v>
          </cell>
          <cell r="H189">
            <v>4.2519999999999509</v>
          </cell>
          <cell r="I189">
            <v>44.33899999999997</v>
          </cell>
          <cell r="J189">
            <v>26.22600000000007</v>
          </cell>
          <cell r="K189">
            <v>164.41200000000003</v>
          </cell>
          <cell r="M189">
            <v>49.971000000000004</v>
          </cell>
          <cell r="N189">
            <v>60.396999999999991</v>
          </cell>
          <cell r="O189">
            <v>54.359000000000037</v>
          </cell>
          <cell r="P189">
            <v>66.186999999999983</v>
          </cell>
          <cell r="Q189">
            <v>230.91399999999999</v>
          </cell>
          <cell r="R189">
            <v>2.6499999999999986</v>
          </cell>
          <cell r="S189">
            <v>28.286000000000001</v>
          </cell>
          <cell r="T189">
            <v>3.875</v>
          </cell>
          <cell r="U189">
            <v>70.559000000000196</v>
          </cell>
          <cell r="V189">
            <v>105.37000000000012</v>
          </cell>
          <cell r="W189">
            <v>0</v>
          </cell>
          <cell r="X189">
            <v>48.125</v>
          </cell>
          <cell r="Y189">
            <v>-36.582000000000001</v>
          </cell>
          <cell r="Z189">
            <v>132.98900000000003</v>
          </cell>
          <cell r="AA189">
            <v>-14.433000000000071</v>
          </cell>
          <cell r="AB189">
            <v>130.09899999999993</v>
          </cell>
          <cell r="AC189">
            <v>0</v>
          </cell>
          <cell r="AD189">
            <v>65.13600000000001</v>
          </cell>
          <cell r="AE189">
            <v>-87.048000000000002</v>
          </cell>
          <cell r="AF189">
            <v>194.67</v>
          </cell>
          <cell r="AG189">
            <v>87.795000000000016</v>
          </cell>
          <cell r="AH189">
            <v>260.553</v>
          </cell>
          <cell r="AI189">
            <v>-11.509999999999998</v>
          </cell>
          <cell r="AJ189">
            <v>-89.891999999999996</v>
          </cell>
          <cell r="AK189">
            <v>113.52800000000002</v>
          </cell>
          <cell r="AL189">
            <v>46.770000000000095</v>
          </cell>
          <cell r="AM189">
            <v>58.895999999999958</v>
          </cell>
          <cell r="AV189">
            <v>-11.509999999999998</v>
          </cell>
          <cell r="AW189">
            <v>-89.891999999999996</v>
          </cell>
          <cell r="AX189">
            <v>113.52800000000002</v>
          </cell>
          <cell r="AY189">
            <v>46.770000000000095</v>
          </cell>
          <cell r="AZ189">
            <v>68.795999999999822</v>
          </cell>
          <cell r="BA189">
            <v>9.899999999999693</v>
          </cell>
          <cell r="BC189">
            <v>-1.495000000000001</v>
          </cell>
          <cell r="BD189">
            <v>5.5759999999999987</v>
          </cell>
          <cell r="BE189">
            <v>-68.596000000000004</v>
          </cell>
          <cell r="BF189">
            <v>2.3479999999999972</v>
          </cell>
          <cell r="BG189">
            <v>-16.838000000000001</v>
          </cell>
          <cell r="BO189">
            <v>2.798</v>
          </cell>
          <cell r="BP189">
            <v>-2.891</v>
          </cell>
          <cell r="BQ189">
            <v>-14.083310026428315</v>
          </cell>
          <cell r="BR189">
            <v>-1.6455516751252119</v>
          </cell>
          <cell r="BS189">
            <v>-15.821861701553527</v>
          </cell>
          <cell r="CA189">
            <v>-18.998376942700808</v>
          </cell>
          <cell r="CB189">
            <v>-18.246181408711756</v>
          </cell>
          <cell r="CC189">
            <v>-18.530302911656392</v>
          </cell>
          <cell r="CD189">
            <v>-17.858139317381429</v>
          </cell>
          <cell r="CF189" t="str">
            <v>mstag:netDecreaseInInventories</v>
          </cell>
          <cell r="CG189">
            <v>6</v>
          </cell>
          <cell r="CH189" t="str">
            <v>ISO4217:USD</v>
          </cell>
          <cell r="CI189" t="b">
            <v>0</v>
          </cell>
          <cell r="CJ189" t="b">
            <v>0</v>
          </cell>
        </row>
        <row r="190">
          <cell r="A190" t="str">
            <v>Change in cash and cash equivalents</v>
          </cell>
          <cell r="E190">
            <v>6.4239999999999782</v>
          </cell>
          <cell r="F190">
            <v>-0.94399999999987472</v>
          </cell>
          <cell r="G190">
            <v>4.3220000000000312</v>
          </cell>
          <cell r="H190">
            <v>-9.4550000000000214</v>
          </cell>
          <cell r="I190">
            <v>7.8780000000000001</v>
          </cell>
          <cell r="J190">
            <v>-19.181999999999995</v>
          </cell>
          <cell r="K190">
            <v>-2.436999999999955</v>
          </cell>
          <cell r="M190">
            <v>6.6030000000000442</v>
          </cell>
          <cell r="N190">
            <v>-4.8950000000000671</v>
          </cell>
          <cell r="O190">
            <v>1.9520000000000479</v>
          </cell>
          <cell r="P190">
            <v>5.7979999999999947</v>
          </cell>
          <cell r="Q190">
            <v>9.4579999999999131</v>
          </cell>
          <cell r="R190">
            <v>9.4760000000000026</v>
          </cell>
          <cell r="S190">
            <v>12.524000000000001</v>
          </cell>
          <cell r="T190">
            <v>-18.041000000000007</v>
          </cell>
          <cell r="U190">
            <v>-9.3129999999997466</v>
          </cell>
          <cell r="V190">
            <v>-5.3539999999998429</v>
          </cell>
          <cell r="W190">
            <v>0</v>
          </cell>
          <cell r="X190">
            <v>15.312000000000005</v>
          </cell>
          <cell r="Y190">
            <v>-3.6740000000000279</v>
          </cell>
          <cell r="Z190">
            <v>97.506000000000057</v>
          </cell>
          <cell r="AA190">
            <v>15.313999999999929</v>
          </cell>
          <cell r="AB190">
            <v>124.45799999999997</v>
          </cell>
          <cell r="AC190">
            <v>0</v>
          </cell>
          <cell r="AD190">
            <v>-113.28099999999993</v>
          </cell>
          <cell r="AE190">
            <v>5.7430000000000518</v>
          </cell>
          <cell r="AF190">
            <v>37.336000000000098</v>
          </cell>
          <cell r="AG190">
            <v>-46.311000000000035</v>
          </cell>
          <cell r="AH190">
            <v>-116.51299999999958</v>
          </cell>
          <cell r="AI190">
            <v>-0.23099999999998744</v>
          </cell>
          <cell r="AJ190">
            <v>2.5049999999999955</v>
          </cell>
          <cell r="AK190">
            <v>1.3470000000000226</v>
          </cell>
          <cell r="AL190">
            <v>62.546000000000085</v>
          </cell>
          <cell r="AM190">
            <v>66.253000000000043</v>
          </cell>
          <cell r="AV190">
            <v>-0.23099999999998744</v>
          </cell>
          <cell r="AW190">
            <v>2.5049999999999955</v>
          </cell>
          <cell r="AX190">
            <v>1.3470000000000226</v>
          </cell>
          <cell r="AY190">
            <v>62.545999999999957</v>
          </cell>
          <cell r="AZ190">
            <v>66.166999999999973</v>
          </cell>
          <cell r="BA190">
            <v>0</v>
          </cell>
          <cell r="BB190">
            <v>135.94929999999991</v>
          </cell>
          <cell r="BC190">
            <v>66.025000000000006</v>
          </cell>
          <cell r="BD190">
            <v>24.841999999999999</v>
          </cell>
          <cell r="BE190">
            <v>4.3990000000000009</v>
          </cell>
          <cell r="BF190">
            <v>-10.310000000000002</v>
          </cell>
          <cell r="BG190">
            <v>84.956000000000003</v>
          </cell>
          <cell r="BO190">
            <v>28.370999999999999</v>
          </cell>
          <cell r="BP190">
            <v>41.617000000000004</v>
          </cell>
          <cell r="BQ190">
            <v>-2.7037440129890529</v>
          </cell>
          <cell r="BR190">
            <v>2.5883317885252621</v>
          </cell>
          <cell r="BS190">
            <v>69.872587775536218</v>
          </cell>
          <cell r="CA190">
            <v>30.565820745669097</v>
          </cell>
          <cell r="CB190">
            <v>28.647870919151796</v>
          </cell>
          <cell r="CC190">
            <v>29.313808323153761</v>
          </cell>
          <cell r="CD190">
            <v>28.145369578059285</v>
          </cell>
          <cell r="CF190" t="str">
            <v>mstag:netIncreaseInTradeAndOtherPayables</v>
          </cell>
          <cell r="CG190">
            <v>6</v>
          </cell>
          <cell r="CH190" t="str">
            <v>ISO4217:USD</v>
          </cell>
          <cell r="CI190" t="b">
            <v>0</v>
          </cell>
          <cell r="CJ190" t="b">
            <v>0</v>
          </cell>
        </row>
        <row r="191">
          <cell r="A191" t="str">
            <v>Change in cash and cash equivalents</v>
          </cell>
          <cell r="E191">
            <v>6.4239999999999782</v>
          </cell>
          <cell r="F191">
            <v>-0.94399999999987472</v>
          </cell>
          <cell r="G191">
            <v>4.3220000000000312</v>
          </cell>
          <cell r="H191">
            <v>-9.4550000000000214</v>
          </cell>
          <cell r="I191">
            <v>7.8780000000000001</v>
          </cell>
          <cell r="J191">
            <v>-19.181999999999995</v>
          </cell>
          <cell r="K191">
            <v>-2.436999999999955</v>
          </cell>
          <cell r="M191">
            <v>6.6030000000000442</v>
          </cell>
          <cell r="N191">
            <v>-4.8950000000000671</v>
          </cell>
          <cell r="O191">
            <v>1.9520000000000479</v>
          </cell>
          <cell r="P191">
            <v>5.7979999999999947</v>
          </cell>
          <cell r="Q191">
            <v>9.4579999999999131</v>
          </cell>
          <cell r="R191">
            <v>9.4760000000000026</v>
          </cell>
          <cell r="S191">
            <v>12.524000000000001</v>
          </cell>
          <cell r="T191">
            <v>-18.041000000000007</v>
          </cell>
          <cell r="U191">
            <v>-9.3129999999997466</v>
          </cell>
          <cell r="V191">
            <v>-5.3539999999998429</v>
          </cell>
          <cell r="W191">
            <v>0</v>
          </cell>
          <cell r="X191">
            <v>15.312000000000005</v>
          </cell>
          <cell r="Y191">
            <v>-3.6740000000000279</v>
          </cell>
          <cell r="Z191">
            <v>97.506000000000057</v>
          </cell>
          <cell r="AA191">
            <v>15.313999999999929</v>
          </cell>
          <cell r="AB191">
            <v>124.45799999999997</v>
          </cell>
          <cell r="AC191">
            <v>0</v>
          </cell>
          <cell r="AD191">
            <v>-113.28099999999993</v>
          </cell>
          <cell r="AE191">
            <v>5.7430000000000518</v>
          </cell>
          <cell r="AF191">
            <v>37.336000000000098</v>
          </cell>
          <cell r="AG191">
            <v>-46.311000000000035</v>
          </cell>
          <cell r="AH191">
            <v>-116.51299999999958</v>
          </cell>
          <cell r="AI191">
            <v>-0.23099999999998744</v>
          </cell>
          <cell r="AJ191">
            <v>2.5049999999999955</v>
          </cell>
          <cell r="AK191">
            <v>1.3470000000000226</v>
          </cell>
          <cell r="AL191">
            <v>62.546000000000085</v>
          </cell>
          <cell r="AM191">
            <v>66.253000000000043</v>
          </cell>
          <cell r="AV191">
            <v>-0.23099999999998744</v>
          </cell>
          <cell r="AW191">
            <v>2.5049999999999955</v>
          </cell>
          <cell r="AX191">
            <v>1.3470000000000226</v>
          </cell>
          <cell r="AY191">
            <v>62.545999999999957</v>
          </cell>
          <cell r="AZ191">
            <v>76.066999999999837</v>
          </cell>
          <cell r="BA191">
            <v>9.8999999999998494</v>
          </cell>
          <cell r="BB191">
            <v>82.498000000000488</v>
          </cell>
          <cell r="BC191">
            <v>0</v>
          </cell>
          <cell r="BD191">
            <v>0</v>
          </cell>
          <cell r="BE191">
            <v>0</v>
          </cell>
          <cell r="BF191">
            <v>0</v>
          </cell>
          <cell r="BG191">
            <v>0</v>
          </cell>
          <cell r="BO191">
            <v>0</v>
          </cell>
          <cell r="BP191">
            <v>0</v>
          </cell>
          <cell r="BQ191">
            <v>0</v>
          </cell>
          <cell r="BR191">
            <v>0</v>
          </cell>
          <cell r="BS191">
            <v>0</v>
          </cell>
          <cell r="CA191">
            <v>0</v>
          </cell>
          <cell r="CB191">
            <v>0</v>
          </cell>
          <cell r="CC191">
            <v>0</v>
          </cell>
          <cell r="CD191">
            <v>0</v>
          </cell>
          <cell r="CF191" t="str">
            <v>mstag:netIncreaseInOtherLiabilitiesNonOperating</v>
          </cell>
          <cell r="CG191">
            <v>6</v>
          </cell>
          <cell r="CH191" t="str">
            <v>ISO4217:USD</v>
          </cell>
          <cell r="CI191" t="b">
            <v>0</v>
          </cell>
          <cell r="CJ191" t="b">
            <v>0</v>
          </cell>
        </row>
        <row r="192">
          <cell r="A192" t="str">
            <v>Beginning Cash</v>
          </cell>
          <cell r="E192">
            <v>0</v>
          </cell>
          <cell r="F192">
            <v>7.6630000000000003</v>
          </cell>
          <cell r="G192">
            <v>6.7190000000000003</v>
          </cell>
          <cell r="H192">
            <v>11.041000000000032</v>
          </cell>
          <cell r="I192">
            <v>1.586000000000011</v>
          </cell>
          <cell r="J192">
            <v>9.4640000000000111</v>
          </cell>
          <cell r="K192">
            <v>6.7190000000000003</v>
          </cell>
          <cell r="M192">
            <v>4.2820000000000453</v>
          </cell>
          <cell r="N192">
            <v>10.88500000000009</v>
          </cell>
          <cell r="O192">
            <v>5.9900000000000233</v>
          </cell>
          <cell r="P192">
            <v>7.9420000000000712</v>
          </cell>
          <cell r="Q192">
            <v>4.2820000000000453</v>
          </cell>
          <cell r="R192">
            <v>13.739999999999959</v>
          </cell>
          <cell r="S192">
            <v>23.215999999999962</v>
          </cell>
          <cell r="T192">
            <v>35.739999999999966</v>
          </cell>
          <cell r="U192">
            <v>17.698999999999959</v>
          </cell>
          <cell r="V192">
            <v>13.739999999999959</v>
          </cell>
          <cell r="W192">
            <v>0</v>
          </cell>
          <cell r="X192">
            <v>8.3860000000001165</v>
          </cell>
          <cell r="Y192">
            <v>23.698000000000121</v>
          </cell>
          <cell r="Z192">
            <v>20.024000000000093</v>
          </cell>
          <cell r="AA192">
            <v>117.53000000000014</v>
          </cell>
          <cell r="AB192">
            <v>8.3860000000001165</v>
          </cell>
          <cell r="AC192">
            <v>0</v>
          </cell>
          <cell r="AD192">
            <v>132.84400000000008</v>
          </cell>
          <cell r="AE192">
            <v>19.563000000000144</v>
          </cell>
          <cell r="AF192">
            <v>25.306000000000196</v>
          </cell>
          <cell r="AG192">
            <v>62.642000000000294</v>
          </cell>
          <cell r="AH192">
            <v>132.84400000000008</v>
          </cell>
          <cell r="AI192">
            <v>8.3860000000001165</v>
          </cell>
          <cell r="AJ192">
            <v>8.155000000000129</v>
          </cell>
          <cell r="AK192">
            <v>10.660000000000124</v>
          </cell>
          <cell r="AL192">
            <v>12.007000000000147</v>
          </cell>
          <cell r="AM192">
            <v>8.3860000000001165</v>
          </cell>
          <cell r="AV192">
            <v>16.3310000000005</v>
          </cell>
          <cell r="AW192">
            <v>16.100000000000513</v>
          </cell>
          <cell r="AX192">
            <v>18.605000000000508</v>
          </cell>
          <cell r="AY192">
            <v>19.952000000000531</v>
          </cell>
          <cell r="AZ192">
            <v>16.3310000000005</v>
          </cell>
          <cell r="BA192">
            <v>-54.657000000001545</v>
          </cell>
          <cell r="BB192">
            <v>218.44730000000038</v>
          </cell>
          <cell r="BC192">
            <v>8.0129999999999999</v>
          </cell>
          <cell r="BD192">
            <v>19.996000000000002</v>
          </cell>
          <cell r="BE192">
            <v>-4.6070000000000011</v>
          </cell>
          <cell r="BF192">
            <v>1.5750000000000011</v>
          </cell>
          <cell r="BG192">
            <v>24.977</v>
          </cell>
          <cell r="BO192">
            <v>2.1760000000000002</v>
          </cell>
          <cell r="BP192">
            <v>-11.888</v>
          </cell>
          <cell r="BQ192">
            <v>12.3658048661772</v>
          </cell>
          <cell r="BR192">
            <v>-0.21970024404663491</v>
          </cell>
          <cell r="BS192">
            <v>2.4341046221305653</v>
          </cell>
          <cell r="CA192">
            <v>12.980182597408003</v>
          </cell>
          <cell r="CB192">
            <v>14.241519351081024</v>
          </cell>
          <cell r="CC192">
            <v>13.942375727435433</v>
          </cell>
          <cell r="CD192">
            <v>13.685699819323247</v>
          </cell>
          <cell r="CF192" t="str">
            <v>mstag:netIncreaseInOtherLiabilitiesOperating</v>
          </cell>
          <cell r="CG192">
            <v>6</v>
          </cell>
          <cell r="CH192" t="str">
            <v>ISO4217:USD</v>
          </cell>
          <cell r="CI192" t="b">
            <v>0</v>
          </cell>
          <cell r="CJ192" t="b">
            <v>0</v>
          </cell>
        </row>
        <row r="193">
          <cell r="A193" t="str">
            <v>Ending Cash</v>
          </cell>
          <cell r="E193">
            <v>6.4239999999999782</v>
          </cell>
          <cell r="F193">
            <v>6.7190000000000003</v>
          </cell>
          <cell r="G193">
            <v>11.041000000000032</v>
          </cell>
          <cell r="H193">
            <v>1.586000000000011</v>
          </cell>
          <cell r="I193">
            <v>9.4640000000000111</v>
          </cell>
          <cell r="J193">
            <v>-9.717999999999984</v>
          </cell>
          <cell r="K193">
            <v>4.2820000000000453</v>
          </cell>
          <cell r="M193">
            <v>10.88500000000009</v>
          </cell>
          <cell r="N193">
            <v>5.9900000000000233</v>
          </cell>
          <cell r="O193">
            <v>7.9420000000000712</v>
          </cell>
          <cell r="P193">
            <v>13.740000000000066</v>
          </cell>
          <cell r="Q193">
            <v>13.739999999999959</v>
          </cell>
          <cell r="R193">
            <v>23.215999999999962</v>
          </cell>
          <cell r="S193">
            <v>35.739999999999966</v>
          </cell>
          <cell r="T193">
            <v>17.698999999999959</v>
          </cell>
          <cell r="U193">
            <v>8.3860000000002124</v>
          </cell>
          <cell r="V193">
            <v>8.3860000000001165</v>
          </cell>
          <cell r="W193">
            <v>0</v>
          </cell>
          <cell r="X193">
            <v>23.698000000000121</v>
          </cell>
          <cell r="Y193">
            <v>20.024000000000093</v>
          </cell>
          <cell r="Z193">
            <v>117.53000000000014</v>
          </cell>
          <cell r="AA193">
            <v>132.84400000000008</v>
          </cell>
          <cell r="AB193">
            <v>132.84400000000008</v>
          </cell>
          <cell r="AC193">
            <v>0</v>
          </cell>
          <cell r="AD193">
            <v>19.563000000000144</v>
          </cell>
          <cell r="AE193">
            <v>25.306000000000196</v>
          </cell>
          <cell r="AF193">
            <v>62.642000000000294</v>
          </cell>
          <cell r="AG193">
            <v>16.331000000000259</v>
          </cell>
          <cell r="AH193">
            <v>16.3310000000005</v>
          </cell>
          <cell r="AI193">
            <v>8.155000000000129</v>
          </cell>
          <cell r="AJ193">
            <v>10.660000000000124</v>
          </cell>
          <cell r="AK193">
            <v>12.007000000000147</v>
          </cell>
          <cell r="AL193">
            <v>74.553000000000225</v>
          </cell>
          <cell r="AM193">
            <v>74.639000000000152</v>
          </cell>
          <cell r="AV193">
            <v>16.100000000000513</v>
          </cell>
          <cell r="AW193">
            <v>18.605000000000508</v>
          </cell>
          <cell r="AX193">
            <v>19.952000000000531</v>
          </cell>
          <cell r="AY193">
            <v>82.498000000000488</v>
          </cell>
          <cell r="AZ193">
            <v>92.398000000000337</v>
          </cell>
          <cell r="BA193">
            <v>0</v>
          </cell>
          <cell r="BC193">
            <v>218.44700000000046</v>
          </cell>
          <cell r="BD193">
            <v>272.36370000000045</v>
          </cell>
          <cell r="BE193">
            <v>184.27970000000047</v>
          </cell>
          <cell r="BF193">
            <v>75.286000000000016</v>
          </cell>
          <cell r="BG193">
            <v>411.04870000000005</v>
          </cell>
          <cell r="BO193">
            <v>90.813999999999766</v>
          </cell>
          <cell r="BP193">
            <v>116.23200000000008</v>
          </cell>
          <cell r="BQ193">
            <v>88.214431508029307</v>
          </cell>
          <cell r="BR193">
            <v>100.41492343692008</v>
          </cell>
          <cell r="BS193">
            <v>395.67535494494928</v>
          </cell>
          <cell r="CA193">
            <v>436.39600139826837</v>
          </cell>
          <cell r="CB193">
            <v>480.07691711022977</v>
          </cell>
          <cell r="CC193">
            <v>490.14351107276582</v>
          </cell>
          <cell r="CD193">
            <v>550.39359132106733</v>
          </cell>
        </row>
        <row r="194">
          <cell r="W194">
            <v>0</v>
          </cell>
          <cell r="BA194">
            <v>0</v>
          </cell>
        </row>
        <row r="195">
          <cell r="A195" t="str">
            <v>Cash Flow from Investing Activities:</v>
          </cell>
          <cell r="W195">
            <v>0</v>
          </cell>
          <cell r="AC195">
            <v>0</v>
          </cell>
          <cell r="BA195">
            <v>0</v>
          </cell>
        </row>
        <row r="196">
          <cell r="A196" t="str">
            <v>Acquisitions of facilities</v>
          </cell>
          <cell r="E196">
            <v>-36.295999999999999</v>
          </cell>
          <cell r="F196">
            <v>-172.59700000000001</v>
          </cell>
          <cell r="G196">
            <v>-44.347000000000001</v>
          </cell>
          <cell r="H196">
            <v>0</v>
          </cell>
          <cell r="I196">
            <v>-5.7950000000000017</v>
          </cell>
          <cell r="J196">
            <v>-12.556999999999995</v>
          </cell>
          <cell r="K196">
            <v>-62.698999999999998</v>
          </cell>
          <cell r="M196">
            <v>-21.391999999999999</v>
          </cell>
          <cell r="N196">
            <v>-19.247000000000003</v>
          </cell>
          <cell r="O196">
            <v>-35.015000000000001</v>
          </cell>
          <cell r="P196">
            <v>-72.562000000000012</v>
          </cell>
          <cell r="Q196">
            <v>-148.21600000000001</v>
          </cell>
          <cell r="R196">
            <v>0</v>
          </cell>
          <cell r="S196">
            <v>-50.063000000000002</v>
          </cell>
          <cell r="T196">
            <v>-5.0030000000000001</v>
          </cell>
          <cell r="U196">
            <v>-95.874999999999986</v>
          </cell>
          <cell r="V196">
            <v>-150.94099999999997</v>
          </cell>
          <cell r="W196">
            <v>0</v>
          </cell>
          <cell r="X196">
            <v>-56.106000000000002</v>
          </cell>
          <cell r="Y196">
            <v>-14.015999999999998</v>
          </cell>
          <cell r="Z196">
            <v>-57.570999999999991</v>
          </cell>
          <cell r="AA196">
            <v>-28.376000000000005</v>
          </cell>
          <cell r="AB196">
            <v>-156.06899999999999</v>
          </cell>
          <cell r="AC196">
            <v>0</v>
          </cell>
          <cell r="AD196">
            <v>-147.24100000000001</v>
          </cell>
          <cell r="AE196">
            <v>-9.9349999999999739</v>
          </cell>
          <cell r="AF196">
            <v>-163.05699999999999</v>
          </cell>
          <cell r="AG196">
            <v>-130.33900000000003</v>
          </cell>
          <cell r="AH196">
            <v>-450.572</v>
          </cell>
          <cell r="AI196">
            <v>-3.9860000000000002</v>
          </cell>
          <cell r="AJ196">
            <v>-1.3039999999999998</v>
          </cell>
          <cell r="AK196">
            <v>-126.52499999999999</v>
          </cell>
          <cell r="AL196">
            <v>-1.2179999999999951</v>
          </cell>
          <cell r="AM196">
            <v>-133.03299999999999</v>
          </cell>
          <cell r="AV196">
            <v>-3.9860000000000002</v>
          </cell>
          <cell r="AW196">
            <v>-1.3039999999999998</v>
          </cell>
          <cell r="AX196">
            <v>-126.52499999999999</v>
          </cell>
          <cell r="AY196">
            <v>-1.2179999999999951</v>
          </cell>
          <cell r="AZ196">
            <v>-133.03299999999999</v>
          </cell>
          <cell r="BA196">
            <v>0</v>
          </cell>
          <cell r="BC196">
            <v>-24.853999999999999</v>
          </cell>
          <cell r="BD196">
            <v>-20.959000000000003</v>
          </cell>
          <cell r="BE196">
            <v>-15.14</v>
          </cell>
          <cell r="BF196">
            <v>-97.425999999999974</v>
          </cell>
          <cell r="BG196">
            <v>-158.37899999999999</v>
          </cell>
          <cell r="BO196">
            <v>-17.448</v>
          </cell>
          <cell r="BP196">
            <v>-160.56699999999998</v>
          </cell>
          <cell r="BQ196">
            <v>-100</v>
          </cell>
          <cell r="BR196">
            <v>-50</v>
          </cell>
          <cell r="BS196">
            <v>-328.01499999999999</v>
          </cell>
          <cell r="CA196">
            <v>-170.56780000000001</v>
          </cell>
          <cell r="CB196">
            <v>-179.09619000000001</v>
          </cell>
          <cell r="CC196">
            <v>-141.03824962500002</v>
          </cell>
          <cell r="CD196">
            <v>-148.09016210625001</v>
          </cell>
          <cell r="CF196" t="str">
            <v>mstag:netDisposalsAcquisitions</v>
          </cell>
          <cell r="CG196">
            <v>6</v>
          </cell>
          <cell r="CH196" t="str">
            <v>ISO4217:USD</v>
          </cell>
          <cell r="CI196" t="b">
            <v>0</v>
          </cell>
          <cell r="CJ196" t="b">
            <v>0</v>
          </cell>
        </row>
        <row r="197">
          <cell r="A197" t="str">
            <v>Purchases of property and equipment</v>
          </cell>
          <cell r="E197">
            <v>-48.826000000000001</v>
          </cell>
          <cell r="F197">
            <v>-52.88</v>
          </cell>
          <cell r="G197">
            <v>-19.215</v>
          </cell>
          <cell r="H197">
            <v>-18.697999999999997</v>
          </cell>
          <cell r="I197">
            <v>-19.455000000000002</v>
          </cell>
          <cell r="J197">
            <v>-19.887000000000004</v>
          </cell>
          <cell r="K197">
            <v>-77.254999999999995</v>
          </cell>
          <cell r="M197">
            <v>-12.002000000000001</v>
          </cell>
          <cell r="N197">
            <v>-12.004</v>
          </cell>
          <cell r="O197">
            <v>-12.741999999999999</v>
          </cell>
          <cell r="P197">
            <v>-26.257000000000005</v>
          </cell>
          <cell r="Q197">
            <v>-63.005000000000003</v>
          </cell>
          <cell r="R197">
            <v>-18.577000000000002</v>
          </cell>
          <cell r="S197">
            <v>-20.478999999999996</v>
          </cell>
          <cell r="T197">
            <v>-25.707000000000004</v>
          </cell>
          <cell r="U197">
            <v>-18.468999999999991</v>
          </cell>
          <cell r="V197">
            <v>-83.231999999999999</v>
          </cell>
          <cell r="W197">
            <v>0</v>
          </cell>
          <cell r="X197">
            <v>-18.411000000000001</v>
          </cell>
          <cell r="Y197">
            <v>-32.481000000000002</v>
          </cell>
          <cell r="Z197">
            <v>-30.7</v>
          </cell>
          <cell r="AA197">
            <v>-22.382999999999996</v>
          </cell>
          <cell r="AB197">
            <v>-103.97499999999999</v>
          </cell>
          <cell r="AC197">
            <v>0</v>
          </cell>
          <cell r="AD197">
            <v>-32.261000000000003</v>
          </cell>
          <cell r="AE197">
            <v>-34.089999999999996</v>
          </cell>
          <cell r="AF197">
            <v>-34.558000000000014</v>
          </cell>
          <cell r="AG197">
            <v>-45.469999999999963</v>
          </cell>
          <cell r="AH197">
            <v>-146.37899999999999</v>
          </cell>
          <cell r="AI197">
            <v>-39.896999999999998</v>
          </cell>
          <cell r="AJ197">
            <v>-43.246000000000002</v>
          </cell>
          <cell r="AK197">
            <v>-42.05899999999999</v>
          </cell>
          <cell r="AL197">
            <v>-39.083999999999996</v>
          </cell>
          <cell r="AM197">
            <v>-164.286</v>
          </cell>
          <cell r="AV197">
            <v>-39.896999999999998</v>
          </cell>
          <cell r="AW197">
            <v>-43.246000000000002</v>
          </cell>
          <cell r="AX197">
            <v>-42.05899999999999</v>
          </cell>
          <cell r="AY197">
            <v>-39.083999999999996</v>
          </cell>
          <cell r="AZ197">
            <v>-164.286</v>
          </cell>
          <cell r="BA197">
            <v>0</v>
          </cell>
          <cell r="BC197">
            <v>-33.165999999999997</v>
          </cell>
          <cell r="BD197">
            <v>-43.569000000000003</v>
          </cell>
          <cell r="BE197">
            <v>-53.935999999999993</v>
          </cell>
          <cell r="BF197">
            <v>-57.694000000000031</v>
          </cell>
          <cell r="BG197">
            <v>-188.36500000000001</v>
          </cell>
          <cell r="BO197">
            <v>-39.704000000000001</v>
          </cell>
          <cell r="BP197">
            <v>-54.49</v>
          </cell>
          <cell r="BQ197">
            <v>-69</v>
          </cell>
          <cell r="BR197">
            <v>-69.900000000000006</v>
          </cell>
          <cell r="BS197">
            <v>-233.09400000000002</v>
          </cell>
          <cell r="CA197">
            <v>-257.40000000000003</v>
          </cell>
          <cell r="CB197">
            <v>-268.8</v>
          </cell>
          <cell r="CC197">
            <v>-280</v>
          </cell>
          <cell r="CD197">
            <v>-289.60000000000002</v>
          </cell>
          <cell r="CF197" t="str">
            <v>mstag:capitalExpenditures</v>
          </cell>
          <cell r="CG197">
            <v>6</v>
          </cell>
          <cell r="CH197" t="str">
            <v>ISO4217:USD</v>
          </cell>
          <cell r="CI197" t="b">
            <v>1</v>
          </cell>
          <cell r="CJ197" t="b">
            <v>0</v>
          </cell>
        </row>
        <row r="198">
          <cell r="A198" t="str">
            <v>Proceeds from sale of equipment</v>
          </cell>
          <cell r="E198">
            <v>18.75</v>
          </cell>
          <cell r="F198">
            <v>1.5309999999999999</v>
          </cell>
          <cell r="G198">
            <v>2.1999999999999999E-2</v>
          </cell>
          <cell r="H198">
            <v>3.9E-2</v>
          </cell>
          <cell r="I198">
            <v>5.2000000000000011E-2</v>
          </cell>
          <cell r="J198">
            <v>7.9999999999999793E-3</v>
          </cell>
          <cell r="K198">
            <v>0.121</v>
          </cell>
          <cell r="M198">
            <v>7.0000000000000001E-3</v>
          </cell>
          <cell r="N198">
            <v>5.5E-2</v>
          </cell>
          <cell r="O198">
            <v>2.3000000000000007E-2</v>
          </cell>
          <cell r="P198">
            <v>2.1999999999999992E-2</v>
          </cell>
          <cell r="Q198">
            <v>0.107</v>
          </cell>
          <cell r="R198">
            <v>5.2999999999999999E-2</v>
          </cell>
          <cell r="S198">
            <v>0</v>
          </cell>
          <cell r="T198">
            <v>0.11500000000000002</v>
          </cell>
          <cell r="U198">
            <v>0.25499999999999995</v>
          </cell>
          <cell r="V198">
            <v>0.42299999999999993</v>
          </cell>
          <cell r="W198">
            <v>0</v>
          </cell>
          <cell r="X198">
            <v>1.2E-2</v>
          </cell>
          <cell r="Y198">
            <v>0.10200000000000001</v>
          </cell>
          <cell r="Z198">
            <v>0.32599999999999996</v>
          </cell>
          <cell r="AA198">
            <v>3.3000000000000029E-2</v>
          </cell>
          <cell r="AB198">
            <v>0.47299999999999998</v>
          </cell>
          <cell r="AC198">
            <v>0</v>
          </cell>
          <cell r="AD198">
            <v>3.0000000000000001E-3</v>
          </cell>
          <cell r="AE198">
            <v>0.247</v>
          </cell>
          <cell r="AF198">
            <v>0.78600000000000003</v>
          </cell>
          <cell r="AG198">
            <v>3.6000000000000032E-2</v>
          </cell>
          <cell r="AH198">
            <v>1.0720000000000001</v>
          </cell>
          <cell r="AI198">
            <v>0.83899999999999997</v>
          </cell>
          <cell r="AJ198">
            <v>0.13700000000000001</v>
          </cell>
          <cell r="AK198">
            <v>7.9379999999999988</v>
          </cell>
          <cell r="AL198">
            <v>-8.1239999999999988</v>
          </cell>
          <cell r="AM198">
            <v>0.79</v>
          </cell>
          <cell r="AV198">
            <v>0.83899999999999997</v>
          </cell>
          <cell r="AW198">
            <v>0.13700000000000001</v>
          </cell>
          <cell r="AX198">
            <v>7.9379999999999988</v>
          </cell>
          <cell r="AY198">
            <v>-8.1239999999999988</v>
          </cell>
          <cell r="AZ198">
            <v>0.79</v>
          </cell>
          <cell r="BA198">
            <v>8.8817841970012523E-16</v>
          </cell>
          <cell r="BC198">
            <v>2.1309999999999998</v>
          </cell>
          <cell r="BD198">
            <v>2.4000000000000021E-2</v>
          </cell>
          <cell r="BE198">
            <v>-2.1549999999999998</v>
          </cell>
          <cell r="BF198">
            <v>2.3250000000000006</v>
          </cell>
          <cell r="BG198">
            <v>2.3250000000000002</v>
          </cell>
          <cell r="BO198">
            <v>3.4000000000000002E-2</v>
          </cell>
          <cell r="BP198">
            <v>3.9999999999999994E-2</v>
          </cell>
          <cell r="BQ198">
            <v>0</v>
          </cell>
          <cell r="BR198">
            <v>0</v>
          </cell>
          <cell r="BS198">
            <v>7.3999999999999996E-2</v>
          </cell>
          <cell r="CA198">
            <v>0</v>
          </cell>
          <cell r="CB198">
            <v>0</v>
          </cell>
          <cell r="CC198">
            <v>0</v>
          </cell>
          <cell r="CD198">
            <v>0</v>
          </cell>
          <cell r="CF198" t="str">
            <v>mstag:proceedsFromSaleOfPpeAndIntangibleAssets</v>
          </cell>
          <cell r="CG198">
            <v>6</v>
          </cell>
          <cell r="CH198" t="str">
            <v>ISO4217:USD</v>
          </cell>
          <cell r="CI198" t="b">
            <v>0</v>
          </cell>
          <cell r="CJ198" t="b">
            <v>0</v>
          </cell>
        </row>
        <row r="199">
          <cell r="A199" t="str">
            <v>Disposition of a facility</v>
          </cell>
          <cell r="J199">
            <v>0</v>
          </cell>
          <cell r="K199">
            <v>0</v>
          </cell>
          <cell r="M199">
            <v>0</v>
          </cell>
          <cell r="N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4.0880000000000001</v>
          </cell>
          <cell r="AH199">
            <v>4.0880000000000001</v>
          </cell>
          <cell r="AI199">
            <v>0</v>
          </cell>
          <cell r="AJ199">
            <v>0</v>
          </cell>
          <cell r="AK199">
            <v>0</v>
          </cell>
          <cell r="AL199">
            <v>7.85</v>
          </cell>
          <cell r="AM199">
            <v>7.85</v>
          </cell>
          <cell r="AV199">
            <v>0</v>
          </cell>
          <cell r="AW199">
            <v>0</v>
          </cell>
          <cell r="AX199">
            <v>0</v>
          </cell>
          <cell r="AY199">
            <v>7.85</v>
          </cell>
          <cell r="AZ199">
            <v>7.85</v>
          </cell>
          <cell r="BA199">
            <v>0</v>
          </cell>
          <cell r="BC199">
            <v>51.860999999999997</v>
          </cell>
          <cell r="BD199">
            <v>0</v>
          </cell>
          <cell r="BE199">
            <v>0.13700000000000045</v>
          </cell>
          <cell r="BF199">
            <v>0</v>
          </cell>
          <cell r="BG199">
            <v>51.997999999999998</v>
          </cell>
          <cell r="BO199">
            <v>0.5</v>
          </cell>
          <cell r="BP199">
            <v>0.25</v>
          </cell>
          <cell r="BQ199">
            <v>0</v>
          </cell>
          <cell r="BR199">
            <v>0</v>
          </cell>
          <cell r="BS199">
            <v>0.75</v>
          </cell>
          <cell r="CA199">
            <v>0</v>
          </cell>
          <cell r="CF199" t="str">
            <v>mstag:proceedsFromSaleOfPpeAndIntangibleAssets</v>
          </cell>
          <cell r="CG199">
            <v>6</v>
          </cell>
          <cell r="CH199" t="str">
            <v>ISO4217:USD</v>
          </cell>
          <cell r="CI199" t="b">
            <v>0</v>
          </cell>
          <cell r="CJ199" t="b">
            <v>0</v>
          </cell>
        </row>
        <row r="200">
          <cell r="A200" t="str">
            <v>Increase in other assets</v>
          </cell>
          <cell r="E200">
            <v>-10.279</v>
          </cell>
          <cell r="F200">
            <v>-12.606999999999999</v>
          </cell>
          <cell r="G200">
            <v>-2.6030000000000002</v>
          </cell>
          <cell r="H200">
            <v>-3.2429999999999999</v>
          </cell>
          <cell r="I200">
            <v>-4.0839999999999996</v>
          </cell>
          <cell r="J200">
            <v>-5.7780000000000005</v>
          </cell>
          <cell r="K200">
            <v>-15.708</v>
          </cell>
          <cell r="M200">
            <v>-5.0359999999999996</v>
          </cell>
          <cell r="N200">
            <v>-4.6420000000000012</v>
          </cell>
          <cell r="O200">
            <v>-7.0829999999999984</v>
          </cell>
          <cell r="P200">
            <v>-16.565999999999999</v>
          </cell>
          <cell r="Q200">
            <v>-33.326999999999998</v>
          </cell>
          <cell r="R200">
            <v>-6.2050000000000001</v>
          </cell>
          <cell r="S200">
            <v>-9.1929999999999996</v>
          </cell>
          <cell r="T200">
            <v>-9.859</v>
          </cell>
          <cell r="U200">
            <v>-6.1040000000000028</v>
          </cell>
          <cell r="V200">
            <v>-31.361000000000001</v>
          </cell>
          <cell r="W200">
            <v>0</v>
          </cell>
          <cell r="X200">
            <v>-7.1669999999999998</v>
          </cell>
          <cell r="Y200">
            <v>-7.593</v>
          </cell>
          <cell r="Z200">
            <v>-8.6390000000000011</v>
          </cell>
          <cell r="AA200">
            <v>-8.1699999999999982</v>
          </cell>
          <cell r="AB200">
            <v>-31.568999999999999</v>
          </cell>
          <cell r="AC200">
            <v>0</v>
          </cell>
          <cell r="AD200">
            <v>-7.4279999999999999</v>
          </cell>
          <cell r="AE200">
            <v>-6.2120000000000006</v>
          </cell>
          <cell r="AF200">
            <v>-7.5700000000000012</v>
          </cell>
          <cell r="AG200">
            <v>-7.7689999999999992</v>
          </cell>
          <cell r="AH200">
            <v>-28.978999999999999</v>
          </cell>
          <cell r="AI200">
            <v>-7.4080000000000004</v>
          </cell>
          <cell r="AJ200">
            <v>-7.444</v>
          </cell>
          <cell r="AK200">
            <v>-8.7240000000000002</v>
          </cell>
          <cell r="AL200">
            <v>-6.2240000000000011</v>
          </cell>
          <cell r="AM200">
            <v>-29.8</v>
          </cell>
          <cell r="AV200">
            <v>-7.4080000000000004</v>
          </cell>
          <cell r="AW200">
            <v>-7.444</v>
          </cell>
          <cell r="AX200">
            <v>-8.7240000000000002</v>
          </cell>
          <cell r="AY200">
            <v>-6.2240000000000011</v>
          </cell>
          <cell r="AZ200">
            <v>-29.8</v>
          </cell>
          <cell r="BA200">
            <v>0</v>
          </cell>
          <cell r="BC200">
            <v>-7.2370000000000001</v>
          </cell>
          <cell r="BD200">
            <v>-14.842000000000001</v>
          </cell>
          <cell r="BE200">
            <v>-7.7609999999999992</v>
          </cell>
          <cell r="BF200">
            <v>-5.0109999999999992</v>
          </cell>
          <cell r="BG200">
            <v>-34.850999999999999</v>
          </cell>
          <cell r="BO200">
            <v>-22.425000000000001</v>
          </cell>
          <cell r="BP200">
            <v>-1.9570000000000007</v>
          </cell>
          <cell r="BQ200">
            <v>0</v>
          </cell>
          <cell r="BR200">
            <v>0</v>
          </cell>
          <cell r="BS200">
            <v>-24.382000000000001</v>
          </cell>
          <cell r="CA200">
            <v>0</v>
          </cell>
          <cell r="CB200">
            <v>0</v>
          </cell>
          <cell r="CC200">
            <v>0</v>
          </cell>
          <cell r="CD200">
            <v>0</v>
          </cell>
          <cell r="CF200" t="str">
            <v>mstag:otherCashFlowsFromUsedInNonoperatingActivities</v>
          </cell>
          <cell r="CG200">
            <v>6</v>
          </cell>
          <cell r="CH200" t="str">
            <v>ISO4217:USD</v>
          </cell>
          <cell r="CI200" t="b">
            <v>0</v>
          </cell>
          <cell r="CJ200" t="b">
            <v>0</v>
          </cell>
        </row>
        <row r="201">
          <cell r="A201" t="str">
            <v>Net Cash from Investing Activities</v>
          </cell>
          <cell r="E201">
            <v>-76.650999999999996</v>
          </cell>
          <cell r="F201">
            <v>-236.553</v>
          </cell>
          <cell r="G201">
            <v>-66.143000000000001</v>
          </cell>
          <cell r="H201">
            <v>-21.901999999999994</v>
          </cell>
          <cell r="I201">
            <v>-29.282000000000004</v>
          </cell>
          <cell r="J201">
            <v>-38.213999999999999</v>
          </cell>
          <cell r="K201">
            <v>-155.541</v>
          </cell>
          <cell r="M201">
            <v>-38.423000000000002</v>
          </cell>
          <cell r="N201">
            <v>-35.838000000000008</v>
          </cell>
          <cell r="O201">
            <v>-54.816999999999993</v>
          </cell>
          <cell r="P201">
            <v>-115.36300000000001</v>
          </cell>
          <cell r="Q201">
            <v>-244.441</v>
          </cell>
          <cell r="R201">
            <v>-24.728999999999999</v>
          </cell>
          <cell r="S201">
            <v>-79.734999999999999</v>
          </cell>
          <cell r="T201">
            <v>-40.454000000000008</v>
          </cell>
          <cell r="U201">
            <v>-120.19299999999997</v>
          </cell>
          <cell r="V201">
            <v>-265.11099999999999</v>
          </cell>
          <cell r="W201">
            <v>0</v>
          </cell>
          <cell r="X201">
            <v>-81.671999999999997</v>
          </cell>
          <cell r="Y201">
            <v>-53.988</v>
          </cell>
          <cell r="Z201">
            <v>-96.583999999999989</v>
          </cell>
          <cell r="AA201">
            <v>-58.896000000000001</v>
          </cell>
          <cell r="AB201">
            <v>-291.14</v>
          </cell>
          <cell r="AC201">
            <v>0</v>
          </cell>
          <cell r="AD201">
            <v>-186.92700000000002</v>
          </cell>
          <cell r="AE201">
            <v>-49.989999999999974</v>
          </cell>
          <cell r="AF201">
            <v>-204.399</v>
          </cell>
          <cell r="AG201">
            <v>-179.45400000000001</v>
          </cell>
          <cell r="AH201">
            <v>-620.7700000000001</v>
          </cell>
          <cell r="AI201">
            <v>-50.451999999999998</v>
          </cell>
          <cell r="AJ201">
            <v>-51.857000000000006</v>
          </cell>
          <cell r="AK201">
            <v>-169.36999999999998</v>
          </cell>
          <cell r="AL201">
            <v>-46.79999999999999</v>
          </cell>
          <cell r="AM201">
            <v>-318.47899999999993</v>
          </cell>
          <cell r="AV201">
            <v>-50.451999999999998</v>
          </cell>
          <cell r="AW201">
            <v>-51.857000000000006</v>
          </cell>
          <cell r="AX201">
            <v>-169.36999999999998</v>
          </cell>
          <cell r="AY201">
            <v>-46.79999999999999</v>
          </cell>
          <cell r="AZ201">
            <v>-318.47899999999993</v>
          </cell>
          <cell r="BA201">
            <v>0</v>
          </cell>
          <cell r="BC201">
            <v>-11.264999999999999</v>
          </cell>
          <cell r="BD201">
            <v>-79.346000000000004</v>
          </cell>
          <cell r="BE201">
            <v>-78.85499999999999</v>
          </cell>
          <cell r="BF201">
            <v>-157.80600000000001</v>
          </cell>
          <cell r="BG201">
            <v>-327.27200000000005</v>
          </cell>
          <cell r="BO201">
            <v>-79.043000000000006</v>
          </cell>
          <cell r="BP201">
            <v>-216.72399999999999</v>
          </cell>
          <cell r="BQ201">
            <v>-169</v>
          </cell>
          <cell r="BR201">
            <v>-119.9</v>
          </cell>
          <cell r="BS201">
            <v>-584.66700000000003</v>
          </cell>
          <cell r="CA201">
            <v>-427.96780000000001</v>
          </cell>
          <cell r="CB201">
            <v>-447.89619000000005</v>
          </cell>
          <cell r="CC201">
            <v>-421.03824962500005</v>
          </cell>
          <cell r="CD201">
            <v>-437.69016210625</v>
          </cell>
        </row>
        <row r="202">
          <cell r="W202">
            <v>0</v>
          </cell>
          <cell r="AC202">
            <v>0</v>
          </cell>
          <cell r="BA202">
            <v>0</v>
          </cell>
        </row>
        <row r="203">
          <cell r="A203" t="str">
            <v>Cash Flow from Financing Activities:</v>
          </cell>
          <cell r="W203">
            <v>0</v>
          </cell>
          <cell r="AC203">
            <v>0</v>
          </cell>
          <cell r="BA203">
            <v>0</v>
          </cell>
        </row>
        <row r="204">
          <cell r="A204" t="str">
            <v>Proceeds from issuance of common stock</v>
          </cell>
          <cell r="E204">
            <v>0.67600000000000005</v>
          </cell>
          <cell r="F204">
            <v>1.875</v>
          </cell>
          <cell r="G204">
            <v>0</v>
          </cell>
          <cell r="H204">
            <v>2.4E-2</v>
          </cell>
          <cell r="I204">
            <v>-0.54200000000000004</v>
          </cell>
          <cell r="J204">
            <v>2.7329999999999997</v>
          </cell>
          <cell r="K204">
            <v>2.2149999999999999</v>
          </cell>
          <cell r="M204">
            <v>0</v>
          </cell>
          <cell r="N204">
            <v>225.22499999999999</v>
          </cell>
          <cell r="O204">
            <v>20.474000000000018</v>
          </cell>
          <cell r="P204">
            <v>268.82499999999999</v>
          </cell>
          <cell r="Q204">
            <v>514.524</v>
          </cell>
          <cell r="R204">
            <v>0</v>
          </cell>
          <cell r="S204">
            <v>0</v>
          </cell>
          <cell r="T204">
            <v>3.0000000000000001E-3</v>
          </cell>
          <cell r="U204">
            <v>306.07100000000003</v>
          </cell>
          <cell r="V204">
            <v>306.07400000000001</v>
          </cell>
          <cell r="W204">
            <v>0</v>
          </cell>
          <cell r="X204">
            <v>4.9000000000000002E-2</v>
          </cell>
          <cell r="Y204">
            <v>3.851</v>
          </cell>
          <cell r="Z204">
            <v>-3.8969999999999998</v>
          </cell>
          <cell r="AA204">
            <v>-3.0000000000001137E-3</v>
          </cell>
          <cell r="AB204">
            <v>0</v>
          </cell>
          <cell r="AC204">
            <v>0</v>
          </cell>
          <cell r="AD204">
            <v>0.13300000000000001</v>
          </cell>
          <cell r="AE204">
            <v>-0.13300000000000001</v>
          </cell>
          <cell r="AF204">
            <v>0</v>
          </cell>
          <cell r="AG204">
            <v>0</v>
          </cell>
          <cell r="AH204">
            <v>0</v>
          </cell>
          <cell r="AI204">
            <v>0</v>
          </cell>
          <cell r="AJ204">
            <v>0</v>
          </cell>
          <cell r="AK204">
            <v>0</v>
          </cell>
          <cell r="AL204">
            <v>0</v>
          </cell>
          <cell r="AM204">
            <v>0</v>
          </cell>
          <cell r="AV204">
            <v>0</v>
          </cell>
          <cell r="AW204">
            <v>0</v>
          </cell>
          <cell r="AX204">
            <v>0</v>
          </cell>
          <cell r="AY204">
            <v>0</v>
          </cell>
          <cell r="AZ204">
            <v>0</v>
          </cell>
          <cell r="BA204">
            <v>0</v>
          </cell>
          <cell r="BC204">
            <v>0</v>
          </cell>
          <cell r="BD204">
            <v>0</v>
          </cell>
          <cell r="BE204">
            <v>0</v>
          </cell>
          <cell r="BF204">
            <v>0</v>
          </cell>
          <cell r="BG204">
            <v>0</v>
          </cell>
          <cell r="BO204">
            <v>0</v>
          </cell>
          <cell r="BP204">
            <v>0</v>
          </cell>
          <cell r="BQ204">
            <v>0</v>
          </cell>
          <cell r="BR204">
            <v>0</v>
          </cell>
          <cell r="BS204">
            <v>0</v>
          </cell>
          <cell r="CA204">
            <v>0</v>
          </cell>
          <cell r="CB204">
            <v>0</v>
          </cell>
          <cell r="CC204">
            <v>0</v>
          </cell>
          <cell r="CD204">
            <v>0</v>
          </cell>
          <cell r="CF204" t="str">
            <v>mstag:proceedsFromIssuanceOfCommonStock</v>
          </cell>
          <cell r="CG204">
            <v>6</v>
          </cell>
          <cell r="CH204" t="str">
            <v>ISO4217:USD</v>
          </cell>
          <cell r="CI204" t="b">
            <v>0</v>
          </cell>
          <cell r="CJ204" t="b">
            <v>0</v>
          </cell>
        </row>
        <row r="205">
          <cell r="A205" t="str">
            <v>Proceeds from issuance of convertible debt</v>
          </cell>
          <cell r="E205">
            <v>0</v>
          </cell>
          <cell r="F205">
            <v>0</v>
          </cell>
          <cell r="G205">
            <v>0</v>
          </cell>
          <cell r="H205">
            <v>0</v>
          </cell>
          <cell r="I205">
            <v>0</v>
          </cell>
          <cell r="J205">
            <v>0</v>
          </cell>
          <cell r="K205">
            <v>0</v>
          </cell>
          <cell r="M205">
            <v>0</v>
          </cell>
          <cell r="N205">
            <v>0</v>
          </cell>
          <cell r="O205">
            <v>0</v>
          </cell>
          <cell r="P205">
            <v>0</v>
          </cell>
          <cell r="Q205">
            <v>0</v>
          </cell>
          <cell r="R205">
            <v>0</v>
          </cell>
          <cell r="S205">
            <v>0</v>
          </cell>
          <cell r="T205">
            <v>0</v>
          </cell>
          <cell r="U205">
            <v>287.5</v>
          </cell>
          <cell r="V205">
            <v>287.5</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300</v>
          </cell>
          <cell r="AM205">
            <v>300</v>
          </cell>
          <cell r="AV205">
            <v>0</v>
          </cell>
          <cell r="AW205">
            <v>0</v>
          </cell>
          <cell r="AX205">
            <v>0</v>
          </cell>
          <cell r="AY205">
            <v>300</v>
          </cell>
          <cell r="AZ205">
            <v>300</v>
          </cell>
          <cell r="BA205">
            <v>0</v>
          </cell>
          <cell r="BC205">
            <v>0</v>
          </cell>
          <cell r="BD205">
            <v>0</v>
          </cell>
          <cell r="BE205">
            <v>0</v>
          </cell>
          <cell r="BF205">
            <v>-0.29799999999999999</v>
          </cell>
          <cell r="BG205">
            <v>-0.29799999999999999</v>
          </cell>
          <cell r="BO205">
            <v>0</v>
          </cell>
          <cell r="BP205">
            <v>-0.128</v>
          </cell>
          <cell r="BQ205">
            <v>0</v>
          </cell>
          <cell r="BR205">
            <v>0</v>
          </cell>
          <cell r="BS205">
            <v>-0.128</v>
          </cell>
          <cell r="CA205">
            <v>0</v>
          </cell>
          <cell r="CB205">
            <v>0</v>
          </cell>
          <cell r="CC205">
            <v>0</v>
          </cell>
          <cell r="CD205">
            <v>0</v>
          </cell>
          <cell r="CF205" t="str">
            <v>mstag:proceedsFromIssuanceAndCashUsedToRepayLongTermDebt</v>
          </cell>
          <cell r="CG205">
            <v>6</v>
          </cell>
          <cell r="CH205" t="str">
            <v>ISO4217:USD</v>
          </cell>
          <cell r="CI205" t="b">
            <v>0</v>
          </cell>
          <cell r="CJ205" t="b">
            <v>0</v>
          </cell>
        </row>
        <row r="206">
          <cell r="A206" t="str">
            <v>Debt issuance costs</v>
          </cell>
          <cell r="E206">
            <v>0</v>
          </cell>
          <cell r="F206">
            <v>0</v>
          </cell>
          <cell r="G206">
            <v>0</v>
          </cell>
          <cell r="H206">
            <v>0</v>
          </cell>
          <cell r="I206">
            <v>0</v>
          </cell>
          <cell r="J206">
            <v>0</v>
          </cell>
          <cell r="K206">
            <v>0</v>
          </cell>
          <cell r="N206">
            <v>0</v>
          </cell>
          <cell r="O206">
            <v>0</v>
          </cell>
          <cell r="P206">
            <v>0</v>
          </cell>
          <cell r="Q206">
            <v>0</v>
          </cell>
          <cell r="R206">
            <v>0</v>
          </cell>
          <cell r="S206">
            <v>0</v>
          </cell>
          <cell r="T206">
            <v>0</v>
          </cell>
          <cell r="U206">
            <v>-7.75</v>
          </cell>
          <cell r="V206">
            <v>-7.75</v>
          </cell>
          <cell r="W206">
            <v>0</v>
          </cell>
          <cell r="X206">
            <v>0</v>
          </cell>
          <cell r="Y206">
            <v>0</v>
          </cell>
          <cell r="Z206">
            <v>0</v>
          </cell>
          <cell r="AA206">
            <v>-8.9589999999999996</v>
          </cell>
          <cell r="AB206">
            <v>-8.9589999999999996</v>
          </cell>
          <cell r="AC206">
            <v>0</v>
          </cell>
          <cell r="AD206">
            <v>0</v>
          </cell>
          <cell r="AE206">
            <v>0</v>
          </cell>
          <cell r="AF206">
            <v>0</v>
          </cell>
          <cell r="AG206">
            <v>-1.2609999999999999</v>
          </cell>
          <cell r="AH206">
            <v>-1.2609999999999999</v>
          </cell>
          <cell r="AI206">
            <v>0</v>
          </cell>
          <cell r="AJ206">
            <v>0</v>
          </cell>
          <cell r="AK206">
            <v>-4.6689999999999996</v>
          </cell>
          <cell r="AL206">
            <v>-8.1140000000000008</v>
          </cell>
          <cell r="AM206">
            <v>-12.782999999999999</v>
          </cell>
          <cell r="AV206">
            <v>0</v>
          </cell>
          <cell r="AW206">
            <v>0</v>
          </cell>
          <cell r="AX206">
            <v>-4.6689999999999996</v>
          </cell>
          <cell r="AY206">
            <v>-8.1140000000000008</v>
          </cell>
          <cell r="AZ206">
            <v>-12.782999999999999</v>
          </cell>
          <cell r="BA206">
            <v>0</v>
          </cell>
          <cell r="BC206">
            <v>-0.749</v>
          </cell>
          <cell r="BD206">
            <v>-0.24199999999999999</v>
          </cell>
          <cell r="BE206">
            <v>-0.13100000000000012</v>
          </cell>
          <cell r="BF206">
            <v>-0.13699999999999968</v>
          </cell>
          <cell r="BG206">
            <v>-1.2589999999999999</v>
          </cell>
          <cell r="BO206">
            <v>-1.6E-2</v>
          </cell>
          <cell r="BP206">
            <v>0</v>
          </cell>
          <cell r="BQ206">
            <v>0</v>
          </cell>
          <cell r="BR206">
            <v>0</v>
          </cell>
          <cell r="BS206">
            <v>-1.6E-2</v>
          </cell>
          <cell r="CA206">
            <v>0</v>
          </cell>
          <cell r="CB206">
            <v>0</v>
          </cell>
          <cell r="CC206">
            <v>0</v>
          </cell>
          <cell r="CD206">
            <v>0</v>
          </cell>
          <cell r="CF206" t="str">
            <v>mstag:proceedsFromIssuanceAndCashUsedToRepayLongTermDebt</v>
          </cell>
          <cell r="CG206">
            <v>6</v>
          </cell>
          <cell r="CH206" t="str">
            <v>ISO4217:USD</v>
          </cell>
          <cell r="CI206" t="b">
            <v>0</v>
          </cell>
          <cell r="CJ206" t="b">
            <v>0</v>
          </cell>
        </row>
        <row r="207">
          <cell r="A207" t="str">
            <v>Proceeds from exercise of stock options</v>
          </cell>
          <cell r="E207">
            <v>-1.0409999999999999</v>
          </cell>
          <cell r="F207">
            <v>0</v>
          </cell>
          <cell r="G207">
            <v>0</v>
          </cell>
          <cell r="H207">
            <v>0</v>
          </cell>
          <cell r="I207">
            <v>0</v>
          </cell>
          <cell r="J207">
            <v>0</v>
          </cell>
          <cell r="K207">
            <v>0</v>
          </cell>
          <cell r="M207">
            <v>0</v>
          </cell>
          <cell r="N207">
            <v>0</v>
          </cell>
          <cell r="O207">
            <v>0</v>
          </cell>
          <cell r="P207">
            <v>0.63600000000000001</v>
          </cell>
          <cell r="Q207">
            <v>0.63600000000000001</v>
          </cell>
          <cell r="R207">
            <v>0</v>
          </cell>
          <cell r="S207">
            <v>2.2890000000000001</v>
          </cell>
          <cell r="T207">
            <v>3.4239999999999999</v>
          </cell>
          <cell r="U207">
            <v>-2.7280000000000002</v>
          </cell>
          <cell r="V207">
            <v>2.9849999999999999</v>
          </cell>
          <cell r="W207">
            <v>0</v>
          </cell>
          <cell r="X207">
            <v>0</v>
          </cell>
          <cell r="Y207">
            <v>1.4630000000000001</v>
          </cell>
          <cell r="Z207">
            <v>0.9009999999999998</v>
          </cell>
          <cell r="AA207">
            <v>0.17700000000000005</v>
          </cell>
          <cell r="AB207">
            <v>2.5409999999999999</v>
          </cell>
          <cell r="AC207">
            <v>0</v>
          </cell>
          <cell r="AD207">
            <v>0</v>
          </cell>
          <cell r="AE207">
            <v>0.76800000000000002</v>
          </cell>
          <cell r="AF207">
            <v>0.71100000000000008</v>
          </cell>
          <cell r="AG207">
            <v>2.7850000000000001</v>
          </cell>
          <cell r="AH207">
            <v>4.2640000000000002</v>
          </cell>
          <cell r="AI207">
            <v>1.012</v>
          </cell>
          <cell r="AJ207">
            <v>0.89100000000000001</v>
          </cell>
          <cell r="AK207">
            <v>2.1679999999999997</v>
          </cell>
          <cell r="AL207">
            <v>5.8290000000000006</v>
          </cell>
          <cell r="AM207">
            <v>9.9</v>
          </cell>
          <cell r="AV207">
            <v>1.012</v>
          </cell>
          <cell r="AW207">
            <v>0.89100000000000001</v>
          </cell>
          <cell r="AX207">
            <v>2.1679999999999997</v>
          </cell>
          <cell r="AY207">
            <v>5.8290000000000006</v>
          </cell>
          <cell r="AZ207">
            <v>9.9</v>
          </cell>
          <cell r="BA207">
            <v>0</v>
          </cell>
          <cell r="BC207">
            <v>15.958</v>
          </cell>
          <cell r="BD207">
            <v>19.942</v>
          </cell>
          <cell r="BE207">
            <v>4.2460000000000004</v>
          </cell>
          <cell r="BF207">
            <v>9.4339999999999957</v>
          </cell>
          <cell r="BG207">
            <v>49.58</v>
          </cell>
          <cell r="BO207">
            <v>1.919</v>
          </cell>
          <cell r="BP207">
            <v>6.7799999999999994</v>
          </cell>
          <cell r="BQ207">
            <v>9.5624397363206306</v>
          </cell>
          <cell r="BR207">
            <v>9.7536885310470431</v>
          </cell>
          <cell r="BS207">
            <v>28.015128267367675</v>
          </cell>
          <cell r="CA207">
            <v>75.923171107061762</v>
          </cell>
          <cell r="CB207">
            <v>81.9970247956267</v>
          </cell>
          <cell r="CC207">
            <v>-76.933180722713445</v>
          </cell>
          <cell r="CD207">
            <v>0</v>
          </cell>
          <cell r="CF207" t="str">
            <v>mstag:proceedsFromExerciseOfStockOptions</v>
          </cell>
          <cell r="CG207">
            <v>6</v>
          </cell>
          <cell r="CH207" t="str">
            <v>ISO4217:USD</v>
          </cell>
          <cell r="CI207" t="b">
            <v>0</v>
          </cell>
          <cell r="CJ207" t="b">
            <v>0</v>
          </cell>
        </row>
        <row r="208">
          <cell r="A208" t="str">
            <v>Excess tax benefits relating to stock-based comp</v>
          </cell>
          <cell r="E208">
            <v>0</v>
          </cell>
          <cell r="F208">
            <v>0</v>
          </cell>
          <cell r="G208">
            <v>0</v>
          </cell>
          <cell r="H208">
            <v>0</v>
          </cell>
          <cell r="I208">
            <v>0</v>
          </cell>
          <cell r="J208">
            <v>0</v>
          </cell>
          <cell r="K208">
            <v>0</v>
          </cell>
          <cell r="M208">
            <v>0</v>
          </cell>
          <cell r="N208">
            <v>0</v>
          </cell>
          <cell r="O208">
            <v>0</v>
          </cell>
          <cell r="P208">
            <v>0</v>
          </cell>
          <cell r="Q208">
            <v>0</v>
          </cell>
          <cell r="R208">
            <v>0</v>
          </cell>
          <cell r="S208">
            <v>0</v>
          </cell>
          <cell r="T208">
            <v>0</v>
          </cell>
          <cell r="U208">
            <v>0</v>
          </cell>
          <cell r="V208">
            <v>0</v>
          </cell>
          <cell r="X208">
            <v>0</v>
          </cell>
          <cell r="Y208">
            <v>0</v>
          </cell>
          <cell r="Z208">
            <v>0</v>
          </cell>
          <cell r="AA208">
            <v>0</v>
          </cell>
          <cell r="AB208">
            <v>0</v>
          </cell>
          <cell r="AD208">
            <v>0</v>
          </cell>
          <cell r="AE208">
            <v>0</v>
          </cell>
          <cell r="AF208">
            <v>0</v>
          </cell>
          <cell r="AG208">
            <v>0</v>
          </cell>
          <cell r="AH208">
            <v>0</v>
          </cell>
          <cell r="AI208">
            <v>0</v>
          </cell>
          <cell r="AJ208">
            <v>0</v>
          </cell>
          <cell r="AK208">
            <v>0</v>
          </cell>
          <cell r="AL208">
            <v>0</v>
          </cell>
          <cell r="AM208">
            <v>0</v>
          </cell>
          <cell r="AV208">
            <v>0</v>
          </cell>
          <cell r="AW208">
            <v>0</v>
          </cell>
          <cell r="AX208">
            <v>0</v>
          </cell>
          <cell r="AY208">
            <v>0</v>
          </cell>
          <cell r="AZ208">
            <v>9.9</v>
          </cell>
          <cell r="BC208">
            <v>0</v>
          </cell>
          <cell r="BD208">
            <v>0</v>
          </cell>
          <cell r="BE208">
            <v>0</v>
          </cell>
          <cell r="BF208">
            <v>0</v>
          </cell>
          <cell r="BG208">
            <v>0</v>
          </cell>
          <cell r="BO208">
            <v>4.3600000000000003</v>
          </cell>
          <cell r="BP208">
            <v>0.22799999999999976</v>
          </cell>
          <cell r="BQ208">
            <v>0</v>
          </cell>
          <cell r="BR208">
            <v>0</v>
          </cell>
          <cell r="BS208">
            <v>4.5880000000000001</v>
          </cell>
          <cell r="CA208">
            <v>0</v>
          </cell>
          <cell r="CB208">
            <v>0</v>
          </cell>
          <cell r="CC208">
            <v>0</v>
          </cell>
          <cell r="CD208">
            <v>0</v>
          </cell>
        </row>
        <row r="209">
          <cell r="A209" t="str">
            <v>Common stock purchased for treasury</v>
          </cell>
          <cell r="E209">
            <v>0</v>
          </cell>
          <cell r="F209">
            <v>-5.6340000000000003</v>
          </cell>
          <cell r="G209">
            <v>0</v>
          </cell>
          <cell r="H209">
            <v>0</v>
          </cell>
          <cell r="I209">
            <v>0</v>
          </cell>
          <cell r="J209">
            <v>-2.78</v>
          </cell>
          <cell r="K209">
            <v>-2.78</v>
          </cell>
          <cell r="M209">
            <v>0</v>
          </cell>
          <cell r="N209">
            <v>0</v>
          </cell>
          <cell r="O209">
            <v>0</v>
          </cell>
          <cell r="P209">
            <v>0</v>
          </cell>
          <cell r="Q209">
            <v>0</v>
          </cell>
          <cell r="R209">
            <v>-8.2000000000000003E-2</v>
          </cell>
          <cell r="S209">
            <v>-8.9999999999999941E-3</v>
          </cell>
          <cell r="T209">
            <v>0</v>
          </cell>
          <cell r="U209">
            <v>0</v>
          </cell>
          <cell r="V209">
            <v>-9.0999999999999998E-2</v>
          </cell>
          <cell r="W209">
            <v>0</v>
          </cell>
          <cell r="X209">
            <v>0</v>
          </cell>
          <cell r="Y209">
            <v>0</v>
          </cell>
          <cell r="Z209">
            <v>0</v>
          </cell>
          <cell r="AA209">
            <v>0</v>
          </cell>
          <cell r="AB209">
            <v>0</v>
          </cell>
          <cell r="AC209">
            <v>0</v>
          </cell>
          <cell r="AD209">
            <v>-10.29</v>
          </cell>
          <cell r="AE209">
            <v>-2.2430000000000003</v>
          </cell>
          <cell r="AF209">
            <v>-1.527000000000001</v>
          </cell>
          <cell r="AG209">
            <v>-0.64799999999999969</v>
          </cell>
          <cell r="AH209">
            <v>-14.708</v>
          </cell>
          <cell r="AI209">
            <v>0</v>
          </cell>
          <cell r="AJ209">
            <v>0</v>
          </cell>
          <cell r="AK209">
            <v>-290.48099999999999</v>
          </cell>
          <cell r="AL209">
            <v>-3.8999999999987267E-2</v>
          </cell>
          <cell r="AM209">
            <v>-290.52</v>
          </cell>
          <cell r="AV209">
            <v>0</v>
          </cell>
          <cell r="AW209">
            <v>0</v>
          </cell>
          <cell r="AX209">
            <v>-290.48099999999999</v>
          </cell>
          <cell r="AY209">
            <v>-3.8999999999987267E-2</v>
          </cell>
          <cell r="AZ209">
            <v>-290.52</v>
          </cell>
          <cell r="BA209">
            <v>0</v>
          </cell>
          <cell r="BC209">
            <v>-4.3899999999999997</v>
          </cell>
          <cell r="BD209">
            <v>-6.8240000000000007</v>
          </cell>
          <cell r="BE209">
            <v>-68.638999999999996</v>
          </cell>
          <cell r="BF209">
            <v>0</v>
          </cell>
          <cell r="BG209">
            <v>-79.852999999999994</v>
          </cell>
          <cell r="BO209">
            <v>-8.1120000000000001</v>
          </cell>
          <cell r="BP209">
            <v>-129.554</v>
          </cell>
          <cell r="BQ209">
            <v>-10</v>
          </cell>
          <cell r="BR209">
            <v>-10</v>
          </cell>
          <cell r="BS209">
            <v>-157.666</v>
          </cell>
          <cell r="CA209">
            <v>0</v>
          </cell>
          <cell r="CB209">
            <v>0</v>
          </cell>
          <cell r="CC209">
            <v>0</v>
          </cell>
          <cell r="CD209">
            <v>0</v>
          </cell>
          <cell r="CF209" t="str">
            <v>mstag:fundsUsedToRepurchaseCommonStock</v>
          </cell>
          <cell r="CG209">
            <v>6</v>
          </cell>
          <cell r="CH209" t="str">
            <v>ISO4217:USD</v>
          </cell>
          <cell r="CI209" t="b">
            <v>1</v>
          </cell>
          <cell r="CJ209" t="b">
            <v>0</v>
          </cell>
        </row>
        <row r="210">
          <cell r="A210" t="str">
            <v>Proceeds from minority investments</v>
          </cell>
          <cell r="E210">
            <v>0</v>
          </cell>
          <cell r="F210">
            <v>0</v>
          </cell>
          <cell r="G210">
            <v>0</v>
          </cell>
          <cell r="H210">
            <v>0</v>
          </cell>
          <cell r="I210">
            <v>0</v>
          </cell>
          <cell r="J210">
            <v>0</v>
          </cell>
          <cell r="K210">
            <v>0</v>
          </cell>
          <cell r="M210">
            <v>0</v>
          </cell>
          <cell r="N210">
            <v>0</v>
          </cell>
          <cell r="O210">
            <v>0</v>
          </cell>
          <cell r="P210">
            <v>0</v>
          </cell>
          <cell r="Q210">
            <v>0</v>
          </cell>
          <cell r="R210">
            <v>0</v>
          </cell>
          <cell r="S210">
            <v>0</v>
          </cell>
          <cell r="T210">
            <v>0</v>
          </cell>
          <cell r="U210">
            <v>3.96</v>
          </cell>
          <cell r="V210">
            <v>3.96</v>
          </cell>
          <cell r="W210">
            <v>0</v>
          </cell>
          <cell r="X210">
            <v>0</v>
          </cell>
          <cell r="Y210">
            <v>1.77</v>
          </cell>
          <cell r="Z210">
            <v>0</v>
          </cell>
          <cell r="AA210">
            <v>0</v>
          </cell>
          <cell r="AB210">
            <v>1.77</v>
          </cell>
          <cell r="AC210">
            <v>0</v>
          </cell>
          <cell r="AD210">
            <v>0</v>
          </cell>
          <cell r="AE210">
            <v>0</v>
          </cell>
          <cell r="AF210">
            <v>0</v>
          </cell>
          <cell r="AG210">
            <v>0</v>
          </cell>
          <cell r="AH210">
            <v>0</v>
          </cell>
          <cell r="AI210">
            <v>0</v>
          </cell>
          <cell r="AJ210">
            <v>0</v>
          </cell>
          <cell r="AK210">
            <v>0</v>
          </cell>
          <cell r="AL210">
            <v>0</v>
          </cell>
          <cell r="AM210">
            <v>0</v>
          </cell>
          <cell r="AV210">
            <v>0</v>
          </cell>
          <cell r="AW210">
            <v>0</v>
          </cell>
          <cell r="AX210">
            <v>0</v>
          </cell>
          <cell r="AY210">
            <v>0</v>
          </cell>
          <cell r="AZ210">
            <v>0</v>
          </cell>
          <cell r="BA210">
            <v>0</v>
          </cell>
          <cell r="BC210">
            <v>1.383</v>
          </cell>
          <cell r="BD210">
            <v>0</v>
          </cell>
          <cell r="BE210">
            <v>0</v>
          </cell>
          <cell r="BF210">
            <v>0</v>
          </cell>
          <cell r="BG210">
            <v>1.383</v>
          </cell>
          <cell r="BO210">
            <v>3.06</v>
          </cell>
          <cell r="BP210">
            <v>0</v>
          </cell>
          <cell r="BQ210">
            <v>0</v>
          </cell>
          <cell r="BR210">
            <v>0</v>
          </cell>
          <cell r="BS210">
            <v>3.06</v>
          </cell>
          <cell r="CA210">
            <v>0</v>
          </cell>
          <cell r="CB210">
            <v>0</v>
          </cell>
          <cell r="CC210">
            <v>0</v>
          </cell>
          <cell r="CD210">
            <v>0</v>
          </cell>
          <cell r="CF210" t="str">
            <v>mstag:netIncreaseInMinorityInterestsInShareholdersEquity</v>
          </cell>
          <cell r="CG210">
            <v>6</v>
          </cell>
          <cell r="CH210" t="str">
            <v>ISO4217:USD</v>
          </cell>
          <cell r="CI210" t="b">
            <v>0</v>
          </cell>
          <cell r="CJ210" t="b">
            <v>0</v>
          </cell>
        </row>
        <row r="211">
          <cell r="A211" t="str">
            <v>Redemption of minority investments</v>
          </cell>
          <cell r="E211">
            <v>0</v>
          </cell>
          <cell r="F211">
            <v>0</v>
          </cell>
          <cell r="G211">
            <v>0</v>
          </cell>
          <cell r="H211">
            <v>0</v>
          </cell>
          <cell r="I211">
            <v>0</v>
          </cell>
          <cell r="J211">
            <v>-0.107</v>
          </cell>
          <cell r="K211">
            <v>-0.107</v>
          </cell>
          <cell r="M211">
            <v>0</v>
          </cell>
          <cell r="N211">
            <v>0</v>
          </cell>
          <cell r="O211">
            <v>0</v>
          </cell>
          <cell r="P211">
            <v>0</v>
          </cell>
          <cell r="Q211">
            <v>0</v>
          </cell>
          <cell r="R211">
            <v>0</v>
          </cell>
          <cell r="S211">
            <v>0</v>
          </cell>
          <cell r="T211">
            <v>0</v>
          </cell>
          <cell r="U211">
            <v>-1.5940000000000001</v>
          </cell>
          <cell r="V211">
            <v>-1.5940000000000001</v>
          </cell>
          <cell r="W211">
            <v>0</v>
          </cell>
          <cell r="X211">
            <v>0</v>
          </cell>
          <cell r="Y211">
            <v>-0.57099999999999995</v>
          </cell>
          <cell r="Z211">
            <v>-0.13700000000000001</v>
          </cell>
          <cell r="AA211">
            <v>1.0000000000000009E-3</v>
          </cell>
          <cell r="AB211">
            <v>-0.70699999999999996</v>
          </cell>
          <cell r="AC211">
            <v>0</v>
          </cell>
          <cell r="AD211">
            <v>-8.5999999999999993E-2</v>
          </cell>
          <cell r="AE211">
            <v>-2.9000000000000012E-2</v>
          </cell>
          <cell r="AF211">
            <v>-0.221</v>
          </cell>
          <cell r="AG211">
            <v>-9.4E-2</v>
          </cell>
          <cell r="AH211">
            <v>-0.43</v>
          </cell>
          <cell r="AI211">
            <v>-0.99299999999999999</v>
          </cell>
          <cell r="AJ211">
            <v>-0.95200000000000007</v>
          </cell>
          <cell r="AK211">
            <v>-0.27300000000000002</v>
          </cell>
          <cell r="AL211">
            <v>-1.3039999999999998</v>
          </cell>
          <cell r="AM211">
            <v>-3.5219999999999998</v>
          </cell>
          <cell r="AV211">
            <v>-0.99299999999999999</v>
          </cell>
          <cell r="AW211">
            <v>-0.95200000000000007</v>
          </cell>
          <cell r="AX211">
            <v>-0.27300000000000002</v>
          </cell>
          <cell r="AY211">
            <v>-1.3039999999999998</v>
          </cell>
          <cell r="AZ211">
            <v>-3.5219999999999998</v>
          </cell>
          <cell r="BA211">
            <v>0</v>
          </cell>
          <cell r="BC211">
            <v>-0.28999999999999998</v>
          </cell>
          <cell r="BD211">
            <v>-2.7000000000000024E-2</v>
          </cell>
          <cell r="BE211">
            <v>0</v>
          </cell>
          <cell r="BF211">
            <v>-2.9249999999999998</v>
          </cell>
          <cell r="BG211">
            <v>-3.242</v>
          </cell>
          <cell r="BO211">
            <v>-0.53</v>
          </cell>
          <cell r="BP211">
            <v>0</v>
          </cell>
          <cell r="BQ211">
            <v>0</v>
          </cell>
          <cell r="BR211">
            <v>0</v>
          </cell>
          <cell r="BS211">
            <v>-0.53</v>
          </cell>
          <cell r="CA211">
            <v>0</v>
          </cell>
          <cell r="CB211">
            <v>0</v>
          </cell>
          <cell r="CC211">
            <v>0</v>
          </cell>
          <cell r="CD211">
            <v>0</v>
          </cell>
          <cell r="CF211" t="str">
            <v>mstag:netIncreaseInMinorityInterestsInShareholdersEquity</v>
          </cell>
          <cell r="CG211">
            <v>6</v>
          </cell>
          <cell r="CH211" t="str">
            <v>ISO4217:USD</v>
          </cell>
          <cell r="CI211" t="b">
            <v>0</v>
          </cell>
          <cell r="CJ211" t="b">
            <v>0</v>
          </cell>
        </row>
        <row r="212">
          <cell r="A212" t="str">
            <v>Distributions to minority investors</v>
          </cell>
          <cell r="E212">
            <v>0</v>
          </cell>
          <cell r="F212">
            <v>0</v>
          </cell>
          <cell r="G212">
            <v>0</v>
          </cell>
          <cell r="H212">
            <v>0</v>
          </cell>
          <cell r="I212">
            <v>0</v>
          </cell>
          <cell r="J212">
            <v>-0.33100000000000002</v>
          </cell>
          <cell r="K212">
            <v>-0.33100000000000002</v>
          </cell>
          <cell r="M212">
            <v>0</v>
          </cell>
          <cell r="N212">
            <v>0</v>
          </cell>
          <cell r="O212">
            <v>0</v>
          </cell>
          <cell r="P212">
            <v>0</v>
          </cell>
          <cell r="Q212">
            <v>0</v>
          </cell>
          <cell r="R212">
            <v>0</v>
          </cell>
          <cell r="S212">
            <v>0</v>
          </cell>
          <cell r="T212">
            <v>0</v>
          </cell>
          <cell r="U212">
            <v>-0.32400000000000001</v>
          </cell>
          <cell r="V212">
            <v>-0.32400000000000001</v>
          </cell>
          <cell r="W212">
            <v>0</v>
          </cell>
          <cell r="X212">
            <v>0</v>
          </cell>
          <cell r="Y212">
            <v>-0.217</v>
          </cell>
          <cell r="Z212">
            <v>-0.64600000000000002</v>
          </cell>
          <cell r="AA212">
            <v>-1.0269999999999999</v>
          </cell>
          <cell r="AB212">
            <v>-1.89</v>
          </cell>
          <cell r="AC212">
            <v>0</v>
          </cell>
          <cell r="AD212">
            <v>-1.161</v>
          </cell>
          <cell r="AE212">
            <v>-0.37799999999999989</v>
          </cell>
          <cell r="AF212">
            <v>-0.29700000000000015</v>
          </cell>
          <cell r="AG212">
            <v>-0.63500000000000001</v>
          </cell>
          <cell r="AH212">
            <v>-2.4710000000000001</v>
          </cell>
          <cell r="AI212">
            <v>-0.32800000000000001</v>
          </cell>
          <cell r="AJ212">
            <v>-0.28799999999999998</v>
          </cell>
          <cell r="AK212">
            <v>-0.38199999999999995</v>
          </cell>
          <cell r="AL212">
            <v>-0.24000000000000005</v>
          </cell>
          <cell r="AM212">
            <v>-1.238</v>
          </cell>
          <cell r="AV212">
            <v>-0.32800000000000001</v>
          </cell>
          <cell r="AW212">
            <v>-0.28799999999999998</v>
          </cell>
          <cell r="AX212">
            <v>-0.38199999999999995</v>
          </cell>
          <cell r="AY212">
            <v>-0.24000000000000005</v>
          </cell>
          <cell r="AZ212">
            <v>-1.238</v>
          </cell>
          <cell r="BA212">
            <v>0</v>
          </cell>
          <cell r="BC212">
            <v>-0.38200000000000001</v>
          </cell>
          <cell r="BD212">
            <v>-0.59699999999999998</v>
          </cell>
          <cell r="BE212">
            <v>-0.50800000000000012</v>
          </cell>
          <cell r="BF212">
            <v>-0.45200000000000007</v>
          </cell>
          <cell r="BG212">
            <v>-1.9390000000000001</v>
          </cell>
          <cell r="BO212">
            <v>-0.59599999999999997</v>
          </cell>
          <cell r="BP212">
            <v>-1.3810000000000002</v>
          </cell>
          <cell r="BQ212">
            <v>-0.66499999999999992</v>
          </cell>
          <cell r="BR212">
            <v>-0.85499999999999998</v>
          </cell>
          <cell r="BS212">
            <v>-3.4970000000000003</v>
          </cell>
          <cell r="CA212">
            <v>-2.6866760000000003</v>
          </cell>
          <cell r="CB212">
            <v>-2.8210098000000001</v>
          </cell>
          <cell r="CC212">
            <v>-2.9620602900000006</v>
          </cell>
          <cell r="CD212">
            <v>-3.1101633045000008</v>
          </cell>
          <cell r="CF212" t="str">
            <v>mstag:netIncreaseInMinorityInterestsInShareholdersEquity</v>
          </cell>
          <cell r="CG212">
            <v>6</v>
          </cell>
          <cell r="CH212" t="str">
            <v>ISO4217:USD</v>
          </cell>
          <cell r="CI212" t="b">
            <v>0</v>
          </cell>
          <cell r="CJ212" t="b">
            <v>0</v>
          </cell>
        </row>
        <row r="213">
          <cell r="A213" t="str">
            <v>Borrowings under Credit Agreement</v>
          </cell>
          <cell r="E213">
            <v>73.403999999999996</v>
          </cell>
          <cell r="F213">
            <v>242.49100000000001</v>
          </cell>
          <cell r="G213">
            <v>339.1</v>
          </cell>
          <cell r="H213">
            <v>12.099999999999966</v>
          </cell>
          <cell r="I213">
            <v>57.199999999999989</v>
          </cell>
          <cell r="J213">
            <v>27.900000000000034</v>
          </cell>
          <cell r="K213">
            <v>436.3</v>
          </cell>
          <cell r="M213">
            <v>67.400000000000006</v>
          </cell>
          <cell r="N213">
            <v>70.330999999999989</v>
          </cell>
          <cell r="O213">
            <v>59</v>
          </cell>
          <cell r="P213">
            <v>44.579000000000008</v>
          </cell>
          <cell r="Q213">
            <v>241.31</v>
          </cell>
          <cell r="R213">
            <v>20</v>
          </cell>
          <cell r="S213">
            <v>49</v>
          </cell>
          <cell r="T213">
            <v>1.0120000000000005</v>
          </cell>
          <cell r="U213">
            <v>54.671999999999997</v>
          </cell>
          <cell r="V213">
            <v>124.684</v>
          </cell>
          <cell r="W213">
            <v>0</v>
          </cell>
          <cell r="X213">
            <v>56.89</v>
          </cell>
          <cell r="Y213">
            <v>-0.99000000000000199</v>
          </cell>
          <cell r="Z213">
            <v>850</v>
          </cell>
          <cell r="AA213">
            <v>0</v>
          </cell>
          <cell r="AB213">
            <v>905.9</v>
          </cell>
          <cell r="AC213">
            <v>0</v>
          </cell>
          <cell r="AD213">
            <v>80</v>
          </cell>
          <cell r="AE213">
            <v>0</v>
          </cell>
          <cell r="AF213">
            <v>200</v>
          </cell>
          <cell r="AG213">
            <v>110.69999999999999</v>
          </cell>
          <cell r="AH213">
            <v>390.7</v>
          </cell>
          <cell r="AI213">
            <v>34.44</v>
          </cell>
          <cell r="AJ213">
            <v>11.200000000000003</v>
          </cell>
          <cell r="AK213">
            <v>1587.271</v>
          </cell>
          <cell r="AL213">
            <v>92.85700000000007</v>
          </cell>
          <cell r="AM213">
            <v>1725.768</v>
          </cell>
          <cell r="AV213">
            <v>34.44</v>
          </cell>
          <cell r="AW213">
            <v>11.200000000000003</v>
          </cell>
          <cell r="AX213">
            <v>1587.271</v>
          </cell>
          <cell r="AY213">
            <v>92.85700000000007</v>
          </cell>
          <cell r="AZ213">
            <v>1725.768</v>
          </cell>
          <cell r="BA213">
            <v>0</v>
          </cell>
          <cell r="BC213">
            <v>0</v>
          </cell>
          <cell r="BD213">
            <v>0</v>
          </cell>
          <cell r="BE213">
            <v>-9</v>
          </cell>
          <cell r="BF213">
            <v>9</v>
          </cell>
          <cell r="BG213">
            <v>0</v>
          </cell>
          <cell r="BO213">
            <v>0</v>
          </cell>
          <cell r="BP213">
            <v>176</v>
          </cell>
          <cell r="BQ213">
            <v>0</v>
          </cell>
          <cell r="BR213">
            <v>0</v>
          </cell>
          <cell r="BS213">
            <v>176</v>
          </cell>
          <cell r="CA213">
            <v>0</v>
          </cell>
          <cell r="CB213">
            <v>0</v>
          </cell>
          <cell r="CC213">
            <v>0</v>
          </cell>
          <cell r="CD213">
            <v>0</v>
          </cell>
          <cell r="CF213" t="str">
            <v>mstag:proceedsFromIssuanceAndCashUsedToRepayShortTermBorrowings</v>
          </cell>
          <cell r="CG213">
            <v>6</v>
          </cell>
          <cell r="CH213" t="str">
            <v>ISO4217:USD</v>
          </cell>
          <cell r="CI213" t="b">
            <v>0</v>
          </cell>
          <cell r="CJ213" t="b">
            <v>0</v>
          </cell>
        </row>
        <row r="214">
          <cell r="A214" t="str">
            <v>Issuance (repayment) of debt</v>
          </cell>
          <cell r="E214">
            <v>-36.856999999999999</v>
          </cell>
          <cell r="F214">
            <v>-18.841999999999999</v>
          </cell>
          <cell r="G214">
            <v>-249.505</v>
          </cell>
          <cell r="H214">
            <v>-7.8720000000000141</v>
          </cell>
          <cell r="I214">
            <v>-12.319000000000017</v>
          </cell>
          <cell r="J214">
            <v>-1.1889999999999645</v>
          </cell>
          <cell r="K214">
            <v>-270.88499999999999</v>
          </cell>
          <cell r="M214">
            <v>-17.428999999999998</v>
          </cell>
          <cell r="N214">
            <v>-235.15899999999999</v>
          </cell>
          <cell r="O214">
            <v>-25.114999999999984</v>
          </cell>
          <cell r="P214">
            <v>-247.85300000000004</v>
          </cell>
          <cell r="Q214">
            <v>-525.55600000000004</v>
          </cell>
          <cell r="R214">
            <v>-17.268000000000001</v>
          </cell>
          <cell r="S214">
            <v>-22.994</v>
          </cell>
          <cell r="T214">
            <v>-0.56400000000000006</v>
          </cell>
          <cell r="U214">
            <v>-569.24799999999993</v>
          </cell>
          <cell r="V214">
            <v>-610.07399999999996</v>
          </cell>
          <cell r="W214">
            <v>0</v>
          </cell>
          <cell r="X214">
            <v>-8.8140000000000001</v>
          </cell>
          <cell r="Y214">
            <v>-41.887999999999998</v>
          </cell>
          <cell r="Z214">
            <v>-713.23199999999997</v>
          </cell>
          <cell r="AA214">
            <v>-4.6220000000000709</v>
          </cell>
          <cell r="AB214">
            <v>-768.55600000000004</v>
          </cell>
          <cell r="AC214">
            <v>0</v>
          </cell>
          <cell r="AD214">
            <v>-3.46</v>
          </cell>
          <cell r="AE214">
            <v>-85.033000000000001</v>
          </cell>
          <cell r="AF214">
            <v>-3.9960000000000031</v>
          </cell>
          <cell r="AG214">
            <v>-23.051999999999985</v>
          </cell>
          <cell r="AH214">
            <v>-115.541</v>
          </cell>
          <cell r="AI214">
            <v>-45.640999999999998</v>
          </cell>
          <cell r="AJ214">
            <v>-100.74299999999999</v>
          </cell>
          <cell r="AK214">
            <v>-1180.106</v>
          </cell>
          <cell r="AL214">
            <v>-342.21900000000005</v>
          </cell>
          <cell r="AM214">
            <v>-1668.7090000000001</v>
          </cell>
          <cell r="AV214">
            <v>-45.640999999999998</v>
          </cell>
          <cell r="AW214">
            <v>-100.74299999999999</v>
          </cell>
          <cell r="AX214">
            <v>-1180.106</v>
          </cell>
          <cell r="AY214">
            <v>-342.21900000000005</v>
          </cell>
          <cell r="AZ214">
            <v>-1668.7090000000001</v>
          </cell>
          <cell r="BA214">
            <v>0</v>
          </cell>
          <cell r="BC214">
            <v>-13.025</v>
          </cell>
          <cell r="BD214">
            <v>-6.6760000000000002</v>
          </cell>
          <cell r="BE214">
            <v>5.4359999999999999</v>
          </cell>
          <cell r="BF214">
            <v>-12.273999999999999</v>
          </cell>
          <cell r="BG214">
            <v>-26.539000000000001</v>
          </cell>
          <cell r="BO214">
            <v>-4.0129999999999999</v>
          </cell>
          <cell r="BP214">
            <v>-39.247</v>
          </cell>
          <cell r="BQ214">
            <v>72.395999999999958</v>
          </cell>
          <cell r="BR214">
            <v>0</v>
          </cell>
          <cell r="BS214">
            <v>29.13599999999996</v>
          </cell>
          <cell r="CA214">
            <v>50</v>
          </cell>
          <cell r="CB214">
            <v>0</v>
          </cell>
          <cell r="CC214">
            <v>600</v>
          </cell>
          <cell r="CD214">
            <v>75</v>
          </cell>
          <cell r="CF214" t="str">
            <v>mstag:proceedsFromIssuanceAndCashUsedToRepayLongTermDebt</v>
          </cell>
          <cell r="CG214">
            <v>6</v>
          </cell>
          <cell r="CH214" t="str">
            <v>ISO4217:USD</v>
          </cell>
          <cell r="CI214" t="b">
            <v>0</v>
          </cell>
          <cell r="CJ214" t="b">
            <v>0</v>
          </cell>
        </row>
        <row r="215">
          <cell r="A215" t="str">
            <v>Net Cash from Financing Activities</v>
          </cell>
          <cell r="E215">
            <v>36.182000000000002</v>
          </cell>
          <cell r="F215">
            <v>219.89000000000004</v>
          </cell>
          <cell r="G215">
            <v>89.595000000000027</v>
          </cell>
          <cell r="H215">
            <v>4.2519999999999509</v>
          </cell>
          <cell r="I215">
            <v>44.33899999999997</v>
          </cell>
          <cell r="J215">
            <v>26.22600000000007</v>
          </cell>
          <cell r="K215">
            <v>164.41200000000003</v>
          </cell>
          <cell r="M215">
            <v>49.971000000000004</v>
          </cell>
          <cell r="N215">
            <v>60.396999999999991</v>
          </cell>
          <cell r="O215">
            <v>54.359000000000037</v>
          </cell>
          <cell r="P215">
            <v>66.186999999999983</v>
          </cell>
          <cell r="Q215">
            <v>230.91399999999999</v>
          </cell>
          <cell r="R215">
            <v>2.6499999999999986</v>
          </cell>
          <cell r="S215">
            <v>28.286000000000001</v>
          </cell>
          <cell r="T215">
            <v>3.875</v>
          </cell>
          <cell r="U215">
            <v>70.559000000000196</v>
          </cell>
          <cell r="V215">
            <v>105.37000000000012</v>
          </cell>
          <cell r="W215">
            <v>0</v>
          </cell>
          <cell r="X215">
            <v>48.125</v>
          </cell>
          <cell r="Y215">
            <v>-36.582000000000001</v>
          </cell>
          <cell r="Z215">
            <v>132.98900000000003</v>
          </cell>
          <cell r="AA215">
            <v>-14.433000000000071</v>
          </cell>
          <cell r="AB215">
            <v>130.09899999999993</v>
          </cell>
          <cell r="AC215">
            <v>0</v>
          </cell>
          <cell r="AD215">
            <v>65.13600000000001</v>
          </cell>
          <cell r="AE215">
            <v>-87.048000000000002</v>
          </cell>
          <cell r="AF215">
            <v>194.67</v>
          </cell>
          <cell r="AG215">
            <v>87.795000000000016</v>
          </cell>
          <cell r="AH215">
            <v>260.553</v>
          </cell>
          <cell r="AI215">
            <v>-11.509999999999998</v>
          </cell>
          <cell r="AJ215">
            <v>-89.891999999999996</v>
          </cell>
          <cell r="AK215">
            <v>113.52800000000002</v>
          </cell>
          <cell r="AL215">
            <v>46.770000000000095</v>
          </cell>
          <cell r="AM215">
            <v>58.895999999999958</v>
          </cell>
          <cell r="AV215">
            <v>-11.509999999999998</v>
          </cell>
          <cell r="AW215">
            <v>-89.891999999999996</v>
          </cell>
          <cell r="AX215">
            <v>113.52800000000002</v>
          </cell>
          <cell r="AY215">
            <v>46.770000000000095</v>
          </cell>
          <cell r="AZ215">
            <v>68.795999999999822</v>
          </cell>
          <cell r="BA215">
            <v>9.899999999999693</v>
          </cell>
          <cell r="BC215">
            <v>-1.495000000000001</v>
          </cell>
          <cell r="BD215">
            <v>5.5759999999999987</v>
          </cell>
          <cell r="BE215">
            <v>-68.596000000000004</v>
          </cell>
          <cell r="BF215">
            <v>2.3479999999999972</v>
          </cell>
          <cell r="BG215">
            <v>-62.167000000000002</v>
          </cell>
          <cell r="BO215">
            <v>-3.9279999999999999</v>
          </cell>
          <cell r="BP215">
            <v>12.697999999999993</v>
          </cell>
          <cell r="BQ215">
            <v>71.293439736320593</v>
          </cell>
          <cell r="BR215">
            <v>-1.1013114689529568</v>
          </cell>
          <cell r="BS215">
            <v>78.962128267367632</v>
          </cell>
          <cell r="CA215">
            <v>123.23649510706176</v>
          </cell>
          <cell r="CB215">
            <v>79.176014995626701</v>
          </cell>
          <cell r="CC215">
            <v>520.10475898728657</v>
          </cell>
          <cell r="CD215">
            <v>71.889836695499994</v>
          </cell>
        </row>
        <row r="216">
          <cell r="W216">
            <v>0</v>
          </cell>
          <cell r="AC216">
            <v>0</v>
          </cell>
          <cell r="BA216">
            <v>0</v>
          </cell>
        </row>
        <row r="217">
          <cell r="A217" t="str">
            <v>Change in cash and cash equivalents</v>
          </cell>
          <cell r="E217">
            <v>6.4239999999999782</v>
          </cell>
          <cell r="F217">
            <v>-0.94399999999987472</v>
          </cell>
          <cell r="G217">
            <v>4.3220000000000312</v>
          </cell>
          <cell r="H217">
            <v>-9.4550000000000214</v>
          </cell>
          <cell r="I217">
            <v>7.8780000000000001</v>
          </cell>
          <cell r="J217">
            <v>-19.181999999999995</v>
          </cell>
          <cell r="K217">
            <v>-2.436999999999955</v>
          </cell>
          <cell r="M217">
            <v>6.6030000000000442</v>
          </cell>
          <cell r="N217">
            <v>-4.8950000000000671</v>
          </cell>
          <cell r="O217">
            <v>1.9520000000000479</v>
          </cell>
          <cell r="P217">
            <v>5.7979999999999947</v>
          </cell>
          <cell r="Q217">
            <v>9.4579999999999131</v>
          </cell>
          <cell r="R217">
            <v>9.4760000000000026</v>
          </cell>
          <cell r="S217">
            <v>12.524000000000001</v>
          </cell>
          <cell r="T217">
            <v>-18.041000000000007</v>
          </cell>
          <cell r="U217">
            <v>-9.3129999999997466</v>
          </cell>
          <cell r="V217">
            <v>-5.3539999999998429</v>
          </cell>
          <cell r="X217">
            <v>15.312000000000005</v>
          </cell>
          <cell r="Y217">
            <v>-3.6740000000000279</v>
          </cell>
          <cell r="Z217">
            <v>97.506000000000057</v>
          </cell>
          <cell r="AA217">
            <v>15.313999999999929</v>
          </cell>
          <cell r="AB217">
            <v>124.45799999999997</v>
          </cell>
          <cell r="AC217">
            <v>0</v>
          </cell>
          <cell r="AD217">
            <v>-113.28099999999993</v>
          </cell>
          <cell r="AE217">
            <v>5.7430000000000518</v>
          </cell>
          <cell r="AF217">
            <v>37.336000000000098</v>
          </cell>
          <cell r="AG217">
            <v>-46.311000000000035</v>
          </cell>
          <cell r="AH217">
            <v>-116.51299999999958</v>
          </cell>
          <cell r="AI217">
            <v>-0.23099999999998744</v>
          </cell>
          <cell r="AJ217">
            <v>2.5049999999999955</v>
          </cell>
          <cell r="AK217">
            <v>1.3470000000000226</v>
          </cell>
          <cell r="AL217">
            <v>62.546000000000085</v>
          </cell>
          <cell r="AM217">
            <v>66.253000000000043</v>
          </cell>
          <cell r="AV217">
            <v>-0.23099999999998744</v>
          </cell>
          <cell r="AW217">
            <v>2.5049999999999955</v>
          </cell>
          <cell r="AX217">
            <v>1.3470000000000226</v>
          </cell>
          <cell r="AY217">
            <v>62.545999999999957</v>
          </cell>
          <cell r="AZ217">
            <v>76.066999999999837</v>
          </cell>
          <cell r="BA217">
            <v>9.8999999999998494</v>
          </cell>
          <cell r="BC217">
            <v>135.94899999999998</v>
          </cell>
          <cell r="BD217">
            <v>53.916699999999999</v>
          </cell>
          <cell r="BE217">
            <v>-88.083999999999975</v>
          </cell>
          <cell r="BF217">
            <v>-80.171999999999997</v>
          </cell>
          <cell r="BG217">
            <v>21.609700000000004</v>
          </cell>
          <cell r="BO217">
            <v>7.8429999999997593</v>
          </cell>
          <cell r="BP217">
            <v>-87.793999999999912</v>
          </cell>
          <cell r="BQ217">
            <v>-9.4921287556500999</v>
          </cell>
          <cell r="BR217">
            <v>-20.586388032032886</v>
          </cell>
          <cell r="BS217">
            <v>-110.02951678768312</v>
          </cell>
          <cell r="CA217">
            <v>131.66469650533011</v>
          </cell>
          <cell r="CB217">
            <v>111.35674210585643</v>
          </cell>
          <cell r="CC217">
            <v>589.21002043505234</v>
          </cell>
          <cell r="CD217">
            <v>184.59326591031731</v>
          </cell>
        </row>
        <row r="218">
          <cell r="A218" t="str">
            <v>Beginning Cash</v>
          </cell>
          <cell r="E218">
            <v>0</v>
          </cell>
          <cell r="F218">
            <v>7.6630000000000003</v>
          </cell>
          <cell r="G218">
            <v>6.7190000000000003</v>
          </cell>
          <cell r="H218">
            <v>11.041000000000032</v>
          </cell>
          <cell r="I218">
            <v>1.586000000000011</v>
          </cell>
          <cell r="J218">
            <v>9.4640000000000111</v>
          </cell>
          <cell r="K218">
            <v>6.7190000000000003</v>
          </cell>
          <cell r="M218">
            <v>4.2820000000000453</v>
          </cell>
          <cell r="N218">
            <v>10.88500000000009</v>
          </cell>
          <cell r="O218">
            <v>5.9900000000000233</v>
          </cell>
          <cell r="P218">
            <v>7.9420000000000712</v>
          </cell>
          <cell r="Q218">
            <v>4.2820000000000453</v>
          </cell>
          <cell r="R218">
            <v>13.739999999999959</v>
          </cell>
          <cell r="S218">
            <v>23.215999999999962</v>
          </cell>
          <cell r="T218">
            <v>35.739999999999966</v>
          </cell>
          <cell r="U218">
            <v>17.698999999999959</v>
          </cell>
          <cell r="V218">
            <v>13.739999999999959</v>
          </cell>
          <cell r="X218">
            <v>8.3860000000001165</v>
          </cell>
          <cell r="Y218">
            <v>23.698000000000121</v>
          </cell>
          <cell r="Z218">
            <v>20.024000000000093</v>
          </cell>
          <cell r="AA218">
            <v>117.53000000000014</v>
          </cell>
          <cell r="AB218">
            <v>8.3860000000001165</v>
          </cell>
          <cell r="AD218">
            <v>132.84400000000008</v>
          </cell>
          <cell r="AE218">
            <v>19.563000000000144</v>
          </cell>
          <cell r="AF218">
            <v>25.306000000000196</v>
          </cell>
          <cell r="AG218">
            <v>62.642000000000294</v>
          </cell>
          <cell r="AH218">
            <v>132.84400000000008</v>
          </cell>
          <cell r="AI218">
            <v>8.3860000000001165</v>
          </cell>
          <cell r="AJ218">
            <v>8.155000000000129</v>
          </cell>
          <cell r="AK218">
            <v>10.660000000000124</v>
          </cell>
          <cell r="AL218">
            <v>12.007000000000147</v>
          </cell>
          <cell r="AM218">
            <v>8.3860000000001165</v>
          </cell>
          <cell r="AV218">
            <v>16.3310000000005</v>
          </cell>
          <cell r="AW218">
            <v>16.100000000000513</v>
          </cell>
          <cell r="AX218">
            <v>18.605000000000508</v>
          </cell>
          <cell r="AY218">
            <v>19.952000000000531</v>
          </cell>
          <cell r="AZ218">
            <v>16.3310000000005</v>
          </cell>
          <cell r="BA218">
            <v>-54.657000000001545</v>
          </cell>
          <cell r="BC218">
            <v>82.498000000000488</v>
          </cell>
          <cell r="BD218">
            <v>218.44700000000046</v>
          </cell>
          <cell r="BE218">
            <v>272.36370000000045</v>
          </cell>
          <cell r="BF218">
            <v>184.27970000000047</v>
          </cell>
          <cell r="BG218">
            <v>82.498000000000488</v>
          </cell>
          <cell r="BO218">
            <v>104.10770000000048</v>
          </cell>
          <cell r="BP218">
            <v>111.95070000000024</v>
          </cell>
          <cell r="BQ218">
            <v>24.156700000000328</v>
          </cell>
          <cell r="BR218">
            <v>14.664571244350228</v>
          </cell>
          <cell r="BS218">
            <v>104.10770000000049</v>
          </cell>
          <cell r="CA218">
            <v>-5.92181678768263</v>
          </cell>
          <cell r="CB218">
            <v>125.74287971764748</v>
          </cell>
          <cell r="CC218">
            <v>237.09962182350392</v>
          </cell>
          <cell r="CD218">
            <v>826.30964225855632</v>
          </cell>
        </row>
        <row r="219">
          <cell r="A219" t="str">
            <v>Ending Cash</v>
          </cell>
          <cell r="E219">
            <v>6.4239999999999782</v>
          </cell>
          <cell r="F219">
            <v>6.7190000000000003</v>
          </cell>
          <cell r="G219">
            <v>11.041000000000032</v>
          </cell>
          <cell r="H219">
            <v>1.586000000000011</v>
          </cell>
          <cell r="I219">
            <v>9.4640000000000111</v>
          </cell>
          <cell r="J219">
            <v>-9.717999999999984</v>
          </cell>
          <cell r="K219">
            <v>4.2820000000000453</v>
          </cell>
          <cell r="M219">
            <v>10.88500000000009</v>
          </cell>
          <cell r="N219">
            <v>5.9900000000000233</v>
          </cell>
          <cell r="O219">
            <v>7.9420000000000712</v>
          </cell>
          <cell r="P219">
            <v>13.740000000000066</v>
          </cell>
          <cell r="Q219">
            <v>13.739999999999959</v>
          </cell>
          <cell r="R219">
            <v>23.215999999999962</v>
          </cell>
          <cell r="S219">
            <v>35.739999999999966</v>
          </cell>
          <cell r="T219">
            <v>17.698999999999959</v>
          </cell>
          <cell r="U219">
            <v>8.3860000000002124</v>
          </cell>
          <cell r="V219">
            <v>8.3860000000001165</v>
          </cell>
          <cell r="X219">
            <v>23.698000000000121</v>
          </cell>
          <cell r="Y219">
            <v>20.024000000000093</v>
          </cell>
          <cell r="Z219">
            <v>117.53000000000014</v>
          </cell>
          <cell r="AA219">
            <v>132.84400000000008</v>
          </cell>
          <cell r="AB219">
            <v>132.84400000000008</v>
          </cell>
          <cell r="AD219">
            <v>19.563000000000144</v>
          </cell>
          <cell r="AE219">
            <v>25.306000000000196</v>
          </cell>
          <cell r="AF219">
            <v>62.642000000000294</v>
          </cell>
          <cell r="AG219">
            <v>16.331000000000259</v>
          </cell>
          <cell r="AH219">
            <v>16.3310000000005</v>
          </cell>
          <cell r="AI219">
            <v>8.155000000000129</v>
          </cell>
          <cell r="AJ219">
            <v>10.660000000000124</v>
          </cell>
          <cell r="AK219">
            <v>12.007000000000147</v>
          </cell>
          <cell r="AL219">
            <v>74.553000000000225</v>
          </cell>
          <cell r="AM219">
            <v>74.639000000000152</v>
          </cell>
          <cell r="AV219">
            <v>16.100000000000513</v>
          </cell>
          <cell r="AW219">
            <v>18.605000000000508</v>
          </cell>
          <cell r="AX219">
            <v>19.952000000000531</v>
          </cell>
          <cell r="AY219">
            <v>82.498000000000488</v>
          </cell>
          <cell r="AZ219">
            <v>92.398000000000337</v>
          </cell>
          <cell r="BA219">
            <v>-44.75700000000171</v>
          </cell>
          <cell r="BC219">
            <v>218.44700000000046</v>
          </cell>
          <cell r="BD219">
            <v>272.36370000000045</v>
          </cell>
          <cell r="BE219">
            <v>184.27970000000047</v>
          </cell>
          <cell r="BF219">
            <v>104.10770000000048</v>
          </cell>
          <cell r="BG219">
            <v>104.10770000000049</v>
          </cell>
          <cell r="BO219">
            <v>111.95070000000024</v>
          </cell>
          <cell r="BP219">
            <v>24.156700000000328</v>
          </cell>
          <cell r="BQ219">
            <v>14.664571244350228</v>
          </cell>
          <cell r="BR219">
            <v>-5.9218167876826584</v>
          </cell>
          <cell r="BS219">
            <v>-5.92181678768263</v>
          </cell>
          <cell r="CA219">
            <v>125.74287971764748</v>
          </cell>
          <cell r="CB219">
            <v>237.09962182350392</v>
          </cell>
          <cell r="CC219">
            <v>826.30964225855632</v>
          </cell>
          <cell r="CD219">
            <v>1010.9029081688736</v>
          </cell>
        </row>
        <row r="220">
          <cell r="AC220">
            <v>0</v>
          </cell>
        </row>
        <row r="221">
          <cell r="AC221">
            <v>0</v>
          </cell>
          <cell r="BH221">
            <v>0</v>
          </cell>
        </row>
        <row r="222">
          <cell r="A222" t="str">
            <v>Share repurchases</v>
          </cell>
          <cell r="AC222">
            <v>0</v>
          </cell>
        </row>
        <row r="223">
          <cell r="B223" t="str">
            <v>Price per share</v>
          </cell>
          <cell r="AC223">
            <v>0</v>
          </cell>
          <cell r="AD223">
            <v>18.14</v>
          </cell>
          <cell r="AE223">
            <v>18.273609988322999</v>
          </cell>
          <cell r="AF223">
            <v>15.269999999999996</v>
          </cell>
          <cell r="AG223">
            <v>20.5</v>
          </cell>
          <cell r="AH223">
            <v>18.343434343434343</v>
          </cell>
          <cell r="AJ223">
            <v>0</v>
          </cell>
          <cell r="AK223">
            <v>24.21</v>
          </cell>
          <cell r="AL223">
            <v>24.21</v>
          </cell>
          <cell r="AW223">
            <v>0</v>
          </cell>
          <cell r="AX223">
            <v>24.21</v>
          </cell>
          <cell r="AY223">
            <v>24.21</v>
          </cell>
          <cell r="BC223">
            <v>32.982719759579261</v>
          </cell>
          <cell r="BD223">
            <v>35.020000000000003</v>
          </cell>
          <cell r="BE223">
            <v>35.801689964531604</v>
          </cell>
          <cell r="BO223">
            <v>36.049999999999997</v>
          </cell>
          <cell r="BP223">
            <v>35.989221623423525</v>
          </cell>
          <cell r="BQ223">
            <v>37.1175</v>
          </cell>
          <cell r="BR223">
            <v>37.859849999999994</v>
          </cell>
          <cell r="BS223">
            <v>37.168087499999999</v>
          </cell>
          <cell r="CA223">
            <v>39.764088000000001</v>
          </cell>
          <cell r="CB223">
            <v>42.945215040000001</v>
          </cell>
          <cell r="CC223">
            <v>46.380832243200004</v>
          </cell>
          <cell r="CD223">
            <v>50.091298822656007</v>
          </cell>
        </row>
        <row r="224">
          <cell r="B224" t="str">
            <v>Number of shares</v>
          </cell>
          <cell r="AD224">
            <v>0.56725468577728766</v>
          </cell>
          <cell r="AE224">
            <v>0.12274531422271229</v>
          </cell>
          <cell r="AF224">
            <v>0.10000000000000009</v>
          </cell>
          <cell r="AG224">
            <v>0.2</v>
          </cell>
          <cell r="AH224">
            <v>0.99</v>
          </cell>
          <cell r="AJ224">
            <v>0</v>
          </cell>
          <cell r="AK224">
            <v>12</v>
          </cell>
          <cell r="AL224">
            <v>12</v>
          </cell>
          <cell r="AM224">
            <v>24</v>
          </cell>
          <cell r="AW224">
            <v>0</v>
          </cell>
          <cell r="AX224">
            <v>12</v>
          </cell>
          <cell r="AY224">
            <v>12</v>
          </cell>
          <cell r="AZ224">
            <v>24</v>
          </cell>
          <cell r="BC224">
            <v>0.1331</v>
          </cell>
          <cell r="BD224">
            <v>5.0099999999999999E-2</v>
          </cell>
          <cell r="BE224">
            <v>1.9172</v>
          </cell>
          <cell r="BF224">
            <v>0</v>
          </cell>
          <cell r="BG224">
            <v>2.1004</v>
          </cell>
          <cell r="BO224">
            <v>0.22500000000000001</v>
          </cell>
          <cell r="BP224">
            <v>3.5998000000000001</v>
          </cell>
          <cell r="BQ224">
            <v>0.26941469657169798</v>
          </cell>
          <cell r="BR224">
            <v>0.26413205546244906</v>
          </cell>
          <cell r="BS224">
            <v>4.358346752034147</v>
          </cell>
          <cell r="CA224">
            <v>0</v>
          </cell>
          <cell r="CB224">
            <v>0</v>
          </cell>
          <cell r="CC224">
            <v>0</v>
          </cell>
          <cell r="CD224">
            <v>0</v>
          </cell>
        </row>
        <row r="226">
          <cell r="A226" t="str">
            <v>Distributions as % of MI</v>
          </cell>
          <cell r="U226">
            <v>2.9724770642201834</v>
          </cell>
          <cell r="V226">
            <v>2.9724770642201834</v>
          </cell>
          <cell r="X226">
            <v>0</v>
          </cell>
          <cell r="Y226">
            <v>0.28741721854304636</v>
          </cell>
          <cell r="Z226">
            <v>1.8724637681159428</v>
          </cell>
          <cell r="AA226">
            <v>2.7386666666666666</v>
          </cell>
          <cell r="AB226">
            <v>0.84525939177101961</v>
          </cell>
          <cell r="AD226">
            <v>3.120967741935484</v>
          </cell>
          <cell r="AE226">
            <v>0.55588235294117627</v>
          </cell>
          <cell r="AF226">
            <v>0.45622119815668227</v>
          </cell>
          <cell r="AG226">
            <v>2.2359154929577465</v>
          </cell>
          <cell r="AH226">
            <v>1.2435832913940614</v>
          </cell>
          <cell r="AI226">
            <v>0.87935656836461129</v>
          </cell>
          <cell r="AJ226">
            <v>0.45354330708661411</v>
          </cell>
          <cell r="AK226">
            <v>4.7749999999999995</v>
          </cell>
          <cell r="AL226">
            <v>0.45</v>
          </cell>
          <cell r="AM226">
            <v>0.78453738910012671</v>
          </cell>
          <cell r="AV226">
            <v>0.87935656836461129</v>
          </cell>
          <cell r="AW226">
            <v>0.45354330708661411</v>
          </cell>
          <cell r="AX226">
            <v>0.6895306859205772</v>
          </cell>
          <cell r="AY226">
            <v>15.000000000000197</v>
          </cell>
          <cell r="AZ226">
            <v>0.78453738910012671</v>
          </cell>
          <cell r="BC226">
            <v>0.43066516347237882</v>
          </cell>
          <cell r="BD226">
            <v>0.77764751856193814</v>
          </cell>
          <cell r="BE226">
            <v>0.7104895104895107</v>
          </cell>
          <cell r="BF226">
            <v>0.95</v>
          </cell>
          <cell r="BG226">
            <v>0.70388790067883988</v>
          </cell>
          <cell r="BO226">
            <v>0.95</v>
          </cell>
          <cell r="BP226">
            <v>0.95</v>
          </cell>
          <cell r="BQ226">
            <v>0.95</v>
          </cell>
          <cell r="BR226">
            <v>0.95</v>
          </cell>
          <cell r="BS226">
            <v>0.95</v>
          </cell>
          <cell r="CA226">
            <v>0.95</v>
          </cell>
          <cell r="CB226">
            <v>0.95</v>
          </cell>
          <cell r="CC226">
            <v>0.95</v>
          </cell>
          <cell r="CD226">
            <v>0.95</v>
          </cell>
        </row>
        <row r="228">
          <cell r="A228" t="str">
            <v>Working Capital Analysis</v>
          </cell>
        </row>
        <row r="229">
          <cell r="A229" t="str">
            <v>Days in Period</v>
          </cell>
          <cell r="K229">
            <v>365</v>
          </cell>
          <cell r="M229">
            <v>91</v>
          </cell>
          <cell r="N229">
            <v>91</v>
          </cell>
          <cell r="O229">
            <v>92</v>
          </cell>
          <cell r="P229">
            <v>92</v>
          </cell>
          <cell r="Q229">
            <v>366</v>
          </cell>
          <cell r="R229">
            <v>90</v>
          </cell>
          <cell r="S229">
            <v>91</v>
          </cell>
          <cell r="T229">
            <v>92</v>
          </cell>
          <cell r="U229">
            <v>92</v>
          </cell>
          <cell r="V229">
            <v>365</v>
          </cell>
          <cell r="X229">
            <v>90</v>
          </cell>
          <cell r="Y229">
            <v>91</v>
          </cell>
          <cell r="Z229">
            <v>92</v>
          </cell>
          <cell r="AA229">
            <v>92</v>
          </cell>
          <cell r="AB229">
            <v>365</v>
          </cell>
          <cell r="AD229">
            <v>90</v>
          </cell>
          <cell r="AE229">
            <v>91</v>
          </cell>
          <cell r="AF229">
            <v>92</v>
          </cell>
          <cell r="AG229">
            <v>92</v>
          </cell>
          <cell r="AH229">
            <v>365</v>
          </cell>
          <cell r="AI229">
            <v>91</v>
          </cell>
          <cell r="AJ229">
            <v>91</v>
          </cell>
          <cell r="AK229">
            <v>92</v>
          </cell>
          <cell r="AL229">
            <v>92</v>
          </cell>
          <cell r="AM229">
            <v>366</v>
          </cell>
          <cell r="AN229">
            <v>365</v>
          </cell>
          <cell r="AP229">
            <v>90</v>
          </cell>
          <cell r="AQ229">
            <v>91</v>
          </cell>
          <cell r="AR229">
            <v>92</v>
          </cell>
          <cell r="AS229">
            <v>92</v>
          </cell>
          <cell r="AT229">
            <v>365</v>
          </cell>
          <cell r="AV229">
            <v>91</v>
          </cell>
          <cell r="AW229">
            <v>91</v>
          </cell>
          <cell r="AX229">
            <v>92</v>
          </cell>
          <cell r="AY229">
            <v>92</v>
          </cell>
          <cell r="AZ229">
            <v>366</v>
          </cell>
          <cell r="BC229">
            <v>90</v>
          </cell>
          <cell r="BD229">
            <v>91</v>
          </cell>
          <cell r="BE229">
            <v>92</v>
          </cell>
          <cell r="BF229">
            <v>92</v>
          </cell>
          <cell r="BG229">
            <v>365</v>
          </cell>
          <cell r="BO229">
            <v>90</v>
          </cell>
          <cell r="BP229">
            <v>91</v>
          </cell>
          <cell r="BQ229">
            <v>92</v>
          </cell>
          <cell r="BR229">
            <v>92</v>
          </cell>
          <cell r="BS229">
            <v>365</v>
          </cell>
          <cell r="CA229">
            <v>365</v>
          </cell>
          <cell r="CB229">
            <v>366</v>
          </cell>
          <cell r="CC229">
            <v>365</v>
          </cell>
          <cell r="CD229">
            <v>365</v>
          </cell>
        </row>
        <row r="230">
          <cell r="A230" t="str">
            <v>DSOs as calculated by MS</v>
          </cell>
          <cell r="M230">
            <v>0</v>
          </cell>
          <cell r="N230">
            <v>71.291310352656268</v>
          </cell>
          <cell r="O230">
            <v>79.592988112029005</v>
          </cell>
          <cell r="P230">
            <v>77.190737325566602</v>
          </cell>
          <cell r="Q230">
            <v>76.025011930083963</v>
          </cell>
          <cell r="R230">
            <v>70.690790051298791</v>
          </cell>
          <cell r="S230">
            <v>71.840265496658859</v>
          </cell>
          <cell r="T230">
            <v>73.883308647546983</v>
          </cell>
          <cell r="U230">
            <v>71.297678334331579</v>
          </cell>
          <cell r="V230">
            <v>71.928010632459049</v>
          </cell>
          <cell r="X230">
            <v>68.967234531478738</v>
          </cell>
          <cell r="Y230">
            <v>64.460577252903406</v>
          </cell>
          <cell r="Z230">
            <v>65.030090025884462</v>
          </cell>
          <cell r="AA230">
            <v>63.140089978148168</v>
          </cell>
          <cell r="AB230">
            <v>65.399497947103697</v>
          </cell>
          <cell r="AD230">
            <v>63.450780172825681</v>
          </cell>
          <cell r="AE230">
            <v>56.913332410355807</v>
          </cell>
          <cell r="AF230">
            <v>62.619427901225684</v>
          </cell>
          <cell r="AG230">
            <v>64.697929139959143</v>
          </cell>
          <cell r="AH230">
            <v>61.920367406091579</v>
          </cell>
          <cell r="AI230">
            <v>64.60867656643677</v>
          </cell>
          <cell r="AJ230">
            <v>61.777452502184552</v>
          </cell>
          <cell r="AK230">
            <v>62.992391301772194</v>
          </cell>
          <cell r="AL230">
            <v>63.03741425970518</v>
          </cell>
          <cell r="AM230">
            <v>63.103983657524672</v>
          </cell>
          <cell r="AN230">
            <v>61.53776421440805</v>
          </cell>
          <cell r="AP230">
            <v>64.422079752116389</v>
          </cell>
          <cell r="AQ230">
            <v>57.650526747296915</v>
          </cell>
          <cell r="AR230">
            <v>63.526609484816127</v>
          </cell>
          <cell r="AS230">
            <v>65.454370078539753</v>
          </cell>
          <cell r="AT230">
            <v>62.72781043029665</v>
          </cell>
          <cell r="AV230">
            <v>68.122330789182499</v>
          </cell>
          <cell r="AW230">
            <v>65.187234472992117</v>
          </cell>
          <cell r="AX230">
            <v>65.492408984805635</v>
          </cell>
          <cell r="AY230">
            <v>65.365664832713748</v>
          </cell>
          <cell r="AZ230">
            <v>66.041909769923507</v>
          </cell>
          <cell r="BC230">
            <v>60.102294159290864</v>
          </cell>
          <cell r="BD230">
            <v>60.881145248052178</v>
          </cell>
          <cell r="BE230">
            <v>62.357943717050709</v>
          </cell>
          <cell r="BF230">
            <v>61.456584561181991</v>
          </cell>
          <cell r="BG230">
            <v>61.199491921393935</v>
          </cell>
          <cell r="BO230">
            <v>61.288095604551899</v>
          </cell>
          <cell r="BP230">
            <v>62.40927228962898</v>
          </cell>
          <cell r="BQ230">
            <v>61</v>
          </cell>
          <cell r="BR230">
            <v>61</v>
          </cell>
          <cell r="BS230">
            <v>61.424341973545218</v>
          </cell>
          <cell r="CA230">
            <v>61</v>
          </cell>
          <cell r="CB230">
            <v>60</v>
          </cell>
          <cell r="CC230">
            <v>60</v>
          </cell>
          <cell r="CD230">
            <v>60</v>
          </cell>
        </row>
        <row r="231">
          <cell r="A231" t="str">
            <v>DSOs as Reported</v>
          </cell>
          <cell r="M231" t="str">
            <v>na</v>
          </cell>
          <cell r="N231" t="str">
            <v>na</v>
          </cell>
          <cell r="O231" t="str">
            <v>na</v>
          </cell>
          <cell r="P231" t="str">
            <v>na</v>
          </cell>
          <cell r="Q231" t="str">
            <v>na</v>
          </cell>
          <cell r="R231" t="str">
            <v>na</v>
          </cell>
          <cell r="S231" t="str">
            <v>na</v>
          </cell>
          <cell r="T231" t="str">
            <v>na</v>
          </cell>
          <cell r="U231" t="str">
            <v>na</v>
          </cell>
          <cell r="V231">
            <v>71</v>
          </cell>
          <cell r="X231">
            <v>69</v>
          </cell>
          <cell r="Y231" t="str">
            <v>na</v>
          </cell>
          <cell r="Z231" t="str">
            <v>na</v>
          </cell>
          <cell r="AA231">
            <v>63</v>
          </cell>
          <cell r="AB231">
            <v>63</v>
          </cell>
          <cell r="AD231" t="str">
            <v>na</v>
          </cell>
          <cell r="AE231" t="str">
            <v>na</v>
          </cell>
          <cell r="AF231" t="str">
            <v>na</v>
          </cell>
          <cell r="AG231">
            <v>64</v>
          </cell>
          <cell r="AH231">
            <v>65</v>
          </cell>
          <cell r="AI231">
            <v>65</v>
          </cell>
          <cell r="AJ231">
            <v>62</v>
          </cell>
          <cell r="AK231">
            <v>63</v>
          </cell>
          <cell r="AL231">
            <v>63</v>
          </cell>
          <cell r="AM231">
            <v>63</v>
          </cell>
          <cell r="AN231">
            <v>63</v>
          </cell>
          <cell r="AT231">
            <v>65</v>
          </cell>
          <cell r="AV231">
            <v>65</v>
          </cell>
          <cell r="AW231">
            <v>62</v>
          </cell>
          <cell r="AX231">
            <v>63</v>
          </cell>
          <cell r="AY231">
            <v>63</v>
          </cell>
          <cell r="AZ231">
            <v>63</v>
          </cell>
          <cell r="BC231">
            <v>59</v>
          </cell>
          <cell r="BD231">
            <v>60</v>
          </cell>
          <cell r="BE231">
            <v>62</v>
          </cell>
          <cell r="BF231">
            <v>61</v>
          </cell>
          <cell r="BG231">
            <v>61</v>
          </cell>
          <cell r="BO231">
            <v>61</v>
          </cell>
          <cell r="BP231">
            <v>62</v>
          </cell>
        </row>
        <row r="233">
          <cell r="A233" t="str">
            <v>Supplies</v>
          </cell>
        </row>
        <row r="234">
          <cell r="A234" t="str">
            <v>Days average supplies on hand</v>
          </cell>
          <cell r="F234">
            <v>0</v>
          </cell>
          <cell r="K234">
            <v>10.860574487963827</v>
          </cell>
          <cell r="M234">
            <v>0</v>
          </cell>
          <cell r="N234">
            <v>17.399084304525502</v>
          </cell>
          <cell r="O234">
            <v>9.8534488548592929</v>
          </cell>
          <cell r="P234">
            <v>9.8857141309675658</v>
          </cell>
          <cell r="Q234">
            <v>10.857946274432694</v>
          </cell>
          <cell r="R234">
            <v>9.086355027656186</v>
          </cell>
          <cell r="S234">
            <v>9.5015577101037891</v>
          </cell>
          <cell r="T234">
            <v>9.4235240740429553</v>
          </cell>
          <cell r="U234">
            <v>9.1452433707083962</v>
          </cell>
          <cell r="V234">
            <v>10.229590375673482</v>
          </cell>
          <cell r="X234">
            <v>8.4338889524084433</v>
          </cell>
          <cell r="Y234">
            <v>9.2275689714313724</v>
          </cell>
          <cell r="Z234">
            <v>9.3985142201826566</v>
          </cell>
          <cell r="AA234">
            <v>9.5324598311838553</v>
          </cell>
          <cell r="AB234">
            <v>10.028299181473331</v>
          </cell>
          <cell r="AD234">
            <v>8.7061280766658022</v>
          </cell>
          <cell r="AE234">
            <v>8.8849508514467672</v>
          </cell>
          <cell r="AF234">
            <v>8.9752621635302923</v>
          </cell>
          <cell r="AG234">
            <v>8.9587035490395355</v>
          </cell>
          <cell r="AH234">
            <v>9.968718955318236</v>
          </cell>
          <cell r="AI234">
            <v>8.7668621165987339</v>
          </cell>
          <cell r="AJ234">
            <v>9.2611713116758789</v>
          </cell>
          <cell r="AK234">
            <v>9.5</v>
          </cell>
          <cell r="AL234">
            <v>9.5</v>
          </cell>
          <cell r="AM234">
            <v>9.6937299877184486</v>
          </cell>
          <cell r="AN234">
            <v>10.199964500061016</v>
          </cell>
          <cell r="AR234">
            <v>9.1052887833118419</v>
          </cell>
          <cell r="AS234">
            <v>9.0634477071785238</v>
          </cell>
          <cell r="AT234">
            <v>10.103659011873001</v>
          </cell>
          <cell r="AV234">
            <v>9.2436358834246413</v>
          </cell>
          <cell r="AW234">
            <v>9.7723379863780444</v>
          </cell>
          <cell r="AX234">
            <v>9.5</v>
          </cell>
          <cell r="AY234">
            <v>9.5</v>
          </cell>
          <cell r="AZ234">
            <v>10.084486158450723</v>
          </cell>
          <cell r="BC234">
            <v>9.5</v>
          </cell>
          <cell r="BD234">
            <v>9.5</v>
          </cell>
          <cell r="BE234">
            <v>10</v>
          </cell>
          <cell r="BF234">
            <v>8.918305212459396</v>
          </cell>
          <cell r="BG234">
            <v>9.2950844229493459</v>
          </cell>
          <cell r="BO234">
            <v>8.3168478864403728</v>
          </cell>
          <cell r="BP234">
            <v>8.8228629268632872</v>
          </cell>
          <cell r="BQ234">
            <v>8.5</v>
          </cell>
          <cell r="BR234">
            <v>8.5</v>
          </cell>
          <cell r="BS234">
            <v>8.7615554416696835</v>
          </cell>
          <cell r="CA234">
            <v>8.7615554416696835</v>
          </cell>
          <cell r="CB234">
            <v>8.7615554416696835</v>
          </cell>
          <cell r="CC234">
            <v>8.7615554416696835</v>
          </cell>
          <cell r="CD234">
            <v>8.7615554416696835</v>
          </cell>
        </row>
        <row r="236">
          <cell r="A236" t="str">
            <v>Accounts Payable</v>
          </cell>
        </row>
        <row r="237">
          <cell r="A237" t="str">
            <v>Days Payable Outstanding</v>
          </cell>
          <cell r="K237">
            <v>62.386881769745997</v>
          </cell>
          <cell r="M237">
            <v>0</v>
          </cell>
          <cell r="N237">
            <v>43.410068842401181</v>
          </cell>
          <cell r="O237">
            <v>64.421226244637381</v>
          </cell>
          <cell r="P237">
            <v>66.446485623003213</v>
          </cell>
          <cell r="Q237">
            <v>73.601667935748225</v>
          </cell>
          <cell r="R237">
            <v>63.296179529826482</v>
          </cell>
          <cell r="S237">
            <v>63.348309178743968</v>
          </cell>
          <cell r="T237">
            <v>64.480697441848037</v>
          </cell>
          <cell r="U237">
            <v>56.927652001440038</v>
          </cell>
          <cell r="V237">
            <v>63.543891098323783</v>
          </cell>
          <cell r="X237">
            <v>57.045933209395407</v>
          </cell>
          <cell r="Y237">
            <v>56.193210870182746</v>
          </cell>
          <cell r="Z237">
            <v>61.246365068647307</v>
          </cell>
          <cell r="AA237">
            <v>53.937496390791928</v>
          </cell>
          <cell r="AB237">
            <v>58.307378163040525</v>
          </cell>
          <cell r="AD237">
            <v>49.99849112440436</v>
          </cell>
          <cell r="AE237">
            <v>46.617253531080102</v>
          </cell>
          <cell r="AF237">
            <v>48.459002048740679</v>
          </cell>
          <cell r="AG237">
            <v>55.069011278122758</v>
          </cell>
          <cell r="AH237">
            <v>61.790884152313062</v>
          </cell>
          <cell r="AI237">
            <v>48.700661774843361</v>
          </cell>
          <cell r="AJ237">
            <v>48.742349742361156</v>
          </cell>
          <cell r="AK237">
            <v>49.142012113813166</v>
          </cell>
          <cell r="AL237">
            <v>52.944492606444904</v>
          </cell>
          <cell r="AM237">
            <v>55.379056521973752</v>
          </cell>
          <cell r="AN237">
            <v>59.609233104521358</v>
          </cell>
          <cell r="AR237">
            <v>49.046845327815106</v>
          </cell>
          <cell r="AS237">
            <v>55.589276926802221</v>
          </cell>
          <cell r="AT237">
            <v>62.774455790707037</v>
          </cell>
          <cell r="AV237">
            <v>52.052680914118241</v>
          </cell>
          <cell r="AW237">
            <v>51.931948754932876</v>
          </cell>
          <cell r="AX237">
            <v>51.553707289554325</v>
          </cell>
          <cell r="AY237">
            <v>55.379447415659641</v>
          </cell>
          <cell r="AZ237">
            <v>58.150368095282744</v>
          </cell>
          <cell r="BC237">
            <v>46.963641992294988</v>
          </cell>
          <cell r="BD237">
            <v>47</v>
          </cell>
          <cell r="BE237">
            <v>47</v>
          </cell>
          <cell r="BF237">
            <v>54.826714189795496</v>
          </cell>
          <cell r="BG237">
            <v>57.111870829557624</v>
          </cell>
          <cell r="BO237">
            <v>43.160645480093251</v>
          </cell>
          <cell r="BP237">
            <v>51.993138309750506</v>
          </cell>
          <cell r="BQ237">
            <v>50</v>
          </cell>
          <cell r="BR237">
            <v>50</v>
          </cell>
          <cell r="BS237">
            <v>51.52469690821485</v>
          </cell>
          <cell r="CA237">
            <v>51.52469690821485</v>
          </cell>
          <cell r="CB237">
            <v>51.52469690821485</v>
          </cell>
          <cell r="CC237">
            <v>51.52469690821485</v>
          </cell>
          <cell r="CD237">
            <v>51.52469690821485</v>
          </cell>
        </row>
        <row r="239">
          <cell r="A239" t="str">
            <v>Prepaid expenses and taxes (% of revenue)</v>
          </cell>
          <cell r="M239">
            <v>0</v>
          </cell>
          <cell r="N239">
            <v>4.8256899248272034E-2</v>
          </cell>
          <cell r="O239">
            <v>4.7525602501993003E-2</v>
          </cell>
          <cell r="P239">
            <v>5.413156334034723E-2</v>
          </cell>
          <cell r="Q239">
            <v>1.4945035555113605E-2</v>
          </cell>
          <cell r="R239">
            <v>4.4483186795268977E-2</v>
          </cell>
          <cell r="S239">
            <v>3.5342184884849179E-2</v>
          </cell>
          <cell r="T239">
            <v>3.1641816841867731E-2</v>
          </cell>
          <cell r="U239">
            <v>3.1090969252484807E-2</v>
          </cell>
          <cell r="V239">
            <v>8.7658129751273153E-3</v>
          </cell>
          <cell r="X239">
            <v>3.2075708643928329E-2</v>
          </cell>
          <cell r="Y239">
            <v>3.1109234764843136E-2</v>
          </cell>
          <cell r="Z239">
            <v>4.5329488948902125E-2</v>
          </cell>
          <cell r="AA239">
            <v>3.7888512789751055E-2</v>
          </cell>
          <cell r="AB239">
            <v>1.0046732051243014E-2</v>
          </cell>
          <cell r="AD239">
            <v>3.1216013906142634E-2</v>
          </cell>
          <cell r="AE239">
            <v>3.8932409138694613E-2</v>
          </cell>
          <cell r="AF239">
            <v>3.5152457324950002E-2</v>
          </cell>
          <cell r="AG239">
            <v>3.0582416808380038E-2</v>
          </cell>
          <cell r="AH239">
            <v>8.5775044591451972E-3</v>
          </cell>
          <cell r="AI239">
            <v>2.9290738056558074E-2</v>
          </cell>
          <cell r="AJ239">
            <v>3.9721311737328083E-2</v>
          </cell>
          <cell r="AK239">
            <v>4.1501882625581438E-2</v>
          </cell>
          <cell r="AL239">
            <v>3.4970682813394473E-2</v>
          </cell>
          <cell r="AM239">
            <v>9.1467997903164483E-3</v>
          </cell>
          <cell r="AN239">
            <v>1.0218712905337194E-2</v>
          </cell>
          <cell r="AR239">
            <v>3.5661718794943717E-2</v>
          </cell>
          <cell r="AS239">
            <v>3.0939982999170317E-2</v>
          </cell>
          <cell r="AT239">
            <v>8.6936125510679117E-3</v>
          </cell>
          <cell r="AV239">
            <v>3.0883674654693386E-2</v>
          </cell>
          <cell r="AW239">
            <v>4.1913713772908597E-2</v>
          </cell>
          <cell r="AX239">
            <v>4.3148993305124936E-2</v>
          </cell>
          <cell r="AY239">
            <v>3.6262304832713754E-2</v>
          </cell>
          <cell r="AZ239">
            <v>9.5155090967492806E-3</v>
          </cell>
          <cell r="BC239">
            <v>3.2765839850351718E-2</v>
          </cell>
          <cell r="BD239">
            <v>3.5000000000000003E-2</v>
          </cell>
          <cell r="BE239">
            <v>3.5000000000000003E-2</v>
          </cell>
          <cell r="BF239">
            <v>3.3986375716598613E-2</v>
          </cell>
          <cell r="BG239">
            <v>8.9283421429947139E-3</v>
          </cell>
          <cell r="BO239">
            <v>3.1605494845903123E-2</v>
          </cell>
          <cell r="BP239">
            <v>2.9393414472778951E-2</v>
          </cell>
          <cell r="BQ239">
            <v>3.5000000000000003E-2</v>
          </cell>
          <cell r="BR239">
            <v>3.5000000000000003E-2</v>
          </cell>
          <cell r="BS239">
            <v>9.093379056301816E-3</v>
          </cell>
          <cell r="CA239">
            <v>9.093379056301816E-3</v>
          </cell>
          <cell r="CB239">
            <v>9.093379056301816E-3</v>
          </cell>
          <cell r="CC239">
            <v>9.093379056301816E-3</v>
          </cell>
          <cell r="CD239">
            <v>9.093379056301816E-3</v>
          </cell>
        </row>
        <row r="240">
          <cell r="A240" t="str">
            <v>Other current assets (% of revenue)</v>
          </cell>
          <cell r="M240">
            <v>0</v>
          </cell>
          <cell r="N240">
            <v>0</v>
          </cell>
          <cell r="O240">
            <v>8.9023994953963681E-2</v>
          </cell>
          <cell r="P240">
            <v>6.2583442333054407E-2</v>
          </cell>
          <cell r="Q240">
            <v>1.7278491754398689E-2</v>
          </cell>
          <cell r="R240">
            <v>5.4735416222453565E-2</v>
          </cell>
          <cell r="S240">
            <v>3.8238103908867102E-2</v>
          </cell>
          <cell r="T240">
            <v>4.2033852735081104E-2</v>
          </cell>
          <cell r="U240">
            <v>4.2718145683159438E-2</v>
          </cell>
          <cell r="V240">
            <v>1.2043988486235146E-2</v>
          </cell>
          <cell r="X240">
            <v>4.1648001289551075E-2</v>
          </cell>
          <cell r="Y240">
            <v>3.4401845520579288E-2</v>
          </cell>
          <cell r="Z240">
            <v>2.5215206542206527E-2</v>
          </cell>
          <cell r="AA240">
            <v>2.7752688632760616E-2</v>
          </cell>
          <cell r="AB240">
            <v>7.3590596691445308E-3</v>
          </cell>
          <cell r="AD240">
            <v>2.6439569407092921E-2</v>
          </cell>
          <cell r="AE240">
            <v>2.4482232429068922E-2</v>
          </cell>
          <cell r="AF240">
            <v>2.649988520404635E-2</v>
          </cell>
          <cell r="AG240">
            <v>2.3797784240131216E-2</v>
          </cell>
          <cell r="AH240">
            <v>6.6746065792147391E-3</v>
          </cell>
          <cell r="AI240">
            <v>2.0300932906602332E-2</v>
          </cell>
          <cell r="AJ240">
            <v>1.9738984771448833E-2</v>
          </cell>
          <cell r="AK240">
            <v>2.327157436785722E-2</v>
          </cell>
          <cell r="AL240">
            <v>1.943389321454261E-2</v>
          </cell>
          <cell r="AM240">
            <v>5.0830557506794166E-3</v>
          </cell>
          <cell r="AN240">
            <v>7.4850327080166999E-3</v>
          </cell>
          <cell r="AR240">
            <v>2.6883794936698204E-2</v>
          </cell>
          <cell r="AS240">
            <v>2.4076025267101359E-2</v>
          </cell>
          <cell r="AT240">
            <v>6.764956381763795E-3</v>
          </cell>
          <cell r="AV240">
            <v>2.1404971286952262E-2</v>
          </cell>
          <cell r="AW240">
            <v>2.0828470201320698E-2</v>
          </cell>
          <cell r="AX240">
            <v>2.4195167618238145E-2</v>
          </cell>
          <cell r="AY240">
            <v>2.0151672862453535E-2</v>
          </cell>
          <cell r="AZ240">
            <v>5.2879547321107775E-3</v>
          </cell>
          <cell r="BC240">
            <v>1.6660372601328022E-2</v>
          </cell>
          <cell r="BD240">
            <v>0.02</v>
          </cell>
          <cell r="BE240">
            <v>0.02</v>
          </cell>
          <cell r="BF240">
            <v>2.1757104890690073E-2</v>
          </cell>
          <cell r="BG240">
            <v>5.7156690705985579E-3</v>
          </cell>
          <cell r="BO240">
            <v>5.2071867066967217E-2</v>
          </cell>
          <cell r="BP240">
            <v>4.675351113138445E-2</v>
          </cell>
          <cell r="BQ240">
            <v>0.05</v>
          </cell>
          <cell r="BR240">
            <v>0.05</v>
          </cell>
          <cell r="BS240">
            <v>1.2990541509002593E-2</v>
          </cell>
          <cell r="CA240">
            <v>1.2990541509002593E-2</v>
          </cell>
          <cell r="CB240">
            <v>1.2990541509002593E-2</v>
          </cell>
          <cell r="CC240">
            <v>1.2990541509002593E-2</v>
          </cell>
          <cell r="CD240">
            <v>1.2990541509002593E-2</v>
          </cell>
        </row>
        <row r="242">
          <cell r="A242" t="str">
            <v>Accrued comp (% of SW&amp;B)</v>
          </cell>
          <cell r="M242">
            <v>0</v>
          </cell>
          <cell r="N242">
            <v>0.99317530186164849</v>
          </cell>
          <cell r="O242">
            <v>0.78400072490579986</v>
          </cell>
          <cell r="P242">
            <v>0.40386815310610424</v>
          </cell>
          <cell r="Q242">
            <v>0.1098586758202678</v>
          </cell>
          <cell r="R242">
            <v>0.69027020698088903</v>
          </cell>
          <cell r="S242">
            <v>0.71445141527873013</v>
          </cell>
          <cell r="T242">
            <v>0</v>
          </cell>
          <cell r="U242">
            <v>0.3800473705214385</v>
          </cell>
          <cell r="V242">
            <v>0.11009566878062842</v>
          </cell>
          <cell r="X242">
            <v>0.33766646405481571</v>
          </cell>
          <cell r="Y242">
            <v>0</v>
          </cell>
          <cell r="Z242">
            <v>0</v>
          </cell>
          <cell r="AA242">
            <v>0.40342288880528099</v>
          </cell>
          <cell r="AB242">
            <v>0.10641184391260514</v>
          </cell>
          <cell r="AD242">
            <v>0</v>
          </cell>
          <cell r="AE242">
            <v>0</v>
          </cell>
          <cell r="AF242">
            <v>0</v>
          </cell>
          <cell r="AG242">
            <v>0.36287020597985764</v>
          </cell>
          <cell r="AH242">
            <v>0.10141730236544938</v>
          </cell>
          <cell r="AI242">
            <v>0.34</v>
          </cell>
          <cell r="AJ242">
            <v>0.34</v>
          </cell>
          <cell r="AK242">
            <v>0.34</v>
          </cell>
          <cell r="AL242">
            <v>0.28273522944481971</v>
          </cell>
          <cell r="AM242">
            <v>7.3656433715200101E-2</v>
          </cell>
          <cell r="AN242">
            <v>0.10845263709588436</v>
          </cell>
          <cell r="AR242">
            <v>0</v>
          </cell>
          <cell r="AS242">
            <v>0.3678076716046158</v>
          </cell>
          <cell r="AT242">
            <v>0.102953684304373</v>
          </cell>
          <cell r="AV242">
            <v>0.34</v>
          </cell>
          <cell r="AW242">
            <v>0.34</v>
          </cell>
          <cell r="AX242">
            <v>0.34</v>
          </cell>
          <cell r="AY242">
            <v>0.29471422921585311</v>
          </cell>
          <cell r="AZ242">
            <v>7.6899563455332345E-2</v>
          </cell>
          <cell r="BC242">
            <v>0.28000000000000003</v>
          </cell>
          <cell r="BD242">
            <v>0.28000000000000003</v>
          </cell>
          <cell r="BE242">
            <v>0.28000000000000003</v>
          </cell>
          <cell r="BF242">
            <v>0.31288862167134296</v>
          </cell>
          <cell r="BG242">
            <v>8.1953312017508523E-2</v>
          </cell>
          <cell r="BO242">
            <v>0.28000000000000003</v>
          </cell>
          <cell r="BP242">
            <v>0.28000000000000003</v>
          </cell>
          <cell r="BQ242">
            <v>0.26</v>
          </cell>
          <cell r="BR242">
            <v>0.26</v>
          </cell>
          <cell r="BS242">
            <v>6.7943664268115378E-2</v>
          </cell>
          <cell r="CA242">
            <v>6.7943664268115378E-2</v>
          </cell>
          <cell r="CB242">
            <v>6.7943664268115378E-2</v>
          </cell>
          <cell r="CC242">
            <v>6.7943664268115378E-2</v>
          </cell>
          <cell r="CD242">
            <v>6.7943664268115378E-2</v>
          </cell>
        </row>
        <row r="243">
          <cell r="A243" t="str">
            <v>Other accruals (% of other op expenses)</v>
          </cell>
          <cell r="M243">
            <v>0</v>
          </cell>
          <cell r="N243">
            <v>0</v>
          </cell>
          <cell r="O243">
            <v>0</v>
          </cell>
          <cell r="P243">
            <v>0.76332965430786659</v>
          </cell>
          <cell r="Q243">
            <v>0.21589831736513102</v>
          </cell>
          <cell r="R243">
            <v>0</v>
          </cell>
          <cell r="S243">
            <v>0</v>
          </cell>
          <cell r="T243">
            <v>1.2758204487574079</v>
          </cell>
          <cell r="U243">
            <v>0.73123665181426922</v>
          </cell>
          <cell r="V243">
            <v>0.20610964605366491</v>
          </cell>
          <cell r="X243">
            <v>0.82226353042110545</v>
          </cell>
          <cell r="Y243">
            <v>1.3474890493224121</v>
          </cell>
          <cell r="Z243">
            <v>1.2674712443360057</v>
          </cell>
          <cell r="AA243">
            <v>0.64594145817122961</v>
          </cell>
          <cell r="AB243">
            <v>0.18119814672718232</v>
          </cell>
          <cell r="AD243">
            <v>1.2056191742270528</v>
          </cell>
          <cell r="AE243">
            <v>1.2563957503710343</v>
          </cell>
          <cell r="AF243">
            <v>1.2461134494846167</v>
          </cell>
          <cell r="AG243">
            <v>0.49510680515408356</v>
          </cell>
          <cell r="AH243">
            <v>0.13902765763891159</v>
          </cell>
          <cell r="AI243">
            <v>0.42846751255224957</v>
          </cell>
          <cell r="AJ243">
            <v>0.48215476190476186</v>
          </cell>
          <cell r="AK243">
            <v>0.43</v>
          </cell>
          <cell r="AL243">
            <v>0.3555374066322971</v>
          </cell>
          <cell r="AM243">
            <v>9.3451061476332392E-2</v>
          </cell>
          <cell r="AN243">
            <v>0.18609547315972896</v>
          </cell>
          <cell r="AR243">
            <v>1.2608515070805095</v>
          </cell>
          <cell r="AS243">
            <v>0.4995983191200099</v>
          </cell>
          <cell r="AT243">
            <v>0.14156857526100311</v>
          </cell>
          <cell r="AV243">
            <v>0.50436101160099012</v>
          </cell>
          <cell r="AW243">
            <v>0.55913982390197514</v>
          </cell>
          <cell r="AX243">
            <v>0.43</v>
          </cell>
          <cell r="AY243">
            <v>0.37453174569982733</v>
          </cell>
          <cell r="AZ243">
            <v>9.8866991344722294E-2</v>
          </cell>
          <cell r="BC243">
            <v>0.59964821637164156</v>
          </cell>
          <cell r="BD243">
            <v>0.67920061653452701</v>
          </cell>
          <cell r="BE243">
            <v>0.6</v>
          </cell>
          <cell r="BF243">
            <v>0.38300061741098995</v>
          </cell>
          <cell r="BG243">
            <v>0.10208047643302121</v>
          </cell>
          <cell r="BO243">
            <v>0.67197132962717887</v>
          </cell>
          <cell r="BP243">
            <v>0.6491802859711655</v>
          </cell>
          <cell r="BQ243">
            <v>0.67</v>
          </cell>
          <cell r="BR243">
            <v>0.67</v>
          </cell>
          <cell r="BS243">
            <v>0.17399002201249134</v>
          </cell>
          <cell r="CA243">
            <v>0.17399002201249134</v>
          </cell>
          <cell r="CB243">
            <v>0.17399002201249134</v>
          </cell>
          <cell r="CC243">
            <v>0.17399002201249134</v>
          </cell>
          <cell r="CD243">
            <v>0.17399002201249134</v>
          </cell>
        </row>
        <row r="246">
          <cell r="A246" t="str">
            <v>PP&amp;E and Acquisitions Schedules</v>
          </cell>
        </row>
        <row r="247">
          <cell r="A247" t="str">
            <v>DEPRECIATION</v>
          </cell>
        </row>
        <row r="248">
          <cell r="A248" t="str">
            <v>Gross PP&amp;E EOP</v>
          </cell>
          <cell r="F248">
            <v>623.12900000000002</v>
          </cell>
          <cell r="K248">
            <v>731.84199999999998</v>
          </cell>
          <cell r="O248">
            <v>805.72199999999998</v>
          </cell>
          <cell r="P248">
            <v>850.20100000000002</v>
          </cell>
          <cell r="Q248">
            <v>850.20100000000002</v>
          </cell>
          <cell r="R248">
            <v>874.78099999999995</v>
          </cell>
          <cell r="S248">
            <v>936.33600000000001</v>
          </cell>
          <cell r="T248">
            <v>964.63699999999994</v>
          </cell>
          <cell r="U248">
            <v>1066.9590000000001</v>
          </cell>
          <cell r="V248">
            <v>1066.9589999999998</v>
          </cell>
          <cell r="X248">
            <v>1142.021</v>
          </cell>
          <cell r="Y248">
            <v>1178.222</v>
          </cell>
          <cell r="Z248">
            <v>1240.617</v>
          </cell>
          <cell r="AA248">
            <v>1310.7380000000001</v>
          </cell>
          <cell r="AB248">
            <v>1310.7380000000001</v>
          </cell>
          <cell r="AD248">
            <v>1435.2470000000001</v>
          </cell>
          <cell r="AE248">
            <v>1463.1389999999999</v>
          </cell>
          <cell r="AF248">
            <v>1606.7729999999999</v>
          </cell>
          <cell r="AG248">
            <v>1772.461</v>
          </cell>
          <cell r="AH248">
            <v>1772.461</v>
          </cell>
          <cell r="AI248">
            <v>1804.4190000000001</v>
          </cell>
          <cell r="AJ248">
            <v>1840.0990000000002</v>
          </cell>
          <cell r="AK248">
            <v>1890.7350000000001</v>
          </cell>
          <cell r="AL248">
            <v>1924.8430000000001</v>
          </cell>
          <cell r="AM248">
            <v>1924.8430000000001</v>
          </cell>
          <cell r="AV248">
            <v>1804.4190000000001</v>
          </cell>
          <cell r="AW248">
            <v>1840.0990000000002</v>
          </cell>
          <cell r="AX248">
            <v>1890.7350000000001</v>
          </cell>
          <cell r="AY248">
            <v>1924.8430000000001</v>
          </cell>
          <cell r="AZ248">
            <v>1924.8430000000001</v>
          </cell>
          <cell r="BC248">
            <v>1916.69</v>
          </cell>
          <cell r="BD248">
            <v>1945.942</v>
          </cell>
          <cell r="BE248">
            <v>1984.2739999999999</v>
          </cell>
          <cell r="BF248">
            <v>2128.6750000000002</v>
          </cell>
          <cell r="BG248">
            <v>2128.6750000000002</v>
          </cell>
          <cell r="BO248">
            <v>2175.2280000000001</v>
          </cell>
          <cell r="BP248">
            <v>2335.7629999999999</v>
          </cell>
          <cell r="BQ248">
            <v>2454.7629999999999</v>
          </cell>
          <cell r="BR248">
            <v>2549.663</v>
          </cell>
          <cell r="BS248">
            <v>2549.663</v>
          </cell>
          <cell r="CA248">
            <v>2864.1689000000001</v>
          </cell>
          <cell r="CB248">
            <v>3194.3389950000005</v>
          </cell>
          <cell r="CC248">
            <v>3516.6801198125008</v>
          </cell>
          <cell r="CD248">
            <v>3852.147200865626</v>
          </cell>
        </row>
        <row r="249">
          <cell r="A249" t="str">
            <v>Accumulated Depreciation EOP</v>
          </cell>
          <cell r="F249">
            <v>-70.114000000000004</v>
          </cell>
          <cell r="K249">
            <v>-108.499</v>
          </cell>
          <cell r="O249">
            <v>-128.245</v>
          </cell>
          <cell r="P249">
            <v>-142.12</v>
          </cell>
          <cell r="Q249">
            <v>-142.12</v>
          </cell>
          <cell r="R249">
            <v>-155.815</v>
          </cell>
          <cell r="S249">
            <v>-169.62700000000001</v>
          </cell>
          <cell r="T249">
            <v>-186.69300000000001</v>
          </cell>
          <cell r="U249">
            <v>-200.42500000000001</v>
          </cell>
          <cell r="V249">
            <v>-200.42499999999998</v>
          </cell>
          <cell r="X249">
            <v>-220.886</v>
          </cell>
          <cell r="Y249">
            <v>-240.58699999999999</v>
          </cell>
          <cell r="Z249">
            <v>-258.89999999999998</v>
          </cell>
          <cell r="AA249">
            <v>-281.40100000000001</v>
          </cell>
          <cell r="AB249">
            <v>-281.40100000000001</v>
          </cell>
          <cell r="AD249">
            <v>-304.98099999999999</v>
          </cell>
          <cell r="AE249">
            <v>-328.709</v>
          </cell>
          <cell r="AF249">
            <v>-355.97399999999999</v>
          </cell>
          <cell r="AG249">
            <v>-377.11599999999999</v>
          </cell>
          <cell r="AH249">
            <v>-377.11599999999999</v>
          </cell>
          <cell r="AI249">
            <v>-405.97</v>
          </cell>
          <cell r="AJ249">
            <v>-432.04300000000001</v>
          </cell>
          <cell r="AK249">
            <v>-411.988</v>
          </cell>
          <cell r="AL249">
            <v>-440.29500000000002</v>
          </cell>
          <cell r="AM249">
            <v>-440.29500000000002</v>
          </cell>
          <cell r="AV249">
            <v>-405.97</v>
          </cell>
          <cell r="AW249">
            <v>-432.04300000000001</v>
          </cell>
          <cell r="AX249">
            <v>-411.988</v>
          </cell>
          <cell r="AY249">
            <v>-440.29500000000002</v>
          </cell>
          <cell r="AZ249">
            <v>-440.29500000000002</v>
          </cell>
          <cell r="BC249">
            <v>-439.45499999999998</v>
          </cell>
          <cell r="BD249">
            <v>-461.47300000000001</v>
          </cell>
          <cell r="BE249">
            <v>-484.584</v>
          </cell>
          <cell r="BF249">
            <v>-517.68399999999997</v>
          </cell>
          <cell r="BG249">
            <v>-517.68399999999997</v>
          </cell>
          <cell r="BO249">
            <v>-547.77</v>
          </cell>
          <cell r="BP249">
            <v>-578.54499999999996</v>
          </cell>
          <cell r="BQ249">
            <v>-626.45025999999996</v>
          </cell>
          <cell r="BR249">
            <v>-676.49451999999997</v>
          </cell>
          <cell r="BS249">
            <v>-676.49451999999997</v>
          </cell>
          <cell r="CA249">
            <v>-870.19487655737703</v>
          </cell>
          <cell r="CB249">
            <v>-1090.3163804508199</v>
          </cell>
          <cell r="CC249">
            <v>-1337.1801474513325</v>
          </cell>
          <cell r="CD249">
            <v>-1616.0366191462545</v>
          </cell>
        </row>
        <row r="250">
          <cell r="A250" t="str">
            <v>Net PP&amp;E EOP</v>
          </cell>
          <cell r="F250">
            <v>553.01499999999999</v>
          </cell>
          <cell r="K250">
            <v>623.34299999999996</v>
          </cell>
          <cell r="N250">
            <v>652.19200000000001</v>
          </cell>
          <cell r="O250">
            <v>677.47699999999998</v>
          </cell>
          <cell r="P250">
            <v>708.08100000000002</v>
          </cell>
          <cell r="Q250">
            <v>708.08100000000002</v>
          </cell>
          <cell r="R250">
            <v>718.96599999999989</v>
          </cell>
          <cell r="S250">
            <v>766.70900000000006</v>
          </cell>
          <cell r="T250">
            <v>777.94399999999996</v>
          </cell>
          <cell r="U250">
            <v>866.53400000000011</v>
          </cell>
          <cell r="V250">
            <v>866.53399999999988</v>
          </cell>
          <cell r="X250">
            <v>921.13499999999999</v>
          </cell>
          <cell r="Y250">
            <v>937.63499999999999</v>
          </cell>
          <cell r="Z250">
            <v>981.71699999999998</v>
          </cell>
          <cell r="AA250">
            <v>1029.337</v>
          </cell>
          <cell r="AB250">
            <v>1029.337</v>
          </cell>
          <cell r="AD250">
            <v>1130.2660000000001</v>
          </cell>
          <cell r="AE250">
            <v>1134.4299999999998</v>
          </cell>
          <cell r="AF250">
            <v>1250.799</v>
          </cell>
          <cell r="AG250">
            <v>1395.345</v>
          </cell>
          <cell r="AH250">
            <v>1395.345</v>
          </cell>
          <cell r="AI250">
            <v>1398.4490000000001</v>
          </cell>
          <cell r="AJ250">
            <v>1408.056</v>
          </cell>
          <cell r="AK250">
            <v>1478.7470000000001</v>
          </cell>
          <cell r="AL250">
            <v>1484.548</v>
          </cell>
          <cell r="AM250">
            <v>1484.548</v>
          </cell>
          <cell r="AN250">
            <v>1029.337</v>
          </cell>
          <cell r="AP250">
            <v>1130.2660000000001</v>
          </cell>
          <cell r="AQ250">
            <v>1134.43</v>
          </cell>
          <cell r="AR250">
            <v>1250.799</v>
          </cell>
          <cell r="AS250">
            <v>1395.345</v>
          </cell>
          <cell r="AT250">
            <v>1395.345</v>
          </cell>
          <cell r="AU250">
            <v>0</v>
          </cell>
          <cell r="AV250">
            <v>1398.4490000000001</v>
          </cell>
          <cell r="AW250">
            <v>1408.056</v>
          </cell>
          <cell r="AX250">
            <v>1478.7470000000001</v>
          </cell>
          <cell r="AY250">
            <v>1484.548</v>
          </cell>
          <cell r="AZ250">
            <v>1484.548</v>
          </cell>
          <cell r="BC250">
            <v>1477.2350000000001</v>
          </cell>
          <cell r="BD250">
            <v>1484.4690000000001</v>
          </cell>
          <cell r="BE250">
            <v>1499.6899999999998</v>
          </cell>
          <cell r="BF250">
            <v>1610.991</v>
          </cell>
          <cell r="BG250">
            <v>1610.9910000000002</v>
          </cell>
          <cell r="BO250">
            <v>1627.4580000000001</v>
          </cell>
          <cell r="BP250">
            <v>1757.2180000000001</v>
          </cell>
          <cell r="BQ250">
            <v>1828.3127399999998</v>
          </cell>
          <cell r="BR250">
            <v>1873.16848</v>
          </cell>
          <cell r="BS250">
            <v>1873.16848</v>
          </cell>
          <cell r="CA250">
            <v>1993.9740234426231</v>
          </cell>
          <cell r="CB250">
            <v>2104.0226145491806</v>
          </cell>
          <cell r="CC250">
            <v>2179.4999723611681</v>
          </cell>
          <cell r="CD250">
            <v>2236.1105817193716</v>
          </cell>
        </row>
        <row r="252">
          <cell r="A252" t="str">
            <v>Beginning Gross PP&amp;E</v>
          </cell>
          <cell r="K252">
            <v>623.12900000000002</v>
          </cell>
          <cell r="M252">
            <v>731.84199999999998</v>
          </cell>
          <cell r="N252">
            <v>0</v>
          </cell>
          <cell r="O252">
            <v>0</v>
          </cell>
          <cell r="P252">
            <v>805.72199999999998</v>
          </cell>
          <cell r="Q252">
            <v>731.84199999999998</v>
          </cell>
          <cell r="R252">
            <v>850.20100000000002</v>
          </cell>
          <cell r="S252">
            <v>874.78099999999995</v>
          </cell>
          <cell r="T252">
            <v>936.33600000000001</v>
          </cell>
          <cell r="U252">
            <v>964.63699999999994</v>
          </cell>
          <cell r="V252">
            <v>850.20100000000002</v>
          </cell>
          <cell r="X252">
            <v>1066.9590000000001</v>
          </cell>
          <cell r="Y252">
            <v>1142.021</v>
          </cell>
          <cell r="Z252">
            <v>1178.222</v>
          </cell>
          <cell r="AA252">
            <v>1240.617</v>
          </cell>
          <cell r="AB252">
            <v>1066.9590000000001</v>
          </cell>
          <cell r="AD252">
            <v>1310.7380000000003</v>
          </cell>
          <cell r="AE252">
            <v>1435.2470000000001</v>
          </cell>
          <cell r="AF252">
            <v>1463.1389999999999</v>
          </cell>
          <cell r="AG252">
            <v>1606.7729999999999</v>
          </cell>
          <cell r="AH252">
            <v>1310.7380000000003</v>
          </cell>
          <cell r="AI252">
            <v>1066.9590000000001</v>
          </cell>
          <cell r="AJ252">
            <v>1804.4190000000001</v>
          </cell>
          <cell r="AK252">
            <v>1840.0990000000002</v>
          </cell>
          <cell r="AL252">
            <v>1890.7350000000001</v>
          </cell>
          <cell r="AM252">
            <v>1066.9590000000001</v>
          </cell>
          <cell r="AV252">
            <v>1772.461</v>
          </cell>
          <cell r="AW252">
            <v>1804.4190000000001</v>
          </cell>
          <cell r="AX252">
            <v>1840.0990000000002</v>
          </cell>
          <cell r="AY252">
            <v>1890.7350000000001</v>
          </cell>
          <cell r="AZ252">
            <v>1772.461</v>
          </cell>
          <cell r="BC252">
            <v>1924.8430000000001</v>
          </cell>
          <cell r="BD252">
            <v>1916.69</v>
          </cell>
          <cell r="BE252">
            <v>1945.942</v>
          </cell>
          <cell r="BF252">
            <v>1984.2739999999999</v>
          </cell>
          <cell r="BG252">
            <v>1924.8430000000001</v>
          </cell>
          <cell r="BO252">
            <v>2128.6750000000002</v>
          </cell>
          <cell r="BP252">
            <v>2175.2280000000001</v>
          </cell>
          <cell r="BQ252">
            <v>2335.7629999999999</v>
          </cell>
          <cell r="BR252">
            <v>2454.7629999999999</v>
          </cell>
          <cell r="BS252">
            <v>2128.6750000000002</v>
          </cell>
          <cell r="CA252">
            <v>2549.663</v>
          </cell>
          <cell r="CB252">
            <v>2864.1689000000001</v>
          </cell>
          <cell r="CC252">
            <v>3194.3389950000005</v>
          </cell>
          <cell r="CD252">
            <v>3516.6801198125008</v>
          </cell>
        </row>
        <row r="253">
          <cell r="A253" t="str">
            <v>Capital Expenditures</v>
          </cell>
          <cell r="F253">
            <v>52.88</v>
          </cell>
          <cell r="K253">
            <v>77.254999999999995</v>
          </cell>
          <cell r="M253">
            <v>12.002000000000001</v>
          </cell>
          <cell r="N253">
            <v>12.004</v>
          </cell>
          <cell r="O253">
            <v>12.741999999999999</v>
          </cell>
          <cell r="P253">
            <v>26.257000000000005</v>
          </cell>
          <cell r="Q253">
            <v>63.005000000000003</v>
          </cell>
          <cell r="R253">
            <v>18.577000000000002</v>
          </cell>
          <cell r="S253">
            <v>20.478999999999996</v>
          </cell>
          <cell r="T253">
            <v>25.707000000000004</v>
          </cell>
          <cell r="U253">
            <v>18.468999999999991</v>
          </cell>
          <cell r="V253">
            <v>83.231999999999999</v>
          </cell>
          <cell r="X253">
            <v>18.411000000000001</v>
          </cell>
          <cell r="Y253">
            <v>34</v>
          </cell>
          <cell r="Z253">
            <v>30.7</v>
          </cell>
          <cell r="AA253">
            <v>24.6</v>
          </cell>
          <cell r="AB253">
            <v>107.71100000000001</v>
          </cell>
          <cell r="AD253">
            <v>32.261000000000003</v>
          </cell>
          <cell r="AE253">
            <v>34.089999999999996</v>
          </cell>
          <cell r="AF253">
            <v>34.558000000000014</v>
          </cell>
          <cell r="AG253">
            <v>45.469999999999963</v>
          </cell>
          <cell r="AH253">
            <v>146.37899999999999</v>
          </cell>
          <cell r="AI253">
            <v>39.896999999999998</v>
          </cell>
          <cell r="AJ253">
            <v>43.246000000000002</v>
          </cell>
          <cell r="AK253">
            <v>42.05899999999999</v>
          </cell>
          <cell r="AL253">
            <v>39.083999999999996</v>
          </cell>
          <cell r="AM253">
            <v>164.286</v>
          </cell>
          <cell r="AN253">
            <v>115</v>
          </cell>
          <cell r="AP253">
            <v>0</v>
          </cell>
          <cell r="AQ253">
            <v>0</v>
          </cell>
          <cell r="AR253">
            <v>0</v>
          </cell>
          <cell r="AS253">
            <v>0</v>
          </cell>
          <cell r="AT253">
            <v>148</v>
          </cell>
          <cell r="AU253">
            <v>0</v>
          </cell>
          <cell r="AV253">
            <v>39.896999999999998</v>
          </cell>
          <cell r="AW253">
            <v>43.246000000000002</v>
          </cell>
          <cell r="AX253">
            <v>42.05899999999999</v>
          </cell>
          <cell r="AY253">
            <v>39.083999999999996</v>
          </cell>
          <cell r="AZ253">
            <v>164.286</v>
          </cell>
          <cell r="BC253">
            <v>33.165999999999997</v>
          </cell>
          <cell r="BD253">
            <v>43.545000000000002</v>
          </cell>
          <cell r="BE253">
            <v>56.090999999999994</v>
          </cell>
          <cell r="BF253">
            <v>55.369000000000028</v>
          </cell>
          <cell r="BG253">
            <v>188.17100000000002</v>
          </cell>
          <cell r="BO253">
            <v>39.67</v>
          </cell>
          <cell r="BP253">
            <v>54.45</v>
          </cell>
          <cell r="BQ253">
            <v>69</v>
          </cell>
          <cell r="BR253">
            <v>69.900000000000006</v>
          </cell>
          <cell r="BS253">
            <v>233.02</v>
          </cell>
          <cell r="CA253">
            <v>257.40000000000003</v>
          </cell>
          <cell r="CB253">
            <v>268.8</v>
          </cell>
          <cell r="CC253">
            <v>280</v>
          </cell>
          <cell r="CD253">
            <v>289.60000000000002</v>
          </cell>
        </row>
        <row r="254">
          <cell r="A254" t="str">
            <v>Retirements/Writedowns</v>
          </cell>
          <cell r="K254">
            <v>0</v>
          </cell>
          <cell r="N254">
            <v>-31.251000000000005</v>
          </cell>
          <cell r="O254">
            <v>757.96500000000003</v>
          </cell>
          <cell r="P254">
            <v>-54.339999999999975</v>
          </cell>
          <cell r="Q254">
            <v>0</v>
          </cell>
          <cell r="R254">
            <v>0</v>
          </cell>
          <cell r="S254">
            <v>0</v>
          </cell>
          <cell r="V254">
            <v>0</v>
          </cell>
          <cell r="X254">
            <v>0</v>
          </cell>
          <cell r="Y254">
            <v>0</v>
          </cell>
          <cell r="Z254">
            <v>-25.875999999999976</v>
          </cell>
          <cell r="AA254">
            <v>17.145000000000209</v>
          </cell>
          <cell r="AB254">
            <v>-8.7309999999997672</v>
          </cell>
          <cell r="AD254">
            <v>-32.260999999999967</v>
          </cell>
          <cell r="AE254">
            <v>-6.1980000000000928</v>
          </cell>
          <cell r="AF254">
            <v>109.07600000000002</v>
          </cell>
          <cell r="AG254">
            <v>120.21800000000007</v>
          </cell>
          <cell r="AH254">
            <v>190.83500000000004</v>
          </cell>
          <cell r="AI254">
            <v>697.5630000000001</v>
          </cell>
          <cell r="AJ254">
            <v>-7.5660000000000309</v>
          </cell>
          <cell r="AK254">
            <v>8.5769999999999982</v>
          </cell>
          <cell r="AL254">
            <v>-4.9760000000001128</v>
          </cell>
          <cell r="AM254">
            <v>693.59799999999996</v>
          </cell>
          <cell r="AU254">
            <v>0</v>
          </cell>
          <cell r="AV254">
            <v>-7.9389999999998508</v>
          </cell>
          <cell r="AW254">
            <v>-7.5660000000000309</v>
          </cell>
          <cell r="AX254">
            <v>8.5769999999999982</v>
          </cell>
          <cell r="AY254">
            <v>-4.9760000000001128</v>
          </cell>
          <cell r="AZ254">
            <v>-11.903999999999996</v>
          </cell>
          <cell r="BC254">
            <v>-41.31899999999996</v>
          </cell>
          <cell r="BD254">
            <v>-14.29300000000012</v>
          </cell>
          <cell r="BE254">
            <v>-17.759000000000015</v>
          </cell>
          <cell r="BF254">
            <v>89.032000000000153</v>
          </cell>
          <cell r="BG254">
            <v>15.661000000000058</v>
          </cell>
          <cell r="BO254">
            <v>6.8829999999998108</v>
          </cell>
          <cell r="BP254">
            <v>106.08500000000004</v>
          </cell>
          <cell r="BQ254">
            <v>0</v>
          </cell>
          <cell r="BR254">
            <v>0</v>
          </cell>
          <cell r="BS254">
            <v>112.96799999999985</v>
          </cell>
          <cell r="CA254">
            <v>-28.17799999999994</v>
          </cell>
          <cell r="CB254">
            <v>-28.17799999999994</v>
          </cell>
          <cell r="CC254">
            <v>-28.17799999999994</v>
          </cell>
          <cell r="CD254">
            <v>-28.17799999999994</v>
          </cell>
          <cell r="CF254" t="str">
            <v>mstag:capitalExpendituresReflectedInCostOfAcquisitions</v>
          </cell>
          <cell r="CG254">
            <v>6</v>
          </cell>
          <cell r="CH254" t="str">
            <v>ISO4217:USD</v>
          </cell>
          <cell r="CI254" t="b">
            <v>0</v>
          </cell>
          <cell r="CJ254" t="b">
            <v>0</v>
          </cell>
        </row>
        <row r="255">
          <cell r="A255" t="str">
            <v>Acquisitions (+) and Dispositions (-)</v>
          </cell>
          <cell r="F255">
            <v>172.59700000000001</v>
          </cell>
          <cell r="K255">
            <v>31.45799999999997</v>
          </cell>
          <cell r="N255">
            <v>19.247000000000003</v>
          </cell>
          <cell r="O255">
            <v>35.015000000000001</v>
          </cell>
          <cell r="P255">
            <v>72.562000000000012</v>
          </cell>
          <cell r="Q255">
            <v>55.354000000000035</v>
          </cell>
          <cell r="R255">
            <v>6.0029999999999291</v>
          </cell>
          <cell r="S255">
            <v>41.076000000000022</v>
          </cell>
          <cell r="T255">
            <v>2.5939999999999372</v>
          </cell>
          <cell r="U255">
            <v>83.853000000000065</v>
          </cell>
          <cell r="V255">
            <v>133.52599999999995</v>
          </cell>
          <cell r="X255">
            <v>56.65099999999984</v>
          </cell>
          <cell r="Y255">
            <v>2.2010000000000218</v>
          </cell>
          <cell r="Z255">
            <v>57.570999999999991</v>
          </cell>
          <cell r="AA255">
            <v>28.376000000000005</v>
          </cell>
          <cell r="AB255">
            <v>144.79899999999986</v>
          </cell>
          <cell r="AD255">
            <v>124.50899999999979</v>
          </cell>
          <cell r="AE255">
            <v>0</v>
          </cell>
          <cell r="AF255">
            <v>0</v>
          </cell>
          <cell r="AG255">
            <v>0</v>
          </cell>
          <cell r="AH255">
            <v>124.50899999999979</v>
          </cell>
          <cell r="AI255">
            <v>0</v>
          </cell>
          <cell r="AJ255">
            <v>0</v>
          </cell>
          <cell r="AK255">
            <v>0</v>
          </cell>
          <cell r="AL255">
            <v>0</v>
          </cell>
          <cell r="AM255">
            <v>0</v>
          </cell>
          <cell r="AU255">
            <v>0</v>
          </cell>
          <cell r="AV255">
            <v>0</v>
          </cell>
          <cell r="AW255">
            <v>0</v>
          </cell>
          <cell r="AX255">
            <v>0</v>
          </cell>
          <cell r="AY255">
            <v>0</v>
          </cell>
          <cell r="AZ255">
            <v>0</v>
          </cell>
          <cell r="BC255">
            <v>0</v>
          </cell>
          <cell r="BD255">
            <v>0</v>
          </cell>
          <cell r="BE255">
            <v>0</v>
          </cell>
          <cell r="BF255">
            <v>0</v>
          </cell>
          <cell r="BG255">
            <v>0</v>
          </cell>
          <cell r="BO255">
            <v>0</v>
          </cell>
          <cell r="BP255">
            <v>0</v>
          </cell>
          <cell r="BQ255">
            <v>50</v>
          </cell>
          <cell r="BR255">
            <v>25</v>
          </cell>
          <cell r="BS255">
            <v>75</v>
          </cell>
          <cell r="CA255">
            <v>85.283900000000003</v>
          </cell>
          <cell r="CB255">
            <v>89.548095000000004</v>
          </cell>
          <cell r="CC255">
            <v>70.51912481250001</v>
          </cell>
          <cell r="CD255">
            <v>74.045081053125003</v>
          </cell>
          <cell r="CF255" t="str">
            <v>mstag:capitalExpendituresReflectedInCostOfAcquisitions</v>
          </cell>
          <cell r="CG255">
            <v>6</v>
          </cell>
          <cell r="CH255" t="str">
            <v>ISO4217:USD</v>
          </cell>
          <cell r="CI255" t="b">
            <v>0</v>
          </cell>
          <cell r="CJ255" t="b">
            <v>0</v>
          </cell>
        </row>
        <row r="256">
          <cell r="A256" t="str">
            <v>Ending Gross PP&amp;E</v>
          </cell>
          <cell r="F256">
            <v>623.12900000000002</v>
          </cell>
          <cell r="K256">
            <v>731.84199999999998</v>
          </cell>
          <cell r="N256">
            <v>0</v>
          </cell>
          <cell r="O256">
            <v>805.72199999999998</v>
          </cell>
          <cell r="P256">
            <v>850.20100000000002</v>
          </cell>
          <cell r="Q256">
            <v>850.20100000000002</v>
          </cell>
          <cell r="R256">
            <v>874.78099999999995</v>
          </cell>
          <cell r="S256">
            <v>936.33600000000001</v>
          </cell>
          <cell r="T256">
            <v>964.63699999999994</v>
          </cell>
          <cell r="U256">
            <v>1066.9590000000001</v>
          </cell>
          <cell r="V256">
            <v>1066.9589999999998</v>
          </cell>
          <cell r="X256">
            <v>1142.021</v>
          </cell>
          <cell r="Y256">
            <v>1178.222</v>
          </cell>
          <cell r="Z256">
            <v>1240.617</v>
          </cell>
          <cell r="AA256">
            <v>1310.7380000000001</v>
          </cell>
          <cell r="AB256">
            <v>1310.7380000000003</v>
          </cell>
          <cell r="AD256">
            <v>1435.2470000000001</v>
          </cell>
          <cell r="AE256">
            <v>1463.1389999999999</v>
          </cell>
          <cell r="AF256">
            <v>1606.7729999999999</v>
          </cell>
          <cell r="AG256">
            <v>1772.461</v>
          </cell>
          <cell r="AH256">
            <v>1772.461</v>
          </cell>
          <cell r="AI256">
            <v>1804.4190000000001</v>
          </cell>
          <cell r="AJ256">
            <v>1840.0990000000002</v>
          </cell>
          <cell r="AK256">
            <v>1890.7350000000001</v>
          </cell>
          <cell r="AL256">
            <v>1924.8430000000001</v>
          </cell>
          <cell r="AM256">
            <v>1924.8430000000001</v>
          </cell>
          <cell r="AV256">
            <v>1804.4190000000001</v>
          </cell>
          <cell r="AW256">
            <v>1840.0990000000002</v>
          </cell>
          <cell r="AX256">
            <v>1890.7350000000001</v>
          </cell>
          <cell r="AY256">
            <v>1924.8430000000001</v>
          </cell>
          <cell r="AZ256">
            <v>1924.8430000000001</v>
          </cell>
          <cell r="BC256">
            <v>1916.69</v>
          </cell>
          <cell r="BD256">
            <v>1945.942</v>
          </cell>
          <cell r="BE256">
            <v>1984.2739999999999</v>
          </cell>
          <cell r="BF256">
            <v>2128.6750000000002</v>
          </cell>
          <cell r="BG256">
            <v>2128.6750000000002</v>
          </cell>
          <cell r="BO256">
            <v>2175.2280000000001</v>
          </cell>
          <cell r="BP256">
            <v>2335.7629999999999</v>
          </cell>
          <cell r="BQ256">
            <v>2454.7629999999999</v>
          </cell>
          <cell r="BR256">
            <v>2549.663</v>
          </cell>
          <cell r="BS256">
            <v>2549.663</v>
          </cell>
          <cell r="CA256">
            <v>2864.1689000000001</v>
          </cell>
          <cell r="CB256">
            <v>3194.3389950000005</v>
          </cell>
          <cell r="CC256">
            <v>3516.6801198125008</v>
          </cell>
          <cell r="CD256">
            <v>3852.147200865626</v>
          </cell>
        </row>
        <row r="258">
          <cell r="A258" t="str">
            <v>Beginning Accumulated Depreciation</v>
          </cell>
          <cell r="F258">
            <v>0</v>
          </cell>
          <cell r="K258">
            <v>70.114000000000004</v>
          </cell>
          <cell r="M258">
            <v>108.499</v>
          </cell>
          <cell r="N258">
            <v>0</v>
          </cell>
          <cell r="O258">
            <v>0</v>
          </cell>
          <cell r="P258">
            <v>128.245</v>
          </cell>
          <cell r="Q258">
            <v>-108.499</v>
          </cell>
          <cell r="R258">
            <v>142.12</v>
          </cell>
          <cell r="S258">
            <v>155.815</v>
          </cell>
          <cell r="T258">
            <v>169.62700000000001</v>
          </cell>
          <cell r="U258">
            <v>186.69300000000001</v>
          </cell>
          <cell r="V258">
            <v>142.12</v>
          </cell>
          <cell r="X258">
            <v>200.42499999999998</v>
          </cell>
          <cell r="Y258">
            <v>220.886</v>
          </cell>
          <cell r="Z258">
            <v>240.58699999999999</v>
          </cell>
          <cell r="AA258">
            <v>258.89999999999998</v>
          </cell>
          <cell r="AB258">
            <v>200.42499999999998</v>
          </cell>
          <cell r="AD258">
            <v>281.40100000000001</v>
          </cell>
          <cell r="AE258">
            <v>304.98099999999999</v>
          </cell>
          <cell r="AF258">
            <v>328.709</v>
          </cell>
          <cell r="AG258">
            <v>355.97399999999999</v>
          </cell>
          <cell r="AH258">
            <v>281.40100000000001</v>
          </cell>
          <cell r="AI258">
            <v>200.42500000000001</v>
          </cell>
          <cell r="AJ258">
            <v>405.97</v>
          </cell>
          <cell r="AK258">
            <v>432.04300000000001</v>
          </cell>
          <cell r="AL258">
            <v>411.988</v>
          </cell>
          <cell r="AM258">
            <v>200.42500000000001</v>
          </cell>
          <cell r="AV258">
            <v>377.11599999999999</v>
          </cell>
          <cell r="AW258">
            <v>405.97</v>
          </cell>
          <cell r="AX258">
            <v>432.04300000000001</v>
          </cell>
          <cell r="AY258">
            <v>411.988</v>
          </cell>
          <cell r="AZ258">
            <v>377.11599999999999</v>
          </cell>
          <cell r="BC258">
            <v>440.29500000000002</v>
          </cell>
          <cell r="BD258">
            <v>439.45499999999998</v>
          </cell>
          <cell r="BE258">
            <v>461.47300000000001</v>
          </cell>
          <cell r="BF258">
            <v>484.584</v>
          </cell>
          <cell r="BG258">
            <v>440.29500000000002</v>
          </cell>
          <cell r="BO258">
            <v>517.68399999999997</v>
          </cell>
          <cell r="BP258">
            <v>547.77</v>
          </cell>
          <cell r="BQ258">
            <v>578.54499999999996</v>
          </cell>
          <cell r="BR258">
            <v>626.45025999999996</v>
          </cell>
          <cell r="BS258">
            <v>517.68399999999997</v>
          </cell>
          <cell r="CA258">
            <v>676.49451999999997</v>
          </cell>
          <cell r="CB258">
            <v>870.19487655737703</v>
          </cell>
          <cell r="CC258">
            <v>1090.3163804508199</v>
          </cell>
          <cell r="CD258">
            <v>1337.1801474513325</v>
          </cell>
        </row>
        <row r="259">
          <cell r="A259" t="str">
            <v>Additional Depreciation</v>
          </cell>
          <cell r="F259">
            <v>49.860999999999997</v>
          </cell>
          <cell r="K259">
            <v>56.942999999999998</v>
          </cell>
          <cell r="M259">
            <v>16.38</v>
          </cell>
          <cell r="N259">
            <v>17.53</v>
          </cell>
          <cell r="O259">
            <v>18.655000000000001</v>
          </cell>
          <cell r="P259">
            <v>19.366</v>
          </cell>
          <cell r="Q259">
            <v>71.930999999999997</v>
          </cell>
          <cell r="R259">
            <v>21.460999999999999</v>
          </cell>
          <cell r="S259">
            <v>21.632999999999999</v>
          </cell>
          <cell r="T259">
            <v>23.318000000000001</v>
          </cell>
          <cell r="U259">
            <v>24.501000000000001</v>
          </cell>
          <cell r="V259">
            <v>90.912999999999997</v>
          </cell>
          <cell r="X259">
            <v>28.409000000000002</v>
          </cell>
          <cell r="Y259">
            <v>28.84</v>
          </cell>
          <cell r="Z259">
            <v>28.881999999999998</v>
          </cell>
          <cell r="AA259">
            <v>31.725999999999999</v>
          </cell>
          <cell r="AB259">
            <v>117.857</v>
          </cell>
          <cell r="AD259">
            <v>33.141999999999996</v>
          </cell>
          <cell r="AE259">
            <v>34.124666666666663</v>
          </cell>
          <cell r="AF259">
            <v>36.140666666666668</v>
          </cell>
          <cell r="AG259">
            <v>39.558666666666667</v>
          </cell>
          <cell r="AH259">
            <v>142.96600000000001</v>
          </cell>
          <cell r="AI259">
            <v>38.151000000000003</v>
          </cell>
          <cell r="AJ259">
            <v>38.467999999999996</v>
          </cell>
          <cell r="AK259">
            <v>39.073999999999991</v>
          </cell>
          <cell r="AL259">
            <v>41.365999999999993</v>
          </cell>
          <cell r="AM259">
            <v>157.05899999999997</v>
          </cell>
          <cell r="AN259">
            <v>114.57600000000001</v>
          </cell>
          <cell r="AP259">
            <v>0</v>
          </cell>
          <cell r="AQ259">
            <v>0</v>
          </cell>
          <cell r="AR259">
            <v>35.346666666666664</v>
          </cell>
          <cell r="AS259">
            <v>38.856666666666669</v>
          </cell>
          <cell r="AT259">
            <v>139.69666666666666</v>
          </cell>
          <cell r="AU259">
            <v>0</v>
          </cell>
          <cell r="AV259">
            <v>36.149000000000001</v>
          </cell>
          <cell r="AW259">
            <v>35.843000000000004</v>
          </cell>
          <cell r="AX259">
            <v>37.073</v>
          </cell>
          <cell r="AY259">
            <v>39.261999999999986</v>
          </cell>
          <cell r="AZ259">
            <v>148.327</v>
          </cell>
          <cell r="BC259">
            <v>39.546999999999997</v>
          </cell>
          <cell r="BD259">
            <v>40.232999999999997</v>
          </cell>
          <cell r="BE259">
            <v>40.24</v>
          </cell>
          <cell r="BF259">
            <v>43.243000000000002</v>
          </cell>
          <cell r="BG259">
            <v>163.26300000000001</v>
          </cell>
          <cell r="BO259">
            <v>42.180999999999997</v>
          </cell>
          <cell r="BP259">
            <v>46.857999999999997</v>
          </cell>
          <cell r="BQ259">
            <v>47.905259999999998</v>
          </cell>
          <cell r="BR259">
            <v>50.044259999999994</v>
          </cell>
          <cell r="BS259">
            <v>186.98851999999999</v>
          </cell>
          <cell r="CA259">
            <v>221.87835655737706</v>
          </cell>
          <cell r="CB259">
            <v>248.29950389344268</v>
          </cell>
          <cell r="CC259">
            <v>275.04176700051238</v>
          </cell>
          <cell r="CD259">
            <v>307.03447169492193</v>
          </cell>
        </row>
        <row r="260">
          <cell r="A260" t="str">
            <v xml:space="preserve">Retirements </v>
          </cell>
          <cell r="F260">
            <v>20.253000000000007</v>
          </cell>
          <cell r="K260">
            <v>-18.558000000000007</v>
          </cell>
          <cell r="N260">
            <v>-17.53</v>
          </cell>
          <cell r="O260">
            <v>109.59</v>
          </cell>
          <cell r="P260">
            <v>-5.4909999999999997</v>
          </cell>
          <cell r="Q260">
            <v>178.68799999999999</v>
          </cell>
          <cell r="R260">
            <v>-7.7660000000000196</v>
          </cell>
          <cell r="S260">
            <v>-7.820999999999998</v>
          </cell>
          <cell r="T260">
            <v>-6.2520000000000095</v>
          </cell>
          <cell r="U260">
            <v>-10.769000000000005</v>
          </cell>
          <cell r="V260">
            <v>-32.608000000000033</v>
          </cell>
          <cell r="X260">
            <v>-7.9479999999999791</v>
          </cell>
          <cell r="Y260">
            <v>-9.13900000000001</v>
          </cell>
          <cell r="Z260">
            <v>-10.569000000000017</v>
          </cell>
          <cell r="AA260">
            <v>-9.2249999999999659</v>
          </cell>
          <cell r="AB260">
            <v>-36.880999999999972</v>
          </cell>
          <cell r="AD260">
            <v>-9.5620000000000118</v>
          </cell>
          <cell r="AE260">
            <v>-10.396666666666647</v>
          </cell>
          <cell r="AF260">
            <v>-8.8756666666666888</v>
          </cell>
          <cell r="AG260">
            <v>-18.416666666666686</v>
          </cell>
          <cell r="AH260">
            <v>-47.251000000000033</v>
          </cell>
          <cell r="AI260">
            <v>167.39400000000001</v>
          </cell>
          <cell r="AJ260">
            <v>-12.395000000000039</v>
          </cell>
          <cell r="AK260">
            <v>-59.129000000000019</v>
          </cell>
          <cell r="AL260">
            <v>-13.058999999999969</v>
          </cell>
          <cell r="AM260">
            <v>82.810999999999979</v>
          </cell>
          <cell r="AU260">
            <v>0</v>
          </cell>
          <cell r="AV260">
            <v>-7.2949999999999591</v>
          </cell>
          <cell r="AW260">
            <v>-9.7700000000000387</v>
          </cell>
          <cell r="AX260">
            <v>-57.127999999999986</v>
          </cell>
          <cell r="AY260">
            <v>-10.954999999999984</v>
          </cell>
          <cell r="AZ260">
            <v>-85.147999999999968</v>
          </cell>
          <cell r="BC260">
            <v>-40.387</v>
          </cell>
          <cell r="BD260">
            <v>-18.214999999999975</v>
          </cell>
          <cell r="BE260">
            <v>-17.129000000000019</v>
          </cell>
          <cell r="BF260">
            <v>-10.143000000000029</v>
          </cell>
          <cell r="BG260">
            <v>-85.874000000000024</v>
          </cell>
          <cell r="BO260">
            <v>-12.09499999999997</v>
          </cell>
          <cell r="BP260">
            <v>-16.08299999999997</v>
          </cell>
          <cell r="BQ260">
            <v>0</v>
          </cell>
          <cell r="BR260">
            <v>0</v>
          </cell>
          <cell r="BS260">
            <v>-28.17799999999994</v>
          </cell>
          <cell r="CA260">
            <v>-28.17799999999994</v>
          </cell>
          <cell r="CB260">
            <v>-28.17799999999994</v>
          </cell>
          <cell r="CC260">
            <v>-28.17799999999994</v>
          </cell>
          <cell r="CD260">
            <v>-28.17799999999994</v>
          </cell>
        </row>
        <row r="261">
          <cell r="A261" t="str">
            <v>Retirements as a % of beginning Gross PP&amp;E</v>
          </cell>
          <cell r="F261" t="e">
            <v>#DIV/0!</v>
          </cell>
          <cell r="Q261">
            <v>0.24416199124947732</v>
          </cell>
          <cell r="R261">
            <v>-9.1343105924363999E-3</v>
          </cell>
          <cell r="S261">
            <v>-8.9405233995708613E-3</v>
          </cell>
          <cell r="T261">
            <v>-6.6770902752858047E-3</v>
          </cell>
          <cell r="U261">
            <v>-1.1163784926350541E-2</v>
          </cell>
          <cell r="V261">
            <v>0.24416199124947732</v>
          </cell>
          <cell r="X261">
            <v>-8.9405233995708613E-3</v>
          </cell>
          <cell r="Y261">
            <v>-6.6770902752858047E-3</v>
          </cell>
          <cell r="AB261">
            <v>0.24416199124947732</v>
          </cell>
          <cell r="AH261">
            <v>-0.04</v>
          </cell>
          <cell r="AM261">
            <v>0.24416199124947732</v>
          </cell>
          <cell r="AZ261">
            <v>-0.04</v>
          </cell>
          <cell r="BG261">
            <v>-0.04</v>
          </cell>
          <cell r="BS261">
            <v>-0.04</v>
          </cell>
          <cell r="CA261">
            <v>-0.04</v>
          </cell>
          <cell r="CB261">
            <v>-0.04</v>
          </cell>
          <cell r="CC261">
            <v>-0.04</v>
          </cell>
          <cell r="CD261">
            <v>-0.04</v>
          </cell>
        </row>
        <row r="262">
          <cell r="A262" t="str">
            <v>Ending Accumulated Depreciation</v>
          </cell>
          <cell r="F262">
            <v>70.114000000000004</v>
          </cell>
          <cell r="K262">
            <v>108.499</v>
          </cell>
          <cell r="N262">
            <v>0</v>
          </cell>
          <cell r="O262">
            <v>128.245</v>
          </cell>
          <cell r="P262">
            <v>142.12</v>
          </cell>
          <cell r="Q262">
            <v>142.12</v>
          </cell>
          <cell r="R262">
            <v>155.815</v>
          </cell>
          <cell r="S262">
            <v>169.62700000000001</v>
          </cell>
          <cell r="T262">
            <v>186.69300000000001</v>
          </cell>
          <cell r="U262">
            <v>200.42500000000001</v>
          </cell>
          <cell r="V262">
            <v>200.42499999999998</v>
          </cell>
          <cell r="X262">
            <v>220.886</v>
          </cell>
          <cell r="Y262">
            <v>240.58699999999999</v>
          </cell>
          <cell r="Z262">
            <v>258.89999999999998</v>
          </cell>
          <cell r="AA262">
            <v>281.40100000000001</v>
          </cell>
          <cell r="AB262">
            <v>281.40100000000001</v>
          </cell>
          <cell r="AD262">
            <v>304.98099999999999</v>
          </cell>
          <cell r="AE262">
            <v>328.709</v>
          </cell>
          <cell r="AF262">
            <v>355.97399999999999</v>
          </cell>
          <cell r="AG262">
            <v>377.11599999999999</v>
          </cell>
          <cell r="AH262">
            <v>377.11599999999999</v>
          </cell>
          <cell r="AI262">
            <v>405.97</v>
          </cell>
          <cell r="AJ262">
            <v>432.04300000000001</v>
          </cell>
          <cell r="AK262">
            <v>411.988</v>
          </cell>
          <cell r="AL262">
            <v>440.29500000000002</v>
          </cell>
          <cell r="AM262">
            <v>440.29499999999996</v>
          </cell>
          <cell r="AV262">
            <v>405.97</v>
          </cell>
          <cell r="AW262">
            <v>432.04300000000001</v>
          </cell>
          <cell r="AX262">
            <v>411.988</v>
          </cell>
          <cell r="AY262">
            <v>440.29500000000002</v>
          </cell>
          <cell r="AZ262">
            <v>440.29500000000002</v>
          </cell>
          <cell r="BC262">
            <v>439.45499999999998</v>
          </cell>
          <cell r="BD262">
            <v>461.47300000000001</v>
          </cell>
          <cell r="BE262">
            <v>484.584</v>
          </cell>
          <cell r="BF262">
            <v>517.68399999999997</v>
          </cell>
          <cell r="BG262">
            <v>517.68399999999997</v>
          </cell>
          <cell r="BO262">
            <v>547.77</v>
          </cell>
          <cell r="BP262">
            <v>578.54499999999996</v>
          </cell>
          <cell r="BQ262">
            <v>626.45025999999996</v>
          </cell>
          <cell r="BR262">
            <v>676.49451999999997</v>
          </cell>
          <cell r="BS262">
            <v>676.49451999999997</v>
          </cell>
          <cell r="CA262">
            <v>870.19487655737703</v>
          </cell>
          <cell r="CB262">
            <v>1090.3163804508199</v>
          </cell>
          <cell r="CC262">
            <v>1337.1801474513325</v>
          </cell>
          <cell r="CD262">
            <v>1616.0366191462545</v>
          </cell>
        </row>
        <row r="264">
          <cell r="A264" t="str">
            <v>Average Gross PP&amp;E</v>
          </cell>
          <cell r="F264">
            <v>623.12900000000002</v>
          </cell>
          <cell r="K264">
            <v>677.4855</v>
          </cell>
          <cell r="O264">
            <v>805.72199999999998</v>
          </cell>
          <cell r="P264">
            <v>827.9615</v>
          </cell>
          <cell r="Q264">
            <v>791.02150000000006</v>
          </cell>
          <cell r="R264">
            <v>862.49099999999999</v>
          </cell>
          <cell r="S264">
            <v>905.55849999999998</v>
          </cell>
          <cell r="T264">
            <v>950.48649999999998</v>
          </cell>
          <cell r="U264">
            <v>1015.798</v>
          </cell>
          <cell r="V264">
            <v>958.57999999999993</v>
          </cell>
          <cell r="X264">
            <v>1104.4899999999998</v>
          </cell>
          <cell r="Y264">
            <v>1160.1215</v>
          </cell>
          <cell r="Z264">
            <v>1209.4195</v>
          </cell>
          <cell r="AA264">
            <v>1275.6775</v>
          </cell>
          <cell r="AB264">
            <v>1310.7380000000001</v>
          </cell>
          <cell r="AD264">
            <v>1372.9925000000001</v>
          </cell>
          <cell r="AE264">
            <v>1449.193</v>
          </cell>
          <cell r="AF264">
            <v>1534.9559999999999</v>
          </cell>
          <cell r="AG264">
            <v>1689.617</v>
          </cell>
          <cell r="AH264">
            <v>1541.5995</v>
          </cell>
          <cell r="AI264">
            <v>1435.6890000000001</v>
          </cell>
          <cell r="AJ264">
            <v>1822.259</v>
          </cell>
          <cell r="AK264">
            <v>1865.4170000000001</v>
          </cell>
          <cell r="AL264">
            <v>1907.7890000000002</v>
          </cell>
          <cell r="AM264">
            <v>1848.652</v>
          </cell>
          <cell r="AV264">
            <v>1788.44</v>
          </cell>
          <cell r="AW264">
            <v>1822.259</v>
          </cell>
          <cell r="AX264">
            <v>1865.4170000000001</v>
          </cell>
          <cell r="AY264">
            <v>1907.7890000000002</v>
          </cell>
          <cell r="AZ264">
            <v>1924.8430000000001</v>
          </cell>
          <cell r="BC264">
            <v>1920.7665000000002</v>
          </cell>
          <cell r="BD264">
            <v>1931.316</v>
          </cell>
          <cell r="BE264">
            <v>1965.1079999999999</v>
          </cell>
          <cell r="BF264">
            <v>2056.4745000000003</v>
          </cell>
          <cell r="BG264">
            <v>2026.759</v>
          </cell>
          <cell r="BO264">
            <v>2151.9515000000001</v>
          </cell>
          <cell r="BP264">
            <v>2255.4955</v>
          </cell>
          <cell r="BQ264">
            <v>2395.2629999999999</v>
          </cell>
          <cell r="BR264">
            <v>2502.2129999999997</v>
          </cell>
          <cell r="BS264">
            <v>2151.9515000000001</v>
          </cell>
          <cell r="CA264">
            <v>2706.9159500000001</v>
          </cell>
          <cell r="CB264">
            <v>3029.2539475000003</v>
          </cell>
          <cell r="CC264">
            <v>3355.5095574062507</v>
          </cell>
          <cell r="CD264">
            <v>3684.4136603390634</v>
          </cell>
        </row>
        <row r="265">
          <cell r="A265" t="str">
            <v>Average Life of Gross PP&amp;E</v>
          </cell>
          <cell r="F265">
            <v>12.497322556707648</v>
          </cell>
          <cell r="K265">
            <v>11.897608134450239</v>
          </cell>
          <cell r="O265">
            <v>10.797668185473063</v>
          </cell>
          <cell r="P265">
            <v>10.68833909945265</v>
          </cell>
          <cell r="Q265">
            <v>10.996948464500703</v>
          </cell>
          <cell r="R265">
            <v>10.047190252085178</v>
          </cell>
          <cell r="S265">
            <v>10.465012943188647</v>
          </cell>
          <cell r="T265">
            <v>10.190480530062612</v>
          </cell>
          <cell r="U265">
            <v>10.364862658666993</v>
          </cell>
          <cell r="V265">
            <v>10.543926611155721</v>
          </cell>
          <cell r="X265">
            <v>9.7195431025379246</v>
          </cell>
          <cell r="Y265">
            <v>10.056531726768377</v>
          </cell>
          <cell r="Z265">
            <v>10.468626653278859</v>
          </cell>
          <cell r="AA265">
            <v>10.052303315892328</v>
          </cell>
          <cell r="AB265">
            <v>11.121426813850684</v>
          </cell>
          <cell r="AD265">
            <v>10.356892311870137</v>
          </cell>
          <cell r="AE265">
            <v>10.616902240803331</v>
          </cell>
          <cell r="AF265">
            <v>10.617928095773919</v>
          </cell>
          <cell r="AG265">
            <v>10.677919292864607</v>
          </cell>
          <cell r="AH265">
            <v>10.782979869339563</v>
          </cell>
          <cell r="AI265">
            <v>9.4079381929700396</v>
          </cell>
          <cell r="AJ265">
            <v>11.842693927420195</v>
          </cell>
          <cell r="AK265">
            <v>11.935155090341407</v>
          </cell>
          <cell r="AL265">
            <v>11.529934003771217</v>
          </cell>
          <cell r="AM265">
            <v>11.770430220490391</v>
          </cell>
          <cell r="AV265">
            <v>12.368530249799441</v>
          </cell>
          <cell r="AW265">
            <v>12.710006137879082</v>
          </cell>
          <cell r="AX265">
            <v>12.579350200954874</v>
          </cell>
          <cell r="AY265">
            <v>12.147808313381901</v>
          </cell>
          <cell r="AZ265">
            <v>12.977023738092189</v>
          </cell>
          <cell r="BC265">
            <v>12.142302197385392</v>
          </cell>
          <cell r="BD265">
            <v>12.000820222205654</v>
          </cell>
          <cell r="BE265">
            <v>12.20867296222664</v>
          </cell>
          <cell r="BF265">
            <v>11.889060079087946</v>
          </cell>
          <cell r="BG265">
            <v>12.41407422379841</v>
          </cell>
          <cell r="BO265">
            <v>12.754270287570234</v>
          </cell>
          <cell r="BP265">
            <v>12.033673545605874</v>
          </cell>
          <cell r="BQ265">
            <v>12.5</v>
          </cell>
          <cell r="BR265">
            <v>12.5</v>
          </cell>
          <cell r="BS265">
            <v>11.508468541277294</v>
          </cell>
          <cell r="CA265">
            <v>12.2</v>
          </cell>
          <cell r="CB265">
            <v>12.2</v>
          </cell>
          <cell r="CC265">
            <v>12.2</v>
          </cell>
          <cell r="CD265">
            <v>12</v>
          </cell>
        </row>
        <row r="267">
          <cell r="A267" t="str">
            <v>CAPITAL EXPENDITURES</v>
          </cell>
        </row>
        <row r="268">
          <cell r="A268" t="str">
            <v>Equipment and renovations (routine)</v>
          </cell>
          <cell r="F268">
            <v>51.3</v>
          </cell>
          <cell r="K268">
            <v>65</v>
          </cell>
          <cell r="Q268">
            <v>57</v>
          </cell>
          <cell r="V268">
            <v>66</v>
          </cell>
          <cell r="X268">
            <v>10.4</v>
          </cell>
          <cell r="Y268">
            <v>25</v>
          </cell>
          <cell r="Z268">
            <v>14.6</v>
          </cell>
          <cell r="AA268">
            <v>19.600000000000001</v>
          </cell>
          <cell r="AB268">
            <v>78</v>
          </cell>
          <cell r="AD268">
            <v>21.811000000000003</v>
          </cell>
          <cell r="AE268">
            <v>23.639999999999997</v>
          </cell>
          <cell r="AF268">
            <v>24.458000000000013</v>
          </cell>
          <cell r="AG268">
            <v>25.156800000000011</v>
          </cell>
          <cell r="AH268">
            <v>105</v>
          </cell>
          <cell r="AI268">
            <v>30.896999999999998</v>
          </cell>
          <cell r="AJ268">
            <v>39.646000000000001</v>
          </cell>
          <cell r="AK268">
            <v>40.457000000000001</v>
          </cell>
          <cell r="AL268">
            <v>0</v>
          </cell>
          <cell r="AM268">
            <v>149.786</v>
          </cell>
          <cell r="AN268">
            <v>78</v>
          </cell>
          <cell r="AT268">
            <v>105</v>
          </cell>
          <cell r="AV268">
            <v>30.896999999999998</v>
          </cell>
          <cell r="AW268">
            <v>39.646000000000001</v>
          </cell>
          <cell r="AX268">
            <v>40.457000000000001</v>
          </cell>
          <cell r="AY268">
            <v>38.883999999999993</v>
          </cell>
          <cell r="AZ268">
            <v>149.786</v>
          </cell>
          <cell r="BC268">
            <v>32.565999999999995</v>
          </cell>
          <cell r="BD268">
            <v>42.934000000000005</v>
          </cell>
          <cell r="BE268">
            <v>55.500000000000007</v>
          </cell>
          <cell r="BF268">
            <v>54.400000000000006</v>
          </cell>
          <cell r="BG268">
            <v>185.4</v>
          </cell>
          <cell r="BO268">
            <v>38.67</v>
          </cell>
          <cell r="BP268">
            <v>53.230000000000004</v>
          </cell>
          <cell r="BQ268">
            <v>67.5</v>
          </cell>
          <cell r="BR268">
            <v>68.400000000000006</v>
          </cell>
          <cell r="BS268">
            <v>227.8</v>
          </cell>
          <cell r="CA268">
            <v>241.8</v>
          </cell>
          <cell r="CB268">
            <v>260.40000000000003</v>
          </cell>
          <cell r="CC268">
            <v>271.25</v>
          </cell>
          <cell r="CD268">
            <v>280.55</v>
          </cell>
        </row>
        <row r="269">
          <cell r="A269" t="str">
            <v>Replacement hospitals, etc.</v>
          </cell>
          <cell r="F269">
            <v>1.5800000000000054</v>
          </cell>
          <cell r="K269">
            <v>15</v>
          </cell>
          <cell r="Q269">
            <v>6.0050000000000026</v>
          </cell>
          <cell r="V269">
            <v>28</v>
          </cell>
          <cell r="X269">
            <v>8</v>
          </cell>
          <cell r="Y269">
            <v>9</v>
          </cell>
          <cell r="Z269">
            <v>16.100000000000001</v>
          </cell>
          <cell r="AA269">
            <v>5</v>
          </cell>
          <cell r="AB269">
            <v>29.711000000000013</v>
          </cell>
          <cell r="AD269">
            <v>10.45</v>
          </cell>
          <cell r="AE269">
            <v>10.45</v>
          </cell>
          <cell r="AF269">
            <v>10.100000000000001</v>
          </cell>
          <cell r="AG269">
            <v>10.38857142857143</v>
          </cell>
          <cell r="AH269">
            <v>41.378999999999991</v>
          </cell>
          <cell r="AI269">
            <v>9</v>
          </cell>
          <cell r="AJ269">
            <v>3.5999999999999996</v>
          </cell>
          <cell r="AK269">
            <v>1.7000000000000011</v>
          </cell>
          <cell r="AL269">
            <v>0.2</v>
          </cell>
          <cell r="AM269">
            <v>14.5</v>
          </cell>
          <cell r="AN269">
            <v>37</v>
          </cell>
          <cell r="AT269">
            <v>43</v>
          </cell>
          <cell r="AV269">
            <v>9</v>
          </cell>
          <cell r="AW269">
            <v>3.5999999999999996</v>
          </cell>
          <cell r="AX269">
            <v>1.7000000000000011</v>
          </cell>
          <cell r="AY269">
            <v>0.2</v>
          </cell>
          <cell r="AZ269">
            <v>14.5</v>
          </cell>
          <cell r="BC269">
            <v>0.6</v>
          </cell>
          <cell r="BD269">
            <v>0.6</v>
          </cell>
          <cell r="BE269">
            <v>1</v>
          </cell>
          <cell r="BF269">
            <v>0.34</v>
          </cell>
          <cell r="BG269">
            <v>2.54</v>
          </cell>
          <cell r="BO269">
            <v>1</v>
          </cell>
          <cell r="BP269">
            <v>1.2999999999999998</v>
          </cell>
          <cell r="BQ269">
            <v>1.5</v>
          </cell>
          <cell r="BR269">
            <v>1.5</v>
          </cell>
          <cell r="BS269">
            <v>5.3</v>
          </cell>
          <cell r="CA269">
            <v>15.600000000000001</v>
          </cell>
          <cell r="CB269">
            <v>8.4</v>
          </cell>
          <cell r="CC269">
            <v>8.75</v>
          </cell>
          <cell r="CD269">
            <v>9.0500000000000007</v>
          </cell>
        </row>
        <row r="270">
          <cell r="A270" t="str">
            <v>Total Capital Expenditure</v>
          </cell>
          <cell r="F270">
            <v>52.88</v>
          </cell>
          <cell r="K270">
            <v>77.254999999999995</v>
          </cell>
          <cell r="M270">
            <v>12.002000000000001</v>
          </cell>
          <cell r="N270">
            <v>12.004</v>
          </cell>
          <cell r="O270">
            <v>12.741999999999999</v>
          </cell>
          <cell r="P270">
            <v>26.257000000000005</v>
          </cell>
          <cell r="Q270">
            <v>63.005000000000003</v>
          </cell>
          <cell r="R270">
            <v>18.577000000000002</v>
          </cell>
          <cell r="S270">
            <v>20.478999999999996</v>
          </cell>
          <cell r="T270">
            <v>25.707000000000004</v>
          </cell>
          <cell r="U270">
            <v>18.468999999999991</v>
          </cell>
          <cell r="V270">
            <v>94</v>
          </cell>
          <cell r="X270">
            <v>18.411000000000001</v>
          </cell>
          <cell r="Y270">
            <v>34</v>
          </cell>
          <cell r="Z270">
            <v>30.7</v>
          </cell>
          <cell r="AA270">
            <v>24.6</v>
          </cell>
          <cell r="AB270">
            <v>107.71100000000001</v>
          </cell>
          <cell r="AD270">
            <v>32.261000000000003</v>
          </cell>
          <cell r="AE270">
            <v>34.089999999999996</v>
          </cell>
          <cell r="AF270">
            <v>34.558000000000014</v>
          </cell>
          <cell r="AG270">
            <v>45.469999999999963</v>
          </cell>
          <cell r="AH270">
            <v>146.37899999999999</v>
          </cell>
          <cell r="AI270">
            <v>39.896999999999998</v>
          </cell>
          <cell r="AJ270">
            <v>43.246000000000002</v>
          </cell>
          <cell r="AK270">
            <v>42.05899999999999</v>
          </cell>
          <cell r="AL270">
            <v>39.083999999999996</v>
          </cell>
          <cell r="AM270">
            <v>164.286</v>
          </cell>
          <cell r="AN270">
            <v>115</v>
          </cell>
          <cell r="AP270">
            <v>0</v>
          </cell>
          <cell r="AQ270">
            <v>0</v>
          </cell>
          <cell r="AR270">
            <v>0</v>
          </cell>
          <cell r="AS270">
            <v>0</v>
          </cell>
          <cell r="AT270">
            <v>148</v>
          </cell>
          <cell r="AV270">
            <v>39.896999999999998</v>
          </cell>
          <cell r="AW270">
            <v>43.246000000000002</v>
          </cell>
          <cell r="AX270">
            <v>42.05899999999999</v>
          </cell>
          <cell r="AY270">
            <v>39.083999999999996</v>
          </cell>
          <cell r="AZ270">
            <v>164.286</v>
          </cell>
          <cell r="BC270">
            <v>33.165999999999997</v>
          </cell>
          <cell r="BD270">
            <v>43.545000000000002</v>
          </cell>
          <cell r="BE270">
            <v>56.090999999999994</v>
          </cell>
          <cell r="BF270">
            <v>55.369000000000028</v>
          </cell>
          <cell r="BG270">
            <v>187.94</v>
          </cell>
          <cell r="BO270">
            <v>39.67</v>
          </cell>
          <cell r="BP270">
            <v>54.45</v>
          </cell>
          <cell r="BQ270">
            <v>69</v>
          </cell>
          <cell r="BR270">
            <v>69.900000000000006</v>
          </cell>
          <cell r="BS270">
            <v>233.10000000000002</v>
          </cell>
          <cell r="CA270">
            <v>257.40000000000003</v>
          </cell>
          <cell r="CB270">
            <v>268.8</v>
          </cell>
          <cell r="CC270">
            <v>280</v>
          </cell>
          <cell r="CD270">
            <v>289.60000000000002</v>
          </cell>
        </row>
        <row r="272">
          <cell r="A272" t="str">
            <v>Maintenance Per Avg. Hospital</v>
          </cell>
          <cell r="F272">
            <v>1.3864864864864863</v>
          </cell>
          <cell r="K272">
            <v>1.5853658536585367</v>
          </cell>
          <cell r="Q272">
            <v>1.2391304347826086</v>
          </cell>
          <cell r="V272">
            <v>1.2692307692307692</v>
          </cell>
          <cell r="X272">
            <v>0.18245614035087721</v>
          </cell>
          <cell r="Y272">
            <v>0.42372881355932202</v>
          </cell>
          <cell r="Z272">
            <v>0.24745762711864405</v>
          </cell>
          <cell r="AA272">
            <v>0.32131147540983607</v>
          </cell>
          <cell r="AB272">
            <v>1.368421052631579</v>
          </cell>
          <cell r="AD272">
            <v>0.34620634920634924</v>
          </cell>
          <cell r="AE272">
            <v>0.33771428571428569</v>
          </cell>
          <cell r="AF272">
            <v>0.34940000000000015</v>
          </cell>
          <cell r="AG272">
            <v>0.34940000000000015</v>
          </cell>
          <cell r="AH272">
            <v>1.6666666666666667</v>
          </cell>
          <cell r="AI272">
            <v>0.42912499999999998</v>
          </cell>
          <cell r="AJ272">
            <v>0.5506388888888889</v>
          </cell>
          <cell r="AK272">
            <v>0.56190277777777775</v>
          </cell>
          <cell r="AL272">
            <v>0</v>
          </cell>
          <cell r="AM272">
            <v>2.0978431372549018</v>
          </cell>
          <cell r="AV272">
            <v>0.44778260869565217</v>
          </cell>
          <cell r="AW272">
            <v>0.61946875000000001</v>
          </cell>
          <cell r="AX272">
            <v>0.62241538461538459</v>
          </cell>
          <cell r="AY272">
            <v>0.58915151515151509</v>
          </cell>
          <cell r="AZ272">
            <v>2.1708115942028985</v>
          </cell>
          <cell r="BC272">
            <v>0.49342424242424238</v>
          </cell>
          <cell r="BD272">
            <v>0.64080597014925378</v>
          </cell>
          <cell r="BE272">
            <v>0.82835820895522394</v>
          </cell>
          <cell r="BF272">
            <v>0.8</v>
          </cell>
          <cell r="BG272">
            <v>2.6485714285714286</v>
          </cell>
          <cell r="BO272">
            <v>0.7</v>
          </cell>
          <cell r="BP272">
            <v>0.9</v>
          </cell>
          <cell r="BQ272">
            <v>0.9</v>
          </cell>
          <cell r="BR272">
            <v>0.9</v>
          </cell>
          <cell r="BS272">
            <v>3.2542857142857144</v>
          </cell>
          <cell r="CA272">
            <v>3.1</v>
          </cell>
          <cell r="CB272">
            <v>3.1</v>
          </cell>
          <cell r="CC272">
            <v>3.1</v>
          </cell>
          <cell r="CD272">
            <v>3.1</v>
          </cell>
        </row>
        <row r="273">
          <cell r="A273" t="str">
            <v>Project Capex Per Avg. Hospital</v>
          </cell>
          <cell r="F273">
            <v>4.2702702702702849E-2</v>
          </cell>
          <cell r="K273">
            <v>0.36585365853658536</v>
          </cell>
          <cell r="Q273">
            <v>0.13054347826086962</v>
          </cell>
          <cell r="V273">
            <v>0.53846153846153844</v>
          </cell>
          <cell r="X273">
            <v>0.14035087719298245</v>
          </cell>
          <cell r="Y273">
            <v>0.15254237288135594</v>
          </cell>
          <cell r="Z273">
            <v>0.27288135593220342</v>
          </cell>
          <cell r="AA273">
            <v>8.1967213114754092E-2</v>
          </cell>
          <cell r="AB273">
            <v>0.52124561403508796</v>
          </cell>
          <cell r="AD273">
            <v>0.16587301587301587</v>
          </cell>
          <cell r="AE273">
            <v>0.14928571428571427</v>
          </cell>
          <cell r="AF273">
            <v>0.14428571428571429</v>
          </cell>
          <cell r="AG273">
            <v>0.14428571428571429</v>
          </cell>
          <cell r="AH273">
            <v>0.65680952380952362</v>
          </cell>
          <cell r="AI273">
            <v>0.125</v>
          </cell>
          <cell r="AJ273">
            <v>4.9999999999999996E-2</v>
          </cell>
          <cell r="AK273">
            <v>2.3611111111111124E-2</v>
          </cell>
          <cell r="AL273">
            <v>2.8169014084507044E-3</v>
          </cell>
          <cell r="AM273">
            <v>0.20308123249299717</v>
          </cell>
          <cell r="AV273">
            <v>0.13043478260869565</v>
          </cell>
          <cell r="AW273">
            <v>5.6249999999999994E-2</v>
          </cell>
          <cell r="AX273">
            <v>2.615384615384617E-2</v>
          </cell>
          <cell r="AY273">
            <v>3.0303030303030303E-3</v>
          </cell>
          <cell r="AZ273">
            <v>0.21014492753623187</v>
          </cell>
          <cell r="BC273">
            <v>9.0909090909090905E-3</v>
          </cell>
          <cell r="BD273">
            <v>8.9552238805970154E-3</v>
          </cell>
          <cell r="BE273">
            <v>1.4925373134328358E-2</v>
          </cell>
          <cell r="BF273">
            <v>5.0000000000000001E-3</v>
          </cell>
          <cell r="BG273">
            <v>3.6285714285714289E-2</v>
          </cell>
          <cell r="BO273">
            <v>5.0000000000000001E-3</v>
          </cell>
          <cell r="BP273">
            <v>5.0000000000000001E-3</v>
          </cell>
          <cell r="BQ273">
            <v>5.0000000000000001E-3</v>
          </cell>
          <cell r="BR273">
            <v>5.0000000000000001E-3</v>
          </cell>
          <cell r="BS273">
            <v>7.5714285714285706E-2</v>
          </cell>
          <cell r="CA273">
            <v>0.2</v>
          </cell>
          <cell r="CB273">
            <v>0.1</v>
          </cell>
          <cell r="CC273">
            <v>0.1</v>
          </cell>
          <cell r="CD273">
            <v>0.1</v>
          </cell>
        </row>
        <row r="275">
          <cell r="A275" t="str">
            <v>Maintenance as % of Total CapEx</v>
          </cell>
          <cell r="F275">
            <v>0.97012102874432671</v>
          </cell>
          <cell r="K275">
            <v>0.8413694906478546</v>
          </cell>
          <cell r="Q275">
            <v>0.90469010396000316</v>
          </cell>
          <cell r="V275">
            <v>0.7021276595744681</v>
          </cell>
          <cell r="X275">
            <v>0.56487969148878381</v>
          </cell>
          <cell r="Y275">
            <v>0.73529411764705888</v>
          </cell>
          <cell r="Z275">
            <v>0.47557003257328989</v>
          </cell>
          <cell r="AA275">
            <v>0.7967479674796748</v>
          </cell>
          <cell r="AB275">
            <v>0.7241600207963903</v>
          </cell>
          <cell r="AD275">
            <v>0.67607947676761415</v>
          </cell>
          <cell r="AE275">
            <v>0.69345849222645939</v>
          </cell>
          <cell r="AF275">
            <v>0.70773771630302684</v>
          </cell>
          <cell r="AG275">
            <v>0.55326149109302902</v>
          </cell>
          <cell r="AH275">
            <v>0.71731600844383425</v>
          </cell>
          <cell r="AI275">
            <v>0.77441912925783896</v>
          </cell>
          <cell r="AJ275">
            <v>0.91675530684918838</v>
          </cell>
          <cell r="AK275">
            <v>0.96191064932594716</v>
          </cell>
          <cell r="AL275">
            <v>0</v>
          </cell>
          <cell r="AM275">
            <v>0.91173928393168013</v>
          </cell>
          <cell r="AV275">
            <v>0.77441912925783896</v>
          </cell>
          <cell r="AW275">
            <v>0.91675530684918838</v>
          </cell>
          <cell r="AX275">
            <v>0.96191064932594716</v>
          </cell>
          <cell r="AY275">
            <v>0.99488281649779953</v>
          </cell>
          <cell r="AZ275">
            <v>0.91173928393168013</v>
          </cell>
          <cell r="BC275">
            <v>0.98190918410420303</v>
          </cell>
          <cell r="BD275">
            <v>0.98596853829371922</v>
          </cell>
          <cell r="BE275">
            <v>0.9894635503021878</v>
          </cell>
          <cell r="BF275">
            <v>0.98249923242247428</v>
          </cell>
          <cell r="BG275">
            <v>0.98648504841970841</v>
          </cell>
          <cell r="BO275">
            <v>0.97479203428283334</v>
          </cell>
          <cell r="BP275">
            <v>0.97759412304866855</v>
          </cell>
          <cell r="BQ275">
            <v>0.97826086956521741</v>
          </cell>
          <cell r="BR275">
            <v>0.97854077253218885</v>
          </cell>
          <cell r="BS275">
            <v>0.97726297726297717</v>
          </cell>
          <cell r="CA275">
            <v>0.93939393939393934</v>
          </cell>
          <cell r="CB275">
            <v>0.96875000000000011</v>
          </cell>
          <cell r="CC275">
            <v>0.96875</v>
          </cell>
          <cell r="CD275">
            <v>0.96875</v>
          </cell>
        </row>
        <row r="276">
          <cell r="A276" t="str">
            <v>CapEx as % of Revenues</v>
          </cell>
          <cell r="F276">
            <v>6.1878349598633246E-2</v>
          </cell>
          <cell r="K276">
            <v>7.1535520527282209E-2</v>
          </cell>
          <cell r="Q276">
            <v>4.710650683625657E-2</v>
          </cell>
          <cell r="R276">
            <v>4.6600358715147568E-2</v>
          </cell>
          <cell r="S276">
            <v>5.1081417478779464E-2</v>
          </cell>
          <cell r="T276">
            <v>6.1711265120544263E-2</v>
          </cell>
          <cell r="U276">
            <v>3.8678372027761122E-2</v>
          </cell>
          <cell r="V276">
            <v>5.5502251088641229E-2</v>
          </cell>
          <cell r="X276">
            <v>3.4508611689555574E-2</v>
          </cell>
          <cell r="Y276">
            <v>6.4080575669736253E-2</v>
          </cell>
          <cell r="Z276">
            <v>5.5531337219923989E-2</v>
          </cell>
          <cell r="AA276">
            <v>4.2161189425425252E-2</v>
          </cell>
          <cell r="AB276">
            <v>4.8950267153907656E-2</v>
          </cell>
          <cell r="AD276">
            <v>4.8933907902141284E-2</v>
          </cell>
          <cell r="AE276">
            <v>5.1864237105826466E-2</v>
          </cell>
          <cell r="AF276">
            <v>4.7796609231807625E-2</v>
          </cell>
          <cell r="AG276">
            <v>5.7192666458708533E-2</v>
          </cell>
          <cell r="AH276">
            <v>5.16396530897925E-2</v>
          </cell>
          <cell r="AI276">
            <v>4.8514304892166113E-2</v>
          </cell>
          <cell r="AJ276">
            <v>5.3149376466351803E-2</v>
          </cell>
          <cell r="AK276">
            <v>4.9830930981453345E-2</v>
          </cell>
          <cell r="AL276">
            <v>4.4837915135607039E-2</v>
          </cell>
          <cell r="AM276">
            <v>4.9296038787256115E-2</v>
          </cell>
          <cell r="AN276">
            <v>5.3157460718947724E-2</v>
          </cell>
          <cell r="AT276">
            <v>5.2918263451429255E-2</v>
          </cell>
          <cell r="AV276">
            <v>5.1152688795180257E-2</v>
          </cell>
          <cell r="AW276">
            <v>5.6082935204925903E-2</v>
          </cell>
          <cell r="AX276">
            <v>5.1808601713444549E-2</v>
          </cell>
          <cell r="AY276">
            <v>4.6493977695167284E-2</v>
          </cell>
          <cell r="AZ276">
            <v>5.1283171848851901E-2</v>
          </cell>
          <cell r="BC276">
            <v>3.6515854989138605E-2</v>
          </cell>
          <cell r="BD276">
            <v>4.7397569221458602E-2</v>
          </cell>
          <cell r="BE276">
            <v>6.0360347757215611E-2</v>
          </cell>
          <cell r="BF276">
            <v>5.6379891453766054E-2</v>
          </cell>
          <cell r="BG276">
            <v>5.0273919835648093E-2</v>
          </cell>
          <cell r="BO276">
            <v>3.8643550024255728E-2</v>
          </cell>
          <cell r="BP276">
            <v>5.1316898103206811E-2</v>
          </cell>
          <cell r="BQ276">
            <v>6.1895297724039171E-2</v>
          </cell>
          <cell r="BR276">
            <v>6.2185170306899691E-2</v>
          </cell>
          <cell r="BS276">
            <v>5.3877715971010195E-2</v>
          </cell>
          <cell r="CA276">
            <v>5.4318901342985837E-2</v>
          </cell>
          <cell r="CB276">
            <v>5.2276433347850683E-2</v>
          </cell>
          <cell r="CC276">
            <v>5.0572178137643815E-2</v>
          </cell>
          <cell r="CD276">
            <v>4.8884908193244141E-2</v>
          </cell>
        </row>
        <row r="277">
          <cell r="A277" t="str">
            <v>CapEx/Depreciation</v>
          </cell>
          <cell r="Q277">
            <v>1.1416712959288944</v>
          </cell>
          <cell r="R277">
            <v>1.1552457339721158</v>
          </cell>
          <cell r="S277">
            <v>1.0563504077347527</v>
          </cell>
          <cell r="T277">
            <v>0.90706811374333829</v>
          </cell>
          <cell r="U277">
            <v>1.3266013319616663</v>
          </cell>
          <cell r="V277">
            <v>0.96715957446808509</v>
          </cell>
          <cell r="X277">
            <v>1.5430449187985444</v>
          </cell>
          <cell r="Y277">
            <v>0.84823529411764709</v>
          </cell>
          <cell r="Z277">
            <v>0.9407817589576547</v>
          </cell>
          <cell r="AA277">
            <v>1.2896747967479674</v>
          </cell>
          <cell r="AB277">
            <v>1.0941965073205149</v>
          </cell>
          <cell r="AD277">
            <v>1.0273085149251415</v>
          </cell>
          <cell r="AE277">
            <v>1.0010169160066491</v>
          </cell>
          <cell r="AF277">
            <v>1.045797403399116</v>
          </cell>
          <cell r="AG277">
            <v>0.8699948684114075</v>
          </cell>
          <cell r="AH277">
            <v>0.9766838139350591</v>
          </cell>
          <cell r="AI277">
            <v>0.95623731107602084</v>
          </cell>
          <cell r="AJ277">
            <v>0.88951579336817266</v>
          </cell>
          <cell r="AK277">
            <v>0.92902826981145537</v>
          </cell>
          <cell r="AL277">
            <v>1.0583870637601063</v>
          </cell>
          <cell r="AM277">
            <v>0.95600964172236202</v>
          </cell>
          <cell r="AV277">
            <v>0.90605809960648676</v>
          </cell>
          <cell r="AW277">
            <v>0.82881653794570598</v>
          </cell>
          <cell r="AX277">
            <v>0.88145224565491354</v>
          </cell>
          <cell r="AY277">
            <v>1.004554293316958</v>
          </cell>
          <cell r="AZ277">
            <v>0.90285842981142639</v>
          </cell>
          <cell r="BC277">
            <v>1.1923958270518</v>
          </cell>
          <cell r="BD277">
            <v>0.92394075094729577</v>
          </cell>
          <cell r="BE277">
            <v>0.7174056443992799</v>
          </cell>
          <cell r="BF277">
            <v>0.78099658653759285</v>
          </cell>
          <cell r="BG277">
            <v>0.86869745663509634</v>
          </cell>
          <cell r="BO277">
            <v>1.0632972019158053</v>
          </cell>
          <cell r="BP277">
            <v>0.86056932966023869</v>
          </cell>
          <cell r="BQ277">
            <v>0.69427913043478262</v>
          </cell>
          <cell r="BR277">
            <v>0.71594077253218869</v>
          </cell>
          <cell r="BS277">
            <v>0.80218155298155291</v>
          </cell>
          <cell r="CA277">
            <v>0.86199827722368694</v>
          </cell>
          <cell r="CB277">
            <v>0.92373327341310518</v>
          </cell>
          <cell r="CC277">
            <v>0.98229202500182988</v>
          </cell>
          <cell r="CD277">
            <v>1.0602019050239015</v>
          </cell>
        </row>
        <row r="278">
          <cell r="A278" t="str">
            <v>CapEx per Average Hospital</v>
          </cell>
          <cell r="F278">
            <v>1.4291891891891892</v>
          </cell>
          <cell r="K278">
            <v>1.8842682926829266</v>
          </cell>
          <cell r="Q278">
            <v>1.3696739130434783</v>
          </cell>
          <cell r="V278">
            <v>1.8076923076923077</v>
          </cell>
          <cell r="AB278">
            <v>1.8896666666666668</v>
          </cell>
          <cell r="AH278">
            <v>2.3234761904761903</v>
          </cell>
        </row>
        <row r="280">
          <cell r="A280" t="str">
            <v>ACQUISITIONS</v>
          </cell>
        </row>
        <row r="281">
          <cell r="A281" t="str">
            <v>Hospitals BOP</v>
          </cell>
          <cell r="C281">
            <v>36</v>
          </cell>
          <cell r="D281">
            <v>36</v>
          </cell>
          <cell r="E281">
            <v>35</v>
          </cell>
          <cell r="F281">
            <v>37</v>
          </cell>
          <cell r="G281">
            <v>41</v>
          </cell>
          <cell r="H281">
            <v>43</v>
          </cell>
          <cell r="I281">
            <v>43</v>
          </cell>
          <cell r="J281">
            <v>44</v>
          </cell>
          <cell r="K281">
            <v>41</v>
          </cell>
          <cell r="M281">
            <v>46</v>
          </cell>
          <cell r="N281">
            <v>46</v>
          </cell>
          <cell r="O281">
            <v>49</v>
          </cell>
          <cell r="P281">
            <v>50</v>
          </cell>
          <cell r="Q281">
            <v>46</v>
          </cell>
          <cell r="R281">
            <v>52</v>
          </cell>
          <cell r="S281">
            <v>52</v>
          </cell>
          <cell r="T281">
            <v>53</v>
          </cell>
          <cell r="U281">
            <v>54</v>
          </cell>
          <cell r="V281">
            <v>52</v>
          </cell>
          <cell r="X281">
            <v>57</v>
          </cell>
          <cell r="Y281">
            <v>59</v>
          </cell>
          <cell r="Z281">
            <v>59</v>
          </cell>
          <cell r="AA281">
            <v>61</v>
          </cell>
          <cell r="AB281">
            <v>57</v>
          </cell>
          <cell r="AD281">
            <v>63</v>
          </cell>
          <cell r="AE281">
            <v>70</v>
          </cell>
          <cell r="AF281">
            <v>70</v>
          </cell>
          <cell r="AG281">
            <v>72</v>
          </cell>
          <cell r="AH281">
            <v>63</v>
          </cell>
          <cell r="AI281">
            <v>72</v>
          </cell>
          <cell r="AJ281">
            <v>72</v>
          </cell>
          <cell r="AK281">
            <v>72</v>
          </cell>
          <cell r="AL281">
            <v>71</v>
          </cell>
          <cell r="AM281">
            <v>71.400000000000006</v>
          </cell>
          <cell r="AV281">
            <v>69</v>
          </cell>
          <cell r="AW281">
            <v>64</v>
          </cell>
          <cell r="AX281">
            <v>65</v>
          </cell>
          <cell r="AY281">
            <v>66</v>
          </cell>
          <cell r="AZ281">
            <v>69</v>
          </cell>
          <cell r="BC281">
            <v>66</v>
          </cell>
          <cell r="BD281">
            <v>67</v>
          </cell>
          <cell r="BE281">
            <v>67</v>
          </cell>
          <cell r="BF281">
            <v>68</v>
          </cell>
          <cell r="BG281">
            <v>70</v>
          </cell>
          <cell r="BO281">
            <v>70</v>
          </cell>
          <cell r="BP281">
            <v>71</v>
          </cell>
          <cell r="BQ281">
            <v>75</v>
          </cell>
          <cell r="BR281">
            <v>76</v>
          </cell>
          <cell r="BS281">
            <v>70</v>
          </cell>
          <cell r="CA281">
            <v>78</v>
          </cell>
          <cell r="CB281">
            <v>84</v>
          </cell>
          <cell r="CC281">
            <v>87.5</v>
          </cell>
          <cell r="CD281">
            <v>90.5</v>
          </cell>
        </row>
        <row r="282">
          <cell r="A282" t="str">
            <v>Hospitals EOP</v>
          </cell>
          <cell r="C282">
            <v>36</v>
          </cell>
          <cell r="D282">
            <v>35</v>
          </cell>
          <cell r="E282">
            <v>37</v>
          </cell>
          <cell r="F282">
            <v>41</v>
          </cell>
          <cell r="G282">
            <v>43</v>
          </cell>
          <cell r="H282">
            <v>43</v>
          </cell>
          <cell r="I282">
            <v>44</v>
          </cell>
          <cell r="J282">
            <v>46</v>
          </cell>
          <cell r="K282">
            <v>46</v>
          </cell>
          <cell r="M282">
            <v>46</v>
          </cell>
          <cell r="N282">
            <v>49</v>
          </cell>
          <cell r="O282">
            <v>50</v>
          </cell>
          <cell r="P282">
            <v>52</v>
          </cell>
          <cell r="Q282">
            <v>52</v>
          </cell>
          <cell r="R282">
            <v>52</v>
          </cell>
          <cell r="S282">
            <v>53</v>
          </cell>
          <cell r="T282">
            <v>54</v>
          </cell>
          <cell r="U282">
            <v>57</v>
          </cell>
          <cell r="V282">
            <v>57</v>
          </cell>
          <cell r="X282">
            <v>59</v>
          </cell>
          <cell r="Y282">
            <v>59</v>
          </cell>
          <cell r="Z282">
            <v>61</v>
          </cell>
          <cell r="AA282">
            <v>63</v>
          </cell>
          <cell r="AB282">
            <v>63</v>
          </cell>
          <cell r="AD282">
            <v>70</v>
          </cell>
          <cell r="AE282">
            <v>70</v>
          </cell>
          <cell r="AF282">
            <v>72</v>
          </cell>
          <cell r="AG282">
            <v>72</v>
          </cell>
          <cell r="AH282">
            <v>72</v>
          </cell>
          <cell r="AI282">
            <v>72</v>
          </cell>
          <cell r="AJ282">
            <v>72</v>
          </cell>
          <cell r="AK282">
            <v>71</v>
          </cell>
          <cell r="AL282">
            <v>71</v>
          </cell>
          <cell r="AM282">
            <v>71</v>
          </cell>
          <cell r="AV282">
            <v>64</v>
          </cell>
          <cell r="AW282">
            <v>64</v>
          </cell>
          <cell r="AX282">
            <v>66</v>
          </cell>
          <cell r="AY282">
            <v>66</v>
          </cell>
          <cell r="AZ282">
            <v>66</v>
          </cell>
          <cell r="BC282">
            <v>67</v>
          </cell>
          <cell r="BD282">
            <v>67</v>
          </cell>
          <cell r="BE282">
            <v>68</v>
          </cell>
          <cell r="BF282">
            <v>70</v>
          </cell>
          <cell r="BG282">
            <v>70</v>
          </cell>
          <cell r="BO282">
            <v>71</v>
          </cell>
          <cell r="BP282">
            <v>75</v>
          </cell>
          <cell r="BQ282">
            <v>76</v>
          </cell>
          <cell r="BR282">
            <v>78</v>
          </cell>
          <cell r="BS282">
            <v>78</v>
          </cell>
          <cell r="CA282">
            <v>82</v>
          </cell>
          <cell r="CB282">
            <v>86</v>
          </cell>
          <cell r="CC282">
            <v>89</v>
          </cell>
          <cell r="CD282">
            <v>92</v>
          </cell>
        </row>
        <row r="283">
          <cell r="A283" t="str">
            <v>Additional Hospitals</v>
          </cell>
          <cell r="C283">
            <v>0</v>
          </cell>
          <cell r="D283">
            <v>-1</v>
          </cell>
          <cell r="E283">
            <v>2</v>
          </cell>
          <cell r="F283">
            <v>4</v>
          </cell>
          <cell r="G283">
            <v>2</v>
          </cell>
          <cell r="H283">
            <v>0</v>
          </cell>
          <cell r="I283">
            <v>1</v>
          </cell>
          <cell r="J283">
            <v>2</v>
          </cell>
          <cell r="K283">
            <v>5</v>
          </cell>
          <cell r="M283">
            <v>0</v>
          </cell>
          <cell r="N283">
            <v>3</v>
          </cell>
          <cell r="O283">
            <v>1</v>
          </cell>
          <cell r="P283">
            <v>2</v>
          </cell>
          <cell r="Q283">
            <v>6</v>
          </cell>
          <cell r="R283">
            <v>0</v>
          </cell>
          <cell r="S283">
            <v>1</v>
          </cell>
          <cell r="T283">
            <v>1</v>
          </cell>
          <cell r="U283">
            <v>3</v>
          </cell>
          <cell r="V283">
            <v>5</v>
          </cell>
          <cell r="X283">
            <v>2</v>
          </cell>
          <cell r="Y283">
            <v>0</v>
          </cell>
          <cell r="Z283">
            <v>2</v>
          </cell>
          <cell r="AA283">
            <v>2</v>
          </cell>
          <cell r="AB283">
            <v>6</v>
          </cell>
          <cell r="AD283">
            <v>7</v>
          </cell>
          <cell r="AE283">
            <v>0</v>
          </cell>
          <cell r="AF283">
            <v>2</v>
          </cell>
          <cell r="AG283">
            <v>1</v>
          </cell>
          <cell r="AH283">
            <v>9</v>
          </cell>
          <cell r="AI283">
            <v>0</v>
          </cell>
          <cell r="AJ283">
            <v>0</v>
          </cell>
          <cell r="AK283">
            <v>2</v>
          </cell>
          <cell r="AL283">
            <v>0</v>
          </cell>
          <cell r="AM283">
            <v>2</v>
          </cell>
          <cell r="AV283">
            <v>-5</v>
          </cell>
          <cell r="AW283">
            <v>0</v>
          </cell>
          <cell r="AX283">
            <v>2</v>
          </cell>
          <cell r="AY283">
            <v>0</v>
          </cell>
          <cell r="AZ283">
            <v>2</v>
          </cell>
          <cell r="BC283">
            <v>1</v>
          </cell>
          <cell r="BD283">
            <v>1</v>
          </cell>
          <cell r="BE283">
            <v>1</v>
          </cell>
          <cell r="BF283">
            <v>2</v>
          </cell>
          <cell r="BG283">
            <v>5</v>
          </cell>
          <cell r="BO283">
            <v>1</v>
          </cell>
          <cell r="BP283">
            <v>4</v>
          </cell>
          <cell r="BQ283">
            <v>1</v>
          </cell>
          <cell r="BR283">
            <v>2</v>
          </cell>
          <cell r="BS283">
            <v>8</v>
          </cell>
          <cell r="CA283">
            <v>4</v>
          </cell>
          <cell r="CB283">
            <v>4</v>
          </cell>
          <cell r="CC283">
            <v>3</v>
          </cell>
          <cell r="CD283">
            <v>3</v>
          </cell>
        </row>
        <row r="285">
          <cell r="A285" t="str">
            <v>Average Purchase Price</v>
          </cell>
          <cell r="F285">
            <v>54.641000000000005</v>
          </cell>
          <cell r="G285">
            <v>22.173500000000001</v>
          </cell>
          <cell r="H285" t="str">
            <v/>
          </cell>
          <cell r="I285">
            <v>5.7950000000000017</v>
          </cell>
          <cell r="J285">
            <v>6.2784999999999975</v>
          </cell>
          <cell r="K285">
            <v>18.82</v>
          </cell>
          <cell r="N285">
            <v>6.4156666666666675</v>
          </cell>
          <cell r="O285">
            <v>35.015000000000001</v>
          </cell>
          <cell r="P285">
            <v>36.281000000000006</v>
          </cell>
          <cell r="Q285">
            <v>41.156833333333331</v>
          </cell>
          <cell r="R285" t="str">
            <v/>
          </cell>
          <cell r="S285">
            <v>50.063000000000002</v>
          </cell>
          <cell r="T285">
            <v>5.0030000000000001</v>
          </cell>
          <cell r="U285">
            <v>31.958333333333329</v>
          </cell>
          <cell r="V285">
            <v>45.189000000000007</v>
          </cell>
          <cell r="X285">
            <v>27.1</v>
          </cell>
          <cell r="Z285">
            <v>28.785499999999995</v>
          </cell>
          <cell r="AA285">
            <v>14.188000000000002</v>
          </cell>
          <cell r="AB285">
            <v>28.864166666666666</v>
          </cell>
          <cell r="AD285">
            <v>21.428571428571427</v>
          </cell>
          <cell r="AE285">
            <v>0</v>
          </cell>
          <cell r="AF285">
            <v>72.328499999999991</v>
          </cell>
          <cell r="AG285">
            <v>130.33900000000003</v>
          </cell>
          <cell r="AH285">
            <v>51.813111111111112</v>
          </cell>
          <cell r="AI285">
            <v>0</v>
          </cell>
          <cell r="AJ285">
            <v>0</v>
          </cell>
          <cell r="AK285">
            <v>63.262499999999996</v>
          </cell>
          <cell r="AL285">
            <v>0</v>
          </cell>
          <cell r="AM285">
            <v>63.262499999999996</v>
          </cell>
          <cell r="AV285">
            <v>0</v>
          </cell>
          <cell r="AW285">
            <v>0</v>
          </cell>
          <cell r="AX285">
            <v>63.262499999999996</v>
          </cell>
          <cell r="AY285">
            <v>0</v>
          </cell>
          <cell r="AZ285">
            <v>63.262499999999996</v>
          </cell>
          <cell r="BC285">
            <v>24.853999999999999</v>
          </cell>
          <cell r="BD285">
            <v>20.959000000000003</v>
          </cell>
          <cell r="BE285">
            <v>15.14</v>
          </cell>
          <cell r="BF285">
            <v>48.712999999999987</v>
          </cell>
          <cell r="BG285">
            <v>31.675799999999992</v>
          </cell>
          <cell r="BO285">
            <v>17.448</v>
          </cell>
          <cell r="BP285">
            <v>40.141749999999995</v>
          </cell>
          <cell r="BQ285">
            <v>100</v>
          </cell>
          <cell r="BR285">
            <v>50</v>
          </cell>
          <cell r="BS285">
            <v>41.001874999999998</v>
          </cell>
          <cell r="CA285">
            <v>42.641950000000001</v>
          </cell>
          <cell r="CB285">
            <v>44.774047500000002</v>
          </cell>
          <cell r="CC285">
            <v>47.012749875000004</v>
          </cell>
          <cell r="CD285">
            <v>49.363387368750004</v>
          </cell>
        </row>
        <row r="286">
          <cell r="A286" t="str">
            <v>Total Acquisition Spending</v>
          </cell>
          <cell r="E286">
            <v>36.295999999999999</v>
          </cell>
          <cell r="F286">
            <v>218.56400000000002</v>
          </cell>
          <cell r="G286">
            <v>44.347000000000001</v>
          </cell>
          <cell r="H286">
            <v>0</v>
          </cell>
          <cell r="I286">
            <v>5.7950000000000017</v>
          </cell>
          <cell r="J286">
            <v>12.556999999999995</v>
          </cell>
          <cell r="K286">
            <v>94.1</v>
          </cell>
          <cell r="M286">
            <v>21.391999999999999</v>
          </cell>
          <cell r="N286">
            <v>19.247000000000003</v>
          </cell>
          <cell r="O286">
            <v>35.015000000000001</v>
          </cell>
          <cell r="P286">
            <v>72.562000000000012</v>
          </cell>
          <cell r="Q286">
            <v>246.94099999999997</v>
          </cell>
          <cell r="R286">
            <v>0</v>
          </cell>
          <cell r="S286">
            <v>50.063000000000002</v>
          </cell>
          <cell r="T286">
            <v>5.0030000000000001</v>
          </cell>
          <cell r="U286">
            <v>95.874999999999986</v>
          </cell>
          <cell r="V286">
            <v>225.94500000000002</v>
          </cell>
          <cell r="X286">
            <v>54.2</v>
          </cell>
          <cell r="Y286">
            <v>14.015999999999998</v>
          </cell>
          <cell r="Z286">
            <v>57.570999999999991</v>
          </cell>
          <cell r="AA286">
            <v>28.376000000000005</v>
          </cell>
          <cell r="AB286">
            <v>173.185</v>
          </cell>
          <cell r="AD286">
            <v>150</v>
          </cell>
          <cell r="AE286">
            <v>0</v>
          </cell>
          <cell r="AF286">
            <v>144.65699999999998</v>
          </cell>
          <cell r="AG286">
            <v>130.33900000000003</v>
          </cell>
          <cell r="AH286">
            <v>466.31799999999998</v>
          </cell>
          <cell r="AI286">
            <v>0</v>
          </cell>
          <cell r="AJ286">
            <v>0</v>
          </cell>
          <cell r="AK286">
            <v>126.52499999999999</v>
          </cell>
          <cell r="AL286">
            <v>0</v>
          </cell>
          <cell r="AM286">
            <v>126.52499999999999</v>
          </cell>
          <cell r="AV286">
            <v>0</v>
          </cell>
          <cell r="AW286">
            <v>0</v>
          </cell>
          <cell r="AX286">
            <v>126.52499999999999</v>
          </cell>
          <cell r="AY286">
            <v>0</v>
          </cell>
          <cell r="AZ286">
            <v>126.52499999999999</v>
          </cell>
          <cell r="BC286">
            <v>24.853999999999999</v>
          </cell>
          <cell r="BD286">
            <v>20.959000000000003</v>
          </cell>
          <cell r="BE286">
            <v>15.14</v>
          </cell>
          <cell r="BF286">
            <v>97.425999999999974</v>
          </cell>
          <cell r="BG286">
            <v>158.37899999999996</v>
          </cell>
          <cell r="BO286">
            <v>17.448</v>
          </cell>
          <cell r="BP286">
            <v>160.56699999999998</v>
          </cell>
          <cell r="BQ286">
            <v>100</v>
          </cell>
          <cell r="BR286">
            <v>50</v>
          </cell>
          <cell r="BS286">
            <v>328.01499999999999</v>
          </cell>
          <cell r="CA286">
            <v>170.56780000000001</v>
          </cell>
          <cell r="CB286">
            <v>179.09619000000001</v>
          </cell>
          <cell r="CC286">
            <v>141.03824962500002</v>
          </cell>
          <cell r="CD286">
            <v>148.09016210625001</v>
          </cell>
        </row>
        <row r="288">
          <cell r="A288" t="str">
            <v>Purchase price allocation</v>
          </cell>
        </row>
        <row r="289">
          <cell r="A289" t="str">
            <v>Goodwill</v>
          </cell>
          <cell r="F289">
            <v>61.441000000000003</v>
          </cell>
          <cell r="K289">
            <v>24.84</v>
          </cell>
          <cell r="Q289">
            <v>122.58499999999999</v>
          </cell>
          <cell r="V289">
            <v>49.335000000000001</v>
          </cell>
          <cell r="AB289">
            <v>18.228000000000002</v>
          </cell>
          <cell r="AD289">
            <v>54.378000000000156</v>
          </cell>
          <cell r="AE289">
            <v>7.5649999999998272</v>
          </cell>
          <cell r="AH289">
            <v>123.285</v>
          </cell>
          <cell r="AJ289">
            <v>0</v>
          </cell>
          <cell r="AK289">
            <v>47.01</v>
          </cell>
          <cell r="AL289">
            <v>0</v>
          </cell>
          <cell r="AM289">
            <v>49.048000000000002</v>
          </cell>
          <cell r="AW289">
            <v>0</v>
          </cell>
          <cell r="AX289">
            <v>47.01</v>
          </cell>
          <cell r="AY289">
            <v>0</v>
          </cell>
          <cell r="AZ289">
            <v>49.048000000000002</v>
          </cell>
          <cell r="BG289">
            <v>0</v>
          </cell>
          <cell r="BQ289">
            <v>40</v>
          </cell>
          <cell r="BR289">
            <v>20</v>
          </cell>
          <cell r="BS289">
            <v>60</v>
          </cell>
          <cell r="CA289">
            <v>68.227119999999999</v>
          </cell>
          <cell r="CB289">
            <v>71.638476000000011</v>
          </cell>
          <cell r="CC289">
            <v>56.415299850000011</v>
          </cell>
          <cell r="CD289">
            <v>59.236064842500006</v>
          </cell>
          <cell r="CF289" t="str">
            <v>mstag:premiumGoodwillOnAcquisions</v>
          </cell>
          <cell r="CG289">
            <v>6</v>
          </cell>
          <cell r="CH289" t="str">
            <v>ISO4217:USD</v>
          </cell>
          <cell r="CI289" t="b">
            <v>0</v>
          </cell>
          <cell r="CJ289" t="b">
            <v>0</v>
          </cell>
        </row>
        <row r="290">
          <cell r="A290" t="str">
            <v>PP&amp;E</v>
          </cell>
          <cell r="F290">
            <v>116.443</v>
          </cell>
          <cell r="K290">
            <v>53.746000000000002</v>
          </cell>
          <cell r="Q290">
            <v>84.512</v>
          </cell>
          <cell r="V290">
            <v>127.80500000000001</v>
          </cell>
          <cell r="AB290">
            <v>119.44</v>
          </cell>
          <cell r="AD290">
            <v>124.50899999999979</v>
          </cell>
          <cell r="AE290">
            <v>0</v>
          </cell>
          <cell r="AH290">
            <v>319.85899999999998</v>
          </cell>
          <cell r="AJ290">
            <v>0</v>
          </cell>
          <cell r="AK290">
            <v>58.762499999999996</v>
          </cell>
          <cell r="AL290">
            <v>0</v>
          </cell>
          <cell r="AM290">
            <v>76.917000000000002</v>
          </cell>
          <cell r="AW290">
            <v>0</v>
          </cell>
          <cell r="AX290">
            <v>58.762499999999996</v>
          </cell>
          <cell r="AY290">
            <v>0</v>
          </cell>
          <cell r="AZ290">
            <v>76.917000000000002</v>
          </cell>
          <cell r="BG290">
            <v>0</v>
          </cell>
          <cell r="BQ290">
            <v>50</v>
          </cell>
          <cell r="BR290">
            <v>25</v>
          </cell>
          <cell r="BS290">
            <v>75</v>
          </cell>
          <cell r="CA290">
            <v>85.283900000000003</v>
          </cell>
          <cell r="CB290">
            <v>89.548095000000004</v>
          </cell>
          <cell r="CC290">
            <v>70.51912481250001</v>
          </cell>
          <cell r="CD290">
            <v>74.045081053125003</v>
          </cell>
        </row>
        <row r="291">
          <cell r="A291" t="str">
            <v>Current assets</v>
          </cell>
          <cell r="F291">
            <v>40.68</v>
          </cell>
          <cell r="K291">
            <v>15.513999999999999</v>
          </cell>
          <cell r="Q291">
            <v>39.844000000000001</v>
          </cell>
          <cell r="V291">
            <v>48.805</v>
          </cell>
          <cell r="AB291">
            <v>35.517000000000003</v>
          </cell>
          <cell r="AD291">
            <v>-28.886999999999944</v>
          </cell>
          <cell r="AE291">
            <v>-7.5649999999998272</v>
          </cell>
          <cell r="AH291">
            <v>23.173999999999999</v>
          </cell>
          <cell r="AJ291">
            <v>0</v>
          </cell>
          <cell r="AK291">
            <v>11.752499999999996</v>
          </cell>
          <cell r="AL291">
            <v>0</v>
          </cell>
          <cell r="AM291">
            <v>10.103999999999999</v>
          </cell>
          <cell r="AW291">
            <v>0</v>
          </cell>
          <cell r="AX291">
            <v>11.752499999999996</v>
          </cell>
          <cell r="AY291">
            <v>0</v>
          </cell>
          <cell r="AZ291">
            <v>10.103999999999999</v>
          </cell>
          <cell r="BC291">
            <v>24.853999999999999</v>
          </cell>
          <cell r="BD291">
            <v>20.959000000000003</v>
          </cell>
          <cell r="BG291">
            <v>45.813000000000002</v>
          </cell>
          <cell r="BQ291">
            <v>9.9999999999999982</v>
          </cell>
          <cell r="BR291">
            <v>4.9999999999999991</v>
          </cell>
          <cell r="BS291">
            <v>14.999999999999996</v>
          </cell>
          <cell r="CA291">
            <v>17.056779999999996</v>
          </cell>
          <cell r="CB291">
            <v>17.909618999999996</v>
          </cell>
          <cell r="CC291">
            <v>14.103824962499999</v>
          </cell>
          <cell r="CD291">
            <v>14.809016210624998</v>
          </cell>
          <cell r="CF291" t="str">
            <v>mstag:otherAssetsLiabilitiesIncludedInEndingBalanceSheetTotals</v>
          </cell>
          <cell r="CG291">
            <v>6</v>
          </cell>
          <cell r="CH291" t="str">
            <v>ISO4217:USD</v>
          </cell>
          <cell r="CI291" t="b">
            <v>0</v>
          </cell>
          <cell r="CJ291" t="b">
            <v>0</v>
          </cell>
        </row>
        <row r="292">
          <cell r="A292" t="str">
            <v>For the proceeds</v>
          </cell>
          <cell r="BG292">
            <v>0</v>
          </cell>
          <cell r="BQ292">
            <v>0</v>
          </cell>
          <cell r="BR292">
            <v>0</v>
          </cell>
          <cell r="BS292">
            <v>0</v>
          </cell>
          <cell r="CJ292" t="b">
            <v>0</v>
          </cell>
        </row>
        <row r="294">
          <cell r="A294" t="str">
            <v>% Allocation to Goodwill</v>
          </cell>
          <cell r="F294">
            <v>0.28111216851814569</v>
          </cell>
          <cell r="K294">
            <v>0.26397449521785338</v>
          </cell>
          <cell r="Q294">
            <v>0.49641412321161738</v>
          </cell>
          <cell r="V294">
            <v>0.21834959835358161</v>
          </cell>
          <cell r="AB294">
            <v>0.10525160955048071</v>
          </cell>
          <cell r="AD294">
            <v>0.36252000000000106</v>
          </cell>
          <cell r="AE294" t="e">
            <v>#DIV/0!</v>
          </cell>
          <cell r="AH294">
            <v>0.26437967224083136</v>
          </cell>
          <cell r="AJ294">
            <v>0.15</v>
          </cell>
          <cell r="AK294">
            <v>0.4</v>
          </cell>
          <cell r="AL294">
            <v>0.4</v>
          </cell>
          <cell r="AM294">
            <v>0.38765461371270504</v>
          </cell>
          <cell r="AW294">
            <v>0.15</v>
          </cell>
          <cell r="AX294">
            <v>0.4</v>
          </cell>
          <cell r="AY294">
            <v>0.4</v>
          </cell>
          <cell r="AZ294">
            <v>0.38765461371270504</v>
          </cell>
          <cell r="BC294">
            <v>0.4</v>
          </cell>
          <cell r="BD294">
            <v>0.4</v>
          </cell>
          <cell r="BE294">
            <v>0.4</v>
          </cell>
          <cell r="BG294">
            <v>0</v>
          </cell>
          <cell r="BQ294">
            <v>0.4</v>
          </cell>
          <cell r="BR294">
            <v>0.4</v>
          </cell>
          <cell r="BS294">
            <v>0.4</v>
          </cell>
          <cell r="CA294">
            <v>0.4</v>
          </cell>
          <cell r="CB294">
            <v>0.4</v>
          </cell>
          <cell r="CC294">
            <v>0.4</v>
          </cell>
          <cell r="CD294">
            <v>0.4</v>
          </cell>
        </row>
        <row r="295">
          <cell r="A295" t="str">
            <v>% Allocation to PP&amp;E</v>
          </cell>
          <cell r="F295">
            <v>0.53276385864094722</v>
          </cell>
          <cell r="K295">
            <v>0.57115834218916051</v>
          </cell>
          <cell r="Q295">
            <v>0.3422355947372045</v>
          </cell>
          <cell r="V295">
            <v>0.56564650689327045</v>
          </cell>
          <cell r="AB295">
            <v>0.68966711897681665</v>
          </cell>
          <cell r="AD295">
            <v>0.83005999999999858</v>
          </cell>
          <cell r="AE295">
            <v>0</v>
          </cell>
          <cell r="AH295">
            <v>0.68592462654240238</v>
          </cell>
          <cell r="AJ295">
            <v>0.6</v>
          </cell>
          <cell r="AK295">
            <v>0.5</v>
          </cell>
          <cell r="AL295">
            <v>0.5</v>
          </cell>
          <cell r="AM295">
            <v>0.60791938352104335</v>
          </cell>
          <cell r="AW295">
            <v>0.6</v>
          </cell>
          <cell r="AX295">
            <v>0.5</v>
          </cell>
          <cell r="AY295">
            <v>0.5</v>
          </cell>
          <cell r="AZ295">
            <v>0.60791938352104335</v>
          </cell>
          <cell r="BC295">
            <v>0.5</v>
          </cell>
          <cell r="BD295">
            <v>0.5</v>
          </cell>
          <cell r="BE295">
            <v>0.5</v>
          </cell>
          <cell r="BG295">
            <v>0</v>
          </cell>
          <cell r="BQ295">
            <v>0.5</v>
          </cell>
          <cell r="BR295">
            <v>0.5</v>
          </cell>
          <cell r="BS295">
            <v>0.5</v>
          </cell>
          <cell r="CA295">
            <v>0.5</v>
          </cell>
          <cell r="CB295">
            <v>0.5</v>
          </cell>
          <cell r="CC295">
            <v>0.5</v>
          </cell>
          <cell r="CD295">
            <v>0.5</v>
          </cell>
        </row>
        <row r="296">
          <cell r="A296" t="str">
            <v>% Allocation to Other</v>
          </cell>
          <cell r="F296">
            <v>0.18612397284090698</v>
          </cell>
          <cell r="K296">
            <v>0.1648671625929862</v>
          </cell>
          <cell r="Q296">
            <v>0.16135028205117824</v>
          </cell>
          <cell r="V296">
            <v>0.21600389475314788</v>
          </cell>
          <cell r="AB296">
            <v>0.20508127147270261</v>
          </cell>
          <cell r="AD296">
            <v>-0.19257999999999964</v>
          </cell>
          <cell r="AE296" t="e">
            <v>#DIV/0!</v>
          </cell>
          <cell r="AH296">
            <v>4.9695701216766239E-2</v>
          </cell>
          <cell r="AJ296">
            <v>0.25</v>
          </cell>
          <cell r="AK296">
            <v>9.9999999999999978E-2</v>
          </cell>
          <cell r="AL296">
            <v>9.9999999999999978E-2</v>
          </cell>
          <cell r="AM296">
            <v>7.9857735625370477E-2</v>
          </cell>
          <cell r="AW296">
            <v>0.25</v>
          </cell>
          <cell r="AX296">
            <v>9.9999999999999978E-2</v>
          </cell>
          <cell r="AY296">
            <v>9.9999999999999978E-2</v>
          </cell>
          <cell r="AZ296">
            <v>7.9857735625370477E-2</v>
          </cell>
          <cell r="BC296">
            <v>9.9999999999999978E-2</v>
          </cell>
          <cell r="BD296">
            <v>9.9999999999999978E-2</v>
          </cell>
          <cell r="BE296">
            <v>9.9999999999999978E-2</v>
          </cell>
          <cell r="BG296">
            <v>0.36208654416123298</v>
          </cell>
          <cell r="BQ296">
            <v>9.9999999999999978E-2</v>
          </cell>
          <cell r="BR296">
            <v>9.9999999999999978E-2</v>
          </cell>
          <cell r="BS296">
            <v>9.9999999999999978E-2</v>
          </cell>
          <cell r="CA296">
            <v>9.9999999999999978E-2</v>
          </cell>
          <cell r="CB296">
            <v>9.9999999999999978E-2</v>
          </cell>
          <cell r="CC296">
            <v>9.9999999999999978E-2</v>
          </cell>
          <cell r="CD296">
            <v>9.9999999999999978E-2</v>
          </cell>
        </row>
        <row r="298">
          <cell r="A298" t="str">
            <v>PP&amp;E Adjustment (projected fiscal year)</v>
          </cell>
        </row>
        <row r="300">
          <cell r="A300" t="str">
            <v>Debt Schedules</v>
          </cell>
          <cell r="CA300" t="str">
            <v xml:space="preserve"> </v>
          </cell>
        </row>
        <row r="301">
          <cell r="A301" t="str">
            <v>Credit Facilities:</v>
          </cell>
        </row>
        <row r="302">
          <cell r="A302" t="str">
            <v xml:space="preserve">  Revolving credit loans - $200 line</v>
          </cell>
          <cell r="F302">
            <v>104.199</v>
          </cell>
          <cell r="K302">
            <v>109.75</v>
          </cell>
          <cell r="Q302">
            <v>0</v>
          </cell>
          <cell r="U302">
            <v>0</v>
          </cell>
          <cell r="V302">
            <v>0</v>
          </cell>
          <cell r="X302">
            <v>0</v>
          </cell>
          <cell r="Y302">
            <v>0</v>
          </cell>
          <cell r="Z302">
            <v>100</v>
          </cell>
          <cell r="AA302">
            <v>0</v>
          </cell>
          <cell r="AB302">
            <v>0</v>
          </cell>
          <cell r="AG302">
            <v>85</v>
          </cell>
          <cell r="AH302">
            <v>85</v>
          </cell>
          <cell r="AL302">
            <v>0</v>
          </cell>
          <cell r="AM302">
            <v>0</v>
          </cell>
          <cell r="AY302">
            <v>0</v>
          </cell>
          <cell r="AZ302">
            <v>0</v>
          </cell>
          <cell r="BG302">
            <v>0</v>
          </cell>
        </row>
        <row r="303">
          <cell r="A303" t="str">
            <v xml:space="preserve">  Acquisition loans - $263.1 line</v>
          </cell>
          <cell r="F303">
            <v>202.251</v>
          </cell>
          <cell r="K303">
            <v>138.55099999999999</v>
          </cell>
          <cell r="Q303">
            <v>70</v>
          </cell>
          <cell r="U303">
            <v>76.924999999999997</v>
          </cell>
          <cell r="V303">
            <v>103</v>
          </cell>
          <cell r="X303">
            <v>103</v>
          </cell>
          <cell r="Y303">
            <v>103</v>
          </cell>
          <cell r="Z303">
            <v>103</v>
          </cell>
          <cell r="AA303">
            <v>0</v>
          </cell>
          <cell r="AB303">
            <v>0</v>
          </cell>
          <cell r="AG303">
            <v>0</v>
          </cell>
          <cell r="AH303">
            <v>0</v>
          </cell>
          <cell r="AL303">
            <v>0</v>
          </cell>
          <cell r="AM303">
            <v>0</v>
          </cell>
          <cell r="AY303">
            <v>0</v>
          </cell>
          <cell r="AZ303">
            <v>0</v>
          </cell>
          <cell r="BG303">
            <v>0</v>
          </cell>
        </row>
        <row r="304">
          <cell r="A304" t="str">
            <v xml:space="preserve">  Term loans - Fixed (or Floating if company elects)</v>
          </cell>
          <cell r="F304">
            <v>394</v>
          </cell>
          <cell r="K304">
            <v>624.34500000000003</v>
          </cell>
          <cell r="Q304">
            <v>568.67899999999997</v>
          </cell>
          <cell r="U304">
            <v>563.67499999999995</v>
          </cell>
          <cell r="V304">
            <v>558.58600000000001</v>
          </cell>
          <cell r="X304">
            <v>558.58600000000001</v>
          </cell>
          <cell r="Y304">
            <v>558.58600000000001</v>
          </cell>
          <cell r="Z304">
            <v>558.58600000000001</v>
          </cell>
          <cell r="AA304">
            <v>847.875</v>
          </cell>
          <cell r="AB304">
            <v>847.875</v>
          </cell>
          <cell r="AG304">
            <v>1038.875</v>
          </cell>
          <cell r="AH304">
            <v>1038.875</v>
          </cell>
          <cell r="AL304">
            <v>1197</v>
          </cell>
          <cell r="AM304">
            <v>1197</v>
          </cell>
          <cell r="AY304">
            <v>1197</v>
          </cell>
          <cell r="AZ304">
            <v>1197</v>
          </cell>
          <cell r="BG304">
            <v>1185</v>
          </cell>
        </row>
        <row r="305">
          <cell r="A305" t="str">
            <v>4.25% Convertible Subordinated due 10/15/08</v>
          </cell>
          <cell r="K305">
            <v>0</v>
          </cell>
          <cell r="Q305">
            <v>0</v>
          </cell>
          <cell r="U305">
            <v>287.5</v>
          </cell>
          <cell r="V305">
            <v>287.5</v>
          </cell>
          <cell r="X305">
            <v>287.5</v>
          </cell>
          <cell r="Y305">
            <v>287.5</v>
          </cell>
          <cell r="Z305">
            <v>287.5</v>
          </cell>
          <cell r="AA305">
            <v>287.5</v>
          </cell>
          <cell r="AB305">
            <v>287.5</v>
          </cell>
          <cell r="AG305">
            <v>287.5</v>
          </cell>
          <cell r="AH305">
            <v>287.5</v>
          </cell>
          <cell r="AL305">
            <v>287.5</v>
          </cell>
          <cell r="AM305">
            <v>287.5</v>
          </cell>
          <cell r="AY305">
            <v>287.5</v>
          </cell>
          <cell r="AZ305">
            <v>287.5</v>
          </cell>
          <cell r="BG305">
            <v>136.624</v>
          </cell>
          <cell r="BO305">
            <v>0.1</v>
          </cell>
        </row>
        <row r="306">
          <cell r="A306" t="str">
            <v>Subordinated debentures - Fixed 7.5%</v>
          </cell>
          <cell r="F306">
            <v>500</v>
          </cell>
          <cell r="K306">
            <v>500</v>
          </cell>
          <cell r="Q306">
            <v>500</v>
          </cell>
          <cell r="U306">
            <v>0</v>
          </cell>
          <cell r="V306">
            <v>0</v>
          </cell>
          <cell r="X306">
            <v>0</v>
          </cell>
          <cell r="Y306">
            <v>0</v>
          </cell>
          <cell r="Z306">
            <v>0</v>
          </cell>
          <cell r="AA306">
            <v>0</v>
          </cell>
          <cell r="AB306">
            <v>0</v>
          </cell>
          <cell r="AG306">
            <v>0</v>
          </cell>
          <cell r="AH306">
            <v>0</v>
          </cell>
          <cell r="AL306">
            <v>300</v>
          </cell>
          <cell r="AM306">
            <v>300</v>
          </cell>
          <cell r="AY306">
            <v>300</v>
          </cell>
          <cell r="AZ306">
            <v>300</v>
          </cell>
          <cell r="BG306">
            <v>300</v>
          </cell>
        </row>
        <row r="307">
          <cell r="A307" t="str">
            <v>Taxable bonds - Floating</v>
          </cell>
          <cell r="F307">
            <v>33.4</v>
          </cell>
          <cell r="K307">
            <v>29.7</v>
          </cell>
          <cell r="Q307">
            <v>26.1</v>
          </cell>
          <cell r="U307">
            <v>24.3</v>
          </cell>
          <cell r="V307">
            <v>22.5</v>
          </cell>
          <cell r="X307">
            <v>22.5</v>
          </cell>
          <cell r="Y307">
            <v>22.5</v>
          </cell>
          <cell r="Z307">
            <v>22.5</v>
          </cell>
          <cell r="AA307">
            <v>0</v>
          </cell>
          <cell r="AB307">
            <v>0</v>
          </cell>
          <cell r="AG307">
            <v>0</v>
          </cell>
          <cell r="AH307">
            <v>0</v>
          </cell>
          <cell r="AL307">
            <v>0</v>
          </cell>
          <cell r="AM307">
            <v>0</v>
          </cell>
          <cell r="AY307">
            <v>0</v>
          </cell>
          <cell r="AZ307">
            <v>0</v>
          </cell>
          <cell r="BG307">
            <v>0</v>
          </cell>
        </row>
        <row r="308">
          <cell r="A308" t="str">
            <v>Tax-exempt bonds - Floating</v>
          </cell>
          <cell r="F308">
            <v>8</v>
          </cell>
          <cell r="K308">
            <v>8</v>
          </cell>
          <cell r="Q308">
            <v>8</v>
          </cell>
          <cell r="U308">
            <v>8</v>
          </cell>
          <cell r="V308">
            <v>8</v>
          </cell>
          <cell r="X308">
            <v>8</v>
          </cell>
          <cell r="Y308">
            <v>8</v>
          </cell>
          <cell r="Z308">
            <v>8</v>
          </cell>
          <cell r="AA308">
            <v>8</v>
          </cell>
          <cell r="AB308">
            <v>8</v>
          </cell>
          <cell r="AG308">
            <v>8</v>
          </cell>
          <cell r="AH308">
            <v>8</v>
          </cell>
          <cell r="AL308">
            <v>8</v>
          </cell>
          <cell r="AM308">
            <v>8</v>
          </cell>
          <cell r="AY308">
            <v>8</v>
          </cell>
          <cell r="AZ308">
            <v>8</v>
          </cell>
          <cell r="BG308">
            <v>8</v>
          </cell>
        </row>
        <row r="309">
          <cell r="A309" t="str">
            <v>Capital lease obligations - Fixed</v>
          </cell>
          <cell r="F309">
            <v>21.948</v>
          </cell>
          <cell r="K309">
            <v>20.827999999999999</v>
          </cell>
          <cell r="Q309">
            <v>21.1</v>
          </cell>
          <cell r="U309">
            <v>36.030999999999999</v>
          </cell>
          <cell r="V309">
            <v>17.914000000000001</v>
          </cell>
          <cell r="X309">
            <v>17.914000000000001</v>
          </cell>
          <cell r="Y309">
            <v>17.914000000000001</v>
          </cell>
          <cell r="Z309">
            <v>17.914000000000001</v>
          </cell>
          <cell r="AA309">
            <v>26.462</v>
          </cell>
          <cell r="AB309">
            <v>26.462</v>
          </cell>
          <cell r="AG309">
            <v>25.05</v>
          </cell>
          <cell r="AH309">
            <v>25.05</v>
          </cell>
          <cell r="AL309">
            <v>22.471</v>
          </cell>
          <cell r="AM309">
            <v>22.471</v>
          </cell>
          <cell r="AY309">
            <v>22.471</v>
          </cell>
          <cell r="AZ309">
            <v>22.471</v>
          </cell>
          <cell r="BG309">
            <v>21.792000000000002</v>
          </cell>
        </row>
        <row r="310">
          <cell r="A310" t="str">
            <v>Term loan from acquisition in 2000</v>
          </cell>
          <cell r="F310">
            <v>0</v>
          </cell>
          <cell r="K310">
            <v>0</v>
          </cell>
          <cell r="Q310">
            <v>21.7</v>
          </cell>
          <cell r="U310">
            <v>0</v>
          </cell>
          <cell r="V310">
            <v>30.018000000000001</v>
          </cell>
          <cell r="X310">
            <v>30.018000000000001</v>
          </cell>
          <cell r="Y310">
            <v>30.018000000000001</v>
          </cell>
          <cell r="Z310">
            <v>30.018000000000001</v>
          </cell>
          <cell r="AA310">
            <v>10.8</v>
          </cell>
          <cell r="AB310">
            <v>10.8</v>
          </cell>
          <cell r="AG310">
            <v>9.6</v>
          </cell>
          <cell r="AH310">
            <v>9.6</v>
          </cell>
          <cell r="AL310">
            <v>8.4</v>
          </cell>
          <cell r="AM310">
            <v>8.4</v>
          </cell>
          <cell r="AY310">
            <v>8.4</v>
          </cell>
          <cell r="AZ310">
            <v>8.4</v>
          </cell>
          <cell r="BG310">
            <v>0</v>
          </cell>
        </row>
        <row r="311">
          <cell r="A311" t="str">
            <v>Other</v>
          </cell>
          <cell r="F311">
            <v>4.0439999999999996</v>
          </cell>
          <cell r="K311">
            <v>3.4590000000000001</v>
          </cell>
          <cell r="Q311">
            <v>3.44</v>
          </cell>
          <cell r="U311">
            <v>100</v>
          </cell>
          <cell r="V311">
            <v>11.256</v>
          </cell>
          <cell r="X311">
            <v>11.256</v>
          </cell>
          <cell r="Y311">
            <v>11.256</v>
          </cell>
          <cell r="Z311">
            <v>11.256</v>
          </cell>
          <cell r="AA311">
            <v>11.821</v>
          </cell>
          <cell r="AB311">
            <v>11.821</v>
          </cell>
          <cell r="AG311">
            <v>20.632999999999999</v>
          </cell>
          <cell r="AH311">
            <v>20.632999999999999</v>
          </cell>
          <cell r="AL311">
            <v>8.3640000000000008</v>
          </cell>
          <cell r="AM311">
            <v>8.3640000000000008</v>
          </cell>
          <cell r="AY311">
            <v>8.3640000000000008</v>
          </cell>
          <cell r="AZ311">
            <v>8.3640000000000008</v>
          </cell>
          <cell r="BG311">
            <v>16.207999999999998</v>
          </cell>
        </row>
        <row r="312">
          <cell r="A312" t="str">
            <v>Total Long- and Short-Term Debt</v>
          </cell>
          <cell r="C312">
            <v>0</v>
          </cell>
          <cell r="D312">
            <v>0</v>
          </cell>
          <cell r="E312">
            <v>0</v>
          </cell>
          <cell r="F312">
            <v>1267.8420000000003</v>
          </cell>
          <cell r="J312">
            <v>0</v>
          </cell>
          <cell r="K312">
            <v>1434.633</v>
          </cell>
          <cell r="M312">
            <v>1434.633</v>
          </cell>
          <cell r="N312">
            <v>1323.3810000000001</v>
          </cell>
          <cell r="O312">
            <v>1401.597</v>
          </cell>
          <cell r="P312">
            <v>1219.0229999999999</v>
          </cell>
          <cell r="Q312">
            <v>1219.019</v>
          </cell>
          <cell r="R312">
            <v>1221.7539999999999</v>
          </cell>
          <cell r="S312">
            <v>1251.0060000000001</v>
          </cell>
          <cell r="T312">
            <v>1253.768</v>
          </cell>
          <cell r="U312">
            <v>1038.7739999999999</v>
          </cell>
          <cell r="V312">
            <v>1038.7739999999999</v>
          </cell>
          <cell r="W312">
            <v>0</v>
          </cell>
          <cell r="X312">
            <v>1096.9569999999999</v>
          </cell>
          <cell r="Y312">
            <v>1057.1079999999999</v>
          </cell>
          <cell r="Z312">
            <v>1193.9359999999999</v>
          </cell>
          <cell r="AA312">
            <v>1192.4580000000001</v>
          </cell>
          <cell r="AB312">
            <v>1192.4580000000001</v>
          </cell>
          <cell r="AD312">
            <v>1271.874</v>
          </cell>
          <cell r="AE312">
            <v>1185.9769999999999</v>
          </cell>
          <cell r="AF312">
            <v>1388.54</v>
          </cell>
          <cell r="AG312">
            <v>1474.6579999999999</v>
          </cell>
          <cell r="AH312">
            <v>1474.6579999999999</v>
          </cell>
          <cell r="AI312">
            <v>1463.4570000000001</v>
          </cell>
          <cell r="AJ312">
            <v>1373.914</v>
          </cell>
          <cell r="AK312">
            <v>1781.2049999999999</v>
          </cell>
          <cell r="AL312">
            <v>1831.7349999999999</v>
          </cell>
          <cell r="AM312">
            <v>1831.7349999999999</v>
          </cell>
          <cell r="AN312">
            <v>1192.4580000000001</v>
          </cell>
          <cell r="AT312">
            <v>1474.6579999999999</v>
          </cell>
          <cell r="AV312">
            <v>1463.4570000000001</v>
          </cell>
          <cell r="AW312">
            <v>1373.914</v>
          </cell>
          <cell r="AX312">
            <v>1781.2049999999999</v>
          </cell>
          <cell r="AY312">
            <v>1831.7349999999999</v>
          </cell>
          <cell r="AZ312">
            <v>1831.7349999999999</v>
          </cell>
          <cell r="BC312">
            <v>1819.952</v>
          </cell>
          <cell r="BD312">
            <v>1814.0519999999999</v>
          </cell>
          <cell r="BE312">
            <v>1810.0829999999999</v>
          </cell>
          <cell r="BF312">
            <v>1667.624</v>
          </cell>
          <cell r="BG312">
            <v>1667.624</v>
          </cell>
          <cell r="BO312">
            <v>1535.5530000000001</v>
          </cell>
          <cell r="BP312">
            <v>1677.604</v>
          </cell>
          <cell r="BQ312">
            <v>1750</v>
          </cell>
          <cell r="BR312">
            <v>1750</v>
          </cell>
          <cell r="BS312">
            <v>1750</v>
          </cell>
          <cell r="CA312">
            <v>1800</v>
          </cell>
          <cell r="CB312">
            <v>1800</v>
          </cell>
          <cell r="CC312">
            <v>2400</v>
          </cell>
          <cell r="CD312">
            <v>2475</v>
          </cell>
        </row>
        <row r="313">
          <cell r="A313" t="str">
            <v>Less: Current maturities</v>
          </cell>
          <cell r="C313">
            <v>0</v>
          </cell>
          <cell r="D313">
            <v>0</v>
          </cell>
          <cell r="E313">
            <v>0</v>
          </cell>
          <cell r="F313">
            <v>21.248000000000001</v>
          </cell>
          <cell r="J313">
            <v>0</v>
          </cell>
          <cell r="K313">
            <v>27.029</v>
          </cell>
          <cell r="M313">
            <v>27.029</v>
          </cell>
          <cell r="N313">
            <v>26.986999999999998</v>
          </cell>
          <cell r="O313">
            <v>32.82</v>
          </cell>
          <cell r="P313">
            <v>17.433</v>
          </cell>
          <cell r="Q313">
            <v>-17.433</v>
          </cell>
          <cell r="R313">
            <v>-17.143999999999998</v>
          </cell>
          <cell r="S313">
            <v>-21.498999999999999</v>
          </cell>
          <cell r="T313">
            <v>-42.182000000000002</v>
          </cell>
          <cell r="U313">
            <v>-58.691000000000003</v>
          </cell>
          <cell r="V313">
            <v>-58.691000000000003</v>
          </cell>
          <cell r="X313">
            <v>-88.09</v>
          </cell>
          <cell r="Y313">
            <v>-31.748000000000001</v>
          </cell>
          <cell r="Z313">
            <v>-15.597</v>
          </cell>
          <cell r="AA313">
            <v>-18.529</v>
          </cell>
          <cell r="AB313">
            <v>-18.529</v>
          </cell>
          <cell r="AD313">
            <v>-19.204000000000001</v>
          </cell>
          <cell r="AE313">
            <v>-17.78</v>
          </cell>
          <cell r="AF313">
            <v>-17.443000000000001</v>
          </cell>
          <cell r="AG313">
            <v>-29.677</v>
          </cell>
          <cell r="AH313">
            <v>-29.677</v>
          </cell>
          <cell r="AI313">
            <v>-22.163</v>
          </cell>
          <cell r="AJ313">
            <v>-20.132000000000001</v>
          </cell>
          <cell r="AK313">
            <v>-20.687000000000001</v>
          </cell>
          <cell r="AL313">
            <v>-26.867000000000001</v>
          </cell>
          <cell r="AM313">
            <v>-26.867000000000001</v>
          </cell>
          <cell r="AN313">
            <v>-18.529</v>
          </cell>
          <cell r="AT313">
            <v>-29.677</v>
          </cell>
          <cell r="AV313">
            <v>-22.163</v>
          </cell>
          <cell r="AW313">
            <v>-20.132000000000001</v>
          </cell>
          <cell r="AX313">
            <v>-20.687000000000001</v>
          </cell>
          <cell r="AY313">
            <v>-26.867000000000001</v>
          </cell>
          <cell r="AZ313">
            <v>-26.867000000000001</v>
          </cell>
          <cell r="BC313">
            <v>-25.04</v>
          </cell>
          <cell r="BD313">
            <v>-22.831</v>
          </cell>
          <cell r="BE313">
            <v>-22.79</v>
          </cell>
          <cell r="BF313">
            <v>-19.123999999999999</v>
          </cell>
          <cell r="BG313">
            <v>-19.123999999999999</v>
          </cell>
          <cell r="BO313">
            <v>-19.283999999999999</v>
          </cell>
          <cell r="BP313">
            <v>-20.620999999999999</v>
          </cell>
          <cell r="BQ313">
            <v>-20.620999999999999</v>
          </cell>
          <cell r="BR313">
            <v>-20.620999999999999</v>
          </cell>
          <cell r="BS313">
            <v>-20.620999999999999</v>
          </cell>
          <cell r="CA313">
            <v>-20.620999999999999</v>
          </cell>
          <cell r="CB313">
            <v>-20.620999999999999</v>
          </cell>
          <cell r="CC313">
            <v>-20.620999999999999</v>
          </cell>
          <cell r="CD313">
            <v>-20.620999999999999</v>
          </cell>
        </row>
        <row r="314">
          <cell r="A314" t="str">
            <v>Total Long-Term Debt</v>
          </cell>
          <cell r="C314">
            <v>0</v>
          </cell>
          <cell r="D314">
            <v>0</v>
          </cell>
          <cell r="E314">
            <v>0</v>
          </cell>
          <cell r="F314">
            <v>1246.5940000000003</v>
          </cell>
          <cell r="J314">
            <v>0</v>
          </cell>
          <cell r="K314">
            <v>1407.604</v>
          </cell>
          <cell r="M314">
            <v>1407.604</v>
          </cell>
          <cell r="N314">
            <v>1296.394</v>
          </cell>
          <cell r="O314">
            <v>1368.777</v>
          </cell>
          <cell r="P314">
            <v>1201.5899999999999</v>
          </cell>
          <cell r="Q314">
            <v>1201.586</v>
          </cell>
          <cell r="R314">
            <v>1204.6099999999999</v>
          </cell>
          <cell r="S314">
            <v>1229.5070000000001</v>
          </cell>
          <cell r="T314">
            <v>1211.586</v>
          </cell>
          <cell r="U314">
            <v>980.08299999999997</v>
          </cell>
          <cell r="V314">
            <v>980.08299999999997</v>
          </cell>
          <cell r="W314">
            <v>0</v>
          </cell>
          <cell r="X314">
            <v>1008.867</v>
          </cell>
          <cell r="Y314">
            <v>1025.3599999999999</v>
          </cell>
          <cell r="Z314">
            <v>1178.3389999999999</v>
          </cell>
          <cell r="AA314">
            <v>1173.9290000000001</v>
          </cell>
          <cell r="AB314">
            <v>1173.9290000000001</v>
          </cell>
          <cell r="AD314">
            <v>1252.67</v>
          </cell>
          <cell r="AE314">
            <v>1168.1969999999999</v>
          </cell>
          <cell r="AF314">
            <v>1371.097</v>
          </cell>
          <cell r="AG314">
            <v>1444.981</v>
          </cell>
          <cell r="AH314">
            <v>1444.981</v>
          </cell>
          <cell r="AI314">
            <v>1441.2940000000001</v>
          </cell>
          <cell r="AJ314">
            <v>1353.7819999999999</v>
          </cell>
          <cell r="AK314">
            <v>1760.518</v>
          </cell>
          <cell r="AL314">
            <v>1804.8679999999999</v>
          </cell>
          <cell r="AM314">
            <v>1804.8679999999999</v>
          </cell>
          <cell r="AN314">
            <v>1173.9290000000001</v>
          </cell>
          <cell r="AT314">
            <v>1444.981</v>
          </cell>
          <cell r="AV314">
            <v>1441.2940000000001</v>
          </cell>
          <cell r="AW314">
            <v>1353.7819999999999</v>
          </cell>
          <cell r="AX314">
            <v>1760.518</v>
          </cell>
          <cell r="AY314">
            <v>1804.8679999999999</v>
          </cell>
          <cell r="AZ314">
            <v>1804.8679999999999</v>
          </cell>
          <cell r="BC314">
            <v>1794.912</v>
          </cell>
          <cell r="BD314">
            <v>1791.221</v>
          </cell>
          <cell r="BE314">
            <v>1787.2929999999999</v>
          </cell>
          <cell r="BF314">
            <v>1648.5</v>
          </cell>
          <cell r="BG314">
            <v>1648.5</v>
          </cell>
          <cell r="BO314">
            <v>1516.269</v>
          </cell>
          <cell r="BP314">
            <v>1656.9829999999999</v>
          </cell>
          <cell r="BQ314">
            <v>1729.3789999999999</v>
          </cell>
          <cell r="BR314">
            <v>1729.3789999999999</v>
          </cell>
          <cell r="BS314">
            <v>1729.3789999999999</v>
          </cell>
          <cell r="CA314">
            <v>1779.3789999999999</v>
          </cell>
          <cell r="CB314">
            <v>1779.3789999999999</v>
          </cell>
          <cell r="CC314">
            <v>2379.3789999999999</v>
          </cell>
          <cell r="CD314">
            <v>2454.3789999999999</v>
          </cell>
        </row>
        <row r="316">
          <cell r="A316" t="str">
            <v>Interest expense</v>
          </cell>
          <cell r="F316">
            <v>101.191</v>
          </cell>
          <cell r="G316">
            <v>26.761999999999997</v>
          </cell>
          <cell r="H316">
            <v>28.919</v>
          </cell>
          <cell r="I316">
            <v>29.748000000000001</v>
          </cell>
          <cell r="J316">
            <v>31.062000000000001</v>
          </cell>
          <cell r="K316">
            <v>116.779</v>
          </cell>
          <cell r="M316">
            <v>32.683</v>
          </cell>
          <cell r="N316">
            <v>32.622</v>
          </cell>
          <cell r="O316">
            <v>32.408999999999999</v>
          </cell>
          <cell r="P316">
            <v>29.655999999999999</v>
          </cell>
          <cell r="Q316">
            <v>115</v>
          </cell>
          <cell r="R316">
            <v>27.463250000000002</v>
          </cell>
          <cell r="S316">
            <v>25.53125</v>
          </cell>
          <cell r="T316">
            <v>23.451250000000002</v>
          </cell>
          <cell r="U316">
            <v>17.922749999999997</v>
          </cell>
          <cell r="V316">
            <v>107</v>
          </cell>
          <cell r="X316">
            <v>16.828749999999999</v>
          </cell>
          <cell r="Y316">
            <v>16.621749999999999</v>
          </cell>
          <cell r="Z316">
            <v>14.88775</v>
          </cell>
          <cell r="AA316">
            <v>14.92075</v>
          </cell>
          <cell r="AB316">
            <v>63.259</v>
          </cell>
          <cell r="AD316">
            <v>17.061249999999998</v>
          </cell>
          <cell r="AE316">
            <v>16.712250000000001</v>
          </cell>
          <cell r="AF316">
            <v>18.513249999999999</v>
          </cell>
          <cell r="AG316">
            <v>18.986249999999998</v>
          </cell>
          <cell r="AH316">
            <v>71.272999999999996</v>
          </cell>
          <cell r="AI316">
            <v>18.8535</v>
          </cell>
          <cell r="AJ316">
            <v>18.619499999999999</v>
          </cell>
          <cell r="AK316">
            <v>19.290499999999998</v>
          </cell>
          <cell r="AL316">
            <v>21.718499999999999</v>
          </cell>
          <cell r="AM316">
            <v>78.481999999999999</v>
          </cell>
          <cell r="AN316">
            <v>62.56</v>
          </cell>
          <cell r="AT316">
            <v>70.792000000000002</v>
          </cell>
          <cell r="AV316">
            <v>18.1785</v>
          </cell>
          <cell r="AW316">
            <v>17.894500000000001</v>
          </cell>
          <cell r="AX316">
            <v>18.640499999999999</v>
          </cell>
          <cell r="AY316">
            <v>21.0685</v>
          </cell>
          <cell r="AZ316">
            <v>75.781999999999996</v>
          </cell>
          <cell r="BC316">
            <v>22.780999999999999</v>
          </cell>
          <cell r="BD316">
            <v>23.012</v>
          </cell>
          <cell r="BE316">
            <v>24.17</v>
          </cell>
          <cell r="BF316">
            <v>24.65</v>
          </cell>
          <cell r="BG316">
            <v>94.613</v>
          </cell>
          <cell r="BO316">
            <v>21.786999999999999</v>
          </cell>
          <cell r="BP316">
            <v>23.87</v>
          </cell>
          <cell r="BQ316">
            <v>24.900095612552189</v>
          </cell>
          <cell r="BR316">
            <v>24.900095612552189</v>
          </cell>
          <cell r="BS316">
            <v>95.457191225104381</v>
          </cell>
          <cell r="CA316">
            <v>102.60000000000001</v>
          </cell>
          <cell r="CB316">
            <v>102.60000000000001</v>
          </cell>
          <cell r="CC316">
            <v>136.80000000000001</v>
          </cell>
          <cell r="CD316">
            <v>141.07500000000002</v>
          </cell>
        </row>
        <row r="317">
          <cell r="A317" t="str">
            <v>Effective interest rate</v>
          </cell>
          <cell r="F317">
            <v>7.9813572984646336E-2</v>
          </cell>
          <cell r="K317">
            <v>8.1399912033251712E-2</v>
          </cell>
          <cell r="Q317">
            <v>9.4338152235527092E-2</v>
          </cell>
          <cell r="V317">
            <v>0.10300604366301044</v>
          </cell>
          <cell r="X317">
            <v>6.13652130393443E-2</v>
          </cell>
          <cell r="Y317">
            <v>6.2895181949242651E-2</v>
          </cell>
          <cell r="Z317">
            <v>4.9877882901596067E-2</v>
          </cell>
          <cell r="AA317">
            <v>5.0050400097948936E-2</v>
          </cell>
          <cell r="AB317">
            <v>5.6883252068547288E-2</v>
          </cell>
          <cell r="AD317">
            <v>5.3657044644359414E-2</v>
          </cell>
          <cell r="AE317">
            <v>5.6366185853519934E-2</v>
          </cell>
          <cell r="AF317">
            <v>5.3331556887090036E-2</v>
          </cell>
          <cell r="AG317">
            <v>5.1500076627936785E-2</v>
          </cell>
          <cell r="AH317">
            <v>4.8331884409808921E-2</v>
          </cell>
          <cell r="AI317">
            <v>5.1531408165733601E-2</v>
          </cell>
          <cell r="AJ317">
            <v>5.4208633145888314E-2</v>
          </cell>
          <cell r="AK317">
            <v>4.3320111946687771E-2</v>
          </cell>
          <cell r="AL317">
            <v>4.7427166047490497E-2</v>
          </cell>
          <cell r="AM317">
            <v>4.2845717311729044E-2</v>
          </cell>
          <cell r="AN317">
            <v>5.3291127487267116E-2</v>
          </cell>
          <cell r="AT317">
            <v>4.899164764104165E-2</v>
          </cell>
          <cell r="AV317">
            <v>4.9686461576937346E-2</v>
          </cell>
          <cell r="AW317">
            <v>5.2097875121732515E-2</v>
          </cell>
          <cell r="AX317">
            <v>4.1860425947602885E-2</v>
          </cell>
          <cell r="AY317">
            <v>4.6007746753760785E-2</v>
          </cell>
          <cell r="AZ317">
            <v>4.1371704968240497E-2</v>
          </cell>
          <cell r="BC317">
            <v>5.00694523811617E-2</v>
          </cell>
          <cell r="BD317">
            <v>5.0741654594245372E-2</v>
          </cell>
          <cell r="BE317">
            <v>5.3411915365207015E-2</v>
          </cell>
          <cell r="BF317">
            <v>5.9126038003770628E-2</v>
          </cell>
          <cell r="BG317">
            <v>5.6735211294632361E-2</v>
          </cell>
          <cell r="BO317">
            <v>5.6753495320578315E-2</v>
          </cell>
          <cell r="BP317">
            <v>5.6914504257262147E-2</v>
          </cell>
          <cell r="BQ317">
            <v>5.6914504257262147E-2</v>
          </cell>
          <cell r="BR317">
            <v>5.6914504257262147E-2</v>
          </cell>
          <cell r="BS317">
            <v>5.4546966414345359E-2</v>
          </cell>
          <cell r="CA317">
            <v>5.7000000000000002E-2</v>
          </cell>
          <cell r="CB317">
            <v>5.7000000000000002E-2</v>
          </cell>
          <cell r="CC317">
            <v>5.7000000000000002E-2</v>
          </cell>
          <cell r="CD317">
            <v>5.7000000000000002E-2</v>
          </cell>
        </row>
        <row r="319">
          <cell r="A319" t="str">
            <v>Interest income</v>
          </cell>
          <cell r="K319">
            <v>0.28799999999999998</v>
          </cell>
          <cell r="M319">
            <v>0</v>
          </cell>
          <cell r="N319">
            <v>0</v>
          </cell>
          <cell r="O319">
            <v>0</v>
          </cell>
          <cell r="P319">
            <v>0</v>
          </cell>
          <cell r="Q319">
            <v>0.6</v>
          </cell>
          <cell r="R319">
            <v>8.9749999999999996E-2</v>
          </cell>
          <cell r="S319">
            <v>8.9749999999999996E-2</v>
          </cell>
          <cell r="T319">
            <v>8.9749999999999996E-2</v>
          </cell>
          <cell r="U319">
            <v>8.9749999999999996E-2</v>
          </cell>
          <cell r="V319">
            <v>0.35899999999999999</v>
          </cell>
          <cell r="X319">
            <v>9.9750000000000005E-2</v>
          </cell>
          <cell r="Y319">
            <v>9.9750000000000005E-2</v>
          </cell>
          <cell r="Z319">
            <v>9.9750000000000005E-2</v>
          </cell>
          <cell r="AA319">
            <v>9.9750000000000005E-2</v>
          </cell>
          <cell r="AB319">
            <v>0.39900000000000002</v>
          </cell>
          <cell r="AD319">
            <v>4.5249999999999999E-2</v>
          </cell>
          <cell r="AE319">
            <v>4.5249999999999999E-2</v>
          </cell>
          <cell r="AF319">
            <v>4.5249999999999999E-2</v>
          </cell>
          <cell r="AG319">
            <v>4.5249999999999999E-2</v>
          </cell>
          <cell r="AH319">
            <v>0.18099999999999999</v>
          </cell>
          <cell r="AI319">
            <v>0.13150000000000001</v>
          </cell>
          <cell r="AJ319">
            <v>0.13150000000000001</v>
          </cell>
          <cell r="AK319">
            <v>0.13150000000000001</v>
          </cell>
          <cell r="AL319">
            <v>0.13150000000000001</v>
          </cell>
          <cell r="AM319">
            <v>0.52600000000000002</v>
          </cell>
          <cell r="AN319">
            <v>0.39900000000000002</v>
          </cell>
          <cell r="AP319">
            <v>0</v>
          </cell>
          <cell r="AQ319">
            <v>0</v>
          </cell>
          <cell r="AR319">
            <v>4.5249999999999999E-2</v>
          </cell>
          <cell r="AS319">
            <v>0</v>
          </cell>
          <cell r="AT319">
            <v>0.18099999999999999</v>
          </cell>
          <cell r="AV319">
            <v>0.13150000000000001</v>
          </cell>
          <cell r="AW319">
            <v>0.13150000000000001</v>
          </cell>
          <cell r="AX319">
            <v>0.13150000000000001</v>
          </cell>
          <cell r="AY319">
            <v>0.13150000000000001</v>
          </cell>
          <cell r="AZ319">
            <v>0.52600000000000002</v>
          </cell>
          <cell r="BC319">
            <v>0</v>
          </cell>
          <cell r="BD319">
            <v>0</v>
          </cell>
          <cell r="BE319">
            <v>0</v>
          </cell>
          <cell r="BF319">
            <v>0</v>
          </cell>
          <cell r="BG319">
            <v>0.36855940000000098</v>
          </cell>
          <cell r="BO319">
            <v>0</v>
          </cell>
          <cell r="BP319">
            <v>0</v>
          </cell>
          <cell r="BQ319">
            <v>0</v>
          </cell>
          <cell r="BR319">
            <v>0</v>
          </cell>
          <cell r="BS319">
            <v>0</v>
          </cell>
          <cell r="CA319">
            <v>-1.184363357536526E-2</v>
          </cell>
          <cell r="CB319">
            <v>0</v>
          </cell>
          <cell r="CC319">
            <v>0</v>
          </cell>
          <cell r="CD319">
            <v>0</v>
          </cell>
        </row>
        <row r="320">
          <cell r="A320" t="str">
            <v>Effective interest rate</v>
          </cell>
          <cell r="K320">
            <v>5.2358876465775618E-2</v>
          </cell>
          <cell r="M320">
            <v>0</v>
          </cell>
          <cell r="N320">
            <v>0</v>
          </cell>
          <cell r="O320">
            <v>0</v>
          </cell>
          <cell r="P320">
            <v>0</v>
          </cell>
          <cell r="Q320">
            <v>6.6585284652091861E-2</v>
          </cell>
          <cell r="R320">
            <v>4.8571273947397011E-3</v>
          </cell>
          <cell r="S320">
            <v>3.0446434629215042E-3</v>
          </cell>
          <cell r="T320">
            <v>3.3589700406070522E-3</v>
          </cell>
          <cell r="U320">
            <v>6.8813494345408783E-3</v>
          </cell>
          <cell r="V320">
            <v>3.2450510711380026E-2</v>
          </cell>
          <cell r="X320">
            <v>6.2180526118937153E-3</v>
          </cell>
          <cell r="Y320">
            <v>4.5629202689721204E-3</v>
          </cell>
          <cell r="Z320">
            <v>1.4503395030315343E-3</v>
          </cell>
          <cell r="AA320">
            <v>7.9680797526899693E-4</v>
          </cell>
          <cell r="AB320">
            <v>5.6503575727536526E-3</v>
          </cell>
          <cell r="AD320">
            <v>5.9380474650114407E-4</v>
          </cell>
          <cell r="AE320">
            <v>2.0169827720697879E-3</v>
          </cell>
          <cell r="AF320">
            <v>1.0290171464956508E-3</v>
          </cell>
          <cell r="AG320">
            <v>1.1459612779050987E-3</v>
          </cell>
          <cell r="AH320">
            <v>2.4266800737388879E-3</v>
          </cell>
          <cell r="AI320">
            <v>1.0740831495548383E-2</v>
          </cell>
          <cell r="AM320">
            <v>1.1564251951192648E-2</v>
          </cell>
          <cell r="AN320">
            <v>5.6503575727536526E-3</v>
          </cell>
          <cell r="AT320">
            <v>2.4266800737388879E-3</v>
          </cell>
          <cell r="AV320">
            <v>8.1095248373469174E-3</v>
          </cell>
          <cell r="AW320">
            <v>7.0679924751408984E-3</v>
          </cell>
          <cell r="AX320">
            <v>6.5908179631112927E-3</v>
          </cell>
          <cell r="AY320">
            <v>1.5939780358311623E-3</v>
          </cell>
          <cell r="AZ320">
            <v>9.6754315775919204E-3</v>
          </cell>
          <cell r="BC320">
            <v>0</v>
          </cell>
          <cell r="BD320">
            <v>0</v>
          </cell>
          <cell r="BE320">
            <v>0</v>
          </cell>
          <cell r="BF320">
            <v>0</v>
          </cell>
          <cell r="BG320">
            <v>2E-3</v>
          </cell>
          <cell r="BH320">
            <v>2E-3</v>
          </cell>
          <cell r="BO320">
            <v>0</v>
          </cell>
          <cell r="BP320">
            <v>0</v>
          </cell>
          <cell r="BQ320">
            <v>0</v>
          </cell>
          <cell r="BR320">
            <v>0</v>
          </cell>
          <cell r="BS320">
            <v>0</v>
          </cell>
          <cell r="BT320">
            <v>2E-3</v>
          </cell>
          <cell r="CA320">
            <v>2E-3</v>
          </cell>
          <cell r="CB320">
            <v>0</v>
          </cell>
          <cell r="CC320">
            <v>0</v>
          </cell>
          <cell r="CD320">
            <v>0</v>
          </cell>
        </row>
        <row r="321">
          <cell r="AD321" t="str">
            <v>.</v>
          </cell>
        </row>
        <row r="322">
          <cell r="A322" t="str">
            <v>Debt/Cap</v>
          </cell>
          <cell r="F322">
            <v>0.83704283711017857</v>
          </cell>
          <cell r="K322">
            <v>0.86198261053474012</v>
          </cell>
          <cell r="Q322">
            <v>0.61716449987418953</v>
          </cell>
          <cell r="R322">
            <v>0.61433879913311507</v>
          </cell>
          <cell r="S322">
            <v>0.61600209173807774</v>
          </cell>
          <cell r="T322">
            <v>0.61237440094403217</v>
          </cell>
          <cell r="U322">
            <v>0.48215521534840389</v>
          </cell>
          <cell r="V322">
            <v>0.48215521534840389</v>
          </cell>
          <cell r="X322">
            <v>0.48956301775438416</v>
          </cell>
          <cell r="Y322">
            <v>0.47473218768552855</v>
          </cell>
          <cell r="Z322">
            <v>0.50153303427368112</v>
          </cell>
          <cell r="AA322">
            <v>0.49546133125696218</v>
          </cell>
          <cell r="AB322">
            <v>0.49546133125696218</v>
          </cell>
          <cell r="AD322">
            <v>0.50685396616653722</v>
          </cell>
          <cell r="AE322">
            <v>0.48262437178261142</v>
          </cell>
          <cell r="AF322">
            <v>0.51512288211204327</v>
          </cell>
          <cell r="AG322">
            <v>0.52195719524699968</v>
          </cell>
          <cell r="AH322">
            <v>0.52195719524699968</v>
          </cell>
          <cell r="AI322">
            <v>0.51325380558980849</v>
          </cell>
          <cell r="AJ322">
            <v>0.48737378126757042</v>
          </cell>
          <cell r="AK322">
            <v>0.60034540323502084</v>
          </cell>
          <cell r="AL322">
            <v>0.59632109113898835</v>
          </cell>
          <cell r="AM322">
            <v>0.59632109113898835</v>
          </cell>
          <cell r="AP322">
            <v>0</v>
          </cell>
          <cell r="AQ322">
            <v>0</v>
          </cell>
          <cell r="AR322">
            <v>0</v>
          </cell>
          <cell r="AS322">
            <v>0</v>
          </cell>
          <cell r="AT322">
            <v>0.52195719524699968</v>
          </cell>
          <cell r="AV322">
            <v>0.51325380558980849</v>
          </cell>
          <cell r="AW322">
            <v>0.48737378126757042</v>
          </cell>
          <cell r="AX322">
            <v>0.60034540323502084</v>
          </cell>
          <cell r="AY322">
            <v>0.59632109113898835</v>
          </cell>
          <cell r="AZ322">
            <v>0.59632109113898835</v>
          </cell>
          <cell r="BC322">
            <v>0.58306347514932344</v>
          </cell>
          <cell r="BD322">
            <v>0.57096406154942048</v>
          </cell>
          <cell r="BE322">
            <v>0.57264404872793906</v>
          </cell>
          <cell r="BF322">
            <v>0.51594073350704983</v>
          </cell>
          <cell r="BG322">
            <v>0.51594073350704983</v>
          </cell>
          <cell r="BO322">
            <v>0.46551944765803294</v>
          </cell>
          <cell r="BP322">
            <v>0.49693493832034918</v>
          </cell>
          <cell r="BQ322">
            <v>0.49956751361424717</v>
          </cell>
          <cell r="BR322">
            <v>0.49193826326742335</v>
          </cell>
          <cell r="BS322">
            <v>0.49193826326742335</v>
          </cell>
          <cell r="CA322">
            <v>0.45966866413495133</v>
          </cell>
          <cell r="CB322">
            <v>0.42334856628508716</v>
          </cell>
          <cell r="CC322">
            <v>0.47736122402703035</v>
          </cell>
          <cell r="CD322">
            <v>0.45997335296650682</v>
          </cell>
        </row>
        <row r="323">
          <cell r="A323" t="str">
            <v>Debt/EBITDA (NTM)</v>
          </cell>
          <cell r="AF323">
            <v>2.8779581904931653</v>
          </cell>
          <cell r="AG323">
            <v>2.9844066534310425</v>
          </cell>
          <cell r="AI323">
            <v>3.0427721123353368</v>
          </cell>
          <cell r="AJ323">
            <v>2.9358046349726652</v>
          </cell>
          <cell r="AK323">
            <v>3.9107631861916112</v>
          </cell>
          <cell r="AV323">
            <v>2.8506644278829847</v>
          </cell>
          <cell r="AW323">
            <v>2.5538716627042599</v>
          </cell>
          <cell r="AX323">
            <v>3.1759309613172957</v>
          </cell>
        </row>
        <row r="324">
          <cell r="A324" t="str">
            <v>Net CFFO (CFFO less capex)</v>
          </cell>
          <cell r="E324">
            <v>-1.9330000000000283</v>
          </cell>
          <cell r="F324">
            <v>-37.160999999999916</v>
          </cell>
          <cell r="G324">
            <v>-38.344999999999985</v>
          </cell>
          <cell r="H324">
            <v>-10.502999999999975</v>
          </cell>
          <cell r="I324">
            <v>-26.633999999999972</v>
          </cell>
          <cell r="J324">
            <v>-27.081000000000071</v>
          </cell>
          <cell r="K324">
            <v>-88.563000000000002</v>
          </cell>
          <cell r="M324">
            <v>-16.94699999999996</v>
          </cell>
          <cell r="N324">
            <v>-41.458000000000041</v>
          </cell>
          <cell r="O324">
            <v>-10.331999999999995</v>
          </cell>
          <cell r="P324">
            <v>28.71700000000002</v>
          </cell>
          <cell r="Q324">
            <v>-40.02000000000006</v>
          </cell>
          <cell r="R324">
            <v>12.978000000000002</v>
          </cell>
          <cell r="S324">
            <v>43.494</v>
          </cell>
          <cell r="T324">
            <v>-7.169000000000004</v>
          </cell>
          <cell r="U324">
            <v>21.852000000000036</v>
          </cell>
          <cell r="V324">
            <v>71.15500000000003</v>
          </cell>
          <cell r="X324">
            <v>30.448</v>
          </cell>
          <cell r="Y324">
            <v>54.414999999999971</v>
          </cell>
          <cell r="Z324">
            <v>30.401000000000014</v>
          </cell>
          <cell r="AA324">
            <v>66.260000000000005</v>
          </cell>
          <cell r="AB324">
            <v>181.52400000000003</v>
          </cell>
          <cell r="AD324">
            <v>-23.75099999999993</v>
          </cell>
          <cell r="AE324">
            <v>108.69100000000003</v>
          </cell>
          <cell r="AF324">
            <v>12.507000000000112</v>
          </cell>
          <cell r="AG324">
            <v>-0.12199999999999278</v>
          </cell>
          <cell r="AH324">
            <v>97.325000000000557</v>
          </cell>
          <cell r="AN324">
            <v>0</v>
          </cell>
          <cell r="AP324">
            <v>0</v>
          </cell>
          <cell r="AQ324">
            <v>0</v>
          </cell>
          <cell r="AR324">
            <v>0</v>
          </cell>
          <cell r="AS324">
            <v>0</v>
          </cell>
          <cell r="AT324">
            <v>0</v>
          </cell>
          <cell r="AV324">
            <v>21.83400000000001</v>
          </cell>
          <cell r="AW324">
            <v>101.00799999999998</v>
          </cell>
          <cell r="AX324">
            <v>15.129999999999988</v>
          </cell>
          <cell r="AY324">
            <v>23.491999999999855</v>
          </cell>
          <cell r="AZ324">
            <v>161.46399999999994</v>
          </cell>
          <cell r="BC324">
            <v>115.54299999999998</v>
          </cell>
          <cell r="BD324">
            <v>84.117699999999999</v>
          </cell>
          <cell r="BE324">
            <v>5.4310000000000187</v>
          </cell>
          <cell r="BF324">
            <v>17.591999999999985</v>
          </cell>
          <cell r="BG324">
            <v>222.68370000000004</v>
          </cell>
          <cell r="BO324">
            <v>51.109999999999765</v>
          </cell>
          <cell r="BP324">
            <v>61.742000000000083</v>
          </cell>
          <cell r="BQ324">
            <v>19.214431508029307</v>
          </cell>
          <cell r="BR324">
            <v>30.514923436920071</v>
          </cell>
          <cell r="BS324">
            <v>162.58135494494925</v>
          </cell>
          <cell r="CA324">
            <v>178.99600139826833</v>
          </cell>
        </row>
        <row r="325">
          <cell r="A325" t="str">
            <v xml:space="preserve">EBITDA </v>
          </cell>
          <cell r="AV325">
            <v>124.17200000000014</v>
          </cell>
          <cell r="AW325">
            <v>118.82599999999998</v>
          </cell>
          <cell r="AX325">
            <v>120.55300000000011</v>
          </cell>
          <cell r="AY325">
            <v>130.57</v>
          </cell>
          <cell r="AZ325">
            <v>494.12099999999992</v>
          </cell>
          <cell r="BC325">
            <v>143.78199999999998</v>
          </cell>
          <cell r="BD325">
            <v>140.15200000000002</v>
          </cell>
          <cell r="BE325">
            <v>137.49700000000001</v>
          </cell>
          <cell r="BF325">
            <v>151.76900000000001</v>
          </cell>
          <cell r="BG325">
            <v>573.7000000000005</v>
          </cell>
          <cell r="BO325">
            <v>158.45799999999977</v>
          </cell>
          <cell r="BP325">
            <v>156.74400000000009</v>
          </cell>
          <cell r="BQ325">
            <v>164.12313115032836</v>
          </cell>
          <cell r="BR325">
            <v>165.48725458937076</v>
          </cell>
          <cell r="BS325">
            <v>644.62789323969889</v>
          </cell>
        </row>
        <row r="326">
          <cell r="A326" t="str">
            <v>NTM Adj. CFFO</v>
          </cell>
          <cell r="AV326">
            <v>255.1729999999998</v>
          </cell>
          <cell r="AW326">
            <v>238.28269999999981</v>
          </cell>
          <cell r="AX326">
            <v>228.58369999999982</v>
          </cell>
          <cell r="AY326">
            <v>222.68369999999996</v>
          </cell>
          <cell r="BC326">
            <v>158.25069999999977</v>
          </cell>
          <cell r="BD326">
            <v>135.87499999999986</v>
          </cell>
          <cell r="BE326">
            <v>149.65843150802914</v>
          </cell>
          <cell r="BF326">
            <v>162.58135494494923</v>
          </cell>
          <cell r="BO326">
            <v>156.22035529451654</v>
          </cell>
          <cell r="BP326">
            <v>212.31070988989865</v>
          </cell>
        </row>
        <row r="327">
          <cell r="A327" t="str">
            <v>NTM EBITDA</v>
          </cell>
          <cell r="AV327">
            <v>513.73099999999999</v>
          </cell>
          <cell r="AW327">
            <v>535.05700000000013</v>
          </cell>
          <cell r="AX327">
            <v>552.00099999999998</v>
          </cell>
          <cell r="AY327">
            <v>573.20000000000005</v>
          </cell>
          <cell r="BC327">
            <v>587.87599999999975</v>
          </cell>
          <cell r="BD327">
            <v>604.46799999999985</v>
          </cell>
          <cell r="BE327">
            <v>631.09413115032817</v>
          </cell>
          <cell r="BF327">
            <v>644.81238573969904</v>
          </cell>
          <cell r="BO327">
            <v>486.35438573969918</v>
          </cell>
          <cell r="BP327">
            <v>974.23827897939805</v>
          </cell>
        </row>
        <row r="328">
          <cell r="A328" t="str">
            <v>CFFO/EBITDA</v>
          </cell>
          <cell r="AV328">
            <v>0.49670547426571454</v>
          </cell>
          <cell r="AW328">
            <v>0.44534077677705319</v>
          </cell>
          <cell r="AX328">
            <v>0.41410015561565983</v>
          </cell>
          <cell r="AY328">
            <v>0.388492149337055</v>
          </cell>
          <cell r="BC328">
            <v>0.26919061162558061</v>
          </cell>
          <cell r="BD328">
            <v>0.22478443854761523</v>
          </cell>
          <cell r="BE328">
            <v>0.23714121891014722</v>
          </cell>
          <cell r="BF328">
            <v>0.25213745663158033</v>
          </cell>
          <cell r="BO328">
            <v>0.32120683985797743</v>
          </cell>
          <cell r="BP328">
            <v>0.21792482852584397</v>
          </cell>
        </row>
        <row r="330">
          <cell r="A330" t="str">
            <v>Misc. Mandated Modelware Requirements</v>
          </cell>
        </row>
        <row r="331">
          <cell r="A331" t="str">
            <v>Gross A/R</v>
          </cell>
          <cell r="F331">
            <v>177.56799999999998</v>
          </cell>
          <cell r="K331">
            <v>260.84899999999999</v>
          </cell>
          <cell r="P331">
            <v>362.76100000000002</v>
          </cell>
          <cell r="Q331">
            <v>362.76100000000002</v>
          </cell>
          <cell r="U331">
            <v>433.93200000000002</v>
          </cell>
          <cell r="V331">
            <v>433.93200000000002</v>
          </cell>
          <cell r="AA331">
            <v>473.553</v>
          </cell>
          <cell r="AB331">
            <v>473.553</v>
          </cell>
          <cell r="AD331">
            <v>464.79599999999999</v>
          </cell>
          <cell r="AE331">
            <v>411.08499999999998</v>
          </cell>
          <cell r="AF331">
            <v>492.12200000000001</v>
          </cell>
          <cell r="AG331">
            <v>662.774</v>
          </cell>
          <cell r="AH331">
            <v>662.774</v>
          </cell>
          <cell r="AI331">
            <v>787.77499999999998</v>
          </cell>
          <cell r="AJ331">
            <v>755.82900000000006</v>
          </cell>
          <cell r="AK331">
            <v>860.23</v>
          </cell>
          <cell r="AL331">
            <v>883.35500000000002</v>
          </cell>
          <cell r="AM331">
            <v>883.35500000000002</v>
          </cell>
          <cell r="AV331">
            <v>787.77499999999998</v>
          </cell>
          <cell r="AW331">
            <v>755.82900000000006</v>
          </cell>
          <cell r="AX331">
            <v>860.23</v>
          </cell>
          <cell r="AY331">
            <v>883.35500000000002</v>
          </cell>
          <cell r="AZ331">
            <v>883.35500000000002</v>
          </cell>
          <cell r="BC331">
            <v>902.89900000000011</v>
          </cell>
          <cell r="BD331">
            <v>914.95699999999999</v>
          </cell>
          <cell r="BE331">
            <v>962.14799999999991</v>
          </cell>
          <cell r="BF331">
            <v>1002.053</v>
          </cell>
          <cell r="BG331">
            <v>1002.053</v>
          </cell>
          <cell r="BO331">
            <v>1039.914</v>
          </cell>
          <cell r="BP331">
            <v>1078.4639999999999</v>
          </cell>
          <cell r="BQ331">
            <v>739.15146517231176</v>
          </cell>
          <cell r="BR331">
            <v>745.30211787958126</v>
          </cell>
          <cell r="BS331">
            <v>745.30211787958126</v>
          </cell>
          <cell r="CA331">
            <v>1219.9652227383344</v>
          </cell>
          <cell r="CB331">
            <v>1195.7295353949335</v>
          </cell>
          <cell r="CC331">
            <v>1240.8744035399591</v>
          </cell>
          <cell r="CD331">
            <v>1300.2405012170275</v>
          </cell>
        </row>
        <row r="332">
          <cell r="A332" t="str">
            <v>Allowance for doubtful accounts</v>
          </cell>
          <cell r="F332">
            <v>-28.771000000000001</v>
          </cell>
          <cell r="K332">
            <v>-34.499000000000002</v>
          </cell>
          <cell r="P332">
            <v>-52.935000000000002</v>
          </cell>
          <cell r="Q332">
            <v>-52.935000000000002</v>
          </cell>
          <cell r="U332">
            <v>-63.879999999999995</v>
          </cell>
          <cell r="V332">
            <v>-63.879999999999995</v>
          </cell>
          <cell r="AA332">
            <v>-73.111000000000004</v>
          </cell>
          <cell r="AB332">
            <v>-73.111000000000004</v>
          </cell>
          <cell r="AG332">
            <v>-103.67700000000001</v>
          </cell>
          <cell r="AH332">
            <v>-103.67700000000001</v>
          </cell>
          <cell r="AI332">
            <v>-203.9</v>
          </cell>
          <cell r="AJ332">
            <v>-203.45099999999999</v>
          </cell>
          <cell r="AK332">
            <v>-282.32</v>
          </cell>
          <cell r="AL332">
            <v>-286.09399999999999</v>
          </cell>
          <cell r="AM332">
            <v>-286.09399999999999</v>
          </cell>
          <cell r="AV332">
            <v>-203.9</v>
          </cell>
          <cell r="AW332">
            <v>-203.45099999999999</v>
          </cell>
          <cell r="AX332">
            <v>-282.32</v>
          </cell>
          <cell r="AY332">
            <v>-286.09399999999999</v>
          </cell>
          <cell r="AZ332">
            <v>-286.09399999999999</v>
          </cell>
          <cell r="BA332">
            <v>0</v>
          </cell>
          <cell r="BC332">
            <v>-296.358</v>
          </cell>
          <cell r="BD332">
            <v>-300.31299999999999</v>
          </cell>
          <cell r="BE332">
            <v>-332.286</v>
          </cell>
          <cell r="BF332">
            <v>-346.024</v>
          </cell>
          <cell r="BG332">
            <v>-346.024</v>
          </cell>
          <cell r="BH332">
            <v>0</v>
          </cell>
          <cell r="BO332">
            <v>-340.84699999999998</v>
          </cell>
          <cell r="BP332">
            <v>-350.77600000000001</v>
          </cell>
          <cell r="BQ332">
            <v>0</v>
          </cell>
          <cell r="BR332">
            <v>0</v>
          </cell>
          <cell r="BS332">
            <v>0</v>
          </cell>
          <cell r="BT332">
            <v>0</v>
          </cell>
          <cell r="CA332">
            <v>-428.02110783531515</v>
          </cell>
          <cell r="CB332">
            <v>-352.79571324075732</v>
          </cell>
          <cell r="CC332">
            <v>-330.74161995686279</v>
          </cell>
          <cell r="CD332">
            <v>-326.41276559219432</v>
          </cell>
        </row>
        <row r="333">
          <cell r="A333" t="str">
            <v>Net A/R</v>
          </cell>
          <cell r="F333">
            <v>148.797</v>
          </cell>
          <cell r="K333">
            <v>226.35</v>
          </cell>
          <cell r="M333">
            <v>0</v>
          </cell>
          <cell r="N333">
            <v>248.45099999999999</v>
          </cell>
          <cell r="O333">
            <v>296.26499999999999</v>
          </cell>
          <cell r="P333">
            <v>309.82600000000002</v>
          </cell>
          <cell r="Q333">
            <v>309.82600000000002</v>
          </cell>
          <cell r="R333">
            <v>313.11700000000002</v>
          </cell>
          <cell r="S333">
            <v>316.49900000000002</v>
          </cell>
          <cell r="T333">
            <v>334.53800000000001</v>
          </cell>
          <cell r="U333">
            <v>370.05200000000002</v>
          </cell>
          <cell r="V333">
            <v>370.05200000000002</v>
          </cell>
          <cell r="X333">
            <v>408.83699999999999</v>
          </cell>
          <cell r="Y333">
            <v>375.84199999999998</v>
          </cell>
          <cell r="Z333">
            <v>390.77499999999998</v>
          </cell>
          <cell r="AA333">
            <v>400.44200000000001</v>
          </cell>
          <cell r="AB333">
            <v>400.44200000000001</v>
          </cell>
          <cell r="AD333">
            <v>464.79599999999999</v>
          </cell>
          <cell r="AE333">
            <v>411.08499999999998</v>
          </cell>
          <cell r="AF333">
            <v>492.12200000000001</v>
          </cell>
          <cell r="AG333">
            <v>559.09699999999998</v>
          </cell>
          <cell r="AH333">
            <v>559.09699999999998</v>
          </cell>
          <cell r="AI333">
            <v>583.875</v>
          </cell>
          <cell r="AJ333">
            <v>552.37800000000004</v>
          </cell>
          <cell r="AK333">
            <v>577.91</v>
          </cell>
          <cell r="AL333">
            <v>597.26099999999997</v>
          </cell>
          <cell r="AM333">
            <v>597.26099999999997</v>
          </cell>
          <cell r="AV333">
            <v>583.875</v>
          </cell>
          <cell r="AW333">
            <v>552.37800000000004</v>
          </cell>
          <cell r="AX333">
            <v>577.91</v>
          </cell>
          <cell r="AY333">
            <v>597.26099999999997</v>
          </cell>
          <cell r="AZ333">
            <v>597.26099999999997</v>
          </cell>
          <cell r="BA333">
            <v>0</v>
          </cell>
          <cell r="BC333">
            <v>606.54100000000005</v>
          </cell>
          <cell r="BD333">
            <v>614.64400000000001</v>
          </cell>
          <cell r="BE333">
            <v>629.86199999999997</v>
          </cell>
          <cell r="BF333">
            <v>656.029</v>
          </cell>
          <cell r="BG333">
            <v>656.029</v>
          </cell>
          <cell r="BH333">
            <v>0</v>
          </cell>
          <cell r="BO333">
            <v>699.06700000000001</v>
          </cell>
          <cell r="BP333">
            <v>727.68799999999999</v>
          </cell>
          <cell r="BQ333">
            <v>739.15146517231176</v>
          </cell>
          <cell r="BR333">
            <v>745.30211787958126</v>
          </cell>
          <cell r="BS333">
            <v>745.30211787958126</v>
          </cell>
          <cell r="BT333">
            <v>0</v>
          </cell>
          <cell r="CA333">
            <v>791.94411490301934</v>
          </cell>
          <cell r="CB333">
            <v>842.93382215417603</v>
          </cell>
          <cell r="CC333">
            <v>910.13278358309617</v>
          </cell>
          <cell r="CD333">
            <v>973.82773562483317</v>
          </cell>
        </row>
        <row r="335">
          <cell r="A335" t="str">
            <v>Allowance for doubtful accounts</v>
          </cell>
        </row>
        <row r="336">
          <cell r="A336" t="str">
            <v>Allowance BOP</v>
          </cell>
          <cell r="F336">
            <v>20.873000000000001</v>
          </cell>
          <cell r="K336">
            <v>28.771000000000001</v>
          </cell>
          <cell r="Q336">
            <v>34.499000000000002</v>
          </cell>
          <cell r="V336">
            <v>52.934999999999988</v>
          </cell>
          <cell r="AB336">
            <v>63.879999999999995</v>
          </cell>
          <cell r="AH336">
            <v>73.111000000000004</v>
          </cell>
          <cell r="AI336">
            <v>63.879999999999995</v>
          </cell>
          <cell r="AJ336">
            <v>203.9</v>
          </cell>
          <cell r="AK336">
            <v>203.45099999999999</v>
          </cell>
          <cell r="AL336">
            <v>282.32</v>
          </cell>
          <cell r="AM336">
            <v>63.879999999999995</v>
          </cell>
          <cell r="AV336">
            <v>103.67700000000001</v>
          </cell>
          <cell r="AW336">
            <v>203.9</v>
          </cell>
          <cell r="AX336">
            <v>203.45099999999999</v>
          </cell>
          <cell r="AY336">
            <v>282.32</v>
          </cell>
          <cell r="AZ336">
            <v>103.67700000000001</v>
          </cell>
          <cell r="BC336">
            <v>286.09399999999999</v>
          </cell>
          <cell r="BD336">
            <v>296.358</v>
          </cell>
          <cell r="BE336">
            <v>300.31299999999999</v>
          </cell>
          <cell r="BF336">
            <v>332.286</v>
          </cell>
          <cell r="BG336">
            <v>286.09400000000005</v>
          </cell>
          <cell r="BO336">
            <v>346.02400000000006</v>
          </cell>
          <cell r="BP336">
            <v>340.84699999999998</v>
          </cell>
          <cell r="BQ336">
            <v>350.77600000000001</v>
          </cell>
          <cell r="BR336">
            <v>0</v>
          </cell>
          <cell r="BS336">
            <v>346.02400000000006</v>
          </cell>
          <cell r="CA336">
            <v>307.84923887807935</v>
          </cell>
          <cell r="CB336">
            <v>428.02110783531515</v>
          </cell>
          <cell r="CC336">
            <v>352.79571324075732</v>
          </cell>
          <cell r="CD336">
            <v>330.74161995686279</v>
          </cell>
        </row>
        <row r="337">
          <cell r="A337" t="str">
            <v xml:space="preserve">+ Provision </v>
          </cell>
          <cell r="F337">
            <v>69.004999999999995</v>
          </cell>
          <cell r="K337">
            <v>95.149000000000001</v>
          </cell>
          <cell r="Q337">
            <v>122.303</v>
          </cell>
          <cell r="V337">
            <v>156.226</v>
          </cell>
          <cell r="AB337">
            <v>201.334</v>
          </cell>
          <cell r="AH337">
            <v>276.51800000000003</v>
          </cell>
          <cell r="AI337">
            <v>86.111000000000004</v>
          </cell>
          <cell r="AJ337">
            <v>81.721000000000004</v>
          </cell>
          <cell r="AK337">
            <v>88.400999999999996</v>
          </cell>
          <cell r="AL337">
            <v>89.975999999999999</v>
          </cell>
          <cell r="AM337">
            <v>346.209</v>
          </cell>
          <cell r="AV337">
            <v>79.921000000000006</v>
          </cell>
          <cell r="AW337">
            <v>76.296000000000006</v>
          </cell>
          <cell r="AX337">
            <v>83.52</v>
          </cell>
          <cell r="AY337">
            <v>84.906000000000006</v>
          </cell>
          <cell r="AZ337">
            <v>324.64300000000003</v>
          </cell>
          <cell r="BC337">
            <v>93.051000000000002</v>
          </cell>
          <cell r="BD337">
            <v>91.581999999999994</v>
          </cell>
          <cell r="BE337">
            <v>92.98</v>
          </cell>
          <cell r="BF337">
            <v>99.983000000000004</v>
          </cell>
          <cell r="BG337">
            <v>377.596</v>
          </cell>
          <cell r="BO337">
            <v>107.59099999999999</v>
          </cell>
          <cell r="BP337">
            <v>115.70399999999999</v>
          </cell>
          <cell r="BQ337">
            <v>119.28208234682354</v>
          </cell>
          <cell r="BR337">
            <v>120.27465653125569</v>
          </cell>
          <cell r="BS337">
            <v>462.85173887807923</v>
          </cell>
          <cell r="CA337">
            <v>492.82292789702649</v>
          </cell>
          <cell r="CB337">
            <v>534.75721677460933</v>
          </cell>
          <cell r="CC337">
            <v>575.8106744135722</v>
          </cell>
          <cell r="CD337">
            <v>616.10834740531106</v>
          </cell>
        </row>
        <row r="338">
          <cell r="A338" t="str">
            <v>- Write-offs</v>
          </cell>
          <cell r="F338">
            <v>-61.106999999999999</v>
          </cell>
          <cell r="K338">
            <v>-89.421000000000006</v>
          </cell>
          <cell r="Q338">
            <v>-103.867</v>
          </cell>
          <cell r="V338">
            <v>-145.28100000000001</v>
          </cell>
          <cell r="AB338">
            <v>-192.10400000000001</v>
          </cell>
          <cell r="AH338">
            <v>-245.952</v>
          </cell>
          <cell r="AI338">
            <v>53.909000000000006</v>
          </cell>
          <cell r="AJ338">
            <v>-82.170000000000016</v>
          </cell>
          <cell r="AK338">
            <v>-9.5320000000000107</v>
          </cell>
          <cell r="AL338">
            <v>-86.201999999999998</v>
          </cell>
          <cell r="AM338">
            <v>-123.99500000000002</v>
          </cell>
          <cell r="AV338">
            <v>20.301999999999992</v>
          </cell>
          <cell r="AW338">
            <v>-76.745000000000019</v>
          </cell>
          <cell r="AX338">
            <v>-4.650999999999982</v>
          </cell>
          <cell r="AY338">
            <v>-81.132000000000005</v>
          </cell>
          <cell r="AZ338">
            <v>-142.226</v>
          </cell>
          <cell r="BC338">
            <v>-82.786999999999978</v>
          </cell>
          <cell r="BD338">
            <v>-87.62700000000001</v>
          </cell>
          <cell r="BE338">
            <v>-61.007000000000005</v>
          </cell>
          <cell r="BF338">
            <v>-86.245000000000005</v>
          </cell>
          <cell r="BG338">
            <v>-317.666</v>
          </cell>
          <cell r="BO338">
            <v>-112.76800000000009</v>
          </cell>
          <cell r="BP338">
            <v>-105.77499999999998</v>
          </cell>
          <cell r="BQ338">
            <v>-470.05808234682354</v>
          </cell>
          <cell r="BR338">
            <v>-120.27465653125569</v>
          </cell>
          <cell r="BS338">
            <v>-501.0265</v>
          </cell>
          <cell r="CA338">
            <v>-372.65105893979063</v>
          </cell>
          <cell r="CB338">
            <v>-609.98261136916722</v>
          </cell>
          <cell r="CC338">
            <v>-597.86476769746673</v>
          </cell>
          <cell r="CD338">
            <v>-620.43720176997954</v>
          </cell>
        </row>
        <row r="339">
          <cell r="A339" t="str">
            <v>Allowance EOP</v>
          </cell>
          <cell r="F339">
            <v>28.771000000000001</v>
          </cell>
          <cell r="K339">
            <v>34.499000000000002</v>
          </cell>
          <cell r="Q339">
            <v>52.934999999999988</v>
          </cell>
          <cell r="V339">
            <v>63.879999999999995</v>
          </cell>
          <cell r="AB339">
            <v>73.111000000000004</v>
          </cell>
          <cell r="AH339">
            <v>103.67700000000001</v>
          </cell>
          <cell r="AI339">
            <v>203.9</v>
          </cell>
          <cell r="AJ339">
            <v>203.45099999999999</v>
          </cell>
          <cell r="AK339">
            <v>282.32</v>
          </cell>
          <cell r="AL339">
            <v>286.09399999999999</v>
          </cell>
          <cell r="AM339">
            <v>286.09399999999999</v>
          </cell>
          <cell r="AV339">
            <v>203.9</v>
          </cell>
          <cell r="AW339">
            <v>203.45099999999999</v>
          </cell>
          <cell r="AX339">
            <v>282.32</v>
          </cell>
          <cell r="AY339">
            <v>286.09399999999999</v>
          </cell>
          <cell r="AZ339">
            <v>286.09400000000005</v>
          </cell>
          <cell r="BC339">
            <v>296.358</v>
          </cell>
          <cell r="BD339">
            <v>300.31299999999999</v>
          </cell>
          <cell r="BE339">
            <v>332.286</v>
          </cell>
          <cell r="BF339">
            <v>346.024</v>
          </cell>
          <cell r="BG339">
            <v>346.02400000000006</v>
          </cell>
          <cell r="BO339">
            <v>340.84699999999998</v>
          </cell>
          <cell r="BP339">
            <v>350.77600000000001</v>
          </cell>
          <cell r="BQ339">
            <v>0</v>
          </cell>
          <cell r="BR339">
            <v>0</v>
          </cell>
          <cell r="BS339">
            <v>307.84923887807935</v>
          </cell>
          <cell r="CA339">
            <v>428.02110783531515</v>
          </cell>
          <cell r="CB339">
            <v>352.79571324075732</v>
          </cell>
          <cell r="CC339">
            <v>330.74161995686279</v>
          </cell>
          <cell r="CD339">
            <v>326.41276559219432</v>
          </cell>
        </row>
        <row r="341">
          <cell r="A341" t="str">
            <v>Accounts Receivable, gross</v>
          </cell>
        </row>
        <row r="342">
          <cell r="A342" t="str">
            <v>Gross A/R BOP</v>
          </cell>
          <cell r="K342">
            <v>177.56799999999998</v>
          </cell>
          <cell r="P342">
            <v>0</v>
          </cell>
          <cell r="Q342">
            <v>260.84899999999999</v>
          </cell>
          <cell r="V342">
            <v>362.76100000000002</v>
          </cell>
          <cell r="AB342">
            <v>433.93200000000002</v>
          </cell>
          <cell r="AG342">
            <v>473.553</v>
          </cell>
          <cell r="AH342">
            <v>473.553</v>
          </cell>
          <cell r="AI342">
            <v>433.93200000000002</v>
          </cell>
          <cell r="AJ342">
            <v>787.77499999999998</v>
          </cell>
          <cell r="AK342">
            <v>755.82900000000006</v>
          </cell>
          <cell r="AL342">
            <v>860.23</v>
          </cell>
          <cell r="AM342">
            <v>433.93200000000002</v>
          </cell>
          <cell r="AV342">
            <v>662.774</v>
          </cell>
          <cell r="AW342">
            <v>787.77499999999998</v>
          </cell>
          <cell r="AX342">
            <v>755.82900000000006</v>
          </cell>
          <cell r="AY342">
            <v>860.23</v>
          </cell>
          <cell r="AZ342">
            <v>662.774</v>
          </cell>
          <cell r="BC342">
            <v>883.35500000000002</v>
          </cell>
          <cell r="BD342">
            <v>902.89900000000011</v>
          </cell>
          <cell r="BE342">
            <v>914.95699999999999</v>
          </cell>
          <cell r="BF342">
            <v>962.14799999999991</v>
          </cell>
          <cell r="BG342">
            <v>883.35500000000002</v>
          </cell>
          <cell r="BO342">
            <v>1002.053</v>
          </cell>
          <cell r="BP342">
            <v>1039.914</v>
          </cell>
          <cell r="BQ342">
            <v>1078.4639999999999</v>
          </cell>
          <cell r="BR342">
            <v>739.15146517231176</v>
          </cell>
          <cell r="BS342">
            <v>1002.053</v>
          </cell>
          <cell r="CA342">
            <v>745.30211787958126</v>
          </cell>
          <cell r="CB342">
            <v>1219.9652227383344</v>
          </cell>
          <cell r="CC342">
            <v>1195.7295353949335</v>
          </cell>
          <cell r="CD342">
            <v>1240.8744035399591</v>
          </cell>
        </row>
        <row r="343">
          <cell r="A343" t="str">
            <v>+delta (incremental A/R)</v>
          </cell>
          <cell r="K343">
            <v>77.552999999999997</v>
          </cell>
          <cell r="Q343">
            <v>83.476000000000028</v>
          </cell>
          <cell r="V343">
            <v>60.225999999999999</v>
          </cell>
          <cell r="AB343">
            <v>30.389999999999986</v>
          </cell>
          <cell r="AG343">
            <v>66.974999999999966</v>
          </cell>
          <cell r="AH343">
            <v>158.65499999999997</v>
          </cell>
          <cell r="AI343">
            <v>213.82299999999998</v>
          </cell>
          <cell r="AJ343">
            <v>-31.496999999999957</v>
          </cell>
          <cell r="AK343">
            <v>25.531999999999925</v>
          </cell>
          <cell r="AL343">
            <v>19.350999999999999</v>
          </cell>
          <cell r="AM343">
            <v>227.20899999999995</v>
          </cell>
          <cell r="AV343">
            <v>24.77800000000002</v>
          </cell>
          <cell r="AW343">
            <v>-31.496999999999957</v>
          </cell>
          <cell r="AX343">
            <v>25.531999999999925</v>
          </cell>
          <cell r="AY343">
            <v>19.350999999999999</v>
          </cell>
          <cell r="AZ343">
            <v>38.163999999999987</v>
          </cell>
          <cell r="BC343">
            <v>9.2800000000000864</v>
          </cell>
          <cell r="BD343">
            <v>8.1029999999999518</v>
          </cell>
          <cell r="BE343">
            <v>15.217999999999961</v>
          </cell>
          <cell r="BF343">
            <v>26.16700000000003</v>
          </cell>
          <cell r="BG343">
            <v>58.768000000000029</v>
          </cell>
          <cell r="BO343">
            <v>43.038000000000011</v>
          </cell>
          <cell r="BP343">
            <v>28.620999999999981</v>
          </cell>
          <cell r="BQ343">
            <v>11.463465172311771</v>
          </cell>
          <cell r="BR343">
            <v>6.1506527072695008</v>
          </cell>
          <cell r="BS343">
            <v>89.273117879581264</v>
          </cell>
          <cell r="CA343">
            <v>46.64199702343808</v>
          </cell>
          <cell r="CB343">
            <v>50.989707251156688</v>
          </cell>
          <cell r="CC343">
            <v>67.198961428920143</v>
          </cell>
          <cell r="CD343">
            <v>63.694952041736997</v>
          </cell>
        </row>
        <row r="344">
          <cell r="A344" t="str">
            <v>- Write-offs</v>
          </cell>
          <cell r="K344">
            <v>5.7280000000000086</v>
          </cell>
          <cell r="Q344">
            <v>18.435999999999979</v>
          </cell>
          <cell r="R344">
            <v>0</v>
          </cell>
          <cell r="S344">
            <v>0</v>
          </cell>
          <cell r="T344">
            <v>0</v>
          </cell>
          <cell r="U344">
            <v>0</v>
          </cell>
          <cell r="V344">
            <v>10.944999999999993</v>
          </cell>
          <cell r="X344">
            <v>0</v>
          </cell>
          <cell r="Y344">
            <v>0</v>
          </cell>
          <cell r="Z344">
            <v>0</v>
          </cell>
          <cell r="AA344">
            <v>0</v>
          </cell>
          <cell r="AB344">
            <v>9.2309999999999945</v>
          </cell>
          <cell r="AG344">
            <v>122.24599999999998</v>
          </cell>
          <cell r="AH344">
            <v>30.566000000000031</v>
          </cell>
          <cell r="AI344">
            <v>140.01999999999998</v>
          </cell>
          <cell r="AJ344">
            <v>-0.44899999999995543</v>
          </cell>
          <cell r="AK344">
            <v>78.869000000000028</v>
          </cell>
          <cell r="AL344">
            <v>3.7740000000000009</v>
          </cell>
          <cell r="AM344">
            <v>222.21400000000006</v>
          </cell>
          <cell r="AU344">
            <v>-91.67999999999995</v>
          </cell>
          <cell r="AV344">
            <v>100.22299999999996</v>
          </cell>
          <cell r="AW344">
            <v>-0.44899999999995543</v>
          </cell>
          <cell r="AX344">
            <v>78.869000000000028</v>
          </cell>
          <cell r="AY344">
            <v>3.7740000000000009</v>
          </cell>
          <cell r="AZ344">
            <v>182.41700000000003</v>
          </cell>
          <cell r="BA344">
            <v>0</v>
          </cell>
          <cell r="BC344">
            <v>10.26400000000001</v>
          </cell>
          <cell r="BD344">
            <v>3.9549999999999272</v>
          </cell>
          <cell r="BE344">
            <v>31.972999999999956</v>
          </cell>
          <cell r="BF344">
            <v>13.738000000000056</v>
          </cell>
          <cell r="BG344">
            <v>59.92999999999995</v>
          </cell>
          <cell r="BH344">
            <v>0</v>
          </cell>
          <cell r="BO344">
            <v>-5.1770000000000209</v>
          </cell>
          <cell r="BP344">
            <v>9.9289999999998599</v>
          </cell>
          <cell r="BQ344">
            <v>-350.77599999999995</v>
          </cell>
          <cell r="BR344">
            <v>0</v>
          </cell>
          <cell r="BS344">
            <v>-346.024</v>
          </cell>
          <cell r="BT344">
            <v>0</v>
          </cell>
          <cell r="CA344">
            <v>428.02110783531509</v>
          </cell>
          <cell r="CB344">
            <v>-75.225394594557656</v>
          </cell>
          <cell r="CC344">
            <v>-22.054093283894417</v>
          </cell>
          <cell r="CD344">
            <v>-4.3288543646685866</v>
          </cell>
        </row>
        <row r="345">
          <cell r="A345" t="str">
            <v>Gross A/R EOP</v>
          </cell>
          <cell r="F345">
            <v>177.56799999999998</v>
          </cell>
          <cell r="K345">
            <v>260.84899999999999</v>
          </cell>
          <cell r="P345">
            <v>362.76100000000002</v>
          </cell>
          <cell r="Q345">
            <v>362.76100000000002</v>
          </cell>
          <cell r="V345">
            <v>433.93200000000002</v>
          </cell>
          <cell r="AB345">
            <v>473.553</v>
          </cell>
          <cell r="AG345">
            <v>662.774</v>
          </cell>
          <cell r="AH345">
            <v>662.774</v>
          </cell>
          <cell r="AI345">
            <v>787.77499999999998</v>
          </cell>
          <cell r="AJ345">
            <v>755.82900000000006</v>
          </cell>
          <cell r="AK345">
            <v>860.23</v>
          </cell>
          <cell r="AL345">
            <v>883.35500000000002</v>
          </cell>
          <cell r="AM345">
            <v>883.35500000000002</v>
          </cell>
          <cell r="AV345">
            <v>787.77499999999998</v>
          </cell>
          <cell r="AW345">
            <v>755.82900000000006</v>
          </cell>
          <cell r="AX345">
            <v>860.23</v>
          </cell>
          <cell r="AY345">
            <v>883.35500000000002</v>
          </cell>
          <cell r="AZ345">
            <v>883.35500000000002</v>
          </cell>
          <cell r="BC345">
            <v>902.89900000000011</v>
          </cell>
          <cell r="BD345">
            <v>914.95699999999999</v>
          </cell>
          <cell r="BE345">
            <v>962.14799999999991</v>
          </cell>
          <cell r="BF345">
            <v>1002.053</v>
          </cell>
          <cell r="BG345">
            <v>1002.053</v>
          </cell>
          <cell r="BO345">
            <v>1039.914</v>
          </cell>
          <cell r="BP345">
            <v>1078.4639999999999</v>
          </cell>
          <cell r="BQ345">
            <v>739.15146517231176</v>
          </cell>
          <cell r="BR345">
            <v>745.30211787958126</v>
          </cell>
          <cell r="BS345">
            <v>745.30211787958126</v>
          </cell>
          <cell r="CA345">
            <v>1219.9652227383344</v>
          </cell>
          <cell r="CB345">
            <v>1195.7295353949335</v>
          </cell>
          <cell r="CC345">
            <v>1240.8744035399591</v>
          </cell>
          <cell r="CD345">
            <v>1300.2405012170275</v>
          </cell>
        </row>
        <row r="347">
          <cell r="A347" t="str">
            <v>write-offs as % of gross A/R</v>
          </cell>
          <cell r="K347">
            <v>0.50358735808253752</v>
          </cell>
          <cell r="P347">
            <v>0</v>
          </cell>
          <cell r="Q347">
            <v>0.39818822383831259</v>
          </cell>
          <cell r="R347" t="e">
            <v>#DIV/0!</v>
          </cell>
          <cell r="S347" t="e">
            <v>#DIV/0!</v>
          </cell>
          <cell r="T347" t="e">
            <v>#DIV/0!</v>
          </cell>
          <cell r="U347">
            <v>0</v>
          </cell>
          <cell r="V347">
            <v>0.40048682190202362</v>
          </cell>
          <cell r="X347" t="e">
            <v>#DIV/0!</v>
          </cell>
          <cell r="Y347" t="e">
            <v>#DIV/0!</v>
          </cell>
          <cell r="Z347">
            <v>0</v>
          </cell>
          <cell r="AA347">
            <v>0</v>
          </cell>
          <cell r="AB347">
            <v>0.44270530866587393</v>
          </cell>
          <cell r="AF347">
            <v>0</v>
          </cell>
          <cell r="AG347">
            <v>0</v>
          </cell>
          <cell r="AH347">
            <v>0.5193758671151909</v>
          </cell>
          <cell r="AL347">
            <v>0.19865324520892674</v>
          </cell>
          <cell r="AM347">
            <v>0.28574753648037021</v>
          </cell>
          <cell r="AV347">
            <v>-2.5771317952461036E-2</v>
          </cell>
          <cell r="AW347">
            <v>0.10153751708389068</v>
          </cell>
          <cell r="AX347">
            <v>5.4066935586993964E-3</v>
          </cell>
          <cell r="AY347">
            <v>9.1845294360704363E-2</v>
          </cell>
          <cell r="AZ347">
            <v>0.16100661681883274</v>
          </cell>
          <cell r="BC347">
            <v>9.1690211197487173E-2</v>
          </cell>
          <cell r="BD347">
            <v>9.5771713861962926E-2</v>
          </cell>
          <cell r="BE347">
            <v>6.3407084980689046E-2</v>
          </cell>
          <cell r="BF347">
            <v>8.6068301776452943E-2</v>
          </cell>
          <cell r="BG347">
            <v>0.31701516786038264</v>
          </cell>
          <cell r="BO347">
            <v>0.1084397363628147</v>
          </cell>
          <cell r="BP347">
            <v>9.8079305382469867E-2</v>
          </cell>
          <cell r="BS347">
            <v>0.5</v>
          </cell>
          <cell r="CA347">
            <v>0.5</v>
          </cell>
          <cell r="CB347">
            <v>0.5</v>
          </cell>
          <cell r="CC347">
            <v>0.5</v>
          </cell>
          <cell r="CD347">
            <v>0.5</v>
          </cell>
        </row>
        <row r="349">
          <cell r="A349" t="str">
            <v>Statutory tax rate</v>
          </cell>
          <cell r="F349">
            <v>0.35699999999999998</v>
          </cell>
          <cell r="G349">
            <v>0.35</v>
          </cell>
          <cell r="H349">
            <v>0.35</v>
          </cell>
          <cell r="I349">
            <v>0.35</v>
          </cell>
          <cell r="J349">
            <v>0.35</v>
          </cell>
          <cell r="K349">
            <v>0.35</v>
          </cell>
          <cell r="M349">
            <v>0.40299999999999997</v>
          </cell>
          <cell r="N349">
            <v>0.40299999999999997</v>
          </cell>
          <cell r="O349">
            <v>0.40299999999999997</v>
          </cell>
          <cell r="P349">
            <v>0.40299999999999997</v>
          </cell>
          <cell r="Q349">
            <v>0.40299999999999997</v>
          </cell>
          <cell r="R349">
            <v>0.41099999999999998</v>
          </cell>
          <cell r="S349">
            <v>0.41099999999999998</v>
          </cell>
          <cell r="T349">
            <v>0.41099999999999998</v>
          </cell>
          <cell r="U349">
            <v>0.41099999999999998</v>
          </cell>
          <cell r="V349">
            <v>0.41099999999999998</v>
          </cell>
          <cell r="X349">
            <v>0.40699999999999997</v>
          </cell>
          <cell r="Y349">
            <v>0.40699999999999997</v>
          </cell>
          <cell r="Z349">
            <v>0.40699999999999997</v>
          </cell>
          <cell r="AA349">
            <v>0.40699999999999997</v>
          </cell>
          <cell r="AB349">
            <v>0.40699999999999997</v>
          </cell>
          <cell r="AD349">
            <v>0.39400000000000002</v>
          </cell>
          <cell r="AE349">
            <v>0.39400000000000002</v>
          </cell>
          <cell r="AF349">
            <v>0.39400000000000002</v>
          </cell>
          <cell r="AG349">
            <v>0.39400000000000002</v>
          </cell>
          <cell r="AH349">
            <v>0.39400000000000002</v>
          </cell>
          <cell r="AI349">
            <v>0.39499999999999996</v>
          </cell>
          <cell r="AJ349">
            <v>0.39499999999999996</v>
          </cell>
          <cell r="AK349">
            <v>0.39499999999999996</v>
          </cell>
          <cell r="AL349">
            <v>0.38699999999999996</v>
          </cell>
          <cell r="AM349">
            <v>0.38699999999999996</v>
          </cell>
          <cell r="AN349">
            <v>0.40699999999999997</v>
          </cell>
          <cell r="AP349">
            <v>0.39400000000000002</v>
          </cell>
          <cell r="AQ349">
            <v>0.39400000000000002</v>
          </cell>
          <cell r="AR349">
            <v>0.39400000000000002</v>
          </cell>
          <cell r="AS349">
            <v>0.39400000000000002</v>
          </cell>
          <cell r="AT349">
            <v>0.39400000000000002</v>
          </cell>
          <cell r="AV349">
            <v>0.39499999999999996</v>
          </cell>
          <cell r="AW349">
            <v>0.39499999999999996</v>
          </cell>
          <cell r="AX349">
            <v>0.39499999999999996</v>
          </cell>
          <cell r="AY349">
            <v>0.38699999999999996</v>
          </cell>
          <cell r="AZ349">
            <v>0.38699999999999996</v>
          </cell>
          <cell r="BC349">
            <v>0.38</v>
          </cell>
          <cell r="BD349">
            <v>0.38</v>
          </cell>
          <cell r="BE349">
            <v>0.38</v>
          </cell>
          <cell r="BF349">
            <v>0.38</v>
          </cell>
          <cell r="BG349">
            <v>0.38</v>
          </cell>
          <cell r="BO349">
            <v>0.38</v>
          </cell>
          <cell r="BP349">
            <v>0.38</v>
          </cell>
          <cell r="BQ349">
            <v>0.38</v>
          </cell>
          <cell r="BR349">
            <v>0.38</v>
          </cell>
          <cell r="BS349">
            <v>0.38</v>
          </cell>
          <cell r="CA349">
            <v>0.38</v>
          </cell>
          <cell r="CB349">
            <v>0.38</v>
          </cell>
          <cell r="CC349">
            <v>0.38</v>
          </cell>
          <cell r="CD349">
            <v>0.38</v>
          </cell>
          <cell r="CF349" t="str">
            <v>mstag:statutoryTaxRate</v>
          </cell>
          <cell r="CG349">
            <v>0</v>
          </cell>
          <cell r="CH349" t="str">
            <v>ms_eqr_gcim_Decimal:ms_eqr_gcim_decimal</v>
          </cell>
          <cell r="CI349" t="b">
            <v>0</v>
          </cell>
          <cell r="CJ349" t="b">
            <v>0</v>
          </cell>
        </row>
        <row r="351">
          <cell r="A351" t="str">
            <v>For poolings</v>
          </cell>
          <cell r="C351">
            <v>0</v>
          </cell>
          <cell r="D351">
            <v>0</v>
          </cell>
          <cell r="E351">
            <v>0</v>
          </cell>
          <cell r="F351">
            <v>0</v>
          </cell>
          <cell r="G351">
            <v>0</v>
          </cell>
          <cell r="H351">
            <v>0</v>
          </cell>
          <cell r="I351">
            <v>0</v>
          </cell>
          <cell r="J351">
            <v>0</v>
          </cell>
          <cell r="K351">
            <v>0</v>
          </cell>
          <cell r="M351">
            <v>0</v>
          </cell>
          <cell r="N351">
            <v>0</v>
          </cell>
          <cell r="O351">
            <v>0</v>
          </cell>
          <cell r="P351">
            <v>0</v>
          </cell>
          <cell r="Q351">
            <v>0</v>
          </cell>
          <cell r="R351">
            <v>0</v>
          </cell>
          <cell r="S351">
            <v>0</v>
          </cell>
          <cell r="T351">
            <v>0</v>
          </cell>
          <cell r="U351">
            <v>0</v>
          </cell>
          <cell r="V351">
            <v>0</v>
          </cell>
          <cell r="X351">
            <v>0</v>
          </cell>
          <cell r="Y351">
            <v>0</v>
          </cell>
          <cell r="Z351">
            <v>0</v>
          </cell>
          <cell r="AA351">
            <v>0</v>
          </cell>
          <cell r="AB351">
            <v>0</v>
          </cell>
          <cell r="AD351">
            <v>0</v>
          </cell>
          <cell r="AE351">
            <v>0</v>
          </cell>
          <cell r="AF351">
            <v>0</v>
          </cell>
          <cell r="AG351">
            <v>0</v>
          </cell>
          <cell r="AH351">
            <v>0</v>
          </cell>
          <cell r="AI351">
            <v>0</v>
          </cell>
          <cell r="AJ351">
            <v>0</v>
          </cell>
          <cell r="AK351">
            <v>0</v>
          </cell>
          <cell r="AL351">
            <v>0</v>
          </cell>
          <cell r="AM351">
            <v>0</v>
          </cell>
          <cell r="AN351">
            <v>0</v>
          </cell>
          <cell r="AP351">
            <v>0</v>
          </cell>
          <cell r="AQ351">
            <v>0</v>
          </cell>
          <cell r="AR351">
            <v>0</v>
          </cell>
          <cell r="AS351">
            <v>0</v>
          </cell>
          <cell r="AT351">
            <v>0</v>
          </cell>
          <cell r="AV351">
            <v>0</v>
          </cell>
          <cell r="AW351">
            <v>0</v>
          </cell>
          <cell r="AX351">
            <v>0</v>
          </cell>
          <cell r="AY351">
            <v>0</v>
          </cell>
          <cell r="AZ351">
            <v>0</v>
          </cell>
          <cell r="BC351">
            <v>0</v>
          </cell>
          <cell r="BD351">
            <v>0</v>
          </cell>
          <cell r="BE351">
            <v>0</v>
          </cell>
          <cell r="BF351">
            <v>0</v>
          </cell>
          <cell r="BG351">
            <v>0</v>
          </cell>
          <cell r="BS351">
            <v>0</v>
          </cell>
          <cell r="CA351">
            <v>0</v>
          </cell>
          <cell r="CB351">
            <v>0</v>
          </cell>
          <cell r="CC351">
            <v>0</v>
          </cell>
          <cell r="CD351">
            <v>0</v>
          </cell>
          <cell r="CF351" t="str">
            <v>mstag:unrecordedGoodwillFromPoolingAndAmortizedOrWrittenOffGoodwill</v>
          </cell>
          <cell r="CG351">
            <v>6</v>
          </cell>
          <cell r="CH351" t="str">
            <v>ISO4217:USD</v>
          </cell>
          <cell r="CI351" t="b">
            <v>0</v>
          </cell>
          <cell r="CJ351" t="b">
            <v>0</v>
          </cell>
        </row>
        <row r="360">
          <cell r="X360" t="str">
            <v>2002-Q1</v>
          </cell>
          <cell r="Y360" t="str">
            <v>2002-Q2</v>
          </cell>
          <cell r="Z360" t="str">
            <v>2002-Q3</v>
          </cell>
          <cell r="AA360" t="str">
            <v>2002-Q4</v>
          </cell>
          <cell r="AB360" t="str">
            <v>2002-FY</v>
          </cell>
          <cell r="AD360" t="str">
            <v>2003-Q1</v>
          </cell>
          <cell r="AE360" t="str">
            <v>2003-Q2</v>
          </cell>
          <cell r="AF360" t="str">
            <v>2003-Q3</v>
          </cell>
          <cell r="AG360" t="str">
            <v>2003-Q4</v>
          </cell>
          <cell r="AH360" t="str">
            <v>2003-FY</v>
          </cell>
          <cell r="AV360" t="str">
            <v>2004-Q1</v>
          </cell>
          <cell r="AW360" t="str">
            <v>2004-Q2</v>
          </cell>
          <cell r="AX360" t="str">
            <v>2004-Q3</v>
          </cell>
          <cell r="AY360" t="str">
            <v>2004-Q4</v>
          </cell>
          <cell r="AZ360" t="str">
            <v>2004-FY</v>
          </cell>
          <cell r="BC360" t="str">
            <v>2005-Q1</v>
          </cell>
          <cell r="BD360" t="str">
            <v>2005-Q2</v>
          </cell>
          <cell r="BE360" t="str">
            <v>2005-Q3</v>
          </cell>
          <cell r="BF360" t="str">
            <v>2005-Q4</v>
          </cell>
          <cell r="BG360" t="str">
            <v>2005-FY</v>
          </cell>
          <cell r="BO360" t="str">
            <v>2006-Q1</v>
          </cell>
          <cell r="BP360" t="str">
            <v>2006-Q2</v>
          </cell>
          <cell r="BQ360" t="str">
            <v>2006-Q3</v>
          </cell>
          <cell r="BR360" t="str">
            <v>2006-Q4</v>
          </cell>
          <cell r="BS360" t="str">
            <v>2006-FY</v>
          </cell>
          <cell r="CA360" t="str">
            <v>2007-FY</v>
          </cell>
          <cell r="CB360" t="str">
            <v>2008-FY</v>
          </cell>
        </row>
      </sheetData>
      <sheetData sheetId="4"/>
      <sheetData sheetId="5" refreshError="1">
        <row r="1">
          <cell r="A1" t="str">
            <v>Community Health Systems</v>
          </cell>
          <cell r="BS1" t="str">
            <v>ElementName</v>
          </cell>
          <cell r="BT1" t="str">
            <v>ScaleOverride</v>
          </cell>
          <cell r="BU1" t="str">
            <v>UnitOverride</v>
          </cell>
          <cell r="BV1" t="str">
            <v>ReverseSign</v>
          </cell>
          <cell r="BW1" t="str">
            <v>IsDrivingAssumption</v>
          </cell>
          <cell r="BX1" t="str">
            <v>SegmentID</v>
          </cell>
        </row>
        <row r="3">
          <cell r="A3" t="str">
            <v>REVENUE MODEL</v>
          </cell>
          <cell r="AH3" t="str">
            <v>Not restated</v>
          </cell>
          <cell r="AJ3" t="str">
            <v>First restatements</v>
          </cell>
          <cell r="AN3" t="str">
            <v>Restated</v>
          </cell>
          <cell r="AU3" t="str">
            <v>Restated</v>
          </cell>
        </row>
        <row r="4">
          <cell r="A4" t="str">
            <v>($ mil)  FY ending Dec. 31</v>
          </cell>
          <cell r="C4">
            <v>1995</v>
          </cell>
          <cell r="D4">
            <v>1996</v>
          </cell>
          <cell r="E4">
            <v>1997</v>
          </cell>
          <cell r="F4">
            <v>1998</v>
          </cell>
          <cell r="G4" t="str">
            <v>1Q99</v>
          </cell>
          <cell r="H4" t="str">
            <v>2Q99</v>
          </cell>
          <cell r="I4" t="str">
            <v>3Q99</v>
          </cell>
          <cell r="J4" t="str">
            <v>4Q99</v>
          </cell>
          <cell r="K4">
            <v>1999</v>
          </cell>
          <cell r="L4" t="str">
            <v>1Q00</v>
          </cell>
          <cell r="M4" t="str">
            <v>2Q00</v>
          </cell>
          <cell r="N4" t="str">
            <v>3Q00</v>
          </cell>
          <cell r="O4" t="str">
            <v>4Q00</v>
          </cell>
          <cell r="P4">
            <v>2000</v>
          </cell>
          <cell r="Q4" t="str">
            <v>1Q01</v>
          </cell>
          <cell r="R4" t="str">
            <v>2Q01</v>
          </cell>
          <cell r="S4" t="str">
            <v>3Q01</v>
          </cell>
          <cell r="T4" t="str">
            <v>4Q01</v>
          </cell>
          <cell r="U4">
            <v>2001</v>
          </cell>
          <cell r="V4" t="str">
            <v>CHECK</v>
          </cell>
          <cell r="W4" t="str">
            <v>1Q02</v>
          </cell>
          <cell r="X4" t="str">
            <v>2Q02</v>
          </cell>
          <cell r="Y4" t="str">
            <v>3Q02</v>
          </cell>
          <cell r="Z4" t="str">
            <v>4Q02</v>
          </cell>
          <cell r="AA4">
            <v>2002</v>
          </cell>
          <cell r="AB4" t="str">
            <v>CHECK</v>
          </cell>
          <cell r="AC4" t="str">
            <v>1Q03</v>
          </cell>
          <cell r="AD4" t="str">
            <v>2Q03</v>
          </cell>
          <cell r="AE4" t="str">
            <v>3Q03</v>
          </cell>
          <cell r="AF4" t="str">
            <v>4Q03</v>
          </cell>
          <cell r="AG4">
            <v>2003</v>
          </cell>
          <cell r="AH4" t="str">
            <v>1Q04</v>
          </cell>
          <cell r="AI4" t="str">
            <v>2Q04</v>
          </cell>
          <cell r="AJ4" t="str">
            <v>3Q04</v>
          </cell>
          <cell r="AK4" t="str">
            <v>4Q04</v>
          </cell>
          <cell r="AL4">
            <v>2004</v>
          </cell>
          <cell r="AM4" t="str">
            <v>CHECK</v>
          </cell>
          <cell r="AN4" t="str">
            <v>2002</v>
          </cell>
          <cell r="AO4">
            <v>2003</v>
          </cell>
          <cell r="AP4" t="str">
            <v>1Q03</v>
          </cell>
          <cell r="AQ4" t="str">
            <v>2Q03</v>
          </cell>
          <cell r="AR4" t="str">
            <v>3Q03</v>
          </cell>
          <cell r="AS4" t="str">
            <v>4Q03</v>
          </cell>
          <cell r="AT4" t="str">
            <v>2003</v>
          </cell>
          <cell r="AU4" t="str">
            <v>1Q04</v>
          </cell>
          <cell r="AV4" t="str">
            <v>2Q04</v>
          </cell>
          <cell r="AW4" t="str">
            <v>3Q04</v>
          </cell>
          <cell r="AX4" t="str">
            <v>4Q04</v>
          </cell>
          <cell r="AY4">
            <v>2004</v>
          </cell>
          <cell r="BA4" t="str">
            <v>1Q05</v>
          </cell>
          <cell r="BB4" t="str">
            <v>2Q05</v>
          </cell>
          <cell r="BC4" t="str">
            <v>3Q05</v>
          </cell>
          <cell r="BD4" t="str">
            <v>4Q05</v>
          </cell>
          <cell r="BE4">
            <v>2005</v>
          </cell>
          <cell r="BG4" t="str">
            <v>1Q06</v>
          </cell>
          <cell r="BH4" t="str">
            <v>2Q06</v>
          </cell>
          <cell r="BI4" t="str">
            <v>3Q06E</v>
          </cell>
          <cell r="BJ4" t="str">
            <v>4Q06E</v>
          </cell>
          <cell r="BK4" t="str">
            <v>2006E</v>
          </cell>
          <cell r="BM4" t="str">
            <v>2007E</v>
          </cell>
          <cell r="BN4" t="str">
            <v>2008E</v>
          </cell>
          <cell r="BO4" t="str">
            <v>2009E</v>
          </cell>
          <cell r="BP4" t="str">
            <v>2010E</v>
          </cell>
        </row>
        <row r="5">
          <cell r="A5" t="str">
            <v>December Year End ($ in mm except as noted)</v>
          </cell>
          <cell r="C5">
            <v>365</v>
          </cell>
          <cell r="D5">
            <v>365</v>
          </cell>
          <cell r="E5">
            <v>365</v>
          </cell>
          <cell r="F5">
            <v>365</v>
          </cell>
          <cell r="G5">
            <v>90</v>
          </cell>
          <cell r="H5">
            <v>91</v>
          </cell>
          <cell r="I5">
            <v>92</v>
          </cell>
          <cell r="J5">
            <v>92</v>
          </cell>
          <cell r="K5">
            <v>365</v>
          </cell>
          <cell r="L5">
            <v>91</v>
          </cell>
          <cell r="M5">
            <v>91</v>
          </cell>
          <cell r="N5">
            <v>92</v>
          </cell>
          <cell r="O5">
            <v>92</v>
          </cell>
          <cell r="P5">
            <v>366</v>
          </cell>
          <cell r="Q5">
            <v>90</v>
          </cell>
          <cell r="R5">
            <v>91</v>
          </cell>
          <cell r="S5">
            <v>92</v>
          </cell>
          <cell r="T5">
            <v>92</v>
          </cell>
          <cell r="U5">
            <v>365</v>
          </cell>
          <cell r="V5" t="str">
            <v>CHECK</v>
          </cell>
          <cell r="W5">
            <v>90</v>
          </cell>
          <cell r="X5">
            <v>91</v>
          </cell>
          <cell r="Y5">
            <v>91</v>
          </cell>
          <cell r="Z5">
            <v>92</v>
          </cell>
          <cell r="AA5">
            <v>365</v>
          </cell>
          <cell r="AB5" t="str">
            <v>CHECK</v>
          </cell>
          <cell r="AC5">
            <v>90</v>
          </cell>
          <cell r="AD5">
            <v>91</v>
          </cell>
          <cell r="AE5">
            <v>92</v>
          </cell>
          <cell r="AF5">
            <v>92</v>
          </cell>
          <cell r="AG5">
            <v>365</v>
          </cell>
          <cell r="AH5">
            <v>91</v>
          </cell>
          <cell r="AI5">
            <v>92</v>
          </cell>
          <cell r="AJ5">
            <v>92</v>
          </cell>
          <cell r="AK5">
            <v>92</v>
          </cell>
          <cell r="AL5">
            <v>366</v>
          </cell>
          <cell r="AM5" t="str">
            <v>CHECK</v>
          </cell>
          <cell r="AN5">
            <v>365</v>
          </cell>
          <cell r="AO5">
            <v>365</v>
          </cell>
          <cell r="AP5" t="str">
            <v>1Q03</v>
          </cell>
          <cell r="AQ5" t="str">
            <v>2Q03</v>
          </cell>
          <cell r="AR5">
            <v>92</v>
          </cell>
          <cell r="AS5">
            <v>92</v>
          </cell>
          <cell r="AT5">
            <v>365</v>
          </cell>
          <cell r="AU5">
            <v>91</v>
          </cell>
          <cell r="AV5">
            <v>92</v>
          </cell>
          <cell r="AW5">
            <v>92</v>
          </cell>
          <cell r="AX5">
            <v>92</v>
          </cell>
          <cell r="AY5">
            <v>366</v>
          </cell>
          <cell r="BA5">
            <v>90</v>
          </cell>
          <cell r="BB5">
            <v>92</v>
          </cell>
          <cell r="BC5">
            <v>92</v>
          </cell>
          <cell r="BD5">
            <v>92</v>
          </cell>
          <cell r="BE5">
            <v>365</v>
          </cell>
          <cell r="BG5">
            <v>90</v>
          </cell>
          <cell r="BH5">
            <v>92</v>
          </cell>
          <cell r="BI5">
            <v>92</v>
          </cell>
          <cell r="BJ5">
            <v>92</v>
          </cell>
          <cell r="BK5">
            <v>365</v>
          </cell>
          <cell r="BM5">
            <v>365</v>
          </cell>
          <cell r="BN5">
            <v>366</v>
          </cell>
          <cell r="BO5">
            <v>365</v>
          </cell>
          <cell r="BP5">
            <v>365</v>
          </cell>
        </row>
        <row r="6">
          <cell r="A6" t="str">
            <v>Number of Hospitals</v>
          </cell>
          <cell r="C6">
            <v>36</v>
          </cell>
          <cell r="D6">
            <v>35</v>
          </cell>
          <cell r="E6">
            <v>37</v>
          </cell>
          <cell r="F6">
            <v>41</v>
          </cell>
          <cell r="G6">
            <v>43</v>
          </cell>
          <cell r="H6">
            <v>43</v>
          </cell>
          <cell r="I6">
            <v>44</v>
          </cell>
          <cell r="J6">
            <v>46</v>
          </cell>
          <cell r="K6">
            <v>46</v>
          </cell>
          <cell r="L6">
            <v>46</v>
          </cell>
          <cell r="M6">
            <v>49</v>
          </cell>
          <cell r="N6">
            <v>50</v>
          </cell>
          <cell r="O6">
            <v>52</v>
          </cell>
          <cell r="P6">
            <v>52</v>
          </cell>
          <cell r="Q6">
            <v>52</v>
          </cell>
          <cell r="R6">
            <v>53</v>
          </cell>
          <cell r="S6">
            <v>54</v>
          </cell>
          <cell r="T6">
            <v>57</v>
          </cell>
          <cell r="U6">
            <v>57</v>
          </cell>
          <cell r="W6">
            <v>59</v>
          </cell>
          <cell r="X6">
            <v>59</v>
          </cell>
          <cell r="Y6">
            <v>61</v>
          </cell>
          <cell r="Z6">
            <v>63</v>
          </cell>
          <cell r="AA6">
            <v>63</v>
          </cell>
          <cell r="AC6">
            <v>70</v>
          </cell>
          <cell r="AD6">
            <v>70</v>
          </cell>
          <cell r="AE6">
            <v>72</v>
          </cell>
          <cell r="AF6">
            <v>72</v>
          </cell>
          <cell r="AG6">
            <v>72</v>
          </cell>
          <cell r="AH6">
            <v>72</v>
          </cell>
          <cell r="AI6">
            <v>72</v>
          </cell>
          <cell r="AJ6">
            <v>71</v>
          </cell>
          <cell r="AK6">
            <v>71</v>
          </cell>
          <cell r="AL6">
            <v>71</v>
          </cell>
          <cell r="AN6">
            <v>60</v>
          </cell>
          <cell r="AO6">
            <v>64</v>
          </cell>
          <cell r="AR6">
            <v>69</v>
          </cell>
          <cell r="AS6">
            <v>69</v>
          </cell>
          <cell r="AT6">
            <v>69</v>
          </cell>
          <cell r="AU6">
            <v>64</v>
          </cell>
          <cell r="AV6">
            <v>64</v>
          </cell>
          <cell r="AW6">
            <v>66</v>
          </cell>
          <cell r="AX6">
            <v>66</v>
          </cell>
          <cell r="AY6">
            <v>66</v>
          </cell>
          <cell r="BA6">
            <v>67</v>
          </cell>
          <cell r="BB6">
            <v>67</v>
          </cell>
          <cell r="BC6">
            <v>68</v>
          </cell>
          <cell r="BD6">
            <v>70</v>
          </cell>
          <cell r="BE6">
            <v>70</v>
          </cell>
          <cell r="BG6">
            <v>71</v>
          </cell>
          <cell r="BH6">
            <v>75</v>
          </cell>
          <cell r="BI6">
            <v>76</v>
          </cell>
          <cell r="BJ6">
            <v>78</v>
          </cell>
          <cell r="BK6">
            <v>78</v>
          </cell>
          <cell r="BM6">
            <v>82</v>
          </cell>
          <cell r="BN6">
            <v>86</v>
          </cell>
          <cell r="BO6">
            <v>89</v>
          </cell>
          <cell r="BP6">
            <v>92</v>
          </cell>
          <cell r="BS6" t="str">
            <v>mstag:numberOfHospitals</v>
          </cell>
          <cell r="BT6">
            <v>0</v>
          </cell>
          <cell r="BU6" t="str">
            <v>ms_eqr_gcim_Decimal:ms_eqr_gcim_decimal</v>
          </cell>
          <cell r="BV6" t="b">
            <v>0</v>
          </cell>
          <cell r="BW6" t="b">
            <v>0</v>
          </cell>
        </row>
        <row r="7">
          <cell r="A7" t="str">
            <v>Average Number of Hospitals</v>
          </cell>
          <cell r="C7">
            <v>36</v>
          </cell>
          <cell r="D7">
            <v>35.5</v>
          </cell>
          <cell r="E7">
            <v>36</v>
          </cell>
          <cell r="F7">
            <v>39</v>
          </cell>
          <cell r="G7">
            <v>41</v>
          </cell>
          <cell r="H7">
            <v>42</v>
          </cell>
          <cell r="I7">
            <v>43.5</v>
          </cell>
          <cell r="J7">
            <v>45</v>
          </cell>
          <cell r="K7">
            <v>43.833333333333336</v>
          </cell>
          <cell r="L7">
            <v>46</v>
          </cell>
          <cell r="M7">
            <v>47.5</v>
          </cell>
          <cell r="N7">
            <v>48.75</v>
          </cell>
          <cell r="O7">
            <v>51</v>
          </cell>
          <cell r="P7">
            <v>49.166666666666664</v>
          </cell>
          <cell r="Q7">
            <v>52</v>
          </cell>
          <cell r="R7">
            <v>52.5</v>
          </cell>
          <cell r="S7">
            <v>53.5</v>
          </cell>
          <cell r="T7">
            <v>55.5</v>
          </cell>
          <cell r="U7">
            <v>54.166666666666664</v>
          </cell>
          <cell r="W7">
            <v>58</v>
          </cell>
          <cell r="X7">
            <v>59</v>
          </cell>
          <cell r="Y7">
            <v>60</v>
          </cell>
          <cell r="Z7">
            <v>62</v>
          </cell>
          <cell r="AA7">
            <v>60.5</v>
          </cell>
          <cell r="AC7">
            <v>66.5</v>
          </cell>
          <cell r="AD7">
            <v>70</v>
          </cell>
          <cell r="AE7">
            <v>71</v>
          </cell>
          <cell r="AF7">
            <v>72</v>
          </cell>
          <cell r="AG7">
            <v>69.833333333333329</v>
          </cell>
          <cell r="AH7">
            <v>72</v>
          </cell>
          <cell r="AI7">
            <v>72</v>
          </cell>
          <cell r="AJ7">
            <v>71.5</v>
          </cell>
          <cell r="AK7">
            <v>71</v>
          </cell>
          <cell r="AL7">
            <v>71.400000000000006</v>
          </cell>
          <cell r="AN7">
            <v>60</v>
          </cell>
          <cell r="AO7">
            <v>64</v>
          </cell>
          <cell r="AR7">
            <v>69</v>
          </cell>
          <cell r="AS7">
            <v>69</v>
          </cell>
          <cell r="AT7">
            <v>69</v>
          </cell>
          <cell r="AU7">
            <v>64</v>
          </cell>
          <cell r="AV7">
            <v>64</v>
          </cell>
          <cell r="AW7">
            <v>65</v>
          </cell>
          <cell r="AX7">
            <v>66</v>
          </cell>
          <cell r="AY7">
            <v>65.2</v>
          </cell>
          <cell r="BA7">
            <v>67</v>
          </cell>
          <cell r="BB7">
            <v>67</v>
          </cell>
          <cell r="BC7">
            <v>67.5</v>
          </cell>
          <cell r="BD7">
            <v>70</v>
          </cell>
          <cell r="BE7">
            <v>68.400000000000006</v>
          </cell>
          <cell r="BG7">
            <v>71</v>
          </cell>
          <cell r="BH7">
            <v>73</v>
          </cell>
          <cell r="BI7">
            <v>75.5</v>
          </cell>
          <cell r="BJ7">
            <v>77</v>
          </cell>
          <cell r="BK7">
            <v>75.599999999999994</v>
          </cell>
          <cell r="BM7">
            <v>80</v>
          </cell>
          <cell r="BN7">
            <v>84</v>
          </cell>
          <cell r="BO7">
            <v>87.5</v>
          </cell>
          <cell r="BP7">
            <v>90.5</v>
          </cell>
        </row>
        <row r="8">
          <cell r="A8" t="str">
            <v>Licensed Beds</v>
          </cell>
          <cell r="C8">
            <v>3298</v>
          </cell>
          <cell r="D8">
            <v>3222</v>
          </cell>
          <cell r="E8">
            <v>3288</v>
          </cell>
          <cell r="F8">
            <v>3644</v>
          </cell>
          <cell r="G8">
            <v>3903</v>
          </cell>
          <cell r="H8">
            <v>3892</v>
          </cell>
          <cell r="I8">
            <v>4026</v>
          </cell>
          <cell r="J8">
            <v>4115</v>
          </cell>
          <cell r="K8">
            <v>4115</v>
          </cell>
          <cell r="L8">
            <v>4220</v>
          </cell>
          <cell r="M8">
            <v>4401</v>
          </cell>
          <cell r="N8">
            <v>4491</v>
          </cell>
          <cell r="O8">
            <v>4688</v>
          </cell>
          <cell r="P8">
            <v>4688</v>
          </cell>
          <cell r="Q8">
            <v>4688</v>
          </cell>
          <cell r="R8">
            <v>4848</v>
          </cell>
          <cell r="S8">
            <v>4935</v>
          </cell>
          <cell r="T8">
            <v>5391</v>
          </cell>
          <cell r="U8">
            <v>5391</v>
          </cell>
          <cell r="W8">
            <v>5917</v>
          </cell>
          <cell r="X8">
            <v>5914</v>
          </cell>
          <cell r="Y8">
            <v>6023</v>
          </cell>
          <cell r="Z8">
            <v>6310</v>
          </cell>
          <cell r="AA8">
            <v>6310</v>
          </cell>
          <cell r="AC8">
            <v>6972</v>
          </cell>
          <cell r="AD8">
            <v>6962</v>
          </cell>
          <cell r="AE8">
            <v>7581</v>
          </cell>
          <cell r="AF8">
            <v>7810</v>
          </cell>
          <cell r="AG8">
            <v>7810</v>
          </cell>
          <cell r="AH8">
            <v>4935</v>
          </cell>
          <cell r="AI8">
            <v>4935</v>
          </cell>
          <cell r="AJ8">
            <v>7971</v>
          </cell>
          <cell r="AK8">
            <v>7888</v>
          </cell>
          <cell r="AL8">
            <v>7888</v>
          </cell>
          <cell r="AN8">
            <v>6137</v>
          </cell>
          <cell r="AO8">
            <v>7107</v>
          </cell>
          <cell r="AR8">
            <v>7408</v>
          </cell>
          <cell r="AS8">
            <v>7637</v>
          </cell>
          <cell r="AT8">
            <v>7637</v>
          </cell>
          <cell r="AU8">
            <v>7107</v>
          </cell>
          <cell r="AV8">
            <v>7107</v>
          </cell>
          <cell r="AW8">
            <v>7441</v>
          </cell>
          <cell r="AX8">
            <v>7358</v>
          </cell>
          <cell r="AY8">
            <v>7358</v>
          </cell>
          <cell r="BA8">
            <v>7580</v>
          </cell>
          <cell r="BB8">
            <v>7575</v>
          </cell>
          <cell r="BC8">
            <v>7684</v>
          </cell>
          <cell r="BD8">
            <v>7974</v>
          </cell>
          <cell r="BE8">
            <v>7974</v>
          </cell>
          <cell r="BG8">
            <v>8074</v>
          </cell>
          <cell r="BH8">
            <v>8546</v>
          </cell>
          <cell r="BI8">
            <v>8882</v>
          </cell>
          <cell r="BJ8">
            <v>9006</v>
          </cell>
          <cell r="BK8">
            <v>9006</v>
          </cell>
          <cell r="BM8">
            <v>9462</v>
          </cell>
          <cell r="BN8">
            <v>9918</v>
          </cell>
          <cell r="BO8">
            <v>10260</v>
          </cell>
          <cell r="BP8">
            <v>10614</v>
          </cell>
          <cell r="BS8" t="str">
            <v>mstag:hospitalBeds</v>
          </cell>
          <cell r="BT8">
            <v>0</v>
          </cell>
          <cell r="BU8" t="str">
            <v>ms_eqr_gcim_Decimal:ms_eqr_gcim_decimal</v>
          </cell>
          <cell r="BV8" t="b">
            <v>0</v>
          </cell>
          <cell r="BW8" t="b">
            <v>0</v>
          </cell>
        </row>
        <row r="9">
          <cell r="A9" t="str">
            <v>Beds In Service</v>
          </cell>
          <cell r="C9">
            <v>2519</v>
          </cell>
          <cell r="D9">
            <v>2311</v>
          </cell>
          <cell r="E9">
            <v>2543</v>
          </cell>
          <cell r="F9">
            <v>2776</v>
          </cell>
          <cell r="G9">
            <v>2952</v>
          </cell>
          <cell r="H9">
            <v>2973</v>
          </cell>
          <cell r="I9">
            <v>3077</v>
          </cell>
          <cell r="J9">
            <v>3123</v>
          </cell>
          <cell r="K9">
            <v>3123</v>
          </cell>
          <cell r="L9">
            <v>3247</v>
          </cell>
          <cell r="M9">
            <v>3355</v>
          </cell>
          <cell r="N9">
            <v>3407</v>
          </cell>
          <cell r="O9">
            <v>3587</v>
          </cell>
          <cell r="P9">
            <v>3587</v>
          </cell>
          <cell r="Q9">
            <v>3281</v>
          </cell>
          <cell r="R9">
            <v>3722</v>
          </cell>
          <cell r="S9">
            <v>3788</v>
          </cell>
          <cell r="T9">
            <v>4139</v>
          </cell>
          <cell r="U9">
            <v>4139</v>
          </cell>
          <cell r="W9">
            <v>4510</v>
          </cell>
          <cell r="X9">
            <v>4502</v>
          </cell>
          <cell r="Y9">
            <v>4583.8130335559126</v>
          </cell>
          <cell r="Z9">
            <v>4939</v>
          </cell>
          <cell r="AA9">
            <v>4939</v>
          </cell>
          <cell r="AC9">
            <v>5403</v>
          </cell>
          <cell r="AD9">
            <v>5390</v>
          </cell>
          <cell r="AE9">
            <v>5997</v>
          </cell>
          <cell r="AF9">
            <v>6180</v>
          </cell>
          <cell r="AG9">
            <v>6180</v>
          </cell>
          <cell r="AH9">
            <v>6187</v>
          </cell>
          <cell r="AI9">
            <v>6187</v>
          </cell>
          <cell r="AJ9">
            <v>6440</v>
          </cell>
          <cell r="AK9">
            <v>6346</v>
          </cell>
          <cell r="AL9">
            <v>6346</v>
          </cell>
          <cell r="AN9">
            <v>4800</v>
          </cell>
          <cell r="AO9">
            <v>5665</v>
          </cell>
          <cell r="AR9">
            <v>5748</v>
          </cell>
          <cell r="AS9">
            <v>6041</v>
          </cell>
          <cell r="AT9">
            <v>6041</v>
          </cell>
          <cell r="AU9">
            <v>5716</v>
          </cell>
          <cell r="AV9">
            <v>5716</v>
          </cell>
          <cell r="AW9">
            <v>6054</v>
          </cell>
          <cell r="AX9">
            <v>5960</v>
          </cell>
          <cell r="AY9">
            <v>5960</v>
          </cell>
          <cell r="BA9">
            <v>6175</v>
          </cell>
          <cell r="BB9">
            <v>6187</v>
          </cell>
          <cell r="BC9">
            <v>6239</v>
          </cell>
          <cell r="BD9">
            <v>6476</v>
          </cell>
          <cell r="BE9">
            <v>6476</v>
          </cell>
          <cell r="BG9">
            <v>6528</v>
          </cell>
          <cell r="BH9">
            <v>6874</v>
          </cell>
          <cell r="BI9">
            <v>7109.2</v>
          </cell>
          <cell r="BJ9">
            <v>7208.4</v>
          </cell>
          <cell r="BK9">
            <v>7208.4</v>
          </cell>
          <cell r="BM9">
            <v>7573.2</v>
          </cell>
          <cell r="BN9">
            <v>7938</v>
          </cell>
          <cell r="BO9">
            <v>8211.6</v>
          </cell>
          <cell r="BP9">
            <v>8494.8000000000011</v>
          </cell>
          <cell r="BS9" t="str">
            <v>mstag:numberOfHospitalBedsInService</v>
          </cell>
          <cell r="BT9">
            <v>0</v>
          </cell>
          <cell r="BU9" t="str">
            <v>ms_eqr_gcim_Decimal:ms_eqr_gcim_decimal</v>
          </cell>
          <cell r="BV9" t="b">
            <v>0</v>
          </cell>
          <cell r="BW9" t="b">
            <v>0</v>
          </cell>
        </row>
        <row r="10">
          <cell r="A10" t="str">
            <v>Average Licensed Beds</v>
          </cell>
          <cell r="C10">
            <v>3298</v>
          </cell>
          <cell r="D10">
            <v>3260</v>
          </cell>
          <cell r="E10">
            <v>3255</v>
          </cell>
          <cell r="F10">
            <v>3466</v>
          </cell>
          <cell r="G10">
            <v>3684.5</v>
          </cell>
          <cell r="H10">
            <v>3788.25</v>
          </cell>
          <cell r="I10">
            <v>3959</v>
          </cell>
          <cell r="J10">
            <v>4070.5</v>
          </cell>
          <cell r="K10">
            <v>3949.1666666666665</v>
          </cell>
          <cell r="L10">
            <v>4167.5</v>
          </cell>
          <cell r="M10">
            <v>4284.25</v>
          </cell>
          <cell r="N10">
            <v>4387.625</v>
          </cell>
          <cell r="O10">
            <v>4589.5</v>
          </cell>
          <cell r="P10">
            <v>4688</v>
          </cell>
          <cell r="Q10">
            <v>4688</v>
          </cell>
          <cell r="R10">
            <v>4768</v>
          </cell>
          <cell r="S10">
            <v>4891.5</v>
          </cell>
          <cell r="T10">
            <v>5163</v>
          </cell>
          <cell r="U10">
            <v>4990.166666666667</v>
          </cell>
          <cell r="W10">
            <v>5654</v>
          </cell>
          <cell r="X10">
            <v>5915.5</v>
          </cell>
          <cell r="Y10">
            <v>6136.833333333333</v>
          </cell>
          <cell r="Z10">
            <v>6166.5</v>
          </cell>
          <cell r="AA10">
            <v>6041</v>
          </cell>
          <cell r="AC10">
            <v>6972</v>
          </cell>
          <cell r="AD10">
            <v>6967</v>
          </cell>
          <cell r="AE10">
            <v>7454</v>
          </cell>
          <cell r="AF10">
            <v>7738.228260869565</v>
          </cell>
          <cell r="AG10">
            <v>7240.833333333333</v>
          </cell>
          <cell r="AH10">
            <v>4935</v>
          </cell>
          <cell r="AI10">
            <v>4935</v>
          </cell>
          <cell r="AJ10">
            <v>6380.1666666666661</v>
          </cell>
          <cell r="AK10">
            <v>7929.5</v>
          </cell>
          <cell r="AL10">
            <v>6723.4</v>
          </cell>
          <cell r="AN10">
            <v>4800</v>
          </cell>
          <cell r="AO10">
            <v>5665</v>
          </cell>
          <cell r="AR10">
            <v>7408</v>
          </cell>
          <cell r="AS10">
            <v>7637</v>
          </cell>
          <cell r="AT10">
            <v>7522.5</v>
          </cell>
          <cell r="AU10">
            <v>7107</v>
          </cell>
          <cell r="AV10">
            <v>7107</v>
          </cell>
          <cell r="AW10">
            <v>7201.1666666666661</v>
          </cell>
          <cell r="AX10">
            <v>7399.5</v>
          </cell>
          <cell r="AY10">
            <v>7274.2</v>
          </cell>
          <cell r="BA10">
            <v>7460.0333333333338</v>
          </cell>
          <cell r="BB10">
            <v>7575</v>
          </cell>
          <cell r="BC10">
            <v>7684</v>
          </cell>
          <cell r="BD10">
            <v>7974</v>
          </cell>
          <cell r="BE10">
            <v>7757.4</v>
          </cell>
          <cell r="BG10">
            <v>8074</v>
          </cell>
          <cell r="BH10">
            <v>8310</v>
          </cell>
          <cell r="BI10">
            <v>8882</v>
          </cell>
          <cell r="BJ10">
            <v>8923.782608695652</v>
          </cell>
          <cell r="BK10">
            <v>8702.7999999999993</v>
          </cell>
          <cell r="BM10">
            <v>9234</v>
          </cell>
          <cell r="BN10">
            <v>9690</v>
          </cell>
          <cell r="BO10">
            <v>10089</v>
          </cell>
          <cell r="BP10">
            <v>10437</v>
          </cell>
        </row>
        <row r="11">
          <cell r="A11" t="str">
            <v>Average Beds In Service</v>
          </cell>
          <cell r="C11">
            <v>2519</v>
          </cell>
          <cell r="D11">
            <v>2415</v>
          </cell>
          <cell r="E11">
            <v>2427</v>
          </cell>
          <cell r="F11">
            <v>2659.5</v>
          </cell>
          <cell r="G11">
            <v>2864</v>
          </cell>
          <cell r="H11">
            <v>2962.5</v>
          </cell>
          <cell r="I11">
            <v>3025</v>
          </cell>
          <cell r="J11">
            <v>3100</v>
          </cell>
          <cell r="K11">
            <v>3031.25</v>
          </cell>
          <cell r="L11">
            <v>3185</v>
          </cell>
          <cell r="M11">
            <v>3301</v>
          </cell>
          <cell r="N11">
            <v>3381</v>
          </cell>
          <cell r="O11">
            <v>3497</v>
          </cell>
          <cell r="P11">
            <v>3399</v>
          </cell>
          <cell r="Q11">
            <v>3434</v>
          </cell>
          <cell r="R11">
            <v>3501.5</v>
          </cell>
          <cell r="S11">
            <v>3755</v>
          </cell>
          <cell r="T11">
            <v>4139</v>
          </cell>
          <cell r="U11">
            <v>3732.5</v>
          </cell>
          <cell r="W11">
            <v>4510</v>
          </cell>
          <cell r="X11">
            <v>4506</v>
          </cell>
          <cell r="Y11">
            <v>4542.9065167779563</v>
          </cell>
          <cell r="Z11">
            <v>4761.4065167779563</v>
          </cell>
          <cell r="AA11">
            <v>4580.0782583889777</v>
          </cell>
          <cell r="AC11">
            <v>5171</v>
          </cell>
          <cell r="AD11">
            <v>5396.5</v>
          </cell>
          <cell r="AE11">
            <v>5997</v>
          </cell>
          <cell r="AF11">
            <v>6180</v>
          </cell>
          <cell r="AG11">
            <v>5686.125</v>
          </cell>
          <cell r="AH11">
            <v>4987.5</v>
          </cell>
          <cell r="AI11">
            <v>6187</v>
          </cell>
          <cell r="AJ11">
            <v>6239.8333333333339</v>
          </cell>
          <cell r="AK11">
            <v>6393</v>
          </cell>
          <cell r="AL11">
            <v>6290</v>
          </cell>
          <cell r="AN11">
            <v>4800</v>
          </cell>
          <cell r="AO11">
            <v>5665</v>
          </cell>
          <cell r="AR11">
            <v>5748</v>
          </cell>
          <cell r="AS11">
            <v>6041</v>
          </cell>
          <cell r="AT11">
            <v>5894.5</v>
          </cell>
          <cell r="AU11">
            <v>5716</v>
          </cell>
          <cell r="AV11">
            <v>5716</v>
          </cell>
          <cell r="AW11">
            <v>5811.3333333333339</v>
          </cell>
          <cell r="AX11">
            <v>6007</v>
          </cell>
          <cell r="AY11">
            <v>5861.5</v>
          </cell>
          <cell r="BA11">
            <v>6079.0266666666666</v>
          </cell>
          <cell r="BB11">
            <v>6181</v>
          </cell>
          <cell r="BC11">
            <v>6213</v>
          </cell>
          <cell r="BD11">
            <v>6476</v>
          </cell>
          <cell r="BE11">
            <v>6310.6</v>
          </cell>
          <cell r="BG11">
            <v>6528</v>
          </cell>
          <cell r="BH11">
            <v>6874</v>
          </cell>
          <cell r="BI11">
            <v>7109.2</v>
          </cell>
          <cell r="BJ11">
            <v>7142.6260869565222</v>
          </cell>
          <cell r="BK11">
            <v>6985.6</v>
          </cell>
          <cell r="BM11">
            <v>7390.7999999999993</v>
          </cell>
          <cell r="BN11">
            <v>7755.6</v>
          </cell>
          <cell r="BO11">
            <v>8074.8</v>
          </cell>
          <cell r="BP11">
            <v>8353.2000000000007</v>
          </cell>
        </row>
        <row r="12">
          <cell r="A12" t="str">
            <v>Average Licensed Beds Per Hospital</v>
          </cell>
          <cell r="C12">
            <v>91.611111111111114</v>
          </cell>
          <cell r="D12">
            <v>91.83098591549296</v>
          </cell>
          <cell r="E12">
            <v>90.416666666666671</v>
          </cell>
          <cell r="F12">
            <v>88.871794871794876</v>
          </cell>
          <cell r="G12">
            <v>89.865853658536579</v>
          </cell>
          <cell r="H12">
            <v>90.196428571428569</v>
          </cell>
          <cell r="I12">
            <v>91.011494252873561</v>
          </cell>
          <cell r="J12">
            <v>90.455555555555549</v>
          </cell>
          <cell r="K12">
            <v>90.095057034220531</v>
          </cell>
          <cell r="L12">
            <v>90.597826086956516</v>
          </cell>
          <cell r="M12">
            <v>90.194736842105257</v>
          </cell>
          <cell r="N12">
            <v>90.002564102564108</v>
          </cell>
          <cell r="O12">
            <v>89.990196078431367</v>
          </cell>
          <cell r="P12">
            <v>95.349152542372892</v>
          </cell>
          <cell r="Q12">
            <v>90.15384615384616</v>
          </cell>
          <cell r="R12">
            <v>90.819047619047623</v>
          </cell>
          <cell r="S12">
            <v>91.429906542056074</v>
          </cell>
          <cell r="T12">
            <v>94.578947368421055</v>
          </cell>
          <cell r="U12">
            <v>92.126153846153855</v>
          </cell>
          <cell r="W12">
            <v>97.482758620689651</v>
          </cell>
          <cell r="X12">
            <v>100.26271186440678</v>
          </cell>
          <cell r="Y12">
            <v>102.28055555555555</v>
          </cell>
          <cell r="Z12">
            <v>99.459677419354833</v>
          </cell>
          <cell r="AA12">
            <v>99.851239669421489</v>
          </cell>
          <cell r="AC12">
            <v>104.84210526315789</v>
          </cell>
          <cell r="AD12">
            <v>99.528571428571425</v>
          </cell>
          <cell r="AE12">
            <v>104.98591549295774</v>
          </cell>
          <cell r="AF12">
            <v>107.47539251207729</v>
          </cell>
          <cell r="AG12">
            <v>103.68735083532219</v>
          </cell>
          <cell r="AH12">
            <v>68.541666666666671</v>
          </cell>
          <cell r="AI12">
            <v>68.541666666666671</v>
          </cell>
          <cell r="AJ12">
            <v>89.233100233100231</v>
          </cell>
          <cell r="AK12">
            <v>111.6830985915493</v>
          </cell>
          <cell r="AL12">
            <v>94.165266106442559</v>
          </cell>
          <cell r="AN12">
            <v>80</v>
          </cell>
          <cell r="AO12">
            <v>88.515625</v>
          </cell>
          <cell r="AR12">
            <v>107.3623188405797</v>
          </cell>
          <cell r="AS12">
            <v>110.68115942028986</v>
          </cell>
          <cell r="AT12">
            <v>109.02173913043478</v>
          </cell>
          <cell r="AU12">
            <v>111.046875</v>
          </cell>
          <cell r="AV12">
            <v>111.046875</v>
          </cell>
          <cell r="AW12">
            <v>110.78717948717947</v>
          </cell>
          <cell r="AX12">
            <v>112.11363636363636</v>
          </cell>
          <cell r="AY12">
            <v>111.56748466257667</v>
          </cell>
          <cell r="BA12">
            <v>111.34378109452737</v>
          </cell>
          <cell r="BB12">
            <v>113.05970149253731</v>
          </cell>
          <cell r="BC12">
            <v>113.83703703703704</v>
          </cell>
          <cell r="BD12">
            <v>113.91428571428571</v>
          </cell>
          <cell r="BE12">
            <v>113.41228070175437</v>
          </cell>
          <cell r="BG12">
            <v>113.71830985915493</v>
          </cell>
          <cell r="BH12">
            <v>113.83561643835617</v>
          </cell>
          <cell r="BI12">
            <v>117.64238410596026</v>
          </cell>
          <cell r="BJ12">
            <v>115.89328063241106</v>
          </cell>
          <cell r="BK12">
            <v>115.11640211640211</v>
          </cell>
          <cell r="BM12">
            <v>114</v>
          </cell>
          <cell r="BN12">
            <v>114</v>
          </cell>
          <cell r="BO12">
            <v>114</v>
          </cell>
          <cell r="BP12">
            <v>118</v>
          </cell>
        </row>
        <row r="13">
          <cell r="A13" t="str">
            <v>Average Beds In Service Per Hospital</v>
          </cell>
          <cell r="C13">
            <v>69.972222222222229</v>
          </cell>
          <cell r="D13">
            <v>68.028169014084511</v>
          </cell>
          <cell r="E13">
            <v>67.416666666666671</v>
          </cell>
          <cell r="F13">
            <v>68.192307692307693</v>
          </cell>
          <cell r="G13">
            <v>69.853658536585371</v>
          </cell>
          <cell r="H13">
            <v>70.535714285714292</v>
          </cell>
          <cell r="I13">
            <v>69.540229885057471</v>
          </cell>
          <cell r="J13">
            <v>68.888888888888886</v>
          </cell>
          <cell r="K13">
            <v>69.153992395437257</v>
          </cell>
          <cell r="L13">
            <v>69.239130434782609</v>
          </cell>
          <cell r="M13">
            <v>69.494736842105269</v>
          </cell>
          <cell r="N13">
            <v>69.353846153846149</v>
          </cell>
          <cell r="O13">
            <v>68.568627450980387</v>
          </cell>
          <cell r="P13">
            <v>69.132203389830508</v>
          </cell>
          <cell r="Q13">
            <v>66.038461538461533</v>
          </cell>
          <cell r="R13">
            <v>66.695238095238096</v>
          </cell>
          <cell r="S13">
            <v>70.186915887850461</v>
          </cell>
          <cell r="T13">
            <v>74.576576576576571</v>
          </cell>
          <cell r="U13">
            <v>68.907692307692315</v>
          </cell>
          <cell r="W13">
            <v>77.758620689655174</v>
          </cell>
          <cell r="X13">
            <v>76.372881355932208</v>
          </cell>
          <cell r="Y13">
            <v>75.715108612965935</v>
          </cell>
          <cell r="Z13">
            <v>76.796879302870266</v>
          </cell>
          <cell r="AA13">
            <v>75.703772865933516</v>
          </cell>
          <cell r="AC13">
            <v>77.759398496240607</v>
          </cell>
          <cell r="AD13">
            <v>77.092857142857142</v>
          </cell>
          <cell r="AE13">
            <v>84.464788732394368</v>
          </cell>
          <cell r="AF13">
            <v>85.833333333333329</v>
          </cell>
          <cell r="AG13">
            <v>81.424224343675419</v>
          </cell>
          <cell r="AH13">
            <v>69.270833333333329</v>
          </cell>
          <cell r="AI13">
            <v>85.930555555555557</v>
          </cell>
          <cell r="AJ13">
            <v>86</v>
          </cell>
          <cell r="AK13">
            <v>90.042253521126767</v>
          </cell>
          <cell r="AL13">
            <v>88.095238095238088</v>
          </cell>
          <cell r="AN13">
            <v>80</v>
          </cell>
          <cell r="AO13">
            <v>88.515625</v>
          </cell>
          <cell r="AR13">
            <v>83.304347826086953</v>
          </cell>
          <cell r="AS13">
            <v>87.550724637681157</v>
          </cell>
          <cell r="AT13">
            <v>85.427536231884062</v>
          </cell>
          <cell r="AU13">
            <v>89.3125</v>
          </cell>
          <cell r="AV13">
            <v>89.3125</v>
          </cell>
          <cell r="AW13">
            <v>86</v>
          </cell>
          <cell r="AX13">
            <v>91.015151515151516</v>
          </cell>
          <cell r="AY13">
            <v>89.900306748466249</v>
          </cell>
          <cell r="BA13">
            <v>90.731741293532338</v>
          </cell>
          <cell r="BB13">
            <v>92.253731343283576</v>
          </cell>
          <cell r="BC13">
            <v>92.044444444444451</v>
          </cell>
          <cell r="BD13">
            <v>93</v>
          </cell>
          <cell r="BE13">
            <v>92.260233918128648</v>
          </cell>
          <cell r="BG13">
            <v>91.943661971830991</v>
          </cell>
          <cell r="BH13">
            <v>94.164383561643831</v>
          </cell>
          <cell r="BI13">
            <v>94.161589403973508</v>
          </cell>
          <cell r="BJ13">
            <v>92.761377752682108</v>
          </cell>
          <cell r="BK13">
            <v>92.40211640211642</v>
          </cell>
          <cell r="BM13">
            <v>92.384999999999991</v>
          </cell>
          <cell r="BN13">
            <v>92.328571428571436</v>
          </cell>
          <cell r="BO13">
            <v>92.283428571428573</v>
          </cell>
          <cell r="BP13">
            <v>92.300552486187854</v>
          </cell>
        </row>
        <row r="14">
          <cell r="A14" t="str">
            <v>Average Beds In Service Per Hospital</v>
          </cell>
          <cell r="C14">
            <v>69.972222222222229</v>
          </cell>
          <cell r="D14">
            <v>68.028169014084511</v>
          </cell>
          <cell r="E14">
            <v>67.416666666666671</v>
          </cell>
          <cell r="F14">
            <v>68.192307692307693</v>
          </cell>
          <cell r="G14">
            <v>69.853658536585371</v>
          </cell>
          <cell r="H14">
            <v>70.535714285714292</v>
          </cell>
          <cell r="I14">
            <v>69.540229885057471</v>
          </cell>
          <cell r="J14">
            <v>68.888888888888886</v>
          </cell>
          <cell r="K14">
            <v>69.153992395437257</v>
          </cell>
          <cell r="L14">
            <v>69.239130434782609</v>
          </cell>
          <cell r="M14">
            <v>69.494736842105269</v>
          </cell>
          <cell r="N14">
            <v>69.353846153846149</v>
          </cell>
          <cell r="O14">
            <v>68.568627450980387</v>
          </cell>
          <cell r="P14">
            <v>69.132203389830508</v>
          </cell>
          <cell r="Q14">
            <v>66.038461538461533</v>
          </cell>
          <cell r="R14">
            <v>66.695238095238096</v>
          </cell>
          <cell r="S14">
            <v>70.186915887850461</v>
          </cell>
          <cell r="T14">
            <v>74.576576576576571</v>
          </cell>
          <cell r="U14">
            <v>68.907692307692315</v>
          </cell>
          <cell r="W14">
            <v>77.758620689655174</v>
          </cell>
          <cell r="X14">
            <v>76.372881355932208</v>
          </cell>
          <cell r="Y14">
            <v>75.715108612965935</v>
          </cell>
          <cell r="Z14">
            <v>76.796879302870266</v>
          </cell>
          <cell r="AA14">
            <v>75.703772865933516</v>
          </cell>
          <cell r="AC14">
            <v>77.759398496240607</v>
          </cell>
          <cell r="AD14">
            <v>77.092857142857142</v>
          </cell>
          <cell r="AE14">
            <v>84.464788732394368</v>
          </cell>
          <cell r="AF14">
            <v>85.833333333333329</v>
          </cell>
          <cell r="AG14">
            <v>81.424224343675419</v>
          </cell>
          <cell r="AH14">
            <v>69.270833333333329</v>
          </cell>
          <cell r="AI14">
            <v>85.930555555555557</v>
          </cell>
          <cell r="AJ14">
            <v>86</v>
          </cell>
          <cell r="AK14">
            <v>90.042253521126767</v>
          </cell>
          <cell r="AL14">
            <v>88.095238095238088</v>
          </cell>
          <cell r="AN14">
            <v>80</v>
          </cell>
          <cell r="AO14">
            <v>88.515625</v>
          </cell>
          <cell r="AR14">
            <v>83.304347826086953</v>
          </cell>
          <cell r="AS14">
            <v>87.550724637681157</v>
          </cell>
          <cell r="AT14">
            <v>85.427536231884062</v>
          </cell>
          <cell r="AU14">
            <v>89.3125</v>
          </cell>
          <cell r="AV14">
            <v>89.3125</v>
          </cell>
          <cell r="AW14">
            <v>86</v>
          </cell>
          <cell r="AX14">
            <v>91.015151515151516</v>
          </cell>
          <cell r="AY14">
            <v>89.900306748466249</v>
          </cell>
          <cell r="BA14">
            <v>90.910845771144281</v>
          </cell>
          <cell r="BB14">
            <v>92.343283582089555</v>
          </cell>
          <cell r="BC14">
            <v>92.044444444444451</v>
          </cell>
          <cell r="BD14">
            <v>93</v>
          </cell>
        </row>
        <row r="15">
          <cell r="A15" t="str">
            <v>Admissions</v>
          </cell>
          <cell r="C15">
            <v>76347</v>
          </cell>
          <cell r="D15">
            <v>75122</v>
          </cell>
          <cell r="E15">
            <v>88103</v>
          </cell>
          <cell r="F15">
            <v>100114</v>
          </cell>
          <cell r="G15">
            <v>31516</v>
          </cell>
          <cell r="H15">
            <v>28301</v>
          </cell>
          <cell r="I15">
            <v>28636</v>
          </cell>
          <cell r="J15">
            <v>31961</v>
          </cell>
          <cell r="K15">
            <v>120414</v>
          </cell>
          <cell r="L15">
            <v>34704</v>
          </cell>
          <cell r="M15">
            <v>33610</v>
          </cell>
          <cell r="N15">
            <v>36576</v>
          </cell>
          <cell r="O15">
            <v>38420</v>
          </cell>
          <cell r="P15">
            <v>143310</v>
          </cell>
          <cell r="Q15">
            <v>42882</v>
          </cell>
          <cell r="R15">
            <v>39677</v>
          </cell>
          <cell r="S15">
            <v>40772</v>
          </cell>
          <cell r="T15">
            <v>46243</v>
          </cell>
          <cell r="U15">
            <v>169574</v>
          </cell>
          <cell r="V15">
            <v>0</v>
          </cell>
          <cell r="W15">
            <v>53515</v>
          </cell>
          <cell r="X15">
            <v>50771</v>
          </cell>
          <cell r="Y15">
            <v>52032</v>
          </cell>
          <cell r="Z15">
            <v>53649</v>
          </cell>
          <cell r="AA15">
            <v>209967</v>
          </cell>
          <cell r="AB15">
            <v>0</v>
          </cell>
          <cell r="AC15">
            <v>61648</v>
          </cell>
          <cell r="AD15">
            <v>57979</v>
          </cell>
          <cell r="AE15">
            <v>64264</v>
          </cell>
          <cell r="AF15">
            <v>70976</v>
          </cell>
          <cell r="AG15">
            <v>254867</v>
          </cell>
          <cell r="AH15">
            <v>72633</v>
          </cell>
          <cell r="AI15">
            <v>69145</v>
          </cell>
          <cell r="AJ15">
            <v>69208</v>
          </cell>
          <cell r="AK15">
            <v>70706</v>
          </cell>
          <cell r="AL15">
            <v>279678</v>
          </cell>
          <cell r="AM15">
            <v>0</v>
          </cell>
          <cell r="AN15">
            <v>205607</v>
          </cell>
          <cell r="AO15">
            <v>238774</v>
          </cell>
          <cell r="AR15">
            <v>63297</v>
          </cell>
          <cell r="AS15">
            <v>70035</v>
          </cell>
          <cell r="AT15">
            <v>250901</v>
          </cell>
          <cell r="AU15">
            <v>68257</v>
          </cell>
          <cell r="AV15">
            <v>65097</v>
          </cell>
          <cell r="AW15">
            <v>66269</v>
          </cell>
          <cell r="AX15">
            <v>67767</v>
          </cell>
          <cell r="AY15">
            <v>267390</v>
          </cell>
          <cell r="AZ15">
            <v>0</v>
          </cell>
          <cell r="BA15">
            <v>75490</v>
          </cell>
          <cell r="BB15">
            <v>70844</v>
          </cell>
          <cell r="BC15">
            <v>71337</v>
          </cell>
          <cell r="BD15">
            <v>73962</v>
          </cell>
          <cell r="BE15">
            <v>291633</v>
          </cell>
          <cell r="BF15">
            <v>0</v>
          </cell>
          <cell r="BG15">
            <v>78966</v>
          </cell>
          <cell r="BH15">
            <v>78248</v>
          </cell>
          <cell r="BI15">
            <v>79382.327843070976</v>
          </cell>
          <cell r="BJ15">
            <v>80759.740817949889</v>
          </cell>
          <cell r="BK15">
            <v>317356.06866102084</v>
          </cell>
          <cell r="BL15">
            <v>0</v>
          </cell>
          <cell r="BM15">
            <v>340746.82833585993</v>
          </cell>
          <cell r="BN15">
            <v>357565.63590431289</v>
          </cell>
          <cell r="BO15">
            <v>372282.09252670914</v>
          </cell>
          <cell r="BP15">
            <v>385117.49830263376</v>
          </cell>
          <cell r="BS15" t="str">
            <v>mstag:hospitalAdmissions</v>
          </cell>
          <cell r="BT15">
            <v>0</v>
          </cell>
          <cell r="BU15" t="str">
            <v>ms_eqr_gcim_Decimal:ms_eqr_gcim_decimal</v>
          </cell>
          <cell r="BV15" t="b">
            <v>0</v>
          </cell>
          <cell r="BW15" t="b">
            <v>0</v>
          </cell>
        </row>
        <row r="16">
          <cell r="A16" t="str">
            <v>% Change (historicals same-store)</v>
          </cell>
          <cell r="C16" t="str">
            <v>N/A</v>
          </cell>
          <cell r="D16" t="str">
            <v>N/A</v>
          </cell>
          <cell r="E16" t="str">
            <v>N/A</v>
          </cell>
          <cell r="F16">
            <v>7.5999999999999998E-2</v>
          </cell>
          <cell r="G16">
            <v>0.08</v>
          </cell>
          <cell r="H16">
            <v>2.9000000000000001E-2</v>
          </cell>
          <cell r="I16">
            <v>1.7999999999999999E-2</v>
          </cell>
          <cell r="J16">
            <v>6.8000000000000005E-2</v>
          </cell>
          <cell r="K16">
            <v>4.8750000000000002E-2</v>
          </cell>
          <cell r="L16">
            <v>1.7000000000000001E-2</v>
          </cell>
          <cell r="M16">
            <v>7.8E-2</v>
          </cell>
          <cell r="N16">
            <v>0.112</v>
          </cell>
          <cell r="O16">
            <v>5.1999999999999998E-2</v>
          </cell>
          <cell r="P16">
            <v>6.3E-2</v>
          </cell>
          <cell r="Q16">
            <v>6.7000000000000004E-2</v>
          </cell>
          <cell r="R16">
            <v>5.1999999999999998E-2</v>
          </cell>
          <cell r="S16">
            <v>1.9E-2</v>
          </cell>
          <cell r="T16">
            <v>2.1999999999999999E-2</v>
          </cell>
          <cell r="U16">
            <v>3.9E-2</v>
          </cell>
          <cell r="V16">
            <v>0</v>
          </cell>
          <cell r="W16">
            <v>3.1E-2</v>
          </cell>
          <cell r="X16">
            <v>4.5999999999999999E-2</v>
          </cell>
          <cell r="Y16">
            <v>6.0999999999999999E-2</v>
          </cell>
          <cell r="Z16">
            <v>3.6935319940315292E-2</v>
          </cell>
          <cell r="AA16">
            <v>4.3999999999999997E-2</v>
          </cell>
          <cell r="AB16">
            <v>0</v>
          </cell>
          <cell r="AC16">
            <v>-4.0000000000000001E-3</v>
          </cell>
          <cell r="AD16">
            <v>-8.8830237734139894E-3</v>
          </cell>
          <cell r="AE16">
            <v>0.01</v>
          </cell>
          <cell r="AF16">
            <v>4.2468517618923007E-2</v>
          </cell>
          <cell r="AG16">
            <v>1.0070000000000001E-2</v>
          </cell>
          <cell r="AH16">
            <v>1.9E-2</v>
          </cell>
          <cell r="AI16">
            <v>3.3000000000000002E-2</v>
          </cell>
          <cell r="AJ16">
            <v>-1.7000000000000001E-2</v>
          </cell>
          <cell r="AK16">
            <v>-3.4448256146369371E-2</v>
          </cell>
          <cell r="AL16">
            <v>-1.5692114312249039E-3</v>
          </cell>
          <cell r="AM16">
            <v>0</v>
          </cell>
          <cell r="AN16">
            <v>4.3999999999999997E-2</v>
          </cell>
          <cell r="AO16" t="str">
            <v>N/A</v>
          </cell>
          <cell r="AR16">
            <v>0.01</v>
          </cell>
          <cell r="AS16">
            <v>4.2468517618923007E-2</v>
          </cell>
          <cell r="AT16">
            <v>1.2E-2</v>
          </cell>
          <cell r="AU16">
            <v>1.9E-2</v>
          </cell>
          <cell r="AV16">
            <v>3.3000000000000002E-2</v>
          </cell>
          <cell r="AW16">
            <v>-1.7000000000000001E-2</v>
          </cell>
          <cell r="AX16">
            <v>-3.4448256146369371E-2</v>
          </cell>
          <cell r="AY16">
            <v>-1.5692114312249039E-3</v>
          </cell>
          <cell r="AZ16">
            <v>0</v>
          </cell>
          <cell r="BA16">
            <v>0.04</v>
          </cell>
          <cell r="BB16">
            <v>3.0000000000000001E-3</v>
          </cell>
          <cell r="BC16">
            <v>2.3495148561167412E-2</v>
          </cell>
          <cell r="BD16">
            <v>1.4999999999999999E-2</v>
          </cell>
          <cell r="BE16">
            <v>2.1000000000000001E-2</v>
          </cell>
          <cell r="BG16">
            <v>-2.4E-2</v>
          </cell>
          <cell r="BH16">
            <v>1.0999999999999999E-2</v>
          </cell>
          <cell r="BI16">
            <v>0.11277917270239812</v>
          </cell>
          <cell r="BJ16">
            <v>9.1908558691623954E-2</v>
          </cell>
          <cell r="BK16">
            <v>8.8203559477222582E-2</v>
          </cell>
          <cell r="BM16">
            <v>7.370509652936108E-2</v>
          </cell>
          <cell r="BN16">
            <v>4.9358662120474239E-2</v>
          </cell>
          <cell r="BO16">
            <v>4.1157357264428152E-2</v>
          </cell>
          <cell r="BP16">
            <v>3.4477634120968936E-2</v>
          </cell>
          <cell r="BS16" t="str">
            <v>mstag:hospitalAdmissionsSameStoreGrowth</v>
          </cell>
          <cell r="BT16">
            <v>0</v>
          </cell>
          <cell r="BU16" t="str">
            <v>ms_eqr_gcim_Decimal:ms_eqr_gcim_decimal</v>
          </cell>
          <cell r="BV16" t="b">
            <v>0</v>
          </cell>
          <cell r="BW16" t="b">
            <v>0</v>
          </cell>
        </row>
        <row r="17">
          <cell r="A17" t="str">
            <v>Adjusted Admissions</v>
          </cell>
          <cell r="C17">
            <v>118042</v>
          </cell>
          <cell r="D17">
            <v>124195</v>
          </cell>
          <cell r="E17">
            <v>153618</v>
          </cell>
          <cell r="F17">
            <v>177075</v>
          </cell>
          <cell r="G17">
            <v>53613</v>
          </cell>
          <cell r="H17">
            <v>51784</v>
          </cell>
          <cell r="I17">
            <v>53479</v>
          </cell>
          <cell r="J17">
            <v>58130</v>
          </cell>
          <cell r="K17">
            <v>217006</v>
          </cell>
          <cell r="L17">
            <v>62309</v>
          </cell>
          <cell r="M17">
            <v>63785</v>
          </cell>
          <cell r="N17">
            <v>67555</v>
          </cell>
          <cell r="O17">
            <v>68846</v>
          </cell>
          <cell r="P17">
            <v>262419</v>
          </cell>
          <cell r="Q17">
            <v>76137</v>
          </cell>
          <cell r="R17">
            <v>73546</v>
          </cell>
          <cell r="S17">
            <v>76905</v>
          </cell>
          <cell r="T17">
            <v>84551</v>
          </cell>
          <cell r="U17">
            <v>311238</v>
          </cell>
          <cell r="V17">
            <v>99</v>
          </cell>
          <cell r="W17">
            <v>96281</v>
          </cell>
          <cell r="X17">
            <v>94871</v>
          </cell>
          <cell r="Y17">
            <v>97848</v>
          </cell>
          <cell r="Z17">
            <v>98292</v>
          </cell>
          <cell r="AA17">
            <v>387311</v>
          </cell>
          <cell r="AB17">
            <v>19</v>
          </cell>
          <cell r="AC17">
            <v>110730</v>
          </cell>
          <cell r="AD17">
            <v>107096</v>
          </cell>
          <cell r="AE17">
            <v>119640</v>
          </cell>
          <cell r="AF17">
            <v>128313</v>
          </cell>
          <cell r="AG17">
            <v>465867</v>
          </cell>
          <cell r="AH17">
            <v>130972</v>
          </cell>
          <cell r="AI17">
            <v>128265</v>
          </cell>
          <cell r="AJ17">
            <v>131301</v>
          </cell>
          <cell r="AK17">
            <v>131531</v>
          </cell>
          <cell r="AL17">
            <v>518603</v>
          </cell>
          <cell r="AM17">
            <v>88</v>
          </cell>
          <cell r="AN17">
            <v>379604</v>
          </cell>
          <cell r="AO17">
            <v>434570</v>
          </cell>
          <cell r="AR17">
            <v>117895</v>
          </cell>
          <cell r="AS17">
            <v>126625</v>
          </cell>
          <cell r="AT17">
            <v>458709</v>
          </cell>
          <cell r="AU17">
            <v>122842</v>
          </cell>
          <cell r="AV17">
            <v>120287</v>
          </cell>
          <cell r="AW17">
            <v>125047</v>
          </cell>
          <cell r="AX17">
            <v>125513</v>
          </cell>
          <cell r="AY17">
            <v>493776</v>
          </cell>
          <cell r="AZ17">
            <v>87</v>
          </cell>
          <cell r="BA17">
            <v>134513</v>
          </cell>
          <cell r="BB17">
            <v>132764</v>
          </cell>
          <cell r="BC17">
            <v>134952</v>
          </cell>
          <cell r="BD17">
            <v>136195</v>
          </cell>
          <cell r="BE17">
            <v>538445</v>
          </cell>
          <cell r="BF17">
            <v>21</v>
          </cell>
          <cell r="BG17">
            <v>143168</v>
          </cell>
          <cell r="BH17">
            <v>147223</v>
          </cell>
          <cell r="BI17">
            <v>150171.77491453403</v>
          </cell>
          <cell r="BJ17">
            <v>148712.48615100572</v>
          </cell>
          <cell r="BK17">
            <v>589275.26106553979</v>
          </cell>
          <cell r="BL17">
            <v>0</v>
          </cell>
          <cell r="BM17">
            <v>630381.63242134091</v>
          </cell>
          <cell r="BN17">
            <v>661496.42642297887</v>
          </cell>
          <cell r="BO17">
            <v>688721.87117441196</v>
          </cell>
          <cell r="BP17">
            <v>712467.37185987248</v>
          </cell>
          <cell r="BS17" t="str">
            <v>mstag:adjustedHospitalAdmissions</v>
          </cell>
          <cell r="BT17">
            <v>0</v>
          </cell>
          <cell r="BU17" t="str">
            <v>ms_eqr_gcim_Decimal:ms_eqr_gcim_decimal</v>
          </cell>
          <cell r="BV17" t="b">
            <v>0</v>
          </cell>
          <cell r="BW17" t="b">
            <v>0</v>
          </cell>
        </row>
        <row r="18">
          <cell r="A18" t="str">
            <v>% Change (historicals same-store)</v>
          </cell>
          <cell r="C18" t="str">
            <v>N/A</v>
          </cell>
          <cell r="D18" t="str">
            <v>N/A</v>
          </cell>
          <cell r="E18" t="str">
            <v>N/A</v>
          </cell>
          <cell r="F18" t="str">
            <v>N/A</v>
          </cell>
          <cell r="G18" t="str">
            <v>N/A</v>
          </cell>
          <cell r="H18" t="str">
            <v>N/A</v>
          </cell>
          <cell r="I18" t="str">
            <v>N/A</v>
          </cell>
          <cell r="J18" t="str">
            <v>N/A</v>
          </cell>
          <cell r="K18">
            <v>7.6999999999999999E-2</v>
          </cell>
          <cell r="L18">
            <v>6.5000000000000002E-2</v>
          </cell>
          <cell r="M18">
            <v>0.106</v>
          </cell>
          <cell r="N18">
            <v>9.2999999999999999E-2</v>
          </cell>
          <cell r="O18">
            <v>3.4000000000000002E-2</v>
          </cell>
          <cell r="P18">
            <v>7.2999999999999995E-2</v>
          </cell>
          <cell r="Q18">
            <v>5.5E-2</v>
          </cell>
          <cell r="R18">
            <v>3.1E-2</v>
          </cell>
          <cell r="S18">
            <v>4.3999999999999997E-2</v>
          </cell>
          <cell r="T18">
            <v>4.7E-2</v>
          </cell>
          <cell r="U18">
            <v>4.4999999999999998E-2</v>
          </cell>
          <cell r="V18">
            <v>99</v>
          </cell>
          <cell r="W18">
            <v>4.3999999999999997E-2</v>
          </cell>
          <cell r="X18">
            <v>6.4000000000000001E-2</v>
          </cell>
          <cell r="Y18">
            <v>0.06</v>
          </cell>
          <cell r="Z18">
            <v>3.9727501744509341E-2</v>
          </cell>
          <cell r="AA18">
            <v>5.0999999999999997E-2</v>
          </cell>
          <cell r="AB18">
            <v>19</v>
          </cell>
          <cell r="AC18">
            <v>-0.01</v>
          </cell>
          <cell r="AD18">
            <v>-2.1323692171474895E-2</v>
          </cell>
          <cell r="AE18">
            <v>-0.01</v>
          </cell>
          <cell r="AF18">
            <v>2.3808552309450004E-2</v>
          </cell>
          <cell r="AG18">
            <v>-4.2501078674792581E-3</v>
          </cell>
          <cell r="AH18">
            <v>2.1000000000000001E-2</v>
          </cell>
          <cell r="AI18">
            <v>3.5999999999999997E-2</v>
          </cell>
          <cell r="AJ18">
            <v>0.01</v>
          </cell>
          <cell r="AK18">
            <v>-1.3139378607004537E-2</v>
          </cell>
          <cell r="AL18">
            <v>1.2617184592278674E-2</v>
          </cell>
          <cell r="AM18">
            <v>88</v>
          </cell>
          <cell r="AN18">
            <v>5.0999999999999997E-2</v>
          </cell>
          <cell r="AO18" t="str">
            <v>N/A</v>
          </cell>
          <cell r="AR18">
            <v>-0.01</v>
          </cell>
          <cell r="AS18">
            <v>2.3808552309450004E-2</v>
          </cell>
          <cell r="AT18">
            <v>-3.0000000000000001E-3</v>
          </cell>
          <cell r="AU18">
            <v>2.1000000000000001E-2</v>
          </cell>
          <cell r="AV18">
            <v>3.5999999999999997E-2</v>
          </cell>
          <cell r="AW18">
            <v>0.01</v>
          </cell>
          <cell r="AX18">
            <v>-1.3139378607004537E-2</v>
          </cell>
          <cell r="AY18">
            <v>1.2E-2</v>
          </cell>
          <cell r="AZ18">
            <v>87</v>
          </cell>
          <cell r="BA18">
            <v>2.8000000000000001E-2</v>
          </cell>
          <cell r="BB18">
            <v>1.2999999999999999E-2</v>
          </cell>
          <cell r="BC18">
            <v>2.601421865378617E-2</v>
          </cell>
          <cell r="BD18">
            <v>5.0000000000000001E-3</v>
          </cell>
          <cell r="BE18">
            <v>1.7999999999999999E-2</v>
          </cell>
          <cell r="BG18">
            <v>-8.9999999999999993E-3</v>
          </cell>
          <cell r="BH18">
            <v>5.0000000000000001E-3</v>
          </cell>
          <cell r="BI18">
            <v>0.11277917270239812</v>
          </cell>
          <cell r="BJ18">
            <v>9.1908558691623954E-2</v>
          </cell>
          <cell r="BK18">
            <v>9.4401955753214972E-2</v>
          </cell>
          <cell r="BM18">
            <v>6.9757503957440514E-2</v>
          </cell>
          <cell r="BN18">
            <v>4.9358662120474239E-2</v>
          </cell>
          <cell r="BO18">
            <v>4.1157357264428152E-2</v>
          </cell>
          <cell r="BP18">
            <v>3.4477634120968936E-2</v>
          </cell>
          <cell r="BS18" t="str">
            <v>mstag:adjustedHospitalAdmissionsSameStoreGrowth</v>
          </cell>
          <cell r="BT18">
            <v>0</v>
          </cell>
          <cell r="BU18" t="str">
            <v>ms_eqr_gcim_Decimal:ms_eqr_gcim_decimal</v>
          </cell>
          <cell r="BV18" t="b">
            <v>0</v>
          </cell>
          <cell r="BW18" t="b">
            <v>0</v>
          </cell>
        </row>
        <row r="19">
          <cell r="A19" t="str">
            <v>Revenue Per Admission</v>
          </cell>
          <cell r="C19">
            <v>4635.9830772656424</v>
          </cell>
          <cell r="D19">
            <v>5051.5295119938237</v>
          </cell>
          <cell r="E19">
            <v>4929.5029681168635</v>
          </cell>
          <cell r="F19">
            <v>4754.5903669816416</v>
          </cell>
          <cell r="G19">
            <v>4631.5274781063599</v>
          </cell>
          <cell r="H19">
            <v>4824.2090032154301</v>
          </cell>
          <cell r="I19">
            <v>4725.3901382874701</v>
          </cell>
          <cell r="J19">
            <v>4734.5765151278129</v>
          </cell>
          <cell r="K19">
            <v>4726.4872107894435</v>
          </cell>
          <cell r="L19">
            <v>4660.3597279852465</v>
          </cell>
          <cell r="M19">
            <v>4614.0881880392744</v>
          </cell>
          <cell r="N19">
            <v>4746.845718503937</v>
          </cell>
          <cell r="O19">
            <v>5084.3894586153046</v>
          </cell>
          <cell r="P19">
            <v>4759.7900355871889</v>
          </cell>
          <cell r="Q19">
            <v>4880.5705190989229</v>
          </cell>
          <cell r="R19">
            <v>5011.7414119011009</v>
          </cell>
          <cell r="S19">
            <v>5200.4714264691456</v>
          </cell>
          <cell r="T19">
            <v>5483.0690482883901</v>
          </cell>
          <cell r="U19">
            <v>5152.4801679502762</v>
          </cell>
          <cell r="W19">
            <v>5263.9079136690643</v>
          </cell>
          <cell r="X19">
            <v>5402.9050836107226</v>
          </cell>
          <cell r="Y19">
            <v>5546.2600322878225</v>
          </cell>
          <cell r="Z19">
            <v>5796.7935096646734</v>
          </cell>
          <cell r="AA19">
            <v>5503.6463015616755</v>
          </cell>
          <cell r="AC19">
            <v>5678.6284550999226</v>
          </cell>
          <cell r="AD19">
            <v>5691.0447920798906</v>
          </cell>
          <cell r="AE19">
            <v>5647.9061994273634</v>
          </cell>
          <cell r="AF19">
            <v>5768.7314021641114</v>
          </cell>
          <cell r="AG19">
            <v>5698.7985772971788</v>
          </cell>
          <cell r="AH19">
            <v>5808.3638015777951</v>
          </cell>
          <cell r="AI19">
            <v>5930.8579940704321</v>
          </cell>
          <cell r="AJ19">
            <v>6049.0241590567557</v>
          </cell>
          <cell r="AK19">
            <v>6262.6917659038836</v>
          </cell>
          <cell r="AL19">
            <v>6017.5763020330523</v>
          </cell>
          <cell r="AN19">
            <v>5524.0171784034601</v>
          </cell>
          <cell r="AO19">
            <v>5739.2272190439498</v>
          </cell>
          <cell r="AR19">
            <v>5652.3041218383178</v>
          </cell>
          <cell r="AS19">
            <v>5789.8979653030638</v>
          </cell>
          <cell r="AT19">
            <v>5718.3548810088441</v>
          </cell>
          <cell r="AU19">
            <v>5850.0022561788546</v>
          </cell>
          <cell r="AV19">
            <v>5970.1435089174611</v>
          </cell>
          <cell r="AW19">
            <v>6076.1478217567801</v>
          </cell>
          <cell r="AX19">
            <v>6301.5553292900677</v>
          </cell>
          <cell r="AY19">
            <v>6049.739242305247</v>
          </cell>
          <cell r="BA19">
            <v>6244.383322294344</v>
          </cell>
          <cell r="BB19">
            <v>6535.9645418101745</v>
          </cell>
          <cell r="BC19">
            <v>6539.2858965193382</v>
          </cell>
          <cell r="BD19">
            <v>6798.3537492225742</v>
          </cell>
          <cell r="BE19">
            <v>6527.8457753409248</v>
          </cell>
          <cell r="BG19">
            <v>6617.0257832484858</v>
          </cell>
          <cell r="BH19">
            <v>6752.9507719047133</v>
          </cell>
          <cell r="BI19">
            <v>7144.69090058455</v>
          </cell>
          <cell r="BJ19">
            <v>7077.5244280846937</v>
          </cell>
          <cell r="BK19">
            <v>6899.7142329466433</v>
          </cell>
          <cell r="BM19">
            <v>7147.8239936087248</v>
          </cell>
          <cell r="BN19">
            <v>7682.5362115921453</v>
          </cell>
          <cell r="BO19">
            <v>7951.4249789978712</v>
          </cell>
          <cell r="BP19">
            <v>8229.7248532627946</v>
          </cell>
          <cell r="BS19" t="str">
            <v>mstag:revenuePerAdmission</v>
          </cell>
          <cell r="BT19">
            <v>6</v>
          </cell>
          <cell r="BU19" t="str">
            <v>ISO4217:USD</v>
          </cell>
          <cell r="BV19" t="b">
            <v>0</v>
          </cell>
          <cell r="BW19" t="b">
            <v>0</v>
          </cell>
        </row>
        <row r="20">
          <cell r="A20" t="str">
            <v>% Change (historicals same-store)</v>
          </cell>
          <cell r="C20" t="str">
            <v>N/A</v>
          </cell>
          <cell r="D20" t="str">
            <v>N/A</v>
          </cell>
          <cell r="E20" t="str">
            <v>N/A</v>
          </cell>
          <cell r="F20" t="str">
            <v>N/A</v>
          </cell>
          <cell r="G20" t="str">
            <v>N/A</v>
          </cell>
          <cell r="H20" t="str">
            <v>N/A</v>
          </cell>
          <cell r="I20" t="str">
            <v>N/A</v>
          </cell>
          <cell r="J20" t="str">
            <v>N/A</v>
          </cell>
          <cell r="K20" t="str">
            <v>N/A</v>
          </cell>
          <cell r="L20" t="str">
            <v>N/A</v>
          </cell>
          <cell r="M20" t="str">
            <v>N/A</v>
          </cell>
          <cell r="N20" t="str">
            <v>N/A</v>
          </cell>
          <cell r="O20">
            <v>6.2E-2</v>
          </cell>
          <cell r="P20">
            <v>8.0000000000000002E-3</v>
          </cell>
          <cell r="Q20">
            <v>2.1000000000000001E-2</v>
          </cell>
          <cell r="R20">
            <v>5.8000000000000003E-2</v>
          </cell>
          <cell r="S20">
            <v>9.6000000000000002E-2</v>
          </cell>
          <cell r="T20">
            <v>5.7000000000000002E-2</v>
          </cell>
          <cell r="U20">
            <v>5.6000000000000001E-2</v>
          </cell>
          <cell r="W20">
            <v>4.7E-2</v>
          </cell>
          <cell r="X20">
            <v>5.5275743647826614E-2</v>
          </cell>
          <cell r="Y20">
            <v>6.9588126250631044E-2</v>
          </cell>
          <cell r="Z20">
            <v>6.5800278773059828E-2</v>
          </cell>
          <cell r="AA20">
            <v>5.0999999999999997E-2</v>
          </cell>
          <cell r="AC20">
            <v>9.2999999999999999E-2</v>
          </cell>
          <cell r="AD20">
            <v>6.9514549394751324E-2</v>
          </cell>
          <cell r="AE20">
            <v>3.5000000000000003E-2</v>
          </cell>
          <cell r="AF20">
            <v>2.1393621620942493E-2</v>
          </cell>
          <cell r="AG20">
            <v>5.3741799436927806E-2</v>
          </cell>
          <cell r="AH20">
            <v>3.7544496899551527E-2</v>
          </cell>
          <cell r="AI20">
            <v>2.7997038064001778E-2</v>
          </cell>
          <cell r="AJ20">
            <v>5.5743221011179012E-2</v>
          </cell>
          <cell r="AK20">
            <v>8.4523990228917212E-2</v>
          </cell>
          <cell r="AL20">
            <v>5.0971338431160085E-2</v>
          </cell>
          <cell r="AN20">
            <v>5.0766283524904088E-2</v>
          </cell>
          <cell r="AO20">
            <v>5.3359683794466539E-2</v>
          </cell>
          <cell r="AR20">
            <v>3.5000000000000003E-2</v>
          </cell>
          <cell r="AS20">
            <v>2.1393621620942493E-2</v>
          </cell>
          <cell r="AT20">
            <v>5.3359683794466539E-2</v>
          </cell>
          <cell r="AU20">
            <v>3.7544496899551527E-2</v>
          </cell>
          <cell r="AV20">
            <v>2.7997038064001778E-2</v>
          </cell>
          <cell r="AW20">
            <v>5.5743221011179012E-2</v>
          </cell>
          <cell r="AX20">
            <v>8.4523990228917212E-2</v>
          </cell>
          <cell r="AY20">
            <v>5.0971338431160085E-2</v>
          </cell>
          <cell r="BA20">
            <v>5.6669852165371459E-2</v>
          </cell>
          <cell r="BB20">
            <v>0.10072780589565355</v>
          </cell>
          <cell r="BC20">
            <v>6.7534475399819049E-2</v>
          </cell>
          <cell r="BD20">
            <v>9.0844314600542209E-2</v>
          </cell>
          <cell r="BE20">
            <v>8.0512283369566839E-2</v>
          </cell>
          <cell r="BG20">
            <v>7.2959956987475927E-2</v>
          </cell>
          <cell r="BH20">
            <v>5.6640616746766126E-2</v>
          </cell>
          <cell r="BI20">
            <v>9.2579681274900461E-2</v>
          </cell>
          <cell r="BJ20">
            <v>4.1064453125000178E-2</v>
          </cell>
          <cell r="BK20">
            <v>5.6966489467392023E-2</v>
          </cell>
          <cell r="BM20">
            <v>3.5959425605967654E-2</v>
          </cell>
          <cell r="BN20">
            <v>7.4807692307692131E-2</v>
          </cell>
          <cell r="BO20">
            <v>3.5000000000000142E-2</v>
          </cell>
          <cell r="BP20">
            <v>3.4999999999999698E-2</v>
          </cell>
          <cell r="BS20" t="str">
            <v>mstag:revenuePerAdmissionSameStoreGrowth</v>
          </cell>
          <cell r="BT20">
            <v>0</v>
          </cell>
          <cell r="BU20" t="str">
            <v>ISO4217:USD</v>
          </cell>
          <cell r="BV20" t="b">
            <v>0</v>
          </cell>
          <cell r="BW20" t="b">
            <v>0</v>
          </cell>
        </row>
        <row r="21">
          <cell r="A21" t="str">
            <v>Revenue Per Adjusted Admission</v>
          </cell>
          <cell r="C21">
            <v>4641.5682553667339</v>
          </cell>
          <cell r="D21">
            <v>5009.0583356817906</v>
          </cell>
          <cell r="E21">
            <v>4832.7669934512878</v>
          </cell>
          <cell r="F21">
            <v>4826.0906395595084</v>
          </cell>
          <cell r="G21">
            <v>4905.6012534273414</v>
          </cell>
          <cell r="H21">
            <v>5056.0211648385612</v>
          </cell>
          <cell r="I21">
            <v>4990.6692346528553</v>
          </cell>
          <cell r="J21">
            <v>4958.4035781868224</v>
          </cell>
          <cell r="K21">
            <v>4976.6043335207323</v>
          </cell>
          <cell r="L21">
            <v>4953.5540612110608</v>
          </cell>
          <cell r="M21">
            <v>4971.952653445167</v>
          </cell>
          <cell r="N21">
            <v>5069.1584634742067</v>
          </cell>
          <cell r="O21">
            <v>5363.6667344508032</v>
          </cell>
          <cell r="P21">
            <v>5096.8146361353411</v>
          </cell>
          <cell r="Q21">
            <v>5235.8905656907946</v>
          </cell>
          <cell r="R21">
            <v>5451.1326244799175</v>
          </cell>
          <cell r="S21">
            <v>5416.6699174305959</v>
          </cell>
          <cell r="T21">
            <v>5647.5026906837293</v>
          </cell>
          <cell r="U21">
            <v>5441.5752575199685</v>
          </cell>
          <cell r="W21">
            <v>5541.2698247837061</v>
          </cell>
          <cell r="X21">
            <v>5592.667938569215</v>
          </cell>
          <cell r="Y21">
            <v>5649.9979560134088</v>
          </cell>
          <cell r="Z21">
            <v>5936.1392585357917</v>
          </cell>
          <cell r="AA21">
            <v>5681.266475777863</v>
          </cell>
          <cell r="AC21">
            <v>5953.9149282037388</v>
          </cell>
          <cell r="AD21">
            <v>6137.4187644729964</v>
          </cell>
          <cell r="AE21">
            <v>6043.3132731527921</v>
          </cell>
          <cell r="AF21">
            <v>6196.0362550949631</v>
          </cell>
          <cell r="AG21">
            <v>6084.6207179302255</v>
          </cell>
          <cell r="AH21">
            <v>6279.0214702379135</v>
          </cell>
          <cell r="AI21">
            <v>6343.6557127821306</v>
          </cell>
          <cell r="AJ21">
            <v>6428.2374087021426</v>
          </cell>
          <cell r="AK21">
            <v>6627.1297260721803</v>
          </cell>
          <cell r="AL21">
            <v>6426.1892044589022</v>
          </cell>
          <cell r="AN21">
            <v>5699.0548044804582</v>
          </cell>
          <cell r="AO21">
            <v>6159.0077547920937</v>
          </cell>
          <cell r="AR21">
            <v>6045.1842741422452</v>
          </cell>
          <cell r="AS21">
            <v>6206.0730503455088</v>
          </cell>
          <cell r="AT21">
            <v>6097.0375554000466</v>
          </cell>
          <cell r="AU21">
            <v>6349.2860747952664</v>
          </cell>
          <cell r="AV21">
            <v>6410.568058061137</v>
          </cell>
          <cell r="AW21">
            <v>6492.0789783041573</v>
          </cell>
          <cell r="AX21">
            <v>6697.513404985938</v>
          </cell>
          <cell r="AY21">
            <v>6487.7738083665472</v>
          </cell>
          <cell r="BA21">
            <v>6752.2321262628893</v>
          </cell>
          <cell r="BB21">
            <v>6919.9331143984818</v>
          </cell>
          <cell r="BC21">
            <v>6885.9224020392439</v>
          </cell>
          <cell r="BD21">
            <v>7210.7639781196076</v>
          </cell>
          <cell r="BE21">
            <v>6855.8070257872196</v>
          </cell>
          <cell r="BG21">
            <v>7170.331358962896</v>
          </cell>
          <cell r="BH21">
            <v>7207.1211699258956</v>
          </cell>
          <cell r="BI21">
            <v>7333.5073581717943</v>
          </cell>
          <cell r="BJ21">
            <v>7463.1407173537937</v>
          </cell>
          <cell r="BK21">
            <v>7248.9468014895028</v>
          </cell>
          <cell r="BM21">
            <v>7430.1704715267397</v>
          </cell>
          <cell r="BN21">
            <v>7690.2264380301749</v>
          </cell>
          <cell r="BO21">
            <v>7959.3843633612305</v>
          </cell>
          <cell r="BP21">
            <v>8237.9628160788725</v>
          </cell>
          <cell r="BS21" t="str">
            <v>mstag:revenuePerAdjustedAdmission</v>
          </cell>
          <cell r="BT21">
            <v>6</v>
          </cell>
          <cell r="BU21" t="str">
            <v>ISO4217:USD</v>
          </cell>
          <cell r="BV21" t="b">
            <v>0</v>
          </cell>
          <cell r="BW21" t="b">
            <v>0</v>
          </cell>
        </row>
        <row r="22">
          <cell r="A22" t="str">
            <v>% Change (historicals same-store)</v>
          </cell>
          <cell r="C22" t="str">
            <v>N/A</v>
          </cell>
          <cell r="D22" t="str">
            <v>N/A</v>
          </cell>
          <cell r="E22" t="str">
            <v>N/A</v>
          </cell>
          <cell r="F22" t="str">
            <v>N/A</v>
          </cell>
          <cell r="G22" t="str">
            <v>N/A</v>
          </cell>
          <cell r="H22" t="str">
            <v>N/A</v>
          </cell>
          <cell r="I22" t="str">
            <v>N/A</v>
          </cell>
          <cell r="J22" t="str">
            <v>N/A</v>
          </cell>
          <cell r="K22">
            <v>-1E-3</v>
          </cell>
          <cell r="L22" t="str">
            <v>N/A</v>
          </cell>
          <cell r="M22" t="str">
            <v>N/A</v>
          </cell>
          <cell r="N22" t="str">
            <v>N/A</v>
          </cell>
          <cell r="O22">
            <v>0.08</v>
          </cell>
          <cell r="P22">
            <v>2.8000000000000001E-2</v>
          </cell>
          <cell r="Q22">
            <v>4.9000000000000002E-2</v>
          </cell>
          <cell r="R22">
            <v>8.3000000000000004E-2</v>
          </cell>
          <cell r="S22">
            <v>6.0999999999999999E-2</v>
          </cell>
          <cell r="T22">
            <v>3.6999999999999998E-2</v>
          </cell>
          <cell r="U22">
            <v>5.6000000000000001E-2</v>
          </cell>
          <cell r="W22">
            <v>4.8000000000000001E-2</v>
          </cell>
          <cell r="X22">
            <v>1.5318655623898225E-2</v>
          </cell>
          <cell r="Y22">
            <v>4.3668569990560346E-2</v>
          </cell>
          <cell r="Z22">
            <v>6.0940074779383568E-2</v>
          </cell>
          <cell r="AA22">
            <v>4.2999999999999997E-2</v>
          </cell>
          <cell r="AC22">
            <v>9.2999999999999999E-2</v>
          </cell>
          <cell r="AD22">
            <v>0.10684341343769366</v>
          </cell>
          <cell r="AE22">
            <v>9.1999999999999998E-2</v>
          </cell>
          <cell r="AF22">
            <v>6.8063780448265776E-2</v>
          </cell>
          <cell r="AG22">
            <v>8.9655846959206364E-2</v>
          </cell>
          <cell r="AH22">
            <v>5.928840737319141E-2</v>
          </cell>
          <cell r="AI22">
            <v>3.3282233331021649E-2</v>
          </cell>
          <cell r="AJ22">
            <v>5.0120415628797543E-2</v>
          </cell>
          <cell r="AK22">
            <v>6.7299535009470279E-2</v>
          </cell>
          <cell r="AL22">
            <v>5.2663418552428842E-2</v>
          </cell>
          <cell r="AN22">
            <v>4.2999999999999997E-2</v>
          </cell>
          <cell r="AO22">
            <v>8.8999999999999996E-2</v>
          </cell>
          <cell r="AR22">
            <v>9.1999999999999998E-2</v>
          </cell>
          <cell r="AS22">
            <v>6.8063780448265776E-2</v>
          </cell>
          <cell r="AT22">
            <v>8.8999999999999996E-2</v>
          </cell>
          <cell r="AU22">
            <v>5.928840737319141E-2</v>
          </cell>
          <cell r="AV22">
            <v>3.3282233331021649E-2</v>
          </cell>
          <cell r="AW22">
            <v>5.0120415628797543E-2</v>
          </cell>
          <cell r="AX22">
            <v>6.7299535009470279E-2</v>
          </cell>
          <cell r="AY22">
            <v>5.2663418552428842E-2</v>
          </cell>
          <cell r="BA22">
            <v>5.4603307396140277E-2</v>
          </cell>
          <cell r="BB22">
            <v>7.8639102395637206E-2</v>
          </cell>
          <cell r="BC22">
            <v>5.8523983984885453E-2</v>
          </cell>
          <cell r="BD22">
            <v>8.6505590478168859E-2</v>
          </cell>
          <cell r="BE22">
            <v>7.0966442686847042E-2</v>
          </cell>
          <cell r="BG22">
            <v>7.8136443415345092E-2</v>
          </cell>
          <cell r="BH22">
            <v>7.1755955635447011E-2</v>
          </cell>
          <cell r="BI22">
            <v>6.5000000000000002E-2</v>
          </cell>
          <cell r="BJ22">
            <v>3.5000000000000003E-2</v>
          </cell>
          <cell r="BK22">
            <v>5.7344055079663114E-2</v>
          </cell>
          <cell r="BM22">
            <v>2.4999999999999911E-2</v>
          </cell>
          <cell r="BN22">
            <v>3.499999999999992E-2</v>
          </cell>
          <cell r="BO22">
            <v>3.499999999999992E-2</v>
          </cell>
          <cell r="BP22">
            <v>3.499999999999992E-2</v>
          </cell>
          <cell r="BS22" t="str">
            <v>mstag:revenuePerAdjustedAdmissionsSameStoreGrowth</v>
          </cell>
          <cell r="BT22">
            <v>0</v>
          </cell>
          <cell r="BU22" t="str">
            <v>ISO4217:USD</v>
          </cell>
          <cell r="BV22" t="b">
            <v>0</v>
          </cell>
          <cell r="BW22" t="b">
            <v>0</v>
          </cell>
        </row>
        <row r="23">
          <cell r="A23" t="str">
            <v>% Change (historicals same-store)</v>
          </cell>
          <cell r="C23" t="str">
            <v>NA</v>
          </cell>
          <cell r="D23" t="str">
            <v>NA</v>
          </cell>
          <cell r="E23" t="str">
            <v>NA</v>
          </cell>
          <cell r="F23" t="str">
            <v>NA</v>
          </cell>
          <cell r="G23" t="str">
            <v>NA</v>
          </cell>
          <cell r="H23" t="str">
            <v>NA</v>
          </cell>
          <cell r="I23" t="str">
            <v>NA</v>
          </cell>
          <cell r="J23" t="str">
            <v>NA</v>
          </cell>
          <cell r="K23">
            <v>-1E-3</v>
          </cell>
          <cell r="L23" t="str">
            <v>NA</v>
          </cell>
          <cell r="M23" t="str">
            <v>NA</v>
          </cell>
          <cell r="N23" t="str">
            <v>NA</v>
          </cell>
          <cell r="O23">
            <v>0.08</v>
          </cell>
          <cell r="P23">
            <v>2.8000000000000001E-2</v>
          </cell>
          <cell r="Q23">
            <v>4.9000000000000002E-2</v>
          </cell>
          <cell r="R23">
            <v>8.3000000000000004E-2</v>
          </cell>
          <cell r="S23">
            <v>6.0999999999999999E-2</v>
          </cell>
          <cell r="T23">
            <v>3.6999999999999998E-2</v>
          </cell>
          <cell r="U23">
            <v>5.6000000000000001E-2</v>
          </cell>
          <cell r="W23">
            <v>4.8000000000000001E-2</v>
          </cell>
          <cell r="X23">
            <v>1.5318655623898225E-2</v>
          </cell>
          <cell r="Y23">
            <v>4.3668569990560346E-2</v>
          </cell>
          <cell r="Z23">
            <v>6.0940074779383568E-2</v>
          </cell>
          <cell r="AA23">
            <v>4.2999999999999997E-2</v>
          </cell>
          <cell r="AC23">
            <v>9.2999999999999999E-2</v>
          </cell>
          <cell r="AD23">
            <v>0.10684341343769366</v>
          </cell>
          <cell r="AE23">
            <v>9.1999999999999998E-2</v>
          </cell>
          <cell r="AF23">
            <v>6.8063780448265776E-2</v>
          </cell>
          <cell r="AG23">
            <v>8.9655846959206364E-2</v>
          </cell>
          <cell r="AH23">
            <v>5.928840737319141E-2</v>
          </cell>
          <cell r="AI23">
            <v>3.3282233331021649E-2</v>
          </cell>
          <cell r="AJ23">
            <v>5.0120415628797543E-2</v>
          </cell>
          <cell r="AK23">
            <v>6.7299535009470279E-2</v>
          </cell>
          <cell r="AL23">
            <v>5.2663418552428842E-2</v>
          </cell>
          <cell r="AN23">
            <v>4.2999999999999997E-2</v>
          </cell>
          <cell r="AO23">
            <v>8.8999999999999996E-2</v>
          </cell>
          <cell r="AR23">
            <v>9.1999999999999998E-2</v>
          </cell>
          <cell r="AS23">
            <v>6.8063780448265776E-2</v>
          </cell>
          <cell r="AT23">
            <v>8.8999999999999996E-2</v>
          </cell>
          <cell r="AU23">
            <v>5.928840737319141E-2</v>
          </cell>
          <cell r="AV23">
            <v>3.3282233331021649E-2</v>
          </cell>
          <cell r="AW23">
            <v>5.0120415628797543E-2</v>
          </cell>
          <cell r="AX23">
            <v>6.7299535009470279E-2</v>
          </cell>
          <cell r="AY23">
            <v>5.2663418552428842E-2</v>
          </cell>
          <cell r="BA23">
            <v>5.4603307396140277E-2</v>
          </cell>
          <cell r="BB23">
            <v>7.8639102395637206E-2</v>
          </cell>
          <cell r="BC23">
            <v>5.8523983984885453E-2</v>
          </cell>
          <cell r="BD23">
            <v>8.6505590478168859E-2</v>
          </cell>
        </row>
        <row r="24">
          <cell r="A24" t="str">
            <v>Patient Days</v>
          </cell>
          <cell r="C24">
            <v>404453</v>
          </cell>
          <cell r="D24">
            <v>352804</v>
          </cell>
          <cell r="E24">
            <v>399012</v>
          </cell>
          <cell r="F24">
            <v>416845</v>
          </cell>
          <cell r="G24">
            <v>131698</v>
          </cell>
          <cell r="H24">
            <v>112656</v>
          </cell>
          <cell r="I24">
            <v>111539</v>
          </cell>
          <cell r="J24">
            <v>122765</v>
          </cell>
          <cell r="K24">
            <v>478658</v>
          </cell>
          <cell r="L24">
            <v>138473</v>
          </cell>
          <cell r="M24">
            <v>128587</v>
          </cell>
          <cell r="N24">
            <v>136371</v>
          </cell>
          <cell r="O24">
            <v>145396</v>
          </cell>
          <cell r="P24">
            <v>548827</v>
          </cell>
          <cell r="Q24">
            <v>165743</v>
          </cell>
          <cell r="R24">
            <v>150251</v>
          </cell>
          <cell r="S24">
            <v>152720</v>
          </cell>
          <cell r="T24">
            <v>174515</v>
          </cell>
          <cell r="U24">
            <v>643229</v>
          </cell>
          <cell r="V24">
            <v>0</v>
          </cell>
          <cell r="W24">
            <v>210612</v>
          </cell>
          <cell r="X24">
            <v>195922</v>
          </cell>
          <cell r="Y24">
            <v>198137</v>
          </cell>
          <cell r="Z24">
            <v>204495</v>
          </cell>
          <cell r="AA24">
            <v>809166</v>
          </cell>
          <cell r="AB24">
            <v>0</v>
          </cell>
          <cell r="AC24">
            <v>245252</v>
          </cell>
          <cell r="AD24">
            <v>221735</v>
          </cell>
          <cell r="AE24">
            <v>249871</v>
          </cell>
          <cell r="AF24">
            <v>288854</v>
          </cell>
          <cell r="AG24">
            <v>1005712</v>
          </cell>
          <cell r="AH24">
            <v>300657</v>
          </cell>
          <cell r="AI24">
            <v>279830</v>
          </cell>
          <cell r="AJ24">
            <v>277216</v>
          </cell>
          <cell r="AK24">
            <v>286112</v>
          </cell>
          <cell r="AL24">
            <v>1135844</v>
          </cell>
          <cell r="AM24">
            <v>0</v>
          </cell>
          <cell r="AN24">
            <v>792252</v>
          </cell>
          <cell r="AO24">
            <v>948185</v>
          </cell>
          <cell r="AR24">
            <v>245937</v>
          </cell>
          <cell r="AS24">
            <v>284964</v>
          </cell>
          <cell r="AT24">
            <v>989891</v>
          </cell>
          <cell r="AU24">
            <v>284194</v>
          </cell>
          <cell r="AV24">
            <v>265253</v>
          </cell>
          <cell r="AW24">
            <v>266735</v>
          </cell>
          <cell r="AX24">
            <v>275707</v>
          </cell>
          <cell r="AY24">
            <v>1091889</v>
          </cell>
          <cell r="AZ24">
            <v>0</v>
          </cell>
          <cell r="BA24">
            <v>319499</v>
          </cell>
          <cell r="BB24">
            <v>293320</v>
          </cell>
          <cell r="BC24">
            <v>286340</v>
          </cell>
          <cell r="BD24">
            <v>304842</v>
          </cell>
          <cell r="BE24">
            <v>1204001</v>
          </cell>
          <cell r="BF24">
            <v>0</v>
          </cell>
          <cell r="BG24">
            <v>333249</v>
          </cell>
          <cell r="BH24">
            <v>321573</v>
          </cell>
          <cell r="BI24">
            <v>317529.3113722839</v>
          </cell>
          <cell r="BJ24">
            <v>323038.96327179956</v>
          </cell>
          <cell r="BK24">
            <v>1295390.2746440833</v>
          </cell>
          <cell r="BL24">
            <v>0</v>
          </cell>
          <cell r="BM24">
            <v>1362987.3133434397</v>
          </cell>
          <cell r="BN24">
            <v>1394505.9800268202</v>
          </cell>
          <cell r="BO24">
            <v>1451900.1608541657</v>
          </cell>
          <cell r="BP24">
            <v>1501958.2433802716</v>
          </cell>
          <cell r="BS24" t="str">
            <v>mstag:patientDays</v>
          </cell>
          <cell r="BT24">
            <v>0</v>
          </cell>
          <cell r="BU24" t="str">
            <v>ms_eqr_gcim_Decimal:ms_eqr_gcim_decimal</v>
          </cell>
          <cell r="BV24" t="b">
            <v>0</v>
          </cell>
          <cell r="BW24" t="b">
            <v>0</v>
          </cell>
        </row>
        <row r="25">
          <cell r="A25" t="str">
            <v>% Change (historicals same-store)</v>
          </cell>
          <cell r="C25" t="str">
            <v>N/A</v>
          </cell>
          <cell r="D25" t="str">
            <v>N/A</v>
          </cell>
          <cell r="E25" t="str">
            <v>N/A</v>
          </cell>
          <cell r="F25" t="str">
            <v>N/A</v>
          </cell>
          <cell r="G25" t="str">
            <v>N/A</v>
          </cell>
          <cell r="H25" t="str">
            <v>N/A</v>
          </cell>
          <cell r="I25" t="str">
            <v>N/A</v>
          </cell>
          <cell r="J25" t="str">
            <v>N/A</v>
          </cell>
          <cell r="K25" t="str">
            <v>N/A</v>
          </cell>
          <cell r="L25" t="str">
            <v>N/A</v>
          </cell>
          <cell r="M25">
            <v>3.6999999999999998E-2</v>
          </cell>
          <cell r="N25">
            <v>7.6999999999999999E-2</v>
          </cell>
          <cell r="O25">
            <v>4.5999999999999999E-2</v>
          </cell>
          <cell r="P25">
            <v>2.9000000000000001E-2</v>
          </cell>
          <cell r="Q25">
            <v>3.1E-2</v>
          </cell>
          <cell r="R25">
            <v>4.4999999999999998E-2</v>
          </cell>
          <cell r="S25">
            <v>1.4999999999999999E-2</v>
          </cell>
          <cell r="T25">
            <v>-5.0000000000000001E-3</v>
          </cell>
          <cell r="U25">
            <v>2.1000000000000001E-2</v>
          </cell>
          <cell r="V25">
            <v>0</v>
          </cell>
          <cell r="W25">
            <v>2.1000000000000001E-2</v>
          </cell>
          <cell r="X25">
            <v>0.02</v>
          </cell>
          <cell r="Y25">
            <v>3.7999999999999999E-2</v>
          </cell>
          <cell r="Z25">
            <v>3.1407042374580918E-2</v>
          </cell>
          <cell r="AA25" t="str">
            <v>N/A</v>
          </cell>
          <cell r="AB25">
            <v>0</v>
          </cell>
          <cell r="AC25">
            <v>8.0000000000000002E-3</v>
          </cell>
          <cell r="AD25">
            <v>-5.9105154091934065E-3</v>
          </cell>
          <cell r="AE25">
            <v>3.3000000000000002E-2</v>
          </cell>
          <cell r="AF25">
            <v>9.490711239645111E-2</v>
          </cell>
          <cell r="AG25">
            <v>3.270263552624586E-2</v>
          </cell>
          <cell r="AH25">
            <v>3.4000000000000002E-2</v>
          </cell>
          <cell r="AI25">
            <v>6.3E-2</v>
          </cell>
          <cell r="AJ25">
            <v>-8.9999999999999993E-3</v>
          </cell>
          <cell r="AK25">
            <v>-4.248013411449636E-2</v>
          </cell>
          <cell r="AL25">
            <v>8.2111829457238716E-3</v>
          </cell>
          <cell r="AM25">
            <v>0</v>
          </cell>
          <cell r="AN25" t="str">
            <v>N/A</v>
          </cell>
          <cell r="AO25">
            <v>3.5000000000000003E-2</v>
          </cell>
          <cell r="AR25" t="str">
            <v>NA</v>
          </cell>
          <cell r="AS25" t="str">
            <v>NA</v>
          </cell>
          <cell r="AT25">
            <v>3.5000000000000003E-2</v>
          </cell>
          <cell r="AU25">
            <v>3.4000000000000002E-2</v>
          </cell>
          <cell r="AV25">
            <v>6.3E-2</v>
          </cell>
          <cell r="AW25">
            <v>-8.9999999999999993E-3</v>
          </cell>
          <cell r="AX25">
            <v>-4.248013411449636E-2</v>
          </cell>
          <cell r="AY25">
            <v>8.2111829457238716E-3</v>
          </cell>
          <cell r="AZ25">
            <v>0</v>
          </cell>
          <cell r="BA25">
            <v>4.9000000000000002E-2</v>
          </cell>
          <cell r="BB25">
            <v>1.2999999999999999E-2</v>
          </cell>
          <cell r="BC25">
            <v>1.519110727875983E-2</v>
          </cell>
          <cell r="BD25">
            <v>1.7000000000000001E-2</v>
          </cell>
          <cell r="BE25">
            <v>2.4E-2</v>
          </cell>
          <cell r="BG25">
            <v>-2.9000000000000001E-2</v>
          </cell>
          <cell r="BH25">
            <v>1.2999999999999999E-2</v>
          </cell>
          <cell r="BI25">
            <v>0.10892404614194273</v>
          </cell>
          <cell r="BJ25">
            <v>5.9693097643367832E-2</v>
          </cell>
          <cell r="BK25">
            <v>7.590465011580827E-2</v>
          </cell>
          <cell r="BM25">
            <v>5.2182759144095758E-2</v>
          </cell>
          <cell r="BN25">
            <v>2.3124695567462439E-2</v>
          </cell>
          <cell r="BO25">
            <v>4.1157357264428152E-2</v>
          </cell>
          <cell r="BP25">
            <v>3.4477634120968936E-2</v>
          </cell>
        </row>
        <row r="26">
          <cell r="A26" t="str">
            <v>Adjusted Patient Days</v>
          </cell>
          <cell r="C26">
            <v>625334.86615060188</v>
          </cell>
          <cell r="D26">
            <v>583271.11605122336</v>
          </cell>
          <cell r="E26">
            <v>695724.61114831502</v>
          </cell>
          <cell r="F26">
            <v>737287.77568571828</v>
          </cell>
          <cell r="G26">
            <v>224036.19983500443</v>
          </cell>
          <cell r="H26">
            <v>206133.2922511572</v>
          </cell>
          <cell r="I26">
            <v>208304.02922894259</v>
          </cell>
          <cell r="J26">
            <v>223282.42076280469</v>
          </cell>
          <cell r="K26">
            <v>862621.10674838477</v>
          </cell>
          <cell r="L26">
            <v>248620.16358344859</v>
          </cell>
          <cell r="M26">
            <v>262959.10020449897</v>
          </cell>
          <cell r="N26">
            <v>268976.3313609467</v>
          </cell>
          <cell r="O26">
            <v>260539.64122852683</v>
          </cell>
          <cell r="P26">
            <v>1004972.6642453423</v>
          </cell>
          <cell r="Q26">
            <v>294276.73128585418</v>
          </cell>
          <cell r="R26">
            <v>278507.95286942058</v>
          </cell>
          <cell r="S26">
            <v>288063.66133621114</v>
          </cell>
          <cell r="T26">
            <v>319084.35363190103</v>
          </cell>
          <cell r="U26">
            <v>1179932.699123387</v>
          </cell>
          <cell r="V26">
            <v>0</v>
          </cell>
          <cell r="W26">
            <v>378920.56380454078</v>
          </cell>
          <cell r="X26">
            <v>366101.04315455677</v>
          </cell>
          <cell r="Y26">
            <v>372603.57426199265</v>
          </cell>
          <cell r="Z26">
            <v>374661.64401945984</v>
          </cell>
          <cell r="AA26">
            <v>1492286.8252405501</v>
          </cell>
          <cell r="AB26">
            <v>0</v>
          </cell>
          <cell r="AC26">
            <v>440513.13846353488</v>
          </cell>
          <cell r="AD26">
            <v>409578.15001983475</v>
          </cell>
          <cell r="AE26">
            <v>465183.71778911987</v>
          </cell>
          <cell r="AF26">
            <v>522200.79043620382</v>
          </cell>
          <cell r="AG26">
            <v>1837475.7967086933</v>
          </cell>
          <cell r="AH26">
            <v>542145.42431126349</v>
          </cell>
          <cell r="AI26">
            <v>519088.7981777424</v>
          </cell>
          <cell r="AJ26">
            <v>525932.52248294989</v>
          </cell>
          <cell r="AK26">
            <v>532240.50960314542</v>
          </cell>
          <cell r="AL26">
            <v>2119407.2545751012</v>
          </cell>
          <cell r="AM26">
            <v>0</v>
          </cell>
          <cell r="AN26">
            <v>1462703.2552782737</v>
          </cell>
          <cell r="AO26">
            <v>1725701.9417943326</v>
          </cell>
          <cell r="AR26">
            <v>458074.51561685384</v>
          </cell>
          <cell r="AS26">
            <v>515221.91047333478</v>
          </cell>
          <cell r="AT26">
            <v>1809765.2489188963</v>
          </cell>
          <cell r="AU26">
            <v>511463.43009508186</v>
          </cell>
          <cell r="AV26">
            <v>490137.60405241407</v>
          </cell>
          <cell r="AW26">
            <v>503318.4678356396</v>
          </cell>
          <cell r="AX26">
            <v>510644.01096403855</v>
          </cell>
          <cell r="AY26">
            <v>2015563.512947174</v>
          </cell>
          <cell r="AZ26">
            <v>0</v>
          </cell>
          <cell r="BA26">
            <v>569304.1328255398</v>
          </cell>
          <cell r="BB26">
            <v>549691.3850149624</v>
          </cell>
          <cell r="BC26">
            <v>541684.61920181673</v>
          </cell>
          <cell r="BD26">
            <v>561341.71858521947</v>
          </cell>
          <cell r="BE26">
            <v>2222021.8556275386</v>
          </cell>
          <cell r="BF26">
            <v>0</v>
          </cell>
          <cell r="BG26">
            <v>604191.58665754879</v>
          </cell>
          <cell r="BH26">
            <v>602638.44181582064</v>
          </cell>
          <cell r="BI26">
            <v>600687.09965813614</v>
          </cell>
          <cell r="BJ26">
            <v>594849.94460402289</v>
          </cell>
          <cell r="BK26">
            <v>2402367.0727355285</v>
          </cell>
          <cell r="BL26">
            <v>0</v>
          </cell>
          <cell r="BM26">
            <v>2521526.5296853636</v>
          </cell>
          <cell r="BN26">
            <v>2579836.0630496177</v>
          </cell>
          <cell r="BO26">
            <v>2686015.2975802068</v>
          </cell>
          <cell r="BP26">
            <v>2778622.7502535027</v>
          </cell>
          <cell r="BS26" t="str">
            <v>mstag:adjustedPatientDays</v>
          </cell>
          <cell r="BT26">
            <v>0</v>
          </cell>
          <cell r="BU26" t="str">
            <v>ms_eqr_gcim_Decimal:ms_eqr_gcim_decimal</v>
          </cell>
          <cell r="BV26" t="b">
            <v>0</v>
          </cell>
          <cell r="BW26" t="b">
            <v>0</v>
          </cell>
        </row>
        <row r="27">
          <cell r="A27" t="str">
            <v>% Change</v>
          </cell>
          <cell r="C27" t="str">
            <v>N/A</v>
          </cell>
          <cell r="D27" t="str">
            <v>N/A</v>
          </cell>
          <cell r="E27" t="str">
            <v>N/A</v>
          </cell>
          <cell r="F27" t="str">
            <v>N/A</v>
          </cell>
          <cell r="G27" t="str">
            <v>N/A</v>
          </cell>
          <cell r="H27" t="str">
            <v>N/A</v>
          </cell>
          <cell r="I27" t="str">
            <v>N/A</v>
          </cell>
          <cell r="J27" t="str">
            <v>N/A</v>
          </cell>
          <cell r="K27" t="str">
            <v>N/A</v>
          </cell>
          <cell r="L27">
            <v>0.10973210475159578</v>
          </cell>
          <cell r="M27">
            <v>0.27567506118373153</v>
          </cell>
          <cell r="N27">
            <v>0.29126801990623274</v>
          </cell>
          <cell r="O27">
            <v>0.16686141407119948</v>
          </cell>
          <cell r="P27">
            <v>0.16502211270200173</v>
          </cell>
          <cell r="Q27">
            <v>0.18363984257890298</v>
          </cell>
          <cell r="R27">
            <v>5.9130308298246836E-2</v>
          </cell>
          <cell r="S27">
            <v>7.0962860853547083E-2</v>
          </cell>
          <cell r="T27">
            <v>0.22470558463701473</v>
          </cell>
          <cell r="U27">
            <v>0.17409432226639354</v>
          </cell>
          <cell r="V27">
            <v>0</v>
          </cell>
          <cell r="W27">
            <v>0.28763345354840641</v>
          </cell>
          <cell r="X27">
            <v>0.31450839871062675</v>
          </cell>
          <cell r="Y27">
            <v>0.29347649243099583</v>
          </cell>
          <cell r="Z27">
            <v>0.17417742285061499</v>
          </cell>
          <cell r="AA27">
            <v>0.2647219848633926</v>
          </cell>
          <cell r="AB27">
            <v>0</v>
          </cell>
          <cell r="AC27">
            <v>0.16254745860339614</v>
          </cell>
          <cell r="AD27">
            <v>0.11875712369091307</v>
          </cell>
          <cell r="AE27">
            <v>0.24846821104842753</v>
          </cell>
          <cell r="AF27">
            <v>0.39379303638853624</v>
          </cell>
          <cell r="AG27">
            <v>0.2313154318791899</v>
          </cell>
          <cell r="AH27">
            <v>-0.46053714334770157</v>
          </cell>
          <cell r="AI27">
            <v>0.76394781846856441</v>
          </cell>
          <cell r="AJ27">
            <v>0.88839319331586619</v>
          </cell>
          <cell r="AK27">
            <v>0.84764890904425916</v>
          </cell>
          <cell r="AL27">
            <v>5.6421534946839511</v>
          </cell>
          <cell r="AM27">
            <v>0</v>
          </cell>
          <cell r="AN27" t="str">
            <v>N/A</v>
          </cell>
          <cell r="AO27">
            <v>0.17980317304074389</v>
          </cell>
          <cell r="AR27">
            <v>0.22938840971708752</v>
          </cell>
          <cell r="AS27">
            <v>0.3751658828640978</v>
          </cell>
          <cell r="AT27">
            <v>0.2372743701692217</v>
          </cell>
          <cell r="AU27" t="str">
            <v>N/A</v>
          </cell>
          <cell r="AV27" t="str">
            <v>N/A</v>
          </cell>
          <cell r="AW27">
            <v>9.8769852232140076E-2</v>
          </cell>
          <cell r="AX27">
            <v>-8.8852966386668841E-3</v>
          </cell>
          <cell r="AY27">
            <v>9.6919761641200086E-2</v>
          </cell>
          <cell r="AZ27">
            <v>0</v>
          </cell>
          <cell r="BA27">
            <v>0.11308863806686098</v>
          </cell>
          <cell r="BB27">
            <v>0.12150420712502563</v>
          </cell>
          <cell r="BC27">
            <v>7.6226393065127462E-2</v>
          </cell>
          <cell r="BD27">
            <v>9.9281899978557187E-2</v>
          </cell>
          <cell r="BE27">
            <v>0.10243206991700271</v>
          </cell>
          <cell r="BG27">
            <v>6.1280872244607654E-2</v>
          </cell>
          <cell r="BH27">
            <v>9.6321423701077435E-2</v>
          </cell>
          <cell r="BI27">
            <v>0.10892404614194273</v>
          </cell>
          <cell r="BJ27">
            <v>5.9693097643367832E-2</v>
          </cell>
          <cell r="BK27">
            <v>8.1162665727721794E-2</v>
          </cell>
          <cell r="BM27">
            <v>4.9600853384220933E-2</v>
          </cell>
          <cell r="BN27">
            <v>2.3124695567462439E-2</v>
          </cell>
          <cell r="BO27">
            <v>4.1157357264428152E-2</v>
          </cell>
          <cell r="BP27">
            <v>3.4477634120968936E-2</v>
          </cell>
        </row>
        <row r="28">
          <cell r="A28" t="str">
            <v>Admissions Per Beds In Service</v>
          </cell>
          <cell r="C28">
            <v>30.308455736403335</v>
          </cell>
          <cell r="D28">
            <v>31.106418219461698</v>
          </cell>
          <cell r="E28">
            <v>36.301194890811701</v>
          </cell>
          <cell r="F28">
            <v>37.643918029704835</v>
          </cell>
          <cell r="G28">
            <v>11.004189944134078</v>
          </cell>
          <cell r="H28">
            <v>9.553080168776372</v>
          </cell>
          <cell r="I28">
            <v>9.466446280991736</v>
          </cell>
          <cell r="J28">
            <v>10.31</v>
          </cell>
          <cell r="K28">
            <v>39.724206185567013</v>
          </cell>
          <cell r="L28">
            <v>10.89607535321821</v>
          </cell>
          <cell r="M28">
            <v>10.181763102090276</v>
          </cell>
          <cell r="N28">
            <v>10.81810115350488</v>
          </cell>
          <cell r="O28">
            <v>10.986559908492994</v>
          </cell>
          <cell r="P28">
            <v>42.162400706090025</v>
          </cell>
          <cell r="Q28">
            <v>12.487478159580665</v>
          </cell>
          <cell r="R28">
            <v>11.331429387405398</v>
          </cell>
          <cell r="S28">
            <v>10.858055925432756</v>
          </cell>
          <cell r="T28">
            <v>11.172505436095676</v>
          </cell>
          <cell r="U28">
            <v>45.431748158070995</v>
          </cell>
          <cell r="W28">
            <v>11.865853658536585</v>
          </cell>
          <cell r="X28">
            <v>11.267421216156237</v>
          </cell>
          <cell r="Y28">
            <v>11.453460424033455</v>
          </cell>
          <cell r="Z28">
            <v>11.267468931912219</v>
          </cell>
          <cell r="AA28">
            <v>45.854204230638501</v>
          </cell>
          <cell r="AB28">
            <v>0</v>
          </cell>
          <cell r="AC28">
            <v>11.921871978340747</v>
          </cell>
          <cell r="AD28">
            <v>10.743815435930696</v>
          </cell>
          <cell r="AE28">
            <v>10.71602467900617</v>
          </cell>
          <cell r="AF28">
            <v>11.484789644012945</v>
          </cell>
          <cell r="AG28">
            <v>44.866501737290562</v>
          </cell>
          <cell r="AH28">
            <v>14.563007518796992</v>
          </cell>
          <cell r="AI28">
            <v>11.175852594149022</v>
          </cell>
          <cell r="AJ28">
            <v>11.091321883597317</v>
          </cell>
          <cell r="AK28">
            <v>11.059909275770373</v>
          </cell>
          <cell r="AL28">
            <v>47.890091272313704</v>
          </cell>
          <cell r="AM28">
            <v>0</v>
          </cell>
          <cell r="AN28">
            <v>42.834791666666668</v>
          </cell>
          <cell r="AO28">
            <v>42.148984995586936</v>
          </cell>
          <cell r="AR28">
            <v>11.012004175365345</v>
          </cell>
          <cell r="AS28">
            <v>11.593279258400926</v>
          </cell>
          <cell r="AT28">
            <v>42.565272711850028</v>
          </cell>
          <cell r="AU28">
            <v>11.941392582225333</v>
          </cell>
          <cell r="AV28">
            <v>11.388558432470258</v>
          </cell>
          <cell r="AW28">
            <v>11.403407135482389</v>
          </cell>
          <cell r="AX28">
            <v>11.281338438488429</v>
          </cell>
          <cell r="AY28">
            <v>46.014696588666411</v>
          </cell>
          <cell r="AZ28">
            <v>0</v>
          </cell>
          <cell r="BA28">
            <v>12.418106407385393</v>
          </cell>
          <cell r="BB28">
            <v>11.461575796796636</v>
          </cell>
          <cell r="BC28">
            <v>11.481892805408016</v>
          </cell>
          <cell r="BD28">
            <v>11.420938851142681</v>
          </cell>
          <cell r="BE28">
            <v>46.78251386073272</v>
          </cell>
          <cell r="BF28">
            <v>0</v>
          </cell>
          <cell r="BG28">
            <v>12.096507352941176</v>
          </cell>
          <cell r="BH28">
            <v>11.383183008437591</v>
          </cell>
          <cell r="BI28">
            <v>11.166140753259295</v>
          </cell>
          <cell r="BJ28">
            <v>11.306729462631253</v>
          </cell>
          <cell r="BK28">
            <v>45.95256057726931</v>
          </cell>
          <cell r="BL28">
            <v>0</v>
          </cell>
          <cell r="BM28">
            <v>46.104187413522212</v>
          </cell>
          <cell r="BN28">
            <v>46.104187413522212</v>
          </cell>
          <cell r="BO28">
            <v>46.104187413522212</v>
          </cell>
          <cell r="BP28">
            <v>46.104187413522212</v>
          </cell>
        </row>
        <row r="29">
          <cell r="A29" t="str">
            <v>% Change</v>
          </cell>
          <cell r="C29" t="str">
            <v>N/A</v>
          </cell>
          <cell r="D29">
            <v>2.6328048185573882E-2</v>
          </cell>
          <cell r="E29">
            <v>0.1670001552316267</v>
          </cell>
          <cell r="F29">
            <v>3.6988400600361349E-2</v>
          </cell>
          <cell r="G29" t="str">
            <v>N/A</v>
          </cell>
          <cell r="H29" t="str">
            <v>N/A</v>
          </cell>
          <cell r="I29" t="str">
            <v>N/A</v>
          </cell>
          <cell r="J29" t="str">
            <v>N/A</v>
          </cell>
          <cell r="K29">
            <v>5.5262264523597615E-2</v>
          </cell>
          <cell r="L29" t="str">
            <v>NM</v>
          </cell>
          <cell r="M29" t="str">
            <v>NM</v>
          </cell>
          <cell r="N29" t="str">
            <v>NM</v>
          </cell>
          <cell r="O29" t="str">
            <v>NM</v>
          </cell>
          <cell r="P29">
            <v>6.1378055212312432E-2</v>
          </cell>
          <cell r="Q29">
            <v>0.1460528451551526</v>
          </cell>
          <cell r="R29">
            <v>0.11291426384484438</v>
          </cell>
          <cell r="S29">
            <v>3.6933257843434486E-3</v>
          </cell>
          <cell r="T29">
            <v>1.692481806420032E-2</v>
          </cell>
          <cell r="U29">
            <v>7.7541776493498915E-2</v>
          </cell>
          <cell r="W29">
            <v>-4.9779826887397238E-2</v>
          </cell>
          <cell r="X29">
            <v>-5.6487287755863091E-3</v>
          </cell>
          <cell r="Y29">
            <v>5.4835276470264427E-2</v>
          </cell>
          <cell r="Z29">
            <v>8.4997493498404353E-3</v>
          </cell>
          <cell r="AA29">
            <v>9.2986972699720116E-3</v>
          </cell>
          <cell r="AB29">
            <v>0</v>
          </cell>
          <cell r="AC29">
            <v>4.7209683699294125E-3</v>
          </cell>
          <cell r="AD29">
            <v>-4.6470773585241321E-2</v>
          </cell>
          <cell r="AE29">
            <v>-6.4385409974428542E-2</v>
          </cell>
          <cell r="AF29">
            <v>1.9287447199896057E-2</v>
          </cell>
          <cell r="AG29">
            <v>-2.1540063990206249E-2</v>
          </cell>
          <cell r="AH29">
            <v>-0.65459728870008393</v>
          </cell>
          <cell r="AI29">
            <v>-0.10503526401968799</v>
          </cell>
          <cell r="AJ29">
            <v>3.5022054897502652E-2</v>
          </cell>
          <cell r="AK29">
            <v>-3.6995050097766824E-2</v>
          </cell>
          <cell r="AL29">
            <v>6.73908020002838E-2</v>
          </cell>
          <cell r="AM29">
            <v>0</v>
          </cell>
          <cell r="AN29" t="str">
            <v>N/A</v>
          </cell>
          <cell r="AO29">
            <v>-1.6010505581924295E-2</v>
          </cell>
          <cell r="AR29">
            <v>-3.8543482259892126E-2</v>
          </cell>
          <cell r="AS29">
            <v>2.8916017293460827E-2</v>
          </cell>
          <cell r="AT29">
            <v>-6.2920570949426269E-3</v>
          </cell>
          <cell r="AU29" t="str">
            <v>N/A</v>
          </cell>
          <cell r="AV29" t="str">
            <v>N/A</v>
          </cell>
          <cell r="AW29">
            <v>3.5543299283580243E-2</v>
          </cell>
          <cell r="AX29">
            <v>-2.6907039238829089E-2</v>
          </cell>
          <cell r="AY29">
            <v>8.103845358087125E-2</v>
          </cell>
          <cell r="AZ29">
            <v>0</v>
          </cell>
          <cell r="BA29">
            <v>3.9921124933924634E-2</v>
          </cell>
          <cell r="BB29">
            <v>6.4114668032255739E-3</v>
          </cell>
          <cell r="BC29">
            <v>6.8826508597954472E-3</v>
          </cell>
          <cell r="BD29">
            <v>1.2374454805644142E-2</v>
          </cell>
          <cell r="BE29">
            <v>1.6686348688332409E-2</v>
          </cell>
          <cell r="BG29">
            <v>-2.5897592104135447E-2</v>
          </cell>
          <cell r="BH29">
            <v>-6.8396169731700374E-3</v>
          </cell>
          <cell r="BI29">
            <v>-2.7499999999999969E-2</v>
          </cell>
          <cell r="BJ29">
            <v>-1.000000000000012E-2</v>
          </cell>
          <cell r="BK29">
            <v>-1.7740673062890622E-2</v>
          </cell>
          <cell r="BM29">
            <v>3.299638460797949E-3</v>
          </cell>
          <cell r="BN29">
            <v>0</v>
          </cell>
          <cell r="BO29">
            <v>0</v>
          </cell>
          <cell r="BP29">
            <v>0</v>
          </cell>
        </row>
        <row r="30">
          <cell r="A30" t="str">
            <v>Adjusted Admissions Per Beds In Service</v>
          </cell>
          <cell r="C30">
            <v>46.860658991663357</v>
          </cell>
          <cell r="D30">
            <v>51.426501035196686</v>
          </cell>
          <cell r="E30">
            <v>63.295426452410382</v>
          </cell>
          <cell r="F30">
            <v>66.582064297800343</v>
          </cell>
          <cell r="G30">
            <v>18.719622905027933</v>
          </cell>
          <cell r="H30">
            <v>17.479831223628693</v>
          </cell>
          <cell r="I30">
            <v>17.679008264462809</v>
          </cell>
          <cell r="J30">
            <v>18.751612903225805</v>
          </cell>
          <cell r="K30">
            <v>71.589608247422674</v>
          </cell>
          <cell r="L30">
            <v>19.56326530612245</v>
          </cell>
          <cell r="M30">
            <v>19.322932444713722</v>
          </cell>
          <cell r="N30">
            <v>19.980774918663119</v>
          </cell>
          <cell r="O30">
            <v>19.687160423219904</v>
          </cell>
          <cell r="P30">
            <v>77.204766107678722</v>
          </cell>
          <cell r="Q30">
            <v>22.171520093185791</v>
          </cell>
          <cell r="R30">
            <v>21.004141082393261</v>
          </cell>
          <cell r="S30">
            <v>20.48069241011984</v>
          </cell>
          <cell r="T30">
            <v>20.427881130707899</v>
          </cell>
          <cell r="U30">
            <v>83.385934360348287</v>
          </cell>
          <cell r="W30">
            <v>21.348337028824833</v>
          </cell>
          <cell r="X30">
            <v>21.054371948513094</v>
          </cell>
          <cell r="Y30">
            <v>21.538633832465127</v>
          </cell>
          <cell r="Z30">
            <v>20.643479957790749</v>
          </cell>
          <cell r="AA30">
            <v>84.584822767593792</v>
          </cell>
          <cell r="AB30">
            <v>0</v>
          </cell>
          <cell r="AC30">
            <v>21.413653065171147</v>
          </cell>
          <cell r="AD30">
            <v>19.845455387751322</v>
          </cell>
          <cell r="AE30">
            <v>19.949974987493746</v>
          </cell>
          <cell r="AF30">
            <v>20.762621359223299</v>
          </cell>
          <cell r="AG30">
            <v>81.971704799639511</v>
          </cell>
          <cell r="AH30">
            <v>26.260050125313285</v>
          </cell>
          <cell r="AI30">
            <v>20.731372232099563</v>
          </cell>
          <cell r="AJ30">
            <v>21.042388952696385</v>
          </cell>
          <cell r="AK30">
            <v>20.574221805099327</v>
          </cell>
          <cell r="AL30">
            <v>88.608033115208556</v>
          </cell>
          <cell r="AM30">
            <v>0</v>
          </cell>
          <cell r="AN30">
            <v>79.084166666666661</v>
          </cell>
          <cell r="AO30">
            <v>76.71138570167696</v>
          </cell>
          <cell r="AR30">
            <v>20.510612386917188</v>
          </cell>
          <cell r="AS30">
            <v>20.960933620261546</v>
          </cell>
          <cell r="AT30">
            <v>77.819832046823308</v>
          </cell>
          <cell r="AU30">
            <v>21.490902729181247</v>
          </cell>
          <cell r="AV30">
            <v>21.043911826452064</v>
          </cell>
          <cell r="AW30">
            <v>21.517781346793619</v>
          </cell>
          <cell r="AX30">
            <v>20.894456467454635</v>
          </cell>
          <cell r="AY30">
            <v>84.947052369881561</v>
          </cell>
          <cell r="AZ30">
            <v>0</v>
          </cell>
          <cell r="BA30">
            <v>22.127391007770981</v>
          </cell>
          <cell r="BB30">
            <v>21.479372269859248</v>
          </cell>
          <cell r="BC30">
            <v>21.720907774022212</v>
          </cell>
          <cell r="BD30">
            <v>21.030728844966028</v>
          </cell>
          <cell r="BE30">
            <v>86.358399896618465</v>
          </cell>
          <cell r="BF30">
            <v>0</v>
          </cell>
          <cell r="BG30">
            <v>21.931372549019606</v>
          </cell>
          <cell r="BH30">
            <v>21.417369799243527</v>
          </cell>
          <cell r="BI30">
            <v>21.123582810236602</v>
          </cell>
          <cell r="BJ30">
            <v>20.820421556516369</v>
          </cell>
          <cell r="BK30">
            <v>85.292746715016094</v>
          </cell>
          <cell r="BL30">
            <v>0</v>
          </cell>
          <cell r="BM30">
            <v>85.292746715016094</v>
          </cell>
          <cell r="BN30">
            <v>85.292746715016094</v>
          </cell>
          <cell r="BO30">
            <v>85.292746715016094</v>
          </cell>
          <cell r="BP30">
            <v>85.292746715016094</v>
          </cell>
        </row>
        <row r="31">
          <cell r="A31" t="str">
            <v>% Change</v>
          </cell>
          <cell r="C31" t="str">
            <v>N/A</v>
          </cell>
          <cell r="D31">
            <v>9.7434439501706605E-2</v>
          </cell>
          <cell r="E31">
            <v>0.23079395211217091</v>
          </cell>
          <cell r="F31">
            <v>5.192536063977804E-2</v>
          </cell>
          <cell r="G31" t="str">
            <v>N/A</v>
          </cell>
          <cell r="H31" t="str">
            <v>N/A</v>
          </cell>
          <cell r="I31" t="str">
            <v>N/A</v>
          </cell>
          <cell r="J31" t="str">
            <v>N/A</v>
          </cell>
          <cell r="K31">
            <v>7.5208601632193117E-2</v>
          </cell>
          <cell r="L31">
            <v>4.5067275413327001E-2</v>
          </cell>
          <cell r="M31">
            <v>0.1054415913692337</v>
          </cell>
          <cell r="N31">
            <v>0.13019772488184045</v>
          </cell>
          <cell r="O31">
            <v>4.9891575984546854E-2</v>
          </cell>
          <cell r="P31">
            <v>7.8435376274854862E-2</v>
          </cell>
          <cell r="Q31">
            <v>0.1333241024056997</v>
          </cell>
          <cell r="R31">
            <v>8.7005874625384561E-2</v>
          </cell>
          <cell r="S31">
            <v>2.5019925077568894E-2</v>
          </cell>
          <cell r="T31">
            <v>3.7624557913103374E-2</v>
          </cell>
          <cell r="U31">
            <v>8.0062003478497568E-2</v>
          </cell>
          <cell r="W31">
            <v>-3.7127948868690974E-2</v>
          </cell>
          <cell r="X31">
            <v>2.3914744203437088E-3</v>
          </cell>
          <cell r="Y31">
            <v>5.1655549585937877E-2</v>
          </cell>
          <cell r="Z31">
            <v>1.0554145371384438E-2</v>
          </cell>
          <cell r="AA31">
            <v>1.4377585577737495E-2</v>
          </cell>
          <cell r="AB31">
            <v>0</v>
          </cell>
          <cell r="AC31">
            <v>3.0595374364814631E-3</v>
          </cell>
          <cell r="AD31">
            <v>-5.7418789965242745E-2</v>
          </cell>
          <cell r="AE31">
            <v>-7.3758570637697529E-2</v>
          </cell>
          <cell r="AF31">
            <v>5.771381650581997E-3</v>
          </cell>
          <cell r="AG31">
            <v>-3.0893461527183308E-2</v>
          </cell>
          <cell r="AH31">
            <v>-0.65986490926365904</v>
          </cell>
          <cell r="AI31">
            <v>-6.4954854472465517E-2</v>
          </cell>
          <cell r="AJ31">
            <v>5.4757660893682836E-2</v>
          </cell>
          <cell r="AK31">
            <v>-9.0739772625232362E-3</v>
          </cell>
          <cell r="AL31">
            <v>8.0958769026336475E-2</v>
          </cell>
          <cell r="AM31">
            <v>0</v>
          </cell>
          <cell r="AN31" t="str">
            <v>N/A</v>
          </cell>
          <cell r="AO31">
            <v>-3.0003236614868589E-2</v>
          </cell>
          <cell r="AR31">
            <v>-4.7729185311577438E-2</v>
          </cell>
          <cell r="AS31">
            <v>1.5377914146252891E-2</v>
          </cell>
          <cell r="AT31">
            <v>-1.5987202914742982E-2</v>
          </cell>
          <cell r="AU31" t="str">
            <v>N/A</v>
          </cell>
          <cell r="AV31" t="str">
            <v>N/A</v>
          </cell>
          <cell r="AW31">
            <v>4.9104772733107538E-2</v>
          </cell>
          <cell r="AX31">
            <v>-3.1714786188078437E-3</v>
          </cell>
          <cell r="AY31">
            <v>9.1586169432618325E-2</v>
          </cell>
          <cell r="AZ31">
            <v>0</v>
          </cell>
          <cell r="BA31">
            <v>2.9616637635490495E-2</v>
          </cell>
          <cell r="BB31">
            <v>2.0692941835073198E-2</v>
          </cell>
          <cell r="BC31">
            <v>9.439933604440176E-3</v>
          </cell>
          <cell r="BD31">
            <v>6.5219393346580556E-3</v>
          </cell>
          <cell r="BE31">
            <v>1.6614437904113766E-2</v>
          </cell>
          <cell r="BG31">
            <v>-8.8586340198234526E-3</v>
          </cell>
          <cell r="BH31">
            <v>-2.8866053363545419E-3</v>
          </cell>
          <cell r="BI31">
            <v>-2.75E-2</v>
          </cell>
          <cell r="BJ31">
            <v>-0.01</v>
          </cell>
          <cell r="BK31">
            <v>-1.2339890304568946E-2</v>
          </cell>
          <cell r="BM31">
            <v>0</v>
          </cell>
          <cell r="BN31">
            <v>0</v>
          </cell>
          <cell r="BO31">
            <v>0</v>
          </cell>
          <cell r="BP31">
            <v>0</v>
          </cell>
        </row>
        <row r="32">
          <cell r="A32" t="str">
            <v>% Change</v>
          </cell>
          <cell r="C32" t="str">
            <v>NA</v>
          </cell>
          <cell r="D32">
            <v>9.7434439501706605E-2</v>
          </cell>
          <cell r="E32">
            <v>0.23079395211217091</v>
          </cell>
          <cell r="F32">
            <v>5.192536063977804E-2</v>
          </cell>
          <cell r="G32" t="str">
            <v>NA</v>
          </cell>
          <cell r="H32" t="str">
            <v>NA</v>
          </cell>
          <cell r="I32" t="str">
            <v>NA</v>
          </cell>
          <cell r="J32" t="str">
            <v>NA</v>
          </cell>
          <cell r="K32">
            <v>7.5208601632193117E-2</v>
          </cell>
          <cell r="L32">
            <v>4.5067275413327001E-2</v>
          </cell>
          <cell r="M32">
            <v>0.1054415913692337</v>
          </cell>
          <cell r="N32">
            <v>0.13019772488184045</v>
          </cell>
          <cell r="O32">
            <v>4.9891575984546854E-2</v>
          </cell>
          <cell r="P32">
            <v>7.8435376274854862E-2</v>
          </cell>
          <cell r="Q32">
            <v>0.1333241024056997</v>
          </cell>
          <cell r="R32">
            <v>8.7005874625384561E-2</v>
          </cell>
          <cell r="S32">
            <v>2.5019925077568894E-2</v>
          </cell>
          <cell r="T32">
            <v>3.7624557913103374E-2</v>
          </cell>
          <cell r="U32">
            <v>8.0062003478497568E-2</v>
          </cell>
          <cell r="W32">
            <v>-3.7127948868690974E-2</v>
          </cell>
          <cell r="X32">
            <v>2.3914744203437088E-3</v>
          </cell>
          <cell r="Y32">
            <v>5.1655549585937877E-2</v>
          </cell>
          <cell r="Z32">
            <v>1.0554145371384438E-2</v>
          </cell>
          <cell r="AA32">
            <v>1.4377585577737495E-2</v>
          </cell>
          <cell r="AC32">
            <v>3.0595374364814631E-3</v>
          </cell>
          <cell r="AD32">
            <v>-5.7418789965242745E-2</v>
          </cell>
          <cell r="AE32">
            <v>-7.3758570637697529E-2</v>
          </cell>
          <cell r="AF32">
            <v>5.771381650581997E-3</v>
          </cell>
          <cell r="AG32">
            <v>-3.0893461527183308E-2</v>
          </cell>
          <cell r="AH32">
            <v>-0.65986490926365904</v>
          </cell>
          <cell r="AI32">
            <v>-6.4954854472465517E-2</v>
          </cell>
          <cell r="AJ32">
            <v>5.4757660893682836E-2</v>
          </cell>
          <cell r="AK32">
            <v>-9.0739772625232362E-3</v>
          </cell>
          <cell r="AL32">
            <v>8.0958769026336475E-2</v>
          </cell>
          <cell r="AN32" t="str">
            <v>NA</v>
          </cell>
          <cell r="AO32">
            <v>-3.0003236614868589E-2</v>
          </cell>
          <cell r="AR32">
            <v>-4.7729185311577438E-2</v>
          </cell>
          <cell r="AS32">
            <v>1.5377914146252891E-2</v>
          </cell>
          <cell r="AT32">
            <v>-1.5987202914742982E-2</v>
          </cell>
          <cell r="AU32" t="str">
            <v>NA</v>
          </cell>
          <cell r="AV32" t="str">
            <v>NA</v>
          </cell>
          <cell r="AW32">
            <v>4.9104772733107538E-2</v>
          </cell>
          <cell r="AX32">
            <v>-3.1714786188078437E-3</v>
          </cell>
          <cell r="AY32">
            <v>9.1586169432618325E-2</v>
          </cell>
          <cell r="BA32">
            <v>2.7916669206142775E-2</v>
          </cell>
          <cell r="BB32">
            <v>1.9703098995084378E-2</v>
          </cell>
          <cell r="BC32">
            <v>9.439933604440176E-3</v>
          </cell>
          <cell r="BD32">
            <v>6.5219393346580556E-3</v>
          </cell>
        </row>
        <row r="33">
          <cell r="A33" t="str">
            <v>Average Length of Stay</v>
          </cell>
          <cell r="C33">
            <v>5.2975624451517414</v>
          </cell>
          <cell r="D33">
            <v>4.6964138334975107</v>
          </cell>
          <cell r="E33">
            <v>4.5289263702711597</v>
          </cell>
          <cell r="F33">
            <v>4.1637033781489103</v>
          </cell>
          <cell r="G33">
            <v>4.1787663409062068</v>
          </cell>
          <cell r="H33">
            <v>3.9806367266174338</v>
          </cell>
          <cell r="I33">
            <v>3.8950621595194859</v>
          </cell>
          <cell r="J33">
            <v>3.8410875754826193</v>
          </cell>
          <cell r="K33">
            <v>3.9751025628249206</v>
          </cell>
          <cell r="L33">
            <v>3.9901164130935913</v>
          </cell>
          <cell r="M33">
            <v>3.8258554001785181</v>
          </cell>
          <cell r="N33">
            <v>3.7284284776902887</v>
          </cell>
          <cell r="O33">
            <v>3.7843831337844871</v>
          </cell>
          <cell r="P33">
            <v>3.8296490126299632</v>
          </cell>
          <cell r="Q33">
            <v>3.8650949116179283</v>
          </cell>
          <cell r="R33">
            <v>3.7868538447967337</v>
          </cell>
          <cell r="S33">
            <v>3.7457078387128422</v>
          </cell>
          <cell r="T33">
            <v>3.7738684773911726</v>
          </cell>
          <cell r="U33">
            <v>3.7932053262882279</v>
          </cell>
          <cell r="W33">
            <v>3.9355694665047185</v>
          </cell>
          <cell r="X33">
            <v>3.8589352189241892</v>
          </cell>
          <cell r="Y33">
            <v>3.807983548585486</v>
          </cell>
          <cell r="Z33">
            <v>3.8117206285298888</v>
          </cell>
          <cell r="AA33">
            <v>3.8537770221034733</v>
          </cell>
          <cell r="AC33">
            <v>3.9782636906306772</v>
          </cell>
          <cell r="AD33">
            <v>3.8</v>
          </cell>
          <cell r="AE33">
            <v>3.9</v>
          </cell>
          <cell r="AF33">
            <v>4.0999999999999996</v>
          </cell>
          <cell r="AG33">
            <v>3.9460267512074925</v>
          </cell>
          <cell r="AH33">
            <v>4.0999999999999996</v>
          </cell>
          <cell r="AI33">
            <v>4</v>
          </cell>
          <cell r="AJ33">
            <v>4</v>
          </cell>
          <cell r="AK33">
            <v>4</v>
          </cell>
          <cell r="AL33">
            <v>3.9</v>
          </cell>
          <cell r="AN33">
            <v>3.9</v>
          </cell>
          <cell r="AO33">
            <v>4</v>
          </cell>
          <cell r="AR33">
            <v>3.9</v>
          </cell>
          <cell r="AS33">
            <v>4.0999999999999996</v>
          </cell>
          <cell r="AT33">
            <v>3.9</v>
          </cell>
          <cell r="AU33">
            <v>4.0999999999999996</v>
          </cell>
          <cell r="AV33">
            <v>4.0999999999999996</v>
          </cell>
          <cell r="AW33">
            <v>4</v>
          </cell>
          <cell r="AX33">
            <v>4.0999999999999996</v>
          </cell>
          <cell r="AY33">
            <v>3.9</v>
          </cell>
          <cell r="BA33">
            <v>4.2</v>
          </cell>
          <cell r="BB33">
            <v>4.0999999999999996</v>
          </cell>
          <cell r="BC33">
            <v>4</v>
          </cell>
          <cell r="BD33">
            <v>4.0999999999999996</v>
          </cell>
          <cell r="BE33">
            <v>4.0999999999999996</v>
          </cell>
          <cell r="BG33">
            <v>4.2</v>
          </cell>
          <cell r="BH33">
            <v>4.0999999999999996</v>
          </cell>
          <cell r="BI33">
            <v>4</v>
          </cell>
          <cell r="BJ33">
            <v>4</v>
          </cell>
          <cell r="BK33">
            <v>4</v>
          </cell>
          <cell r="BM33">
            <v>4</v>
          </cell>
          <cell r="BN33">
            <v>3.9</v>
          </cell>
          <cell r="BO33">
            <v>3.9</v>
          </cell>
          <cell r="BP33">
            <v>3.9</v>
          </cell>
          <cell r="BS33" t="str">
            <v>mstag:averageLengthOfStay</v>
          </cell>
          <cell r="BT33">
            <v>0</v>
          </cell>
          <cell r="BU33" t="str">
            <v>ms_eqr_gcim_Decimal:ms_eqr_gcim_decimal</v>
          </cell>
          <cell r="BV33" t="b">
            <v>0</v>
          </cell>
          <cell r="BW33" t="b">
            <v>0</v>
          </cell>
        </row>
        <row r="34">
          <cell r="A34" t="str">
            <v xml:space="preserve">Average Daily Census </v>
          </cell>
          <cell r="C34">
            <v>1108.0904109589042</v>
          </cell>
          <cell r="D34">
            <v>966.58630136986301</v>
          </cell>
          <cell r="E34">
            <v>1093.1835616438357</v>
          </cell>
          <cell r="F34">
            <v>1142.041095890411</v>
          </cell>
          <cell r="G34">
            <v>1463.3111111111111</v>
          </cell>
          <cell r="H34">
            <v>1237.9780219780221</v>
          </cell>
          <cell r="I34">
            <v>1212.3804347826087</v>
          </cell>
          <cell r="J34">
            <v>1334.4021739130435</v>
          </cell>
          <cell r="K34">
            <v>1311.3917808219178</v>
          </cell>
          <cell r="L34">
            <v>1521.6813186813188</v>
          </cell>
          <cell r="M34">
            <v>1413.0439560439561</v>
          </cell>
          <cell r="N34">
            <v>1482.2934782608695</v>
          </cell>
          <cell r="O34">
            <v>1580.391304347826</v>
          </cell>
          <cell r="P34">
            <v>1499.5273224043715</v>
          </cell>
          <cell r="Q34">
            <v>1821.3516483516485</v>
          </cell>
          <cell r="R34">
            <v>1651.1098901098901</v>
          </cell>
          <cell r="S34">
            <v>1678.2417582417581</v>
          </cell>
          <cell r="T34">
            <v>1917.7472527472528</v>
          </cell>
          <cell r="U34">
            <v>1762.2712328767122</v>
          </cell>
          <cell r="W34">
            <v>2340.1333333333332</v>
          </cell>
          <cell r="X34">
            <v>2152.9890109890111</v>
          </cell>
          <cell r="Y34">
            <v>2177.3296703296705</v>
          </cell>
          <cell r="Z34">
            <v>2222.771739130435</v>
          </cell>
          <cell r="AA34">
            <v>2216.8931506849317</v>
          </cell>
          <cell r="AC34">
            <v>2725.0222222222224</v>
          </cell>
          <cell r="AD34">
            <v>2436.6483516483518</v>
          </cell>
          <cell r="AE34">
            <v>2715.9891304347825</v>
          </cell>
          <cell r="AF34">
            <v>3139.717391304348</v>
          </cell>
          <cell r="AG34">
            <v>2755.3753424657534</v>
          </cell>
          <cell r="AH34">
            <v>3303.9230769230771</v>
          </cell>
          <cell r="AI34">
            <v>3041.6304347826085</v>
          </cell>
          <cell r="AJ34">
            <v>3013.217391304348</v>
          </cell>
          <cell r="AK34">
            <v>3109.913043478261</v>
          </cell>
          <cell r="AL34">
            <v>3103.398907103825</v>
          </cell>
          <cell r="AN34">
            <v>2170.5534246575344</v>
          </cell>
          <cell r="AO34">
            <v>2597.7671232876714</v>
          </cell>
          <cell r="AR34">
            <v>2673.228260869565</v>
          </cell>
          <cell r="AS34">
            <v>3097.4347826086955</v>
          </cell>
          <cell r="AT34">
            <v>2712.0301369863014</v>
          </cell>
          <cell r="AU34">
            <v>3123.0109890109889</v>
          </cell>
          <cell r="AV34">
            <v>2883.1847826086955</v>
          </cell>
          <cell r="AW34">
            <v>2899.2934782608695</v>
          </cell>
          <cell r="AX34">
            <v>2996.8152173913045</v>
          </cell>
          <cell r="AY34">
            <v>2983.3032786885246</v>
          </cell>
          <cell r="BA34">
            <v>3549.9888888888891</v>
          </cell>
          <cell r="BB34">
            <v>3188.2608695652175</v>
          </cell>
          <cell r="BC34">
            <v>3112.391304347826</v>
          </cell>
          <cell r="BD34">
            <v>3313.5</v>
          </cell>
          <cell r="BE34">
            <v>3298.6328767123287</v>
          </cell>
          <cell r="BG34">
            <v>3702.7666666666669</v>
          </cell>
          <cell r="BH34">
            <v>3495.358695652174</v>
          </cell>
          <cell r="BI34">
            <v>3451.4055583943905</v>
          </cell>
          <cell r="BJ34">
            <v>3511.2930790412997</v>
          </cell>
          <cell r="BK34">
            <v>3549.0144510796804</v>
          </cell>
          <cell r="BM34">
            <v>3734.2118173792869</v>
          </cell>
          <cell r="BN34">
            <v>3810.1256284885799</v>
          </cell>
          <cell r="BO34">
            <v>3977.8086598744267</v>
          </cell>
          <cell r="BP34">
            <v>4114.9540914527988</v>
          </cell>
        </row>
        <row r="35">
          <cell r="A35" t="str">
            <v>Occupancy Rate (Beds in Service)</v>
          </cell>
          <cell r="C35">
            <v>0.43989297775264158</v>
          </cell>
          <cell r="D35">
            <v>0.41825456571608094</v>
          </cell>
          <cell r="E35">
            <v>0.42987949730390707</v>
          </cell>
          <cell r="F35">
            <v>0.4113980892976985</v>
          </cell>
          <cell r="G35">
            <v>0.49570159590484797</v>
          </cell>
          <cell r="H35">
            <v>0.41640700369257383</v>
          </cell>
          <cell r="I35">
            <v>0.39401379095957384</v>
          </cell>
          <cell r="J35">
            <v>0.42728215623216248</v>
          </cell>
          <cell r="K35">
            <v>0.41991411489654751</v>
          </cell>
          <cell r="L35">
            <v>0.46864222934441602</v>
          </cell>
          <cell r="M35">
            <v>0.4211755457657097</v>
          </cell>
          <cell r="N35">
            <v>0.43507293168795702</v>
          </cell>
          <cell r="O35">
            <v>0.4405885989260736</v>
          </cell>
          <cell r="P35">
            <v>0.41804497418577402</v>
          </cell>
          <cell r="Q35">
            <v>0.55512089251802754</v>
          </cell>
          <cell r="R35">
            <v>0.44360824559642398</v>
          </cell>
          <cell r="S35">
            <v>0.44304164684312519</v>
          </cell>
          <cell r="T35">
            <v>0.46333589097541744</v>
          </cell>
          <cell r="U35">
            <v>0.42577222345414645</v>
          </cell>
          <cell r="W35">
            <v>0.51887657058388759</v>
          </cell>
          <cell r="X35">
            <v>0.47822945601710598</v>
          </cell>
          <cell r="Y35">
            <v>0.47500403144510406</v>
          </cell>
          <cell r="Z35">
            <v>0.4500448955518192</v>
          </cell>
          <cell r="AA35">
            <v>0.44885465695179827</v>
          </cell>
          <cell r="AC35">
            <v>0.504353548440167</v>
          </cell>
          <cell r="AD35">
            <v>0.45206833982344191</v>
          </cell>
          <cell r="AE35">
            <v>0.45289130072282519</v>
          </cell>
          <cell r="AF35">
            <v>0.50804488532432812</v>
          </cell>
          <cell r="AG35">
            <v>0.44585361528572059</v>
          </cell>
          <cell r="AH35">
            <v>0.53401051833248381</v>
          </cell>
          <cell r="AI35">
            <v>0.49161636249920937</v>
          </cell>
          <cell r="AJ35">
            <v>0.46789089927086147</v>
          </cell>
          <cell r="AK35">
            <v>0.49005878403376313</v>
          </cell>
          <cell r="AL35">
            <v>0.48903228917488573</v>
          </cell>
          <cell r="AN35">
            <v>0.48299999999999998</v>
          </cell>
          <cell r="AO35">
            <v>0.503</v>
          </cell>
          <cell r="AR35">
            <v>0.46507102659526184</v>
          </cell>
          <cell r="AS35">
            <v>0.51273543827324874</v>
          </cell>
          <cell r="AT35">
            <v>0.44893728471880506</v>
          </cell>
          <cell r="AU35">
            <v>0.5463630141726713</v>
          </cell>
          <cell r="AV35">
            <v>0.50440601515197614</v>
          </cell>
          <cell r="AW35">
            <v>0.47890543083265108</v>
          </cell>
          <cell r="AX35">
            <v>0.50282134519988331</v>
          </cell>
          <cell r="AY35">
            <v>0.50055424139069205</v>
          </cell>
          <cell r="BA35">
            <v>0.57489698605488082</v>
          </cell>
          <cell r="BB35">
            <v>0.51531612567726159</v>
          </cell>
          <cell r="BC35">
            <v>0.49886060335756149</v>
          </cell>
          <cell r="BD35">
            <v>0.51165843113032738</v>
          </cell>
          <cell r="BE35">
            <v>0.50936270486601742</v>
          </cell>
          <cell r="BG35">
            <v>0.56721303104575171</v>
          </cell>
          <cell r="BH35">
            <v>0.50848977242539628</v>
          </cell>
          <cell r="BI35">
            <v>0.48548438057649113</v>
          </cell>
          <cell r="BJ35">
            <v>0.48711129779719492</v>
          </cell>
          <cell r="BK35">
            <v>0.49234427211027143</v>
          </cell>
          <cell r="BM35">
            <v>0.49308242452058404</v>
          </cell>
          <cell r="BN35">
            <v>0.47998559189828421</v>
          </cell>
          <cell r="BO35">
            <v>0.48441334939286212</v>
          </cell>
          <cell r="BP35">
            <v>0.48440859013193932</v>
          </cell>
        </row>
        <row r="36">
          <cell r="A36" t="str">
            <v>Occupancy Rate (Beds in Service)</v>
          </cell>
          <cell r="C36">
            <v>0.43989297775264158</v>
          </cell>
          <cell r="D36">
            <v>0.41825456571608094</v>
          </cell>
          <cell r="E36">
            <v>0.42987949730390707</v>
          </cell>
          <cell r="F36">
            <v>0.4113980892976985</v>
          </cell>
          <cell r="G36">
            <v>0.49570159590484797</v>
          </cell>
          <cell r="H36">
            <v>0.41640700369257383</v>
          </cell>
          <cell r="I36">
            <v>0.39401379095957384</v>
          </cell>
          <cell r="J36">
            <v>0.42728215623216248</v>
          </cell>
          <cell r="K36">
            <v>0.41991411489654751</v>
          </cell>
          <cell r="L36">
            <v>0.46864222934441602</v>
          </cell>
          <cell r="M36">
            <v>0.4211755457657097</v>
          </cell>
          <cell r="N36">
            <v>0.43507293168795702</v>
          </cell>
          <cell r="O36">
            <v>0.4405885989260736</v>
          </cell>
          <cell r="P36">
            <v>0.41804497418577402</v>
          </cell>
          <cell r="Q36">
            <v>0.55512089251802754</v>
          </cell>
          <cell r="R36">
            <v>0.44360824559642398</v>
          </cell>
          <cell r="S36">
            <v>0.44304164684312519</v>
          </cell>
          <cell r="T36">
            <v>0.46333589097541744</v>
          </cell>
          <cell r="U36">
            <v>0.42577222345414645</v>
          </cell>
          <cell r="W36">
            <v>0.51887657058388759</v>
          </cell>
          <cell r="X36">
            <v>0.47822945601710598</v>
          </cell>
          <cell r="Y36">
            <v>0.47500403144510406</v>
          </cell>
          <cell r="Z36">
            <v>0.4500448955518192</v>
          </cell>
          <cell r="AA36">
            <v>0.44885465695179827</v>
          </cell>
          <cell r="AC36">
            <v>0.504353548440167</v>
          </cell>
          <cell r="AD36">
            <v>0.45206833982344191</v>
          </cell>
          <cell r="AE36">
            <v>0.45289130072282519</v>
          </cell>
          <cell r="AF36">
            <v>0.50804488532432812</v>
          </cell>
          <cell r="AG36">
            <v>0.44585361528572059</v>
          </cell>
          <cell r="AH36">
            <v>0.53401051833248381</v>
          </cell>
          <cell r="AI36">
            <v>0.49161636249920937</v>
          </cell>
          <cell r="AJ36">
            <v>0.46789089927086147</v>
          </cell>
          <cell r="AK36">
            <v>0.49005878403376313</v>
          </cell>
          <cell r="AL36">
            <v>0.48903228917488573</v>
          </cell>
          <cell r="AN36">
            <v>0.48299999999999998</v>
          </cell>
          <cell r="AO36">
            <v>0.503</v>
          </cell>
          <cell r="AR36">
            <v>0.46507102659526184</v>
          </cell>
          <cell r="AS36">
            <v>0.51273543827324874</v>
          </cell>
          <cell r="AT36">
            <v>0.44893728471880506</v>
          </cell>
          <cell r="AU36">
            <v>0.5463630141726713</v>
          </cell>
          <cell r="AV36">
            <v>0.50440601515197614</v>
          </cell>
          <cell r="AW36">
            <v>0.47890543083265108</v>
          </cell>
          <cell r="AX36">
            <v>0.50282134519988331</v>
          </cell>
          <cell r="AY36">
            <v>0.50055424139069205</v>
          </cell>
          <cell r="BA36">
            <v>0.57378194421995943</v>
          </cell>
          <cell r="BB36">
            <v>0.51531612567726159</v>
          </cell>
          <cell r="BC36">
            <v>0.49886060335756149</v>
          </cell>
          <cell r="BD36">
            <v>0.51165843113032738</v>
          </cell>
        </row>
        <row r="37">
          <cell r="A37" t="str">
            <v>Inpatient Revenue Per Patient Day ($)</v>
          </cell>
          <cell r="C37">
            <v>875.11626814487715</v>
          </cell>
          <cell r="D37">
            <v>1075.6142220609743</v>
          </cell>
          <cell r="E37">
            <v>1088.4484677152566</v>
          </cell>
          <cell r="F37">
            <v>1141.9138048915065</v>
          </cell>
          <cell r="G37">
            <v>1108.3480386945894</v>
          </cell>
          <cell r="H37">
            <v>1211.9189301945735</v>
          </cell>
          <cell r="I37">
            <v>1213.1745129506271</v>
          </cell>
          <cell r="J37">
            <v>1232.6135299148782</v>
          </cell>
          <cell r="K37">
            <v>1189.0227072356463</v>
          </cell>
          <cell r="L37">
            <v>1167.9758797743964</v>
          </cell>
          <cell r="M37">
            <v>1206.027856626253</v>
          </cell>
          <cell r="N37">
            <v>1273.149195943419</v>
          </cell>
          <cell r="O37">
            <v>1343.5186868964759</v>
          </cell>
          <cell r="P37">
            <v>1242.8789217731635</v>
          </cell>
          <cell r="Q37">
            <v>1262.7297985435282</v>
          </cell>
          <cell r="R37">
            <v>1323.4578405468183</v>
          </cell>
          <cell r="S37">
            <v>1388.3814889994762</v>
          </cell>
          <cell r="T37">
            <v>1452.9041171246026</v>
          </cell>
          <cell r="U37">
            <v>1358.3446517492216</v>
          </cell>
          <cell r="W37">
            <v>1337.5212808386987</v>
          </cell>
          <cell r="X37">
            <v>1400.1025612233441</v>
          </cell>
          <cell r="Y37">
            <v>1456.4821411447635</v>
          </cell>
          <cell r="Z37">
            <v>1520.781314946576</v>
          </cell>
          <cell r="AA37">
            <v>1428.1174728053331</v>
          </cell>
          <cell r="AC37">
            <v>1427.4137907132256</v>
          </cell>
          <cell r="AD37">
            <v>1488.0875188851558</v>
          </cell>
          <cell r="AE37">
            <v>1452.577706096346</v>
          </cell>
          <cell r="AF37">
            <v>1417.4686173637892</v>
          </cell>
          <cell r="AG37">
            <v>1444.1865036909176</v>
          </cell>
          <cell r="AH37">
            <v>1403.189973957034</v>
          </cell>
          <cell r="AI37">
            <v>1465.4939641925455</v>
          </cell>
          <cell r="AJ37">
            <v>1510.1612605333023</v>
          </cell>
          <cell r="AK37">
            <v>1547.6802231294039</v>
          </cell>
          <cell r="AL37">
            <v>1481.7032136455359</v>
          </cell>
          <cell r="AN37">
            <v>1433.605216522016</v>
          </cell>
          <cell r="AO37">
            <v>1445.2646266287697</v>
          </cell>
          <cell r="AR37">
            <v>1454.7379776121527</v>
          </cell>
          <cell r="AS37">
            <v>1422.970985808734</v>
          </cell>
          <cell r="AT37">
            <v>1449.3928705281692</v>
          </cell>
          <cell r="AU37">
            <v>1405.0388255909697</v>
          </cell>
          <cell r="AV37">
            <v>1465.1613063754226</v>
          </cell>
          <cell r="AW37">
            <v>1509.5890678013761</v>
          </cell>
          <cell r="AX37">
            <v>1548.8816025708452</v>
          </cell>
          <cell r="AY37">
            <v>1481.505698839351</v>
          </cell>
          <cell r="BA37">
            <v>1475.398974644678</v>
          </cell>
          <cell r="BB37">
            <v>1578.5963180144552</v>
          </cell>
          <cell r="BC37">
            <v>1629.1577774673465</v>
          </cell>
          <cell r="BD37">
            <v>1649.444105471031</v>
          </cell>
          <cell r="BE37">
            <v>1581.1741410513778</v>
          </cell>
          <cell r="BG37">
            <v>1567.956867087373</v>
          </cell>
          <cell r="BH37">
            <v>1643.1879915291395</v>
          </cell>
          <cell r="BI37">
            <v>1786.1727251461375</v>
          </cell>
          <cell r="BJ37">
            <v>1769.3811070211734</v>
          </cell>
          <cell r="BK37">
            <v>1690.3524958561713</v>
          </cell>
          <cell r="BM37">
            <v>1786.9559984021812</v>
          </cell>
          <cell r="BN37">
            <v>1969.8810798954221</v>
          </cell>
          <cell r="BO37">
            <v>2038.8269176917618</v>
          </cell>
          <cell r="BP37">
            <v>2110.1858598109729</v>
          </cell>
        </row>
        <row r="38">
          <cell r="A38" t="str">
            <v>Total Revenue Per Bed</v>
          </cell>
          <cell r="C38">
            <v>107320.61855670103</v>
          </cell>
          <cell r="D38">
            <v>116405.21472392639</v>
          </cell>
          <cell r="E38">
            <v>133426.72811059907</v>
          </cell>
          <cell r="F38">
            <v>137334.40854010388</v>
          </cell>
          <cell r="G38">
            <v>39616.561270185921</v>
          </cell>
          <cell r="H38">
            <v>36040.371939549892</v>
          </cell>
          <cell r="I38">
            <v>34179.406920939633</v>
          </cell>
          <cell r="J38">
            <v>37175.23645743767</v>
          </cell>
          <cell r="K38">
            <v>144115.27267355984</v>
          </cell>
          <cell r="L38">
            <v>38808.188122375526</v>
          </cell>
          <cell r="M38">
            <v>36197.585108245315</v>
          </cell>
          <cell r="N38">
            <v>39570.525967921145</v>
          </cell>
          <cell r="O38">
            <v>42562.859352870684</v>
          </cell>
          <cell r="P38">
            <v>145504.58831058021</v>
          </cell>
          <cell r="Q38">
            <v>44643.478029010235</v>
          </cell>
          <cell r="R38">
            <v>41705.298657718122</v>
          </cell>
          <cell r="S38">
            <v>43347.361954410713</v>
          </cell>
          <cell r="T38">
            <v>49109.735037768747</v>
          </cell>
          <cell r="U38">
            <v>175089.6774322835</v>
          </cell>
          <cell r="W38">
            <v>49822.785992217898</v>
          </cell>
          <cell r="X38">
            <v>46371.548305299635</v>
          </cell>
          <cell r="Y38">
            <v>47024.741641997774</v>
          </cell>
          <cell r="Z38">
            <v>50432.526554771757</v>
          </cell>
          <cell r="AA38">
            <v>191290.20079457047</v>
          </cell>
          <cell r="AC38">
            <v>50211.716437177281</v>
          </cell>
          <cell r="AD38">
            <v>47360.569255059563</v>
          </cell>
          <cell r="AE38">
            <v>48692.922457740817</v>
          </cell>
          <cell r="AF38">
            <v>52911.527832598462</v>
          </cell>
          <cell r="AG38">
            <v>200589.57721256762</v>
          </cell>
          <cell r="AH38">
            <v>85487.110030395139</v>
          </cell>
          <cell r="AI38">
            <v>83098.110638297876</v>
          </cell>
          <cell r="AJ38">
            <v>65615.976176170938</v>
          </cell>
          <cell r="AK38">
            <v>55843.355066523742</v>
          </cell>
          <cell r="AL38">
            <v>250317.35505845258</v>
          </cell>
          <cell r="AN38">
            <v>236620.12500000006</v>
          </cell>
          <cell r="AO38">
            <v>241902.60194174756</v>
          </cell>
          <cell r="AR38">
            <v>48295.612041036715</v>
          </cell>
          <cell r="AS38">
            <v>53096.177032866319</v>
          </cell>
          <cell r="AT38">
            <v>190726.61455633101</v>
          </cell>
          <cell r="AU38">
            <v>56184.55100605038</v>
          </cell>
          <cell r="AV38">
            <v>54683.893626002522</v>
          </cell>
          <cell r="AW38">
            <v>55915.972874765677</v>
          </cell>
          <cell r="AX38">
            <v>57711.669707412664</v>
          </cell>
          <cell r="AY38">
            <v>222380.43716147481</v>
          </cell>
          <cell r="BA38">
            <v>63188.524224645997</v>
          </cell>
          <cell r="BB38">
            <v>61126.583762376235</v>
          </cell>
          <cell r="BC38">
            <v>60709.661374284224</v>
          </cell>
          <cell r="BD38">
            <v>63057.416603962884</v>
          </cell>
          <cell r="BE38">
            <v>245408.93172970327</v>
          </cell>
          <cell r="BG38">
            <v>64716.380728263553</v>
          </cell>
          <cell r="BH38">
            <v>63586.62960288809</v>
          </cell>
          <cell r="BI38">
            <v>63855.234790318478</v>
          </cell>
          <cell r="BJ38">
            <v>64051.206030933776</v>
          </cell>
          <cell r="BK38">
            <v>251604.79200400304</v>
          </cell>
          <cell r="BM38">
            <v>263764.17103369429</v>
          </cell>
          <cell r="BN38">
            <v>283489.26169823081</v>
          </cell>
          <cell r="BO38">
            <v>293405.99957879586</v>
          </cell>
          <cell r="BP38">
            <v>303670.69533463422</v>
          </cell>
        </row>
        <row r="39">
          <cell r="A39" t="str">
            <v>Total Inpatient Revenue</v>
          </cell>
          <cell r="C39">
            <v>353.9434</v>
          </cell>
          <cell r="D39">
            <v>379.48099999999999</v>
          </cell>
          <cell r="E39">
            <v>434.30399999999997</v>
          </cell>
          <cell r="F39">
            <v>476.00106000000005</v>
          </cell>
          <cell r="G39">
            <v>145.96722000000003</v>
          </cell>
          <cell r="H39">
            <v>136.52993899999987</v>
          </cell>
          <cell r="I39">
            <v>135.316272</v>
          </cell>
          <cell r="J39">
            <v>151.32180000000002</v>
          </cell>
          <cell r="K39">
            <v>569.13523099999998</v>
          </cell>
          <cell r="L39">
            <v>161.733124</v>
          </cell>
          <cell r="M39">
            <v>155.07950400000001</v>
          </cell>
          <cell r="N39">
            <v>173.62062900000001</v>
          </cell>
          <cell r="O39">
            <v>195.342243</v>
          </cell>
          <cell r="P39">
            <v>682.12550999999996</v>
          </cell>
          <cell r="Q39">
            <v>209.288625</v>
          </cell>
          <cell r="R39">
            <v>198.850864</v>
          </cell>
          <cell r="S39">
            <v>212.03362100000001</v>
          </cell>
          <cell r="T39">
            <v>253.55356200000003</v>
          </cell>
          <cell r="U39">
            <v>873.72667200000012</v>
          </cell>
          <cell r="W39">
            <v>281.69803200000001</v>
          </cell>
          <cell r="X39">
            <v>274.31089400000002</v>
          </cell>
          <cell r="Y39">
            <v>288.58300200000002</v>
          </cell>
          <cell r="Z39">
            <v>310.99217500000003</v>
          </cell>
          <cell r="AA39">
            <v>1155.5841030000001</v>
          </cell>
          <cell r="AC39">
            <v>350.07608700000003</v>
          </cell>
          <cell r="AD39">
            <v>329.96108600000002</v>
          </cell>
          <cell r="AE39">
            <v>362.95704400000005</v>
          </cell>
          <cell r="AF39">
            <v>409.44148000000001</v>
          </cell>
          <cell r="AG39">
            <v>1452.4356970000001</v>
          </cell>
          <cell r="AH39">
            <v>421.87888800000002</v>
          </cell>
          <cell r="AI39">
            <v>410.08917600000001</v>
          </cell>
          <cell r="AJ39">
            <v>418.64086399999997</v>
          </cell>
          <cell r="AK39">
            <v>442.80988400000001</v>
          </cell>
          <cell r="AL39">
            <v>1682.9837050000001</v>
          </cell>
          <cell r="AM39">
            <v>0</v>
          </cell>
          <cell r="AN39">
            <v>1135.7766000000001</v>
          </cell>
          <cell r="AO39">
            <v>1370.37824</v>
          </cell>
          <cell r="AR39">
            <v>357.77389399999998</v>
          </cell>
          <cell r="AS39">
            <v>405.49550400000004</v>
          </cell>
          <cell r="AT39">
            <v>1434.7409580000001</v>
          </cell>
          <cell r="AU39">
            <v>399.30360400000006</v>
          </cell>
          <cell r="AV39">
            <v>388.63843199999997</v>
          </cell>
          <cell r="AW39">
            <v>402.66024000000004</v>
          </cell>
          <cell r="AX39">
            <v>427.03750000000002</v>
          </cell>
          <cell r="AY39">
            <v>1617.639776</v>
          </cell>
          <cell r="AZ39">
            <v>0</v>
          </cell>
          <cell r="BA39">
            <v>471.38849700000003</v>
          </cell>
          <cell r="BB39">
            <v>463.03387199999997</v>
          </cell>
          <cell r="BC39">
            <v>466.49303800000001</v>
          </cell>
          <cell r="BD39">
            <v>502.81984000000006</v>
          </cell>
          <cell r="BE39">
            <v>1903.7352470000001</v>
          </cell>
          <cell r="BF39">
            <v>0</v>
          </cell>
          <cell r="BG39">
            <v>522.52005799999995</v>
          </cell>
          <cell r="BH39">
            <v>528.40489200000002</v>
          </cell>
          <cell r="BI39">
            <v>567.16219540760869</v>
          </cell>
          <cell r="BJ39">
            <v>571.57903844482883</v>
          </cell>
          <cell r="BK39">
            <v>2189.6661838524374</v>
          </cell>
          <cell r="BL39">
            <v>0</v>
          </cell>
          <cell r="BM39">
            <v>2435.5983553251326</v>
          </cell>
          <cell r="BN39">
            <v>2747.0109458558563</v>
          </cell>
          <cell r="BO39">
            <v>2960.1731297504716</v>
          </cell>
          <cell r="BP39">
            <v>3169.4110472075772</v>
          </cell>
          <cell r="BS39" t="str">
            <v>mstag:totalInpatientNetRevenueBeforeBadDebts</v>
          </cell>
          <cell r="BT39">
            <v>6</v>
          </cell>
          <cell r="BU39" t="str">
            <v>ISO4217:USD</v>
          </cell>
          <cell r="BV39" t="b">
            <v>0</v>
          </cell>
          <cell r="BW39" t="b">
            <v>0</v>
          </cell>
        </row>
        <row r="40">
          <cell r="A40" t="str">
            <v>% of Total Revenue</v>
          </cell>
          <cell r="C40">
            <v>0.64600000000000002</v>
          </cell>
          <cell r="D40">
            <v>0.61</v>
          </cell>
          <cell r="E40">
            <v>0.58499999999999996</v>
          </cell>
          <cell r="F40">
            <v>0.55700000000000005</v>
          </cell>
          <cell r="G40">
            <v>0.55500000000000005</v>
          </cell>
          <cell r="H40">
            <v>0.52146290404512952</v>
          </cell>
          <cell r="I40">
            <v>0.50700000000000001</v>
          </cell>
          <cell r="J40">
            <v>0.52500000000000002</v>
          </cell>
          <cell r="K40">
            <v>0.52700000000000002</v>
          </cell>
          <cell r="L40">
            <v>0.52400000000000002</v>
          </cell>
          <cell r="M40">
            <v>0.48899999999999999</v>
          </cell>
          <cell r="N40">
            <v>0.50700000000000001</v>
          </cell>
          <cell r="O40">
            <v>0.52900000000000003</v>
          </cell>
          <cell r="P40">
            <v>0.51</v>
          </cell>
          <cell r="Q40">
            <v>0.52500000000000002</v>
          </cell>
          <cell r="R40">
            <v>0.496</v>
          </cell>
          <cell r="S40">
            <v>0.50900000000000001</v>
          </cell>
          <cell r="T40">
            <v>0.53100000000000003</v>
          </cell>
          <cell r="U40">
            <v>0.51589145885305199</v>
          </cell>
          <cell r="W40">
            <v>0.52800000000000002</v>
          </cell>
          <cell r="X40">
            <v>0.51700000000000002</v>
          </cell>
          <cell r="Y40">
            <v>0.52200000000000002</v>
          </cell>
          <cell r="Z40">
            <v>0.53300000000000003</v>
          </cell>
          <cell r="AA40">
            <v>0.53764954915363761</v>
          </cell>
          <cell r="AC40">
            <v>0.53100000000000003</v>
          </cell>
          <cell r="AD40">
            <v>0.502</v>
          </cell>
          <cell r="AE40">
            <v>0.502</v>
          </cell>
          <cell r="AF40">
            <v>0.51500000000000001</v>
          </cell>
          <cell r="AG40">
            <v>0.51239095449696326</v>
          </cell>
          <cell r="AH40">
            <v>0.51300000000000001</v>
          </cell>
          <cell r="AI40">
            <v>0.504</v>
          </cell>
          <cell r="AJ40">
            <v>0.496</v>
          </cell>
          <cell r="AK40">
            <v>0.50800000000000001</v>
          </cell>
          <cell r="AL40">
            <v>0.505</v>
          </cell>
          <cell r="AM40">
            <v>0</v>
          </cell>
          <cell r="AN40">
            <v>0.52500000000000002</v>
          </cell>
          <cell r="AO40">
            <v>0.51200000000000001</v>
          </cell>
          <cell r="AR40">
            <v>0.502</v>
          </cell>
          <cell r="AS40">
            <v>0.51600000000000001</v>
          </cell>
          <cell r="AT40">
            <v>0.51300000000000001</v>
          </cell>
          <cell r="AU40">
            <v>0.51195460787041369</v>
          </cell>
          <cell r="AV40">
            <v>0.504</v>
          </cell>
          <cell r="AW40">
            <v>0.496</v>
          </cell>
          <cell r="AX40">
            <v>0.50800000000000001</v>
          </cell>
          <cell r="AY40">
            <v>0.50495902646693136</v>
          </cell>
          <cell r="AZ40">
            <v>0</v>
          </cell>
          <cell r="BA40">
            <v>0.51900000000000002</v>
          </cell>
          <cell r="BB40">
            <v>0.504</v>
          </cell>
          <cell r="BC40">
            <v>0.502</v>
          </cell>
          <cell r="BD40">
            <v>0.51200000000000001</v>
          </cell>
          <cell r="BE40">
            <v>0.50900000000000001</v>
          </cell>
          <cell r="BG40">
            <v>0.50900000000000001</v>
          </cell>
          <cell r="BH40">
            <v>0.498</v>
          </cell>
          <cell r="BI40">
            <v>0.51500000000000001</v>
          </cell>
          <cell r="BJ40">
            <v>0.51500000000000001</v>
          </cell>
          <cell r="BK40">
            <v>0.51878512750786498</v>
          </cell>
          <cell r="BM40">
            <v>0.52</v>
          </cell>
          <cell r="BN40">
            <v>0.54</v>
          </cell>
          <cell r="BO40">
            <v>0.54</v>
          </cell>
          <cell r="BP40">
            <v>0.54</v>
          </cell>
        </row>
        <row r="41">
          <cell r="A41" t="str">
            <v>% of Total Revenue</v>
          </cell>
          <cell r="C41">
            <v>0.64600000000000002</v>
          </cell>
          <cell r="D41">
            <v>0.61</v>
          </cell>
          <cell r="E41">
            <v>0.58499999999999996</v>
          </cell>
          <cell r="F41">
            <v>0.55700000000000005</v>
          </cell>
          <cell r="G41">
            <v>0.55500000000000005</v>
          </cell>
          <cell r="H41">
            <v>0.52146290404512952</v>
          </cell>
          <cell r="I41">
            <v>0.50700000000000001</v>
          </cell>
          <cell r="J41">
            <v>0.52500000000000002</v>
          </cell>
          <cell r="K41">
            <v>0.52700000000000002</v>
          </cell>
          <cell r="L41">
            <v>0.52400000000000002</v>
          </cell>
          <cell r="M41">
            <v>0.48899999999999999</v>
          </cell>
          <cell r="N41">
            <v>0.50700000000000001</v>
          </cell>
          <cell r="O41">
            <v>0.52900000000000003</v>
          </cell>
          <cell r="P41">
            <v>0.51</v>
          </cell>
          <cell r="Q41">
            <v>0.52500000000000002</v>
          </cell>
          <cell r="R41">
            <v>0.496</v>
          </cell>
          <cell r="S41">
            <v>0.50900000000000001</v>
          </cell>
          <cell r="T41">
            <v>0.53100000000000003</v>
          </cell>
          <cell r="U41">
            <v>0.51589145885305199</v>
          </cell>
          <cell r="W41">
            <v>0.52800000000000002</v>
          </cell>
          <cell r="X41">
            <v>0.51700000000000002</v>
          </cell>
          <cell r="Y41">
            <v>0.52200000000000002</v>
          </cell>
          <cell r="Z41">
            <v>0.53300000000000003</v>
          </cell>
          <cell r="AA41">
            <v>0.53764954915363761</v>
          </cell>
          <cell r="AC41">
            <v>0.53100000000000003</v>
          </cell>
          <cell r="AD41">
            <v>0.502</v>
          </cell>
          <cell r="AE41">
            <v>0.502</v>
          </cell>
          <cell r="AF41">
            <v>0.51500000000000001</v>
          </cell>
          <cell r="AG41">
            <v>0.51239095449696326</v>
          </cell>
          <cell r="AH41">
            <v>0.51300000000000001</v>
          </cell>
          <cell r="AI41">
            <v>0.504</v>
          </cell>
          <cell r="AJ41">
            <v>0.496</v>
          </cell>
          <cell r="AK41">
            <v>0.50800000000000001</v>
          </cell>
          <cell r="AL41">
            <v>0.505</v>
          </cell>
          <cell r="AN41">
            <v>0.52500000000000002</v>
          </cell>
          <cell r="AO41">
            <v>0.51200000000000001</v>
          </cell>
          <cell r="AR41">
            <v>0.502</v>
          </cell>
          <cell r="AS41">
            <v>0.51600000000000001</v>
          </cell>
          <cell r="AT41">
            <v>0.51300000000000001</v>
          </cell>
          <cell r="AU41">
            <v>0.51195460787041369</v>
          </cell>
          <cell r="AV41">
            <v>0.504</v>
          </cell>
          <cell r="AW41">
            <v>0.496</v>
          </cell>
          <cell r="AX41">
            <v>0.50800000000000001</v>
          </cell>
          <cell r="AY41">
            <v>0.50495902646693136</v>
          </cell>
          <cell r="BA41">
            <v>0.52009208786441807</v>
          </cell>
          <cell r="BB41">
            <v>0.504</v>
          </cell>
          <cell r="BC41">
            <v>0.502</v>
          </cell>
          <cell r="BD41">
            <v>0.51200000000000001</v>
          </cell>
        </row>
        <row r="42">
          <cell r="A42" t="str">
            <v>Total Outpatient Revenue</v>
          </cell>
          <cell r="C42">
            <v>193.95659999999998</v>
          </cell>
          <cell r="D42">
            <v>242.61900000000003</v>
          </cell>
          <cell r="E42">
            <v>308.096</v>
          </cell>
          <cell r="F42">
            <v>378.57893999999999</v>
          </cell>
          <cell r="G42">
            <v>113.09172000000001</v>
          </cell>
          <cell r="H42">
            <v>120.034831</v>
          </cell>
          <cell r="I42">
            <v>126.24180800000001</v>
          </cell>
          <cell r="J42">
            <v>132.01025600000003</v>
          </cell>
          <cell r="K42">
            <v>491.37861500000002</v>
          </cell>
          <cell r="L42">
            <v>141.36215800000002</v>
          </cell>
          <cell r="M42">
            <v>156.030912</v>
          </cell>
          <cell r="N42">
            <v>165.744348</v>
          </cell>
          <cell r="O42">
            <v>169.49355299999999</v>
          </cell>
          <cell r="P42">
            <v>632.63797299999999</v>
          </cell>
          <cell r="Q42">
            <v>184.97128000000001</v>
          </cell>
          <cell r="R42">
            <v>197.24722800000001</v>
          </cell>
          <cell r="S42">
            <v>202.035965</v>
          </cell>
          <cell r="T42">
            <v>217.74091200000001</v>
          </cell>
          <cell r="U42">
            <v>801.99538500000006</v>
          </cell>
          <cell r="V42">
            <v>0</v>
          </cell>
          <cell r="W42">
            <v>244.885221</v>
          </cell>
          <cell r="X42">
            <v>249.37353999999999</v>
          </cell>
          <cell r="Y42">
            <v>257.62390600000003</v>
          </cell>
          <cell r="Z42">
            <v>265.48112500000002</v>
          </cell>
          <cell r="AA42">
            <v>1017.3637920000001</v>
          </cell>
          <cell r="AB42">
            <v>0</v>
          </cell>
          <cell r="AC42">
            <v>301.94886600000001</v>
          </cell>
          <cell r="AD42">
            <v>318.787105</v>
          </cell>
          <cell r="AE42">
            <v>351.38869199999999</v>
          </cell>
          <cell r="AF42">
            <v>373.66503999999998</v>
          </cell>
          <cell r="AG42">
            <v>1345.7897029999999</v>
          </cell>
          <cell r="AH42">
            <v>388.16147199999995</v>
          </cell>
          <cell r="AI42">
            <v>393.81579599999998</v>
          </cell>
          <cell r="AJ42">
            <v>414.42069399999997</v>
          </cell>
          <cell r="AK42">
            <v>416.659694</v>
          </cell>
          <cell r="AL42">
            <v>1603.000321</v>
          </cell>
          <cell r="AM42">
            <v>0</v>
          </cell>
          <cell r="AN42">
            <v>999.48340800000005</v>
          </cell>
          <cell r="AO42">
            <v>1271.347</v>
          </cell>
          <cell r="AR42">
            <v>346.37074200000001</v>
          </cell>
          <cell r="AS42">
            <v>368.56083599999999</v>
          </cell>
          <cell r="AT42">
            <v>1328.4638499999999</v>
          </cell>
          <cell r="AU42">
            <v>368.96486200000004</v>
          </cell>
          <cell r="AV42">
            <v>372.44516399999998</v>
          </cell>
          <cell r="AW42">
            <v>398.60116500000004</v>
          </cell>
          <cell r="AX42">
            <v>400.97812499999998</v>
          </cell>
          <cell r="AY42">
            <v>1540.9893160000001</v>
          </cell>
          <cell r="AZ42">
            <v>0</v>
          </cell>
          <cell r="BA42">
            <v>426.88360999999998</v>
          </cell>
          <cell r="BB42">
            <v>444.65951199999995</v>
          </cell>
          <cell r="BC42">
            <v>450.69546500000001</v>
          </cell>
          <cell r="BD42">
            <v>465.50117999999998</v>
          </cell>
          <cell r="BE42">
            <v>1787.7397669999998</v>
          </cell>
          <cell r="BF42">
            <v>0</v>
          </cell>
          <cell r="BG42">
            <v>490.69663599999996</v>
          </cell>
          <cell r="BH42">
            <v>518.85540600000002</v>
          </cell>
          <cell r="BI42">
            <v>534.12362091784496</v>
          </cell>
          <cell r="BJ42">
            <v>538.28317212765421</v>
          </cell>
          <cell r="BK42">
            <v>2081.9588350454992</v>
          </cell>
          <cell r="BL42">
            <v>0</v>
          </cell>
          <cell r="BM42">
            <v>2248.2446356847377</v>
          </cell>
          <cell r="BN42">
            <v>2340.0463612846183</v>
          </cell>
          <cell r="BO42">
            <v>2521.6289623800312</v>
          </cell>
          <cell r="BP42">
            <v>2699.8686698434917</v>
          </cell>
          <cell r="BS42" t="str">
            <v>mstag:totalOutpatientNetRevenueBeforeBadDebts</v>
          </cell>
          <cell r="BT42">
            <v>6</v>
          </cell>
          <cell r="BU42" t="str">
            <v>ISO4217:USD</v>
          </cell>
          <cell r="BV42" t="b">
            <v>0</v>
          </cell>
          <cell r="BW42" t="b">
            <v>0</v>
          </cell>
        </row>
        <row r="43">
          <cell r="A43" t="str">
            <v>% of Total Revenue</v>
          </cell>
          <cell r="C43">
            <v>0.35399999999999998</v>
          </cell>
          <cell r="D43">
            <v>0.39</v>
          </cell>
          <cell r="E43">
            <v>0.41499999999999998</v>
          </cell>
          <cell r="F43">
            <v>0.44299999999999995</v>
          </cell>
          <cell r="G43">
            <v>0.43</v>
          </cell>
          <cell r="H43">
            <v>0.45846143357484687</v>
          </cell>
          <cell r="I43">
            <v>0.47299999999999998</v>
          </cell>
          <cell r="J43">
            <v>0.45800000000000002</v>
          </cell>
          <cell r="K43">
            <v>0.45500000000000002</v>
          </cell>
          <cell r="L43">
            <v>0.45800000000000002</v>
          </cell>
          <cell r="M43">
            <v>0.49199999999999999</v>
          </cell>
          <cell r="N43">
            <v>0.48399999999999999</v>
          </cell>
          <cell r="O43">
            <v>0.45900000000000002</v>
          </cell>
          <cell r="P43">
            <v>0.47299999999999998</v>
          </cell>
          <cell r="Q43">
            <v>0.46400000000000002</v>
          </cell>
          <cell r="R43">
            <v>0.49199999999999999</v>
          </cell>
          <cell r="S43">
            <v>0.48499999999999999</v>
          </cell>
          <cell r="T43">
            <v>0.45600000000000002</v>
          </cell>
          <cell r="U43">
            <v>0.47353775776810098</v>
          </cell>
          <cell r="V43">
            <v>0</v>
          </cell>
          <cell r="W43">
            <v>0.45900000000000002</v>
          </cell>
          <cell r="X43">
            <v>0.47</v>
          </cell>
          <cell r="Y43">
            <v>0.46600000000000003</v>
          </cell>
          <cell r="Z43">
            <v>0.45500000000000002</v>
          </cell>
          <cell r="AA43">
            <v>0.46235045084636239</v>
          </cell>
          <cell r="AB43">
            <v>0</v>
          </cell>
          <cell r="AC43">
            <v>0.45800000000000002</v>
          </cell>
          <cell r="AD43">
            <v>0.48499999999999999</v>
          </cell>
          <cell r="AE43">
            <v>0.48599999999999999</v>
          </cell>
          <cell r="AF43">
            <v>0.47</v>
          </cell>
          <cell r="AG43">
            <v>0.47476833012067909</v>
          </cell>
          <cell r="AH43">
            <v>0.47199999999999998</v>
          </cell>
          <cell r="AI43">
            <v>0.48399999999999999</v>
          </cell>
          <cell r="AJ43">
            <v>0.49099999999999999</v>
          </cell>
          <cell r="AK43">
            <v>0.47799999999999998</v>
          </cell>
          <cell r="AL43">
            <v>0.48099999999999998</v>
          </cell>
          <cell r="AM43">
            <v>0</v>
          </cell>
          <cell r="AN43">
            <v>0.46200000000000002</v>
          </cell>
          <cell r="AO43">
            <v>0.47499999999999998</v>
          </cell>
          <cell r="AR43">
            <v>0.48599999999999999</v>
          </cell>
          <cell r="AS43">
            <v>0.46899999999999997</v>
          </cell>
          <cell r="AT43">
            <v>0.47499999999999998</v>
          </cell>
          <cell r="AU43">
            <v>0.4730567401619829</v>
          </cell>
          <cell r="AV43">
            <v>0.48299999999999998</v>
          </cell>
          <cell r="AW43">
            <v>0.49099999999999999</v>
          </cell>
          <cell r="AX43">
            <v>0.47699999999999998</v>
          </cell>
          <cell r="AY43">
            <v>0.4810319802641293</v>
          </cell>
          <cell r="AZ43">
            <v>0</v>
          </cell>
          <cell r="BA43">
            <v>0.47</v>
          </cell>
          <cell r="BB43">
            <v>0.48399999999999999</v>
          </cell>
          <cell r="BC43">
            <v>0.48499999999999999</v>
          </cell>
          <cell r="BD43">
            <v>0.47399999999999998</v>
          </cell>
          <cell r="BE43">
            <v>0.47799999999999998</v>
          </cell>
          <cell r="BG43">
            <v>0.47799999999999998</v>
          </cell>
          <cell r="BH43">
            <v>0.48899999999999999</v>
          </cell>
          <cell r="BI43">
            <v>0.48499999999999999</v>
          </cell>
          <cell r="BJ43">
            <v>0.48499999999999999</v>
          </cell>
          <cell r="BK43">
            <v>0.48121487249213496</v>
          </cell>
          <cell r="BM43">
            <v>0.48</v>
          </cell>
          <cell r="BN43">
            <v>0.46</v>
          </cell>
          <cell r="BO43">
            <v>0.46</v>
          </cell>
          <cell r="BP43">
            <v>0.46</v>
          </cell>
        </row>
        <row r="44">
          <cell r="A44" t="str">
            <v>% of Total Revenue</v>
          </cell>
          <cell r="C44">
            <v>0.35399999999999998</v>
          </cell>
          <cell r="D44">
            <v>0.39</v>
          </cell>
          <cell r="E44">
            <v>0.41499999999999998</v>
          </cell>
          <cell r="F44">
            <v>0.44299999999999995</v>
          </cell>
          <cell r="G44">
            <v>0.43</v>
          </cell>
          <cell r="H44">
            <v>0.45846143357484687</v>
          </cell>
          <cell r="I44">
            <v>0.47299999999999998</v>
          </cell>
          <cell r="J44">
            <v>0.45800000000000002</v>
          </cell>
          <cell r="K44">
            <v>0.45500000000000002</v>
          </cell>
          <cell r="L44">
            <v>0.45800000000000002</v>
          </cell>
          <cell r="M44">
            <v>0.49199999999999999</v>
          </cell>
          <cell r="N44">
            <v>0.48399999999999999</v>
          </cell>
          <cell r="O44">
            <v>0.45900000000000002</v>
          </cell>
          <cell r="P44">
            <v>0.47299999999999998</v>
          </cell>
          <cell r="Q44">
            <v>0.46400000000000002</v>
          </cell>
          <cell r="R44">
            <v>0.49199999999999999</v>
          </cell>
          <cell r="S44">
            <v>0.48499999999999999</v>
          </cell>
          <cell r="T44">
            <v>0.45600000000000002</v>
          </cell>
          <cell r="U44">
            <v>0.47353775776810098</v>
          </cell>
          <cell r="W44">
            <v>0.45900000000000002</v>
          </cell>
          <cell r="X44">
            <v>0.47</v>
          </cell>
          <cell r="Y44">
            <v>0.46600000000000003</v>
          </cell>
          <cell r="Z44">
            <v>0.45500000000000002</v>
          </cell>
          <cell r="AA44">
            <v>0.46235045084636239</v>
          </cell>
          <cell r="AC44">
            <v>0.45800000000000002</v>
          </cell>
          <cell r="AD44">
            <v>0.48499999999999999</v>
          </cell>
          <cell r="AE44">
            <v>0.48599999999999999</v>
          </cell>
          <cell r="AF44">
            <v>0.47</v>
          </cell>
          <cell r="AG44">
            <v>0.47476833012067909</v>
          </cell>
          <cell r="AH44">
            <v>0.47199999999999998</v>
          </cell>
          <cell r="AI44">
            <v>0.48399999999999999</v>
          </cell>
          <cell r="AJ44">
            <v>0.49099999999999999</v>
          </cell>
          <cell r="AK44">
            <v>0.47799999999999998</v>
          </cell>
          <cell r="AL44">
            <v>0.48099999999999998</v>
          </cell>
          <cell r="AN44">
            <v>0.46200000000000002</v>
          </cell>
          <cell r="AO44">
            <v>0.47499999999999998</v>
          </cell>
          <cell r="AR44">
            <v>0.48599999999999999</v>
          </cell>
          <cell r="AS44">
            <v>0.46899999999999997</v>
          </cell>
          <cell r="AT44">
            <v>0.47499999999999998</v>
          </cell>
          <cell r="AU44">
            <v>0.4730567401619829</v>
          </cell>
          <cell r="AV44">
            <v>0.48299999999999998</v>
          </cell>
          <cell r="AW44">
            <v>0.49099999999999999</v>
          </cell>
          <cell r="AX44">
            <v>0.47699999999999998</v>
          </cell>
          <cell r="AY44">
            <v>0.4810319802641293</v>
          </cell>
          <cell r="BA44">
            <v>0.46991942311863411</v>
          </cell>
          <cell r="BB44">
            <v>0.48399999999999999</v>
          </cell>
          <cell r="BC44">
            <v>0.48499999999999999</v>
          </cell>
          <cell r="BD44">
            <v>0.47399999999999998</v>
          </cell>
        </row>
        <row r="45">
          <cell r="A45" t="str">
            <v>Total Hospital Revenue</v>
          </cell>
          <cell r="C45">
            <v>547.9</v>
          </cell>
          <cell r="D45">
            <v>622.1</v>
          </cell>
          <cell r="E45">
            <v>742.4</v>
          </cell>
          <cell r="F45">
            <v>854.58</v>
          </cell>
          <cell r="G45">
            <v>259.05894000000001</v>
          </cell>
          <cell r="H45">
            <v>256.56476999999995</v>
          </cell>
          <cell r="I45">
            <v>261.55808000000002</v>
          </cell>
          <cell r="J45">
            <v>283.33205600000008</v>
          </cell>
          <cell r="K45">
            <v>1060.5138460000001</v>
          </cell>
          <cell r="L45">
            <v>303.095282</v>
          </cell>
          <cell r="M45">
            <v>311.11041599999999</v>
          </cell>
          <cell r="N45">
            <v>339.36497700000001</v>
          </cell>
          <cell r="O45">
            <v>364.83579599999996</v>
          </cell>
          <cell r="P45">
            <v>1314.763483</v>
          </cell>
          <cell r="Q45">
            <v>394.259905</v>
          </cell>
          <cell r="R45">
            <v>396.09809200000001</v>
          </cell>
          <cell r="S45">
            <v>414.06958600000002</v>
          </cell>
          <cell r="T45">
            <v>471.29447400000004</v>
          </cell>
          <cell r="U45">
            <v>1675.7220570000002</v>
          </cell>
          <cell r="V45">
            <v>0</v>
          </cell>
          <cell r="W45">
            <v>526.58325300000001</v>
          </cell>
          <cell r="X45">
            <v>523.68443400000001</v>
          </cell>
          <cell r="Y45">
            <v>546.20690800000011</v>
          </cell>
          <cell r="Z45">
            <v>576.47330000000011</v>
          </cell>
          <cell r="AA45">
            <v>2172.9478950000002</v>
          </cell>
          <cell r="AB45">
            <v>0</v>
          </cell>
          <cell r="AC45">
            <v>652.0249530000001</v>
          </cell>
          <cell r="AD45">
            <v>648.74819100000002</v>
          </cell>
          <cell r="AE45">
            <v>714.34573599999999</v>
          </cell>
          <cell r="AF45">
            <v>783.10652000000005</v>
          </cell>
          <cell r="AG45">
            <v>2798.2254000000003</v>
          </cell>
          <cell r="AH45">
            <v>810.04035999999996</v>
          </cell>
          <cell r="AI45">
            <v>803.90497200000004</v>
          </cell>
          <cell r="AJ45">
            <v>833.06155799999988</v>
          </cell>
          <cell r="AK45">
            <v>859.46957799999996</v>
          </cell>
          <cell r="AL45">
            <v>3285.9840260000001</v>
          </cell>
          <cell r="AM45">
            <v>0</v>
          </cell>
          <cell r="AN45">
            <v>2135.2600080000002</v>
          </cell>
          <cell r="AR45">
            <v>704.14463599999999</v>
          </cell>
          <cell r="AS45">
            <v>774.05634000000009</v>
          </cell>
          <cell r="AT45">
            <v>2763.204808</v>
          </cell>
          <cell r="AU45">
            <v>768.2684660000001</v>
          </cell>
          <cell r="AV45">
            <v>761.08359599999994</v>
          </cell>
          <cell r="AW45">
            <v>801.26140500000008</v>
          </cell>
          <cell r="AX45">
            <v>828.015625</v>
          </cell>
          <cell r="AY45">
            <v>3158.6290920000001</v>
          </cell>
          <cell r="AZ45">
            <v>0</v>
          </cell>
          <cell r="BA45">
            <v>898.27210700000001</v>
          </cell>
          <cell r="BB45">
            <v>907.69338399999992</v>
          </cell>
          <cell r="BC45">
            <v>917.18850300000008</v>
          </cell>
          <cell r="BD45">
            <v>968.32102000000009</v>
          </cell>
          <cell r="BE45">
            <v>3691.4750139999996</v>
          </cell>
          <cell r="BF45">
            <v>0</v>
          </cell>
          <cell r="BG45">
            <v>1013.216694</v>
          </cell>
          <cell r="BH45">
            <v>1047.2602980000001</v>
          </cell>
          <cell r="BI45">
            <v>1101.2858163254537</v>
          </cell>
          <cell r="BJ45">
            <v>1109.862210572483</v>
          </cell>
          <cell r="BK45">
            <v>4271.6250188979366</v>
          </cell>
          <cell r="BL45">
            <v>0</v>
          </cell>
          <cell r="BM45">
            <v>4683.8429910098703</v>
          </cell>
          <cell r="BN45">
            <v>5087.0573071404742</v>
          </cell>
          <cell r="BO45">
            <v>5481.8020921305024</v>
          </cell>
          <cell r="BP45">
            <v>5869.2797170510685</v>
          </cell>
        </row>
        <row r="46">
          <cell r="A46" t="str">
            <v>Total Other Revenue</v>
          </cell>
          <cell r="C46">
            <v>0</v>
          </cell>
          <cell r="D46">
            <v>0</v>
          </cell>
          <cell r="E46">
            <v>0</v>
          </cell>
          <cell r="F46">
            <v>0</v>
          </cell>
          <cell r="G46">
            <v>3.9450600000000122</v>
          </cell>
          <cell r="H46">
            <v>5.2562300000000732</v>
          </cell>
          <cell r="I46">
            <v>5.3379200000000253</v>
          </cell>
          <cell r="J46">
            <v>4.8999439999999765</v>
          </cell>
          <cell r="K46">
            <v>19.439153999999917</v>
          </cell>
          <cell r="L46">
            <v>5.5557179999999846</v>
          </cell>
          <cell r="M46">
            <v>6.0255840000000092</v>
          </cell>
          <cell r="N46">
            <v>3.0820229999999924</v>
          </cell>
          <cell r="O46">
            <v>4.4312040000000081</v>
          </cell>
          <cell r="P46">
            <v>22.737517000000025</v>
          </cell>
          <cell r="Q46">
            <v>4.3850949999999784</v>
          </cell>
          <cell r="R46">
            <v>4.8109079999999835</v>
          </cell>
          <cell r="S46">
            <v>2.4994140000000016</v>
          </cell>
          <cell r="T46">
            <v>2.4994140000000016</v>
          </cell>
          <cell r="U46">
            <v>14.194830999999965</v>
          </cell>
          <cell r="V46">
            <v>0</v>
          </cell>
          <cell r="W46">
            <v>6.9357469999999921</v>
          </cell>
          <cell r="X46">
            <v>6.8975659999999834</v>
          </cell>
          <cell r="Y46">
            <v>6.634091999999896</v>
          </cell>
          <cell r="Z46">
            <v>7.0016999999999143</v>
          </cell>
          <cell r="AA46">
            <v>27.469104999999786</v>
          </cell>
          <cell r="AB46">
            <v>0</v>
          </cell>
          <cell r="AC46">
            <v>7.2520469999999477</v>
          </cell>
          <cell r="AD46">
            <v>8.5448089999999866</v>
          </cell>
          <cell r="AE46">
            <v>8.6762640000000602</v>
          </cell>
          <cell r="AF46">
            <v>11.925479999999993</v>
          </cell>
          <cell r="AG46">
            <v>36.398599999999988</v>
          </cell>
          <cell r="AH46">
            <v>12.335640000000012</v>
          </cell>
          <cell r="AI46">
            <v>9.7640279999999393</v>
          </cell>
          <cell r="AJ46">
            <v>10.972442000000115</v>
          </cell>
          <cell r="AK46">
            <v>12.203422000000046</v>
          </cell>
          <cell r="AL46">
            <v>46.656973999999991</v>
          </cell>
          <cell r="AM46">
            <v>0</v>
          </cell>
          <cell r="AN46">
            <v>28.123991999999816</v>
          </cell>
          <cell r="AR46">
            <v>8.5523640000000114</v>
          </cell>
          <cell r="AS46">
            <v>11.78765999999996</v>
          </cell>
          <cell r="AT46">
            <v>33.561192000000119</v>
          </cell>
          <cell r="AU46">
            <v>11.690533999999957</v>
          </cell>
          <cell r="AV46">
            <v>10.024404000000004</v>
          </cell>
          <cell r="AW46">
            <v>10.553594999999973</v>
          </cell>
          <cell r="AX46">
            <v>12.609375</v>
          </cell>
          <cell r="AY46">
            <v>44.877907999999934</v>
          </cell>
          <cell r="AZ46">
            <v>0</v>
          </cell>
          <cell r="BA46">
            <v>9.9908930000000282</v>
          </cell>
          <cell r="BB46">
            <v>11.024616000000037</v>
          </cell>
          <cell r="BC46">
            <v>12.080496999999923</v>
          </cell>
          <cell r="BD46">
            <v>13.74897999999996</v>
          </cell>
          <cell r="BE46">
            <v>46.844986000000517</v>
          </cell>
          <cell r="BF46">
            <v>5.6843418860808015E-13</v>
          </cell>
          <cell r="BG46">
            <v>13.345305999999937</v>
          </cell>
          <cell r="BH46">
            <v>13.793701999999939</v>
          </cell>
          <cell r="BI46">
            <v>13.5</v>
          </cell>
          <cell r="BJ46">
            <v>14.2</v>
          </cell>
          <cell r="BK46">
            <v>54.839007999999879</v>
          </cell>
          <cell r="BM46">
            <v>54.839007999999879</v>
          </cell>
          <cell r="BN46">
            <v>54.839007999999879</v>
          </cell>
          <cell r="BO46">
            <v>54.839007999999879</v>
          </cell>
          <cell r="BP46">
            <v>54.839007999999879</v>
          </cell>
        </row>
        <row r="47">
          <cell r="A47" t="str">
            <v>TOTAL REVENUE</v>
          </cell>
          <cell r="C47">
            <v>547.9</v>
          </cell>
          <cell r="D47">
            <v>622.1</v>
          </cell>
          <cell r="E47">
            <v>742.4</v>
          </cell>
          <cell r="F47">
            <v>854.58</v>
          </cell>
          <cell r="G47">
            <v>263.00400000000002</v>
          </cell>
          <cell r="H47">
            <v>261.82100000000003</v>
          </cell>
          <cell r="I47">
            <v>266.89600000000002</v>
          </cell>
          <cell r="J47">
            <v>288.23200000000003</v>
          </cell>
          <cell r="K47">
            <v>1079.953</v>
          </cell>
          <cell r="L47">
            <v>308.65100000000001</v>
          </cell>
          <cell r="M47">
            <v>317.13600000000002</v>
          </cell>
          <cell r="N47">
            <v>342.447</v>
          </cell>
          <cell r="O47">
            <v>369.267</v>
          </cell>
          <cell r="P47">
            <v>1337.501</v>
          </cell>
          <cell r="Q47">
            <v>398.64499999999998</v>
          </cell>
          <cell r="R47">
            <v>400.90899999999999</v>
          </cell>
          <cell r="S47">
            <v>416.56900000000002</v>
          </cell>
          <cell r="T47">
            <v>477.50200000000001</v>
          </cell>
          <cell r="U47">
            <v>1693.625</v>
          </cell>
          <cell r="V47">
            <v>0</v>
          </cell>
          <cell r="W47">
            <v>533.51900000000001</v>
          </cell>
          <cell r="X47">
            <v>530.58199999999999</v>
          </cell>
          <cell r="Y47">
            <v>552.84100000000001</v>
          </cell>
          <cell r="Z47">
            <v>583.47500000000002</v>
          </cell>
          <cell r="AA47">
            <v>2200.4169999999999</v>
          </cell>
          <cell r="AB47">
            <v>0</v>
          </cell>
          <cell r="AC47">
            <v>659.27700000000004</v>
          </cell>
          <cell r="AD47">
            <v>657.29300000000001</v>
          </cell>
          <cell r="AE47">
            <v>723.02200000000005</v>
          </cell>
          <cell r="AF47">
            <v>795.03200000000004</v>
          </cell>
          <cell r="AG47">
            <v>2834.6240000000003</v>
          </cell>
          <cell r="AH47">
            <v>822.37599999999998</v>
          </cell>
          <cell r="AI47">
            <v>813.66899999999998</v>
          </cell>
          <cell r="AJ47">
            <v>844.03399999999999</v>
          </cell>
          <cell r="AK47">
            <v>871.673</v>
          </cell>
          <cell r="AL47">
            <v>3332.6410000000001</v>
          </cell>
          <cell r="AM47">
            <v>0</v>
          </cell>
          <cell r="AN47">
            <v>2163.384</v>
          </cell>
          <cell r="AO47">
            <v>2676.52</v>
          </cell>
          <cell r="AP47">
            <v>649.33699999999999</v>
          </cell>
          <cell r="AQ47">
            <v>648.88800000000003</v>
          </cell>
          <cell r="AR47">
            <v>712.697</v>
          </cell>
          <cell r="AS47">
            <v>785.84400000000005</v>
          </cell>
          <cell r="AT47">
            <v>2796.7660000000001</v>
          </cell>
          <cell r="AU47">
            <v>779.95900000000006</v>
          </cell>
          <cell r="AV47">
            <v>771.10799999999995</v>
          </cell>
          <cell r="AW47">
            <v>811.81500000000005</v>
          </cell>
          <cell r="AX47">
            <v>840.625</v>
          </cell>
          <cell r="AY47">
            <v>3203.5070000000001</v>
          </cell>
          <cell r="AZ47">
            <v>0</v>
          </cell>
          <cell r="BA47">
            <v>908.26300000000003</v>
          </cell>
          <cell r="BB47">
            <v>918.71799999999996</v>
          </cell>
          <cell r="BC47">
            <v>929.26900000000001</v>
          </cell>
          <cell r="BD47">
            <v>982.07</v>
          </cell>
          <cell r="BE47">
            <v>3738.32</v>
          </cell>
          <cell r="BF47">
            <v>0</v>
          </cell>
          <cell r="BG47">
            <v>1026.5619999999999</v>
          </cell>
          <cell r="BH47">
            <v>1061.0540000000001</v>
          </cell>
          <cell r="BI47">
            <v>1114.7858163254537</v>
          </cell>
          <cell r="BJ47">
            <v>1124.0622105724831</v>
          </cell>
          <cell r="BK47">
            <v>4326.4640268979365</v>
          </cell>
          <cell r="BL47">
            <v>0</v>
          </cell>
          <cell r="BM47">
            <v>4738.6819990098702</v>
          </cell>
          <cell r="BN47">
            <v>5141.8963151404741</v>
          </cell>
          <cell r="BO47">
            <v>5536.6411001305023</v>
          </cell>
          <cell r="BP47">
            <v>5924.1187250510684</v>
          </cell>
        </row>
        <row r="48">
          <cell r="A48" t="str">
            <v>% Change</v>
          </cell>
          <cell r="C48" t="str">
            <v>NA</v>
          </cell>
          <cell r="D48">
            <v>0.1354261726592445</v>
          </cell>
          <cell r="E48">
            <v>0.19337727053528364</v>
          </cell>
          <cell r="F48">
            <v>0.15110452586206913</v>
          </cell>
          <cell r="G48" t="str">
            <v>NA</v>
          </cell>
          <cell r="H48" t="str">
            <v>NA</v>
          </cell>
          <cell r="I48" t="str">
            <v>NA</v>
          </cell>
          <cell r="J48" t="str">
            <v>NA</v>
          </cell>
          <cell r="K48">
            <v>0.26372370053125493</v>
          </cell>
          <cell r="L48">
            <v>0.17356009794527827</v>
          </cell>
          <cell r="M48">
            <v>0.21127029535445963</v>
          </cell>
          <cell r="N48">
            <v>0.28307280738564833</v>
          </cell>
          <cell r="O48">
            <v>0.28114504982097732</v>
          </cell>
          <cell r="P48">
            <v>0.23848074869924885</v>
          </cell>
          <cell r="Q48">
            <v>0.29157203443371316</v>
          </cell>
          <cell r="R48">
            <v>0.26415481055446222</v>
          </cell>
          <cell r="S48">
            <v>0.21644809269755605</v>
          </cell>
          <cell r="T48">
            <v>0.29310769714055152</v>
          </cell>
          <cell r="U48">
            <v>0.26626073550599227</v>
          </cell>
          <cell r="V48">
            <v>0</v>
          </cell>
          <cell r="W48">
            <v>0.33833109658969773</v>
          </cell>
          <cell r="X48">
            <v>0.32344746563434601</v>
          </cell>
          <cell r="Y48">
            <v>0.32712947914991264</v>
          </cell>
          <cell r="Z48">
            <v>0.22193205473484934</v>
          </cell>
          <cell r="AA48">
            <v>0.29923507269909222</v>
          </cell>
          <cell r="AB48">
            <v>0</v>
          </cell>
          <cell r="AC48">
            <v>0.23571419199691124</v>
          </cell>
          <cell r="AD48">
            <v>0.23881511246141041</v>
          </cell>
          <cell r="AE48">
            <v>0.30782991854800934</v>
          </cell>
          <cell r="AF48">
            <v>0.36258108745019069</v>
          </cell>
          <cell r="AG48">
            <v>0.28822127805775022</v>
          </cell>
          <cell r="AH48">
            <v>-0.38513989896082323</v>
          </cell>
          <cell r="AI48">
            <v>1.0410866811323358</v>
          </cell>
          <cell r="AJ48">
            <v>0.16736973425428259</v>
          </cell>
          <cell r="AK48">
            <v>9.6399893337626663E-2</v>
          </cell>
          <cell r="AL48">
            <v>0.17569067361314938</v>
          </cell>
          <cell r="AM48">
            <v>0</v>
          </cell>
          <cell r="AN48">
            <v>0.30560289680144836</v>
          </cell>
          <cell r="AO48">
            <v>0.2371913631606779</v>
          </cell>
          <cell r="AP48" t="str">
            <v>NA</v>
          </cell>
          <cell r="AQ48" t="str">
            <v>NA</v>
          </cell>
          <cell r="AR48" t="str">
            <v>NA</v>
          </cell>
          <cell r="AS48" t="str">
            <v>NA</v>
          </cell>
          <cell r="AT48">
            <v>0.29277372856598749</v>
          </cell>
          <cell r="AU48" t="str">
            <v>NA</v>
          </cell>
          <cell r="AV48" t="str">
            <v>NA</v>
          </cell>
          <cell r="AW48">
            <v>0.13907452956866662</v>
          </cell>
          <cell r="AX48">
            <v>6.9709764278915287E-2</v>
          </cell>
          <cell r="AY48">
            <v>0.14543261753039038</v>
          </cell>
          <cell r="AZ48">
            <v>0</v>
          </cell>
          <cell r="BA48">
            <v>0.16450095453735392</v>
          </cell>
          <cell r="BB48">
            <v>0.19142584436940102</v>
          </cell>
          <cell r="BC48">
            <v>0.14468074622912841</v>
          </cell>
          <cell r="BD48">
            <v>0.16826171003717483</v>
          </cell>
          <cell r="BE48">
            <v>0.16694610000852195</v>
          </cell>
          <cell r="BG48">
            <v>0.13024751641319732</v>
          </cell>
          <cell r="BH48">
            <v>0.15492893357918325</v>
          </cell>
          <cell r="BI48">
            <v>0.1996373669254583</v>
          </cell>
          <cell r="BJ48">
            <v>0.14458461267779588</v>
          </cell>
          <cell r="BK48">
            <v>0.15732843279813835</v>
          </cell>
          <cell r="BM48">
            <v>9.5278261774313977E-2</v>
          </cell>
          <cell r="BN48">
            <v>8.508997147621522E-2</v>
          </cell>
          <cell r="BO48">
            <v>7.6770273221513641E-2</v>
          </cell>
          <cell r="BP48">
            <v>6.9984240970835776E-2</v>
          </cell>
        </row>
        <row r="49">
          <cell r="A49" t="str">
            <v>% Change</v>
          </cell>
          <cell r="C49" t="str">
            <v>NA</v>
          </cell>
          <cell r="D49">
            <v>0.1354261726592445</v>
          </cell>
          <cell r="E49">
            <v>0.19337727053528364</v>
          </cell>
          <cell r="F49">
            <v>0.15110452586206913</v>
          </cell>
          <cell r="G49" t="str">
            <v>NA</v>
          </cell>
          <cell r="H49" t="str">
            <v>NA</v>
          </cell>
          <cell r="I49" t="str">
            <v>NA</v>
          </cell>
          <cell r="J49" t="str">
            <v>NA</v>
          </cell>
          <cell r="K49">
            <v>0.26372370053125493</v>
          </cell>
          <cell r="L49">
            <v>0.17356009794527827</v>
          </cell>
          <cell r="M49">
            <v>0.21127029535445963</v>
          </cell>
          <cell r="N49">
            <v>0.28307280738564833</v>
          </cell>
          <cell r="O49">
            <v>0.28114504982097732</v>
          </cell>
          <cell r="P49">
            <v>0.23848074869924885</v>
          </cell>
          <cell r="Q49">
            <v>0.29157203443371316</v>
          </cell>
          <cell r="R49">
            <v>0.26415481055446222</v>
          </cell>
          <cell r="S49">
            <v>0.21644809269755605</v>
          </cell>
          <cell r="T49">
            <v>0.29310769714055152</v>
          </cell>
          <cell r="U49">
            <v>0.26626073550599227</v>
          </cell>
          <cell r="W49">
            <v>0.33833109658969773</v>
          </cell>
          <cell r="X49">
            <v>0.32344746563434601</v>
          </cell>
          <cell r="Y49">
            <v>0.32712947914991264</v>
          </cell>
          <cell r="Z49">
            <v>0.22193205473484934</v>
          </cell>
          <cell r="AA49">
            <v>0.29923507269909222</v>
          </cell>
          <cell r="AC49">
            <v>0.23571419199691124</v>
          </cell>
          <cell r="AD49">
            <v>0.23881511246141041</v>
          </cell>
          <cell r="AE49">
            <v>0.30782991854800934</v>
          </cell>
          <cell r="AF49">
            <v>0.36258108745019069</v>
          </cell>
          <cell r="AG49">
            <v>0.28822127805775022</v>
          </cell>
          <cell r="AH49">
            <v>-0.38513989896082323</v>
          </cell>
          <cell r="AI49">
            <v>1.0410866811323358</v>
          </cell>
          <cell r="AJ49">
            <v>0.16736973425428259</v>
          </cell>
          <cell r="AK49">
            <v>9.6399893337626663E-2</v>
          </cell>
          <cell r="AL49">
            <v>0.17569067361314938</v>
          </cell>
          <cell r="AN49">
            <v>0.30560289680144836</v>
          </cell>
          <cell r="AO49">
            <v>0.2371913631606779</v>
          </cell>
          <cell r="AP49" t="str">
            <v>NA</v>
          </cell>
          <cell r="AQ49" t="str">
            <v>NA</v>
          </cell>
          <cell r="AR49" t="str">
            <v>NA</v>
          </cell>
          <cell r="AS49" t="str">
            <v>NA</v>
          </cell>
          <cell r="AT49">
            <v>0.29277372856598749</v>
          </cell>
          <cell r="AU49" t="str">
            <v>NA</v>
          </cell>
          <cell r="AV49" t="str">
            <v>NA</v>
          </cell>
          <cell r="AW49">
            <v>0.13907452956866662</v>
          </cell>
          <cell r="AX49">
            <v>6.9709764278915287E-2</v>
          </cell>
          <cell r="AY49">
            <v>0.14543261753039038</v>
          </cell>
          <cell r="BA49">
            <v>0.16450095453735392</v>
          </cell>
          <cell r="BB49">
            <v>0.19142584436940102</v>
          </cell>
          <cell r="BC49">
            <v>0.14468074622912841</v>
          </cell>
          <cell r="BD49">
            <v>0.16826171003717483</v>
          </cell>
        </row>
        <row r="50">
          <cell r="A50" t="str">
            <v>Equivalent Factor</v>
          </cell>
          <cell r="C50">
            <v>1.5461249295977577</v>
          </cell>
          <cell r="D50">
            <v>1.6532440563350284</v>
          </cell>
          <cell r="E50">
            <v>1.7436182649853014</v>
          </cell>
          <cell r="F50">
            <v>1.7687336436462433</v>
          </cell>
          <cell r="G50">
            <v>1.701135930955705</v>
          </cell>
          <cell r="H50">
            <v>1.8297586657715275</v>
          </cell>
          <cell r="I50">
            <v>1.8675443497695208</v>
          </cell>
          <cell r="J50">
            <v>1.8187791370733082</v>
          </cell>
          <cell r="K50">
            <v>1.8021658611124953</v>
          </cell>
          <cell r="L50">
            <v>1.7954414476717382</v>
          </cell>
          <cell r="M50">
            <v>2.0449897750511248</v>
          </cell>
          <cell r="N50">
            <v>1.972386587771203</v>
          </cell>
          <cell r="O50">
            <v>1.7919312857886518</v>
          </cell>
          <cell r="P50">
            <v>1.8311283232154072</v>
          </cell>
          <cell r="Q50">
            <v>1.7755002098782706</v>
          </cell>
          <cell r="R50">
            <v>1.8536179650679234</v>
          </cell>
          <cell r="S50">
            <v>1.886220935936427</v>
          </cell>
          <cell r="T50">
            <v>1.8284064615185001</v>
          </cell>
          <cell r="U50">
            <v>1.83541108896411</v>
          </cell>
          <cell r="W50">
            <v>1.7991404279174064</v>
          </cell>
          <cell r="X50">
            <v>1.8686060940300566</v>
          </cell>
          <cell r="Y50">
            <v>1.8805350553505535</v>
          </cell>
          <cell r="Z50">
            <v>1.8321310742045518</v>
          </cell>
          <cell r="AA50">
            <v>1.8446279653469355</v>
          </cell>
          <cell r="AC50">
            <v>1.7961653257202179</v>
          </cell>
          <cell r="AD50">
            <v>1.8471515548733162</v>
          </cell>
          <cell r="AE50">
            <v>1.8616955060375948</v>
          </cell>
          <cell r="AF50">
            <v>1.807836451758341</v>
          </cell>
          <cell r="AG50">
            <v>1.8278827780764084</v>
          </cell>
          <cell r="AH50">
            <v>1.8032024011124419</v>
          </cell>
          <cell r="AI50">
            <v>1.8550148239207462</v>
          </cell>
          <cell r="AJ50">
            <v>1.8971939660154895</v>
          </cell>
          <cell r="AK50">
            <v>1.860252312392159</v>
          </cell>
          <cell r="AL50">
            <v>1.8542860003289496</v>
          </cell>
          <cell r="AN50">
            <v>1.8462600981484094</v>
          </cell>
          <cell r="AO50">
            <v>1.8200055282400931</v>
          </cell>
          <cell r="AR50">
            <v>1.862568526154478</v>
          </cell>
          <cell r="AS50">
            <v>1.808024559148997</v>
          </cell>
          <cell r="AT50">
            <v>1.8282469978198572</v>
          </cell>
          <cell r="AU50">
            <v>1.7996981994520709</v>
          </cell>
          <cell r="AV50">
            <v>1.8478117271149208</v>
          </cell>
          <cell r="AW50">
            <v>1.8869607206989694</v>
          </cell>
          <cell r="AX50">
            <v>1.8521256658845751</v>
          </cell>
          <cell r="AY50">
            <v>1.8466509592729721</v>
          </cell>
          <cell r="BA50">
            <v>1.7818651477016823</v>
          </cell>
          <cell r="BB50">
            <v>1.8740330867822257</v>
          </cell>
          <cell r="BC50">
            <v>1.8917532276378317</v>
          </cell>
          <cell r="BD50">
            <v>1.841418566290798</v>
          </cell>
          <cell r="BE50">
            <v>1.8463102598128469</v>
          </cell>
          <cell r="BG50">
            <v>1.8130334574373781</v>
          </cell>
          <cell r="BH50">
            <v>1.8740330867822257</v>
          </cell>
          <cell r="BI50">
            <v>1.8917532276378317</v>
          </cell>
          <cell r="BJ50">
            <v>1.841418566290798</v>
          </cell>
          <cell r="BK50">
            <v>1.8568268240522143</v>
          </cell>
          <cell r="BM50">
            <v>1.85</v>
          </cell>
          <cell r="BN50">
            <v>1.85</v>
          </cell>
          <cell r="BO50">
            <v>1.85</v>
          </cell>
          <cell r="BP50">
            <v>1.85</v>
          </cell>
        </row>
        <row r="52">
          <cell r="B52" t="str">
            <v>check</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W52">
            <v>0</v>
          </cell>
          <cell r="X52">
            <v>0</v>
          </cell>
          <cell r="Y52">
            <v>0</v>
          </cell>
          <cell r="Z52">
            <v>0</v>
          </cell>
          <cell r="AA52">
            <v>0</v>
          </cell>
          <cell r="AC52">
            <v>0</v>
          </cell>
          <cell r="AD52">
            <v>0</v>
          </cell>
          <cell r="AE52">
            <v>0</v>
          </cell>
          <cell r="AF52">
            <v>0</v>
          </cell>
          <cell r="AG52">
            <v>0</v>
          </cell>
          <cell r="AH52">
            <v>0</v>
          </cell>
          <cell r="AL52">
            <v>0</v>
          </cell>
          <cell r="AU52">
            <v>0</v>
          </cell>
          <cell r="AV52">
            <v>0</v>
          </cell>
          <cell r="AW52">
            <v>0</v>
          </cell>
          <cell r="AX52">
            <v>0</v>
          </cell>
          <cell r="AY52">
            <v>0</v>
          </cell>
          <cell r="BA52">
            <v>0</v>
          </cell>
          <cell r="BB52">
            <v>0</v>
          </cell>
          <cell r="BC52">
            <v>0</v>
          </cell>
          <cell r="BD52">
            <v>0</v>
          </cell>
          <cell r="BE52">
            <v>0</v>
          </cell>
          <cell r="BG52">
            <v>0</v>
          </cell>
          <cell r="BH52">
            <v>0</v>
          </cell>
          <cell r="BI52">
            <v>0</v>
          </cell>
          <cell r="BJ52">
            <v>0</v>
          </cell>
          <cell r="BK52">
            <v>0</v>
          </cell>
          <cell r="BM52">
            <v>0</v>
          </cell>
          <cell r="BN52">
            <v>0</v>
          </cell>
          <cell r="BO52">
            <v>0</v>
          </cell>
          <cell r="BP52">
            <v>0</v>
          </cell>
        </row>
        <row r="54">
          <cell r="A54" t="str">
            <v>Consolidated surgeries (% change)</v>
          </cell>
          <cell r="Y54">
            <v>0.107</v>
          </cell>
          <cell r="Z54">
            <v>0.10299999999999999</v>
          </cell>
          <cell r="AA54">
            <v>0.29899999999999999</v>
          </cell>
          <cell r="AK54">
            <v>0.127</v>
          </cell>
          <cell r="AL54">
            <v>0.17899999999999999</v>
          </cell>
          <cell r="AU54" t="str">
            <v>na</v>
          </cell>
          <cell r="AV54" t="str">
            <v>na</v>
          </cell>
          <cell r="AW54" t="str">
            <v>na</v>
          </cell>
          <cell r="AX54">
            <v>0.127</v>
          </cell>
          <cell r="AY54">
            <v>0.17899999999999999</v>
          </cell>
          <cell r="BA54" t="str">
            <v>na</v>
          </cell>
          <cell r="BB54">
            <v>9.0999999999999998E-2</v>
          </cell>
        </row>
        <row r="55">
          <cell r="A55" t="str">
            <v>Same-store surgeries (% change)</v>
          </cell>
          <cell r="AH55">
            <v>6.6000000000000003E-2</v>
          </cell>
          <cell r="AI55">
            <v>7.1999999999999995E-2</v>
          </cell>
          <cell r="AK55">
            <v>4.4999999999999998E-2</v>
          </cell>
          <cell r="AL55">
            <v>5.2999999999999999E-2</v>
          </cell>
          <cell r="AU55">
            <v>6.6000000000000003E-2</v>
          </cell>
          <cell r="AV55">
            <v>7.1999999999999995E-2</v>
          </cell>
          <cell r="AW55" t="str">
            <v>na</v>
          </cell>
          <cell r="AX55">
            <v>4.4999999999999998E-2</v>
          </cell>
          <cell r="AY55">
            <v>5.2999999999999999E-2</v>
          </cell>
          <cell r="BA55" t="str">
            <v>na</v>
          </cell>
          <cell r="BB55">
            <v>2.4E-2</v>
          </cell>
          <cell r="BC55">
            <v>3.5999999999999997E-2</v>
          </cell>
          <cell r="BD55">
            <v>2.2200000000000001E-2</v>
          </cell>
          <cell r="BE55">
            <v>2.3E-2</v>
          </cell>
          <cell r="BG55">
            <v>5.3999999999999999E-2</v>
          </cell>
          <cell r="BH55">
            <v>0.02</v>
          </cell>
        </row>
        <row r="57">
          <cell r="A57" t="str">
            <v>Payor Mix (based on revenue)</v>
          </cell>
        </row>
        <row r="58">
          <cell r="A58" t="str">
            <v>Medicare</v>
          </cell>
          <cell r="P58">
            <v>0.34200000000000003</v>
          </cell>
          <cell r="U58">
            <v>0.33500000000000002</v>
          </cell>
          <cell r="AA58">
            <v>0.33</v>
          </cell>
          <cell r="AC58">
            <v>0.33300000000000002</v>
          </cell>
          <cell r="AD58">
            <v>0.32500000000000001</v>
          </cell>
          <cell r="AE58">
            <v>0.32300000000000001</v>
          </cell>
          <cell r="AG58">
            <v>0.33</v>
          </cell>
          <cell r="AH58">
            <v>0.33300000000000002</v>
          </cell>
          <cell r="AI58">
            <v>0.315</v>
          </cell>
          <cell r="AJ58">
            <v>0.311</v>
          </cell>
          <cell r="AK58">
            <v>0.32</v>
          </cell>
          <cell r="AL58">
            <v>0.31900000000000001</v>
          </cell>
          <cell r="AN58">
            <v>0.33</v>
          </cell>
          <cell r="AO58">
            <v>0.33</v>
          </cell>
          <cell r="AR58">
            <v>0.32100000000000001</v>
          </cell>
          <cell r="AT58">
            <v>0.33</v>
          </cell>
          <cell r="AU58">
            <v>0.33</v>
          </cell>
          <cell r="AV58">
            <v>0.313</v>
          </cell>
          <cell r="AW58">
            <v>0.311</v>
          </cell>
          <cell r="AX58">
            <v>0.32</v>
          </cell>
          <cell r="AY58">
            <v>0.31900000000000001</v>
          </cell>
          <cell r="BA58">
            <v>0.33700000000000002</v>
          </cell>
          <cell r="BB58">
            <v>0.316</v>
          </cell>
          <cell r="BC58">
            <v>0.31</v>
          </cell>
          <cell r="BD58">
            <v>0.318</v>
          </cell>
          <cell r="BE58">
            <v>0.32</v>
          </cell>
          <cell r="BG58">
            <v>0.32100000000000001</v>
          </cell>
          <cell r="BH58">
            <v>0.308</v>
          </cell>
        </row>
        <row r="59">
          <cell r="A59" t="str">
            <v>Medicaid</v>
          </cell>
          <cell r="P59">
            <v>0.11799999999999999</v>
          </cell>
          <cell r="U59">
            <v>0.113</v>
          </cell>
          <cell r="AA59">
            <v>0.11</v>
          </cell>
          <cell r="AC59">
            <v>0.106</v>
          </cell>
          <cell r="AD59">
            <v>0.106</v>
          </cell>
          <cell r="AE59">
            <v>9.6000000000000002E-2</v>
          </cell>
          <cell r="AG59">
            <v>0.108</v>
          </cell>
          <cell r="AH59">
            <v>9.9000000000000005E-2</v>
          </cell>
          <cell r="AI59">
            <v>0.104</v>
          </cell>
          <cell r="AJ59">
            <v>0.108</v>
          </cell>
          <cell r="AK59">
            <v>0.108</v>
          </cell>
          <cell r="AL59">
            <v>0.105</v>
          </cell>
          <cell r="AN59">
            <v>0.11</v>
          </cell>
          <cell r="AO59">
            <v>0.106</v>
          </cell>
          <cell r="AR59">
            <v>9.7000000000000003E-2</v>
          </cell>
          <cell r="AT59">
            <v>0.108</v>
          </cell>
          <cell r="AU59">
            <v>9.8000000000000004E-2</v>
          </cell>
          <cell r="AV59">
            <v>0.10199999999999999</v>
          </cell>
          <cell r="AW59">
            <v>0.105</v>
          </cell>
          <cell r="AX59">
            <v>0.108</v>
          </cell>
          <cell r="AY59">
            <v>0.10299999999999999</v>
          </cell>
          <cell r="BA59">
            <v>8.8999999999999996E-2</v>
          </cell>
          <cell r="BB59">
            <v>0.11799999999999999</v>
          </cell>
          <cell r="BC59">
            <v>0.11799999999999999</v>
          </cell>
          <cell r="BD59">
            <v>0.12</v>
          </cell>
          <cell r="BE59">
            <v>0.112</v>
          </cell>
          <cell r="BG59">
            <v>9.2999999999999999E-2</v>
          </cell>
          <cell r="BH59">
            <v>0.10199999999999999</v>
          </cell>
        </row>
        <row r="60">
          <cell r="A60" t="str">
            <v xml:space="preserve">Managed Care </v>
          </cell>
          <cell r="P60">
            <v>0.159</v>
          </cell>
          <cell r="U60">
            <v>0.17499999999999999</v>
          </cell>
          <cell r="AA60">
            <v>0.17699999999999999</v>
          </cell>
          <cell r="AC60">
            <v>0.17499999999999999</v>
          </cell>
          <cell r="AD60">
            <v>0.187</v>
          </cell>
          <cell r="AE60">
            <v>0.19900000000000001</v>
          </cell>
          <cell r="AG60">
            <v>0.192</v>
          </cell>
          <cell r="AH60">
            <v>0.20399999999999999</v>
          </cell>
          <cell r="AI60">
            <v>0.20300000000000001</v>
          </cell>
          <cell r="AJ60">
            <v>0.22800000000000001</v>
          </cell>
          <cell r="AK60">
            <v>0.23200000000000001</v>
          </cell>
          <cell r="AL60">
            <v>0.218</v>
          </cell>
          <cell r="AN60">
            <v>0.17699999999999999</v>
          </cell>
          <cell r="AO60">
            <v>0.19800000000000001</v>
          </cell>
          <cell r="AR60">
            <v>0.2</v>
          </cell>
          <cell r="AT60">
            <v>0.192</v>
          </cell>
          <cell r="AU60">
            <v>0.21</v>
          </cell>
          <cell r="AV60">
            <v>0.20799999999999999</v>
          </cell>
          <cell r="AW60">
            <v>0.23200000000000001</v>
          </cell>
          <cell r="AX60">
            <v>0.23200000000000001</v>
          </cell>
          <cell r="AY60">
            <v>0.222</v>
          </cell>
          <cell r="BA60">
            <v>0.23300000000000001</v>
          </cell>
          <cell r="BB60">
            <v>0.248</v>
          </cell>
          <cell r="BC60">
            <v>0.23400000000000001</v>
          </cell>
          <cell r="BD60">
            <v>0.23499999999999999</v>
          </cell>
          <cell r="BE60">
            <v>0.23699999999999999</v>
          </cell>
          <cell r="BG60">
            <v>0.23899999999999999</v>
          </cell>
          <cell r="BH60">
            <v>0.248</v>
          </cell>
        </row>
        <row r="61">
          <cell r="A61" t="str">
            <v>Self-pay</v>
          </cell>
          <cell r="P61" t="str">
            <v>NA</v>
          </cell>
          <cell r="U61">
            <v>0.11600000000000001</v>
          </cell>
          <cell r="AA61">
            <v>0.128</v>
          </cell>
          <cell r="AC61">
            <v>0.13600000000000001</v>
          </cell>
          <cell r="AD61">
            <v>0.124</v>
          </cell>
          <cell r="AE61" t="str">
            <v>*</v>
          </cell>
          <cell r="AG61">
            <v>0.128</v>
          </cell>
          <cell r="AH61">
            <v>0.128</v>
          </cell>
          <cell r="AI61">
            <v>0.14299999999999999</v>
          </cell>
          <cell r="AJ61">
            <v>0.128</v>
          </cell>
          <cell r="AK61">
            <v>0.12</v>
          </cell>
          <cell r="AL61">
            <v>0.13</v>
          </cell>
          <cell r="AN61">
            <v>0.128</v>
          </cell>
          <cell r="AO61">
            <v>0.126</v>
          </cell>
          <cell r="AR61">
            <v>0.13700000000000001</v>
          </cell>
          <cell r="AT61">
            <v>0.128</v>
          </cell>
          <cell r="AU61">
            <v>0.128</v>
          </cell>
          <cell r="AV61">
            <v>0.14199999999999999</v>
          </cell>
          <cell r="AW61">
            <v>0.128</v>
          </cell>
          <cell r="AX61">
            <v>0.12</v>
          </cell>
          <cell r="AY61">
            <v>0.129</v>
          </cell>
          <cell r="BA61">
            <v>0.128</v>
          </cell>
          <cell r="BB61">
            <v>0.106</v>
          </cell>
          <cell r="BC61">
            <v>0.11799999999999999</v>
          </cell>
          <cell r="BD61">
            <v>0.109</v>
          </cell>
          <cell r="BE61">
            <v>0.115</v>
          </cell>
          <cell r="BG61">
            <v>0.11700000000000001</v>
          </cell>
          <cell r="BH61">
            <v>0.127</v>
          </cell>
        </row>
        <row r="62">
          <cell r="A62" t="str">
            <v>Other third-party payors</v>
          </cell>
          <cell r="P62">
            <v>0.38100000000000001</v>
          </cell>
          <cell r="U62">
            <v>0.26100000000000001</v>
          </cell>
          <cell r="AA62">
            <v>0.255</v>
          </cell>
          <cell r="AC62">
            <v>0.25</v>
          </cell>
          <cell r="AD62">
            <v>0.25800000000000001</v>
          </cell>
          <cell r="AE62">
            <v>0.38200000000000001</v>
          </cell>
          <cell r="AG62">
            <v>0.24199999999999999</v>
          </cell>
          <cell r="AH62">
            <v>0.23599999999999999</v>
          </cell>
          <cell r="AI62">
            <v>0.23499999999999999</v>
          </cell>
          <cell r="AJ62">
            <v>0.22500000000000001</v>
          </cell>
          <cell r="AK62">
            <v>0.22</v>
          </cell>
          <cell r="AL62">
            <v>0.22800000000000001</v>
          </cell>
          <cell r="AN62">
            <v>0.255</v>
          </cell>
          <cell r="AO62">
            <v>0.24</v>
          </cell>
          <cell r="AR62">
            <v>0.245</v>
          </cell>
          <cell r="AT62">
            <v>0.24199999999999999</v>
          </cell>
          <cell r="AU62">
            <v>0.23400000000000001</v>
          </cell>
          <cell r="AV62">
            <v>0.23499999999999999</v>
          </cell>
          <cell r="AW62">
            <v>0.224</v>
          </cell>
          <cell r="AX62">
            <v>0.22</v>
          </cell>
          <cell r="AY62">
            <v>0.22700000000000001</v>
          </cell>
          <cell r="BA62">
            <v>0.21299999999999999</v>
          </cell>
          <cell r="BB62">
            <v>0.21199999999999999</v>
          </cell>
          <cell r="BC62">
            <v>0.22</v>
          </cell>
          <cell r="BD62">
            <v>0.218</v>
          </cell>
          <cell r="BE62">
            <v>0.216</v>
          </cell>
          <cell r="BG62">
            <v>0.23</v>
          </cell>
          <cell r="BH62">
            <v>0.215</v>
          </cell>
        </row>
        <row r="63">
          <cell r="P63">
            <v>1</v>
          </cell>
          <cell r="U63">
            <v>1</v>
          </cell>
          <cell r="AA63">
            <v>1</v>
          </cell>
          <cell r="AC63">
            <v>1</v>
          </cell>
          <cell r="AD63">
            <v>1</v>
          </cell>
          <cell r="AE63">
            <v>1</v>
          </cell>
          <cell r="AG63">
            <v>1</v>
          </cell>
          <cell r="AH63">
            <v>1</v>
          </cell>
          <cell r="AI63">
            <v>1</v>
          </cell>
          <cell r="AJ63">
            <v>1</v>
          </cell>
          <cell r="AK63">
            <v>1</v>
          </cell>
          <cell r="AL63">
            <v>1</v>
          </cell>
          <cell r="AN63">
            <v>1</v>
          </cell>
          <cell r="AO63">
            <v>1</v>
          </cell>
          <cell r="AR63">
            <v>1</v>
          </cell>
          <cell r="AT63">
            <v>1</v>
          </cell>
          <cell r="AU63">
            <v>1</v>
          </cell>
          <cell r="AV63">
            <v>1</v>
          </cell>
          <cell r="AW63">
            <v>1</v>
          </cell>
          <cell r="AX63">
            <v>1</v>
          </cell>
          <cell r="AY63">
            <v>1</v>
          </cell>
          <cell r="BA63">
            <v>1</v>
          </cell>
          <cell r="BB63">
            <v>0.99999999999999989</v>
          </cell>
          <cell r="BC63">
            <v>1</v>
          </cell>
          <cell r="BD63">
            <v>1</v>
          </cell>
          <cell r="BE63">
            <v>1</v>
          </cell>
          <cell r="BG63">
            <v>1</v>
          </cell>
          <cell r="BH63">
            <v>0.99999999999999989</v>
          </cell>
        </row>
        <row r="65">
          <cell r="A65" t="str">
            <v>Uncompensated Care</v>
          </cell>
        </row>
        <row r="66">
          <cell r="A66" t="str">
            <v>Contractual adjustments</v>
          </cell>
          <cell r="F66">
            <v>829</v>
          </cell>
          <cell r="K66">
            <v>1157</v>
          </cell>
          <cell r="P66">
            <v>1649</v>
          </cell>
          <cell r="U66">
            <v>2427</v>
          </cell>
          <cell r="AA66">
            <v>3507</v>
          </cell>
          <cell r="AG66">
            <v>5418</v>
          </cell>
          <cell r="AL66">
            <v>7214</v>
          </cell>
          <cell r="AN66">
            <v>3507</v>
          </cell>
          <cell r="AT66">
            <v>5418</v>
          </cell>
          <cell r="AY66">
            <v>7214</v>
          </cell>
          <cell r="BE66">
            <v>8893</v>
          </cell>
        </row>
        <row r="67">
          <cell r="A67" t="str">
            <v>Imputed gross revenue</v>
          </cell>
          <cell r="F67">
            <v>1683.58</v>
          </cell>
          <cell r="K67">
            <v>2236.953</v>
          </cell>
          <cell r="P67">
            <v>2986.5010000000002</v>
          </cell>
          <cell r="U67">
            <v>4120.625</v>
          </cell>
          <cell r="AA67">
            <v>5707.4169999999995</v>
          </cell>
          <cell r="AG67">
            <v>8252.6239999999998</v>
          </cell>
          <cell r="AL67">
            <v>10546.641</v>
          </cell>
          <cell r="AN67">
            <v>5670.384</v>
          </cell>
          <cell r="AT67">
            <v>8214.7659999999996</v>
          </cell>
          <cell r="AY67">
            <v>10417.507</v>
          </cell>
          <cell r="BE67">
            <v>12631.32</v>
          </cell>
        </row>
        <row r="68">
          <cell r="A68" t="str">
            <v>% of gross revenue</v>
          </cell>
          <cell r="F68">
            <v>0.49240309340809468</v>
          </cell>
          <cell r="K68">
            <v>0.51722141681117129</v>
          </cell>
          <cell r="P68">
            <v>0.55215116284909993</v>
          </cell>
          <cell r="U68">
            <v>0.58898832094645837</v>
          </cell>
          <cell r="AA68">
            <v>0.61446360060952276</v>
          </cell>
          <cell r="AG68">
            <v>0.65651846006797354</v>
          </cell>
          <cell r="AL68">
            <v>0.6840092499592999</v>
          </cell>
          <cell r="AN68">
            <v>0.61847663227040706</v>
          </cell>
          <cell r="AT68">
            <v>0.65954404544207346</v>
          </cell>
          <cell r="AY68">
            <v>0.69248813559712519</v>
          </cell>
          <cell r="BE68">
            <v>0.7040435995604577</v>
          </cell>
        </row>
        <row r="69">
          <cell r="A69" t="str">
            <v>% change</v>
          </cell>
          <cell r="U69">
            <v>0.37975008211951033</v>
          </cell>
          <cell r="AA69">
            <v>0.3850852722584559</v>
          </cell>
          <cell r="AG69">
            <v>0.44594726476092439</v>
          </cell>
          <cell r="AL69" t="str">
            <v>NA</v>
          </cell>
          <cell r="AN69" t="str">
            <v>NA</v>
          </cell>
          <cell r="AT69">
            <v>0.44871423169929936</v>
          </cell>
          <cell r="AY69">
            <v>0.26232662484077784</v>
          </cell>
          <cell r="BE69">
            <v>0.21250890448165771</v>
          </cell>
        </row>
        <row r="71">
          <cell r="A71" t="str">
            <v xml:space="preserve">Charity care </v>
          </cell>
          <cell r="U71">
            <v>43.3</v>
          </cell>
          <cell r="AA71">
            <v>54.7</v>
          </cell>
          <cell r="AC71">
            <v>16.481925</v>
          </cell>
          <cell r="AD71">
            <v>19.518075</v>
          </cell>
          <cell r="AE71">
            <v>19.000000000000004</v>
          </cell>
          <cell r="AF71">
            <v>31</v>
          </cell>
          <cell r="AG71">
            <v>90</v>
          </cell>
          <cell r="AH71">
            <v>37.006920000000001</v>
          </cell>
          <cell r="AI71">
            <v>37.428773999999997</v>
          </cell>
          <cell r="AJ71">
            <v>32.564305999999995</v>
          </cell>
          <cell r="AK71">
            <v>34</v>
          </cell>
          <cell r="AL71">
            <v>140.69999999999999</v>
          </cell>
          <cell r="AN71">
            <v>54.7</v>
          </cell>
          <cell r="AP71">
            <v>16.481925</v>
          </cell>
          <cell r="AQ71">
            <v>19.518075</v>
          </cell>
          <cell r="AR71">
            <v>19.000000000000004</v>
          </cell>
          <cell r="AS71">
            <v>31</v>
          </cell>
          <cell r="AT71">
            <v>90</v>
          </cell>
          <cell r="AU71">
            <v>34.529032000000001</v>
          </cell>
          <cell r="AV71">
            <v>35.470967999999999</v>
          </cell>
          <cell r="AW71">
            <v>32</v>
          </cell>
          <cell r="AX71">
            <v>32</v>
          </cell>
          <cell r="AY71">
            <v>133.4</v>
          </cell>
          <cell r="BA71">
            <v>38</v>
          </cell>
          <cell r="BB71">
            <v>44</v>
          </cell>
          <cell r="BC71">
            <v>48</v>
          </cell>
          <cell r="BD71">
            <v>52</v>
          </cell>
          <cell r="BE71">
            <v>182.3</v>
          </cell>
          <cell r="BG71">
            <v>51</v>
          </cell>
          <cell r="BH71">
            <v>48</v>
          </cell>
          <cell r="BS71" t="str">
            <v>mstag:charitycare</v>
          </cell>
          <cell r="BT71">
            <v>6</v>
          </cell>
          <cell r="BU71" t="str">
            <v>ISO4217:USD</v>
          </cell>
          <cell r="BV71" t="b">
            <v>0</v>
          </cell>
          <cell r="BW71" t="b">
            <v>0</v>
          </cell>
        </row>
        <row r="72">
          <cell r="A72" t="str">
            <v>% of net revenue</v>
          </cell>
          <cell r="U72">
            <v>2.5566462469554949E-2</v>
          </cell>
          <cell r="AA72">
            <v>2.4858924467498662E-2</v>
          </cell>
          <cell r="AC72">
            <v>2.5000000000000001E-2</v>
          </cell>
          <cell r="AD72">
            <v>2.7E-2</v>
          </cell>
          <cell r="AE72">
            <v>2.6278591799419663E-2</v>
          </cell>
          <cell r="AF72">
            <v>3.8992141196832329E-2</v>
          </cell>
          <cell r="AG72">
            <v>3.1750242712966517E-2</v>
          </cell>
          <cell r="AH72">
            <v>4.4999999999999998E-2</v>
          </cell>
          <cell r="AI72">
            <v>4.5999999999999999E-2</v>
          </cell>
          <cell r="AJ72">
            <v>3.8581746706886209E-2</v>
          </cell>
          <cell r="AK72">
            <v>3.9005452732848216E-2</v>
          </cell>
          <cell r="AL72">
            <v>4.2218768838287707E-2</v>
          </cell>
          <cell r="AN72">
            <v>2.5284461750664702E-2</v>
          </cell>
          <cell r="AR72">
            <v>2.665929560528528E-2</v>
          </cell>
          <cell r="AS72">
            <v>3.9448032942925058E-2</v>
          </cell>
          <cell r="AT72">
            <v>3.218002507181509E-2</v>
          </cell>
          <cell r="AU72">
            <v>4.4999999999999998E-2</v>
          </cell>
          <cell r="AV72">
            <v>4.5999999999999999E-2</v>
          </cell>
          <cell r="AW72">
            <v>3.9417847662336858E-2</v>
          </cell>
          <cell r="AX72">
            <v>3.8066914498141265E-2</v>
          </cell>
          <cell r="AY72">
            <v>4.1641863120636231E-2</v>
          </cell>
          <cell r="BA72">
            <v>4.1838101959454477E-2</v>
          </cell>
          <cell r="BB72">
            <v>4.7892824566406672E-2</v>
          </cell>
          <cell r="BC72">
            <v>5.1653503990771239E-2</v>
          </cell>
          <cell r="BD72">
            <v>5.2949382426914576E-2</v>
          </cell>
          <cell r="BE72">
            <v>4.876522074086756E-2</v>
          </cell>
          <cell r="BG72">
            <v>4.9680389494253636E-2</v>
          </cell>
          <cell r="BH72">
            <v>4.5238036895388918E-2</v>
          </cell>
        </row>
        <row r="73">
          <cell r="A73" t="str">
            <v>% of gross revenue</v>
          </cell>
          <cell r="U73">
            <v>1.0508114667071135E-2</v>
          </cell>
          <cell r="AA73">
            <v>9.5840202319192741E-3</v>
          </cell>
          <cell r="AG73">
            <v>1.0905622260265341E-2</v>
          </cell>
          <cell r="AN73">
            <v>9.6466129983436757E-3</v>
          </cell>
          <cell r="AT73">
            <v>1.0955881153522815E-2</v>
          </cell>
        </row>
        <row r="75">
          <cell r="A75" t="str">
            <v xml:space="preserve">Administrative discounts </v>
          </cell>
          <cell r="AC75">
            <v>13.185540000000001</v>
          </cell>
          <cell r="AD75">
            <v>13.145860000000001</v>
          </cell>
          <cell r="AE75">
            <v>5.6685999999999996</v>
          </cell>
          <cell r="AF75">
            <v>16</v>
          </cell>
          <cell r="AG75">
            <v>48</v>
          </cell>
          <cell r="AH75">
            <v>16.447520000000001</v>
          </cell>
          <cell r="AI75">
            <v>16.27338</v>
          </cell>
          <cell r="AJ75">
            <v>11.2791</v>
          </cell>
          <cell r="AK75">
            <v>19</v>
          </cell>
          <cell r="AL75">
            <v>62</v>
          </cell>
          <cell r="AN75">
            <v>43.8</v>
          </cell>
          <cell r="AP75">
            <v>13.185540000000001</v>
          </cell>
          <cell r="AQ75">
            <v>13.145860000000001</v>
          </cell>
          <cell r="AR75">
            <v>5.6685999999999996</v>
          </cell>
          <cell r="AS75">
            <v>16</v>
          </cell>
          <cell r="AT75">
            <v>43.8</v>
          </cell>
          <cell r="AU75">
            <v>13</v>
          </cell>
          <cell r="AV75">
            <v>15.42216</v>
          </cell>
          <cell r="AW75">
            <v>14</v>
          </cell>
          <cell r="AX75">
            <v>17</v>
          </cell>
          <cell r="AY75">
            <v>58.4</v>
          </cell>
          <cell r="BA75">
            <v>19</v>
          </cell>
          <cell r="BB75">
            <v>20</v>
          </cell>
          <cell r="BC75">
            <v>19</v>
          </cell>
          <cell r="BD75">
            <v>22</v>
          </cell>
          <cell r="BE75">
            <v>80.3</v>
          </cell>
          <cell r="BG75">
            <v>26</v>
          </cell>
          <cell r="BH75">
            <v>23</v>
          </cell>
          <cell r="BS75" t="str">
            <v>mstag:charitycare</v>
          </cell>
          <cell r="BT75">
            <v>6</v>
          </cell>
          <cell r="BU75" t="str">
            <v>ISO4217:USD</v>
          </cell>
          <cell r="BV75" t="b">
            <v>0</v>
          </cell>
          <cell r="BW75" t="b">
            <v>0</v>
          </cell>
        </row>
        <row r="76">
          <cell r="A76" t="str">
            <v>% of net revenue</v>
          </cell>
          <cell r="AC76">
            <v>0.02</v>
          </cell>
          <cell r="AD76">
            <v>0.02</v>
          </cell>
          <cell r="AE76">
            <v>7.8401487091679083E-3</v>
          </cell>
          <cell r="AF76">
            <v>2.0124976101590877E-2</v>
          </cell>
          <cell r="AG76">
            <v>1.6933462780248806E-2</v>
          </cell>
          <cell r="AH76">
            <v>0.02</v>
          </cell>
          <cell r="AI76">
            <v>0.02</v>
          </cell>
          <cell r="AJ76">
            <v>1.3363324226275244E-2</v>
          </cell>
          <cell r="AK76">
            <v>2.1797164762474001E-2</v>
          </cell>
          <cell r="AL76">
            <v>1.8603864022557485E-2</v>
          </cell>
          <cell r="AR76">
            <v>7.9537306877957951E-3</v>
          </cell>
          <cell r="AS76">
            <v>2.0360275067316157E-2</v>
          </cell>
          <cell r="AT76">
            <v>1.566094553495001E-2</v>
          </cell>
          <cell r="AU76">
            <v>0.02</v>
          </cell>
          <cell r="AV76">
            <v>0.02</v>
          </cell>
          <cell r="AW76">
            <v>1.7245308352272375E-2</v>
          </cell>
          <cell r="AX76">
            <v>2.0223048327137547E-2</v>
          </cell>
          <cell r="AY76">
            <v>1.8230021036320508E-2</v>
          </cell>
          <cell r="BA76">
            <v>2.0919050979727238E-2</v>
          </cell>
          <cell r="BB76">
            <v>2.1769465712003031E-2</v>
          </cell>
          <cell r="BC76">
            <v>2.0446178663013615E-2</v>
          </cell>
          <cell r="BD76">
            <v>2.2401661796002319E-2</v>
          </cell>
          <cell r="BE76">
            <v>2.1480237111857731E-2</v>
          </cell>
          <cell r="BG76">
            <v>2.5327257389227347E-2</v>
          </cell>
          <cell r="BH76">
            <v>2.167655934570719E-2</v>
          </cell>
        </row>
        <row r="78">
          <cell r="A78" t="str">
            <v>Total uncompensated care (incl. bad debt)</v>
          </cell>
          <cell r="AC78">
            <v>92.008465000000001</v>
          </cell>
          <cell r="AD78">
            <v>94.741935000000012</v>
          </cell>
          <cell r="AE78">
            <v>94.231600000000014</v>
          </cell>
          <cell r="AF78">
            <v>127.328</v>
          </cell>
          <cell r="AG78">
            <v>410.42399999999998</v>
          </cell>
          <cell r="AH78">
            <v>53.454440000000005</v>
          </cell>
          <cell r="AI78">
            <v>116.04315399999999</v>
          </cell>
          <cell r="AJ78">
            <v>105.92140599999999</v>
          </cell>
          <cell r="AK78">
            <v>123.69</v>
          </cell>
          <cell r="AL78">
            <v>284.10899999999998</v>
          </cell>
          <cell r="AN78">
            <v>294.738</v>
          </cell>
          <cell r="AR78">
            <v>94.231600000000014</v>
          </cell>
          <cell r="AS78">
            <v>127.328</v>
          </cell>
          <cell r="AT78">
            <v>406.22399999999999</v>
          </cell>
          <cell r="AU78">
            <v>127.45003200000001</v>
          </cell>
          <cell r="AV78">
            <v>127.18912800000001</v>
          </cell>
          <cell r="AW78">
            <v>129.51999999999998</v>
          </cell>
          <cell r="AX78">
            <v>133.90600000000001</v>
          </cell>
          <cell r="AY78">
            <v>516.44299999999998</v>
          </cell>
          <cell r="BA78">
            <v>150.05099999999999</v>
          </cell>
          <cell r="BB78">
            <v>155.58199999999999</v>
          </cell>
          <cell r="BC78">
            <v>159.98000000000002</v>
          </cell>
          <cell r="BD78">
            <v>173.983</v>
          </cell>
          <cell r="BE78">
            <v>640.19600000000003</v>
          </cell>
          <cell r="BG78">
            <v>184.59100000000001</v>
          </cell>
          <cell r="BH78">
            <v>186.70400000000001</v>
          </cell>
        </row>
        <row r="79">
          <cell r="A79" t="str">
            <v>% of adjusted net revenue</v>
          </cell>
          <cell r="AC79">
            <v>0.13354990086174798</v>
          </cell>
          <cell r="AD79">
            <v>0.1373157224660696</v>
          </cell>
          <cell r="AE79">
            <v>0.12603020554223901</v>
          </cell>
          <cell r="AF79">
            <v>0.15121515571854752</v>
          </cell>
          <cell r="AG79">
            <v>0.13806791575389285</v>
          </cell>
          <cell r="AH79">
            <v>6.1032863849765258E-2</v>
          </cell>
          <cell r="AI79">
            <v>0.13378719532561259</v>
          </cell>
          <cell r="AJ79">
            <v>0.11929733236167066</v>
          </cell>
          <cell r="AK79">
            <v>0.13376620708077341</v>
          </cell>
          <cell r="AL79">
            <v>8.036254494262364E-2</v>
          </cell>
          <cell r="AN79">
            <v>0.13030641712837618</v>
          </cell>
          <cell r="AR79">
            <v>0.12779495002207863</v>
          </cell>
          <cell r="AS79">
            <v>0.15288337311669412</v>
          </cell>
          <cell r="AT79">
            <v>0.13861622635354398</v>
          </cell>
          <cell r="AU79">
            <v>0.15402039313119636</v>
          </cell>
          <cell r="AV79">
            <v>0.15473108693836249</v>
          </cell>
          <cell r="AW79">
            <v>0.15098826670086204</v>
          </cell>
          <cell r="AX79">
            <v>0.15051960095545877</v>
          </cell>
          <cell r="AY79">
            <v>0.15210494956715254</v>
          </cell>
          <cell r="BA79">
            <v>0.15545089783820573</v>
          </cell>
          <cell r="BB79">
            <v>0.15831805258477</v>
          </cell>
          <cell r="BC79">
            <v>0.16057912069932923</v>
          </cell>
          <cell r="BD79">
            <v>0.16474570814434647</v>
          </cell>
          <cell r="BE79">
            <v>0.16001219719464521</v>
          </cell>
          <cell r="BG79">
            <v>0.16726835465519838</v>
          </cell>
          <cell r="BH79">
            <v>0.16492499474406697</v>
          </cell>
        </row>
        <row r="81">
          <cell r="A81" t="str">
            <v>same-store self-pay admissions</v>
          </cell>
          <cell r="BC81">
            <v>2.3E-2</v>
          </cell>
          <cell r="BD81">
            <v>1.4999999999999999E-2</v>
          </cell>
          <cell r="BH81">
            <v>3.3000000000000002E-2</v>
          </cell>
        </row>
        <row r="82">
          <cell r="A82" t="str">
            <v>self-pay admissions as % of total</v>
          </cell>
          <cell r="BC82" t="str">
            <v>+ 20 bps</v>
          </cell>
          <cell r="BD82" t="str">
            <v>- 20 bps</v>
          </cell>
          <cell r="BE82" t="str">
            <v>- 10 bps</v>
          </cell>
          <cell r="BG82" t="str">
            <v>+ 40 bps</v>
          </cell>
          <cell r="BH82" t="str">
            <v>+ 10 bps</v>
          </cell>
        </row>
        <row r="83">
          <cell r="A83" t="str">
            <v>Other Stats</v>
          </cell>
        </row>
        <row r="84">
          <cell r="A84" t="str">
            <v>MDs commencing practice</v>
          </cell>
          <cell r="E84">
            <v>162</v>
          </cell>
          <cell r="F84">
            <v>187</v>
          </cell>
          <cell r="K84">
            <v>257</v>
          </cell>
          <cell r="P84">
            <v>305</v>
          </cell>
          <cell r="U84">
            <v>378</v>
          </cell>
          <cell r="AA84">
            <v>447</v>
          </cell>
          <cell r="AC84">
            <v>109</v>
          </cell>
          <cell r="AD84">
            <v>86</v>
          </cell>
          <cell r="AE84">
            <v>201</v>
          </cell>
          <cell r="AG84">
            <v>508</v>
          </cell>
          <cell r="AH84">
            <v>136</v>
          </cell>
          <cell r="AI84">
            <v>91</v>
          </cell>
          <cell r="AJ84">
            <v>176</v>
          </cell>
          <cell r="AK84">
            <v>122</v>
          </cell>
          <cell r="AL84">
            <v>525</v>
          </cell>
          <cell r="AN84">
            <v>426</v>
          </cell>
          <cell r="AT84">
            <v>470</v>
          </cell>
          <cell r="AU84">
            <v>128</v>
          </cell>
          <cell r="AV84">
            <v>99</v>
          </cell>
          <cell r="AW84">
            <v>164</v>
          </cell>
          <cell r="AX84">
            <v>116</v>
          </cell>
          <cell r="AY84">
            <v>507</v>
          </cell>
          <cell r="BA84">
            <v>107</v>
          </cell>
          <cell r="BB84">
            <v>107</v>
          </cell>
          <cell r="BC84">
            <v>176</v>
          </cell>
          <cell r="BD84">
            <v>144</v>
          </cell>
          <cell r="BE84">
            <v>534</v>
          </cell>
          <cell r="BG84">
            <v>133</v>
          </cell>
          <cell r="BH84">
            <v>108</v>
          </cell>
          <cell r="BK84">
            <v>550</v>
          </cell>
        </row>
        <row r="85">
          <cell r="A85" t="str">
            <v>% change</v>
          </cell>
          <cell r="AH85">
            <v>-0.5540983606557377</v>
          </cell>
          <cell r="AI85" t="e">
            <v>#DIV/0!</v>
          </cell>
          <cell r="AJ85" t="e">
            <v>#DIV/0!</v>
          </cell>
          <cell r="BA85">
            <v>-0.1640625</v>
          </cell>
          <cell r="BB85">
            <v>8.0808080808080884E-2</v>
          </cell>
          <cell r="BC85">
            <v>7.3170731707317138E-2</v>
          </cell>
          <cell r="BG85">
            <v>0.2429906542056075</v>
          </cell>
          <cell r="BH85">
            <v>9.3457943925232545E-3</v>
          </cell>
          <cell r="BK85">
            <v>2.9962546816479474E-2</v>
          </cell>
        </row>
        <row r="87">
          <cell r="A87" t="str">
            <v>Same-Store Metrics</v>
          </cell>
        </row>
        <row r="88">
          <cell r="A88" t="str">
            <v>Same-store EBITDA margins</v>
          </cell>
          <cell r="AT88">
            <v>0.155</v>
          </cell>
          <cell r="AU88">
            <v>0.155</v>
          </cell>
          <cell r="AV88">
            <v>0.154</v>
          </cell>
          <cell r="AW88">
            <v>0.14830172631630847</v>
          </cell>
          <cell r="AY88">
            <v>0.156</v>
          </cell>
          <cell r="BA88">
            <v>0.158</v>
          </cell>
          <cell r="BB88">
            <v>0.157</v>
          </cell>
          <cell r="BC88">
            <v>0.15195163225258007</v>
          </cell>
          <cell r="BG88">
            <v>0.161</v>
          </cell>
        </row>
        <row r="89">
          <cell r="A89" t="str">
            <v>Non-same store</v>
          </cell>
          <cell r="BG89">
            <v>4.2000000000000003E-2</v>
          </cell>
          <cell r="BH89">
            <v>8.8999999999999996E-2</v>
          </cell>
        </row>
        <row r="90">
          <cell r="A90" t="str">
            <v>Hospitals</v>
          </cell>
          <cell r="AD90">
            <v>69</v>
          </cell>
          <cell r="AE90">
            <v>68</v>
          </cell>
          <cell r="AF90">
            <v>69</v>
          </cell>
          <cell r="AG90">
            <v>69</v>
          </cell>
          <cell r="AI90">
            <v>69</v>
          </cell>
          <cell r="AJ90">
            <v>68</v>
          </cell>
          <cell r="AK90">
            <v>69</v>
          </cell>
          <cell r="AL90">
            <v>69</v>
          </cell>
          <cell r="AR90">
            <v>68</v>
          </cell>
          <cell r="AS90">
            <v>69</v>
          </cell>
          <cell r="AT90">
            <v>69</v>
          </cell>
          <cell r="AU90">
            <v>65</v>
          </cell>
          <cell r="AV90">
            <v>64</v>
          </cell>
          <cell r="AW90">
            <v>66</v>
          </cell>
          <cell r="AX90">
            <v>66</v>
          </cell>
          <cell r="AY90">
            <v>69</v>
          </cell>
          <cell r="BA90">
            <v>67</v>
          </cell>
          <cell r="BB90">
            <v>67</v>
          </cell>
          <cell r="BC90">
            <v>66</v>
          </cell>
          <cell r="BD90">
            <v>66</v>
          </cell>
          <cell r="BG90">
            <v>67</v>
          </cell>
          <cell r="BH90">
            <v>67</v>
          </cell>
        </row>
        <row r="91">
          <cell r="A91" t="str">
            <v>Licensed Beds</v>
          </cell>
          <cell r="K91">
            <v>3954</v>
          </cell>
          <cell r="O91">
            <v>4688</v>
          </cell>
          <cell r="P91">
            <v>4688</v>
          </cell>
          <cell r="Q91">
            <v>4688</v>
          </cell>
          <cell r="R91">
            <v>4848</v>
          </cell>
          <cell r="S91">
            <v>4935</v>
          </cell>
          <cell r="T91">
            <v>5391</v>
          </cell>
          <cell r="U91">
            <v>5391</v>
          </cell>
          <cell r="W91">
            <v>5917</v>
          </cell>
          <cell r="X91">
            <v>5914</v>
          </cell>
          <cell r="Y91">
            <v>6023</v>
          </cell>
          <cell r="Z91">
            <v>6247</v>
          </cell>
          <cell r="AA91">
            <v>6310</v>
          </cell>
          <cell r="AC91">
            <v>6909</v>
          </cell>
          <cell r="AD91">
            <v>6899</v>
          </cell>
          <cell r="AE91">
            <v>7345</v>
          </cell>
          <cell r="AF91">
            <v>6178</v>
          </cell>
          <cell r="AG91">
            <v>6178</v>
          </cell>
          <cell r="AH91">
            <v>6854</v>
          </cell>
          <cell r="AI91">
            <v>6854</v>
          </cell>
          <cell r="AJ91">
            <v>7332</v>
          </cell>
          <cell r="AK91">
            <v>7575</v>
          </cell>
          <cell r="AL91">
            <v>7575</v>
          </cell>
          <cell r="AR91">
            <v>7345</v>
          </cell>
          <cell r="AS91">
            <v>7637</v>
          </cell>
          <cell r="AT91">
            <v>7637</v>
          </cell>
          <cell r="AU91">
            <v>7230</v>
          </cell>
          <cell r="AV91">
            <v>7107</v>
          </cell>
          <cell r="AW91">
            <v>7441</v>
          </cell>
          <cell r="AX91">
            <v>7358</v>
          </cell>
          <cell r="AY91">
            <v>7575</v>
          </cell>
          <cell r="BA91">
            <v>7580</v>
          </cell>
          <cell r="BB91">
            <v>7575</v>
          </cell>
          <cell r="BC91">
            <v>7358</v>
          </cell>
          <cell r="BD91">
            <v>7315</v>
          </cell>
          <cell r="BG91">
            <v>7509</v>
          </cell>
          <cell r="BH91">
            <v>7512</v>
          </cell>
        </row>
        <row r="92">
          <cell r="A92" t="str">
            <v>Beds in Service</v>
          </cell>
          <cell r="K92">
            <v>3013</v>
          </cell>
          <cell r="O92">
            <v>3587</v>
          </cell>
          <cell r="P92">
            <v>3587</v>
          </cell>
          <cell r="Q92">
            <v>3595</v>
          </cell>
          <cell r="R92">
            <v>3722</v>
          </cell>
          <cell r="S92">
            <v>3788</v>
          </cell>
          <cell r="T92">
            <v>4139</v>
          </cell>
          <cell r="U92">
            <v>4139</v>
          </cell>
          <cell r="W92">
            <v>4510</v>
          </cell>
          <cell r="X92">
            <v>4502</v>
          </cell>
          <cell r="Y92">
            <v>4753</v>
          </cell>
          <cell r="Z92">
            <v>4900</v>
          </cell>
          <cell r="AA92">
            <v>4939</v>
          </cell>
          <cell r="AC92">
            <v>5364</v>
          </cell>
          <cell r="AD92">
            <v>5355</v>
          </cell>
          <cell r="AE92">
            <v>5709</v>
          </cell>
          <cell r="AF92">
            <v>4932</v>
          </cell>
          <cell r="AG92">
            <v>4932</v>
          </cell>
          <cell r="AH92">
            <v>5384</v>
          </cell>
          <cell r="AI92">
            <v>5417</v>
          </cell>
          <cell r="AJ92">
            <v>5822</v>
          </cell>
          <cell r="AK92">
            <v>6040</v>
          </cell>
          <cell r="AL92">
            <v>6040</v>
          </cell>
          <cell r="AR92">
            <v>5709</v>
          </cell>
          <cell r="AS92">
            <v>6041</v>
          </cell>
          <cell r="AT92">
            <v>6041</v>
          </cell>
          <cell r="AU92">
            <v>5785</v>
          </cell>
          <cell r="AV92">
            <v>5716</v>
          </cell>
          <cell r="AW92">
            <v>6054</v>
          </cell>
          <cell r="AX92">
            <v>5960</v>
          </cell>
          <cell r="AY92">
            <v>6040</v>
          </cell>
          <cell r="BA92">
            <v>6175</v>
          </cell>
          <cell r="BB92">
            <v>6187</v>
          </cell>
          <cell r="BC92">
            <v>5991</v>
          </cell>
          <cell r="BD92">
            <v>5991</v>
          </cell>
          <cell r="BG92">
            <v>6183</v>
          </cell>
          <cell r="BH92">
            <v>6186</v>
          </cell>
        </row>
        <row r="93">
          <cell r="A93" t="str">
            <v>Admissions</v>
          </cell>
          <cell r="K93">
            <v>117768</v>
          </cell>
          <cell r="O93">
            <v>38420</v>
          </cell>
          <cell r="P93">
            <v>143062</v>
          </cell>
          <cell r="Q93">
            <v>42882</v>
          </cell>
          <cell r="R93">
            <v>39677</v>
          </cell>
          <cell r="S93">
            <v>40772</v>
          </cell>
          <cell r="T93">
            <v>46243</v>
          </cell>
          <cell r="U93">
            <v>169574</v>
          </cell>
          <cell r="W93">
            <v>53515</v>
          </cell>
          <cell r="X93">
            <v>50771</v>
          </cell>
          <cell r="Y93">
            <v>52032</v>
          </cell>
          <cell r="Z93">
            <v>53522</v>
          </cell>
          <cell r="AA93">
            <v>209840</v>
          </cell>
          <cell r="AC93">
            <v>61429</v>
          </cell>
          <cell r="AD93">
            <v>57744</v>
          </cell>
          <cell r="AE93">
            <v>62732</v>
          </cell>
          <cell r="AF93">
            <v>55795</v>
          </cell>
          <cell r="AG93">
            <v>211954</v>
          </cell>
          <cell r="AH93">
            <v>62602</v>
          </cell>
          <cell r="AI93">
            <v>59634</v>
          </cell>
          <cell r="AJ93">
            <v>61643</v>
          </cell>
          <cell r="AK93">
            <v>67550</v>
          </cell>
          <cell r="AL93">
            <v>249415</v>
          </cell>
          <cell r="AR93">
            <v>62732</v>
          </cell>
          <cell r="AS93">
            <v>69960</v>
          </cell>
          <cell r="AT93">
            <v>249807</v>
          </cell>
          <cell r="AU93">
            <v>68682</v>
          </cell>
          <cell r="AV93">
            <v>65097</v>
          </cell>
          <cell r="AW93">
            <v>66269</v>
          </cell>
          <cell r="AX93">
            <v>67767</v>
          </cell>
          <cell r="AY93">
            <v>267390</v>
          </cell>
          <cell r="BA93">
            <v>75490</v>
          </cell>
          <cell r="BB93">
            <v>70844</v>
          </cell>
          <cell r="BC93">
            <v>67826</v>
          </cell>
          <cell r="BD93">
            <v>68795</v>
          </cell>
          <cell r="BE93">
            <v>272887</v>
          </cell>
          <cell r="BG93">
            <v>73703</v>
          </cell>
          <cell r="BH93">
            <v>71634</v>
          </cell>
        </row>
        <row r="94">
          <cell r="A94" t="str">
            <v>% Change</v>
          </cell>
          <cell r="K94">
            <v>6.3166564771415024E-2</v>
          </cell>
          <cell r="X94">
            <v>0.27960783325352212</v>
          </cell>
          <cell r="Y94">
            <v>0.2761699205336996</v>
          </cell>
          <cell r="Z94">
            <v>0.15740760763791273</v>
          </cell>
          <cell r="AA94">
            <v>0.23745385495417937</v>
          </cell>
          <cell r="AC94">
            <v>0.14788377090535354</v>
          </cell>
          <cell r="AD94">
            <v>0.13734218352996796</v>
          </cell>
          <cell r="AE94">
            <v>0.20564268142681419</v>
          </cell>
          <cell r="AF94">
            <v>4.2468517618923007E-2</v>
          </cell>
          <cell r="AG94">
            <v>1.0074342356080734E-2</v>
          </cell>
          <cell r="AH94">
            <v>-0.56241349904237325</v>
          </cell>
          <cell r="AI94">
            <v>0.3906534210158108</v>
          </cell>
          <cell r="AJ94">
            <v>0.55362048541976461</v>
          </cell>
          <cell r="AK94">
            <v>0.210681960749171</v>
          </cell>
          <cell r="AL94">
            <v>0.17674117968993275</v>
          </cell>
          <cell r="AU94">
            <v>0.11807126927021439</v>
          </cell>
          <cell r="AV94">
            <v>0.12733790523690769</v>
          </cell>
          <cell r="AW94">
            <v>5.6382707390167708E-2</v>
          </cell>
          <cell r="AX94">
            <v>-3.1346483704974282E-2</v>
          </cell>
          <cell r="AY94">
            <v>7.0386338253131342E-2</v>
          </cell>
          <cell r="BA94">
            <v>9.9123496694912827E-2</v>
          </cell>
          <cell r="BB94">
            <v>8.8283638262899977E-2</v>
          </cell>
          <cell r="BC94">
            <v>2.3495148561167412E-2</v>
          </cell>
          <cell r="BD94">
            <v>1.5169625333864456E-2</v>
          </cell>
          <cell r="BE94">
            <v>2.0557986461722688E-2</v>
          </cell>
        </row>
        <row r="95">
          <cell r="A95" t="str">
            <v>Adjusted Admissions</v>
          </cell>
          <cell r="K95">
            <v>212246</v>
          </cell>
          <cell r="O95">
            <v>68846</v>
          </cell>
          <cell r="P95">
            <v>261933</v>
          </cell>
          <cell r="Q95">
            <v>76137</v>
          </cell>
          <cell r="R95">
            <v>73546</v>
          </cell>
          <cell r="S95">
            <v>76905</v>
          </cell>
          <cell r="T95">
            <v>84551</v>
          </cell>
          <cell r="U95">
            <v>311238</v>
          </cell>
          <cell r="W95">
            <v>96281</v>
          </cell>
          <cell r="X95">
            <v>94871</v>
          </cell>
          <cell r="Y95">
            <v>97848</v>
          </cell>
          <cell r="Z95">
            <v>98032</v>
          </cell>
          <cell r="AA95">
            <v>387049</v>
          </cell>
          <cell r="AC95">
            <v>110328</v>
          </cell>
          <cell r="AD95">
            <v>106692</v>
          </cell>
          <cell r="AE95">
            <v>116873</v>
          </cell>
          <cell r="AF95">
            <v>100366</v>
          </cell>
          <cell r="AG95">
            <v>385404</v>
          </cell>
          <cell r="AH95">
            <v>112678</v>
          </cell>
          <cell r="AI95">
            <v>110501</v>
          </cell>
          <cell r="AJ95">
            <v>118051</v>
          </cell>
          <cell r="AK95">
            <v>124828</v>
          </cell>
          <cell r="AL95">
            <v>462521</v>
          </cell>
          <cell r="AR95">
            <v>116873</v>
          </cell>
          <cell r="AS95">
            <v>126490</v>
          </cell>
          <cell r="AT95">
            <v>456758</v>
          </cell>
          <cell r="AU95">
            <v>123511</v>
          </cell>
          <cell r="AV95">
            <v>120287</v>
          </cell>
          <cell r="AW95">
            <v>125047</v>
          </cell>
          <cell r="AX95">
            <v>125513</v>
          </cell>
          <cell r="AY95">
            <v>493776</v>
          </cell>
          <cell r="BA95">
            <v>134513</v>
          </cell>
          <cell r="BB95">
            <v>132764</v>
          </cell>
          <cell r="BC95">
            <v>128300</v>
          </cell>
          <cell r="BD95">
            <v>126187</v>
          </cell>
          <cell r="BE95">
            <v>502449</v>
          </cell>
          <cell r="BG95">
            <v>133266</v>
          </cell>
          <cell r="BH95">
            <v>133410</v>
          </cell>
        </row>
        <row r="96">
          <cell r="A96" t="str">
            <v>% Change</v>
          </cell>
          <cell r="K96">
            <v>7.3188658443504195E-2</v>
          </cell>
          <cell r="W96">
            <v>0.26457569906878398</v>
          </cell>
          <cell r="X96">
            <v>0.28995458624534298</v>
          </cell>
          <cell r="Y96">
            <v>0.27232299590403741</v>
          </cell>
          <cell r="Z96">
            <v>0.15944223013329228</v>
          </cell>
          <cell r="AA96">
            <v>0.24357886890418268</v>
          </cell>
          <cell r="AC96">
            <v>0.14589586730507587</v>
          </cell>
          <cell r="AD96">
            <v>0.12460077368215794</v>
          </cell>
          <cell r="AE96">
            <v>0.19443422451148717</v>
          </cell>
          <cell r="AF96">
            <v>2.3808552309450004E-2</v>
          </cell>
          <cell r="AG96">
            <v>-4.2501078674792581E-3</v>
          </cell>
          <cell r="AH96">
            <v>-0.56982129017725902</v>
          </cell>
          <cell r="AI96">
            <v>0.45134428727162867</v>
          </cell>
          <cell r="AJ96">
            <v>0.60513148233758463</v>
          </cell>
          <cell r="AK96">
            <v>0.24372795568220318</v>
          </cell>
          <cell r="AL96">
            <v>0.20009392741123611</v>
          </cell>
          <cell r="AU96">
            <v>0.11948915959683859</v>
          </cell>
          <cell r="AV96">
            <v>0.12742286207025821</v>
          </cell>
          <cell r="AW96">
            <v>6.9939164734369896E-2</v>
          </cell>
          <cell r="AX96">
            <v>-7.7239307455134742E-3</v>
          </cell>
          <cell r="AY96">
            <v>8.1045104847643712E-2</v>
          </cell>
          <cell r="BA96">
            <v>8.9077086251426962E-2</v>
          </cell>
          <cell r="BB96">
            <v>0.10372691978351778</v>
          </cell>
          <cell r="BC96">
            <v>2.601421865378617E-2</v>
          </cell>
          <cell r="BD96">
            <v>5.3699616772764358E-3</v>
          </cell>
          <cell r="BE96">
            <v>1.7564644697190657E-2</v>
          </cell>
        </row>
        <row r="97">
          <cell r="A97" t="str">
            <v>Patient Days</v>
          </cell>
          <cell r="K97">
            <v>467884</v>
          </cell>
          <cell r="O97">
            <v>145396</v>
          </cell>
          <cell r="P97">
            <v>547881</v>
          </cell>
          <cell r="Q97">
            <v>165743</v>
          </cell>
          <cell r="R97">
            <v>150251</v>
          </cell>
          <cell r="S97">
            <v>152720</v>
          </cell>
          <cell r="T97">
            <v>174515</v>
          </cell>
          <cell r="U97">
            <v>643229</v>
          </cell>
          <cell r="W97">
            <v>210612</v>
          </cell>
          <cell r="X97">
            <v>195922</v>
          </cell>
          <cell r="Y97">
            <v>198137</v>
          </cell>
          <cell r="Z97">
            <v>204010</v>
          </cell>
          <cell r="AA97">
            <v>808681</v>
          </cell>
          <cell r="AC97">
            <v>244388</v>
          </cell>
          <cell r="AD97">
            <v>220904</v>
          </cell>
          <cell r="AE97">
            <v>244388</v>
          </cell>
          <cell r="AF97">
            <v>223372</v>
          </cell>
          <cell r="AG97">
            <v>835127</v>
          </cell>
          <cell r="AH97">
            <v>252634</v>
          </cell>
          <cell r="AI97">
            <v>234899</v>
          </cell>
          <cell r="AJ97">
            <v>242306</v>
          </cell>
          <cell r="AK97">
            <v>272446</v>
          </cell>
          <cell r="AL97">
            <v>994314</v>
          </cell>
          <cell r="AR97">
            <v>244388</v>
          </cell>
          <cell r="AS97">
            <v>284533</v>
          </cell>
          <cell r="AT97">
            <v>986216</v>
          </cell>
          <cell r="AU97">
            <v>285780</v>
          </cell>
          <cell r="AV97">
            <v>265253</v>
          </cell>
          <cell r="AW97">
            <v>266735</v>
          </cell>
          <cell r="AX97">
            <v>275707</v>
          </cell>
          <cell r="AY97">
            <v>994314</v>
          </cell>
          <cell r="BA97">
            <v>319499</v>
          </cell>
          <cell r="BB97">
            <v>293320</v>
          </cell>
          <cell r="BC97">
            <v>270787</v>
          </cell>
          <cell r="BD97">
            <v>280365</v>
          </cell>
          <cell r="BG97">
            <v>310266</v>
          </cell>
          <cell r="BH97">
            <v>297178</v>
          </cell>
        </row>
        <row r="98">
          <cell r="Y98">
            <v>0.29738737558931372</v>
          </cell>
          <cell r="Z98">
            <v>0.16901125977709652</v>
          </cell>
          <cell r="AA98">
            <v>0.25722098972527663</v>
          </cell>
          <cell r="AC98">
            <v>0.16037072911325101</v>
          </cell>
          <cell r="AD98">
            <v>0.1275099274200957</v>
          </cell>
          <cell r="AE98">
            <v>0.23342939481268021</v>
          </cell>
          <cell r="AF98">
            <v>9.490711239645111E-2</v>
          </cell>
          <cell r="AG98">
            <v>3.270263552624586E-2</v>
          </cell>
          <cell r="AH98">
            <v>-0.53888891930911997</v>
          </cell>
          <cell r="AI98">
            <v>0.41724839058059771</v>
          </cell>
          <cell r="AJ98">
            <v>0.61267479084997767</v>
          </cell>
          <cell r="AK98">
            <v>0.21969629138835667</v>
          </cell>
          <cell r="AL98">
            <v>0.19061412216345541</v>
          </cell>
          <cell r="AU98">
            <v>0.16937001816783148</v>
          </cell>
          <cell r="AV98">
            <v>0.20076141672400682</v>
          </cell>
          <cell r="AW98">
            <v>9.1440659934203028E-2</v>
          </cell>
          <cell r="AX98">
            <v>-3.101924908534337E-2</v>
          </cell>
          <cell r="AY98">
            <v>8.2111829457238716E-3</v>
          </cell>
          <cell r="BA98">
            <v>0.11798936244663727</v>
          </cell>
          <cell r="BB98">
            <v>0.10581218685556815</v>
          </cell>
          <cell r="BC98">
            <v>1.519110727875983E-2</v>
          </cell>
          <cell r="BD98">
            <v>1.6894746959634777E-2</v>
          </cell>
        </row>
        <row r="99">
          <cell r="A99" t="str">
            <v>Net Operating Revenue (millions)</v>
          </cell>
          <cell r="K99">
            <v>1047.95</v>
          </cell>
          <cell r="O99">
            <v>369.36700000000002</v>
          </cell>
          <cell r="P99">
            <v>1330.7950000000001</v>
          </cell>
          <cell r="Q99">
            <v>398.62400000000002</v>
          </cell>
          <cell r="R99">
            <v>400.80700000000002</v>
          </cell>
          <cell r="S99">
            <v>416.65899999999999</v>
          </cell>
          <cell r="T99">
            <v>477.50200000000001</v>
          </cell>
          <cell r="U99">
            <v>1693.625</v>
          </cell>
          <cell r="W99">
            <v>533.48900000000003</v>
          </cell>
          <cell r="X99">
            <v>530.42100000000005</v>
          </cell>
          <cell r="Y99">
            <v>552.74900000000002</v>
          </cell>
          <cell r="Z99">
            <v>581.82000000000005</v>
          </cell>
          <cell r="AA99">
            <v>2198.4789999999998</v>
          </cell>
          <cell r="AC99">
            <v>655.27300000000002</v>
          </cell>
          <cell r="AD99">
            <v>654.09900000000005</v>
          </cell>
          <cell r="AE99">
            <v>709.053</v>
          </cell>
          <cell r="AF99">
            <v>636.21600000000001</v>
          </cell>
          <cell r="AG99">
            <v>2385.404</v>
          </cell>
          <cell r="AH99">
            <v>708.90800000000002</v>
          </cell>
          <cell r="AI99">
            <v>699.99800000000005</v>
          </cell>
          <cell r="AJ99">
            <v>752.096</v>
          </cell>
          <cell r="AK99">
            <v>824.51700000000005</v>
          </cell>
          <cell r="AL99">
            <v>2966.41</v>
          </cell>
          <cell r="AR99">
            <v>709.053</v>
          </cell>
          <cell r="AS99">
            <v>782.81200000000001</v>
          </cell>
          <cell r="AT99">
            <v>2782.8919999999998</v>
          </cell>
          <cell r="AU99">
            <v>785.51300000000003</v>
          </cell>
          <cell r="AV99">
            <v>770.06600000000003</v>
          </cell>
          <cell r="AW99">
            <v>811.26499999999999</v>
          </cell>
          <cell r="AX99">
            <v>840.67499999999995</v>
          </cell>
          <cell r="AY99">
            <v>3199.2840000000001</v>
          </cell>
          <cell r="BA99">
            <v>908.15300000000002</v>
          </cell>
          <cell r="BB99">
            <v>918.81500000000005</v>
          </cell>
          <cell r="BC99">
            <v>881.08299999999997</v>
          </cell>
          <cell r="BD99">
            <v>918.303</v>
          </cell>
          <cell r="BE99">
            <v>3486.5079999999998</v>
          </cell>
          <cell r="BG99">
            <v>970.03599999999994</v>
          </cell>
          <cell r="BH99">
            <v>989.53700000000003</v>
          </cell>
        </row>
        <row r="100">
          <cell r="A100" t="str">
            <v>% Change</v>
          </cell>
          <cell r="K100">
            <v>7.5999999999999998E-2</v>
          </cell>
          <cell r="P100">
            <v>0.10299999999999999</v>
          </cell>
          <cell r="U100">
            <v>0.104</v>
          </cell>
          <cell r="AA100">
            <v>9.7000000000000003E-2</v>
          </cell>
          <cell r="AE100">
            <v>8.1000000000000003E-2</v>
          </cell>
          <cell r="AF100">
            <v>9.3492832834897399E-2</v>
          </cell>
          <cell r="AG100">
            <v>8.5024692071200114E-2</v>
          </cell>
          <cell r="AH100">
            <v>-0.46730488166847639</v>
          </cell>
          <cell r="AI100">
            <v>0.75603576302480535</v>
          </cell>
          <cell r="AJ100">
            <v>0.87645425354347606</v>
          </cell>
          <cell r="AK100">
            <v>0.2959702365234449</v>
          </cell>
          <cell r="AL100">
            <v>0.24356712741321807</v>
          </cell>
          <cell r="AU100">
            <v>0.19875685401351806</v>
          </cell>
          <cell r="AV100">
            <v>0.17729273397452072</v>
          </cell>
          <cell r="AW100">
            <v>0.14415283483745212</v>
          </cell>
          <cell r="AX100">
            <v>7.3916853599587107E-2</v>
          </cell>
          <cell r="AY100">
            <v>0.14962564123940147</v>
          </cell>
          <cell r="BA100">
            <v>0.15612726969509105</v>
          </cell>
          <cell r="BB100">
            <v>0.19316396256944213</v>
          </cell>
          <cell r="BC100">
            <v>8.6060658354545128E-2</v>
          </cell>
          <cell r="BD100">
            <v>9.2340083861182976E-2</v>
          </cell>
        </row>
        <row r="102">
          <cell r="A102" t="str">
            <v>Inpatient Revenue</v>
          </cell>
          <cell r="K102">
            <v>553.31760000000008</v>
          </cell>
          <cell r="O102">
            <v>195.02577600000001</v>
          </cell>
          <cell r="P102">
            <v>682.69783500000005</v>
          </cell>
          <cell r="Q102">
            <v>210.47347200000002</v>
          </cell>
          <cell r="R102">
            <v>198.80027200000001</v>
          </cell>
          <cell r="S102">
            <v>212.079431</v>
          </cell>
          <cell r="T102">
            <v>253.55356200000003</v>
          </cell>
          <cell r="U102">
            <v>894.23400000000004</v>
          </cell>
          <cell r="W102">
            <v>281.68219200000004</v>
          </cell>
          <cell r="X102">
            <v>272.10597300000001</v>
          </cell>
          <cell r="Y102">
            <v>290.19322500000004</v>
          </cell>
          <cell r="Z102">
            <v>310.11006000000003</v>
          </cell>
          <cell r="AA102">
            <v>1154.2014749999998</v>
          </cell>
          <cell r="AC102">
            <v>347.29469</v>
          </cell>
          <cell r="AD102">
            <v>328.35769800000003</v>
          </cell>
          <cell r="AE102">
            <v>355.23555299999998</v>
          </cell>
          <cell r="AF102">
            <v>330.19610399999999</v>
          </cell>
          <cell r="AG102">
            <v>1228.48306</v>
          </cell>
          <cell r="AH102">
            <v>367.21434400000004</v>
          </cell>
          <cell r="AI102">
            <v>348.59900400000004</v>
          </cell>
          <cell r="AJ102">
            <v>368.52704</v>
          </cell>
          <cell r="AK102">
            <v>423.80173800000006</v>
          </cell>
          <cell r="AL102">
            <v>1498.0370499999999</v>
          </cell>
          <cell r="AR102">
            <v>355.23555299999998</v>
          </cell>
          <cell r="AS102">
            <v>404.71380400000004</v>
          </cell>
          <cell r="AT102">
            <v>1427.6235959999999</v>
          </cell>
          <cell r="AU102">
            <v>402.96816900000005</v>
          </cell>
          <cell r="AV102">
            <v>388.88333</v>
          </cell>
          <cell r="AW102">
            <v>403.19870500000002</v>
          </cell>
          <cell r="AX102">
            <v>425.38155</v>
          </cell>
          <cell r="AY102">
            <v>1615.63842</v>
          </cell>
          <cell r="BA102">
            <v>471.33140700000001</v>
          </cell>
          <cell r="BB102">
            <v>463.08276000000001</v>
          </cell>
          <cell r="BC102">
            <v>440.54149999999998</v>
          </cell>
          <cell r="BD102">
            <v>472.92604499999999</v>
          </cell>
          <cell r="BE102">
            <v>1781.6055879999999</v>
          </cell>
          <cell r="BG102">
            <v>493.74832399999997</v>
          </cell>
          <cell r="BH102">
            <v>494.76850000000002</v>
          </cell>
        </row>
        <row r="103">
          <cell r="A103" t="str">
            <v>Inpatient Rev as % of Total</v>
          </cell>
          <cell r="K103">
            <v>0.52800000000000002</v>
          </cell>
          <cell r="O103">
            <v>0.52800000000000002</v>
          </cell>
          <cell r="P103">
            <v>0.51300000000000001</v>
          </cell>
          <cell r="Q103">
            <v>0.52800000000000002</v>
          </cell>
          <cell r="R103">
            <v>0.496</v>
          </cell>
          <cell r="S103">
            <v>0.50900000000000001</v>
          </cell>
          <cell r="T103">
            <v>0.53100000000000003</v>
          </cell>
          <cell r="U103">
            <v>0.52800000000000002</v>
          </cell>
          <cell r="W103">
            <v>0.52800000000000002</v>
          </cell>
          <cell r="X103">
            <v>0.51300000000000001</v>
          </cell>
          <cell r="Y103">
            <v>0.52500000000000002</v>
          </cell>
          <cell r="Z103">
            <v>0.53300000000000003</v>
          </cell>
          <cell r="AA103">
            <v>0.52500000000000002</v>
          </cell>
          <cell r="AC103">
            <v>0.53</v>
          </cell>
          <cell r="AD103">
            <v>0.502</v>
          </cell>
          <cell r="AE103">
            <v>0.501</v>
          </cell>
          <cell r="AF103">
            <v>0.51900000000000002</v>
          </cell>
          <cell r="AG103">
            <v>0.51500000000000001</v>
          </cell>
          <cell r="AH103">
            <v>0.51800000000000002</v>
          </cell>
          <cell r="AI103">
            <v>0.498</v>
          </cell>
          <cell r="AJ103">
            <v>0.49</v>
          </cell>
          <cell r="AK103">
            <v>0.51400000000000001</v>
          </cell>
          <cell r="AL103">
            <v>0.505</v>
          </cell>
          <cell r="AR103">
            <v>0.501</v>
          </cell>
          <cell r="AS103">
            <v>0.51700000000000002</v>
          </cell>
          <cell r="AT103">
            <v>0.51300000000000001</v>
          </cell>
          <cell r="AU103">
            <v>0.51300000000000001</v>
          </cell>
          <cell r="AV103">
            <v>0.505</v>
          </cell>
          <cell r="AW103">
            <v>0.497</v>
          </cell>
          <cell r="AX103">
            <v>0.50600000000000001</v>
          </cell>
          <cell r="AY103">
            <v>0.505</v>
          </cell>
          <cell r="BA103">
            <v>0.51900000000000002</v>
          </cell>
          <cell r="BB103">
            <v>0.504</v>
          </cell>
          <cell r="BC103">
            <v>0.5</v>
          </cell>
          <cell r="BD103">
            <v>0.51500000000000001</v>
          </cell>
          <cell r="BE103">
            <v>0.51100000000000001</v>
          </cell>
          <cell r="BG103">
            <v>0.50900000000000001</v>
          </cell>
          <cell r="BH103">
            <v>0.5</v>
          </cell>
        </row>
        <row r="104">
          <cell r="A104" t="str">
            <v>% Change</v>
          </cell>
          <cell r="AE104">
            <v>4.5999999999999999E-2</v>
          </cell>
          <cell r="AF104">
            <v>6.477069463660734E-2</v>
          </cell>
          <cell r="AG104">
            <v>6.4357555079368023E-2</v>
          </cell>
          <cell r="AH104">
            <v>-0.46211292145082017</v>
          </cell>
          <cell r="AI104">
            <v>0.65626100376203245</v>
          </cell>
          <cell r="AJ104">
            <v>0.85375521015383704</v>
          </cell>
          <cell r="AK104">
            <v>-9.6339113680153909E-3</v>
          </cell>
          <cell r="AL104">
            <v>-1.9417475728155331E-2</v>
          </cell>
          <cell r="AU104">
            <v>0.16030616246968843</v>
          </cell>
          <cell r="AV104">
            <v>0.18432834792257546</v>
          </cell>
          <cell r="AW104">
            <v>0.1350178820642991</v>
          </cell>
          <cell r="AX104">
            <v>-2.1276595744680882E-2</v>
          </cell>
          <cell r="AY104">
            <v>-1.5594541910331383E-2</v>
          </cell>
          <cell r="BA104">
            <v>0.1696492260657938</v>
          </cell>
          <cell r="BB104">
            <v>0.19080126165346312</v>
          </cell>
          <cell r="BC104">
            <v>9.261635649350608E-2</v>
          </cell>
          <cell r="BD104">
            <v>0.11176905768480072</v>
          </cell>
          <cell r="BE104">
            <v>0.10272544026280328</v>
          </cell>
        </row>
        <row r="105">
          <cell r="A105" t="str">
            <v>Outpatient Revenue</v>
          </cell>
          <cell r="K105">
            <v>477.86520000000002</v>
          </cell>
          <cell r="O105">
            <v>169.53945300000001</v>
          </cell>
          <cell r="P105">
            <v>632.12762499999997</v>
          </cell>
          <cell r="Q105">
            <v>188.15052800000001</v>
          </cell>
          <cell r="R105">
            <v>197.19704400000001</v>
          </cell>
          <cell r="S105">
            <v>199.57966099999999</v>
          </cell>
          <cell r="T105">
            <v>217.74091200000001</v>
          </cell>
          <cell r="U105">
            <v>799.39099999999996</v>
          </cell>
          <cell r="W105">
            <v>244.87145100000004</v>
          </cell>
          <cell r="X105">
            <v>251.41955400000001</v>
          </cell>
          <cell r="Y105">
            <v>253.71179100000003</v>
          </cell>
          <cell r="Z105">
            <v>264.72810000000004</v>
          </cell>
          <cell r="AA105">
            <v>1015.6972979999999</v>
          </cell>
          <cell r="AC105">
            <v>300.11503400000004</v>
          </cell>
          <cell r="AD105">
            <v>317.89211399999999</v>
          </cell>
          <cell r="AE105">
            <v>344.59975800000001</v>
          </cell>
          <cell r="AF105">
            <v>299.02152000000001</v>
          </cell>
          <cell r="AG105">
            <v>1128.296092</v>
          </cell>
          <cell r="AH105">
            <v>332.47785199999998</v>
          </cell>
          <cell r="AI105">
            <v>343.69901800000002</v>
          </cell>
          <cell r="AJ105">
            <v>375.29590400000001</v>
          </cell>
          <cell r="AK105">
            <v>389.99654099999998</v>
          </cell>
          <cell r="AL105">
            <v>1432.77603</v>
          </cell>
          <cell r="AR105">
            <v>344.59975800000001</v>
          </cell>
          <cell r="AS105">
            <v>368.704452</v>
          </cell>
          <cell r="AT105">
            <v>1321.8736999999999</v>
          </cell>
          <cell r="AU105">
            <v>371.54764899999998</v>
          </cell>
          <cell r="AV105">
            <v>372.71194400000002</v>
          </cell>
          <cell r="AW105">
            <v>398.33111500000001</v>
          </cell>
          <cell r="AX105">
            <v>405.20534999999995</v>
          </cell>
          <cell r="AY105">
            <v>1545.2541719999999</v>
          </cell>
          <cell r="BA105">
            <v>426.83190999999999</v>
          </cell>
          <cell r="BB105">
            <v>444.70645999999999</v>
          </cell>
          <cell r="BC105">
            <v>428.20633799999996</v>
          </cell>
          <cell r="BD105">
            <v>434.35731899999996</v>
          </cell>
          <cell r="BE105">
            <v>1666.5508239999999</v>
          </cell>
          <cell r="BG105">
            <v>463.67720799999995</v>
          </cell>
          <cell r="BH105">
            <v>481.90451899999999</v>
          </cell>
        </row>
        <row r="106">
          <cell r="A106" t="str">
            <v>Outpatient Revenues as % of Total</v>
          </cell>
          <cell r="K106">
            <v>0.45600000000000002</v>
          </cell>
          <cell r="O106">
            <v>0.45900000000000002</v>
          </cell>
          <cell r="P106">
            <v>0.47499999999999998</v>
          </cell>
          <cell r="Q106">
            <v>0.47199999999999998</v>
          </cell>
          <cell r="R106">
            <v>0.49199999999999999</v>
          </cell>
          <cell r="S106">
            <v>0.47899999999999998</v>
          </cell>
          <cell r="T106">
            <v>0.45600000000000002</v>
          </cell>
          <cell r="U106">
            <v>0.47199999999999998</v>
          </cell>
          <cell r="W106">
            <v>0.45900000000000002</v>
          </cell>
          <cell r="X106">
            <v>0.47399999999999998</v>
          </cell>
          <cell r="Y106">
            <v>0.45900000000000002</v>
          </cell>
          <cell r="Z106">
            <v>0.45500000000000002</v>
          </cell>
          <cell r="AA106">
            <v>0.46200000000000002</v>
          </cell>
          <cell r="AC106">
            <v>0.45800000000000002</v>
          </cell>
          <cell r="AD106">
            <v>0.48599999999999999</v>
          </cell>
          <cell r="AE106">
            <v>0.48599999999999999</v>
          </cell>
          <cell r="AF106">
            <v>0.47</v>
          </cell>
          <cell r="AG106">
            <v>0.47299999999999998</v>
          </cell>
          <cell r="AH106">
            <v>0.46899999999999997</v>
          </cell>
          <cell r="AI106">
            <v>0.49099999999999999</v>
          </cell>
          <cell r="AJ106">
            <v>0.499</v>
          </cell>
          <cell r="AK106">
            <v>0.47299999999999998</v>
          </cell>
          <cell r="AL106">
            <v>0.48299999999999998</v>
          </cell>
          <cell r="AR106">
            <v>0.48599999999999999</v>
          </cell>
          <cell r="AS106">
            <v>0.47099999999999997</v>
          </cell>
          <cell r="AT106">
            <v>0.47499999999999998</v>
          </cell>
          <cell r="AU106">
            <v>0.47299999999999998</v>
          </cell>
          <cell r="AV106">
            <v>0.48399999999999999</v>
          </cell>
          <cell r="AW106">
            <v>0.49099999999999999</v>
          </cell>
          <cell r="AX106">
            <v>0.48199999999999998</v>
          </cell>
          <cell r="AY106">
            <v>0.48299999999999998</v>
          </cell>
          <cell r="BA106">
            <v>0.47</v>
          </cell>
          <cell r="BB106">
            <v>0.48399999999999999</v>
          </cell>
          <cell r="BC106">
            <v>0.48599999999999999</v>
          </cell>
          <cell r="BD106">
            <v>0.47299999999999998</v>
          </cell>
          <cell r="BE106">
            <v>0.47799999999999998</v>
          </cell>
          <cell r="BG106">
            <v>0.47799999999999998</v>
          </cell>
          <cell r="BH106">
            <v>0.48699999999999999</v>
          </cell>
        </row>
        <row r="107">
          <cell r="A107" t="str">
            <v>% Change</v>
          </cell>
          <cell r="AE107">
            <v>0.121</v>
          </cell>
          <cell r="AF107">
            <v>0.12954204710417949</v>
          </cell>
          <cell r="AG107">
            <v>0.11085861331099078</v>
          </cell>
          <cell r="AH107">
            <v>-0.47403366211055875</v>
          </cell>
          <cell r="AI107">
            <v>0.82672364331605808</v>
          </cell>
          <cell r="AJ107">
            <v>0.90315177341096442</v>
          </cell>
          <cell r="AK107">
            <v>6.382978723404209E-3</v>
          </cell>
          <cell r="AL107">
            <v>2.114164904862581E-2</v>
          </cell>
          <cell r="AU107">
            <v>0.23801744966898242</v>
          </cell>
          <cell r="AV107">
            <v>0.17244790790878195</v>
          </cell>
          <cell r="AW107">
            <v>0.15592395453742602</v>
          </cell>
          <cell r="AX107">
            <v>2.3354564755838636E-2</v>
          </cell>
          <cell r="AY107">
            <v>1.6842105263157992E-2</v>
          </cell>
          <cell r="BA107">
            <v>0.2418770134513446</v>
          </cell>
          <cell r="BB107">
            <v>0.18494887703330742</v>
          </cell>
          <cell r="BC107">
            <v>7.5000977515903955E-2</v>
          </cell>
          <cell r="BD107">
            <v>7.1943692253816582E-2</v>
          </cell>
          <cell r="BE107">
            <v>7.8496246247313106E-2</v>
          </cell>
        </row>
        <row r="109">
          <cell r="A109" t="str">
            <v>Total Patient Revenue</v>
          </cell>
          <cell r="K109">
            <v>1031.1828</v>
          </cell>
          <cell r="P109">
            <v>1314.82546</v>
          </cell>
          <cell r="Q109">
            <v>398.62400000000002</v>
          </cell>
          <cell r="R109">
            <v>395.99731600000001</v>
          </cell>
          <cell r="S109">
            <v>411.65909199999999</v>
          </cell>
          <cell r="T109">
            <v>471.29447400000004</v>
          </cell>
          <cell r="U109">
            <v>1693.625</v>
          </cell>
          <cell r="V109">
            <v>0</v>
          </cell>
          <cell r="W109">
            <v>526.55364300000008</v>
          </cell>
          <cell r="X109">
            <v>523.52552700000001</v>
          </cell>
          <cell r="Y109">
            <v>543.90501600000005</v>
          </cell>
          <cell r="Z109">
            <v>574.83816000000002</v>
          </cell>
          <cell r="AA109">
            <v>2169.8987729999999</v>
          </cell>
          <cell r="AC109">
            <v>647.4097240000001</v>
          </cell>
          <cell r="AD109">
            <v>646.24981200000002</v>
          </cell>
          <cell r="AE109">
            <v>699.83531100000005</v>
          </cell>
          <cell r="AF109">
            <v>629.217624</v>
          </cell>
          <cell r="AG109">
            <v>2356.7791520000001</v>
          </cell>
          <cell r="AH109">
            <v>699.69219599999997</v>
          </cell>
          <cell r="AI109">
            <v>692.29802200000006</v>
          </cell>
          <cell r="AJ109">
            <v>743.82294400000001</v>
          </cell>
          <cell r="AK109">
            <v>813.79827900000009</v>
          </cell>
          <cell r="AL109">
            <v>2930.8130799999999</v>
          </cell>
          <cell r="AR109">
            <v>699.83531100000005</v>
          </cell>
          <cell r="AS109">
            <v>773.41825600000004</v>
          </cell>
          <cell r="AT109">
            <v>2749.4972959999996</v>
          </cell>
          <cell r="AU109">
            <v>774.51581800000008</v>
          </cell>
          <cell r="AV109">
            <v>761.59527400000002</v>
          </cell>
          <cell r="AW109">
            <v>801.52981999999997</v>
          </cell>
          <cell r="AX109">
            <v>830.58690000000001</v>
          </cell>
          <cell r="AY109">
            <v>3160.8925920000001</v>
          </cell>
          <cell r="BA109">
            <v>898.16331700000001</v>
          </cell>
          <cell r="BB109">
            <v>907.78922</v>
          </cell>
          <cell r="BC109">
            <v>868.747838</v>
          </cell>
          <cell r="BD109">
            <v>907.28336399999989</v>
          </cell>
          <cell r="BE109">
            <v>3448.1564119999998</v>
          </cell>
          <cell r="BG109">
            <v>957.42553199999998</v>
          </cell>
          <cell r="BH109">
            <v>976.67301900000007</v>
          </cell>
        </row>
        <row r="110">
          <cell r="A110" t="str">
            <v>Other Revenue</v>
          </cell>
          <cell r="K110">
            <v>16.767200000000003</v>
          </cell>
          <cell r="P110">
            <v>15.969540000000052</v>
          </cell>
          <cell r="Q110">
            <v>0</v>
          </cell>
          <cell r="R110">
            <v>4.8096840000000043</v>
          </cell>
          <cell r="S110">
            <v>4.9999080000000049</v>
          </cell>
          <cell r="T110">
            <v>6.207525999999973</v>
          </cell>
          <cell r="U110">
            <v>0</v>
          </cell>
          <cell r="V110">
            <v>0</v>
          </cell>
          <cell r="W110">
            <v>6.9353569999999536</v>
          </cell>
          <cell r="X110">
            <v>6.8954730000000382</v>
          </cell>
          <cell r="Y110">
            <v>8.8439839999999776</v>
          </cell>
          <cell r="Z110">
            <v>6.9818400000000338</v>
          </cell>
          <cell r="AA110">
            <v>28.580226999999923</v>
          </cell>
          <cell r="AC110">
            <v>7.863275999999928</v>
          </cell>
          <cell r="AD110">
            <v>7.8491880000000265</v>
          </cell>
          <cell r="AE110">
            <v>9.2176889999999503</v>
          </cell>
          <cell r="AF110">
            <v>6.9983760000000075</v>
          </cell>
          <cell r="AG110">
            <v>28.624847999999929</v>
          </cell>
          <cell r="AH110">
            <v>9.2158040000000483</v>
          </cell>
          <cell r="AI110">
            <v>7.6999779999999873</v>
          </cell>
          <cell r="AJ110">
            <v>8.2730559999999969</v>
          </cell>
          <cell r="AK110">
            <v>10.71872099999996</v>
          </cell>
          <cell r="AL110">
            <v>35.596919999999955</v>
          </cell>
          <cell r="AR110">
            <v>9.2176889999999503</v>
          </cell>
          <cell r="AS110">
            <v>9.3937439999999697</v>
          </cell>
          <cell r="AT110">
            <v>33.394704000000274</v>
          </cell>
          <cell r="AU110">
            <v>10.997181999999952</v>
          </cell>
          <cell r="AV110">
            <v>8.4707260000000133</v>
          </cell>
          <cell r="AW110">
            <v>9.7351800000000139</v>
          </cell>
          <cell r="AX110">
            <v>10.08809999999994</v>
          </cell>
          <cell r="AY110">
            <v>38.391407999999956</v>
          </cell>
          <cell r="BA110">
            <v>9.9896830000000136</v>
          </cell>
          <cell r="BB110">
            <v>11.025780000000054</v>
          </cell>
          <cell r="BC110">
            <v>12.335161999999968</v>
          </cell>
          <cell r="BD110">
            <v>11.019636000000105</v>
          </cell>
          <cell r="BE110">
            <v>38.351587999999992</v>
          </cell>
          <cell r="BG110">
            <v>12.610467999999969</v>
          </cell>
          <cell r="BH110">
            <v>12.863980999999967</v>
          </cell>
        </row>
        <row r="112">
          <cell r="A112" t="str">
            <v>EBITDA</v>
          </cell>
          <cell r="U112">
            <v>308.17500000000001</v>
          </cell>
          <cell r="Y112">
            <v>87.334342000000007</v>
          </cell>
          <cell r="Z112">
            <v>94.730999999999995</v>
          </cell>
          <cell r="AA112">
            <v>360.041</v>
          </cell>
          <cell r="AC112">
            <v>106.00700000000001</v>
          </cell>
          <cell r="AD112">
            <v>102.09</v>
          </cell>
          <cell r="AE112">
            <v>106.505</v>
          </cell>
          <cell r="AF112">
            <v>103.605</v>
          </cell>
          <cell r="AG112">
            <v>392.84199999999998</v>
          </cell>
          <cell r="AH112">
            <v>112.718</v>
          </cell>
          <cell r="AI112">
            <v>110.35899999999999</v>
          </cell>
          <cell r="AJ112">
            <v>113.577</v>
          </cell>
          <cell r="AK112">
            <v>123.517</v>
          </cell>
          <cell r="AL112">
            <v>459.80899999999997</v>
          </cell>
          <cell r="AR112">
            <v>106.505</v>
          </cell>
          <cell r="AS112">
            <v>116.789</v>
          </cell>
          <cell r="AT112">
            <v>429.81100000000004</v>
          </cell>
          <cell r="AU112">
            <v>121.785</v>
          </cell>
          <cell r="AV112">
            <v>118.63300000000001</v>
          </cell>
          <cell r="AW112">
            <v>120.312</v>
          </cell>
          <cell r="AX112">
            <v>130.01300000000001</v>
          </cell>
          <cell r="AY112">
            <v>459.80899999999997</v>
          </cell>
          <cell r="BA112">
            <v>142.93</v>
          </cell>
          <cell r="BB112">
            <v>132.334</v>
          </cell>
          <cell r="BC112">
            <v>133.88200000000001</v>
          </cell>
          <cell r="BD112">
            <v>147.179</v>
          </cell>
          <cell r="BG112">
            <v>155.154</v>
          </cell>
        </row>
        <row r="113">
          <cell r="A113" t="str">
            <v>EBITDA Margin</v>
          </cell>
          <cell r="U113">
            <v>0.1819617683961916</v>
          </cell>
          <cell r="W113">
            <v>0.17299999999999999</v>
          </cell>
          <cell r="X113">
            <v>0.16500000000000001</v>
          </cell>
          <cell r="Y113">
            <v>0.158</v>
          </cell>
          <cell r="Z113">
            <v>0.16281839744250798</v>
          </cell>
          <cell r="AA113">
            <v>0.16592525166610619</v>
          </cell>
          <cell r="AC113">
            <v>0.16177532112569876</v>
          </cell>
          <cell r="AD113">
            <v>0.15607729105227189</v>
          </cell>
          <cell r="AE113">
            <v>0.151</v>
          </cell>
          <cell r="AF113">
            <v>0.16284563733071789</v>
          </cell>
          <cell r="AG113">
            <v>0.16468573038361636</v>
          </cell>
          <cell r="AH113">
            <v>0.15900229648981251</v>
          </cell>
          <cell r="AI113">
            <v>0.15765616473189922</v>
          </cell>
          <cell r="AJ113">
            <v>0.151</v>
          </cell>
          <cell r="AK113">
            <v>0.151</v>
          </cell>
          <cell r="AL113">
            <v>0.151</v>
          </cell>
          <cell r="AR113">
            <v>0.151</v>
          </cell>
          <cell r="AS113">
            <v>0.14919163221820819</v>
          </cell>
          <cell r="AT113">
            <v>0.15444760342837596</v>
          </cell>
          <cell r="AU113">
            <v>0.15503880903307773</v>
          </cell>
          <cell r="AV113">
            <v>0.15405562640085396</v>
          </cell>
          <cell r="AW113">
            <v>0.151</v>
          </cell>
          <cell r="AX113">
            <v>0.156</v>
          </cell>
          <cell r="AY113">
            <v>0.154</v>
          </cell>
          <cell r="BA113">
            <v>0.15738537449086223</v>
          </cell>
          <cell r="BB113">
            <v>0.14402681715035126</v>
          </cell>
          <cell r="BC113">
            <v>0.15195163225258007</v>
          </cell>
          <cell r="BD113">
            <v>0.161</v>
          </cell>
          <cell r="BE113">
            <v>0.159</v>
          </cell>
        </row>
        <row r="114">
          <cell r="A114" t="str">
            <v>% Change</v>
          </cell>
          <cell r="K114">
            <v>0.126</v>
          </cell>
          <cell r="P114">
            <v>0.16700000000000001</v>
          </cell>
          <cell r="U114">
            <v>0.13600000000000001</v>
          </cell>
          <cell r="AA114">
            <v>0.109</v>
          </cell>
          <cell r="AF114">
            <v>9.3675776672894839E-2</v>
          </cell>
          <cell r="AG114">
            <v>9.1103513210995413E-2</v>
          </cell>
          <cell r="AH114">
            <v>6.7000000000000004E-2</v>
          </cell>
          <cell r="AI114" t="e">
            <v>#DIV/0!</v>
          </cell>
          <cell r="AU114">
            <v>6.7000000000000004E-2</v>
          </cell>
          <cell r="AV114">
            <v>0.16204329513174653</v>
          </cell>
        </row>
        <row r="116">
          <cell r="A116" t="str">
            <v>Non Same-Store EBITDA Margins</v>
          </cell>
          <cell r="AE116">
            <v>0.10299999999999999</v>
          </cell>
          <cell r="AI116">
            <v>9.1999999999999998E-2</v>
          </cell>
          <cell r="AJ116">
            <v>0.08</v>
          </cell>
          <cell r="AK116">
            <v>0.127</v>
          </cell>
          <cell r="AL116">
            <v>9.8000000000000004E-2</v>
          </cell>
          <cell r="AV116">
            <v>9.1999999999999998E-2</v>
          </cell>
          <cell r="AW116">
            <v>0.08</v>
          </cell>
          <cell r="AX116">
            <v>0.127</v>
          </cell>
          <cell r="AY116">
            <v>9.8000000000000004E-2</v>
          </cell>
        </row>
        <row r="118">
          <cell r="A118" t="str">
            <v>Inpatient Revenue Per Inpatient Admission</v>
          </cell>
          <cell r="K118">
            <v>4698.3696759731001</v>
          </cell>
          <cell r="O118">
            <v>5076.1524206142631</v>
          </cell>
          <cell r="P118">
            <v>4772.0417371489293</v>
          </cell>
          <cell r="Q118">
            <v>4908.2009234643911</v>
          </cell>
          <cell r="R118">
            <v>5010.4663154976433</v>
          </cell>
          <cell r="S118">
            <v>5201.5949916609434</v>
          </cell>
          <cell r="T118">
            <v>5483.0690482883901</v>
          </cell>
          <cell r="U118">
            <v>5273.4145564768187</v>
          </cell>
          <cell r="W118">
            <v>5263.6119218910599</v>
          </cell>
          <cell r="X118">
            <v>5359.4763349156019</v>
          </cell>
          <cell r="Y118">
            <v>5577.2068150369014</v>
          </cell>
          <cell r="Z118">
            <v>5794.0671125892168</v>
          </cell>
          <cell r="AA118">
            <v>5500.388272016774</v>
          </cell>
          <cell r="AC118">
            <v>5653.595044685735</v>
          </cell>
          <cell r="AD118">
            <v>5686.438383208646</v>
          </cell>
          <cell r="AE118">
            <v>5662.7487247337885</v>
          </cell>
          <cell r="AF118">
            <v>5918.0231920422975</v>
          </cell>
          <cell r="AG118">
            <v>5795.9890353567289</v>
          </cell>
          <cell r="AH118">
            <v>5865.8564263122589</v>
          </cell>
          <cell r="AI118">
            <v>5845.6418150719392</v>
          </cell>
          <cell r="AJ118">
            <v>5978.4085784273966</v>
          </cell>
          <cell r="AK118">
            <v>6273.8969356032576</v>
          </cell>
          <cell r="AL118">
            <v>6006.2027143515825</v>
          </cell>
          <cell r="AR118">
            <v>5662.7487247337885</v>
          </cell>
          <cell r="AS118">
            <v>5784.9314465408806</v>
          </cell>
          <cell r="AT118">
            <v>5714.9062916571593</v>
          </cell>
          <cell r="AU118">
            <v>5867.1583384292835</v>
          </cell>
          <cell r="AV118">
            <v>5973.9055563236398</v>
          </cell>
          <cell r="AW118">
            <v>6084.2732650258804</v>
          </cell>
          <cell r="AX118">
            <v>6277.1193943955022</v>
          </cell>
          <cell r="AY118">
            <v>6042.2544597778524</v>
          </cell>
          <cell r="BA118">
            <v>6243.6270631871776</v>
          </cell>
          <cell r="BB118">
            <v>6536.654621421716</v>
          </cell>
          <cell r="BC118">
            <v>6495.171468168548</v>
          </cell>
          <cell r="BD118">
            <v>6874.4246674903698</v>
          </cell>
          <cell r="BE118">
            <v>6528.7301630345155</v>
          </cell>
          <cell r="BG118">
            <v>6699.1618251631544</v>
          </cell>
          <cell r="BH118">
            <v>6906.8947706396411</v>
          </cell>
        </row>
        <row r="119">
          <cell r="A119" t="str">
            <v>% Change</v>
          </cell>
          <cell r="K119">
            <v>7.959419576806015E-3</v>
          </cell>
          <cell r="T119">
            <v>8.0162413173733293E-2</v>
          </cell>
          <cell r="U119">
            <v>0.10506463416378997</v>
          </cell>
          <cell r="W119">
            <v>7.2411664471104586E-2</v>
          </cell>
          <cell r="X119">
            <v>6.9656195140650246E-2</v>
          </cell>
          <cell r="Y119">
            <v>7.2210893769724338E-2</v>
          </cell>
          <cell r="Z119">
            <v>5.6719705982529733E-2</v>
          </cell>
          <cell r="AA119">
            <v>4.3041128875632495E-2</v>
          </cell>
          <cell r="AC119">
            <v>7.4090401910664738E-2</v>
          </cell>
          <cell r="AD119">
            <v>6.1006342385163892E-2</v>
          </cell>
          <cell r="AE119">
            <v>1.5337768982540689E-2</v>
          </cell>
          <cell r="AF119">
            <v>2.1393621620942493E-2</v>
          </cell>
          <cell r="AG119">
            <v>5.3741799436927806E-2</v>
          </cell>
          <cell r="AH119">
            <v>0.22921314385167824</v>
          </cell>
          <cell r="AI119">
            <v>0.1909948077157908</v>
          </cell>
          <cell r="AJ119">
            <v>0.19318406750602346</v>
          </cell>
          <cell r="AK119">
            <v>6.0133887957635634E-2</v>
          </cell>
          <cell r="AL119">
            <v>3.6268819301159327E-2</v>
          </cell>
          <cell r="AU119">
            <v>3.7774777297552298E-2</v>
          </cell>
          <cell r="AV119">
            <v>5.0553114927587961E-2</v>
          </cell>
          <cell r="AW119">
            <v>7.4438150230991873E-2</v>
          </cell>
          <cell r="AX119">
            <v>8.5081033786308158E-2</v>
          </cell>
          <cell r="AY119">
            <v>5.7279708785176187E-2</v>
          </cell>
          <cell r="BA119">
            <v>6.4165427800382036E-2</v>
          </cell>
          <cell r="BB119">
            <v>9.4201198829195087E-2</v>
          </cell>
          <cell r="BC119">
            <v>6.7534475399819049E-2</v>
          </cell>
          <cell r="BD119">
            <v>9.5155952207659045E-2</v>
          </cell>
          <cell r="BE119">
            <v>8.0512283369566839E-2</v>
          </cell>
          <cell r="BG119">
            <v>7.2959956987475927E-2</v>
          </cell>
          <cell r="BH119">
            <v>5.6640616746766126E-2</v>
          </cell>
        </row>
        <row r="120">
          <cell r="A120" t="str">
            <v>Total Revenue Per Adjusted Admission</v>
          </cell>
          <cell r="K120">
            <v>4937.4310941077802</v>
          </cell>
          <cell r="O120">
            <v>5365.1192516631327</v>
          </cell>
          <cell r="P120">
            <v>5080.6694841810695</v>
          </cell>
          <cell r="Q120">
            <v>5235.6147471006216</v>
          </cell>
          <cell r="R120">
            <v>5449.7457373616517</v>
          </cell>
          <cell r="S120">
            <v>5417.8401924452246</v>
          </cell>
          <cell r="T120">
            <v>5647.5026906837293</v>
          </cell>
          <cell r="U120">
            <v>5441.5752575199685</v>
          </cell>
          <cell r="W120">
            <v>5540.9582368276197</v>
          </cell>
          <cell r="X120">
            <v>5590.9708973237348</v>
          </cell>
          <cell r="Y120">
            <v>5649.0577221813428</v>
          </cell>
          <cell r="Z120">
            <v>5935.0008160600628</v>
          </cell>
          <cell r="AA120">
            <v>5680.1051029714581</v>
          </cell>
          <cell r="AC120">
            <v>5939.3173083895299</v>
          </cell>
          <cell r="AD120">
            <v>6130.7220785063546</v>
          </cell>
          <cell r="AE120">
            <v>6066.8674544163323</v>
          </cell>
          <cell r="AF120">
            <v>6338.9594085646531</v>
          </cell>
          <cell r="AG120">
            <v>6189.3597367956745</v>
          </cell>
          <cell r="AH120">
            <v>6291.4499724879752</v>
          </cell>
          <cell r="AI120">
            <v>6334.7662012108494</v>
          </cell>
          <cell r="AJ120">
            <v>6370.9413727965039</v>
          </cell>
          <cell r="AK120">
            <v>6605.2247893100912</v>
          </cell>
          <cell r="AL120">
            <v>6413.5682487930271</v>
          </cell>
          <cell r="AR120">
            <v>6066.8674544163323</v>
          </cell>
          <cell r="AS120">
            <v>6188.7263815321367</v>
          </cell>
          <cell r="AT120">
            <v>6092.7055464819441</v>
          </cell>
          <cell r="AU120">
            <v>6359.8626842953263</v>
          </cell>
          <cell r="AV120">
            <v>6401.9054428159316</v>
          </cell>
          <cell r="AW120">
            <v>6487.6806320823371</v>
          </cell>
          <cell r="AX120">
            <v>6697.9117700955276</v>
          </cell>
          <cell r="AY120">
            <v>6479.2213473315842</v>
          </cell>
          <cell r="BA120">
            <v>6751.4143614371851</v>
          </cell>
          <cell r="BB120">
            <v>6920.6637341447986</v>
          </cell>
          <cell r="BC120">
            <v>6867.3655494933746</v>
          </cell>
          <cell r="BD120">
            <v>7277.3185827383177</v>
          </cell>
          <cell r="BE120">
            <v>6939.0286377323864</v>
          </cell>
          <cell r="BG120">
            <v>7278.9458676631702</v>
          </cell>
          <cell r="BH120">
            <v>7417.2625740199392</v>
          </cell>
        </row>
        <row r="121">
          <cell r="A121" t="str">
            <v>% Change</v>
          </cell>
          <cell r="T121">
            <v>5.2633208280144173E-2</v>
          </cell>
          <cell r="U121">
            <v>7.1035081983309212E-2</v>
          </cell>
          <cell r="W121">
            <v>5.8320465595008031E-2</v>
          </cell>
          <cell r="X121">
            <v>2.5914082375236402E-2</v>
          </cell>
          <cell r="Y121">
            <v>4.2677067156490445E-2</v>
          </cell>
          <cell r="Z121">
            <v>5.0907124993600839E-2</v>
          </cell>
          <cell r="AA121">
            <v>4.3834704871875907E-2</v>
          </cell>
          <cell r="AC121">
            <v>7.1893534391622493E-2</v>
          </cell>
          <cell r="AD121">
            <v>9.6539794446253602E-2</v>
          </cell>
          <cell r="AE121">
            <v>7.3960960001246967E-2</v>
          </cell>
          <cell r="AF121">
            <v>6.8063780448265776E-2</v>
          </cell>
          <cell r="AG121">
            <v>8.9655846959206364E-2</v>
          </cell>
          <cell r="AH121">
            <v>0.23831120919727877</v>
          </cell>
          <cell r="AI121">
            <v>0.20993742038008345</v>
          </cell>
          <cell r="AJ121">
            <v>0.16903460818721139</v>
          </cell>
          <cell r="AK121">
            <v>4.2004588384914276E-2</v>
          </cell>
          <cell r="AL121">
            <v>3.6224831247800182E-2</v>
          </cell>
          <cell r="AU121">
            <v>7.0807022772088501E-2</v>
          </cell>
          <cell r="AV121">
            <v>4.423351129556452E-2</v>
          </cell>
          <cell r="AW121">
            <v>6.9362513822463168E-2</v>
          </cell>
          <cell r="AX121">
            <v>8.2276280638752697E-2</v>
          </cell>
          <cell r="AY121">
            <v>6.3439107289998908E-2</v>
          </cell>
          <cell r="BA121">
            <v>6.1566058353544895E-2</v>
          </cell>
          <cell r="BB121">
            <v>8.1031857774626292E-2</v>
          </cell>
          <cell r="BC121">
            <v>5.8523983984885453E-2</v>
          </cell>
          <cell r="BD121">
            <v>8.6505590478168859E-2</v>
          </cell>
          <cell r="BE121">
            <v>7.0966442686847042E-2</v>
          </cell>
          <cell r="BG121">
            <v>7.8136443415345092E-2</v>
          </cell>
          <cell r="BH121">
            <v>7.1755955635447011E-2</v>
          </cell>
        </row>
        <row r="123">
          <cell r="A123" t="str">
            <v>Total Patient Revenue Per Adjusted Admission</v>
          </cell>
          <cell r="Z123">
            <v>5863.7808062673421</v>
          </cell>
          <cell r="AA123">
            <v>5606.263736632829</v>
          </cell>
          <cell r="AC123">
            <v>5868.0455006888551</v>
          </cell>
          <cell r="AD123">
            <v>6057.1534135642787</v>
          </cell>
          <cell r="AE123">
            <v>5987.99817750892</v>
          </cell>
          <cell r="AF123">
            <v>6269.230855070442</v>
          </cell>
          <cell r="AG123">
            <v>6115.0874199541258</v>
          </cell>
          <cell r="AH123">
            <v>6209.6611228456304</v>
          </cell>
          <cell r="AI123">
            <v>6265.0837729975301</v>
          </cell>
          <cell r="AJ123">
            <v>6300.8610176957418</v>
          </cell>
          <cell r="AK123">
            <v>6519.3568670490604</v>
          </cell>
          <cell r="AL123">
            <v>6336.6054298075114</v>
          </cell>
          <cell r="AR123">
            <v>5987.99817750892</v>
          </cell>
          <cell r="AS123">
            <v>6114.461664953752</v>
          </cell>
          <cell r="AT123">
            <v>6019.5930799241605</v>
          </cell>
          <cell r="AU123">
            <v>6270.8246067151922</v>
          </cell>
          <cell r="AV123">
            <v>6331.4844829449567</v>
          </cell>
          <cell r="AW123">
            <v>6409.8284644973492</v>
          </cell>
          <cell r="AX123">
            <v>6617.5368288543823</v>
          </cell>
          <cell r="AY123">
            <v>6401.4706911636049</v>
          </cell>
          <cell r="BA123">
            <v>6677.1488034613758</v>
          </cell>
          <cell r="BB123">
            <v>6837.6157693350606</v>
          </cell>
          <cell r="BC123">
            <v>6771.2224318004673</v>
          </cell>
          <cell r="BD123">
            <v>7189.9907597454558</v>
          </cell>
          <cell r="BG123">
            <v>7184.3195713835485</v>
          </cell>
        </row>
        <row r="124">
          <cell r="AF124">
            <v>6.9144816663294417E-2</v>
          </cell>
          <cell r="AG124">
            <v>9.0759854909519655E-2</v>
          </cell>
          <cell r="AJ124">
            <v>5.2248319206566141E-2</v>
          </cell>
          <cell r="AK124">
            <v>3.9897400137422157E-2</v>
          </cell>
          <cell r="AL124">
            <v>3.6224831247800404E-2</v>
          </cell>
          <cell r="AU124">
            <v>6.8639397219918408E-2</v>
          </cell>
          <cell r="AV124">
            <v>4.5290427804972833E-2</v>
          </cell>
          <cell r="AW124">
            <v>7.0445961151563985E-2</v>
          </cell>
          <cell r="AX124">
            <v>8.2276280638752697E-2</v>
          </cell>
          <cell r="AY124">
            <v>6.3439107289998908E-2</v>
          </cell>
          <cell r="BA124">
            <v>6.4795975366790826E-2</v>
          </cell>
          <cell r="BB124">
            <v>7.9938802306704471E-2</v>
          </cell>
          <cell r="BC124">
            <v>5.6381222883701287E-2</v>
          </cell>
          <cell r="BD124">
            <v>8.6505590478168193E-2</v>
          </cell>
          <cell r="BG124">
            <v>7.595618771581969E-2</v>
          </cell>
        </row>
        <row r="130">
          <cell r="W130" t="str">
            <v>2002-Q1</v>
          </cell>
          <cell r="X130" t="str">
            <v>2002-Q2</v>
          </cell>
          <cell r="Y130" t="str">
            <v>2002-Q3</v>
          </cell>
          <cell r="Z130" t="str">
            <v>2002-Q4</v>
          </cell>
          <cell r="AA130" t="str">
            <v>2002-FY</v>
          </cell>
          <cell r="AC130" t="str">
            <v>2003-Q1</v>
          </cell>
          <cell r="AD130" t="str">
            <v>2003-Q2</v>
          </cell>
          <cell r="AE130" t="str">
            <v>2003-Q3</v>
          </cell>
          <cell r="AF130" t="str">
            <v>2003-Q4</v>
          </cell>
          <cell r="AG130" t="str">
            <v>2003-FY</v>
          </cell>
          <cell r="AU130" t="str">
            <v>2004-Q1</v>
          </cell>
          <cell r="AV130" t="str">
            <v>2004-Q2</v>
          </cell>
          <cell r="AW130" t="str">
            <v>2004-Q3</v>
          </cell>
          <cell r="AX130" t="str">
            <v>2004-Q4</v>
          </cell>
          <cell r="AY130" t="str">
            <v>2004-FY</v>
          </cell>
          <cell r="BA130" t="str">
            <v>2005-Q1</v>
          </cell>
          <cell r="BB130" t="str">
            <v>2005-Q2</v>
          </cell>
          <cell r="BC130" t="str">
            <v>2005-Q3</v>
          </cell>
          <cell r="BD130" t="str">
            <v>2005-Q4</v>
          </cell>
          <cell r="BE130" t="str">
            <v>2005-FY</v>
          </cell>
          <cell r="BG130" t="str">
            <v>2006-Q1</v>
          </cell>
          <cell r="BH130" t="str">
            <v>2006-Q2</v>
          </cell>
          <cell r="BI130" t="str">
            <v>2006-Q3</v>
          </cell>
          <cell r="BJ130" t="str">
            <v>2006-Q4</v>
          </cell>
          <cell r="BK130" t="str">
            <v>2006-FY</v>
          </cell>
          <cell r="BM130" t="str">
            <v>2007-FY</v>
          </cell>
          <cell r="BN130" t="str">
            <v>2008-FY</v>
          </cell>
        </row>
      </sheetData>
      <sheetData sheetId="6" refreshError="1">
        <row r="1">
          <cell r="A1" t="str">
            <v>Community Health Systems</v>
          </cell>
        </row>
        <row r="3">
          <cell r="A3" t="str">
            <v>COST MODEL</v>
          </cell>
          <cell r="AH3" t="str">
            <v>Not restated</v>
          </cell>
          <cell r="AJ3" t="str">
            <v>First restatements</v>
          </cell>
          <cell r="AM3" t="str">
            <v>Restated for disc ops</v>
          </cell>
          <cell r="AS3" t="str">
            <v>1-3Q restated</v>
          </cell>
        </row>
        <row r="4">
          <cell r="A4" t="str">
            <v>($ mil)  FY ending Dec. 31</v>
          </cell>
          <cell r="C4">
            <v>1995</v>
          </cell>
          <cell r="D4">
            <v>1996</v>
          </cell>
          <cell r="E4">
            <v>1997</v>
          </cell>
          <cell r="F4">
            <v>1998</v>
          </cell>
          <cell r="G4" t="str">
            <v>1Q99</v>
          </cell>
          <cell r="H4" t="str">
            <v>2Q99</v>
          </cell>
          <cell r="I4" t="str">
            <v>3Q99</v>
          </cell>
          <cell r="J4" t="str">
            <v>4Q99</v>
          </cell>
          <cell r="K4">
            <v>1999</v>
          </cell>
          <cell r="L4" t="str">
            <v>1Q00</v>
          </cell>
          <cell r="M4" t="str">
            <v>2Q00</v>
          </cell>
          <cell r="N4" t="str">
            <v>3Q00</v>
          </cell>
          <cell r="O4" t="str">
            <v>4Q00</v>
          </cell>
          <cell r="P4">
            <v>2000</v>
          </cell>
          <cell r="Q4" t="str">
            <v>1Q01</v>
          </cell>
          <cell r="R4" t="str">
            <v>2Q01</v>
          </cell>
          <cell r="S4" t="str">
            <v>3Q01</v>
          </cell>
          <cell r="T4" t="str">
            <v>4Q01</v>
          </cell>
          <cell r="U4">
            <v>2001</v>
          </cell>
          <cell r="V4" t="str">
            <v>1Q02</v>
          </cell>
          <cell r="W4" t="str">
            <v>2Q02</v>
          </cell>
          <cell r="X4" t="str">
            <v>3Q02</v>
          </cell>
          <cell r="Y4" t="str">
            <v>4Q02</v>
          </cell>
          <cell r="Z4">
            <v>2002</v>
          </cell>
          <cell r="AB4" t="str">
            <v>1Q03</v>
          </cell>
          <cell r="AC4" t="str">
            <v>2Q03</v>
          </cell>
          <cell r="AD4" t="str">
            <v>3Q03</v>
          </cell>
          <cell r="AE4" t="str">
            <v>4Q03</v>
          </cell>
          <cell r="AF4">
            <v>2003</v>
          </cell>
          <cell r="AG4" t="str">
            <v>CHECK</v>
          </cell>
          <cell r="AH4" t="str">
            <v>1Q04</v>
          </cell>
          <cell r="AI4" t="str">
            <v>2Q04</v>
          </cell>
          <cell r="AJ4" t="str">
            <v>3Q04</v>
          </cell>
          <cell r="AK4" t="str">
            <v>4Q04</v>
          </cell>
          <cell r="AL4">
            <v>2004</v>
          </cell>
          <cell r="AM4" t="str">
            <v>2002</v>
          </cell>
          <cell r="AN4" t="str">
            <v>1Q03</v>
          </cell>
          <cell r="AO4" t="str">
            <v>2Q03</v>
          </cell>
          <cell r="AP4" t="str">
            <v>3Q03</v>
          </cell>
          <cell r="AQ4" t="str">
            <v>4Q03</v>
          </cell>
          <cell r="AR4">
            <v>2003</v>
          </cell>
          <cell r="AS4" t="str">
            <v>1Q04</v>
          </cell>
          <cell r="AT4" t="str">
            <v>2Q04</v>
          </cell>
          <cell r="AU4" t="str">
            <v>3Q04</v>
          </cell>
          <cell r="AV4" t="str">
            <v>4Q04</v>
          </cell>
          <cell r="AW4">
            <v>2004</v>
          </cell>
          <cell r="AX4" t="str">
            <v>CHECK</v>
          </cell>
          <cell r="AY4" t="str">
            <v>1Q05</v>
          </cell>
          <cell r="AZ4" t="str">
            <v>2Q05</v>
          </cell>
          <cell r="BA4" t="str">
            <v>3Q05</v>
          </cell>
          <cell r="BB4" t="str">
            <v>4Q05</v>
          </cell>
          <cell r="BC4">
            <v>2005</v>
          </cell>
          <cell r="BD4" t="str">
            <v>CHECK</v>
          </cell>
          <cell r="BE4" t="str">
            <v>1Q06</v>
          </cell>
          <cell r="BF4" t="str">
            <v>2Q06</v>
          </cell>
          <cell r="BG4" t="str">
            <v>3Q06E</v>
          </cell>
          <cell r="BH4" t="str">
            <v>4Q06E</v>
          </cell>
          <cell r="BI4" t="str">
            <v>2006E</v>
          </cell>
          <cell r="BJ4" t="str">
            <v>CHECK</v>
          </cell>
          <cell r="BK4" t="str">
            <v>2007E</v>
          </cell>
          <cell r="BL4" t="str">
            <v>2008E</v>
          </cell>
          <cell r="BM4" t="str">
            <v>2009E</v>
          </cell>
          <cell r="BN4" t="str">
            <v>2010E</v>
          </cell>
        </row>
        <row r="5">
          <cell r="A5" t="str">
            <v>Adjusted Admissions</v>
          </cell>
          <cell r="C5">
            <v>118042</v>
          </cell>
          <cell r="D5">
            <v>124195</v>
          </cell>
          <cell r="E5">
            <v>153618</v>
          </cell>
          <cell r="F5">
            <v>177075</v>
          </cell>
          <cell r="G5">
            <v>53613</v>
          </cell>
          <cell r="H5">
            <v>51784</v>
          </cell>
          <cell r="I5">
            <v>53479</v>
          </cell>
          <cell r="J5">
            <v>58130</v>
          </cell>
          <cell r="K5">
            <v>217006</v>
          </cell>
          <cell r="L5">
            <v>62309</v>
          </cell>
          <cell r="M5">
            <v>63785</v>
          </cell>
          <cell r="N5">
            <v>67555</v>
          </cell>
          <cell r="O5">
            <v>68846</v>
          </cell>
          <cell r="P5">
            <v>262419</v>
          </cell>
          <cell r="Q5">
            <v>76137</v>
          </cell>
          <cell r="R5">
            <v>73546</v>
          </cell>
          <cell r="S5">
            <v>76905</v>
          </cell>
          <cell r="T5">
            <v>84551</v>
          </cell>
          <cell r="U5">
            <v>311238</v>
          </cell>
          <cell r="V5">
            <v>96281</v>
          </cell>
          <cell r="W5">
            <v>94871</v>
          </cell>
          <cell r="X5">
            <v>97848</v>
          </cell>
          <cell r="Y5">
            <v>98292</v>
          </cell>
          <cell r="Z5">
            <v>387311</v>
          </cell>
          <cell r="AB5">
            <v>110730</v>
          </cell>
          <cell r="AC5">
            <v>107096</v>
          </cell>
          <cell r="AD5">
            <v>119640</v>
          </cell>
          <cell r="AE5">
            <v>128313</v>
          </cell>
          <cell r="AF5">
            <v>465867</v>
          </cell>
          <cell r="AH5">
            <v>128265</v>
          </cell>
          <cell r="AI5">
            <v>131301</v>
          </cell>
          <cell r="AJ5">
            <v>131531</v>
          </cell>
          <cell r="AK5">
            <v>518603</v>
          </cell>
          <cell r="AL5">
            <v>88</v>
          </cell>
          <cell r="AM5">
            <v>379604</v>
          </cell>
          <cell r="AP5">
            <v>117895</v>
          </cell>
          <cell r="AQ5">
            <v>126625</v>
          </cell>
          <cell r="AR5">
            <v>458709</v>
          </cell>
          <cell r="AS5">
            <v>122842</v>
          </cell>
          <cell r="AT5">
            <v>120287</v>
          </cell>
          <cell r="AU5">
            <v>125047</v>
          </cell>
          <cell r="AV5">
            <v>125513</v>
          </cell>
          <cell r="AW5">
            <v>493776</v>
          </cell>
          <cell r="AY5">
            <v>134513</v>
          </cell>
          <cell r="AZ5">
            <v>132764</v>
          </cell>
          <cell r="BA5">
            <v>134952</v>
          </cell>
          <cell r="BB5">
            <v>136195</v>
          </cell>
          <cell r="BC5">
            <v>538445</v>
          </cell>
          <cell r="BE5">
            <v>143168</v>
          </cell>
          <cell r="BF5">
            <v>147223</v>
          </cell>
          <cell r="BG5">
            <v>150171.77491453403</v>
          </cell>
          <cell r="BH5">
            <v>148712.48615100572</v>
          </cell>
          <cell r="BI5">
            <v>589275.26106553979</v>
          </cell>
          <cell r="BK5">
            <v>630381.63242134091</v>
          </cell>
          <cell r="BL5">
            <v>661496.42642297887</v>
          </cell>
          <cell r="BM5">
            <v>688721.87117441196</v>
          </cell>
          <cell r="BN5">
            <v>712467.37185987248</v>
          </cell>
        </row>
        <row r="6">
          <cell r="A6" t="str">
            <v>Adjusted Patient Days</v>
          </cell>
          <cell r="C6">
            <v>625334.86615060188</v>
          </cell>
          <cell r="D6">
            <v>583271.11605122336</v>
          </cell>
          <cell r="E6">
            <v>695724.61114831502</v>
          </cell>
          <cell r="F6">
            <v>737287.77568571828</v>
          </cell>
          <cell r="G6">
            <v>224036.19983500443</v>
          </cell>
          <cell r="H6">
            <v>206133.2922511572</v>
          </cell>
          <cell r="I6">
            <v>208304.02922894259</v>
          </cell>
          <cell r="J6">
            <v>223282.42076280469</v>
          </cell>
          <cell r="K6">
            <v>862621.10674838477</v>
          </cell>
          <cell r="L6">
            <v>248620.16358344859</v>
          </cell>
          <cell r="M6">
            <v>262959.10020449897</v>
          </cell>
          <cell r="N6">
            <v>268976.3313609467</v>
          </cell>
          <cell r="O6">
            <v>260539.64122852683</v>
          </cell>
          <cell r="P6">
            <v>1004972.6642453423</v>
          </cell>
          <cell r="Q6">
            <v>294276.73128585418</v>
          </cell>
          <cell r="R6">
            <v>278507.95286942058</v>
          </cell>
          <cell r="S6">
            <v>288063.66133621114</v>
          </cell>
          <cell r="T6">
            <v>319084.35363190103</v>
          </cell>
          <cell r="U6">
            <v>1179932.699123387</v>
          </cell>
          <cell r="V6">
            <v>378920.56380454078</v>
          </cell>
          <cell r="W6">
            <v>366101.04315455677</v>
          </cell>
          <cell r="X6">
            <v>372603.57426199265</v>
          </cell>
          <cell r="Y6">
            <v>374661.64401945984</v>
          </cell>
          <cell r="Z6">
            <v>1492286.8252405501</v>
          </cell>
          <cell r="AA6">
            <v>0</v>
          </cell>
          <cell r="AB6">
            <v>440513.13846353488</v>
          </cell>
          <cell r="AC6">
            <v>409578.15001983475</v>
          </cell>
          <cell r="AD6">
            <v>465183.71778911987</v>
          </cell>
          <cell r="AE6">
            <v>522200.79043620382</v>
          </cell>
          <cell r="AF6">
            <v>1837475.7967086933</v>
          </cell>
          <cell r="AG6">
            <v>0</v>
          </cell>
          <cell r="AH6">
            <v>519088.7981777424</v>
          </cell>
          <cell r="AI6">
            <v>525932.52248294989</v>
          </cell>
          <cell r="AJ6">
            <v>532240.50960314542</v>
          </cell>
          <cell r="AK6">
            <v>2119407.2545751012</v>
          </cell>
          <cell r="AL6">
            <v>0</v>
          </cell>
          <cell r="AM6">
            <v>1462703.2552782737</v>
          </cell>
          <cell r="AP6">
            <v>458074.51561685384</v>
          </cell>
          <cell r="AQ6">
            <v>515221.91047333478</v>
          </cell>
          <cell r="AR6">
            <v>1809765.2489188963</v>
          </cell>
          <cell r="AS6">
            <v>511463.43009508186</v>
          </cell>
          <cell r="AT6">
            <v>490137.60405241407</v>
          </cell>
          <cell r="AU6">
            <v>503318.4678356396</v>
          </cell>
          <cell r="AV6">
            <v>510644.01096403855</v>
          </cell>
          <cell r="AW6">
            <v>2015563.512947174</v>
          </cell>
          <cell r="AX6">
            <v>0</v>
          </cell>
          <cell r="AY6">
            <v>569304.1328255398</v>
          </cell>
          <cell r="AZ6">
            <v>549691.3850149624</v>
          </cell>
          <cell r="BA6">
            <v>541684.61920181673</v>
          </cell>
          <cell r="BB6">
            <v>561341.71858521947</v>
          </cell>
          <cell r="BC6">
            <v>2222021.8556275386</v>
          </cell>
          <cell r="BD6">
            <v>0</v>
          </cell>
          <cell r="BE6">
            <v>604191.58665754879</v>
          </cell>
          <cell r="BF6">
            <v>602638.44181582064</v>
          </cell>
          <cell r="BG6">
            <v>600687.09965813614</v>
          </cell>
          <cell r="BH6">
            <v>594849.94460402289</v>
          </cell>
          <cell r="BI6">
            <v>2402367.0727355285</v>
          </cell>
          <cell r="BJ6">
            <v>0</v>
          </cell>
          <cell r="BK6">
            <v>2521526.5296853636</v>
          </cell>
          <cell r="BL6">
            <v>2579836.0630496177</v>
          </cell>
          <cell r="BM6">
            <v>2686015.2975802068</v>
          </cell>
          <cell r="BN6">
            <v>2778622.7502535027</v>
          </cell>
        </row>
        <row r="8">
          <cell r="A8" t="str">
            <v>Total RN Hours Per Patient Day (HPPD)</v>
          </cell>
          <cell r="C8">
            <v>6.5</v>
          </cell>
          <cell r="D8">
            <v>6.5</v>
          </cell>
          <cell r="E8">
            <v>6.5</v>
          </cell>
          <cell r="F8">
            <v>6.5</v>
          </cell>
          <cell r="G8">
            <v>6.5</v>
          </cell>
          <cell r="H8">
            <v>6.5</v>
          </cell>
          <cell r="I8">
            <v>6.5</v>
          </cell>
          <cell r="J8">
            <v>6.5</v>
          </cell>
          <cell r="K8">
            <v>6.5</v>
          </cell>
          <cell r="L8">
            <v>6.5</v>
          </cell>
          <cell r="M8">
            <v>6.5</v>
          </cell>
          <cell r="N8">
            <v>6.5</v>
          </cell>
          <cell r="O8">
            <v>6.5</v>
          </cell>
          <cell r="P8">
            <v>6.5</v>
          </cell>
          <cell r="Q8">
            <v>6.5</v>
          </cell>
          <cell r="R8">
            <v>6.5</v>
          </cell>
          <cell r="S8">
            <v>6.5</v>
          </cell>
          <cell r="T8">
            <v>6.5</v>
          </cell>
          <cell r="U8">
            <v>6.5</v>
          </cell>
          <cell r="V8">
            <v>6.5</v>
          </cell>
          <cell r="W8">
            <v>6.5</v>
          </cell>
          <cell r="X8">
            <v>6.5</v>
          </cell>
          <cell r="Y8">
            <v>6.5</v>
          </cell>
          <cell r="Z8">
            <v>6.5</v>
          </cell>
          <cell r="AB8">
            <v>6.5</v>
          </cell>
          <cell r="AC8">
            <v>6.5</v>
          </cell>
          <cell r="AD8">
            <v>6.5</v>
          </cell>
          <cell r="AE8">
            <v>6.5</v>
          </cell>
          <cell r="AF8">
            <v>6.5</v>
          </cell>
          <cell r="AH8">
            <v>6.55</v>
          </cell>
          <cell r="AI8">
            <v>6.55</v>
          </cell>
          <cell r="AJ8">
            <v>6.55</v>
          </cell>
          <cell r="AK8">
            <v>6.55</v>
          </cell>
          <cell r="AL8">
            <v>6.55</v>
          </cell>
          <cell r="AM8">
            <v>6.5</v>
          </cell>
          <cell r="AP8">
            <v>6.5</v>
          </cell>
          <cell r="AQ8">
            <v>6.5</v>
          </cell>
          <cell r="AR8">
            <v>6.5</v>
          </cell>
          <cell r="AS8">
            <v>6.55</v>
          </cell>
          <cell r="AT8">
            <v>6.55</v>
          </cell>
          <cell r="AU8">
            <v>6.55</v>
          </cell>
          <cell r="AV8">
            <v>6.55</v>
          </cell>
          <cell r="AW8">
            <v>6.55</v>
          </cell>
          <cell r="AY8">
            <v>6.6</v>
          </cell>
          <cell r="AZ8">
            <v>6.6</v>
          </cell>
          <cell r="BA8">
            <v>6.6</v>
          </cell>
          <cell r="BB8">
            <v>6.6</v>
          </cell>
          <cell r="BC8">
            <v>6.6</v>
          </cell>
          <cell r="BE8">
            <v>6.6</v>
          </cell>
          <cell r="BF8">
            <v>6.6</v>
          </cell>
          <cell r="BG8">
            <v>6.6</v>
          </cell>
          <cell r="BH8">
            <v>6.6</v>
          </cell>
          <cell r="BI8">
            <v>6.6</v>
          </cell>
          <cell r="BK8">
            <v>6.6</v>
          </cell>
          <cell r="BL8">
            <v>6.6</v>
          </cell>
          <cell r="BM8">
            <v>6.6</v>
          </cell>
          <cell r="BN8">
            <v>6.6</v>
          </cell>
        </row>
        <row r="9">
          <cell r="A9" t="str">
            <v xml:space="preserve">Total RN Hours </v>
          </cell>
          <cell r="C9">
            <v>4064676.6299789124</v>
          </cell>
          <cell r="D9">
            <v>3791262.2543329517</v>
          </cell>
          <cell r="E9">
            <v>4522209.9724640474</v>
          </cell>
          <cell r="F9">
            <v>4792370.5419571688</v>
          </cell>
          <cell r="G9">
            <v>1456235.2989275288</v>
          </cell>
          <cell r="H9">
            <v>1339866.3996325217</v>
          </cell>
          <cell r="I9">
            <v>1353976.1899881267</v>
          </cell>
          <cell r="J9">
            <v>1451335.7349582305</v>
          </cell>
          <cell r="K9">
            <v>5607037.1938645011</v>
          </cell>
          <cell r="L9">
            <v>1616031.0632924158</v>
          </cell>
          <cell r="M9">
            <v>1709234.1513292433</v>
          </cell>
          <cell r="N9">
            <v>1748346.1538461535</v>
          </cell>
          <cell r="O9">
            <v>1693507.6679854244</v>
          </cell>
          <cell r="P9">
            <v>6532322.3175947247</v>
          </cell>
          <cell r="Q9">
            <v>1912798.7533580521</v>
          </cell>
          <cell r="R9">
            <v>1810301.6936512338</v>
          </cell>
          <cell r="S9">
            <v>1872413.7986853723</v>
          </cell>
          <cell r="T9">
            <v>2074048.2986073566</v>
          </cell>
          <cell r="U9">
            <v>7669562.5443020156</v>
          </cell>
          <cell r="V9">
            <v>2462983.6647295151</v>
          </cell>
          <cell r="W9">
            <v>2379656.7805046188</v>
          </cell>
          <cell r="X9">
            <v>2421923.2327029523</v>
          </cell>
          <cell r="Y9">
            <v>2435300.6861264892</v>
          </cell>
          <cell r="Z9">
            <v>9699864.3640635759</v>
          </cell>
          <cell r="AA9">
            <v>0</v>
          </cell>
          <cell r="AB9">
            <v>2863335.4000129765</v>
          </cell>
          <cell r="AC9">
            <v>2662257.9751289259</v>
          </cell>
          <cell r="AD9">
            <v>3023694.1656292793</v>
          </cell>
          <cell r="AE9">
            <v>3394305.1378353247</v>
          </cell>
          <cell r="AF9">
            <v>11943592.678606506</v>
          </cell>
          <cell r="AG9">
            <v>0</v>
          </cell>
          <cell r="AH9">
            <v>3400031.6280642129</v>
          </cell>
          <cell r="AI9">
            <v>3444858.0222633216</v>
          </cell>
          <cell r="AJ9">
            <v>3486175.3379006023</v>
          </cell>
          <cell r="AK9">
            <v>13882117.517466912</v>
          </cell>
          <cell r="AL9">
            <v>0</v>
          </cell>
          <cell r="AM9">
            <v>9507571.15930878</v>
          </cell>
          <cell r="AP9">
            <v>2977484.3515095501</v>
          </cell>
          <cell r="AQ9">
            <v>3348942.4180766759</v>
          </cell>
          <cell r="AR9">
            <v>11763474.117972827</v>
          </cell>
          <cell r="AS9">
            <v>3350085.4671227862</v>
          </cell>
          <cell r="AT9">
            <v>3210401.306543312</v>
          </cell>
          <cell r="AU9">
            <v>3296735.9643234392</v>
          </cell>
          <cell r="AV9">
            <v>3344718.2718144525</v>
          </cell>
          <cell r="AW9">
            <v>13201941.00980399</v>
          </cell>
          <cell r="AX9">
            <v>0</v>
          </cell>
          <cell r="AY9">
            <v>3757407.2766485624</v>
          </cell>
          <cell r="AZ9">
            <v>3627963.1410987517</v>
          </cell>
          <cell r="BA9">
            <v>3575118.4867319902</v>
          </cell>
          <cell r="BB9">
            <v>3704855.3426624481</v>
          </cell>
          <cell r="BC9">
            <v>14665344.247141754</v>
          </cell>
          <cell r="BD9">
            <v>0</v>
          </cell>
          <cell r="BE9">
            <v>3987664.4719398217</v>
          </cell>
          <cell r="BF9">
            <v>3977413.7159844162</v>
          </cell>
          <cell r="BG9">
            <v>3964534.8577436982</v>
          </cell>
          <cell r="BH9">
            <v>3926009.6343865511</v>
          </cell>
          <cell r="BI9">
            <v>15855622.680054488</v>
          </cell>
          <cell r="BJ9">
            <v>0</v>
          </cell>
          <cell r="BK9">
            <v>16642075.0959234</v>
          </cell>
          <cell r="BL9">
            <v>17026918.016127475</v>
          </cell>
          <cell r="BM9">
            <v>17727700.964029364</v>
          </cell>
          <cell r="BN9">
            <v>18338910.151673116</v>
          </cell>
        </row>
        <row r="10">
          <cell r="A10" t="str">
            <v>Average Annual Hours Per Nurse</v>
          </cell>
          <cell r="C10">
            <v>1920</v>
          </cell>
          <cell r="D10">
            <v>1920</v>
          </cell>
          <cell r="E10">
            <v>1920</v>
          </cell>
          <cell r="F10">
            <v>1920</v>
          </cell>
          <cell r="G10">
            <v>480</v>
          </cell>
          <cell r="H10">
            <v>480</v>
          </cell>
          <cell r="I10">
            <v>480</v>
          </cell>
          <cell r="J10">
            <v>480</v>
          </cell>
          <cell r="K10">
            <v>1920</v>
          </cell>
          <cell r="L10">
            <v>480</v>
          </cell>
          <cell r="M10">
            <v>480</v>
          </cell>
          <cell r="N10">
            <v>480</v>
          </cell>
          <cell r="O10">
            <v>480</v>
          </cell>
          <cell r="P10">
            <v>1920</v>
          </cell>
          <cell r="Q10">
            <v>480</v>
          </cell>
          <cell r="R10">
            <v>480</v>
          </cell>
          <cell r="S10">
            <v>480</v>
          </cell>
          <cell r="T10">
            <v>480</v>
          </cell>
          <cell r="U10">
            <v>1920</v>
          </cell>
          <cell r="V10">
            <v>480</v>
          </cell>
          <cell r="W10">
            <v>480</v>
          </cell>
          <cell r="X10">
            <v>480</v>
          </cell>
          <cell r="Y10">
            <v>480</v>
          </cell>
          <cell r="Z10">
            <v>1920</v>
          </cell>
          <cell r="AB10">
            <v>480</v>
          </cell>
          <cell r="AC10">
            <v>480</v>
          </cell>
          <cell r="AD10">
            <v>480</v>
          </cell>
          <cell r="AE10">
            <v>480</v>
          </cell>
          <cell r="AF10">
            <v>1920</v>
          </cell>
          <cell r="AH10">
            <v>480</v>
          </cell>
          <cell r="AI10">
            <v>480</v>
          </cell>
          <cell r="AJ10">
            <v>480</v>
          </cell>
          <cell r="AK10">
            <v>480</v>
          </cell>
          <cell r="AL10">
            <v>1920</v>
          </cell>
          <cell r="AM10">
            <v>1920</v>
          </cell>
          <cell r="AP10">
            <v>480</v>
          </cell>
          <cell r="AQ10">
            <v>480</v>
          </cell>
          <cell r="AR10">
            <v>1920</v>
          </cell>
          <cell r="AS10">
            <v>480</v>
          </cell>
          <cell r="AT10">
            <v>480</v>
          </cell>
          <cell r="AU10">
            <v>480</v>
          </cell>
          <cell r="AV10">
            <v>480</v>
          </cell>
          <cell r="AW10">
            <v>1920</v>
          </cell>
          <cell r="AY10">
            <v>480</v>
          </cell>
          <cell r="AZ10">
            <v>480</v>
          </cell>
          <cell r="BA10">
            <v>480</v>
          </cell>
          <cell r="BB10">
            <v>480</v>
          </cell>
          <cell r="BC10">
            <v>1920</v>
          </cell>
          <cell r="BE10">
            <v>480</v>
          </cell>
          <cell r="BF10">
            <v>480</v>
          </cell>
          <cell r="BG10">
            <v>480</v>
          </cell>
          <cell r="BH10">
            <v>480</v>
          </cell>
          <cell r="BI10">
            <v>1920</v>
          </cell>
          <cell r="BK10">
            <v>1920</v>
          </cell>
          <cell r="BL10">
            <v>1920</v>
          </cell>
          <cell r="BM10">
            <v>1920</v>
          </cell>
          <cell r="BN10">
            <v>1920</v>
          </cell>
        </row>
        <row r="11">
          <cell r="A11" t="str">
            <v>Total RN FTEs</v>
          </cell>
          <cell r="C11">
            <v>2117.0190781140168</v>
          </cell>
          <cell r="D11">
            <v>1974.615757465079</v>
          </cell>
          <cell r="E11">
            <v>2355.3176939916912</v>
          </cell>
          <cell r="F11">
            <v>2496.0263239360256</v>
          </cell>
          <cell r="G11">
            <v>3033.8235394323515</v>
          </cell>
          <cell r="H11">
            <v>2791.3883325677534</v>
          </cell>
          <cell r="I11">
            <v>2820.7837291419305</v>
          </cell>
          <cell r="J11">
            <v>3023.6161144963135</v>
          </cell>
          <cell r="K11">
            <v>2920.3318718044275</v>
          </cell>
          <cell r="L11">
            <v>3366.7313818591997</v>
          </cell>
          <cell r="M11">
            <v>3560.9044819359237</v>
          </cell>
          <cell r="N11">
            <v>3642.3878205128199</v>
          </cell>
          <cell r="O11">
            <v>3528.140974969634</v>
          </cell>
          <cell r="P11">
            <v>3402.2512070805856</v>
          </cell>
          <cell r="Q11">
            <v>3984.9974028292754</v>
          </cell>
          <cell r="R11">
            <v>3771.4618617734036</v>
          </cell>
          <cell r="S11">
            <v>3900.8620805945257</v>
          </cell>
          <cell r="T11">
            <v>4320.9339554319931</v>
          </cell>
          <cell r="U11">
            <v>3994.5638251572996</v>
          </cell>
          <cell r="V11">
            <v>5131.2159681864896</v>
          </cell>
          <cell r="W11">
            <v>4957.6182927179561</v>
          </cell>
          <cell r="X11">
            <v>5045.6734014644844</v>
          </cell>
          <cell r="Y11">
            <v>5073.5430960968524</v>
          </cell>
          <cell r="Z11">
            <v>5052.0126896164456</v>
          </cell>
          <cell r="AB11">
            <v>5965.2820833603673</v>
          </cell>
          <cell r="AC11">
            <v>5546.3707815185953</v>
          </cell>
          <cell r="AD11">
            <v>6299.3628450609986</v>
          </cell>
          <cell r="AE11">
            <v>7071.4690371569268</v>
          </cell>
          <cell r="AF11">
            <v>6220.6211867742222</v>
          </cell>
          <cell r="AH11">
            <v>7083.3992251337768</v>
          </cell>
          <cell r="AI11">
            <v>7176.78754638192</v>
          </cell>
          <cell r="AJ11">
            <v>7262.8652872929215</v>
          </cell>
          <cell r="AK11">
            <v>28921.0781613894</v>
          </cell>
          <cell r="AL11">
            <v>0</v>
          </cell>
          <cell r="AM11">
            <v>4951.8599788066558</v>
          </cell>
          <cell r="AP11">
            <v>6203.0923989782295</v>
          </cell>
          <cell r="AQ11">
            <v>6976.9633709930749</v>
          </cell>
          <cell r="AR11">
            <v>6126.8094364441804</v>
          </cell>
          <cell r="AS11">
            <v>6979.3447231724713</v>
          </cell>
          <cell r="AT11">
            <v>6688.3360552985669</v>
          </cell>
          <cell r="AU11">
            <v>6868.1999256738318</v>
          </cell>
          <cell r="AV11">
            <v>6968.163066280109</v>
          </cell>
          <cell r="AW11">
            <v>6876.0109426062445</v>
          </cell>
          <cell r="AY11">
            <v>7827.9318263511714</v>
          </cell>
          <cell r="AZ11">
            <v>7558.2565439557329</v>
          </cell>
          <cell r="BA11">
            <v>7448.16351402498</v>
          </cell>
          <cell r="BB11">
            <v>7718.4486305467672</v>
          </cell>
          <cell r="BC11">
            <v>7638.2001287196636</v>
          </cell>
          <cell r="BE11">
            <v>8307.6343165412945</v>
          </cell>
          <cell r="BF11">
            <v>8286.2785749675331</v>
          </cell>
          <cell r="BG11">
            <v>8259.4476202993719</v>
          </cell>
          <cell r="BH11">
            <v>8179.186738305315</v>
          </cell>
          <cell r="BI11">
            <v>8258.1368125283789</v>
          </cell>
          <cell r="BK11">
            <v>8667.7474457934368</v>
          </cell>
          <cell r="BL11">
            <v>8868.1864667330592</v>
          </cell>
          <cell r="BM11">
            <v>9233.1775854319603</v>
          </cell>
          <cell r="BN11">
            <v>9551.5157039964142</v>
          </cell>
        </row>
        <row r="12">
          <cell r="A12" t="str">
            <v>Annual Salary and Benefits Per RN</v>
          </cell>
          <cell r="C12">
            <v>34349.361027999999</v>
          </cell>
          <cell r="D12">
            <v>35411.712399999997</v>
          </cell>
          <cell r="E12">
            <v>36506.92</v>
          </cell>
          <cell r="F12">
            <v>37636</v>
          </cell>
          <cell r="G12">
            <v>9700</v>
          </cell>
          <cell r="H12">
            <v>9700</v>
          </cell>
          <cell r="I12">
            <v>9700</v>
          </cell>
          <cell r="J12">
            <v>9700</v>
          </cell>
          <cell r="K12">
            <v>38800</v>
          </cell>
          <cell r="L12">
            <v>10000</v>
          </cell>
          <cell r="M12">
            <v>10000</v>
          </cell>
          <cell r="N12">
            <v>10000</v>
          </cell>
          <cell r="O12">
            <v>10000</v>
          </cell>
          <cell r="P12">
            <v>40000</v>
          </cell>
          <cell r="Q12">
            <v>12554.1</v>
          </cell>
          <cell r="R12">
            <v>12554.1</v>
          </cell>
          <cell r="S12">
            <v>12554.1</v>
          </cell>
          <cell r="T12">
            <v>12554.1</v>
          </cell>
          <cell r="U12">
            <v>50216.4</v>
          </cell>
          <cell r="V12">
            <v>12700</v>
          </cell>
          <cell r="W12">
            <v>12900</v>
          </cell>
          <cell r="X12">
            <v>13100</v>
          </cell>
          <cell r="Y12">
            <v>13300</v>
          </cell>
          <cell r="Z12">
            <v>52000</v>
          </cell>
          <cell r="AB12">
            <v>13208</v>
          </cell>
          <cell r="AC12">
            <v>13416</v>
          </cell>
          <cell r="AD12">
            <v>13624</v>
          </cell>
          <cell r="AE12">
            <v>13832</v>
          </cell>
          <cell r="AF12">
            <v>54080</v>
          </cell>
          <cell r="AH12">
            <v>12930.723</v>
          </cell>
          <cell r="AI12">
            <v>12930.723</v>
          </cell>
          <cell r="AJ12">
            <v>12930.723</v>
          </cell>
          <cell r="AK12">
            <v>12930.723</v>
          </cell>
          <cell r="AL12">
            <v>51722.892</v>
          </cell>
          <cell r="AM12">
            <v>52000</v>
          </cell>
          <cell r="AP12">
            <v>14168.960000000001</v>
          </cell>
          <cell r="AQ12">
            <v>14385.28</v>
          </cell>
          <cell r="AR12">
            <v>54080</v>
          </cell>
          <cell r="AS12">
            <v>13604.24</v>
          </cell>
          <cell r="AT12">
            <v>13818.48</v>
          </cell>
          <cell r="AU12">
            <v>14032.720000000001</v>
          </cell>
          <cell r="AV12">
            <v>14246.960000000001</v>
          </cell>
          <cell r="AW12">
            <v>55702.400000000001</v>
          </cell>
          <cell r="AY12">
            <v>14012.367200000001</v>
          </cell>
          <cell r="AZ12">
            <v>14233.0344</v>
          </cell>
          <cell r="BA12">
            <v>14453.701600000002</v>
          </cell>
          <cell r="BB12">
            <v>14674.368800000002</v>
          </cell>
          <cell r="BC12">
            <v>57373.472000000002</v>
          </cell>
          <cell r="BE12">
            <v>14432.738216000002</v>
          </cell>
          <cell r="BF12">
            <v>14660.025432</v>
          </cell>
          <cell r="BG12">
            <v>14887.312648000003</v>
          </cell>
          <cell r="BH12">
            <v>15114.599864000002</v>
          </cell>
          <cell r="BI12">
            <v>59094.676160000003</v>
          </cell>
          <cell r="BK12">
            <v>60867.516444800007</v>
          </cell>
          <cell r="BL12">
            <v>62693.541938144008</v>
          </cell>
          <cell r="BM12">
            <v>64574.348196288331</v>
          </cell>
          <cell r="BN12">
            <v>66511.578642176988</v>
          </cell>
        </row>
        <row r="13">
          <cell r="A13" t="str">
            <v>Total Nursing Salary and Benefits</v>
          </cell>
          <cell r="C13">
            <v>72.718252617302085</v>
          </cell>
          <cell r="D13">
            <v>69.924525303861529</v>
          </cell>
          <cell r="E13">
            <v>85.985394629139137</v>
          </cell>
          <cell r="F13">
            <v>93.940446727656266</v>
          </cell>
          <cell r="G13">
            <v>29.428088332493807</v>
          </cell>
          <cell r="H13">
            <v>27.076466825907207</v>
          </cell>
          <cell r="I13">
            <v>27.361602172676726</v>
          </cell>
          <cell r="J13">
            <v>29.329076310614241</v>
          </cell>
          <cell r="K13">
            <v>113.30887662601179</v>
          </cell>
          <cell r="L13">
            <v>33.667313818592</v>
          </cell>
          <cell r="M13">
            <v>35.609044819359234</v>
          </cell>
          <cell r="N13">
            <v>36.423878205128197</v>
          </cell>
          <cell r="O13">
            <v>35.281409749696344</v>
          </cell>
          <cell r="P13">
            <v>136.09004828322341</v>
          </cell>
          <cell r="Q13">
            <v>50.028055894859008</v>
          </cell>
          <cell r="R13">
            <v>47.34730935888949</v>
          </cell>
          <cell r="S13">
            <v>48.971812645991733</v>
          </cell>
          <cell r="T13">
            <v>54.245436969888786</v>
          </cell>
          <cell r="U13">
            <v>200.59261486962902</v>
          </cell>
          <cell r="V13">
            <v>65.166442795968422</v>
          </cell>
          <cell r="W13">
            <v>63.953275976061633</v>
          </cell>
          <cell r="X13">
            <v>66.09832155918474</v>
          </cell>
          <cell r="Y13">
            <v>67.47812317808814</v>
          </cell>
          <cell r="Z13">
            <v>262.70465986005519</v>
          </cell>
          <cell r="AB13">
            <v>78.789445757023742</v>
          </cell>
          <cell r="AC13">
            <v>74.410110404853484</v>
          </cell>
          <cell r="AD13">
            <v>85.822519401111052</v>
          </cell>
          <cell r="AE13">
            <v>97.812559721954614</v>
          </cell>
          <cell r="AF13">
            <v>336.4111937807499</v>
          </cell>
          <cell r="AH13">
            <v>91.593473278619499</v>
          </cell>
          <cell r="AI13">
            <v>92.801051792114251</v>
          </cell>
          <cell r="AJ13">
            <v>93.914099216300187</v>
          </cell>
          <cell r="AK13">
            <v>373.97045056627559</v>
          </cell>
          <cell r="AL13">
            <v>0</v>
          </cell>
          <cell r="AM13">
            <v>257.4967188979461</v>
          </cell>
          <cell r="AP13">
            <v>87.891368077426577</v>
          </cell>
          <cell r="AQ13">
            <v>100.36557164147926</v>
          </cell>
          <cell r="AR13">
            <v>331.33785432290125</v>
          </cell>
          <cell r="AS13">
            <v>94.948680656771856</v>
          </cell>
          <cell r="AT13">
            <v>92.42263801342213</v>
          </cell>
          <cell r="AU13">
            <v>96.379526461001689</v>
          </cell>
          <cell r="AV13">
            <v>99.275140478770069</v>
          </cell>
          <cell r="AW13">
            <v>383.01031192943009</v>
          </cell>
          <cell r="AY13">
            <v>109.68785516739926</v>
          </cell>
          <cell r="AZ13">
            <v>107.57692539414707</v>
          </cell>
          <cell r="BA13">
            <v>107.6535328997245</v>
          </cell>
          <cell r="BB13">
            <v>113.26336176849823</v>
          </cell>
          <cell r="BC13">
            <v>438.23006121549406</v>
          </cell>
          <cell r="BE13">
            <v>119.90191128489859</v>
          </cell>
          <cell r="BF13">
            <v>121.47705464566076</v>
          </cell>
          <cell r="BG13">
            <v>122.96097902317636</v>
          </cell>
          <cell r="BH13">
            <v>123.62513476242013</v>
          </cell>
          <cell r="BI13">
            <v>488.01192062133919</v>
          </cell>
          <cell r="BK13">
            <v>527.58426019620526</v>
          </cell>
          <cell r="BL13">
            <v>555.97802016741014</v>
          </cell>
          <cell r="BM13">
            <v>596.22642435984812</v>
          </cell>
          <cell r="BN13">
            <v>635.28638789834599</v>
          </cell>
        </row>
        <row r="14">
          <cell r="A14" t="str">
            <v>% of Salary and Benefits</v>
          </cell>
          <cell r="C14">
            <v>0.33441367034859548</v>
          </cell>
          <cell r="D14">
            <v>0.28716437496452374</v>
          </cell>
          <cell r="E14">
            <v>0.28970820292836635</v>
          </cell>
          <cell r="F14">
            <v>0.2861734662578177</v>
          </cell>
          <cell r="G14">
            <v>0.28994904459863441</v>
          </cell>
          <cell r="H14">
            <v>0.26354100919698276</v>
          </cell>
          <cell r="I14">
            <v>0.26065122956805231</v>
          </cell>
          <cell r="J14">
            <v>0.2663591858271584</v>
          </cell>
          <cell r="K14">
            <v>0.27022053950684871</v>
          </cell>
          <cell r="L14">
            <v>0.27961259576762149</v>
          </cell>
          <cell r="M14">
            <v>0.28759879513273218</v>
          </cell>
          <cell r="N14">
            <v>0.27504042259839612</v>
          </cell>
          <cell r="O14">
            <v>0.2506868014530183</v>
          </cell>
          <cell r="P14">
            <v>0.26303083210259032</v>
          </cell>
          <cell r="Q14">
            <v>0.32541959420075589</v>
          </cell>
          <cell r="R14">
            <v>0.30341697923631655</v>
          </cell>
          <cell r="S14">
            <v>0.29985190206950607</v>
          </cell>
          <cell r="T14">
            <v>0.28114164495892024</v>
          </cell>
          <cell r="U14">
            <v>0.30116840658575511</v>
          </cell>
          <cell r="V14">
            <v>0.30007939988197135</v>
          </cell>
          <cell r="W14">
            <v>0.2985471417784078</v>
          </cell>
          <cell r="X14">
            <v>0.29846753376103358</v>
          </cell>
          <cell r="Y14">
            <v>0.28849626833331116</v>
          </cell>
          <cell r="Z14">
            <v>0.29626095295777</v>
          </cell>
          <cell r="AB14">
            <v>0.29314603365314745</v>
          </cell>
          <cell r="AC14">
            <v>0.28259829934203601</v>
          </cell>
          <cell r="AD14">
            <v>0.29765586207760281</v>
          </cell>
          <cell r="AE14">
            <v>0.30735952903343317</v>
          </cell>
          <cell r="AF14">
            <v>0.29544948612535804</v>
          </cell>
          <cell r="AH14">
            <v>0.27975758706737414</v>
          </cell>
          <cell r="AI14">
            <v>0.27420075461117194</v>
          </cell>
          <cell r="AJ14">
            <v>0.26994179220275705</v>
          </cell>
          <cell r="AK14">
            <v>0.28003181724778525</v>
          </cell>
          <cell r="AL14">
            <v>0</v>
          </cell>
          <cell r="AM14">
            <v>0.29595691145539799</v>
          </cell>
          <cell r="AP14">
            <v>0.30941019033738032</v>
          </cell>
          <cell r="AQ14">
            <v>0.31967324697967359</v>
          </cell>
          <cell r="AR14">
            <v>0.29540217922070272</v>
          </cell>
          <cell r="AS14">
            <v>0.30445247703916051</v>
          </cell>
          <cell r="AT14">
            <v>0.2990423863607371</v>
          </cell>
          <cell r="AU14">
            <v>0.29706150683171373</v>
          </cell>
          <cell r="AV14">
            <v>0.29744112749958074</v>
          </cell>
          <cell r="AW14">
            <v>0.2994289207163508</v>
          </cell>
          <cell r="AY14">
            <v>0.30491463159454169</v>
          </cell>
          <cell r="AZ14">
            <v>0.29465299740657158</v>
          </cell>
          <cell r="BA14">
            <v>0.28948382116785881</v>
          </cell>
          <cell r="BB14">
            <v>0.29101882282576957</v>
          </cell>
          <cell r="BC14">
            <v>0.29492428611985416</v>
          </cell>
          <cell r="BE14">
            <v>0.29681041885718318</v>
          </cell>
          <cell r="BF14">
            <v>0.29134891160186011</v>
          </cell>
          <cell r="BG14">
            <v>0.27713591162620477</v>
          </cell>
          <cell r="BH14">
            <v>0.27633338579214095</v>
          </cell>
          <cell r="BI14">
            <v>0.28505760238499717</v>
          </cell>
          <cell r="BK14">
            <v>0.27973782451212781</v>
          </cell>
          <cell r="BL14">
            <v>0.2716759758067831</v>
          </cell>
          <cell r="BM14">
            <v>0.27057132935298506</v>
          </cell>
          <cell r="BN14">
            <v>0.26944040600818603</v>
          </cell>
        </row>
        <row r="16">
          <cell r="A16" t="str">
            <v>Total LPN HPPD</v>
          </cell>
          <cell r="C16">
            <v>1.2</v>
          </cell>
          <cell r="D16">
            <v>1.2</v>
          </cell>
          <cell r="E16">
            <v>1.2</v>
          </cell>
          <cell r="F16">
            <v>1.2</v>
          </cell>
          <cell r="G16">
            <v>1.2</v>
          </cell>
          <cell r="H16">
            <v>1.2</v>
          </cell>
          <cell r="I16">
            <v>1.2</v>
          </cell>
          <cell r="J16">
            <v>1.2</v>
          </cell>
          <cell r="K16">
            <v>1.2</v>
          </cell>
          <cell r="L16">
            <v>1.2</v>
          </cell>
          <cell r="M16">
            <v>1.2</v>
          </cell>
          <cell r="N16">
            <v>1.2</v>
          </cell>
          <cell r="O16">
            <v>1.2</v>
          </cell>
          <cell r="P16">
            <v>1.2</v>
          </cell>
          <cell r="Q16">
            <v>1.2</v>
          </cell>
          <cell r="R16">
            <v>1.2</v>
          </cell>
          <cell r="S16">
            <v>1.2</v>
          </cell>
          <cell r="T16">
            <v>1.2</v>
          </cell>
          <cell r="U16">
            <v>1.2</v>
          </cell>
          <cell r="V16">
            <v>1.2</v>
          </cell>
          <cell r="W16">
            <v>1.2</v>
          </cell>
          <cell r="X16">
            <v>1.2</v>
          </cell>
          <cell r="Y16">
            <v>1.2</v>
          </cell>
          <cell r="Z16">
            <v>1.2</v>
          </cell>
          <cell r="AB16">
            <v>1.2</v>
          </cell>
          <cell r="AC16">
            <v>1.2</v>
          </cell>
          <cell r="AD16">
            <v>1.2</v>
          </cell>
          <cell r="AE16">
            <v>1.2</v>
          </cell>
          <cell r="AF16">
            <v>1.2</v>
          </cell>
          <cell r="AH16">
            <v>1.2</v>
          </cell>
          <cell r="AI16">
            <v>1.2</v>
          </cell>
          <cell r="AJ16">
            <v>1.2</v>
          </cell>
          <cell r="AK16">
            <v>1.2</v>
          </cell>
          <cell r="AL16">
            <v>1.2</v>
          </cell>
          <cell r="AM16">
            <v>1.2</v>
          </cell>
          <cell r="AP16">
            <v>1.2</v>
          </cell>
          <cell r="AQ16">
            <v>1.2</v>
          </cell>
          <cell r="AR16">
            <v>1.2</v>
          </cell>
          <cell r="AS16">
            <v>1.2</v>
          </cell>
          <cell r="AT16">
            <v>1.2</v>
          </cell>
          <cell r="AU16">
            <v>1.2</v>
          </cell>
          <cell r="AV16">
            <v>1.2</v>
          </cell>
          <cell r="AW16">
            <v>1.2</v>
          </cell>
          <cell r="AY16">
            <v>1.2</v>
          </cell>
          <cell r="AZ16">
            <v>1.2</v>
          </cell>
          <cell r="BA16">
            <v>1.2</v>
          </cell>
          <cell r="BB16">
            <v>1.2</v>
          </cell>
          <cell r="BC16">
            <v>1.2</v>
          </cell>
          <cell r="BE16">
            <v>1.2</v>
          </cell>
          <cell r="BF16">
            <v>1.2</v>
          </cell>
          <cell r="BG16">
            <v>1.2</v>
          </cell>
          <cell r="BH16">
            <v>1.2</v>
          </cell>
          <cell r="BI16">
            <v>1.2</v>
          </cell>
          <cell r="BK16">
            <v>1.2</v>
          </cell>
          <cell r="BL16">
            <v>1.2</v>
          </cell>
          <cell r="BM16">
            <v>1.2</v>
          </cell>
          <cell r="BN16">
            <v>1.2</v>
          </cell>
        </row>
        <row r="17">
          <cell r="A17" t="str">
            <v xml:space="preserve">Total LPN Hours </v>
          </cell>
          <cell r="C17">
            <v>750401.83938072226</v>
          </cell>
          <cell r="D17">
            <v>699925.33926146803</v>
          </cell>
          <cell r="E17">
            <v>834869.53337797802</v>
          </cell>
          <cell r="F17">
            <v>884745.33082286187</v>
          </cell>
          <cell r="G17">
            <v>268843.4398020053</v>
          </cell>
          <cell r="H17">
            <v>247359.95070138862</v>
          </cell>
          <cell r="I17">
            <v>249964.83507473109</v>
          </cell>
          <cell r="J17">
            <v>267938.90491536562</v>
          </cell>
          <cell r="K17">
            <v>1035145.3280980617</v>
          </cell>
          <cell r="L17">
            <v>298344.19630013831</v>
          </cell>
          <cell r="M17">
            <v>315550.92024539877</v>
          </cell>
          <cell r="N17">
            <v>322771.59763313603</v>
          </cell>
          <cell r="O17">
            <v>312647.56947423221</v>
          </cell>
          <cell r="P17">
            <v>1205967.1970944107</v>
          </cell>
          <cell r="Q17">
            <v>353132.07754302502</v>
          </cell>
          <cell r="R17">
            <v>334209.54344330466</v>
          </cell>
          <cell r="S17">
            <v>345676.39360345335</v>
          </cell>
          <cell r="T17">
            <v>382901.22435828124</v>
          </cell>
          <cell r="U17">
            <v>1415919.2389480644</v>
          </cell>
          <cell r="V17">
            <v>454704.67656544893</v>
          </cell>
          <cell r="W17">
            <v>439321.25178546814</v>
          </cell>
          <cell r="X17">
            <v>447124.28911439114</v>
          </cell>
          <cell r="Y17">
            <v>449593.9728233518</v>
          </cell>
          <cell r="Z17">
            <v>1790744.1902886601</v>
          </cell>
          <cell r="AA17">
            <v>0</v>
          </cell>
          <cell r="AB17">
            <v>528615.76615624188</v>
          </cell>
          <cell r="AC17">
            <v>491493.78002380166</v>
          </cell>
          <cell r="AD17">
            <v>558220.46134694386</v>
          </cell>
          <cell r="AE17">
            <v>626640.94852344459</v>
          </cell>
          <cell r="AF17">
            <v>2204970.9560504318</v>
          </cell>
          <cell r="AH17">
            <v>622906.55781329086</v>
          </cell>
          <cell r="AI17">
            <v>631119.02697953989</v>
          </cell>
          <cell r="AJ17">
            <v>638688.61152377445</v>
          </cell>
          <cell r="AK17">
            <v>2543288.7054901212</v>
          </cell>
          <cell r="AL17">
            <v>0</v>
          </cell>
          <cell r="AM17">
            <v>1755243.9063339285</v>
          </cell>
          <cell r="AP17">
            <v>549689.41874022456</v>
          </cell>
          <cell r="AQ17">
            <v>618266.29256800166</v>
          </cell>
          <cell r="AR17">
            <v>2171718.2987026754</v>
          </cell>
          <cell r="AS17">
            <v>613756.11611409823</v>
          </cell>
          <cell r="AT17">
            <v>588165.12486289686</v>
          </cell>
          <cell r="AU17">
            <v>603982.16140276752</v>
          </cell>
          <cell r="AV17">
            <v>612772.81315684621</v>
          </cell>
          <cell r="AW17">
            <v>2418676.2155366088</v>
          </cell>
          <cell r="AY17">
            <v>683164.95939064771</v>
          </cell>
          <cell r="AZ17">
            <v>659629.66201795486</v>
          </cell>
          <cell r="BA17">
            <v>650021.54304218001</v>
          </cell>
          <cell r="BB17">
            <v>673610.06230226334</v>
          </cell>
          <cell r="BC17">
            <v>2666426.2267530463</v>
          </cell>
          <cell r="BE17">
            <v>725029.90398905857</v>
          </cell>
          <cell r="BF17">
            <v>723166.13017898472</v>
          </cell>
          <cell r="BG17">
            <v>720824.51958976337</v>
          </cell>
          <cell r="BH17">
            <v>713819.93352482747</v>
          </cell>
          <cell r="BI17">
            <v>2882840.4872826342</v>
          </cell>
          <cell r="BK17">
            <v>3025831.8356224364</v>
          </cell>
          <cell r="BL17">
            <v>3095803.2756595411</v>
          </cell>
          <cell r="BM17">
            <v>3223218.3570962478</v>
          </cell>
          <cell r="BN17">
            <v>3334347.3003042033</v>
          </cell>
        </row>
        <row r="18">
          <cell r="A18" t="str">
            <v>Average Annual Hours Per LPN</v>
          </cell>
          <cell r="C18">
            <v>1920</v>
          </cell>
          <cell r="D18">
            <v>1920</v>
          </cell>
          <cell r="E18">
            <v>1920</v>
          </cell>
          <cell r="F18">
            <v>1920</v>
          </cell>
          <cell r="G18">
            <v>480</v>
          </cell>
          <cell r="H18">
            <v>480</v>
          </cell>
          <cell r="I18">
            <v>480</v>
          </cell>
          <cell r="J18">
            <v>480</v>
          </cell>
          <cell r="K18">
            <v>1920</v>
          </cell>
          <cell r="L18">
            <v>480</v>
          </cell>
          <cell r="M18">
            <v>480</v>
          </cell>
          <cell r="N18">
            <v>480</v>
          </cell>
          <cell r="O18">
            <v>480</v>
          </cell>
          <cell r="P18">
            <v>1920</v>
          </cell>
          <cell r="Q18">
            <v>480</v>
          </cell>
          <cell r="R18">
            <v>480</v>
          </cell>
          <cell r="S18">
            <v>480</v>
          </cell>
          <cell r="T18">
            <v>480</v>
          </cell>
          <cell r="U18">
            <v>1920</v>
          </cell>
          <cell r="V18">
            <v>480</v>
          </cell>
          <cell r="W18">
            <v>480</v>
          </cell>
          <cell r="X18">
            <v>480</v>
          </cell>
          <cell r="Y18">
            <v>480</v>
          </cell>
          <cell r="Z18">
            <v>1920</v>
          </cell>
          <cell r="AB18">
            <v>480</v>
          </cell>
          <cell r="AC18">
            <v>480</v>
          </cell>
          <cell r="AD18">
            <v>480</v>
          </cell>
          <cell r="AE18">
            <v>480</v>
          </cell>
          <cell r="AF18">
            <v>1920</v>
          </cell>
          <cell r="AH18">
            <v>480</v>
          </cell>
          <cell r="AI18">
            <v>480</v>
          </cell>
          <cell r="AJ18">
            <v>480</v>
          </cell>
          <cell r="AK18">
            <v>480</v>
          </cell>
          <cell r="AL18">
            <v>1920</v>
          </cell>
          <cell r="AM18">
            <v>1920</v>
          </cell>
          <cell r="AP18">
            <v>480</v>
          </cell>
          <cell r="AQ18">
            <v>480</v>
          </cell>
          <cell r="AR18">
            <v>1920</v>
          </cell>
          <cell r="AS18">
            <v>480</v>
          </cell>
          <cell r="AT18">
            <v>480</v>
          </cell>
          <cell r="AU18">
            <v>480</v>
          </cell>
          <cell r="AV18">
            <v>480</v>
          </cell>
          <cell r="AW18">
            <v>1920</v>
          </cell>
          <cell r="AY18">
            <v>480</v>
          </cell>
          <cell r="AZ18">
            <v>480</v>
          </cell>
          <cell r="BA18">
            <v>480</v>
          </cell>
          <cell r="BB18">
            <v>480</v>
          </cell>
          <cell r="BC18">
            <v>1920</v>
          </cell>
          <cell r="BE18">
            <v>480</v>
          </cell>
          <cell r="BF18">
            <v>480</v>
          </cell>
          <cell r="BG18">
            <v>480</v>
          </cell>
          <cell r="BH18">
            <v>480</v>
          </cell>
          <cell r="BI18">
            <v>1920</v>
          </cell>
          <cell r="BK18">
            <v>1920</v>
          </cell>
          <cell r="BL18">
            <v>1920</v>
          </cell>
          <cell r="BM18">
            <v>1920</v>
          </cell>
          <cell r="BN18">
            <v>1920</v>
          </cell>
        </row>
        <row r="19">
          <cell r="A19" t="str">
            <v>Total LPN FTEs</v>
          </cell>
          <cell r="C19">
            <v>390.8342913441262</v>
          </cell>
          <cell r="D19">
            <v>364.5444475320146</v>
          </cell>
          <cell r="E19">
            <v>434.8278819676969</v>
          </cell>
          <cell r="F19">
            <v>460.80485980357389</v>
          </cell>
          <cell r="G19">
            <v>560.09049958751109</v>
          </cell>
          <cell r="H19">
            <v>515.33323062789293</v>
          </cell>
          <cell r="I19">
            <v>520.76007307235648</v>
          </cell>
          <cell r="J19">
            <v>558.20605190701167</v>
          </cell>
          <cell r="K19">
            <v>539.13819171774048</v>
          </cell>
          <cell r="L19">
            <v>621.55040895862146</v>
          </cell>
          <cell r="M19">
            <v>657.39775051124741</v>
          </cell>
          <cell r="N19">
            <v>672.44082840236672</v>
          </cell>
          <cell r="O19">
            <v>651.34910307131713</v>
          </cell>
          <cell r="P19">
            <v>628.10791515333892</v>
          </cell>
          <cell r="Q19">
            <v>735.69182821463551</v>
          </cell>
          <cell r="R19">
            <v>696.26988217355142</v>
          </cell>
          <cell r="S19">
            <v>720.15915334052784</v>
          </cell>
          <cell r="T19">
            <v>797.71088407975253</v>
          </cell>
          <cell r="U19">
            <v>737.45793695211682</v>
          </cell>
          <cell r="V19">
            <v>947.30140951135195</v>
          </cell>
          <cell r="W19">
            <v>915.25260788639196</v>
          </cell>
          <cell r="X19">
            <v>931.50893565498154</v>
          </cell>
          <cell r="Y19">
            <v>936.65411004864961</v>
          </cell>
          <cell r="Z19">
            <v>932.67926577534377</v>
          </cell>
          <cell r="AB19">
            <v>1101.2828461588372</v>
          </cell>
          <cell r="AC19">
            <v>1023.9453750495868</v>
          </cell>
          <cell r="AD19">
            <v>1162.9592944727997</v>
          </cell>
          <cell r="AE19">
            <v>1305.5019760905095</v>
          </cell>
          <cell r="AF19">
            <v>1148.4223729429332</v>
          </cell>
          <cell r="AH19">
            <v>1297.721995444356</v>
          </cell>
          <cell r="AI19">
            <v>1314.8313062073748</v>
          </cell>
          <cell r="AJ19">
            <v>1330.6012740078634</v>
          </cell>
          <cell r="AK19">
            <v>5298.5181364377522</v>
          </cell>
          <cell r="AL19">
            <v>0</v>
          </cell>
          <cell r="AM19">
            <v>914.18953454892107</v>
          </cell>
          <cell r="AP19">
            <v>1145.1862890421346</v>
          </cell>
          <cell r="AQ19">
            <v>1288.0547761833368</v>
          </cell>
          <cell r="AR19">
            <v>1131.10328057431</v>
          </cell>
          <cell r="AS19">
            <v>1278.6585752377046</v>
          </cell>
          <cell r="AT19">
            <v>1225.344010131035</v>
          </cell>
          <cell r="AU19">
            <v>1258.296169589099</v>
          </cell>
          <cell r="AV19">
            <v>1276.6100274100963</v>
          </cell>
          <cell r="AW19">
            <v>1259.7271955919837</v>
          </cell>
          <cell r="AY19">
            <v>1423.2603320638493</v>
          </cell>
          <cell r="AZ19">
            <v>1374.2284625374059</v>
          </cell>
          <cell r="BA19">
            <v>1354.2115480045418</v>
          </cell>
          <cell r="BB19">
            <v>1403.3542964630485</v>
          </cell>
          <cell r="BC19">
            <v>1388.7636597672115</v>
          </cell>
          <cell r="BE19">
            <v>1510.4789666438721</v>
          </cell>
          <cell r="BF19">
            <v>1506.5961045395516</v>
          </cell>
          <cell r="BG19">
            <v>1501.7177491453403</v>
          </cell>
          <cell r="BH19">
            <v>1487.1248615100571</v>
          </cell>
          <cell r="BI19">
            <v>1501.4794204597054</v>
          </cell>
          <cell r="BK19">
            <v>1575.9540810533522</v>
          </cell>
          <cell r="BL19">
            <v>1612.397539406011</v>
          </cell>
          <cell r="BM19">
            <v>1678.7595609876291</v>
          </cell>
          <cell r="BN19">
            <v>1736.6392189084393</v>
          </cell>
        </row>
        <row r="20">
          <cell r="A20" t="str">
            <v>Annual Salary and Benefits Per LPN</v>
          </cell>
          <cell r="C20">
            <v>29196.956873799998</v>
          </cell>
          <cell r="D20">
            <v>30099.955539999995</v>
          </cell>
          <cell r="E20">
            <v>31030.881999999998</v>
          </cell>
          <cell r="F20">
            <v>31990.6</v>
          </cell>
          <cell r="G20">
            <v>8245</v>
          </cell>
          <cell r="H20">
            <v>8245</v>
          </cell>
          <cell r="I20">
            <v>8245</v>
          </cell>
          <cell r="J20">
            <v>8245</v>
          </cell>
          <cell r="K20">
            <v>32980</v>
          </cell>
          <cell r="L20">
            <v>8500</v>
          </cell>
          <cell r="M20">
            <v>8500</v>
          </cell>
          <cell r="N20">
            <v>8500</v>
          </cell>
          <cell r="O20">
            <v>8500</v>
          </cell>
          <cell r="P20">
            <v>34000</v>
          </cell>
          <cell r="Q20">
            <v>10670.985000000001</v>
          </cell>
          <cell r="R20">
            <v>10670.985000000001</v>
          </cell>
          <cell r="S20">
            <v>10670.985000000001</v>
          </cell>
          <cell r="T20">
            <v>10670.985000000001</v>
          </cell>
          <cell r="U20">
            <v>42683.94</v>
          </cell>
          <cell r="V20">
            <v>10795</v>
          </cell>
          <cell r="W20">
            <v>10965</v>
          </cell>
          <cell r="X20">
            <v>11135</v>
          </cell>
          <cell r="Y20">
            <v>11305</v>
          </cell>
          <cell r="Z20">
            <v>44200</v>
          </cell>
          <cell r="AB20">
            <v>11226.8</v>
          </cell>
          <cell r="AC20">
            <v>11403.6</v>
          </cell>
          <cell r="AD20">
            <v>11580.4</v>
          </cell>
          <cell r="AE20">
            <v>11757.199999999999</v>
          </cell>
          <cell r="AF20">
            <v>45968</v>
          </cell>
          <cell r="AH20">
            <v>10991.11455</v>
          </cell>
          <cell r="AI20">
            <v>10991.11455</v>
          </cell>
          <cell r="AJ20">
            <v>10991.11455</v>
          </cell>
          <cell r="AK20">
            <v>10991.11455</v>
          </cell>
          <cell r="AL20">
            <v>43964.458200000001</v>
          </cell>
          <cell r="AM20">
            <v>44200</v>
          </cell>
          <cell r="AP20">
            <v>12043.616</v>
          </cell>
          <cell r="AQ20">
            <v>12227.487999999999</v>
          </cell>
          <cell r="AR20">
            <v>45968</v>
          </cell>
          <cell r="AS20">
            <v>11563.603999999999</v>
          </cell>
          <cell r="AT20">
            <v>11745.707999999999</v>
          </cell>
          <cell r="AU20">
            <v>11927.812</v>
          </cell>
          <cell r="AV20">
            <v>12109.916000000001</v>
          </cell>
          <cell r="AW20">
            <v>47347.040000000001</v>
          </cell>
          <cell r="AY20">
            <v>11910.512119999999</v>
          </cell>
          <cell r="AZ20">
            <v>12098.079240000001</v>
          </cell>
          <cell r="BA20">
            <v>12285.646360000001</v>
          </cell>
          <cell r="BB20">
            <v>12473.213480000002</v>
          </cell>
          <cell r="BC20">
            <v>48767.451200000003</v>
          </cell>
          <cell r="BE20">
            <v>12267.827483600002</v>
          </cell>
          <cell r="BF20">
            <v>12461.0216172</v>
          </cell>
          <cell r="BG20">
            <v>12654.215750800002</v>
          </cell>
          <cell r="BH20">
            <v>12847.409884400002</v>
          </cell>
          <cell r="BI20">
            <v>50230.474736000004</v>
          </cell>
          <cell r="BK20">
            <v>51737.388978080002</v>
          </cell>
          <cell r="BL20">
            <v>53289.510647422409</v>
          </cell>
          <cell r="BM20">
            <v>54888.19596684508</v>
          </cell>
          <cell r="BN20">
            <v>56534.841845850438</v>
          </cell>
        </row>
        <row r="21">
          <cell r="A21" t="str">
            <v>Total LPN Salary and Benefits</v>
          </cell>
          <cell r="C21">
            <v>11.411171949176635</v>
          </cell>
          <cell r="D21">
            <v>10.972771663067501</v>
          </cell>
          <cell r="E21">
            <v>13.493092695649528</v>
          </cell>
          <cell r="F21">
            <v>14.74142394803221</v>
          </cell>
          <cell r="G21">
            <v>4.6179461690990289</v>
          </cell>
          <cell r="H21">
            <v>4.2489224865269772</v>
          </cell>
          <cell r="I21">
            <v>4.2936668024815798</v>
          </cell>
          <cell r="J21">
            <v>4.6024088979733113</v>
          </cell>
          <cell r="K21">
            <v>17.780777562851082</v>
          </cell>
          <cell r="L21">
            <v>5.2831784761482821</v>
          </cell>
          <cell r="M21">
            <v>5.5878808793456036</v>
          </cell>
          <cell r="N21">
            <v>5.7157470414201166</v>
          </cell>
          <cell r="O21">
            <v>5.5364673761061951</v>
          </cell>
          <cell r="P21">
            <v>21.355669115213523</v>
          </cell>
          <cell r="Q21">
            <v>7.8505564635009524</v>
          </cell>
          <cell r="R21">
            <v>7.4298854686257352</v>
          </cell>
          <cell r="S21">
            <v>7.6848075229094723</v>
          </cell>
          <cell r="T21">
            <v>8.5123608783517781</v>
          </cell>
          <cell r="U21">
            <v>31.477610333387936</v>
          </cell>
          <cell r="V21">
            <v>10.226118715675044</v>
          </cell>
          <cell r="W21">
            <v>10.035744845474287</v>
          </cell>
          <cell r="X21">
            <v>10.372351998518219</v>
          </cell>
          <cell r="Y21">
            <v>10.588874714099985</v>
          </cell>
          <cell r="Z21">
            <v>41.224423547270192</v>
          </cell>
          <cell r="AB21">
            <v>12.363882257256034</v>
          </cell>
          <cell r="AC21">
            <v>11.676663478915469</v>
          </cell>
          <cell r="AD21">
            <v>13.467533813712809</v>
          </cell>
          <cell r="AE21">
            <v>15.349047833291337</v>
          </cell>
          <cell r="AF21">
            <v>52.790679639440754</v>
          </cell>
          <cell r="AH21">
            <v>14.263411105983495</v>
          </cell>
          <cell r="AI21">
            <v>14.451461500451384</v>
          </cell>
          <cell r="AJ21">
            <v>14.624791022996364</v>
          </cell>
          <cell r="AK21">
            <v>58.236619782839867</v>
          </cell>
          <cell r="AL21">
            <v>0</v>
          </cell>
          <cell r="AM21">
            <v>40.407177427062308</v>
          </cell>
          <cell r="AP21">
            <v>13.792183913688477</v>
          </cell>
          <cell r="AQ21">
            <v>15.749674319124436</v>
          </cell>
          <cell r="AR21">
            <v>51.994555601439885</v>
          </cell>
          <cell r="AS21">
            <v>14.78590141525302</v>
          </cell>
          <cell r="AT21">
            <v>14.392532942548177</v>
          </cell>
          <cell r="AU21">
            <v>15.00872015117889</v>
          </cell>
          <cell r="AV21">
            <v>15.459640196693966</v>
          </cell>
          <cell r="AW21">
            <v>59.644353918781476</v>
          </cell>
          <cell r="AY21">
            <v>16.951759434961701</v>
          </cell>
          <cell r="AZ21">
            <v>16.62552483364091</v>
          </cell>
          <cell r="BA21">
            <v>16.637364175411967</v>
          </cell>
          <cell r="BB21">
            <v>17.504337727858815</v>
          </cell>
          <cell r="BC21">
            <v>67.726464006030881</v>
          </cell>
          <cell r="BE21">
            <v>18.530295380393422</v>
          </cell>
          <cell r="BF21">
            <v>18.773726627056661</v>
          </cell>
          <cell r="BG21">
            <v>19.003060394490891</v>
          </cell>
          <cell r="BH21">
            <v>19.105702645101289</v>
          </cell>
          <cell r="BI21">
            <v>75.420024096025159</v>
          </cell>
          <cell r="BK21">
            <v>81.535749303049911</v>
          </cell>
          <cell r="BL21">
            <v>85.923875844054308</v>
          </cell>
          <cell r="BM21">
            <v>92.144083764703794</v>
          </cell>
          <cell r="BN21">
            <v>98.180623584289847</v>
          </cell>
        </row>
        <row r="22">
          <cell r="A22" t="str">
            <v>% of Salary and Benefits</v>
          </cell>
          <cell r="C22">
            <v>5.2477222116241139E-2</v>
          </cell>
          <cell r="D22">
            <v>4.5062717302125264E-2</v>
          </cell>
          <cell r="E22">
            <v>4.5461902613374419E-2</v>
          </cell>
          <cell r="F22">
            <v>4.4907220858919072E-2</v>
          </cell>
          <cell r="G22">
            <v>4.5499696229324177E-2</v>
          </cell>
          <cell r="H22">
            <v>4.1355666058603455E-2</v>
          </cell>
          <cell r="I22">
            <v>4.090219294760207E-2</v>
          </cell>
          <cell r="J22">
            <v>4.1797903006723314E-2</v>
          </cell>
          <cell r="K22">
            <v>4.2403838507228564E-2</v>
          </cell>
          <cell r="L22">
            <v>4.3877668874303673E-2</v>
          </cell>
          <cell r="M22">
            <v>4.5130887851597981E-2</v>
          </cell>
          <cell r="N22">
            <v>4.3160189392363692E-2</v>
          </cell>
          <cell r="O22">
            <v>3.9338544228012098E-2</v>
          </cell>
          <cell r="P22">
            <v>4.1275607499175714E-2</v>
          </cell>
          <cell r="Q22">
            <v>5.1065844013041692E-2</v>
          </cell>
          <cell r="R22">
            <v>4.761312597246814E-2</v>
          </cell>
          <cell r="S22">
            <v>4.7053683093984035E-2</v>
          </cell>
          <cell r="T22">
            <v>4.4117611978169019E-2</v>
          </cell>
          <cell r="U22">
            <v>4.7260273033456951E-2</v>
          </cell>
          <cell r="V22">
            <v>4.7089382750709348E-2</v>
          </cell>
          <cell r="W22">
            <v>4.6848936094457845E-2</v>
          </cell>
          <cell r="X22">
            <v>4.6836443759423724E-2</v>
          </cell>
          <cell r="Y22">
            <v>4.5271722107688823E-2</v>
          </cell>
          <cell r="Z22">
            <v>4.6490180310296204E-2</v>
          </cell>
          <cell r="AB22">
            <v>4.6001377588647752E-2</v>
          </cell>
          <cell r="AC22">
            <v>4.4346194665981033E-2</v>
          </cell>
          <cell r="AD22">
            <v>4.6709073741408431E-2</v>
          </cell>
          <cell r="AE22">
            <v>4.8231803017554122E-2</v>
          </cell>
          <cell r="AF22">
            <v>4.6362842438133108E-2</v>
          </cell>
          <cell r="AH22">
            <v>4.3565303634919332E-2</v>
          </cell>
          <cell r="AI22">
            <v>4.2699964840213045E-2</v>
          </cell>
          <cell r="AJ22">
            <v>4.2036737106383538E-2</v>
          </cell>
          <cell r="AK22">
            <v>4.3608008182097861E-2</v>
          </cell>
          <cell r="AL22">
            <v>0</v>
          </cell>
          <cell r="AM22">
            <v>4.6442469182231681E-2</v>
          </cell>
          <cell r="AP22">
            <v>4.8553599099096595E-2</v>
          </cell>
          <cell r="AQ22">
            <v>5.0164109526041077E-2</v>
          </cell>
          <cell r="AR22">
            <v>4.6355418893094885E-2</v>
          </cell>
          <cell r="AS22">
            <v>4.7410920088541017E-2</v>
          </cell>
          <cell r="AT22">
            <v>4.6568432685183479E-2</v>
          </cell>
          <cell r="AU22">
            <v>4.6259959842495882E-2</v>
          </cell>
          <cell r="AV22">
            <v>4.6319076343446168E-2</v>
          </cell>
          <cell r="AW22">
            <v>4.6628625821477525E-2</v>
          </cell>
          <cell r="AY22">
            <v>4.7123170337338253E-2</v>
          </cell>
          <cell r="AZ22">
            <v>4.5537281417379248E-2</v>
          </cell>
          <cell r="BA22">
            <v>4.4738408725941814E-2</v>
          </cell>
          <cell r="BB22">
            <v>4.4975636254891656E-2</v>
          </cell>
          <cell r="BC22">
            <v>4.557920785488654E-2</v>
          </cell>
          <cell r="BE22">
            <v>4.5870701096110141E-2</v>
          </cell>
          <cell r="BF22">
            <v>4.5026649974832918E-2</v>
          </cell>
          <cell r="BG22">
            <v>4.2830095433140737E-2</v>
          </cell>
          <cell r="BH22">
            <v>4.2706068713330866E-2</v>
          </cell>
          <cell r="BI22">
            <v>4.4054356732226845E-2</v>
          </cell>
          <cell r="BK22">
            <v>4.3232209242783391E-2</v>
          </cell>
          <cell r="BL22">
            <v>4.1986287170139212E-2</v>
          </cell>
          <cell r="BM22">
            <v>4.181556908182496E-2</v>
          </cell>
          <cell r="BN22">
            <v>4.1640790019446934E-2</v>
          </cell>
        </row>
        <row r="24">
          <cell r="A24" t="str">
            <v>Total NA HPPD</v>
          </cell>
          <cell r="C24">
            <v>2.4</v>
          </cell>
          <cell r="D24">
            <v>2.4</v>
          </cell>
          <cell r="E24">
            <v>2.4</v>
          </cell>
          <cell r="F24">
            <v>2.4</v>
          </cell>
          <cell r="G24">
            <v>2.4</v>
          </cell>
          <cell r="H24">
            <v>2.4</v>
          </cell>
          <cell r="I24">
            <v>2.4</v>
          </cell>
          <cell r="J24">
            <v>2.4</v>
          </cell>
          <cell r="K24">
            <v>2.4</v>
          </cell>
          <cell r="L24">
            <v>2.4</v>
          </cell>
          <cell r="M24">
            <v>2.4</v>
          </cell>
          <cell r="N24">
            <v>2.4</v>
          </cell>
          <cell r="O24">
            <v>2.4</v>
          </cell>
          <cell r="P24">
            <v>2.4</v>
          </cell>
          <cell r="Q24">
            <v>2.4</v>
          </cell>
          <cell r="R24">
            <v>2.4</v>
          </cell>
          <cell r="S24">
            <v>2.4</v>
          </cell>
          <cell r="T24">
            <v>2.4</v>
          </cell>
          <cell r="U24">
            <v>2.4</v>
          </cell>
          <cell r="V24">
            <v>2.4</v>
          </cell>
          <cell r="W24">
            <v>2.4</v>
          </cell>
          <cell r="X24">
            <v>2.4</v>
          </cell>
          <cell r="Y24">
            <v>2.4</v>
          </cell>
          <cell r="Z24">
            <v>2.4</v>
          </cell>
          <cell r="AB24">
            <v>2</v>
          </cell>
          <cell r="AC24">
            <v>2</v>
          </cell>
          <cell r="AD24">
            <v>2</v>
          </cell>
          <cell r="AE24">
            <v>2</v>
          </cell>
          <cell r="AF24">
            <v>2</v>
          </cell>
          <cell r="AH24">
            <v>2.4</v>
          </cell>
          <cell r="AI24">
            <v>2.4</v>
          </cell>
          <cell r="AJ24">
            <v>2.4</v>
          </cell>
          <cell r="AK24">
            <v>2.4</v>
          </cell>
          <cell r="AL24">
            <v>2.4</v>
          </cell>
          <cell r="AM24">
            <v>2</v>
          </cell>
          <cell r="AP24">
            <v>2</v>
          </cell>
          <cell r="AQ24">
            <v>2</v>
          </cell>
          <cell r="AR24">
            <v>2</v>
          </cell>
          <cell r="AS24">
            <v>2</v>
          </cell>
          <cell r="AT24">
            <v>2</v>
          </cell>
          <cell r="AU24">
            <v>2</v>
          </cell>
          <cell r="AV24">
            <v>2</v>
          </cell>
          <cell r="AW24">
            <v>2</v>
          </cell>
          <cell r="AY24">
            <v>2</v>
          </cell>
          <cell r="AZ24">
            <v>2</v>
          </cell>
          <cell r="BA24">
            <v>2</v>
          </cell>
          <cell r="BB24">
            <v>2</v>
          </cell>
          <cell r="BC24">
            <v>2</v>
          </cell>
          <cell r="BE24">
            <v>2</v>
          </cell>
          <cell r="BF24">
            <v>2</v>
          </cell>
          <cell r="BG24">
            <v>2</v>
          </cell>
          <cell r="BH24">
            <v>2</v>
          </cell>
          <cell r="BI24">
            <v>2</v>
          </cell>
          <cell r="BK24">
            <v>2</v>
          </cell>
          <cell r="BL24">
            <v>2</v>
          </cell>
          <cell r="BM24">
            <v>2</v>
          </cell>
          <cell r="BN24">
            <v>2</v>
          </cell>
        </row>
        <row r="25">
          <cell r="A25" t="str">
            <v xml:space="preserve">Total Nurse Aide Hours </v>
          </cell>
          <cell r="C25">
            <v>1500803.6787614445</v>
          </cell>
          <cell r="D25">
            <v>1399850.6785229361</v>
          </cell>
          <cell r="E25">
            <v>1669739.066755956</v>
          </cell>
          <cell r="F25">
            <v>1769490.6616457237</v>
          </cell>
          <cell r="G25">
            <v>537686.87960401061</v>
          </cell>
          <cell r="H25">
            <v>494719.90140277724</v>
          </cell>
          <cell r="I25">
            <v>499929.67014946218</v>
          </cell>
          <cell r="J25">
            <v>535877.80983073125</v>
          </cell>
          <cell r="K25">
            <v>2070290.6561961235</v>
          </cell>
          <cell r="L25">
            <v>596688.39260027662</v>
          </cell>
          <cell r="M25">
            <v>631101.84049079753</v>
          </cell>
          <cell r="N25">
            <v>645543.19526627206</v>
          </cell>
          <cell r="O25">
            <v>625295.13894846442</v>
          </cell>
          <cell r="P25">
            <v>2411934.3941888213</v>
          </cell>
          <cell r="Q25">
            <v>706264.15508605004</v>
          </cell>
          <cell r="R25">
            <v>668419.08688660932</v>
          </cell>
          <cell r="S25">
            <v>691352.78720690671</v>
          </cell>
          <cell r="T25">
            <v>765802.44871656247</v>
          </cell>
          <cell r="U25">
            <v>2831838.4778961288</v>
          </cell>
          <cell r="V25">
            <v>909409.35313089786</v>
          </cell>
          <cell r="W25">
            <v>878642.50357093627</v>
          </cell>
          <cell r="X25">
            <v>894248.57822878228</v>
          </cell>
          <cell r="Y25">
            <v>899187.94564670359</v>
          </cell>
          <cell r="Z25">
            <v>3581488.3805773202</v>
          </cell>
          <cell r="AA25">
            <v>0</v>
          </cell>
          <cell r="AB25">
            <v>881026.27692706976</v>
          </cell>
          <cell r="AC25">
            <v>819156.3000396695</v>
          </cell>
          <cell r="AD25">
            <v>930367.43557823973</v>
          </cell>
          <cell r="AE25">
            <v>1044401.5808724076</v>
          </cell>
          <cell r="AF25">
            <v>3674951.5934173865</v>
          </cell>
          <cell r="AH25">
            <v>1245813.1156265817</v>
          </cell>
          <cell r="AI25">
            <v>1262238.0539590798</v>
          </cell>
          <cell r="AJ25">
            <v>1277377.2230475489</v>
          </cell>
          <cell r="AK25">
            <v>5086577.4109802423</v>
          </cell>
          <cell r="AL25">
            <v>0</v>
          </cell>
          <cell r="AM25">
            <v>2925406.5105565474</v>
          </cell>
          <cell r="AP25">
            <v>916149.03123370768</v>
          </cell>
          <cell r="AQ25">
            <v>1030443.8209466696</v>
          </cell>
          <cell r="AR25">
            <v>3619530.4978377926</v>
          </cell>
          <cell r="AS25">
            <v>1022926.8601901637</v>
          </cell>
          <cell r="AT25">
            <v>980275.20810482814</v>
          </cell>
          <cell r="AU25">
            <v>1006636.9356712792</v>
          </cell>
          <cell r="AV25">
            <v>1021288.0219280771</v>
          </cell>
          <cell r="AW25">
            <v>4031127.025894348</v>
          </cell>
          <cell r="AY25">
            <v>1138608.2656510796</v>
          </cell>
          <cell r="AZ25">
            <v>1099382.7700299248</v>
          </cell>
          <cell r="BA25">
            <v>1083369.2384036335</v>
          </cell>
          <cell r="BB25">
            <v>1122683.4371704389</v>
          </cell>
          <cell r="BC25">
            <v>4444043.7112550773</v>
          </cell>
          <cell r="BE25">
            <v>1208383.1733150976</v>
          </cell>
          <cell r="BF25">
            <v>1205276.8836316413</v>
          </cell>
          <cell r="BG25">
            <v>1201374.1993162723</v>
          </cell>
          <cell r="BH25">
            <v>1189699.8892080458</v>
          </cell>
          <cell r="BI25">
            <v>4804734.1454710569</v>
          </cell>
          <cell r="BK25">
            <v>5043053.0593707273</v>
          </cell>
          <cell r="BL25">
            <v>5159672.1260992354</v>
          </cell>
          <cell r="BM25">
            <v>5372030.5951604135</v>
          </cell>
          <cell r="BN25">
            <v>5557245.5005070055</v>
          </cell>
        </row>
        <row r="26">
          <cell r="A26" t="str">
            <v>Average Annual Hours Per Nurse Aide</v>
          </cell>
          <cell r="C26">
            <v>1920</v>
          </cell>
          <cell r="D26">
            <v>1920</v>
          </cell>
          <cell r="E26">
            <v>1920</v>
          </cell>
          <cell r="F26">
            <v>1920</v>
          </cell>
          <cell r="G26">
            <v>480</v>
          </cell>
          <cell r="H26">
            <v>480</v>
          </cell>
          <cell r="I26">
            <v>480</v>
          </cell>
          <cell r="J26">
            <v>480</v>
          </cell>
          <cell r="K26">
            <v>1920</v>
          </cell>
          <cell r="L26">
            <v>480</v>
          </cell>
          <cell r="M26">
            <v>480</v>
          </cell>
          <cell r="N26">
            <v>480</v>
          </cell>
          <cell r="O26">
            <v>480</v>
          </cell>
          <cell r="P26">
            <v>1920</v>
          </cell>
          <cell r="Q26">
            <v>480</v>
          </cell>
          <cell r="R26">
            <v>480</v>
          </cell>
          <cell r="S26">
            <v>480</v>
          </cell>
          <cell r="T26">
            <v>480</v>
          </cell>
          <cell r="U26">
            <v>1920</v>
          </cell>
          <cell r="V26">
            <v>480</v>
          </cell>
          <cell r="W26">
            <v>480</v>
          </cell>
          <cell r="X26">
            <v>480</v>
          </cell>
          <cell r="Y26">
            <v>480</v>
          </cell>
          <cell r="Z26">
            <v>1920</v>
          </cell>
          <cell r="AB26">
            <v>480</v>
          </cell>
          <cell r="AC26">
            <v>480</v>
          </cell>
          <cell r="AD26">
            <v>480</v>
          </cell>
          <cell r="AE26">
            <v>480</v>
          </cell>
          <cell r="AF26">
            <v>1920</v>
          </cell>
          <cell r="AH26">
            <v>480</v>
          </cell>
          <cell r="AI26">
            <v>480</v>
          </cell>
          <cell r="AJ26">
            <v>480</v>
          </cell>
          <cell r="AK26">
            <v>480</v>
          </cell>
          <cell r="AL26">
            <v>1920</v>
          </cell>
          <cell r="AM26">
            <v>1920</v>
          </cell>
          <cell r="AP26">
            <v>480</v>
          </cell>
          <cell r="AQ26">
            <v>480</v>
          </cell>
          <cell r="AR26">
            <v>1920</v>
          </cell>
          <cell r="AS26">
            <v>480</v>
          </cell>
          <cell r="AT26">
            <v>480</v>
          </cell>
          <cell r="AU26">
            <v>480</v>
          </cell>
          <cell r="AV26">
            <v>480</v>
          </cell>
          <cell r="AW26">
            <v>1920</v>
          </cell>
          <cell r="AY26">
            <v>480</v>
          </cell>
          <cell r="AZ26">
            <v>480</v>
          </cell>
          <cell r="BA26">
            <v>480</v>
          </cell>
          <cell r="BB26">
            <v>480</v>
          </cell>
          <cell r="BC26">
            <v>1920</v>
          </cell>
          <cell r="BE26">
            <v>480</v>
          </cell>
          <cell r="BF26">
            <v>480</v>
          </cell>
          <cell r="BG26">
            <v>480</v>
          </cell>
          <cell r="BH26">
            <v>480</v>
          </cell>
          <cell r="BI26">
            <v>1920</v>
          </cell>
          <cell r="BK26">
            <v>1920</v>
          </cell>
          <cell r="BL26">
            <v>1920</v>
          </cell>
          <cell r="BM26">
            <v>1920</v>
          </cell>
          <cell r="BN26">
            <v>1920</v>
          </cell>
        </row>
        <row r="27">
          <cell r="A27" t="str">
            <v>Total Nurse Aide FTEs</v>
          </cell>
          <cell r="C27">
            <v>781.6685826882524</v>
          </cell>
          <cell r="D27">
            <v>729.0888950640292</v>
          </cell>
          <cell r="E27">
            <v>869.65576393539379</v>
          </cell>
          <cell r="F27">
            <v>921.60971960714778</v>
          </cell>
          <cell r="G27">
            <v>1120.1809991750222</v>
          </cell>
          <cell r="H27">
            <v>1030.6664612557859</v>
          </cell>
          <cell r="I27">
            <v>1041.520146144713</v>
          </cell>
          <cell r="J27">
            <v>1116.4121038140233</v>
          </cell>
          <cell r="K27">
            <v>1078.276383435481</v>
          </cell>
          <cell r="L27">
            <v>1243.1008179172429</v>
          </cell>
          <cell r="M27">
            <v>1314.7955010224948</v>
          </cell>
          <cell r="N27">
            <v>1344.8816568047334</v>
          </cell>
          <cell r="O27">
            <v>1302.6982061426343</v>
          </cell>
          <cell r="P27">
            <v>1256.2158303066778</v>
          </cell>
          <cell r="Q27">
            <v>1471.383656429271</v>
          </cell>
          <cell r="R27">
            <v>1392.5397643471028</v>
          </cell>
          <cell r="S27">
            <v>1440.3183066810557</v>
          </cell>
          <cell r="T27">
            <v>1595.4217681595051</v>
          </cell>
          <cell r="U27">
            <v>1474.9158739042336</v>
          </cell>
          <cell r="V27">
            <v>1894.6028190227039</v>
          </cell>
          <cell r="W27">
            <v>1830.5052157727839</v>
          </cell>
          <cell r="X27">
            <v>1863.0178713099631</v>
          </cell>
          <cell r="Y27">
            <v>1873.3082200972992</v>
          </cell>
          <cell r="Z27">
            <v>1865.3585315506875</v>
          </cell>
          <cell r="AB27">
            <v>1835.4714102647288</v>
          </cell>
          <cell r="AC27">
            <v>1706.5756250826448</v>
          </cell>
          <cell r="AD27">
            <v>1938.2654907879994</v>
          </cell>
          <cell r="AE27">
            <v>2175.8366268175159</v>
          </cell>
          <cell r="AF27">
            <v>1914.0372882382221</v>
          </cell>
          <cell r="AH27">
            <v>2595.4439908887121</v>
          </cell>
          <cell r="AI27">
            <v>2629.6626124147497</v>
          </cell>
          <cell r="AJ27">
            <v>2661.2025480157267</v>
          </cell>
          <cell r="AK27">
            <v>10597.036272875504</v>
          </cell>
          <cell r="AL27">
            <v>0</v>
          </cell>
          <cell r="AM27">
            <v>1523.6492242482018</v>
          </cell>
          <cell r="AP27">
            <v>1908.6438150702243</v>
          </cell>
          <cell r="AQ27">
            <v>2146.7579603055615</v>
          </cell>
          <cell r="AR27">
            <v>1885.1721342905171</v>
          </cell>
          <cell r="AS27">
            <v>2131.0976253961744</v>
          </cell>
          <cell r="AT27">
            <v>2042.2400168850586</v>
          </cell>
          <cell r="AU27">
            <v>2097.1602826484982</v>
          </cell>
          <cell r="AV27">
            <v>2127.6833790168271</v>
          </cell>
          <cell r="AW27">
            <v>2099.5453259866395</v>
          </cell>
          <cell r="AY27">
            <v>2372.1005534397491</v>
          </cell>
          <cell r="AZ27">
            <v>2290.3807708956765</v>
          </cell>
          <cell r="BA27">
            <v>2257.0192466742365</v>
          </cell>
          <cell r="BB27">
            <v>2338.9238274384143</v>
          </cell>
          <cell r="BC27">
            <v>2314.6060996120195</v>
          </cell>
          <cell r="BE27">
            <v>2517.4649444064535</v>
          </cell>
          <cell r="BF27">
            <v>2510.9935075659191</v>
          </cell>
          <cell r="BG27">
            <v>2502.8629152422341</v>
          </cell>
          <cell r="BH27">
            <v>2478.5414358500952</v>
          </cell>
          <cell r="BI27">
            <v>2502.4657007661754</v>
          </cell>
          <cell r="BK27">
            <v>2626.5901350889203</v>
          </cell>
          <cell r="BL27">
            <v>2687.3292323433516</v>
          </cell>
          <cell r="BM27">
            <v>2797.9326016460486</v>
          </cell>
          <cell r="BN27">
            <v>2894.398698180732</v>
          </cell>
        </row>
        <row r="28">
          <cell r="A28" t="str">
            <v>Annual Salary and Benefits Per NA</v>
          </cell>
          <cell r="C28">
            <v>17174.680514</v>
          </cell>
          <cell r="D28">
            <v>17705.856199999998</v>
          </cell>
          <cell r="E28">
            <v>18253.46</v>
          </cell>
          <cell r="F28">
            <v>18818</v>
          </cell>
          <cell r="G28">
            <v>4850</v>
          </cell>
          <cell r="H28">
            <v>4850</v>
          </cell>
          <cell r="I28">
            <v>4850</v>
          </cell>
          <cell r="J28">
            <v>4850</v>
          </cell>
          <cell r="K28">
            <v>19400</v>
          </cell>
          <cell r="L28">
            <v>5000</v>
          </cell>
          <cell r="M28">
            <v>5000</v>
          </cell>
          <cell r="N28">
            <v>5000</v>
          </cell>
          <cell r="O28">
            <v>5000</v>
          </cell>
          <cell r="P28">
            <v>20000</v>
          </cell>
          <cell r="Q28">
            <v>6277.05</v>
          </cell>
          <cell r="R28">
            <v>6277.05</v>
          </cell>
          <cell r="S28">
            <v>6277.05</v>
          </cell>
          <cell r="T28">
            <v>6277.05</v>
          </cell>
          <cell r="U28">
            <v>25108.2</v>
          </cell>
          <cell r="V28">
            <v>6350</v>
          </cell>
          <cell r="W28">
            <v>6450</v>
          </cell>
          <cell r="X28">
            <v>6550</v>
          </cell>
          <cell r="Y28">
            <v>6650</v>
          </cell>
          <cell r="Z28">
            <v>26000</v>
          </cell>
          <cell r="AB28">
            <v>6604</v>
          </cell>
          <cell r="AC28">
            <v>6708</v>
          </cell>
          <cell r="AD28">
            <v>6812</v>
          </cell>
          <cell r="AE28">
            <v>6916</v>
          </cell>
          <cell r="AF28">
            <v>27040</v>
          </cell>
          <cell r="AH28">
            <v>6465.3615</v>
          </cell>
          <cell r="AI28">
            <v>6465.3615</v>
          </cell>
          <cell r="AJ28">
            <v>6465.3615</v>
          </cell>
          <cell r="AK28">
            <v>6465.3615</v>
          </cell>
          <cell r="AL28">
            <v>25861.446</v>
          </cell>
          <cell r="AM28">
            <v>26000</v>
          </cell>
          <cell r="AP28">
            <v>7084.4800000000005</v>
          </cell>
          <cell r="AQ28">
            <v>7192.64</v>
          </cell>
          <cell r="AR28">
            <v>27040</v>
          </cell>
          <cell r="AS28">
            <v>6802.12</v>
          </cell>
          <cell r="AT28">
            <v>6909.24</v>
          </cell>
          <cell r="AU28">
            <v>7016.3600000000006</v>
          </cell>
          <cell r="AV28">
            <v>7123.4800000000005</v>
          </cell>
          <cell r="AW28">
            <v>27851.200000000001</v>
          </cell>
          <cell r="AY28">
            <v>7006.1836000000003</v>
          </cell>
          <cell r="AZ28">
            <v>7116.5172000000002</v>
          </cell>
          <cell r="BA28">
            <v>7226.8508000000011</v>
          </cell>
          <cell r="BB28">
            <v>7337.184400000001</v>
          </cell>
          <cell r="BC28">
            <v>28686.736000000001</v>
          </cell>
          <cell r="BE28">
            <v>7216.3691080000008</v>
          </cell>
          <cell r="BF28">
            <v>7330.0127160000002</v>
          </cell>
          <cell r="BG28">
            <v>7443.6563240000014</v>
          </cell>
          <cell r="BH28">
            <v>7557.2999320000008</v>
          </cell>
          <cell r="BI28">
            <v>29547.338080000001</v>
          </cell>
          <cell r="BK28">
            <v>30433.758222400003</v>
          </cell>
          <cell r="BL28">
            <v>31346.770969072004</v>
          </cell>
          <cell r="BM28">
            <v>32287.174098144165</v>
          </cell>
          <cell r="BN28">
            <v>33255.789321088494</v>
          </cell>
        </row>
        <row r="29">
          <cell r="A29" t="str">
            <v>Total Nurse Aide Salary and Benefits</v>
          </cell>
          <cell r="C29">
            <v>13.424908175501926</v>
          </cell>
          <cell r="D29">
            <v>12.909143133020589</v>
          </cell>
          <cell r="E29">
            <v>15.874226700764153</v>
          </cell>
          <cell r="F29">
            <v>17.342851703567309</v>
          </cell>
          <cell r="G29">
            <v>5.4328778459988571</v>
          </cell>
          <cell r="H29">
            <v>4.9987323370905612</v>
          </cell>
          <cell r="I29">
            <v>5.0513727088018578</v>
          </cell>
          <cell r="J29">
            <v>5.4145987034980134</v>
          </cell>
          <cell r="K29">
            <v>20.91856183864833</v>
          </cell>
          <cell r="L29">
            <v>6.2155040895862141</v>
          </cell>
          <cell r="M29">
            <v>6.5739775051124738</v>
          </cell>
          <cell r="N29">
            <v>6.7244082840236672</v>
          </cell>
          <cell r="O29">
            <v>6.5134910307131717</v>
          </cell>
          <cell r="P29">
            <v>25.124316606133558</v>
          </cell>
          <cell r="Q29">
            <v>9.2359487805893554</v>
          </cell>
          <cell r="R29">
            <v>8.7410417277949826</v>
          </cell>
          <cell r="S29">
            <v>9.04095002695232</v>
          </cell>
          <cell r="T29">
            <v>10.014542209825622</v>
          </cell>
          <cell r="U29">
            <v>37.032482745162277</v>
          </cell>
          <cell r="V29">
            <v>12.030727900794169</v>
          </cell>
          <cell r="W29">
            <v>11.806758641734456</v>
          </cell>
          <cell r="X29">
            <v>12.202767057080258</v>
          </cell>
          <cell r="Y29">
            <v>12.45749966364704</v>
          </cell>
          <cell r="Z29">
            <v>48.499321820317881</v>
          </cell>
          <cell r="AB29">
            <v>12.121453193388268</v>
          </cell>
          <cell r="AC29">
            <v>11.447709293054382</v>
          </cell>
          <cell r="AD29">
            <v>13.203464523247851</v>
          </cell>
          <cell r="AE29">
            <v>15.04808611106994</v>
          </cell>
          <cell r="AF29">
            <v>51.755568273961529</v>
          </cell>
          <cell r="AH29">
            <v>16.78048365409823</v>
          </cell>
          <cell r="AI29">
            <v>17.001719412295746</v>
          </cell>
          <cell r="AJ29">
            <v>17.205636497642782</v>
          </cell>
          <cell r="AK29">
            <v>68.513670332752781</v>
          </cell>
          <cell r="AL29">
            <v>0</v>
          </cell>
          <cell r="AM29">
            <v>39.614879830453248</v>
          </cell>
          <cell r="AP29">
            <v>13.521748934988704</v>
          </cell>
          <cell r="AQ29">
            <v>15.440857175612194</v>
          </cell>
          <cell r="AR29">
            <v>50.975054511215582</v>
          </cell>
          <cell r="AS29">
            <v>14.495981779659827</v>
          </cell>
          <cell r="AT29">
            <v>14.110326414262923</v>
          </cell>
          <cell r="AU29">
            <v>14.714431520763618</v>
          </cell>
          <cell r="AV29">
            <v>15.156509996758789</v>
          </cell>
          <cell r="AW29">
            <v>58.474856783119094</v>
          </cell>
          <cell r="AY29">
            <v>16.619371995060494</v>
          </cell>
          <cell r="AZ29">
            <v>16.299534150628343</v>
          </cell>
          <cell r="BA29">
            <v>16.311141348443105</v>
          </cell>
          <cell r="BB29">
            <v>17.161115419469429</v>
          </cell>
          <cell r="BC29">
            <v>66.398494123559701</v>
          </cell>
          <cell r="BE29">
            <v>18.166956255287669</v>
          </cell>
          <cell r="BF29">
            <v>18.405614340251628</v>
          </cell>
          <cell r="BG29">
            <v>18.630451367147934</v>
          </cell>
          <cell r="BH29">
            <v>18.731081024609107</v>
          </cell>
          <cell r="BI29">
            <v>73.941200094142303</v>
          </cell>
          <cell r="BK29">
            <v>79.937009120637157</v>
          </cell>
          <cell r="BL29">
            <v>84.239093964759121</v>
          </cell>
          <cell r="BM29">
            <v>90.337337024219423</v>
          </cell>
          <cell r="BN29">
            <v>96.255513317931218</v>
          </cell>
        </row>
        <row r="30">
          <cell r="A30" t="str">
            <v>% of Salary and Benefits</v>
          </cell>
          <cell r="C30">
            <v>6.1737908372048414E-2</v>
          </cell>
          <cell r="D30">
            <v>5.3014961531912069E-2</v>
          </cell>
          <cell r="E30">
            <v>5.3484591309852267E-2</v>
          </cell>
          <cell r="F30">
            <v>5.28320245399048E-2</v>
          </cell>
          <cell r="G30">
            <v>5.3529054387440204E-2</v>
          </cell>
          <cell r="H30">
            <v>4.8653724774827586E-2</v>
          </cell>
          <cell r="I30">
            <v>4.8120226997178897E-2</v>
          </cell>
          <cell r="J30">
            <v>4.9174003537321549E-2</v>
          </cell>
          <cell r="K30">
            <v>4.9886868832033603E-2</v>
          </cell>
          <cell r="L30">
            <v>5.1620786910945494E-2</v>
          </cell>
          <cell r="M30">
            <v>5.3095162178350558E-2</v>
          </cell>
          <cell r="N30">
            <v>5.077669340278082E-2</v>
          </cell>
          <cell r="O30">
            <v>4.6280640268249539E-2</v>
          </cell>
          <cell r="P30">
            <v>4.8559538234324372E-2</v>
          </cell>
          <cell r="Q30">
            <v>6.0077463544754933E-2</v>
          </cell>
          <cell r="R30">
            <v>5.6015442320550751E-2</v>
          </cell>
          <cell r="S30">
            <v>5.5357274228216506E-2</v>
          </cell>
          <cell r="T30">
            <v>5.1903072915492968E-2</v>
          </cell>
          <cell r="U30">
            <v>5.5600321215831708E-2</v>
          </cell>
          <cell r="V30">
            <v>5.5399273824363937E-2</v>
          </cell>
          <cell r="W30">
            <v>5.5116395405244524E-2</v>
          </cell>
          <cell r="X30">
            <v>5.5101698540498505E-2</v>
          </cell>
          <cell r="Y30">
            <v>5.3260849538457437E-2</v>
          </cell>
          <cell r="Z30">
            <v>5.4694329776819074E-2</v>
          </cell>
          <cell r="AB30">
            <v>4.5099389792791912E-2</v>
          </cell>
          <cell r="AC30">
            <v>4.3476661437236309E-2</v>
          </cell>
          <cell r="AD30">
            <v>4.5793209550400421E-2</v>
          </cell>
          <cell r="AE30">
            <v>4.7286081389758948E-2</v>
          </cell>
          <cell r="AF30">
            <v>4.5453767096208936E-2</v>
          </cell>
          <cell r="AH30">
            <v>5.1253298394022748E-2</v>
          </cell>
          <cell r="AI30">
            <v>5.0235252753191816E-2</v>
          </cell>
          <cell r="AJ30">
            <v>4.945498483103946E-2</v>
          </cell>
          <cell r="AK30">
            <v>5.1303539037762184E-2</v>
          </cell>
          <cell r="AL30">
            <v>0</v>
          </cell>
          <cell r="AM30">
            <v>4.5531832531599689E-2</v>
          </cell>
          <cell r="AP30">
            <v>4.7601567744212349E-2</v>
          </cell>
          <cell r="AQ30">
            <v>4.9180499535334397E-2</v>
          </cell>
          <cell r="AR30">
            <v>4.5446489110877349E-2</v>
          </cell>
          <cell r="AS30">
            <v>4.6481294204451989E-2</v>
          </cell>
          <cell r="AT30">
            <v>4.56553261619446E-2</v>
          </cell>
          <cell r="AU30">
            <v>4.5352901806368515E-2</v>
          </cell>
          <cell r="AV30">
            <v>4.5410859160241332E-2</v>
          </cell>
          <cell r="AW30">
            <v>4.5714339040664242E-2</v>
          </cell>
          <cell r="AY30">
            <v>4.6199186605233589E-2</v>
          </cell>
          <cell r="AZ30">
            <v>4.4644393546450244E-2</v>
          </cell>
          <cell r="BA30">
            <v>4.3861185025433153E-2</v>
          </cell>
          <cell r="BB30">
            <v>4.4093761034207514E-2</v>
          </cell>
          <cell r="BC30">
            <v>4.4685497896947597E-2</v>
          </cell>
          <cell r="BE30">
            <v>4.497127558442171E-2</v>
          </cell>
          <cell r="BF30">
            <v>4.4143774485130308E-2</v>
          </cell>
          <cell r="BG30">
            <v>4.1990289640334057E-2</v>
          </cell>
          <cell r="BH30">
            <v>4.1868694816991049E-2</v>
          </cell>
          <cell r="BI30">
            <v>4.3190545815908664E-2</v>
          </cell>
          <cell r="BK30">
            <v>4.2384518865473911E-2</v>
          </cell>
          <cell r="BL30">
            <v>4.1163026637391388E-2</v>
          </cell>
          <cell r="BM30">
            <v>4.0995655962573499E-2</v>
          </cell>
          <cell r="BN30">
            <v>4.082430394063425E-2</v>
          </cell>
        </row>
        <row r="32">
          <cell r="A32" t="str">
            <v>Total Nursing Salaries and Benefits</v>
          </cell>
          <cell r="C32">
            <v>97.554332741980645</v>
          </cell>
          <cell r="D32">
            <v>93.806440099949626</v>
          </cell>
          <cell r="E32">
            <v>115.35271402555281</v>
          </cell>
          <cell r="F32">
            <v>126.02472237925578</v>
          </cell>
          <cell r="G32">
            <v>39.478912347591695</v>
          </cell>
          <cell r="H32">
            <v>36.324121649524741</v>
          </cell>
          <cell r="I32">
            <v>36.706641683960164</v>
          </cell>
          <cell r="J32">
            <v>39.346083912085568</v>
          </cell>
          <cell r="K32">
            <v>152.0082160275112</v>
          </cell>
          <cell r="L32">
            <v>45.16599638432649</v>
          </cell>
          <cell r="M32">
            <v>47.770903203817312</v>
          </cell>
          <cell r="N32">
            <v>48.86403353057198</v>
          </cell>
          <cell r="O32">
            <v>47.331368156515708</v>
          </cell>
          <cell r="P32">
            <v>182.57003400457049</v>
          </cell>
          <cell r="Q32">
            <v>67.114561138949313</v>
          </cell>
          <cell r="R32">
            <v>63.51823655531021</v>
          </cell>
          <cell r="S32">
            <v>65.69757019585353</v>
          </cell>
          <cell r="T32">
            <v>72.772340058066192</v>
          </cell>
          <cell r="U32">
            <v>269.10270794817922</v>
          </cell>
          <cell r="V32">
            <v>87.42328941243764</v>
          </cell>
          <cell r="W32">
            <v>85.795779463270378</v>
          </cell>
          <cell r="X32">
            <v>88.673440614783203</v>
          </cell>
          <cell r="Y32">
            <v>90.524497555835168</v>
          </cell>
          <cell r="Z32">
            <v>352.41700704632638</v>
          </cell>
          <cell r="AA32">
            <v>0</v>
          </cell>
          <cell r="AB32">
            <v>103.27478120766804</v>
          </cell>
          <cell r="AC32">
            <v>97.534483176823343</v>
          </cell>
          <cell r="AD32">
            <v>112.4935177380717</v>
          </cell>
          <cell r="AE32">
            <v>128.2096936663159</v>
          </cell>
          <cell r="AF32">
            <v>440.95744169415218</v>
          </cell>
          <cell r="AH32">
            <v>122.63736803870123</v>
          </cell>
          <cell r="AI32">
            <v>124.25423270486138</v>
          </cell>
          <cell r="AJ32">
            <v>125.74452673693933</v>
          </cell>
          <cell r="AK32">
            <v>500.72074068186822</v>
          </cell>
          <cell r="AL32">
            <v>0</v>
          </cell>
          <cell r="AM32">
            <v>337.51877615546164</v>
          </cell>
          <cell r="AP32">
            <v>115.20530092610376</v>
          </cell>
          <cell r="AQ32">
            <v>131.55610313621588</v>
          </cell>
          <cell r="AR32">
            <v>434.30746443555677</v>
          </cell>
          <cell r="AS32">
            <v>124.23056385168471</v>
          </cell>
          <cell r="AT32">
            <v>120.92549737023323</v>
          </cell>
          <cell r="AU32">
            <v>126.10267813294419</v>
          </cell>
          <cell r="AV32">
            <v>129.89129067222282</v>
          </cell>
          <cell r="AW32">
            <v>501.12952263133064</v>
          </cell>
          <cell r="AY32">
            <v>143.25898659742145</v>
          </cell>
          <cell r="AZ32">
            <v>140.50198437841632</v>
          </cell>
          <cell r="BA32">
            <v>140.60203842357956</v>
          </cell>
          <cell r="BB32">
            <v>147.92881491582648</v>
          </cell>
          <cell r="BC32">
            <v>572.35501934508466</v>
          </cell>
          <cell r="BE32">
            <v>156.59916292057966</v>
          </cell>
          <cell r="BF32">
            <v>158.65639561296902</v>
          </cell>
          <cell r="BG32">
            <v>160.59449078481521</v>
          </cell>
          <cell r="BH32">
            <v>161.46191843213052</v>
          </cell>
          <cell r="BI32">
            <v>637.37314481150668</v>
          </cell>
          <cell r="BK32">
            <v>689.05701861989235</v>
          </cell>
          <cell r="BL32">
            <v>726.14098997622364</v>
          </cell>
          <cell r="BM32">
            <v>778.7078451487713</v>
          </cell>
          <cell r="BN32">
            <v>829.72252480056704</v>
          </cell>
        </row>
        <row r="33">
          <cell r="A33" t="str">
            <v>% of Salary and Benefits</v>
          </cell>
          <cell r="C33">
            <v>0.44862880083688506</v>
          </cell>
          <cell r="D33">
            <v>0.38524205379856108</v>
          </cell>
          <cell r="E33">
            <v>0.38865469685159304</v>
          </cell>
          <cell r="F33">
            <v>0.38391271165664154</v>
          </cell>
          <cell r="G33">
            <v>0.38897779521539882</v>
          </cell>
          <cell r="H33">
            <v>0.35355040003041377</v>
          </cell>
          <cell r="I33">
            <v>0.34967364951283331</v>
          </cell>
          <cell r="J33">
            <v>0.35733109237120331</v>
          </cell>
          <cell r="K33">
            <v>0.36251124684611086</v>
          </cell>
          <cell r="L33">
            <v>0.37511105155287061</v>
          </cell>
          <cell r="M33">
            <v>0.38582484516268073</v>
          </cell>
          <cell r="N33">
            <v>0.36897730539354062</v>
          </cell>
          <cell r="O33">
            <v>0.33630598594927991</v>
          </cell>
          <cell r="P33">
            <v>0.35286597783609036</v>
          </cell>
          <cell r="Q33">
            <v>0.4365629017585525</v>
          </cell>
          <cell r="R33">
            <v>0.40704554752933547</v>
          </cell>
          <cell r="S33">
            <v>0.40226285939170664</v>
          </cell>
          <cell r="T33">
            <v>0.37716232985258225</v>
          </cell>
          <cell r="U33">
            <v>0.40402900083504373</v>
          </cell>
          <cell r="V33">
            <v>0.40256805645704463</v>
          </cell>
          <cell r="W33">
            <v>0.40051247327811018</v>
          </cell>
          <cell r="X33">
            <v>0.40040567606095578</v>
          </cell>
          <cell r="Y33">
            <v>0.38702883997945742</v>
          </cell>
          <cell r="Z33">
            <v>0.39743260892931409</v>
          </cell>
          <cell r="AB33">
            <v>0.38424680103458708</v>
          </cell>
          <cell r="AC33">
            <v>0.37042115544525339</v>
          </cell>
          <cell r="AD33">
            <v>0.39015814536941162</v>
          </cell>
          <cell r="AE33">
            <v>0.40287741344074629</v>
          </cell>
          <cell r="AF33">
            <v>0.3872660956597001</v>
          </cell>
          <cell r="AH33">
            <v>0.37457618909631624</v>
          </cell>
          <cell r="AI33">
            <v>0.36713597220457678</v>
          </cell>
          <cell r="AJ33">
            <v>0.36143351414018005</v>
          </cell>
          <cell r="AK33">
            <v>0.37494336446764531</v>
          </cell>
          <cell r="AL33">
            <v>0</v>
          </cell>
          <cell r="AM33">
            <v>0.38793121316922935</v>
          </cell>
          <cell r="AP33">
            <v>0.40556535718068926</v>
          </cell>
          <cell r="AQ33">
            <v>0.41901785604104902</v>
          </cell>
          <cell r="AR33">
            <v>0.38720408722467503</v>
          </cell>
          <cell r="AS33">
            <v>0.3983446913321535</v>
          </cell>
          <cell r="AT33">
            <v>0.39126614520786518</v>
          </cell>
          <cell r="AU33">
            <v>0.38867436848057807</v>
          </cell>
          <cell r="AV33">
            <v>0.38917106300326826</v>
          </cell>
          <cell r="AW33">
            <v>0.39177188557849257</v>
          </cell>
          <cell r="AY33">
            <v>0.39823698853711353</v>
          </cell>
          <cell r="AZ33">
            <v>0.38483467237040109</v>
          </cell>
          <cell r="BA33">
            <v>0.37808341491923375</v>
          </cell>
          <cell r="BB33">
            <v>0.38008822011486876</v>
          </cell>
          <cell r="BC33">
            <v>0.38518899187168831</v>
          </cell>
          <cell r="BE33">
            <v>0.38765239553771502</v>
          </cell>
          <cell r="BF33">
            <v>0.38051933606182325</v>
          </cell>
          <cell r="BG33">
            <v>0.3619562966996796</v>
          </cell>
          <cell r="BH33">
            <v>0.36090814932246285</v>
          </cell>
          <cell r="BI33">
            <v>0.37230250493313266</v>
          </cell>
          <cell r="BK33">
            <v>0.36535455262038513</v>
          </cell>
          <cell r="BL33">
            <v>0.35482528961431375</v>
          </cell>
          <cell r="BM33">
            <v>0.35338255439738347</v>
          </cell>
          <cell r="BN33">
            <v>0.3519054999682672</v>
          </cell>
        </row>
        <row r="35">
          <cell r="A35" t="str">
            <v>Total Non-RN HPPD</v>
          </cell>
          <cell r="C35" t="e">
            <v>#REF!</v>
          </cell>
          <cell r="D35" t="e">
            <v>#REF!</v>
          </cell>
          <cell r="E35" t="e">
            <v>#REF!</v>
          </cell>
          <cell r="F35" t="e">
            <v>#REF!</v>
          </cell>
          <cell r="G35" t="e">
            <v>#REF!</v>
          </cell>
          <cell r="H35" t="e">
            <v>#REF!</v>
          </cell>
          <cell r="I35">
            <v>18</v>
          </cell>
          <cell r="J35">
            <v>19</v>
          </cell>
          <cell r="K35">
            <v>19</v>
          </cell>
          <cell r="L35">
            <v>19</v>
          </cell>
          <cell r="M35">
            <v>19</v>
          </cell>
          <cell r="N35">
            <v>19</v>
          </cell>
          <cell r="O35">
            <v>19</v>
          </cell>
          <cell r="P35">
            <v>19</v>
          </cell>
          <cell r="Q35">
            <v>19</v>
          </cell>
          <cell r="R35">
            <v>19</v>
          </cell>
          <cell r="S35">
            <v>19</v>
          </cell>
          <cell r="T35">
            <v>19</v>
          </cell>
          <cell r="U35">
            <v>19</v>
          </cell>
          <cell r="V35">
            <v>19</v>
          </cell>
          <cell r="W35">
            <v>19</v>
          </cell>
          <cell r="X35">
            <v>19</v>
          </cell>
          <cell r="Y35">
            <v>19</v>
          </cell>
          <cell r="Z35">
            <v>19</v>
          </cell>
          <cell r="AB35">
            <v>14.772350996315971</v>
          </cell>
          <cell r="AC35">
            <v>15.66848382216628</v>
          </cell>
          <cell r="AD35">
            <v>14.431682618012294</v>
          </cell>
          <cell r="AE35">
            <v>13.710434020435015</v>
          </cell>
          <cell r="AF35">
            <v>14.605410393389064</v>
          </cell>
          <cell r="AH35">
            <v>15.94163482586705</v>
          </cell>
          <cell r="AI35">
            <v>16.473109744671024</v>
          </cell>
          <cell r="AJ35">
            <v>16.895711146203421</v>
          </cell>
          <cell r="AK35">
            <v>16.164207430607021</v>
          </cell>
          <cell r="AL35" t="e">
            <v>#DIV/0!</v>
          </cell>
          <cell r="AM35">
            <v>3.7021097296064345</v>
          </cell>
          <cell r="AP35">
            <v>13.500682117242162</v>
          </cell>
          <cell r="AQ35">
            <v>12.797846533141982</v>
          </cell>
          <cell r="AR35">
            <v>14.584692415411959</v>
          </cell>
          <cell r="AS35">
            <v>14.032876335710821</v>
          </cell>
          <cell r="AT35">
            <v>14.455792383111476</v>
          </cell>
          <cell r="AU35">
            <v>14.632813080750664</v>
          </cell>
          <cell r="AV35">
            <v>14.611584280205557</v>
          </cell>
          <cell r="AW35">
            <v>14.432149314351346</v>
          </cell>
          <cell r="AY35">
            <v>14.15269131616874</v>
          </cell>
          <cell r="AZ35">
            <v>14.983997411002701</v>
          </cell>
          <cell r="BA35">
            <v>15.428643450145275</v>
          </cell>
          <cell r="BB35">
            <v>15.311173185845272</v>
          </cell>
          <cell r="BC35">
            <v>14.962057634313982</v>
          </cell>
          <cell r="BE35">
            <v>14.821994824106367</v>
          </cell>
          <cell r="BF35">
            <v>15.289129903079871</v>
          </cell>
          <cell r="BG35">
            <v>16.583656508284442</v>
          </cell>
          <cell r="BH35">
            <v>16.662114954185164</v>
          </cell>
          <cell r="BI35">
            <v>15.835293911005733</v>
          </cell>
          <cell r="BK35">
            <v>16.343867691450821</v>
          </cell>
          <cell r="BL35">
            <v>17.122848400159814</v>
          </cell>
          <cell r="BM35">
            <v>17.239154627821041</v>
          </cell>
          <cell r="BN35">
            <v>17.357081474983204</v>
          </cell>
        </row>
        <row r="36">
          <cell r="A36" t="str">
            <v xml:space="preserve">Total Non-Nursing Hours </v>
          </cell>
          <cell r="C36" t="e">
            <v>#REF!</v>
          </cell>
          <cell r="D36" t="e">
            <v>#REF!</v>
          </cell>
          <cell r="E36" t="e">
            <v>#REF!</v>
          </cell>
          <cell r="F36" t="e">
            <v>#REF!</v>
          </cell>
          <cell r="G36" t="e">
            <v>#REF!</v>
          </cell>
          <cell r="H36" t="e">
            <v>#REF!</v>
          </cell>
          <cell r="I36">
            <v>3749472.5261209663</v>
          </cell>
          <cell r="J36">
            <v>4242365.9944932889</v>
          </cell>
          <cell r="K36">
            <v>16389801.028219311</v>
          </cell>
          <cell r="L36">
            <v>4723783.1080855234</v>
          </cell>
          <cell r="M36">
            <v>4996222.90388548</v>
          </cell>
          <cell r="N36">
            <v>5110550.2958579874</v>
          </cell>
          <cell r="O36">
            <v>4950253.1833420098</v>
          </cell>
          <cell r="P36">
            <v>19094480.620661505</v>
          </cell>
          <cell r="Q36">
            <v>5591257.8944312297</v>
          </cell>
          <cell r="R36">
            <v>5291651.104518991</v>
          </cell>
          <cell r="S36">
            <v>5473209.5653880117</v>
          </cell>
          <cell r="T36">
            <v>6062602.7190061193</v>
          </cell>
          <cell r="U36">
            <v>22418721.283344354</v>
          </cell>
          <cell r="V36">
            <v>7199490.7122862749</v>
          </cell>
          <cell r="W36">
            <v>6955919.8199365791</v>
          </cell>
          <cell r="X36">
            <v>7079467.91097786</v>
          </cell>
          <cell r="Y36">
            <v>7118571.2363697365</v>
          </cell>
          <cell r="Z36">
            <v>28353449.679570451</v>
          </cell>
          <cell r="AA36">
            <v>0</v>
          </cell>
          <cell r="AB36">
            <v>6507414.6998720746</v>
          </cell>
          <cell r="AC36">
            <v>6417468.6174985748</v>
          </cell>
          <cell r="AD36">
            <v>6713383.774199578</v>
          </cell>
          <cell r="AE36">
            <v>7159599.4826945849</v>
          </cell>
          <cell r="AF36">
            <v>26837088.098850001</v>
          </cell>
          <cell r="AH36">
            <v>8275124.0627477709</v>
          </cell>
          <cell r="AI36">
            <v>8663744.1611532941</v>
          </cell>
          <cell r="AJ36">
            <v>8992581.9105628524</v>
          </cell>
          <cell r="AK36">
            <v>34258538.492885277</v>
          </cell>
          <cell r="AL36">
            <v>60189988.62734919</v>
          </cell>
          <cell r="AM36">
            <v>5415087.9528927011</v>
          </cell>
          <cell r="AP36">
            <v>6184318.4213528242</v>
          </cell>
          <cell r="AQ36">
            <v>6593730.9407499563</v>
          </cell>
          <cell r="AR36">
            <v>26394869.499583565</v>
          </cell>
          <cell r="AS36">
            <v>7177303.06476276</v>
          </cell>
          <cell r="AT36">
            <v>7085327.4433373958</v>
          </cell>
          <cell r="AU36">
            <v>7364965.0599287292</v>
          </cell>
          <cell r="AV36">
            <v>7461318.0033832602</v>
          </cell>
          <cell r="AW36">
            <v>29088913.571412146</v>
          </cell>
          <cell r="AX36">
            <v>0</v>
          </cell>
          <cell r="AY36">
            <v>8057185.6568989921</v>
          </cell>
          <cell r="AZ36">
            <v>8236574.2899146853</v>
          </cell>
          <cell r="BA36">
            <v>8357458.8520925473</v>
          </cell>
          <cell r="BB36">
            <v>8594800.2696983144</v>
          </cell>
          <cell r="BC36">
            <v>33246019.068604536</v>
          </cell>
          <cell r="BD36">
            <v>0</v>
          </cell>
          <cell r="BE36">
            <v>8955324.5702068023</v>
          </cell>
          <cell r="BF36">
            <v>9213817.4215117227</v>
          </cell>
          <cell r="BG36">
            <v>9961588.5296881534</v>
          </cell>
          <cell r="BH36">
            <v>9911458.1574829053</v>
          </cell>
          <cell r="BI36">
            <v>38042188.67888958</v>
          </cell>
          <cell r="BJ36">
            <v>0</v>
          </cell>
          <cell r="BK36">
            <v>41211495.981660724</v>
          </cell>
          <cell r="BL36">
            <v>44174141.804863736</v>
          </cell>
          <cell r="BM36">
            <v>46304633.047677927</v>
          </cell>
          <cell r="BN36">
            <v>48228781.464391954</v>
          </cell>
        </row>
        <row r="37">
          <cell r="A37" t="str">
            <v>Average Annual Hours Per Employee</v>
          </cell>
          <cell r="C37">
            <v>1920</v>
          </cell>
          <cell r="D37">
            <v>1920</v>
          </cell>
          <cell r="E37">
            <v>1920</v>
          </cell>
          <cell r="F37">
            <v>1920</v>
          </cell>
          <cell r="G37">
            <v>480</v>
          </cell>
          <cell r="H37">
            <v>480</v>
          </cell>
          <cell r="I37">
            <v>480</v>
          </cell>
          <cell r="J37">
            <v>480</v>
          </cell>
          <cell r="K37">
            <v>1920</v>
          </cell>
          <cell r="L37">
            <v>480</v>
          </cell>
          <cell r="M37">
            <v>480</v>
          </cell>
          <cell r="N37">
            <v>480</v>
          </cell>
          <cell r="O37">
            <v>480</v>
          </cell>
          <cell r="P37">
            <v>1920</v>
          </cell>
          <cell r="Q37">
            <v>480</v>
          </cell>
          <cell r="R37">
            <v>480</v>
          </cell>
          <cell r="S37">
            <v>480</v>
          </cell>
          <cell r="T37">
            <v>480</v>
          </cell>
          <cell r="U37">
            <v>1920</v>
          </cell>
          <cell r="V37">
            <v>1920</v>
          </cell>
          <cell r="W37">
            <v>480</v>
          </cell>
          <cell r="X37">
            <v>480</v>
          </cell>
          <cell r="Y37">
            <v>480</v>
          </cell>
          <cell r="Z37">
            <v>1920</v>
          </cell>
          <cell r="AB37">
            <v>480</v>
          </cell>
          <cell r="AC37">
            <v>480</v>
          </cell>
          <cell r="AD37">
            <v>480</v>
          </cell>
          <cell r="AE37">
            <v>480</v>
          </cell>
          <cell r="AF37">
            <v>1920</v>
          </cell>
          <cell r="AH37">
            <v>480</v>
          </cell>
          <cell r="AI37">
            <v>480</v>
          </cell>
          <cell r="AJ37">
            <v>480</v>
          </cell>
          <cell r="AK37">
            <v>480</v>
          </cell>
          <cell r="AL37">
            <v>1920</v>
          </cell>
          <cell r="AM37">
            <v>480</v>
          </cell>
          <cell r="AP37">
            <v>480</v>
          </cell>
          <cell r="AQ37">
            <v>480</v>
          </cell>
          <cell r="AR37">
            <v>1920</v>
          </cell>
          <cell r="AS37">
            <v>480</v>
          </cell>
          <cell r="AT37">
            <v>480</v>
          </cell>
          <cell r="AU37">
            <v>480</v>
          </cell>
          <cell r="AV37">
            <v>480</v>
          </cell>
          <cell r="AW37">
            <v>1920</v>
          </cell>
          <cell r="AY37">
            <v>480</v>
          </cell>
          <cell r="AZ37">
            <v>480</v>
          </cell>
          <cell r="BA37">
            <v>480</v>
          </cell>
          <cell r="BB37">
            <v>480</v>
          </cell>
          <cell r="BC37">
            <v>1920</v>
          </cell>
          <cell r="BE37">
            <v>480</v>
          </cell>
          <cell r="BF37">
            <v>480</v>
          </cell>
          <cell r="BG37">
            <v>480</v>
          </cell>
          <cell r="BH37">
            <v>480</v>
          </cell>
          <cell r="BI37">
            <v>1920</v>
          </cell>
          <cell r="BK37">
            <v>1920</v>
          </cell>
          <cell r="BL37">
            <v>1920</v>
          </cell>
          <cell r="BM37">
            <v>1920</v>
          </cell>
          <cell r="BN37">
            <v>1920</v>
          </cell>
        </row>
        <row r="38">
          <cell r="A38" t="str">
            <v>Total Non-Nursing FTEs</v>
          </cell>
          <cell r="C38" t="e">
            <v>#REF!</v>
          </cell>
          <cell r="D38" t="e">
            <v>#REF!</v>
          </cell>
          <cell r="E38" t="e">
            <v>#REF!</v>
          </cell>
          <cell r="F38" t="e">
            <v>#REF!</v>
          </cell>
          <cell r="G38" t="e">
            <v>#REF!</v>
          </cell>
          <cell r="H38" t="e">
            <v>#REF!</v>
          </cell>
          <cell r="I38">
            <v>7811.4010960853466</v>
          </cell>
          <cell r="J38">
            <v>8838.2624885276855</v>
          </cell>
          <cell r="K38">
            <v>8536.3547021975573</v>
          </cell>
          <cell r="L38">
            <v>9841.2148085115077</v>
          </cell>
          <cell r="M38">
            <v>10408.797716428084</v>
          </cell>
          <cell r="N38">
            <v>10646.979783037474</v>
          </cell>
          <cell r="O38">
            <v>10313.027465295854</v>
          </cell>
          <cell r="P38">
            <v>9945.0419899278677</v>
          </cell>
          <cell r="Q38">
            <v>11648.453946731728</v>
          </cell>
          <cell r="R38">
            <v>11024.273134414565</v>
          </cell>
          <cell r="S38">
            <v>11402.519927891692</v>
          </cell>
          <cell r="T38">
            <v>12630.422331262749</v>
          </cell>
          <cell r="U38">
            <v>11676.417335075184</v>
          </cell>
          <cell r="V38">
            <v>3749.734745982435</v>
          </cell>
          <cell r="W38">
            <v>14491.499624867873</v>
          </cell>
          <cell r="X38">
            <v>14748.891481203875</v>
          </cell>
          <cell r="Y38">
            <v>14830.35674243695</v>
          </cell>
          <cell r="Z38">
            <v>14767.42170810961</v>
          </cell>
          <cell r="AB38">
            <v>13557.113958066822</v>
          </cell>
          <cell r="AC38">
            <v>13369.726286455363</v>
          </cell>
          <cell r="AD38">
            <v>13986.216196249121</v>
          </cell>
          <cell r="AE38">
            <v>14915.832255613719</v>
          </cell>
          <cell r="AF38">
            <v>13977.650051484376</v>
          </cell>
          <cell r="AH38">
            <v>17239.841797391189</v>
          </cell>
          <cell r="AI38">
            <v>18049.467002402696</v>
          </cell>
          <cell r="AJ38">
            <v>18734.545647005943</v>
          </cell>
          <cell r="AK38">
            <v>71371.955193510992</v>
          </cell>
          <cell r="AL38">
            <v>18335.111656169574</v>
          </cell>
          <cell r="AM38">
            <v>11281.433235193128</v>
          </cell>
          <cell r="AP38">
            <v>12883.996711151718</v>
          </cell>
          <cell r="AQ38">
            <v>13736.939459895742</v>
          </cell>
          <cell r="AR38">
            <v>13747.32786436644</v>
          </cell>
          <cell r="AS38">
            <v>14952.714718255749</v>
          </cell>
          <cell r="AT38">
            <v>14761.098840286242</v>
          </cell>
          <cell r="AU38">
            <v>15343.677208184852</v>
          </cell>
          <cell r="AV38">
            <v>15544.412507048459</v>
          </cell>
          <cell r="AW38">
            <v>15155.418869218267</v>
          </cell>
          <cell r="AY38">
            <v>16785.8034518729</v>
          </cell>
          <cell r="AZ38">
            <v>17159.529770655594</v>
          </cell>
          <cell r="BA38">
            <v>17411.372608526141</v>
          </cell>
          <cell r="BB38">
            <v>17905.833895204822</v>
          </cell>
          <cell r="BC38">
            <v>17322.580958810762</v>
          </cell>
          <cell r="BE38">
            <v>18656.92618793084</v>
          </cell>
          <cell r="BF38">
            <v>19195.452961482755</v>
          </cell>
          <cell r="BG38">
            <v>20753.309436850319</v>
          </cell>
          <cell r="BH38">
            <v>20648.871161422718</v>
          </cell>
          <cell r="BI38">
            <v>19828.127804990589</v>
          </cell>
          <cell r="BK38">
            <v>21464.320823781625</v>
          </cell>
          <cell r="BL38">
            <v>23007.36552336653</v>
          </cell>
          <cell r="BM38">
            <v>24116.99637899892</v>
          </cell>
          <cell r="BN38">
            <v>25119.157012704141</v>
          </cell>
        </row>
        <row r="39">
          <cell r="A39" t="str">
            <v>Annual Salary &amp; Benefits Per Non-RN FTE</v>
          </cell>
          <cell r="C39">
            <v>29196.956873799998</v>
          </cell>
          <cell r="D39">
            <v>30099.955539999995</v>
          </cell>
          <cell r="E39">
            <v>31030.881999999998</v>
          </cell>
          <cell r="F39">
            <v>31990.6</v>
          </cell>
          <cell r="G39">
            <v>8245</v>
          </cell>
          <cell r="H39">
            <v>8245</v>
          </cell>
          <cell r="I39">
            <v>8245</v>
          </cell>
          <cell r="J39">
            <v>8245</v>
          </cell>
          <cell r="K39">
            <v>32980</v>
          </cell>
          <cell r="L39">
            <v>8500</v>
          </cell>
          <cell r="M39">
            <v>8500</v>
          </cell>
          <cell r="N39">
            <v>8500</v>
          </cell>
          <cell r="O39">
            <v>8500</v>
          </cell>
          <cell r="P39">
            <v>34000</v>
          </cell>
          <cell r="Q39">
            <v>11298.69</v>
          </cell>
          <cell r="R39">
            <v>11298.69</v>
          </cell>
          <cell r="S39">
            <v>11298.69</v>
          </cell>
          <cell r="T39">
            <v>11298.69</v>
          </cell>
          <cell r="U39">
            <v>45194.76</v>
          </cell>
          <cell r="V39">
            <v>45194.76</v>
          </cell>
          <cell r="W39">
            <v>11700</v>
          </cell>
          <cell r="X39">
            <v>11700</v>
          </cell>
          <cell r="Y39">
            <v>11700</v>
          </cell>
          <cell r="Z39">
            <v>46800</v>
          </cell>
          <cell r="AB39">
            <v>11887.2</v>
          </cell>
          <cell r="AC39">
            <v>12074.4</v>
          </cell>
          <cell r="AD39">
            <v>12261.6</v>
          </cell>
          <cell r="AE39">
            <v>12448.800000000001</v>
          </cell>
          <cell r="AF39">
            <v>48672</v>
          </cell>
          <cell r="AH39">
            <v>11637.6507</v>
          </cell>
          <cell r="AI39">
            <v>11637.6507</v>
          </cell>
          <cell r="AJ39">
            <v>11637.6507</v>
          </cell>
          <cell r="AK39">
            <v>11637.6507</v>
          </cell>
          <cell r="AL39">
            <v>46550.602800000001</v>
          </cell>
          <cell r="AM39">
            <v>46800</v>
          </cell>
          <cell r="AP39">
            <v>12752.064</v>
          </cell>
          <cell r="AQ39">
            <v>12946.752</v>
          </cell>
          <cell r="AR39">
            <v>48672</v>
          </cell>
          <cell r="AS39">
            <v>12243.816000000001</v>
          </cell>
          <cell r="AT39">
            <v>12436.632</v>
          </cell>
          <cell r="AU39">
            <v>12629.448000000002</v>
          </cell>
          <cell r="AV39">
            <v>12822.264000000001</v>
          </cell>
          <cell r="AW39">
            <v>50132.160000000003</v>
          </cell>
          <cell r="AY39">
            <v>12611.130480000002</v>
          </cell>
          <cell r="AZ39">
            <v>12809.730960000001</v>
          </cell>
          <cell r="BA39">
            <v>13008.331440000002</v>
          </cell>
          <cell r="BB39">
            <v>13206.931920000003</v>
          </cell>
          <cell r="BC39">
            <v>51636.124800000005</v>
          </cell>
          <cell r="BE39">
            <v>12989.464394400002</v>
          </cell>
          <cell r="BF39">
            <v>13194.0228888</v>
          </cell>
          <cell r="BG39">
            <v>13398.581383200002</v>
          </cell>
          <cell r="BH39">
            <v>13603.139877600002</v>
          </cell>
          <cell r="BI39">
            <v>53185.208544000001</v>
          </cell>
          <cell r="BK39">
            <v>54780.764800320008</v>
          </cell>
          <cell r="BL39">
            <v>56424.187744329611</v>
          </cell>
          <cell r="BM39">
            <v>58116.913376659497</v>
          </cell>
          <cell r="BN39">
            <v>59860.420777959291</v>
          </cell>
        </row>
        <row r="40">
          <cell r="A40" t="str">
            <v>Total Non-RN Hospital Salary and Benefits</v>
          </cell>
          <cell r="C40" t="e">
            <v>#REF!</v>
          </cell>
          <cell r="D40" t="e">
            <v>#REF!</v>
          </cell>
          <cell r="E40" t="e">
            <v>#REF!</v>
          </cell>
          <cell r="F40" t="e">
            <v>#REF!</v>
          </cell>
          <cell r="G40" t="e">
            <v>#REF!</v>
          </cell>
          <cell r="H40" t="e">
            <v>#REF!</v>
          </cell>
          <cell r="I40">
            <v>64.405002037223682</v>
          </cell>
          <cell r="J40">
            <v>72.871474217910773</v>
          </cell>
          <cell r="K40">
            <v>281.5289780784754</v>
          </cell>
          <cell r="L40">
            <v>83.650325872347821</v>
          </cell>
          <cell r="M40">
            <v>88.474780589638712</v>
          </cell>
          <cell r="N40">
            <v>90.499328155818517</v>
          </cell>
          <cell r="O40">
            <v>87.660733455014764</v>
          </cell>
          <cell r="P40">
            <v>338.13142765754748</v>
          </cell>
          <cell r="Q40">
            <v>131.61227012339833</v>
          </cell>
          <cell r="R40">
            <v>124.55984462107851</v>
          </cell>
          <cell r="S40">
            <v>128.83353788407058</v>
          </cell>
          <cell r="T40">
            <v>142.70722649001513</v>
          </cell>
          <cell r="U40">
            <v>527.71287911856257</v>
          </cell>
          <cell r="V40">
            <v>169.46836190833713</v>
          </cell>
          <cell r="W40">
            <v>169.55054561095412</v>
          </cell>
          <cell r="X40">
            <v>172.56203033008535</v>
          </cell>
          <cell r="Y40">
            <v>173.51517388651231</v>
          </cell>
          <cell r="Z40">
            <v>691.11533593952981</v>
          </cell>
          <cell r="AA40">
            <v>6.0192242036409027</v>
          </cell>
          <cell r="AB40">
            <v>161.15612504233192</v>
          </cell>
          <cell r="AC40">
            <v>161.43142307317663</v>
          </cell>
          <cell r="AD40">
            <v>171.49338851192823</v>
          </cell>
          <cell r="AE40">
            <v>185.68421258368409</v>
          </cell>
          <cell r="AF40">
            <v>680.32018330584754</v>
          </cell>
          <cell r="AG40">
            <v>0.55503409472663634</v>
          </cell>
          <cell r="AH40">
            <v>200.63125696129882</v>
          </cell>
          <cell r="AI40">
            <v>210.05339229513865</v>
          </cell>
          <cell r="AJ40">
            <v>218.02609826306065</v>
          </cell>
          <cell r="AK40">
            <v>830.60188431813185</v>
          </cell>
          <cell r="AL40">
            <v>853.51049999999998</v>
          </cell>
          <cell r="AM40">
            <v>527.97107540703837</v>
          </cell>
          <cell r="AP40">
            <v>164.29755063639624</v>
          </cell>
          <cell r="AQ40">
            <v>177.84874842628415</v>
          </cell>
          <cell r="AR40">
            <v>669.10994181444335</v>
          </cell>
          <cell r="AS40">
            <v>183.07828771081526</v>
          </cell>
          <cell r="AT40">
            <v>183.57835419226677</v>
          </cell>
          <cell r="AU40">
            <v>193.7821734295558</v>
          </cell>
          <cell r="AV40">
            <v>199.31456089027719</v>
          </cell>
          <cell r="AW40">
            <v>759.77388361866929</v>
          </cell>
          <cell r="AX40">
            <v>2.0507395754236768E-2</v>
          </cell>
          <cell r="AY40">
            <v>211.68795754320357</v>
          </cell>
          <cell r="AZ40">
            <v>219.80895976220867</v>
          </cell>
          <cell r="BA40">
            <v>226.49290571704543</v>
          </cell>
          <cell r="BB40">
            <v>236.48112922479856</v>
          </cell>
          <cell r="BC40">
            <v>894.47095224725626</v>
          </cell>
          <cell r="BD40">
            <v>0</v>
          </cell>
          <cell r="BE40">
            <v>242.3434784270766</v>
          </cell>
          <cell r="BF40">
            <v>253.26524573468723</v>
          </cell>
          <cell r="BG40">
            <v>278.06490546037162</v>
          </cell>
          <cell r="BH40">
            <v>280.88948272337404</v>
          </cell>
          <cell r="BI40">
            <v>1054.5631123455096</v>
          </cell>
          <cell r="BJ40">
            <v>0</v>
          </cell>
          <cell r="BK40">
            <v>1175.8319106461922</v>
          </cell>
          <cell r="BL40">
            <v>1298.1719117928494</v>
          </cell>
          <cell r="BM40">
            <v>1401.6053894634911</v>
          </cell>
          <cell r="BN40">
            <v>1503.6433083680968</v>
          </cell>
        </row>
        <row r="42">
          <cell r="A42" t="str">
            <v>Corporate Salaries and Benefits</v>
          </cell>
          <cell r="C42">
            <v>10</v>
          </cell>
          <cell r="D42">
            <v>10</v>
          </cell>
          <cell r="E42">
            <v>10</v>
          </cell>
          <cell r="F42">
            <v>10</v>
          </cell>
          <cell r="G42">
            <v>3</v>
          </cell>
          <cell r="H42">
            <v>3</v>
          </cell>
          <cell r="I42">
            <v>3</v>
          </cell>
          <cell r="J42">
            <v>3</v>
          </cell>
          <cell r="K42">
            <v>12</v>
          </cell>
          <cell r="L42">
            <v>3.75</v>
          </cell>
          <cell r="M42">
            <v>3.75</v>
          </cell>
          <cell r="N42">
            <v>3.75</v>
          </cell>
          <cell r="O42">
            <v>3.75</v>
          </cell>
          <cell r="P42">
            <v>15</v>
          </cell>
          <cell r="Q42">
            <v>3.9375</v>
          </cell>
          <cell r="R42">
            <v>3.9375</v>
          </cell>
          <cell r="S42">
            <v>3.9375</v>
          </cell>
          <cell r="T42">
            <v>3.9375</v>
          </cell>
          <cell r="U42">
            <v>15.75</v>
          </cell>
          <cell r="V42">
            <v>4.1343750000000004</v>
          </cell>
          <cell r="W42">
            <v>4.1343750000000004</v>
          </cell>
          <cell r="X42">
            <v>4.1343750000000004</v>
          </cell>
          <cell r="Y42">
            <v>4.1343750000000004</v>
          </cell>
          <cell r="Z42">
            <v>16.537500000000001</v>
          </cell>
          <cell r="AB42">
            <v>4.3410937500000006</v>
          </cell>
          <cell r="AC42">
            <v>4.3410937500000006</v>
          </cell>
          <cell r="AD42">
            <v>4.3410937500000006</v>
          </cell>
          <cell r="AE42">
            <v>4.3410937500000006</v>
          </cell>
          <cell r="AF42">
            <v>17.364375000000003</v>
          </cell>
          <cell r="AH42">
            <v>4.1343750000000004</v>
          </cell>
          <cell r="AI42">
            <v>4.1343750000000004</v>
          </cell>
          <cell r="AJ42">
            <v>4.1343750000000004</v>
          </cell>
          <cell r="AK42">
            <v>4.1343750000000004</v>
          </cell>
          <cell r="AL42">
            <v>16.537500000000001</v>
          </cell>
          <cell r="AM42">
            <v>4.5581484375000008</v>
          </cell>
          <cell r="AP42">
            <v>4.5581484375000008</v>
          </cell>
          <cell r="AQ42">
            <v>4.5581484375000008</v>
          </cell>
          <cell r="AR42">
            <v>18.232593750000003</v>
          </cell>
          <cell r="AS42">
            <v>4.5581484375000008</v>
          </cell>
          <cell r="AT42">
            <v>4.5581484375000008</v>
          </cell>
          <cell r="AU42">
            <v>4.5581484375000008</v>
          </cell>
          <cell r="AV42">
            <v>4.5581484375000008</v>
          </cell>
          <cell r="AW42">
            <v>18.232593750000003</v>
          </cell>
          <cell r="AY42">
            <v>4.7860558593750007</v>
          </cell>
          <cell r="AZ42">
            <v>4.7860558593750007</v>
          </cell>
          <cell r="BA42">
            <v>4.7860558593750007</v>
          </cell>
          <cell r="BB42">
            <v>4.7860558593750007</v>
          </cell>
          <cell r="BC42">
            <v>19.144223437500003</v>
          </cell>
          <cell r="BE42">
            <v>5.0253586523437512</v>
          </cell>
          <cell r="BF42">
            <v>5.0253586523437512</v>
          </cell>
          <cell r="BG42">
            <v>5.0253586523437512</v>
          </cell>
          <cell r="BH42">
            <v>5.0253586523437512</v>
          </cell>
          <cell r="BI42">
            <v>20.101434609375005</v>
          </cell>
          <cell r="BK42">
            <v>21.106506339843754</v>
          </cell>
          <cell r="BL42">
            <v>22.161831656835943</v>
          </cell>
          <cell r="BM42">
            <v>23.269923239677741</v>
          </cell>
          <cell r="BN42">
            <v>24.433419401661631</v>
          </cell>
        </row>
        <row r="44">
          <cell r="A44" t="str">
            <v>SW&amp;B Expense Per Adjusted Admission</v>
          </cell>
          <cell r="C44">
            <v>1842.1409328882939</v>
          </cell>
          <cell r="D44">
            <v>1960.626434236483</v>
          </cell>
          <cell r="E44">
            <v>1932.0652527698578</v>
          </cell>
          <cell r="F44">
            <v>1853.8133559226317</v>
          </cell>
          <cell r="G44">
            <v>1893.0856322160673</v>
          </cell>
          <cell r="H44">
            <v>1984.0298161594314</v>
          </cell>
          <cell r="I44">
            <v>1962.9013257540344</v>
          </cell>
          <cell r="J44">
            <v>1894.2198520557372</v>
          </cell>
          <cell r="K44">
            <v>1932.2968028533774</v>
          </cell>
          <cell r="L44">
            <v>2467.2840199650132</v>
          </cell>
          <cell r="M44">
            <v>2446.4529278043428</v>
          </cell>
          <cell r="N44">
            <v>2417.5856709347941</v>
          </cell>
          <cell r="O44">
            <v>2802.5883856723704</v>
          </cell>
          <cell r="P44">
            <v>2538.1089021755283</v>
          </cell>
          <cell r="Q44">
            <v>2019.1759591263117</v>
          </cell>
          <cell r="R44">
            <v>2121.760530824246</v>
          </cell>
          <cell r="S44">
            <v>2123.6590598790717</v>
          </cell>
          <cell r="T44">
            <v>2282.0191363792269</v>
          </cell>
          <cell r="U44">
            <v>2139.9957588726311</v>
          </cell>
          <cell r="V44">
            <v>2255.5228965216397</v>
          </cell>
          <cell r="W44">
            <v>2257.9608099419211</v>
          </cell>
          <cell r="X44">
            <v>2263.2961327773692</v>
          </cell>
          <cell r="Y44">
            <v>2379.6036300004071</v>
          </cell>
          <cell r="Z44">
            <v>2289.4624733095625</v>
          </cell>
          <cell r="AB44">
            <v>2427.273548270568</v>
          </cell>
          <cell r="AC44">
            <v>2458.6072308956454</v>
          </cell>
          <cell r="AD44">
            <v>2409.9632230023403</v>
          </cell>
          <cell r="AE44">
            <v>2480.1462049831271</v>
          </cell>
          <cell r="AF44">
            <v>2444.1353433490667</v>
          </cell>
          <cell r="AH44">
            <v>2552.5513585155732</v>
          </cell>
          <cell r="AI44">
            <v>2577.6041309662533</v>
          </cell>
          <cell r="AJ44">
            <v>2645.0418532513249</v>
          </cell>
          <cell r="AK44">
            <v>2575.1046561628068</v>
          </cell>
          <cell r="AL44">
            <v>9886909.0909090918</v>
          </cell>
          <cell r="AM44">
            <v>2291.988493271936</v>
          </cell>
          <cell r="AP44">
            <v>2409.4406039272235</v>
          </cell>
          <cell r="AQ44">
            <v>2479.4708785784796</v>
          </cell>
          <cell r="AR44">
            <v>2445.2321624384958</v>
          </cell>
          <cell r="AS44">
            <v>2538.7652431578772</v>
          </cell>
          <cell r="AT44">
            <v>2569.3715862894578</v>
          </cell>
          <cell r="AU44">
            <v>2594.5684422657082</v>
          </cell>
          <cell r="AV44">
            <v>2659.1986487455483</v>
          </cell>
          <cell r="AW44">
            <v>2590.5187777453743</v>
          </cell>
          <cell r="AY44">
            <v>2674.3363095016839</v>
          </cell>
          <cell r="AZ44">
            <v>2749.9698713506673</v>
          </cell>
          <cell r="BA44">
            <v>2755.6538621139366</v>
          </cell>
          <cell r="BB44">
            <v>2857.6379455927163</v>
          </cell>
          <cell r="BC44">
            <v>2759.6263313801778</v>
          </cell>
          <cell r="BE44">
            <v>2821.6361198033078</v>
          </cell>
          <cell r="BF44">
            <v>2832.0778682678656</v>
          </cell>
          <cell r="BG44">
            <v>2954.514955623592</v>
          </cell>
          <cell r="BH44">
            <v>3008.3335393476827</v>
          </cell>
          <cell r="BI44">
            <v>2905.2238025566312</v>
          </cell>
          <cell r="BK44">
            <v>2991.8311997157739</v>
          </cell>
          <cell r="BL44">
            <v>3093.7048964756418</v>
          </cell>
          <cell r="BM44">
            <v>3199.5254544398003</v>
          </cell>
          <cell r="BN44">
            <v>3309.3434811132033</v>
          </cell>
        </row>
        <row r="45">
          <cell r="A45" t="str">
            <v>% Change</v>
          </cell>
          <cell r="C45" t="str">
            <v>NA</v>
          </cell>
          <cell r="D45">
            <v>6.4319455277732418E-2</v>
          </cell>
          <cell r="E45">
            <v>-1.4567375491776224E-2</v>
          </cell>
          <cell r="F45">
            <v>-4.0501684265084825E-2</v>
          </cell>
          <cell r="G45" t="str">
            <v>NA</v>
          </cell>
          <cell r="H45" t="str">
            <v>NA</v>
          </cell>
          <cell r="I45" t="str">
            <v>NA</v>
          </cell>
          <cell r="J45" t="str">
            <v>NA</v>
          </cell>
          <cell r="K45">
            <v>4.2336218303748785E-2</v>
          </cell>
          <cell r="L45">
            <v>0.30331347825865795</v>
          </cell>
          <cell r="M45">
            <v>0.23307266245627445</v>
          </cell>
          <cell r="N45">
            <v>0.23163892102731953</v>
          </cell>
          <cell r="O45">
            <v>0.47954757344075416</v>
          </cell>
          <cell r="P45">
            <v>0.31351917491534564</v>
          </cell>
          <cell r="Q45">
            <v>-0.18161997451961598</v>
          </cell>
          <cell r="R45">
            <v>-0.13271965844505484</v>
          </cell>
          <cell r="S45">
            <v>-0.12157857096417657</v>
          </cell>
          <cell r="T45">
            <v>-0.18574588118413737</v>
          </cell>
          <cell r="U45">
            <v>-0.15685424016347616</v>
          </cell>
          <cell r="V45">
            <v>0.11705118433442241</v>
          </cell>
          <cell r="W45">
            <v>6.4192107044598989E-2</v>
          </cell>
          <cell r="X45">
            <v>6.5753055910136915E-2</v>
          </cell>
          <cell r="Y45">
            <v>4.2762346759288361E-2</v>
          </cell>
          <cell r="Z45">
            <v>6.9844397502764943E-2</v>
          </cell>
          <cell r="AB45">
            <v>7.6146711706537751E-2</v>
          </cell>
          <cell r="AC45">
            <v>8.8861781865419154E-2</v>
          </cell>
          <cell r="AD45">
            <v>6.4802430446868176E-2</v>
          </cell>
          <cell r="AE45">
            <v>4.2251816107165219E-2</v>
          </cell>
          <cell r="AF45">
            <v>6.7558595889940509E-2</v>
          </cell>
          <cell r="AH45">
            <v>0.26415498707703056</v>
          </cell>
          <cell r="AI45">
            <v>0.21484215278758367</v>
          </cell>
          <cell r="AJ45">
            <v>6.6486261147382431E-2</v>
          </cell>
          <cell r="AK45">
            <v>5.3585131105824857E-2</v>
          </cell>
          <cell r="AL45" t="e">
            <v>#DIV/0!</v>
          </cell>
          <cell r="AM45">
            <v>7.1024783002082259E-2</v>
          </cell>
          <cell r="AP45">
            <v>6.7086989870829061E-2</v>
          </cell>
          <cell r="AQ45">
            <v>9.5513239593545851E-2</v>
          </cell>
          <cell r="AR45">
            <v>6.6860575267459588E-2</v>
          </cell>
          <cell r="AS45">
            <v>4.5932892469720654E-2</v>
          </cell>
          <cell r="AT45">
            <v>4.5051667465185963E-2</v>
          </cell>
          <cell r="AU45">
            <v>7.6834364805149713E-2</v>
          </cell>
          <cell r="AV45">
            <v>7.2486340420384154E-2</v>
          </cell>
          <cell r="AW45">
            <v>5.9416286739003121E-2</v>
          </cell>
          <cell r="AY45">
            <v>5.3400394821529362E-2</v>
          </cell>
          <cell r="AZ45">
            <v>7.0288893216110981E-2</v>
          </cell>
          <cell r="BA45">
            <v>6.2085631361322058E-2</v>
          </cell>
          <cell r="BB45">
            <v>7.4623720548586903E-2</v>
          </cell>
          <cell r="BC45">
            <v>6.5279416265024759E-2</v>
          </cell>
          <cell r="BE45">
            <v>5.5079015222685435E-2</v>
          </cell>
          <cell r="BF45">
            <v>2.9857780542472012E-2</v>
          </cell>
          <cell r="BG45">
            <v>7.2164757788956813E-2</v>
          </cell>
          <cell r="BH45">
            <v>5.2734319960785037E-2</v>
          </cell>
          <cell r="BI45">
            <v>5.2759849955350768E-2</v>
          </cell>
          <cell r="BK45">
            <v>2.9810920963447618E-2</v>
          </cell>
          <cell r="BL45">
            <v>3.4050616481820839E-2</v>
          </cell>
          <cell r="BM45">
            <v>3.4205123470150589E-2</v>
          </cell>
          <cell r="BN45">
            <v>3.4323223314574491E-2</v>
          </cell>
        </row>
        <row r="46">
          <cell r="A46" t="str">
            <v>SW&amp;B Expense Per Adjusted Patient Day</v>
          </cell>
          <cell r="C46">
            <v>347.73368921289392</v>
          </cell>
          <cell r="D46">
            <v>417.4730983569151</v>
          </cell>
          <cell r="E46">
            <v>426.60557819008648</v>
          </cell>
          <cell r="F46">
            <v>445.23184952401573</v>
          </cell>
          <cell r="G46">
            <v>453.02500254310303</v>
          </cell>
          <cell r="H46">
            <v>498.42021576416766</v>
          </cell>
          <cell r="I46">
            <v>503.94608490566105</v>
          </cell>
          <cell r="J46">
            <v>493.14674941191225</v>
          </cell>
          <cell r="K46">
            <v>486.09986090023892</v>
          </cell>
          <cell r="L46">
            <v>618.34888121775225</v>
          </cell>
          <cell r="M46">
            <v>593.42688607713069</v>
          </cell>
          <cell r="N46">
            <v>607.19097168752899</v>
          </cell>
          <cell r="O46">
            <v>740.56676784459307</v>
          </cell>
          <cell r="P46">
            <v>662.75235506047443</v>
          </cell>
          <cell r="Q46">
            <v>522.41303390945325</v>
          </cell>
          <cell r="R46">
            <v>560.29638792096966</v>
          </cell>
          <cell r="S46">
            <v>566.95800935954367</v>
          </cell>
          <cell r="T46">
            <v>604.68963082591517</v>
          </cell>
          <cell r="U46">
            <v>564.47965252156348</v>
          </cell>
          <cell r="V46">
            <v>573.11220541733405</v>
          </cell>
          <cell r="W46">
            <v>585.12534723798888</v>
          </cell>
          <cell r="X46">
            <v>594.35554379379948</v>
          </cell>
          <cell r="Y46">
            <v>624.28594902511952</v>
          </cell>
          <cell r="Z46">
            <v>594.21150478699849</v>
          </cell>
          <cell r="AB46">
            <v>610.13390187963398</v>
          </cell>
          <cell r="AC46">
            <v>642.87364935665823</v>
          </cell>
          <cell r="AD46">
            <v>619.81533096286648</v>
          </cell>
          <cell r="AE46">
            <v>609.41118019789383</v>
          </cell>
          <cell r="AF46">
            <v>619.67727794812197</v>
          </cell>
          <cell r="AH46">
            <v>630.72638274866642</v>
          </cell>
          <cell r="AI46">
            <v>643.50840750863028</v>
          </cell>
          <cell r="AJ46">
            <v>653.66125599760994</v>
          </cell>
          <cell r="AK46">
            <v>630.10872361467523</v>
          </cell>
          <cell r="AL46" t="e">
            <v>#DIV/0!</v>
          </cell>
          <cell r="AM46">
            <v>594.82194823889733</v>
          </cell>
          <cell r="AP46">
            <v>620.11963188451296</v>
          </cell>
          <cell r="AQ46">
            <v>609.37431739182432</v>
          </cell>
          <cell r="AR46">
            <v>619.77651558401988</v>
          </cell>
          <cell r="AS46">
            <v>609.75424956975587</v>
          </cell>
          <cell r="AT46">
            <v>630.56169827555141</v>
          </cell>
          <cell r="AU46">
            <v>644.60777963336727</v>
          </cell>
          <cell r="AV46">
            <v>653.61385394472961</v>
          </cell>
          <cell r="AW46">
            <v>634.62946802883755</v>
          </cell>
          <cell r="AY46">
            <v>631.88194017596959</v>
          </cell>
          <cell r="AZ46">
            <v>664.18541376642133</v>
          </cell>
          <cell r="BA46">
            <v>686.52678480694942</v>
          </cell>
          <cell r="BB46">
            <v>693.33168569924248</v>
          </cell>
          <cell r="BC46">
            <v>668.71844497692985</v>
          </cell>
          <cell r="BE46">
            <v>668.60911161440254</v>
          </cell>
          <cell r="BF46">
            <v>691.86923878219511</v>
          </cell>
          <cell r="BG46">
            <v>738.62873890589799</v>
          </cell>
          <cell r="BH46">
            <v>752.08338483692069</v>
          </cell>
          <cell r="BI46">
            <v>712.62070402754262</v>
          </cell>
          <cell r="BK46">
            <v>747.95779992894347</v>
          </cell>
          <cell r="BL46">
            <v>793.25766576298508</v>
          </cell>
          <cell r="BM46">
            <v>820.39114216405142</v>
          </cell>
          <cell r="BN46">
            <v>848.54961054184696</v>
          </cell>
        </row>
        <row r="47">
          <cell r="A47" t="str">
            <v>% Change</v>
          </cell>
          <cell r="C47" t="str">
            <v>NA</v>
          </cell>
          <cell r="D47">
            <v>0.20055407717865514</v>
          </cell>
          <cell r="E47">
            <v>2.1875612749934881E-2</v>
          </cell>
          <cell r="F47">
            <v>4.3661574733628417E-2</v>
          </cell>
          <cell r="G47" t="str">
            <v>NA</v>
          </cell>
          <cell r="H47" t="str">
            <v>NA</v>
          </cell>
          <cell r="I47" t="str">
            <v>NA</v>
          </cell>
          <cell r="J47" t="str">
            <v>NA</v>
          </cell>
          <cell r="K47">
            <v>9.179040407804151E-2</v>
          </cell>
          <cell r="L47">
            <v>0.3649332327058914</v>
          </cell>
          <cell r="M47">
            <v>0.19061560367751285</v>
          </cell>
          <cell r="N47">
            <v>0.20487288198934106</v>
          </cell>
          <cell r="O47">
            <v>0.50171681903557985</v>
          </cell>
          <cell r="P47">
            <v>0.36340782701126817</v>
          </cell>
          <cell r="Q47">
            <v>-0.15514841252622091</v>
          </cell>
          <cell r="R47">
            <v>-5.5829115487455172E-2</v>
          </cell>
          <cell r="S47">
            <v>-6.6260804596893652E-2</v>
          </cell>
          <cell r="T47">
            <v>-0.18347722706238356</v>
          </cell>
          <cell r="U47">
            <v>-0.14827967307629386</v>
          </cell>
          <cell r="V47">
            <v>9.7048060092367772E-2</v>
          </cell>
          <cell r="W47">
            <v>4.4313973554513275E-2</v>
          </cell>
          <cell r="X47">
            <v>4.832374528971739E-2</v>
          </cell>
          <cell r="Y47">
            <v>3.2407233728216411E-2</v>
          </cell>
          <cell r="Z47">
            <v>5.2671255965774932E-2</v>
          </cell>
          <cell r="AB47">
            <v>6.4597640937242184E-2</v>
          </cell>
          <cell r="AC47">
            <v>9.8693899335010826E-2</v>
          </cell>
          <cell r="AD47">
            <v>4.2835954732677317E-2</v>
          </cell>
          <cell r="AE47">
            <v>-2.3826851862442266E-2</v>
          </cell>
          <cell r="AF47">
            <v>4.2856412162958657E-2</v>
          </cell>
          <cell r="AH47">
            <v>0.20733278423138746</v>
          </cell>
          <cell r="AI47">
            <v>0.14851428883278417</v>
          </cell>
          <cell r="AJ47">
            <v>7.2611197886699008E-2</v>
          </cell>
          <cell r="AK47">
            <v>1.6833674620269967E-2</v>
          </cell>
          <cell r="AL47" t="e">
            <v>#DIV/0!</v>
          </cell>
          <cell r="AM47">
            <v>5.3752682814682595E-2</v>
          </cell>
          <cell r="AP47">
            <v>5.9806475333379794E-2</v>
          </cell>
          <cell r="AQ47">
            <v>2.5269005656377574E-2</v>
          </cell>
          <cell r="AR47">
            <v>4.1953003615629925E-2</v>
          </cell>
          <cell r="AS47">
            <v>-6.2224424623602559E-4</v>
          </cell>
          <cell r="AT47">
            <v>-1.9151432156890746E-2</v>
          </cell>
          <cell r="AU47">
            <v>3.9489392836082438E-2</v>
          </cell>
          <cell r="AV47">
            <v>7.2598295153386783E-2</v>
          </cell>
          <cell r="AW47">
            <v>2.3965013309388938E-2</v>
          </cell>
          <cell r="AY47">
            <v>3.6289522577049871E-2</v>
          </cell>
          <cell r="AZ47">
            <v>5.3323434618409937E-2</v>
          </cell>
          <cell r="BA47">
            <v>6.5030250173872206E-2</v>
          </cell>
          <cell r="BB47">
            <v>6.0766508412888554E-2</v>
          </cell>
          <cell r="BC47">
            <v>5.3714771635128722E-2</v>
          </cell>
          <cell r="BE47">
            <v>5.8123470704361191E-2</v>
          </cell>
          <cell r="BF47">
            <v>4.1680868688136474E-2</v>
          </cell>
          <cell r="BG47">
            <v>7.5892092270805733E-2</v>
          </cell>
          <cell r="BH47">
            <v>8.4738228973951557E-2</v>
          </cell>
          <cell r="BI47">
            <v>6.5651335596294658E-2</v>
          </cell>
          <cell r="BK47">
            <v>4.9587523491367858E-2</v>
          </cell>
          <cell r="BL47">
            <v>6.0564734853149726E-2</v>
          </cell>
          <cell r="BM47">
            <v>3.4205123470150589E-2</v>
          </cell>
          <cell r="BN47">
            <v>3.4323223314574491E-2</v>
          </cell>
        </row>
        <row r="48">
          <cell r="A48" t="str">
            <v>Total Salaries and Benefits Expense</v>
          </cell>
          <cell r="C48">
            <v>217.45</v>
          </cell>
          <cell r="D48">
            <v>243.5</v>
          </cell>
          <cell r="E48">
            <v>296.8</v>
          </cell>
          <cell r="F48">
            <v>328.26400000000001</v>
          </cell>
          <cell r="G48">
            <v>101.49400000000001</v>
          </cell>
          <cell r="H48">
            <v>102.741</v>
          </cell>
          <cell r="I48">
            <v>104.974</v>
          </cell>
          <cell r="J48">
            <v>110.111</v>
          </cell>
          <cell r="K48">
            <v>419.32</v>
          </cell>
          <cell r="L48">
            <v>153.73400000000001</v>
          </cell>
          <cell r="M48">
            <v>156.047</v>
          </cell>
          <cell r="N48">
            <v>163.32</v>
          </cell>
          <cell r="O48">
            <v>192.947</v>
          </cell>
          <cell r="P48">
            <v>666.048</v>
          </cell>
          <cell r="Q48">
            <v>153.73400000000001</v>
          </cell>
          <cell r="R48">
            <v>156.047</v>
          </cell>
          <cell r="S48">
            <v>163.32</v>
          </cell>
          <cell r="T48">
            <v>192.947</v>
          </cell>
          <cell r="U48">
            <v>666.048</v>
          </cell>
          <cell r="V48">
            <v>217.16399999999999</v>
          </cell>
          <cell r="W48">
            <v>214.215</v>
          </cell>
          <cell r="X48">
            <v>221.459</v>
          </cell>
          <cell r="Y48">
            <v>233.89599999999999</v>
          </cell>
          <cell r="Z48">
            <v>886.73399999999992</v>
          </cell>
          <cell r="AA48">
            <v>0</v>
          </cell>
          <cell r="AB48">
            <v>268.77199999999999</v>
          </cell>
          <cell r="AC48">
            <v>263.30700000000002</v>
          </cell>
          <cell r="AD48">
            <v>288.32799999999997</v>
          </cell>
          <cell r="AE48">
            <v>318.23500000000001</v>
          </cell>
          <cell r="AF48">
            <v>1138.6419999999998</v>
          </cell>
          <cell r="AH48">
            <v>327.40300000000002</v>
          </cell>
          <cell r="AI48">
            <v>338.44200000000001</v>
          </cell>
          <cell r="AJ48">
            <v>347.90499999999997</v>
          </cell>
          <cell r="AK48">
            <v>1335.4570000000001</v>
          </cell>
          <cell r="AL48">
            <v>870.048</v>
          </cell>
          <cell r="AM48">
            <v>870.048</v>
          </cell>
          <cell r="AP48">
            <v>284.06099999999998</v>
          </cell>
          <cell r="AQ48">
            <v>313.96300000000002</v>
          </cell>
          <cell r="AR48">
            <v>1121.6500000000001</v>
          </cell>
          <cell r="AS48">
            <v>311.86699999999996</v>
          </cell>
          <cell r="AT48">
            <v>309.06200000000001</v>
          </cell>
          <cell r="AU48">
            <v>324.44299999999998</v>
          </cell>
          <cell r="AV48">
            <v>333.76400000000001</v>
          </cell>
          <cell r="AW48">
            <v>1279.136</v>
          </cell>
          <cell r="AY48">
            <v>359.733</v>
          </cell>
          <cell r="AZ48">
            <v>365.09699999999998</v>
          </cell>
          <cell r="BA48">
            <v>371.88099999999997</v>
          </cell>
          <cell r="BB48">
            <v>389.19600000000003</v>
          </cell>
          <cell r="BC48">
            <v>1485.9069999999997</v>
          </cell>
          <cell r="BE48">
            <v>403.96800000000002</v>
          </cell>
          <cell r="BF48">
            <v>416.947</v>
          </cell>
          <cell r="BG48">
            <v>443.68475489753058</v>
          </cell>
          <cell r="BH48">
            <v>447.37675980784832</v>
          </cell>
          <cell r="BI48">
            <v>1711.976514705379</v>
          </cell>
          <cell r="BK48">
            <v>1885.9954356059284</v>
          </cell>
          <cell r="BL48">
            <v>2046.4747334259089</v>
          </cell>
          <cell r="BM48">
            <v>2203.5831578519401</v>
          </cell>
          <cell r="BN48">
            <v>2357.7992525703253</v>
          </cell>
        </row>
        <row r="50">
          <cell r="A50" t="str">
            <v>Supply Expense Per Adjusted Admission</v>
          </cell>
          <cell r="C50">
            <v>522.27173378966813</v>
          </cell>
          <cell r="D50">
            <v>569.26607351342648</v>
          </cell>
          <cell r="E50">
            <v>588.47270502154697</v>
          </cell>
          <cell r="F50">
            <v>568.30721445715096</v>
          </cell>
          <cell r="G50">
            <v>597.16859716859699</v>
          </cell>
          <cell r="H50">
            <v>582.11030434110921</v>
          </cell>
          <cell r="I50">
            <v>576.91804259615924</v>
          </cell>
          <cell r="J50">
            <v>584.03578186822642</v>
          </cell>
          <cell r="K50">
            <v>583.82256711795992</v>
          </cell>
          <cell r="L50">
            <v>577.4286218684299</v>
          </cell>
          <cell r="M50">
            <v>571.15309241984789</v>
          </cell>
          <cell r="N50">
            <v>592.19894900451482</v>
          </cell>
          <cell r="O50">
            <v>607.07956889289142</v>
          </cell>
          <cell r="P50">
            <v>587.65180874860437</v>
          </cell>
          <cell r="Q50">
            <v>614.14292656658392</v>
          </cell>
          <cell r="R50">
            <v>627.21290076958633</v>
          </cell>
          <cell r="S50">
            <v>625.99310838046938</v>
          </cell>
          <cell r="T50">
            <v>650.23476954737373</v>
          </cell>
          <cell r="U50">
            <v>629.76885855840226</v>
          </cell>
          <cell r="V50">
            <v>664.72097298532424</v>
          </cell>
          <cell r="W50">
            <v>652.51762920175815</v>
          </cell>
          <cell r="X50">
            <v>643.44697898781783</v>
          </cell>
          <cell r="Y50">
            <v>669.65775444593658</v>
          </cell>
          <cell r="Z50">
            <v>657.57750231725925</v>
          </cell>
          <cell r="AB50">
            <v>693.75959541226405</v>
          </cell>
          <cell r="AC50">
            <v>711.06297153955325</v>
          </cell>
          <cell r="AD50">
            <v>704.02039451688404</v>
          </cell>
          <cell r="AE50">
            <v>741.75648609260168</v>
          </cell>
          <cell r="AF50">
            <v>713.46113805013022</v>
          </cell>
          <cell r="AH50">
            <v>753.47912524850892</v>
          </cell>
          <cell r="AI50">
            <v>790.84698517147626</v>
          </cell>
          <cell r="AJ50">
            <v>808.11367662376165</v>
          </cell>
          <cell r="AK50">
            <v>779.13741339714579</v>
          </cell>
          <cell r="AL50">
            <v>2853568.1818181816</v>
          </cell>
          <cell r="AM50">
            <v>661.51568476623004</v>
          </cell>
          <cell r="AP50">
            <v>705.49217524068024</v>
          </cell>
          <cell r="AQ50">
            <v>744.13425468904245</v>
          </cell>
          <cell r="AR50">
            <v>716.13157797209124</v>
          </cell>
          <cell r="AS50">
            <v>768.46681102554487</v>
          </cell>
          <cell r="AT50">
            <v>766.84097200861277</v>
          </cell>
          <cell r="AU50">
            <v>800.77890713091881</v>
          </cell>
          <cell r="AV50">
            <v>819.10240373507122</v>
          </cell>
          <cell r="AW50">
            <v>788.98933929555096</v>
          </cell>
          <cell r="AY50">
            <v>837.5101291325002</v>
          </cell>
          <cell r="AZ50">
            <v>831.76915428881318</v>
          </cell>
          <cell r="BA50">
            <v>818.66886003912498</v>
          </cell>
          <cell r="BB50">
            <v>841.76364771100259</v>
          </cell>
          <cell r="BC50">
            <v>832.41556704955951</v>
          </cell>
          <cell r="BE50">
            <v>857.87326776933389</v>
          </cell>
          <cell r="BF50">
            <v>853.80681007722978</v>
          </cell>
          <cell r="BG50">
            <v>861.11491168928808</v>
          </cell>
          <cell r="BH50">
            <v>891.91798402770485</v>
          </cell>
          <cell r="BI50">
            <v>866.27511668868465</v>
          </cell>
          <cell r="BK50">
            <v>902.05965820576102</v>
          </cell>
          <cell r="BL50">
            <v>932.77534567104772</v>
          </cell>
          <cell r="BM50">
            <v>964.68104153963827</v>
          </cell>
          <cell r="BN50">
            <v>997.79200435573944</v>
          </cell>
        </row>
        <row r="51">
          <cell r="A51" t="str">
            <v>% Change</v>
          </cell>
          <cell r="C51" t="str">
            <v>NA</v>
          </cell>
          <cell r="D51">
            <v>8.9980630164994135E-2</v>
          </cell>
          <cell r="E51">
            <v>3.3739287130849061E-2</v>
          </cell>
          <cell r="F51">
            <v>-3.4267503645148079E-2</v>
          </cell>
          <cell r="G51" t="str">
            <v>NA</v>
          </cell>
          <cell r="H51" t="str">
            <v>NA</v>
          </cell>
          <cell r="I51" t="str">
            <v>NA</v>
          </cell>
          <cell r="J51" t="str">
            <v>NA</v>
          </cell>
          <cell r="K51">
            <v>2.7300995423099161E-2</v>
          </cell>
          <cell r="L51">
            <v>-3.3055950017736757E-2</v>
          </cell>
          <cell r="M51">
            <v>-1.8823257103589341E-2</v>
          </cell>
          <cell r="N51">
            <v>2.6487135572308862E-2</v>
          </cell>
          <cell r="O51">
            <v>3.9456121936488175E-2</v>
          </cell>
          <cell r="P51">
            <v>6.5589133519581289E-3</v>
          </cell>
          <cell r="Q51">
            <v>6.3582412280421385E-2</v>
          </cell>
          <cell r="R51">
            <v>9.8151982531033077E-2</v>
          </cell>
          <cell r="S51">
            <v>5.7065551083402832E-2</v>
          </cell>
          <cell r="T51">
            <v>7.1086564044945399E-2</v>
          </cell>
          <cell r="U51">
            <v>7.1670076025947216E-2</v>
          </cell>
          <cell r="V51">
            <v>5.9801181017985705E-2</v>
          </cell>
          <cell r="W51">
            <v>4.2371905482971428E-2</v>
          </cell>
          <cell r="X51">
            <v>-1.0438984313743904E-2</v>
          </cell>
          <cell r="Y51">
            <v>6.3338946258542528E-2</v>
          </cell>
          <cell r="Z51">
            <v>4.4156905158050375E-2</v>
          </cell>
          <cell r="AB51">
            <v>4.3685431342002978E-2</v>
          </cell>
          <cell r="AC51">
            <v>8.9722238477165872E-2</v>
          </cell>
          <cell r="AD51">
            <v>9.4138938416265416E-2</v>
          </cell>
          <cell r="AE51">
            <v>0.10766504407362287</v>
          </cell>
          <cell r="AF51">
            <v>8.4984105350229822E-2</v>
          </cell>
          <cell r="AH51">
            <v>0.22687910688949131</v>
          </cell>
          <cell r="AI51">
            <v>0.26089081426914529</v>
          </cell>
          <cell r="AJ51">
            <v>8.9459535272436996E-2</v>
          </cell>
          <cell r="AK51">
            <v>9.2053052148722614E-2</v>
          </cell>
          <cell r="AL51" t="e">
            <v>#DIV/0!</v>
          </cell>
          <cell r="AM51">
            <v>5.0410282719439481E-2</v>
          </cell>
          <cell r="AP51">
            <v>8.1184850290906718E-2</v>
          </cell>
          <cell r="AQ51">
            <v>0.15648107612473683</v>
          </cell>
          <cell r="AR51">
            <v>8.2561750935900458E-2</v>
          </cell>
          <cell r="AS51">
            <v>0.10768458714994256</v>
          </cell>
          <cell r="AT51">
            <v>7.8443123466677145E-2</v>
          </cell>
          <cell r="AU51">
            <v>0.13506419381296642</v>
          </cell>
          <cell r="AV51">
            <v>0.1007454616873622</v>
          </cell>
          <cell r="AW51">
            <v>0.10173795370087579</v>
          </cell>
          <cell r="AY51">
            <v>8.9845543251002136E-2</v>
          </cell>
          <cell r="AZ51">
            <v>8.4669683350554248E-2</v>
          </cell>
          <cell r="BA51">
            <v>2.2340689482323484E-2</v>
          </cell>
          <cell r="BB51">
            <v>2.766594734992478E-2</v>
          </cell>
          <cell r="BC51">
            <v>5.5040322588872481E-2</v>
          </cell>
          <cell r="BE51">
            <v>2.4313901323111065E-2</v>
          </cell>
          <cell r="BF51">
            <v>2.6494918301291692E-2</v>
          </cell>
          <cell r="BG51">
            <v>5.1847644050043051E-2</v>
          </cell>
          <cell r="BH51">
            <v>5.9582445087865699E-2</v>
          </cell>
          <cell r="BI51">
            <v>4.0676257123756221E-2</v>
          </cell>
          <cell r="BK51">
            <v>4.1308518307511699E-2</v>
          </cell>
          <cell r="BL51">
            <v>3.4050616481820839E-2</v>
          </cell>
          <cell r="BM51">
            <v>3.4205123470150589E-2</v>
          </cell>
          <cell r="BN51">
            <v>3.4323223314574269E-2</v>
          </cell>
        </row>
        <row r="52">
          <cell r="A52" t="str">
            <v>Supply Expense Per Adjusted Patient Day</v>
          </cell>
          <cell r="C52">
            <v>98.587178385720435</v>
          </cell>
          <cell r="D52">
            <v>121.2129283525006</v>
          </cell>
          <cell r="E52">
            <v>129.93646990695356</v>
          </cell>
          <cell r="F52">
            <v>136.49080226022431</v>
          </cell>
          <cell r="G52">
            <v>142.90547698799909</v>
          </cell>
          <cell r="H52">
            <v>146.23547545765635</v>
          </cell>
          <cell r="I52">
            <v>148.11523384451732</v>
          </cell>
          <cell r="J52">
            <v>152.0495876209863</v>
          </cell>
          <cell r="K52">
            <v>146.86981226040726</v>
          </cell>
          <cell r="L52">
            <v>144.71473062129073</v>
          </cell>
          <cell r="M52">
            <v>138.54245763568636</v>
          </cell>
          <cell r="N52">
            <v>148.73427634907716</v>
          </cell>
          <cell r="O52">
            <v>160.41704749006084</v>
          </cell>
          <cell r="P52">
            <v>153.44795484143907</v>
          </cell>
          <cell r="Q52">
            <v>158.89465604597632</v>
          </cell>
          <cell r="R52">
            <v>165.62902252786921</v>
          </cell>
          <cell r="S52">
            <v>167.12278034892941</v>
          </cell>
          <cell r="T52">
            <v>172.29926624175118</v>
          </cell>
          <cell r="U52">
            <v>161.12035258351102</v>
          </cell>
          <cell r="V52">
            <v>162</v>
          </cell>
          <cell r="W52">
            <v>175</v>
          </cell>
          <cell r="X52">
            <v>175</v>
          </cell>
          <cell r="Y52">
            <v>175</v>
          </cell>
          <cell r="Z52">
            <v>170.66893287015756</v>
          </cell>
          <cell r="AB52">
            <v>174.38753420145505</v>
          </cell>
          <cell r="AC52">
            <v>185.92788701328956</v>
          </cell>
          <cell r="AD52">
            <v>181.06609663879775</v>
          </cell>
          <cell r="AE52">
            <v>182.26130971670287</v>
          </cell>
          <cell r="AF52">
            <v>180.88836903068824</v>
          </cell>
          <cell r="AH52">
            <v>186.18201806564039</v>
          </cell>
          <cell r="AI52">
            <v>197.43787569890458</v>
          </cell>
          <cell r="AJ52">
            <v>199.70670793031994</v>
          </cell>
          <cell r="AK52">
            <v>190.6490596027551</v>
          </cell>
          <cell r="AL52" t="e">
            <v>#DIV/0!</v>
          </cell>
          <cell r="AM52">
            <v>171.6780208793796</v>
          </cell>
          <cell r="AP52">
            <v>181.57307853722435</v>
          </cell>
          <cell r="AQ52">
            <v>182.88430302475783</v>
          </cell>
          <cell r="AR52">
            <v>181.51304441072367</v>
          </cell>
          <cell r="AS52">
            <v>184.56842551275048</v>
          </cell>
          <cell r="AT52">
            <v>188.19408924628436</v>
          </cell>
          <cell r="AU52">
            <v>198.94958440646656</v>
          </cell>
          <cell r="AV52">
            <v>201.33008082462388</v>
          </cell>
          <cell r="AW52">
            <v>193.2878807824552</v>
          </cell>
          <cell r="AY52">
            <v>197.88368554584659</v>
          </cell>
          <cell r="AZ52">
            <v>200.89272455487756</v>
          </cell>
          <cell r="BA52">
            <v>203.95816326259364</v>
          </cell>
          <cell r="BB52">
            <v>204.23210355528823</v>
          </cell>
          <cell r="BC52">
            <v>201.7126874179271</v>
          </cell>
          <cell r="BE52">
            <v>203.27989120049341</v>
          </cell>
          <cell r="BF52">
            <v>208.58277746313541</v>
          </cell>
          <cell r="BG52">
            <v>215.27872792232202</v>
          </cell>
          <cell r="BH52">
            <v>222.97949600692621</v>
          </cell>
          <cell r="BI52">
            <v>212.4881336140019</v>
          </cell>
          <cell r="BK52">
            <v>225.51491455144026</v>
          </cell>
          <cell r="BL52">
            <v>239.17316555667887</v>
          </cell>
          <cell r="BM52">
            <v>247.35411321529185</v>
          </cell>
          <cell r="BN52">
            <v>255.8441036809588</v>
          </cell>
        </row>
        <row r="53">
          <cell r="A53" t="str">
            <v>% Change</v>
          </cell>
          <cell r="C53" t="str">
            <v>NA</v>
          </cell>
          <cell r="D53">
            <v>0.2294999242016782</v>
          </cell>
          <cell r="E53">
            <v>7.1968738591018377E-2</v>
          </cell>
          <cell r="F53">
            <v>5.0442592121859642E-2</v>
          </cell>
          <cell r="G53" t="str">
            <v>NA</v>
          </cell>
          <cell r="H53" t="str">
            <v>NA</v>
          </cell>
          <cell r="I53" t="str">
            <v>NA</v>
          </cell>
          <cell r="J53" t="str">
            <v>NA</v>
          </cell>
          <cell r="K53">
            <v>7.6041827202356194E-2</v>
          </cell>
          <cell r="L53">
            <v>1.2660491895937431E-2</v>
          </cell>
          <cell r="M53">
            <v>-5.2607055831658034E-2</v>
          </cell>
          <cell r="N53">
            <v>4.1794654640971984E-3</v>
          </cell>
          <cell r="O53">
            <v>5.5031125042785956E-2</v>
          </cell>
          <cell r="P53">
            <v>4.4788935723349743E-2</v>
          </cell>
          <cell r="Q53">
            <v>9.7985363091982469E-2</v>
          </cell>
          <cell r="R53">
            <v>0.19551093112127504</v>
          </cell>
          <cell r="S53">
            <v>0.1236332636378632</v>
          </cell>
          <cell r="T53">
            <v>7.407079819510165E-2</v>
          </cell>
          <cell r="U53">
            <v>5.0000000000000044E-2</v>
          </cell>
          <cell r="V53">
            <v>-2.1910547272948944E-2</v>
          </cell>
          <cell r="W53">
            <v>4.7134326239810287E-2</v>
          </cell>
          <cell r="X53">
            <v>1.5674667786799823E-2</v>
          </cell>
          <cell r="Y53">
            <v>8.6144594360262117E-2</v>
          </cell>
          <cell r="Z53">
            <v>5.9263650640892118E-2</v>
          </cell>
          <cell r="AB53">
            <v>7.6466260502809025E-2</v>
          </cell>
          <cell r="AC53">
            <v>6.2445068647368984E-2</v>
          </cell>
          <cell r="AD53">
            <v>3.4663409364558584E-2</v>
          </cell>
          <cell r="AE53">
            <v>4.149319838115928E-2</v>
          </cell>
          <cell r="AF53">
            <v>5.9878713651449811E-2</v>
          </cell>
          <cell r="AH53">
            <v>0.17173240874613471</v>
          </cell>
          <cell r="AI53">
            <v>0.19204878882674747</v>
          </cell>
          <cell r="AJ53">
            <v>9.5716409811458458E-2</v>
          </cell>
          <cell r="AK53">
            <v>5.3959746690020349E-2</v>
          </cell>
          <cell r="AL53" t="e">
            <v>#DIV/0!</v>
          </cell>
          <cell r="AM53">
            <v>6.5526596277750704E-2</v>
          </cell>
          <cell r="AP53">
            <v>3.7560448784139222E-2</v>
          </cell>
          <cell r="AQ53">
            <v>4.5053160141473203E-2</v>
          </cell>
          <cell r="AR53">
            <v>5.728761014931627E-2</v>
          </cell>
          <cell r="AS53">
            <v>5.8380843320683162E-2</v>
          </cell>
          <cell r="AT53">
            <v>1.2188608548177715E-2</v>
          </cell>
          <cell r="AU53">
            <v>9.5699792112517557E-2</v>
          </cell>
          <cell r="AV53">
            <v>0.10086036633427731</v>
          </cell>
          <cell r="AW53">
            <v>6.4870469282018561E-2</v>
          </cell>
          <cell r="AY53">
            <v>7.2142675520501021E-2</v>
          </cell>
          <cell r="AZ53">
            <v>6.7476270691875229E-2</v>
          </cell>
          <cell r="BA53">
            <v>2.5175115952462912E-2</v>
          </cell>
          <cell r="BB53">
            <v>1.4414253045436753E-2</v>
          </cell>
          <cell r="BC53">
            <v>4.3586833283944859E-2</v>
          </cell>
          <cell r="BE53">
            <v>2.7269583340141512E-2</v>
          </cell>
          <cell r="BF53">
            <v>3.8279399740816178E-2</v>
          </cell>
          <cell r="BG53">
            <v>5.5504346963319628E-2</v>
          </cell>
          <cell r="BH53">
            <v>9.1794542215851038E-2</v>
          </cell>
          <cell r="BI53">
            <v>5.3419774105479156E-2</v>
          </cell>
          <cell r="BK53">
            <v>6.1305921963163978E-2</v>
          </cell>
          <cell r="BL53">
            <v>6.0564734853149282E-2</v>
          </cell>
          <cell r="BM53">
            <v>3.4205123470150589E-2</v>
          </cell>
          <cell r="BN53">
            <v>3.4323223314574269E-2</v>
          </cell>
        </row>
        <row r="54">
          <cell r="A54" t="str">
            <v>Total Supplies Expense</v>
          </cell>
          <cell r="C54">
            <v>61.65</v>
          </cell>
          <cell r="D54">
            <v>70.7</v>
          </cell>
          <cell r="E54">
            <v>90.4</v>
          </cell>
          <cell r="F54">
            <v>100.633</v>
          </cell>
          <cell r="G54">
            <v>32.015999999999991</v>
          </cell>
          <cell r="H54">
            <v>30.143999999999998</v>
          </cell>
          <cell r="I54">
            <v>30.853000000000002</v>
          </cell>
          <cell r="J54">
            <v>33.950000000000003</v>
          </cell>
          <cell r="K54">
            <v>126.693</v>
          </cell>
          <cell r="L54">
            <v>35.978999999999999</v>
          </cell>
          <cell r="M54">
            <v>36.430999999999997</v>
          </cell>
          <cell r="N54">
            <v>40.006</v>
          </cell>
          <cell r="O54">
            <v>41.795000000000002</v>
          </cell>
          <cell r="P54">
            <v>154.21100000000001</v>
          </cell>
          <cell r="Q54">
            <v>46.759</v>
          </cell>
          <cell r="R54">
            <v>46.128999999999998</v>
          </cell>
          <cell r="S54">
            <v>48.142000000000003</v>
          </cell>
          <cell r="T54">
            <v>54.978000000000002</v>
          </cell>
          <cell r="U54">
            <v>196.00800000000001</v>
          </cell>
          <cell r="V54">
            <v>64</v>
          </cell>
          <cell r="W54">
            <v>61.905000000000001</v>
          </cell>
          <cell r="X54">
            <v>62.96</v>
          </cell>
          <cell r="Y54">
            <v>65.822000000000003</v>
          </cell>
          <cell r="Z54">
            <v>254.68700000000001</v>
          </cell>
          <cell r="AA54">
            <v>0</v>
          </cell>
          <cell r="AB54">
            <v>76.819999999999993</v>
          </cell>
          <cell r="AC54">
            <v>76.152000000000001</v>
          </cell>
          <cell r="AD54">
            <v>84.228999999999999</v>
          </cell>
          <cell r="AE54">
            <v>95.177000000000007</v>
          </cell>
          <cell r="AF54">
            <v>332.37799999999999</v>
          </cell>
          <cell r="AG54">
            <v>0</v>
          </cell>
          <cell r="AH54">
            <v>96.644999999999996</v>
          </cell>
          <cell r="AI54">
            <v>103.839</v>
          </cell>
          <cell r="AJ54">
            <v>106.292</v>
          </cell>
          <cell r="AK54">
            <v>404.06299999999999</v>
          </cell>
          <cell r="AL54">
            <v>251.114</v>
          </cell>
          <cell r="AM54">
            <v>251.114</v>
          </cell>
          <cell r="AP54">
            <v>83.174000000000007</v>
          </cell>
          <cell r="AQ54">
            <v>94.225999999999999</v>
          </cell>
          <cell r="AR54">
            <v>328.49599999999998</v>
          </cell>
          <cell r="AS54">
            <v>94.399999999999991</v>
          </cell>
          <cell r="AT54">
            <v>92.241</v>
          </cell>
          <cell r="AU54">
            <v>100.13500000000001</v>
          </cell>
          <cell r="AV54">
            <v>102.80800000000001</v>
          </cell>
          <cell r="AW54">
            <v>389.584</v>
          </cell>
          <cell r="AY54">
            <v>112.65600000000001</v>
          </cell>
          <cell r="AZ54">
            <v>110.429</v>
          </cell>
          <cell r="BA54">
            <v>110.48099999999999</v>
          </cell>
          <cell r="BB54">
            <v>114.64400000000001</v>
          </cell>
          <cell r="BC54">
            <v>448.21000000000004</v>
          </cell>
          <cell r="BE54">
            <v>122.82</v>
          </cell>
          <cell r="BF54">
            <v>125.7</v>
          </cell>
          <cell r="BG54">
            <v>129.31515469375262</v>
          </cell>
          <cell r="BH54">
            <v>132.639340847553</v>
          </cell>
          <cell r="BI54">
            <v>510.4744955413056</v>
          </cell>
          <cell r="BK54">
            <v>568.64183988118441</v>
          </cell>
          <cell r="BL54">
            <v>617.02755781685687</v>
          </cell>
          <cell r="BM54">
            <v>664.39693201566024</v>
          </cell>
          <cell r="BN54">
            <v>710.89424700612813</v>
          </cell>
        </row>
        <row r="56">
          <cell r="A56" t="str">
            <v>Other Op. Expense Per Adjusted  Admission</v>
          </cell>
          <cell r="C56">
            <v>1010.657223700039</v>
          </cell>
          <cell r="D56">
            <v>1061.2343492089055</v>
          </cell>
          <cell r="E56">
            <v>1014.2040646278429</v>
          </cell>
          <cell r="F56">
            <v>948.43427926020047</v>
          </cell>
          <cell r="G56">
            <v>785.12674164848045</v>
          </cell>
          <cell r="H56">
            <v>973.11911014985321</v>
          </cell>
          <cell r="I56">
            <v>991.95946072290053</v>
          </cell>
          <cell r="J56">
            <v>1093.239291243764</v>
          </cell>
          <cell r="K56">
            <v>963.49409693741188</v>
          </cell>
          <cell r="L56">
            <v>916.88199136561332</v>
          </cell>
          <cell r="M56">
            <v>956.93344830289254</v>
          </cell>
          <cell r="N56">
            <v>1005.358596698986</v>
          </cell>
          <cell r="O56">
            <v>1065.9878569561047</v>
          </cell>
          <cell r="P56">
            <v>988.77748943483516</v>
          </cell>
          <cell r="Q56">
            <v>973.1142545674245</v>
          </cell>
          <cell r="R56">
            <v>1061.5261197073939</v>
          </cell>
          <cell r="S56">
            <v>1077.3161692997855</v>
          </cell>
          <cell r="T56">
            <v>1090.9510236425353</v>
          </cell>
          <cell r="U56">
            <v>998.66526432918351</v>
          </cell>
          <cell r="V56">
            <v>1016.9088397503142</v>
          </cell>
          <cell r="W56">
            <v>1128.5956720177926</v>
          </cell>
          <cell r="X56">
            <v>1172.8395061728395</v>
          </cell>
          <cell r="Y56">
            <v>1268.2924347861476</v>
          </cell>
          <cell r="Z56">
            <v>1147.4060896798696</v>
          </cell>
          <cell r="AB56">
            <v>1161.6635058249797</v>
          </cell>
          <cell r="AC56">
            <v>1270.8784641816687</v>
          </cell>
          <cell r="AD56">
            <v>1282.8318288197927</v>
          </cell>
          <cell r="AE56">
            <v>1272.5756548440143</v>
          </cell>
          <cell r="AF56">
            <v>1248.2167657292744</v>
          </cell>
          <cell r="AH56">
            <v>1296.6904455619226</v>
          </cell>
          <cell r="AI56">
            <v>1305.2756643132955</v>
          </cell>
          <cell r="AJ56">
            <v>1340.5128828945269</v>
          </cell>
          <cell r="AK56">
            <v>1293.4961810864957</v>
          </cell>
          <cell r="AL56">
            <v>4917136.3636363633</v>
          </cell>
          <cell r="AM56">
            <v>1139.8931518108345</v>
          </cell>
          <cell r="AP56">
            <v>1286.6024852623098</v>
          </cell>
          <cell r="AQ56">
            <v>1277.9466929911155</v>
          </cell>
          <cell r="AR56">
            <v>1244.9417822628288</v>
          </cell>
          <cell r="AS56">
            <v>1220.2748245714004</v>
          </cell>
          <cell r="AT56">
            <v>1285.0349580586428</v>
          </cell>
          <cell r="AU56">
            <v>1297.2162466912441</v>
          </cell>
          <cell r="AV56">
            <v>1333.5431389577175</v>
          </cell>
          <cell r="AW56">
            <v>1284.1126340688897</v>
          </cell>
          <cell r="AY56">
            <v>1323.7679629478191</v>
          </cell>
          <cell r="AZ56">
            <v>1426.9380253683228</v>
          </cell>
          <cell r="BA56">
            <v>1438.3039895666607</v>
          </cell>
          <cell r="BB56">
            <v>1498.4250523146959</v>
          </cell>
          <cell r="BC56">
            <v>1422.039391209873</v>
          </cell>
          <cell r="BE56">
            <v>1446.1541685292802</v>
          </cell>
          <cell r="BF56">
            <v>1488.30685422794</v>
          </cell>
          <cell r="BG56">
            <v>1536.6447131007124</v>
          </cell>
          <cell r="BH56">
            <v>1549.518531573555</v>
          </cell>
          <cell r="BI56">
            <v>1505.8317831673507</v>
          </cell>
          <cell r="BK56">
            <v>1525.9842551314125</v>
          </cell>
          <cell r="BL56">
            <v>1577.9449597601892</v>
          </cell>
          <cell r="BM56">
            <v>1631.9187619378881</v>
          </cell>
          <cell r="BN56">
            <v>1687.931474035126</v>
          </cell>
        </row>
        <row r="57">
          <cell r="A57" t="str">
            <v>% Change</v>
          </cell>
          <cell r="D57">
            <v>5.0043797563433579E-2</v>
          </cell>
          <cell r="E57">
            <v>-4.4316587204439095E-2</v>
          </cell>
          <cell r="F57">
            <v>-6.4848670658578245E-2</v>
          </cell>
          <cell r="K57">
            <v>1.5878609626972073E-2</v>
          </cell>
          <cell r="L57">
            <v>0.16781398814730819</v>
          </cell>
          <cell r="M57">
            <v>-1.6632765381072612E-2</v>
          </cell>
          <cell r="N57">
            <v>1.3507745534601545E-2</v>
          </cell>
          <cell r="O57">
            <v>-2.4927236430238198E-2</v>
          </cell>
          <cell r="P57">
            <v>2.6241356929730841E-2</v>
          </cell>
          <cell r="Q57">
            <v>6.1329880760399913E-2</v>
          </cell>
          <cell r="R57">
            <v>0.10929983855198611</v>
          </cell>
          <cell r="S57">
            <v>7.1574036206649483E-2</v>
          </cell>
          <cell r="T57">
            <v>2.3417871529711531E-2</v>
          </cell>
          <cell r="U57">
            <v>1.0000000000000009E-2</v>
          </cell>
          <cell r="V57">
            <v>-4.203125964472576E-2</v>
          </cell>
          <cell r="W57">
            <v>4.7599306665318863E-2</v>
          </cell>
          <cell r="X57">
            <v>7.5061557077869434E-2</v>
          </cell>
          <cell r="Y57">
            <v>0.2699875324471972</v>
          </cell>
          <cell r="Z57">
            <v>0.14893962037479813</v>
          </cell>
          <cell r="AB57">
            <v>0.14234773110066357</v>
          </cell>
          <cell r="AC57">
            <v>0.12607065195411549</v>
          </cell>
          <cell r="AD57">
            <v>9.3782927730560184E-2</v>
          </cell>
          <cell r="AE57">
            <v>3.3771549371330867E-3</v>
          </cell>
          <cell r="AF57">
            <v>8.7859631351208334E-2</v>
          </cell>
          <cell r="AH57">
            <v>0.33251613515654066</v>
          </cell>
          <cell r="AI57">
            <v>0.2296218058893269</v>
          </cell>
          <cell r="AJ57">
            <v>5.3385610350089596E-2</v>
          </cell>
          <cell r="AK57">
            <v>3.6275282146820631E-2</v>
          </cell>
          <cell r="AL57" t="e">
            <v>#DIV/0!</v>
          </cell>
          <cell r="AM57">
            <v>0.14141664131726417</v>
          </cell>
          <cell r="AP57">
            <v>0.1400030295721586</v>
          </cell>
          <cell r="AQ57">
            <v>8.9617706655582774E-2</v>
          </cell>
          <cell r="AR57">
            <v>9.2156558959156865E-2</v>
          </cell>
          <cell r="AS57">
            <v>5.0454644096610934E-2</v>
          </cell>
          <cell r="AT57">
            <v>1.1139140583430684E-2</v>
          </cell>
          <cell r="AU57">
            <v>8.2494488783537712E-3</v>
          </cell>
          <cell r="AV57">
            <v>4.3504511003095825E-2</v>
          </cell>
          <cell r="AW57">
            <v>3.1464002866755214E-2</v>
          </cell>
          <cell r="AY57">
            <v>8.4811336178117758E-2</v>
          </cell>
          <cell r="AZ57">
            <v>0.11042739842973526</v>
          </cell>
          <cell r="BA57">
            <v>0.1087619301988263</v>
          </cell>
          <cell r="BB57">
            <v>0.12364197943071287</v>
          </cell>
          <cell r="BC57">
            <v>0.10741017063584457</v>
          </cell>
          <cell r="BE57">
            <v>9.2452913960031635E-2</v>
          </cell>
          <cell r="BF57">
            <v>4.3007354046631807E-2</v>
          </cell>
          <cell r="BG57">
            <v>6.8372697459930132E-2</v>
          </cell>
          <cell r="BH57">
            <v>3.40981213440954E-2</v>
          </cell>
          <cell r="BI57">
            <v>5.8924100468262797E-2</v>
          </cell>
          <cell r="BK57">
            <v>1.3382950333053367E-2</v>
          </cell>
          <cell r="BL57">
            <v>3.4050616481820839E-2</v>
          </cell>
          <cell r="BM57">
            <v>3.4205123470150367E-2</v>
          </cell>
          <cell r="BN57">
            <v>3.4323223314574491E-2</v>
          </cell>
        </row>
        <row r="58">
          <cell r="A58" t="str">
            <v>Other Op. Expense Per Adjusted Patient Day</v>
          </cell>
          <cell r="C58">
            <v>190.77778396458149</v>
          </cell>
          <cell r="D58">
            <v>225.96695837142263</v>
          </cell>
          <cell r="E58">
            <v>223.93918154317876</v>
          </cell>
          <cell r="F58">
            <v>227.78622613646729</v>
          </cell>
          <cell r="G58">
            <v>187.88481518165435</v>
          </cell>
          <cell r="H58">
            <v>244.46317938104494</v>
          </cell>
          <cell r="I58">
            <v>254.67102194982007</v>
          </cell>
          <cell r="J58">
            <v>284.61712204164002</v>
          </cell>
          <cell r="K58">
            <v>242.38219812187722</v>
          </cell>
          <cell r="L58">
            <v>229.78828095262068</v>
          </cell>
          <cell r="M58">
            <v>232.11974771944287</v>
          </cell>
          <cell r="N58">
            <v>252.5017709043712</v>
          </cell>
          <cell r="O58">
            <v>281.68074406622975</v>
          </cell>
          <cell r="P58">
            <v>258.1901072850028</v>
          </cell>
          <cell r="Q58">
            <v>251.76982113489137</v>
          </cell>
          <cell r="R58">
            <v>280.31874564315893</v>
          </cell>
          <cell r="S58">
            <v>287.61350742987725</v>
          </cell>
          <cell r="T58">
            <v>289.0802978901628</v>
          </cell>
          <cell r="U58">
            <v>277.34886934070698</v>
          </cell>
          <cell r="V58">
            <v>258.38924923194338</v>
          </cell>
          <cell r="W58">
            <v>292.46297436742856</v>
          </cell>
          <cell r="X58">
            <v>307.99489840456442</v>
          </cell>
          <cell r="Y58">
            <v>332.73488757105076</v>
          </cell>
          <cell r="Z58">
            <v>297.79998890519198</v>
          </cell>
          <cell r="AB58">
            <v>292.00264139374337</v>
          </cell>
          <cell r="AC58">
            <v>332.30776591331534</v>
          </cell>
          <cell r="AD58">
            <v>329.92986239809807</v>
          </cell>
          <cell r="AE58">
            <v>312.6919816869725</v>
          </cell>
          <cell r="AF58">
            <v>316.46838616410315</v>
          </cell>
          <cell r="AH58">
            <v>320.40760768459114</v>
          </cell>
          <cell r="AI58">
            <v>325.86689864868754</v>
          </cell>
          <cell r="AJ58">
            <v>331.27692616157458</v>
          </cell>
          <cell r="AK58">
            <v>316.50877789152611</v>
          </cell>
          <cell r="AL58" t="e">
            <v>#DIV/0!</v>
          </cell>
          <cell r="AM58">
            <v>295.82760442936114</v>
          </cell>
          <cell r="AP58">
            <v>331.1338981513494</v>
          </cell>
          <cell r="AQ58">
            <v>314.07825775758613</v>
          </cell>
          <cell r="AR58">
            <v>315.54700276245165</v>
          </cell>
          <cell r="AS58">
            <v>293.08253763545349</v>
          </cell>
          <cell r="AT58">
            <v>315.36653935956792</v>
          </cell>
          <cell r="AU58">
            <v>322.28700190069566</v>
          </cell>
          <cell r="AV58">
            <v>327.77629112698497</v>
          </cell>
          <cell r="AW58">
            <v>314.58398404566589</v>
          </cell>
          <cell r="AY58">
            <v>312.77482409312978</v>
          </cell>
          <cell r="AZ58">
            <v>344.64065685665304</v>
          </cell>
          <cell r="BA58">
            <v>358.33027765494472</v>
          </cell>
          <cell r="BB58">
            <v>363.55395161854182</v>
          </cell>
          <cell r="BC58">
            <v>344.5915700877548</v>
          </cell>
          <cell r="BE58">
            <v>342.67772768135285</v>
          </cell>
          <cell r="BF58">
            <v>363.58948383675408</v>
          </cell>
          <cell r="BG58">
            <v>384.16117827517809</v>
          </cell>
          <cell r="BH58">
            <v>387.37963289338876</v>
          </cell>
          <cell r="BI58">
            <v>369.36462675386258</v>
          </cell>
          <cell r="BK58">
            <v>381.49606378285313</v>
          </cell>
          <cell r="BL58">
            <v>404.60127173338185</v>
          </cell>
          <cell r="BM58">
            <v>418.4407081892021</v>
          </cell>
          <cell r="BN58">
            <v>432.80294206028873</v>
          </cell>
        </row>
        <row r="59">
          <cell r="A59" t="str">
            <v>% Change</v>
          </cell>
          <cell r="D59">
            <v>0.18445111205073084</v>
          </cell>
          <cell r="E59">
            <v>-8.9737758248301658E-3</v>
          </cell>
          <cell r="F59">
            <v>1.7178970498946677E-2</v>
          </cell>
          <cell r="K59">
            <v>6.4077500351866989E-2</v>
          </cell>
          <cell r="L59">
            <v>0.22302742097839268</v>
          </cell>
          <cell r="M59">
            <v>-5.0491986944023015E-2</v>
          </cell>
          <cell r="N59">
            <v>-8.5178558158701678E-3</v>
          </cell>
          <cell r="O59">
            <v>-1.0316940717925882E-2</v>
          </cell>
          <cell r="P59">
            <v>6.5218936397205551E-2</v>
          </cell>
          <cell r="Q59">
            <v>9.5659970522182558E-2</v>
          </cell>
          <cell r="R59">
            <v>0.20764712350959869</v>
          </cell>
          <cell r="S59">
            <v>0.13905540701654617</v>
          </cell>
          <cell r="T59">
            <v>2.6269292380856735E-2</v>
          </cell>
          <cell r="U59">
            <v>7.4204090378086507E-2</v>
          </cell>
          <cell r="V59">
            <v>-7.8230574130534358E-2</v>
          </cell>
          <cell r="W59">
            <v>1.6861054200431269E-2</v>
          </cell>
          <cell r="X59">
            <v>6.5430265059392978E-2</v>
          </cell>
          <cell r="Y59">
            <v>0.19969801341539006</v>
          </cell>
          <cell r="Z59">
            <v>7.3737886918738393E-2</v>
          </cell>
          <cell r="AB59">
            <v>0.13008819934155569</v>
          </cell>
          <cell r="AC59">
            <v>0.13623875511786587</v>
          </cell>
          <cell r="AD59">
            <v>7.1218595201278712E-2</v>
          </cell>
          <cell r="AE59">
            <v>-6.0236863138670382E-2</v>
          </cell>
          <cell r="AF59">
            <v>6.2687703003422524E-2</v>
          </cell>
          <cell r="AH59">
            <v>0.27262118327091134</v>
          </cell>
          <cell r="AI59">
            <v>0.16248700350389922</v>
          </cell>
          <cell r="AJ59">
            <v>5.943530874804126E-2</v>
          </cell>
          <cell r="AK59">
            <v>1.2763274054816698E-4</v>
          </cell>
          <cell r="AL59" t="e">
            <v>#DIV/0!</v>
          </cell>
          <cell r="AM59">
            <v>6.6626322049123221E-2</v>
          </cell>
          <cell r="AP59">
            <v>0.13222502392845659</v>
          </cell>
          <cell r="AQ59">
            <v>1.9751493886859706E-2</v>
          </cell>
          <cell r="AR59">
            <v>6.6658411986698862E-2</v>
          </cell>
          <cell r="AS59">
            <v>3.6982413465704855E-3</v>
          </cell>
          <cell r="AT59">
            <v>-5.0980531577966892E-2</v>
          </cell>
          <cell r="AU59">
            <v>-2.6716975519703978E-2</v>
          </cell>
          <cell r="AV59">
            <v>4.3613440380108504E-2</v>
          </cell>
          <cell r="AW59">
            <v>-3.051902595667344E-3</v>
          </cell>
          <cell r="AY59">
            <v>6.7190241413052965E-2</v>
          </cell>
          <cell r="AZ59">
            <v>9.2825692784445968E-2</v>
          </cell>
          <cell r="BA59">
            <v>0.11183595845219618</v>
          </cell>
          <cell r="BB59">
            <v>0.10915267961737984</v>
          </cell>
          <cell r="BC59">
            <v>9.5388155672073038E-2</v>
          </cell>
          <cell r="BE59">
            <v>9.5605212711491694E-2</v>
          </cell>
          <cell r="BF59">
            <v>5.4981403392526884E-2</v>
          </cell>
          <cell r="BG59">
            <v>7.2086849007795273E-2</v>
          </cell>
          <cell r="BH59">
            <v>6.5535476010575744E-2</v>
          </cell>
          <cell r="BI59">
            <v>7.18910699405646E-2</v>
          </cell>
          <cell r="BK59">
            <v>3.2844068300765361E-2</v>
          </cell>
          <cell r="BL59">
            <v>6.0564734853149504E-2</v>
          </cell>
          <cell r="BM59">
            <v>3.4205123470150589E-2</v>
          </cell>
          <cell r="BN59">
            <v>3.4323223314574269E-2</v>
          </cell>
        </row>
        <row r="60">
          <cell r="A60" t="str">
            <v>Total Other Operating Expenses</v>
          </cell>
          <cell r="C60">
            <v>119.3</v>
          </cell>
          <cell r="D60">
            <v>131.80000000000001</v>
          </cell>
          <cell r="E60">
            <v>155.79999999999998</v>
          </cell>
          <cell r="F60">
            <v>167.94399999999999</v>
          </cell>
          <cell r="G60">
            <v>42.092999999999982</v>
          </cell>
          <cell r="H60">
            <v>50.392000000000003</v>
          </cell>
          <cell r="I60">
            <v>53.048999999999999</v>
          </cell>
          <cell r="J60">
            <v>63.55</v>
          </cell>
          <cell r="K60">
            <v>209.084</v>
          </cell>
          <cell r="L60">
            <v>57.13</v>
          </cell>
          <cell r="M60">
            <v>61.037999999999997</v>
          </cell>
          <cell r="N60">
            <v>67.917000000000002</v>
          </cell>
          <cell r="O60">
            <v>73.388999999999982</v>
          </cell>
          <cell r="P60">
            <v>259.47399999999999</v>
          </cell>
          <cell r="Q60">
            <v>74.09</v>
          </cell>
          <cell r="R60">
            <v>78.070999999999998</v>
          </cell>
          <cell r="S60">
            <v>82.850999999999999</v>
          </cell>
          <cell r="T60">
            <v>92.241</v>
          </cell>
          <cell r="U60">
            <v>327.25299999999999</v>
          </cell>
          <cell r="V60">
            <v>97.909000000000006</v>
          </cell>
          <cell r="W60">
            <v>107.071</v>
          </cell>
          <cell r="X60">
            <v>114.76</v>
          </cell>
          <cell r="Y60">
            <v>124.66300000000001</v>
          </cell>
          <cell r="Z60">
            <v>444.40300000000002</v>
          </cell>
          <cell r="AA60">
            <v>0</v>
          </cell>
          <cell r="AB60">
            <v>128.631</v>
          </cell>
          <cell r="AC60">
            <v>136.10599999999999</v>
          </cell>
          <cell r="AD60">
            <v>153.47800000000001</v>
          </cell>
          <cell r="AE60">
            <v>163.28800000000001</v>
          </cell>
          <cell r="AF60">
            <v>581.50299999999993</v>
          </cell>
          <cell r="AG60">
            <v>0</v>
          </cell>
          <cell r="AH60">
            <v>166.32</v>
          </cell>
          <cell r="AI60">
            <v>171.38399999999999</v>
          </cell>
          <cell r="AJ60">
            <v>176.31900000000002</v>
          </cell>
          <cell r="AK60">
            <v>670.81099999999992</v>
          </cell>
          <cell r="AL60">
            <v>432.70800000000003</v>
          </cell>
          <cell r="AM60">
            <v>432.70800000000003</v>
          </cell>
          <cell r="AP60">
            <v>151.684</v>
          </cell>
          <cell r="AQ60">
            <v>161.82</v>
          </cell>
          <cell r="AR60">
            <v>571.06600000000003</v>
          </cell>
          <cell r="AS60">
            <v>149.90099999999998</v>
          </cell>
          <cell r="AT60">
            <v>154.57299999999998</v>
          </cell>
          <cell r="AU60">
            <v>162.21299999999999</v>
          </cell>
          <cell r="AV60">
            <v>167.37700000000001</v>
          </cell>
          <cell r="AW60">
            <v>634.06400000000008</v>
          </cell>
          <cell r="AY60">
            <v>178.06399999999999</v>
          </cell>
          <cell r="AZ60">
            <v>189.446</v>
          </cell>
          <cell r="BA60">
            <v>194.102</v>
          </cell>
          <cell r="BB60">
            <v>204.078</v>
          </cell>
          <cell r="BC60">
            <v>765.68999999999994</v>
          </cell>
          <cell r="BE60">
            <v>207.04300000000001</v>
          </cell>
          <cell r="BF60">
            <v>219.113</v>
          </cell>
          <cell r="BG60">
            <v>230.7606639793689</v>
          </cell>
          <cell r="BH60">
            <v>230.43275316735901</v>
          </cell>
          <cell r="BI60">
            <v>887.34941714672789</v>
          </cell>
          <cell r="BK60">
            <v>961.95244579900373</v>
          </cell>
          <cell r="BL60">
            <v>1043.8049519735164</v>
          </cell>
          <cell r="BM60">
            <v>1123.9381433264921</v>
          </cell>
          <cell r="BN60">
            <v>1202.5961011853669</v>
          </cell>
        </row>
      </sheetData>
      <sheetData sheetId="7" refreshError="1">
        <row r="1">
          <cell r="B1" t="str">
            <v>CYH 2006E Guidance (bold = updated)</v>
          </cell>
          <cell r="G1" t="str">
            <v>Morgan Stanley Estimates</v>
          </cell>
          <cell r="L1" t="str">
            <v>CYH FY2005E Guidance</v>
          </cell>
          <cell r="P1" t="str">
            <v>Morgan Stanley FY2005E Est.</v>
          </cell>
          <cell r="T1" t="str">
            <v>2005 Change</v>
          </cell>
        </row>
        <row r="2">
          <cell r="A2" t="str">
            <v>as of</v>
          </cell>
          <cell r="B2" t="str">
            <v>2Q06</v>
          </cell>
          <cell r="C2" t="str">
            <v>1Q06</v>
          </cell>
          <cell r="D2" t="str">
            <v>4Q05</v>
          </cell>
          <cell r="E2" t="str">
            <v>3Q05</v>
          </cell>
          <cell r="G2" t="str">
            <v>New</v>
          </cell>
          <cell r="H2" t="str">
            <v>Prior</v>
          </cell>
          <cell r="J2" t="str">
            <v>Delta</v>
          </cell>
          <cell r="L2" t="str">
            <v>New</v>
          </cell>
          <cell r="M2" t="str">
            <v xml:space="preserve">Prior </v>
          </cell>
          <cell r="N2" t="str">
            <v>1Q05</v>
          </cell>
          <cell r="P2" t="str">
            <v>New</v>
          </cell>
          <cell r="Q2" t="str">
            <v>Prior</v>
          </cell>
          <cell r="R2" t="str">
            <v>1Q05</v>
          </cell>
          <cell r="T2" t="str">
            <v>CYH</v>
          </cell>
          <cell r="U2" t="str">
            <v>MS</v>
          </cell>
        </row>
        <row r="3">
          <cell r="A3" t="str">
            <v>Revenue</v>
          </cell>
          <cell r="B3" t="str">
            <v>$4,275-4,325</v>
          </cell>
          <cell r="C3" t="str">
            <v>$4,225-4,275</v>
          </cell>
          <cell r="D3" t="str">
            <v>$4,175-4,225</v>
          </cell>
          <cell r="E3" t="str">
            <v>$4,150-4,200</v>
          </cell>
          <cell r="G3">
            <v>4326.4640268979365</v>
          </cell>
          <cell r="H3">
            <v>4324.1085573076562</v>
          </cell>
          <cell r="J3">
            <v>2.355469590280336</v>
          </cell>
          <cell r="L3" t="str">
            <v>$3,700-3,725</v>
          </cell>
          <cell r="M3" t="str">
            <v>$3,675-3,725</v>
          </cell>
          <cell r="N3" t="str">
            <v>$3,625-3,675</v>
          </cell>
          <cell r="P3">
            <v>3738.32</v>
          </cell>
          <cell r="Q3">
            <v>3669.1</v>
          </cell>
          <cell r="R3">
            <v>3648.6</v>
          </cell>
          <cell r="T3" t="str">
            <v>$0-25</v>
          </cell>
          <cell r="U3">
            <v>69.220000000000255</v>
          </cell>
        </row>
        <row r="4">
          <cell r="A4" t="str">
            <v>Bad debt (% of rev)</v>
          </cell>
          <cell r="B4" t="str">
            <v>10.5-11.0%</v>
          </cell>
          <cell r="C4" t="str">
            <v>10.2-10.5%</v>
          </cell>
          <cell r="D4" t="str">
            <v>10.2-10.5%</v>
          </cell>
          <cell r="E4" t="str">
            <v>10.2-10.5%</v>
          </cell>
          <cell r="G4">
            <v>0.10698152948932357</v>
          </cell>
          <cell r="H4">
            <v>0.10150386589312708</v>
          </cell>
          <cell r="J4" t="str">
            <v>--</v>
          </cell>
          <cell r="L4" t="str">
            <v>10.2-10.5%</v>
          </cell>
          <cell r="M4" t="str">
            <v>10.2-10.5%</v>
          </cell>
          <cell r="N4" t="str">
            <v>na</v>
          </cell>
          <cell r="P4">
            <v>0.10100686939587836</v>
          </cell>
          <cell r="Q4">
            <v>0.10199999999999999</v>
          </cell>
          <cell r="R4">
            <v>0.10199999999999999</v>
          </cell>
          <cell r="T4">
            <v>0</v>
          </cell>
          <cell r="U4" t="str">
            <v>-10 bps</v>
          </cell>
        </row>
        <row r="5">
          <cell r="A5" t="str">
            <v xml:space="preserve">EBITDA </v>
          </cell>
          <cell r="B5" t="str">
            <v>$645-665</v>
          </cell>
          <cell r="C5" t="str">
            <v>$640-665</v>
          </cell>
          <cell r="D5" t="str">
            <v>$630-658</v>
          </cell>
          <cell r="E5" t="str">
            <v>$635-655</v>
          </cell>
          <cell r="G5">
            <v>659.29186062644476</v>
          </cell>
          <cell r="H5">
            <v>674.5</v>
          </cell>
          <cell r="J5">
            <v>-15.208139373555241</v>
          </cell>
        </row>
        <row r="6">
          <cell r="A6" t="str">
            <v>Adj. EBITDA (after options)</v>
          </cell>
          <cell r="B6" t="str">
            <v>$625-645</v>
          </cell>
          <cell r="C6" t="str">
            <v>$620-645</v>
          </cell>
          <cell r="D6" t="str">
            <v>$615-640</v>
          </cell>
          <cell r="E6" t="str">
            <v>$620-637</v>
          </cell>
          <cell r="G6">
            <v>644.62789323969889</v>
          </cell>
          <cell r="H6">
            <v>661</v>
          </cell>
          <cell r="J6">
            <v>-16.372106760301108</v>
          </cell>
          <cell r="L6" t="str">
            <v>$560-570</v>
          </cell>
          <cell r="M6" t="str">
            <v>$555-575</v>
          </cell>
          <cell r="N6" t="str">
            <v>$560-580</v>
          </cell>
          <cell r="P6">
            <v>570.9450000000005</v>
          </cell>
          <cell r="Q6">
            <v>559.1</v>
          </cell>
          <cell r="R6">
            <v>558.70000000000005</v>
          </cell>
          <cell r="T6" t="str">
            <v>$5</v>
          </cell>
          <cell r="U6">
            <v>11.845000000000482</v>
          </cell>
        </row>
        <row r="7">
          <cell r="A7" t="str">
            <v>D&amp;A (% of rev)</v>
          </cell>
          <cell r="B7" t="str">
            <v xml:space="preserve">4.2-4.6% </v>
          </cell>
          <cell r="C7" t="str">
            <v xml:space="preserve">4.2-4.6% </v>
          </cell>
          <cell r="D7" t="str">
            <v xml:space="preserve">4.2-4.6% </v>
          </cell>
          <cell r="E7" t="str">
            <v xml:space="preserve">4.2-4.6% </v>
          </cell>
          <cell r="G7">
            <v>4.321970986872397E-2</v>
          </cell>
          <cell r="H7">
            <v>4.4026107148706757E-2</v>
          </cell>
          <cell r="J7" t="str">
            <v>--</v>
          </cell>
          <cell r="L7" t="str">
            <v xml:space="preserve">4.3-4.6% </v>
          </cell>
          <cell r="M7" t="str">
            <v xml:space="preserve">4.3-4.6% </v>
          </cell>
          <cell r="N7" t="str">
            <v>4.6-4.9% of rev</v>
          </cell>
          <cell r="P7">
            <v>4.3672826296304222E-2</v>
          </cell>
          <cell r="Q7">
            <v>4.4697609768063015E-2</v>
          </cell>
          <cell r="R7">
            <v>4.5999999999999999E-2</v>
          </cell>
          <cell r="T7">
            <v>0</v>
          </cell>
          <cell r="U7" t="str">
            <v>-20 bps</v>
          </cell>
        </row>
        <row r="8">
          <cell r="A8" t="str">
            <v>Tax + interest</v>
          </cell>
          <cell r="B8" t="str">
            <v>$226-235</v>
          </cell>
          <cell r="C8" t="str">
            <v>$226-235</v>
          </cell>
          <cell r="D8" t="str">
            <v>$230-246</v>
          </cell>
          <cell r="E8" t="str">
            <v>$230-246</v>
          </cell>
          <cell r="G8">
            <v>234.49074361128174</v>
          </cell>
          <cell r="H8">
            <v>241.65879107115271</v>
          </cell>
          <cell r="J8">
            <v>-7.1680474598709623</v>
          </cell>
          <cell r="L8" t="str">
            <v>$209-215</v>
          </cell>
          <cell r="M8" t="str">
            <v>$209-215</v>
          </cell>
          <cell r="N8">
            <v>219</v>
          </cell>
          <cell r="P8">
            <v>215.39499999999998</v>
          </cell>
          <cell r="Q8">
            <v>209.6</v>
          </cell>
          <cell r="R8">
            <v>204.9</v>
          </cell>
          <cell r="T8">
            <v>0</v>
          </cell>
          <cell r="U8">
            <v>5.7949999999999875</v>
          </cell>
        </row>
        <row r="9">
          <cell r="A9" t="str">
            <v>Tax rate</v>
          </cell>
          <cell r="B9" t="str">
            <v>38.3-38.7%</v>
          </cell>
          <cell r="C9" t="str">
            <v>38.5-39.0%</v>
          </cell>
          <cell r="D9" t="str">
            <v>38.5-39.0%</v>
          </cell>
          <cell r="E9" t="str">
            <v>38.5-39.0%</v>
          </cell>
          <cell r="G9">
            <v>0.38812967036719054</v>
          </cell>
          <cell r="H9">
            <v>0.38900000000000001</v>
          </cell>
          <cell r="J9" t="str">
            <v>--</v>
          </cell>
        </row>
        <row r="10">
          <cell r="A10" t="str">
            <v>Dil. shares</v>
          </cell>
          <cell r="B10" t="str">
            <v>96-97</v>
          </cell>
          <cell r="C10" t="str">
            <v>99-100</v>
          </cell>
          <cell r="D10" t="str">
            <v>99-100</v>
          </cell>
          <cell r="E10" t="str">
            <v>99-100</v>
          </cell>
          <cell r="G10">
            <v>97.074926269781329</v>
          </cell>
          <cell r="H10">
            <v>98.357061141133528</v>
          </cell>
          <cell r="J10">
            <v>-1.2821348713521985</v>
          </cell>
          <cell r="L10" t="str">
            <v>99-100</v>
          </cell>
          <cell r="M10" t="str">
            <v>99-100</v>
          </cell>
          <cell r="N10" t="str">
            <v>98-99</v>
          </cell>
          <cell r="P10">
            <v>98.579977</v>
          </cell>
          <cell r="Q10">
            <v>99.6</v>
          </cell>
          <cell r="R10">
            <v>98.8</v>
          </cell>
          <cell r="T10">
            <v>0</v>
          </cell>
          <cell r="U10">
            <v>-1.0200229999999948</v>
          </cell>
        </row>
        <row r="12">
          <cell r="A12" t="str">
            <v>Dil. EPS (incl. options)</v>
          </cell>
          <cell r="B12" t="str">
            <v>$2.17-2.22</v>
          </cell>
          <cell r="C12" t="str">
            <v>$2.16-2.21</v>
          </cell>
          <cell r="D12" t="str">
            <v>$2.14-2.19</v>
          </cell>
          <cell r="E12" t="str">
            <v>$2.14-2.18</v>
          </cell>
          <cell r="G12">
            <v>2.2576437420630358</v>
          </cell>
          <cell r="H12">
            <v>2.2668364564128174</v>
          </cell>
          <cell r="J12" t="str">
            <v>nm</v>
          </cell>
        </row>
        <row r="13">
          <cell r="A13" t="str">
            <v>Options expense per share</v>
          </cell>
          <cell r="B13">
            <v>0.13</v>
          </cell>
          <cell r="C13">
            <v>0.13</v>
          </cell>
          <cell r="D13" t="str">
            <v>$0.08-0.12</v>
          </cell>
          <cell r="E13" t="str">
            <v>$0.08-0.12</v>
          </cell>
          <cell r="G13">
            <v>9.3543574412758179E-2</v>
          </cell>
          <cell r="H13">
            <v>8.3570293052876998E-2</v>
          </cell>
          <cell r="J13">
            <v>9.9732813598811809E-3</v>
          </cell>
        </row>
        <row r="14">
          <cell r="A14" t="str">
            <v>Est. Dil. EPS (before options)</v>
          </cell>
          <cell r="B14" t="str">
            <v>$2.30-2.35</v>
          </cell>
          <cell r="C14" t="str">
            <v>$2.26-2.34</v>
          </cell>
          <cell r="D14" t="str">
            <v>$2.22-2.31</v>
          </cell>
          <cell r="E14" t="str">
            <v>$2.22-2.30</v>
          </cell>
          <cell r="G14">
            <v>2.3511873164757939</v>
          </cell>
          <cell r="H14">
            <v>2.3504067494656944</v>
          </cell>
          <cell r="J14">
            <v>7.805670100995421E-4</v>
          </cell>
          <cell r="L14" t="str">
            <v>$1.95-1.98**</v>
          </cell>
          <cell r="M14" t="str">
            <v>$1.91-1.96</v>
          </cell>
          <cell r="P14" t="str">
            <v>$2.02**</v>
          </cell>
          <cell r="Q14">
            <v>1.95</v>
          </cell>
          <cell r="T14" t="str">
            <v>**</v>
          </cell>
          <cell r="U14" t="str">
            <v>$0.04**</v>
          </cell>
        </row>
        <row r="16">
          <cell r="A16" t="str">
            <v>Acquisitions</v>
          </cell>
          <cell r="B16" t="str">
            <v>6-7</v>
          </cell>
          <cell r="C16" t="str">
            <v>5-7</v>
          </cell>
          <cell r="D16" t="str">
            <v>3-5</v>
          </cell>
          <cell r="E16" t="str">
            <v>2-4</v>
          </cell>
          <cell r="G16">
            <v>7</v>
          </cell>
          <cell r="H16">
            <v>4</v>
          </cell>
          <cell r="J16">
            <v>3</v>
          </cell>
          <cell r="L16">
            <v>5</v>
          </cell>
          <cell r="M16" t="str">
            <v>3-4</v>
          </cell>
          <cell r="N16" t="str">
            <v>2-4</v>
          </cell>
          <cell r="P16">
            <v>5</v>
          </cell>
          <cell r="Q16">
            <v>5</v>
          </cell>
          <cell r="R16">
            <v>4</v>
          </cell>
          <cell r="T16" t="str">
            <v>1-2</v>
          </cell>
          <cell r="U16">
            <v>0</v>
          </cell>
        </row>
        <row r="17">
          <cell r="A17" t="str">
            <v>Capital expenditures</v>
          </cell>
          <cell r="B17" t="str">
            <v>$260-275</v>
          </cell>
          <cell r="C17" t="str">
            <v>$250-260</v>
          </cell>
          <cell r="D17" t="str">
            <v>$240-260</v>
          </cell>
          <cell r="E17" t="str">
            <v>$240-260</v>
          </cell>
          <cell r="G17">
            <v>233.09400000000002</v>
          </cell>
          <cell r="H17">
            <v>236.6</v>
          </cell>
          <cell r="J17">
            <v>-3.5059999999999718</v>
          </cell>
        </row>
        <row r="18">
          <cell r="A18" t="str">
            <v>CFFO</v>
          </cell>
          <cell r="B18" t="str">
            <v>$430-450</v>
          </cell>
          <cell r="C18" t="str">
            <v>$430-450</v>
          </cell>
          <cell r="D18" t="str">
            <v>$430-450</v>
          </cell>
          <cell r="E18" t="str">
            <v>$425-445</v>
          </cell>
          <cell r="G18">
            <v>395.67535494494928</v>
          </cell>
          <cell r="H18">
            <v>436.50525017221344</v>
          </cell>
          <cell r="J18">
            <v>-40.82989522726416</v>
          </cell>
          <cell r="L18" t="str">
            <v>$365-380</v>
          </cell>
          <cell r="M18" t="str">
            <v>$360-380</v>
          </cell>
          <cell r="N18" t="str">
            <v>$325-340</v>
          </cell>
          <cell r="P18">
            <v>411.04870000000005</v>
          </cell>
          <cell r="Q18">
            <v>389.3</v>
          </cell>
          <cell r="R18">
            <v>349.4</v>
          </cell>
          <cell r="T18" t="str">
            <v>$0-5</v>
          </cell>
          <cell r="U18">
            <v>21.748700000000042</v>
          </cell>
        </row>
        <row r="19">
          <cell r="A19" t="str">
            <v>Same-store admits</v>
          </cell>
          <cell r="B19" t="str">
            <v>1.0-2.0%</v>
          </cell>
          <cell r="C19" t="str">
            <v>1.0-2.0%</v>
          </cell>
          <cell r="D19" t="str">
            <v>1.5-3.0%</v>
          </cell>
          <cell r="E19" t="str">
            <v>1.5-3.0%</v>
          </cell>
          <cell r="G19" t="str">
            <v>2.0-3.0%</v>
          </cell>
          <cell r="H19" t="str">
            <v>2.0-3.0%</v>
          </cell>
          <cell r="J19" t="str">
            <v>--</v>
          </cell>
          <cell r="L19" t="str">
            <v>1.5-3.0%</v>
          </cell>
          <cell r="M19" t="str">
            <v>1.5-3.0%</v>
          </cell>
          <cell r="P19" t="str">
            <v>2.0-3.0%</v>
          </cell>
          <cell r="Q19" t="str">
            <v>2.0-3.0%</v>
          </cell>
          <cell r="T19">
            <v>0</v>
          </cell>
          <cell r="U19">
            <v>0</v>
          </cell>
        </row>
        <row r="21">
          <cell r="A21" t="str">
            <v>Quarterly EPS Guidance (incl. options expense)</v>
          </cell>
        </row>
        <row r="22">
          <cell r="A22" t="str">
            <v>1Q06E</v>
          </cell>
          <cell r="B22" t="str">
            <v>$0.58A</v>
          </cell>
          <cell r="C22" t="str">
            <v>$0.58A</v>
          </cell>
          <cell r="D22" t="str">
            <v>$0.55-0.57</v>
          </cell>
          <cell r="E22" t="str">
            <v>na</v>
          </cell>
          <cell r="G22">
            <v>0.58435420012434225</v>
          </cell>
          <cell r="H22">
            <v>0.59</v>
          </cell>
        </row>
        <row r="23">
          <cell r="A23" t="str">
            <v>2Q06E</v>
          </cell>
          <cell r="B23" t="str">
            <v>$0.54A</v>
          </cell>
          <cell r="C23" t="str">
            <v>$0.51-0.53</v>
          </cell>
          <cell r="D23" t="str">
            <v>$0.51-0.53</v>
          </cell>
          <cell r="E23" t="str">
            <v>na</v>
          </cell>
          <cell r="G23">
            <v>0.54061112831630098</v>
          </cell>
          <cell r="H23">
            <v>0.56000000000000005</v>
          </cell>
        </row>
        <row r="24">
          <cell r="A24" t="str">
            <v>3Q06E</v>
          </cell>
          <cell r="B24" t="str">
            <v>$0.50-0.51</v>
          </cell>
          <cell r="C24" t="str">
            <v>$0.50-0.51</v>
          </cell>
          <cell r="D24" t="str">
            <v>$0.50-0.51</v>
          </cell>
          <cell r="E24" t="str">
            <v>na</v>
          </cell>
          <cell r="G24">
            <v>0.57015563920719359</v>
          </cell>
          <cell r="H24">
            <v>0.54</v>
          </cell>
        </row>
        <row r="25">
          <cell r="A25" t="str">
            <v>4Q06E</v>
          </cell>
          <cell r="B25" t="str">
            <v>$0.56-0.58</v>
          </cell>
          <cell r="C25" t="str">
            <v>$0.56-0.58</v>
          </cell>
          <cell r="D25" t="str">
            <v>$0.56-0.58</v>
          </cell>
          <cell r="E25" t="str">
            <v>na</v>
          </cell>
          <cell r="G25">
            <v>0.56252277441519916</v>
          </cell>
          <cell r="H25">
            <v>0.56999999999999995</v>
          </cell>
        </row>
      </sheetData>
      <sheetData sheetId="8"/>
      <sheetData sheetId="9" refreshError="1">
        <row r="3">
          <cell r="C3" t="str">
            <v xml:space="preserve">Earnings Report: </v>
          </cell>
        </row>
        <row r="4">
          <cell r="J4" t="str">
            <v>Christine Arnold</v>
          </cell>
        </row>
        <row r="5">
          <cell r="J5" t="str">
            <v>212-761-6871</v>
          </cell>
        </row>
        <row r="6">
          <cell r="C6" t="str">
            <v>Conference Call</v>
          </cell>
          <cell r="J6" t="str">
            <v>christine.arnold@morganstanley.com</v>
          </cell>
        </row>
        <row r="11">
          <cell r="C11" t="str">
            <v>Replay</v>
          </cell>
        </row>
        <row r="18">
          <cell r="B18" t="str">
            <v>Selected Quarterly Performance Data</v>
          </cell>
        </row>
        <row r="19">
          <cell r="B19" t="str">
            <v>($ million, except per share data)</v>
          </cell>
        </row>
        <row r="21">
          <cell r="D21" t="str">
            <v>Historicals</v>
          </cell>
          <cell r="G21" t="str">
            <v>This Qtr</v>
          </cell>
          <cell r="I21" t="str">
            <v>% change</v>
          </cell>
          <cell r="L21" t="str">
            <v xml:space="preserve"> </v>
          </cell>
        </row>
        <row r="22">
          <cell r="D22" t="str">
            <v>2Q05</v>
          </cell>
          <cell r="E22" t="str">
            <v>1Q06</v>
          </cell>
          <cell r="F22" t="str">
            <v>2Q06E</v>
          </cell>
          <cell r="G22" t="str">
            <v>2Q06</v>
          </cell>
          <cell r="H22" t="str">
            <v>A vs. E</v>
          </cell>
          <cell r="I22" t="str">
            <v>Q/Q</v>
          </cell>
          <cell r="J22" t="str">
            <v>Y / Y</v>
          </cell>
        </row>
        <row r="23">
          <cell r="B23" t="str">
            <v>Number of Hospitals</v>
          </cell>
          <cell r="D23">
            <v>67</v>
          </cell>
          <cell r="E23">
            <v>71</v>
          </cell>
          <cell r="F23">
            <v>75</v>
          </cell>
          <cell r="G23">
            <v>75</v>
          </cell>
          <cell r="H23">
            <v>0</v>
          </cell>
          <cell r="I23">
            <v>5.6338028169014009E-2</v>
          </cell>
          <cell r="J23">
            <v>0.11940298507462677</v>
          </cell>
        </row>
        <row r="24">
          <cell r="B24" t="str">
            <v>Beds in Service</v>
          </cell>
          <cell r="D24">
            <v>6187</v>
          </cell>
          <cell r="E24">
            <v>6528</v>
          </cell>
          <cell r="F24">
            <v>6874</v>
          </cell>
          <cell r="G24">
            <v>6874</v>
          </cell>
          <cell r="H24">
            <v>0</v>
          </cell>
          <cell r="I24">
            <v>5.3002450980392135E-2</v>
          </cell>
          <cell r="J24">
            <v>0.11103927590108298</v>
          </cell>
        </row>
        <row r="26">
          <cell r="B26" t="str">
            <v>Adjusted Admissions</v>
          </cell>
          <cell r="D26">
            <v>132764</v>
          </cell>
          <cell r="E26">
            <v>143168</v>
          </cell>
          <cell r="F26">
            <v>147223</v>
          </cell>
          <cell r="G26">
            <v>147223</v>
          </cell>
          <cell r="H26">
            <v>0</v>
          </cell>
          <cell r="I26">
            <v>2.8323368350469336E-2</v>
          </cell>
          <cell r="J26">
            <v>0.10890753517519802</v>
          </cell>
        </row>
        <row r="27">
          <cell r="B27" t="str">
            <v>Revenue per Adj. Admission</v>
          </cell>
          <cell r="D27">
            <v>6919.9331143984818</v>
          </cell>
          <cell r="E27">
            <v>7170.331358962896</v>
          </cell>
          <cell r="F27">
            <v>7207.1211699258956</v>
          </cell>
          <cell r="G27">
            <v>7207.1211699258956</v>
          </cell>
          <cell r="H27">
            <v>0</v>
          </cell>
          <cell r="I27">
            <v>5.1308383282751002E-3</v>
          </cell>
          <cell r="J27">
            <v>4.150156522898385E-2</v>
          </cell>
        </row>
        <row r="29">
          <cell r="B29" t="str">
            <v>Revenue</v>
          </cell>
          <cell r="D29">
            <v>918.71799999999996</v>
          </cell>
          <cell r="E29">
            <v>1026.5619999999999</v>
          </cell>
          <cell r="F29">
            <v>1061.0540000000001</v>
          </cell>
          <cell r="G29">
            <v>1061.0540000000001</v>
          </cell>
          <cell r="H29">
            <v>0</v>
          </cell>
          <cell r="I29">
            <v>3.3599529302662967E-2</v>
          </cell>
          <cell r="J29">
            <v>0.15492893357918325</v>
          </cell>
        </row>
        <row r="30">
          <cell r="B30" t="str">
            <v>Stock Options Exp</v>
          </cell>
          <cell r="D30">
            <v>0</v>
          </cell>
          <cell r="E30">
            <v>3.7</v>
          </cell>
          <cell r="F30">
            <v>3.2</v>
          </cell>
          <cell r="G30">
            <v>3.2</v>
          </cell>
          <cell r="H30">
            <v>0</v>
          </cell>
          <cell r="I30">
            <v>-0.13513513513513509</v>
          </cell>
          <cell r="J30" t="e">
            <v>#DIV/0!</v>
          </cell>
        </row>
        <row r="31">
          <cell r="B31" t="str">
            <v>EBITDA Adj. for Options Exp</v>
          </cell>
          <cell r="D31">
            <v>140.15200000000002</v>
          </cell>
          <cell r="E31">
            <v>162.15799999999976</v>
          </cell>
          <cell r="F31">
            <v>159.94400000000007</v>
          </cell>
          <cell r="G31">
            <v>125.76699999999995</v>
          </cell>
          <cell r="H31">
            <v>-0.21368103836342789</v>
          </cell>
          <cell r="I31">
            <v>-0.22441692670111779</v>
          </cell>
          <cell r="J31">
            <v>-0.10263856384496872</v>
          </cell>
        </row>
        <row r="32">
          <cell r="B32" t="str">
            <v>EBITDA</v>
          </cell>
          <cell r="D32">
            <v>140.15200000000002</v>
          </cell>
          <cell r="E32">
            <v>158.45799999999977</v>
          </cell>
          <cell r="F32">
            <v>156.74400000000009</v>
          </cell>
          <cell r="G32">
            <v>122.56699999999995</v>
          </cell>
          <cell r="H32">
            <v>-0.21804343387944747</v>
          </cell>
          <cell r="I32">
            <v>-0.22650165974579939</v>
          </cell>
          <cell r="J32">
            <v>-0.12547091728980009</v>
          </cell>
        </row>
        <row r="33">
          <cell r="B33" t="str">
            <v xml:space="preserve">Net Income </v>
          </cell>
          <cell r="D33">
            <v>46.499000000000009</v>
          </cell>
          <cell r="E33">
            <v>57.253999999999763</v>
          </cell>
          <cell r="F33">
            <v>52.369000000000078</v>
          </cell>
          <cell r="G33">
            <v>52.369000000000078</v>
          </cell>
          <cell r="H33">
            <v>0</v>
          </cell>
          <cell r="I33">
            <v>-8.5321549586049983E-2</v>
          </cell>
          <cell r="J33">
            <v>0.12623927396288237</v>
          </cell>
        </row>
        <row r="34">
          <cell r="B34" t="str">
            <v>EPS</v>
          </cell>
          <cell r="D34">
            <v>0.49016938459086784</v>
          </cell>
          <cell r="E34">
            <v>0.58435420012434225</v>
          </cell>
          <cell r="F34">
            <v>0.54061112831630098</v>
          </cell>
          <cell r="G34">
            <v>0.54061112831630098</v>
          </cell>
          <cell r="H34">
            <v>0</v>
          </cell>
          <cell r="I34">
            <v>-7.4857118848009274E-2</v>
          </cell>
          <cell r="J34">
            <v>0.10290676103228202</v>
          </cell>
        </row>
        <row r="35">
          <cell r="B35" t="str">
            <v>EPS Adj. for Options Exp</v>
          </cell>
          <cell r="D35">
            <v>0.4335695595791636</v>
          </cell>
          <cell r="E35">
            <v>0.60615486495159665</v>
          </cell>
          <cell r="F35">
            <v>0.56385215185299964</v>
          </cell>
          <cell r="G35">
            <v>0.56385215185299964</v>
          </cell>
          <cell r="H35">
            <v>0</v>
          </cell>
          <cell r="I35">
            <v>-6.9788622585706728E-2</v>
          </cell>
          <cell r="J35">
            <v>0.30048832856322405</v>
          </cell>
        </row>
        <row r="36">
          <cell r="B36" t="str">
            <v>Shares O/S</v>
          </cell>
          <cell r="D36">
            <v>99.328929000000002</v>
          </cell>
          <cell r="E36">
            <v>98.209271000000001</v>
          </cell>
          <cell r="F36">
            <v>96.87</v>
          </cell>
          <cell r="G36">
            <v>96.87</v>
          </cell>
          <cell r="H36">
            <v>0</v>
          </cell>
          <cell r="I36">
            <v>-1.3636910103935085E-2</v>
          </cell>
          <cell r="J36">
            <v>-2.4755416420527365E-2</v>
          </cell>
        </row>
        <row r="38">
          <cell r="B38" t="str">
            <v>Cash Flow from Operations</v>
          </cell>
          <cell r="D38">
            <v>127.6867</v>
          </cell>
          <cell r="E38">
            <v>90.813999999999766</v>
          </cell>
          <cell r="F38">
            <v>116.23200000000008</v>
          </cell>
          <cell r="G38">
            <v>116.23200000000008</v>
          </cell>
          <cell r="H38">
            <v>0</v>
          </cell>
          <cell r="I38">
            <v>0.27989076574096927</v>
          </cell>
          <cell r="J38">
            <v>-8.9709421576404713E-2</v>
          </cell>
        </row>
        <row r="39">
          <cell r="B39" t="str">
            <v>Acquisitions, Net</v>
          </cell>
          <cell r="D39">
            <v>-20.959000000000003</v>
          </cell>
          <cell r="E39">
            <v>-17.448</v>
          </cell>
          <cell r="F39">
            <v>-160.56699999999998</v>
          </cell>
          <cell r="G39">
            <v>-160.56699999999998</v>
          </cell>
          <cell r="H39">
            <v>0</v>
          </cell>
          <cell r="I39">
            <v>8.2026020174231995</v>
          </cell>
          <cell r="J39">
            <v>6.6610048189321986</v>
          </cell>
        </row>
        <row r="40">
          <cell r="B40" t="str">
            <v>Capital Expenditures</v>
          </cell>
          <cell r="D40">
            <v>-43.569000000000003</v>
          </cell>
          <cell r="E40">
            <v>-39.704000000000001</v>
          </cell>
          <cell r="F40">
            <v>-54.49</v>
          </cell>
          <cell r="G40">
            <v>-54.49</v>
          </cell>
          <cell r="H40">
            <v>0</v>
          </cell>
          <cell r="I40">
            <v>0.37240580294176917</v>
          </cell>
          <cell r="J40">
            <v>0.25065987284537172</v>
          </cell>
        </row>
        <row r="41">
          <cell r="B41" t="str">
            <v>Stock Repurchases</v>
          </cell>
          <cell r="D41">
            <v>0</v>
          </cell>
          <cell r="E41">
            <v>0</v>
          </cell>
          <cell r="F41">
            <v>0</v>
          </cell>
          <cell r="G41">
            <v>0</v>
          </cell>
          <cell r="H41" t="e">
            <v>#DIV/0!</v>
          </cell>
          <cell r="I41" t="e">
            <v>#DIV/0!</v>
          </cell>
          <cell r="J41" t="e">
            <v>#DIV/0!</v>
          </cell>
        </row>
        <row r="42">
          <cell r="H42" t="str">
            <v xml:space="preserve"> </v>
          </cell>
        </row>
        <row r="43">
          <cell r="B43" t="str">
            <v>Ratios (bps)</v>
          </cell>
        </row>
        <row r="44">
          <cell r="B44" t="str">
            <v>Adj. Admissions % Chg.</v>
          </cell>
          <cell r="D44">
            <v>1.2999999999999999E-2</v>
          </cell>
          <cell r="E44">
            <v>-8.9999999999999993E-3</v>
          </cell>
          <cell r="F44">
            <v>5.0000000000000001E-3</v>
          </cell>
          <cell r="G44">
            <v>5.0000000000000001E-3</v>
          </cell>
          <cell r="H44" t="str">
            <v>flat</v>
          </cell>
          <cell r="I44">
            <v>140</v>
          </cell>
          <cell r="J44">
            <v>-80</v>
          </cell>
        </row>
        <row r="45">
          <cell r="B45" t="str">
            <v>Rev. per Adj. Admit % Chg.</v>
          </cell>
          <cell r="D45">
            <v>7.8639102395637206E-2</v>
          </cell>
          <cell r="E45">
            <v>7.8136443415345092E-2</v>
          </cell>
          <cell r="F45">
            <v>7.1755955635447011E-2</v>
          </cell>
          <cell r="G45">
            <v>7.1755955635447011E-2</v>
          </cell>
          <cell r="H45" t="str">
            <v>flat</v>
          </cell>
          <cell r="I45">
            <v>-60</v>
          </cell>
          <cell r="J45">
            <v>-70</v>
          </cell>
        </row>
        <row r="46">
          <cell r="B46" t="str">
            <v xml:space="preserve">SG&amp;A </v>
          </cell>
          <cell r="H46" t="str">
            <v>flat</v>
          </cell>
          <cell r="I46" t="str">
            <v>flat</v>
          </cell>
          <cell r="J46" t="str">
            <v>flat</v>
          </cell>
        </row>
        <row r="47">
          <cell r="B47" t="str">
            <v>Bad Debt</v>
          </cell>
          <cell r="H47" t="str">
            <v>flat</v>
          </cell>
          <cell r="I47" t="str">
            <v>flat</v>
          </cell>
          <cell r="J47" t="str">
            <v>flat</v>
          </cell>
        </row>
        <row r="48">
          <cell r="B48" t="str">
            <v>EBITDA Adj. for Options Exp</v>
          </cell>
          <cell r="D48">
            <v>0.15255170792343245</v>
          </cell>
          <cell r="E48">
            <v>0.15796220783547391</v>
          </cell>
          <cell r="F48">
            <v>0.15074067860825185</v>
          </cell>
          <cell r="G48">
            <v>0.15074067860825185</v>
          </cell>
          <cell r="H48" t="str">
            <v>flat</v>
          </cell>
          <cell r="I48">
            <v>-70</v>
          </cell>
          <cell r="J48">
            <v>-20</v>
          </cell>
        </row>
        <row r="49">
          <cell r="B49" t="str">
            <v>Tax Rate</v>
          </cell>
          <cell r="D49">
            <v>0.38727615332920445</v>
          </cell>
          <cell r="E49">
            <v>0.38799811869334799</v>
          </cell>
          <cell r="F49">
            <v>0.38559998122858846</v>
          </cell>
          <cell r="G49">
            <v>0.38559998122858846</v>
          </cell>
          <cell r="H49" t="str">
            <v>flat</v>
          </cell>
          <cell r="I49">
            <v>-20</v>
          </cell>
          <cell r="J49">
            <v>-10</v>
          </cell>
        </row>
        <row r="51">
          <cell r="B51" t="str">
            <v>Note: Excludes charges, asset impairments and unusual items.  Please see earnings model for a reconciliation with GAAP reported earnings.</v>
          </cell>
        </row>
        <row r="52">
          <cell r="B52" t="str">
            <v>Source: Company data</v>
          </cell>
        </row>
        <row r="53">
          <cell r="B53" t="str">
            <v>E: Morgan Stanley Research estimates</v>
          </cell>
        </row>
        <row r="55">
          <cell r="B55" t="str">
            <v>What Happened in 1Q06</v>
          </cell>
        </row>
        <row r="56">
          <cell r="B56" t="str">
            <v>* Reported 3Q05 EPS was $0.67 per share, $0.03 above our and consensus projection. EBITDA came in $3.5 million above our projection, worth about $0.02 per share, driven by better than expected commercial MLR (by 70 bp).</v>
          </cell>
        </row>
        <row r="57">
          <cell r="B57" t="str">
            <v xml:space="preserve">* SG&amp;A ratio was in line with our projection and improved 110 bp year over year and 30 bp sequentially. </v>
          </cell>
        </row>
        <row r="58">
          <cell r="B58" t="str">
            <v>* Calculated comm premium yield of 11.2% beat our projection by 100 bp, improving 170 bp year over year. Calculated cost trend was 8.9%, down 80 bp sequentially.</v>
          </cell>
        </row>
        <row r="59">
          <cell r="B59" t="str">
            <v>* Calculated commercial MLR came in 70 bp better than projected, worth $0.06 per share, and 180 bp sequentially.</v>
          </cell>
        </row>
        <row r="60">
          <cell r="B60" t="str">
            <v xml:space="preserve">* Medicare enrollment increased 1% sequentially, but is flat from 3Q04. Commercial at risk dropped by 2.7% over the same period and is down 8.5% year to date. </v>
          </cell>
        </row>
        <row r="61">
          <cell r="B61" t="str">
            <v>* Calculated TRICARE revenue beat our expectation by $47 million, however earnings were balanced by higher than projected MLR that was 60 bp worse than projected.</v>
          </cell>
        </row>
        <row r="62">
          <cell r="B62" t="str">
            <v>* CFO was $175 million, including receiving an early $120 million CMS payment and paying out $37 million in provider settlement charges. Excluding these items, CFO was 1.1 times net income plus D&amp;A. DCP, excluding provider settlement reserves and capitati</v>
          </cell>
        </row>
        <row r="64">
          <cell r="B64" t="str">
            <v>Key Issues This Quarter</v>
          </cell>
        </row>
        <row r="65">
          <cell r="B65" t="str">
            <v>* Progress in settling bid price and equitable adjustments from the TRICARE 2004 option year. We project this could result in $0.11-0.16 EPS upside in 2006.</v>
          </cell>
        </row>
        <row r="66">
          <cell r="B66" t="str">
            <v>* Update on Medicare PDP enrollment, profitability and revenue targets. Guidance at the Dec investor day seemed to indicate PMPM revenue of about $150 versus our projection of $90-100 PMPM.</v>
          </cell>
        </row>
        <row r="67">
          <cell r="B67" t="str">
            <v>* Continued industry leading commercial yield and further evidence of medical trend deceleration entering 2006. Confirmation that provider contract renegotiations are coming within the targeted ranges should help suppress medical trend in 2006. We would a</v>
          </cell>
        </row>
        <row r="68">
          <cell r="B68" t="str">
            <v xml:space="preserve">* Strategy to grow Medicare Advantage in 2006, which we view as a secular growth opportunity. We are projecting 22,000 additions in 2006 versus guidance of 25,000. Health Net grew its MA book by about 1,000 lives in all of 2005, according to CMS data. </v>
          </cell>
        </row>
        <row r="69">
          <cell r="B69" t="str">
            <v xml:space="preserve">* Update on the realization of a portion of $50 million in prior period positive development still on the balance sheet, worth up to $0.27 EPS in 2006. </v>
          </cell>
        </row>
        <row r="70">
          <cell r="B70" t="str">
            <v>* Details on the profitability of the acquisition of Universal Care's health plan assets. We expect $0.05-$0.10 per share in 2006 EPS, not in our current projections.</v>
          </cell>
        </row>
        <row r="71">
          <cell r="B71" t="str">
            <v xml:space="preserve">* Commentary on consumer directed health plan capabilities and an update on enrollment in CDHP products, including HSAs. We expect CA, their largest market, to lag the market given the low price point and rich benefits of HMOs in the state. </v>
          </cell>
        </row>
      </sheetData>
      <sheetData sheetId="10" refreshError="1">
        <row r="1">
          <cell r="A1" t="str">
            <v>$ in mm (except per share and admission data)</v>
          </cell>
          <cell r="B1" t="str">
            <v>2Q04A</v>
          </cell>
          <cell r="C1" t="str">
            <v>3Q04A*</v>
          </cell>
          <cell r="D1" t="str">
            <v>4Q04A</v>
          </cell>
          <cell r="E1" t="str">
            <v>1Q05A</v>
          </cell>
          <cell r="F1" t="str">
            <v>2Q05A</v>
          </cell>
          <cell r="G1" t="str">
            <v>3Q05A</v>
          </cell>
          <cell r="H1" t="str">
            <v>4Q05A</v>
          </cell>
          <cell r="I1" t="str">
            <v>4Q05E</v>
          </cell>
          <cell r="K1" t="str">
            <v>Comments</v>
          </cell>
        </row>
        <row r="2">
          <cell r="A2" t="str">
            <v>Revenue Model</v>
          </cell>
        </row>
        <row r="3">
          <cell r="A3" t="str">
            <v>Number of Hospitals (EOP)</v>
          </cell>
          <cell r="B3">
            <v>64</v>
          </cell>
          <cell r="C3">
            <v>66</v>
          </cell>
          <cell r="D3">
            <v>66</v>
          </cell>
          <cell r="E3">
            <v>67</v>
          </cell>
          <cell r="F3">
            <v>67</v>
          </cell>
          <cell r="G3">
            <v>68</v>
          </cell>
          <cell r="H3">
            <v>70</v>
          </cell>
          <cell r="I3">
            <v>70</v>
          </cell>
          <cell r="K3" t="str">
            <v xml:space="preserve">New hospitals: Sunbury (123 beds); Bradley Memorial (251 beds); and </v>
          </cell>
        </row>
        <row r="4">
          <cell r="A4" t="str">
            <v>Beds in Service (EOP)</v>
          </cell>
          <cell r="B4">
            <v>5716</v>
          </cell>
          <cell r="C4">
            <v>6054</v>
          </cell>
          <cell r="D4">
            <v>5960</v>
          </cell>
          <cell r="E4">
            <v>6175</v>
          </cell>
          <cell r="F4">
            <v>6187</v>
          </cell>
          <cell r="G4">
            <v>6239</v>
          </cell>
          <cell r="H4">
            <v>6476</v>
          </cell>
          <cell r="I4">
            <v>6510</v>
          </cell>
          <cell r="K4" t="str">
            <v>Newport Clinic (83 beds and combined with existing hospital)</v>
          </cell>
        </row>
        <row r="7">
          <cell r="A7" t="str">
            <v>Adjusted Admissions</v>
          </cell>
          <cell r="B7">
            <v>120287</v>
          </cell>
          <cell r="C7">
            <v>125047</v>
          </cell>
          <cell r="D7">
            <v>125513</v>
          </cell>
          <cell r="E7">
            <v>134513</v>
          </cell>
          <cell r="F7">
            <v>132764</v>
          </cell>
          <cell r="G7">
            <v>134952</v>
          </cell>
          <cell r="H7">
            <v>136195</v>
          </cell>
          <cell r="I7">
            <v>139124.48413500001</v>
          </cell>
        </row>
        <row r="8">
          <cell r="A8" t="str">
            <v>% Change (same-store)</v>
          </cell>
          <cell r="B8">
            <v>3.5999999999999997E-2</v>
          </cell>
          <cell r="C8">
            <v>0.01</v>
          </cell>
          <cell r="D8">
            <v>-1.3139378607004537E-2</v>
          </cell>
          <cell r="E8">
            <v>2.8000000000000001E-2</v>
          </cell>
          <cell r="F8">
            <v>1.2999999999999999E-2</v>
          </cell>
          <cell r="G8">
            <v>2.601421865378617E-2</v>
          </cell>
          <cell r="H8">
            <v>5.0000000000000001E-3</v>
          </cell>
          <cell r="I8" t="str">
            <v>2.0-3.0%</v>
          </cell>
          <cell r="K8" t="str">
            <v>Attributed to planned closure of certain services.</v>
          </cell>
        </row>
        <row r="9">
          <cell r="A9" t="str">
            <v>Revenue Per Adj. Admission</v>
          </cell>
          <cell r="B9">
            <v>6410.568058061137</v>
          </cell>
          <cell r="C9">
            <v>6492.0789783041573</v>
          </cell>
          <cell r="D9">
            <v>6697.513404985938</v>
          </cell>
          <cell r="E9">
            <v>6752.2321262628893</v>
          </cell>
          <cell r="F9">
            <v>6919.9331143984818</v>
          </cell>
          <cell r="G9">
            <v>6885.9224020392439</v>
          </cell>
          <cell r="H9">
            <v>7210.7639781196076</v>
          </cell>
          <cell r="I9">
            <v>6991.6218610061496</v>
          </cell>
        </row>
        <row r="10">
          <cell r="A10" t="str">
            <v xml:space="preserve">% Change (same-store) </v>
          </cell>
          <cell r="B10">
            <v>3.3282233331021649E-2</v>
          </cell>
          <cell r="C10">
            <v>5.0120415628797543E-2</v>
          </cell>
          <cell r="D10">
            <v>6.7299535009470279E-2</v>
          </cell>
          <cell r="E10">
            <v>5.4603307396140277E-2</v>
          </cell>
          <cell r="F10">
            <v>7.8639102395637206E-2</v>
          </cell>
          <cell r="G10">
            <v>5.8523983984885453E-2</v>
          </cell>
          <cell r="H10">
            <v>8.6505590478168859E-2</v>
          </cell>
          <cell r="I10" t="str">
            <v>4.5-5.5%</v>
          </cell>
          <cell r="K10" t="str">
            <v>Favorable mix, stronger Medicare pricing than expected.</v>
          </cell>
        </row>
        <row r="12">
          <cell r="A12" t="str">
            <v>Income Statement</v>
          </cell>
        </row>
        <row r="13">
          <cell r="A13" t="str">
            <v>Revenue</v>
          </cell>
          <cell r="B13">
            <v>771.10799999999995</v>
          </cell>
          <cell r="C13">
            <v>811.81500000000005</v>
          </cell>
          <cell r="D13">
            <v>840.625</v>
          </cell>
          <cell r="E13">
            <v>908.26300000000003</v>
          </cell>
          <cell r="F13">
            <v>918.71799999999996</v>
          </cell>
          <cell r="G13">
            <v>929.26900000000001</v>
          </cell>
          <cell r="H13">
            <v>982.07</v>
          </cell>
          <cell r="I13">
            <v>985.70578467946928</v>
          </cell>
        </row>
        <row r="14">
          <cell r="A14" t="str">
            <v>% Change (y/y)</v>
          </cell>
          <cell r="B14">
            <v>0.17315717647989537</v>
          </cell>
          <cell r="C14">
            <v>0.13907452956866662</v>
          </cell>
          <cell r="D14">
            <v>6.9709764278915287E-2</v>
          </cell>
          <cell r="E14">
            <v>0.16450095453735392</v>
          </cell>
          <cell r="F14">
            <v>0.19142584436940102</v>
          </cell>
          <cell r="G14">
            <v>0.14468074622912841</v>
          </cell>
          <cell r="H14">
            <v>0.16826171003717483</v>
          </cell>
          <cell r="I14">
            <v>0.13082059978853233</v>
          </cell>
        </row>
        <row r="15">
          <cell r="A15" t="str">
            <v>Salaries and Benefits</v>
          </cell>
          <cell r="B15">
            <v>309.06200000000001</v>
          </cell>
          <cell r="C15">
            <v>324.44299999999998</v>
          </cell>
          <cell r="D15">
            <v>333.76400000000001</v>
          </cell>
          <cell r="E15">
            <v>359.733</v>
          </cell>
          <cell r="F15">
            <v>365.09699999999998</v>
          </cell>
          <cell r="G15">
            <v>371.88099999999997</v>
          </cell>
          <cell r="H15">
            <v>389.19600000000003</v>
          </cell>
          <cell r="I15">
            <v>393.29660808710827</v>
          </cell>
        </row>
        <row r="16">
          <cell r="A16" t="str">
            <v>% of Revenue</v>
          </cell>
          <cell r="B16">
            <v>0.40080248162384519</v>
          </cell>
          <cell r="C16">
            <v>0.39965139840973618</v>
          </cell>
          <cell r="D16">
            <v>0.39704267657992565</v>
          </cell>
          <cell r="E16">
            <v>0.39606699821527463</v>
          </cell>
          <cell r="F16">
            <v>0.39739833115275852</v>
          </cell>
          <cell r="G16">
            <v>0.40018659828316661</v>
          </cell>
          <cell r="H16">
            <v>0.39630168928895088</v>
          </cell>
          <cell r="I16">
            <v>0.39900000000000002</v>
          </cell>
        </row>
        <row r="17">
          <cell r="A17" t="str">
            <v>Provision for Bad Debt</v>
          </cell>
          <cell r="B17">
            <v>76.296000000000006</v>
          </cell>
          <cell r="C17">
            <v>83.52</v>
          </cell>
          <cell r="D17">
            <v>84.906000000000006</v>
          </cell>
          <cell r="E17">
            <v>93.051000000000002</v>
          </cell>
          <cell r="F17">
            <v>91.581999999999994</v>
          </cell>
          <cell r="G17">
            <v>92.98</v>
          </cell>
          <cell r="H17">
            <v>99.983000000000004</v>
          </cell>
          <cell r="I17">
            <v>99.556284252626398</v>
          </cell>
        </row>
        <row r="18">
          <cell r="A18" t="str">
            <v>% of Revenue</v>
          </cell>
          <cell r="B18">
            <v>9.8943338676294387E-2</v>
          </cell>
          <cell r="C18">
            <v>0.1028805823986992</v>
          </cell>
          <cell r="D18">
            <v>0.10100342007434945</v>
          </cell>
          <cell r="E18">
            <v>0.10244940066918944</v>
          </cell>
          <cell r="F18">
            <v>9.9684560441833076E-2</v>
          </cell>
          <cell r="G18">
            <v>0.10005714168878979</v>
          </cell>
          <cell r="H18">
            <v>0.10180842506135</v>
          </cell>
          <cell r="I18">
            <v>0.10100000000000001</v>
          </cell>
        </row>
        <row r="19">
          <cell r="A19" t="str">
            <v>Supplies</v>
          </cell>
          <cell r="B19">
            <v>92.241</v>
          </cell>
          <cell r="C19">
            <v>100.13500000000001</v>
          </cell>
          <cell r="D19">
            <v>102.80800000000001</v>
          </cell>
          <cell r="E19">
            <v>112.65600000000001</v>
          </cell>
          <cell r="F19">
            <v>110.429</v>
          </cell>
          <cell r="G19">
            <v>110.48099999999999</v>
          </cell>
          <cell r="H19">
            <v>114.64400000000001</v>
          </cell>
          <cell r="I19">
            <v>117.79184126919657</v>
          </cell>
        </row>
        <row r="20">
          <cell r="A20" t="str">
            <v>% of Revenue</v>
          </cell>
          <cell r="B20">
            <v>0.11962137599402418</v>
          </cell>
          <cell r="C20">
            <v>0.12334706798962818</v>
          </cell>
          <cell r="D20">
            <v>0.12229947955390336</v>
          </cell>
          <cell r="E20">
            <v>0.12403455827221851</v>
          </cell>
          <cell r="F20">
            <v>0.12019901645553914</v>
          </cell>
          <cell r="G20">
            <v>0.11889022446675827</v>
          </cell>
          <cell r="H20">
            <v>0.11673709613367683</v>
          </cell>
          <cell r="I20">
            <v>0.1195</v>
          </cell>
        </row>
        <row r="21">
          <cell r="A21" t="str">
            <v>Other Operating Expenses</v>
          </cell>
          <cell r="B21">
            <v>154.57299999999998</v>
          </cell>
          <cell r="C21">
            <v>162.21299999999999</v>
          </cell>
          <cell r="D21">
            <v>167.37700000000001</v>
          </cell>
          <cell r="E21">
            <v>178.06399999999999</v>
          </cell>
          <cell r="F21">
            <v>189.446</v>
          </cell>
          <cell r="G21">
            <v>194.102</v>
          </cell>
          <cell r="H21">
            <v>204.078</v>
          </cell>
          <cell r="I21">
            <v>203.05539164397067</v>
          </cell>
        </row>
        <row r="22">
          <cell r="A22" t="str">
            <v>% of Revenue</v>
          </cell>
          <cell r="B22">
            <v>0.2004557078904641</v>
          </cell>
          <cell r="C22">
            <v>0.19981522883908279</v>
          </cell>
          <cell r="D22">
            <v>0.19911018587360596</v>
          </cell>
          <cell r="E22">
            <v>0.19604894177127108</v>
          </cell>
          <cell r="F22">
            <v>0.20620691006380631</v>
          </cell>
          <cell r="G22">
            <v>0.20887600899201417</v>
          </cell>
          <cell r="H22">
            <v>0.20780392436384371</v>
          </cell>
          <cell r="I22">
            <v>0.20599999999999999</v>
          </cell>
        </row>
        <row r="23">
          <cell r="A23" t="str">
            <v>Rent (estimated)</v>
          </cell>
          <cell r="B23">
            <v>20.11</v>
          </cell>
          <cell r="C23">
            <v>20.951000000000001</v>
          </cell>
          <cell r="D23">
            <v>21.2</v>
          </cell>
          <cell r="E23">
            <v>20.477</v>
          </cell>
          <cell r="F23">
            <v>22.012</v>
          </cell>
          <cell r="G23">
            <v>22.327999999999999</v>
          </cell>
          <cell r="H23">
            <v>22.4</v>
          </cell>
          <cell r="I23">
            <v>22.5</v>
          </cell>
        </row>
        <row r="24">
          <cell r="A24" t="str">
            <v>% of Revenue</v>
          </cell>
          <cell r="B24">
            <v>2.6079355939764598E-2</v>
          </cell>
          <cell r="C24">
            <v>2.5807603949175612E-2</v>
          </cell>
          <cell r="D24">
            <v>2.5219330855018585E-2</v>
          </cell>
          <cell r="E24">
            <v>2.2545231942730243E-2</v>
          </cell>
          <cell r="F24">
            <v>2.3959473962630536E-2</v>
          </cell>
          <cell r="G24">
            <v>2.402748827304042E-2</v>
          </cell>
          <cell r="H24">
            <v>2.2808964737747815E-2</v>
          </cell>
          <cell r="I24">
            <v>2.2826283815831034E-2</v>
          </cell>
        </row>
        <row r="25">
          <cell r="A25" t="str">
            <v>EBITDA</v>
          </cell>
          <cell r="B25">
            <v>118.82599999999998</v>
          </cell>
          <cell r="C25">
            <v>120.55300000000011</v>
          </cell>
          <cell r="D25">
            <v>130.57</v>
          </cell>
          <cell r="E25">
            <v>143.78199999999998</v>
          </cell>
          <cell r="F25">
            <v>140.15200000000002</v>
          </cell>
          <cell r="G25">
            <v>137.49700000000001</v>
          </cell>
          <cell r="H25">
            <v>151.76900000000001</v>
          </cell>
          <cell r="I25">
            <v>149.50565942656749</v>
          </cell>
        </row>
        <row r="26">
          <cell r="A26" t="str">
            <v>EBITDA Margin</v>
          </cell>
          <cell r="B26">
            <v>0.15409773987560754</v>
          </cell>
          <cell r="C26">
            <v>0.14849811841367813</v>
          </cell>
          <cell r="D26">
            <v>0.15532490706319702</v>
          </cell>
          <cell r="E26">
            <v>0.15830436778774426</v>
          </cell>
          <cell r="F26">
            <v>0.15255170792343245</v>
          </cell>
          <cell r="G26">
            <v>0.14796253829623071</v>
          </cell>
          <cell r="H26">
            <v>0.15453990041443075</v>
          </cell>
          <cell r="I26">
            <v>0.15167371618416906</v>
          </cell>
        </row>
        <row r="27">
          <cell r="A27" t="str">
            <v>Diluted EPS from Cont. Ops</v>
          </cell>
          <cell r="B27">
            <v>0.37610311539160068</v>
          </cell>
          <cell r="C27">
            <v>0.37868857612474355</v>
          </cell>
          <cell r="D27">
            <v>0.46178063087083132</v>
          </cell>
          <cell r="E27">
            <v>0.5226783880601773</v>
          </cell>
          <cell r="F27">
            <v>0.49016938459086784</v>
          </cell>
          <cell r="G27">
            <v>0.46945584571635823</v>
          </cell>
          <cell r="H27">
            <v>0.5370620699468438</v>
          </cell>
          <cell r="I27">
            <v>0.52266843261200291</v>
          </cell>
          <cell r="K27" t="str">
            <v>Consensus was $0.51; co. guidance $0.47-0.51.</v>
          </cell>
        </row>
        <row r="28">
          <cell r="A28" t="str">
            <v>Diluted EPS as Reported</v>
          </cell>
          <cell r="B28">
            <v>0.37273612323771077</v>
          </cell>
          <cell r="C28">
            <v>0.31533432683500601</v>
          </cell>
          <cell r="D28">
            <v>0.43868698469994655</v>
          </cell>
          <cell r="E28">
            <v>0.38921535501625543</v>
          </cell>
          <cell r="F28">
            <v>0.4335695595791636</v>
          </cell>
          <cell r="G28">
            <v>0.45747967237411846</v>
          </cell>
          <cell r="H28">
            <v>0.50960981410523554</v>
          </cell>
          <cell r="I28">
            <v>0.52266843261200291</v>
          </cell>
        </row>
        <row r="29">
          <cell r="A29" t="str">
            <v>Shares Outstanding</v>
          </cell>
          <cell r="B29">
            <v>108.999363</v>
          </cell>
          <cell r="C29">
            <v>107.86963900000001</v>
          </cell>
          <cell r="D29">
            <v>97.516000000000005</v>
          </cell>
          <cell r="E29">
            <v>98.087085999999999</v>
          </cell>
          <cell r="F29">
            <v>99.328929000000002</v>
          </cell>
          <cell r="G29">
            <v>98.528968000000006</v>
          </cell>
          <cell r="H29">
            <v>98.388999999999996</v>
          </cell>
          <cell r="I29">
            <v>98.075086680704459</v>
          </cell>
        </row>
        <row r="31">
          <cell r="A31" t="str">
            <v>Cash Flow Statement</v>
          </cell>
        </row>
        <row r="32">
          <cell r="A32" t="str">
            <v>Cash Flow from Operations</v>
          </cell>
          <cell r="B32">
            <v>144.25399999999999</v>
          </cell>
          <cell r="C32">
            <v>57.188999999999979</v>
          </cell>
          <cell r="D32">
            <v>62.575999999999851</v>
          </cell>
          <cell r="E32">
            <v>148.70899999999997</v>
          </cell>
          <cell r="F32">
            <v>127.6867</v>
          </cell>
          <cell r="G32">
            <v>59.367000000000012</v>
          </cell>
          <cell r="H32">
            <v>75.286000000000016</v>
          </cell>
          <cell r="I32">
            <v>58.539468924322186</v>
          </cell>
        </row>
        <row r="33">
          <cell r="A33" t="str">
            <v>Purchases of PP&amp;E</v>
          </cell>
          <cell r="B33">
            <v>-43.246000000000002</v>
          </cell>
          <cell r="C33">
            <v>-42.05899999999999</v>
          </cell>
          <cell r="D33">
            <v>-39.083999999999996</v>
          </cell>
          <cell r="E33">
            <v>-33.165999999999997</v>
          </cell>
          <cell r="F33">
            <v>-43.569000000000003</v>
          </cell>
          <cell r="G33">
            <v>-53.935999999999993</v>
          </cell>
          <cell r="H33">
            <v>-57.694000000000031</v>
          </cell>
          <cell r="I33">
            <v>-54.74</v>
          </cell>
        </row>
        <row r="34">
          <cell r="A34" t="str">
            <v>Proceeds from Asset Sales</v>
          </cell>
          <cell r="B34">
            <v>0.13700000000000001</v>
          </cell>
          <cell r="C34">
            <v>7.9379999999999988</v>
          </cell>
          <cell r="D34">
            <v>-0.27399999999999913</v>
          </cell>
          <cell r="E34">
            <v>53.991999999999997</v>
          </cell>
          <cell r="F34">
            <v>2.4000000000000021E-2</v>
          </cell>
          <cell r="G34">
            <v>-2.0179999999999993</v>
          </cell>
          <cell r="H34">
            <v>2.3250000000000006</v>
          </cell>
          <cell r="I34">
            <v>0</v>
          </cell>
        </row>
        <row r="35">
          <cell r="A35" t="str">
            <v>Acquisitions of Facilities</v>
          </cell>
          <cell r="B35">
            <v>-1.3039999999999998</v>
          </cell>
          <cell r="C35">
            <v>-126.52499999999999</v>
          </cell>
          <cell r="D35">
            <v>-1.2179999999999951</v>
          </cell>
          <cell r="E35">
            <v>-24.853999999999999</v>
          </cell>
          <cell r="F35">
            <v>-20.959000000000003</v>
          </cell>
          <cell r="G35">
            <v>-15.14</v>
          </cell>
          <cell r="H35">
            <v>-97.425999999999974</v>
          </cell>
          <cell r="I35">
            <v>-96.9</v>
          </cell>
          <cell r="K35" t="str">
            <v>Three new hospitals.</v>
          </cell>
        </row>
        <row r="36">
          <cell r="A36" t="str">
            <v>Net Borrowings</v>
          </cell>
          <cell r="B36">
            <v>-89.542999999999992</v>
          </cell>
          <cell r="C36">
            <v>407.16499999999996</v>
          </cell>
          <cell r="D36">
            <v>-249.36199999999997</v>
          </cell>
          <cell r="E36">
            <v>-13.025</v>
          </cell>
          <cell r="F36">
            <v>-6.6760000000000002</v>
          </cell>
          <cell r="G36">
            <v>-3.5640000000000001</v>
          </cell>
          <cell r="H36">
            <v>-3.2739999999999991</v>
          </cell>
          <cell r="I36">
            <v>-0.28800000000001091</v>
          </cell>
        </row>
        <row r="37">
          <cell r="A37" t="str">
            <v>Common Stock Repurchased</v>
          </cell>
          <cell r="B37">
            <v>0</v>
          </cell>
          <cell r="C37">
            <v>-290.48099999999999</v>
          </cell>
          <cell r="D37">
            <v>-3.8999999999987267E-2</v>
          </cell>
          <cell r="E37">
            <v>-4.3899999999999997</v>
          </cell>
          <cell r="F37">
            <v>-6.8240000000000007</v>
          </cell>
          <cell r="G37">
            <v>-68.638999999999996</v>
          </cell>
          <cell r="H37">
            <v>0</v>
          </cell>
          <cell r="I37">
            <v>0</v>
          </cell>
        </row>
      </sheetData>
      <sheetData sheetId="11"/>
      <sheetData sheetId="12"/>
      <sheetData sheetId="13"/>
      <sheetData sheetId="14"/>
      <sheetData sheetId="15"/>
      <sheetData sheetId="16" refreshError="1">
        <row r="1">
          <cell r="A1" t="str">
            <v>Community Health Systems</v>
          </cell>
        </row>
        <row r="2">
          <cell r="A2" t="str">
            <v>ROIC Analysis - NOPAT Adjustments</v>
          </cell>
        </row>
        <row r="3">
          <cell r="K3" t="str">
            <v>F</v>
          </cell>
          <cell r="L3" t="str">
            <v>K</v>
          </cell>
          <cell r="M3" t="str">
            <v>Q</v>
          </cell>
          <cell r="N3" t="str">
            <v>V</v>
          </cell>
          <cell r="O3" t="str">
            <v>AB</v>
          </cell>
          <cell r="P3" t="str">
            <v>AH</v>
          </cell>
          <cell r="Q3" t="str">
            <v>AJ</v>
          </cell>
          <cell r="R3" t="str">
            <v>AK</v>
          </cell>
          <cell r="S3" t="str">
            <v>AL</v>
          </cell>
          <cell r="T3" t="str">
            <v>AM</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t="str">
            <v>2003E</v>
          </cell>
          <cell r="Q5" t="str">
            <v>2004E</v>
          </cell>
          <cell r="R5" t="str">
            <v>2005E</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assets, net</v>
          </cell>
          <cell r="K16">
            <v>85.474000000000004</v>
          </cell>
          <cell r="L16">
            <v>93.355000000000004</v>
          </cell>
          <cell r="M16">
            <v>111.611</v>
          </cell>
          <cell r="N16">
            <v>98.653000000000006</v>
          </cell>
          <cell r="O16">
            <v>102.458</v>
          </cell>
          <cell r="P16">
            <v>95.189000000000007</v>
          </cell>
          <cell r="Q16">
            <v>112.128</v>
          </cell>
          <cell r="R16">
            <v>141.602</v>
          </cell>
          <cell r="S16">
            <v>172.91000000000003</v>
          </cell>
          <cell r="T16">
            <v>189.96678000000003</v>
          </cell>
        </row>
        <row r="18">
          <cell r="A18" t="str">
            <v>Accounts payable</v>
          </cell>
          <cell r="K18">
            <v>63.843000000000004</v>
          </cell>
          <cell r="L18">
            <v>57.392000000000003</v>
          </cell>
          <cell r="M18">
            <v>83.191000000000003</v>
          </cell>
          <cell r="N18">
            <v>91.096000000000004</v>
          </cell>
          <cell r="O18">
            <v>111.67700000000001</v>
          </cell>
          <cell r="P18">
            <v>154.71100000000001</v>
          </cell>
          <cell r="Q18">
            <v>162.63800000000001</v>
          </cell>
          <cell r="R18">
            <v>189.94</v>
          </cell>
          <cell r="S18">
            <v>197.32179022549565</v>
          </cell>
          <cell r="T18">
            <v>216.06412783319809</v>
          </cell>
        </row>
        <row r="19">
          <cell r="A19" t="str">
            <v>Income taxes payable</v>
          </cell>
          <cell r="K19">
            <v>0</v>
          </cell>
          <cell r="L19">
            <v>0</v>
          </cell>
          <cell r="M19">
            <v>0</v>
          </cell>
          <cell r="N19">
            <v>2.3250000000000002</v>
          </cell>
          <cell r="O19">
            <v>6.5590000000000002</v>
          </cell>
          <cell r="P19">
            <v>9.7949999999999999</v>
          </cell>
          <cell r="Q19">
            <v>4.1079999999999997</v>
          </cell>
          <cell r="R19">
            <v>19.811</v>
          </cell>
          <cell r="S19">
            <v>50.289000000000001</v>
          </cell>
          <cell r="T19">
            <v>50.289000000000001</v>
          </cell>
        </row>
        <row r="20">
          <cell r="A20" t="str">
            <v>Compliance settlement payable</v>
          </cell>
          <cell r="K20">
            <v>20</v>
          </cell>
          <cell r="L20">
            <v>30.9</v>
          </cell>
          <cell r="M20">
            <v>0</v>
          </cell>
          <cell r="N20">
            <v>0</v>
          </cell>
          <cell r="O20">
            <v>0</v>
          </cell>
          <cell r="P20">
            <v>0</v>
          </cell>
          <cell r="Q20">
            <v>0</v>
          </cell>
          <cell r="R20">
            <v>0</v>
          </cell>
          <cell r="S20">
            <v>0</v>
          </cell>
          <cell r="T20">
            <v>0</v>
          </cell>
        </row>
        <row r="21">
          <cell r="A21" t="str">
            <v>Accrued employee compensation</v>
          </cell>
          <cell r="K21">
            <v>36.524000000000001</v>
          </cell>
          <cell r="L21">
            <v>49.345999999999997</v>
          </cell>
          <cell r="M21">
            <v>56.84</v>
          </cell>
          <cell r="N21">
            <v>73.328999999999994</v>
          </cell>
          <cell r="O21">
            <v>94.358999999999995</v>
          </cell>
          <cell r="P21">
            <v>115.47799999999999</v>
          </cell>
          <cell r="Q21">
            <v>98.364999999999995</v>
          </cell>
          <cell r="R21">
            <v>121.77500000000001</v>
          </cell>
          <cell r="S21">
            <v>116.31795755004056</v>
          </cell>
          <cell r="T21">
            <v>128.14144068800721</v>
          </cell>
        </row>
        <row r="22">
          <cell r="A22" t="str">
            <v>Other accruals (excl. interest)</v>
          </cell>
          <cell r="K22">
            <v>39.695</v>
          </cell>
          <cell r="L22">
            <v>51.158999999999999</v>
          </cell>
          <cell r="M22">
            <v>56.02</v>
          </cell>
          <cell r="N22">
            <v>67.45</v>
          </cell>
          <cell r="O22">
            <v>80.525000000000006</v>
          </cell>
          <cell r="P22">
            <v>80.844999999999999</v>
          </cell>
          <cell r="Q22">
            <v>62.688000000000002</v>
          </cell>
          <cell r="R22">
            <v>78.162000000000006</v>
          </cell>
          <cell r="S22">
            <v>154.38994462213054</v>
          </cell>
          <cell r="T22">
            <v>167.37012721953855</v>
          </cell>
        </row>
        <row r="23">
          <cell r="A23" t="str">
            <v xml:space="preserve">  Total Current Liab. (non-interest)</v>
          </cell>
          <cell r="K23">
            <v>160.06200000000001</v>
          </cell>
          <cell r="L23">
            <v>188.797</v>
          </cell>
          <cell r="M23">
            <v>196.05100000000002</v>
          </cell>
          <cell r="N23">
            <v>234.2</v>
          </cell>
          <cell r="O23">
            <v>293.12</v>
          </cell>
          <cell r="P23">
            <v>360.82899999999995</v>
          </cell>
          <cell r="Q23">
            <v>327.79899999999998</v>
          </cell>
          <cell r="R23">
            <v>409.68799999999999</v>
          </cell>
          <cell r="S23">
            <v>518.31869239766672</v>
          </cell>
          <cell r="T23">
            <v>561.86469574074385</v>
          </cell>
        </row>
        <row r="24">
          <cell r="A24" t="str">
            <v>Other non-current liabilities</v>
          </cell>
          <cell r="K24">
            <v>26.908000000000001</v>
          </cell>
          <cell r="L24">
            <v>22.495000000000001</v>
          </cell>
          <cell r="M24">
            <v>15.2</v>
          </cell>
          <cell r="N24">
            <v>65.343999999999994</v>
          </cell>
          <cell r="O24">
            <v>86.232000000000014</v>
          </cell>
          <cell r="P24">
            <v>140.077</v>
          </cell>
          <cell r="Q24">
            <v>208.48999999999998</v>
          </cell>
          <cell r="R24">
            <v>258.238</v>
          </cell>
          <cell r="S24">
            <v>260.99200000000002</v>
          </cell>
          <cell r="T24">
            <v>260.99200000000002</v>
          </cell>
        </row>
        <row r="25">
          <cell r="A25" t="str">
            <v>Reported NOA</v>
          </cell>
          <cell r="K25">
            <v>1533.4720000000002</v>
          </cell>
          <cell r="L25">
            <v>1679.51</v>
          </cell>
          <cell r="M25">
            <v>1988.8459999999998</v>
          </cell>
          <cell r="N25">
            <v>2152.7340000000004</v>
          </cell>
          <cell r="O25">
            <v>2297.3000000000002</v>
          </cell>
          <cell r="P25">
            <v>2825.1739999999991</v>
          </cell>
          <cell r="Q25">
            <v>3007.1210000000005</v>
          </cell>
          <cell r="R25">
            <v>3154.5840000000003</v>
          </cell>
          <cell r="S25">
            <v>3592.5357671834677</v>
          </cell>
          <cell r="T25">
            <v>3820.7195812491536</v>
          </cell>
        </row>
        <row r="27">
          <cell r="A27" t="str">
            <v>NOA Adjustments:</v>
          </cell>
        </row>
        <row r="28">
          <cell r="A28" t="str">
            <v xml:space="preserve">PV of noncapitalized leases </v>
          </cell>
          <cell r="K28">
            <v>63.094056060642139</v>
          </cell>
          <cell r="L28">
            <v>64.986877742461402</v>
          </cell>
          <cell r="M28">
            <v>129.8961896280147</v>
          </cell>
          <cell r="N28">
            <v>127.81460560008654</v>
          </cell>
          <cell r="O28">
            <v>152.25964641791353</v>
          </cell>
          <cell r="P28">
            <v>156.82743581045096</v>
          </cell>
          <cell r="Q28">
            <v>161.53225888476447</v>
          </cell>
          <cell r="R28">
            <v>166.37822665130744</v>
          </cell>
          <cell r="S28">
            <v>171.36957345084667</v>
          </cell>
          <cell r="T28">
            <v>176.51066065437209</v>
          </cell>
        </row>
        <row r="29">
          <cell r="A29" t="str">
            <v xml:space="preserve">Accumulated goodwill amortization </v>
          </cell>
          <cell r="K29">
            <v>73.058000000000007</v>
          </cell>
          <cell r="L29">
            <v>97.766000000000005</v>
          </cell>
          <cell r="M29">
            <v>123.459</v>
          </cell>
          <cell r="N29">
            <v>151.05199999999999</v>
          </cell>
          <cell r="O29">
            <v>151.05199999999999</v>
          </cell>
          <cell r="P29">
            <v>151.05199999999999</v>
          </cell>
          <cell r="Q29">
            <v>151.05199999999999</v>
          </cell>
          <cell r="R29">
            <v>151.05199999999999</v>
          </cell>
          <cell r="S29">
            <v>151.05199999999999</v>
          </cell>
          <cell r="T29">
            <v>151.05199999999999</v>
          </cell>
        </row>
        <row r="30">
          <cell r="A30" t="str">
            <v>Accumulated other intangibles amortization</v>
          </cell>
          <cell r="K30">
            <v>27.343</v>
          </cell>
          <cell r="L30">
            <v>34.265000000000001</v>
          </cell>
          <cell r="M30">
            <v>37.142000000000003</v>
          </cell>
          <cell r="N30">
            <v>44.671999999999997</v>
          </cell>
          <cell r="O30">
            <v>56.015999999999998</v>
          </cell>
          <cell r="P30">
            <v>56.015999999999998</v>
          </cell>
          <cell r="Q30">
            <v>56.015999999999998</v>
          </cell>
          <cell r="R30">
            <v>56.015999999999998</v>
          </cell>
          <cell r="S30">
            <v>56.015999999999998</v>
          </cell>
          <cell r="T30">
            <v>56.015999999999998</v>
          </cell>
        </row>
        <row r="31">
          <cell r="A31" t="str">
            <v>After-tax accumulated charges/(gains)</v>
          </cell>
          <cell r="K31">
            <v>0.35199999999999998</v>
          </cell>
          <cell r="L31">
            <v>0.35199999999999998</v>
          </cell>
          <cell r="M31">
            <v>0.35199999999999998</v>
          </cell>
          <cell r="N31">
            <v>4.16</v>
          </cell>
          <cell r="O31">
            <v>9.4340000000000011</v>
          </cell>
          <cell r="P31">
            <v>9.4340000000000011</v>
          </cell>
          <cell r="Q31">
            <v>9.4340000000000011</v>
          </cell>
          <cell r="R31">
            <v>9.4340000000000011</v>
          </cell>
          <cell r="S31">
            <v>9.4340000000000011</v>
          </cell>
          <cell r="T31">
            <v>9.4340000000000011</v>
          </cell>
        </row>
        <row r="32">
          <cell r="A32" t="str">
            <v>NOA of small acquisitions</v>
          </cell>
          <cell r="K32">
            <v>218.56399999999999</v>
          </cell>
          <cell r="L32">
            <v>93.076999999999998</v>
          </cell>
          <cell r="M32">
            <v>246.94099999999997</v>
          </cell>
          <cell r="N32">
            <v>215.12700000000001</v>
          </cell>
          <cell r="O32">
            <v>173.185</v>
          </cell>
          <cell r="P32">
            <v>450.572</v>
          </cell>
          <cell r="Q32">
            <v>126.52499999999999</v>
          </cell>
          <cell r="R32">
            <v>158.37899999999996</v>
          </cell>
          <cell r="S32">
            <v>328.01499999999999</v>
          </cell>
          <cell r="T32">
            <v>170.56780000000001</v>
          </cell>
        </row>
        <row r="34">
          <cell r="A34" t="str">
            <v>Adjusted NOA (ex. small acquisitions)</v>
          </cell>
          <cell r="K34">
            <v>1697.3190560606424</v>
          </cell>
          <cell r="L34">
            <v>1876.8798777424613</v>
          </cell>
          <cell r="M34">
            <v>2279.6951896280143</v>
          </cell>
          <cell r="N34">
            <v>2480.4326056000868</v>
          </cell>
          <cell r="O34">
            <v>2666.0616464179138</v>
          </cell>
          <cell r="P34">
            <v>3198.5034358104499</v>
          </cell>
          <cell r="Q34">
            <v>3385.1552588847653</v>
          </cell>
          <cell r="R34">
            <v>3537.4642266513079</v>
          </cell>
          <cell r="S34">
            <v>3980.4073406343146</v>
          </cell>
          <cell r="T34">
            <v>4213.7322419035254</v>
          </cell>
        </row>
        <row r="37">
          <cell r="A37" t="str">
            <v>NET OPERATING PROFIT AFTER-TAX (NOPAT)</v>
          </cell>
        </row>
        <row r="38">
          <cell r="A38" t="str">
            <v>Operating income (EBIT)</v>
          </cell>
          <cell r="K38">
            <v>89.890000000000086</v>
          </cell>
          <cell r="L38">
            <v>122.53400000000008</v>
          </cell>
          <cell r="M38">
            <v>155.11199999999994</v>
          </cell>
          <cell r="N38">
            <v>189.04299999999995</v>
          </cell>
          <cell r="O38">
            <v>243.88199999999989</v>
          </cell>
          <cell r="P38">
            <v>292.75700000000052</v>
          </cell>
          <cell r="Q38">
            <v>344.96599999999989</v>
          </cell>
          <cell r="R38">
            <v>409.13700000000046</v>
          </cell>
          <cell r="S38">
            <v>456.33937323969889</v>
          </cell>
          <cell r="T38">
            <v>486.71322010484113</v>
          </cell>
        </row>
        <row r="39">
          <cell r="A39" t="str">
            <v>Lease rental expense</v>
          </cell>
          <cell r="K39">
            <v>3.9749255318204546</v>
          </cell>
          <cell r="L39">
            <v>4.0941732977750682</v>
          </cell>
          <cell r="M39">
            <v>8.1834599465649251</v>
          </cell>
          <cell r="N39">
            <v>8.0523201528054518</v>
          </cell>
          <cell r="O39">
            <v>9.5923577243285525</v>
          </cell>
          <cell r="P39">
            <v>9.8801284560584115</v>
          </cell>
          <cell r="Q39">
            <v>10.176532309740162</v>
          </cell>
          <cell r="R39">
            <v>10.481828279032369</v>
          </cell>
          <cell r="S39">
            <v>10.79628312740334</v>
          </cell>
          <cell r="T39">
            <v>11.120171621225442</v>
          </cell>
        </row>
        <row r="40">
          <cell r="A40" t="str">
            <v>Reported NOP</v>
          </cell>
          <cell r="K40">
            <v>93.864925531820546</v>
          </cell>
          <cell r="L40">
            <v>126.62817329777515</v>
          </cell>
          <cell r="M40">
            <v>163.29545994656488</v>
          </cell>
          <cell r="N40">
            <v>197.09532015280541</v>
          </cell>
          <cell r="O40">
            <v>253.47435772432846</v>
          </cell>
          <cell r="P40">
            <v>302.63712845605892</v>
          </cell>
          <cell r="Q40">
            <v>355.14253230974003</v>
          </cell>
          <cell r="R40">
            <v>419.61882827903281</v>
          </cell>
          <cell r="S40">
            <v>467.13565636710223</v>
          </cell>
          <cell r="T40">
            <v>497.83339172606657</v>
          </cell>
        </row>
        <row r="41">
          <cell r="B41" t="str">
            <v>Effective tax rate</v>
          </cell>
          <cell r="K41">
            <v>0.35699999999999998</v>
          </cell>
          <cell r="L41">
            <v>0.35</v>
          </cell>
          <cell r="M41">
            <v>0.40299999999999997</v>
          </cell>
          <cell r="N41">
            <v>0.41</v>
          </cell>
          <cell r="O41">
            <v>0.40699999999999997</v>
          </cell>
          <cell r="P41">
            <v>0.40699999999999997</v>
          </cell>
          <cell r="Q41">
            <v>0.40699999999999997</v>
          </cell>
          <cell r="R41">
            <v>0.40699999999999997</v>
          </cell>
          <cell r="S41">
            <v>0.40699999999999997</v>
          </cell>
          <cell r="T41">
            <v>0.40699999999999997</v>
          </cell>
        </row>
        <row r="43">
          <cell r="A43" t="str">
            <v>Goodwill amortization</v>
          </cell>
          <cell r="K43">
            <v>26.638999999999999</v>
          </cell>
          <cell r="L43">
            <v>24.707999999999998</v>
          </cell>
          <cell r="M43">
            <v>25.693000000000001</v>
          </cell>
          <cell r="N43">
            <v>28.755000000000003</v>
          </cell>
          <cell r="O43">
            <v>0</v>
          </cell>
          <cell r="P43">
            <v>0</v>
          </cell>
          <cell r="Q43">
            <v>0</v>
          </cell>
          <cell r="R43">
            <v>0</v>
          </cell>
          <cell r="S43">
            <v>0</v>
          </cell>
          <cell r="T43">
            <v>0</v>
          </cell>
        </row>
        <row r="44">
          <cell r="A44" t="str">
            <v>After-tax operating (charges)/gains</v>
          </cell>
          <cell r="K44">
            <v>-118.90548899999999</v>
          </cell>
          <cell r="L44">
            <v>-9.1</v>
          </cell>
          <cell r="M44">
            <v>0</v>
          </cell>
          <cell r="N44">
            <v>0</v>
          </cell>
          <cell r="O44">
            <v>0</v>
          </cell>
          <cell r="P44">
            <v>0</v>
          </cell>
          <cell r="Q44">
            <v>0</v>
          </cell>
          <cell r="R44">
            <v>0</v>
          </cell>
          <cell r="S44">
            <v>0</v>
          </cell>
          <cell r="T44">
            <v>0</v>
          </cell>
        </row>
        <row r="46">
          <cell r="A46" t="str">
            <v>Adjusted NOPAT</v>
          </cell>
          <cell r="K46">
            <v>-31.91134188303937</v>
          </cell>
          <cell r="L46">
            <v>97.916312643553852</v>
          </cell>
          <cell r="M46">
            <v>123.18038958809923</v>
          </cell>
          <cell r="N46">
            <v>145.0412388901552</v>
          </cell>
          <cell r="O46">
            <v>150.31029413052676</v>
          </cell>
          <cell r="P46">
            <v>179.46381717444294</v>
          </cell>
          <cell r="Q46">
            <v>210.59952165967584</v>
          </cell>
          <cell r="R46">
            <v>248.83396516946644</v>
          </cell>
          <cell r="S46">
            <v>277.0114442256916</v>
          </cell>
          <cell r="T46">
            <v>295.21520129355747</v>
          </cell>
        </row>
        <row r="48">
          <cell r="A48" t="str">
            <v>ROIC</v>
          </cell>
          <cell r="L48">
            <v>5.6149260760004892E-2</v>
          </cell>
          <cell r="M48">
            <v>6.1579406767287008E-2</v>
          </cell>
          <cell r="N48">
            <v>6.0756397922152164E-2</v>
          </cell>
          <cell r="O48">
            <v>5.855427506439953E-2</v>
          </cell>
          <cell r="P48">
            <v>6.2069262890880793E-2</v>
          </cell>
          <cell r="Q48">
            <v>6.4566104927252621E-2</v>
          </cell>
          <cell r="R48">
            <v>7.1827136872362141E-2</v>
          </cell>
          <cell r="S48">
            <v>7.4838189964050228E-2</v>
          </cell>
          <cell r="T48">
            <v>7.2611318425522903E-2</v>
          </cell>
        </row>
        <row r="50">
          <cell r="A50" t="str">
            <v>Operating profit margin</v>
          </cell>
          <cell r="L50">
            <v>9.0667198149876754E-2</v>
          </cell>
          <cell r="M50">
            <v>9.2097418684620971E-2</v>
          </cell>
          <cell r="N50">
            <v>8.5639524032861583E-2</v>
          </cell>
          <cell r="O50">
            <v>6.8309913134886144E-2</v>
          </cell>
          <cell r="P50">
            <v>6.3311330594266801E-2</v>
          </cell>
          <cell r="Q50">
            <v>6.574030325505012E-2</v>
          </cell>
          <cell r="R50">
            <v>6.6563045745004823E-2</v>
          </cell>
          <cell r="S50">
            <v>6.4027215412746211E-2</v>
          </cell>
          <cell r="T50">
            <v>6.2299010854756996E-2</v>
          </cell>
        </row>
        <row r="51">
          <cell r="A51" t="str">
            <v>Operating asset turnover</v>
          </cell>
          <cell r="L51">
            <v>0.6192896869625083</v>
          </cell>
          <cell r="M51">
            <v>0.66863336287589059</v>
          </cell>
          <cell r="N51">
            <v>0.70944343290416623</v>
          </cell>
          <cell r="O51">
            <v>0.85511297292800448</v>
          </cell>
          <cell r="P51">
            <v>0.96669538499619667</v>
          </cell>
          <cell r="Q51">
            <v>0.97316922050689736</v>
          </cell>
          <cell r="R51">
            <v>1.0800304733809913</v>
          </cell>
          <cell r="S51">
            <v>1.1509810956932949</v>
          </cell>
          <cell r="T51">
            <v>1.1566027039881674</v>
          </cell>
        </row>
        <row r="53">
          <cell r="A53" t="str">
            <v>ROIC Normalization Breakdown</v>
          </cell>
        </row>
        <row r="55">
          <cell r="A55" t="str">
            <v xml:space="preserve">December Year End </v>
          </cell>
        </row>
        <row r="56">
          <cell r="A56" t="str">
            <v>$ in millions except as noted</v>
          </cell>
          <cell r="K56">
            <v>1998</v>
          </cell>
          <cell r="L56">
            <v>1999</v>
          </cell>
          <cell r="M56">
            <v>2000</v>
          </cell>
          <cell r="N56">
            <v>2001</v>
          </cell>
          <cell r="O56">
            <v>2002</v>
          </cell>
          <cell r="P56" t="str">
            <v>2003E</v>
          </cell>
          <cell r="Q56" t="str">
            <v>2004E</v>
          </cell>
          <cell r="R56" t="str">
            <v>2005E</v>
          </cell>
          <cell r="S56" t="str">
            <v>2006E</v>
          </cell>
          <cell r="T56" t="str">
            <v>2007E</v>
          </cell>
        </row>
        <row r="59">
          <cell r="A59" t="str">
            <v>RECONCILIATION</v>
          </cell>
        </row>
        <row r="60">
          <cell r="A60" t="str">
            <v>Adjusted NOPAT</v>
          </cell>
          <cell r="K60">
            <v>-31.91134188303937</v>
          </cell>
          <cell r="L60">
            <v>97.916312643553852</v>
          </cell>
          <cell r="M60">
            <v>123.18038958809923</v>
          </cell>
          <cell r="N60">
            <v>145.0412388901552</v>
          </cell>
          <cell r="O60">
            <v>150.31029413052676</v>
          </cell>
          <cell r="P60">
            <v>179.46381717444294</v>
          </cell>
          <cell r="Q60">
            <v>210.59952165967584</v>
          </cell>
          <cell r="R60">
            <v>248.83396516946644</v>
          </cell>
          <cell r="S60">
            <v>277.0114442256916</v>
          </cell>
          <cell r="T60">
            <v>295.21520129355747</v>
          </cell>
        </row>
        <row r="61">
          <cell r="A61" t="str">
            <v>Adjusted ROIC</v>
          </cell>
          <cell r="L61">
            <v>5.6149260760004892E-2</v>
          </cell>
          <cell r="M61">
            <v>6.1579406767287008E-2</v>
          </cell>
          <cell r="N61">
            <v>6.0756397922152164E-2</v>
          </cell>
          <cell r="O61">
            <v>5.855427506439953E-2</v>
          </cell>
          <cell r="P61">
            <v>6.2069262890880793E-2</v>
          </cell>
          <cell r="Q61">
            <v>6.4566104927252621E-2</v>
          </cell>
          <cell r="R61">
            <v>7.1827136872362141E-2</v>
          </cell>
          <cell r="S61">
            <v>7.4838189964050228E-2</v>
          </cell>
          <cell r="T61">
            <v>7.2611318425522903E-2</v>
          </cell>
        </row>
        <row r="63">
          <cell r="A63" t="str">
            <v>Adjustments:</v>
          </cell>
        </row>
        <row r="64">
          <cell r="B64" t="str">
            <v xml:space="preserve">Restructurings </v>
          </cell>
          <cell r="K64">
            <v>0</v>
          </cell>
          <cell r="L64">
            <v>0</v>
          </cell>
          <cell r="M64">
            <v>0</v>
          </cell>
          <cell r="N64">
            <v>0</v>
          </cell>
          <cell r="O64">
            <v>0</v>
          </cell>
          <cell r="P64">
            <v>0</v>
          </cell>
          <cell r="Q64">
            <v>0</v>
          </cell>
          <cell r="R64">
            <v>0</v>
          </cell>
          <cell r="S64">
            <v>0</v>
          </cell>
          <cell r="T64">
            <v>0</v>
          </cell>
        </row>
        <row r="65">
          <cell r="B65" t="str">
            <v>Asset writedowns</v>
          </cell>
          <cell r="K65">
            <v>105.987619</v>
          </cell>
          <cell r="L65">
            <v>0</v>
          </cell>
          <cell r="M65">
            <v>0</v>
          </cell>
          <cell r="N65">
            <v>0</v>
          </cell>
          <cell r="O65">
            <v>0</v>
          </cell>
          <cell r="P65">
            <v>0</v>
          </cell>
          <cell r="Q65">
            <v>0</v>
          </cell>
          <cell r="R65">
            <v>0</v>
          </cell>
          <cell r="S65">
            <v>0</v>
          </cell>
          <cell r="T65">
            <v>0</v>
          </cell>
        </row>
        <row r="66">
          <cell r="B66" t="str">
            <v>Losses/(gains) on asset sales</v>
          </cell>
          <cell r="K66">
            <v>0</v>
          </cell>
          <cell r="L66">
            <v>0</v>
          </cell>
          <cell r="M66">
            <v>0</v>
          </cell>
          <cell r="N66">
            <v>0</v>
          </cell>
          <cell r="O66">
            <v>0</v>
          </cell>
          <cell r="P66">
            <v>0</v>
          </cell>
          <cell r="Q66">
            <v>0</v>
          </cell>
          <cell r="R66">
            <v>0</v>
          </cell>
          <cell r="S66">
            <v>0</v>
          </cell>
          <cell r="T66">
            <v>0</v>
          </cell>
        </row>
        <row r="67">
          <cell r="B67" t="str">
            <v>Government and compliance settlements</v>
          </cell>
          <cell r="K67">
            <v>12.917870000000001</v>
          </cell>
          <cell r="L67">
            <v>9.1</v>
          </cell>
          <cell r="M67">
            <v>0</v>
          </cell>
          <cell r="N67">
            <v>0</v>
          </cell>
          <cell r="O67">
            <v>0</v>
          </cell>
          <cell r="P67">
            <v>0</v>
          </cell>
          <cell r="Q67">
            <v>0</v>
          </cell>
          <cell r="R67">
            <v>0</v>
          </cell>
          <cell r="S67">
            <v>0</v>
          </cell>
          <cell r="T67">
            <v>0</v>
          </cell>
        </row>
        <row r="68">
          <cell r="B68" t="str">
            <v>Other</v>
          </cell>
          <cell r="K68">
            <v>0</v>
          </cell>
          <cell r="L68">
            <v>0</v>
          </cell>
          <cell r="M68">
            <v>0</v>
          </cell>
          <cell r="N68">
            <v>0</v>
          </cell>
          <cell r="O68">
            <v>0</v>
          </cell>
          <cell r="P68">
            <v>0</v>
          </cell>
          <cell r="Q68">
            <v>0</v>
          </cell>
          <cell r="R68">
            <v>0</v>
          </cell>
          <cell r="S68">
            <v>0</v>
          </cell>
          <cell r="T68">
            <v>0</v>
          </cell>
        </row>
        <row r="70">
          <cell r="A70" t="str">
            <v>Reported NOPAT</v>
          </cell>
          <cell r="K70">
            <v>86.994147116960619</v>
          </cell>
          <cell r="L70">
            <v>107.01631264355385</v>
          </cell>
          <cell r="M70">
            <v>123.18038958809923</v>
          </cell>
          <cell r="N70">
            <v>145.0412388901552</v>
          </cell>
          <cell r="O70">
            <v>150.31029413052676</v>
          </cell>
          <cell r="P70">
            <v>179.46381717444294</v>
          </cell>
          <cell r="Q70">
            <v>210.59952165967584</v>
          </cell>
          <cell r="R70">
            <v>248.83396516946644</v>
          </cell>
          <cell r="S70">
            <v>277.0114442256916</v>
          </cell>
          <cell r="T70">
            <v>295.21520129355747</v>
          </cell>
        </row>
        <row r="71">
          <cell r="A71" t="str">
            <v>Reported ROIC</v>
          </cell>
          <cell r="L71">
            <v>6.1367576882427645E-2</v>
          </cell>
          <cell r="M71">
            <v>6.1579406767287008E-2</v>
          </cell>
          <cell r="N71">
            <v>6.0756397922152164E-2</v>
          </cell>
          <cell r="O71">
            <v>5.8412692901226235E-2</v>
          </cell>
          <cell r="P71">
            <v>6.7314203861552943E-2</v>
          </cell>
          <cell r="Q71">
            <v>6.5843143797128134E-2</v>
          </cell>
          <cell r="R71">
            <v>7.3507401031716477E-2</v>
          </cell>
          <cell r="S71">
            <v>7.8307913939788643E-2</v>
          </cell>
          <cell r="T71">
            <v>7.4167082921345481E-2</v>
          </cell>
        </row>
        <row r="73">
          <cell r="A73" t="str">
            <v>ADJ. AS % OF DIFFERENCE</v>
          </cell>
        </row>
        <row r="74">
          <cell r="B74" t="str">
            <v xml:space="preserve">Restructurings </v>
          </cell>
          <cell r="K74" t="str">
            <v>-</v>
          </cell>
          <cell r="L74" t="str">
            <v>-</v>
          </cell>
          <cell r="M74" t="str">
            <v>-</v>
          </cell>
          <cell r="N74" t="str">
            <v>-</v>
          </cell>
          <cell r="O74" t="str">
            <v>-</v>
          </cell>
          <cell r="P74" t="str">
            <v>-</v>
          </cell>
          <cell r="Q74" t="str">
            <v>-</v>
          </cell>
          <cell r="R74" t="str">
            <v>-</v>
          </cell>
          <cell r="S74" t="str">
            <v>-</v>
          </cell>
          <cell r="T74" t="str">
            <v>-</v>
          </cell>
        </row>
        <row r="75">
          <cell r="B75" t="str">
            <v>Asset writedowns</v>
          </cell>
          <cell r="K75">
            <v>1.2183304568467499</v>
          </cell>
          <cell r="L75" t="str">
            <v>-</v>
          </cell>
          <cell r="M75" t="str">
            <v>-</v>
          </cell>
          <cell r="N75" t="str">
            <v>-</v>
          </cell>
          <cell r="O75" t="str">
            <v>-</v>
          </cell>
          <cell r="P75" t="str">
            <v>-</v>
          </cell>
          <cell r="Q75" t="str">
            <v>-</v>
          </cell>
          <cell r="R75" t="str">
            <v>-</v>
          </cell>
          <cell r="S75" t="str">
            <v>-</v>
          </cell>
          <cell r="T75" t="str">
            <v>-</v>
          </cell>
        </row>
        <row r="76">
          <cell r="B76" t="str">
            <v>Losses/(gains) on asset sales</v>
          </cell>
          <cell r="K76" t="str">
            <v>-</v>
          </cell>
          <cell r="L76" t="str">
            <v>-</v>
          </cell>
          <cell r="M76" t="str">
            <v>-</v>
          </cell>
          <cell r="N76" t="str">
            <v>-</v>
          </cell>
          <cell r="O76" t="str">
            <v>-</v>
          </cell>
          <cell r="P76" t="str">
            <v>-</v>
          </cell>
          <cell r="Q76" t="str">
            <v>-</v>
          </cell>
          <cell r="R76" t="str">
            <v>-</v>
          </cell>
          <cell r="S76" t="str">
            <v>-</v>
          </cell>
          <cell r="T76" t="str">
            <v>-</v>
          </cell>
        </row>
        <row r="77">
          <cell r="B77" t="str">
            <v>Government and compliance settlements</v>
          </cell>
          <cell r="K77">
            <v>0.14849125404531369</v>
          </cell>
          <cell r="L77">
            <v>8.5033765182229298E-2</v>
          </cell>
          <cell r="M77" t="str">
            <v>-</v>
          </cell>
          <cell r="N77" t="str">
            <v>-</v>
          </cell>
          <cell r="O77" t="str">
            <v>-</v>
          </cell>
          <cell r="P77" t="str">
            <v>-</v>
          </cell>
          <cell r="Q77" t="str">
            <v>-</v>
          </cell>
          <cell r="R77" t="str">
            <v>-</v>
          </cell>
          <cell r="S77" t="str">
            <v>-</v>
          </cell>
          <cell r="T77" t="str">
            <v>-</v>
          </cell>
        </row>
        <row r="78">
          <cell r="B78" t="str">
            <v>Other</v>
          </cell>
          <cell r="K78" t="str">
            <v>-</v>
          </cell>
          <cell r="L78" t="str">
            <v>-</v>
          </cell>
          <cell r="M78" t="str">
            <v>-</v>
          </cell>
          <cell r="N78" t="str">
            <v>-</v>
          </cell>
          <cell r="O78" t="str">
            <v>-</v>
          </cell>
          <cell r="P78" t="str">
            <v>-</v>
          </cell>
          <cell r="Q78" t="str">
            <v>-</v>
          </cell>
          <cell r="R78" t="str">
            <v>-</v>
          </cell>
          <cell r="S78" t="str">
            <v>-</v>
          </cell>
          <cell r="T78" t="str">
            <v>-</v>
          </cell>
        </row>
        <row r="80">
          <cell r="A80" t="str">
            <v>Difference</v>
          </cell>
          <cell r="K80">
            <v>1.3668217108920635</v>
          </cell>
          <cell r="L80">
            <v>8.5033765182229298E-2</v>
          </cell>
          <cell r="M80">
            <v>0</v>
          </cell>
          <cell r="N80">
            <v>0</v>
          </cell>
          <cell r="O80">
            <v>0</v>
          </cell>
          <cell r="P80">
            <v>0</v>
          </cell>
          <cell r="Q80">
            <v>0</v>
          </cell>
          <cell r="R80">
            <v>0</v>
          </cell>
          <cell r="S80">
            <v>0</v>
          </cell>
          <cell r="T80">
            <v>0</v>
          </cell>
        </row>
        <row r="82">
          <cell r="A82" t="str">
            <v>Note: CYH did not report a FY1997 balance sheet so can not calculate ROIC prior to FY1999</v>
          </cell>
        </row>
        <row r="83">
          <cell r="A83" t="str">
            <v>Residual Income Analysis</v>
          </cell>
        </row>
        <row r="84">
          <cell r="X84">
            <v>1999</v>
          </cell>
          <cell r="Y84">
            <v>2000</v>
          </cell>
          <cell r="Z84">
            <v>2001</v>
          </cell>
          <cell r="AA84">
            <v>2002</v>
          </cell>
          <cell r="AB84" t="str">
            <v>2003E</v>
          </cell>
          <cell r="AC84" t="str">
            <v>2004E</v>
          </cell>
          <cell r="AD84" t="str">
            <v>2005E</v>
          </cell>
          <cell r="AE84" t="str">
            <v>2006E</v>
          </cell>
          <cell r="AF84" t="str">
            <v>2007E</v>
          </cell>
        </row>
        <row r="85">
          <cell r="A85" t="str">
            <v>WACC</v>
          </cell>
          <cell r="D85">
            <v>7.4999999999999997E-2</v>
          </cell>
          <cell r="X85">
            <v>5.6149260760004892E-2</v>
          </cell>
          <cell r="Y85">
            <v>6.1579406767287008E-2</v>
          </cell>
          <cell r="Z85">
            <v>6.0756397922152164E-2</v>
          </cell>
          <cell r="AA85">
            <v>5.855427506439953E-2</v>
          </cell>
          <cell r="AB85">
            <v>6.2069262890880793E-2</v>
          </cell>
          <cell r="AC85">
            <v>6.4566104927252621E-2</v>
          </cell>
          <cell r="AD85">
            <v>7.1827136872362141E-2</v>
          </cell>
          <cell r="AE85">
            <v>7.4838189964050228E-2</v>
          </cell>
          <cell r="AF85">
            <v>7.2611318425522903E-2</v>
          </cell>
        </row>
        <row r="86">
          <cell r="A86" t="str">
            <v>Long-Term Residual Income Growth Rate</v>
          </cell>
          <cell r="D86">
            <v>0.02</v>
          </cell>
        </row>
        <row r="87">
          <cell r="A87" t="str">
            <v>Fully Diluted Shares Outstanding</v>
          </cell>
          <cell r="D87">
            <v>108.39688599999999</v>
          </cell>
          <cell r="X87">
            <v>1999</v>
          </cell>
          <cell r="Y87">
            <v>2000</v>
          </cell>
          <cell r="Z87">
            <v>2001</v>
          </cell>
          <cell r="AA87">
            <v>2002</v>
          </cell>
          <cell r="AB87" t="str">
            <v>2003E</v>
          </cell>
          <cell r="AC87" t="str">
            <v>2004E</v>
          </cell>
          <cell r="AD87" t="str">
            <v>2005E</v>
          </cell>
          <cell r="AE87" t="str">
            <v>2006E</v>
          </cell>
          <cell r="AF87" t="str">
            <v>2007E</v>
          </cell>
        </row>
        <row r="88">
          <cell r="A88" t="str">
            <v>Discount Period</v>
          </cell>
          <cell r="P88">
            <v>0</v>
          </cell>
          <cell r="Q88">
            <v>1</v>
          </cell>
          <cell r="R88">
            <v>2</v>
          </cell>
          <cell r="S88">
            <v>3</v>
          </cell>
          <cell r="T88">
            <v>4</v>
          </cell>
          <cell r="W88" t="str">
            <v>Op. Margin</v>
          </cell>
          <cell r="X88">
            <v>9.0667198149876754E-2</v>
          </cell>
          <cell r="Y88">
            <v>9.2097418684620971E-2</v>
          </cell>
          <cell r="Z88">
            <v>8.5639524032861583E-2</v>
          </cell>
          <cell r="AA88">
            <v>6.8309913134886144E-2</v>
          </cell>
          <cell r="AB88">
            <v>6.3311330594266801E-2</v>
          </cell>
          <cell r="AC88">
            <v>6.574030325505012E-2</v>
          </cell>
          <cell r="AD88">
            <v>6.6563045745004823E-2</v>
          </cell>
          <cell r="AE88">
            <v>6.4027215412746211E-2</v>
          </cell>
          <cell r="AF88">
            <v>6.2299010854756996E-2</v>
          </cell>
        </row>
        <row r="89">
          <cell r="W89" t="str">
            <v>Op. Asset Turns</v>
          </cell>
          <cell r="X89">
            <v>0.6192896869625083</v>
          </cell>
          <cell r="Y89">
            <v>0.66863336287589059</v>
          </cell>
          <cell r="Z89">
            <v>0.70944343290416623</v>
          </cell>
          <cell r="AA89">
            <v>0.85511297292800448</v>
          </cell>
          <cell r="AB89">
            <v>0.96669538499619667</v>
          </cell>
          <cell r="AC89">
            <v>0.97316922050689736</v>
          </cell>
          <cell r="AD89">
            <v>1.0800304733809913</v>
          </cell>
          <cell r="AE89">
            <v>1.1509810956932949</v>
          </cell>
          <cell r="AF89">
            <v>1.1566027039881674</v>
          </cell>
        </row>
        <row r="90">
          <cell r="A90" t="str">
            <v>ROIC</v>
          </cell>
          <cell r="P90">
            <v>6.2069262890880793E-2</v>
          </cell>
          <cell r="Q90">
            <v>6.4566104927252621E-2</v>
          </cell>
          <cell r="R90">
            <v>7.1827136872362141E-2</v>
          </cell>
          <cell r="S90">
            <v>7.4838189964050228E-2</v>
          </cell>
          <cell r="T90">
            <v>7.2611318425522903E-2</v>
          </cell>
        </row>
        <row r="91">
          <cell r="A91" t="str">
            <v>Residual Income</v>
          </cell>
          <cell r="P91">
            <v>-34.474142266535559</v>
          </cell>
          <cell r="Q91">
            <v>-33.372849239068209</v>
          </cell>
          <cell r="R91">
            <v>-10.740634302244855</v>
          </cell>
          <cell r="S91">
            <v>-0.57239721368547092</v>
          </cell>
          <cell r="T91">
            <v>-9.5079256734865591</v>
          </cell>
          <cell r="U91">
            <v>-9.6980841869562902</v>
          </cell>
        </row>
        <row r="92">
          <cell r="A92" t="str">
            <v>PV of Residual Income</v>
          </cell>
          <cell r="P92">
            <v>-34.474142266535559</v>
          </cell>
          <cell r="Q92">
            <v>-31.044510920063452</v>
          </cell>
          <cell r="R92">
            <v>-9.2942211376916006</v>
          </cell>
          <cell r="S92">
            <v>-0.46075718711396663</v>
          </cell>
          <cell r="T92">
            <v>-7.1195397813811319</v>
          </cell>
        </row>
        <row r="93">
          <cell r="A93" t="str">
            <v>Future Terminal Value</v>
          </cell>
        </row>
        <row r="95">
          <cell r="A95" t="str">
            <v>PV Terminal Value</v>
          </cell>
          <cell r="K95">
            <v>-132.03510140015919</v>
          </cell>
        </row>
        <row r="96">
          <cell r="A96" t="str">
            <v>PV FCFs</v>
          </cell>
          <cell r="K96">
            <v>-47.919029026250158</v>
          </cell>
        </row>
        <row r="97">
          <cell r="A97" t="str">
            <v>Current Invested Capital</v>
          </cell>
          <cell r="K97">
            <v>2666.0616464179138</v>
          </cell>
        </row>
        <row r="98">
          <cell r="A98" t="str">
            <v>Less: Net Debt</v>
          </cell>
          <cell r="K98">
            <v>-1059.614</v>
          </cell>
        </row>
        <row r="99">
          <cell r="A99" t="str">
            <v>Implied Market Value</v>
          </cell>
          <cell r="K99">
            <v>1426.4935159915044</v>
          </cell>
        </row>
        <row r="100">
          <cell r="B100" t="str">
            <v>Equity Value Per Share</v>
          </cell>
          <cell r="K100">
            <v>13.159912324340244</v>
          </cell>
        </row>
        <row r="106">
          <cell r="A106" t="str">
            <v>Adjustment Schedules</v>
          </cell>
        </row>
        <row r="108">
          <cell r="A108" t="str">
            <v>Adjustments for Small Acquisitions</v>
          </cell>
        </row>
        <row r="109">
          <cell r="A109" t="str">
            <v>Number of hospitals</v>
          </cell>
          <cell r="K109">
            <v>41</v>
          </cell>
          <cell r="L109">
            <v>46</v>
          </cell>
          <cell r="M109">
            <v>52</v>
          </cell>
          <cell r="N109">
            <v>57</v>
          </cell>
          <cell r="O109">
            <v>63</v>
          </cell>
          <cell r="P109">
            <v>72</v>
          </cell>
          <cell r="Q109">
            <v>66</v>
          </cell>
          <cell r="R109">
            <v>70</v>
          </cell>
          <cell r="S109">
            <v>78</v>
          </cell>
          <cell r="T109">
            <v>82</v>
          </cell>
        </row>
        <row r="110">
          <cell r="A110" t="str">
            <v>Net additional hospitals</v>
          </cell>
          <cell r="K110">
            <v>4</v>
          </cell>
          <cell r="L110">
            <v>5</v>
          </cell>
          <cell r="M110">
            <v>6</v>
          </cell>
          <cell r="N110">
            <v>5</v>
          </cell>
          <cell r="O110">
            <v>6</v>
          </cell>
          <cell r="P110">
            <v>9</v>
          </cell>
          <cell r="Q110">
            <v>-6</v>
          </cell>
          <cell r="R110">
            <v>4</v>
          </cell>
          <cell r="S110">
            <v>8</v>
          </cell>
          <cell r="T110">
            <v>4</v>
          </cell>
        </row>
        <row r="111">
          <cell r="A111" t="str">
            <v>NOA of acquired hospitals</v>
          </cell>
          <cell r="K111">
            <v>218.56399999999999</v>
          </cell>
          <cell r="L111">
            <v>93.076999999999998</v>
          </cell>
          <cell r="M111">
            <v>246.94099999999997</v>
          </cell>
          <cell r="N111">
            <v>215.12700000000001</v>
          </cell>
          <cell r="O111">
            <v>173.185</v>
          </cell>
          <cell r="P111">
            <v>450.572</v>
          </cell>
          <cell r="Q111">
            <v>126.52499999999999</v>
          </cell>
          <cell r="R111">
            <v>158.37899999999996</v>
          </cell>
          <cell r="S111">
            <v>328.01499999999999</v>
          </cell>
          <cell r="T111">
            <v>170.56780000000001</v>
          </cell>
        </row>
        <row r="112">
          <cell r="B112" t="str">
            <v>% of adjusted NOA (BOY)</v>
          </cell>
          <cell r="L112">
            <v>5.4837656872848133E-2</v>
          </cell>
          <cell r="M112">
            <v>0.13156995443790695</v>
          </cell>
          <cell r="N112">
            <v>9.4366563117195948E-2</v>
          </cell>
          <cell r="O112">
            <v>0.10181558629322315</v>
          </cell>
          <cell r="P112">
            <v>0.1420897564424205</v>
          </cell>
          <cell r="Q112">
            <v>-7.8957770428659452E-2</v>
          </cell>
          <cell r="R112">
            <v>4.9736113646419305E-2</v>
          </cell>
          <cell r="S112">
            <v>9.5189353660854736E-2</v>
          </cell>
          <cell r="T112">
            <v>4.2298300716086062E-2</v>
          </cell>
        </row>
        <row r="113">
          <cell r="B113" t="str">
            <v>% of change in adjusted NOA (y/y)</v>
          </cell>
          <cell r="L113">
            <v>0.51835917840102175</v>
          </cell>
          <cell r="M113">
            <v>0.61303776870865401</v>
          </cell>
          <cell r="N113">
            <v>1.071683616919376</v>
          </cell>
          <cell r="O113">
            <v>1.3604913266122234</v>
          </cell>
          <cell r="P113">
            <v>0.71147693052454908</v>
          </cell>
          <cell r="Q113">
            <v>-1.353036342428054</v>
          </cell>
          <cell r="R113">
            <v>1.1054140090078859</v>
          </cell>
          <cell r="S113">
            <v>0.76020807797511392</v>
          </cell>
          <cell r="T113">
            <v>0.72158807632969846</v>
          </cell>
        </row>
        <row r="115">
          <cell r="A115" t="str">
            <v>Average NOA/acquisition</v>
          </cell>
          <cell r="K115">
            <v>54.640999999999998</v>
          </cell>
          <cell r="L115">
            <v>18.615400000000001</v>
          </cell>
          <cell r="M115">
            <v>41.156833333333331</v>
          </cell>
          <cell r="N115">
            <v>43.025400000000005</v>
          </cell>
        </row>
        <row r="116">
          <cell r="A116" t="str">
            <v>Assumed NOA/acq (avg. 2000, 2001)</v>
          </cell>
          <cell r="K116">
            <v>42.091116666666665</v>
          </cell>
        </row>
        <row r="117">
          <cell r="B117" t="str">
            <v>Est. NOA for acq. 2002+</v>
          </cell>
          <cell r="O117">
            <v>252.54669999999999</v>
          </cell>
          <cell r="P117">
            <v>378.82004999999998</v>
          </cell>
          <cell r="Q117">
            <v>-252.54669999999999</v>
          </cell>
          <cell r="R117">
            <v>168.36446666666666</v>
          </cell>
          <cell r="S117">
            <v>336.72893333333332</v>
          </cell>
          <cell r="T117">
            <v>168.36446666666666</v>
          </cell>
        </row>
        <row r="121">
          <cell r="A121" t="str">
            <v>Schedule 1: Goodwill Amortization</v>
          </cell>
          <cell r="K121">
            <v>1998</v>
          </cell>
          <cell r="L121">
            <v>1999</v>
          </cell>
          <cell r="M121">
            <v>2000</v>
          </cell>
          <cell r="N121">
            <v>2001</v>
          </cell>
          <cell r="O121">
            <v>2002</v>
          </cell>
          <cell r="P121" t="str">
            <v>2003E</v>
          </cell>
          <cell r="Q121" t="str">
            <v>2004E</v>
          </cell>
          <cell r="R121" t="str">
            <v>2005E</v>
          </cell>
          <cell r="S121" t="str">
            <v>2006E</v>
          </cell>
          <cell r="T121" t="str">
            <v>2007E</v>
          </cell>
        </row>
        <row r="122">
          <cell r="B122" t="str">
            <v>Acc. Goodwill Amortization</v>
          </cell>
          <cell r="K122">
            <v>73.058000000000007</v>
          </cell>
          <cell r="L122">
            <v>97.766000000000005</v>
          </cell>
          <cell r="M122">
            <v>123.459</v>
          </cell>
          <cell r="N122">
            <v>151.05199999999999</v>
          </cell>
          <cell r="O122">
            <v>151.05199999999999</v>
          </cell>
          <cell r="P122">
            <v>151.05199999999999</v>
          </cell>
          <cell r="Q122">
            <v>151.05199999999999</v>
          </cell>
          <cell r="R122">
            <v>151.05199999999999</v>
          </cell>
          <cell r="S122">
            <v>151.05199999999999</v>
          </cell>
          <cell r="T122">
            <v>151.05199999999999</v>
          </cell>
        </row>
        <row r="124">
          <cell r="B124" t="str">
            <v>Acc. Other Assets Amortization</v>
          </cell>
          <cell r="K124">
            <v>27.343</v>
          </cell>
          <cell r="L124">
            <v>34.265000000000001</v>
          </cell>
          <cell r="M124">
            <v>37.142000000000003</v>
          </cell>
          <cell r="N124">
            <v>44.671999999999997</v>
          </cell>
          <cell r="O124">
            <v>56.015999999999998</v>
          </cell>
          <cell r="P124">
            <v>56.015999999999998</v>
          </cell>
          <cell r="Q124">
            <v>56.015999999999998</v>
          </cell>
          <cell r="R124">
            <v>56.015999999999998</v>
          </cell>
          <cell r="S124">
            <v>56.015999999999998</v>
          </cell>
          <cell r="T124">
            <v>56.015999999999998</v>
          </cell>
        </row>
        <row r="125">
          <cell r="B125" t="str">
            <v>Delta</v>
          </cell>
          <cell r="L125">
            <v>6.9220000000000006</v>
          </cell>
          <cell r="M125">
            <v>2.8770000000000024</v>
          </cell>
          <cell r="N125">
            <v>7.529999999999994</v>
          </cell>
        </row>
        <row r="126">
          <cell r="B126" t="str">
            <v>MD Recruitment Cost Amortization (add'l)</v>
          </cell>
          <cell r="K126">
            <v>0</v>
          </cell>
          <cell r="L126">
            <v>0</v>
          </cell>
          <cell r="M126">
            <v>4.3</v>
          </cell>
          <cell r="N126">
            <v>6.9</v>
          </cell>
          <cell r="O126">
            <v>15.733333333333334</v>
          </cell>
        </row>
        <row r="128">
          <cell r="B128" t="str">
            <v>Intangibles, Gross (in Other Assets)</v>
          </cell>
          <cell r="N128">
            <v>3.1</v>
          </cell>
          <cell r="O128">
            <v>3.7</v>
          </cell>
        </row>
        <row r="132">
          <cell r="A132" t="str">
            <v>Schedule 2:  Operating Leases</v>
          </cell>
        </row>
        <row r="133">
          <cell r="A133" t="str">
            <v>Discount Rate</v>
          </cell>
          <cell r="C133">
            <v>6.3E-2</v>
          </cell>
        </row>
        <row r="134">
          <cell r="A134" t="str">
            <v>Rent Expense</v>
          </cell>
        </row>
        <row r="135">
          <cell r="C135">
            <v>1990</v>
          </cell>
          <cell r="D135">
            <v>1991</v>
          </cell>
          <cell r="E135">
            <v>1992</v>
          </cell>
          <cell r="F135">
            <v>1993</v>
          </cell>
          <cell r="G135">
            <v>1994</v>
          </cell>
          <cell r="H135">
            <v>1995</v>
          </cell>
          <cell r="I135">
            <v>1996</v>
          </cell>
          <cell r="J135">
            <v>1997</v>
          </cell>
          <cell r="K135">
            <v>1998</v>
          </cell>
          <cell r="L135">
            <v>1999</v>
          </cell>
          <cell r="M135">
            <v>2000</v>
          </cell>
          <cell r="N135">
            <v>2001</v>
          </cell>
          <cell r="O135">
            <v>2002</v>
          </cell>
          <cell r="P135" t="str">
            <v>2003E</v>
          </cell>
          <cell r="Q135" t="str">
            <v>2004E</v>
          </cell>
          <cell r="R135" t="str">
            <v>2005E</v>
          </cell>
          <cell r="S135" t="str">
            <v>2006E</v>
          </cell>
          <cell r="T135" t="str">
            <v>2007E</v>
          </cell>
        </row>
        <row r="136">
          <cell r="B136">
            <v>1990</v>
          </cell>
        </row>
        <row r="137">
          <cell r="B137">
            <v>1991</v>
          </cell>
        </row>
        <row r="138">
          <cell r="B138">
            <v>1992</v>
          </cell>
        </row>
        <row r="139">
          <cell r="B139">
            <v>1993</v>
          </cell>
          <cell r="E139">
            <v>0</v>
          </cell>
        </row>
        <row r="140">
          <cell r="B140">
            <v>1994</v>
          </cell>
          <cell r="E140">
            <v>0</v>
          </cell>
          <cell r="F140">
            <v>0</v>
          </cell>
        </row>
        <row r="141">
          <cell r="B141">
            <v>1995</v>
          </cell>
          <cell r="E141">
            <v>0</v>
          </cell>
          <cell r="F141">
            <v>0</v>
          </cell>
          <cell r="G141">
            <v>0</v>
          </cell>
        </row>
        <row r="142">
          <cell r="B142">
            <v>1996</v>
          </cell>
          <cell r="E142">
            <v>0</v>
          </cell>
          <cell r="F142">
            <v>0</v>
          </cell>
          <cell r="G142">
            <v>0</v>
          </cell>
          <cell r="H142">
            <v>0</v>
          </cell>
        </row>
        <row r="143">
          <cell r="B143">
            <v>1997</v>
          </cell>
          <cell r="F143">
            <v>2.4E-2</v>
          </cell>
          <cell r="G143">
            <v>2.4E-2</v>
          </cell>
          <cell r="H143">
            <v>2.4E-2</v>
          </cell>
          <cell r="I143">
            <v>2.4E-2</v>
          </cell>
        </row>
        <row r="144">
          <cell r="B144">
            <v>1998</v>
          </cell>
          <cell r="E144">
            <v>0</v>
          </cell>
          <cell r="F144">
            <v>8.9999999999999993E-3</v>
          </cell>
          <cell r="G144">
            <v>8.9999999999999993E-3</v>
          </cell>
          <cell r="H144">
            <v>8.9999999999999993E-3</v>
          </cell>
          <cell r="I144">
            <v>8.9999999999999993E-3</v>
          </cell>
          <cell r="J144">
            <v>8.9999999999999993E-3</v>
          </cell>
        </row>
        <row r="145">
          <cell r="B145">
            <v>1999</v>
          </cell>
          <cell r="F145">
            <v>0</v>
          </cell>
          <cell r="G145">
            <v>0</v>
          </cell>
          <cell r="H145">
            <v>0</v>
          </cell>
          <cell r="I145">
            <v>0</v>
          </cell>
          <cell r="J145">
            <v>0</v>
          </cell>
          <cell r="K145">
            <v>15.831067961165049</v>
          </cell>
        </row>
        <row r="146">
          <cell r="B146">
            <v>2000</v>
          </cell>
          <cell r="G146">
            <v>0</v>
          </cell>
          <cell r="H146">
            <v>0</v>
          </cell>
          <cell r="I146">
            <v>0</v>
          </cell>
          <cell r="J146">
            <v>0</v>
          </cell>
          <cell r="K146">
            <v>13.822330097087379</v>
          </cell>
          <cell r="L146">
            <v>16.306000000000001</v>
          </cell>
        </row>
        <row r="147">
          <cell r="B147">
            <v>2001</v>
          </cell>
          <cell r="H147">
            <v>0</v>
          </cell>
          <cell r="I147">
            <v>0</v>
          </cell>
          <cell r="J147">
            <v>0</v>
          </cell>
          <cell r="K147">
            <v>11.001941747572817</v>
          </cell>
          <cell r="L147">
            <v>14.237</v>
          </cell>
          <cell r="M147">
            <v>24.140999999999998</v>
          </cell>
        </row>
        <row r="148">
          <cell r="B148">
            <v>2002</v>
          </cell>
          <cell r="I148">
            <v>0</v>
          </cell>
          <cell r="J148">
            <v>0</v>
          </cell>
          <cell r="K148">
            <v>8.7067961165048544</v>
          </cell>
          <cell r="L148">
            <v>11.332000000000001</v>
          </cell>
          <cell r="M148">
            <v>21.073</v>
          </cell>
          <cell r="N148">
            <v>31.984000000000002</v>
          </cell>
        </row>
        <row r="149">
          <cell r="B149">
            <v>2003</v>
          </cell>
          <cell r="J149">
            <v>0</v>
          </cell>
          <cell r="K149">
            <v>8.1631067961165034</v>
          </cell>
          <cell r="L149">
            <v>8.968</v>
          </cell>
          <cell r="M149">
            <v>19.379000000000001</v>
          </cell>
          <cell r="N149">
            <v>28.564</v>
          </cell>
          <cell r="O149">
            <v>41.834000000000003</v>
          </cell>
        </row>
        <row r="150">
          <cell r="B150">
            <v>2004</v>
          </cell>
          <cell r="K150">
            <v>20.164077669902909</v>
          </cell>
          <cell r="L150">
            <v>8.4079999999999995</v>
          </cell>
          <cell r="M150">
            <v>17.16</v>
          </cell>
          <cell r="N150">
            <v>26.521999999999998</v>
          </cell>
          <cell r="O150">
            <v>37.042999999999999</v>
          </cell>
          <cell r="P150">
            <v>43.089020000000005</v>
          </cell>
        </row>
        <row r="151">
          <cell r="B151">
            <v>2005</v>
          </cell>
          <cell r="L151">
            <v>20.768999999999998</v>
          </cell>
          <cell r="M151">
            <v>11.943</v>
          </cell>
          <cell r="N151">
            <v>19.561</v>
          </cell>
          <cell r="O151">
            <v>30.216999999999999</v>
          </cell>
          <cell r="P151">
            <v>38.154290000000003</v>
          </cell>
          <cell r="Q151">
            <v>44.381690600000006</v>
          </cell>
        </row>
        <row r="152">
          <cell r="B152">
            <v>2006</v>
          </cell>
          <cell r="M152">
            <v>72.376000000000005</v>
          </cell>
          <cell r="N152">
            <v>13.467000000000001</v>
          </cell>
          <cell r="O152">
            <v>20.427</v>
          </cell>
          <cell r="P152">
            <v>31.12351</v>
          </cell>
          <cell r="Q152">
            <v>39.298918700000002</v>
          </cell>
          <cell r="R152">
            <v>45.713141318000005</v>
          </cell>
        </row>
        <row r="153">
          <cell r="B153">
            <v>2007</v>
          </cell>
          <cell r="N153">
            <v>36.25</v>
          </cell>
          <cell r="O153">
            <v>14.651</v>
          </cell>
          <cell r="P153">
            <v>21.039809999999999</v>
          </cell>
          <cell r="Q153">
            <v>32.057215300000003</v>
          </cell>
          <cell r="R153">
            <v>40.477886261000002</v>
          </cell>
          <cell r="S153">
            <v>47.084535557540008</v>
          </cell>
        </row>
        <row r="154">
          <cell r="B154">
            <v>2008</v>
          </cell>
          <cell r="O154">
            <v>40.648000000000003</v>
          </cell>
          <cell r="P154">
            <v>15.090529999999999</v>
          </cell>
          <cell r="Q154">
            <v>21.6710043</v>
          </cell>
          <cell r="R154">
            <v>33.018931759000004</v>
          </cell>
          <cell r="S154">
            <v>41.692222848830006</v>
          </cell>
          <cell r="T154">
            <v>48.497071624266212</v>
          </cell>
        </row>
        <row r="155">
          <cell r="B155">
            <v>2009</v>
          </cell>
          <cell r="P155">
            <v>41.867440000000002</v>
          </cell>
          <cell r="Q155">
            <v>15.543245900000001</v>
          </cell>
          <cell r="R155">
            <v>22.321134429000001</v>
          </cell>
          <cell r="S155">
            <v>34.009499711770005</v>
          </cell>
          <cell r="T155">
            <v>42.94298953429491</v>
          </cell>
        </row>
        <row r="156">
          <cell r="B156">
            <v>2010</v>
          </cell>
          <cell r="Q156">
            <v>43.123463200000003</v>
          </cell>
          <cell r="R156">
            <v>16.009543277000002</v>
          </cell>
          <cell r="S156">
            <v>22.990768461870001</v>
          </cell>
          <cell r="T156">
            <v>35.029784703123106</v>
          </cell>
        </row>
        <row r="157">
          <cell r="B157">
            <v>2011</v>
          </cell>
          <cell r="R157">
            <v>44.417167096000007</v>
          </cell>
          <cell r="S157">
            <v>16.489829575310004</v>
          </cell>
          <cell r="T157">
            <v>23.6804915157261</v>
          </cell>
        </row>
        <row r="158">
          <cell r="B158">
            <v>2012</v>
          </cell>
          <cell r="S158">
            <v>45.749682108880009</v>
          </cell>
          <cell r="T158">
            <v>16.984524462569304</v>
          </cell>
        </row>
        <row r="159">
          <cell r="B159">
            <v>2013</v>
          </cell>
          <cell r="T159">
            <v>47.122172572146411</v>
          </cell>
        </row>
        <row r="160">
          <cell r="B160" t="str">
            <v>Assumes Rent Expense = Interest + Amort.</v>
          </cell>
        </row>
        <row r="161">
          <cell r="B161" t="str">
            <v>PV of Noncancelable Leases</v>
          </cell>
          <cell r="E161">
            <v>0</v>
          </cell>
          <cell r="F161">
            <v>2.54275083231883E-2</v>
          </cell>
          <cell r="G161">
            <v>2.7029441347549161E-2</v>
          </cell>
          <cell r="H161">
            <v>2.8732296152444756E-2</v>
          </cell>
          <cell r="I161">
            <v>3.054243081004877E-2</v>
          </cell>
          <cell r="J161">
            <v>8.4666039510818431E-3</v>
          </cell>
          <cell r="K161">
            <v>63.094056060642139</v>
          </cell>
          <cell r="L161">
            <v>64.986877742461402</v>
          </cell>
          <cell r="M161">
            <v>129.8961896280147</v>
          </cell>
          <cell r="N161">
            <v>127.81460560008654</v>
          </cell>
          <cell r="O161">
            <v>152.25964641791353</v>
          </cell>
          <cell r="P161">
            <v>156.82743581045096</v>
          </cell>
          <cell r="Q161">
            <v>161.53225888476447</v>
          </cell>
          <cell r="R161">
            <v>166.37822665130744</v>
          </cell>
          <cell r="S161">
            <v>171.36957345084667</v>
          </cell>
          <cell r="T161">
            <v>176.51066065437209</v>
          </cell>
        </row>
        <row r="162">
          <cell r="B162" t="str">
            <v>Pre-Tax Interest Component</v>
          </cell>
          <cell r="E162">
            <v>0</v>
          </cell>
          <cell r="F162">
            <v>1.601933024360863E-3</v>
          </cell>
          <cell r="G162">
            <v>1.7028548048955972E-3</v>
          </cell>
          <cell r="H162">
            <v>1.8101346576040196E-3</v>
          </cell>
          <cell r="I162">
            <v>1.9241731410330725E-3</v>
          </cell>
          <cell r="J162">
            <v>5.3339604891815609E-4</v>
          </cell>
          <cell r="K162">
            <v>3.9749255318204546</v>
          </cell>
          <cell r="L162">
            <v>4.0941732977750682</v>
          </cell>
          <cell r="M162">
            <v>8.1834599465649251</v>
          </cell>
          <cell r="N162">
            <v>8.0523201528054518</v>
          </cell>
          <cell r="O162">
            <v>9.5923577243285525</v>
          </cell>
          <cell r="P162">
            <v>9.8801284560584115</v>
          </cell>
          <cell r="Q162">
            <v>10.176532309740162</v>
          </cell>
          <cell r="R162">
            <v>10.481828279032369</v>
          </cell>
          <cell r="S162">
            <v>10.79628312740334</v>
          </cell>
          <cell r="T162">
            <v>11.120171621225442</v>
          </cell>
        </row>
        <row r="164">
          <cell r="B164" t="str">
            <v>Rent Expense</v>
          </cell>
          <cell r="K164">
            <v>22.344000000000001</v>
          </cell>
          <cell r="L164">
            <v>25.521999999999998</v>
          </cell>
          <cell r="M164">
            <v>31.385000000000002</v>
          </cell>
          <cell r="N164">
            <v>39.378999999999998</v>
          </cell>
          <cell r="O164">
            <v>51.295000000000002</v>
          </cell>
          <cell r="P164">
            <v>69.06</v>
          </cell>
          <cell r="Q164">
            <v>81.959000000000003</v>
          </cell>
          <cell r="R164">
            <v>87.217000000000013</v>
          </cell>
          <cell r="S164">
            <v>94.52000000000001</v>
          </cell>
          <cell r="T164">
            <v>103.52570130290816</v>
          </cell>
          <cell r="U164" t="str">
            <v>Addback</v>
          </cell>
        </row>
        <row r="165">
          <cell r="B165" t="str">
            <v>Amortization</v>
          </cell>
          <cell r="K165">
            <v>-18.369074468179548</v>
          </cell>
          <cell r="L165">
            <v>-21.42782670222493</v>
          </cell>
          <cell r="M165">
            <v>-23.201540053435075</v>
          </cell>
          <cell r="N165">
            <v>-31.326679847194548</v>
          </cell>
          <cell r="O165">
            <v>-41.702642275671451</v>
          </cell>
          <cell r="P165">
            <v>-59.179871543941587</v>
          </cell>
          <cell r="Q165">
            <v>-71.782467690259836</v>
          </cell>
          <cell r="R165">
            <v>-76.735171720967642</v>
          </cell>
          <cell r="S165">
            <v>-83.723716872596668</v>
          </cell>
          <cell r="T165">
            <v>-92.405529681682722</v>
          </cell>
          <cell r="U165" t="str">
            <v>Subtract</v>
          </cell>
        </row>
        <row r="166">
          <cell r="B166" t="str">
            <v>Interest</v>
          </cell>
          <cell r="K166">
            <v>3.9749255318204546</v>
          </cell>
          <cell r="L166">
            <v>4.0941732977750682</v>
          </cell>
          <cell r="M166">
            <v>8.1834599465649251</v>
          </cell>
          <cell r="N166">
            <v>8.0523201528054518</v>
          </cell>
          <cell r="O166">
            <v>9.5923577243285525</v>
          </cell>
          <cell r="P166">
            <v>9.8801284560584115</v>
          </cell>
          <cell r="Q166">
            <v>10.176532309740162</v>
          </cell>
          <cell r="R166">
            <v>10.481828279032369</v>
          </cell>
          <cell r="S166">
            <v>10.79628312740334</v>
          </cell>
          <cell r="T166">
            <v>11.120171621225442</v>
          </cell>
          <cell r="U166" t="str">
            <v>Net net effect is to addback interest</v>
          </cell>
        </row>
        <row r="168">
          <cell r="A168" t="str">
            <v>Schedule III:  One-Time Gains/Losses</v>
          </cell>
        </row>
        <row r="169">
          <cell r="C169">
            <v>1990</v>
          </cell>
          <cell r="D169">
            <v>1991</v>
          </cell>
          <cell r="E169">
            <v>1992</v>
          </cell>
          <cell r="F169">
            <v>1993</v>
          </cell>
          <cell r="G169">
            <v>1994</v>
          </cell>
          <cell r="H169">
            <v>1995</v>
          </cell>
          <cell r="I169">
            <v>1996</v>
          </cell>
          <cell r="J169">
            <v>1997</v>
          </cell>
          <cell r="K169">
            <v>1998</v>
          </cell>
          <cell r="L169">
            <v>1999</v>
          </cell>
          <cell r="M169">
            <v>2000</v>
          </cell>
          <cell r="N169">
            <v>2001</v>
          </cell>
          <cell r="O169">
            <v>2002</v>
          </cell>
          <cell r="P169" t="str">
            <v>2003E</v>
          </cell>
          <cell r="Q169" t="str">
            <v>2004E</v>
          </cell>
          <cell r="R169" t="str">
            <v>2005E</v>
          </cell>
          <cell r="S169" t="str">
            <v>2006E</v>
          </cell>
          <cell r="T169" t="str">
            <v>2007E</v>
          </cell>
        </row>
        <row r="170">
          <cell r="B170">
            <v>1995</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B171">
            <v>1996</v>
          </cell>
          <cell r="I171">
            <v>0</v>
          </cell>
          <cell r="J171">
            <v>0</v>
          </cell>
          <cell r="K171">
            <v>0</v>
          </cell>
          <cell r="L171">
            <v>0</v>
          </cell>
          <cell r="M171">
            <v>0</v>
          </cell>
          <cell r="N171">
            <v>0</v>
          </cell>
          <cell r="O171">
            <v>0</v>
          </cell>
          <cell r="P171">
            <v>0</v>
          </cell>
          <cell r="Q171">
            <v>0</v>
          </cell>
          <cell r="R171">
            <v>0</v>
          </cell>
          <cell r="S171">
            <v>0</v>
          </cell>
          <cell r="T171">
            <v>0</v>
          </cell>
        </row>
        <row r="172">
          <cell r="B172">
            <v>1997</v>
          </cell>
          <cell r="J172">
            <v>0</v>
          </cell>
          <cell r="K172">
            <v>0</v>
          </cell>
          <cell r="L172">
            <v>0</v>
          </cell>
          <cell r="M172">
            <v>0</v>
          </cell>
          <cell r="N172">
            <v>0</v>
          </cell>
          <cell r="O172">
            <v>0</v>
          </cell>
          <cell r="P172">
            <v>0</v>
          </cell>
          <cell r="Q172">
            <v>0</v>
          </cell>
          <cell r="R172">
            <v>0</v>
          </cell>
          <cell r="S172">
            <v>0</v>
          </cell>
          <cell r="T172">
            <v>0</v>
          </cell>
        </row>
        <row r="173">
          <cell r="B173">
            <v>1998</v>
          </cell>
          <cell r="K173">
            <v>0.35199999999999998</v>
          </cell>
          <cell r="L173">
            <v>0.35199999999999998</v>
          </cell>
          <cell r="M173">
            <v>0.35199999999999998</v>
          </cell>
          <cell r="N173">
            <v>0.35199999999999998</v>
          </cell>
          <cell r="O173">
            <v>0.35199999999999998</v>
          </cell>
          <cell r="P173">
            <v>0.35199999999999998</v>
          </cell>
          <cell r="Q173">
            <v>0.35199999999999998</v>
          </cell>
          <cell r="R173">
            <v>0.35199999999999998</v>
          </cell>
          <cell r="S173">
            <v>0.35199999999999998</v>
          </cell>
          <cell r="T173">
            <v>0.35199999999999998</v>
          </cell>
        </row>
        <row r="174">
          <cell r="B174">
            <v>1999</v>
          </cell>
          <cell r="L174">
            <v>0</v>
          </cell>
          <cell r="M174">
            <v>0</v>
          </cell>
          <cell r="N174">
            <v>0</v>
          </cell>
          <cell r="O174">
            <v>0</v>
          </cell>
          <cell r="P174">
            <v>0</v>
          </cell>
          <cell r="Q174">
            <v>0</v>
          </cell>
          <cell r="R174">
            <v>0</v>
          </cell>
          <cell r="S174">
            <v>0</v>
          </cell>
          <cell r="T174">
            <v>0</v>
          </cell>
        </row>
        <row r="175">
          <cell r="B175">
            <v>2000</v>
          </cell>
          <cell r="M175">
            <v>0</v>
          </cell>
          <cell r="N175">
            <v>0</v>
          </cell>
          <cell r="O175">
            <v>0</v>
          </cell>
          <cell r="P175">
            <v>0</v>
          </cell>
          <cell r="Q175">
            <v>0</v>
          </cell>
          <cell r="R175">
            <v>0</v>
          </cell>
          <cell r="S175">
            <v>0</v>
          </cell>
          <cell r="T175">
            <v>0</v>
          </cell>
        </row>
        <row r="176">
          <cell r="B176">
            <v>2001</v>
          </cell>
          <cell r="N176">
            <v>3.8079999999999998</v>
          </cell>
          <cell r="O176">
            <v>3.8079999999999998</v>
          </cell>
          <cell r="P176">
            <v>3.8079999999999998</v>
          </cell>
          <cell r="Q176">
            <v>3.8079999999999998</v>
          </cell>
          <cell r="R176">
            <v>3.8079999999999998</v>
          </cell>
          <cell r="S176">
            <v>3.8079999999999998</v>
          </cell>
          <cell r="T176">
            <v>3.8079999999999998</v>
          </cell>
        </row>
        <row r="177">
          <cell r="B177">
            <v>2002</v>
          </cell>
          <cell r="O177">
            <v>5.274</v>
          </cell>
          <cell r="P177">
            <v>5.274</v>
          </cell>
          <cell r="Q177">
            <v>5.274</v>
          </cell>
          <cell r="R177">
            <v>5.274</v>
          </cell>
          <cell r="S177">
            <v>5.274</v>
          </cell>
          <cell r="T177">
            <v>5.274</v>
          </cell>
        </row>
        <row r="178">
          <cell r="B178" t="str">
            <v>Accumulated One-Time Gains/Losses</v>
          </cell>
          <cell r="C178">
            <v>0</v>
          </cell>
          <cell r="D178">
            <v>0</v>
          </cell>
          <cell r="E178">
            <v>0</v>
          </cell>
          <cell r="F178">
            <v>0</v>
          </cell>
          <cell r="G178">
            <v>0</v>
          </cell>
          <cell r="H178">
            <v>0</v>
          </cell>
          <cell r="I178">
            <v>0</v>
          </cell>
          <cell r="J178">
            <v>0</v>
          </cell>
          <cell r="K178">
            <v>0.35199999999999998</v>
          </cell>
          <cell r="L178">
            <v>0.35199999999999998</v>
          </cell>
          <cell r="M178">
            <v>0.35199999999999998</v>
          </cell>
          <cell r="N178">
            <v>4.16</v>
          </cell>
          <cell r="O178">
            <v>9.4340000000000011</v>
          </cell>
          <cell r="P178">
            <v>9.4340000000000011</v>
          </cell>
          <cell r="Q178">
            <v>9.4340000000000011</v>
          </cell>
          <cell r="R178">
            <v>9.4340000000000011</v>
          </cell>
          <cell r="S178">
            <v>9.4340000000000011</v>
          </cell>
          <cell r="T178">
            <v>9.4340000000000011</v>
          </cell>
        </row>
        <row r="180">
          <cell r="A180" t="str">
            <v>Schedule IV:  Operating Gains/Losses</v>
          </cell>
        </row>
        <row r="181">
          <cell r="C181">
            <v>1990</v>
          </cell>
          <cell r="D181">
            <v>1991</v>
          </cell>
          <cell r="E181">
            <v>1992</v>
          </cell>
          <cell r="F181">
            <v>1993</v>
          </cell>
          <cell r="G181">
            <v>1994</v>
          </cell>
          <cell r="H181">
            <v>1995</v>
          </cell>
          <cell r="I181">
            <v>1996</v>
          </cell>
          <cell r="J181">
            <v>1997</v>
          </cell>
          <cell r="K181">
            <v>1998</v>
          </cell>
          <cell r="L181">
            <v>1999</v>
          </cell>
          <cell r="M181">
            <v>2000</v>
          </cell>
          <cell r="N181">
            <v>2001</v>
          </cell>
          <cell r="O181">
            <v>2002</v>
          </cell>
          <cell r="P181" t="str">
            <v>2003E</v>
          </cell>
          <cell r="Q181" t="str">
            <v>2004E</v>
          </cell>
          <cell r="R181" t="str">
            <v>2005E</v>
          </cell>
          <cell r="S181" t="str">
            <v>2006E</v>
          </cell>
          <cell r="T181" t="str">
            <v>2007E</v>
          </cell>
        </row>
        <row r="182">
          <cell r="B182" t="str">
            <v>Asset impairments</v>
          </cell>
          <cell r="G182">
            <v>0</v>
          </cell>
          <cell r="H182">
            <v>0</v>
          </cell>
          <cell r="I182">
            <v>0</v>
          </cell>
          <cell r="J182">
            <v>0</v>
          </cell>
          <cell r="K182">
            <v>-105.987619</v>
          </cell>
          <cell r="L182">
            <v>0</v>
          </cell>
          <cell r="M182">
            <v>0</v>
          </cell>
          <cell r="N182">
            <v>0</v>
          </cell>
          <cell r="O182">
            <v>0</v>
          </cell>
          <cell r="P182">
            <v>0</v>
          </cell>
          <cell r="Q182">
            <v>0</v>
          </cell>
          <cell r="R182">
            <v>0</v>
          </cell>
          <cell r="S182">
            <v>0</v>
          </cell>
          <cell r="T182">
            <v>0</v>
          </cell>
        </row>
        <row r="183">
          <cell r="B183" t="str">
            <v>Gains and losses  on asset sales</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row>
        <row r="184">
          <cell r="B184" t="str">
            <v>Compliance settlements</v>
          </cell>
          <cell r="G184">
            <v>0</v>
          </cell>
          <cell r="H184">
            <v>0</v>
          </cell>
          <cell r="I184">
            <v>0</v>
          </cell>
          <cell r="J184">
            <v>0</v>
          </cell>
          <cell r="K184">
            <v>-12.917870000000001</v>
          </cell>
          <cell r="L184">
            <v>-9.1</v>
          </cell>
          <cell r="M184">
            <v>0</v>
          </cell>
          <cell r="N184">
            <v>0</v>
          </cell>
          <cell r="O184">
            <v>0</v>
          </cell>
          <cell r="P184">
            <v>0</v>
          </cell>
          <cell r="Q184">
            <v>0</v>
          </cell>
          <cell r="R184">
            <v>0</v>
          </cell>
          <cell r="S184">
            <v>0</v>
          </cell>
          <cell r="T184">
            <v>0</v>
          </cell>
        </row>
        <row r="185">
          <cell r="B185" t="str">
            <v>Other</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row>
        <row r="186">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row>
        <row r="187">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row>
        <row r="188">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row>
        <row r="189">
          <cell r="B189" t="str">
            <v xml:space="preserve"> Gains/Losses</v>
          </cell>
          <cell r="C189">
            <v>0</v>
          </cell>
          <cell r="D189">
            <v>0</v>
          </cell>
          <cell r="E189">
            <v>0</v>
          </cell>
          <cell r="F189">
            <v>0</v>
          </cell>
          <cell r="G189">
            <v>0</v>
          </cell>
          <cell r="H189">
            <v>0</v>
          </cell>
          <cell r="I189">
            <v>0</v>
          </cell>
          <cell r="J189">
            <v>0</v>
          </cell>
          <cell r="K189">
            <v>-118.90548899999999</v>
          </cell>
          <cell r="L189">
            <v>-9.1</v>
          </cell>
          <cell r="M189">
            <v>0</v>
          </cell>
          <cell r="N189">
            <v>0</v>
          </cell>
          <cell r="O189">
            <v>0</v>
          </cell>
          <cell r="P189">
            <v>0</v>
          </cell>
          <cell r="Q189">
            <v>0</v>
          </cell>
          <cell r="R189">
            <v>0</v>
          </cell>
          <cell r="S189">
            <v>0</v>
          </cell>
          <cell r="T189">
            <v>0</v>
          </cell>
        </row>
        <row r="190">
          <cell r="T190" t="str">
            <v>Action:</v>
          </cell>
        </row>
        <row r="191">
          <cell r="B191">
            <v>2002</v>
          </cell>
          <cell r="L191" t="str">
            <v>$5.274 mm, net ($3.372 of tax) loss on early retirement of debt</v>
          </cell>
          <cell r="T191" t="str">
            <v>NOA</v>
          </cell>
        </row>
        <row r="192">
          <cell r="B192">
            <v>2001</v>
          </cell>
          <cell r="L192" t="str">
            <v>$6.2 mm ($3.808 mm, net) loss on early retirement of debt</v>
          </cell>
          <cell r="T192" t="str">
            <v>NOA</v>
          </cell>
        </row>
        <row r="193">
          <cell r="B193">
            <v>2000</v>
          </cell>
        </row>
        <row r="194">
          <cell r="B194">
            <v>1999</v>
          </cell>
          <cell r="L194" t="str">
            <v>$17.279 mm compliance settlement and Y2K costs ($3.3 mm for Y2K)</v>
          </cell>
          <cell r="T194" t="str">
            <v>NOPAT</v>
          </cell>
        </row>
        <row r="195">
          <cell r="B195">
            <v>1998</v>
          </cell>
          <cell r="L195" t="str">
            <v>$164.833 mm impairment of long-lived assets ($134.3 mm related to goodwill reduction; the rest to tangibles)</v>
          </cell>
          <cell r="T195" t="str">
            <v>NOPAT</v>
          </cell>
        </row>
        <row r="196">
          <cell r="L196" t="str">
            <v>$20.209 mm compliance settlement ($0.2 mm for Y2K)</v>
          </cell>
          <cell r="T196" t="str">
            <v>NOPAT</v>
          </cell>
        </row>
        <row r="197">
          <cell r="L197" t="str">
            <v>$(.352) net of $189 in taxes for cumulative change in accounting principle</v>
          </cell>
          <cell r="T197" t="str">
            <v>NOA</v>
          </cell>
        </row>
        <row r="198">
          <cell r="B198">
            <v>1997</v>
          </cell>
        </row>
        <row r="199">
          <cell r="B199">
            <v>1996</v>
          </cell>
          <cell r="L199" t="str">
            <v>$15.655 mm asset impairment</v>
          </cell>
        </row>
        <row r="200">
          <cell r="L200" t="str">
            <v>$3.146 mm loss on hospital sales</v>
          </cell>
        </row>
        <row r="201">
          <cell r="B201">
            <v>1995</v>
          </cell>
          <cell r="L201" t="str">
            <v>$25.4 mm asset impairment</v>
          </cell>
        </row>
        <row r="206">
          <cell r="A206" t="str">
            <v>Notes to self:</v>
          </cell>
        </row>
        <row r="207">
          <cell r="A207" t="str">
            <v>there are Capitalized Interest Costs in PP&amp;E, but it is a minor amount in grand scheme of things</v>
          </cell>
        </row>
        <row r="208">
          <cell r="A208" t="str">
            <v>D&amp;A includes amortization of MD recruitment costs, while other assets includes the capitalized contracts.  CYH does not break it out, so can't do anything about these.  Tried to parse out, but just couldn't figure it out</v>
          </cell>
        </row>
      </sheetData>
      <sheetData sheetId="17" refreshError="1">
        <row r="1">
          <cell r="A1" t="str">
            <v>Community Health Systems</v>
          </cell>
        </row>
        <row r="2">
          <cell r="A2" t="str">
            <v>ROIC Analysis - NOA Adjustments</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intangibles, net</v>
          </cell>
          <cell r="L16">
            <v>0</v>
          </cell>
          <cell r="M16">
            <v>0</v>
          </cell>
          <cell r="N16">
            <v>0</v>
          </cell>
          <cell r="O16">
            <v>0</v>
          </cell>
          <cell r="P16">
            <v>7.8</v>
          </cell>
          <cell r="Q16">
            <v>6.7</v>
          </cell>
          <cell r="R16">
            <v>7.6</v>
          </cell>
          <cell r="S16">
            <v>6.2999999999999989</v>
          </cell>
          <cell r="T16">
            <v>5.0999999999999988</v>
          </cell>
        </row>
        <row r="17">
          <cell r="A17" t="str">
            <v>Other assets, net</v>
          </cell>
          <cell r="K17">
            <v>85.474000000000004</v>
          </cell>
          <cell r="L17">
            <v>93.355000000000004</v>
          </cell>
          <cell r="M17">
            <v>111.611</v>
          </cell>
          <cell r="N17">
            <v>98.653000000000006</v>
          </cell>
          <cell r="O17">
            <v>102.458</v>
          </cell>
          <cell r="P17">
            <v>95.189000000000007</v>
          </cell>
          <cell r="Q17">
            <v>112.128</v>
          </cell>
          <cell r="R17">
            <v>141.602</v>
          </cell>
          <cell r="S17">
            <v>172.91000000000003</v>
          </cell>
          <cell r="T17">
            <v>189.96678000000003</v>
          </cell>
        </row>
        <row r="19">
          <cell r="A19" t="str">
            <v>Accounts payable</v>
          </cell>
          <cell r="K19">
            <v>63.843000000000004</v>
          </cell>
          <cell r="L19">
            <v>57.392000000000003</v>
          </cell>
          <cell r="M19">
            <v>83.191000000000003</v>
          </cell>
          <cell r="N19">
            <v>91.096000000000004</v>
          </cell>
          <cell r="O19">
            <v>111.67700000000001</v>
          </cell>
          <cell r="P19">
            <v>154.71100000000001</v>
          </cell>
          <cell r="Q19">
            <v>162.63800000000001</v>
          </cell>
          <cell r="R19">
            <v>189.94</v>
          </cell>
          <cell r="S19">
            <v>197.32179022549565</v>
          </cell>
          <cell r="T19">
            <v>216.06412783319809</v>
          </cell>
        </row>
        <row r="20">
          <cell r="A20" t="str">
            <v>Income taxes payable</v>
          </cell>
          <cell r="K20">
            <v>0</v>
          </cell>
          <cell r="L20">
            <v>0</v>
          </cell>
          <cell r="M20">
            <v>0</v>
          </cell>
          <cell r="N20">
            <v>2.3250000000000002</v>
          </cell>
          <cell r="O20">
            <v>6.5590000000000002</v>
          </cell>
          <cell r="P20">
            <v>9.7949999999999999</v>
          </cell>
          <cell r="Q20">
            <v>4.1079999999999997</v>
          </cell>
          <cell r="R20">
            <v>19.811</v>
          </cell>
          <cell r="S20">
            <v>50.289000000000001</v>
          </cell>
          <cell r="T20">
            <v>50.289000000000001</v>
          </cell>
        </row>
        <row r="21">
          <cell r="A21" t="str">
            <v>Compliance settlement payable</v>
          </cell>
          <cell r="K21">
            <v>20</v>
          </cell>
          <cell r="L21">
            <v>30.9</v>
          </cell>
          <cell r="M21">
            <v>0</v>
          </cell>
          <cell r="N21">
            <v>0</v>
          </cell>
          <cell r="O21">
            <v>0</v>
          </cell>
          <cell r="P21">
            <v>0</v>
          </cell>
          <cell r="Q21">
            <v>0</v>
          </cell>
          <cell r="R21">
            <v>0</v>
          </cell>
          <cell r="S21">
            <v>0</v>
          </cell>
          <cell r="T21">
            <v>0</v>
          </cell>
        </row>
        <row r="22">
          <cell r="A22" t="str">
            <v>Accrued employee compensation</v>
          </cell>
          <cell r="K22">
            <v>36.524000000000001</v>
          </cell>
          <cell r="L22">
            <v>49.345999999999997</v>
          </cell>
          <cell r="M22">
            <v>56.84</v>
          </cell>
          <cell r="N22">
            <v>73.328999999999994</v>
          </cell>
          <cell r="O22">
            <v>94.358999999999995</v>
          </cell>
          <cell r="P22">
            <v>115.47799999999999</v>
          </cell>
          <cell r="Q22">
            <v>98.364999999999995</v>
          </cell>
          <cell r="R22">
            <v>121.77500000000001</v>
          </cell>
          <cell r="S22">
            <v>116.31795755004056</v>
          </cell>
          <cell r="T22">
            <v>128.14144068800721</v>
          </cell>
        </row>
        <row r="23">
          <cell r="A23" t="str">
            <v>Other accruals (excl. interest)</v>
          </cell>
          <cell r="K23">
            <v>39.695</v>
          </cell>
          <cell r="L23">
            <v>51.158999999999999</v>
          </cell>
          <cell r="M23">
            <v>56.02</v>
          </cell>
          <cell r="N23">
            <v>67.45</v>
          </cell>
          <cell r="O23">
            <v>80.525000000000006</v>
          </cell>
          <cell r="P23">
            <v>80.844999999999999</v>
          </cell>
          <cell r="Q23">
            <v>62.688000000000002</v>
          </cell>
          <cell r="R23">
            <v>78.162000000000006</v>
          </cell>
          <cell r="S23">
            <v>154.38994462213054</v>
          </cell>
          <cell r="T23">
            <v>167.37012721953855</v>
          </cell>
        </row>
        <row r="24">
          <cell r="A24" t="str">
            <v xml:space="preserve">  Total Current Liab. (non-interest)</v>
          </cell>
          <cell r="K24">
            <v>160.06200000000001</v>
          </cell>
          <cell r="L24">
            <v>188.797</v>
          </cell>
          <cell r="M24">
            <v>196.05100000000002</v>
          </cell>
          <cell r="N24">
            <v>234.2</v>
          </cell>
          <cell r="O24">
            <v>293.12</v>
          </cell>
          <cell r="P24">
            <v>360.82899999999995</v>
          </cell>
          <cell r="Q24">
            <v>327.79899999999998</v>
          </cell>
          <cell r="R24">
            <v>409.68799999999999</v>
          </cell>
          <cell r="S24">
            <v>518.31869239766672</v>
          </cell>
          <cell r="T24">
            <v>561.86469574074385</v>
          </cell>
        </row>
        <row r="25">
          <cell r="A25" t="str">
            <v>Other non-current liabilities</v>
          </cell>
          <cell r="K25">
            <v>26.908000000000001</v>
          </cell>
          <cell r="L25">
            <v>22.495000000000001</v>
          </cell>
          <cell r="M25">
            <v>15.2</v>
          </cell>
          <cell r="N25">
            <v>65.343999999999994</v>
          </cell>
          <cell r="O25">
            <v>94.532000000000011</v>
          </cell>
          <cell r="P25">
            <v>148.37700000000001</v>
          </cell>
          <cell r="Q25">
            <v>216.79</v>
          </cell>
          <cell r="R25">
            <v>266.53800000000001</v>
          </cell>
          <cell r="S25">
            <v>269.29200000000003</v>
          </cell>
          <cell r="T25">
            <v>269.29200000000003</v>
          </cell>
        </row>
        <row r="26">
          <cell r="A26" t="str">
            <v>Reported NOA</v>
          </cell>
          <cell r="K26">
            <v>1533.4720000000002</v>
          </cell>
          <cell r="L26">
            <v>1679.51</v>
          </cell>
          <cell r="M26">
            <v>1988.8459999999998</v>
          </cell>
          <cell r="N26">
            <v>2152.7340000000004</v>
          </cell>
          <cell r="O26">
            <v>2289</v>
          </cell>
          <cell r="P26">
            <v>2824.6739999999995</v>
          </cell>
          <cell r="Q26">
            <v>3005.5210000000002</v>
          </cell>
          <cell r="R26">
            <v>3153.884</v>
          </cell>
          <cell r="S26">
            <v>3590.5357671834681</v>
          </cell>
          <cell r="T26">
            <v>3817.5195812491534</v>
          </cell>
        </row>
        <row r="28">
          <cell r="A28" t="str">
            <v>NOA Adjustments:</v>
          </cell>
        </row>
        <row r="29">
          <cell r="A29" t="str">
            <v xml:space="preserve">PV of noncapitalized leases </v>
          </cell>
          <cell r="K29">
            <v>63.094056060642139</v>
          </cell>
          <cell r="L29">
            <v>64.986877742461402</v>
          </cell>
          <cell r="M29">
            <v>129.8961896280147</v>
          </cell>
          <cell r="N29">
            <v>127.81460560008654</v>
          </cell>
          <cell r="O29">
            <v>152.25964641791353</v>
          </cell>
          <cell r="P29">
            <v>189.81650896928747</v>
          </cell>
          <cell r="Q29">
            <v>230.72541289154668</v>
          </cell>
          <cell r="R29">
            <v>253.00435812233121</v>
          </cell>
          <cell r="S29">
            <v>260.5944888660012</v>
          </cell>
          <cell r="T29">
            <v>268.4123235319812</v>
          </cell>
        </row>
        <row r="30">
          <cell r="A30" t="str">
            <v xml:space="preserve">Accumulated goodwill amortization </v>
          </cell>
          <cell r="K30">
            <v>73.058000000000007</v>
          </cell>
          <cell r="L30">
            <v>96.766000000000005</v>
          </cell>
          <cell r="M30">
            <v>122.459</v>
          </cell>
          <cell r="N30">
            <v>150.05199999999999</v>
          </cell>
          <cell r="O30">
            <v>150.05199999999999</v>
          </cell>
          <cell r="P30">
            <v>151.05199999999999</v>
          </cell>
          <cell r="Q30">
            <v>151.05199999999999</v>
          </cell>
          <cell r="R30">
            <v>151.05199999999999</v>
          </cell>
          <cell r="S30">
            <v>151.05199999999999</v>
          </cell>
          <cell r="T30">
            <v>151.05199999999999</v>
          </cell>
        </row>
        <row r="31">
          <cell r="A31" t="str">
            <v>Accumulated other intangibles amortization</v>
          </cell>
          <cell r="K31">
            <v>27.343</v>
          </cell>
          <cell r="L31">
            <v>1</v>
          </cell>
          <cell r="M31">
            <v>1</v>
          </cell>
          <cell r="N31">
            <v>1</v>
          </cell>
          <cell r="O31">
            <v>1</v>
          </cell>
          <cell r="P31">
            <v>2.0000000000000009</v>
          </cell>
          <cell r="Q31">
            <v>3.1000000000000005</v>
          </cell>
          <cell r="R31">
            <v>4.4000000000000004</v>
          </cell>
          <cell r="S31">
            <v>5.7</v>
          </cell>
          <cell r="T31">
            <v>6.9</v>
          </cell>
        </row>
        <row r="32">
          <cell r="A32" t="str">
            <v>After-tax accumulated charges/(gains)</v>
          </cell>
          <cell r="K32">
            <v>119.205406</v>
          </cell>
          <cell r="L32">
            <v>128.29175599999999</v>
          </cell>
          <cell r="M32">
            <v>128.29175599999999</v>
          </cell>
          <cell r="N32">
            <v>132.09975599999999</v>
          </cell>
          <cell r="O32">
            <v>137.37375599999999</v>
          </cell>
          <cell r="P32">
            <v>137.37375599999999</v>
          </cell>
          <cell r="Q32">
            <v>137.37375599999999</v>
          </cell>
          <cell r="R32">
            <v>137.37375599999999</v>
          </cell>
          <cell r="S32">
            <v>137.37375599999999</v>
          </cell>
          <cell r="T32">
            <v>137.37375599999999</v>
          </cell>
        </row>
        <row r="33">
          <cell r="A33" t="str">
            <v>NOA of small acquisitions</v>
          </cell>
          <cell r="K33">
            <v>218.56399999999999</v>
          </cell>
          <cell r="L33">
            <v>93.076999999999998</v>
          </cell>
          <cell r="M33">
            <v>246.94099999999997</v>
          </cell>
          <cell r="N33">
            <v>215.12700000000001</v>
          </cell>
          <cell r="O33">
            <v>173.185</v>
          </cell>
          <cell r="P33">
            <v>450.572</v>
          </cell>
          <cell r="Q33">
            <v>126.52499999999999</v>
          </cell>
          <cell r="R33">
            <v>158.37899999999996</v>
          </cell>
          <cell r="S33">
            <v>328.01499999999999</v>
          </cell>
          <cell r="T33">
            <v>170.56780000000001</v>
          </cell>
        </row>
        <row r="35">
          <cell r="A35" t="str">
            <v xml:space="preserve">Adjusted NOA </v>
          </cell>
          <cell r="K35">
            <v>1788.8294620606423</v>
          </cell>
          <cell r="L35">
            <v>1969.5546337424616</v>
          </cell>
          <cell r="M35">
            <v>2369.4929456280142</v>
          </cell>
          <cell r="N35">
            <v>2562.700361600087</v>
          </cell>
          <cell r="O35">
            <v>2728.6854024179138</v>
          </cell>
          <cell r="P35">
            <v>3302.9162649692871</v>
          </cell>
          <cell r="Q35">
            <v>3524.6721688915468</v>
          </cell>
          <cell r="R35">
            <v>3695.3141141223314</v>
          </cell>
          <cell r="S35">
            <v>4139.5560120494692</v>
          </cell>
          <cell r="T35">
            <v>4374.3576607811347</v>
          </cell>
        </row>
        <row r="38">
          <cell r="A38" t="str">
            <v>NET OPERATING PROFIT AFTER-TAX (NOPAT)</v>
          </cell>
        </row>
        <row r="39">
          <cell r="A39" t="str">
            <v>Operating income (EBIT)</v>
          </cell>
          <cell r="K39">
            <v>89.890000000000086</v>
          </cell>
          <cell r="L39">
            <v>122.53400000000008</v>
          </cell>
          <cell r="M39">
            <v>155.11199999999994</v>
          </cell>
          <cell r="N39">
            <v>189.04299999999995</v>
          </cell>
          <cell r="O39">
            <v>244.70199999999988</v>
          </cell>
          <cell r="P39">
            <v>293.34499999999991</v>
          </cell>
          <cell r="Q39">
            <v>344.96599999999989</v>
          </cell>
          <cell r="R39">
            <v>409.13700000000046</v>
          </cell>
          <cell r="S39">
            <v>456.33937323969889</v>
          </cell>
          <cell r="T39">
            <v>486.71322010484113</v>
          </cell>
        </row>
        <row r="40">
          <cell r="A40" t="str">
            <v>Lease rental expense</v>
          </cell>
          <cell r="K40">
            <v>3.9749255318204546</v>
          </cell>
          <cell r="L40">
            <v>4.0941732977750682</v>
          </cell>
          <cell r="M40">
            <v>8.1834599465649251</v>
          </cell>
          <cell r="N40">
            <v>8.0523201528054518</v>
          </cell>
          <cell r="O40">
            <v>9.5923577243285525</v>
          </cell>
          <cell r="P40">
            <v>11.95844006506511</v>
          </cell>
          <cell r="Q40">
            <v>14.535701012167442</v>
          </cell>
          <cell r="R40">
            <v>15.939274561706867</v>
          </cell>
          <cell r="S40">
            <v>16.417452798558077</v>
          </cell>
          <cell r="T40">
            <v>16.909976382514817</v>
          </cell>
        </row>
        <row r="41">
          <cell r="A41" t="str">
            <v>Reported NOP</v>
          </cell>
          <cell r="K41">
            <v>93.864925531820546</v>
          </cell>
          <cell r="L41">
            <v>126.62817329777515</v>
          </cell>
          <cell r="M41">
            <v>163.29545994656488</v>
          </cell>
          <cell r="N41">
            <v>197.09532015280541</v>
          </cell>
          <cell r="O41">
            <v>254.29435772432845</v>
          </cell>
          <cell r="P41">
            <v>305.30344006506505</v>
          </cell>
          <cell r="Q41">
            <v>359.50170101216736</v>
          </cell>
          <cell r="R41">
            <v>425.07627456170735</v>
          </cell>
          <cell r="S41">
            <v>472.75682603825697</v>
          </cell>
          <cell r="T41">
            <v>503.62319648735593</v>
          </cell>
        </row>
        <row r="42">
          <cell r="B42" t="str">
            <v>Effective tax rate</v>
          </cell>
          <cell r="K42">
            <v>0.35699999999999998</v>
          </cell>
          <cell r="L42">
            <v>0.35</v>
          </cell>
          <cell r="M42">
            <v>0.40299999999999997</v>
          </cell>
          <cell r="N42">
            <v>0.41</v>
          </cell>
          <cell r="O42">
            <v>0.40699999999999997</v>
          </cell>
          <cell r="P42">
            <v>0.39400000000000002</v>
          </cell>
          <cell r="Q42">
            <v>0.38699999999999996</v>
          </cell>
          <cell r="R42">
            <v>0.38699999999999996</v>
          </cell>
          <cell r="S42">
            <v>0.38699999999999996</v>
          </cell>
          <cell r="T42">
            <v>0.38699999999999996</v>
          </cell>
        </row>
        <row r="44">
          <cell r="A44" t="str">
            <v>Goodwill amortization</v>
          </cell>
          <cell r="K44">
            <v>26.638999999999999</v>
          </cell>
          <cell r="L44">
            <v>24.707999999999998</v>
          </cell>
          <cell r="M44">
            <v>25.693000000000001</v>
          </cell>
          <cell r="N44">
            <v>28.755000000000003</v>
          </cell>
          <cell r="O44">
            <v>0</v>
          </cell>
          <cell r="P44">
            <v>0</v>
          </cell>
          <cell r="Q44">
            <v>0</v>
          </cell>
          <cell r="R44">
            <v>0</v>
          </cell>
          <cell r="S44">
            <v>0</v>
          </cell>
          <cell r="T44">
            <v>0</v>
          </cell>
        </row>
        <row r="45">
          <cell r="A45" t="str">
            <v>Intangible amortization</v>
          </cell>
          <cell r="L45">
            <v>0</v>
          </cell>
          <cell r="M45">
            <v>0</v>
          </cell>
          <cell r="N45">
            <v>0</v>
          </cell>
          <cell r="O45">
            <v>0.3</v>
          </cell>
          <cell r="P45">
            <v>0.93333333333333346</v>
          </cell>
          <cell r="Q45">
            <v>1.01400000000001</v>
          </cell>
          <cell r="R45">
            <v>1.3</v>
          </cell>
          <cell r="S45">
            <v>1.3</v>
          </cell>
          <cell r="T45">
            <v>1.2</v>
          </cell>
        </row>
        <row r="46">
          <cell r="A46" t="str">
            <v>After-tax operating (charges)/gains</v>
          </cell>
          <cell r="K46">
            <v>0</v>
          </cell>
          <cell r="L46">
            <v>0</v>
          </cell>
          <cell r="M46">
            <v>0</v>
          </cell>
          <cell r="N46">
            <v>0</v>
          </cell>
          <cell r="O46">
            <v>0</v>
          </cell>
          <cell r="P46">
            <v>0</v>
          </cell>
          <cell r="Q46">
            <v>0</v>
          </cell>
          <cell r="R46">
            <v>0</v>
          </cell>
          <cell r="S46">
            <v>0</v>
          </cell>
          <cell r="T46">
            <v>0</v>
          </cell>
        </row>
        <row r="47">
          <cell r="A47" t="str">
            <v>Discontinued operations</v>
          </cell>
          <cell r="L47">
            <v>0</v>
          </cell>
          <cell r="M47">
            <v>0</v>
          </cell>
          <cell r="N47">
            <v>0</v>
          </cell>
          <cell r="O47">
            <v>-0.81699999999999995</v>
          </cell>
          <cell r="P47">
            <v>-0.57699999999999996</v>
          </cell>
          <cell r="Q47">
            <v>-10.923999999999999</v>
          </cell>
          <cell r="R47">
            <v>-22.594000000000001</v>
          </cell>
          <cell r="S47">
            <v>-3.2160000000000002</v>
          </cell>
          <cell r="T47">
            <v>0</v>
          </cell>
        </row>
        <row r="49">
          <cell r="A49" t="str">
            <v>Adjusted NOPAT</v>
          </cell>
          <cell r="K49">
            <v>86.994147116960619</v>
          </cell>
          <cell r="L49">
            <v>107.01631264355385</v>
          </cell>
          <cell r="M49">
            <v>123.18038958809923</v>
          </cell>
          <cell r="N49">
            <v>145.0412388901552</v>
          </cell>
          <cell r="O49">
            <v>151.09655413052678</v>
          </cell>
          <cell r="P49">
            <v>185.94721801276276</v>
          </cell>
          <cell r="Q49">
            <v>221.38854272045859</v>
          </cell>
          <cell r="R49">
            <v>261.87175630632663</v>
          </cell>
          <cell r="S49">
            <v>291.09993436145152</v>
          </cell>
          <cell r="T49">
            <v>309.92101944674914</v>
          </cell>
        </row>
        <row r="51">
          <cell r="A51" t="str">
            <v>ROIC</v>
          </cell>
          <cell r="L51">
            <v>5.6948044646664163E-2</v>
          </cell>
          <cell r="M51">
            <v>5.677761643995187E-2</v>
          </cell>
          <cell r="N51">
            <v>5.881409338826931E-2</v>
          </cell>
          <cell r="O51">
            <v>5.711039068744516E-2</v>
          </cell>
          <cell r="P51">
            <v>5.6297890438494612E-2</v>
          </cell>
          <cell r="Q51">
            <v>6.4851168129145362E-2</v>
          </cell>
          <cell r="R51">
            <v>7.2540790533749344E-2</v>
          </cell>
          <cell r="S51">
            <v>7.4308809124749589E-2</v>
          </cell>
          <cell r="T51">
            <v>7.2803420696115728E-2</v>
          </cell>
        </row>
        <row r="53">
          <cell r="A53" t="str">
            <v>Operating profit margin</v>
          </cell>
          <cell r="L53">
            <v>9.9093490775574347E-2</v>
          </cell>
          <cell r="M53">
            <v>9.2097418684620971E-2</v>
          </cell>
          <cell r="N53">
            <v>8.5639524032861583E-2</v>
          </cell>
          <cell r="O53">
            <v>6.8667236314992469E-2</v>
          </cell>
          <cell r="P53">
            <v>6.5598547818956854E-2</v>
          </cell>
          <cell r="Q53">
            <v>6.9108181352642142E-2</v>
          </cell>
          <cell r="R53">
            <v>7.0050652781550704E-2</v>
          </cell>
          <cell r="S53">
            <v>6.7283567493376203E-2</v>
          </cell>
          <cell r="T53">
            <v>6.5402367053013041E-2</v>
          </cell>
        </row>
        <row r="54">
          <cell r="A54" t="str">
            <v>Operating asset turnover</v>
          </cell>
          <cell r="L54">
            <v>0.57469006491697172</v>
          </cell>
          <cell r="M54">
            <v>0.61649519878924652</v>
          </cell>
          <cell r="N54">
            <v>0.68676343139998275</v>
          </cell>
          <cell r="O54">
            <v>0.83169781910934371</v>
          </cell>
          <cell r="P54">
            <v>0.85821854767073802</v>
          </cell>
          <cell r="Q54">
            <v>0.93840073432443127</v>
          </cell>
          <cell r="R54">
            <v>1.0355476737663531</v>
          </cell>
          <cell r="S54">
            <v>1.1044124426378696</v>
          </cell>
          <cell r="T54">
            <v>1.113161862125015</v>
          </cell>
        </row>
        <row r="55">
          <cell r="B55" t="str">
            <v>check</v>
          </cell>
          <cell r="L55">
            <v>0</v>
          </cell>
          <cell r="M55">
            <v>0</v>
          </cell>
          <cell r="N55">
            <v>0</v>
          </cell>
          <cell r="O55">
            <v>0</v>
          </cell>
          <cell r="P55">
            <v>0</v>
          </cell>
          <cell r="Q55">
            <v>0</v>
          </cell>
          <cell r="R55">
            <v>0</v>
          </cell>
          <cell r="S55">
            <v>0</v>
          </cell>
          <cell r="T55">
            <v>0</v>
          </cell>
        </row>
        <row r="56">
          <cell r="A56" t="str">
            <v>ROIC Normalization Breakdown</v>
          </cell>
        </row>
        <row r="58">
          <cell r="A58" t="str">
            <v xml:space="preserve">December Year End </v>
          </cell>
        </row>
        <row r="59">
          <cell r="A59" t="str">
            <v>$ in millions except as noted</v>
          </cell>
          <cell r="K59">
            <v>1998</v>
          </cell>
          <cell r="L59">
            <v>1999</v>
          </cell>
          <cell r="M59">
            <v>2000</v>
          </cell>
          <cell r="N59">
            <v>2001</v>
          </cell>
          <cell r="O59">
            <v>2002</v>
          </cell>
          <cell r="P59">
            <v>2003</v>
          </cell>
          <cell r="Q59">
            <v>2004</v>
          </cell>
          <cell r="R59">
            <v>2005</v>
          </cell>
          <cell r="S59" t="str">
            <v>2006E</v>
          </cell>
          <cell r="T59" t="str">
            <v>2007E</v>
          </cell>
        </row>
        <row r="60">
          <cell r="A60" t="str">
            <v>RECONCILIATION</v>
          </cell>
        </row>
        <row r="61">
          <cell r="A61" t="str">
            <v>Adjusted NOA</v>
          </cell>
          <cell r="K61">
            <v>1788.8294620606423</v>
          </cell>
          <cell r="L61">
            <v>1969.5546337424616</v>
          </cell>
          <cell r="M61">
            <v>2369.4929456280142</v>
          </cell>
          <cell r="N61">
            <v>2562.700361600087</v>
          </cell>
          <cell r="O61">
            <v>2728.6854024179138</v>
          </cell>
          <cell r="P61">
            <v>3302.9162649692871</v>
          </cell>
          <cell r="Q61">
            <v>3524.6721688915468</v>
          </cell>
          <cell r="R61">
            <v>3695.3141141223314</v>
          </cell>
          <cell r="S61">
            <v>4139.5560120494692</v>
          </cell>
          <cell r="T61">
            <v>4374.3576607811347</v>
          </cell>
        </row>
        <row r="62">
          <cell r="A62" t="str">
            <v>Adjusted ROIC</v>
          </cell>
          <cell r="L62">
            <v>5.6948044646664163E-2</v>
          </cell>
          <cell r="M62">
            <v>5.677761643995187E-2</v>
          </cell>
          <cell r="N62">
            <v>5.881409338826931E-2</v>
          </cell>
          <cell r="O62">
            <v>5.711039068744516E-2</v>
          </cell>
          <cell r="P62">
            <v>5.6297890438494612E-2</v>
          </cell>
          <cell r="Q62">
            <v>6.4851168129145362E-2</v>
          </cell>
          <cell r="R62">
            <v>7.2540790533749344E-2</v>
          </cell>
          <cell r="S62">
            <v>7.4308809124749589E-2</v>
          </cell>
          <cell r="T62">
            <v>7.2803420696115728E-2</v>
          </cell>
        </row>
        <row r="64">
          <cell r="A64" t="str">
            <v>Adjustments:</v>
          </cell>
        </row>
        <row r="65">
          <cell r="B65" t="str">
            <v xml:space="preserve">Restructurings </v>
          </cell>
          <cell r="H65">
            <v>0</v>
          </cell>
          <cell r="I65">
            <v>0</v>
          </cell>
          <cell r="J65">
            <v>0</v>
          </cell>
          <cell r="K65">
            <v>0</v>
          </cell>
          <cell r="L65">
            <v>0</v>
          </cell>
          <cell r="M65">
            <v>0</v>
          </cell>
          <cell r="N65">
            <v>0</v>
          </cell>
          <cell r="O65">
            <v>0</v>
          </cell>
          <cell r="P65">
            <v>0</v>
          </cell>
          <cell r="Q65">
            <v>0</v>
          </cell>
          <cell r="R65">
            <v>0</v>
          </cell>
          <cell r="S65">
            <v>0</v>
          </cell>
          <cell r="T65">
            <v>0</v>
          </cell>
        </row>
        <row r="66">
          <cell r="B66" t="str">
            <v>Asset writedowns</v>
          </cell>
          <cell r="H66">
            <v>-16.509999999999998</v>
          </cell>
          <cell r="I66">
            <v>-26.685749999999999</v>
          </cell>
          <cell r="J66">
            <v>-26.685749999999999</v>
          </cell>
          <cell r="K66">
            <v>-132.67336899999998</v>
          </cell>
          <cell r="L66">
            <v>-132.67336899999998</v>
          </cell>
          <cell r="M66">
            <v>-132.67336899999998</v>
          </cell>
          <cell r="N66">
            <v>-132.67336899999998</v>
          </cell>
          <cell r="O66">
            <v>-132.67336899999998</v>
          </cell>
          <cell r="P66">
            <v>-132.67336899999998</v>
          </cell>
          <cell r="Q66">
            <v>-132.67336899999998</v>
          </cell>
          <cell r="R66">
            <v>-132.67336899999998</v>
          </cell>
          <cell r="S66">
            <v>-132.67336899999998</v>
          </cell>
          <cell r="T66">
            <v>-132.67336899999998</v>
          </cell>
        </row>
        <row r="67">
          <cell r="B67" t="str">
            <v>Losses/(gains) on asset sales</v>
          </cell>
          <cell r="H67">
            <v>0</v>
          </cell>
          <cell r="I67">
            <v>-2.0449000000000002</v>
          </cell>
          <cell r="J67">
            <v>-2.0449000000000002</v>
          </cell>
          <cell r="K67">
            <v>-2.0449000000000002</v>
          </cell>
          <cell r="L67">
            <v>-2.0449000000000002</v>
          </cell>
          <cell r="M67">
            <v>-2.0449000000000002</v>
          </cell>
          <cell r="N67">
            <v>-2.0449000000000002</v>
          </cell>
          <cell r="O67">
            <v>-2.0449000000000002</v>
          </cell>
          <cell r="P67">
            <v>-2.0449000000000002</v>
          </cell>
          <cell r="Q67">
            <v>-2.0449000000000002</v>
          </cell>
          <cell r="R67">
            <v>-2.0449000000000002</v>
          </cell>
          <cell r="S67">
            <v>-2.0449000000000002</v>
          </cell>
          <cell r="T67">
            <v>-2.0449000000000002</v>
          </cell>
        </row>
        <row r="68">
          <cell r="B68" t="str">
            <v>Government and compliance settlements</v>
          </cell>
          <cell r="H68">
            <v>0</v>
          </cell>
          <cell r="I68">
            <v>0</v>
          </cell>
          <cell r="J68">
            <v>0</v>
          </cell>
          <cell r="K68">
            <v>-12.994387</v>
          </cell>
          <cell r="L68">
            <v>-24.225737000000002</v>
          </cell>
          <cell r="M68">
            <v>-24.225737000000002</v>
          </cell>
          <cell r="N68">
            <v>-24.225737000000002</v>
          </cell>
          <cell r="O68">
            <v>-24.225737000000002</v>
          </cell>
          <cell r="P68">
            <v>-24.225737000000002</v>
          </cell>
          <cell r="Q68">
            <v>-24.225737000000002</v>
          </cell>
          <cell r="R68">
            <v>-24.225737000000002</v>
          </cell>
          <cell r="S68">
            <v>-24.225737000000002</v>
          </cell>
          <cell r="T68">
            <v>-24.225737000000002</v>
          </cell>
        </row>
        <row r="69">
          <cell r="B69" t="str">
            <v>Other (accounting changes, early debt retirement)*</v>
          </cell>
          <cell r="H69">
            <v>0</v>
          </cell>
          <cell r="I69">
            <v>0</v>
          </cell>
          <cell r="J69">
            <v>0</v>
          </cell>
          <cell r="K69">
            <v>-0.35199999999999998</v>
          </cell>
          <cell r="L69">
            <v>-0.35199999999999998</v>
          </cell>
          <cell r="M69">
            <v>-0.35199999999999998</v>
          </cell>
          <cell r="N69">
            <v>-4.16</v>
          </cell>
          <cell r="O69">
            <v>-7.532</v>
          </cell>
          <cell r="P69">
            <v>-7.532</v>
          </cell>
          <cell r="Q69">
            <v>-7.532</v>
          </cell>
          <cell r="R69">
            <v>-7.532</v>
          </cell>
          <cell r="S69">
            <v>-7.532</v>
          </cell>
          <cell r="T69">
            <v>-7.532</v>
          </cell>
        </row>
        <row r="71">
          <cell r="A71" t="str">
            <v>Reported NOA</v>
          </cell>
          <cell r="K71">
            <v>1641.1168060606424</v>
          </cell>
          <cell r="L71">
            <v>1810.6106277424617</v>
          </cell>
          <cell r="M71">
            <v>2210.5489396280141</v>
          </cell>
          <cell r="N71">
            <v>2403.7563556000869</v>
          </cell>
          <cell r="O71">
            <v>2569.7413964179136</v>
          </cell>
          <cell r="P71">
            <v>3143.9722589692869</v>
          </cell>
          <cell r="Q71">
            <v>3365.7281628915466</v>
          </cell>
          <cell r="R71">
            <v>3536.3701081223312</v>
          </cell>
          <cell r="S71">
            <v>3980.6120060494691</v>
          </cell>
          <cell r="T71">
            <v>4215.4136547811349</v>
          </cell>
        </row>
        <row r="72">
          <cell r="A72" t="str">
            <v>Reported ROIC</v>
          </cell>
          <cell r="L72">
            <v>6.3411238218634453E-2</v>
          </cell>
          <cell r="M72">
            <v>6.3689360193427039E-2</v>
          </cell>
          <cell r="N72">
            <v>6.2568681488733083E-2</v>
          </cell>
          <cell r="O72">
            <v>6.0760680577052341E-2</v>
          </cell>
          <cell r="P72">
            <v>7.236028429629672E-2</v>
          </cell>
          <cell r="Q72">
            <v>7.0416824477019441E-2</v>
          </cell>
          <cell r="R72">
            <v>7.7805379291638554E-2</v>
          </cell>
          <cell r="S72">
            <v>8.231602616843002E-2</v>
          </cell>
          <cell r="T72">
            <v>7.7857630679843151E-2</v>
          </cell>
        </row>
        <row r="74">
          <cell r="A74" t="str">
            <v>ADJ. AS % OF DIFFERENCE</v>
          </cell>
        </row>
        <row r="75">
          <cell r="B75" t="str">
            <v xml:space="preserve">Restructurings </v>
          </cell>
          <cell r="K75" t="str">
            <v>-</v>
          </cell>
          <cell r="L75" t="str">
            <v>-</v>
          </cell>
          <cell r="M75" t="str">
            <v>-</v>
          </cell>
          <cell r="N75" t="str">
            <v>-</v>
          </cell>
          <cell r="O75" t="str">
            <v>-</v>
          </cell>
          <cell r="P75" t="str">
            <v>-</v>
          </cell>
          <cell r="Q75" t="str">
            <v>-</v>
          </cell>
          <cell r="R75" t="str">
            <v>-</v>
          </cell>
          <cell r="S75" t="str">
            <v>-</v>
          </cell>
          <cell r="T75" t="str">
            <v>-</v>
          </cell>
        </row>
        <row r="76">
          <cell r="B76" t="str">
            <v>Asset writedowns</v>
          </cell>
          <cell r="K76">
            <v>8.0843343088095557E-2</v>
          </cell>
          <cell r="L76">
            <v>7.3275483401653324E-2</v>
          </cell>
          <cell r="M76">
            <v>6.0018290760993534E-2</v>
          </cell>
          <cell r="N76">
            <v>5.5194183341796633E-2</v>
          </cell>
          <cell r="O76">
            <v>5.1629074110313158E-2</v>
          </cell>
          <cell r="P76">
            <v>4.2199281059653954E-2</v>
          </cell>
          <cell r="Q76">
            <v>3.9418919942131765E-2</v>
          </cell>
          <cell r="R76">
            <v>3.75168223188167E-2</v>
          </cell>
          <cell r="S76">
            <v>3.3329892187023376E-2</v>
          </cell>
          <cell r="T76">
            <v>3.1473392617002501E-2</v>
          </cell>
        </row>
        <row r="77">
          <cell r="B77" t="str">
            <v>Losses/(gains) on asset sales</v>
          </cell>
          <cell r="K77">
            <v>1.2460417152808897E-3</v>
          </cell>
          <cell r="L77">
            <v>1.1293979879869352E-3</v>
          </cell>
          <cell r="M77">
            <v>9.2506434186613454E-4</v>
          </cell>
          <cell r="N77">
            <v>8.5071017918925921E-4</v>
          </cell>
          <cell r="O77">
            <v>7.9576100647728797E-4</v>
          </cell>
          <cell r="P77">
            <v>6.5041922496805553E-4</v>
          </cell>
          <cell r="Q77">
            <v>6.0756540666167961E-4</v>
          </cell>
          <cell r="R77">
            <v>5.7824829909718621E-4</v>
          </cell>
          <cell r="S77">
            <v>5.1371497571030982E-4</v>
          </cell>
          <cell r="T77">
            <v>4.8510067278463614E-4</v>
          </cell>
        </row>
        <row r="78">
          <cell r="B78" t="str">
            <v>Government and compliance settlements</v>
          </cell>
          <cell r="K78">
            <v>7.9180147031653724E-3</v>
          </cell>
          <cell r="L78">
            <v>1.3379871204117228E-2</v>
          </cell>
          <cell r="M78">
            <v>1.0959149813745747E-2</v>
          </cell>
          <cell r="N78">
            <v>1.007828307705186E-2</v>
          </cell>
          <cell r="O78">
            <v>9.4273054221602343E-3</v>
          </cell>
          <cell r="P78">
            <v>7.7054550754663215E-3</v>
          </cell>
          <cell r="Q78">
            <v>7.1977699408699485E-3</v>
          </cell>
          <cell r="R78">
            <v>6.8504529388365093E-3</v>
          </cell>
          <cell r="S78">
            <v>6.0859327568684278E-3</v>
          </cell>
          <cell r="T78">
            <v>5.7469418149563682E-3</v>
          </cell>
        </row>
        <row r="79">
          <cell r="B79" t="str">
            <v>Other</v>
          </cell>
          <cell r="K79">
            <v>0</v>
          </cell>
          <cell r="L79">
            <v>0</v>
          </cell>
          <cell r="M79">
            <v>0</v>
          </cell>
          <cell r="N79">
            <v>0</v>
          </cell>
          <cell r="O79">
            <v>0</v>
          </cell>
          <cell r="P79">
            <v>0</v>
          </cell>
          <cell r="Q79">
            <v>0</v>
          </cell>
          <cell r="R79">
            <v>0</v>
          </cell>
          <cell r="S79">
            <v>0</v>
          </cell>
          <cell r="T79">
            <v>0</v>
          </cell>
        </row>
        <row r="81">
          <cell r="A81" t="str">
            <v>Difference</v>
          </cell>
          <cell r="K81">
            <v>9.0007399506541824E-2</v>
          </cell>
          <cell r="L81">
            <v>8.7784752593757481E-2</v>
          </cell>
          <cell r="M81">
            <v>7.1902504916605423E-2</v>
          </cell>
          <cell r="N81">
            <v>6.612317659803775E-2</v>
          </cell>
          <cell r="O81">
            <v>6.1852140538950683E-2</v>
          </cell>
          <cell r="P81">
            <v>5.0555155360088332E-2</v>
          </cell>
          <cell r="Q81">
            <v>4.7224255289663397E-2</v>
          </cell>
          <cell r="R81">
            <v>4.4945523556750397E-2</v>
          </cell>
          <cell r="S81">
            <v>3.9929539919602117E-2</v>
          </cell>
          <cell r="T81">
            <v>3.7705435104743501E-2</v>
          </cell>
        </row>
        <row r="82">
          <cell r="A82" t="str">
            <v>Note: CYH did not report a FY1997 balance sheet so can not calculate ROIC prior to FY1999</v>
          </cell>
        </row>
        <row r="83">
          <cell r="A83" t="str">
            <v>* Included in both reported and adjusted NOA.</v>
          </cell>
        </row>
        <row r="84">
          <cell r="A84" t="str">
            <v>check</v>
          </cell>
          <cell r="H84">
            <v>-16.509999999999998</v>
          </cell>
          <cell r="I84">
            <v>-28.730649999999997</v>
          </cell>
          <cell r="J84">
            <v>-28.730649999999997</v>
          </cell>
          <cell r="K84">
            <v>-28.859249999999989</v>
          </cell>
          <cell r="L84">
            <v>-31.004250000000013</v>
          </cell>
          <cell r="M84">
            <v>-31.004250000000013</v>
          </cell>
          <cell r="N84">
            <v>-31.004250000000013</v>
          </cell>
          <cell r="O84">
            <v>-29.102250000000026</v>
          </cell>
          <cell r="P84">
            <v>-29.102250000000026</v>
          </cell>
          <cell r="Q84">
            <v>-29.102250000000026</v>
          </cell>
          <cell r="R84">
            <v>-29.102250000000026</v>
          </cell>
          <cell r="S84">
            <v>-29.102250000000026</v>
          </cell>
          <cell r="T84">
            <v>-29.102250000000026</v>
          </cell>
        </row>
        <row r="89">
          <cell r="A89" t="str">
            <v>Adjustment Schedules</v>
          </cell>
        </row>
        <row r="91">
          <cell r="A91" t="str">
            <v>Adjustments for Small Acquisitions</v>
          </cell>
        </row>
        <row r="92">
          <cell r="A92" t="str">
            <v>Number of hospitals</v>
          </cell>
          <cell r="K92">
            <v>41</v>
          </cell>
          <cell r="L92">
            <v>46</v>
          </cell>
          <cell r="M92">
            <v>52</v>
          </cell>
          <cell r="N92">
            <v>57</v>
          </cell>
          <cell r="O92">
            <v>63</v>
          </cell>
          <cell r="P92">
            <v>72</v>
          </cell>
          <cell r="Q92">
            <v>66</v>
          </cell>
          <cell r="R92">
            <v>70</v>
          </cell>
          <cell r="S92">
            <v>78</v>
          </cell>
          <cell r="T92">
            <v>82</v>
          </cell>
        </row>
        <row r="93">
          <cell r="A93" t="str">
            <v>Net additional hospitals</v>
          </cell>
          <cell r="K93">
            <v>4</v>
          </cell>
          <cell r="L93">
            <v>5</v>
          </cell>
          <cell r="M93">
            <v>6</v>
          </cell>
          <cell r="N93">
            <v>5</v>
          </cell>
          <cell r="O93">
            <v>6</v>
          </cell>
          <cell r="P93">
            <v>9</v>
          </cell>
          <cell r="Q93">
            <v>-6</v>
          </cell>
          <cell r="R93">
            <v>4</v>
          </cell>
          <cell r="S93">
            <v>8</v>
          </cell>
          <cell r="T93">
            <v>4</v>
          </cell>
        </row>
        <row r="94">
          <cell r="A94" t="str">
            <v>NOA of acquired hospitals</v>
          </cell>
          <cell r="K94">
            <v>218.56399999999999</v>
          </cell>
          <cell r="L94">
            <v>93.076999999999998</v>
          </cell>
          <cell r="M94">
            <v>246.94099999999997</v>
          </cell>
          <cell r="N94">
            <v>215.12700000000001</v>
          </cell>
          <cell r="O94">
            <v>173.185</v>
          </cell>
          <cell r="P94">
            <v>450.572</v>
          </cell>
          <cell r="Q94">
            <v>126.52499999999999</v>
          </cell>
          <cell r="R94">
            <v>158.37899999999996</v>
          </cell>
          <cell r="S94">
            <v>328.01499999999999</v>
          </cell>
          <cell r="T94">
            <v>170.56780000000001</v>
          </cell>
        </row>
        <row r="95">
          <cell r="B95" t="str">
            <v>% of adjusted NOA (BOY)</v>
          </cell>
          <cell r="L95">
            <v>5.2032349630903293E-2</v>
          </cell>
          <cell r="M95">
            <v>0.12537910640781438</v>
          </cell>
          <cell r="N95">
            <v>9.079031038979625E-2</v>
          </cell>
          <cell r="O95">
            <v>9.8547104368579413E-2</v>
          </cell>
          <cell r="P95">
            <v>0.13882877434838181</v>
          </cell>
          <cell r="Q95">
            <v>-7.6461732523621317E-2</v>
          </cell>
          <cell r="R95">
            <v>4.7767411719205247E-2</v>
          </cell>
          <cell r="S95">
            <v>9.11232233401921E-2</v>
          </cell>
          <cell r="T95">
            <v>4.0672107389437259E-2</v>
          </cell>
        </row>
        <row r="96">
          <cell r="B96" t="str">
            <v>% of change in adjusted NOA (y/y)</v>
          </cell>
          <cell r="L96">
            <v>0.51501956885048228</v>
          </cell>
          <cell r="M96">
            <v>0.61744772296449879</v>
          </cell>
          <cell r="N96">
            <v>1.1134510490585703</v>
          </cell>
          <cell r="O96">
            <v>1.5215027737178863</v>
          </cell>
          <cell r="P96">
            <v>0.65969991288322472</v>
          </cell>
          <cell r="Q96">
            <v>-1.1388499495757938</v>
          </cell>
          <cell r="R96">
            <v>0.98665346576401391</v>
          </cell>
          <cell r="S96">
            <v>0.7579855364938175</v>
          </cell>
          <cell r="T96">
            <v>0.71704976339018778</v>
          </cell>
        </row>
        <row r="98">
          <cell r="A98" t="str">
            <v>Average NOA/acquisition</v>
          </cell>
          <cell r="K98">
            <v>54.640999999999998</v>
          </cell>
          <cell r="L98">
            <v>18.615400000000001</v>
          </cell>
          <cell r="M98">
            <v>41.156833333333331</v>
          </cell>
          <cell r="N98">
            <v>43.025400000000005</v>
          </cell>
        </row>
        <row r="99">
          <cell r="A99" t="str">
            <v>Assumed NOA/acq (avg. 2000, 2001)</v>
          </cell>
          <cell r="K99">
            <v>42.091116666666665</v>
          </cell>
        </row>
        <row r="100">
          <cell r="B100" t="str">
            <v>Est. NOA for acq. 2002+</v>
          </cell>
          <cell r="O100">
            <v>252.54669999999999</v>
          </cell>
          <cell r="P100">
            <v>378.82004999999998</v>
          </cell>
          <cell r="Q100">
            <v>-252.54669999999999</v>
          </cell>
          <cell r="R100">
            <v>168.36446666666666</v>
          </cell>
          <cell r="S100">
            <v>336.72893333333332</v>
          </cell>
          <cell r="T100">
            <v>168.36446666666666</v>
          </cell>
        </row>
        <row r="104">
          <cell r="A104" t="str">
            <v>Schedule 1: Goodwill Amortization</v>
          </cell>
          <cell r="K104">
            <v>1998</v>
          </cell>
          <cell r="L104">
            <v>1999</v>
          </cell>
          <cell r="M104">
            <v>2000</v>
          </cell>
          <cell r="N104">
            <v>2001</v>
          </cell>
          <cell r="O104">
            <v>2002</v>
          </cell>
          <cell r="P104">
            <v>2003</v>
          </cell>
          <cell r="Q104">
            <v>2004</v>
          </cell>
          <cell r="R104">
            <v>2005</v>
          </cell>
          <cell r="S104" t="str">
            <v>2006E</v>
          </cell>
          <cell r="T104" t="str">
            <v>2007E</v>
          </cell>
        </row>
        <row r="105">
          <cell r="B105" t="str">
            <v>Acc. Goodwill Amortization</v>
          </cell>
          <cell r="K105">
            <v>73.058000000000007</v>
          </cell>
          <cell r="L105">
            <v>97.766000000000005</v>
          </cell>
          <cell r="M105">
            <v>123.459</v>
          </cell>
          <cell r="N105">
            <v>151.05199999999999</v>
          </cell>
          <cell r="O105">
            <v>151.05199999999999</v>
          </cell>
          <cell r="P105">
            <v>151.05199999999999</v>
          </cell>
          <cell r="Q105">
            <v>151.05199999999999</v>
          </cell>
          <cell r="R105">
            <v>151.05199999999999</v>
          </cell>
          <cell r="S105">
            <v>151.05199999999999</v>
          </cell>
          <cell r="T105">
            <v>151.05199999999999</v>
          </cell>
        </row>
        <row r="107">
          <cell r="B107" t="str">
            <v>Acc. Other Assets Amortization</v>
          </cell>
          <cell r="K107">
            <v>27.343</v>
          </cell>
          <cell r="L107">
            <v>34.265000000000001</v>
          </cell>
          <cell r="M107">
            <v>37.142000000000003</v>
          </cell>
          <cell r="N107">
            <v>44.671999999999997</v>
          </cell>
          <cell r="O107">
            <v>56.015999999999998</v>
          </cell>
        </row>
        <row r="108">
          <cell r="B108" t="str">
            <v>Delta</v>
          </cell>
          <cell r="L108">
            <v>6.9220000000000006</v>
          </cell>
          <cell r="M108">
            <v>2.8770000000000024</v>
          </cell>
          <cell r="N108">
            <v>7.529999999999994</v>
          </cell>
        </row>
        <row r="109">
          <cell r="B109" t="str">
            <v>MD Recruitment Cost Amortization (add'l)</v>
          </cell>
          <cell r="K109">
            <v>0</v>
          </cell>
          <cell r="L109">
            <v>0</v>
          </cell>
          <cell r="M109">
            <v>4.3</v>
          </cell>
          <cell r="N109">
            <v>6.9</v>
          </cell>
          <cell r="O109">
            <v>15.733333333333334</v>
          </cell>
        </row>
        <row r="111">
          <cell r="B111" t="str">
            <v>Intangibles, Gross (in Other Assets)</v>
          </cell>
          <cell r="N111">
            <v>3.1</v>
          </cell>
          <cell r="O111">
            <v>3.7</v>
          </cell>
          <cell r="P111">
            <v>9.8000000000000007</v>
          </cell>
          <cell r="Q111">
            <v>9.8000000000000007</v>
          </cell>
        </row>
        <row r="115">
          <cell r="A115" t="str">
            <v>Schedule 2:  Operating Leases</v>
          </cell>
        </row>
        <row r="116">
          <cell r="A116" t="str">
            <v>Discount Rate</v>
          </cell>
          <cell r="L116">
            <v>6.3E-2</v>
          </cell>
        </row>
        <row r="117">
          <cell r="A117" t="str">
            <v>Rent Expense</v>
          </cell>
        </row>
        <row r="118">
          <cell r="C118">
            <v>1990</v>
          </cell>
          <cell r="D118">
            <v>1991</v>
          </cell>
          <cell r="E118">
            <v>1992</v>
          </cell>
          <cell r="F118">
            <v>1993</v>
          </cell>
          <cell r="G118">
            <v>1994</v>
          </cell>
          <cell r="H118">
            <v>1995</v>
          </cell>
          <cell r="I118">
            <v>1996</v>
          </cell>
          <cell r="J118">
            <v>1997</v>
          </cell>
          <cell r="K118">
            <v>1998</v>
          </cell>
          <cell r="L118">
            <v>1999</v>
          </cell>
          <cell r="M118">
            <v>2000</v>
          </cell>
          <cell r="N118">
            <v>2001</v>
          </cell>
          <cell r="O118">
            <v>2002</v>
          </cell>
          <cell r="P118">
            <v>2003</v>
          </cell>
          <cell r="Q118">
            <v>2004</v>
          </cell>
          <cell r="R118">
            <v>2005</v>
          </cell>
          <cell r="S118" t="str">
            <v>2006E</v>
          </cell>
          <cell r="T118" t="str">
            <v>2007E</v>
          </cell>
        </row>
        <row r="119">
          <cell r="B119">
            <v>1990</v>
          </cell>
        </row>
        <row r="120">
          <cell r="B120">
            <v>1991</v>
          </cell>
        </row>
        <row r="121">
          <cell r="B121">
            <v>1992</v>
          </cell>
        </row>
        <row r="122">
          <cell r="B122">
            <v>1993</v>
          </cell>
          <cell r="E122">
            <v>0</v>
          </cell>
        </row>
        <row r="123">
          <cell r="B123">
            <v>1994</v>
          </cell>
          <cell r="E123">
            <v>0</v>
          </cell>
          <cell r="F123">
            <v>0</v>
          </cell>
        </row>
        <row r="124">
          <cell r="B124">
            <v>1995</v>
          </cell>
          <cell r="E124">
            <v>0</v>
          </cell>
          <cell r="F124">
            <v>0</v>
          </cell>
          <cell r="G124">
            <v>0</v>
          </cell>
        </row>
        <row r="125">
          <cell r="B125">
            <v>1996</v>
          </cell>
          <cell r="E125">
            <v>0</v>
          </cell>
          <cell r="F125">
            <v>0</v>
          </cell>
          <cell r="G125">
            <v>0</v>
          </cell>
          <cell r="H125">
            <v>0</v>
          </cell>
        </row>
        <row r="126">
          <cell r="B126">
            <v>1997</v>
          </cell>
          <cell r="F126">
            <v>2.4E-2</v>
          </cell>
          <cell r="G126">
            <v>2.4E-2</v>
          </cell>
          <cell r="H126">
            <v>2.4E-2</v>
          </cell>
          <cell r="I126">
            <v>2.4E-2</v>
          </cell>
        </row>
        <row r="127">
          <cell r="B127">
            <v>1998</v>
          </cell>
          <cell r="E127">
            <v>0</v>
          </cell>
          <cell r="F127">
            <v>8.9999999999999993E-3</v>
          </cell>
          <cell r="G127">
            <v>8.9999999999999993E-3</v>
          </cell>
          <cell r="H127">
            <v>8.9999999999999993E-3</v>
          </cell>
          <cell r="I127">
            <v>8.9999999999999993E-3</v>
          </cell>
          <cell r="J127">
            <v>8.9999999999999993E-3</v>
          </cell>
        </row>
        <row r="128">
          <cell r="B128">
            <v>1999</v>
          </cell>
          <cell r="F128">
            <v>0</v>
          </cell>
          <cell r="G128">
            <v>0</v>
          </cell>
          <cell r="H128">
            <v>0</v>
          </cell>
          <cell r="I128">
            <v>0</v>
          </cell>
          <cell r="J128">
            <v>0</v>
          </cell>
          <cell r="K128">
            <v>15.831067961165049</v>
          </cell>
        </row>
        <row r="129">
          <cell r="B129">
            <v>2000</v>
          </cell>
          <cell r="G129">
            <v>0</v>
          </cell>
          <cell r="H129">
            <v>0</v>
          </cell>
          <cell r="I129">
            <v>0</v>
          </cell>
          <cell r="J129">
            <v>0</v>
          </cell>
          <cell r="K129">
            <v>13.822330097087379</v>
          </cell>
          <cell r="L129">
            <v>16.306000000000001</v>
          </cell>
        </row>
        <row r="130">
          <cell r="B130">
            <v>2001</v>
          </cell>
          <cell r="H130">
            <v>0</v>
          </cell>
          <cell r="I130">
            <v>0</v>
          </cell>
          <cell r="J130">
            <v>0</v>
          </cell>
          <cell r="K130">
            <v>11.001941747572817</v>
          </cell>
          <cell r="L130">
            <v>14.237</v>
          </cell>
          <cell r="M130">
            <v>24.140999999999998</v>
          </cell>
        </row>
        <row r="131">
          <cell r="B131">
            <v>2002</v>
          </cell>
          <cell r="I131">
            <v>0</v>
          </cell>
          <cell r="J131">
            <v>0</v>
          </cell>
          <cell r="K131">
            <v>8.7067961165048544</v>
          </cell>
          <cell r="L131">
            <v>11.332000000000001</v>
          </cell>
          <cell r="M131">
            <v>21.073</v>
          </cell>
          <cell r="N131">
            <v>31.984000000000002</v>
          </cell>
        </row>
        <row r="132">
          <cell r="B132">
            <v>2003</v>
          </cell>
          <cell r="J132">
            <v>0</v>
          </cell>
          <cell r="K132">
            <v>8.1631067961165034</v>
          </cell>
          <cell r="L132">
            <v>8.968</v>
          </cell>
          <cell r="M132">
            <v>19.379000000000001</v>
          </cell>
          <cell r="N132">
            <v>28.564</v>
          </cell>
          <cell r="O132">
            <v>41.834000000000003</v>
          </cell>
        </row>
        <row r="133">
          <cell r="B133">
            <v>2004</v>
          </cell>
          <cell r="K133">
            <v>20.164077669902909</v>
          </cell>
          <cell r="L133">
            <v>8.4079999999999995</v>
          </cell>
          <cell r="M133">
            <v>17.16</v>
          </cell>
          <cell r="N133">
            <v>26.521999999999998</v>
          </cell>
          <cell r="O133">
            <v>37.042999999999999</v>
          </cell>
          <cell r="P133">
            <v>53.02</v>
          </cell>
        </row>
        <row r="134">
          <cell r="B134">
            <v>2005</v>
          </cell>
          <cell r="L134">
            <v>20.768999999999998</v>
          </cell>
          <cell r="M134">
            <v>11.943</v>
          </cell>
          <cell r="N134">
            <v>19.561</v>
          </cell>
          <cell r="O134">
            <v>30.216999999999999</v>
          </cell>
          <cell r="P134">
            <v>44.183999999999997</v>
          </cell>
          <cell r="Q134">
            <v>59.16</v>
          </cell>
        </row>
        <row r="135">
          <cell r="B135">
            <v>2006</v>
          </cell>
          <cell r="M135">
            <v>72.376000000000005</v>
          </cell>
          <cell r="N135">
            <v>13.467000000000001</v>
          </cell>
          <cell r="O135">
            <v>20.427</v>
          </cell>
          <cell r="P135">
            <v>34.036999999999999</v>
          </cell>
          <cell r="Q135">
            <v>52.045000000000002</v>
          </cell>
          <cell r="R135">
            <v>60.877000000000002</v>
          </cell>
        </row>
        <row r="136">
          <cell r="B136">
            <v>2007</v>
          </cell>
          <cell r="N136">
            <v>36.25</v>
          </cell>
          <cell r="O136">
            <v>14.651</v>
          </cell>
          <cell r="P136">
            <v>26.710999999999999</v>
          </cell>
          <cell r="Q136">
            <v>40.588999999999999</v>
          </cell>
          <cell r="R136">
            <v>51.052</v>
          </cell>
          <cell r="S136">
            <v>62.703310000000002</v>
          </cell>
        </row>
        <row r="137">
          <cell r="B137">
            <v>2008</v>
          </cell>
          <cell r="O137">
            <v>40.648000000000003</v>
          </cell>
          <cell r="P137">
            <v>16.774999999999999</v>
          </cell>
          <cell r="Q137">
            <v>28.5</v>
          </cell>
          <cell r="R137">
            <v>37.798000000000002</v>
          </cell>
          <cell r="S137">
            <v>52.583559999999999</v>
          </cell>
          <cell r="T137">
            <v>64.584409300000004</v>
          </cell>
        </row>
        <row r="138">
          <cell r="B138">
            <v>2009</v>
          </cell>
          <cell r="P138">
            <v>56.587000000000003</v>
          </cell>
          <cell r="Q138">
            <v>19.888999999999999</v>
          </cell>
          <cell r="R138">
            <v>28.463999999999999</v>
          </cell>
          <cell r="S138">
            <v>38.931940000000004</v>
          </cell>
          <cell r="T138">
            <v>54.1610668</v>
          </cell>
        </row>
        <row r="139">
          <cell r="B139">
            <v>2010</v>
          </cell>
          <cell r="Q139">
            <v>84.037000000000006</v>
          </cell>
          <cell r="R139">
            <v>23.303999999999998</v>
          </cell>
          <cell r="S139">
            <v>29.317920000000001</v>
          </cell>
          <cell r="T139">
            <v>40.099898200000005</v>
          </cell>
        </row>
        <row r="140">
          <cell r="B140">
            <v>2011</v>
          </cell>
          <cell r="R140">
            <v>114.881</v>
          </cell>
          <cell r="S140">
            <v>24.003119999999999</v>
          </cell>
          <cell r="T140">
            <v>30.1974576</v>
          </cell>
        </row>
        <row r="141">
          <cell r="B141">
            <v>2012</v>
          </cell>
          <cell r="S141">
            <v>118.32743000000001</v>
          </cell>
          <cell r="T141">
            <v>24.723213600000001</v>
          </cell>
        </row>
        <row r="142">
          <cell r="B142">
            <v>2013</v>
          </cell>
          <cell r="T142">
            <v>121.87725290000002</v>
          </cell>
        </row>
        <row r="143">
          <cell r="B143" t="str">
            <v>Assumes Rent Expense = Interest + Amort.</v>
          </cell>
        </row>
        <row r="144">
          <cell r="B144" t="str">
            <v>PV of Noncancelable Leases</v>
          </cell>
          <cell r="E144">
            <v>0</v>
          </cell>
          <cell r="F144">
            <v>2.54275083231883E-2</v>
          </cell>
          <cell r="G144">
            <v>2.7029441347549161E-2</v>
          </cell>
          <cell r="H144">
            <v>2.8732296152444756E-2</v>
          </cell>
          <cell r="I144">
            <v>3.054243081004877E-2</v>
          </cell>
          <cell r="J144">
            <v>8.4666039510818431E-3</v>
          </cell>
          <cell r="K144">
            <v>63.094056060642139</v>
          </cell>
          <cell r="L144">
            <v>64.986877742461402</v>
          </cell>
          <cell r="M144">
            <v>129.8961896280147</v>
          </cell>
          <cell r="N144">
            <v>127.81460560008654</v>
          </cell>
          <cell r="O144">
            <v>152.25964641791353</v>
          </cell>
          <cell r="P144">
            <v>189.81650896928747</v>
          </cell>
          <cell r="Q144">
            <v>230.72541289154668</v>
          </cell>
          <cell r="R144">
            <v>253.00435812233121</v>
          </cell>
          <cell r="S144">
            <v>260.5944888660012</v>
          </cell>
          <cell r="T144">
            <v>268.4123235319812</v>
          </cell>
        </row>
        <row r="145">
          <cell r="B145" t="str">
            <v>Pre-Tax Interest Component</v>
          </cell>
          <cell r="E145">
            <v>0</v>
          </cell>
          <cell r="F145">
            <v>1.601933024360863E-3</v>
          </cell>
          <cell r="G145">
            <v>1.7028548048955972E-3</v>
          </cell>
          <cell r="H145">
            <v>1.8101346576040196E-3</v>
          </cell>
          <cell r="I145">
            <v>1.9241731410330725E-3</v>
          </cell>
          <cell r="J145">
            <v>5.3339604891815609E-4</v>
          </cell>
          <cell r="K145">
            <v>3.9749255318204546</v>
          </cell>
          <cell r="L145">
            <v>4.0941732977750682</v>
          </cell>
          <cell r="M145">
            <v>8.1834599465649251</v>
          </cell>
          <cell r="N145">
            <v>8.0523201528054518</v>
          </cell>
          <cell r="O145">
            <v>9.5923577243285525</v>
          </cell>
          <cell r="P145">
            <v>11.95844006506511</v>
          </cell>
          <cell r="Q145">
            <v>14.535701012167442</v>
          </cell>
          <cell r="R145">
            <v>15.939274561706867</v>
          </cell>
          <cell r="S145">
            <v>16.417452798558077</v>
          </cell>
          <cell r="T145">
            <v>16.909976382514817</v>
          </cell>
        </row>
        <row r="147">
          <cell r="B147" t="str">
            <v>Rent Expense</v>
          </cell>
          <cell r="K147">
            <v>22.344000000000001</v>
          </cell>
          <cell r="L147">
            <v>25.521999999999998</v>
          </cell>
          <cell r="M147">
            <v>31.385000000000002</v>
          </cell>
          <cell r="N147">
            <v>39.378999999999998</v>
          </cell>
          <cell r="O147">
            <v>51.295000000000002</v>
          </cell>
          <cell r="P147">
            <v>69.06</v>
          </cell>
          <cell r="Q147">
            <v>81.959000000000003</v>
          </cell>
          <cell r="R147">
            <v>87.217000000000013</v>
          </cell>
          <cell r="S147">
            <v>94.52000000000001</v>
          </cell>
          <cell r="T147">
            <v>103.52570130290816</v>
          </cell>
          <cell r="U147" t="str">
            <v>Addback</v>
          </cell>
        </row>
        <row r="148">
          <cell r="B148" t="str">
            <v>Amortization</v>
          </cell>
          <cell r="K148">
            <v>-18.369074468179548</v>
          </cell>
          <cell r="L148">
            <v>-21.42782670222493</v>
          </cell>
          <cell r="M148">
            <v>-23.201540053435075</v>
          </cell>
          <cell r="N148">
            <v>-31.326679847194548</v>
          </cell>
          <cell r="O148">
            <v>-41.702642275671451</v>
          </cell>
          <cell r="P148">
            <v>-57.10155993493489</v>
          </cell>
          <cell r="Q148">
            <v>-67.423298987832567</v>
          </cell>
          <cell r="R148">
            <v>-71.277725438293146</v>
          </cell>
          <cell r="S148">
            <v>-78.102547201441936</v>
          </cell>
          <cell r="T148">
            <v>-86.615724920393347</v>
          </cell>
          <cell r="U148" t="str">
            <v>Subtract</v>
          </cell>
        </row>
        <row r="149">
          <cell r="B149" t="str">
            <v>Interest</v>
          </cell>
          <cell r="K149">
            <v>3.9749255318204546</v>
          </cell>
          <cell r="L149">
            <v>4.0941732977750682</v>
          </cell>
          <cell r="M149">
            <v>8.1834599465649251</v>
          </cell>
          <cell r="N149">
            <v>8.0523201528054518</v>
          </cell>
          <cell r="O149">
            <v>9.5923577243285525</v>
          </cell>
          <cell r="P149">
            <v>11.95844006506511</v>
          </cell>
          <cell r="Q149">
            <v>14.535701012167442</v>
          </cell>
          <cell r="R149">
            <v>15.939274561706867</v>
          </cell>
          <cell r="S149">
            <v>16.417452798558077</v>
          </cell>
          <cell r="T149">
            <v>16.909976382514817</v>
          </cell>
          <cell r="U149" t="str">
            <v>Net net effect is to addback interest</v>
          </cell>
        </row>
        <row r="151">
          <cell r="A151" t="str">
            <v>Schedule III:  One-Time Gains/Losses</v>
          </cell>
        </row>
        <row r="152">
          <cell r="C152">
            <v>1990</v>
          </cell>
          <cell r="D152">
            <v>1991</v>
          </cell>
          <cell r="E152">
            <v>1992</v>
          </cell>
          <cell r="F152">
            <v>1993</v>
          </cell>
          <cell r="G152">
            <v>1994</v>
          </cell>
          <cell r="H152">
            <v>1995</v>
          </cell>
          <cell r="I152">
            <v>1996</v>
          </cell>
          <cell r="J152">
            <v>1997</v>
          </cell>
          <cell r="K152">
            <v>1998</v>
          </cell>
          <cell r="L152">
            <v>1999</v>
          </cell>
          <cell r="M152">
            <v>2000</v>
          </cell>
          <cell r="N152">
            <v>2001</v>
          </cell>
          <cell r="O152">
            <v>2002</v>
          </cell>
          <cell r="P152">
            <v>2003</v>
          </cell>
          <cell r="Q152">
            <v>2004</v>
          </cell>
          <cell r="R152">
            <v>2005</v>
          </cell>
          <cell r="S152" t="str">
            <v>2006E</v>
          </cell>
          <cell r="T152" t="str">
            <v>2007E</v>
          </cell>
        </row>
        <row r="153">
          <cell r="B153">
            <v>1995</v>
          </cell>
          <cell r="H153">
            <v>0</v>
          </cell>
          <cell r="I153">
            <v>0</v>
          </cell>
          <cell r="J153">
            <v>0</v>
          </cell>
          <cell r="K153">
            <v>0</v>
          </cell>
          <cell r="L153">
            <v>0</v>
          </cell>
          <cell r="M153">
            <v>0</v>
          </cell>
          <cell r="N153">
            <v>0</v>
          </cell>
          <cell r="O153">
            <v>0</v>
          </cell>
          <cell r="P153">
            <v>0</v>
          </cell>
          <cell r="Q153">
            <v>0</v>
          </cell>
          <cell r="R153">
            <v>0</v>
          </cell>
          <cell r="S153">
            <v>0</v>
          </cell>
          <cell r="T153">
            <v>0</v>
          </cell>
        </row>
        <row r="154">
          <cell r="B154">
            <v>1996</v>
          </cell>
          <cell r="I154">
            <v>0</v>
          </cell>
          <cell r="J154">
            <v>0</v>
          </cell>
          <cell r="K154">
            <v>0</v>
          </cell>
          <cell r="L154">
            <v>0</v>
          </cell>
          <cell r="M154">
            <v>0</v>
          </cell>
          <cell r="N154">
            <v>0</v>
          </cell>
          <cell r="O154">
            <v>0</v>
          </cell>
          <cell r="P154">
            <v>0</v>
          </cell>
          <cell r="Q154">
            <v>0</v>
          </cell>
          <cell r="R154">
            <v>0</v>
          </cell>
          <cell r="S154">
            <v>0</v>
          </cell>
          <cell r="T154">
            <v>0</v>
          </cell>
        </row>
        <row r="155">
          <cell r="B155">
            <v>1997</v>
          </cell>
          <cell r="J155">
            <v>0</v>
          </cell>
          <cell r="K155">
            <v>0</v>
          </cell>
          <cell r="L155">
            <v>0</v>
          </cell>
          <cell r="M155">
            <v>0</v>
          </cell>
          <cell r="N155">
            <v>0</v>
          </cell>
          <cell r="O155">
            <v>0</v>
          </cell>
          <cell r="P155">
            <v>0</v>
          </cell>
          <cell r="Q155">
            <v>0</v>
          </cell>
          <cell r="R155">
            <v>0</v>
          </cell>
          <cell r="S155">
            <v>0</v>
          </cell>
          <cell r="T155">
            <v>0</v>
          </cell>
        </row>
        <row r="156">
          <cell r="B156">
            <v>1998</v>
          </cell>
          <cell r="K156">
            <v>119.205406</v>
          </cell>
          <cell r="L156">
            <v>119.205406</v>
          </cell>
          <cell r="M156">
            <v>119.205406</v>
          </cell>
          <cell r="N156">
            <v>119.205406</v>
          </cell>
          <cell r="O156">
            <v>119.205406</v>
          </cell>
          <cell r="P156">
            <v>119.205406</v>
          </cell>
          <cell r="Q156">
            <v>119.205406</v>
          </cell>
          <cell r="R156">
            <v>119.205406</v>
          </cell>
          <cell r="S156">
            <v>119.205406</v>
          </cell>
          <cell r="T156">
            <v>119.205406</v>
          </cell>
        </row>
        <row r="157">
          <cell r="B157">
            <v>1999</v>
          </cell>
          <cell r="L157">
            <v>9.0863499999999995</v>
          </cell>
          <cell r="M157">
            <v>9.0863499999999995</v>
          </cell>
          <cell r="N157">
            <v>9.0863499999999995</v>
          </cell>
          <cell r="O157">
            <v>9.0863499999999995</v>
          </cell>
          <cell r="P157">
            <v>9.0863499999999995</v>
          </cell>
          <cell r="Q157">
            <v>9.0863499999999995</v>
          </cell>
          <cell r="R157">
            <v>9.0863499999999995</v>
          </cell>
          <cell r="S157">
            <v>9.0863499999999995</v>
          </cell>
          <cell r="T157">
            <v>9.0863499999999995</v>
          </cell>
        </row>
        <row r="158">
          <cell r="B158">
            <v>2000</v>
          </cell>
          <cell r="M158">
            <v>0</v>
          </cell>
          <cell r="N158">
            <v>0</v>
          </cell>
          <cell r="O158">
            <v>0</v>
          </cell>
          <cell r="P158">
            <v>0</v>
          </cell>
          <cell r="Q158">
            <v>0</v>
          </cell>
          <cell r="R158">
            <v>0</v>
          </cell>
          <cell r="S158">
            <v>0</v>
          </cell>
          <cell r="T158">
            <v>0</v>
          </cell>
        </row>
        <row r="159">
          <cell r="B159">
            <v>2001</v>
          </cell>
          <cell r="N159">
            <v>3.8079999999999998</v>
          </cell>
          <cell r="O159">
            <v>3.8079999999999998</v>
          </cell>
          <cell r="P159">
            <v>3.8079999999999998</v>
          </cell>
          <cell r="Q159">
            <v>3.8079999999999998</v>
          </cell>
          <cell r="R159">
            <v>3.8079999999999998</v>
          </cell>
          <cell r="S159">
            <v>3.8079999999999998</v>
          </cell>
          <cell r="T159">
            <v>3.8079999999999998</v>
          </cell>
        </row>
        <row r="160">
          <cell r="B160">
            <v>2002</v>
          </cell>
          <cell r="O160">
            <v>5.274</v>
          </cell>
          <cell r="P160">
            <v>5.274</v>
          </cell>
          <cell r="Q160">
            <v>5.274</v>
          </cell>
          <cell r="R160">
            <v>5.274</v>
          </cell>
          <cell r="S160">
            <v>5.274</v>
          </cell>
          <cell r="T160">
            <v>5.274</v>
          </cell>
        </row>
        <row r="161">
          <cell r="B161" t="str">
            <v>Accumulated One-Time Gains/Losses</v>
          </cell>
          <cell r="C161">
            <v>0</v>
          </cell>
          <cell r="D161">
            <v>0</v>
          </cell>
          <cell r="E161">
            <v>0</v>
          </cell>
          <cell r="F161">
            <v>0</v>
          </cell>
          <cell r="G161">
            <v>0</v>
          </cell>
          <cell r="H161">
            <v>0</v>
          </cell>
          <cell r="I161">
            <v>0</v>
          </cell>
          <cell r="J161">
            <v>0</v>
          </cell>
          <cell r="K161">
            <v>119.205406</v>
          </cell>
          <cell r="L161">
            <v>128.29175599999999</v>
          </cell>
          <cell r="M161">
            <v>128.29175599999999</v>
          </cell>
          <cell r="N161">
            <v>132.09975599999999</v>
          </cell>
          <cell r="O161">
            <v>137.37375599999999</v>
          </cell>
          <cell r="P161">
            <v>137.37375599999999</v>
          </cell>
          <cell r="Q161">
            <v>137.37375599999999</v>
          </cell>
          <cell r="R161">
            <v>137.37375599999999</v>
          </cell>
          <cell r="S161">
            <v>137.37375599999999</v>
          </cell>
          <cell r="T161">
            <v>137.37375599999999</v>
          </cell>
        </row>
        <row r="163">
          <cell r="A163" t="str">
            <v>Schedule IV:  Operating Gains/Losses</v>
          </cell>
        </row>
        <row r="164">
          <cell r="C164">
            <v>1990</v>
          </cell>
          <cell r="D164">
            <v>1991</v>
          </cell>
          <cell r="E164">
            <v>1992</v>
          </cell>
          <cell r="F164">
            <v>1993</v>
          </cell>
          <cell r="G164">
            <v>1994</v>
          </cell>
          <cell r="H164">
            <v>1995</v>
          </cell>
          <cell r="I164">
            <v>1996</v>
          </cell>
          <cell r="J164">
            <v>1997</v>
          </cell>
          <cell r="K164">
            <v>1998</v>
          </cell>
          <cell r="L164">
            <v>1999</v>
          </cell>
          <cell r="M164">
            <v>2000</v>
          </cell>
          <cell r="N164">
            <v>2001</v>
          </cell>
          <cell r="O164">
            <v>2002</v>
          </cell>
          <cell r="P164">
            <v>2003</v>
          </cell>
          <cell r="Q164">
            <v>2004</v>
          </cell>
          <cell r="R164">
            <v>2005</v>
          </cell>
          <cell r="S164" t="str">
            <v>2006E</v>
          </cell>
          <cell r="T164" t="str">
            <v>2007E</v>
          </cell>
        </row>
        <row r="165">
          <cell r="B165" t="str">
            <v>Asset impairments</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row>
        <row r="166">
          <cell r="B166" t="str">
            <v>Gains and losses  on asset sales</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row>
        <row r="167">
          <cell r="B167" t="str">
            <v>Compliance settlements</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row>
        <row r="168">
          <cell r="B168" t="str">
            <v>Other</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row>
        <row r="169">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row>
        <row r="170">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row>
        <row r="172">
          <cell r="B172" t="str">
            <v xml:space="preserve"> Gains/Losses</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row>
        <row r="173">
          <cell r="T173" t="str">
            <v>Action:</v>
          </cell>
        </row>
        <row r="174">
          <cell r="B174">
            <v>2002</v>
          </cell>
          <cell r="L174" t="str">
            <v>$5.274 mm, net ($3.372 of tax) loss on early retirement of debt</v>
          </cell>
          <cell r="T174" t="str">
            <v>NOA</v>
          </cell>
        </row>
        <row r="175">
          <cell r="B175">
            <v>2001</v>
          </cell>
          <cell r="L175" t="str">
            <v>$6.2 mm ($3.808 mm, net) loss on early retirement of debt</v>
          </cell>
          <cell r="T175" t="str">
            <v>NOA</v>
          </cell>
        </row>
        <row r="176">
          <cell r="B176">
            <v>2000</v>
          </cell>
        </row>
        <row r="177">
          <cell r="B177">
            <v>1999</v>
          </cell>
          <cell r="L177" t="str">
            <v>$17.279 mm compliance settlement and Y2K costs ($3.3 mm for Y2K)</v>
          </cell>
          <cell r="T177" t="str">
            <v>NOA</v>
          </cell>
        </row>
        <row r="178">
          <cell r="B178">
            <v>1998</v>
          </cell>
          <cell r="L178" t="str">
            <v>$164.833 mm impairment of long-lived assets ($134.3 mm related to goodwill reduction; the rest to tangibles)</v>
          </cell>
          <cell r="T178" t="str">
            <v>NOA</v>
          </cell>
        </row>
        <row r="179">
          <cell r="L179" t="str">
            <v>$20.209 mm compliance settlement ($0.2 mm for Y2K)</v>
          </cell>
          <cell r="T179" t="str">
            <v>NOA</v>
          </cell>
        </row>
        <row r="180">
          <cell r="L180" t="str">
            <v>$(.352) net of $189 in taxes for cumulative change in accounting principle</v>
          </cell>
          <cell r="T180" t="str">
            <v>NOA</v>
          </cell>
        </row>
        <row r="181">
          <cell r="B181">
            <v>1997</v>
          </cell>
        </row>
        <row r="182">
          <cell r="B182">
            <v>1996</v>
          </cell>
          <cell r="L182" t="str">
            <v>$15.655 mm asset impairment</v>
          </cell>
          <cell r="T182" t="str">
            <v>NOA</v>
          </cell>
        </row>
        <row r="183">
          <cell r="L183" t="str">
            <v>$3.146 mm loss on hospital sales</v>
          </cell>
          <cell r="T183" t="str">
            <v>NOA</v>
          </cell>
        </row>
        <row r="184">
          <cell r="B184">
            <v>1995</v>
          </cell>
          <cell r="L184" t="str">
            <v>$25.4 mm asset impairment</v>
          </cell>
          <cell r="T184" t="str">
            <v>NOA</v>
          </cell>
        </row>
      </sheetData>
      <sheetData sheetId="18" refreshError="1">
        <row r="1">
          <cell r="C1">
            <v>1999</v>
          </cell>
          <cell r="D1">
            <v>2000</v>
          </cell>
          <cell r="E1">
            <v>2001</v>
          </cell>
          <cell r="F1">
            <v>2002</v>
          </cell>
          <cell r="G1" t="str">
            <v>2003E</v>
          </cell>
          <cell r="H1" t="str">
            <v>2004E</v>
          </cell>
          <cell r="I1" t="str">
            <v>2005E</v>
          </cell>
          <cell r="J1" t="str">
            <v>2006E</v>
          </cell>
          <cell r="K1" t="str">
            <v>2007E</v>
          </cell>
        </row>
        <row r="2">
          <cell r="A2" t="str">
            <v>ROIC</v>
          </cell>
        </row>
        <row r="3">
          <cell r="B3" t="str">
            <v>Adjusted NOA</v>
          </cell>
          <cell r="C3">
            <v>5.6948044646664163E-2</v>
          </cell>
          <cell r="D3">
            <v>5.677761643995187E-2</v>
          </cell>
          <cell r="E3">
            <v>5.881409338826931E-2</v>
          </cell>
          <cell r="F3">
            <v>5.711039068744516E-2</v>
          </cell>
          <cell r="G3">
            <v>5.6297890438494612E-2</v>
          </cell>
          <cell r="H3">
            <v>6.4851168129145362E-2</v>
          </cell>
          <cell r="I3">
            <v>7.2540790533749344E-2</v>
          </cell>
          <cell r="J3">
            <v>7.4308809124749589E-2</v>
          </cell>
          <cell r="K3">
            <v>7.2803420696115728E-2</v>
          </cell>
        </row>
        <row r="4">
          <cell r="B4" t="str">
            <v>Adjusted NOPAT</v>
          </cell>
          <cell r="C4">
            <v>5.6149260760004892E-2</v>
          </cell>
          <cell r="D4">
            <v>6.1579406767287008E-2</v>
          </cell>
          <cell r="E4">
            <v>6.0756397922152164E-2</v>
          </cell>
          <cell r="F4">
            <v>5.855427506439953E-2</v>
          </cell>
          <cell r="G4">
            <v>6.2069262890880793E-2</v>
          </cell>
          <cell r="H4">
            <v>6.4566104927252621E-2</v>
          </cell>
          <cell r="I4">
            <v>7.1827136872362141E-2</v>
          </cell>
          <cell r="J4">
            <v>7.4838189964050228E-2</v>
          </cell>
          <cell r="K4">
            <v>7.2611318425522903E-2</v>
          </cell>
        </row>
        <row r="6">
          <cell r="B6" t="str">
            <v>Reported NOA</v>
          </cell>
          <cell r="C6">
            <v>6.3411238218634453E-2</v>
          </cell>
          <cell r="D6">
            <v>6.3689360193427039E-2</v>
          </cell>
          <cell r="E6">
            <v>6.2568681488733083E-2</v>
          </cell>
          <cell r="F6">
            <v>6.0760680577052341E-2</v>
          </cell>
          <cell r="G6">
            <v>7.236028429629672E-2</v>
          </cell>
          <cell r="H6">
            <v>7.0416824477019441E-2</v>
          </cell>
          <cell r="I6">
            <v>7.7805379291638554E-2</v>
          </cell>
          <cell r="J6">
            <v>8.231602616843002E-2</v>
          </cell>
          <cell r="K6">
            <v>7.7857630679843151E-2</v>
          </cell>
        </row>
        <row r="7">
          <cell r="B7" t="str">
            <v>Reported NOPAT</v>
          </cell>
          <cell r="C7">
            <v>6.1367576882427645E-2</v>
          </cell>
          <cell r="D7">
            <v>6.1579406767287008E-2</v>
          </cell>
          <cell r="E7">
            <v>6.0756397922152164E-2</v>
          </cell>
          <cell r="F7">
            <v>5.8412692901226235E-2</v>
          </cell>
          <cell r="G7">
            <v>6.7314203861552943E-2</v>
          </cell>
          <cell r="H7">
            <v>6.5843143797128134E-2</v>
          </cell>
          <cell r="I7">
            <v>7.3507401031716477E-2</v>
          </cell>
          <cell r="J7">
            <v>7.8307913939788643E-2</v>
          </cell>
          <cell r="K7">
            <v>7.4167082921345481E-2</v>
          </cell>
        </row>
        <row r="9">
          <cell r="A9" t="str">
            <v>Operating Margins</v>
          </cell>
        </row>
        <row r="10">
          <cell r="B10" t="str">
            <v>Adjusted NOA</v>
          </cell>
          <cell r="C10">
            <v>9.9093490775574347E-2</v>
          </cell>
          <cell r="D10">
            <v>9.2097418684620971E-2</v>
          </cell>
          <cell r="E10">
            <v>8.5639524032861583E-2</v>
          </cell>
          <cell r="F10">
            <v>6.8667236314992469E-2</v>
          </cell>
          <cell r="G10">
            <v>6.5598547818956854E-2</v>
          </cell>
          <cell r="H10">
            <v>6.9108181352642142E-2</v>
          </cell>
          <cell r="I10">
            <v>7.0050652781550704E-2</v>
          </cell>
          <cell r="J10">
            <v>6.7283567493376203E-2</v>
          </cell>
          <cell r="K10">
            <v>6.5402367053013041E-2</v>
          </cell>
        </row>
        <row r="11">
          <cell r="B11" t="str">
            <v>Adjusted NOPAT</v>
          </cell>
          <cell r="C11">
            <v>9.0667198149876754E-2</v>
          </cell>
          <cell r="D11">
            <v>9.2097418684620971E-2</v>
          </cell>
          <cell r="E11">
            <v>8.5639524032861583E-2</v>
          </cell>
          <cell r="F11">
            <v>6.8309913134886144E-2</v>
          </cell>
          <cell r="G11">
            <v>6.3311330594266801E-2</v>
          </cell>
          <cell r="H11">
            <v>6.574030325505012E-2</v>
          </cell>
          <cell r="I11">
            <v>6.6563045745004823E-2</v>
          </cell>
          <cell r="J11">
            <v>6.4027215412746211E-2</v>
          </cell>
          <cell r="K11">
            <v>6.2299010854756996E-2</v>
          </cell>
        </row>
        <row r="13">
          <cell r="A13" t="str">
            <v>Operating Asset Turnover</v>
          </cell>
        </row>
        <row r="14">
          <cell r="B14" t="str">
            <v>Adjusted NOA</v>
          </cell>
          <cell r="C14">
            <v>0.57469006491697172</v>
          </cell>
          <cell r="D14">
            <v>0.61649519878924652</v>
          </cell>
          <cell r="E14">
            <v>0.68676343139998275</v>
          </cell>
          <cell r="F14">
            <v>0.83169781910934371</v>
          </cell>
          <cell r="G14">
            <v>0.85821854767073802</v>
          </cell>
          <cell r="H14">
            <v>0.93840073432443127</v>
          </cell>
          <cell r="I14">
            <v>1.0355476737663531</v>
          </cell>
          <cell r="J14">
            <v>1.1044124426378696</v>
          </cell>
          <cell r="K14">
            <v>1.113161862125015</v>
          </cell>
        </row>
        <row r="15">
          <cell r="B15" t="str">
            <v>Adjusted NOPAT</v>
          </cell>
          <cell r="C15">
            <v>0.6192896869625083</v>
          </cell>
          <cell r="D15">
            <v>0.66863336287589059</v>
          </cell>
          <cell r="E15">
            <v>0.70944343290416623</v>
          </cell>
          <cell r="F15">
            <v>0.85511297292800448</v>
          </cell>
          <cell r="G15">
            <v>0.96669538499619667</v>
          </cell>
          <cell r="H15">
            <v>0.97316922050689736</v>
          </cell>
          <cell r="I15">
            <v>1.0800304733809913</v>
          </cell>
          <cell r="J15">
            <v>1.1509810956932949</v>
          </cell>
          <cell r="K15">
            <v>1.1566027039881674</v>
          </cell>
        </row>
        <row r="19">
          <cell r="A19" t="str">
            <v>Check</v>
          </cell>
        </row>
        <row r="21">
          <cell r="A21" t="str">
            <v>NOPAT (on NOA sheet)</v>
          </cell>
          <cell r="C21">
            <v>107.01631264355385</v>
          </cell>
          <cell r="D21">
            <v>123.18038958809923</v>
          </cell>
          <cell r="E21">
            <v>145.0412388901552</v>
          </cell>
          <cell r="F21">
            <v>151.09655413052678</v>
          </cell>
          <cell r="G21">
            <v>185.94721801276276</v>
          </cell>
          <cell r="H21">
            <v>221.38854272045859</v>
          </cell>
          <cell r="I21">
            <v>261.87175630632663</v>
          </cell>
          <cell r="J21">
            <v>291.09993436145152</v>
          </cell>
          <cell r="K21">
            <v>309.92101944674914</v>
          </cell>
        </row>
        <row r="22">
          <cell r="A22" t="str">
            <v>Reported NOPAT (NOPAT)</v>
          </cell>
          <cell r="C22">
            <v>107.01631264355385</v>
          </cell>
          <cell r="D22">
            <v>123.18038958809923</v>
          </cell>
          <cell r="E22">
            <v>145.0412388901552</v>
          </cell>
          <cell r="F22">
            <v>150.31029413052676</v>
          </cell>
          <cell r="G22">
            <v>179.46381717444294</v>
          </cell>
          <cell r="H22">
            <v>210.59952165967584</v>
          </cell>
          <cell r="I22">
            <v>248.83396516946644</v>
          </cell>
          <cell r="J22">
            <v>277.0114442256916</v>
          </cell>
          <cell r="K22">
            <v>295.21520129355747</v>
          </cell>
        </row>
        <row r="23">
          <cell r="B23" t="str">
            <v>Diff</v>
          </cell>
          <cell r="C23">
            <v>0</v>
          </cell>
          <cell r="D23">
            <v>0</v>
          </cell>
          <cell r="E23">
            <v>0</v>
          </cell>
          <cell r="F23">
            <v>0.78626000000002705</v>
          </cell>
          <cell r="G23">
            <v>6.4834008383198238</v>
          </cell>
          <cell r="H23">
            <v>10.789021060782744</v>
          </cell>
          <cell r="I23">
            <v>13.037791136860193</v>
          </cell>
          <cell r="J23">
            <v>14.088490135759912</v>
          </cell>
          <cell r="K23">
            <v>14.705818153191672</v>
          </cell>
        </row>
        <row r="25">
          <cell r="A25" t="str">
            <v>NOA (on NOPAT sheet)</v>
          </cell>
          <cell r="C25">
            <v>1876.8798777424613</v>
          </cell>
          <cell r="D25">
            <v>2279.6951896280143</v>
          </cell>
          <cell r="E25">
            <v>2480.4326056000868</v>
          </cell>
          <cell r="F25">
            <v>2666.0616464179138</v>
          </cell>
          <cell r="G25">
            <v>3198.5034358104499</v>
          </cell>
          <cell r="H25">
            <v>3385.1552588847653</v>
          </cell>
          <cell r="I25">
            <v>3537.4642266513079</v>
          </cell>
          <cell r="J25">
            <v>3980.4073406343146</v>
          </cell>
          <cell r="K25">
            <v>4213.7322419035254</v>
          </cell>
        </row>
        <row r="26">
          <cell r="A26" t="str">
            <v>Reported NOA (NOA)</v>
          </cell>
          <cell r="C26">
            <v>1810.6106277424617</v>
          </cell>
          <cell r="D26">
            <v>2210.5489396280141</v>
          </cell>
          <cell r="E26">
            <v>2403.7563556000869</v>
          </cell>
          <cell r="F26">
            <v>2569.7413964179136</v>
          </cell>
          <cell r="G26">
            <v>3143.9722589692869</v>
          </cell>
          <cell r="H26">
            <v>3365.7281628915466</v>
          </cell>
          <cell r="I26">
            <v>3536.3701081223312</v>
          </cell>
          <cell r="J26">
            <v>3980.6120060494691</v>
          </cell>
          <cell r="K26">
            <v>4215.4136547811349</v>
          </cell>
        </row>
        <row r="27">
          <cell r="B27" t="str">
            <v>Diff</v>
          </cell>
          <cell r="C27">
            <v>66.269249999999602</v>
          </cell>
          <cell r="D27">
            <v>69.146250000000236</v>
          </cell>
          <cell r="E27">
            <v>76.676249999999982</v>
          </cell>
          <cell r="F27">
            <v>96.320250000000215</v>
          </cell>
          <cell r="G27">
            <v>54.53117684116296</v>
          </cell>
          <cell r="H27">
            <v>19.4270959932187</v>
          </cell>
          <cell r="I27">
            <v>1.0941185289766509</v>
          </cell>
          <cell r="J27">
            <v>-0.20466541515452263</v>
          </cell>
          <cell r="K27">
            <v>-1.6814128776095458</v>
          </cell>
        </row>
        <row r="28">
          <cell r="C28">
            <v>1999</v>
          </cell>
          <cell r="D28">
            <v>2000</v>
          </cell>
          <cell r="E28">
            <v>2001</v>
          </cell>
          <cell r="F28">
            <v>2002</v>
          </cell>
          <cell r="G28" t="str">
            <v>2003E</v>
          </cell>
          <cell r="H28" t="str">
            <v>2004E</v>
          </cell>
          <cell r="I28" t="str">
            <v>2005E</v>
          </cell>
          <cell r="J28" t="str">
            <v>2006E</v>
          </cell>
          <cell r="K28" t="str">
            <v>2007E</v>
          </cell>
          <cell r="L28" t="str">
            <v>2008E</v>
          </cell>
          <cell r="M28" t="str">
            <v>2009E</v>
          </cell>
          <cell r="N28" t="str">
            <v>2010E</v>
          </cell>
          <cell r="O28" t="str">
            <v>2011E</v>
          </cell>
          <cell r="P28" t="str">
            <v>2012E</v>
          </cell>
          <cell r="Q28" t="str">
            <v>2013E</v>
          </cell>
          <cell r="R28" t="str">
            <v>2014E</v>
          </cell>
          <cell r="S28" t="str">
            <v>2015E</v>
          </cell>
          <cell r="T28" t="str">
            <v>2016E</v>
          </cell>
          <cell r="U28" t="str">
            <v>2017E</v>
          </cell>
          <cell r="V28" t="str">
            <v>2018E</v>
          </cell>
        </row>
        <row r="29">
          <cell r="B29" t="str">
            <v>Operating Margins</v>
          </cell>
          <cell r="C29">
            <v>9.9093490775574347E-2</v>
          </cell>
          <cell r="D29">
            <v>9.2097418684620971E-2</v>
          </cell>
          <cell r="E29">
            <v>8.5639524032861583E-2</v>
          </cell>
          <cell r="F29">
            <v>6.8667236314992469E-2</v>
          </cell>
          <cell r="G29">
            <v>6.5598547818956854E-2</v>
          </cell>
          <cell r="H29">
            <v>6.9108181352642142E-2</v>
          </cell>
          <cell r="I29">
            <v>7.0050652781550704E-2</v>
          </cell>
          <cell r="J29">
            <v>6.7283567493376203E-2</v>
          </cell>
          <cell r="K29">
            <v>6.5402367053013041E-2</v>
          </cell>
        </row>
        <row r="30">
          <cell r="B30" t="str">
            <v>Asset Turnover</v>
          </cell>
          <cell r="C30">
            <v>0.57469006491697172</v>
          </cell>
          <cell r="D30">
            <v>0.61649519878924652</v>
          </cell>
          <cell r="E30">
            <v>0.68676343139998275</v>
          </cell>
          <cell r="F30">
            <v>0.83169781910934371</v>
          </cell>
          <cell r="G30">
            <v>0.85821854767073802</v>
          </cell>
          <cell r="H30">
            <v>0.93840073432443127</v>
          </cell>
          <cell r="I30">
            <v>1.0355476737663531</v>
          </cell>
          <cell r="J30">
            <v>1.1044124426378696</v>
          </cell>
          <cell r="K30">
            <v>1.113161862125015</v>
          </cell>
        </row>
        <row r="31">
          <cell r="B31" t="str">
            <v>ROIC</v>
          </cell>
          <cell r="C31">
            <v>5.6948044646664163E-2</v>
          </cell>
          <cell r="D31">
            <v>5.677761643995187E-2</v>
          </cell>
          <cell r="E31">
            <v>5.881409338826931E-2</v>
          </cell>
          <cell r="F31">
            <v>5.711039068744516E-2</v>
          </cell>
          <cell r="G31">
            <v>5.6297890438494612E-2</v>
          </cell>
          <cell r="H31">
            <v>6.4851168129145362E-2</v>
          </cell>
          <cell r="I31">
            <v>7.2540790533749344E-2</v>
          </cell>
          <cell r="J31">
            <v>7.4308809124749589E-2</v>
          </cell>
          <cell r="K31">
            <v>7.2803420696115728E-2</v>
          </cell>
          <cell r="L31">
            <v>7.2803420696115728E-2</v>
          </cell>
          <cell r="M31">
            <v>7.5120770763853748E-2</v>
          </cell>
          <cell r="N31">
            <v>7.7194189245514064E-2</v>
          </cell>
          <cell r="O31">
            <v>7.9023676141096705E-2</v>
          </cell>
          <cell r="P31">
            <v>8.060923145060167E-2</v>
          </cell>
          <cell r="Q31">
            <v>8.1950855174028933E-2</v>
          </cell>
          <cell r="R31">
            <v>8.3048547311378521E-2</v>
          </cell>
          <cell r="S31">
            <v>8.3902307862650419E-2</v>
          </cell>
          <cell r="T31">
            <v>8.4512136827844642E-2</v>
          </cell>
          <cell r="U31">
            <v>8.4878034206961162E-2</v>
          </cell>
          <cell r="V31">
            <v>8.5000000000000006E-2</v>
          </cell>
        </row>
        <row r="32">
          <cell r="B32" t="str">
            <v>WACC</v>
          </cell>
          <cell r="C32">
            <v>7.0999999999999994E-2</v>
          </cell>
          <cell r="D32">
            <v>7.0999999999999994E-2</v>
          </cell>
          <cell r="E32">
            <v>7.0999999999999994E-2</v>
          </cell>
          <cell r="F32">
            <v>7.0999999999999994E-2</v>
          </cell>
          <cell r="G32">
            <v>7.0999999999999994E-2</v>
          </cell>
          <cell r="H32">
            <v>7.0999999999999994E-2</v>
          </cell>
          <cell r="I32">
            <v>7.0999999999999994E-2</v>
          </cell>
          <cell r="J32">
            <v>7.0999999999999994E-2</v>
          </cell>
          <cell r="K32">
            <v>7.0999999999999994E-2</v>
          </cell>
          <cell r="L32">
            <v>7.0999999999999994E-2</v>
          </cell>
          <cell r="M32">
            <v>7.0999999999999994E-2</v>
          </cell>
          <cell r="N32">
            <v>7.0999999999999994E-2</v>
          </cell>
          <cell r="O32">
            <v>7.0999999999999994E-2</v>
          </cell>
          <cell r="P32">
            <v>7.0999999999999994E-2</v>
          </cell>
          <cell r="Q32">
            <v>7.0999999999999994E-2</v>
          </cell>
          <cell r="R32">
            <v>7.0999999999999994E-2</v>
          </cell>
          <cell r="S32">
            <v>7.0999999999999994E-2</v>
          </cell>
          <cell r="T32">
            <v>7.0999999999999994E-2</v>
          </cell>
          <cell r="U32">
            <v>7.0999999999999994E-2</v>
          </cell>
          <cell r="V32">
            <v>7.0999999999999994E-2</v>
          </cell>
        </row>
      </sheetData>
      <sheetData sheetId="19"/>
      <sheetData sheetId="20"/>
      <sheetData sheetId="21"/>
      <sheetData sheetId="22"/>
      <sheetData sheetId="23" refreshError="1"/>
      <sheetData sheetId="24"/>
      <sheetData sheetId="25"/>
      <sheetData sheetId="26"/>
      <sheetData sheetId="27"/>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Guidance"/>
      <sheetName val="Balance Sheet &amp; Cash Flow"/>
      <sheetName val="Revenue Assumptions"/>
      <sheetName val="Drivers"/>
      <sheetName val="Expense Assumptions"/>
      <sheetName val="Valuation"/>
      <sheetName val="Scenarios"/>
      <sheetName val="MWA RR"/>
      <sheetName val="Debt"/>
      <sheetName val="MW-Cache"/>
      <sheetName val="mwareDates"/>
      <sheetName val="mwareSettings"/>
      <sheetName val="MS vs. Guidance"/>
      <sheetName val="Facilities"/>
      <sheetName val="One Pager"/>
      <sheetName val="Quarterly Comps (2)"/>
      <sheetName val="Quarterly Comps"/>
      <sheetName val="Same Site"/>
      <sheetName val="What Changed"/>
      <sheetName val="M&amp;A"/>
      <sheetName val="Charts"/>
      <sheetName val="Notes"/>
      <sheetName val="#REF"/>
    </sheetNames>
    <sheetDataSet>
      <sheetData sheetId="0" refreshError="1"/>
      <sheetData sheetId="1" refreshError="1"/>
      <sheetData sheetId="2" refreshError="1"/>
      <sheetData sheetId="3" refreshError="1"/>
      <sheetData sheetId="4" refreshError="1">
        <row r="1">
          <cell r="A1" t="str">
            <v>Tenet Health</v>
          </cell>
          <cell r="DW1" t="str">
            <v>ElementName</v>
          </cell>
          <cell r="DX1" t="str">
            <v>ScaleOverride</v>
          </cell>
          <cell r="DY1" t="str">
            <v>UnitOverride</v>
          </cell>
          <cell r="DZ1" t="str">
            <v>ReverseSign</v>
          </cell>
          <cell r="EA1" t="str">
            <v>IsDrivingAssumption</v>
          </cell>
        </row>
        <row r="2">
          <cell r="A2" t="str">
            <v>Andrew Schenker (212) 761-6857</v>
          </cell>
        </row>
        <row r="3">
          <cell r="A3" t="str">
            <v>Balance Sheet &amp; Cash Flow Statement</v>
          </cell>
        </row>
        <row r="4">
          <cell r="B4" t="str">
            <v>Fiscal Year ends December 31</v>
          </cell>
          <cell r="D4">
            <v>34577</v>
          </cell>
          <cell r="E4">
            <v>34668</v>
          </cell>
          <cell r="F4">
            <v>34758</v>
          </cell>
          <cell r="G4">
            <v>34850</v>
          </cell>
          <cell r="I4">
            <v>34942</v>
          </cell>
          <cell r="J4">
            <v>35033</v>
          </cell>
          <cell r="K4">
            <v>35123</v>
          </cell>
          <cell r="L4">
            <v>35216</v>
          </cell>
          <cell r="N4">
            <v>35308</v>
          </cell>
          <cell r="O4">
            <v>35399</v>
          </cell>
          <cell r="P4">
            <v>35489</v>
          </cell>
          <cell r="Q4">
            <v>35581</v>
          </cell>
          <cell r="S4">
            <v>35673</v>
          </cell>
          <cell r="T4">
            <v>35764</v>
          </cell>
          <cell r="U4">
            <v>35854</v>
          </cell>
          <cell r="V4">
            <v>35946</v>
          </cell>
          <cell r="X4">
            <v>36038</v>
          </cell>
          <cell r="Y4">
            <v>36129</v>
          </cell>
          <cell r="Z4">
            <v>36219</v>
          </cell>
          <cell r="AA4">
            <v>36311</v>
          </cell>
          <cell r="AC4">
            <v>36403</v>
          </cell>
          <cell r="AD4">
            <v>36494</v>
          </cell>
          <cell r="AE4">
            <v>36584</v>
          </cell>
          <cell r="AF4">
            <v>36677</v>
          </cell>
          <cell r="AH4">
            <v>36769</v>
          </cell>
          <cell r="AI4">
            <v>36860</v>
          </cell>
          <cell r="AJ4">
            <v>36950</v>
          </cell>
          <cell r="AK4">
            <v>37042</v>
          </cell>
          <cell r="AM4">
            <v>37134</v>
          </cell>
          <cell r="AN4">
            <v>37225</v>
          </cell>
          <cell r="AO4">
            <v>37315</v>
          </cell>
          <cell r="AP4">
            <v>37407</v>
          </cell>
          <cell r="AR4">
            <v>37499</v>
          </cell>
          <cell r="AS4">
            <v>37590</v>
          </cell>
          <cell r="AT4">
            <v>37680</v>
          </cell>
          <cell r="AV4">
            <v>37346</v>
          </cell>
          <cell r="AW4">
            <v>37437</v>
          </cell>
          <cell r="AX4">
            <v>37529</v>
          </cell>
          <cell r="AY4">
            <v>37621</v>
          </cell>
          <cell r="BA4">
            <v>37711</v>
          </cell>
          <cell r="BB4">
            <v>37802</v>
          </cell>
          <cell r="BC4">
            <v>37894</v>
          </cell>
          <cell r="BD4">
            <v>37986</v>
          </cell>
          <cell r="BF4">
            <v>38077</v>
          </cell>
          <cell r="BG4">
            <v>38168</v>
          </cell>
          <cell r="BH4">
            <v>38260</v>
          </cell>
          <cell r="BI4">
            <v>38352</v>
          </cell>
          <cell r="BK4">
            <v>38442</v>
          </cell>
          <cell r="BL4">
            <v>38533</v>
          </cell>
          <cell r="BM4">
            <v>38625</v>
          </cell>
          <cell r="BN4">
            <v>38717</v>
          </cell>
          <cell r="BP4">
            <v>38807</v>
          </cell>
          <cell r="BQ4">
            <v>38898</v>
          </cell>
          <cell r="BR4">
            <v>38990</v>
          </cell>
          <cell r="BS4">
            <v>39082</v>
          </cell>
          <cell r="BU4">
            <v>39172</v>
          </cell>
          <cell r="BV4">
            <v>39263</v>
          </cell>
          <cell r="BW4">
            <v>39355</v>
          </cell>
          <cell r="BX4">
            <v>39447</v>
          </cell>
          <cell r="BZ4">
            <v>39538</v>
          </cell>
          <cell r="CA4">
            <v>39629</v>
          </cell>
          <cell r="CB4">
            <v>39721</v>
          </cell>
          <cell r="CC4">
            <v>39813</v>
          </cell>
          <cell r="CE4">
            <v>39903</v>
          </cell>
          <cell r="CF4">
            <v>39994</v>
          </cell>
          <cell r="CG4">
            <v>40086</v>
          </cell>
          <cell r="CH4">
            <v>40178</v>
          </cell>
          <cell r="CJ4">
            <v>40268</v>
          </cell>
          <cell r="CK4">
            <v>40359</v>
          </cell>
          <cell r="CL4">
            <v>40451</v>
          </cell>
          <cell r="CM4">
            <v>40543</v>
          </cell>
          <cell r="CO4">
            <v>40633</v>
          </cell>
          <cell r="CP4">
            <v>40724</v>
          </cell>
          <cell r="CQ4">
            <v>40816</v>
          </cell>
          <cell r="CR4">
            <v>40908</v>
          </cell>
          <cell r="CT4">
            <v>40999</v>
          </cell>
          <cell r="CU4">
            <v>41090</v>
          </cell>
          <cell r="CV4">
            <v>41182</v>
          </cell>
          <cell r="CW4">
            <v>41274</v>
          </cell>
          <cell r="CY4">
            <v>41364</v>
          </cell>
          <cell r="CZ4">
            <v>41455</v>
          </cell>
          <cell r="DA4">
            <v>41547</v>
          </cell>
          <cell r="DB4">
            <v>41639</v>
          </cell>
          <cell r="DD4">
            <v>41729</v>
          </cell>
          <cell r="DE4">
            <v>41820</v>
          </cell>
          <cell r="DF4">
            <v>41912</v>
          </cell>
          <cell r="DG4">
            <v>42004</v>
          </cell>
          <cell r="DI4">
            <v>42094</v>
          </cell>
          <cell r="DJ4">
            <v>42185</v>
          </cell>
          <cell r="DK4">
            <v>42277</v>
          </cell>
          <cell r="DL4">
            <v>42369</v>
          </cell>
          <cell r="DN4">
            <v>42460</v>
          </cell>
          <cell r="DO4">
            <v>42551</v>
          </cell>
          <cell r="DP4">
            <v>42643</v>
          </cell>
          <cell r="DQ4">
            <v>42735</v>
          </cell>
        </row>
        <row r="5">
          <cell r="B5" t="str">
            <v>($ Millions, except per share data)</v>
          </cell>
          <cell r="D5" t="str">
            <v>F1Q95A</v>
          </cell>
          <cell r="E5" t="str">
            <v>F2Q95A</v>
          </cell>
          <cell r="F5" t="str">
            <v>F3Q95A</v>
          </cell>
          <cell r="G5" t="str">
            <v>F4Q95A</v>
          </cell>
          <cell r="H5" t="str">
            <v>F1995A</v>
          </cell>
          <cell r="I5" t="str">
            <v>F1Q96A</v>
          </cell>
          <cell r="J5" t="str">
            <v>F2Q96A</v>
          </cell>
          <cell r="K5" t="str">
            <v>F3Q96A</v>
          </cell>
          <cell r="L5" t="str">
            <v>F4Q96A</v>
          </cell>
          <cell r="M5" t="str">
            <v>F1996A</v>
          </cell>
          <cell r="N5" t="str">
            <v>F1Q97A</v>
          </cell>
          <cell r="O5" t="str">
            <v>F2Q97A</v>
          </cell>
          <cell r="P5" t="str">
            <v>F3Q97A</v>
          </cell>
          <cell r="Q5" t="str">
            <v>F4Q97A</v>
          </cell>
          <cell r="R5" t="str">
            <v>F1997A</v>
          </cell>
          <cell r="S5" t="str">
            <v>F1Q98A</v>
          </cell>
          <cell r="T5" t="str">
            <v>F2Q98A</v>
          </cell>
          <cell r="U5" t="str">
            <v>F3Q98A</v>
          </cell>
          <cell r="V5" t="str">
            <v>F4Q98A</v>
          </cell>
          <cell r="W5" t="str">
            <v>F1998A</v>
          </cell>
          <cell r="X5" t="str">
            <v>F1Q99A</v>
          </cell>
          <cell r="Y5" t="str">
            <v>F2Q99A</v>
          </cell>
          <cell r="Z5" t="str">
            <v>F3Q99A</v>
          </cell>
          <cell r="AA5" t="str">
            <v>F4Q99A</v>
          </cell>
          <cell r="AB5" t="str">
            <v>F1999A</v>
          </cell>
          <cell r="AC5" t="str">
            <v>F1Q00A</v>
          </cell>
          <cell r="AD5" t="str">
            <v>F2Q00A</v>
          </cell>
          <cell r="AE5" t="str">
            <v>F3Q00A</v>
          </cell>
          <cell r="AF5" t="str">
            <v>F4Q00A</v>
          </cell>
          <cell r="AG5" t="str">
            <v>F2000A</v>
          </cell>
          <cell r="AH5" t="str">
            <v>F1Q01A</v>
          </cell>
          <cell r="AI5" t="str">
            <v>F2Q01A</v>
          </cell>
          <cell r="AJ5" t="str">
            <v>F3Q01A</v>
          </cell>
          <cell r="AK5" t="str">
            <v>F4Q01A</v>
          </cell>
          <cell r="AL5" t="str">
            <v>F2001A</v>
          </cell>
          <cell r="AM5" t="str">
            <v>F1Q02A</v>
          </cell>
          <cell r="AN5" t="str">
            <v>F2Q02A</v>
          </cell>
          <cell r="AO5" t="str">
            <v>F3Q02A</v>
          </cell>
          <cell r="AP5" t="str">
            <v>F4Q02A</v>
          </cell>
          <cell r="AQ5" t="str">
            <v>F2002A</v>
          </cell>
          <cell r="AR5" t="str">
            <v>F1Q03A</v>
          </cell>
          <cell r="AS5" t="str">
            <v>F2Q03A</v>
          </cell>
          <cell r="AT5" t="str">
            <v>F3Q03A</v>
          </cell>
          <cell r="AV5" t="str">
            <v>1Q02A</v>
          </cell>
          <cell r="AW5" t="str">
            <v>2Q02A</v>
          </cell>
          <cell r="AX5" t="str">
            <v>3Q02A</v>
          </cell>
          <cell r="AY5" t="str">
            <v>4Q02A</v>
          </cell>
          <cell r="AZ5" t="str">
            <v>2002A</v>
          </cell>
          <cell r="BA5" t="str">
            <v>1Q03A</v>
          </cell>
          <cell r="BB5" t="str">
            <v>2Q03A</v>
          </cell>
          <cell r="BC5" t="str">
            <v>3Q03A</v>
          </cell>
          <cell r="BD5" t="str">
            <v>4Q03A</v>
          </cell>
          <cell r="BE5" t="str">
            <v>2003A</v>
          </cell>
          <cell r="BF5" t="str">
            <v>1Q04A</v>
          </cell>
          <cell r="BG5" t="str">
            <v>2Q04A</v>
          </cell>
          <cell r="BH5" t="str">
            <v>3Q04A</v>
          </cell>
          <cell r="BI5" t="str">
            <v>4Q04A</v>
          </cell>
          <cell r="BJ5" t="str">
            <v>2004A</v>
          </cell>
          <cell r="BK5" t="str">
            <v>1Q05A</v>
          </cell>
          <cell r="BL5" t="str">
            <v>2Q05A</v>
          </cell>
          <cell r="BM5" t="str">
            <v>3Q05A</v>
          </cell>
          <cell r="BN5" t="str">
            <v>4Q05A</v>
          </cell>
          <cell r="BO5" t="str">
            <v>2005A</v>
          </cell>
          <cell r="BP5" t="str">
            <v>1Q06A</v>
          </cell>
          <cell r="BQ5" t="str">
            <v>2Q06A</v>
          </cell>
          <cell r="BR5" t="str">
            <v>3Q06A</v>
          </cell>
          <cell r="BS5" t="str">
            <v>4Q06A</v>
          </cell>
          <cell r="BT5" t="str">
            <v>2006A</v>
          </cell>
          <cell r="BU5" t="str">
            <v>1Q07A</v>
          </cell>
          <cell r="BV5" t="str">
            <v>2Q07A</v>
          </cell>
          <cell r="BW5" t="str">
            <v>3Q07A</v>
          </cell>
          <cell r="BX5" t="str">
            <v>4Q07A</v>
          </cell>
          <cell r="BY5" t="str">
            <v>2007A</v>
          </cell>
          <cell r="BZ5" t="str">
            <v>1Q08A</v>
          </cell>
          <cell r="CA5" t="str">
            <v>2Q08A</v>
          </cell>
          <cell r="CB5" t="str">
            <v>3Q08A</v>
          </cell>
          <cell r="CC5" t="str">
            <v>4Q08A</v>
          </cell>
          <cell r="CD5" t="str">
            <v>2008A</v>
          </cell>
          <cell r="CE5" t="str">
            <v>1Q09A</v>
          </cell>
          <cell r="CF5" t="str">
            <v>2Q09A</v>
          </cell>
          <cell r="CG5" t="str">
            <v>3Q09A</v>
          </cell>
          <cell r="CH5" t="str">
            <v>4Q09A</v>
          </cell>
          <cell r="CI5" t="str">
            <v>2009A</v>
          </cell>
          <cell r="CJ5" t="str">
            <v>1Q10A</v>
          </cell>
          <cell r="CK5" t="str">
            <v>2Q10A</v>
          </cell>
          <cell r="CL5" t="str">
            <v>3Q10A</v>
          </cell>
          <cell r="CM5" t="str">
            <v>4Q10A</v>
          </cell>
          <cell r="CN5" t="str">
            <v>2010A</v>
          </cell>
          <cell r="CO5" t="str">
            <v>1Q11A</v>
          </cell>
          <cell r="CP5" t="str">
            <v>2Q11A</v>
          </cell>
          <cell r="CQ5" t="str">
            <v>3Q11A</v>
          </cell>
          <cell r="CR5" t="str">
            <v>4Q11A</v>
          </cell>
          <cell r="CS5" t="str">
            <v>2011A</v>
          </cell>
          <cell r="CT5" t="str">
            <v>1Q12A</v>
          </cell>
          <cell r="CU5" t="str">
            <v>2Q12A</v>
          </cell>
          <cell r="CV5" t="str">
            <v>3Q12A</v>
          </cell>
          <cell r="CW5" t="str">
            <v>4Q12E</v>
          </cell>
          <cell r="CX5" t="str">
            <v>2012E</v>
          </cell>
          <cell r="CY5" t="str">
            <v>1Q13E</v>
          </cell>
          <cell r="CZ5" t="str">
            <v>2Q13E</v>
          </cell>
          <cell r="DA5" t="str">
            <v>3Q13E</v>
          </cell>
          <cell r="DB5" t="str">
            <v>4Q13E</v>
          </cell>
          <cell r="DC5" t="str">
            <v>2013E</v>
          </cell>
          <cell r="DD5" t="str">
            <v>1Q14E</v>
          </cell>
          <cell r="DE5" t="str">
            <v>2Q14E</v>
          </cell>
          <cell r="DF5" t="str">
            <v>3Q14E</v>
          </cell>
          <cell r="DG5" t="str">
            <v>4Q14E</v>
          </cell>
          <cell r="DH5" t="str">
            <v>2014E</v>
          </cell>
          <cell r="DI5" t="str">
            <v>1Q15E</v>
          </cell>
          <cell r="DJ5" t="str">
            <v>2Q15E</v>
          </cell>
          <cell r="DK5" t="str">
            <v>3Q15E</v>
          </cell>
          <cell r="DL5" t="str">
            <v>4Q15E</v>
          </cell>
          <cell r="DM5" t="str">
            <v>2015E</v>
          </cell>
          <cell r="DN5" t="str">
            <v>1Q16E</v>
          </cell>
          <cell r="DO5" t="str">
            <v>2Q16E</v>
          </cell>
          <cell r="DP5" t="str">
            <v>3Q16E</v>
          </cell>
          <cell r="DQ5" t="str">
            <v>4Q16E</v>
          </cell>
          <cell r="DR5" t="str">
            <v>2016E</v>
          </cell>
        </row>
        <row r="6">
          <cell r="B6" t="str">
            <v>Cash &amp; equivalents</v>
          </cell>
          <cell r="D6">
            <v>112.304</v>
          </cell>
          <cell r="E6">
            <v>131.80000000000001</v>
          </cell>
          <cell r="F6">
            <v>144.5</v>
          </cell>
          <cell r="G6">
            <v>155</v>
          </cell>
          <cell r="H6">
            <v>155</v>
          </cell>
          <cell r="I6">
            <v>106.4</v>
          </cell>
          <cell r="J6">
            <v>98.8</v>
          </cell>
          <cell r="K6">
            <v>114.2</v>
          </cell>
          <cell r="L6">
            <v>89</v>
          </cell>
          <cell r="M6">
            <v>89</v>
          </cell>
          <cell r="N6">
            <v>104.1</v>
          </cell>
          <cell r="O6">
            <v>56.8</v>
          </cell>
          <cell r="P6">
            <v>61.3</v>
          </cell>
          <cell r="Q6">
            <v>35</v>
          </cell>
          <cell r="R6">
            <v>35</v>
          </cell>
          <cell r="S6">
            <v>103</v>
          </cell>
          <cell r="T6">
            <v>14</v>
          </cell>
          <cell r="U6">
            <v>17</v>
          </cell>
          <cell r="V6">
            <v>23</v>
          </cell>
          <cell r="W6">
            <v>23</v>
          </cell>
          <cell r="X6">
            <v>21</v>
          </cell>
          <cell r="Y6">
            <v>32</v>
          </cell>
          <cell r="Z6">
            <v>61</v>
          </cell>
          <cell r="AA6">
            <v>29</v>
          </cell>
          <cell r="AB6">
            <v>29</v>
          </cell>
          <cell r="AC6">
            <v>24</v>
          </cell>
          <cell r="AD6">
            <v>31</v>
          </cell>
          <cell r="AE6">
            <v>38</v>
          </cell>
          <cell r="AF6">
            <v>135</v>
          </cell>
          <cell r="AG6">
            <v>135</v>
          </cell>
          <cell r="AH6">
            <v>83</v>
          </cell>
          <cell r="AI6">
            <v>82</v>
          </cell>
          <cell r="AJ6">
            <v>57</v>
          </cell>
          <cell r="AK6">
            <v>62</v>
          </cell>
          <cell r="AL6">
            <v>62</v>
          </cell>
          <cell r="AM6">
            <v>66</v>
          </cell>
          <cell r="AN6">
            <v>63</v>
          </cell>
          <cell r="AO6">
            <v>52</v>
          </cell>
          <cell r="AP6">
            <v>38</v>
          </cell>
          <cell r="AQ6">
            <v>38</v>
          </cell>
          <cell r="AR6">
            <v>42</v>
          </cell>
          <cell r="AS6">
            <v>40</v>
          </cell>
          <cell r="AT6">
            <v>118</v>
          </cell>
          <cell r="AY6">
            <v>210</v>
          </cell>
          <cell r="AZ6">
            <v>210</v>
          </cell>
          <cell r="BA6">
            <v>135</v>
          </cell>
          <cell r="BB6">
            <v>221</v>
          </cell>
          <cell r="BC6">
            <v>219</v>
          </cell>
          <cell r="BD6">
            <v>619</v>
          </cell>
          <cell r="BE6">
            <v>619</v>
          </cell>
          <cell r="BF6">
            <v>507</v>
          </cell>
          <cell r="BG6">
            <v>1193</v>
          </cell>
          <cell r="BH6">
            <v>1323</v>
          </cell>
          <cell r="BI6">
            <v>654</v>
          </cell>
          <cell r="BJ6">
            <v>654</v>
          </cell>
          <cell r="BK6">
            <v>1497</v>
          </cell>
          <cell r="BL6">
            <v>1594</v>
          </cell>
          <cell r="BM6">
            <v>1480</v>
          </cell>
          <cell r="BN6">
            <v>1373</v>
          </cell>
          <cell r="BO6">
            <v>1373</v>
          </cell>
          <cell r="BP6">
            <v>975</v>
          </cell>
          <cell r="BQ6">
            <v>568</v>
          </cell>
          <cell r="BR6">
            <v>809</v>
          </cell>
          <cell r="BS6">
            <v>784</v>
          </cell>
          <cell r="BT6">
            <v>784</v>
          </cell>
          <cell r="BU6">
            <v>584</v>
          </cell>
          <cell r="BV6">
            <v>675</v>
          </cell>
          <cell r="BW6">
            <v>655</v>
          </cell>
          <cell r="BX6">
            <v>572</v>
          </cell>
          <cell r="BY6">
            <v>572</v>
          </cell>
          <cell r="BZ6">
            <v>278</v>
          </cell>
          <cell r="CA6">
            <v>352</v>
          </cell>
          <cell r="CB6">
            <v>512</v>
          </cell>
          <cell r="CC6">
            <v>507</v>
          </cell>
          <cell r="CD6">
            <v>507</v>
          </cell>
          <cell r="CE6">
            <v>652</v>
          </cell>
          <cell r="CF6">
            <v>758</v>
          </cell>
          <cell r="CG6">
            <v>731</v>
          </cell>
          <cell r="CH6">
            <v>690</v>
          </cell>
          <cell r="CI6">
            <v>690</v>
          </cell>
          <cell r="CJ6">
            <v>589</v>
          </cell>
          <cell r="CK6">
            <v>711</v>
          </cell>
          <cell r="CL6">
            <v>398</v>
          </cell>
          <cell r="CM6">
            <v>405</v>
          </cell>
          <cell r="CN6">
            <v>405</v>
          </cell>
          <cell r="CO6">
            <v>267</v>
          </cell>
          <cell r="CP6">
            <v>264</v>
          </cell>
          <cell r="CQ6">
            <v>185</v>
          </cell>
          <cell r="CR6">
            <v>113</v>
          </cell>
          <cell r="CS6">
            <v>113</v>
          </cell>
          <cell r="CT6">
            <v>104</v>
          </cell>
          <cell r="CU6">
            <v>82</v>
          </cell>
          <cell r="CV6">
            <v>83</v>
          </cell>
          <cell r="CW6">
            <v>796.82228946500527</v>
          </cell>
          <cell r="CX6">
            <v>796.82228946500527</v>
          </cell>
          <cell r="CY6">
            <v>783.09228910018987</v>
          </cell>
          <cell r="CZ6">
            <v>769.23666195178066</v>
          </cell>
          <cell r="DA6">
            <v>839.28021903822992</v>
          </cell>
          <cell r="DB6">
            <v>884.64004628611724</v>
          </cell>
          <cell r="DC6">
            <v>884.64004628611724</v>
          </cell>
          <cell r="DD6">
            <v>966.5373346218272</v>
          </cell>
          <cell r="DE6">
            <v>1044.4510110641747</v>
          </cell>
          <cell r="DF6">
            <v>1134.5089576312018</v>
          </cell>
          <cell r="DG6">
            <v>1201.8013582555388</v>
          </cell>
          <cell r="DH6">
            <v>1201.8013582555388</v>
          </cell>
          <cell r="DI6">
            <v>1277.0659881994259</v>
          </cell>
          <cell r="DJ6">
            <v>1374.9116760549289</v>
          </cell>
          <cell r="DK6">
            <v>1474.4716766419272</v>
          </cell>
          <cell r="DL6">
            <v>1552.1664041042404</v>
          </cell>
          <cell r="DM6">
            <v>1552.1664041042404</v>
          </cell>
          <cell r="DN6">
            <v>1648.0680635609963</v>
          </cell>
          <cell r="DO6">
            <v>1754.0319682984241</v>
          </cell>
          <cell r="DP6">
            <v>1868.2875538976209</v>
          </cell>
          <cell r="DQ6">
            <v>1958.9258047039511</v>
          </cell>
          <cell r="DR6">
            <v>1958.9258047039511</v>
          </cell>
          <cell r="DW6" t="str">
            <v>mstag:cashAndCashEquivalents</v>
          </cell>
          <cell r="DX6">
            <v>6</v>
          </cell>
          <cell r="DY6" t="str">
            <v>ISO4217:USD</v>
          </cell>
          <cell r="DZ6" t="b">
            <v>0</v>
          </cell>
        </row>
        <row r="7">
          <cell r="B7" t="str">
            <v>Restricted cash</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C7">
            <v>0</v>
          </cell>
          <cell r="AD7">
            <v>0</v>
          </cell>
          <cell r="AE7">
            <v>0</v>
          </cell>
          <cell r="AF7">
            <v>0</v>
          </cell>
          <cell r="AH7">
            <v>0</v>
          </cell>
          <cell r="AI7">
            <v>0</v>
          </cell>
          <cell r="AJ7">
            <v>0</v>
          </cell>
          <cell r="AK7">
            <v>0</v>
          </cell>
          <cell r="AL7">
            <v>0</v>
          </cell>
          <cell r="AM7">
            <v>0</v>
          </cell>
          <cell r="AN7">
            <v>0</v>
          </cell>
          <cell r="AO7">
            <v>0</v>
          </cell>
          <cell r="AP7">
            <v>0</v>
          </cell>
          <cell r="AQ7">
            <v>0</v>
          </cell>
          <cell r="AR7">
            <v>0</v>
          </cell>
          <cell r="AS7">
            <v>0</v>
          </cell>
          <cell r="AT7">
            <v>0</v>
          </cell>
          <cell r="AY7">
            <v>0</v>
          </cell>
          <cell r="AZ7">
            <v>0</v>
          </cell>
          <cell r="BA7">
            <v>0</v>
          </cell>
          <cell r="BB7">
            <v>0</v>
          </cell>
          <cell r="BC7">
            <v>0</v>
          </cell>
          <cell r="BD7">
            <v>0</v>
          </cell>
          <cell r="BE7">
            <v>0</v>
          </cell>
          <cell r="BF7">
            <v>0</v>
          </cell>
          <cell r="BG7">
            <v>0</v>
          </cell>
          <cell r="BH7">
            <v>0</v>
          </cell>
          <cell r="BI7">
            <v>263</v>
          </cell>
          <cell r="BJ7">
            <v>263</v>
          </cell>
          <cell r="BK7">
            <v>263</v>
          </cell>
          <cell r="BL7">
            <v>263</v>
          </cell>
          <cell r="BM7">
            <v>263</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B7">
            <v>48</v>
          </cell>
          <cell r="CC7">
            <v>14</v>
          </cell>
          <cell r="CD7">
            <v>14</v>
          </cell>
          <cell r="CE7">
            <v>6</v>
          </cell>
          <cell r="CF7">
            <v>6</v>
          </cell>
          <cell r="CG7">
            <v>3</v>
          </cell>
          <cell r="CH7">
            <v>2</v>
          </cell>
          <cell r="CI7">
            <v>2</v>
          </cell>
          <cell r="CJ7">
            <v>2</v>
          </cell>
          <cell r="CK7">
            <v>1</v>
          </cell>
          <cell r="CL7">
            <v>1</v>
          </cell>
          <cell r="CM7">
            <v>1</v>
          </cell>
          <cell r="CN7">
            <v>1</v>
          </cell>
          <cell r="CO7">
            <v>2</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W7" t="str">
            <v>mstag:shortTermInvestments</v>
          </cell>
          <cell r="DX7">
            <v>6</v>
          </cell>
          <cell r="DY7" t="str">
            <v>ISO4217:USD</v>
          </cell>
          <cell r="DZ7" t="b">
            <v>0</v>
          </cell>
        </row>
        <row r="8">
          <cell r="B8" t="str">
            <v>Investments in securities</v>
          </cell>
          <cell r="D8">
            <v>52.53</v>
          </cell>
          <cell r="E8">
            <v>51.4</v>
          </cell>
          <cell r="F8">
            <v>51.6</v>
          </cell>
          <cell r="G8">
            <v>139</v>
          </cell>
          <cell r="H8">
            <v>139</v>
          </cell>
          <cell r="I8">
            <v>135.6</v>
          </cell>
          <cell r="J8">
            <v>135.19999999999999</v>
          </cell>
          <cell r="K8">
            <v>129.5</v>
          </cell>
          <cell r="L8">
            <v>112</v>
          </cell>
          <cell r="M8">
            <v>112</v>
          </cell>
          <cell r="N8">
            <v>105.2</v>
          </cell>
          <cell r="O8">
            <v>103.1</v>
          </cell>
          <cell r="P8">
            <v>111.8</v>
          </cell>
          <cell r="Q8">
            <v>116</v>
          </cell>
          <cell r="R8">
            <v>116</v>
          </cell>
          <cell r="S8">
            <v>119</v>
          </cell>
          <cell r="T8">
            <v>125</v>
          </cell>
          <cell r="U8">
            <v>132</v>
          </cell>
          <cell r="V8">
            <v>132</v>
          </cell>
          <cell r="W8">
            <v>132</v>
          </cell>
          <cell r="X8">
            <v>135</v>
          </cell>
          <cell r="Y8">
            <v>139</v>
          </cell>
          <cell r="Z8">
            <v>130</v>
          </cell>
          <cell r="AA8">
            <v>130</v>
          </cell>
          <cell r="AB8">
            <v>130</v>
          </cell>
          <cell r="AC8">
            <v>119</v>
          </cell>
          <cell r="AD8">
            <v>123</v>
          </cell>
          <cell r="AE8">
            <v>111</v>
          </cell>
          <cell r="AF8">
            <v>110</v>
          </cell>
          <cell r="AG8">
            <v>110</v>
          </cell>
          <cell r="AH8">
            <v>106</v>
          </cell>
          <cell r="AI8">
            <v>105</v>
          </cell>
          <cell r="AJ8">
            <v>112</v>
          </cell>
          <cell r="AK8">
            <v>104</v>
          </cell>
          <cell r="AL8">
            <v>104</v>
          </cell>
          <cell r="AM8">
            <v>103</v>
          </cell>
          <cell r="AN8">
            <v>103</v>
          </cell>
          <cell r="AO8">
            <v>110</v>
          </cell>
          <cell r="AP8">
            <v>100</v>
          </cell>
          <cell r="AQ8">
            <v>100</v>
          </cell>
          <cell r="AR8">
            <v>102</v>
          </cell>
          <cell r="AS8">
            <v>90</v>
          </cell>
          <cell r="AT8">
            <v>97</v>
          </cell>
          <cell r="AY8">
            <v>85</v>
          </cell>
          <cell r="AZ8">
            <v>85</v>
          </cell>
          <cell r="BA8">
            <v>95</v>
          </cell>
          <cell r="BB8">
            <v>103</v>
          </cell>
          <cell r="BC8">
            <v>103</v>
          </cell>
          <cell r="BD8">
            <v>123</v>
          </cell>
          <cell r="BE8">
            <v>123</v>
          </cell>
          <cell r="BF8">
            <v>134</v>
          </cell>
          <cell r="BG8">
            <v>123</v>
          </cell>
          <cell r="BH8">
            <v>122</v>
          </cell>
          <cell r="BI8">
            <v>117</v>
          </cell>
          <cell r="BJ8">
            <v>117</v>
          </cell>
          <cell r="BK8">
            <v>112</v>
          </cell>
          <cell r="BL8">
            <v>75</v>
          </cell>
          <cell r="BM8">
            <v>65</v>
          </cell>
          <cell r="BN8">
            <v>5</v>
          </cell>
          <cell r="BO8">
            <v>5</v>
          </cell>
          <cell r="BP8">
            <v>10</v>
          </cell>
          <cell r="BQ8">
            <v>11</v>
          </cell>
          <cell r="BR8">
            <v>15</v>
          </cell>
          <cell r="BS8">
            <v>39</v>
          </cell>
          <cell r="BT8">
            <v>39</v>
          </cell>
          <cell r="BU8">
            <v>38</v>
          </cell>
          <cell r="BV8">
            <v>39</v>
          </cell>
          <cell r="BW8">
            <v>34</v>
          </cell>
          <cell r="BX8">
            <v>20</v>
          </cell>
          <cell r="BY8">
            <v>20</v>
          </cell>
          <cell r="BZ8">
            <v>14</v>
          </cell>
          <cell r="CA8">
            <v>8</v>
          </cell>
          <cell r="CB8">
            <v>0</v>
          </cell>
          <cell r="CC8">
            <v>2</v>
          </cell>
          <cell r="CD8">
            <v>2</v>
          </cell>
          <cell r="CE8">
            <v>1</v>
          </cell>
          <cell r="CF8">
            <v>3</v>
          </cell>
          <cell r="CG8">
            <v>16</v>
          </cell>
          <cell r="CH8">
            <v>11</v>
          </cell>
          <cell r="CI8">
            <v>11</v>
          </cell>
          <cell r="CJ8">
            <v>2</v>
          </cell>
          <cell r="CK8">
            <v>1</v>
          </cell>
          <cell r="CL8">
            <v>1</v>
          </cell>
          <cell r="CM8">
            <v>0</v>
          </cell>
          <cell r="CN8">
            <v>0</v>
          </cell>
          <cell r="CO8">
            <v>1</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N8">
            <v>0</v>
          </cell>
          <cell r="DO8">
            <v>0</v>
          </cell>
          <cell r="DP8">
            <v>0</v>
          </cell>
          <cell r="DQ8">
            <v>0</v>
          </cell>
          <cell r="DR8">
            <v>0</v>
          </cell>
          <cell r="DW8" t="str">
            <v>mstag:shortTermInvestments</v>
          </cell>
          <cell r="DX8">
            <v>6</v>
          </cell>
          <cell r="DY8" t="str">
            <v>ISO4217:USD</v>
          </cell>
          <cell r="DZ8" t="b">
            <v>0</v>
          </cell>
        </row>
        <row r="9">
          <cell r="B9" t="str">
            <v>Accounts receivable, gross</v>
          </cell>
          <cell r="D9">
            <v>440.09100000000001</v>
          </cell>
          <cell r="E9">
            <v>478.59999999999997</v>
          </cell>
          <cell r="F9">
            <v>482.40000000000003</v>
          </cell>
          <cell r="G9">
            <v>749</v>
          </cell>
          <cell r="H9">
            <v>749</v>
          </cell>
          <cell r="I9">
            <v>769.59999999999991</v>
          </cell>
          <cell r="J9">
            <v>892.30000000000007</v>
          </cell>
          <cell r="K9">
            <v>958.7</v>
          </cell>
          <cell r="L9">
            <v>994</v>
          </cell>
          <cell r="M9">
            <v>994</v>
          </cell>
          <cell r="N9">
            <v>1039.5999999999999</v>
          </cell>
          <cell r="O9">
            <v>1188.5</v>
          </cell>
          <cell r="P9">
            <v>1576.7</v>
          </cell>
          <cell r="Q9">
            <v>1570</v>
          </cell>
          <cell r="R9">
            <v>1570</v>
          </cell>
          <cell r="S9">
            <v>1583</v>
          </cell>
          <cell r="T9">
            <v>1774</v>
          </cell>
          <cell r="U9">
            <v>1929</v>
          </cell>
          <cell r="V9">
            <v>1933</v>
          </cell>
          <cell r="W9">
            <v>1933</v>
          </cell>
          <cell r="X9">
            <v>2067</v>
          </cell>
          <cell r="Y9">
            <v>2247</v>
          </cell>
          <cell r="Z9">
            <v>2547</v>
          </cell>
          <cell r="AA9">
            <v>2605</v>
          </cell>
          <cell r="AB9">
            <v>2605</v>
          </cell>
          <cell r="AC9">
            <v>2741</v>
          </cell>
          <cell r="AD9">
            <v>2761</v>
          </cell>
          <cell r="AE9">
            <v>2930</v>
          </cell>
          <cell r="AF9">
            <v>2864</v>
          </cell>
          <cell r="AG9">
            <v>2864</v>
          </cell>
          <cell r="AH9">
            <v>2870</v>
          </cell>
          <cell r="AI9">
            <v>2899</v>
          </cell>
          <cell r="AJ9">
            <v>2994</v>
          </cell>
          <cell r="AK9">
            <v>2719</v>
          </cell>
          <cell r="AL9">
            <v>2719</v>
          </cell>
          <cell r="AM9">
            <v>2687</v>
          </cell>
          <cell r="AN9">
            <v>2702</v>
          </cell>
          <cell r="AO9">
            <v>2792</v>
          </cell>
          <cell r="AP9">
            <v>2740</v>
          </cell>
          <cell r="AQ9">
            <v>2740</v>
          </cell>
          <cell r="AR9">
            <v>2808</v>
          </cell>
          <cell r="AS9">
            <v>2934</v>
          </cell>
          <cell r="AT9">
            <v>3004</v>
          </cell>
          <cell r="AY9">
            <v>2940</v>
          </cell>
          <cell r="AZ9">
            <v>2940</v>
          </cell>
          <cell r="BA9">
            <v>3090</v>
          </cell>
          <cell r="BB9">
            <v>3018</v>
          </cell>
          <cell r="BC9">
            <v>2965</v>
          </cell>
          <cell r="BD9">
            <v>2915</v>
          </cell>
          <cell r="BE9">
            <v>2915</v>
          </cell>
          <cell r="BF9">
            <v>2861</v>
          </cell>
          <cell r="BG9">
            <v>2767</v>
          </cell>
          <cell r="BH9">
            <v>2591</v>
          </cell>
          <cell r="BI9">
            <v>2386</v>
          </cell>
          <cell r="BJ9">
            <v>2386</v>
          </cell>
          <cell r="BK9">
            <v>2274</v>
          </cell>
          <cell r="BL9">
            <v>2141</v>
          </cell>
          <cell r="BM9">
            <v>2165</v>
          </cell>
          <cell r="BN9">
            <v>2119</v>
          </cell>
          <cell r="BO9">
            <v>2119</v>
          </cell>
          <cell r="BP9">
            <v>2159</v>
          </cell>
          <cell r="BQ9">
            <v>2003</v>
          </cell>
          <cell r="BR9">
            <v>1952</v>
          </cell>
          <cell r="BS9">
            <v>1911</v>
          </cell>
          <cell r="BT9">
            <v>1911</v>
          </cell>
          <cell r="BU9">
            <v>1910</v>
          </cell>
          <cell r="BV9">
            <v>1846</v>
          </cell>
          <cell r="BW9">
            <v>1832</v>
          </cell>
          <cell r="BX9">
            <v>1826</v>
          </cell>
          <cell r="BY9">
            <v>1826</v>
          </cell>
          <cell r="BZ9">
            <v>1896</v>
          </cell>
          <cell r="CA9">
            <v>1860</v>
          </cell>
          <cell r="CB9">
            <v>1754</v>
          </cell>
          <cell r="CC9">
            <v>1733</v>
          </cell>
          <cell r="CD9">
            <v>1733</v>
          </cell>
          <cell r="CE9">
            <v>1776</v>
          </cell>
          <cell r="CF9">
            <v>1632</v>
          </cell>
          <cell r="CG9">
            <v>1578</v>
          </cell>
          <cell r="CH9">
            <v>1527</v>
          </cell>
          <cell r="CI9">
            <v>1527</v>
          </cell>
          <cell r="CJ9">
            <v>1569</v>
          </cell>
          <cell r="CK9">
            <v>1524</v>
          </cell>
          <cell r="CL9">
            <v>1484</v>
          </cell>
          <cell r="CM9">
            <v>1495</v>
          </cell>
          <cell r="CN9">
            <v>1495</v>
          </cell>
          <cell r="CO9">
            <v>1596</v>
          </cell>
          <cell r="CP9">
            <v>1622</v>
          </cell>
          <cell r="CQ9">
            <v>1598</v>
          </cell>
          <cell r="CR9">
            <v>1675</v>
          </cell>
          <cell r="CS9">
            <v>1675</v>
          </cell>
          <cell r="CT9">
            <v>1797</v>
          </cell>
          <cell r="CU9">
            <v>1757</v>
          </cell>
          <cell r="CV9">
            <v>1740</v>
          </cell>
          <cell r="CW9">
            <v>1830.3887642386819</v>
          </cell>
          <cell r="CX9">
            <v>1830.3887642386819</v>
          </cell>
          <cell r="CY9">
            <v>1891.1636954016903</v>
          </cell>
          <cell r="CZ9">
            <v>1955.7549360780276</v>
          </cell>
          <cell r="DA9">
            <v>1985.4926317057389</v>
          </cell>
          <cell r="DB9">
            <v>2077.4271518124669</v>
          </cell>
          <cell r="DC9">
            <v>2077.4271518124669</v>
          </cell>
          <cell r="DD9">
            <v>2093.1548239732838</v>
          </cell>
          <cell r="DE9">
            <v>2086.6374913563022</v>
          </cell>
          <cell r="DF9">
            <v>2060.5622352016644</v>
          </cell>
          <cell r="DG9">
            <v>2108.1448919637346</v>
          </cell>
          <cell r="DH9">
            <v>2108.1448919637346</v>
          </cell>
          <cell r="DI9">
            <v>2141.4721101096993</v>
          </cell>
          <cell r="DJ9">
            <v>2100.1249852942969</v>
          </cell>
          <cell r="DK9">
            <v>2058.7943754082426</v>
          </cell>
          <cell r="DL9">
            <v>2099.8390966216252</v>
          </cell>
          <cell r="DM9">
            <v>2099.8390966216252</v>
          </cell>
          <cell r="DN9">
            <v>2118.8011303829803</v>
          </cell>
          <cell r="DO9">
            <v>2086.0865664848166</v>
          </cell>
          <cell r="DP9">
            <v>2038.1776819267554</v>
          </cell>
          <cell r="DQ9">
            <v>2074.7395740073925</v>
          </cell>
          <cell r="DR9">
            <v>2074.7395740073925</v>
          </cell>
          <cell r="DW9" t="str">
            <v>mstag:tradeReceivablesGrossCurrent</v>
          </cell>
          <cell r="DX9">
            <v>6</v>
          </cell>
          <cell r="DY9" t="str">
            <v>ISO4217:USD</v>
          </cell>
          <cell r="DZ9" t="b">
            <v>0</v>
          </cell>
        </row>
        <row r="10">
          <cell r="B10" t="str">
            <v>Allowance for bad debt</v>
          </cell>
          <cell r="D10">
            <v>-67.247</v>
          </cell>
          <cell r="E10">
            <v>-67.2</v>
          </cell>
          <cell r="F10">
            <v>-71.3</v>
          </cell>
          <cell r="G10">
            <v>-184</v>
          </cell>
          <cell r="H10">
            <v>-184</v>
          </cell>
          <cell r="I10">
            <v>-167.8</v>
          </cell>
          <cell r="J10">
            <v>-161.1</v>
          </cell>
          <cell r="K10">
            <v>-154.1</v>
          </cell>
          <cell r="L10">
            <v>-156</v>
          </cell>
          <cell r="M10">
            <v>-156</v>
          </cell>
          <cell r="N10">
            <v>-154.80000000000001</v>
          </cell>
          <cell r="O10">
            <v>-182.2</v>
          </cell>
          <cell r="P10">
            <v>-228.4</v>
          </cell>
          <cell r="Q10">
            <v>-224</v>
          </cell>
          <cell r="R10">
            <v>-224</v>
          </cell>
          <cell r="S10">
            <v>-236</v>
          </cell>
          <cell r="T10">
            <v>-215</v>
          </cell>
          <cell r="U10">
            <v>-204</v>
          </cell>
          <cell r="V10">
            <v>-191</v>
          </cell>
          <cell r="W10">
            <v>-191</v>
          </cell>
          <cell r="X10">
            <v>-182</v>
          </cell>
          <cell r="Y10">
            <v>-203</v>
          </cell>
          <cell r="Z10">
            <v>-244</v>
          </cell>
          <cell r="AA10">
            <v>-287</v>
          </cell>
          <cell r="AB10">
            <v>-287</v>
          </cell>
          <cell r="AC10">
            <v>-317</v>
          </cell>
          <cell r="AD10">
            <v>-293</v>
          </cell>
          <cell r="AE10">
            <v>-361</v>
          </cell>
          <cell r="AF10">
            <v>-358</v>
          </cell>
          <cell r="AG10">
            <v>-358</v>
          </cell>
          <cell r="AH10">
            <v>-355</v>
          </cell>
          <cell r="AI10">
            <v>-354</v>
          </cell>
          <cell r="AJ10">
            <v>-347</v>
          </cell>
          <cell r="AK10">
            <v>-333</v>
          </cell>
          <cell r="AL10">
            <v>-333</v>
          </cell>
          <cell r="AM10">
            <v>-339</v>
          </cell>
          <cell r="AN10">
            <v>-325</v>
          </cell>
          <cell r="AO10">
            <v>-315</v>
          </cell>
          <cell r="AP10">
            <v>-315</v>
          </cell>
          <cell r="AQ10">
            <v>-315</v>
          </cell>
          <cell r="AR10">
            <v>-328</v>
          </cell>
          <cell r="AS10">
            <v>-350</v>
          </cell>
          <cell r="AT10">
            <v>-342</v>
          </cell>
          <cell r="AY10">
            <v>-350</v>
          </cell>
          <cell r="AZ10">
            <v>-350</v>
          </cell>
          <cell r="BA10">
            <v>-357</v>
          </cell>
          <cell r="BB10">
            <v>-351</v>
          </cell>
          <cell r="BC10">
            <v>-500</v>
          </cell>
          <cell r="BD10">
            <v>-500</v>
          </cell>
          <cell r="BE10">
            <v>-500</v>
          </cell>
          <cell r="BF10">
            <v>-514</v>
          </cell>
          <cell r="BG10">
            <v>-838</v>
          </cell>
          <cell r="BH10">
            <v>-800</v>
          </cell>
          <cell r="BI10">
            <v>-698</v>
          </cell>
          <cell r="BJ10">
            <v>-698</v>
          </cell>
          <cell r="BK10">
            <v>-683</v>
          </cell>
          <cell r="BL10">
            <v>-642</v>
          </cell>
          <cell r="BM10">
            <v>-642</v>
          </cell>
          <cell r="BN10">
            <v>-594</v>
          </cell>
          <cell r="BO10">
            <v>-594</v>
          </cell>
          <cell r="BP10">
            <v>-575</v>
          </cell>
          <cell r="BQ10">
            <v>-519</v>
          </cell>
          <cell r="BR10">
            <v>-499</v>
          </cell>
          <cell r="BS10">
            <v>-498</v>
          </cell>
          <cell r="BT10">
            <v>-498</v>
          </cell>
          <cell r="BU10">
            <v>-483</v>
          </cell>
          <cell r="BV10">
            <v>-483</v>
          </cell>
          <cell r="BW10">
            <v>-478</v>
          </cell>
          <cell r="BX10">
            <v>-441</v>
          </cell>
          <cell r="BY10">
            <v>-441</v>
          </cell>
          <cell r="BZ10">
            <v>-428</v>
          </cell>
          <cell r="CA10">
            <v>-410</v>
          </cell>
          <cell r="CB10">
            <v>-398</v>
          </cell>
          <cell r="CC10">
            <v>-396</v>
          </cell>
          <cell r="CD10">
            <v>-396</v>
          </cell>
          <cell r="CE10">
            <v>-391</v>
          </cell>
          <cell r="CF10">
            <v>-407</v>
          </cell>
          <cell r="CG10">
            <v>-383</v>
          </cell>
          <cell r="CH10">
            <v>-369</v>
          </cell>
          <cell r="CI10">
            <v>-369</v>
          </cell>
          <cell r="CJ10">
            <v>-361</v>
          </cell>
          <cell r="CK10">
            <v>-364</v>
          </cell>
          <cell r="CL10">
            <v>-355</v>
          </cell>
          <cell r="CM10">
            <v>-352</v>
          </cell>
          <cell r="CN10">
            <v>-352</v>
          </cell>
          <cell r="CO10">
            <v>-359</v>
          </cell>
          <cell r="CP10">
            <v>-364</v>
          </cell>
          <cell r="CQ10">
            <v>-377</v>
          </cell>
          <cell r="CR10">
            <v>-397</v>
          </cell>
          <cell r="CS10">
            <v>-397</v>
          </cell>
          <cell r="CT10">
            <v>-380</v>
          </cell>
          <cell r="CU10">
            <v>-401</v>
          </cell>
          <cell r="CV10">
            <v>-402</v>
          </cell>
          <cell r="CW10">
            <v>-457.85146299321082</v>
          </cell>
          <cell r="CX10">
            <v>-457.85146299321082</v>
          </cell>
          <cell r="CY10">
            <v>-502.57976795554816</v>
          </cell>
          <cell r="CZ10">
            <v>-545.93973979478278</v>
          </cell>
          <cell r="DA10">
            <v>-601.39236667300258</v>
          </cell>
          <cell r="DB10">
            <v>-656.68902529933212</v>
          </cell>
          <cell r="DC10">
            <v>-656.68902529933212</v>
          </cell>
          <cell r="DD10">
            <v>-644.77806942995448</v>
          </cell>
          <cell r="DE10">
            <v>-630.76542831227107</v>
          </cell>
          <cell r="DF10">
            <v>-632.94770755770708</v>
          </cell>
          <cell r="DG10">
            <v>-640.51803784677986</v>
          </cell>
          <cell r="DH10">
            <v>-640.51803784677986</v>
          </cell>
          <cell r="DI10">
            <v>-613.22839547204467</v>
          </cell>
          <cell r="DJ10">
            <v>-582.79828823012599</v>
          </cell>
          <cell r="DK10">
            <v>-571.12298942240773</v>
          </cell>
          <cell r="DL10">
            <v>-566.68679988946599</v>
          </cell>
          <cell r="DM10">
            <v>-566.68679988946599</v>
          </cell>
          <cell r="DN10">
            <v>-534.15431644289993</v>
          </cell>
          <cell r="DO10">
            <v>-499.13422816315295</v>
          </cell>
          <cell r="DP10">
            <v>-481.97165576777252</v>
          </cell>
          <cell r="DQ10">
            <v>-472.98667021713447</v>
          </cell>
          <cell r="DR10">
            <v>-472.98667021713447</v>
          </cell>
          <cell r="DW10" t="str">
            <v>mstag:allowanceForDoubtfulAccountsCurrent</v>
          </cell>
          <cell r="DX10">
            <v>6</v>
          </cell>
          <cell r="DY10" t="str">
            <v>ISO4217:USD</v>
          </cell>
          <cell r="DZ10" t="b">
            <v>1</v>
          </cell>
        </row>
        <row r="11">
          <cell r="B11" t="str">
            <v>Accounts receivable, net</v>
          </cell>
          <cell r="D11">
            <v>372.84399999999999</v>
          </cell>
          <cell r="E11">
            <v>411.4</v>
          </cell>
          <cell r="F11">
            <v>411.1</v>
          </cell>
          <cell r="G11">
            <v>565</v>
          </cell>
          <cell r="H11">
            <v>565</v>
          </cell>
          <cell r="I11">
            <v>601.79999999999995</v>
          </cell>
          <cell r="J11">
            <v>731.2</v>
          </cell>
          <cell r="K11">
            <v>804.6</v>
          </cell>
          <cell r="L11">
            <v>838</v>
          </cell>
          <cell r="M11">
            <v>838</v>
          </cell>
          <cell r="N11">
            <v>884.8</v>
          </cell>
          <cell r="O11">
            <v>1006.3</v>
          </cell>
          <cell r="P11">
            <v>1348.3</v>
          </cell>
          <cell r="Q11">
            <v>1346</v>
          </cell>
          <cell r="R11">
            <v>1346</v>
          </cell>
          <cell r="S11">
            <v>1347</v>
          </cell>
          <cell r="T11">
            <v>1559</v>
          </cell>
          <cell r="U11">
            <v>1725</v>
          </cell>
          <cell r="V11">
            <v>1742</v>
          </cell>
          <cell r="W11">
            <v>1742</v>
          </cell>
          <cell r="X11">
            <v>1885</v>
          </cell>
          <cell r="Y11">
            <v>2044</v>
          </cell>
          <cell r="Z11">
            <v>2303</v>
          </cell>
          <cell r="AA11">
            <v>2318</v>
          </cell>
          <cell r="AB11">
            <v>2318</v>
          </cell>
          <cell r="AC11">
            <v>2424</v>
          </cell>
          <cell r="AD11">
            <v>2468</v>
          </cell>
          <cell r="AE11">
            <v>2569</v>
          </cell>
          <cell r="AF11">
            <v>2506</v>
          </cell>
          <cell r="AG11">
            <v>2506</v>
          </cell>
          <cell r="AH11">
            <v>2515</v>
          </cell>
          <cell r="AI11">
            <v>2545</v>
          </cell>
          <cell r="AJ11">
            <v>2647</v>
          </cell>
          <cell r="AK11">
            <v>2386</v>
          </cell>
          <cell r="AL11">
            <v>2386</v>
          </cell>
          <cell r="AM11">
            <v>2348</v>
          </cell>
          <cell r="AN11">
            <v>2377</v>
          </cell>
          <cell r="AO11">
            <v>2477</v>
          </cell>
          <cell r="AP11">
            <v>2425</v>
          </cell>
          <cell r="AQ11">
            <v>2425</v>
          </cell>
          <cell r="AR11">
            <v>2480</v>
          </cell>
          <cell r="AS11">
            <v>2584</v>
          </cell>
          <cell r="AT11">
            <v>2662</v>
          </cell>
          <cell r="AY11">
            <v>2590</v>
          </cell>
          <cell r="AZ11">
            <v>2590</v>
          </cell>
          <cell r="BA11">
            <v>2733</v>
          </cell>
          <cell r="BB11">
            <v>2667</v>
          </cell>
          <cell r="BC11">
            <v>2465</v>
          </cell>
          <cell r="BD11">
            <v>2415</v>
          </cell>
          <cell r="BE11">
            <v>2415</v>
          </cell>
          <cell r="BF11">
            <v>2347</v>
          </cell>
          <cell r="BG11">
            <v>1929</v>
          </cell>
          <cell r="BH11">
            <v>1791</v>
          </cell>
          <cell r="BI11">
            <v>1688</v>
          </cell>
          <cell r="BJ11">
            <v>1688</v>
          </cell>
          <cell r="BK11">
            <v>1591</v>
          </cell>
          <cell r="BL11">
            <v>1499</v>
          </cell>
          <cell r="BM11">
            <v>1523</v>
          </cell>
          <cell r="BN11">
            <v>1525</v>
          </cell>
          <cell r="BO11">
            <v>1525</v>
          </cell>
          <cell r="BP11">
            <v>1584</v>
          </cell>
          <cell r="BQ11">
            <v>1484</v>
          </cell>
          <cell r="BR11">
            <v>1453</v>
          </cell>
          <cell r="BS11">
            <v>1413</v>
          </cell>
          <cell r="BT11">
            <v>1413</v>
          </cell>
          <cell r="BU11">
            <v>1427</v>
          </cell>
          <cell r="BV11">
            <v>1363</v>
          </cell>
          <cell r="BW11">
            <v>1354</v>
          </cell>
          <cell r="BX11">
            <v>1385</v>
          </cell>
          <cell r="BY11">
            <v>1385</v>
          </cell>
          <cell r="BZ11">
            <v>1468</v>
          </cell>
          <cell r="CA11">
            <v>1450</v>
          </cell>
          <cell r="CB11">
            <v>1356</v>
          </cell>
          <cell r="CC11">
            <v>1337</v>
          </cell>
          <cell r="CD11">
            <v>1337</v>
          </cell>
          <cell r="CE11">
            <v>1385</v>
          </cell>
          <cell r="CF11">
            <v>1225</v>
          </cell>
          <cell r="CG11">
            <v>1195</v>
          </cell>
          <cell r="CH11">
            <v>1158</v>
          </cell>
          <cell r="CI11">
            <v>1158</v>
          </cell>
          <cell r="CJ11">
            <v>1208</v>
          </cell>
          <cell r="CK11">
            <v>1160</v>
          </cell>
          <cell r="CL11">
            <v>1129</v>
          </cell>
          <cell r="CM11">
            <v>1143</v>
          </cell>
          <cell r="CN11">
            <v>1143</v>
          </cell>
          <cell r="CO11">
            <v>1237</v>
          </cell>
          <cell r="CP11">
            <v>1258</v>
          </cell>
          <cell r="CQ11">
            <v>1221</v>
          </cell>
          <cell r="CR11">
            <v>1278</v>
          </cell>
          <cell r="CS11">
            <v>1278</v>
          </cell>
          <cell r="CT11">
            <v>1417</v>
          </cell>
          <cell r="CU11">
            <v>1356</v>
          </cell>
          <cell r="CV11">
            <v>1338</v>
          </cell>
          <cell r="CW11">
            <v>1372.5373012454711</v>
          </cell>
          <cell r="CX11">
            <v>1372.5373012454711</v>
          </cell>
          <cell r="CY11">
            <v>1388.5839274461421</v>
          </cell>
          <cell r="CZ11">
            <v>1409.8151962832449</v>
          </cell>
          <cell r="DA11">
            <v>1384.1002650327364</v>
          </cell>
          <cell r="DB11">
            <v>1420.7381265131351</v>
          </cell>
          <cell r="DC11">
            <v>1420.7381265131351</v>
          </cell>
          <cell r="DD11">
            <v>1448.3767545433295</v>
          </cell>
          <cell r="DE11">
            <v>1455.8720630440314</v>
          </cell>
          <cell r="DF11">
            <v>1427.6145276439572</v>
          </cell>
          <cell r="DG11">
            <v>1467.6268541169547</v>
          </cell>
          <cell r="DH11">
            <v>1467.6268541169547</v>
          </cell>
          <cell r="DI11">
            <v>1528.2437146376544</v>
          </cell>
          <cell r="DJ11">
            <v>1517.326697064171</v>
          </cell>
          <cell r="DK11">
            <v>1487.6713859858346</v>
          </cell>
          <cell r="DL11">
            <v>1533.1522967321594</v>
          </cell>
          <cell r="DM11">
            <v>1533.1522967321594</v>
          </cell>
          <cell r="DN11">
            <v>1584.6468139400804</v>
          </cell>
          <cell r="DO11">
            <v>1586.9523383216638</v>
          </cell>
          <cell r="DP11">
            <v>1556.2060261589829</v>
          </cell>
          <cell r="DQ11">
            <v>1601.7529037902582</v>
          </cell>
          <cell r="DR11">
            <v>1601.7529037902582</v>
          </cell>
        </row>
        <row r="12">
          <cell r="B12" t="str">
            <v>Inventories</v>
          </cell>
          <cell r="D12">
            <v>53.942999999999998</v>
          </cell>
          <cell r="E12">
            <v>54.8</v>
          </cell>
          <cell r="F12">
            <v>55.3</v>
          </cell>
          <cell r="G12">
            <v>116</v>
          </cell>
          <cell r="H12">
            <v>116</v>
          </cell>
          <cell r="I12">
            <v>119.9</v>
          </cell>
          <cell r="J12">
            <v>125.1</v>
          </cell>
          <cell r="K12">
            <v>126.9</v>
          </cell>
          <cell r="L12">
            <v>128</v>
          </cell>
          <cell r="M12">
            <v>128</v>
          </cell>
          <cell r="N12">
            <v>131.9</v>
          </cell>
          <cell r="O12">
            <v>134.69999999999999</v>
          </cell>
          <cell r="P12">
            <v>185.9</v>
          </cell>
          <cell r="Q12">
            <v>193</v>
          </cell>
          <cell r="R12">
            <v>193</v>
          </cell>
          <cell r="S12">
            <v>199</v>
          </cell>
          <cell r="T12">
            <v>204</v>
          </cell>
          <cell r="U12">
            <v>211</v>
          </cell>
          <cell r="V12">
            <v>214</v>
          </cell>
          <cell r="W12">
            <v>214</v>
          </cell>
          <cell r="X12">
            <v>218</v>
          </cell>
          <cell r="Y12">
            <v>237</v>
          </cell>
          <cell r="Z12">
            <v>244</v>
          </cell>
          <cell r="AA12">
            <v>221</v>
          </cell>
          <cell r="AB12">
            <v>221</v>
          </cell>
          <cell r="AC12">
            <v>226</v>
          </cell>
          <cell r="AD12">
            <v>218</v>
          </cell>
          <cell r="AE12">
            <v>218</v>
          </cell>
          <cell r="AF12">
            <v>223</v>
          </cell>
          <cell r="AG12">
            <v>223</v>
          </cell>
          <cell r="AH12">
            <v>226</v>
          </cell>
          <cell r="AI12">
            <v>219</v>
          </cell>
          <cell r="AJ12">
            <v>219</v>
          </cell>
          <cell r="AK12">
            <v>214</v>
          </cell>
          <cell r="AL12">
            <v>214</v>
          </cell>
          <cell r="AM12">
            <v>223</v>
          </cell>
          <cell r="AN12">
            <v>220</v>
          </cell>
          <cell r="AO12">
            <v>227</v>
          </cell>
          <cell r="AP12">
            <v>231</v>
          </cell>
          <cell r="AQ12">
            <v>231</v>
          </cell>
          <cell r="AR12">
            <v>235</v>
          </cell>
          <cell r="AS12">
            <v>236</v>
          </cell>
          <cell r="AT12">
            <v>242</v>
          </cell>
          <cell r="AY12">
            <v>241</v>
          </cell>
          <cell r="AZ12">
            <v>241</v>
          </cell>
          <cell r="BA12">
            <v>221</v>
          </cell>
          <cell r="BB12">
            <v>220</v>
          </cell>
          <cell r="BC12">
            <v>224</v>
          </cell>
          <cell r="BD12">
            <v>224</v>
          </cell>
          <cell r="BE12">
            <v>224</v>
          </cell>
          <cell r="BF12">
            <v>185</v>
          </cell>
          <cell r="BG12">
            <v>187</v>
          </cell>
          <cell r="BH12">
            <v>187</v>
          </cell>
          <cell r="BI12">
            <v>188</v>
          </cell>
          <cell r="BJ12">
            <v>188</v>
          </cell>
          <cell r="BK12">
            <v>190</v>
          </cell>
          <cell r="BL12">
            <v>193</v>
          </cell>
          <cell r="BM12">
            <v>187</v>
          </cell>
          <cell r="BN12">
            <v>190</v>
          </cell>
          <cell r="BO12">
            <v>190</v>
          </cell>
          <cell r="BP12">
            <v>194</v>
          </cell>
          <cell r="BQ12">
            <v>174</v>
          </cell>
          <cell r="BR12">
            <v>177</v>
          </cell>
          <cell r="BS12">
            <v>184</v>
          </cell>
          <cell r="BT12">
            <v>184</v>
          </cell>
          <cell r="BU12">
            <v>180</v>
          </cell>
          <cell r="BV12">
            <v>184</v>
          </cell>
          <cell r="BW12">
            <v>181</v>
          </cell>
          <cell r="BX12">
            <v>183</v>
          </cell>
          <cell r="BY12">
            <v>183</v>
          </cell>
          <cell r="BZ12">
            <v>182</v>
          </cell>
          <cell r="CA12">
            <v>170</v>
          </cell>
          <cell r="CB12">
            <v>165</v>
          </cell>
          <cell r="CC12">
            <v>161</v>
          </cell>
          <cell r="CD12">
            <v>161</v>
          </cell>
          <cell r="CE12">
            <v>158</v>
          </cell>
          <cell r="CF12">
            <v>154</v>
          </cell>
          <cell r="CG12">
            <v>153</v>
          </cell>
          <cell r="CH12">
            <v>153</v>
          </cell>
          <cell r="CI12">
            <v>153</v>
          </cell>
          <cell r="CJ12">
            <v>151</v>
          </cell>
          <cell r="CK12">
            <v>152</v>
          </cell>
          <cell r="CL12">
            <v>152</v>
          </cell>
          <cell r="CM12">
            <v>156</v>
          </cell>
          <cell r="CN12">
            <v>156</v>
          </cell>
          <cell r="CO12">
            <v>156</v>
          </cell>
          <cell r="CP12">
            <v>156</v>
          </cell>
          <cell r="CQ12">
            <v>157</v>
          </cell>
          <cell r="CR12">
            <v>161</v>
          </cell>
          <cell r="CS12">
            <v>161</v>
          </cell>
          <cell r="CT12">
            <v>157</v>
          </cell>
          <cell r="CU12">
            <v>154</v>
          </cell>
          <cell r="CV12">
            <v>154</v>
          </cell>
          <cell r="CW12">
            <v>149.12867827083474</v>
          </cell>
          <cell r="CX12">
            <v>149.12867827083474</v>
          </cell>
          <cell r="CY12">
            <v>157.18845330339673</v>
          </cell>
          <cell r="CZ12">
            <v>152.36254139645513</v>
          </cell>
          <cell r="DA12">
            <v>145.75775354846138</v>
          </cell>
          <cell r="DB12">
            <v>146.49510800838797</v>
          </cell>
          <cell r="DC12">
            <v>146.49510800838797</v>
          </cell>
          <cell r="DD12">
            <v>160.04683463270797</v>
          </cell>
          <cell r="DE12">
            <v>155.72493935699092</v>
          </cell>
          <cell r="DF12">
            <v>149.54272863199617</v>
          </cell>
          <cell r="DG12">
            <v>150.23248452220503</v>
          </cell>
          <cell r="DH12">
            <v>150.23248452220503</v>
          </cell>
          <cell r="DI12">
            <v>165.35018986613548</v>
          </cell>
          <cell r="DJ12">
            <v>159.94069056398058</v>
          </cell>
          <cell r="DK12">
            <v>153.60437816082319</v>
          </cell>
          <cell r="DL12">
            <v>154.46264250445012</v>
          </cell>
          <cell r="DM12">
            <v>154.46264250445012</v>
          </cell>
          <cell r="DN12">
            <v>171.38090095289456</v>
          </cell>
          <cell r="DO12">
            <v>167.07359557174658</v>
          </cell>
          <cell r="DP12">
            <v>160.53196385107455</v>
          </cell>
          <cell r="DQ12">
            <v>161.24524237084049</v>
          </cell>
          <cell r="DR12">
            <v>161.24524237084049</v>
          </cell>
          <cell r="DW12" t="str">
            <v>mstag:inventories</v>
          </cell>
          <cell r="DX12">
            <v>6</v>
          </cell>
          <cell r="DY12" t="str">
            <v>ISO4217:USD</v>
          </cell>
          <cell r="DZ12" t="b">
            <v>0</v>
          </cell>
        </row>
        <row r="13">
          <cell r="B13" t="str">
            <v>Income tax receivable</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Y13">
            <v>0</v>
          </cell>
          <cell r="AZ13">
            <v>0</v>
          </cell>
          <cell r="BA13">
            <v>0</v>
          </cell>
          <cell r="BB13">
            <v>0</v>
          </cell>
          <cell r="BC13">
            <v>0</v>
          </cell>
          <cell r="BD13">
            <v>0</v>
          </cell>
          <cell r="BE13">
            <v>0</v>
          </cell>
          <cell r="BF13">
            <v>61</v>
          </cell>
          <cell r="BG13">
            <v>95</v>
          </cell>
          <cell r="BH13">
            <v>149</v>
          </cell>
          <cell r="BI13">
            <v>530</v>
          </cell>
          <cell r="BJ13">
            <v>530</v>
          </cell>
          <cell r="BK13">
            <v>0</v>
          </cell>
          <cell r="BL13">
            <v>0</v>
          </cell>
          <cell r="BM13">
            <v>0</v>
          </cell>
          <cell r="BN13">
            <v>0</v>
          </cell>
          <cell r="BO13">
            <v>0</v>
          </cell>
          <cell r="BP13">
            <v>0</v>
          </cell>
          <cell r="BQ13">
            <v>172</v>
          </cell>
          <cell r="BR13">
            <v>174</v>
          </cell>
          <cell r="BS13">
            <v>171</v>
          </cell>
          <cell r="BT13">
            <v>171</v>
          </cell>
          <cell r="BU13">
            <v>173</v>
          </cell>
          <cell r="BV13">
            <v>3</v>
          </cell>
          <cell r="BW13">
            <v>5</v>
          </cell>
          <cell r="BX13">
            <v>7</v>
          </cell>
          <cell r="BY13">
            <v>7</v>
          </cell>
          <cell r="BZ13">
            <v>7</v>
          </cell>
          <cell r="CA13">
            <v>29</v>
          </cell>
          <cell r="CB13">
            <v>20</v>
          </cell>
          <cell r="CC13">
            <v>6</v>
          </cell>
          <cell r="CD13">
            <v>6</v>
          </cell>
          <cell r="CE13">
            <v>4.956000000000131</v>
          </cell>
          <cell r="CF13">
            <v>0</v>
          </cell>
          <cell r="CG13">
            <v>0</v>
          </cell>
          <cell r="CH13">
            <v>35</v>
          </cell>
          <cell r="CI13">
            <v>35</v>
          </cell>
          <cell r="CJ13">
            <v>26</v>
          </cell>
          <cell r="CK13">
            <v>13</v>
          </cell>
          <cell r="CL13">
            <v>21</v>
          </cell>
          <cell r="CM13">
            <v>22</v>
          </cell>
          <cell r="CN13">
            <v>22</v>
          </cell>
          <cell r="CO13">
            <v>22</v>
          </cell>
          <cell r="CP13">
            <v>1</v>
          </cell>
          <cell r="CQ13">
            <v>7</v>
          </cell>
          <cell r="CR13">
            <v>7</v>
          </cell>
          <cell r="CS13">
            <v>7</v>
          </cell>
          <cell r="CT13">
            <v>5</v>
          </cell>
          <cell r="CU13">
            <v>13</v>
          </cell>
          <cell r="CV13">
            <v>13</v>
          </cell>
          <cell r="CW13">
            <v>13</v>
          </cell>
          <cell r="CX13">
            <v>13</v>
          </cell>
          <cell r="CY13">
            <v>13</v>
          </cell>
          <cell r="CZ13">
            <v>13</v>
          </cell>
          <cell r="DA13">
            <v>13</v>
          </cell>
          <cell r="DB13">
            <v>13</v>
          </cell>
          <cell r="DC13">
            <v>13</v>
          </cell>
          <cell r="DD13">
            <v>13</v>
          </cell>
          <cell r="DE13">
            <v>13</v>
          </cell>
          <cell r="DF13">
            <v>13</v>
          </cell>
          <cell r="DG13">
            <v>13</v>
          </cell>
          <cell r="DH13">
            <v>13</v>
          </cell>
          <cell r="DI13">
            <v>13</v>
          </cell>
          <cell r="DJ13">
            <v>13</v>
          </cell>
          <cell r="DK13">
            <v>13</v>
          </cell>
          <cell r="DL13">
            <v>13</v>
          </cell>
          <cell r="DM13">
            <v>13</v>
          </cell>
          <cell r="DN13">
            <v>13</v>
          </cell>
          <cell r="DO13">
            <v>13</v>
          </cell>
          <cell r="DP13">
            <v>13</v>
          </cell>
          <cell r="DQ13">
            <v>13</v>
          </cell>
          <cell r="DR13">
            <v>13</v>
          </cell>
          <cell r="DW13" t="str">
            <v>mstag:incomeTaxReceivable</v>
          </cell>
          <cell r="DX13">
            <v>6</v>
          </cell>
          <cell r="DY13" t="str">
            <v>ISO4217:USD</v>
          </cell>
          <cell r="DZ13" t="b">
            <v>0</v>
          </cell>
        </row>
        <row r="14">
          <cell r="B14" t="str">
            <v>Deferred income taxes</v>
          </cell>
          <cell r="D14">
            <v>329</v>
          </cell>
          <cell r="E14">
            <v>304</v>
          </cell>
          <cell r="F14">
            <v>284</v>
          </cell>
          <cell r="G14">
            <v>410</v>
          </cell>
          <cell r="H14">
            <v>410</v>
          </cell>
          <cell r="I14">
            <v>303.10000000000002</v>
          </cell>
          <cell r="J14">
            <v>268.10000000000002</v>
          </cell>
          <cell r="K14">
            <v>260.10000000000002</v>
          </cell>
          <cell r="L14">
            <v>279</v>
          </cell>
          <cell r="M14">
            <v>279</v>
          </cell>
          <cell r="N14">
            <v>269.89999999999998</v>
          </cell>
          <cell r="O14">
            <v>253.6</v>
          </cell>
          <cell r="P14">
            <v>331.7</v>
          </cell>
          <cell r="Q14">
            <v>294</v>
          </cell>
          <cell r="R14">
            <v>294</v>
          </cell>
          <cell r="S14">
            <v>245</v>
          </cell>
          <cell r="T14">
            <v>213</v>
          </cell>
          <cell r="U14">
            <v>158</v>
          </cell>
          <cell r="V14">
            <v>275</v>
          </cell>
          <cell r="W14">
            <v>275</v>
          </cell>
          <cell r="X14">
            <v>277</v>
          </cell>
          <cell r="Y14">
            <v>233</v>
          </cell>
          <cell r="Z14">
            <v>166</v>
          </cell>
          <cell r="AA14">
            <v>196</v>
          </cell>
          <cell r="AB14">
            <v>196</v>
          </cell>
          <cell r="AC14">
            <v>134</v>
          </cell>
          <cell r="AD14">
            <v>126</v>
          </cell>
          <cell r="AE14">
            <v>152</v>
          </cell>
          <cell r="AF14">
            <v>176</v>
          </cell>
          <cell r="AG14">
            <v>176</v>
          </cell>
          <cell r="AH14">
            <v>176</v>
          </cell>
          <cell r="AI14">
            <v>113</v>
          </cell>
          <cell r="AJ14">
            <v>125</v>
          </cell>
          <cell r="AK14">
            <v>155</v>
          </cell>
          <cell r="AL14">
            <v>155</v>
          </cell>
          <cell r="AM14">
            <v>166</v>
          </cell>
          <cell r="AN14">
            <v>160</v>
          </cell>
          <cell r="AO14">
            <v>142</v>
          </cell>
          <cell r="AP14">
            <v>199</v>
          </cell>
          <cell r="AQ14">
            <v>199</v>
          </cell>
          <cell r="AR14">
            <v>156</v>
          </cell>
          <cell r="AS14">
            <v>154</v>
          </cell>
          <cell r="AT14">
            <v>186</v>
          </cell>
          <cell r="AY14">
            <v>245</v>
          </cell>
          <cell r="AZ14">
            <v>245</v>
          </cell>
          <cell r="BA14">
            <v>160</v>
          </cell>
          <cell r="BB14">
            <v>171</v>
          </cell>
          <cell r="BC14">
            <v>361</v>
          </cell>
          <cell r="BD14">
            <v>401</v>
          </cell>
          <cell r="BE14">
            <v>401</v>
          </cell>
          <cell r="BF14">
            <v>341</v>
          </cell>
          <cell r="BG14">
            <v>442</v>
          </cell>
          <cell r="BH14">
            <v>445</v>
          </cell>
          <cell r="BI14">
            <v>118</v>
          </cell>
          <cell r="BJ14">
            <v>118</v>
          </cell>
          <cell r="BK14">
            <v>112</v>
          </cell>
          <cell r="BL14">
            <v>104</v>
          </cell>
          <cell r="BM14">
            <v>195</v>
          </cell>
          <cell r="BN14">
            <v>107</v>
          </cell>
          <cell r="BO14">
            <v>107</v>
          </cell>
          <cell r="BP14">
            <v>33</v>
          </cell>
          <cell r="BQ14">
            <v>113</v>
          </cell>
          <cell r="BR14">
            <v>113</v>
          </cell>
          <cell r="BS14">
            <v>69</v>
          </cell>
          <cell r="BT14">
            <v>69</v>
          </cell>
          <cell r="BU14">
            <v>49</v>
          </cell>
          <cell r="BV14">
            <v>63</v>
          </cell>
          <cell r="BW14">
            <v>71</v>
          </cell>
          <cell r="BX14">
            <v>87</v>
          </cell>
          <cell r="BY14">
            <v>87</v>
          </cell>
          <cell r="BZ14">
            <v>84</v>
          </cell>
          <cell r="CA14">
            <v>118</v>
          </cell>
          <cell r="CB14">
            <v>91</v>
          </cell>
          <cell r="CC14">
            <v>82</v>
          </cell>
          <cell r="CD14">
            <v>82</v>
          </cell>
          <cell r="CE14">
            <v>82.043999999999997</v>
          </cell>
          <cell r="CF14">
            <v>83</v>
          </cell>
          <cell r="CG14">
            <v>80</v>
          </cell>
          <cell r="CH14">
            <v>108</v>
          </cell>
          <cell r="CI14">
            <v>108</v>
          </cell>
          <cell r="CJ14">
            <v>107</v>
          </cell>
          <cell r="CK14">
            <v>107</v>
          </cell>
          <cell r="CL14">
            <v>307</v>
          </cell>
          <cell r="CM14">
            <v>282</v>
          </cell>
          <cell r="CN14">
            <v>282</v>
          </cell>
          <cell r="CO14">
            <v>283</v>
          </cell>
          <cell r="CP14">
            <v>249</v>
          </cell>
          <cell r="CQ14">
            <v>247</v>
          </cell>
          <cell r="CR14">
            <v>418</v>
          </cell>
          <cell r="CS14">
            <v>418</v>
          </cell>
          <cell r="CT14">
            <v>411</v>
          </cell>
          <cell r="CU14">
            <v>409</v>
          </cell>
          <cell r="CV14">
            <v>394</v>
          </cell>
          <cell r="CW14">
            <v>394</v>
          </cell>
          <cell r="CX14">
            <v>394</v>
          </cell>
          <cell r="CY14">
            <v>394</v>
          </cell>
          <cell r="CZ14">
            <v>394</v>
          </cell>
          <cell r="DA14">
            <v>394</v>
          </cell>
          <cell r="DB14">
            <v>394</v>
          </cell>
          <cell r="DC14">
            <v>394</v>
          </cell>
          <cell r="DD14">
            <v>394</v>
          </cell>
          <cell r="DE14">
            <v>394</v>
          </cell>
          <cell r="DF14">
            <v>394</v>
          </cell>
          <cell r="DG14">
            <v>394</v>
          </cell>
          <cell r="DH14">
            <v>394</v>
          </cell>
          <cell r="DI14">
            <v>394</v>
          </cell>
          <cell r="DJ14">
            <v>394</v>
          </cell>
          <cell r="DK14">
            <v>394</v>
          </cell>
          <cell r="DL14">
            <v>394</v>
          </cell>
          <cell r="DM14">
            <v>394</v>
          </cell>
          <cell r="DN14">
            <v>394</v>
          </cell>
          <cell r="DO14">
            <v>394</v>
          </cell>
          <cell r="DP14">
            <v>394</v>
          </cell>
          <cell r="DQ14">
            <v>394</v>
          </cell>
          <cell r="DR14">
            <v>394</v>
          </cell>
          <cell r="DW14" t="str">
            <v>mstag:deferredTaxAssetsCurrent</v>
          </cell>
          <cell r="DX14">
            <v>6</v>
          </cell>
          <cell r="DY14" t="str">
            <v>ISO4217:USD</v>
          </cell>
          <cell r="DZ14" t="b">
            <v>0</v>
          </cell>
        </row>
        <row r="15">
          <cell r="B15" t="str">
            <v>Assets held for sale</v>
          </cell>
          <cell r="D15">
            <v>79.840999999999994</v>
          </cell>
          <cell r="E15">
            <v>26.5</v>
          </cell>
          <cell r="F15">
            <v>16.399999999999999</v>
          </cell>
          <cell r="G15">
            <v>184</v>
          </cell>
          <cell r="H15">
            <v>184</v>
          </cell>
          <cell r="I15">
            <v>124.5</v>
          </cell>
          <cell r="J15">
            <v>37.700000000000003</v>
          </cell>
          <cell r="K15">
            <v>22.7</v>
          </cell>
          <cell r="L15">
            <v>39</v>
          </cell>
          <cell r="M15">
            <v>39</v>
          </cell>
          <cell r="N15">
            <v>0</v>
          </cell>
          <cell r="O15">
            <v>0</v>
          </cell>
          <cell r="P15">
            <v>0</v>
          </cell>
          <cell r="Q15">
            <v>0</v>
          </cell>
          <cell r="R15">
            <v>0</v>
          </cell>
          <cell r="S15">
            <v>0</v>
          </cell>
          <cell r="T15">
            <v>0</v>
          </cell>
          <cell r="U15">
            <v>0</v>
          </cell>
          <cell r="V15">
            <v>0</v>
          </cell>
          <cell r="W15">
            <v>0</v>
          </cell>
          <cell r="X15">
            <v>0</v>
          </cell>
          <cell r="Y15">
            <v>0</v>
          </cell>
          <cell r="Z15">
            <v>0</v>
          </cell>
          <cell r="AA15">
            <v>655</v>
          </cell>
          <cell r="AB15">
            <v>655</v>
          </cell>
          <cell r="AC15">
            <v>632</v>
          </cell>
          <cell r="AD15">
            <v>165</v>
          </cell>
          <cell r="AE15">
            <v>211</v>
          </cell>
          <cell r="AF15">
            <v>132</v>
          </cell>
          <cell r="AG15">
            <v>132</v>
          </cell>
          <cell r="AH15">
            <v>133</v>
          </cell>
          <cell r="AI15">
            <v>0</v>
          </cell>
          <cell r="AJ15">
            <v>0</v>
          </cell>
          <cell r="AK15">
            <v>0</v>
          </cell>
          <cell r="AL15">
            <v>0</v>
          </cell>
          <cell r="AM15">
            <v>0</v>
          </cell>
          <cell r="AN15">
            <v>0</v>
          </cell>
          <cell r="AO15">
            <v>0</v>
          </cell>
          <cell r="AP15">
            <v>0</v>
          </cell>
          <cell r="AQ15">
            <v>0</v>
          </cell>
          <cell r="AR15">
            <v>0</v>
          </cell>
          <cell r="AS15">
            <v>0</v>
          </cell>
          <cell r="AT15">
            <v>0</v>
          </cell>
          <cell r="AY15">
            <v>0</v>
          </cell>
          <cell r="AZ15">
            <v>0</v>
          </cell>
          <cell r="BA15">
            <v>555</v>
          </cell>
          <cell r="BB15">
            <v>565</v>
          </cell>
          <cell r="BC15">
            <v>476</v>
          </cell>
          <cell r="BD15">
            <v>0</v>
          </cell>
          <cell r="BE15">
            <v>0</v>
          </cell>
          <cell r="BF15">
            <v>985</v>
          </cell>
          <cell r="BG15">
            <v>670</v>
          </cell>
          <cell r="BH15">
            <v>565</v>
          </cell>
          <cell r="BI15">
            <v>114</v>
          </cell>
          <cell r="BJ15">
            <v>114</v>
          </cell>
          <cell r="BK15">
            <v>63</v>
          </cell>
          <cell r="BL15">
            <v>74</v>
          </cell>
          <cell r="BM15">
            <v>29</v>
          </cell>
          <cell r="BN15">
            <v>11</v>
          </cell>
          <cell r="BO15">
            <v>11</v>
          </cell>
          <cell r="BP15">
            <v>9</v>
          </cell>
          <cell r="BQ15">
            <v>303</v>
          </cell>
          <cell r="BR15">
            <v>171</v>
          </cell>
          <cell r="BS15">
            <v>119</v>
          </cell>
          <cell r="BT15">
            <v>119</v>
          </cell>
          <cell r="BU15">
            <v>70</v>
          </cell>
          <cell r="BV15">
            <v>66</v>
          </cell>
          <cell r="BW15">
            <v>60</v>
          </cell>
          <cell r="BX15">
            <v>51</v>
          </cell>
          <cell r="BY15">
            <v>51</v>
          </cell>
          <cell r="BZ15">
            <v>19</v>
          </cell>
          <cell r="CA15">
            <v>385</v>
          </cell>
          <cell r="CB15">
            <v>362</v>
          </cell>
          <cell r="CC15">
            <v>310</v>
          </cell>
          <cell r="CD15">
            <v>310</v>
          </cell>
          <cell r="CE15">
            <v>35</v>
          </cell>
          <cell r="CF15">
            <v>39</v>
          </cell>
          <cell r="CG15">
            <v>37</v>
          </cell>
          <cell r="CH15">
            <v>29</v>
          </cell>
          <cell r="CI15">
            <v>29</v>
          </cell>
          <cell r="CJ15">
            <v>31</v>
          </cell>
          <cell r="CK15">
            <v>19</v>
          </cell>
          <cell r="CL15">
            <v>20</v>
          </cell>
          <cell r="CM15">
            <v>14</v>
          </cell>
          <cell r="CN15">
            <v>14</v>
          </cell>
          <cell r="CO15">
            <v>13</v>
          </cell>
          <cell r="CP15">
            <v>11</v>
          </cell>
          <cell r="CQ15">
            <v>2</v>
          </cell>
          <cell r="CR15">
            <v>2</v>
          </cell>
          <cell r="CS15">
            <v>2</v>
          </cell>
          <cell r="CT15">
            <v>2</v>
          </cell>
          <cell r="CU15">
            <v>41</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W15" t="str">
            <v>mstag:assetsOfDiscontinuedOperations</v>
          </cell>
          <cell r="DX15">
            <v>6</v>
          </cell>
          <cell r="DY15" t="str">
            <v>ISO4217:USD</v>
          </cell>
          <cell r="DZ15" t="b">
            <v>0</v>
          </cell>
        </row>
        <row r="16">
          <cell r="B16" t="str">
            <v>Other current assets</v>
          </cell>
          <cell r="D16">
            <v>54.103000000000002</v>
          </cell>
          <cell r="E16">
            <v>56.5</v>
          </cell>
          <cell r="F16">
            <v>53.9</v>
          </cell>
          <cell r="G16">
            <v>55</v>
          </cell>
          <cell r="H16">
            <v>55</v>
          </cell>
          <cell r="I16">
            <v>50.4</v>
          </cell>
          <cell r="J16">
            <v>58.5</v>
          </cell>
          <cell r="K16">
            <v>58.7</v>
          </cell>
          <cell r="L16">
            <v>60</v>
          </cell>
          <cell r="M16">
            <v>60</v>
          </cell>
          <cell r="N16">
            <v>80.3</v>
          </cell>
          <cell r="O16">
            <v>81.3</v>
          </cell>
          <cell r="P16">
            <v>337.4</v>
          </cell>
          <cell r="Q16">
            <v>407</v>
          </cell>
          <cell r="R16">
            <v>407</v>
          </cell>
          <cell r="S16">
            <v>405</v>
          </cell>
          <cell r="T16">
            <v>508</v>
          </cell>
          <cell r="U16">
            <v>478</v>
          </cell>
          <cell r="V16">
            <v>504</v>
          </cell>
          <cell r="W16">
            <v>504</v>
          </cell>
          <cell r="X16">
            <v>450</v>
          </cell>
          <cell r="Y16">
            <v>398</v>
          </cell>
          <cell r="Z16">
            <v>418</v>
          </cell>
          <cell r="AA16">
            <v>413</v>
          </cell>
          <cell r="AB16">
            <v>413</v>
          </cell>
          <cell r="AC16">
            <v>392</v>
          </cell>
          <cell r="AD16">
            <v>387</v>
          </cell>
          <cell r="AE16">
            <v>484</v>
          </cell>
          <cell r="AF16">
            <v>312</v>
          </cell>
          <cell r="AG16">
            <v>312</v>
          </cell>
          <cell r="AH16">
            <v>320</v>
          </cell>
          <cell r="AI16">
            <v>465</v>
          </cell>
          <cell r="AJ16">
            <v>419</v>
          </cell>
          <cell r="AK16">
            <v>305</v>
          </cell>
          <cell r="AL16">
            <v>305</v>
          </cell>
          <cell r="AM16">
            <v>375</v>
          </cell>
          <cell r="AN16">
            <v>347</v>
          </cell>
          <cell r="AO16">
            <v>402</v>
          </cell>
          <cell r="AP16">
            <v>401</v>
          </cell>
          <cell r="AQ16">
            <v>401</v>
          </cell>
          <cell r="AR16">
            <v>377</v>
          </cell>
          <cell r="AS16">
            <v>490</v>
          </cell>
          <cell r="AT16">
            <v>401</v>
          </cell>
          <cell r="AY16">
            <v>421</v>
          </cell>
          <cell r="AZ16">
            <v>421</v>
          </cell>
          <cell r="BA16">
            <v>381</v>
          </cell>
          <cell r="BB16">
            <v>334</v>
          </cell>
          <cell r="BC16">
            <v>375</v>
          </cell>
          <cell r="BD16">
            <v>466</v>
          </cell>
          <cell r="BE16">
            <v>466</v>
          </cell>
          <cell r="BF16">
            <v>304</v>
          </cell>
          <cell r="BG16">
            <v>289</v>
          </cell>
          <cell r="BH16">
            <v>305</v>
          </cell>
          <cell r="BI16">
            <v>320</v>
          </cell>
          <cell r="BJ16">
            <v>320</v>
          </cell>
          <cell r="BK16">
            <v>289</v>
          </cell>
          <cell r="BL16">
            <v>321</v>
          </cell>
          <cell r="BM16">
            <v>284</v>
          </cell>
          <cell r="BN16">
            <v>297</v>
          </cell>
          <cell r="BO16">
            <v>297</v>
          </cell>
          <cell r="BP16">
            <v>273</v>
          </cell>
          <cell r="BQ16">
            <v>524</v>
          </cell>
          <cell r="BR16">
            <v>226</v>
          </cell>
          <cell r="BS16">
            <v>246</v>
          </cell>
          <cell r="BT16">
            <v>246</v>
          </cell>
          <cell r="BU16">
            <v>232</v>
          </cell>
          <cell r="BV16">
            <v>215</v>
          </cell>
          <cell r="BW16">
            <v>233</v>
          </cell>
          <cell r="BX16">
            <v>255</v>
          </cell>
          <cell r="BY16">
            <v>255</v>
          </cell>
          <cell r="BZ16">
            <v>265</v>
          </cell>
          <cell r="CA16">
            <v>266</v>
          </cell>
          <cell r="CB16">
            <v>282</v>
          </cell>
          <cell r="CC16">
            <v>290</v>
          </cell>
          <cell r="CD16">
            <v>290</v>
          </cell>
          <cell r="CE16">
            <v>307</v>
          </cell>
          <cell r="CF16">
            <v>294</v>
          </cell>
          <cell r="CG16">
            <v>324</v>
          </cell>
          <cell r="CH16">
            <v>286</v>
          </cell>
          <cell r="CI16">
            <v>286</v>
          </cell>
          <cell r="CJ16">
            <v>270</v>
          </cell>
          <cell r="CK16">
            <v>271</v>
          </cell>
          <cell r="CL16">
            <v>415</v>
          </cell>
          <cell r="CM16">
            <v>288</v>
          </cell>
          <cell r="CN16">
            <v>288</v>
          </cell>
          <cell r="CO16">
            <v>412</v>
          </cell>
          <cell r="CP16">
            <v>375</v>
          </cell>
          <cell r="CQ16">
            <v>357</v>
          </cell>
          <cell r="CR16">
            <v>378</v>
          </cell>
          <cell r="CS16">
            <v>378</v>
          </cell>
          <cell r="CT16">
            <v>386</v>
          </cell>
          <cell r="CU16">
            <v>509</v>
          </cell>
          <cell r="CV16">
            <v>502</v>
          </cell>
          <cell r="CW16">
            <v>502</v>
          </cell>
          <cell r="CX16">
            <v>502</v>
          </cell>
          <cell r="CY16">
            <v>502</v>
          </cell>
          <cell r="CZ16">
            <v>502</v>
          </cell>
          <cell r="DA16">
            <v>502</v>
          </cell>
          <cell r="DB16">
            <v>502</v>
          </cell>
          <cell r="DC16">
            <v>502</v>
          </cell>
          <cell r="DD16">
            <v>502</v>
          </cell>
          <cell r="DE16">
            <v>502</v>
          </cell>
          <cell r="DF16">
            <v>502</v>
          </cell>
          <cell r="DG16">
            <v>502</v>
          </cell>
          <cell r="DH16">
            <v>502</v>
          </cell>
          <cell r="DI16">
            <v>502</v>
          </cell>
          <cell r="DJ16">
            <v>502</v>
          </cell>
          <cell r="DK16">
            <v>502</v>
          </cell>
          <cell r="DL16">
            <v>502</v>
          </cell>
          <cell r="DM16">
            <v>502</v>
          </cell>
          <cell r="DN16">
            <v>502</v>
          </cell>
          <cell r="DO16">
            <v>502</v>
          </cell>
          <cell r="DP16">
            <v>502</v>
          </cell>
          <cell r="DQ16">
            <v>502</v>
          </cell>
          <cell r="DR16">
            <v>502</v>
          </cell>
          <cell r="DW16" t="str">
            <v>mstag:otherAssetsOperatingCurrent</v>
          </cell>
          <cell r="DX16">
            <v>6</v>
          </cell>
          <cell r="DY16" t="str">
            <v>ISO4217:USD</v>
          </cell>
          <cell r="DZ16" t="b">
            <v>0</v>
          </cell>
        </row>
        <row r="17">
          <cell r="B17" t="str">
            <v>Current Assets</v>
          </cell>
          <cell r="D17">
            <v>1054.5650000000001</v>
          </cell>
          <cell r="E17">
            <v>1036.4000000000001</v>
          </cell>
          <cell r="F17">
            <v>1016.8</v>
          </cell>
          <cell r="G17">
            <v>1624</v>
          </cell>
          <cell r="H17">
            <v>1624</v>
          </cell>
          <cell r="I17">
            <v>1441.7</v>
          </cell>
          <cell r="J17">
            <v>1454.6000000000001</v>
          </cell>
          <cell r="K17">
            <v>1516.7000000000003</v>
          </cell>
          <cell r="L17">
            <v>1545</v>
          </cell>
          <cell r="M17">
            <v>1545</v>
          </cell>
          <cell r="N17">
            <v>1576.2</v>
          </cell>
          <cell r="O17">
            <v>1635.7999999999997</v>
          </cell>
          <cell r="P17">
            <v>2376.4</v>
          </cell>
          <cell r="Q17">
            <v>2391</v>
          </cell>
          <cell r="R17">
            <v>2391</v>
          </cell>
          <cell r="S17">
            <v>2418</v>
          </cell>
          <cell r="T17">
            <v>2623</v>
          </cell>
          <cell r="U17">
            <v>2721</v>
          </cell>
          <cell r="V17">
            <v>2890</v>
          </cell>
          <cell r="W17">
            <v>2890</v>
          </cell>
          <cell r="X17">
            <v>2986</v>
          </cell>
          <cell r="Y17">
            <v>3083</v>
          </cell>
          <cell r="Z17">
            <v>3322</v>
          </cell>
          <cell r="AA17">
            <v>3962</v>
          </cell>
          <cell r="AB17">
            <v>3962</v>
          </cell>
          <cell r="AC17">
            <v>3951</v>
          </cell>
          <cell r="AD17">
            <v>3518</v>
          </cell>
          <cell r="AE17">
            <v>3783</v>
          </cell>
          <cell r="AF17">
            <v>3594</v>
          </cell>
          <cell r="AG17">
            <v>3594</v>
          </cell>
          <cell r="AH17">
            <v>3559</v>
          </cell>
          <cell r="AI17">
            <v>3529</v>
          </cell>
          <cell r="AJ17">
            <v>3579</v>
          </cell>
          <cell r="AK17">
            <v>3226</v>
          </cell>
          <cell r="AL17">
            <v>3226</v>
          </cell>
          <cell r="AM17">
            <v>3281</v>
          </cell>
          <cell r="AN17">
            <v>3270</v>
          </cell>
          <cell r="AO17">
            <v>3410</v>
          </cell>
          <cell r="AP17">
            <v>3394</v>
          </cell>
          <cell r="AQ17">
            <v>3394</v>
          </cell>
          <cell r="AR17">
            <v>3392</v>
          </cell>
          <cell r="AS17">
            <v>3594</v>
          </cell>
          <cell r="AT17">
            <v>3706</v>
          </cell>
          <cell r="AV17">
            <v>0</v>
          </cell>
          <cell r="AW17">
            <v>0</v>
          </cell>
          <cell r="AX17">
            <v>0</v>
          </cell>
          <cell r="AY17">
            <v>3792</v>
          </cell>
          <cell r="AZ17">
            <v>3792</v>
          </cell>
          <cell r="BA17">
            <v>4280</v>
          </cell>
          <cell r="BB17">
            <v>4281</v>
          </cell>
          <cell r="BC17">
            <v>4223</v>
          </cell>
          <cell r="BD17">
            <v>4248</v>
          </cell>
          <cell r="BE17">
            <v>4248</v>
          </cell>
          <cell r="BF17">
            <v>4864</v>
          </cell>
          <cell r="BG17">
            <v>4928</v>
          </cell>
          <cell r="BH17">
            <v>4887</v>
          </cell>
          <cell r="BI17">
            <v>3992</v>
          </cell>
          <cell r="BJ17">
            <v>3992</v>
          </cell>
          <cell r="BK17">
            <v>4117</v>
          </cell>
          <cell r="BL17">
            <v>4123</v>
          </cell>
          <cell r="BM17">
            <v>4026</v>
          </cell>
          <cell r="BN17">
            <v>3508</v>
          </cell>
          <cell r="BO17">
            <v>3508</v>
          </cell>
          <cell r="BP17">
            <v>3078</v>
          </cell>
          <cell r="BQ17">
            <v>3349</v>
          </cell>
          <cell r="BR17">
            <v>3138</v>
          </cell>
          <cell r="BS17">
            <v>3025</v>
          </cell>
          <cell r="BT17">
            <v>3025</v>
          </cell>
          <cell r="BU17">
            <v>2753</v>
          </cell>
          <cell r="BV17">
            <v>2608</v>
          </cell>
          <cell r="BW17">
            <v>2593</v>
          </cell>
          <cell r="BX17">
            <v>2560</v>
          </cell>
          <cell r="BY17">
            <v>2560</v>
          </cell>
          <cell r="BZ17">
            <v>2317</v>
          </cell>
          <cell r="CA17">
            <v>2778</v>
          </cell>
          <cell r="CB17">
            <v>2836</v>
          </cell>
          <cell r="CC17">
            <v>2709</v>
          </cell>
          <cell r="CD17">
            <v>2709</v>
          </cell>
          <cell r="CE17">
            <v>2631</v>
          </cell>
          <cell r="CF17">
            <v>2562</v>
          </cell>
          <cell r="CG17">
            <v>2539</v>
          </cell>
          <cell r="CH17">
            <v>2472</v>
          </cell>
          <cell r="CI17">
            <v>2472</v>
          </cell>
          <cell r="CJ17">
            <v>2386</v>
          </cell>
          <cell r="CK17">
            <v>2435</v>
          </cell>
          <cell r="CL17">
            <v>2444</v>
          </cell>
          <cell r="CM17">
            <v>2311</v>
          </cell>
          <cell r="CN17">
            <v>2311</v>
          </cell>
          <cell r="CO17">
            <v>2393</v>
          </cell>
          <cell r="CP17">
            <v>2314</v>
          </cell>
          <cell r="CQ17">
            <v>2176</v>
          </cell>
          <cell r="CR17">
            <v>2357</v>
          </cell>
          <cell r="CS17">
            <v>2357</v>
          </cell>
          <cell r="CT17">
            <v>2482</v>
          </cell>
          <cell r="CU17">
            <v>2564</v>
          </cell>
          <cell r="CV17">
            <v>2484</v>
          </cell>
          <cell r="CW17">
            <v>3227.4882689813112</v>
          </cell>
          <cell r="CX17">
            <v>3227.4882689813112</v>
          </cell>
          <cell r="CY17">
            <v>3237.8646698497287</v>
          </cell>
          <cell r="CZ17">
            <v>3240.4143996314806</v>
          </cell>
          <cell r="DA17">
            <v>3278.1382376194279</v>
          </cell>
          <cell r="DB17">
            <v>3360.8732808076402</v>
          </cell>
          <cell r="DC17">
            <v>3360.8732808076402</v>
          </cell>
          <cell r="DD17">
            <v>3483.9609237978648</v>
          </cell>
          <cell r="DE17">
            <v>3565.0480134651971</v>
          </cell>
          <cell r="DF17">
            <v>3620.666213907155</v>
          </cell>
          <cell r="DG17">
            <v>3728.6606968946985</v>
          </cell>
          <cell r="DH17">
            <v>3728.6606968946985</v>
          </cell>
          <cell r="DI17">
            <v>3879.659892703216</v>
          </cell>
          <cell r="DJ17">
            <v>3961.1790636830806</v>
          </cell>
          <cell r="DK17">
            <v>4024.7474407885848</v>
          </cell>
          <cell r="DL17">
            <v>4148.7813433408501</v>
          </cell>
          <cell r="DM17">
            <v>4148.7813433408501</v>
          </cell>
          <cell r="DN17">
            <v>4313.0957784539714</v>
          </cell>
          <cell r="DO17">
            <v>4417.0579021918347</v>
          </cell>
          <cell r="DP17">
            <v>4494.0255439076782</v>
          </cell>
          <cell r="DQ17">
            <v>4630.9239508650498</v>
          </cell>
          <cell r="DR17">
            <v>4630.9239508650498</v>
          </cell>
        </row>
        <row r="19">
          <cell r="B19" t="str">
            <v>Investments &amp; other assets</v>
          </cell>
          <cell r="D19">
            <v>375.59799999999996</v>
          </cell>
          <cell r="E19">
            <v>373.9</v>
          </cell>
          <cell r="F19">
            <v>412.9</v>
          </cell>
          <cell r="G19">
            <v>362</v>
          </cell>
          <cell r="H19">
            <v>362</v>
          </cell>
          <cell r="I19">
            <v>370</v>
          </cell>
          <cell r="J19">
            <v>510.2</v>
          </cell>
          <cell r="K19">
            <v>568.20000000000005</v>
          </cell>
          <cell r="L19">
            <v>518</v>
          </cell>
          <cell r="M19">
            <v>518</v>
          </cell>
          <cell r="N19">
            <v>521.4</v>
          </cell>
          <cell r="O19">
            <v>505.9</v>
          </cell>
          <cell r="P19">
            <v>667.6</v>
          </cell>
          <cell r="Q19">
            <v>678</v>
          </cell>
          <cell r="R19">
            <v>678</v>
          </cell>
          <cell r="S19">
            <v>662</v>
          </cell>
          <cell r="T19">
            <v>565</v>
          </cell>
          <cell r="U19">
            <v>642</v>
          </cell>
          <cell r="V19">
            <v>498</v>
          </cell>
          <cell r="W19">
            <v>498</v>
          </cell>
          <cell r="X19">
            <v>469</v>
          </cell>
          <cell r="Y19">
            <v>567</v>
          </cell>
          <cell r="Z19">
            <v>524</v>
          </cell>
          <cell r="AA19">
            <v>569</v>
          </cell>
          <cell r="AB19">
            <v>569</v>
          </cell>
          <cell r="AC19">
            <v>540</v>
          </cell>
          <cell r="AD19">
            <v>546</v>
          </cell>
          <cell r="AE19">
            <v>451</v>
          </cell>
          <cell r="AF19">
            <v>344</v>
          </cell>
          <cell r="AG19">
            <v>344</v>
          </cell>
          <cell r="AH19">
            <v>377</v>
          </cell>
          <cell r="AI19">
            <v>369</v>
          </cell>
          <cell r="AJ19">
            <v>444</v>
          </cell>
          <cell r="AK19">
            <v>395</v>
          </cell>
          <cell r="AL19">
            <v>395</v>
          </cell>
          <cell r="AM19">
            <v>359</v>
          </cell>
          <cell r="AN19">
            <v>360</v>
          </cell>
          <cell r="AO19">
            <v>363</v>
          </cell>
          <cell r="AP19">
            <v>363</v>
          </cell>
          <cell r="AQ19">
            <v>363</v>
          </cell>
          <cell r="AR19">
            <v>307</v>
          </cell>
          <cell r="AS19">
            <v>193</v>
          </cell>
          <cell r="AT19">
            <v>292</v>
          </cell>
          <cell r="AY19">
            <v>185</v>
          </cell>
          <cell r="AZ19">
            <v>185</v>
          </cell>
          <cell r="BA19">
            <v>293</v>
          </cell>
          <cell r="BB19">
            <v>295</v>
          </cell>
          <cell r="BC19">
            <v>299</v>
          </cell>
          <cell r="BD19">
            <v>386</v>
          </cell>
          <cell r="BE19">
            <v>386</v>
          </cell>
          <cell r="BF19">
            <v>360</v>
          </cell>
          <cell r="BG19">
            <v>305</v>
          </cell>
          <cell r="BH19">
            <v>308</v>
          </cell>
          <cell r="BI19">
            <v>296</v>
          </cell>
          <cell r="BJ19">
            <v>296</v>
          </cell>
          <cell r="BK19">
            <v>298</v>
          </cell>
          <cell r="BL19">
            <v>300</v>
          </cell>
          <cell r="BM19">
            <v>302</v>
          </cell>
          <cell r="BN19">
            <v>643</v>
          </cell>
          <cell r="BO19">
            <v>643</v>
          </cell>
          <cell r="BP19">
            <v>627</v>
          </cell>
          <cell r="BQ19">
            <v>628</v>
          </cell>
          <cell r="BR19">
            <v>632</v>
          </cell>
          <cell r="BS19">
            <v>383</v>
          </cell>
          <cell r="BT19">
            <v>383</v>
          </cell>
          <cell r="BU19">
            <v>390</v>
          </cell>
          <cell r="BV19">
            <v>417</v>
          </cell>
          <cell r="BW19">
            <v>369</v>
          </cell>
          <cell r="BX19">
            <v>288</v>
          </cell>
          <cell r="BY19">
            <v>288</v>
          </cell>
          <cell r="BZ19">
            <v>322</v>
          </cell>
          <cell r="CA19">
            <v>271</v>
          </cell>
          <cell r="CB19">
            <v>282</v>
          </cell>
          <cell r="CC19">
            <v>242</v>
          </cell>
          <cell r="CD19">
            <v>242</v>
          </cell>
          <cell r="CE19">
            <v>255</v>
          </cell>
          <cell r="CF19">
            <v>198</v>
          </cell>
          <cell r="CG19">
            <v>181</v>
          </cell>
          <cell r="CH19">
            <v>182</v>
          </cell>
          <cell r="CI19">
            <v>182</v>
          </cell>
          <cell r="CJ19">
            <v>185</v>
          </cell>
          <cell r="CK19">
            <v>180</v>
          </cell>
          <cell r="CL19">
            <v>176</v>
          </cell>
          <cell r="CM19">
            <v>164</v>
          </cell>
          <cell r="CN19">
            <v>164</v>
          </cell>
          <cell r="CO19">
            <v>162</v>
          </cell>
          <cell r="CP19">
            <v>171</v>
          </cell>
          <cell r="CQ19">
            <v>159</v>
          </cell>
          <cell r="CR19">
            <v>156</v>
          </cell>
          <cell r="CS19">
            <v>156</v>
          </cell>
          <cell r="CT19">
            <v>153</v>
          </cell>
          <cell r="CU19">
            <v>120</v>
          </cell>
          <cell r="CV19">
            <v>126</v>
          </cell>
          <cell r="CW19">
            <v>126</v>
          </cell>
          <cell r="CX19">
            <v>126</v>
          </cell>
          <cell r="CY19">
            <v>126</v>
          </cell>
          <cell r="CZ19">
            <v>126</v>
          </cell>
          <cell r="DA19">
            <v>126</v>
          </cell>
          <cell r="DB19">
            <v>126</v>
          </cell>
          <cell r="DC19">
            <v>126</v>
          </cell>
          <cell r="DD19">
            <v>126</v>
          </cell>
          <cell r="DE19">
            <v>126</v>
          </cell>
          <cell r="DF19">
            <v>126</v>
          </cell>
          <cell r="DG19">
            <v>126</v>
          </cell>
          <cell r="DH19">
            <v>126</v>
          </cell>
          <cell r="DI19">
            <v>126</v>
          </cell>
          <cell r="DJ19">
            <v>126</v>
          </cell>
          <cell r="DK19">
            <v>126</v>
          </cell>
          <cell r="DL19">
            <v>126</v>
          </cell>
          <cell r="DM19">
            <v>126</v>
          </cell>
          <cell r="DN19">
            <v>126</v>
          </cell>
          <cell r="DO19">
            <v>126</v>
          </cell>
          <cell r="DP19">
            <v>126</v>
          </cell>
          <cell r="DQ19">
            <v>126</v>
          </cell>
          <cell r="DR19">
            <v>126</v>
          </cell>
          <cell r="DW19" t="str">
            <v>mstag:longTermInvestmentsNonOperating</v>
          </cell>
          <cell r="DX19">
            <v>6</v>
          </cell>
          <cell r="DY19" t="str">
            <v>ISO4217:USD</v>
          </cell>
          <cell r="DZ19" t="b">
            <v>0</v>
          </cell>
        </row>
        <row r="20">
          <cell r="B20" t="str">
            <v>Deferred income taxes</v>
          </cell>
          <cell r="D20">
            <v>0</v>
          </cell>
          <cell r="E20">
            <v>0</v>
          </cell>
          <cell r="F20">
            <v>0</v>
          </cell>
          <cell r="G20">
            <v>0</v>
          </cell>
          <cell r="I20">
            <v>0</v>
          </cell>
          <cell r="J20">
            <v>0</v>
          </cell>
          <cell r="K20">
            <v>0</v>
          </cell>
          <cell r="L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Y20">
            <v>0</v>
          </cell>
          <cell r="AZ20">
            <v>0</v>
          </cell>
          <cell r="BA20">
            <v>0</v>
          </cell>
          <cell r="BB20">
            <v>0</v>
          </cell>
          <cell r="BC20">
            <v>0</v>
          </cell>
          <cell r="BD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636</v>
          </cell>
          <cell r="CM20">
            <v>627</v>
          </cell>
          <cell r="CN20">
            <v>627</v>
          </cell>
          <cell r="CO20">
            <v>589</v>
          </cell>
          <cell r="CP20">
            <v>543</v>
          </cell>
          <cell r="CQ20">
            <v>533</v>
          </cell>
          <cell r="CR20">
            <v>374</v>
          </cell>
          <cell r="CS20">
            <v>374</v>
          </cell>
          <cell r="CT20">
            <v>342</v>
          </cell>
          <cell r="CU20">
            <v>345</v>
          </cell>
          <cell r="CV20">
            <v>338</v>
          </cell>
          <cell r="CW20">
            <v>338</v>
          </cell>
          <cell r="CX20">
            <v>338</v>
          </cell>
          <cell r="CY20">
            <v>338</v>
          </cell>
          <cell r="CZ20">
            <v>338</v>
          </cell>
          <cell r="DA20">
            <v>338</v>
          </cell>
          <cell r="DB20">
            <v>338</v>
          </cell>
          <cell r="DC20">
            <v>338</v>
          </cell>
          <cell r="DD20">
            <v>338</v>
          </cell>
          <cell r="DE20">
            <v>338</v>
          </cell>
          <cell r="DF20">
            <v>338</v>
          </cell>
          <cell r="DG20">
            <v>338</v>
          </cell>
          <cell r="DH20">
            <v>338</v>
          </cell>
          <cell r="DI20">
            <v>338</v>
          </cell>
          <cell r="DJ20">
            <v>338</v>
          </cell>
          <cell r="DK20">
            <v>338</v>
          </cell>
          <cell r="DL20">
            <v>338</v>
          </cell>
          <cell r="DM20">
            <v>338</v>
          </cell>
          <cell r="DN20">
            <v>338</v>
          </cell>
          <cell r="DO20">
            <v>338</v>
          </cell>
          <cell r="DP20">
            <v>338</v>
          </cell>
          <cell r="DQ20">
            <v>338</v>
          </cell>
          <cell r="DR20">
            <v>338</v>
          </cell>
          <cell r="DW20" t="str">
            <v>mstag:deferredTaxAssetsNonCurrent</v>
          </cell>
          <cell r="DX20">
            <v>6</v>
          </cell>
          <cell r="DY20" t="str">
            <v>ISO4217:USD</v>
          </cell>
          <cell r="DZ20" t="b">
            <v>0</v>
          </cell>
        </row>
        <row r="21">
          <cell r="B21" t="str">
            <v>Property &amp; equipment, net</v>
          </cell>
          <cell r="D21">
            <v>1794.4960000000001</v>
          </cell>
          <cell r="E21">
            <v>1780.9</v>
          </cell>
          <cell r="F21">
            <v>1786.7</v>
          </cell>
          <cell r="G21">
            <v>3319</v>
          </cell>
          <cell r="H21">
            <v>3319</v>
          </cell>
          <cell r="I21">
            <v>3418</v>
          </cell>
          <cell r="J21">
            <v>3563.5</v>
          </cell>
          <cell r="K21">
            <v>3590</v>
          </cell>
          <cell r="L21">
            <v>3648</v>
          </cell>
          <cell r="M21">
            <v>3648</v>
          </cell>
          <cell r="N21">
            <v>3689</v>
          </cell>
          <cell r="O21">
            <v>3738.1</v>
          </cell>
          <cell r="P21">
            <v>5283.3</v>
          </cell>
          <cell r="Q21">
            <v>5490</v>
          </cell>
          <cell r="R21">
            <v>5490</v>
          </cell>
          <cell r="S21">
            <v>5657</v>
          </cell>
          <cell r="T21">
            <v>5677</v>
          </cell>
          <cell r="U21">
            <v>5835</v>
          </cell>
          <cell r="V21">
            <v>5987</v>
          </cell>
          <cell r="W21">
            <v>5987</v>
          </cell>
          <cell r="X21">
            <v>6103</v>
          </cell>
          <cell r="Y21">
            <v>6422</v>
          </cell>
          <cell r="Z21">
            <v>6432</v>
          </cell>
          <cell r="AA21">
            <v>5839</v>
          </cell>
          <cell r="AB21">
            <v>5839</v>
          </cell>
          <cell r="AC21">
            <v>5818</v>
          </cell>
          <cell r="AD21">
            <v>5843</v>
          </cell>
          <cell r="AE21">
            <v>5793</v>
          </cell>
          <cell r="AF21">
            <v>5894</v>
          </cell>
          <cell r="AG21">
            <v>5894</v>
          </cell>
          <cell r="AH21">
            <v>5842</v>
          </cell>
          <cell r="AI21">
            <v>5863</v>
          </cell>
          <cell r="AJ21">
            <v>5892</v>
          </cell>
          <cell r="AK21">
            <v>5976</v>
          </cell>
          <cell r="AL21">
            <v>5976</v>
          </cell>
          <cell r="AM21">
            <v>6221</v>
          </cell>
          <cell r="AN21">
            <v>6308</v>
          </cell>
          <cell r="AO21">
            <v>6391</v>
          </cell>
          <cell r="AP21">
            <v>6585</v>
          </cell>
          <cell r="AQ21">
            <v>6585</v>
          </cell>
          <cell r="AR21">
            <v>6564</v>
          </cell>
          <cell r="AS21">
            <v>6679</v>
          </cell>
          <cell r="AT21">
            <v>6412</v>
          </cell>
          <cell r="AY21">
            <v>6359</v>
          </cell>
          <cell r="AZ21">
            <v>6359</v>
          </cell>
          <cell r="BA21">
            <v>6051</v>
          </cell>
          <cell r="BB21">
            <v>5899</v>
          </cell>
          <cell r="BC21">
            <v>5914</v>
          </cell>
          <cell r="BD21">
            <v>5557</v>
          </cell>
          <cell r="BE21">
            <v>5557</v>
          </cell>
          <cell r="BF21">
            <v>4868</v>
          </cell>
          <cell r="BG21">
            <v>4823</v>
          </cell>
          <cell r="BH21">
            <v>4837</v>
          </cell>
          <cell r="BI21">
            <v>4820</v>
          </cell>
          <cell r="BJ21">
            <v>4820</v>
          </cell>
          <cell r="BK21">
            <v>4817</v>
          </cell>
          <cell r="BL21">
            <v>4849</v>
          </cell>
          <cell r="BM21">
            <v>4593</v>
          </cell>
          <cell r="BN21">
            <v>4620</v>
          </cell>
          <cell r="BO21">
            <v>4620</v>
          </cell>
          <cell r="BP21">
            <v>4601</v>
          </cell>
          <cell r="BQ21">
            <v>4276</v>
          </cell>
          <cell r="BR21">
            <v>4317</v>
          </cell>
          <cell r="BS21">
            <v>4299</v>
          </cell>
          <cell r="BT21">
            <v>4299</v>
          </cell>
          <cell r="BU21">
            <v>4275</v>
          </cell>
          <cell r="BV21">
            <v>4354</v>
          </cell>
          <cell r="BW21">
            <v>4403</v>
          </cell>
          <cell r="BX21">
            <v>4645</v>
          </cell>
          <cell r="BY21">
            <v>4645</v>
          </cell>
          <cell r="BZ21">
            <v>4622</v>
          </cell>
          <cell r="CA21">
            <v>4274</v>
          </cell>
          <cell r="CB21">
            <v>4239</v>
          </cell>
          <cell r="CC21">
            <v>4291</v>
          </cell>
          <cell r="CD21">
            <v>4291</v>
          </cell>
          <cell r="CE21">
            <v>4236</v>
          </cell>
          <cell r="CF21">
            <v>4182</v>
          </cell>
          <cell r="CG21">
            <v>4172</v>
          </cell>
          <cell r="CH21">
            <v>4313</v>
          </cell>
          <cell r="CI21">
            <v>4313</v>
          </cell>
          <cell r="CJ21">
            <v>4249</v>
          </cell>
          <cell r="CK21">
            <v>4211</v>
          </cell>
          <cell r="CL21">
            <v>4239</v>
          </cell>
          <cell r="CM21">
            <v>4304</v>
          </cell>
          <cell r="CN21">
            <v>4304</v>
          </cell>
          <cell r="CO21">
            <v>4262</v>
          </cell>
          <cell r="CP21">
            <v>4238</v>
          </cell>
          <cell r="CQ21">
            <v>4201</v>
          </cell>
          <cell r="CR21">
            <v>4350</v>
          </cell>
          <cell r="CS21">
            <v>4350</v>
          </cell>
          <cell r="CT21">
            <v>4324</v>
          </cell>
          <cell r="CU21">
            <v>4181</v>
          </cell>
          <cell r="CV21">
            <v>4173</v>
          </cell>
          <cell r="CW21">
            <v>4208</v>
          </cell>
          <cell r="CX21">
            <v>4208</v>
          </cell>
          <cell r="CY21">
            <v>4380.0124999999998</v>
          </cell>
          <cell r="CZ21">
            <v>4402.0249999999996</v>
          </cell>
          <cell r="DA21">
            <v>4424.0374999999995</v>
          </cell>
          <cell r="DB21">
            <v>4451.0499999999993</v>
          </cell>
          <cell r="DC21">
            <v>4451.0499999999993</v>
          </cell>
          <cell r="DD21">
            <v>4471.8993749999991</v>
          </cell>
          <cell r="DE21">
            <v>4492.7487499999988</v>
          </cell>
          <cell r="DF21">
            <v>4513.5981249999986</v>
          </cell>
          <cell r="DG21">
            <v>4534.4474999999984</v>
          </cell>
          <cell r="DH21">
            <v>4534.4474999999984</v>
          </cell>
          <cell r="DI21">
            <v>4554.2544062499983</v>
          </cell>
          <cell r="DJ21">
            <v>4574.0613124999982</v>
          </cell>
          <cell r="DK21">
            <v>4593.8682187499981</v>
          </cell>
          <cell r="DL21">
            <v>4613.6751249999979</v>
          </cell>
          <cell r="DM21">
            <v>4613.6751249999979</v>
          </cell>
          <cell r="DN21">
            <v>4632.491685937498</v>
          </cell>
          <cell r="DO21">
            <v>4651.3082468749981</v>
          </cell>
          <cell r="DP21">
            <v>4670.1248078124981</v>
          </cell>
          <cell r="DQ21">
            <v>4688.9413687499982</v>
          </cell>
          <cell r="DR21">
            <v>4688.9413687499982</v>
          </cell>
          <cell r="DW21" t="str">
            <v>mstag:propertyPlantAndEquipmentNet</v>
          </cell>
          <cell r="DX21">
            <v>6</v>
          </cell>
          <cell r="DY21" t="str">
            <v>ISO4217:USD</v>
          </cell>
          <cell r="DZ21" t="b">
            <v>0</v>
          </cell>
        </row>
        <row r="22">
          <cell r="B22" t="str">
            <v>Goodwill</v>
          </cell>
          <cell r="D22">
            <v>0</v>
          </cell>
          <cell r="E22">
            <v>0</v>
          </cell>
          <cell r="F22">
            <v>0</v>
          </cell>
          <cell r="G22">
            <v>2511</v>
          </cell>
          <cell r="H22">
            <v>2511</v>
          </cell>
          <cell r="I22">
            <v>2655</v>
          </cell>
          <cell r="J22">
            <v>2612.1999999999998</v>
          </cell>
          <cell r="K22">
            <v>2647.9</v>
          </cell>
          <cell r="L22">
            <v>2574</v>
          </cell>
          <cell r="M22">
            <v>2574</v>
          </cell>
          <cell r="N22">
            <v>2638.9</v>
          </cell>
          <cell r="O22">
            <v>2692.7</v>
          </cell>
          <cell r="P22">
            <v>3259.5</v>
          </cell>
          <cell r="Q22">
            <v>3072</v>
          </cell>
          <cell r="R22">
            <v>3072</v>
          </cell>
          <cell r="S22">
            <v>3161</v>
          </cell>
          <cell r="T22">
            <v>3318</v>
          </cell>
          <cell r="U22">
            <v>3517</v>
          </cell>
          <cell r="V22">
            <v>3317</v>
          </cell>
          <cell r="W22">
            <v>3317</v>
          </cell>
          <cell r="X22">
            <v>3412</v>
          </cell>
          <cell r="Y22">
            <v>3557</v>
          </cell>
          <cell r="Z22">
            <v>3607</v>
          </cell>
          <cell r="AA22">
            <v>3283</v>
          </cell>
          <cell r="AB22">
            <v>3283</v>
          </cell>
          <cell r="AC22">
            <v>3384</v>
          </cell>
          <cell r="AD22">
            <v>3368</v>
          </cell>
          <cell r="AE22">
            <v>3365</v>
          </cell>
          <cell r="AF22">
            <v>3235</v>
          </cell>
          <cell r="AG22">
            <v>3235</v>
          </cell>
          <cell r="AH22">
            <v>3313</v>
          </cell>
          <cell r="AI22">
            <v>3360</v>
          </cell>
          <cell r="AJ22">
            <v>3334</v>
          </cell>
          <cell r="AK22">
            <v>3265</v>
          </cell>
          <cell r="AL22">
            <v>3265</v>
          </cell>
          <cell r="AM22">
            <v>3345</v>
          </cell>
          <cell r="AN22">
            <v>3319</v>
          </cell>
          <cell r="AO22">
            <v>3300</v>
          </cell>
          <cell r="AP22">
            <v>3289</v>
          </cell>
          <cell r="AQ22">
            <v>3289</v>
          </cell>
          <cell r="AR22">
            <v>3472</v>
          </cell>
          <cell r="AS22">
            <v>3268</v>
          </cell>
          <cell r="AT22">
            <v>3260</v>
          </cell>
          <cell r="AY22">
            <v>3260</v>
          </cell>
          <cell r="AZ22">
            <v>3260</v>
          </cell>
          <cell r="BA22">
            <v>2880</v>
          </cell>
          <cell r="BB22">
            <v>2880</v>
          </cell>
          <cell r="BC22">
            <v>2885</v>
          </cell>
          <cell r="BD22">
            <v>1949</v>
          </cell>
          <cell r="BE22">
            <v>1949</v>
          </cell>
          <cell r="BF22">
            <v>1913</v>
          </cell>
          <cell r="BG22">
            <v>1913</v>
          </cell>
          <cell r="BH22">
            <v>1913</v>
          </cell>
          <cell r="BI22">
            <v>800</v>
          </cell>
          <cell r="BJ22">
            <v>800</v>
          </cell>
          <cell r="BK22">
            <v>800</v>
          </cell>
          <cell r="BL22">
            <v>800</v>
          </cell>
          <cell r="BM22">
            <v>800</v>
          </cell>
          <cell r="BN22">
            <v>800</v>
          </cell>
          <cell r="BO22">
            <v>800</v>
          </cell>
          <cell r="BP22">
            <v>800</v>
          </cell>
          <cell r="BQ22">
            <v>753</v>
          </cell>
          <cell r="BR22">
            <v>753</v>
          </cell>
          <cell r="BS22">
            <v>601</v>
          </cell>
          <cell r="BT22">
            <v>601</v>
          </cell>
          <cell r="BU22">
            <v>601</v>
          </cell>
          <cell r="BV22">
            <v>603</v>
          </cell>
          <cell r="BW22">
            <v>600</v>
          </cell>
          <cell r="BX22">
            <v>607</v>
          </cell>
          <cell r="BY22">
            <v>607</v>
          </cell>
          <cell r="BZ22">
            <v>607</v>
          </cell>
          <cell r="CA22">
            <v>610</v>
          </cell>
          <cell r="CB22">
            <v>609</v>
          </cell>
          <cell r="CC22">
            <v>609</v>
          </cell>
          <cell r="CD22">
            <v>609</v>
          </cell>
          <cell r="CE22">
            <v>609</v>
          </cell>
          <cell r="CF22">
            <v>607</v>
          </cell>
          <cell r="CG22">
            <v>607</v>
          </cell>
          <cell r="CH22">
            <v>607</v>
          </cell>
          <cell r="CI22">
            <v>607</v>
          </cell>
          <cell r="CJ22">
            <v>607</v>
          </cell>
          <cell r="CK22">
            <v>609</v>
          </cell>
          <cell r="CL22">
            <v>637</v>
          </cell>
          <cell r="CM22">
            <v>652</v>
          </cell>
          <cell r="CN22">
            <v>652</v>
          </cell>
          <cell r="CO22">
            <v>677</v>
          </cell>
          <cell r="CP22">
            <v>715</v>
          </cell>
          <cell r="CQ22">
            <v>724</v>
          </cell>
          <cell r="CR22">
            <v>736</v>
          </cell>
          <cell r="CS22">
            <v>736</v>
          </cell>
          <cell r="CT22">
            <v>738</v>
          </cell>
          <cell r="CU22">
            <v>749</v>
          </cell>
          <cell r="CV22">
            <v>771</v>
          </cell>
          <cell r="CW22">
            <v>771</v>
          </cell>
          <cell r="CX22">
            <v>771</v>
          </cell>
          <cell r="CY22">
            <v>771</v>
          </cell>
          <cell r="CZ22">
            <v>771</v>
          </cell>
          <cell r="DA22">
            <v>771</v>
          </cell>
          <cell r="DB22">
            <v>771</v>
          </cell>
          <cell r="DC22">
            <v>771</v>
          </cell>
          <cell r="DD22">
            <v>771</v>
          </cell>
          <cell r="DE22">
            <v>771</v>
          </cell>
          <cell r="DF22">
            <v>771</v>
          </cell>
          <cell r="DG22">
            <v>771</v>
          </cell>
          <cell r="DH22">
            <v>771</v>
          </cell>
          <cell r="DI22">
            <v>771</v>
          </cell>
          <cell r="DJ22">
            <v>771</v>
          </cell>
          <cell r="DK22">
            <v>771</v>
          </cell>
          <cell r="DL22">
            <v>771</v>
          </cell>
          <cell r="DM22">
            <v>771</v>
          </cell>
          <cell r="DN22">
            <v>771</v>
          </cell>
          <cell r="DO22">
            <v>771</v>
          </cell>
          <cell r="DP22">
            <v>771</v>
          </cell>
          <cell r="DQ22">
            <v>771</v>
          </cell>
          <cell r="DR22">
            <v>771</v>
          </cell>
          <cell r="DW22" t="str">
            <v>mstag:goodwill</v>
          </cell>
          <cell r="DX22">
            <v>6</v>
          </cell>
          <cell r="DY22" t="str">
            <v>ISO4217:USD</v>
          </cell>
          <cell r="DZ22" t="b">
            <v>0</v>
          </cell>
        </row>
        <row r="23">
          <cell r="B23" t="str">
            <v>Intangible assets, net</v>
          </cell>
          <cell r="D23">
            <v>111.687</v>
          </cell>
          <cell r="E23">
            <v>112.2</v>
          </cell>
          <cell r="F23">
            <v>114.3</v>
          </cell>
          <cell r="G23">
            <v>102</v>
          </cell>
          <cell r="H23">
            <v>102</v>
          </cell>
          <cell r="I23">
            <v>0</v>
          </cell>
          <cell r="J23">
            <v>0</v>
          </cell>
          <cell r="K23">
            <v>0</v>
          </cell>
          <cell r="L23">
            <v>47</v>
          </cell>
          <cell r="M23">
            <v>47</v>
          </cell>
          <cell r="N23">
            <v>0</v>
          </cell>
          <cell r="O23">
            <v>0</v>
          </cell>
          <cell r="P23">
            <v>0</v>
          </cell>
          <cell r="Q23">
            <v>74</v>
          </cell>
          <cell r="R23">
            <v>74</v>
          </cell>
          <cell r="S23">
            <v>0</v>
          </cell>
          <cell r="T23">
            <v>0</v>
          </cell>
          <cell r="U23">
            <v>0</v>
          </cell>
          <cell r="V23">
            <v>82</v>
          </cell>
          <cell r="W23">
            <v>82</v>
          </cell>
          <cell r="X23">
            <v>0</v>
          </cell>
          <cell r="Y23">
            <v>0</v>
          </cell>
          <cell r="Z23">
            <v>0</v>
          </cell>
          <cell r="AA23">
            <v>118</v>
          </cell>
          <cell r="AB23">
            <v>118</v>
          </cell>
          <cell r="AC23">
            <v>0</v>
          </cell>
          <cell r="AD23">
            <v>0</v>
          </cell>
          <cell r="AE23">
            <v>0</v>
          </cell>
          <cell r="AF23">
            <v>94</v>
          </cell>
          <cell r="AG23">
            <v>94</v>
          </cell>
          <cell r="AH23">
            <v>0</v>
          </cell>
          <cell r="AI23">
            <v>0</v>
          </cell>
          <cell r="AJ23">
            <v>0</v>
          </cell>
          <cell r="AK23">
            <v>133</v>
          </cell>
          <cell r="AL23">
            <v>133</v>
          </cell>
          <cell r="AM23">
            <v>170</v>
          </cell>
          <cell r="AN23">
            <v>166</v>
          </cell>
          <cell r="AO23">
            <v>176</v>
          </cell>
          <cell r="AP23">
            <v>183</v>
          </cell>
          <cell r="AQ23">
            <v>183</v>
          </cell>
          <cell r="AR23">
            <v>0</v>
          </cell>
          <cell r="AS23">
            <v>189</v>
          </cell>
          <cell r="AT23">
            <v>185</v>
          </cell>
          <cell r="AY23">
            <v>184</v>
          </cell>
          <cell r="AZ23">
            <v>184</v>
          </cell>
          <cell r="BA23">
            <v>180</v>
          </cell>
          <cell r="BB23">
            <v>160</v>
          </cell>
          <cell r="BC23">
            <v>156</v>
          </cell>
          <cell r="BD23">
            <v>158</v>
          </cell>
          <cell r="BE23">
            <v>158</v>
          </cell>
          <cell r="BF23">
            <v>126</v>
          </cell>
          <cell r="BG23">
            <v>181</v>
          </cell>
          <cell r="BH23">
            <v>181</v>
          </cell>
          <cell r="BI23">
            <v>170</v>
          </cell>
          <cell r="BJ23">
            <v>170</v>
          </cell>
          <cell r="BK23">
            <v>178</v>
          </cell>
          <cell r="BL23">
            <v>180</v>
          </cell>
          <cell r="BM23">
            <v>246</v>
          </cell>
          <cell r="BN23">
            <v>241</v>
          </cell>
          <cell r="BO23">
            <v>241</v>
          </cell>
          <cell r="BP23">
            <v>231</v>
          </cell>
          <cell r="BQ23">
            <v>194</v>
          </cell>
          <cell r="BR23">
            <v>202</v>
          </cell>
          <cell r="BS23">
            <v>231</v>
          </cell>
          <cell r="BT23">
            <v>231</v>
          </cell>
          <cell r="BU23">
            <v>256</v>
          </cell>
          <cell r="BV23">
            <v>271</v>
          </cell>
          <cell r="BW23">
            <v>270</v>
          </cell>
          <cell r="BX23">
            <v>293</v>
          </cell>
          <cell r="BY23">
            <v>293</v>
          </cell>
          <cell r="BZ23">
            <v>306</v>
          </cell>
          <cell r="CA23">
            <v>310</v>
          </cell>
          <cell r="CB23">
            <v>328</v>
          </cell>
          <cell r="CC23">
            <v>323</v>
          </cell>
          <cell r="CD23">
            <v>323</v>
          </cell>
          <cell r="CE23">
            <v>361</v>
          </cell>
          <cell r="CF23">
            <v>379</v>
          </cell>
          <cell r="CG23">
            <v>377</v>
          </cell>
          <cell r="CH23">
            <v>379</v>
          </cell>
          <cell r="CI23">
            <v>379</v>
          </cell>
          <cell r="CJ23">
            <v>388</v>
          </cell>
          <cell r="CK23">
            <v>399</v>
          </cell>
          <cell r="CL23">
            <v>403</v>
          </cell>
          <cell r="CM23">
            <v>442</v>
          </cell>
          <cell r="CN23">
            <v>442</v>
          </cell>
          <cell r="CO23">
            <v>441</v>
          </cell>
          <cell r="CP23">
            <v>454</v>
          </cell>
          <cell r="CQ23">
            <v>500</v>
          </cell>
          <cell r="CR23">
            <v>489</v>
          </cell>
          <cell r="CS23">
            <v>489</v>
          </cell>
          <cell r="CT23">
            <v>506</v>
          </cell>
          <cell r="CU23">
            <v>526</v>
          </cell>
          <cell r="CV23">
            <v>578</v>
          </cell>
          <cell r="CW23">
            <v>578</v>
          </cell>
          <cell r="CX23">
            <v>578</v>
          </cell>
          <cell r="CY23">
            <v>578</v>
          </cell>
          <cell r="CZ23">
            <v>578</v>
          </cell>
          <cell r="DA23">
            <v>578</v>
          </cell>
          <cell r="DB23">
            <v>578</v>
          </cell>
          <cell r="DC23">
            <v>578</v>
          </cell>
          <cell r="DD23">
            <v>578</v>
          </cell>
          <cell r="DE23">
            <v>578</v>
          </cell>
          <cell r="DF23">
            <v>578</v>
          </cell>
          <cell r="DG23">
            <v>578</v>
          </cell>
          <cell r="DH23">
            <v>578</v>
          </cell>
          <cell r="DI23">
            <v>578</v>
          </cell>
          <cell r="DJ23">
            <v>578</v>
          </cell>
          <cell r="DK23">
            <v>578</v>
          </cell>
          <cell r="DL23">
            <v>578</v>
          </cell>
          <cell r="DM23">
            <v>578</v>
          </cell>
          <cell r="DN23">
            <v>578</v>
          </cell>
          <cell r="DO23">
            <v>578</v>
          </cell>
          <cell r="DP23">
            <v>578</v>
          </cell>
          <cell r="DQ23">
            <v>578</v>
          </cell>
          <cell r="DR23">
            <v>578</v>
          </cell>
          <cell r="DW23" t="str">
            <v>mstag:otherIntangibleAssets</v>
          </cell>
          <cell r="DX23">
            <v>6</v>
          </cell>
          <cell r="DY23" t="str">
            <v>ISO4217:USD</v>
          </cell>
          <cell r="DZ23" t="b">
            <v>0</v>
          </cell>
        </row>
        <row r="24">
          <cell r="B24" t="str">
            <v>Total Assets</v>
          </cell>
          <cell r="D24">
            <v>3336.346</v>
          </cell>
          <cell r="E24">
            <v>3303.4</v>
          </cell>
          <cell r="F24">
            <v>3330.7</v>
          </cell>
          <cell r="G24">
            <v>7918</v>
          </cell>
          <cell r="H24">
            <v>7918</v>
          </cell>
          <cell r="I24">
            <v>7884.7</v>
          </cell>
          <cell r="J24">
            <v>8140.5</v>
          </cell>
          <cell r="K24">
            <v>8322.8000000000011</v>
          </cell>
          <cell r="L24">
            <v>8332</v>
          </cell>
          <cell r="M24">
            <v>8332</v>
          </cell>
          <cell r="N24">
            <v>8425.5</v>
          </cell>
          <cell r="O24">
            <v>8572.5</v>
          </cell>
          <cell r="P24">
            <v>11586.8</v>
          </cell>
          <cell r="Q24">
            <v>11705</v>
          </cell>
          <cell r="R24">
            <v>11705</v>
          </cell>
          <cell r="S24">
            <v>11898</v>
          </cell>
          <cell r="T24">
            <v>12183</v>
          </cell>
          <cell r="U24">
            <v>12715</v>
          </cell>
          <cell r="V24">
            <v>12774</v>
          </cell>
          <cell r="W24">
            <v>12774</v>
          </cell>
          <cell r="X24">
            <v>12970</v>
          </cell>
          <cell r="Y24">
            <v>13629</v>
          </cell>
          <cell r="Z24">
            <v>13885</v>
          </cell>
          <cell r="AA24">
            <v>13771</v>
          </cell>
          <cell r="AB24">
            <v>13771</v>
          </cell>
          <cell r="AC24">
            <v>13693</v>
          </cell>
          <cell r="AD24">
            <v>13275</v>
          </cell>
          <cell r="AE24">
            <v>13392</v>
          </cell>
          <cell r="AF24">
            <v>13161</v>
          </cell>
          <cell r="AG24">
            <v>13161</v>
          </cell>
          <cell r="AH24">
            <v>13091</v>
          </cell>
          <cell r="AI24">
            <v>13121</v>
          </cell>
          <cell r="AJ24">
            <v>13249</v>
          </cell>
          <cell r="AK24">
            <v>12995</v>
          </cell>
          <cell r="AL24">
            <v>12995</v>
          </cell>
          <cell r="AM24">
            <v>13376</v>
          </cell>
          <cell r="AN24">
            <v>13423</v>
          </cell>
          <cell r="AO24">
            <v>13640</v>
          </cell>
          <cell r="AP24">
            <v>13814</v>
          </cell>
          <cell r="AQ24">
            <v>13814</v>
          </cell>
          <cell r="AR24">
            <v>13735</v>
          </cell>
          <cell r="AS24">
            <v>13923</v>
          </cell>
          <cell r="AT24">
            <v>13855</v>
          </cell>
          <cell r="AV24">
            <v>0</v>
          </cell>
          <cell r="AW24">
            <v>0</v>
          </cell>
          <cell r="AX24">
            <v>0</v>
          </cell>
          <cell r="AY24">
            <v>13780</v>
          </cell>
          <cell r="AZ24">
            <v>13780</v>
          </cell>
          <cell r="BA24">
            <v>13684</v>
          </cell>
          <cell r="BB24">
            <v>13515</v>
          </cell>
          <cell r="BC24">
            <v>13477</v>
          </cell>
          <cell r="BD24">
            <v>12298</v>
          </cell>
          <cell r="BE24">
            <v>12298</v>
          </cell>
          <cell r="BF24">
            <v>12131</v>
          </cell>
          <cell r="BG24">
            <v>12150</v>
          </cell>
          <cell r="BH24">
            <v>12126</v>
          </cell>
          <cell r="BI24">
            <v>10078</v>
          </cell>
          <cell r="BJ24">
            <v>10078</v>
          </cell>
          <cell r="BK24">
            <v>10210</v>
          </cell>
          <cell r="BL24">
            <v>10252</v>
          </cell>
          <cell r="BM24">
            <v>9967</v>
          </cell>
          <cell r="BN24">
            <v>9812</v>
          </cell>
          <cell r="BO24">
            <v>9812</v>
          </cell>
          <cell r="BP24">
            <v>9337</v>
          </cell>
          <cell r="BQ24">
            <v>9200</v>
          </cell>
          <cell r="BR24">
            <v>9042</v>
          </cell>
          <cell r="BS24">
            <v>8539</v>
          </cell>
          <cell r="BT24">
            <v>8539</v>
          </cell>
          <cell r="BU24">
            <v>8275</v>
          </cell>
          <cell r="BV24">
            <v>8253</v>
          </cell>
          <cell r="BW24">
            <v>8235</v>
          </cell>
          <cell r="BX24">
            <v>8393</v>
          </cell>
          <cell r="BY24">
            <v>8393</v>
          </cell>
          <cell r="BZ24">
            <v>8174</v>
          </cell>
          <cell r="CA24">
            <v>8243</v>
          </cell>
          <cell r="CB24">
            <v>8294</v>
          </cell>
          <cell r="CC24">
            <v>8174</v>
          </cell>
          <cell r="CD24">
            <v>8174</v>
          </cell>
          <cell r="CE24">
            <v>8092</v>
          </cell>
          <cell r="CF24">
            <v>7928</v>
          </cell>
          <cell r="CG24">
            <v>7876</v>
          </cell>
          <cell r="CH24">
            <v>7953</v>
          </cell>
          <cell r="CI24">
            <v>7953</v>
          </cell>
          <cell r="CJ24">
            <v>7815</v>
          </cell>
          <cell r="CK24">
            <v>7834</v>
          </cell>
          <cell r="CL24">
            <v>8535</v>
          </cell>
          <cell r="CM24">
            <v>8500</v>
          </cell>
          <cell r="CN24">
            <v>8500</v>
          </cell>
          <cell r="CO24">
            <v>8524</v>
          </cell>
          <cell r="CP24">
            <v>8435</v>
          </cell>
          <cell r="CQ24">
            <v>8293</v>
          </cell>
          <cell r="CR24">
            <v>8462</v>
          </cell>
          <cell r="CS24">
            <v>8462</v>
          </cell>
          <cell r="CT24">
            <v>8545</v>
          </cell>
          <cell r="CU24">
            <v>8485</v>
          </cell>
          <cell r="CV24">
            <v>8470</v>
          </cell>
          <cell r="CW24">
            <v>9248.4882689813112</v>
          </cell>
          <cell r="CX24">
            <v>9248.4882689813112</v>
          </cell>
          <cell r="CY24">
            <v>9430.8771698497294</v>
          </cell>
          <cell r="CZ24">
            <v>9455.4393996314793</v>
          </cell>
          <cell r="DA24">
            <v>9515.1757376194273</v>
          </cell>
          <cell r="DB24">
            <v>9624.9232808076395</v>
          </cell>
          <cell r="DC24">
            <v>9624.9232808076395</v>
          </cell>
          <cell r="DD24">
            <v>9768.8602987978629</v>
          </cell>
          <cell r="DE24">
            <v>9870.7967634651959</v>
          </cell>
          <cell r="DF24">
            <v>9947.2643389071527</v>
          </cell>
          <cell r="DG24">
            <v>10076.108196894696</v>
          </cell>
          <cell r="DH24">
            <v>10076.108196894696</v>
          </cell>
          <cell r="DI24">
            <v>10246.914298953214</v>
          </cell>
          <cell r="DJ24">
            <v>10348.240376183079</v>
          </cell>
          <cell r="DK24">
            <v>10431.615659538584</v>
          </cell>
          <cell r="DL24">
            <v>10575.456468340848</v>
          </cell>
          <cell r="DM24">
            <v>10575.456468340848</v>
          </cell>
          <cell r="DN24">
            <v>10758.587464391469</v>
          </cell>
          <cell r="DO24">
            <v>10881.366149066833</v>
          </cell>
          <cell r="DP24">
            <v>10977.150351720176</v>
          </cell>
          <cell r="DQ24">
            <v>11132.865319615048</v>
          </cell>
          <cell r="DR24">
            <v>11132.865319615048</v>
          </cell>
        </row>
        <row r="26">
          <cell r="B26" t="str">
            <v>Current portion of L/T debt</v>
          </cell>
          <cell r="D26">
            <v>606.03899999999999</v>
          </cell>
          <cell r="E26">
            <v>608</v>
          </cell>
          <cell r="F26">
            <v>126.7</v>
          </cell>
          <cell r="G26">
            <v>287</v>
          </cell>
          <cell r="H26">
            <v>287</v>
          </cell>
          <cell r="I26">
            <v>278.70000000000005</v>
          </cell>
          <cell r="J26">
            <v>275.5</v>
          </cell>
          <cell r="K26">
            <v>92.1</v>
          </cell>
          <cell r="L26">
            <v>60</v>
          </cell>
          <cell r="M26">
            <v>60</v>
          </cell>
          <cell r="N26">
            <v>58.5</v>
          </cell>
          <cell r="O26">
            <v>44.4</v>
          </cell>
          <cell r="P26">
            <v>50.6</v>
          </cell>
          <cell r="Q26">
            <v>28</v>
          </cell>
          <cell r="R26">
            <v>28</v>
          </cell>
          <cell r="S26">
            <v>22</v>
          </cell>
          <cell r="T26">
            <v>16</v>
          </cell>
          <cell r="U26">
            <v>13</v>
          </cell>
          <cell r="V26">
            <v>10</v>
          </cell>
          <cell r="W26">
            <v>10</v>
          </cell>
          <cell r="X26">
            <v>11</v>
          </cell>
          <cell r="Y26">
            <v>10</v>
          </cell>
          <cell r="Z26">
            <v>35</v>
          </cell>
          <cell r="AA26">
            <v>45</v>
          </cell>
          <cell r="AB26">
            <v>45</v>
          </cell>
          <cell r="AC26">
            <v>44</v>
          </cell>
          <cell r="AD26">
            <v>36</v>
          </cell>
          <cell r="AE26">
            <v>11</v>
          </cell>
          <cell r="AF26">
            <v>9</v>
          </cell>
          <cell r="AG26">
            <v>9</v>
          </cell>
          <cell r="AH26">
            <v>10</v>
          </cell>
          <cell r="AI26">
            <v>9</v>
          </cell>
          <cell r="AJ26">
            <v>14</v>
          </cell>
          <cell r="AK26">
            <v>25</v>
          </cell>
          <cell r="AL26">
            <v>25</v>
          </cell>
          <cell r="AM26">
            <v>30</v>
          </cell>
          <cell r="AN26">
            <v>35</v>
          </cell>
          <cell r="AO26">
            <v>9</v>
          </cell>
          <cell r="AP26">
            <v>99</v>
          </cell>
          <cell r="AQ26">
            <v>99</v>
          </cell>
          <cell r="AR26">
            <v>44</v>
          </cell>
          <cell r="AS26">
            <v>31</v>
          </cell>
          <cell r="AT26">
            <v>41</v>
          </cell>
          <cell r="AY26">
            <v>47</v>
          </cell>
          <cell r="AZ26">
            <v>47</v>
          </cell>
          <cell r="BA26">
            <v>41</v>
          </cell>
          <cell r="BB26">
            <v>23</v>
          </cell>
          <cell r="BC26">
            <v>23</v>
          </cell>
          <cell r="BD26">
            <v>18</v>
          </cell>
          <cell r="BE26">
            <v>18</v>
          </cell>
          <cell r="BF26">
            <v>39</v>
          </cell>
          <cell r="BG26">
            <v>26</v>
          </cell>
          <cell r="BH26">
            <v>26</v>
          </cell>
          <cell r="BI26">
            <v>41</v>
          </cell>
          <cell r="BJ26">
            <v>41</v>
          </cell>
          <cell r="BK26">
            <v>19</v>
          </cell>
          <cell r="BL26">
            <v>20</v>
          </cell>
          <cell r="BM26">
            <v>20</v>
          </cell>
          <cell r="BN26">
            <v>19</v>
          </cell>
          <cell r="BO26">
            <v>19</v>
          </cell>
          <cell r="BP26">
            <v>19</v>
          </cell>
          <cell r="BQ26">
            <v>19</v>
          </cell>
          <cell r="BR26">
            <v>38</v>
          </cell>
          <cell r="BS26">
            <v>22</v>
          </cell>
          <cell r="BT26">
            <v>22</v>
          </cell>
          <cell r="BU26">
            <v>22</v>
          </cell>
          <cell r="BV26">
            <v>22</v>
          </cell>
          <cell r="BW26">
            <v>1</v>
          </cell>
          <cell r="BX26">
            <v>1</v>
          </cell>
          <cell r="BY26">
            <v>1</v>
          </cell>
          <cell r="BZ26">
            <v>2</v>
          </cell>
          <cell r="CA26">
            <v>2</v>
          </cell>
          <cell r="CB26">
            <v>2</v>
          </cell>
          <cell r="CC26">
            <v>2</v>
          </cell>
          <cell r="CD26">
            <v>2</v>
          </cell>
          <cell r="CE26">
            <v>2</v>
          </cell>
          <cell r="CF26">
            <v>2</v>
          </cell>
          <cell r="CG26">
            <v>2</v>
          </cell>
          <cell r="CH26">
            <v>2</v>
          </cell>
          <cell r="CI26">
            <v>2</v>
          </cell>
          <cell r="CJ26">
            <v>2</v>
          </cell>
          <cell r="CK26">
            <v>2</v>
          </cell>
          <cell r="CL26">
            <v>2</v>
          </cell>
          <cell r="CM26">
            <v>67</v>
          </cell>
          <cell r="CN26">
            <v>67</v>
          </cell>
          <cell r="CO26">
            <v>68</v>
          </cell>
          <cell r="CP26">
            <v>128</v>
          </cell>
          <cell r="CQ26">
            <v>129</v>
          </cell>
          <cell r="CR26">
            <v>66</v>
          </cell>
          <cell r="CS26">
            <v>66</v>
          </cell>
          <cell r="CT26">
            <v>288</v>
          </cell>
          <cell r="CU26">
            <v>237</v>
          </cell>
          <cell r="CV26">
            <v>243</v>
          </cell>
          <cell r="CW26">
            <v>51.709000000000003</v>
          </cell>
          <cell r="CX26">
            <v>51.709000000000003</v>
          </cell>
          <cell r="CY26">
            <v>51.709000000000003</v>
          </cell>
          <cell r="CZ26">
            <v>51.709000000000003</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W26" t="str">
            <v>mstag:shortTermBorrowings</v>
          </cell>
          <cell r="DX26">
            <v>6</v>
          </cell>
          <cell r="DY26" t="str">
            <v>ISO4217:USD</v>
          </cell>
          <cell r="DZ26" t="b">
            <v>0</v>
          </cell>
        </row>
        <row r="27">
          <cell r="B27" t="str">
            <v>Accounts payable</v>
          </cell>
          <cell r="D27">
            <v>144.31800000000001</v>
          </cell>
          <cell r="E27">
            <v>139</v>
          </cell>
          <cell r="F27">
            <v>129.5</v>
          </cell>
          <cell r="G27">
            <v>359</v>
          </cell>
          <cell r="H27">
            <v>359</v>
          </cell>
          <cell r="I27">
            <v>258.2</v>
          </cell>
          <cell r="J27">
            <v>268.10000000000002</v>
          </cell>
          <cell r="K27">
            <v>287.10000000000002</v>
          </cell>
          <cell r="L27">
            <v>380</v>
          </cell>
          <cell r="M27">
            <v>380</v>
          </cell>
          <cell r="N27">
            <v>320.5</v>
          </cell>
          <cell r="O27">
            <v>266.7</v>
          </cell>
          <cell r="P27">
            <v>416.8</v>
          </cell>
          <cell r="Q27">
            <v>540</v>
          </cell>
          <cell r="R27">
            <v>540</v>
          </cell>
          <cell r="S27">
            <v>514</v>
          </cell>
          <cell r="T27">
            <v>476</v>
          </cell>
          <cell r="U27">
            <v>536</v>
          </cell>
          <cell r="V27">
            <v>657</v>
          </cell>
          <cell r="W27">
            <v>657</v>
          </cell>
          <cell r="X27">
            <v>525</v>
          </cell>
          <cell r="Y27">
            <v>554</v>
          </cell>
          <cell r="Z27">
            <v>642</v>
          </cell>
          <cell r="AA27">
            <v>713</v>
          </cell>
          <cell r="AB27">
            <v>713</v>
          </cell>
          <cell r="AC27">
            <v>600</v>
          </cell>
          <cell r="AD27">
            <v>605</v>
          </cell>
          <cell r="AE27">
            <v>608</v>
          </cell>
          <cell r="AF27">
            <v>671</v>
          </cell>
          <cell r="AG27">
            <v>671</v>
          </cell>
          <cell r="AH27">
            <v>601</v>
          </cell>
          <cell r="AI27">
            <v>696</v>
          </cell>
          <cell r="AJ27">
            <v>684</v>
          </cell>
          <cell r="AK27">
            <v>775</v>
          </cell>
          <cell r="AL27">
            <v>775</v>
          </cell>
          <cell r="AM27">
            <v>801</v>
          </cell>
          <cell r="AN27">
            <v>803</v>
          </cell>
          <cell r="AO27">
            <v>818</v>
          </cell>
          <cell r="AP27">
            <v>968</v>
          </cell>
          <cell r="AQ27">
            <v>968</v>
          </cell>
          <cell r="AR27">
            <v>955</v>
          </cell>
          <cell r="AS27">
            <v>858</v>
          </cell>
          <cell r="AT27">
            <v>966</v>
          </cell>
          <cell r="AY27">
            <v>898</v>
          </cell>
          <cell r="AZ27">
            <v>898</v>
          </cell>
          <cell r="BA27">
            <v>928</v>
          </cell>
          <cell r="BB27">
            <v>911</v>
          </cell>
          <cell r="BC27">
            <v>870</v>
          </cell>
          <cell r="BD27">
            <v>987</v>
          </cell>
          <cell r="BE27">
            <v>987</v>
          </cell>
          <cell r="BF27">
            <v>889</v>
          </cell>
          <cell r="BG27">
            <v>853</v>
          </cell>
          <cell r="BH27">
            <v>839</v>
          </cell>
          <cell r="BI27">
            <v>937</v>
          </cell>
          <cell r="BJ27">
            <v>937</v>
          </cell>
          <cell r="BK27">
            <v>774</v>
          </cell>
          <cell r="BL27">
            <v>744</v>
          </cell>
          <cell r="BM27">
            <v>806</v>
          </cell>
          <cell r="BN27">
            <v>857</v>
          </cell>
          <cell r="BO27">
            <v>857</v>
          </cell>
          <cell r="BP27">
            <v>776</v>
          </cell>
          <cell r="BQ27">
            <v>761</v>
          </cell>
          <cell r="BR27">
            <v>749</v>
          </cell>
          <cell r="BS27">
            <v>775</v>
          </cell>
          <cell r="BT27">
            <v>775</v>
          </cell>
          <cell r="BU27">
            <v>664</v>
          </cell>
          <cell r="BV27">
            <v>642</v>
          </cell>
          <cell r="BW27">
            <v>637</v>
          </cell>
          <cell r="BX27">
            <v>780</v>
          </cell>
          <cell r="BY27">
            <v>780</v>
          </cell>
          <cell r="BZ27">
            <v>633</v>
          </cell>
          <cell r="CA27">
            <v>643</v>
          </cell>
          <cell r="CB27">
            <v>632</v>
          </cell>
          <cell r="CC27">
            <v>686</v>
          </cell>
          <cell r="CD27">
            <v>686</v>
          </cell>
          <cell r="CE27">
            <v>650</v>
          </cell>
          <cell r="CF27">
            <v>618</v>
          </cell>
          <cell r="CG27">
            <v>638</v>
          </cell>
          <cell r="CH27">
            <v>739</v>
          </cell>
          <cell r="CI27">
            <v>739</v>
          </cell>
          <cell r="CJ27">
            <v>615</v>
          </cell>
          <cell r="CK27">
            <v>615</v>
          </cell>
          <cell r="CL27">
            <v>601</v>
          </cell>
          <cell r="CM27">
            <v>720</v>
          </cell>
          <cell r="CN27">
            <v>720</v>
          </cell>
          <cell r="CO27">
            <v>638</v>
          </cell>
          <cell r="CP27">
            <v>614</v>
          </cell>
          <cell r="CQ27">
            <v>629</v>
          </cell>
          <cell r="CR27">
            <v>760</v>
          </cell>
          <cell r="CS27">
            <v>760</v>
          </cell>
          <cell r="CT27">
            <v>640</v>
          </cell>
          <cell r="CU27">
            <v>644</v>
          </cell>
          <cell r="CV27">
            <v>629</v>
          </cell>
          <cell r="CW27">
            <v>694.98729577168342</v>
          </cell>
          <cell r="CX27">
            <v>694.98729577168342</v>
          </cell>
          <cell r="CY27">
            <v>750.72958428500829</v>
          </cell>
          <cell r="CZ27">
            <v>741.14723264944814</v>
          </cell>
          <cell r="DA27">
            <v>726.9175217991434</v>
          </cell>
          <cell r="DB27">
            <v>719.48906895052073</v>
          </cell>
          <cell r="DC27">
            <v>719.48906895052073</v>
          </cell>
          <cell r="DD27">
            <v>780.93543495951394</v>
          </cell>
          <cell r="DE27">
            <v>773.27907963555128</v>
          </cell>
          <cell r="DF27">
            <v>760.86340471306858</v>
          </cell>
          <cell r="DG27">
            <v>752.49377007253406</v>
          </cell>
          <cell r="DH27">
            <v>752.49377007253406</v>
          </cell>
          <cell r="DI27">
            <v>826.48682027756388</v>
          </cell>
          <cell r="DJ27">
            <v>811.91906764252292</v>
          </cell>
          <cell r="DK27">
            <v>797.85864323648195</v>
          </cell>
          <cell r="DL27">
            <v>789.86490324138697</v>
          </cell>
          <cell r="DM27">
            <v>789.86490324138697</v>
          </cell>
          <cell r="DN27">
            <v>859.70307827596025</v>
          </cell>
          <cell r="DO27">
            <v>853.35943296045764</v>
          </cell>
          <cell r="DP27">
            <v>838.90619383307956</v>
          </cell>
          <cell r="DQ27">
            <v>829.22001907522599</v>
          </cell>
          <cell r="DR27">
            <v>829.22001907522599</v>
          </cell>
          <cell r="DW27" t="str">
            <v>mstag:tradeAndOtherPayablesCurrent</v>
          </cell>
          <cell r="DX27">
            <v>6</v>
          </cell>
          <cell r="DY27" t="str">
            <v>ISO4217:USD</v>
          </cell>
          <cell r="DZ27" t="b">
            <v>0</v>
          </cell>
        </row>
        <row r="28">
          <cell r="B28" t="str">
            <v>Accrued compensation &amp; benefits</v>
          </cell>
          <cell r="D28">
            <v>72.344999999999999</v>
          </cell>
          <cell r="E28">
            <v>82.5</v>
          </cell>
          <cell r="F28">
            <v>78</v>
          </cell>
          <cell r="G28">
            <v>162</v>
          </cell>
          <cell r="H28">
            <v>162</v>
          </cell>
          <cell r="I28">
            <v>161.19999999999999</v>
          </cell>
          <cell r="J28">
            <v>160.80000000000001</v>
          </cell>
          <cell r="K28">
            <v>155.30000000000001</v>
          </cell>
          <cell r="L28">
            <v>120</v>
          </cell>
          <cell r="M28">
            <v>120</v>
          </cell>
          <cell r="N28">
            <v>137.80000000000001</v>
          </cell>
          <cell r="O28">
            <v>136.19999999999999</v>
          </cell>
          <cell r="P28">
            <v>229.3</v>
          </cell>
          <cell r="Q28">
            <v>309</v>
          </cell>
          <cell r="R28">
            <v>309</v>
          </cell>
          <cell r="S28">
            <v>319</v>
          </cell>
          <cell r="T28">
            <v>329</v>
          </cell>
          <cell r="U28">
            <v>358</v>
          </cell>
          <cell r="V28">
            <v>355</v>
          </cell>
          <cell r="W28">
            <v>355</v>
          </cell>
          <cell r="X28">
            <v>313</v>
          </cell>
          <cell r="Y28">
            <v>344</v>
          </cell>
          <cell r="Z28">
            <v>377</v>
          </cell>
          <cell r="AA28">
            <v>390</v>
          </cell>
          <cell r="AB28">
            <v>390</v>
          </cell>
          <cell r="AC28">
            <v>341</v>
          </cell>
          <cell r="AD28">
            <v>327</v>
          </cell>
          <cell r="AE28">
            <v>383</v>
          </cell>
          <cell r="AF28">
            <v>383</v>
          </cell>
          <cell r="AG28">
            <v>383</v>
          </cell>
          <cell r="AH28">
            <v>350</v>
          </cell>
          <cell r="AI28">
            <v>363</v>
          </cell>
          <cell r="AJ28">
            <v>445</v>
          </cell>
          <cell r="AK28">
            <v>476</v>
          </cell>
          <cell r="AL28">
            <v>476</v>
          </cell>
          <cell r="AM28">
            <v>409</v>
          </cell>
          <cell r="AN28">
            <v>461</v>
          </cell>
          <cell r="AO28">
            <v>591</v>
          </cell>
          <cell r="AP28">
            <v>591</v>
          </cell>
          <cell r="AQ28">
            <v>591</v>
          </cell>
          <cell r="AR28">
            <v>542</v>
          </cell>
          <cell r="AS28">
            <v>573</v>
          </cell>
          <cell r="AT28">
            <v>561</v>
          </cell>
          <cell r="AY28">
            <v>555</v>
          </cell>
          <cell r="AZ28">
            <v>555</v>
          </cell>
          <cell r="BA28">
            <v>588</v>
          </cell>
          <cell r="BB28">
            <v>565</v>
          </cell>
          <cell r="BC28">
            <v>480</v>
          </cell>
          <cell r="BD28">
            <v>464</v>
          </cell>
          <cell r="BE28">
            <v>464</v>
          </cell>
          <cell r="BF28">
            <v>488</v>
          </cell>
          <cell r="BG28">
            <v>480</v>
          </cell>
          <cell r="BH28">
            <v>448</v>
          </cell>
          <cell r="BI28">
            <v>390</v>
          </cell>
          <cell r="BJ28">
            <v>390</v>
          </cell>
          <cell r="BK28">
            <v>347</v>
          </cell>
          <cell r="BL28">
            <v>412</v>
          </cell>
          <cell r="BM28">
            <v>391</v>
          </cell>
          <cell r="BN28">
            <v>441</v>
          </cell>
          <cell r="BO28">
            <v>441</v>
          </cell>
          <cell r="BP28">
            <v>329</v>
          </cell>
          <cell r="BQ28">
            <v>335</v>
          </cell>
          <cell r="BR28">
            <v>356</v>
          </cell>
          <cell r="BS28">
            <v>390</v>
          </cell>
          <cell r="BT28">
            <v>390</v>
          </cell>
          <cell r="BU28">
            <v>324</v>
          </cell>
          <cell r="BV28">
            <v>333</v>
          </cell>
          <cell r="BW28">
            <v>362</v>
          </cell>
          <cell r="BX28">
            <v>393</v>
          </cell>
          <cell r="BY28">
            <v>393</v>
          </cell>
          <cell r="BZ28">
            <v>328</v>
          </cell>
          <cell r="CA28">
            <v>338</v>
          </cell>
          <cell r="CB28">
            <v>391</v>
          </cell>
          <cell r="CC28">
            <v>414</v>
          </cell>
          <cell r="CD28">
            <v>414</v>
          </cell>
          <cell r="CE28">
            <v>328</v>
          </cell>
          <cell r="CF28">
            <v>330</v>
          </cell>
          <cell r="CG28">
            <v>380</v>
          </cell>
          <cell r="CH28">
            <v>370</v>
          </cell>
          <cell r="CI28">
            <v>370</v>
          </cell>
          <cell r="CJ28">
            <v>347</v>
          </cell>
          <cell r="CK28">
            <v>343</v>
          </cell>
          <cell r="CL28">
            <v>385</v>
          </cell>
          <cell r="CM28">
            <v>363</v>
          </cell>
          <cell r="CN28">
            <v>363</v>
          </cell>
          <cell r="CO28">
            <v>368</v>
          </cell>
          <cell r="CP28">
            <v>357</v>
          </cell>
          <cell r="CQ28">
            <v>349</v>
          </cell>
          <cell r="CR28">
            <v>376</v>
          </cell>
          <cell r="CS28">
            <v>376</v>
          </cell>
          <cell r="CT28">
            <v>338</v>
          </cell>
          <cell r="CU28">
            <v>363</v>
          </cell>
          <cell r="CV28">
            <v>379</v>
          </cell>
          <cell r="CW28">
            <v>379</v>
          </cell>
          <cell r="CX28">
            <v>379</v>
          </cell>
          <cell r="CY28">
            <v>379</v>
          </cell>
          <cell r="CZ28">
            <v>379</v>
          </cell>
          <cell r="DA28">
            <v>379</v>
          </cell>
          <cell r="DB28">
            <v>379</v>
          </cell>
          <cell r="DC28">
            <v>379</v>
          </cell>
          <cell r="DD28">
            <v>379</v>
          </cell>
          <cell r="DE28">
            <v>379</v>
          </cell>
          <cell r="DF28">
            <v>379</v>
          </cell>
          <cell r="DG28">
            <v>379</v>
          </cell>
          <cell r="DH28">
            <v>379</v>
          </cell>
          <cell r="DI28">
            <v>379</v>
          </cell>
          <cell r="DJ28">
            <v>379</v>
          </cell>
          <cell r="DK28">
            <v>379</v>
          </cell>
          <cell r="DL28">
            <v>379</v>
          </cell>
          <cell r="DM28">
            <v>379</v>
          </cell>
          <cell r="DN28">
            <v>379</v>
          </cell>
          <cell r="DO28">
            <v>379</v>
          </cell>
          <cell r="DP28">
            <v>379</v>
          </cell>
          <cell r="DQ28">
            <v>379</v>
          </cell>
          <cell r="DR28">
            <v>379</v>
          </cell>
          <cell r="DW28" t="str">
            <v>mstag:payrollAndBenefitsRelatedLiabilities</v>
          </cell>
          <cell r="DX28">
            <v>6</v>
          </cell>
          <cell r="DY28" t="str">
            <v>ISO4217:USD</v>
          </cell>
          <cell r="DZ28" t="b">
            <v>0</v>
          </cell>
        </row>
        <row r="29">
          <cell r="B29" t="str">
            <v>Professional &amp; general liability reserves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Y29">
            <v>0</v>
          </cell>
          <cell r="AZ29">
            <v>0</v>
          </cell>
          <cell r="BA29">
            <v>0</v>
          </cell>
          <cell r="BB29">
            <v>0</v>
          </cell>
          <cell r="BC29">
            <v>0</v>
          </cell>
          <cell r="BD29">
            <v>115</v>
          </cell>
          <cell r="BE29">
            <v>115</v>
          </cell>
          <cell r="BF29">
            <v>126</v>
          </cell>
          <cell r="BG29">
            <v>116</v>
          </cell>
          <cell r="BH29">
            <v>108</v>
          </cell>
          <cell r="BI29">
            <v>137</v>
          </cell>
          <cell r="BJ29">
            <v>137</v>
          </cell>
          <cell r="BK29">
            <v>111</v>
          </cell>
          <cell r="BL29">
            <v>132</v>
          </cell>
          <cell r="BM29">
            <v>132</v>
          </cell>
          <cell r="BN29">
            <v>145</v>
          </cell>
          <cell r="BO29">
            <v>145</v>
          </cell>
          <cell r="BP29">
            <v>150</v>
          </cell>
          <cell r="BQ29">
            <v>136</v>
          </cell>
          <cell r="BR29">
            <v>145</v>
          </cell>
          <cell r="BS29">
            <v>145</v>
          </cell>
          <cell r="BT29">
            <v>145</v>
          </cell>
          <cell r="BU29">
            <v>145</v>
          </cell>
          <cell r="BV29">
            <v>140</v>
          </cell>
          <cell r="BW29">
            <v>148</v>
          </cell>
          <cell r="BX29">
            <v>161</v>
          </cell>
          <cell r="BY29">
            <v>161</v>
          </cell>
          <cell r="BZ29">
            <v>161</v>
          </cell>
          <cell r="CA29">
            <v>150</v>
          </cell>
          <cell r="CB29">
            <v>150</v>
          </cell>
          <cell r="CC29">
            <v>127</v>
          </cell>
          <cell r="CD29">
            <v>127</v>
          </cell>
          <cell r="CE29">
            <v>116</v>
          </cell>
          <cell r="CF29">
            <v>113</v>
          </cell>
          <cell r="CG29">
            <v>114</v>
          </cell>
          <cell r="CH29">
            <v>106</v>
          </cell>
          <cell r="CI29">
            <v>106</v>
          </cell>
          <cell r="CJ29">
            <v>106</v>
          </cell>
          <cell r="CK29">
            <v>104</v>
          </cell>
          <cell r="CL29">
            <v>91</v>
          </cell>
          <cell r="CM29">
            <v>84</v>
          </cell>
          <cell r="CN29">
            <v>84</v>
          </cell>
          <cell r="CO29">
            <v>104</v>
          </cell>
          <cell r="CP29">
            <v>96</v>
          </cell>
          <cell r="CQ29">
            <v>79</v>
          </cell>
          <cell r="CR29">
            <v>75</v>
          </cell>
          <cell r="CS29">
            <v>75</v>
          </cell>
          <cell r="CT29">
            <v>63</v>
          </cell>
          <cell r="CU29">
            <v>73</v>
          </cell>
          <cell r="CV29">
            <v>72</v>
          </cell>
          <cell r="CW29">
            <v>72</v>
          </cell>
          <cell r="CX29">
            <v>72</v>
          </cell>
          <cell r="CY29">
            <v>75</v>
          </cell>
          <cell r="CZ29">
            <v>75</v>
          </cell>
          <cell r="DA29">
            <v>75</v>
          </cell>
          <cell r="DB29">
            <v>75</v>
          </cell>
          <cell r="DC29">
            <v>75</v>
          </cell>
          <cell r="DD29">
            <v>75</v>
          </cell>
          <cell r="DE29">
            <v>75</v>
          </cell>
          <cell r="DF29">
            <v>75</v>
          </cell>
          <cell r="DG29">
            <v>75</v>
          </cell>
          <cell r="DH29">
            <v>75</v>
          </cell>
          <cell r="DI29">
            <v>75</v>
          </cell>
          <cell r="DJ29">
            <v>75</v>
          </cell>
          <cell r="DK29">
            <v>75</v>
          </cell>
          <cell r="DL29">
            <v>75</v>
          </cell>
          <cell r="DM29">
            <v>75</v>
          </cell>
          <cell r="DN29">
            <v>75</v>
          </cell>
          <cell r="DO29">
            <v>75</v>
          </cell>
          <cell r="DP29">
            <v>75</v>
          </cell>
          <cell r="DQ29">
            <v>75</v>
          </cell>
          <cell r="DR29">
            <v>75</v>
          </cell>
          <cell r="DW29" t="str">
            <v>mstag:provisionsAndReserves</v>
          </cell>
          <cell r="DX29">
            <v>6</v>
          </cell>
          <cell r="DY29" t="str">
            <v>ISO4217:USD</v>
          </cell>
          <cell r="DZ29" t="b">
            <v>0</v>
          </cell>
        </row>
        <row r="30">
          <cell r="B30" t="str">
            <v>Accrued interest payable</v>
          </cell>
          <cell r="D30">
            <v>0</v>
          </cell>
          <cell r="E30">
            <v>0</v>
          </cell>
          <cell r="F30">
            <v>0</v>
          </cell>
          <cell r="G30">
            <v>0</v>
          </cell>
          <cell r="H30">
            <v>0</v>
          </cell>
          <cell r="I30">
            <v>0</v>
          </cell>
          <cell r="J30">
            <v>0</v>
          </cell>
          <cell r="K30">
            <v>0</v>
          </cell>
          <cell r="L30">
            <v>68</v>
          </cell>
          <cell r="M30">
            <v>68</v>
          </cell>
          <cell r="N30">
            <v>83.4</v>
          </cell>
          <cell r="O30">
            <v>71</v>
          </cell>
          <cell r="P30">
            <v>99.7</v>
          </cell>
          <cell r="Q30">
            <v>144</v>
          </cell>
          <cell r="R30">
            <v>144</v>
          </cell>
          <cell r="S30">
            <v>126</v>
          </cell>
          <cell r="T30">
            <v>157</v>
          </cell>
          <cell r="U30">
            <v>109</v>
          </cell>
          <cell r="V30">
            <v>106</v>
          </cell>
          <cell r="W30">
            <v>106</v>
          </cell>
          <cell r="X30">
            <v>80</v>
          </cell>
          <cell r="Y30">
            <v>163</v>
          </cell>
          <cell r="Z30">
            <v>80</v>
          </cell>
          <cell r="AA30">
            <v>163</v>
          </cell>
          <cell r="AB30">
            <v>163</v>
          </cell>
          <cell r="AC30">
            <v>73</v>
          </cell>
          <cell r="AD30">
            <v>154</v>
          </cell>
          <cell r="AE30">
            <v>74</v>
          </cell>
          <cell r="AF30">
            <v>155</v>
          </cell>
          <cell r="AG30">
            <v>155</v>
          </cell>
          <cell r="AH30">
            <v>74</v>
          </cell>
          <cell r="AI30">
            <v>154</v>
          </cell>
          <cell r="AJ30">
            <v>79</v>
          </cell>
          <cell r="AK30">
            <v>132</v>
          </cell>
          <cell r="AL30">
            <v>132</v>
          </cell>
          <cell r="AM30">
            <v>43</v>
          </cell>
          <cell r="AN30">
            <v>52</v>
          </cell>
          <cell r="AO30">
            <v>60</v>
          </cell>
          <cell r="AP30">
            <v>59</v>
          </cell>
          <cell r="AQ30">
            <v>59</v>
          </cell>
          <cell r="AR30">
            <v>0</v>
          </cell>
          <cell r="AS30">
            <v>0</v>
          </cell>
          <cell r="AT30">
            <v>0</v>
          </cell>
          <cell r="AY30">
            <v>24</v>
          </cell>
          <cell r="AZ30">
            <v>24</v>
          </cell>
          <cell r="BA30">
            <v>0</v>
          </cell>
          <cell r="BB30">
            <v>0</v>
          </cell>
          <cell r="BC30">
            <v>0</v>
          </cell>
          <cell r="BD30">
            <v>53</v>
          </cell>
          <cell r="BE30">
            <v>53</v>
          </cell>
          <cell r="BF30">
            <v>70</v>
          </cell>
          <cell r="BG30">
            <v>50</v>
          </cell>
          <cell r="BH30">
            <v>89</v>
          </cell>
          <cell r="BI30">
            <v>96</v>
          </cell>
          <cell r="BJ30">
            <v>96</v>
          </cell>
          <cell r="BK30">
            <v>96</v>
          </cell>
          <cell r="BL30">
            <v>125</v>
          </cell>
          <cell r="BM30">
            <v>96</v>
          </cell>
          <cell r="BN30">
            <v>124</v>
          </cell>
          <cell r="BO30">
            <v>124</v>
          </cell>
          <cell r="BP30">
            <v>96</v>
          </cell>
          <cell r="BQ30">
            <v>125</v>
          </cell>
          <cell r="BR30">
            <v>98</v>
          </cell>
          <cell r="BS30">
            <v>130</v>
          </cell>
          <cell r="BT30">
            <v>130</v>
          </cell>
          <cell r="BU30">
            <v>105</v>
          </cell>
          <cell r="BV30">
            <v>136</v>
          </cell>
          <cell r="BW30">
            <v>110</v>
          </cell>
          <cell r="BX30">
            <v>126</v>
          </cell>
          <cell r="BY30">
            <v>126</v>
          </cell>
          <cell r="BZ30">
            <v>97</v>
          </cell>
          <cell r="CA30">
            <v>125</v>
          </cell>
          <cell r="CB30">
            <v>97</v>
          </cell>
          <cell r="CC30">
            <v>125</v>
          </cell>
          <cell r="CD30">
            <v>125</v>
          </cell>
          <cell r="CE30">
            <v>77</v>
          </cell>
          <cell r="CF30">
            <v>104</v>
          </cell>
          <cell r="CG30">
            <v>123</v>
          </cell>
          <cell r="CH30">
            <v>127</v>
          </cell>
          <cell r="CI30">
            <v>127</v>
          </cell>
          <cell r="CJ30">
            <v>114</v>
          </cell>
          <cell r="CK30">
            <v>123</v>
          </cell>
          <cell r="CL30">
            <v>110</v>
          </cell>
          <cell r="CM30">
            <v>115</v>
          </cell>
          <cell r="CN30">
            <v>115</v>
          </cell>
          <cell r="CO30">
            <v>116</v>
          </cell>
          <cell r="CP30">
            <v>117</v>
          </cell>
          <cell r="CQ30">
            <v>111</v>
          </cell>
          <cell r="CR30">
            <v>112</v>
          </cell>
          <cell r="CS30">
            <v>112</v>
          </cell>
          <cell r="CT30">
            <v>103</v>
          </cell>
          <cell r="CU30">
            <v>121</v>
          </cell>
          <cell r="CV30">
            <v>110</v>
          </cell>
          <cell r="CW30">
            <v>110</v>
          </cell>
          <cell r="CX30">
            <v>110</v>
          </cell>
          <cell r="CY30">
            <v>110</v>
          </cell>
          <cell r="CZ30">
            <v>110</v>
          </cell>
          <cell r="DA30">
            <v>110</v>
          </cell>
          <cell r="DB30">
            <v>110</v>
          </cell>
          <cell r="DC30">
            <v>110</v>
          </cell>
          <cell r="DD30">
            <v>110</v>
          </cell>
          <cell r="DE30">
            <v>110</v>
          </cell>
          <cell r="DF30">
            <v>110</v>
          </cell>
          <cell r="DG30">
            <v>110</v>
          </cell>
          <cell r="DH30">
            <v>110</v>
          </cell>
          <cell r="DI30">
            <v>110</v>
          </cell>
          <cell r="DJ30">
            <v>110</v>
          </cell>
          <cell r="DK30">
            <v>110</v>
          </cell>
          <cell r="DL30">
            <v>110</v>
          </cell>
          <cell r="DM30">
            <v>110</v>
          </cell>
          <cell r="DN30">
            <v>110</v>
          </cell>
          <cell r="DO30">
            <v>110</v>
          </cell>
          <cell r="DP30">
            <v>110</v>
          </cell>
          <cell r="DQ30">
            <v>110</v>
          </cell>
          <cell r="DR30">
            <v>110</v>
          </cell>
          <cell r="DW30" t="str">
            <v>mstag:otherAccruedExpenses</v>
          </cell>
          <cell r="DX30">
            <v>6</v>
          </cell>
          <cell r="DY30" t="str">
            <v>ISO4217:USD</v>
          </cell>
          <cell r="DZ30" t="b">
            <v>0</v>
          </cell>
        </row>
        <row r="31">
          <cell r="B31" t="str">
            <v>Accrued legal settlement costs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Y31">
            <v>0</v>
          </cell>
          <cell r="AZ31">
            <v>0</v>
          </cell>
          <cell r="BA31">
            <v>0</v>
          </cell>
          <cell r="BB31">
            <v>0</v>
          </cell>
          <cell r="BC31">
            <v>253</v>
          </cell>
          <cell r="BD31">
            <v>203</v>
          </cell>
          <cell r="BE31">
            <v>203</v>
          </cell>
          <cell r="BF31">
            <v>52</v>
          </cell>
          <cell r="BG31">
            <v>19</v>
          </cell>
          <cell r="BH31">
            <v>11</v>
          </cell>
          <cell r="BI31">
            <v>40</v>
          </cell>
          <cell r="BJ31">
            <v>40</v>
          </cell>
          <cell r="BK31">
            <v>45</v>
          </cell>
          <cell r="BL31">
            <v>128</v>
          </cell>
          <cell r="BM31">
            <v>130</v>
          </cell>
          <cell r="BN31">
            <v>313</v>
          </cell>
          <cell r="BO31">
            <v>313</v>
          </cell>
          <cell r="BP31">
            <v>90</v>
          </cell>
          <cell r="BQ31">
            <v>58</v>
          </cell>
          <cell r="BR31">
            <v>47</v>
          </cell>
          <cell r="BS31">
            <v>71</v>
          </cell>
          <cell r="BT31">
            <v>71</v>
          </cell>
          <cell r="BU31">
            <v>88</v>
          </cell>
          <cell r="BV31">
            <v>93</v>
          </cell>
          <cell r="BW31">
            <v>113</v>
          </cell>
          <cell r="BX31">
            <v>119</v>
          </cell>
          <cell r="BY31">
            <v>119</v>
          </cell>
          <cell r="BZ31">
            <v>167</v>
          </cell>
          <cell r="CA31">
            <v>167</v>
          </cell>
          <cell r="CB31">
            <v>167</v>
          </cell>
          <cell r="CC31">
            <v>168</v>
          </cell>
          <cell r="CD31">
            <v>168</v>
          </cell>
          <cell r="CE31">
            <v>168</v>
          </cell>
          <cell r="CF31">
            <v>174</v>
          </cell>
          <cell r="CG31">
            <v>96</v>
          </cell>
          <cell r="CH31">
            <v>76</v>
          </cell>
          <cell r="CI31">
            <v>76</v>
          </cell>
          <cell r="CJ31">
            <v>55</v>
          </cell>
          <cell r="CK31">
            <v>31</v>
          </cell>
          <cell r="CL31">
            <v>8</v>
          </cell>
          <cell r="CM31">
            <v>8</v>
          </cell>
          <cell r="CN31">
            <v>8</v>
          </cell>
          <cell r="CO31">
            <v>13</v>
          </cell>
          <cell r="CP31">
            <v>10</v>
          </cell>
          <cell r="CQ31">
            <v>10</v>
          </cell>
          <cell r="CR31">
            <v>64</v>
          </cell>
          <cell r="CS31">
            <v>64</v>
          </cell>
          <cell r="CT31">
            <v>56</v>
          </cell>
          <cell r="CU31">
            <v>7</v>
          </cell>
          <cell r="CV31">
            <v>7</v>
          </cell>
          <cell r="CW31">
            <v>7</v>
          </cell>
          <cell r="CX31">
            <v>7</v>
          </cell>
          <cell r="CY31">
            <v>7</v>
          </cell>
          <cell r="CZ31">
            <v>7</v>
          </cell>
          <cell r="DA31">
            <v>7</v>
          </cell>
          <cell r="DB31">
            <v>7</v>
          </cell>
          <cell r="DC31">
            <v>7</v>
          </cell>
          <cell r="DD31">
            <v>7</v>
          </cell>
          <cell r="DE31">
            <v>7</v>
          </cell>
          <cell r="DF31">
            <v>7</v>
          </cell>
          <cell r="DG31">
            <v>7</v>
          </cell>
          <cell r="DH31">
            <v>7</v>
          </cell>
          <cell r="DI31">
            <v>7</v>
          </cell>
          <cell r="DJ31">
            <v>7</v>
          </cell>
          <cell r="DK31">
            <v>7</v>
          </cell>
          <cell r="DL31">
            <v>7</v>
          </cell>
          <cell r="DM31">
            <v>7</v>
          </cell>
          <cell r="DN31">
            <v>7</v>
          </cell>
          <cell r="DO31">
            <v>7</v>
          </cell>
          <cell r="DP31">
            <v>7</v>
          </cell>
          <cell r="DQ31">
            <v>7</v>
          </cell>
          <cell r="DR31">
            <v>7</v>
          </cell>
          <cell r="DW31" t="str">
            <v>mstag:otherAccruedExpenses</v>
          </cell>
          <cell r="DX31">
            <v>6</v>
          </cell>
          <cell r="DY31" t="str">
            <v>ISO4217:USD</v>
          </cell>
          <cell r="DZ31" t="b">
            <v>0</v>
          </cell>
        </row>
        <row r="32">
          <cell r="B32" t="str">
            <v>Income taxes payable</v>
          </cell>
          <cell r="D32">
            <v>23.882000000000001</v>
          </cell>
          <cell r="E32">
            <v>22.5</v>
          </cell>
          <cell r="F32">
            <v>26.4</v>
          </cell>
          <cell r="G32">
            <v>2</v>
          </cell>
          <cell r="H32">
            <v>2</v>
          </cell>
          <cell r="I32">
            <v>2.1</v>
          </cell>
          <cell r="J32">
            <v>0</v>
          </cell>
          <cell r="K32">
            <v>0</v>
          </cell>
          <cell r="L32">
            <v>33</v>
          </cell>
          <cell r="M32">
            <v>33</v>
          </cell>
          <cell r="N32">
            <v>49.3</v>
          </cell>
          <cell r="O32">
            <v>16</v>
          </cell>
          <cell r="P32">
            <v>25.9</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152</v>
          </cell>
          <cell r="AS32">
            <v>77</v>
          </cell>
          <cell r="AT32">
            <v>89</v>
          </cell>
          <cell r="AY32">
            <v>213</v>
          </cell>
          <cell r="AZ32">
            <v>213</v>
          </cell>
          <cell r="BA32">
            <v>39</v>
          </cell>
          <cell r="BB32">
            <v>36</v>
          </cell>
          <cell r="BC32">
            <v>1</v>
          </cell>
          <cell r="BD32">
            <v>36</v>
          </cell>
          <cell r="BE32">
            <v>36</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W32" t="str">
            <v>mstag:incomeTaxPayable</v>
          </cell>
          <cell r="DX32">
            <v>6</v>
          </cell>
          <cell r="DY32" t="str">
            <v>ISO4217:USD</v>
          </cell>
          <cell r="DZ32" t="b">
            <v>0</v>
          </cell>
        </row>
        <row r="33">
          <cell r="B33" t="str">
            <v>Other current liabilities</v>
          </cell>
          <cell r="D33">
            <v>331.67599999999999</v>
          </cell>
          <cell r="E33">
            <v>280.39999999999998</v>
          </cell>
          <cell r="F33">
            <v>264.3</v>
          </cell>
          <cell r="G33">
            <v>546</v>
          </cell>
          <cell r="H33">
            <v>546</v>
          </cell>
          <cell r="I33">
            <v>557</v>
          </cell>
          <cell r="J33">
            <v>474.29999999999995</v>
          </cell>
          <cell r="K33">
            <v>492.8</v>
          </cell>
          <cell r="L33">
            <v>473</v>
          </cell>
          <cell r="M33">
            <v>473</v>
          </cell>
          <cell r="N33">
            <v>373.2</v>
          </cell>
          <cell r="O33">
            <v>410.6</v>
          </cell>
          <cell r="P33">
            <v>733.8</v>
          </cell>
          <cell r="Q33">
            <v>848</v>
          </cell>
          <cell r="R33">
            <v>848</v>
          </cell>
          <cell r="S33">
            <v>655</v>
          </cell>
          <cell r="T33">
            <v>656</v>
          </cell>
          <cell r="U33">
            <v>624</v>
          </cell>
          <cell r="V33">
            <v>580</v>
          </cell>
          <cell r="W33">
            <v>580</v>
          </cell>
          <cell r="X33">
            <v>719</v>
          </cell>
          <cell r="Y33">
            <v>749</v>
          </cell>
          <cell r="Z33">
            <v>711</v>
          </cell>
          <cell r="AA33">
            <v>711</v>
          </cell>
          <cell r="AB33">
            <v>711</v>
          </cell>
          <cell r="AC33">
            <v>709</v>
          </cell>
          <cell r="AD33">
            <v>803</v>
          </cell>
          <cell r="AE33">
            <v>724</v>
          </cell>
          <cell r="AF33">
            <v>694</v>
          </cell>
          <cell r="AG33">
            <v>694</v>
          </cell>
          <cell r="AH33">
            <v>801</v>
          </cell>
          <cell r="AI33">
            <v>710</v>
          </cell>
          <cell r="AJ33">
            <v>678</v>
          </cell>
          <cell r="AK33">
            <v>758</v>
          </cell>
          <cell r="AL33">
            <v>758</v>
          </cell>
          <cell r="AM33">
            <v>813</v>
          </cell>
          <cell r="AN33">
            <v>875</v>
          </cell>
          <cell r="AO33">
            <v>802</v>
          </cell>
          <cell r="AP33">
            <v>867</v>
          </cell>
          <cell r="AQ33">
            <v>867</v>
          </cell>
          <cell r="AR33">
            <v>766</v>
          </cell>
          <cell r="AS33">
            <v>777</v>
          </cell>
          <cell r="AT33">
            <v>643</v>
          </cell>
          <cell r="AY33">
            <v>644</v>
          </cell>
          <cell r="AZ33">
            <v>644</v>
          </cell>
          <cell r="BA33">
            <v>715</v>
          </cell>
          <cell r="BB33">
            <v>749</v>
          </cell>
          <cell r="BC33">
            <v>746</v>
          </cell>
          <cell r="BD33">
            <v>518</v>
          </cell>
          <cell r="BE33">
            <v>518</v>
          </cell>
          <cell r="BF33">
            <v>534</v>
          </cell>
          <cell r="BG33">
            <v>529</v>
          </cell>
          <cell r="BH33">
            <v>580</v>
          </cell>
          <cell r="BI33">
            <v>489</v>
          </cell>
          <cell r="BJ33">
            <v>489</v>
          </cell>
          <cell r="BK33">
            <v>451</v>
          </cell>
          <cell r="BL33">
            <v>415</v>
          </cell>
          <cell r="BM33">
            <v>407</v>
          </cell>
          <cell r="BN33">
            <v>393</v>
          </cell>
          <cell r="BO33">
            <v>393</v>
          </cell>
          <cell r="BP33">
            <v>349</v>
          </cell>
          <cell r="BQ33">
            <v>349</v>
          </cell>
          <cell r="BR33">
            <v>474</v>
          </cell>
          <cell r="BS33">
            <v>392</v>
          </cell>
          <cell r="BT33">
            <v>392</v>
          </cell>
          <cell r="BU33">
            <v>485</v>
          </cell>
          <cell r="BV33">
            <v>477</v>
          </cell>
          <cell r="BW33">
            <v>502</v>
          </cell>
          <cell r="BX33">
            <v>468</v>
          </cell>
          <cell r="BY33">
            <v>468</v>
          </cell>
          <cell r="BZ33">
            <v>485</v>
          </cell>
          <cell r="CA33">
            <v>548</v>
          </cell>
          <cell r="CB33">
            <v>536</v>
          </cell>
          <cell r="CC33">
            <v>427</v>
          </cell>
          <cell r="CD33">
            <v>427</v>
          </cell>
          <cell r="CE33">
            <v>494</v>
          </cell>
          <cell r="CF33">
            <v>364</v>
          </cell>
          <cell r="CG33">
            <v>419</v>
          </cell>
          <cell r="CH33">
            <v>363</v>
          </cell>
          <cell r="CI33">
            <v>363</v>
          </cell>
          <cell r="CJ33">
            <v>340</v>
          </cell>
          <cell r="CK33">
            <v>340</v>
          </cell>
          <cell r="CL33">
            <v>499</v>
          </cell>
          <cell r="CM33">
            <v>368</v>
          </cell>
          <cell r="CN33">
            <v>368</v>
          </cell>
          <cell r="CO33">
            <v>350</v>
          </cell>
          <cell r="CP33">
            <v>340</v>
          </cell>
          <cell r="CQ33">
            <v>372</v>
          </cell>
          <cell r="CR33">
            <v>362</v>
          </cell>
          <cell r="CS33">
            <v>362</v>
          </cell>
          <cell r="CT33">
            <v>352</v>
          </cell>
          <cell r="CU33">
            <v>427</v>
          </cell>
          <cell r="CV33">
            <v>389</v>
          </cell>
          <cell r="CW33">
            <v>389</v>
          </cell>
          <cell r="CX33">
            <v>389</v>
          </cell>
          <cell r="CY33">
            <v>389</v>
          </cell>
          <cell r="CZ33">
            <v>389</v>
          </cell>
          <cell r="DA33">
            <v>389</v>
          </cell>
          <cell r="DB33">
            <v>389</v>
          </cell>
          <cell r="DC33">
            <v>389</v>
          </cell>
          <cell r="DD33">
            <v>389</v>
          </cell>
          <cell r="DE33">
            <v>389</v>
          </cell>
          <cell r="DF33">
            <v>389</v>
          </cell>
          <cell r="DG33">
            <v>389</v>
          </cell>
          <cell r="DH33">
            <v>389</v>
          </cell>
          <cell r="DI33">
            <v>389</v>
          </cell>
          <cell r="DJ33">
            <v>389</v>
          </cell>
          <cell r="DK33">
            <v>389</v>
          </cell>
          <cell r="DL33">
            <v>389</v>
          </cell>
          <cell r="DM33">
            <v>389</v>
          </cell>
          <cell r="DN33">
            <v>389</v>
          </cell>
          <cell r="DO33">
            <v>389</v>
          </cell>
          <cell r="DP33">
            <v>389</v>
          </cell>
          <cell r="DQ33">
            <v>389</v>
          </cell>
          <cell r="DR33">
            <v>389</v>
          </cell>
          <cell r="DW33" t="str">
            <v>mstag:otherLiabilitiesOperatingCurrent</v>
          </cell>
          <cell r="DX33">
            <v>6</v>
          </cell>
          <cell r="DY33" t="str">
            <v>ISO4217:USD</v>
          </cell>
          <cell r="DZ33" t="b">
            <v>0</v>
          </cell>
        </row>
        <row r="34">
          <cell r="B34" t="str">
            <v>Current Liabilities</v>
          </cell>
          <cell r="D34">
            <v>1178.26</v>
          </cell>
          <cell r="E34">
            <v>1132.4000000000001</v>
          </cell>
          <cell r="F34">
            <v>624.9</v>
          </cell>
          <cell r="G34">
            <v>1356</v>
          </cell>
          <cell r="H34">
            <v>1356</v>
          </cell>
          <cell r="I34">
            <v>1257.2000000000003</v>
          </cell>
          <cell r="J34">
            <v>1178.7</v>
          </cell>
          <cell r="K34">
            <v>1027.3</v>
          </cell>
          <cell r="L34">
            <v>1134</v>
          </cell>
          <cell r="M34">
            <v>1134</v>
          </cell>
          <cell r="N34">
            <v>1022.6999999999998</v>
          </cell>
          <cell r="O34">
            <v>944.9</v>
          </cell>
          <cell r="P34">
            <v>1556.1</v>
          </cell>
          <cell r="Q34">
            <v>1869</v>
          </cell>
          <cell r="R34">
            <v>1869</v>
          </cell>
          <cell r="S34">
            <v>1636</v>
          </cell>
          <cell r="T34">
            <v>1634</v>
          </cell>
          <cell r="U34">
            <v>1640</v>
          </cell>
          <cell r="V34">
            <v>1708</v>
          </cell>
          <cell r="W34">
            <v>1708</v>
          </cell>
          <cell r="X34">
            <v>1648</v>
          </cell>
          <cell r="Y34">
            <v>1820</v>
          </cell>
          <cell r="Z34">
            <v>1845</v>
          </cell>
          <cell r="AA34">
            <v>2022</v>
          </cell>
          <cell r="AB34">
            <v>2022</v>
          </cell>
          <cell r="AC34">
            <v>1767</v>
          </cell>
          <cell r="AD34">
            <v>1925</v>
          </cell>
          <cell r="AE34">
            <v>1800</v>
          </cell>
          <cell r="AF34">
            <v>1912</v>
          </cell>
          <cell r="AG34">
            <v>1912</v>
          </cell>
          <cell r="AH34">
            <v>1836</v>
          </cell>
          <cell r="AI34">
            <v>1932</v>
          </cell>
          <cell r="AJ34">
            <v>1900</v>
          </cell>
          <cell r="AK34">
            <v>2166</v>
          </cell>
          <cell r="AL34">
            <v>2166</v>
          </cell>
          <cell r="AM34">
            <v>2096</v>
          </cell>
          <cell r="AN34">
            <v>2226</v>
          </cell>
          <cell r="AO34">
            <v>2280</v>
          </cell>
          <cell r="AP34">
            <v>2584</v>
          </cell>
          <cell r="AQ34">
            <v>2584</v>
          </cell>
          <cell r="AR34">
            <v>2459</v>
          </cell>
          <cell r="AS34">
            <v>2316</v>
          </cell>
          <cell r="AT34">
            <v>2300</v>
          </cell>
          <cell r="AV34">
            <v>0</v>
          </cell>
          <cell r="AW34">
            <v>0</v>
          </cell>
          <cell r="AX34">
            <v>0</v>
          </cell>
          <cell r="AY34">
            <v>2381</v>
          </cell>
          <cell r="AZ34">
            <v>2381</v>
          </cell>
          <cell r="BA34">
            <v>2311</v>
          </cell>
          <cell r="BB34">
            <v>2284</v>
          </cell>
          <cell r="BC34">
            <v>2373</v>
          </cell>
          <cell r="BD34">
            <v>2394</v>
          </cell>
          <cell r="BE34">
            <v>2394</v>
          </cell>
          <cell r="BF34">
            <v>2198</v>
          </cell>
          <cell r="BG34">
            <v>2073</v>
          </cell>
          <cell r="BH34">
            <v>2101</v>
          </cell>
          <cell r="BI34">
            <v>2130</v>
          </cell>
          <cell r="BJ34">
            <v>2130</v>
          </cell>
          <cell r="BK34">
            <v>1843</v>
          </cell>
          <cell r="BL34">
            <v>1976</v>
          </cell>
          <cell r="BM34">
            <v>1982</v>
          </cell>
          <cell r="BN34">
            <v>2292</v>
          </cell>
          <cell r="BO34">
            <v>2292</v>
          </cell>
          <cell r="BP34">
            <v>1809</v>
          </cell>
          <cell r="BQ34">
            <v>1783</v>
          </cell>
          <cell r="BR34">
            <v>1907</v>
          </cell>
          <cell r="BS34">
            <v>1925</v>
          </cell>
          <cell r="BT34">
            <v>1925</v>
          </cell>
          <cell r="BU34">
            <v>1833</v>
          </cell>
          <cell r="BV34">
            <v>1843</v>
          </cell>
          <cell r="BW34">
            <v>1873</v>
          </cell>
          <cell r="BX34">
            <v>2048</v>
          </cell>
          <cell r="BY34">
            <v>2048</v>
          </cell>
          <cell r="BZ34">
            <v>1873</v>
          </cell>
          <cell r="CA34">
            <v>1973</v>
          </cell>
          <cell r="CB34">
            <v>1975</v>
          </cell>
          <cell r="CC34">
            <v>1949</v>
          </cell>
          <cell r="CD34">
            <v>1949</v>
          </cell>
          <cell r="CE34">
            <v>1835</v>
          </cell>
          <cell r="CF34">
            <v>1705</v>
          </cell>
          <cell r="CG34">
            <v>1772</v>
          </cell>
          <cell r="CH34">
            <v>1783</v>
          </cell>
          <cell r="CI34">
            <v>1783</v>
          </cell>
          <cell r="CJ34">
            <v>1579</v>
          </cell>
          <cell r="CK34">
            <v>1558</v>
          </cell>
          <cell r="CL34">
            <v>1696</v>
          </cell>
          <cell r="CM34">
            <v>1725</v>
          </cell>
          <cell r="CN34">
            <v>1725</v>
          </cell>
          <cell r="CO34">
            <v>1657</v>
          </cell>
          <cell r="CP34">
            <v>1662</v>
          </cell>
          <cell r="CQ34">
            <v>1679</v>
          </cell>
          <cell r="CR34">
            <v>1815</v>
          </cell>
          <cell r="CS34">
            <v>1815</v>
          </cell>
          <cell r="CT34">
            <v>1840</v>
          </cell>
          <cell r="CU34">
            <v>1872</v>
          </cell>
          <cell r="CV34">
            <v>1829</v>
          </cell>
          <cell r="CW34">
            <v>1703.6962957716835</v>
          </cell>
          <cell r="CX34">
            <v>1703.6962957716835</v>
          </cell>
          <cell r="CY34">
            <v>1762.4385842850083</v>
          </cell>
          <cell r="CZ34">
            <v>1752.8562326494482</v>
          </cell>
          <cell r="DA34">
            <v>1686.9175217991433</v>
          </cell>
          <cell r="DB34">
            <v>1679.4890689505207</v>
          </cell>
          <cell r="DC34">
            <v>1679.4890689505207</v>
          </cell>
          <cell r="DD34">
            <v>1740.9354349595139</v>
          </cell>
          <cell r="DE34">
            <v>1733.2790796355512</v>
          </cell>
          <cell r="DF34">
            <v>1720.8634047130686</v>
          </cell>
          <cell r="DG34">
            <v>1712.4937700725341</v>
          </cell>
          <cell r="DH34">
            <v>1712.4937700725341</v>
          </cell>
          <cell r="DI34">
            <v>1786.4868202775638</v>
          </cell>
          <cell r="DJ34">
            <v>1771.9190676425228</v>
          </cell>
          <cell r="DK34">
            <v>1757.8586432364818</v>
          </cell>
          <cell r="DL34">
            <v>1749.8649032413869</v>
          </cell>
          <cell r="DM34">
            <v>1749.8649032413869</v>
          </cell>
          <cell r="DN34">
            <v>1819.7030782759603</v>
          </cell>
          <cell r="DO34">
            <v>1813.3594329604575</v>
          </cell>
          <cell r="DP34">
            <v>1798.9061938330797</v>
          </cell>
          <cell r="DQ34">
            <v>1789.220019075226</v>
          </cell>
          <cell r="DR34">
            <v>1789.220019075226</v>
          </cell>
        </row>
        <row r="36">
          <cell r="B36" t="str">
            <v>Long-term debt</v>
          </cell>
          <cell r="D36">
            <v>243.85599999999999</v>
          </cell>
          <cell r="E36">
            <v>236.3</v>
          </cell>
          <cell r="F36">
            <v>725.6</v>
          </cell>
          <cell r="G36">
            <v>3273</v>
          </cell>
          <cell r="H36">
            <v>3273</v>
          </cell>
          <cell r="I36">
            <v>3226.1</v>
          </cell>
          <cell r="J36">
            <v>3254.9</v>
          </cell>
          <cell r="K36">
            <v>3270</v>
          </cell>
          <cell r="L36">
            <v>3191</v>
          </cell>
          <cell r="M36">
            <v>3191</v>
          </cell>
          <cell r="N36">
            <v>3183.4</v>
          </cell>
          <cell r="O36">
            <v>3332.5</v>
          </cell>
          <cell r="P36">
            <v>4855.5</v>
          </cell>
          <cell r="Q36">
            <v>5022</v>
          </cell>
          <cell r="R36">
            <v>5022</v>
          </cell>
          <cell r="S36">
            <v>5293</v>
          </cell>
          <cell r="T36">
            <v>5520</v>
          </cell>
          <cell r="U36">
            <v>5755</v>
          </cell>
          <cell r="V36">
            <v>5829</v>
          </cell>
          <cell r="W36">
            <v>5829</v>
          </cell>
          <cell r="X36">
            <v>6025</v>
          </cell>
          <cell r="Y36">
            <v>6309</v>
          </cell>
          <cell r="Z36">
            <v>6496</v>
          </cell>
          <cell r="AA36">
            <v>6391</v>
          </cell>
          <cell r="AB36">
            <v>6391</v>
          </cell>
          <cell r="AC36">
            <v>6525</v>
          </cell>
          <cell r="AD36">
            <v>5780</v>
          </cell>
          <cell r="AE36">
            <v>5997</v>
          </cell>
          <cell r="AF36">
            <v>5668</v>
          </cell>
          <cell r="AG36">
            <v>5668</v>
          </cell>
          <cell r="AH36">
            <v>5424</v>
          </cell>
          <cell r="AI36">
            <v>5047</v>
          </cell>
          <cell r="AJ36">
            <v>4856</v>
          </cell>
          <cell r="AK36">
            <v>4202</v>
          </cell>
          <cell r="AL36">
            <v>4202</v>
          </cell>
          <cell r="AM36">
            <v>4362</v>
          </cell>
          <cell r="AN36">
            <v>4321</v>
          </cell>
          <cell r="AO36">
            <v>4288</v>
          </cell>
          <cell r="AP36">
            <v>3919</v>
          </cell>
          <cell r="AQ36">
            <v>3919</v>
          </cell>
          <cell r="AR36">
            <v>3551</v>
          </cell>
          <cell r="AS36">
            <v>3888</v>
          </cell>
          <cell r="AT36">
            <v>4024</v>
          </cell>
          <cell r="AY36">
            <v>3872</v>
          </cell>
          <cell r="AZ36">
            <v>3872</v>
          </cell>
          <cell r="BA36">
            <v>4025</v>
          </cell>
          <cell r="BB36">
            <v>4026</v>
          </cell>
          <cell r="BC36">
            <v>4032</v>
          </cell>
          <cell r="BD36">
            <v>4039</v>
          </cell>
          <cell r="BE36">
            <v>4039</v>
          </cell>
          <cell r="BF36">
            <v>4009</v>
          </cell>
          <cell r="BG36">
            <v>4488</v>
          </cell>
          <cell r="BH36">
            <v>4487</v>
          </cell>
          <cell r="BI36">
            <v>4395</v>
          </cell>
          <cell r="BJ36">
            <v>4395</v>
          </cell>
          <cell r="BK36">
            <v>4782</v>
          </cell>
          <cell r="BL36">
            <v>4784</v>
          </cell>
          <cell r="BM36">
            <v>4783</v>
          </cell>
          <cell r="BN36">
            <v>4784</v>
          </cell>
          <cell r="BO36">
            <v>4784</v>
          </cell>
          <cell r="BP36">
            <v>4785</v>
          </cell>
          <cell r="BQ36">
            <v>4787</v>
          </cell>
          <cell r="BR36">
            <v>4759</v>
          </cell>
          <cell r="BS36">
            <v>4760</v>
          </cell>
          <cell r="BT36">
            <v>4760</v>
          </cell>
          <cell r="BU36">
            <v>4762</v>
          </cell>
          <cell r="BV36">
            <v>4764</v>
          </cell>
          <cell r="BW36">
            <v>4766</v>
          </cell>
          <cell r="BX36">
            <v>4771</v>
          </cell>
          <cell r="BY36">
            <v>4771</v>
          </cell>
          <cell r="BZ36">
            <v>4773</v>
          </cell>
          <cell r="CA36">
            <v>4775</v>
          </cell>
          <cell r="CB36">
            <v>4777</v>
          </cell>
          <cell r="CC36">
            <v>4778</v>
          </cell>
          <cell r="CD36">
            <v>4778</v>
          </cell>
          <cell r="CE36">
            <v>4639</v>
          </cell>
          <cell r="CF36">
            <v>4624</v>
          </cell>
          <cell r="CG36">
            <v>4267</v>
          </cell>
          <cell r="CH36">
            <v>4272</v>
          </cell>
          <cell r="CI36">
            <v>4272</v>
          </cell>
          <cell r="CJ36">
            <v>4271</v>
          </cell>
          <cell r="CK36">
            <v>4272</v>
          </cell>
          <cell r="CL36">
            <v>4057</v>
          </cell>
          <cell r="CM36">
            <v>3997</v>
          </cell>
          <cell r="CN36">
            <v>3997</v>
          </cell>
          <cell r="CO36">
            <v>4014</v>
          </cell>
          <cell r="CP36">
            <v>3989</v>
          </cell>
          <cell r="CQ36">
            <v>3966</v>
          </cell>
          <cell r="CR36">
            <v>4294</v>
          </cell>
          <cell r="CS36">
            <v>4294</v>
          </cell>
          <cell r="CT36">
            <v>4295</v>
          </cell>
          <cell r="CU36">
            <v>4511</v>
          </cell>
          <cell r="CV36">
            <v>4508</v>
          </cell>
          <cell r="CW36">
            <v>5342</v>
          </cell>
          <cell r="CX36">
            <v>5342</v>
          </cell>
          <cell r="CY36">
            <v>5345.5</v>
          </cell>
          <cell r="CZ36">
            <v>5293.7910000000002</v>
          </cell>
          <cell r="DA36">
            <v>5349</v>
          </cell>
          <cell r="DB36">
            <v>5352.5</v>
          </cell>
          <cell r="DC36">
            <v>5352.5</v>
          </cell>
          <cell r="DD36">
            <v>5356</v>
          </cell>
          <cell r="DE36">
            <v>5359.5</v>
          </cell>
          <cell r="DF36">
            <v>5363</v>
          </cell>
          <cell r="DG36">
            <v>5366.5</v>
          </cell>
          <cell r="DH36">
            <v>5366.5</v>
          </cell>
          <cell r="DI36">
            <v>5370</v>
          </cell>
          <cell r="DJ36">
            <v>5373.5</v>
          </cell>
          <cell r="DK36">
            <v>5377</v>
          </cell>
          <cell r="DL36">
            <v>5380.5</v>
          </cell>
          <cell r="DM36">
            <v>5380.5</v>
          </cell>
          <cell r="DN36">
            <v>5384</v>
          </cell>
          <cell r="DO36">
            <v>5387.5</v>
          </cell>
          <cell r="DP36">
            <v>5391</v>
          </cell>
          <cell r="DQ36">
            <v>5394.5</v>
          </cell>
          <cell r="DR36">
            <v>5394.5</v>
          </cell>
          <cell r="DW36" t="str">
            <v>mstag:longTermDebt</v>
          </cell>
          <cell r="DX36">
            <v>6</v>
          </cell>
          <cell r="DY36" t="str">
            <v>ISO4217:USD</v>
          </cell>
          <cell r="DZ36" t="b">
            <v>0</v>
          </cell>
        </row>
        <row r="37">
          <cell r="B37" t="str">
            <v>Professional &amp; general liability reserves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Y37">
            <v>0</v>
          </cell>
          <cell r="AZ37">
            <v>0</v>
          </cell>
          <cell r="BA37">
            <v>0</v>
          </cell>
          <cell r="BB37">
            <v>0</v>
          </cell>
          <cell r="BC37">
            <v>0</v>
          </cell>
          <cell r="BD37">
            <v>511</v>
          </cell>
          <cell r="BE37">
            <v>511</v>
          </cell>
          <cell r="BF37">
            <v>529</v>
          </cell>
          <cell r="BG37">
            <v>603</v>
          </cell>
          <cell r="BH37">
            <v>624</v>
          </cell>
          <cell r="BI37">
            <v>591</v>
          </cell>
          <cell r="BJ37">
            <v>591</v>
          </cell>
          <cell r="BK37">
            <v>609</v>
          </cell>
          <cell r="BL37">
            <v>600</v>
          </cell>
          <cell r="BM37">
            <v>606</v>
          </cell>
          <cell r="BN37">
            <v>594</v>
          </cell>
          <cell r="BO37">
            <v>594</v>
          </cell>
          <cell r="BP37">
            <v>590</v>
          </cell>
          <cell r="BQ37">
            <v>593</v>
          </cell>
          <cell r="BR37">
            <v>583</v>
          </cell>
          <cell r="BS37">
            <v>586</v>
          </cell>
          <cell r="BT37">
            <v>586</v>
          </cell>
          <cell r="BU37">
            <v>588</v>
          </cell>
          <cell r="BV37">
            <v>577</v>
          </cell>
          <cell r="BW37">
            <v>565</v>
          </cell>
          <cell r="BX37">
            <v>555</v>
          </cell>
          <cell r="BY37">
            <v>555</v>
          </cell>
          <cell r="BZ37">
            <v>553</v>
          </cell>
          <cell r="CA37">
            <v>547</v>
          </cell>
          <cell r="CB37">
            <v>548</v>
          </cell>
          <cell r="CC37">
            <v>536</v>
          </cell>
          <cell r="CD37">
            <v>536</v>
          </cell>
          <cell r="CE37">
            <v>527</v>
          </cell>
          <cell r="CF37">
            <v>509</v>
          </cell>
          <cell r="CG37">
            <v>486</v>
          </cell>
          <cell r="CH37">
            <v>466</v>
          </cell>
          <cell r="CI37">
            <v>466</v>
          </cell>
          <cell r="CJ37">
            <v>441</v>
          </cell>
          <cell r="CK37">
            <v>427</v>
          </cell>
          <cell r="CL37">
            <v>425</v>
          </cell>
          <cell r="CM37">
            <v>383</v>
          </cell>
          <cell r="CN37">
            <v>383</v>
          </cell>
          <cell r="CO37">
            <v>373</v>
          </cell>
          <cell r="CP37">
            <v>369</v>
          </cell>
          <cell r="CQ37">
            <v>347</v>
          </cell>
          <cell r="CR37">
            <v>337</v>
          </cell>
          <cell r="CS37">
            <v>337</v>
          </cell>
          <cell r="CT37">
            <v>335</v>
          </cell>
          <cell r="CU37">
            <v>336</v>
          </cell>
          <cell r="CV37">
            <v>322</v>
          </cell>
          <cell r="CW37">
            <v>322</v>
          </cell>
          <cell r="CX37">
            <v>322</v>
          </cell>
          <cell r="CY37">
            <v>400</v>
          </cell>
          <cell r="CZ37">
            <v>400</v>
          </cell>
          <cell r="DA37">
            <v>400</v>
          </cell>
          <cell r="DB37">
            <v>400</v>
          </cell>
          <cell r="DC37">
            <v>400</v>
          </cell>
          <cell r="DD37">
            <v>400</v>
          </cell>
          <cell r="DE37">
            <v>400</v>
          </cell>
          <cell r="DF37">
            <v>400</v>
          </cell>
          <cell r="DG37">
            <v>400</v>
          </cell>
          <cell r="DH37">
            <v>400</v>
          </cell>
          <cell r="DI37">
            <v>400</v>
          </cell>
          <cell r="DJ37">
            <v>400</v>
          </cell>
          <cell r="DK37">
            <v>400</v>
          </cell>
          <cell r="DL37">
            <v>400</v>
          </cell>
          <cell r="DM37">
            <v>400</v>
          </cell>
          <cell r="DN37">
            <v>400</v>
          </cell>
          <cell r="DO37">
            <v>400</v>
          </cell>
          <cell r="DP37">
            <v>400</v>
          </cell>
          <cell r="DQ37">
            <v>400</v>
          </cell>
          <cell r="DR37">
            <v>400</v>
          </cell>
          <cell r="DW37" t="str">
            <v>mstag:provisionsAndReserves</v>
          </cell>
          <cell r="DX37">
            <v>6</v>
          </cell>
          <cell r="DY37" t="str">
            <v>ISO4217:USD</v>
          </cell>
          <cell r="DZ37" t="b">
            <v>0</v>
          </cell>
        </row>
        <row r="38">
          <cell r="B38" t="str">
            <v>Accrued legal settlement costs</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275</v>
          </cell>
          <cell r="BR38">
            <v>275</v>
          </cell>
          <cell r="BS38">
            <v>251</v>
          </cell>
          <cell r="BT38">
            <v>251</v>
          </cell>
          <cell r="BU38">
            <v>229</v>
          </cell>
          <cell r="BV38">
            <v>207</v>
          </cell>
          <cell r="BW38">
            <v>185</v>
          </cell>
          <cell r="BX38">
            <v>163</v>
          </cell>
          <cell r="BY38">
            <v>163</v>
          </cell>
          <cell r="BZ38">
            <v>140</v>
          </cell>
          <cell r="CA38">
            <v>118</v>
          </cell>
          <cell r="CB38">
            <v>95</v>
          </cell>
          <cell r="CC38">
            <v>72</v>
          </cell>
          <cell r="CD38">
            <v>72</v>
          </cell>
          <cell r="CE38">
            <v>49</v>
          </cell>
          <cell r="CF38">
            <v>25</v>
          </cell>
          <cell r="CG38">
            <v>0</v>
          </cell>
          <cell r="CH38">
            <v>19</v>
          </cell>
          <cell r="CI38">
            <v>19</v>
          </cell>
          <cell r="CJ38">
            <v>19</v>
          </cell>
          <cell r="CK38">
            <v>19</v>
          </cell>
          <cell r="CL38">
            <v>22</v>
          </cell>
          <cell r="CM38">
            <v>22</v>
          </cell>
          <cell r="CN38">
            <v>22</v>
          </cell>
          <cell r="CO38">
            <v>22</v>
          </cell>
          <cell r="CP38">
            <v>22</v>
          </cell>
          <cell r="CQ38">
            <v>22</v>
          </cell>
          <cell r="CR38">
            <v>2</v>
          </cell>
          <cell r="CS38">
            <v>2</v>
          </cell>
          <cell r="CT38">
            <v>2</v>
          </cell>
          <cell r="CU38">
            <v>2</v>
          </cell>
          <cell r="CV38">
            <v>2</v>
          </cell>
          <cell r="CW38">
            <v>2</v>
          </cell>
          <cell r="CX38">
            <v>2</v>
          </cell>
          <cell r="CY38">
            <v>2</v>
          </cell>
          <cell r="CZ38">
            <v>2</v>
          </cell>
          <cell r="DA38">
            <v>2</v>
          </cell>
          <cell r="DB38">
            <v>2</v>
          </cell>
          <cell r="DC38">
            <v>2</v>
          </cell>
          <cell r="DD38">
            <v>2</v>
          </cell>
          <cell r="DE38">
            <v>2</v>
          </cell>
          <cell r="DF38">
            <v>2</v>
          </cell>
          <cell r="DG38">
            <v>2</v>
          </cell>
          <cell r="DH38">
            <v>2</v>
          </cell>
          <cell r="DI38">
            <v>2</v>
          </cell>
          <cell r="DJ38">
            <v>2</v>
          </cell>
          <cell r="DK38">
            <v>2</v>
          </cell>
          <cell r="DL38">
            <v>2</v>
          </cell>
          <cell r="DM38">
            <v>2</v>
          </cell>
          <cell r="DN38">
            <v>2</v>
          </cell>
          <cell r="DO38">
            <v>2</v>
          </cell>
          <cell r="DP38">
            <v>2</v>
          </cell>
          <cell r="DQ38">
            <v>2</v>
          </cell>
          <cell r="DR38">
            <v>2</v>
          </cell>
          <cell r="DW38" t="str">
            <v>mstag:otherAccruedExpenses</v>
          </cell>
          <cell r="DX38">
            <v>6</v>
          </cell>
          <cell r="DY38" t="str">
            <v>ISO4217:USD</v>
          </cell>
          <cell r="DZ38" t="b">
            <v>0</v>
          </cell>
        </row>
        <row r="39">
          <cell r="B39" t="str">
            <v>Deferred income taxes</v>
          </cell>
          <cell r="D39">
            <v>126</v>
          </cell>
          <cell r="E39">
            <v>126</v>
          </cell>
          <cell r="F39">
            <v>136.1</v>
          </cell>
          <cell r="G39">
            <v>301</v>
          </cell>
          <cell r="H39">
            <v>301</v>
          </cell>
          <cell r="I39">
            <v>307</v>
          </cell>
          <cell r="J39">
            <v>384.1</v>
          </cell>
          <cell r="K39">
            <v>394.5</v>
          </cell>
          <cell r="L39">
            <v>394</v>
          </cell>
          <cell r="M39">
            <v>394</v>
          </cell>
          <cell r="N39">
            <v>429.9</v>
          </cell>
          <cell r="O39">
            <v>424.5</v>
          </cell>
          <cell r="P39">
            <v>451.3</v>
          </cell>
          <cell r="Q39">
            <v>308</v>
          </cell>
          <cell r="R39">
            <v>308</v>
          </cell>
          <cell r="S39">
            <v>325</v>
          </cell>
          <cell r="T39">
            <v>309</v>
          </cell>
          <cell r="U39">
            <v>334</v>
          </cell>
          <cell r="V39">
            <v>423</v>
          </cell>
          <cell r="W39">
            <v>423</v>
          </cell>
          <cell r="X39">
            <v>408</v>
          </cell>
          <cell r="Y39">
            <v>435</v>
          </cell>
          <cell r="Z39">
            <v>437</v>
          </cell>
          <cell r="AA39">
            <v>440</v>
          </cell>
          <cell r="AB39">
            <v>440</v>
          </cell>
          <cell r="AC39">
            <v>401</v>
          </cell>
          <cell r="AD39">
            <v>427</v>
          </cell>
          <cell r="AE39">
            <v>443</v>
          </cell>
          <cell r="AF39">
            <v>491</v>
          </cell>
          <cell r="AG39">
            <v>491</v>
          </cell>
          <cell r="AH39">
            <v>500</v>
          </cell>
          <cell r="AI39">
            <v>497</v>
          </cell>
          <cell r="AJ39">
            <v>529</v>
          </cell>
          <cell r="AK39">
            <v>554</v>
          </cell>
          <cell r="AL39">
            <v>554</v>
          </cell>
          <cell r="AM39">
            <v>589</v>
          </cell>
          <cell r="AN39">
            <v>546</v>
          </cell>
          <cell r="AO39">
            <v>551</v>
          </cell>
          <cell r="AP39">
            <v>689</v>
          </cell>
          <cell r="AQ39">
            <v>689</v>
          </cell>
          <cell r="AR39">
            <v>704</v>
          </cell>
          <cell r="AS39">
            <v>682</v>
          </cell>
          <cell r="AT39">
            <v>471</v>
          </cell>
          <cell r="AY39">
            <v>526</v>
          </cell>
          <cell r="AZ39">
            <v>526</v>
          </cell>
          <cell r="BA39">
            <v>322</v>
          </cell>
          <cell r="BB39">
            <v>171</v>
          </cell>
          <cell r="BC39">
            <v>252</v>
          </cell>
          <cell r="BD39">
            <v>4</v>
          </cell>
          <cell r="BE39">
            <v>4</v>
          </cell>
          <cell r="BF39">
            <v>114</v>
          </cell>
          <cell r="BG39">
            <v>108</v>
          </cell>
          <cell r="BH39">
            <v>85</v>
          </cell>
          <cell r="BI39">
            <v>311</v>
          </cell>
          <cell r="BJ39">
            <v>311</v>
          </cell>
          <cell r="BK39">
            <v>284</v>
          </cell>
          <cell r="BL39">
            <v>273</v>
          </cell>
          <cell r="BM39">
            <v>347</v>
          </cell>
          <cell r="BN39">
            <v>212</v>
          </cell>
          <cell r="BO39">
            <v>212</v>
          </cell>
          <cell r="BP39">
            <v>136</v>
          </cell>
          <cell r="BQ39">
            <v>141</v>
          </cell>
          <cell r="BR39">
            <v>161</v>
          </cell>
          <cell r="BS39">
            <v>107</v>
          </cell>
          <cell r="BT39">
            <v>107</v>
          </cell>
          <cell r="BU39">
            <v>78</v>
          </cell>
          <cell r="BV39">
            <v>82</v>
          </cell>
          <cell r="BW39">
            <v>99</v>
          </cell>
          <cell r="BX39">
            <v>119</v>
          </cell>
          <cell r="BY39">
            <v>119</v>
          </cell>
          <cell r="BZ39">
            <v>139</v>
          </cell>
          <cell r="CA39">
            <v>147</v>
          </cell>
          <cell r="CB39">
            <v>114</v>
          </cell>
          <cell r="CC39">
            <v>101</v>
          </cell>
          <cell r="CD39">
            <v>101</v>
          </cell>
          <cell r="CE39">
            <v>106</v>
          </cell>
          <cell r="CF39">
            <v>114</v>
          </cell>
          <cell r="CG39">
            <v>116</v>
          </cell>
          <cell r="CH39">
            <v>148</v>
          </cell>
          <cell r="CI39">
            <v>148</v>
          </cell>
          <cell r="CJ39">
            <v>153</v>
          </cell>
          <cell r="CK39">
            <v>160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W39" t="str">
            <v>mstag:deferredTaxLiabilitiesNonCurrent</v>
          </cell>
          <cell r="DX39">
            <v>6</v>
          </cell>
          <cell r="DY39" t="str">
            <v>ISO4217:USD</v>
          </cell>
          <cell r="DZ39" t="b">
            <v>0</v>
          </cell>
        </row>
        <row r="40">
          <cell r="B40" t="str">
            <v>Other long-term liabilities</v>
          </cell>
          <cell r="D40">
            <v>400.06599999999997</v>
          </cell>
          <cell r="E40">
            <v>374.1</v>
          </cell>
          <cell r="F40">
            <v>359.1</v>
          </cell>
          <cell r="G40">
            <v>1002</v>
          </cell>
          <cell r="H40">
            <v>1002</v>
          </cell>
          <cell r="I40">
            <v>988.5</v>
          </cell>
          <cell r="J40">
            <v>967.8</v>
          </cell>
          <cell r="K40">
            <v>975.2</v>
          </cell>
          <cell r="L40">
            <v>977</v>
          </cell>
          <cell r="M40">
            <v>977</v>
          </cell>
          <cell r="N40">
            <v>1025.7</v>
          </cell>
          <cell r="O40">
            <v>1024.4000000000001</v>
          </cell>
          <cell r="P40">
            <v>1249.0999999999999</v>
          </cell>
          <cell r="Q40">
            <v>1282</v>
          </cell>
          <cell r="R40">
            <v>1282</v>
          </cell>
          <cell r="S40">
            <v>1263</v>
          </cell>
          <cell r="T40">
            <v>1260</v>
          </cell>
          <cell r="U40">
            <v>1293</v>
          </cell>
          <cell r="V40">
            <v>1256</v>
          </cell>
          <cell r="W40">
            <v>1256</v>
          </cell>
          <cell r="X40">
            <v>1226</v>
          </cell>
          <cell r="Y40">
            <v>1201</v>
          </cell>
          <cell r="Z40">
            <v>1134</v>
          </cell>
          <cell r="AA40">
            <v>1048</v>
          </cell>
          <cell r="AB40">
            <v>1048</v>
          </cell>
          <cell r="AC40">
            <v>1048</v>
          </cell>
          <cell r="AD40">
            <v>1054</v>
          </cell>
          <cell r="AE40">
            <v>1049</v>
          </cell>
          <cell r="AF40">
            <v>1024</v>
          </cell>
          <cell r="AG40">
            <v>1024</v>
          </cell>
          <cell r="AH40">
            <v>1038</v>
          </cell>
          <cell r="AI40">
            <v>1061</v>
          </cell>
          <cell r="AJ40">
            <v>1024</v>
          </cell>
          <cell r="AK40">
            <v>994</v>
          </cell>
          <cell r="AL40">
            <v>994</v>
          </cell>
          <cell r="AM40">
            <v>1045</v>
          </cell>
          <cell r="AN40">
            <v>1029</v>
          </cell>
          <cell r="AO40">
            <v>1056</v>
          </cell>
          <cell r="AP40">
            <v>1003</v>
          </cell>
          <cell r="AQ40">
            <v>1003</v>
          </cell>
          <cell r="AR40">
            <v>1140</v>
          </cell>
          <cell r="AS40">
            <v>1144</v>
          </cell>
          <cell r="AT40">
            <v>1298</v>
          </cell>
          <cell r="AY40">
            <v>1278</v>
          </cell>
          <cell r="AZ40">
            <v>1278</v>
          </cell>
          <cell r="BA40">
            <v>1283</v>
          </cell>
          <cell r="BB40">
            <v>1503</v>
          </cell>
          <cell r="BC40">
            <v>1548</v>
          </cell>
          <cell r="BD40">
            <v>989</v>
          </cell>
          <cell r="BE40">
            <v>989</v>
          </cell>
          <cell r="BF40">
            <v>1013</v>
          </cell>
          <cell r="BG40">
            <v>991</v>
          </cell>
          <cell r="BH40">
            <v>980</v>
          </cell>
          <cell r="BI40">
            <v>919</v>
          </cell>
          <cell r="BJ40">
            <v>919</v>
          </cell>
          <cell r="BK40">
            <v>969</v>
          </cell>
          <cell r="BL40">
            <v>910</v>
          </cell>
          <cell r="BM40">
            <v>925</v>
          </cell>
          <cell r="BN40">
            <v>909</v>
          </cell>
          <cell r="BO40">
            <v>909</v>
          </cell>
          <cell r="BP40">
            <v>918</v>
          </cell>
          <cell r="BQ40">
            <v>914</v>
          </cell>
          <cell r="BR40">
            <v>726</v>
          </cell>
          <cell r="BS40">
            <v>646</v>
          </cell>
          <cell r="BT40">
            <v>646</v>
          </cell>
          <cell r="BU40">
            <v>618</v>
          </cell>
          <cell r="BV40">
            <v>631</v>
          </cell>
          <cell r="BW40">
            <v>646</v>
          </cell>
          <cell r="BX40">
            <v>683</v>
          </cell>
          <cell r="BY40">
            <v>683</v>
          </cell>
          <cell r="BZ40">
            <v>664</v>
          </cell>
          <cell r="CA40">
            <v>654</v>
          </cell>
          <cell r="CB40">
            <v>649</v>
          </cell>
          <cell r="CC40">
            <v>635</v>
          </cell>
          <cell r="CD40">
            <v>635</v>
          </cell>
          <cell r="CE40">
            <v>598</v>
          </cell>
          <cell r="CF40">
            <v>618</v>
          </cell>
          <cell r="CG40">
            <v>562</v>
          </cell>
          <cell r="CH40">
            <v>568</v>
          </cell>
          <cell r="CI40">
            <v>568</v>
          </cell>
          <cell r="CJ40">
            <v>561</v>
          </cell>
          <cell r="CK40">
            <v>572</v>
          </cell>
          <cell r="CL40">
            <v>571</v>
          </cell>
          <cell r="CM40">
            <v>554</v>
          </cell>
          <cell r="CN40">
            <v>554</v>
          </cell>
          <cell r="CO40">
            <v>550</v>
          </cell>
          <cell r="CP40">
            <v>503</v>
          </cell>
          <cell r="CQ40">
            <v>502</v>
          </cell>
          <cell r="CR40">
            <v>506</v>
          </cell>
          <cell r="CS40">
            <v>506</v>
          </cell>
          <cell r="CT40">
            <v>526</v>
          </cell>
          <cell r="CU40">
            <v>519</v>
          </cell>
          <cell r="CV40">
            <v>524</v>
          </cell>
          <cell r="CW40">
            <v>524</v>
          </cell>
          <cell r="CX40">
            <v>524</v>
          </cell>
          <cell r="CY40">
            <v>524</v>
          </cell>
          <cell r="CZ40">
            <v>524</v>
          </cell>
          <cell r="DA40">
            <v>524</v>
          </cell>
          <cell r="DB40">
            <v>524</v>
          </cell>
          <cell r="DC40">
            <v>524</v>
          </cell>
          <cell r="DD40">
            <v>524</v>
          </cell>
          <cell r="DE40">
            <v>524</v>
          </cell>
          <cell r="DF40">
            <v>524</v>
          </cell>
          <cell r="DG40">
            <v>524</v>
          </cell>
          <cell r="DH40">
            <v>524</v>
          </cell>
          <cell r="DI40">
            <v>524</v>
          </cell>
          <cell r="DJ40">
            <v>524</v>
          </cell>
          <cell r="DK40">
            <v>524</v>
          </cell>
          <cell r="DL40">
            <v>524</v>
          </cell>
          <cell r="DM40">
            <v>524</v>
          </cell>
          <cell r="DN40">
            <v>524</v>
          </cell>
          <cell r="DO40">
            <v>524</v>
          </cell>
          <cell r="DP40">
            <v>524</v>
          </cell>
          <cell r="DQ40">
            <v>524</v>
          </cell>
          <cell r="DR40">
            <v>524</v>
          </cell>
          <cell r="DW40" t="str">
            <v>mstag:otherLiabilitiesOperatingNonCurrent</v>
          </cell>
          <cell r="DX40">
            <v>6</v>
          </cell>
          <cell r="DY40" t="str">
            <v>ISO4217:USD</v>
          </cell>
          <cell r="DZ40" t="b">
            <v>0</v>
          </cell>
        </row>
        <row r="41">
          <cell r="B41" t="str">
            <v>Total Liabilities</v>
          </cell>
          <cell r="D41">
            <v>1948.182</v>
          </cell>
          <cell r="E41">
            <v>1868.8000000000002</v>
          </cell>
          <cell r="F41">
            <v>1845.6999999999998</v>
          </cell>
          <cell r="G41">
            <v>5932</v>
          </cell>
          <cell r="H41">
            <v>5932</v>
          </cell>
          <cell r="I41">
            <v>5778.8</v>
          </cell>
          <cell r="J41">
            <v>5785.5000000000009</v>
          </cell>
          <cell r="K41">
            <v>5667</v>
          </cell>
          <cell r="L41">
            <v>5696</v>
          </cell>
          <cell r="M41">
            <v>5696</v>
          </cell>
          <cell r="N41">
            <v>5661.7</v>
          </cell>
          <cell r="O41">
            <v>5726.2999999999993</v>
          </cell>
          <cell r="P41">
            <v>8112</v>
          </cell>
          <cell r="Q41">
            <v>8481</v>
          </cell>
          <cell r="R41">
            <v>8481</v>
          </cell>
          <cell r="S41">
            <v>8517</v>
          </cell>
          <cell r="T41">
            <v>8723</v>
          </cell>
          <cell r="U41">
            <v>9022</v>
          </cell>
          <cell r="V41">
            <v>9216</v>
          </cell>
          <cell r="W41">
            <v>9216</v>
          </cell>
          <cell r="X41">
            <v>9307</v>
          </cell>
          <cell r="Y41">
            <v>9765</v>
          </cell>
          <cell r="Z41">
            <v>9912</v>
          </cell>
          <cell r="AA41">
            <v>9901</v>
          </cell>
          <cell r="AB41">
            <v>9901</v>
          </cell>
          <cell r="AC41">
            <v>9741</v>
          </cell>
          <cell r="AD41">
            <v>9186</v>
          </cell>
          <cell r="AE41">
            <v>9289</v>
          </cell>
          <cell r="AF41">
            <v>9095</v>
          </cell>
          <cell r="AG41">
            <v>9095</v>
          </cell>
          <cell r="AH41">
            <v>8798</v>
          </cell>
          <cell r="AI41">
            <v>8537</v>
          </cell>
          <cell r="AJ41">
            <v>8309</v>
          </cell>
          <cell r="AK41">
            <v>7916</v>
          </cell>
          <cell r="AL41">
            <v>7916</v>
          </cell>
          <cell r="AM41">
            <v>8092</v>
          </cell>
          <cell r="AN41">
            <v>8122</v>
          </cell>
          <cell r="AO41">
            <v>8175</v>
          </cell>
          <cell r="AP41">
            <v>8195</v>
          </cell>
          <cell r="AQ41">
            <v>8195</v>
          </cell>
          <cell r="AR41">
            <v>7854</v>
          </cell>
          <cell r="AS41">
            <v>8030</v>
          </cell>
          <cell r="AT41">
            <v>8093</v>
          </cell>
          <cell r="AV41">
            <v>0</v>
          </cell>
          <cell r="AW41">
            <v>0</v>
          </cell>
          <cell r="AX41">
            <v>0</v>
          </cell>
          <cell r="AY41">
            <v>8057</v>
          </cell>
          <cell r="AZ41">
            <v>8057</v>
          </cell>
          <cell r="BA41">
            <v>7941</v>
          </cell>
          <cell r="BB41">
            <v>7984</v>
          </cell>
          <cell r="BC41">
            <v>8205</v>
          </cell>
          <cell r="BD41">
            <v>7937</v>
          </cell>
          <cell r="BE41">
            <v>7937</v>
          </cell>
          <cell r="BF41">
            <v>7863</v>
          </cell>
          <cell r="BG41">
            <v>8263</v>
          </cell>
          <cell r="BH41">
            <v>8277</v>
          </cell>
          <cell r="BI41">
            <v>8346</v>
          </cell>
          <cell r="BJ41">
            <v>8346</v>
          </cell>
          <cell r="BK41">
            <v>8487</v>
          </cell>
          <cell r="BL41">
            <v>8543</v>
          </cell>
          <cell r="BM41">
            <v>8643</v>
          </cell>
          <cell r="BN41">
            <v>8791</v>
          </cell>
          <cell r="BO41">
            <v>8791</v>
          </cell>
          <cell r="BP41">
            <v>8238</v>
          </cell>
          <cell r="BQ41">
            <v>8493</v>
          </cell>
          <cell r="BR41">
            <v>8411</v>
          </cell>
          <cell r="BS41">
            <v>8275</v>
          </cell>
          <cell r="BT41">
            <v>8275</v>
          </cell>
          <cell r="BU41">
            <v>8108</v>
          </cell>
          <cell r="BV41">
            <v>8104</v>
          </cell>
          <cell r="BW41">
            <v>8134</v>
          </cell>
          <cell r="BX41">
            <v>8339</v>
          </cell>
          <cell r="BY41">
            <v>8339</v>
          </cell>
          <cell r="BZ41">
            <v>8142</v>
          </cell>
          <cell r="CA41">
            <v>8214</v>
          </cell>
          <cell r="CB41">
            <v>8158</v>
          </cell>
          <cell r="CC41">
            <v>8071</v>
          </cell>
          <cell r="CD41">
            <v>8071</v>
          </cell>
          <cell r="CE41">
            <v>7754</v>
          </cell>
          <cell r="CF41">
            <v>7595</v>
          </cell>
          <cell r="CG41">
            <v>7203</v>
          </cell>
          <cell r="CH41">
            <v>7256</v>
          </cell>
          <cell r="CI41">
            <v>7256</v>
          </cell>
          <cell r="CJ41">
            <v>7024</v>
          </cell>
          <cell r="CK41">
            <v>7008</v>
          </cell>
          <cell r="CL41">
            <v>6771</v>
          </cell>
          <cell r="CM41">
            <v>6681</v>
          </cell>
          <cell r="CN41">
            <v>6681</v>
          </cell>
          <cell r="CO41">
            <v>6616</v>
          </cell>
          <cell r="CP41">
            <v>6545</v>
          </cell>
          <cell r="CQ41">
            <v>6516</v>
          </cell>
          <cell r="CR41">
            <v>6954</v>
          </cell>
          <cell r="CS41">
            <v>6954</v>
          </cell>
          <cell r="CT41">
            <v>6998</v>
          </cell>
          <cell r="CU41">
            <v>7240</v>
          </cell>
          <cell r="CV41">
            <v>7185</v>
          </cell>
          <cell r="CW41">
            <v>7893.6962957716833</v>
          </cell>
          <cell r="CX41">
            <v>7893.6962957716833</v>
          </cell>
          <cell r="CY41">
            <v>8033.9385842850079</v>
          </cell>
          <cell r="CZ41">
            <v>7972.6472326494486</v>
          </cell>
          <cell r="DA41">
            <v>7961.9175217991433</v>
          </cell>
          <cell r="DB41">
            <v>7957.989068950521</v>
          </cell>
          <cell r="DC41">
            <v>7957.989068950521</v>
          </cell>
          <cell r="DD41">
            <v>8022.9354349595142</v>
          </cell>
          <cell r="DE41">
            <v>8018.7790796355512</v>
          </cell>
          <cell r="DF41">
            <v>8009.863404713069</v>
          </cell>
          <cell r="DG41">
            <v>8004.9937700725341</v>
          </cell>
          <cell r="DH41">
            <v>8004.9937700725341</v>
          </cell>
          <cell r="DI41">
            <v>8082.4868202775633</v>
          </cell>
          <cell r="DJ41">
            <v>8071.4190676425224</v>
          </cell>
          <cell r="DK41">
            <v>8060.8586432364818</v>
          </cell>
          <cell r="DL41">
            <v>8056.3649032413869</v>
          </cell>
          <cell r="DM41">
            <v>8056.3649032413869</v>
          </cell>
          <cell r="DN41">
            <v>8129.7030782759603</v>
          </cell>
          <cell r="DO41">
            <v>8126.8594329604575</v>
          </cell>
          <cell r="DP41">
            <v>8115.9061938330797</v>
          </cell>
          <cell r="DQ41">
            <v>8109.7200190752264</v>
          </cell>
          <cell r="DR41">
            <v>8109.7200190752264</v>
          </cell>
        </row>
        <row r="43">
          <cell r="B43" t="str">
            <v xml:space="preserve">Redeemable noncontrolling interests in equity of consolidated subsidiaries </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16</v>
          </cell>
          <cell r="CQ43">
            <v>16</v>
          </cell>
          <cell r="CR43">
            <v>16</v>
          </cell>
          <cell r="CS43">
            <v>16</v>
          </cell>
          <cell r="CT43">
            <v>16</v>
          </cell>
          <cell r="CU43">
            <v>16</v>
          </cell>
          <cell r="CV43">
            <v>16</v>
          </cell>
          <cell r="CW43">
            <v>16</v>
          </cell>
          <cell r="CX43">
            <v>16</v>
          </cell>
          <cell r="CY43">
            <v>16</v>
          </cell>
          <cell r="CZ43">
            <v>16</v>
          </cell>
          <cell r="DA43">
            <v>16</v>
          </cell>
          <cell r="DB43">
            <v>16</v>
          </cell>
          <cell r="DC43">
            <v>16</v>
          </cell>
          <cell r="DD43">
            <v>16</v>
          </cell>
          <cell r="DE43">
            <v>16</v>
          </cell>
          <cell r="DF43">
            <v>16</v>
          </cell>
          <cell r="DG43">
            <v>16</v>
          </cell>
          <cell r="DH43">
            <v>16</v>
          </cell>
          <cell r="DI43">
            <v>16</v>
          </cell>
          <cell r="DJ43">
            <v>16</v>
          </cell>
          <cell r="DK43">
            <v>16</v>
          </cell>
          <cell r="DL43">
            <v>16</v>
          </cell>
          <cell r="DM43">
            <v>16</v>
          </cell>
          <cell r="DN43">
            <v>16</v>
          </cell>
          <cell r="DO43">
            <v>16</v>
          </cell>
          <cell r="DP43">
            <v>16</v>
          </cell>
          <cell r="DQ43">
            <v>16</v>
          </cell>
          <cell r="DR43">
            <v>16</v>
          </cell>
          <cell r="DW43" t="str">
            <v>mstag:minorityInterestsInEquity</v>
          </cell>
          <cell r="DX43">
            <v>6</v>
          </cell>
          <cell r="DY43" t="str">
            <v>ISO4217:USD</v>
          </cell>
          <cell r="DZ43" t="b">
            <v>0</v>
          </cell>
        </row>
        <row r="45">
          <cell r="B45" t="str">
            <v>Preferred Equity</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334</v>
          </cell>
          <cell r="CH45">
            <v>334</v>
          </cell>
          <cell r="CI45">
            <v>334</v>
          </cell>
          <cell r="CJ45">
            <v>334</v>
          </cell>
          <cell r="CK45">
            <v>334</v>
          </cell>
          <cell r="CL45">
            <v>334</v>
          </cell>
          <cell r="CM45">
            <v>334</v>
          </cell>
          <cell r="CN45">
            <v>334</v>
          </cell>
          <cell r="CO45">
            <v>334</v>
          </cell>
          <cell r="CP45">
            <v>334</v>
          </cell>
          <cell r="CQ45">
            <v>334</v>
          </cell>
          <cell r="CR45">
            <v>334</v>
          </cell>
          <cell r="CS45">
            <v>334</v>
          </cell>
          <cell r="CT45">
            <v>334</v>
          </cell>
          <cell r="CU45">
            <v>45</v>
          </cell>
          <cell r="CV45">
            <v>45</v>
          </cell>
          <cell r="CW45">
            <v>45</v>
          </cell>
          <cell r="CX45">
            <v>45</v>
          </cell>
          <cell r="CY45">
            <v>45</v>
          </cell>
          <cell r="CZ45">
            <v>45</v>
          </cell>
          <cell r="DA45">
            <v>45</v>
          </cell>
          <cell r="DB45">
            <v>45</v>
          </cell>
          <cell r="DC45">
            <v>45</v>
          </cell>
          <cell r="DD45">
            <v>45</v>
          </cell>
          <cell r="DE45">
            <v>45</v>
          </cell>
          <cell r="DF45">
            <v>45</v>
          </cell>
          <cell r="DG45">
            <v>45</v>
          </cell>
          <cell r="DH45">
            <v>45</v>
          </cell>
          <cell r="DI45">
            <v>45</v>
          </cell>
          <cell r="DJ45">
            <v>45</v>
          </cell>
          <cell r="DK45">
            <v>45</v>
          </cell>
          <cell r="DL45">
            <v>45</v>
          </cell>
          <cell r="DM45">
            <v>45</v>
          </cell>
          <cell r="DN45">
            <v>45</v>
          </cell>
          <cell r="DO45">
            <v>45</v>
          </cell>
          <cell r="DP45">
            <v>45</v>
          </cell>
          <cell r="DQ45">
            <v>45</v>
          </cell>
          <cell r="DR45">
            <v>45</v>
          </cell>
          <cell r="DW45" t="str">
            <v>mstag:preferredEquity</v>
          </cell>
          <cell r="DX45">
            <v>6</v>
          </cell>
          <cell r="DY45" t="str">
            <v>ISO4217:USD</v>
          </cell>
          <cell r="DZ45" t="b">
            <v>0</v>
          </cell>
        </row>
        <row r="46">
          <cell r="B46" t="str">
            <v>Common stock</v>
          </cell>
          <cell r="D46">
            <v>13.919</v>
          </cell>
          <cell r="E46">
            <v>13.9</v>
          </cell>
          <cell r="F46">
            <v>13.9</v>
          </cell>
          <cell r="G46">
            <v>16</v>
          </cell>
          <cell r="H46">
            <v>16</v>
          </cell>
          <cell r="I46">
            <v>16.399999999999999</v>
          </cell>
          <cell r="J46">
            <v>16.399999999999999</v>
          </cell>
          <cell r="K46">
            <v>16.399999999999999</v>
          </cell>
          <cell r="L46">
            <v>16</v>
          </cell>
          <cell r="M46">
            <v>16</v>
          </cell>
          <cell r="N46">
            <v>16.399999999999999</v>
          </cell>
          <cell r="O46">
            <v>16.5</v>
          </cell>
          <cell r="P46">
            <v>22.8</v>
          </cell>
          <cell r="Q46">
            <v>23</v>
          </cell>
          <cell r="R46">
            <v>23</v>
          </cell>
          <cell r="S46">
            <v>23</v>
          </cell>
          <cell r="T46">
            <v>23</v>
          </cell>
          <cell r="U46">
            <v>23</v>
          </cell>
          <cell r="V46">
            <v>23</v>
          </cell>
          <cell r="W46">
            <v>23</v>
          </cell>
          <cell r="X46">
            <v>24</v>
          </cell>
          <cell r="Y46">
            <v>24</v>
          </cell>
          <cell r="Z46">
            <v>24</v>
          </cell>
          <cell r="AA46">
            <v>24</v>
          </cell>
          <cell r="AB46">
            <v>24</v>
          </cell>
          <cell r="AC46">
            <v>24</v>
          </cell>
          <cell r="AD46">
            <v>24</v>
          </cell>
          <cell r="AE46">
            <v>24</v>
          </cell>
          <cell r="AF46">
            <v>24</v>
          </cell>
          <cell r="AG46">
            <v>24</v>
          </cell>
          <cell r="AH46">
            <v>24</v>
          </cell>
          <cell r="AI46">
            <v>24</v>
          </cell>
          <cell r="AJ46">
            <v>25</v>
          </cell>
          <cell r="AK46">
            <v>25</v>
          </cell>
          <cell r="AL46">
            <v>25</v>
          </cell>
          <cell r="AM46">
            <v>25</v>
          </cell>
          <cell r="AN46">
            <v>25</v>
          </cell>
          <cell r="AO46">
            <v>25</v>
          </cell>
          <cell r="AP46">
            <v>26</v>
          </cell>
          <cell r="AQ46">
            <v>26</v>
          </cell>
          <cell r="AR46">
            <v>0</v>
          </cell>
          <cell r="AS46">
            <v>0</v>
          </cell>
          <cell r="AT46">
            <v>0</v>
          </cell>
          <cell r="AY46">
            <v>26</v>
          </cell>
          <cell r="AZ46">
            <v>26</v>
          </cell>
          <cell r="BA46">
            <v>0</v>
          </cell>
          <cell r="BB46">
            <v>0</v>
          </cell>
          <cell r="BC46">
            <v>0</v>
          </cell>
          <cell r="BD46">
            <v>26</v>
          </cell>
          <cell r="BE46">
            <v>26</v>
          </cell>
          <cell r="BF46">
            <v>0</v>
          </cell>
          <cell r="BG46">
            <v>0</v>
          </cell>
          <cell r="BH46">
            <v>0</v>
          </cell>
          <cell r="BI46">
            <v>26</v>
          </cell>
          <cell r="BJ46">
            <v>26</v>
          </cell>
          <cell r="BK46">
            <v>26</v>
          </cell>
          <cell r="BL46">
            <v>26</v>
          </cell>
          <cell r="BM46">
            <v>26</v>
          </cell>
          <cell r="BN46">
            <v>26</v>
          </cell>
          <cell r="BO46">
            <v>26</v>
          </cell>
          <cell r="BP46">
            <v>26</v>
          </cell>
          <cell r="BQ46">
            <v>26</v>
          </cell>
          <cell r="BR46">
            <v>26</v>
          </cell>
          <cell r="BS46">
            <v>26</v>
          </cell>
          <cell r="BT46">
            <v>26</v>
          </cell>
          <cell r="BU46">
            <v>26</v>
          </cell>
          <cell r="BV46">
            <v>26</v>
          </cell>
          <cell r="BW46">
            <v>26</v>
          </cell>
          <cell r="BX46">
            <v>26</v>
          </cell>
          <cell r="BY46">
            <v>26</v>
          </cell>
          <cell r="BZ46">
            <v>27</v>
          </cell>
          <cell r="CA46">
            <v>26</v>
          </cell>
          <cell r="CB46">
            <v>26</v>
          </cell>
          <cell r="CC46">
            <v>26</v>
          </cell>
          <cell r="CD46">
            <v>26</v>
          </cell>
          <cell r="CE46">
            <v>26</v>
          </cell>
          <cell r="CF46">
            <v>26</v>
          </cell>
          <cell r="CG46">
            <v>26</v>
          </cell>
          <cell r="CH46">
            <v>27</v>
          </cell>
          <cell r="CI46">
            <v>27</v>
          </cell>
          <cell r="CJ46">
            <v>27</v>
          </cell>
          <cell r="CK46">
            <v>27</v>
          </cell>
          <cell r="CL46">
            <v>27</v>
          </cell>
          <cell r="CM46">
            <v>27</v>
          </cell>
          <cell r="CN46">
            <v>27</v>
          </cell>
          <cell r="CO46">
            <v>27</v>
          </cell>
          <cell r="CP46">
            <v>27</v>
          </cell>
          <cell r="CQ46">
            <v>27</v>
          </cell>
          <cell r="CR46">
            <v>27</v>
          </cell>
          <cell r="CS46">
            <v>27</v>
          </cell>
          <cell r="CT46">
            <v>27</v>
          </cell>
          <cell r="CU46">
            <v>27</v>
          </cell>
          <cell r="CV46">
            <v>7</v>
          </cell>
          <cell r="CW46">
            <v>7</v>
          </cell>
          <cell r="CX46">
            <v>7</v>
          </cell>
          <cell r="CY46">
            <v>7</v>
          </cell>
          <cell r="CZ46">
            <v>7</v>
          </cell>
          <cell r="DA46">
            <v>7</v>
          </cell>
          <cell r="DB46">
            <v>7</v>
          </cell>
          <cell r="DC46">
            <v>7</v>
          </cell>
          <cell r="DD46">
            <v>7</v>
          </cell>
          <cell r="DE46">
            <v>7</v>
          </cell>
          <cell r="DF46">
            <v>7</v>
          </cell>
          <cell r="DG46">
            <v>7</v>
          </cell>
          <cell r="DH46">
            <v>7</v>
          </cell>
          <cell r="DI46">
            <v>7</v>
          </cell>
          <cell r="DJ46">
            <v>7</v>
          </cell>
          <cell r="DK46">
            <v>7</v>
          </cell>
          <cell r="DL46">
            <v>7</v>
          </cell>
          <cell r="DM46">
            <v>7</v>
          </cell>
          <cell r="DN46">
            <v>7</v>
          </cell>
          <cell r="DO46">
            <v>7</v>
          </cell>
          <cell r="DP46">
            <v>7</v>
          </cell>
          <cell r="DQ46">
            <v>7</v>
          </cell>
          <cell r="DR46">
            <v>7</v>
          </cell>
          <cell r="DW46" t="str">
            <v>mstag:commonStock</v>
          </cell>
          <cell r="DX46">
            <v>6</v>
          </cell>
          <cell r="DY46" t="str">
            <v>ISO4217:USD</v>
          </cell>
          <cell r="DZ46" t="b">
            <v>0</v>
          </cell>
        </row>
        <row r="47">
          <cell r="B47" t="str">
            <v>Additional paid in capital</v>
          </cell>
          <cell r="D47">
            <v>1653.62</v>
          </cell>
          <cell r="E47">
            <v>1698.8</v>
          </cell>
          <cell r="F47">
            <v>1747.3</v>
          </cell>
          <cell r="G47">
            <v>1502</v>
          </cell>
          <cell r="H47">
            <v>1502</v>
          </cell>
          <cell r="I47">
            <v>2359.5</v>
          </cell>
          <cell r="J47">
            <v>2557.9</v>
          </cell>
          <cell r="K47">
            <v>2697.9</v>
          </cell>
          <cell r="L47">
            <v>1542</v>
          </cell>
          <cell r="M47">
            <v>1542</v>
          </cell>
          <cell r="N47">
            <v>2786.1</v>
          </cell>
          <cell r="O47">
            <v>2868.4</v>
          </cell>
          <cell r="P47">
            <v>3490.7</v>
          </cell>
          <cell r="Q47">
            <v>2311</v>
          </cell>
          <cell r="R47">
            <v>2311</v>
          </cell>
          <cell r="S47">
            <v>3428</v>
          </cell>
          <cell r="T47">
            <v>3507</v>
          </cell>
          <cell r="U47">
            <v>3740</v>
          </cell>
          <cell r="V47">
            <v>2475</v>
          </cell>
          <cell r="W47">
            <v>2475</v>
          </cell>
          <cell r="X47">
            <v>3709</v>
          </cell>
          <cell r="Y47">
            <v>3910</v>
          </cell>
          <cell r="Z47">
            <v>4019</v>
          </cell>
          <cell r="AA47">
            <v>2510</v>
          </cell>
          <cell r="AB47">
            <v>2510</v>
          </cell>
          <cell r="AC47">
            <v>3998</v>
          </cell>
          <cell r="AD47">
            <v>4135</v>
          </cell>
          <cell r="AE47">
            <v>4149</v>
          </cell>
          <cell r="AF47">
            <v>2555</v>
          </cell>
          <cell r="AG47">
            <v>2555</v>
          </cell>
          <cell r="AH47">
            <v>4339</v>
          </cell>
          <cell r="AI47">
            <v>4630</v>
          </cell>
          <cell r="AJ47">
            <v>4985</v>
          </cell>
          <cell r="AK47">
            <v>2898</v>
          </cell>
          <cell r="AL47">
            <v>2898</v>
          </cell>
          <cell r="AM47">
            <v>3025</v>
          </cell>
          <cell r="AN47">
            <v>3063</v>
          </cell>
          <cell r="AO47">
            <v>3239</v>
          </cell>
          <cell r="AP47">
            <v>3367</v>
          </cell>
          <cell r="AQ47">
            <v>3367</v>
          </cell>
          <cell r="AR47">
            <v>3434</v>
          </cell>
          <cell r="AS47">
            <v>3486</v>
          </cell>
          <cell r="AT47">
            <v>3519</v>
          </cell>
          <cell r="AY47">
            <v>3483</v>
          </cell>
          <cell r="AZ47">
            <v>3483</v>
          </cell>
          <cell r="BA47">
            <v>3987</v>
          </cell>
          <cell r="BB47">
            <v>4066</v>
          </cell>
          <cell r="BC47">
            <v>4112</v>
          </cell>
          <cell r="BD47">
            <v>4124</v>
          </cell>
          <cell r="BE47">
            <v>4124</v>
          </cell>
          <cell r="BF47">
            <v>4180</v>
          </cell>
          <cell r="BG47">
            <v>4230</v>
          </cell>
          <cell r="BH47">
            <v>4260</v>
          </cell>
          <cell r="BI47">
            <v>4131</v>
          </cell>
          <cell r="BJ47">
            <v>4131</v>
          </cell>
          <cell r="BK47">
            <v>4278</v>
          </cell>
          <cell r="BL47">
            <v>4294</v>
          </cell>
          <cell r="BM47">
            <v>4311</v>
          </cell>
          <cell r="BN47">
            <v>4320</v>
          </cell>
          <cell r="BO47">
            <v>4320</v>
          </cell>
          <cell r="BP47">
            <v>4329</v>
          </cell>
          <cell r="BQ47">
            <v>4335</v>
          </cell>
          <cell r="BR47">
            <v>4347</v>
          </cell>
          <cell r="BS47">
            <v>4372</v>
          </cell>
          <cell r="BT47">
            <v>4372</v>
          </cell>
          <cell r="BU47">
            <v>4379</v>
          </cell>
          <cell r="BV47">
            <v>4391</v>
          </cell>
          <cell r="BW47">
            <v>4401</v>
          </cell>
          <cell r="BX47">
            <v>4412</v>
          </cell>
          <cell r="BY47">
            <v>4412</v>
          </cell>
          <cell r="BZ47">
            <v>4420</v>
          </cell>
          <cell r="CA47">
            <v>4431</v>
          </cell>
          <cell r="CB47">
            <v>4437</v>
          </cell>
          <cell r="CC47">
            <v>4445</v>
          </cell>
          <cell r="CD47">
            <v>4445</v>
          </cell>
          <cell r="CE47">
            <v>4450</v>
          </cell>
          <cell r="CF47">
            <v>4457</v>
          </cell>
          <cell r="CG47">
            <v>4464</v>
          </cell>
          <cell r="CH47">
            <v>4461</v>
          </cell>
          <cell r="CI47">
            <v>4461</v>
          </cell>
          <cell r="CJ47">
            <v>4459</v>
          </cell>
          <cell r="CK47">
            <v>4461</v>
          </cell>
          <cell r="CL47">
            <v>4461</v>
          </cell>
          <cell r="CM47">
            <v>4449</v>
          </cell>
          <cell r="CN47">
            <v>4449</v>
          </cell>
          <cell r="CO47">
            <v>4448</v>
          </cell>
          <cell r="CP47">
            <v>4425</v>
          </cell>
          <cell r="CQ47">
            <v>4425</v>
          </cell>
          <cell r="CR47">
            <v>4407</v>
          </cell>
          <cell r="CS47">
            <v>4407</v>
          </cell>
          <cell r="CT47">
            <v>4403</v>
          </cell>
          <cell r="CU47">
            <v>4410</v>
          </cell>
          <cell r="CV47">
            <v>4437</v>
          </cell>
          <cell r="CW47">
            <v>4446</v>
          </cell>
          <cell r="CX47">
            <v>4446</v>
          </cell>
          <cell r="CY47">
            <v>4455</v>
          </cell>
          <cell r="CZ47">
            <v>4464</v>
          </cell>
          <cell r="DA47">
            <v>4473</v>
          </cell>
          <cell r="DB47">
            <v>4482</v>
          </cell>
          <cell r="DC47">
            <v>4482</v>
          </cell>
          <cell r="DD47">
            <v>4491</v>
          </cell>
          <cell r="DE47">
            <v>4500</v>
          </cell>
          <cell r="DF47">
            <v>4509</v>
          </cell>
          <cell r="DG47">
            <v>4518</v>
          </cell>
          <cell r="DH47">
            <v>4518</v>
          </cell>
          <cell r="DI47">
            <v>4527</v>
          </cell>
          <cell r="DJ47">
            <v>4536</v>
          </cell>
          <cell r="DK47">
            <v>4545</v>
          </cell>
          <cell r="DL47">
            <v>4554</v>
          </cell>
          <cell r="DM47">
            <v>4554</v>
          </cell>
          <cell r="DN47">
            <v>4563</v>
          </cell>
          <cell r="DO47">
            <v>4572</v>
          </cell>
          <cell r="DP47">
            <v>4581</v>
          </cell>
          <cell r="DQ47">
            <v>4590</v>
          </cell>
          <cell r="DR47">
            <v>4590</v>
          </cell>
          <cell r="DW47" t="str">
            <v>mstag:additionalPaidInCapital</v>
          </cell>
          <cell r="DX47">
            <v>6</v>
          </cell>
          <cell r="DY47" t="str">
            <v>ISO4217:USD</v>
          </cell>
          <cell r="DZ47" t="b">
            <v>0</v>
          </cell>
        </row>
        <row r="48">
          <cell r="B48" t="str">
            <v>Accumulated other comprehensive loss</v>
          </cell>
          <cell r="D48">
            <v>0</v>
          </cell>
          <cell r="E48">
            <v>0</v>
          </cell>
          <cell r="F48">
            <v>0</v>
          </cell>
          <cell r="G48">
            <v>0</v>
          </cell>
          <cell r="H48">
            <v>0</v>
          </cell>
          <cell r="I48">
            <v>0</v>
          </cell>
          <cell r="J48">
            <v>0</v>
          </cell>
          <cell r="K48">
            <v>0</v>
          </cell>
          <cell r="L48">
            <v>28</v>
          </cell>
          <cell r="M48">
            <v>28</v>
          </cell>
          <cell r="N48">
            <v>0</v>
          </cell>
          <cell r="O48">
            <v>0</v>
          </cell>
          <cell r="P48">
            <v>0</v>
          </cell>
          <cell r="Q48">
            <v>110</v>
          </cell>
          <cell r="R48">
            <v>110</v>
          </cell>
          <cell r="S48">
            <v>0</v>
          </cell>
          <cell r="T48">
            <v>0</v>
          </cell>
          <cell r="U48">
            <v>0</v>
          </cell>
          <cell r="V48">
            <v>50</v>
          </cell>
          <cell r="W48">
            <v>50</v>
          </cell>
          <cell r="X48">
            <v>0</v>
          </cell>
          <cell r="Y48">
            <v>0</v>
          </cell>
          <cell r="Z48">
            <v>0</v>
          </cell>
          <cell r="AA48">
            <v>77</v>
          </cell>
          <cell r="AB48">
            <v>77</v>
          </cell>
          <cell r="AC48">
            <v>0</v>
          </cell>
          <cell r="AD48">
            <v>0</v>
          </cell>
          <cell r="AE48">
            <v>0</v>
          </cell>
          <cell r="AF48">
            <v>-70</v>
          </cell>
          <cell r="AG48">
            <v>-70</v>
          </cell>
          <cell r="AH48">
            <v>0</v>
          </cell>
          <cell r="AI48">
            <v>0</v>
          </cell>
          <cell r="AJ48">
            <v>0</v>
          </cell>
          <cell r="AK48">
            <v>-44</v>
          </cell>
          <cell r="AL48">
            <v>-44</v>
          </cell>
          <cell r="AM48">
            <v>-28</v>
          </cell>
          <cell r="AN48">
            <v>-44</v>
          </cell>
          <cell r="AO48">
            <v>-43</v>
          </cell>
          <cell r="AP48">
            <v>-44</v>
          </cell>
          <cell r="AQ48">
            <v>-44</v>
          </cell>
          <cell r="AR48">
            <v>-42</v>
          </cell>
          <cell r="AS48">
            <v>-16</v>
          </cell>
          <cell r="AT48">
            <v>-15</v>
          </cell>
          <cell r="AY48">
            <v>-15</v>
          </cell>
          <cell r="AZ48">
            <v>-15</v>
          </cell>
          <cell r="BA48">
            <v>-14</v>
          </cell>
          <cell r="BB48">
            <v>-12</v>
          </cell>
          <cell r="BC48">
            <v>-11</v>
          </cell>
          <cell r="BD48">
            <v>-8</v>
          </cell>
          <cell r="BE48">
            <v>-8</v>
          </cell>
          <cell r="BF48">
            <v>-9</v>
          </cell>
          <cell r="BG48">
            <v>-14</v>
          </cell>
          <cell r="BH48">
            <v>-13</v>
          </cell>
          <cell r="BI48">
            <v>-13</v>
          </cell>
          <cell r="BJ48">
            <v>-13</v>
          </cell>
          <cell r="BK48">
            <v>-13</v>
          </cell>
          <cell r="BL48">
            <v>-12</v>
          </cell>
          <cell r="BM48">
            <v>-12</v>
          </cell>
          <cell r="BN48">
            <v>-39</v>
          </cell>
          <cell r="BO48">
            <v>-39</v>
          </cell>
          <cell r="BP48">
            <v>-40</v>
          </cell>
          <cell r="BQ48">
            <v>-40</v>
          </cell>
          <cell r="BR48">
            <v>-39</v>
          </cell>
          <cell r="BS48">
            <v>-45</v>
          </cell>
          <cell r="BT48">
            <v>-45</v>
          </cell>
          <cell r="BU48">
            <v>-46</v>
          </cell>
          <cell r="BV48">
            <v>-46</v>
          </cell>
          <cell r="BW48">
            <v>-45</v>
          </cell>
          <cell r="BX48">
            <v>-28</v>
          </cell>
          <cell r="BY48">
            <v>-28</v>
          </cell>
          <cell r="BZ48">
            <v>-28</v>
          </cell>
          <cell r="CA48">
            <v>-26</v>
          </cell>
          <cell r="CB48">
            <v>-29</v>
          </cell>
          <cell r="CC48">
            <v>-37</v>
          </cell>
          <cell r="CD48">
            <v>-37</v>
          </cell>
          <cell r="CE48">
            <v>-34</v>
          </cell>
          <cell r="CF48">
            <v>-31</v>
          </cell>
          <cell r="CG48">
            <v>-27</v>
          </cell>
          <cell r="CH48">
            <v>-32</v>
          </cell>
          <cell r="CI48">
            <v>-32</v>
          </cell>
          <cell r="CJ48">
            <v>-31</v>
          </cell>
          <cell r="CK48">
            <v>-31</v>
          </cell>
          <cell r="CL48">
            <v>-30</v>
          </cell>
          <cell r="CM48">
            <v>-43</v>
          </cell>
          <cell r="CN48">
            <v>-43</v>
          </cell>
          <cell r="CO48">
            <v>-43</v>
          </cell>
          <cell r="CP48">
            <v>-43</v>
          </cell>
          <cell r="CQ48">
            <v>-43</v>
          </cell>
          <cell r="CR48">
            <v>-52</v>
          </cell>
          <cell r="CS48">
            <v>-52</v>
          </cell>
          <cell r="CT48">
            <v>-49</v>
          </cell>
          <cell r="CU48">
            <v>-49</v>
          </cell>
          <cell r="CV48">
            <v>-49</v>
          </cell>
          <cell r="CW48">
            <v>-49</v>
          </cell>
          <cell r="CX48">
            <v>-49</v>
          </cell>
          <cell r="CY48">
            <v>-49</v>
          </cell>
          <cell r="CZ48">
            <v>-49</v>
          </cell>
          <cell r="DA48">
            <v>-49</v>
          </cell>
          <cell r="DB48">
            <v>-49</v>
          </cell>
          <cell r="DC48">
            <v>-49</v>
          </cell>
          <cell r="DD48">
            <v>-49</v>
          </cell>
          <cell r="DE48">
            <v>-49</v>
          </cell>
          <cell r="DF48">
            <v>-49</v>
          </cell>
          <cell r="DG48">
            <v>-49</v>
          </cell>
          <cell r="DH48">
            <v>-49</v>
          </cell>
          <cell r="DI48">
            <v>-49</v>
          </cell>
          <cell r="DJ48">
            <v>-49</v>
          </cell>
          <cell r="DK48">
            <v>-49</v>
          </cell>
          <cell r="DL48">
            <v>-49</v>
          </cell>
          <cell r="DM48">
            <v>-49</v>
          </cell>
          <cell r="DN48">
            <v>-49</v>
          </cell>
          <cell r="DO48">
            <v>-49</v>
          </cell>
          <cell r="DP48">
            <v>-49</v>
          </cell>
          <cell r="DQ48">
            <v>-49</v>
          </cell>
          <cell r="DR48">
            <v>-49</v>
          </cell>
          <cell r="DW48" t="str">
            <v>mstag:accumulatedOtherComprehensiveIncomeLossAndReserves</v>
          </cell>
          <cell r="DX48">
            <v>6</v>
          </cell>
          <cell r="DY48" t="str">
            <v>ISO4217:USD</v>
          </cell>
          <cell r="DZ48" t="b">
            <v>0</v>
          </cell>
        </row>
        <row r="49">
          <cell r="B49" t="str">
            <v>Accumulated deficit</v>
          </cell>
          <cell r="D49">
            <v>0</v>
          </cell>
          <cell r="E49">
            <v>0</v>
          </cell>
          <cell r="F49">
            <v>0</v>
          </cell>
          <cell r="G49">
            <v>740</v>
          </cell>
          <cell r="H49">
            <v>740</v>
          </cell>
          <cell r="I49">
            <v>0</v>
          </cell>
          <cell r="J49">
            <v>0</v>
          </cell>
          <cell r="K49">
            <v>0</v>
          </cell>
          <cell r="L49">
            <v>1090</v>
          </cell>
          <cell r="M49">
            <v>1090</v>
          </cell>
          <cell r="N49">
            <v>0</v>
          </cell>
          <cell r="O49">
            <v>0</v>
          </cell>
          <cell r="P49">
            <v>0</v>
          </cell>
          <cell r="Q49">
            <v>819</v>
          </cell>
          <cell r="R49">
            <v>819</v>
          </cell>
          <cell r="S49">
            <v>0</v>
          </cell>
          <cell r="T49">
            <v>0</v>
          </cell>
          <cell r="U49">
            <v>0</v>
          </cell>
          <cell r="V49">
            <v>1080</v>
          </cell>
          <cell r="W49">
            <v>1080</v>
          </cell>
          <cell r="X49">
            <v>0</v>
          </cell>
          <cell r="Y49">
            <v>0</v>
          </cell>
          <cell r="Z49">
            <v>0</v>
          </cell>
          <cell r="AA49">
            <v>1329</v>
          </cell>
          <cell r="AB49">
            <v>1329</v>
          </cell>
          <cell r="AC49">
            <v>0</v>
          </cell>
          <cell r="AD49">
            <v>0</v>
          </cell>
          <cell r="AE49">
            <v>0</v>
          </cell>
          <cell r="AF49">
            <v>1627</v>
          </cell>
          <cell r="AG49">
            <v>1627</v>
          </cell>
          <cell r="AH49">
            <v>0</v>
          </cell>
          <cell r="AI49">
            <v>0</v>
          </cell>
          <cell r="AJ49">
            <v>0</v>
          </cell>
          <cell r="AK49">
            <v>2270</v>
          </cell>
          <cell r="AL49">
            <v>2270</v>
          </cell>
          <cell r="AM49">
            <v>2426</v>
          </cell>
          <cell r="AN49">
            <v>2514</v>
          </cell>
          <cell r="AO49">
            <v>2794</v>
          </cell>
          <cell r="AP49">
            <v>3055</v>
          </cell>
          <cell r="AQ49">
            <v>3055</v>
          </cell>
          <cell r="AR49">
            <v>3393</v>
          </cell>
          <cell r="AS49">
            <v>3708</v>
          </cell>
          <cell r="AT49">
            <v>3653</v>
          </cell>
          <cell r="AY49">
            <v>3514</v>
          </cell>
          <cell r="AZ49">
            <v>3514</v>
          </cell>
          <cell r="BA49">
            <v>3165</v>
          </cell>
          <cell r="BB49">
            <v>2970</v>
          </cell>
          <cell r="BC49">
            <v>2662</v>
          </cell>
          <cell r="BD49">
            <v>1710</v>
          </cell>
          <cell r="BE49">
            <v>1710</v>
          </cell>
          <cell r="BF49">
            <v>1588</v>
          </cell>
          <cell r="BG49">
            <v>1162</v>
          </cell>
          <cell r="BH49">
            <v>1092</v>
          </cell>
          <cell r="BI49">
            <v>-930</v>
          </cell>
          <cell r="BJ49">
            <v>-930</v>
          </cell>
          <cell r="BK49">
            <v>-1087</v>
          </cell>
          <cell r="BL49">
            <v>-1120</v>
          </cell>
          <cell r="BM49">
            <v>-1521</v>
          </cell>
          <cell r="BN49">
            <v>-1807</v>
          </cell>
          <cell r="BO49">
            <v>-1807</v>
          </cell>
          <cell r="BP49">
            <v>-1737</v>
          </cell>
          <cell r="BQ49">
            <v>-2135</v>
          </cell>
          <cell r="BR49">
            <v>-2224</v>
          </cell>
          <cell r="BS49">
            <v>-2610</v>
          </cell>
          <cell r="BT49">
            <v>-2610</v>
          </cell>
          <cell r="BU49">
            <v>-2713</v>
          </cell>
          <cell r="BV49">
            <v>-2743</v>
          </cell>
          <cell r="BW49">
            <v>-2802</v>
          </cell>
          <cell r="BX49">
            <v>-2877</v>
          </cell>
          <cell r="BY49">
            <v>-2877</v>
          </cell>
          <cell r="BZ49">
            <v>-2908</v>
          </cell>
          <cell r="CA49">
            <v>-2923</v>
          </cell>
          <cell r="CB49">
            <v>-2819</v>
          </cell>
          <cell r="CC49">
            <v>-2852</v>
          </cell>
          <cell r="CD49">
            <v>-2852</v>
          </cell>
          <cell r="CE49">
            <v>-2674</v>
          </cell>
          <cell r="CF49">
            <v>-2689</v>
          </cell>
          <cell r="CG49">
            <v>-2692</v>
          </cell>
          <cell r="CH49">
            <v>-2665</v>
          </cell>
          <cell r="CI49">
            <v>-2665</v>
          </cell>
          <cell r="CJ49">
            <v>-2571</v>
          </cell>
          <cell r="CK49">
            <v>-2540</v>
          </cell>
          <cell r="CL49">
            <v>-1602</v>
          </cell>
          <cell r="CM49">
            <v>-1522</v>
          </cell>
          <cell r="CN49">
            <v>-1522</v>
          </cell>
          <cell r="CO49">
            <v>-1443</v>
          </cell>
          <cell r="CP49">
            <v>-1382</v>
          </cell>
          <cell r="CQ49">
            <v>-1370</v>
          </cell>
          <cell r="CR49">
            <v>-1440</v>
          </cell>
          <cell r="CS49">
            <v>-1440</v>
          </cell>
          <cell r="CT49">
            <v>-1376</v>
          </cell>
          <cell r="CU49">
            <v>-1378</v>
          </cell>
          <cell r="CV49">
            <v>-1337</v>
          </cell>
          <cell r="CW49">
            <v>-1276.2080267903725</v>
          </cell>
          <cell r="CX49">
            <v>-1276.2080267903725</v>
          </cell>
          <cell r="CY49">
            <v>-1243.0614144352799</v>
          </cell>
          <cell r="CZ49">
            <v>-1166.2078330179677</v>
          </cell>
          <cell r="DA49">
            <v>-1104.741784179716</v>
          </cell>
          <cell r="DB49">
            <v>-1000.0657881428808</v>
          </cell>
          <cell r="DC49">
            <v>-1000.0657881428808</v>
          </cell>
          <cell r="DD49">
            <v>-930.07513616164965</v>
          </cell>
          <cell r="DE49">
            <v>-832.98231617035458</v>
          </cell>
          <cell r="DF49">
            <v>-756.5990658059136</v>
          </cell>
          <cell r="DG49">
            <v>-631.88557317783568</v>
          </cell>
          <cell r="DH49">
            <v>-631.88557317783568</v>
          </cell>
          <cell r="DI49">
            <v>-547.57252132434837</v>
          </cell>
          <cell r="DJ49">
            <v>-444.1786914594428</v>
          </cell>
          <cell r="DK49">
            <v>-359.24298369789727</v>
          </cell>
          <cell r="DL49">
            <v>-219.90843490053732</v>
          </cell>
          <cell r="DM49">
            <v>-219.90843490053732</v>
          </cell>
          <cell r="DN49">
            <v>-119.11561388448922</v>
          </cell>
          <cell r="DO49">
            <v>-2.493283893623456</v>
          </cell>
          <cell r="DP49">
            <v>95.244157887098694</v>
          </cell>
          <cell r="DQ49">
            <v>248.14530053982378</v>
          </cell>
          <cell r="DR49">
            <v>248.14530053982378</v>
          </cell>
          <cell r="DW49" t="str">
            <v>mstag:retainedEarnings</v>
          </cell>
          <cell r="DX49">
            <v>6</v>
          </cell>
          <cell r="DY49" t="str">
            <v>ISO4217:USD</v>
          </cell>
          <cell r="DZ49" t="b">
            <v>0</v>
          </cell>
        </row>
        <row r="50">
          <cell r="B50" t="str">
            <v>Common stock in treasury</v>
          </cell>
          <cell r="D50">
            <v>-279.375</v>
          </cell>
          <cell r="E50">
            <v>-278.10000000000002</v>
          </cell>
          <cell r="F50">
            <v>-276.2</v>
          </cell>
          <cell r="G50">
            <v>-272</v>
          </cell>
          <cell r="H50">
            <v>-272</v>
          </cell>
          <cell r="I50">
            <v>-270</v>
          </cell>
          <cell r="J50">
            <v>-219.3</v>
          </cell>
          <cell r="K50">
            <v>-58.5</v>
          </cell>
          <cell r="L50">
            <v>-40</v>
          </cell>
          <cell r="M50">
            <v>-40</v>
          </cell>
          <cell r="N50">
            <v>-38.700000000000003</v>
          </cell>
          <cell r="O50">
            <v>-38.700000000000003</v>
          </cell>
          <cell r="P50">
            <v>-38.700000000000003</v>
          </cell>
          <cell r="Q50">
            <v>-39</v>
          </cell>
          <cell r="R50">
            <v>-39</v>
          </cell>
          <cell r="S50">
            <v>-70</v>
          </cell>
          <cell r="T50">
            <v>-70</v>
          </cell>
          <cell r="U50">
            <v>-70</v>
          </cell>
          <cell r="V50">
            <v>-70</v>
          </cell>
          <cell r="W50">
            <v>-70</v>
          </cell>
          <cell r="X50">
            <v>-70</v>
          </cell>
          <cell r="Y50">
            <v>-70</v>
          </cell>
          <cell r="Z50">
            <v>-70</v>
          </cell>
          <cell r="AA50">
            <v>-70</v>
          </cell>
          <cell r="AB50">
            <v>-70</v>
          </cell>
          <cell r="AC50">
            <v>-70</v>
          </cell>
          <cell r="AD50">
            <v>-70</v>
          </cell>
          <cell r="AE50">
            <v>-70</v>
          </cell>
          <cell r="AF50">
            <v>-70</v>
          </cell>
          <cell r="AG50">
            <v>-70</v>
          </cell>
          <cell r="AH50">
            <v>-70</v>
          </cell>
          <cell r="AI50">
            <v>-70</v>
          </cell>
          <cell r="AJ50">
            <v>-70</v>
          </cell>
          <cell r="AK50">
            <v>-70</v>
          </cell>
          <cell r="AL50">
            <v>-70</v>
          </cell>
          <cell r="AM50">
            <v>-164</v>
          </cell>
          <cell r="AN50">
            <v>-257</v>
          </cell>
          <cell r="AO50">
            <v>-550</v>
          </cell>
          <cell r="AP50">
            <v>-785</v>
          </cell>
          <cell r="AQ50">
            <v>-785</v>
          </cell>
          <cell r="AR50">
            <v>-904</v>
          </cell>
          <cell r="AS50">
            <v>-1285</v>
          </cell>
          <cell r="AT50">
            <v>-1395</v>
          </cell>
          <cell r="AY50">
            <v>-1285</v>
          </cell>
          <cell r="AZ50">
            <v>-1285</v>
          </cell>
          <cell r="BA50">
            <v>-1395</v>
          </cell>
          <cell r="BB50">
            <v>-1493</v>
          </cell>
          <cell r="BC50">
            <v>-1491</v>
          </cell>
          <cell r="BD50">
            <v>-1491</v>
          </cell>
          <cell r="BE50">
            <v>-1491</v>
          </cell>
          <cell r="BF50">
            <v>-1491</v>
          </cell>
          <cell r="BG50">
            <v>-1491</v>
          </cell>
          <cell r="BH50">
            <v>-1490</v>
          </cell>
          <cell r="BI50">
            <v>-1482</v>
          </cell>
          <cell r="BJ50">
            <v>-1482</v>
          </cell>
          <cell r="BK50">
            <v>-1481</v>
          </cell>
          <cell r="BL50">
            <v>-1479</v>
          </cell>
          <cell r="BM50">
            <v>-1480</v>
          </cell>
          <cell r="BN50">
            <v>-1479</v>
          </cell>
          <cell r="BO50">
            <v>-1479</v>
          </cell>
          <cell r="BP50">
            <v>-1479</v>
          </cell>
          <cell r="BQ50">
            <v>-1479</v>
          </cell>
          <cell r="BR50">
            <v>-1479</v>
          </cell>
          <cell r="BS50">
            <v>-1479</v>
          </cell>
          <cell r="BT50">
            <v>-1479</v>
          </cell>
          <cell r="BU50">
            <v>-1479</v>
          </cell>
          <cell r="BV50">
            <v>-1479</v>
          </cell>
          <cell r="BW50">
            <v>-1479</v>
          </cell>
          <cell r="BX50">
            <v>-1479</v>
          </cell>
          <cell r="BY50">
            <v>-1479</v>
          </cell>
          <cell r="BZ50">
            <v>-1479</v>
          </cell>
          <cell r="CA50">
            <v>-1479</v>
          </cell>
          <cell r="CB50">
            <v>-1479</v>
          </cell>
          <cell r="CC50">
            <v>-1479</v>
          </cell>
          <cell r="CD50">
            <v>-1479</v>
          </cell>
          <cell r="CE50">
            <v>-1477</v>
          </cell>
          <cell r="CF50">
            <v>-1477</v>
          </cell>
          <cell r="CG50">
            <v>-1479</v>
          </cell>
          <cell r="CH50">
            <v>-1479</v>
          </cell>
          <cell r="CI50">
            <v>-1479</v>
          </cell>
          <cell r="CJ50">
            <v>-1479</v>
          </cell>
          <cell r="CK50">
            <v>-1479</v>
          </cell>
          <cell r="CL50">
            <v>-1479</v>
          </cell>
          <cell r="CM50">
            <v>-1479</v>
          </cell>
          <cell r="CN50">
            <v>-1479</v>
          </cell>
          <cell r="CO50">
            <v>-1479</v>
          </cell>
          <cell r="CP50">
            <v>-1551</v>
          </cell>
          <cell r="CQ50">
            <v>-1675</v>
          </cell>
          <cell r="CR50">
            <v>-1853</v>
          </cell>
          <cell r="CS50">
            <v>-1853</v>
          </cell>
          <cell r="CT50">
            <v>-1879</v>
          </cell>
          <cell r="CU50">
            <v>-1879</v>
          </cell>
          <cell r="CV50">
            <v>-1879</v>
          </cell>
          <cell r="CW50">
            <v>-1879</v>
          </cell>
          <cell r="CX50">
            <v>-1879</v>
          </cell>
          <cell r="CY50">
            <v>-1879</v>
          </cell>
          <cell r="CZ50">
            <v>-1879</v>
          </cell>
          <cell r="DA50">
            <v>-1879</v>
          </cell>
          <cell r="DB50">
            <v>-1879</v>
          </cell>
          <cell r="DC50">
            <v>-1879</v>
          </cell>
          <cell r="DD50">
            <v>-1879</v>
          </cell>
          <cell r="DE50">
            <v>-1879</v>
          </cell>
          <cell r="DF50">
            <v>-1879</v>
          </cell>
          <cell r="DG50">
            <v>-1879</v>
          </cell>
          <cell r="DH50">
            <v>-1879</v>
          </cell>
          <cell r="DI50">
            <v>-1879</v>
          </cell>
          <cell r="DJ50">
            <v>-1879</v>
          </cell>
          <cell r="DK50">
            <v>-1879</v>
          </cell>
          <cell r="DL50">
            <v>-1879</v>
          </cell>
          <cell r="DM50">
            <v>-1879</v>
          </cell>
          <cell r="DN50">
            <v>-1879</v>
          </cell>
          <cell r="DO50">
            <v>-1879</v>
          </cell>
          <cell r="DP50">
            <v>-1879</v>
          </cell>
          <cell r="DQ50">
            <v>-1879</v>
          </cell>
          <cell r="DR50">
            <v>-1879</v>
          </cell>
          <cell r="DW50" t="str">
            <v>mstag:treasuryStockAndInvestmentInOwnShares</v>
          </cell>
          <cell r="DX50">
            <v>6</v>
          </cell>
          <cell r="DY50" t="str">
            <v>ISO4217:USD</v>
          </cell>
          <cell r="DZ50" t="b">
            <v>1</v>
          </cell>
        </row>
        <row r="51">
          <cell r="B51" t="str">
            <v>Total Shareholders' Equity</v>
          </cell>
          <cell r="D51">
            <v>1388.164</v>
          </cell>
          <cell r="E51">
            <v>1434.6</v>
          </cell>
          <cell r="F51">
            <v>1485</v>
          </cell>
          <cell r="G51">
            <v>1986</v>
          </cell>
          <cell r="H51">
            <v>1986</v>
          </cell>
          <cell r="I51">
            <v>2105.9</v>
          </cell>
          <cell r="J51">
            <v>2355</v>
          </cell>
          <cell r="K51">
            <v>2655.8</v>
          </cell>
          <cell r="L51">
            <v>2636</v>
          </cell>
          <cell r="M51">
            <v>2636</v>
          </cell>
          <cell r="N51">
            <v>2763.8</v>
          </cell>
          <cell r="O51">
            <v>2846.2000000000003</v>
          </cell>
          <cell r="P51">
            <v>3474.8</v>
          </cell>
          <cell r="Q51">
            <v>3224</v>
          </cell>
          <cell r="R51">
            <v>3224</v>
          </cell>
          <cell r="S51">
            <v>3381</v>
          </cell>
          <cell r="T51">
            <v>3460</v>
          </cell>
          <cell r="U51">
            <v>3693</v>
          </cell>
          <cell r="V51">
            <v>3558</v>
          </cell>
          <cell r="W51">
            <v>3558</v>
          </cell>
          <cell r="X51">
            <v>3663</v>
          </cell>
          <cell r="Y51">
            <v>3864</v>
          </cell>
          <cell r="Z51">
            <v>3973</v>
          </cell>
          <cell r="AA51">
            <v>3870</v>
          </cell>
          <cell r="AB51">
            <v>3870</v>
          </cell>
          <cell r="AC51">
            <v>3952</v>
          </cell>
          <cell r="AD51">
            <v>4089</v>
          </cell>
          <cell r="AE51">
            <v>4103</v>
          </cell>
          <cell r="AF51">
            <v>4066</v>
          </cell>
          <cell r="AG51">
            <v>4066</v>
          </cell>
          <cell r="AH51">
            <v>4293</v>
          </cell>
          <cell r="AI51">
            <v>4584</v>
          </cell>
          <cell r="AJ51">
            <v>4940</v>
          </cell>
          <cell r="AK51">
            <v>5079</v>
          </cell>
          <cell r="AL51">
            <v>5079</v>
          </cell>
          <cell r="AM51">
            <v>5284</v>
          </cell>
          <cell r="AN51">
            <v>5301</v>
          </cell>
          <cell r="AO51">
            <v>5465</v>
          </cell>
          <cell r="AP51">
            <v>5619</v>
          </cell>
          <cell r="AQ51">
            <v>5619</v>
          </cell>
          <cell r="AR51">
            <v>5881</v>
          </cell>
          <cell r="AS51">
            <v>5893</v>
          </cell>
          <cell r="AT51">
            <v>5762</v>
          </cell>
          <cell r="AV51">
            <v>0</v>
          </cell>
          <cell r="AW51">
            <v>0</v>
          </cell>
          <cell r="AX51">
            <v>0</v>
          </cell>
          <cell r="AY51">
            <v>5723</v>
          </cell>
          <cell r="AZ51">
            <v>5723</v>
          </cell>
          <cell r="BA51">
            <v>5743</v>
          </cell>
          <cell r="BB51">
            <v>5531</v>
          </cell>
          <cell r="BC51">
            <v>5272</v>
          </cell>
          <cell r="BD51">
            <v>4361</v>
          </cell>
          <cell r="BE51">
            <v>4361</v>
          </cell>
          <cell r="BF51">
            <v>4268</v>
          </cell>
          <cell r="BG51">
            <v>3887</v>
          </cell>
          <cell r="BH51">
            <v>3849</v>
          </cell>
          <cell r="BI51">
            <v>1732</v>
          </cell>
          <cell r="BJ51">
            <v>1732</v>
          </cell>
          <cell r="BK51">
            <v>1723</v>
          </cell>
          <cell r="BL51">
            <v>1709</v>
          </cell>
          <cell r="BM51">
            <v>1324</v>
          </cell>
          <cell r="BN51">
            <v>1021</v>
          </cell>
          <cell r="BO51">
            <v>1021</v>
          </cell>
          <cell r="BP51">
            <v>1099</v>
          </cell>
          <cell r="BQ51">
            <v>707</v>
          </cell>
          <cell r="BR51">
            <v>631</v>
          </cell>
          <cell r="BS51">
            <v>264</v>
          </cell>
          <cell r="BT51">
            <v>264</v>
          </cell>
          <cell r="BU51">
            <v>167</v>
          </cell>
          <cell r="BV51">
            <v>149</v>
          </cell>
          <cell r="BW51">
            <v>101</v>
          </cell>
          <cell r="BX51">
            <v>54</v>
          </cell>
          <cell r="BY51">
            <v>54</v>
          </cell>
          <cell r="BZ51">
            <v>32</v>
          </cell>
          <cell r="CA51">
            <v>29</v>
          </cell>
          <cell r="CB51">
            <v>136</v>
          </cell>
          <cell r="CC51">
            <v>103</v>
          </cell>
          <cell r="CD51">
            <v>103</v>
          </cell>
          <cell r="CE51">
            <v>291</v>
          </cell>
          <cell r="CF51">
            <v>286</v>
          </cell>
          <cell r="CG51">
            <v>626</v>
          </cell>
          <cell r="CH51">
            <v>646</v>
          </cell>
          <cell r="CI51">
            <v>646</v>
          </cell>
          <cell r="CJ51">
            <v>739</v>
          </cell>
          <cell r="CK51">
            <v>772</v>
          </cell>
          <cell r="CL51">
            <v>1711</v>
          </cell>
          <cell r="CM51">
            <v>1766</v>
          </cell>
          <cell r="CN51">
            <v>1766</v>
          </cell>
          <cell r="CO51">
            <v>1844</v>
          </cell>
          <cell r="CP51">
            <v>1810</v>
          </cell>
          <cell r="CQ51">
            <v>1698</v>
          </cell>
          <cell r="CR51">
            <v>1423</v>
          </cell>
          <cell r="CS51">
            <v>1423</v>
          </cell>
          <cell r="CT51">
            <v>1460</v>
          </cell>
          <cell r="CU51">
            <v>1176</v>
          </cell>
          <cell r="CV51">
            <v>1224</v>
          </cell>
          <cell r="CW51">
            <v>1293.7919732096275</v>
          </cell>
          <cell r="CX51">
            <v>1293.7919732096275</v>
          </cell>
          <cell r="CY51">
            <v>1335.9385855647201</v>
          </cell>
          <cell r="CZ51">
            <v>1421.7921669820325</v>
          </cell>
          <cell r="DA51">
            <v>1492.258215820284</v>
          </cell>
          <cell r="DB51">
            <v>1605.9342118571194</v>
          </cell>
          <cell r="DC51">
            <v>1605.9342118571194</v>
          </cell>
          <cell r="DD51">
            <v>1684.9248638383506</v>
          </cell>
          <cell r="DE51">
            <v>1791.0176838296456</v>
          </cell>
          <cell r="DF51">
            <v>1876.4009341940864</v>
          </cell>
          <cell r="DG51">
            <v>2010.1144268221642</v>
          </cell>
          <cell r="DH51">
            <v>2010.1144268221642</v>
          </cell>
          <cell r="DI51">
            <v>2103.4274786756514</v>
          </cell>
          <cell r="DJ51">
            <v>2215.8213085405573</v>
          </cell>
          <cell r="DK51">
            <v>2309.7570163021028</v>
          </cell>
          <cell r="DL51">
            <v>2458.091565099463</v>
          </cell>
          <cell r="DM51">
            <v>2458.091565099463</v>
          </cell>
          <cell r="DN51">
            <v>2567.884386115511</v>
          </cell>
          <cell r="DO51">
            <v>2693.5067161063762</v>
          </cell>
          <cell r="DP51">
            <v>2800.2441578870985</v>
          </cell>
          <cell r="DQ51">
            <v>2962.1453005398234</v>
          </cell>
          <cell r="DR51">
            <v>2962.1453005398234</v>
          </cell>
        </row>
        <row r="52">
          <cell r="B52" t="str">
            <v>Noncontrolling interest</v>
          </cell>
          <cell r="D52">
            <v>0</v>
          </cell>
          <cell r="E52">
            <v>0</v>
          </cell>
          <cell r="F52">
            <v>0</v>
          </cell>
          <cell r="G52">
            <v>0</v>
          </cell>
          <cell r="I52">
            <v>0</v>
          </cell>
          <cell r="J52">
            <v>0</v>
          </cell>
          <cell r="K52">
            <v>0</v>
          </cell>
          <cell r="L52">
            <v>0</v>
          </cell>
          <cell r="N52">
            <v>0</v>
          </cell>
          <cell r="O52">
            <v>0</v>
          </cell>
          <cell r="P52">
            <v>0</v>
          </cell>
          <cell r="Q52">
            <v>0</v>
          </cell>
          <cell r="S52">
            <v>0</v>
          </cell>
          <cell r="T52">
            <v>0</v>
          </cell>
          <cell r="U52">
            <v>0</v>
          </cell>
          <cell r="V52">
            <v>0</v>
          </cell>
          <cell r="X52">
            <v>0</v>
          </cell>
          <cell r="Y52">
            <v>0</v>
          </cell>
          <cell r="Z52">
            <v>0</v>
          </cell>
          <cell r="AA52">
            <v>0</v>
          </cell>
          <cell r="AC52">
            <v>0</v>
          </cell>
          <cell r="AD52">
            <v>0</v>
          </cell>
          <cell r="AE52">
            <v>0</v>
          </cell>
          <cell r="AF52">
            <v>0</v>
          </cell>
          <cell r="AH52">
            <v>0</v>
          </cell>
          <cell r="AI52">
            <v>0</v>
          </cell>
          <cell r="AJ52">
            <v>0</v>
          </cell>
          <cell r="AK52">
            <v>0</v>
          </cell>
          <cell r="AM52">
            <v>0</v>
          </cell>
          <cell r="AN52">
            <v>0</v>
          </cell>
          <cell r="AO52">
            <v>0</v>
          </cell>
          <cell r="AP52">
            <v>0</v>
          </cell>
          <cell r="AR52">
            <v>0</v>
          </cell>
          <cell r="AS52">
            <v>0</v>
          </cell>
          <cell r="AT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47</v>
          </cell>
          <cell r="CF52">
            <v>47</v>
          </cell>
          <cell r="CG52">
            <v>47</v>
          </cell>
          <cell r="CH52">
            <v>51</v>
          </cell>
          <cell r="CI52">
            <v>51</v>
          </cell>
          <cell r="CJ52">
            <v>52</v>
          </cell>
          <cell r="CK52">
            <v>54</v>
          </cell>
          <cell r="CL52">
            <v>53</v>
          </cell>
          <cell r="CM52">
            <v>53</v>
          </cell>
          <cell r="CN52">
            <v>53</v>
          </cell>
          <cell r="CO52">
            <v>64</v>
          </cell>
          <cell r="CP52">
            <v>64</v>
          </cell>
          <cell r="CQ52">
            <v>63</v>
          </cell>
          <cell r="CR52">
            <v>69</v>
          </cell>
          <cell r="CS52">
            <v>69</v>
          </cell>
          <cell r="CT52">
            <v>71</v>
          </cell>
          <cell r="CU52">
            <v>53</v>
          </cell>
          <cell r="CV52">
            <v>45</v>
          </cell>
          <cell r="CW52">
            <v>45</v>
          </cell>
          <cell r="CX52">
            <v>45</v>
          </cell>
          <cell r="CY52">
            <v>45</v>
          </cell>
          <cell r="CZ52">
            <v>45</v>
          </cell>
          <cell r="DA52">
            <v>45</v>
          </cell>
          <cell r="DB52">
            <v>45</v>
          </cell>
          <cell r="DC52">
            <v>45</v>
          </cell>
          <cell r="DD52">
            <v>45</v>
          </cell>
          <cell r="DE52">
            <v>45</v>
          </cell>
          <cell r="DF52">
            <v>45</v>
          </cell>
          <cell r="DG52">
            <v>45</v>
          </cell>
          <cell r="DH52">
            <v>45</v>
          </cell>
          <cell r="DI52">
            <v>45</v>
          </cell>
          <cell r="DJ52">
            <v>45</v>
          </cell>
          <cell r="DK52">
            <v>45</v>
          </cell>
          <cell r="DL52">
            <v>45</v>
          </cell>
          <cell r="DM52">
            <v>45</v>
          </cell>
          <cell r="DN52">
            <v>45</v>
          </cell>
          <cell r="DO52">
            <v>45</v>
          </cell>
          <cell r="DP52">
            <v>45</v>
          </cell>
          <cell r="DQ52">
            <v>45</v>
          </cell>
          <cell r="DR52">
            <v>45</v>
          </cell>
          <cell r="DW52" t="str">
            <v>mstag:minorityInterestsInEquity</v>
          </cell>
          <cell r="DX52">
            <v>6</v>
          </cell>
          <cell r="DY52" t="str">
            <v>ISO4217:USD</v>
          </cell>
          <cell r="DZ52" t="b">
            <v>0</v>
          </cell>
        </row>
        <row r="53">
          <cell r="B53" t="str">
            <v>Total Liabilities and Equity</v>
          </cell>
          <cell r="D53">
            <v>3336.346</v>
          </cell>
          <cell r="E53">
            <v>3303.4</v>
          </cell>
          <cell r="F53">
            <v>3330.7</v>
          </cell>
          <cell r="G53">
            <v>7918</v>
          </cell>
          <cell r="H53">
            <v>7918</v>
          </cell>
          <cell r="I53">
            <v>7884.7000000000007</v>
          </cell>
          <cell r="J53">
            <v>8140.5000000000009</v>
          </cell>
          <cell r="K53">
            <v>8322.7999999999993</v>
          </cell>
          <cell r="L53">
            <v>8332</v>
          </cell>
          <cell r="M53">
            <v>8332</v>
          </cell>
          <cell r="N53">
            <v>8425.5</v>
          </cell>
          <cell r="O53">
            <v>8572.5</v>
          </cell>
          <cell r="P53">
            <v>11586.8</v>
          </cell>
          <cell r="Q53">
            <v>11705</v>
          </cell>
          <cell r="R53">
            <v>11705</v>
          </cell>
          <cell r="S53">
            <v>11898</v>
          </cell>
          <cell r="T53">
            <v>12183</v>
          </cell>
          <cell r="U53">
            <v>12715</v>
          </cell>
          <cell r="V53">
            <v>12774</v>
          </cell>
          <cell r="W53">
            <v>12774</v>
          </cell>
          <cell r="X53">
            <v>12970</v>
          </cell>
          <cell r="Y53">
            <v>13629</v>
          </cell>
          <cell r="Z53">
            <v>13885</v>
          </cell>
          <cell r="AA53">
            <v>13771</v>
          </cell>
          <cell r="AB53">
            <v>13771</v>
          </cell>
          <cell r="AC53">
            <v>13693</v>
          </cell>
          <cell r="AD53">
            <v>13275</v>
          </cell>
          <cell r="AE53">
            <v>13392</v>
          </cell>
          <cell r="AF53">
            <v>13161</v>
          </cell>
          <cell r="AG53">
            <v>13161</v>
          </cell>
          <cell r="AH53">
            <v>13091</v>
          </cell>
          <cell r="AI53">
            <v>13121</v>
          </cell>
          <cell r="AJ53">
            <v>13249</v>
          </cell>
          <cell r="AK53">
            <v>12995</v>
          </cell>
          <cell r="AL53">
            <v>12995</v>
          </cell>
          <cell r="AM53">
            <v>13376</v>
          </cell>
          <cell r="AN53">
            <v>13423</v>
          </cell>
          <cell r="AO53">
            <v>13640</v>
          </cell>
          <cell r="AP53">
            <v>13814</v>
          </cell>
          <cell r="AQ53">
            <v>13814</v>
          </cell>
          <cell r="AR53">
            <v>13735</v>
          </cell>
          <cell r="AS53">
            <v>13923</v>
          </cell>
          <cell r="AT53">
            <v>13855</v>
          </cell>
          <cell r="AV53">
            <v>0</v>
          </cell>
          <cell r="AW53">
            <v>0</v>
          </cell>
          <cell r="AX53">
            <v>0</v>
          </cell>
          <cell r="AY53">
            <v>13780</v>
          </cell>
          <cell r="AZ53">
            <v>13780</v>
          </cell>
          <cell r="BA53">
            <v>13684</v>
          </cell>
          <cell r="BB53">
            <v>13515</v>
          </cell>
          <cell r="BC53">
            <v>13477</v>
          </cell>
          <cell r="BD53">
            <v>12298</v>
          </cell>
          <cell r="BE53">
            <v>12298</v>
          </cell>
          <cell r="BF53">
            <v>12131</v>
          </cell>
          <cell r="BG53">
            <v>12150</v>
          </cell>
          <cell r="BH53">
            <v>12126</v>
          </cell>
          <cell r="BI53">
            <v>10078</v>
          </cell>
          <cell r="BJ53">
            <v>10078</v>
          </cell>
          <cell r="BK53">
            <v>10210</v>
          </cell>
          <cell r="BL53">
            <v>10252</v>
          </cell>
          <cell r="BM53">
            <v>9967</v>
          </cell>
          <cell r="BN53">
            <v>9812</v>
          </cell>
          <cell r="BO53">
            <v>9812</v>
          </cell>
          <cell r="BP53">
            <v>9337</v>
          </cell>
          <cell r="BQ53">
            <v>9200</v>
          </cell>
          <cell r="BR53">
            <v>9042</v>
          </cell>
          <cell r="BS53">
            <v>8539</v>
          </cell>
          <cell r="BT53">
            <v>8539</v>
          </cell>
          <cell r="BU53">
            <v>8275</v>
          </cell>
          <cell r="BV53">
            <v>8253</v>
          </cell>
          <cell r="BW53">
            <v>8235</v>
          </cell>
          <cell r="BX53">
            <v>8393</v>
          </cell>
          <cell r="BY53">
            <v>8393</v>
          </cell>
          <cell r="BZ53">
            <v>8174</v>
          </cell>
          <cell r="CA53">
            <v>8243</v>
          </cell>
          <cell r="CB53">
            <v>8294</v>
          </cell>
          <cell r="CC53">
            <v>8174</v>
          </cell>
          <cell r="CD53">
            <v>8174</v>
          </cell>
          <cell r="CE53">
            <v>8092</v>
          </cell>
          <cell r="CF53">
            <v>7928</v>
          </cell>
          <cell r="CG53">
            <v>7876</v>
          </cell>
          <cell r="CH53">
            <v>7953</v>
          </cell>
          <cell r="CI53">
            <v>7953</v>
          </cell>
          <cell r="CJ53">
            <v>7815</v>
          </cell>
          <cell r="CK53">
            <v>7834</v>
          </cell>
          <cell r="CL53">
            <v>8535</v>
          </cell>
          <cell r="CM53">
            <v>8500</v>
          </cell>
          <cell r="CN53">
            <v>8500</v>
          </cell>
          <cell r="CO53">
            <v>8524</v>
          </cell>
          <cell r="CP53">
            <v>8435</v>
          </cell>
          <cell r="CQ53">
            <v>8293</v>
          </cell>
          <cell r="CR53">
            <v>8462</v>
          </cell>
          <cell r="CS53">
            <v>8462</v>
          </cell>
          <cell r="CT53">
            <v>8545</v>
          </cell>
          <cell r="CU53">
            <v>8485</v>
          </cell>
          <cell r="CV53">
            <v>8470</v>
          </cell>
          <cell r="CW53">
            <v>9248.4882689813112</v>
          </cell>
          <cell r="CX53">
            <v>9248.4882689813112</v>
          </cell>
          <cell r="CY53">
            <v>9430.8771698497276</v>
          </cell>
          <cell r="CZ53">
            <v>9455.4393996314811</v>
          </cell>
          <cell r="DA53">
            <v>9515.1757376194273</v>
          </cell>
          <cell r="DB53">
            <v>9624.9232808076413</v>
          </cell>
          <cell r="DC53">
            <v>9624.9232808076413</v>
          </cell>
          <cell r="DD53">
            <v>9768.8602987978647</v>
          </cell>
          <cell r="DE53">
            <v>9870.7967634651977</v>
          </cell>
          <cell r="DF53">
            <v>9947.2643389071563</v>
          </cell>
          <cell r="DG53">
            <v>10076.108196894698</v>
          </cell>
          <cell r="DH53">
            <v>10076.108196894698</v>
          </cell>
          <cell r="DI53">
            <v>10246.914298953216</v>
          </cell>
          <cell r="DJ53">
            <v>10348.240376183079</v>
          </cell>
          <cell r="DK53">
            <v>10431.615659538584</v>
          </cell>
          <cell r="DL53">
            <v>10575.45646834085</v>
          </cell>
          <cell r="DM53">
            <v>10575.45646834085</v>
          </cell>
          <cell r="DN53">
            <v>10758.587464391472</v>
          </cell>
          <cell r="DO53">
            <v>10881.366149066835</v>
          </cell>
          <cell r="DP53">
            <v>10977.150351720178</v>
          </cell>
          <cell r="DQ53">
            <v>11132.86531961505</v>
          </cell>
          <cell r="DR53">
            <v>11132.86531961505</v>
          </cell>
        </row>
        <row r="55">
          <cell r="B55" t="str">
            <v>Leverage and Liquidty Ratios</v>
          </cell>
        </row>
        <row r="56">
          <cell r="B56" t="str">
            <v>Total Debt / Total Capitalization</v>
          </cell>
          <cell r="D56">
            <v>0.37974646780982979</v>
          </cell>
          <cell r="E56">
            <v>0.37048576067400946</v>
          </cell>
          <cell r="F56">
            <v>0.36465152098575282</v>
          </cell>
          <cell r="G56">
            <v>0.64190407500901547</v>
          </cell>
          <cell r="H56">
            <v>0.64190407500901547</v>
          </cell>
          <cell r="I56">
            <v>0.6246635892134671</v>
          </cell>
          <cell r="J56">
            <v>0.5998572739321032</v>
          </cell>
          <cell r="K56">
            <v>0.55868326160288473</v>
          </cell>
          <cell r="L56">
            <v>0.55223373534907427</v>
          </cell>
          <cell r="M56">
            <v>0.55223373534907427</v>
          </cell>
          <cell r="N56">
            <v>0.53980385300631062</v>
          </cell>
          <cell r="O56">
            <v>0.54263952049621567</v>
          </cell>
          <cell r="P56">
            <v>0.58539059050937248</v>
          </cell>
          <cell r="Q56">
            <v>0.61034566110708244</v>
          </cell>
          <cell r="R56">
            <v>0.61034566110708244</v>
          </cell>
          <cell r="S56">
            <v>0.61120055197792089</v>
          </cell>
          <cell r="T56">
            <v>0.61538461538461542</v>
          </cell>
          <cell r="U56">
            <v>0.60966071239826658</v>
          </cell>
          <cell r="V56">
            <v>0.62136852186868152</v>
          </cell>
          <cell r="W56">
            <v>0.62136852186868152</v>
          </cell>
          <cell r="X56">
            <v>0.62233219919579341</v>
          </cell>
          <cell r="Y56">
            <v>0.62054404399489349</v>
          </cell>
          <cell r="Z56">
            <v>0.62176313785224679</v>
          </cell>
          <cell r="AA56">
            <v>0.6244905880069862</v>
          </cell>
          <cell r="AB56">
            <v>0.6244905880069862</v>
          </cell>
          <cell r="AC56">
            <v>0.62437030700503759</v>
          </cell>
          <cell r="AD56">
            <v>0.58717819283190309</v>
          </cell>
          <cell r="AE56">
            <v>0.5942043319157353</v>
          </cell>
          <cell r="AF56">
            <v>0.58267474083957715</v>
          </cell>
          <cell r="AG56">
            <v>0.58267474083957715</v>
          </cell>
          <cell r="AH56">
            <v>0.55865117713580759</v>
          </cell>
          <cell r="AI56">
            <v>0.5244813278008299</v>
          </cell>
          <cell r="AJ56">
            <v>0.49643221202854232</v>
          </cell>
          <cell r="AK56">
            <v>0.45422308188265637</v>
          </cell>
          <cell r="AL56">
            <v>0.45422308188265637</v>
          </cell>
          <cell r="AM56">
            <v>0.45390657296403475</v>
          </cell>
          <cell r="AN56">
            <v>0.451071761416589</v>
          </cell>
          <cell r="AO56">
            <v>0.44017619340299119</v>
          </cell>
          <cell r="AP56">
            <v>0.41693473072532944</v>
          </cell>
          <cell r="AQ56">
            <v>0.41693473072532944</v>
          </cell>
          <cell r="AR56">
            <v>0.37937948501477414</v>
          </cell>
          <cell r="AS56">
            <v>0.39940888707704852</v>
          </cell>
          <cell r="AT56">
            <v>0.41365625318001426</v>
          </cell>
          <cell r="AY56">
            <v>0.40645094378759594</v>
          </cell>
          <cell r="AZ56">
            <v>0.40645094378759594</v>
          </cell>
          <cell r="BA56">
            <v>0.41451728004893468</v>
          </cell>
          <cell r="BB56">
            <v>0.42265135699373696</v>
          </cell>
          <cell r="BC56">
            <v>0.43475930095421894</v>
          </cell>
          <cell r="BD56">
            <v>0.48194345450225706</v>
          </cell>
          <cell r="BE56">
            <v>0.48194345450225706</v>
          </cell>
          <cell r="BF56">
            <v>0.48677248677248675</v>
          </cell>
          <cell r="BG56">
            <v>0.53731698607308653</v>
          </cell>
          <cell r="BH56">
            <v>0.53970342023439366</v>
          </cell>
          <cell r="BI56">
            <v>0.7191958495460441</v>
          </cell>
          <cell r="BJ56">
            <v>0.7191958495460441</v>
          </cell>
          <cell r="BK56">
            <v>0.7358982219497241</v>
          </cell>
          <cell r="BL56">
            <v>0.73760171963764776</v>
          </cell>
          <cell r="BM56">
            <v>0.78390729557695449</v>
          </cell>
          <cell r="BN56">
            <v>0.82469093406593408</v>
          </cell>
          <cell r="BO56">
            <v>0.82469093406593408</v>
          </cell>
          <cell r="BP56">
            <v>0.81382347958665091</v>
          </cell>
          <cell r="BQ56">
            <v>0.87175766370397245</v>
          </cell>
          <cell r="BR56">
            <v>0.88375092114959475</v>
          </cell>
          <cell r="BS56">
            <v>0.94768133174791913</v>
          </cell>
          <cell r="BT56">
            <v>0.94768133174791913</v>
          </cell>
          <cell r="BU56">
            <v>0.96626944051706731</v>
          </cell>
          <cell r="BV56">
            <v>0.96980749746707196</v>
          </cell>
          <cell r="BW56">
            <v>0.97925225965488905</v>
          </cell>
          <cell r="BX56">
            <v>0.98881060920016572</v>
          </cell>
          <cell r="BY56">
            <v>0.98881060920016572</v>
          </cell>
          <cell r="BZ56">
            <v>0.99334304139796126</v>
          </cell>
          <cell r="CA56">
            <v>0.99396587598834785</v>
          </cell>
          <cell r="CB56">
            <v>0.97232960325534079</v>
          </cell>
          <cell r="CC56">
            <v>0.97890640999385625</v>
          </cell>
          <cell r="CD56">
            <v>0.97890640999385625</v>
          </cell>
          <cell r="CE56">
            <v>0.94099756690997571</v>
          </cell>
          <cell r="CF56">
            <v>0.9417752442996743</v>
          </cell>
          <cell r="CG56">
            <v>0.87211440245148109</v>
          </cell>
          <cell r="CH56">
            <v>0.86869918699186988</v>
          </cell>
          <cell r="CI56">
            <v>0.86869918699186988</v>
          </cell>
          <cell r="CJ56">
            <v>0.85255387071029531</v>
          </cell>
          <cell r="CK56">
            <v>0.84700753071739987</v>
          </cell>
          <cell r="CL56">
            <v>0.7034662045060659</v>
          </cell>
          <cell r="CM56">
            <v>0.69708404802744428</v>
          </cell>
          <cell r="CN56">
            <v>0.69708404802744428</v>
          </cell>
          <cell r="CO56">
            <v>0.68882888963887956</v>
          </cell>
          <cell r="CP56">
            <v>0.69461785051459424</v>
          </cell>
          <cell r="CQ56">
            <v>0.70688762299326768</v>
          </cell>
          <cell r="CR56">
            <v>0.75393394431955729</v>
          </cell>
          <cell r="CS56">
            <v>0.75393394431955729</v>
          </cell>
          <cell r="CT56">
            <v>0.7583981466159192</v>
          </cell>
          <cell r="CU56">
            <v>0.80148548278190412</v>
          </cell>
          <cell r="CV56">
            <v>0.79514644351464436</v>
          </cell>
          <cell r="CW56">
            <v>0.80653580786117185</v>
          </cell>
          <cell r="CX56">
            <v>0.80653580786117185</v>
          </cell>
          <cell r="CY56">
            <v>0.8015878059128162</v>
          </cell>
          <cell r="CZ56">
            <v>0.78990235209305282</v>
          </cell>
          <cell r="DA56">
            <v>0.78187371843830356</v>
          </cell>
          <cell r="DB56">
            <v>0.76921040524883899</v>
          </cell>
          <cell r="DC56">
            <v>0.76921040524883899</v>
          </cell>
          <cell r="DD56">
            <v>0.76069551991784556</v>
          </cell>
          <cell r="DE56">
            <v>0.74952615138902512</v>
          </cell>
          <cell r="DF56">
            <v>0.74080715362355143</v>
          </cell>
          <cell r="DG56">
            <v>0.72750176293433855</v>
          </cell>
          <cell r="DH56">
            <v>0.72750176293433855</v>
          </cell>
          <cell r="DI56">
            <v>0.71854580984729177</v>
          </cell>
          <cell r="DJ56">
            <v>0.70803432633073426</v>
          </cell>
          <cell r="DK56">
            <v>0.69951476137419699</v>
          </cell>
          <cell r="DL56">
            <v>0.68641157729867353</v>
          </cell>
          <cell r="DM56">
            <v>0.68641157729867353</v>
          </cell>
          <cell r="DN56">
            <v>0.67707221817771923</v>
          </cell>
          <cell r="DO56">
            <v>0.66668673709453707</v>
          </cell>
          <cell r="DP56">
            <v>0.65814177871980184</v>
          </cell>
          <cell r="DQ56">
            <v>0.64553415946127635</v>
          </cell>
          <cell r="DR56">
            <v>0.64553415946127635</v>
          </cell>
        </row>
        <row r="57">
          <cell r="B57" t="str">
            <v>Total Debt / Total Capitalization</v>
          </cell>
          <cell r="D57">
            <v>0.32956727235519706</v>
          </cell>
          <cell r="E57">
            <v>0.31265084031769719</v>
          </cell>
          <cell r="F57">
            <v>0.30282804945877723</v>
          </cell>
          <cell r="G57">
            <v>0.61395600432744324</v>
          </cell>
          <cell r="H57">
            <v>0.61395600432744324</v>
          </cell>
          <cell r="I57">
            <v>0.60569982355142848</v>
          </cell>
          <cell r="J57">
            <v>0.58306996975566661</v>
          </cell>
          <cell r="K57">
            <v>0.53970654214925473</v>
          </cell>
          <cell r="L57">
            <v>0.53711567861389498</v>
          </cell>
          <cell r="M57">
            <v>0.53711567861389498</v>
          </cell>
          <cell r="N57">
            <v>0.52247031986279702</v>
          </cell>
          <cell r="O57">
            <v>0.53351223666661307</v>
          </cell>
          <cell r="P57">
            <v>0.57807634024985377</v>
          </cell>
          <cell r="Q57">
            <v>0.60611554266376599</v>
          </cell>
          <cell r="R57">
            <v>0.60611554266376599</v>
          </cell>
          <cell r="S57">
            <v>0.59935602575896962</v>
          </cell>
          <cell r="T57">
            <v>0.61382836816362829</v>
          </cell>
          <cell r="U57">
            <v>0.60786386217101784</v>
          </cell>
          <cell r="V57">
            <v>0.61892093221240818</v>
          </cell>
          <cell r="W57">
            <v>0.61892093221240818</v>
          </cell>
          <cell r="X57">
            <v>0.62016702752861119</v>
          </cell>
          <cell r="Y57">
            <v>0.61740155160561716</v>
          </cell>
          <cell r="Z57">
            <v>0.61595582635186596</v>
          </cell>
          <cell r="AA57">
            <v>0.62167669318843388</v>
          </cell>
          <cell r="AB57">
            <v>0.62167669318843388</v>
          </cell>
          <cell r="AC57">
            <v>0.62208915502328677</v>
          </cell>
          <cell r="AD57">
            <v>0.58404846037354874</v>
          </cell>
          <cell r="AE57">
            <v>0.59044604885767971</v>
          </cell>
          <cell r="AF57">
            <v>0.56881863902288821</v>
          </cell>
          <cell r="AG57">
            <v>0.56881863902288821</v>
          </cell>
          <cell r="AH57">
            <v>0.55011822761385831</v>
          </cell>
          <cell r="AI57">
            <v>0.51597510373443989</v>
          </cell>
          <cell r="AJ57">
            <v>0.49062181447502551</v>
          </cell>
          <cell r="AK57">
            <v>0.44756071351816035</v>
          </cell>
          <cell r="AL57">
            <v>0.44756071351816035</v>
          </cell>
          <cell r="AM57">
            <v>0.44708557255064074</v>
          </cell>
          <cell r="AN57">
            <v>0.4445479962721342</v>
          </cell>
          <cell r="AO57">
            <v>0.4348494161032575</v>
          </cell>
          <cell r="AP57">
            <v>0.41299159489467674</v>
          </cell>
          <cell r="AQ57">
            <v>0.41299159489467674</v>
          </cell>
          <cell r="AR57">
            <v>0.37494723512030392</v>
          </cell>
          <cell r="AS57">
            <v>0.39533224622910723</v>
          </cell>
          <cell r="AT57">
            <v>0.40164851938536683</v>
          </cell>
          <cell r="AY57">
            <v>0.38467123003526238</v>
          </cell>
          <cell r="AZ57">
            <v>0.38467123003526238</v>
          </cell>
          <cell r="BA57">
            <v>0.40075440921602612</v>
          </cell>
          <cell r="BB57">
            <v>0.39958246346555326</v>
          </cell>
          <cell r="BC57">
            <v>0.41127908223437332</v>
          </cell>
          <cell r="BD57">
            <v>0.40841054882394867</v>
          </cell>
          <cell r="BE57">
            <v>0.40841054882394867</v>
          </cell>
          <cell r="BF57">
            <v>0.4258056758056758</v>
          </cell>
          <cell r="BG57">
            <v>0.39531008213307939</v>
          </cell>
          <cell r="BH57">
            <v>0.38148768237263814</v>
          </cell>
          <cell r="BI57">
            <v>0.61316472114137488</v>
          </cell>
          <cell r="BJ57">
            <v>0.61316472114137488</v>
          </cell>
          <cell r="BK57">
            <v>0.50643776824034337</v>
          </cell>
          <cell r="BL57">
            <v>0.49286043298019344</v>
          </cell>
          <cell r="BM57">
            <v>0.54235351721886726</v>
          </cell>
          <cell r="BN57">
            <v>0.58894230769230771</v>
          </cell>
          <cell r="BO57">
            <v>0.58894230769230771</v>
          </cell>
          <cell r="BP57">
            <v>0.64865322717262408</v>
          </cell>
          <cell r="BQ57">
            <v>0.76872846000362782</v>
          </cell>
          <cell r="BR57">
            <v>0.73470891672807659</v>
          </cell>
          <cell r="BS57">
            <v>0.79231074118113354</v>
          </cell>
          <cell r="BT57">
            <v>0.79231074118113354</v>
          </cell>
          <cell r="BU57">
            <v>0.84831347202585339</v>
          </cell>
          <cell r="BV57">
            <v>0.83302938196555221</v>
          </cell>
          <cell r="BW57">
            <v>0.84470008216926873</v>
          </cell>
          <cell r="BX57">
            <v>0.87028595109821794</v>
          </cell>
          <cell r="BY57">
            <v>0.87028595109821794</v>
          </cell>
          <cell r="BZ57">
            <v>0.93551071354275017</v>
          </cell>
          <cell r="CA57">
            <v>0.92072409488139828</v>
          </cell>
          <cell r="CB57">
            <v>0.8681586978636826</v>
          </cell>
          <cell r="CC57">
            <v>0.87507679705099328</v>
          </cell>
          <cell r="CD57">
            <v>0.87507679705099328</v>
          </cell>
          <cell r="CE57">
            <v>0.8087996755879967</v>
          </cell>
          <cell r="CF57">
            <v>0.78745928338762217</v>
          </cell>
          <cell r="CG57">
            <v>0.72277834525025542</v>
          </cell>
          <cell r="CH57">
            <v>0.72845528455284558</v>
          </cell>
          <cell r="CI57">
            <v>0.72845528455284558</v>
          </cell>
          <cell r="CJ57">
            <v>0.73503591380686351</v>
          </cell>
          <cell r="CK57">
            <v>0.70610384462940945</v>
          </cell>
          <cell r="CL57">
            <v>0.63448873483535528</v>
          </cell>
          <cell r="CM57">
            <v>0.62761578044596911</v>
          </cell>
          <cell r="CN57">
            <v>0.62761578044596911</v>
          </cell>
          <cell r="CO57">
            <v>0.64377320283496453</v>
          </cell>
          <cell r="CP57">
            <v>0.65007592373882239</v>
          </cell>
          <cell r="CQ57">
            <v>0.67495252891420676</v>
          </cell>
          <cell r="CR57">
            <v>0.73439391319384406</v>
          </cell>
          <cell r="CS57">
            <v>0.73439391319384406</v>
          </cell>
          <cell r="CT57">
            <v>0.7411881515803409</v>
          </cell>
          <cell r="CU57">
            <v>0.78764348413234297</v>
          </cell>
          <cell r="CV57">
            <v>0.781255230125523</v>
          </cell>
          <cell r="CW57">
            <v>0.68738482864530259</v>
          </cell>
          <cell r="CX57">
            <v>0.68738482864530259</v>
          </cell>
          <cell r="CY57">
            <v>0.68528376249943967</v>
          </cell>
          <cell r="CZ57">
            <v>0.67623256468459336</v>
          </cell>
          <cell r="DA57">
            <v>0.65919449883255776</v>
          </cell>
          <cell r="DB57">
            <v>0.64207834947992792</v>
          </cell>
          <cell r="DC57">
            <v>0.64207834947992792</v>
          </cell>
          <cell r="DD57">
            <v>0.62342131896934672</v>
          </cell>
          <cell r="DE57">
            <v>0.60345966260512596</v>
          </cell>
          <cell r="DF57">
            <v>0.5840940543016806</v>
          </cell>
          <cell r="DG57">
            <v>0.56458131071635909</v>
          </cell>
          <cell r="DH57">
            <v>0.56458131071635909</v>
          </cell>
          <cell r="DI57">
            <v>0.54766491325153976</v>
          </cell>
          <cell r="DJ57">
            <v>0.52687034339227479</v>
          </cell>
          <cell r="DK57">
            <v>0.50769502861630422</v>
          </cell>
          <cell r="DL57">
            <v>0.48839559557370332</v>
          </cell>
          <cell r="DM57">
            <v>0.48839559557370332</v>
          </cell>
          <cell r="DN57">
            <v>0.46981718483761853</v>
          </cell>
          <cell r="DO57">
            <v>0.44963061649975566</v>
          </cell>
          <cell r="DP57">
            <v>0.43005828885108582</v>
          </cell>
          <cell r="DQ57">
            <v>0.41111882480809819</v>
          </cell>
          <cell r="DR57">
            <v>0.41111882480809819</v>
          </cell>
        </row>
        <row r="59">
          <cell r="B59" t="str">
            <v>Total Debt / Equity</v>
          </cell>
          <cell r="G59">
            <v>1.7925478348439075</v>
          </cell>
          <cell r="H59">
            <v>1.7925478348439075</v>
          </cell>
          <cell r="I59">
            <v>1.6642765563417066</v>
          </cell>
          <cell r="J59">
            <v>1.499108280254777</v>
          </cell>
          <cell r="K59">
            <v>1.2659462308908802</v>
          </cell>
          <cell r="L59">
            <v>1.2333080424886191</v>
          </cell>
          <cell r="M59">
            <v>1.2333080424886191</v>
          </cell>
          <cell r="N59">
            <v>1.1729864679065054</v>
          </cell>
          <cell r="O59">
            <v>1.1864591385004566</v>
          </cell>
          <cell r="P59">
            <v>1.4119085990560609</v>
          </cell>
          <cell r="Q59">
            <v>1.5663771712158809</v>
          </cell>
          <cell r="R59">
            <v>1.5663771712158809</v>
          </cell>
          <cell r="S59">
            <v>1.5720201123927833</v>
          </cell>
          <cell r="T59">
            <v>1.6</v>
          </cell>
          <cell r="U59">
            <v>1.561873815326293</v>
          </cell>
          <cell r="V59">
            <v>1.6410905002810567</v>
          </cell>
          <cell r="W59">
            <v>1.6410905002810567</v>
          </cell>
          <cell r="X59">
            <v>1.6478296478296479</v>
          </cell>
          <cell r="Y59">
            <v>1.635351966873706</v>
          </cell>
          <cell r="Z59">
            <v>1.6438459602315632</v>
          </cell>
          <cell r="AA59">
            <v>1.6630490956072352</v>
          </cell>
          <cell r="AB59">
            <v>1.6630490956072352</v>
          </cell>
          <cell r="AC59">
            <v>1.6621963562753037</v>
          </cell>
          <cell r="AD59">
            <v>1.4223526534605038</v>
          </cell>
          <cell r="AE59">
            <v>1.4642944187180111</v>
          </cell>
          <cell r="AF59">
            <v>1.3962124938514511</v>
          </cell>
          <cell r="AG59">
            <v>1.3962124938514511</v>
          </cell>
          <cell r="AH59">
            <v>1.2657815047752154</v>
          </cell>
          <cell r="AI59">
            <v>1.1029668411867364</v>
          </cell>
          <cell r="AJ59">
            <v>0.98582995951417007</v>
          </cell>
          <cell r="AK59">
            <v>0.8322504430005907</v>
          </cell>
          <cell r="AL59">
            <v>0.8322504430005907</v>
          </cell>
          <cell r="AM59">
            <v>0.83118849356548075</v>
          </cell>
          <cell r="AN59">
            <v>0.82173174872665533</v>
          </cell>
          <cell r="AO59">
            <v>0.78627630375114366</v>
          </cell>
          <cell r="AP59">
            <v>0.7150738565581064</v>
          </cell>
          <cell r="AQ59">
            <v>0.7150738565581064</v>
          </cell>
          <cell r="AR59">
            <v>0.6112905968372726</v>
          </cell>
          <cell r="AS59">
            <v>0.66502630239266924</v>
          </cell>
          <cell r="AT59">
            <v>0.70548420687261371</v>
          </cell>
          <cell r="AY59">
            <v>0.68478070941813729</v>
          </cell>
          <cell r="AZ59">
            <v>0.68478070941813729</v>
          </cell>
          <cell r="BA59">
            <v>0.70799233849904231</v>
          </cell>
          <cell r="BB59">
            <v>0.73205568613270655</v>
          </cell>
          <cell r="BC59">
            <v>0.76915781487101664</v>
          </cell>
          <cell r="BD59">
            <v>0.93029121761063971</v>
          </cell>
          <cell r="BE59">
            <v>0.93029121761063971</v>
          </cell>
          <cell r="BF59">
            <v>0.94845360824742264</v>
          </cell>
          <cell r="BG59">
            <v>1.161306920504245</v>
          </cell>
          <cell r="BH59">
            <v>1.1725123408677578</v>
          </cell>
          <cell r="BI59">
            <v>2.5612009237875291</v>
          </cell>
          <cell r="BJ59">
            <v>2.5612009237875291</v>
          </cell>
          <cell r="BK59">
            <v>2.7864190365641321</v>
          </cell>
          <cell r="BL59">
            <v>2.8110005851375073</v>
          </cell>
          <cell r="BM59">
            <v>3.6276435045317221</v>
          </cell>
          <cell r="BN59">
            <v>4.7042115572967678</v>
          </cell>
          <cell r="BO59">
            <v>4.7042115572967678</v>
          </cell>
          <cell r="BP59">
            <v>4.3712465878070974</v>
          </cell>
          <cell r="BQ59">
            <v>6.7977369165487973</v>
          </cell>
          <cell r="BR59">
            <v>7.6022187004754356</v>
          </cell>
          <cell r="BS59">
            <v>18.113636363636363</v>
          </cell>
          <cell r="BT59">
            <v>18.113636363636363</v>
          </cell>
          <cell r="BU59">
            <v>28.646706586826348</v>
          </cell>
          <cell r="BV59">
            <v>32.120805369127517</v>
          </cell>
          <cell r="BW59">
            <v>47.198019801980195</v>
          </cell>
          <cell r="BX59">
            <v>88.370370370370367</v>
          </cell>
          <cell r="BY59">
            <v>88.370370370370367</v>
          </cell>
          <cell r="BZ59">
            <v>149.21875</v>
          </cell>
          <cell r="CA59">
            <v>164.72413793103448</v>
          </cell>
          <cell r="CB59">
            <v>35.139705882352942</v>
          </cell>
          <cell r="CC59">
            <v>46.407766990291265</v>
          </cell>
          <cell r="CD59">
            <v>46.407766990291265</v>
          </cell>
          <cell r="CE59">
            <v>15.948453608247423</v>
          </cell>
          <cell r="CF59">
            <v>16.174825174825173</v>
          </cell>
          <cell r="CG59">
            <v>6.819488817891374</v>
          </cell>
          <cell r="CH59">
            <v>6.6160990712074303</v>
          </cell>
          <cell r="CI59">
            <v>6.6160990712074303</v>
          </cell>
          <cell r="CJ59">
            <v>5.7821380243572396</v>
          </cell>
          <cell r="CK59">
            <v>5.5362694300518136</v>
          </cell>
          <cell r="CL59">
            <v>2.3722969023962595</v>
          </cell>
          <cell r="CM59">
            <v>2.3012457531143826</v>
          </cell>
          <cell r="CN59">
            <v>2.3012457531143826</v>
          </cell>
          <cell r="CO59">
            <v>2.2136659436008679</v>
          </cell>
          <cell r="CP59">
            <v>2.2745856353591161</v>
          </cell>
          <cell r="CQ59">
            <v>2.4116607773851588</v>
          </cell>
          <cell r="CR59">
            <v>3.0639494026704148</v>
          </cell>
          <cell r="CS59">
            <v>3.0639494026704148</v>
          </cell>
          <cell r="CT59">
            <v>3.1390410958904109</v>
          </cell>
          <cell r="CU59">
            <v>4.0374149659863949</v>
          </cell>
          <cell r="CV59">
            <v>3.8815359477124183</v>
          </cell>
          <cell r="CW59">
            <v>4.1689151824147856</v>
          </cell>
          <cell r="CX59">
            <v>4.1689151824147856</v>
          </cell>
          <cell r="CY59">
            <v>4.0400128107075544</v>
          </cell>
          <cell r="CZ59">
            <v>3.7596915527721797</v>
          </cell>
          <cell r="DA59">
            <v>3.5845002850660745</v>
          </cell>
          <cell r="DB59">
            <v>3.3329509767466203</v>
          </cell>
          <cell r="DC59">
            <v>3.3329509767466203</v>
          </cell>
          <cell r="DD59">
            <v>3.1787767602875419</v>
          </cell>
          <cell r="DE59">
            <v>2.9924327651193496</v>
          </cell>
          <cell r="DF59">
            <v>2.8581311713657862</v>
          </cell>
          <cell r="DG59">
            <v>2.6697485120207918</v>
          </cell>
          <cell r="DH59">
            <v>2.6697485120207918</v>
          </cell>
          <cell r="DI59">
            <v>2.5529760614238195</v>
          </cell>
          <cell r="DJ59">
            <v>2.4250601703705232</v>
          </cell>
          <cell r="DK59">
            <v>2.3279504995761511</v>
          </cell>
          <cell r="DL59">
            <v>2.1888932358719053</v>
          </cell>
          <cell r="DM59">
            <v>2.1888932358719053</v>
          </cell>
          <cell r="DN59">
            <v>2.0966676027593603</v>
          </cell>
          <cell r="DO59">
            <v>2.0001806447276844</v>
          </cell>
          <cell r="DP59">
            <v>1.9251892678057527</v>
          </cell>
          <cell r="DQ59">
            <v>1.8211463154818579</v>
          </cell>
          <cell r="DR59">
            <v>1.8211463154818579</v>
          </cell>
        </row>
        <row r="60">
          <cell r="B60" t="str">
            <v>Net Debt / Equity</v>
          </cell>
          <cell r="G60">
            <v>1.7145015105740182</v>
          </cell>
          <cell r="H60">
            <v>1.7145015105740182</v>
          </cell>
          <cell r="I60">
            <v>1.6137518400683792</v>
          </cell>
          <cell r="J60">
            <v>1.4571549893842888</v>
          </cell>
          <cell r="K60">
            <v>1.2229460049702536</v>
          </cell>
          <cell r="L60">
            <v>1.199544764795144</v>
          </cell>
          <cell r="M60">
            <v>1.199544764795144</v>
          </cell>
          <cell r="N60">
            <v>1.1353209349446414</v>
          </cell>
          <cell r="O60">
            <v>1.1665027053615344</v>
          </cell>
          <cell r="P60">
            <v>1.3942672959594797</v>
          </cell>
          <cell r="Q60">
            <v>1.5555210918114144</v>
          </cell>
          <cell r="R60">
            <v>1.5555210918114144</v>
          </cell>
          <cell r="S60">
            <v>1.541555752735877</v>
          </cell>
          <cell r="T60">
            <v>1.5959537572254334</v>
          </cell>
          <cell r="U60">
            <v>1.5572705117790415</v>
          </cell>
          <cell r="V60">
            <v>1.6346261944912872</v>
          </cell>
          <cell r="W60">
            <v>1.6346261944912872</v>
          </cell>
          <cell r="X60">
            <v>1.6420966420966421</v>
          </cell>
          <cell r="Y60">
            <v>1.6270703933747412</v>
          </cell>
          <cell r="Z60">
            <v>1.628492323181475</v>
          </cell>
          <cell r="AA60">
            <v>1.6555555555555554</v>
          </cell>
          <cell r="AB60">
            <v>1.6555555555555554</v>
          </cell>
          <cell r="AC60">
            <v>1.6561234817813766</v>
          </cell>
          <cell r="AD60">
            <v>1.4147713377353877</v>
          </cell>
          <cell r="AE60">
            <v>1.4550329027540825</v>
          </cell>
          <cell r="AF60">
            <v>1.3630103295622233</v>
          </cell>
          <cell r="AG60">
            <v>1.3630103295622233</v>
          </cell>
          <cell r="AH60">
            <v>1.2464477055672025</v>
          </cell>
          <cell r="AI60">
            <v>1.0850785340314135</v>
          </cell>
          <cell r="AJ60">
            <v>0.97429149797570846</v>
          </cell>
          <cell r="AK60">
            <v>0.82004331561330968</v>
          </cell>
          <cell r="AL60">
            <v>0.82004331561330968</v>
          </cell>
          <cell r="AM60">
            <v>0.81869795609386831</v>
          </cell>
          <cell r="AN60">
            <v>0.80984719864176569</v>
          </cell>
          <cell r="AO60">
            <v>0.77676120768526991</v>
          </cell>
          <cell r="AP60">
            <v>0.70831108738209647</v>
          </cell>
          <cell r="AQ60">
            <v>0.70831108738209647</v>
          </cell>
          <cell r="AR60">
            <v>0.60414895425947968</v>
          </cell>
          <cell r="AS60">
            <v>0.65823858815543868</v>
          </cell>
          <cell r="AT60">
            <v>0.685005206525512</v>
          </cell>
          <cell r="AY60">
            <v>0.64808666783155688</v>
          </cell>
          <cell r="AZ60">
            <v>0.64808666783155688</v>
          </cell>
          <cell r="BA60">
            <v>0.6844854605606826</v>
          </cell>
          <cell r="BB60">
            <v>0.69209907792442593</v>
          </cell>
          <cell r="BC60">
            <v>0.72761760242792106</v>
          </cell>
          <cell r="BD60">
            <v>0.78835129557440953</v>
          </cell>
          <cell r="BE60">
            <v>0.78835129557440953</v>
          </cell>
          <cell r="BF60">
            <v>0.82966260543580128</v>
          </cell>
          <cell r="BG60">
            <v>0.85438641625932599</v>
          </cell>
          <cell r="BH60">
            <v>0.82878669784359571</v>
          </cell>
          <cell r="BI60">
            <v>2.0317551963048497</v>
          </cell>
          <cell r="BJ60">
            <v>2.0317551963048497</v>
          </cell>
          <cell r="BK60">
            <v>1.7649448636099825</v>
          </cell>
          <cell r="BL60">
            <v>1.7244002340550029</v>
          </cell>
          <cell r="BM60">
            <v>2.3111782477341389</v>
          </cell>
          <cell r="BN60">
            <v>3.3594515181194908</v>
          </cell>
          <cell r="BO60">
            <v>3.3594515181194908</v>
          </cell>
          <cell r="BP60">
            <v>3.484076433121019</v>
          </cell>
          <cell r="BQ60">
            <v>5.9943422913719946</v>
          </cell>
          <cell r="BR60">
            <v>6.3201267828843104</v>
          </cell>
          <cell r="BS60">
            <v>15.143939393939394</v>
          </cell>
          <cell r="BT60">
            <v>15.143939393939394</v>
          </cell>
          <cell r="BU60">
            <v>25.149700598802394</v>
          </cell>
          <cell r="BV60">
            <v>27.590604026845636</v>
          </cell>
          <cell r="BW60">
            <v>40.712871287128714</v>
          </cell>
          <cell r="BX60">
            <v>77.777777777777771</v>
          </cell>
          <cell r="BY60">
            <v>77.777777777777771</v>
          </cell>
          <cell r="BZ60">
            <v>140.53125</v>
          </cell>
          <cell r="CA60">
            <v>152.58620689655172</v>
          </cell>
          <cell r="CB60">
            <v>31.022058823529413</v>
          </cell>
          <cell r="CC60">
            <v>41.349514563106794</v>
          </cell>
          <cell r="CD60">
            <v>41.349514563106794</v>
          </cell>
          <cell r="CE60">
            <v>13.687285223367697</v>
          </cell>
          <cell r="CF60">
            <v>13.503496503496503</v>
          </cell>
          <cell r="CG60">
            <v>5.6469648562300323</v>
          </cell>
          <cell r="CH60">
            <v>5.5448916408668731</v>
          </cell>
          <cell r="CI60">
            <v>5.5448916408668731</v>
          </cell>
          <cell r="CJ60">
            <v>4.9824086603518269</v>
          </cell>
          <cell r="CK60">
            <v>4.6139896373056999</v>
          </cell>
          <cell r="CL60">
            <v>2.1390999415546466</v>
          </cell>
          <cell r="CM60">
            <v>2.0713476783691958</v>
          </cell>
          <cell r="CN60">
            <v>2.0713476783691958</v>
          </cell>
          <cell r="CO60">
            <v>2.0677874186550977</v>
          </cell>
          <cell r="CP60">
            <v>2.1287292817679559</v>
          </cell>
          <cell r="CQ60">
            <v>2.3027090694935217</v>
          </cell>
          <cell r="CR60">
            <v>2.9845397048489106</v>
          </cell>
          <cell r="CS60">
            <v>2.9845397048489106</v>
          </cell>
          <cell r="CT60">
            <v>3.0678082191780822</v>
          </cell>
          <cell r="CU60">
            <v>3.9676870748299318</v>
          </cell>
          <cell r="CV60">
            <v>3.8137254901960786</v>
          </cell>
          <cell r="CW60">
            <v>3.5530338769462908</v>
          </cell>
          <cell r="CX60">
            <v>3.5530338769462908</v>
          </cell>
          <cell r="CY60">
            <v>3.4538389419670494</v>
          </cell>
          <cell r="CZ60">
            <v>3.2186584258387256</v>
          </cell>
          <cell r="DA60">
            <v>3.0220773678118489</v>
          </cell>
          <cell r="DB60">
            <v>2.7820940115269117</v>
          </cell>
          <cell r="DC60">
            <v>2.7820940115269117</v>
          </cell>
          <cell r="DD60">
            <v>2.6051385195769132</v>
          </cell>
          <cell r="DE60">
            <v>2.4092721294125732</v>
          </cell>
          <cell r="DF60">
            <v>2.2535114779107341</v>
          </cell>
          <cell r="DG60">
            <v>2.071871424916107</v>
          </cell>
          <cell r="DH60">
            <v>2.071871424916107</v>
          </cell>
          <cell r="DI60">
            <v>1.9458403264644735</v>
          </cell>
          <cell r="DJ60">
            <v>1.8045626281023206</v>
          </cell>
          <cell r="DK60">
            <v>1.6895839241159578</v>
          </cell>
          <cell r="DL60">
            <v>1.5574414111546133</v>
          </cell>
          <cell r="DM60">
            <v>1.5574414111546133</v>
          </cell>
          <cell r="DN60">
            <v>1.4548676555062594</v>
          </cell>
          <cell r="DO60">
            <v>1.3489730728995433</v>
          </cell>
          <cell r="DP60">
            <v>1.2580018910781028</v>
          </cell>
          <cell r="DQ60">
            <v>1.1598263578325976</v>
          </cell>
          <cell r="DR60">
            <v>1.1598263578325976</v>
          </cell>
        </row>
        <row r="62">
          <cell r="B62" t="str">
            <v>Total Debt / LTM Adj. EBITDA</v>
          </cell>
          <cell r="G62">
            <v>5.7142857142857144</v>
          </cell>
          <cell r="H62">
            <v>5.7142857142857144</v>
          </cell>
          <cell r="I62">
            <v>4.6457496586736662</v>
          </cell>
          <cell r="J62">
            <v>3.8957857450259872</v>
          </cell>
          <cell r="K62">
            <v>3.1732593368632664</v>
          </cell>
          <cell r="L62">
            <v>2.9581437670609647</v>
          </cell>
          <cell r="M62">
            <v>2.9581437670609647</v>
          </cell>
          <cell r="N62">
            <v>2.8750443419652369</v>
          </cell>
          <cell r="O62">
            <v>2.9479703186381507</v>
          </cell>
          <cell r="P62">
            <v>3.840391389432487</v>
          </cell>
          <cell r="Q62">
            <v>3.1621790857858501</v>
          </cell>
          <cell r="R62">
            <v>3.1621790857858501</v>
          </cell>
          <cell r="S62">
            <v>3.0824102534361781</v>
          </cell>
          <cell r="T62">
            <v>2.9500159863583084</v>
          </cell>
          <cell r="U62">
            <v>2.9686052496139999</v>
          </cell>
          <cell r="V62">
            <v>3.2277501381978992</v>
          </cell>
          <cell r="W62">
            <v>3.2277501381978992</v>
          </cell>
          <cell r="X62">
            <v>3.2381974248927037</v>
          </cell>
          <cell r="Y62">
            <v>3.377338321753073</v>
          </cell>
          <cell r="Z62">
            <v>3.528363047001621</v>
          </cell>
          <cell r="AA62">
            <v>3.4639397201291713</v>
          </cell>
          <cell r="AB62">
            <v>3.4639397201291713</v>
          </cell>
          <cell r="AC62">
            <v>3.5508108108108107</v>
          </cell>
          <cell r="AD62">
            <v>3.1134903640256959</v>
          </cell>
          <cell r="AE62">
            <v>3.1455497382198954</v>
          </cell>
          <cell r="AF62">
            <v>2.9338501291989663</v>
          </cell>
          <cell r="AG62">
            <v>2.9338501291989663</v>
          </cell>
          <cell r="AH62">
            <v>2.7238095238095239</v>
          </cell>
          <cell r="AI62">
            <v>2.4507998061076104</v>
          </cell>
          <cell r="AJ62">
            <v>2.2746380196170013</v>
          </cell>
          <cell r="AK62">
            <v>1.8836898395721926</v>
          </cell>
          <cell r="AL62">
            <v>1.8836898395721926</v>
          </cell>
          <cell r="AM62">
            <v>1.8665533361665958</v>
          </cell>
          <cell r="AN62">
            <v>1.7465918203688853</v>
          </cell>
          <cell r="AO62">
            <v>1.6295032233598787</v>
          </cell>
          <cell r="AP62">
            <v>1.4365391490883088</v>
          </cell>
          <cell r="AQ62">
            <v>1.4365391490883088</v>
          </cell>
          <cell r="AR62">
            <v>1.2282200204988043</v>
          </cell>
          <cell r="AS62">
            <v>1.2959656084656084</v>
          </cell>
          <cell r="AT62">
            <v>1.442512420156139</v>
          </cell>
          <cell r="AY62">
            <v>1.4850322091701402</v>
          </cell>
          <cell r="AZ62">
            <v>1.4850322091701402</v>
          </cell>
          <cell r="BA62">
            <v>1.671875</v>
          </cell>
          <cell r="BB62">
            <v>1.9475709475709475</v>
          </cell>
          <cell r="BC62">
            <v>2.7888583218707015</v>
          </cell>
          <cell r="BD62">
            <v>3.838221381267739</v>
          </cell>
          <cell r="BE62">
            <v>3.838221381267739</v>
          </cell>
          <cell r="BF62">
            <v>4.985221674876847</v>
          </cell>
          <cell r="BG62">
            <v>12.333333333333334</v>
          </cell>
          <cell r="BH62">
            <v>10.874698795180723</v>
          </cell>
          <cell r="BI62">
            <v>11.522077922077923</v>
          </cell>
          <cell r="BJ62">
            <v>11.522077922077923</v>
          </cell>
          <cell r="BK62">
            <v>12.341902313624679</v>
          </cell>
          <cell r="BL62">
            <v>7.334351145038168</v>
          </cell>
          <cell r="BM62">
            <v>7.8097560975609754</v>
          </cell>
          <cell r="BN62">
            <v>8.4115586690017512</v>
          </cell>
          <cell r="BO62">
            <v>8.4115586690017512</v>
          </cell>
          <cell r="BP62">
            <v>8.5632798573975037</v>
          </cell>
          <cell r="BQ62">
            <v>7.8657937806873974</v>
          </cell>
          <cell r="BR62">
            <v>7.6142857142857139</v>
          </cell>
          <cell r="BS62">
            <v>6.9708454810495626</v>
          </cell>
          <cell r="BT62">
            <v>6.9708454810495626</v>
          </cell>
          <cell r="BU62">
            <v>7.25948406676783</v>
          </cell>
          <cell r="BV62">
            <v>7.8976897689768979</v>
          </cell>
          <cell r="BW62">
            <v>7.0622222222222222</v>
          </cell>
          <cell r="BX62">
            <v>6.9360465116279073</v>
          </cell>
          <cell r="BY62">
            <v>6.9360465116279073</v>
          </cell>
          <cell r="BZ62">
            <v>6.5143246930422922</v>
          </cell>
          <cell r="CA62">
            <v>6.4554054054054051</v>
          </cell>
          <cell r="CB62">
            <v>6.6467315716272601</v>
          </cell>
          <cell r="CC62">
            <v>6.3563829787234045</v>
          </cell>
          <cell r="CD62">
            <v>6.3563829787234045</v>
          </cell>
          <cell r="CE62">
            <v>5.8450881612090679</v>
          </cell>
          <cell r="CF62">
            <v>5.2748004561003423</v>
          </cell>
          <cell r="CG62">
            <v>4.4422476586888662</v>
          </cell>
          <cell r="CH62">
            <v>4.3612244897959185</v>
          </cell>
          <cell r="CI62">
            <v>4.3612244897959185</v>
          </cell>
          <cell r="CJ62">
            <v>4.264471057884232</v>
          </cell>
          <cell r="CK62">
            <v>4.173828125</v>
          </cell>
          <cell r="CL62">
            <v>4.1124620060790278</v>
          </cell>
          <cell r="CM62">
            <v>3.8704761904761904</v>
          </cell>
          <cell r="CN62">
            <v>3.8704761904761904</v>
          </cell>
          <cell r="CO62">
            <v>3.6349065004452359</v>
          </cell>
          <cell r="CP62">
            <v>3.6433628318584073</v>
          </cell>
          <cell r="CQ62">
            <v>3.6595174262734584</v>
          </cell>
          <cell r="CR62">
            <v>3.8721136767317939</v>
          </cell>
          <cell r="CS62">
            <v>3.8721136767317939</v>
          </cell>
          <cell r="CT62">
            <v>4.3032863849765262</v>
          </cell>
          <cell r="CU62">
            <v>4.404452690166976</v>
          </cell>
          <cell r="CV62">
            <v>4.1134199134199134</v>
          </cell>
          <cell r="CW62">
            <v>4.4754077771226299</v>
          </cell>
          <cell r="CX62">
            <v>4.4754077771226299</v>
          </cell>
          <cell r="CY62">
            <v>4.6041572081822073</v>
          </cell>
          <cell r="CZ62">
            <v>4.3372443698560845</v>
          </cell>
          <cell r="DA62">
            <v>4.1596914118629726</v>
          </cell>
          <cell r="DB62">
            <v>3.9916136242189224</v>
          </cell>
          <cell r="DC62">
            <v>3.9916136242189224</v>
          </cell>
          <cell r="DD62">
            <v>3.8176658874815343</v>
          </cell>
          <cell r="DE62">
            <v>3.7266953588865461</v>
          </cell>
          <cell r="DF62">
            <v>3.6606564556945282</v>
          </cell>
          <cell r="DG62">
            <v>3.5779657641308251</v>
          </cell>
          <cell r="DH62">
            <v>3.5779657641308251</v>
          </cell>
          <cell r="DI62">
            <v>3.5236298249990154</v>
          </cell>
          <cell r="DJ62">
            <v>3.5008898182940036</v>
          </cell>
          <cell r="DK62">
            <v>3.4702610525179876</v>
          </cell>
          <cell r="DL62">
            <v>3.4233295684432608</v>
          </cell>
          <cell r="DM62">
            <v>3.4233295684432608</v>
          </cell>
          <cell r="DN62">
            <v>3.3713579212418971</v>
          </cell>
          <cell r="DO62">
            <v>3.3319840059094901</v>
          </cell>
          <cell r="DP62">
            <v>3.2950044799961531</v>
          </cell>
          <cell r="DQ62">
            <v>3.2512410270498404</v>
          </cell>
          <cell r="DR62">
            <v>3.2512410270498404</v>
          </cell>
        </row>
        <row r="63">
          <cell r="B63" t="str">
            <v>Net Debt / LTM Adj. EBITDA</v>
          </cell>
          <cell r="G63">
            <v>5.4654895666131624</v>
          </cell>
          <cell r="H63">
            <v>5.4654895666131624</v>
          </cell>
          <cell r="I63">
            <v>4.5047122917246591</v>
          </cell>
          <cell r="J63">
            <v>3.7867602432107343</v>
          </cell>
          <cell r="K63">
            <v>3.0654736623533516</v>
          </cell>
          <cell r="L63">
            <v>2.8771610555050047</v>
          </cell>
          <cell r="M63">
            <v>2.8771610555050047</v>
          </cell>
          <cell r="N63">
            <v>2.7827243703440945</v>
          </cell>
          <cell r="O63">
            <v>2.8983849847228296</v>
          </cell>
          <cell r="P63">
            <v>3.7924070450097864</v>
          </cell>
          <cell r="Q63">
            <v>3.1402629931120871</v>
          </cell>
          <cell r="R63">
            <v>3.1402629931120871</v>
          </cell>
          <cell r="S63">
            <v>3.0226758684683652</v>
          </cell>
          <cell r="T63">
            <v>2.9425556858147721</v>
          </cell>
          <cell r="U63">
            <v>2.959855892949049</v>
          </cell>
          <cell r="V63">
            <v>3.2150359314538419</v>
          </cell>
          <cell r="W63">
            <v>3.2150359314538419</v>
          </cell>
          <cell r="X63">
            <v>3.226931330472103</v>
          </cell>
          <cell r="Y63">
            <v>3.360235168359166</v>
          </cell>
          <cell r="Z63">
            <v>3.4954078876283092</v>
          </cell>
          <cell r="AA63">
            <v>3.4483315392895588</v>
          </cell>
          <cell r="AB63">
            <v>3.4483315392895588</v>
          </cell>
          <cell r="AC63">
            <v>3.5378378378378379</v>
          </cell>
          <cell r="AD63">
            <v>3.0968950749464668</v>
          </cell>
          <cell r="AE63">
            <v>3.1256544502617802</v>
          </cell>
          <cell r="AF63">
            <v>2.8640826873385015</v>
          </cell>
          <cell r="AG63">
            <v>2.8640826873385015</v>
          </cell>
          <cell r="AH63">
            <v>2.6822055137844614</v>
          </cell>
          <cell r="AI63">
            <v>2.411051866214251</v>
          </cell>
          <cell r="AJ63">
            <v>2.2480149462867818</v>
          </cell>
          <cell r="AK63">
            <v>1.856060606060606</v>
          </cell>
          <cell r="AL63">
            <v>1.856060606060606</v>
          </cell>
          <cell r="AM63">
            <v>1.8385040373990651</v>
          </cell>
          <cell r="AN63">
            <v>1.7213311948676824</v>
          </cell>
          <cell r="AO63">
            <v>1.6097838452787259</v>
          </cell>
          <cell r="AP63">
            <v>1.4229531641043975</v>
          </cell>
          <cell r="AQ63">
            <v>1.4229531641043975</v>
          </cell>
          <cell r="AR63">
            <v>1.2138708575333106</v>
          </cell>
          <cell r="AS63">
            <v>1.2827380952380953</v>
          </cell>
          <cell r="AT63">
            <v>1.4006387508871541</v>
          </cell>
          <cell r="AY63">
            <v>1.405456612353164</v>
          </cell>
          <cell r="AZ63">
            <v>1.405456612353164</v>
          </cell>
          <cell r="BA63">
            <v>1.6163651315789473</v>
          </cell>
          <cell r="BB63">
            <v>1.8412698412698412</v>
          </cell>
          <cell r="BC63">
            <v>2.6382393397524071</v>
          </cell>
          <cell r="BD63">
            <v>3.2526017029328287</v>
          </cell>
          <cell r="BE63">
            <v>3.2526017029328287</v>
          </cell>
          <cell r="BF63">
            <v>4.360837438423645</v>
          </cell>
          <cell r="BG63">
            <v>9.0737704918032787</v>
          </cell>
          <cell r="BH63">
            <v>7.6867469879518069</v>
          </cell>
          <cell r="BI63">
            <v>9.1402597402597401</v>
          </cell>
          <cell r="BJ63">
            <v>9.1402597402597401</v>
          </cell>
          <cell r="BK63">
            <v>7.8174807197943448</v>
          </cell>
          <cell r="BL63">
            <v>4.4992366412213745</v>
          </cell>
          <cell r="BM63">
            <v>4.975609756097561</v>
          </cell>
          <cell r="BN63">
            <v>6.0070052539404557</v>
          </cell>
          <cell r="BO63">
            <v>6.0070052539404557</v>
          </cell>
          <cell r="BP63">
            <v>6.8253119429590017</v>
          </cell>
          <cell r="BQ63">
            <v>6.9361702127659575</v>
          </cell>
          <cell r="BR63">
            <v>6.3301587301587299</v>
          </cell>
          <cell r="BS63">
            <v>5.8279883381924202</v>
          </cell>
          <cell r="BT63">
            <v>5.8279883381924202</v>
          </cell>
          <cell r="BU63">
            <v>6.3732928679817906</v>
          </cell>
          <cell r="BV63">
            <v>6.7838283828382835</v>
          </cell>
          <cell r="BW63">
            <v>6.0918518518518523</v>
          </cell>
          <cell r="BX63">
            <v>6.1046511627906979</v>
          </cell>
          <cell r="BY63">
            <v>6.1046511627906979</v>
          </cell>
          <cell r="BZ63">
            <v>6.1350613915416101</v>
          </cell>
          <cell r="CA63">
            <v>5.9797297297297298</v>
          </cell>
          <cell r="CB63">
            <v>5.8678720445062584</v>
          </cell>
          <cell r="CC63">
            <v>5.6635638297872344</v>
          </cell>
          <cell r="CD63">
            <v>5.6635638297872344</v>
          </cell>
          <cell r="CE63">
            <v>5.0163727959697733</v>
          </cell>
          <cell r="CF63">
            <v>4.4036488027366021</v>
          </cell>
          <cell r="CG63">
            <v>3.6784599375650364</v>
          </cell>
          <cell r="CH63">
            <v>3.6551020408163266</v>
          </cell>
          <cell r="CI63">
            <v>3.6551020408163266</v>
          </cell>
          <cell r="CJ63">
            <v>3.6746506986027945</v>
          </cell>
          <cell r="CK63">
            <v>3.478515625</v>
          </cell>
          <cell r="CL63">
            <v>3.7082066869300911</v>
          </cell>
          <cell r="CM63">
            <v>3.4838095238095237</v>
          </cell>
          <cell r="CN63">
            <v>3.4838095238095237</v>
          </cell>
          <cell r="CO63">
            <v>3.3953695458593054</v>
          </cell>
          <cell r="CP63">
            <v>3.4097345132743362</v>
          </cell>
          <cell r="CQ63">
            <v>3.4941912421805181</v>
          </cell>
          <cell r="CR63">
            <v>3.7717584369449377</v>
          </cell>
          <cell r="CS63">
            <v>3.7717584369449377</v>
          </cell>
          <cell r="CT63">
            <v>4.2056338028169016</v>
          </cell>
          <cell r="CU63">
            <v>4.3283858998144709</v>
          </cell>
          <cell r="CV63">
            <v>4.0415584415584416</v>
          </cell>
          <cell r="CW63">
            <v>3.814247771780046</v>
          </cell>
          <cell r="CX63">
            <v>3.814247771780046</v>
          </cell>
          <cell r="CY63">
            <v>3.9361304544410523</v>
          </cell>
          <cell r="CZ63">
            <v>3.7130993167951458</v>
          </cell>
          <cell r="DA63">
            <v>3.5070186282997273</v>
          </cell>
          <cell r="DB63">
            <v>3.3318954997377781</v>
          </cell>
          <cell r="DC63">
            <v>3.3318954997377781</v>
          </cell>
          <cell r="DD63">
            <v>3.1287344813271138</v>
          </cell>
          <cell r="DE63">
            <v>3.0004427727279079</v>
          </cell>
          <cell r="DF63">
            <v>2.8862675801032678</v>
          </cell>
          <cell r="DG63">
            <v>2.7766978772167765</v>
          </cell>
          <cell r="DH63">
            <v>2.7766978772167765</v>
          </cell>
          <cell r="DI63">
            <v>2.6856581668032358</v>
          </cell>
          <cell r="DJ63">
            <v>2.6051208990134147</v>
          </cell>
          <cell r="DK63">
            <v>2.5186520451734875</v>
          </cell>
          <cell r="DL63">
            <v>2.4357676046268315</v>
          </cell>
          <cell r="DM63">
            <v>2.4357676046268315</v>
          </cell>
          <cell r="DN63">
            <v>2.3393691915182422</v>
          </cell>
          <cell r="DO63">
            <v>2.2471753814595057</v>
          </cell>
          <cell r="DP63">
            <v>2.1530983661000827</v>
          </cell>
          <cell r="DQ63">
            <v>2.0706052044156555</v>
          </cell>
          <cell r="DR63">
            <v>2.0706052044156555</v>
          </cell>
        </row>
        <row r="64">
          <cell r="B64" t="str">
            <v>EBITDA / Interest Expense</v>
          </cell>
          <cell r="G64">
            <v>1.8293399107352595</v>
          </cell>
          <cell r="H64">
            <v>4.5144927536231885</v>
          </cell>
          <cell r="I64">
            <v>2.446206225680934</v>
          </cell>
          <cell r="J64">
            <v>2.7866236162361626</v>
          </cell>
          <cell r="K64">
            <v>3.3317924528301894</v>
          </cell>
          <cell r="L64">
            <v>3.7078272604588385</v>
          </cell>
          <cell r="M64">
            <v>3.5224358974358974</v>
          </cell>
          <cell r="N64">
            <v>3.9704225352112665</v>
          </cell>
          <cell r="O64">
            <v>4.0852353780313821</v>
          </cell>
          <cell r="P64">
            <v>3.0129716981132066</v>
          </cell>
          <cell r="Q64">
            <v>2.3499117127722173</v>
          </cell>
          <cell r="R64">
            <v>3.829736211031173</v>
          </cell>
          <cell r="S64">
            <v>3.8488839285714271</v>
          </cell>
          <cell r="T64">
            <v>3.9758474576271174</v>
          </cell>
          <cell r="U64">
            <v>4.2609649122807003</v>
          </cell>
          <cell r="V64">
            <v>3.7687499999999998</v>
          </cell>
          <cell r="W64">
            <v>3.8987068965517242</v>
          </cell>
          <cell r="X64">
            <v>3.9159663865546217</v>
          </cell>
          <cell r="Y64">
            <v>3.9306722689075628</v>
          </cell>
          <cell r="Z64">
            <v>3.793032786885246</v>
          </cell>
          <cell r="AA64">
            <v>3.7160000000000002</v>
          </cell>
          <cell r="AB64">
            <v>3.8309278350515465</v>
          </cell>
          <cell r="AC64">
            <v>3.7298387096774195</v>
          </cell>
          <cell r="AD64">
            <v>3.8916666666666666</v>
          </cell>
          <cell r="AE64">
            <v>4.0811965811965809</v>
          </cell>
          <cell r="AF64">
            <v>4.0995762711864403</v>
          </cell>
          <cell r="AG64">
            <v>4.0396659707724423</v>
          </cell>
          <cell r="AH64">
            <v>4.0548780487804876</v>
          </cell>
          <cell r="AI64">
            <v>4.3707627118644066</v>
          </cell>
          <cell r="AJ64">
            <v>4.7367256637168138</v>
          </cell>
          <cell r="AK64">
            <v>5.5</v>
          </cell>
          <cell r="AL64">
            <v>4.9210526315789478</v>
          </cell>
          <cell r="AM64">
            <v>6.0644329896907214</v>
          </cell>
          <cell r="AN64">
            <v>7.25</v>
          </cell>
          <cell r="AO64">
            <v>8.7899999999999991</v>
          </cell>
          <cell r="AP64">
            <v>10.134057971014492</v>
          </cell>
          <cell r="AQ64">
            <v>8.5535168195718647</v>
          </cell>
          <cell r="AR64">
            <v>11.43359375</v>
          </cell>
          <cell r="AS64">
            <v>12.193548387096774</v>
          </cell>
          <cell r="AT64">
            <v>10.514925373134329</v>
          </cell>
          <cell r="AV64">
            <v>9.3150684931506849</v>
          </cell>
          <cell r="AW64">
            <v>9.764705882352942</v>
          </cell>
          <cell r="AX64">
            <v>10.42741935483871</v>
          </cell>
          <cell r="AY64">
            <v>10.641129032258064</v>
          </cell>
          <cell r="AZ64">
            <v>9.9584905660377352</v>
          </cell>
          <cell r="BA64">
            <v>8.3287671232876708</v>
          </cell>
          <cell r="BB64">
            <v>7.1198630136986303</v>
          </cell>
          <cell r="BC64">
            <v>4.9121621621621623</v>
          </cell>
          <cell r="BD64">
            <v>3.4769736842105261</v>
          </cell>
          <cell r="BE64">
            <v>3.5709459459459461</v>
          </cell>
          <cell r="BF64">
            <v>2.6363636363636362</v>
          </cell>
          <cell r="BG64">
            <v>1.2534246575342465</v>
          </cell>
          <cell r="BH64">
            <v>1.1401098901098901</v>
          </cell>
          <cell r="BI64">
            <v>1.0576923076923077</v>
          </cell>
          <cell r="BJ64">
            <v>1.1596385542168675</v>
          </cell>
          <cell r="BK64">
            <v>0.96287128712871284</v>
          </cell>
          <cell r="BL64">
            <v>1.6053921568627452</v>
          </cell>
          <cell r="BM64">
            <v>1.5073529411764706</v>
          </cell>
          <cell r="BN64">
            <v>1.4275</v>
          </cell>
          <cell r="BO64">
            <v>1.4098765432098765</v>
          </cell>
          <cell r="BP64">
            <v>1.375</v>
          </cell>
          <cell r="BQ64">
            <v>1.5123762376237624</v>
          </cell>
          <cell r="BR64">
            <v>1.5144230769230769</v>
          </cell>
          <cell r="BS64">
            <v>1.6813725490196079</v>
          </cell>
          <cell r="BT64">
            <v>1.6772616136919316</v>
          </cell>
          <cell r="BU64">
            <v>1.554245283018868</v>
          </cell>
          <cell r="BV64">
            <v>1.4428571428571428</v>
          </cell>
          <cell r="BW64">
            <v>1.6071428571428572</v>
          </cell>
          <cell r="BX64">
            <v>1.6538461538461537</v>
          </cell>
          <cell r="BY64">
            <v>1.638095238095238</v>
          </cell>
          <cell r="BZ64">
            <v>1.7620192307692308</v>
          </cell>
          <cell r="CA64">
            <v>1.8137254901960784</v>
          </cell>
          <cell r="CB64">
            <v>1.695754716981132</v>
          </cell>
          <cell r="CC64">
            <v>1.7735849056603774</v>
          </cell>
          <cell r="CD64">
            <v>1.799043062200957</v>
          </cell>
          <cell r="CE64">
            <v>1.8045454545454545</v>
          </cell>
          <cell r="CF64">
            <v>1.8270833333333334</v>
          </cell>
          <cell r="CG64">
            <v>2.1450892857142856</v>
          </cell>
          <cell r="CH64">
            <v>2.378640776699029</v>
          </cell>
          <cell r="CI64">
            <v>2.202247191011236</v>
          </cell>
          <cell r="CJ64">
            <v>2.2981651376146788</v>
          </cell>
          <cell r="CK64">
            <v>2.3925233644859811</v>
          </cell>
          <cell r="CL64">
            <v>2.30607476635514</v>
          </cell>
          <cell r="CM64">
            <v>2.5990099009900991</v>
          </cell>
          <cell r="CN64">
            <v>2.4764150943396226</v>
          </cell>
          <cell r="CO64">
            <v>2.3792372881355934</v>
          </cell>
          <cell r="CP64">
            <v>2.8826530612244898</v>
          </cell>
          <cell r="CQ64">
            <v>4.7415254237288131</v>
          </cell>
          <cell r="CR64">
            <v>2.8149999999999999</v>
          </cell>
          <cell r="CS64">
            <v>3.0026666666666668</v>
          </cell>
          <cell r="CT64">
            <v>2.7168367346938775</v>
          </cell>
          <cell r="CU64">
            <v>2.642156862745098</v>
          </cell>
          <cell r="CV64">
            <v>2.8033980582524274</v>
          </cell>
          <cell r="CW64">
            <v>2.7696789379246534</v>
          </cell>
          <cell r="CX64">
            <v>2.9267478713120552</v>
          </cell>
          <cell r="CY64">
            <v>2.6449179122879873</v>
          </cell>
          <cell r="CZ64">
            <v>2.7936180974763238</v>
          </cell>
          <cell r="DA64">
            <v>2.9282814312575973</v>
          </cell>
          <cell r="DB64">
            <v>3.0535814513691952</v>
          </cell>
          <cell r="DC64">
            <v>3.0430009416814476</v>
          </cell>
          <cell r="DD64">
            <v>3.1948022394439812</v>
          </cell>
          <cell r="DE64">
            <v>3.2749276649349763</v>
          </cell>
          <cell r="DF64">
            <v>3.3361852116528876</v>
          </cell>
          <cell r="DG64">
            <v>3.4289853123326681</v>
          </cell>
          <cell r="DH64">
            <v>3.418873150246684</v>
          </cell>
          <cell r="DI64">
            <v>3.4841326409356306</v>
          </cell>
          <cell r="DJ64">
            <v>3.5090494017487943</v>
          </cell>
          <cell r="DK64">
            <v>3.5423262893070047</v>
          </cell>
          <cell r="DL64">
            <v>3.6830265286003132</v>
          </cell>
          <cell r="DM64">
            <v>3.6152634702613939</v>
          </cell>
          <cell r="DN64">
            <v>3.7422354786029426</v>
          </cell>
          <cell r="DO64">
            <v>3.7889187969606146</v>
          </cell>
          <cell r="DP64">
            <v>3.8339305803916366</v>
          </cell>
          <cell r="DQ64">
            <v>3.8880599563168019</v>
          </cell>
          <cell r="DR64">
            <v>3.8880599563168019</v>
          </cell>
        </row>
        <row r="65">
          <cell r="B65" t="str">
            <v>LTM Adj.EBITDA</v>
          </cell>
          <cell r="G65">
            <v>623</v>
          </cell>
          <cell r="H65">
            <v>623</v>
          </cell>
          <cell r="I65">
            <v>754.41</v>
          </cell>
          <cell r="J65">
            <v>906.21</v>
          </cell>
          <cell r="K65">
            <v>1059.5100000000002</v>
          </cell>
          <cell r="L65">
            <v>1099</v>
          </cell>
          <cell r="M65">
            <v>1099</v>
          </cell>
          <cell r="N65">
            <v>1127.5999999999997</v>
          </cell>
          <cell r="O65">
            <v>1145.4999999999995</v>
          </cell>
          <cell r="P65">
            <v>1277.4999999999995</v>
          </cell>
          <cell r="Q65">
            <v>1596.9999999999991</v>
          </cell>
          <cell r="R65">
            <v>1596.9999999999991</v>
          </cell>
          <cell r="S65">
            <v>1724.2999999999993</v>
          </cell>
          <cell r="T65">
            <v>1876.5999999999995</v>
          </cell>
          <cell r="U65">
            <v>1942.9999999999993</v>
          </cell>
          <cell r="V65">
            <v>1809</v>
          </cell>
          <cell r="W65">
            <v>1809</v>
          </cell>
          <cell r="X65">
            <v>1864</v>
          </cell>
          <cell r="Y65">
            <v>1871</v>
          </cell>
          <cell r="Z65">
            <v>1851</v>
          </cell>
          <cell r="AA65">
            <v>1858</v>
          </cell>
          <cell r="AB65">
            <v>1858</v>
          </cell>
          <cell r="AC65">
            <v>1850</v>
          </cell>
          <cell r="AD65">
            <v>1868</v>
          </cell>
          <cell r="AE65">
            <v>1910</v>
          </cell>
          <cell r="AF65">
            <v>1935</v>
          </cell>
          <cell r="AG65">
            <v>1935</v>
          </cell>
          <cell r="AH65">
            <v>1995</v>
          </cell>
          <cell r="AI65">
            <v>2063</v>
          </cell>
          <cell r="AJ65">
            <v>2141</v>
          </cell>
          <cell r="AK65">
            <v>2244</v>
          </cell>
          <cell r="AL65">
            <v>2244</v>
          </cell>
          <cell r="AM65">
            <v>2353</v>
          </cell>
          <cell r="AN65">
            <v>2494</v>
          </cell>
          <cell r="AO65">
            <v>2637</v>
          </cell>
          <cell r="AP65">
            <v>2797</v>
          </cell>
          <cell r="AQ65">
            <v>2797</v>
          </cell>
          <cell r="AR65">
            <v>2927</v>
          </cell>
          <cell r="AS65">
            <v>3024</v>
          </cell>
          <cell r="AT65">
            <v>2818</v>
          </cell>
          <cell r="AV65">
            <v>2720</v>
          </cell>
          <cell r="AW65">
            <v>2656</v>
          </cell>
          <cell r="AX65">
            <v>2586</v>
          </cell>
          <cell r="AY65">
            <v>2639</v>
          </cell>
          <cell r="AZ65">
            <v>2639</v>
          </cell>
          <cell r="BA65">
            <v>2432</v>
          </cell>
          <cell r="BB65">
            <v>2079</v>
          </cell>
          <cell r="BC65">
            <v>1454</v>
          </cell>
          <cell r="BD65">
            <v>1057</v>
          </cell>
          <cell r="BE65">
            <v>1057</v>
          </cell>
          <cell r="BF65">
            <v>812</v>
          </cell>
          <cell r="BG65">
            <v>366</v>
          </cell>
          <cell r="BH65">
            <v>415</v>
          </cell>
          <cell r="BI65">
            <v>385</v>
          </cell>
          <cell r="BJ65">
            <v>385</v>
          </cell>
          <cell r="BK65">
            <v>389</v>
          </cell>
          <cell r="BL65">
            <v>655</v>
          </cell>
          <cell r="BM65">
            <v>615</v>
          </cell>
          <cell r="BN65">
            <v>571</v>
          </cell>
          <cell r="BO65">
            <v>571</v>
          </cell>
          <cell r="BP65">
            <v>561</v>
          </cell>
          <cell r="BQ65">
            <v>611</v>
          </cell>
          <cell r="BR65">
            <v>630</v>
          </cell>
          <cell r="BS65">
            <v>686</v>
          </cell>
          <cell r="BT65">
            <v>686</v>
          </cell>
          <cell r="BU65">
            <v>659</v>
          </cell>
          <cell r="BV65">
            <v>606</v>
          </cell>
          <cell r="BW65">
            <v>675</v>
          </cell>
          <cell r="BX65">
            <v>688</v>
          </cell>
          <cell r="BY65">
            <v>688</v>
          </cell>
          <cell r="BZ65">
            <v>733</v>
          </cell>
          <cell r="CA65">
            <v>740</v>
          </cell>
          <cell r="CB65">
            <v>719</v>
          </cell>
          <cell r="CC65">
            <v>752</v>
          </cell>
          <cell r="CD65">
            <v>752</v>
          </cell>
          <cell r="CE65">
            <v>794</v>
          </cell>
          <cell r="CF65">
            <v>877</v>
          </cell>
          <cell r="CG65">
            <v>961</v>
          </cell>
          <cell r="CH65">
            <v>980</v>
          </cell>
          <cell r="CI65">
            <v>980</v>
          </cell>
          <cell r="CJ65">
            <v>1002</v>
          </cell>
          <cell r="CK65">
            <v>1024</v>
          </cell>
          <cell r="CL65">
            <v>987</v>
          </cell>
          <cell r="CM65">
            <v>1050</v>
          </cell>
          <cell r="CN65">
            <v>1050</v>
          </cell>
          <cell r="CO65">
            <v>1123</v>
          </cell>
          <cell r="CP65">
            <v>1130</v>
          </cell>
          <cell r="CQ65">
            <v>1119</v>
          </cell>
          <cell r="CR65">
            <v>1126</v>
          </cell>
          <cell r="CS65">
            <v>1126</v>
          </cell>
          <cell r="CT65">
            <v>1065</v>
          </cell>
          <cell r="CU65">
            <v>1078</v>
          </cell>
          <cell r="CV65">
            <v>1155</v>
          </cell>
          <cell r="CW65">
            <v>1205.1882797298467</v>
          </cell>
          <cell r="CX65">
            <v>1205.1882797298467</v>
          </cell>
          <cell r="CY65">
            <v>1172.2468968714693</v>
          </cell>
          <cell r="CZ65">
            <v>1232.4645660159956</v>
          </cell>
          <cell r="DA65">
            <v>1285.9126964911995</v>
          </cell>
          <cell r="DB65">
            <v>1340.9363991354187</v>
          </cell>
          <cell r="DC65">
            <v>1340.9363991354187</v>
          </cell>
          <cell r="DD65">
            <v>1402.9514781696323</v>
          </cell>
          <cell r="DE65">
            <v>1438.1374069710114</v>
          </cell>
          <cell r="DF65">
            <v>1465.0377780349481</v>
          </cell>
          <cell r="DG65">
            <v>1499.8746085832527</v>
          </cell>
          <cell r="DH65">
            <v>1499.8746085832527</v>
          </cell>
          <cell r="DI65">
            <v>1523.996636054555</v>
          </cell>
          <cell r="DJ65">
            <v>1534.8954919748164</v>
          </cell>
          <cell r="DK65">
            <v>1549.4511561597078</v>
          </cell>
          <cell r="DL65">
            <v>1571.715457839121</v>
          </cell>
          <cell r="DM65">
            <v>1571.715457839121</v>
          </cell>
          <cell r="DN65">
            <v>1596.9826182135866</v>
          </cell>
          <cell r="DO65">
            <v>1616.9045200832054</v>
          </cell>
          <cell r="DP65">
            <v>1636.1131017358416</v>
          </cell>
          <cell r="DQ65">
            <v>1659.2125760958861</v>
          </cell>
          <cell r="DR65">
            <v>1659.2125760958861</v>
          </cell>
        </row>
        <row r="66">
          <cell r="B66" t="str">
            <v>Interest Expense (annualized)</v>
          </cell>
          <cell r="G66">
            <v>340.56</v>
          </cell>
          <cell r="H66">
            <v>138</v>
          </cell>
          <cell r="I66">
            <v>308.39999999999998</v>
          </cell>
          <cell r="J66">
            <v>325.2</v>
          </cell>
          <cell r="K66">
            <v>318</v>
          </cell>
          <cell r="L66">
            <v>296.40000000000009</v>
          </cell>
          <cell r="M66">
            <v>312</v>
          </cell>
          <cell r="N66">
            <v>284</v>
          </cell>
          <cell r="O66">
            <v>280.39999999999998</v>
          </cell>
          <cell r="P66">
            <v>424</v>
          </cell>
          <cell r="Q66">
            <v>679.6</v>
          </cell>
          <cell r="R66">
            <v>417</v>
          </cell>
          <cell r="S66">
            <v>448</v>
          </cell>
          <cell r="T66">
            <v>472</v>
          </cell>
          <cell r="U66">
            <v>456</v>
          </cell>
          <cell r="V66">
            <v>480</v>
          </cell>
          <cell r="W66">
            <v>464</v>
          </cell>
          <cell r="X66">
            <v>476</v>
          </cell>
          <cell r="Y66">
            <v>476</v>
          </cell>
          <cell r="Z66">
            <v>488</v>
          </cell>
          <cell r="AA66">
            <v>500</v>
          </cell>
          <cell r="AB66">
            <v>485</v>
          </cell>
          <cell r="AC66">
            <v>496</v>
          </cell>
          <cell r="AD66">
            <v>480</v>
          </cell>
          <cell r="AE66">
            <v>468</v>
          </cell>
          <cell r="AF66">
            <v>472</v>
          </cell>
          <cell r="AG66">
            <v>479</v>
          </cell>
          <cell r="AH66">
            <v>492</v>
          </cell>
          <cell r="AI66">
            <v>472</v>
          </cell>
          <cell r="AJ66">
            <v>452</v>
          </cell>
          <cell r="AK66">
            <v>408</v>
          </cell>
          <cell r="AL66">
            <v>456</v>
          </cell>
          <cell r="AM66">
            <v>388</v>
          </cell>
          <cell r="AN66">
            <v>344</v>
          </cell>
          <cell r="AO66">
            <v>300</v>
          </cell>
          <cell r="AP66">
            <v>276</v>
          </cell>
          <cell r="AQ66">
            <v>327</v>
          </cell>
          <cell r="AR66">
            <v>256</v>
          </cell>
          <cell r="AS66">
            <v>248</v>
          </cell>
          <cell r="AT66">
            <v>268</v>
          </cell>
          <cell r="AV66">
            <v>292</v>
          </cell>
          <cell r="AW66">
            <v>272</v>
          </cell>
          <cell r="AX66">
            <v>248</v>
          </cell>
          <cell r="AY66">
            <v>248</v>
          </cell>
          <cell r="AZ66">
            <v>265</v>
          </cell>
          <cell r="BA66">
            <v>292</v>
          </cell>
          <cell r="BB66">
            <v>292</v>
          </cell>
          <cell r="BC66">
            <v>296</v>
          </cell>
          <cell r="BD66">
            <v>304</v>
          </cell>
          <cell r="BE66">
            <v>296</v>
          </cell>
          <cell r="BF66">
            <v>308</v>
          </cell>
          <cell r="BG66">
            <v>292</v>
          </cell>
          <cell r="BH66">
            <v>364</v>
          </cell>
          <cell r="BI66">
            <v>364</v>
          </cell>
          <cell r="BJ66">
            <v>332</v>
          </cell>
          <cell r="BK66">
            <v>404</v>
          </cell>
          <cell r="BL66">
            <v>408</v>
          </cell>
          <cell r="BM66">
            <v>408</v>
          </cell>
          <cell r="BN66">
            <v>400</v>
          </cell>
          <cell r="BO66">
            <v>405</v>
          </cell>
          <cell r="BP66">
            <v>408</v>
          </cell>
          <cell r="BQ66">
            <v>404</v>
          </cell>
          <cell r="BR66">
            <v>416</v>
          </cell>
          <cell r="BS66">
            <v>408</v>
          </cell>
          <cell r="BT66">
            <v>409</v>
          </cell>
          <cell r="BU66">
            <v>424</v>
          </cell>
          <cell r="BV66">
            <v>420</v>
          </cell>
          <cell r="BW66">
            <v>420</v>
          </cell>
          <cell r="BX66">
            <v>416</v>
          </cell>
          <cell r="BY66">
            <v>420</v>
          </cell>
          <cell r="BZ66">
            <v>416</v>
          </cell>
          <cell r="CA66">
            <v>408</v>
          </cell>
          <cell r="CB66">
            <v>424</v>
          </cell>
          <cell r="CC66">
            <v>424</v>
          </cell>
          <cell r="CD66">
            <v>418</v>
          </cell>
          <cell r="CE66">
            <v>440</v>
          </cell>
          <cell r="CF66">
            <v>480</v>
          </cell>
          <cell r="CG66">
            <v>448</v>
          </cell>
          <cell r="CH66">
            <v>412</v>
          </cell>
          <cell r="CI66">
            <v>445</v>
          </cell>
          <cell r="CJ66">
            <v>436</v>
          </cell>
          <cell r="CK66">
            <v>428</v>
          </cell>
          <cell r="CL66">
            <v>428</v>
          </cell>
          <cell r="CM66">
            <v>404</v>
          </cell>
          <cell r="CN66">
            <v>424</v>
          </cell>
          <cell r="CO66">
            <v>472</v>
          </cell>
          <cell r="CP66">
            <v>392</v>
          </cell>
          <cell r="CQ66">
            <v>236</v>
          </cell>
          <cell r="CR66">
            <v>400</v>
          </cell>
          <cell r="CS66">
            <v>375</v>
          </cell>
          <cell r="CT66">
            <v>392</v>
          </cell>
          <cell r="CU66">
            <v>408</v>
          </cell>
          <cell r="CV66">
            <v>412</v>
          </cell>
          <cell r="CW66">
            <v>435.13645687499996</v>
          </cell>
          <cell r="CX66">
            <v>411.78411421875001</v>
          </cell>
          <cell r="CY66">
            <v>443.20728875000003</v>
          </cell>
          <cell r="CZ66">
            <v>441.17145687499999</v>
          </cell>
          <cell r="DA66">
            <v>439.135625</v>
          </cell>
          <cell r="DB66">
            <v>439.135625</v>
          </cell>
          <cell r="DC66">
            <v>440.66249890624999</v>
          </cell>
          <cell r="DD66">
            <v>439.135625</v>
          </cell>
          <cell r="DE66">
            <v>439.135625</v>
          </cell>
          <cell r="DF66">
            <v>439.135625</v>
          </cell>
          <cell r="DG66">
            <v>437.41062500000004</v>
          </cell>
          <cell r="DH66">
            <v>438.70437500000003</v>
          </cell>
          <cell r="DI66">
            <v>437.41062500000004</v>
          </cell>
          <cell r="DJ66">
            <v>437.41062500000004</v>
          </cell>
          <cell r="DK66">
            <v>437.41062500000004</v>
          </cell>
          <cell r="DL66">
            <v>426.74562499999996</v>
          </cell>
          <cell r="DM66">
            <v>434.74437500000005</v>
          </cell>
          <cell r="DN66">
            <v>426.74562499999996</v>
          </cell>
          <cell r="DO66">
            <v>426.74562499999996</v>
          </cell>
          <cell r="DP66">
            <v>426.74562499999996</v>
          </cell>
          <cell r="DQ66">
            <v>426.74562499999996</v>
          </cell>
          <cell r="DR66">
            <v>426.74562499999996</v>
          </cell>
        </row>
        <row r="67">
          <cell r="B67" t="str">
            <v xml:space="preserve">Net Debt </v>
          </cell>
          <cell r="G67">
            <v>3405</v>
          </cell>
          <cell r="H67">
            <v>3405</v>
          </cell>
          <cell r="I67">
            <v>3398.4</v>
          </cell>
          <cell r="J67">
            <v>3431.6</v>
          </cell>
          <cell r="K67">
            <v>3247.9</v>
          </cell>
          <cell r="L67">
            <v>3162</v>
          </cell>
          <cell r="M67">
            <v>3162</v>
          </cell>
          <cell r="N67">
            <v>3137.8</v>
          </cell>
          <cell r="O67">
            <v>3320.1</v>
          </cell>
          <cell r="P67">
            <v>4844.8</v>
          </cell>
          <cell r="Q67">
            <v>5015</v>
          </cell>
          <cell r="R67">
            <v>5015</v>
          </cell>
          <cell r="S67">
            <v>5212</v>
          </cell>
          <cell r="T67">
            <v>5522</v>
          </cell>
          <cell r="U67">
            <v>5751</v>
          </cell>
          <cell r="V67">
            <v>5816</v>
          </cell>
          <cell r="W67">
            <v>5816</v>
          </cell>
          <cell r="X67">
            <v>6015</v>
          </cell>
          <cell r="Y67">
            <v>6287</v>
          </cell>
          <cell r="Z67">
            <v>6470</v>
          </cell>
          <cell r="AA67">
            <v>6407</v>
          </cell>
          <cell r="AB67">
            <v>6407</v>
          </cell>
          <cell r="AC67">
            <v>6545</v>
          </cell>
          <cell r="AD67">
            <v>5785</v>
          </cell>
          <cell r="AE67">
            <v>5970</v>
          </cell>
          <cell r="AF67">
            <v>5542</v>
          </cell>
          <cell r="AG67">
            <v>5542</v>
          </cell>
          <cell r="AH67">
            <v>5351</v>
          </cell>
          <cell r="AI67">
            <v>4974</v>
          </cell>
          <cell r="AJ67">
            <v>4813</v>
          </cell>
          <cell r="AK67">
            <v>4165</v>
          </cell>
          <cell r="AL67">
            <v>4165</v>
          </cell>
          <cell r="AM67">
            <v>4326</v>
          </cell>
          <cell r="AN67">
            <v>4293</v>
          </cell>
          <cell r="AO67">
            <v>4245</v>
          </cell>
          <cell r="AP67">
            <v>3980</v>
          </cell>
          <cell r="AQ67">
            <v>3980</v>
          </cell>
          <cell r="AR67">
            <v>3553</v>
          </cell>
          <cell r="AS67">
            <v>3879</v>
          </cell>
          <cell r="AT67">
            <v>3947</v>
          </cell>
          <cell r="AY67">
            <v>3709</v>
          </cell>
          <cell r="AZ67">
            <v>3709</v>
          </cell>
          <cell r="BA67">
            <v>3931</v>
          </cell>
          <cell r="BB67">
            <v>3828</v>
          </cell>
          <cell r="BC67">
            <v>3836</v>
          </cell>
          <cell r="BD67">
            <v>3438</v>
          </cell>
          <cell r="BE67">
            <v>3438</v>
          </cell>
          <cell r="BF67">
            <v>3541</v>
          </cell>
          <cell r="BG67">
            <v>3321</v>
          </cell>
          <cell r="BH67">
            <v>3190</v>
          </cell>
          <cell r="BI67">
            <v>3519</v>
          </cell>
          <cell r="BJ67">
            <v>3519</v>
          </cell>
          <cell r="BK67">
            <v>3041</v>
          </cell>
          <cell r="BL67">
            <v>2947</v>
          </cell>
          <cell r="BM67">
            <v>3060</v>
          </cell>
          <cell r="BN67">
            <v>3430</v>
          </cell>
          <cell r="BO67">
            <v>3430</v>
          </cell>
          <cell r="BP67">
            <v>3829</v>
          </cell>
          <cell r="BQ67">
            <v>4238</v>
          </cell>
          <cell r="BR67">
            <v>3988</v>
          </cell>
          <cell r="BS67">
            <v>3998</v>
          </cell>
          <cell r="BT67">
            <v>3998</v>
          </cell>
          <cell r="BU67">
            <v>4200</v>
          </cell>
          <cell r="BV67">
            <v>4111</v>
          </cell>
          <cell r="BW67">
            <v>4112</v>
          </cell>
          <cell r="BX67">
            <v>4200</v>
          </cell>
          <cell r="BY67">
            <v>4200</v>
          </cell>
          <cell r="BZ67">
            <v>4497</v>
          </cell>
          <cell r="CA67">
            <v>4425</v>
          </cell>
          <cell r="CB67">
            <v>4219</v>
          </cell>
          <cell r="CC67">
            <v>4259</v>
          </cell>
          <cell r="CD67">
            <v>4259</v>
          </cell>
          <cell r="CE67">
            <v>3983</v>
          </cell>
          <cell r="CF67">
            <v>3862</v>
          </cell>
          <cell r="CG67">
            <v>3535</v>
          </cell>
          <cell r="CH67">
            <v>3582</v>
          </cell>
          <cell r="CI67">
            <v>3582</v>
          </cell>
          <cell r="CJ67">
            <v>3682</v>
          </cell>
          <cell r="CK67">
            <v>3562</v>
          </cell>
          <cell r="CL67">
            <v>3660</v>
          </cell>
          <cell r="CM67">
            <v>3658</v>
          </cell>
          <cell r="CN67">
            <v>3658</v>
          </cell>
          <cell r="CO67">
            <v>3813</v>
          </cell>
          <cell r="CP67">
            <v>3853</v>
          </cell>
          <cell r="CQ67">
            <v>3910</v>
          </cell>
          <cell r="CR67">
            <v>4247</v>
          </cell>
          <cell r="CS67">
            <v>4247</v>
          </cell>
          <cell r="CT67">
            <v>4479</v>
          </cell>
          <cell r="CU67">
            <v>4666</v>
          </cell>
          <cell r="CV67">
            <v>4668</v>
          </cell>
          <cell r="CW67">
            <v>4596.8867105349946</v>
          </cell>
          <cell r="CX67">
            <v>4596.8867105349946</v>
          </cell>
          <cell r="CY67">
            <v>4614.1167108998097</v>
          </cell>
          <cell r="CZ67">
            <v>4576.2633380482193</v>
          </cell>
          <cell r="DA67">
            <v>4509.7197809617701</v>
          </cell>
          <cell r="DB67">
            <v>4467.8599537138825</v>
          </cell>
          <cell r="DC67">
            <v>4467.8599537138825</v>
          </cell>
          <cell r="DD67">
            <v>4389.4626653781725</v>
          </cell>
          <cell r="DE67">
            <v>4315.048988935825</v>
          </cell>
          <cell r="DF67">
            <v>4228.4910423687979</v>
          </cell>
          <cell r="DG67">
            <v>4164.6986417444614</v>
          </cell>
          <cell r="DH67">
            <v>4164.6986417444614</v>
          </cell>
          <cell r="DI67">
            <v>4092.9340118005739</v>
          </cell>
          <cell r="DJ67">
            <v>3998.5883239450714</v>
          </cell>
          <cell r="DK67">
            <v>3902.5283233580731</v>
          </cell>
          <cell r="DL67">
            <v>3828.3335958957596</v>
          </cell>
          <cell r="DM67">
            <v>3828.3335958957596</v>
          </cell>
          <cell r="DN67">
            <v>3735.9319364390039</v>
          </cell>
          <cell r="DO67">
            <v>3633.4680317015759</v>
          </cell>
          <cell r="DP67">
            <v>3522.7124461023791</v>
          </cell>
          <cell r="DQ67">
            <v>3435.5741952960489</v>
          </cell>
          <cell r="DR67">
            <v>3435.5741952960489</v>
          </cell>
        </row>
        <row r="68">
          <cell r="B68" t="str">
            <v>Total Debt</v>
          </cell>
          <cell r="G68">
            <v>3560</v>
          </cell>
          <cell r="H68">
            <v>3560</v>
          </cell>
          <cell r="I68">
            <v>3504.8</v>
          </cell>
          <cell r="J68">
            <v>3530.4</v>
          </cell>
          <cell r="K68">
            <v>3362.1</v>
          </cell>
          <cell r="L68">
            <v>3251</v>
          </cell>
          <cell r="M68">
            <v>3251</v>
          </cell>
          <cell r="N68">
            <v>3241.9</v>
          </cell>
          <cell r="O68">
            <v>3376.9</v>
          </cell>
          <cell r="P68">
            <v>4906.1000000000004</v>
          </cell>
          <cell r="Q68">
            <v>5050</v>
          </cell>
          <cell r="R68">
            <v>5050</v>
          </cell>
          <cell r="S68">
            <v>5315</v>
          </cell>
          <cell r="T68">
            <v>5536</v>
          </cell>
          <cell r="U68">
            <v>5768</v>
          </cell>
          <cell r="V68">
            <v>5839</v>
          </cell>
          <cell r="W68">
            <v>5839</v>
          </cell>
          <cell r="X68">
            <v>6036</v>
          </cell>
          <cell r="Y68">
            <v>6319</v>
          </cell>
          <cell r="Z68">
            <v>6531</v>
          </cell>
          <cell r="AA68">
            <v>6436</v>
          </cell>
          <cell r="AB68">
            <v>6436</v>
          </cell>
          <cell r="AC68">
            <v>6569</v>
          </cell>
          <cell r="AD68">
            <v>5816</v>
          </cell>
          <cell r="AE68">
            <v>6008</v>
          </cell>
          <cell r="AF68">
            <v>5677</v>
          </cell>
          <cell r="AG68">
            <v>5677</v>
          </cell>
          <cell r="AH68">
            <v>5434</v>
          </cell>
          <cell r="AI68">
            <v>5056</v>
          </cell>
          <cell r="AJ68">
            <v>4870</v>
          </cell>
          <cell r="AK68">
            <v>4227</v>
          </cell>
          <cell r="AL68">
            <v>4227</v>
          </cell>
          <cell r="AM68">
            <v>4392</v>
          </cell>
          <cell r="AN68">
            <v>4356</v>
          </cell>
          <cell r="AO68">
            <v>4297</v>
          </cell>
          <cell r="AP68">
            <v>4018</v>
          </cell>
          <cell r="AQ68">
            <v>4018</v>
          </cell>
          <cell r="AR68">
            <v>3595</v>
          </cell>
          <cell r="AS68">
            <v>3919</v>
          </cell>
          <cell r="AT68">
            <v>4065</v>
          </cell>
          <cell r="AY68">
            <v>3919</v>
          </cell>
          <cell r="AZ68">
            <v>3919</v>
          </cell>
          <cell r="BA68">
            <v>4066</v>
          </cell>
          <cell r="BB68">
            <v>4049</v>
          </cell>
          <cell r="BC68">
            <v>4055</v>
          </cell>
          <cell r="BD68">
            <v>4057</v>
          </cell>
          <cell r="BE68">
            <v>4057</v>
          </cell>
          <cell r="BF68">
            <v>4048</v>
          </cell>
          <cell r="BG68">
            <v>4514</v>
          </cell>
          <cell r="BH68">
            <v>4513</v>
          </cell>
          <cell r="BI68">
            <v>4436</v>
          </cell>
          <cell r="BJ68">
            <v>4436</v>
          </cell>
          <cell r="BK68">
            <v>4801</v>
          </cell>
          <cell r="BL68">
            <v>4804</v>
          </cell>
          <cell r="BM68">
            <v>4803</v>
          </cell>
          <cell r="BN68">
            <v>4803</v>
          </cell>
          <cell r="BO68">
            <v>4803</v>
          </cell>
          <cell r="BP68">
            <v>4804</v>
          </cell>
          <cell r="BQ68">
            <v>4806</v>
          </cell>
          <cell r="BR68">
            <v>4797</v>
          </cell>
          <cell r="BS68">
            <v>4782</v>
          </cell>
          <cell r="BT68">
            <v>4782</v>
          </cell>
          <cell r="BU68">
            <v>4784</v>
          </cell>
          <cell r="BV68">
            <v>4786</v>
          </cell>
          <cell r="BW68">
            <v>4767</v>
          </cell>
          <cell r="BX68">
            <v>4772</v>
          </cell>
          <cell r="BY68">
            <v>4772</v>
          </cell>
          <cell r="BZ68">
            <v>4775</v>
          </cell>
          <cell r="CA68">
            <v>4777</v>
          </cell>
          <cell r="CB68">
            <v>4779</v>
          </cell>
          <cell r="CC68">
            <v>4780</v>
          </cell>
          <cell r="CD68">
            <v>4780</v>
          </cell>
          <cell r="CE68">
            <v>4641</v>
          </cell>
          <cell r="CF68">
            <v>4626</v>
          </cell>
          <cell r="CG68">
            <v>4269</v>
          </cell>
          <cell r="CH68">
            <v>4274</v>
          </cell>
          <cell r="CI68">
            <v>4274</v>
          </cell>
          <cell r="CJ68">
            <v>4273</v>
          </cell>
          <cell r="CK68">
            <v>4274</v>
          </cell>
          <cell r="CL68">
            <v>4059</v>
          </cell>
          <cell r="CM68">
            <v>4064</v>
          </cell>
          <cell r="CN68">
            <v>4064</v>
          </cell>
          <cell r="CO68">
            <v>4082</v>
          </cell>
          <cell r="CP68">
            <v>4117</v>
          </cell>
          <cell r="CQ68">
            <v>4095</v>
          </cell>
          <cell r="CR68">
            <v>4360</v>
          </cell>
          <cell r="CS68">
            <v>4360</v>
          </cell>
          <cell r="CT68">
            <v>4583</v>
          </cell>
          <cell r="CU68">
            <v>4748</v>
          </cell>
          <cell r="CV68">
            <v>4751</v>
          </cell>
          <cell r="CW68">
            <v>5393.7089999999998</v>
          </cell>
          <cell r="CX68">
            <v>5393.7089999999998</v>
          </cell>
          <cell r="CY68">
            <v>5397.2089999999998</v>
          </cell>
          <cell r="CZ68">
            <v>5345.5</v>
          </cell>
          <cell r="DA68">
            <v>5349</v>
          </cell>
          <cell r="DB68">
            <v>5352.5</v>
          </cell>
          <cell r="DC68">
            <v>5352.5</v>
          </cell>
          <cell r="DD68">
            <v>5356</v>
          </cell>
          <cell r="DE68">
            <v>5359.5</v>
          </cell>
          <cell r="DF68">
            <v>5363</v>
          </cell>
          <cell r="DG68">
            <v>5366.5</v>
          </cell>
          <cell r="DH68">
            <v>5366.5</v>
          </cell>
          <cell r="DI68">
            <v>5370</v>
          </cell>
          <cell r="DJ68">
            <v>5373.5</v>
          </cell>
          <cell r="DK68">
            <v>5377</v>
          </cell>
          <cell r="DL68">
            <v>5380.5</v>
          </cell>
          <cell r="DM68">
            <v>5380.5</v>
          </cell>
          <cell r="DN68">
            <v>5384</v>
          </cell>
          <cell r="DO68">
            <v>5387.5</v>
          </cell>
          <cell r="DP68">
            <v>5391</v>
          </cell>
          <cell r="DQ68">
            <v>5394.5</v>
          </cell>
          <cell r="DR68">
            <v>5394.5</v>
          </cell>
        </row>
        <row r="70">
          <cell r="B70" t="str">
            <v>A = L + SE?</v>
          </cell>
          <cell r="D70" t="str">
            <v>ok</v>
          </cell>
          <cell r="E70" t="str">
            <v>ok</v>
          </cell>
          <cell r="F70" t="str">
            <v>ok</v>
          </cell>
          <cell r="G70" t="str">
            <v>ok</v>
          </cell>
          <cell r="H70" t="str">
            <v>ok</v>
          </cell>
          <cell r="I70" t="str">
            <v>ok</v>
          </cell>
          <cell r="J70" t="str">
            <v>ok</v>
          </cell>
          <cell r="K70" t="str">
            <v>ok</v>
          </cell>
          <cell r="L70" t="str">
            <v>ok</v>
          </cell>
          <cell r="M70" t="str">
            <v>ok</v>
          </cell>
          <cell r="N70" t="str">
            <v>ok</v>
          </cell>
          <cell r="O70" t="str">
            <v>ok</v>
          </cell>
          <cell r="P70" t="str">
            <v>ok</v>
          </cell>
          <cell r="Q70" t="str">
            <v>ok</v>
          </cell>
          <cell r="R70" t="str">
            <v>ok</v>
          </cell>
          <cell r="S70" t="str">
            <v>ok</v>
          </cell>
          <cell r="T70" t="str">
            <v>ok</v>
          </cell>
          <cell r="U70" t="str">
            <v>ok</v>
          </cell>
          <cell r="V70" t="str">
            <v>ok</v>
          </cell>
          <cell r="W70" t="str">
            <v>ok</v>
          </cell>
          <cell r="X70" t="str">
            <v>ok</v>
          </cell>
          <cell r="Y70" t="str">
            <v>ok</v>
          </cell>
          <cell r="Z70" t="str">
            <v>ok</v>
          </cell>
          <cell r="AA70" t="str">
            <v>ok</v>
          </cell>
          <cell r="AB70" t="str">
            <v>ok</v>
          </cell>
          <cell r="AC70" t="str">
            <v>ok</v>
          </cell>
          <cell r="AD70" t="str">
            <v>ok</v>
          </cell>
          <cell r="AE70" t="str">
            <v>ok</v>
          </cell>
          <cell r="AF70" t="str">
            <v>ok</v>
          </cell>
          <cell r="AG70" t="str">
            <v>ok</v>
          </cell>
          <cell r="AH70" t="str">
            <v>ok</v>
          </cell>
          <cell r="AI70" t="str">
            <v>ok</v>
          </cell>
          <cell r="AJ70" t="str">
            <v>ok</v>
          </cell>
          <cell r="AK70" t="str">
            <v>ok</v>
          </cell>
          <cell r="AL70" t="str">
            <v>ok</v>
          </cell>
          <cell r="AM70" t="str">
            <v>ok</v>
          </cell>
          <cell r="AN70" t="str">
            <v>ok</v>
          </cell>
          <cell r="AO70" t="str">
            <v>ok</v>
          </cell>
          <cell r="AP70" t="str">
            <v>ok</v>
          </cell>
          <cell r="AQ70" t="str">
            <v>ok</v>
          </cell>
          <cell r="AR70" t="str">
            <v>ok</v>
          </cell>
          <cell r="AS70" t="str">
            <v>ok</v>
          </cell>
          <cell r="AT70" t="str">
            <v>ok</v>
          </cell>
          <cell r="AV70" t="str">
            <v>ok</v>
          </cell>
          <cell r="AW70" t="str">
            <v>ok</v>
          </cell>
          <cell r="AX70" t="str">
            <v>ok</v>
          </cell>
          <cell r="AY70" t="str">
            <v>ok</v>
          </cell>
          <cell r="AZ70" t="str">
            <v>ok</v>
          </cell>
          <cell r="BA70" t="str">
            <v>ok</v>
          </cell>
          <cell r="BB70" t="str">
            <v>ok</v>
          </cell>
          <cell r="BC70" t="str">
            <v>ok</v>
          </cell>
          <cell r="BD70" t="str">
            <v>ok</v>
          </cell>
          <cell r="BE70" t="str">
            <v>ok</v>
          </cell>
          <cell r="BF70" t="str">
            <v>ok</v>
          </cell>
          <cell r="BG70" t="str">
            <v>ok</v>
          </cell>
          <cell r="BH70" t="str">
            <v>ok</v>
          </cell>
          <cell r="BI70" t="str">
            <v>ok</v>
          </cell>
          <cell r="BJ70" t="str">
            <v>ok</v>
          </cell>
          <cell r="BK70" t="str">
            <v>ok</v>
          </cell>
          <cell r="BL70" t="str">
            <v>ok</v>
          </cell>
          <cell r="BM70" t="str">
            <v>ok</v>
          </cell>
          <cell r="BN70" t="str">
            <v>ok</v>
          </cell>
          <cell r="BO70" t="str">
            <v>ok</v>
          </cell>
          <cell r="BP70" t="str">
            <v>ok</v>
          </cell>
          <cell r="BQ70" t="str">
            <v>ok</v>
          </cell>
          <cell r="BR70" t="str">
            <v>ok</v>
          </cell>
          <cell r="BS70" t="str">
            <v>ok</v>
          </cell>
          <cell r="BT70" t="str">
            <v>ok</v>
          </cell>
          <cell r="BU70" t="str">
            <v>ok</v>
          </cell>
          <cell r="BV70" t="str">
            <v>ok</v>
          </cell>
          <cell r="BW70" t="str">
            <v>ok</v>
          </cell>
          <cell r="BX70" t="str">
            <v>ok</v>
          </cell>
          <cell r="BY70" t="str">
            <v>ok</v>
          </cell>
          <cell r="BZ70" t="str">
            <v>ok</v>
          </cell>
          <cell r="CA70" t="str">
            <v>ok</v>
          </cell>
          <cell r="CB70" t="str">
            <v>ok</v>
          </cell>
          <cell r="CC70" t="str">
            <v>ok</v>
          </cell>
          <cell r="CD70" t="str">
            <v>ok</v>
          </cell>
          <cell r="CE70" t="str">
            <v>ok</v>
          </cell>
          <cell r="CF70" t="str">
            <v>ok</v>
          </cell>
          <cell r="CG70" t="str">
            <v>ok</v>
          </cell>
          <cell r="CH70" t="str">
            <v>ok</v>
          </cell>
          <cell r="CI70" t="str">
            <v>ok</v>
          </cell>
          <cell r="CJ70" t="str">
            <v>ok</v>
          </cell>
          <cell r="CK70" t="str">
            <v>ok</v>
          </cell>
          <cell r="CL70" t="str">
            <v>ok</v>
          </cell>
          <cell r="CM70" t="str">
            <v>ok</v>
          </cell>
          <cell r="CN70" t="str">
            <v>ok</v>
          </cell>
          <cell r="CO70" t="str">
            <v>ok</v>
          </cell>
          <cell r="CP70" t="str">
            <v>ok</v>
          </cell>
          <cell r="CQ70" t="str">
            <v>ok</v>
          </cell>
          <cell r="CR70" t="str">
            <v>ok</v>
          </cell>
          <cell r="CS70" t="str">
            <v>ok</v>
          </cell>
          <cell r="CT70" t="str">
            <v>ok</v>
          </cell>
          <cell r="CU70" t="str">
            <v>ok</v>
          </cell>
          <cell r="CV70" t="str">
            <v>ok</v>
          </cell>
          <cell r="CW70" t="str">
            <v>ok</v>
          </cell>
          <cell r="CX70" t="str">
            <v>ok</v>
          </cell>
          <cell r="CY70" t="str">
            <v>ok</v>
          </cell>
          <cell r="CZ70" t="str">
            <v>ok</v>
          </cell>
          <cell r="DA70" t="str">
            <v>ok</v>
          </cell>
          <cell r="DB70" t="str">
            <v>ok</v>
          </cell>
          <cell r="DC70" t="str">
            <v>ok</v>
          </cell>
          <cell r="DD70" t="str">
            <v>ok</v>
          </cell>
          <cell r="DE70" t="str">
            <v>ok</v>
          </cell>
          <cell r="DF70" t="str">
            <v>ok</v>
          </cell>
          <cell r="DG70" t="str">
            <v>ok</v>
          </cell>
          <cell r="DH70" t="str">
            <v>ok</v>
          </cell>
          <cell r="DI70" t="str">
            <v>ok</v>
          </cell>
          <cell r="DJ70" t="str">
            <v>ok</v>
          </cell>
          <cell r="DK70" t="str">
            <v>ok</v>
          </cell>
          <cell r="DL70" t="str">
            <v>ok</v>
          </cell>
          <cell r="DM70" t="str">
            <v>ok</v>
          </cell>
          <cell r="DN70" t="str">
            <v>ok</v>
          </cell>
          <cell r="DO70" t="str">
            <v>ok</v>
          </cell>
          <cell r="DP70" t="str">
            <v>ok</v>
          </cell>
          <cell r="DQ70" t="str">
            <v>ok</v>
          </cell>
          <cell r="DR70" t="str">
            <v>ok</v>
          </cell>
        </row>
        <row r="72">
          <cell r="B72" t="str">
            <v>Balance Sheet Drivers</v>
          </cell>
        </row>
        <row r="73">
          <cell r="B73" t="str">
            <v>Accounts receivable analysis</v>
          </cell>
        </row>
        <row r="74">
          <cell r="B74" t="str">
            <v>Y/Y increase in sales</v>
          </cell>
          <cell r="I74">
            <v>0.9369828086929628</v>
          </cell>
          <cell r="J74">
            <v>1.146055103318723</v>
          </cell>
          <cell r="K74">
            <v>1.1679031037093113</v>
          </cell>
          <cell r="L74">
            <v>8.587506868309136E-2</v>
          </cell>
          <cell r="M74">
            <v>0.67540687160940327</v>
          </cell>
          <cell r="N74">
            <v>0.12049225017524723</v>
          </cell>
          <cell r="O74">
            <v>7.6737909402582183E-2</v>
          </cell>
          <cell r="P74">
            <v>0.56219009707381806</v>
          </cell>
          <cell r="Q74">
            <v>1.4039937512735179</v>
          </cell>
          <cell r="R74">
            <v>0.56341068537506755</v>
          </cell>
          <cell r="S74">
            <v>0.62032531627971643</v>
          </cell>
          <cell r="T74">
            <v>0.64555246934489552</v>
          </cell>
          <cell r="U74">
            <v>0.14622915642183365</v>
          </cell>
          <cell r="V74">
            <v>-0.27360569588065764</v>
          </cell>
          <cell r="W74">
            <v>0.13853411575192731</v>
          </cell>
          <cell r="X74">
            <v>9.5238095238095344E-2</v>
          </cell>
          <cell r="Y74">
            <v>5.5166735282009105E-2</v>
          </cell>
          <cell r="Z74">
            <v>0.10062402496099843</v>
          </cell>
          <cell r="AA74">
            <v>0.14430182808245817</v>
          </cell>
          <cell r="AB74">
            <v>9.9545224861040893E-2</v>
          </cell>
          <cell r="AC74">
            <v>0.12534273403838614</v>
          </cell>
          <cell r="AD74">
            <v>8.4666406554818607E-2</v>
          </cell>
          <cell r="AE74">
            <v>9.9220411055989111E-3</v>
          </cell>
          <cell r="AF74">
            <v>-1.0537049626104689E-2</v>
          </cell>
          <cell r="AG74">
            <v>4.9080882352941169E-2</v>
          </cell>
          <cell r="AH74">
            <v>6.9613644274277853E-3</v>
          </cell>
          <cell r="AI74">
            <v>4.8561151079136611E-2</v>
          </cell>
          <cell r="AJ74">
            <v>6.5263157894736912E-2</v>
          </cell>
          <cell r="AK74">
            <v>0.1023703194778427</v>
          </cell>
          <cell r="AL74">
            <v>5.5983879446294127E-2</v>
          </cell>
          <cell r="AM74">
            <v>0.13964742481852754</v>
          </cell>
          <cell r="AN74">
            <v>0.16432246998284739</v>
          </cell>
          <cell r="AO74">
            <v>0.14756258234519115</v>
          </cell>
          <cell r="AP74">
            <v>0.16484886257401055</v>
          </cell>
          <cell r="AQ74">
            <v>0.15431842694764786</v>
          </cell>
          <cell r="AR74">
            <v>0.62032531627971643</v>
          </cell>
          <cell r="AS74">
            <v>0.64555246934489552</v>
          </cell>
          <cell r="AT74">
            <v>0.14622915642183365</v>
          </cell>
          <cell r="BA74">
            <v>2.2814814814814843E-2</v>
          </cell>
          <cell r="BB74">
            <v>-1.4868804664723068E-2</v>
          </cell>
          <cell r="BC74">
            <v>-6.3618290258449339E-2</v>
          </cell>
          <cell r="BD74">
            <v>-8.932150014314344E-2</v>
          </cell>
          <cell r="BE74">
            <v>-3.6905709530356767E-2</v>
          </cell>
          <cell r="BF74">
            <v>-0.22682502896871382</v>
          </cell>
          <cell r="BG74">
            <v>-0.23941994672980171</v>
          </cell>
          <cell r="BH74">
            <v>-0.25993327267212618</v>
          </cell>
          <cell r="BI74">
            <v>-0.24174787802577802</v>
          </cell>
          <cell r="BJ74">
            <v>-0.24179126906604553</v>
          </cell>
          <cell r="BK74">
            <v>-6.2944923192206792E-2</v>
          </cell>
          <cell r="BL74">
            <v>-5.8365758754863828E-2</v>
          </cell>
          <cell r="BM74">
            <v>-1.885245901639343E-2</v>
          </cell>
          <cell r="BN74">
            <v>-4.6849087893863994E-2</v>
          </cell>
          <cell r="BO74">
            <v>-4.7269844415816054E-2</v>
          </cell>
          <cell r="BP74">
            <v>-3.4786085565773672E-2</v>
          </cell>
          <cell r="BQ74">
            <v>-9.2975206611570216E-2</v>
          </cell>
          <cell r="BR74">
            <v>-0.1157059314954052</v>
          </cell>
          <cell r="BS74">
            <v>-5.2196607220530655E-2</v>
          </cell>
          <cell r="BT74">
            <v>-7.3746619513209932E-2</v>
          </cell>
          <cell r="BU74">
            <v>-5.5923777961888965E-2</v>
          </cell>
          <cell r="BV74">
            <v>1.5034168564920236E-2</v>
          </cell>
          <cell r="BW74">
            <v>4.4874822862541297E-2</v>
          </cell>
          <cell r="BX74">
            <v>3.3042680128499313E-2</v>
          </cell>
          <cell r="BY74">
            <v>7.2992700729928028E-3</v>
          </cell>
          <cell r="BZ74">
            <v>4.0368582711715728E-2</v>
          </cell>
          <cell r="CA74">
            <v>-1.9748653500897717E-2</v>
          </cell>
          <cell r="CB74">
            <v>-2.4412296564195302E-2</v>
          </cell>
          <cell r="CC74">
            <v>-2.4877832074633455E-2</v>
          </cell>
          <cell r="CD74">
            <v>-6.9119286510590516E-3</v>
          </cell>
          <cell r="CE74">
            <v>-3.8802193167439936E-2</v>
          </cell>
          <cell r="CF74">
            <v>2.0604395604395531E-2</v>
          </cell>
          <cell r="CG74">
            <v>4.8192771084337283E-2</v>
          </cell>
          <cell r="CH74">
            <v>3.0068337129840472E-2</v>
          </cell>
          <cell r="CI74">
            <v>1.3807813201616614E-2</v>
          </cell>
          <cell r="CJ74">
            <v>2.6327336551118963E-2</v>
          </cell>
          <cell r="CK74">
            <v>3.3198743831314381E-2</v>
          </cell>
          <cell r="CL74">
            <v>0</v>
          </cell>
          <cell r="CM74">
            <v>1.769128704113232E-2</v>
          </cell>
          <cell r="CN74">
            <v>1.9266969327870642E-2</v>
          </cell>
          <cell r="CO74">
            <v>3.8477982043608305E-2</v>
          </cell>
          <cell r="CP74">
            <v>-1.3026487190620495E-3</v>
          </cell>
          <cell r="CQ74">
            <v>1.1936339522546469E-2</v>
          </cell>
          <cell r="CR74">
            <v>2.2598870056497189E-2</v>
          </cell>
          <cell r="CS74">
            <v>1.8033677349266641E-2</v>
          </cell>
          <cell r="CT74">
            <v>2.5524907369287808E-2</v>
          </cell>
          <cell r="CU74">
            <v>6.7391304347826031E-2</v>
          </cell>
          <cell r="CV74">
            <v>6.0288335517693303E-2</v>
          </cell>
          <cell r="CW74">
            <v>7.3297337140529883E-2</v>
          </cell>
          <cell r="CX74">
            <v>5.6287336921530873E-2</v>
          </cell>
          <cell r="CY74">
            <v>6.7438980074248533E-2</v>
          </cell>
          <cell r="CZ74">
            <v>0.11187054523356843</v>
          </cell>
          <cell r="DA74">
            <v>0.11631753046850379</v>
          </cell>
          <cell r="DB74">
            <v>0.10118940845706792</v>
          </cell>
          <cell r="DC74">
            <v>9.9054313123197568E-2</v>
          </cell>
          <cell r="DD74">
            <v>4.3060290354330455E-2</v>
          </cell>
          <cell r="DE74">
            <v>3.2668726285691951E-2</v>
          </cell>
          <cell r="DF74">
            <v>3.1438663592909366E-2</v>
          </cell>
          <cell r="DG74">
            <v>3.3003075463946763E-2</v>
          </cell>
          <cell r="DH74">
            <v>3.4987725708524042E-2</v>
          </cell>
          <cell r="DI74">
            <v>5.5142392919380168E-2</v>
          </cell>
          <cell r="DJ74">
            <v>4.2211562114631285E-2</v>
          </cell>
          <cell r="DK74">
            <v>4.2067979261174226E-2</v>
          </cell>
          <cell r="DL74">
            <v>4.4647208812917283E-2</v>
          </cell>
          <cell r="DM74">
            <v>4.598251710754897E-2</v>
          </cell>
          <cell r="DN74">
            <v>4.842832685330567E-2</v>
          </cell>
          <cell r="DO74">
            <v>4.5887046864864001E-2</v>
          </cell>
          <cell r="DP74">
            <v>4.6068399794980674E-2</v>
          </cell>
          <cell r="DQ74">
            <v>4.4744809243228989E-2</v>
          </cell>
          <cell r="DR74">
            <v>4.6272282050588975E-2</v>
          </cell>
        </row>
        <row r="75">
          <cell r="B75" t="str">
            <v>Y/Y increase in gross A/R</v>
          </cell>
          <cell r="I75">
            <v>0.74872924008898134</v>
          </cell>
          <cell r="J75">
            <v>0.86439615545340609</v>
          </cell>
          <cell r="K75">
            <v>0.98735489220563832</v>
          </cell>
          <cell r="L75">
            <v>0.32710280373831768</v>
          </cell>
          <cell r="M75">
            <v>0.32710280373831768</v>
          </cell>
          <cell r="N75">
            <v>0.35083160083160081</v>
          </cell>
          <cell r="O75">
            <v>0.33195113750980609</v>
          </cell>
          <cell r="P75">
            <v>0.64462292688015022</v>
          </cell>
          <cell r="Q75">
            <v>0.57947686116700203</v>
          </cell>
          <cell r="R75">
            <v>0.57947686116700203</v>
          </cell>
          <cell r="S75">
            <v>0.52270103886110064</v>
          </cell>
          <cell r="T75">
            <v>0.49263777871266301</v>
          </cell>
          <cell r="U75">
            <v>0.22344136487600674</v>
          </cell>
          <cell r="V75">
            <v>0.23121019108280261</v>
          </cell>
          <cell r="W75">
            <v>0.23121019108280261</v>
          </cell>
          <cell r="X75">
            <v>0.30574857864813643</v>
          </cell>
          <cell r="Y75">
            <v>0.26662908680947006</v>
          </cell>
          <cell r="Z75">
            <v>0.32037325038880238</v>
          </cell>
          <cell r="AA75">
            <v>0.34764614588722198</v>
          </cell>
          <cell r="AB75">
            <v>0.34764614588722198</v>
          </cell>
          <cell r="AC75">
            <v>0.32607643928398655</v>
          </cell>
          <cell r="AD75">
            <v>0.22874944370271466</v>
          </cell>
          <cell r="AE75">
            <v>0.15037298782881825</v>
          </cell>
          <cell r="AF75">
            <v>9.9424184261036386E-2</v>
          </cell>
          <cell r="AG75">
            <v>9.9424184261036386E-2</v>
          </cell>
          <cell r="AH75">
            <v>4.7063115651222232E-2</v>
          </cell>
          <cell r="AI75">
            <v>4.9981890619340774E-2</v>
          </cell>
          <cell r="AJ75">
            <v>2.1843003412969297E-2</v>
          </cell>
          <cell r="AK75">
            <v>-5.0628491620111737E-2</v>
          </cell>
          <cell r="AL75">
            <v>-5.0628491620111737E-2</v>
          </cell>
          <cell r="AM75">
            <v>-6.3763066202090601E-2</v>
          </cell>
          <cell r="AN75">
            <v>-6.7954467057606105E-2</v>
          </cell>
          <cell r="AO75">
            <v>-6.7468269873079523E-2</v>
          </cell>
          <cell r="AP75">
            <v>7.7234277307833832E-3</v>
          </cell>
          <cell r="AQ75">
            <v>7.7234277307833832E-3</v>
          </cell>
          <cell r="AR75">
            <v>4.5031633792333547E-2</v>
          </cell>
          <cell r="AS75">
            <v>8.5862324204293072E-2</v>
          </cell>
          <cell r="AT75">
            <v>7.5931232091690504E-2</v>
          </cell>
          <cell r="BD75">
            <v>-8.5034013605441716E-3</v>
          </cell>
          <cell r="BE75">
            <v>-8.5034013605441716E-3</v>
          </cell>
          <cell r="BF75">
            <v>-7.4110032362459499E-2</v>
          </cell>
          <cell r="BG75">
            <v>-8.3167660702451962E-2</v>
          </cell>
          <cell r="BH75">
            <v>-0.12613827993254634</v>
          </cell>
          <cell r="BI75">
            <v>-0.18147512864493998</v>
          </cell>
          <cell r="BJ75">
            <v>-0.18147512864493998</v>
          </cell>
          <cell r="BK75">
            <v>-0.20517301642782249</v>
          </cell>
          <cell r="BL75">
            <v>-0.22623780267437654</v>
          </cell>
          <cell r="BM75">
            <v>-0.16441528367425706</v>
          </cell>
          <cell r="BN75">
            <v>-0.11190276613579209</v>
          </cell>
          <cell r="BO75">
            <v>-0.11190276613579209</v>
          </cell>
          <cell r="BP75">
            <v>-5.0571679859278795E-2</v>
          </cell>
          <cell r="BQ75">
            <v>-6.4455861746847254E-2</v>
          </cell>
          <cell r="BR75">
            <v>-9.8383371824480315E-2</v>
          </cell>
          <cell r="BS75">
            <v>-9.8159509202453976E-2</v>
          </cell>
          <cell r="BT75">
            <v>-9.8159509202453976E-2</v>
          </cell>
          <cell r="BU75">
            <v>-0.11533117183881425</v>
          </cell>
          <cell r="BV75">
            <v>-7.8382426360459334E-2</v>
          </cell>
          <cell r="BW75">
            <v>-6.1475409836065587E-2</v>
          </cell>
          <cell r="BX75">
            <v>-4.447933019361594E-2</v>
          </cell>
          <cell r="BY75">
            <v>-4.447933019361594E-2</v>
          </cell>
          <cell r="BZ75">
            <v>-7.3298429319371694E-3</v>
          </cell>
          <cell r="CA75">
            <v>7.5839653304441423E-3</v>
          </cell>
          <cell r="CB75">
            <v>-4.2576419213973815E-2</v>
          </cell>
          <cell r="CC75">
            <v>-5.0930996714129262E-2</v>
          </cell>
          <cell r="CD75">
            <v>-5.0930996714129262E-2</v>
          </cell>
          <cell r="CE75">
            <v>-6.3291139240506333E-2</v>
          </cell>
          <cell r="CF75">
            <v>-0.1225806451612903</v>
          </cell>
          <cell r="CG75">
            <v>-0.10034207525655647</v>
          </cell>
          <cell r="CH75">
            <v>-0.11886901327178301</v>
          </cell>
          <cell r="CI75">
            <v>-0.11886901327178301</v>
          </cell>
          <cell r="CJ75">
            <v>-0.11655405405405406</v>
          </cell>
          <cell r="CK75">
            <v>-6.6176470588235281E-2</v>
          </cell>
          <cell r="CL75">
            <v>-5.9569074778200282E-2</v>
          </cell>
          <cell r="CM75">
            <v>-2.095612311722328E-2</v>
          </cell>
          <cell r="CN75">
            <v>-2.095612311722328E-2</v>
          </cell>
          <cell r="CO75">
            <v>1.7208413001912115E-2</v>
          </cell>
          <cell r="CP75">
            <v>6.4304461942257252E-2</v>
          </cell>
          <cell r="CQ75">
            <v>7.6819407008086316E-2</v>
          </cell>
          <cell r="CR75">
            <v>0.12040133779264206</v>
          </cell>
          <cell r="CS75">
            <v>0.12040133779264206</v>
          </cell>
          <cell r="CT75">
            <v>0.12593984962406024</v>
          </cell>
          <cell r="CU75">
            <v>8.323057953144275E-2</v>
          </cell>
          <cell r="CV75">
            <v>8.8861076345431833E-2</v>
          </cell>
          <cell r="CW75">
            <v>9.2769411485780218E-2</v>
          </cell>
          <cell r="CX75">
            <v>9.2769411485780218E-2</v>
          </cell>
          <cell r="CY75">
            <v>5.2400498275843255E-2</v>
          </cell>
          <cell r="CZ75">
            <v>0.11312176213888891</v>
          </cell>
          <cell r="DA75">
            <v>0.1410877193711142</v>
          </cell>
          <cell r="DB75">
            <v>0.13496498252191591</v>
          </cell>
          <cell r="DC75">
            <v>0.13496498252191591</v>
          </cell>
          <cell r="DD75">
            <v>0.10680785014154459</v>
          </cell>
          <cell r="DE75">
            <v>6.6921756332488203E-2</v>
          </cell>
          <cell r="DF75">
            <v>3.780905670318857E-2</v>
          </cell>
          <cell r="DG75">
            <v>1.4786434327898279E-2</v>
          </cell>
          <cell r="DH75">
            <v>1.4786434327898279E-2</v>
          </cell>
          <cell r="DI75">
            <v>2.3083474563385886E-2</v>
          </cell>
          <cell r="DJ75">
            <v>6.4637456165075324E-3</v>
          </cell>
          <cell r="DK75">
            <v>-8.5795020563828039E-4</v>
          </cell>
          <cell r="DL75">
            <v>-3.9398598140816254E-3</v>
          </cell>
          <cell r="DM75">
            <v>-3.9398598140816254E-3</v>
          </cell>
          <cell r="DN75">
            <v>-1.0586633194843542E-2</v>
          </cell>
          <cell r="DO75">
            <v>-6.6845634939737275E-3</v>
          </cell>
          <cell r="DP75">
            <v>-1.0013964351053284E-2</v>
          </cell>
          <cell r="DQ75">
            <v>-1.1953069477854128E-2</v>
          </cell>
          <cell r="DR75">
            <v>-1.1953069477854128E-2</v>
          </cell>
        </row>
        <row r="76">
          <cell r="B76" t="str">
            <v>Ratio</v>
          </cell>
          <cell r="I76">
            <v>1.2514307689941544</v>
          </cell>
          <cell r="J76">
            <v>1.3258447484852323</v>
          </cell>
          <cell r="K76">
            <v>1.1828605022661596</v>
          </cell>
          <cell r="L76">
            <v>0.26253235283116505</v>
          </cell>
          <cell r="M76">
            <v>2.0648152932058905</v>
          </cell>
          <cell r="N76">
            <v>0.34344753975877879</v>
          </cell>
          <cell r="O76">
            <v>0.23117230438867012</v>
          </cell>
          <cell r="P76">
            <v>0.87212240463538737</v>
          </cell>
          <cell r="Q76">
            <v>2.422864216607425</v>
          </cell>
          <cell r="R76">
            <v>0.97227468969239084</v>
          </cell>
          <cell r="S76">
            <v>1.1867688605159974</v>
          </cell>
          <cell r="T76">
            <v>1.3103998459716624</v>
          </cell>
          <cell r="U76">
            <v>0.6544408485106592</v>
          </cell>
          <cell r="V76">
            <v>-1.1833634780513289</v>
          </cell>
          <cell r="W76">
            <v>0.59916959154414828</v>
          </cell>
          <cell r="X76">
            <v>0.31149153876426638</v>
          </cell>
          <cell r="Y76">
            <v>0.20690441520144645</v>
          </cell>
          <cell r="Z76">
            <v>0.31408372839767967</v>
          </cell>
          <cell r="AA76">
            <v>0.41508249060028513</v>
          </cell>
          <cell r="AB76">
            <v>0.28634065425058336</v>
          </cell>
          <cell r="AC76">
            <v>0.38439678228092594</v>
          </cell>
          <cell r="AD76">
            <v>0.37012726756552039</v>
          </cell>
          <cell r="AE76">
            <v>6.5982868657860114E-2</v>
          </cell>
          <cell r="AF76">
            <v>-0.10598075010039666</v>
          </cell>
          <cell r="AG76">
            <v>0.49365134567340485</v>
          </cell>
          <cell r="AH76">
            <v>0.14791550306650805</v>
          </cell>
          <cell r="AI76">
            <v>0.97157491398185725</v>
          </cell>
          <cell r="AJ76">
            <v>2.9878289473684223</v>
          </cell>
          <cell r="AK76">
            <v>-2.0219903102382171</v>
          </cell>
          <cell r="AL76">
            <v>-1.1057781429943887</v>
          </cell>
          <cell r="AM76">
            <v>-2.19009895753647</v>
          </cell>
          <cell r="AN76">
            <v>-2.4181260938084992</v>
          </cell>
          <cell r="AO76">
            <v>-2.1871404531757528</v>
          </cell>
          <cell r="AP76">
            <v>21.344002730415919</v>
          </cell>
          <cell r="AQ76">
            <v>19.98056204145972</v>
          </cell>
          <cell r="AR76">
            <v>13.775323345814833</v>
          </cell>
          <cell r="AS76">
            <v>7.5184602248702959</v>
          </cell>
          <cell r="AT76">
            <v>1.9258103996686782</v>
          </cell>
          <cell r="BD76">
            <v>10.504208416833725</v>
          </cell>
          <cell r="BE76">
            <v>4.340111440769979</v>
          </cell>
          <cell r="BF76">
            <v>3.0606521376127778</v>
          </cell>
          <cell r="BG76">
            <v>2.8787625467352251</v>
          </cell>
          <cell r="BH76">
            <v>2.0607009451145837</v>
          </cell>
          <cell r="BI76">
            <v>1.332126775888739</v>
          </cell>
          <cell r="BJ76">
            <v>1.3323658777457896</v>
          </cell>
          <cell r="BK76">
            <v>0.30678948083969948</v>
          </cell>
          <cell r="BL76">
            <v>0.25798411257940612</v>
          </cell>
          <cell r="BM76">
            <v>0.11466366505041167</v>
          </cell>
          <cell r="BN76">
            <v>0.4186588903174514</v>
          </cell>
          <cell r="BO76">
            <v>0.42241890927392184</v>
          </cell>
          <cell r="BP76">
            <v>0.68785703110060303</v>
          </cell>
          <cell r="BQ76">
            <v>1.4424631692418253</v>
          </cell>
          <cell r="BR76">
            <v>1.1760720267021239</v>
          </cell>
          <cell r="BS76">
            <v>0.53175293605915608</v>
          </cell>
          <cell r="BT76">
            <v>0.75129368629082627</v>
          </cell>
          <cell r="BU76">
            <v>0.48489733582216182</v>
          </cell>
          <cell r="BV76">
            <v>-0.19180534799703963</v>
          </cell>
          <cell r="BW76">
            <v>-0.72996378523067162</v>
          </cell>
          <cell r="BX76">
            <v>-0.74287719677131936</v>
          </cell>
          <cell r="BY76">
            <v>-0.16410476599399101</v>
          </cell>
          <cell r="BZ76">
            <v>-5.5074280699555054</v>
          </cell>
          <cell r="CA76">
            <v>-2.6040010259041058</v>
          </cell>
          <cell r="CB76">
            <v>0.57337599109750992</v>
          </cell>
          <cell r="CC76">
            <v>0.48846152008903948</v>
          </cell>
          <cell r="CD76">
            <v>0.13571163136380457</v>
          </cell>
          <cell r="CE76">
            <v>0.61307465204555089</v>
          </cell>
          <cell r="CF76">
            <v>-0.16808849045691093</v>
          </cell>
          <cell r="CG76">
            <v>-0.48028477546549753</v>
          </cell>
          <cell r="CH76">
            <v>-0.25295353517482305</v>
          </cell>
          <cell r="CI76">
            <v>-0.11615990426408543</v>
          </cell>
          <cell r="CJ76">
            <v>-0.22588091649655689</v>
          </cell>
          <cell r="CK76">
            <v>-0.50166990678430634</v>
          </cell>
          <cell r="CL76">
            <v>0</v>
          </cell>
          <cell r="CM76">
            <v>-0.84420610349403424</v>
          </cell>
          <cell r="CN76">
            <v>-0.91939569261432874</v>
          </cell>
          <cell r="CO76">
            <v>2.2359982898674513</v>
          </cell>
          <cell r="CP76">
            <v>-2.0257516814801656E-2</v>
          </cell>
          <cell r="CQ76">
            <v>0.15538182325841179</v>
          </cell>
          <cell r="CR76">
            <v>0.18769617074701844</v>
          </cell>
          <cell r="CS76">
            <v>0.14977970909529803</v>
          </cell>
          <cell r="CT76">
            <v>0.20267538388747916</v>
          </cell>
          <cell r="CU76">
            <v>0.80969404186795335</v>
          </cell>
          <cell r="CV76">
            <v>0.67845605744559045</v>
          </cell>
          <cell r="CW76">
            <v>0.79010242672246522</v>
          </cell>
          <cell r="CX76">
            <v>0.60674457259178205</v>
          </cell>
          <cell r="CY76">
            <v>1.2869911984279365</v>
          </cell>
          <cell r="CZ76">
            <v>0.98893920248710177</v>
          </cell>
          <cell r="DA76">
            <v>0.82443412500378288</v>
          </cell>
          <cell r="DB76">
            <v>0.74974564932527266</v>
          </cell>
          <cell r="DC76">
            <v>0.73392602490140668</v>
          </cell>
          <cell r="DD76">
            <v>0.40315660597293007</v>
          </cell>
          <cell r="DE76">
            <v>0.4881630141830634</v>
          </cell>
          <cell r="DF76">
            <v>0.83151145080691824</v>
          </cell>
          <cell r="DG76">
            <v>2.2319833661099935</v>
          </cell>
          <cell r="DH76">
            <v>2.3662043825204711</v>
          </cell>
          <cell r="DI76">
            <v>2.3888255109932581</v>
          </cell>
          <cell r="DJ76">
            <v>6.5305110409711453</v>
          </cell>
          <cell r="DK76">
            <v>-49.033124515515844</v>
          </cell>
          <cell r="DL76">
            <v>-11.332182087632088</v>
          </cell>
          <cell r="DM76">
            <v>-11.671104881244974</v>
          </cell>
          <cell r="DN76">
            <v>-4.5744785865343642</v>
          </cell>
          <cell r="DO76">
            <v>-6.8646287683903555</v>
          </cell>
          <cell r="DP76">
            <v>-4.6004157973794992</v>
          </cell>
          <cell r="DQ76">
            <v>-3.7433739782178352</v>
          </cell>
          <cell r="DR76">
            <v>-3.871163146530626</v>
          </cell>
        </row>
        <row r="78">
          <cell r="B78" t="str">
            <v>Allowance for doubtful accts - opening</v>
          </cell>
          <cell r="D78">
            <v>-77.162000000000006</v>
          </cell>
          <cell r="E78">
            <v>-67.247</v>
          </cell>
          <cell r="F78">
            <v>-67.2</v>
          </cell>
          <cell r="G78">
            <v>-71.3</v>
          </cell>
          <cell r="H78">
            <v>-77.162000000000006</v>
          </cell>
          <cell r="I78">
            <v>-184</v>
          </cell>
          <cell r="J78">
            <v>-167.8</v>
          </cell>
          <cell r="K78">
            <v>-161.1</v>
          </cell>
          <cell r="L78">
            <v>-154.1</v>
          </cell>
          <cell r="M78">
            <v>-184</v>
          </cell>
          <cell r="N78">
            <v>-156</v>
          </cell>
          <cell r="O78">
            <v>-154.80000000000001</v>
          </cell>
          <cell r="P78">
            <v>-182.2</v>
          </cell>
          <cell r="Q78">
            <v>-228.4</v>
          </cell>
          <cell r="R78">
            <v>-156</v>
          </cell>
          <cell r="S78">
            <v>-224</v>
          </cell>
          <cell r="T78">
            <v>-236</v>
          </cell>
          <cell r="U78">
            <v>-215</v>
          </cell>
          <cell r="V78">
            <v>-204</v>
          </cell>
          <cell r="W78">
            <v>-224</v>
          </cell>
          <cell r="X78">
            <v>-191</v>
          </cell>
          <cell r="Y78">
            <v>-182</v>
          </cell>
          <cell r="Z78">
            <v>-203</v>
          </cell>
          <cell r="AA78">
            <v>-244</v>
          </cell>
          <cell r="AB78">
            <v>-191</v>
          </cell>
          <cell r="AC78">
            <v>-287</v>
          </cell>
          <cell r="AD78">
            <v>-317</v>
          </cell>
          <cell r="AE78">
            <v>-293</v>
          </cell>
          <cell r="AF78">
            <v>-361</v>
          </cell>
          <cell r="AG78">
            <v>-287</v>
          </cell>
          <cell r="AH78">
            <v>-358</v>
          </cell>
          <cell r="AI78">
            <v>-355</v>
          </cell>
          <cell r="AJ78">
            <v>-354</v>
          </cell>
          <cell r="AK78">
            <v>-347</v>
          </cell>
          <cell r="AL78">
            <v>-358</v>
          </cell>
          <cell r="AM78">
            <v>-333</v>
          </cell>
          <cell r="AN78">
            <v>-339</v>
          </cell>
          <cell r="AO78">
            <v>-325</v>
          </cell>
          <cell r="AP78">
            <v>-315</v>
          </cell>
          <cell r="AQ78">
            <v>-333</v>
          </cell>
          <cell r="AR78">
            <v>-315</v>
          </cell>
          <cell r="AS78">
            <v>-328</v>
          </cell>
          <cell r="AT78">
            <v>-350</v>
          </cell>
          <cell r="BA78">
            <v>-350</v>
          </cell>
          <cell r="BB78">
            <v>-357</v>
          </cell>
          <cell r="BC78">
            <v>-351</v>
          </cell>
          <cell r="BD78">
            <v>-500</v>
          </cell>
          <cell r="BE78">
            <v>-350</v>
          </cell>
          <cell r="BF78">
            <v>-500</v>
          </cell>
          <cell r="BG78">
            <v>-514</v>
          </cell>
          <cell r="BH78">
            <v>-838</v>
          </cell>
          <cell r="BI78">
            <v>-800</v>
          </cell>
          <cell r="BJ78">
            <v>-500</v>
          </cell>
          <cell r="BK78">
            <v>-698</v>
          </cell>
          <cell r="BL78">
            <v>-683</v>
          </cell>
          <cell r="BM78">
            <v>-642</v>
          </cell>
          <cell r="BN78">
            <v>-642</v>
          </cell>
          <cell r="BO78">
            <v>-698</v>
          </cell>
          <cell r="BP78">
            <v>-594</v>
          </cell>
          <cell r="BQ78">
            <v>-575</v>
          </cell>
          <cell r="BR78">
            <v>-519</v>
          </cell>
          <cell r="BS78">
            <v>-499</v>
          </cell>
          <cell r="BT78">
            <v>-594</v>
          </cell>
          <cell r="BU78">
            <v>-498</v>
          </cell>
          <cell r="BV78">
            <v>-483</v>
          </cell>
          <cell r="BW78">
            <v>-483</v>
          </cell>
          <cell r="BX78">
            <v>-478</v>
          </cell>
          <cell r="BY78">
            <v>-498</v>
          </cell>
          <cell r="BZ78">
            <v>-441</v>
          </cell>
          <cell r="CA78">
            <v>-428</v>
          </cell>
          <cell r="CB78">
            <v>-410</v>
          </cell>
          <cell r="CC78">
            <v>-398</v>
          </cell>
          <cell r="CD78">
            <v>-441</v>
          </cell>
          <cell r="CE78">
            <v>-396</v>
          </cell>
          <cell r="CF78">
            <v>-391</v>
          </cell>
          <cell r="CG78">
            <v>-407</v>
          </cell>
          <cell r="CH78">
            <v>-383</v>
          </cell>
          <cell r="CI78">
            <v>-396</v>
          </cell>
          <cell r="CJ78">
            <v>-369</v>
          </cell>
          <cell r="CK78">
            <v>-361</v>
          </cell>
          <cell r="CL78">
            <v>-364</v>
          </cell>
          <cell r="CM78">
            <v>-355</v>
          </cell>
          <cell r="CN78">
            <v>-369</v>
          </cell>
          <cell r="CO78">
            <v>-352</v>
          </cell>
          <cell r="CP78">
            <v>-359</v>
          </cell>
          <cell r="CQ78">
            <v>-364</v>
          </cell>
          <cell r="CR78">
            <v>-377</v>
          </cell>
          <cell r="CS78">
            <v>-352</v>
          </cell>
          <cell r="CT78">
            <v>-397</v>
          </cell>
          <cell r="CU78">
            <v>-380</v>
          </cell>
          <cell r="CV78">
            <v>-401</v>
          </cell>
          <cell r="CW78">
            <v>-402</v>
          </cell>
          <cell r="CX78">
            <v>-397</v>
          </cell>
          <cell r="CY78">
            <v>-457.85146299321082</v>
          </cell>
          <cell r="CZ78">
            <v>-502.57976795554816</v>
          </cell>
          <cell r="DA78">
            <v>-545.93973979478278</v>
          </cell>
          <cell r="DB78">
            <v>-601.39236667300258</v>
          </cell>
          <cell r="DC78">
            <v>-457.85146299321082</v>
          </cell>
          <cell r="DD78">
            <v>-656.68902529933212</v>
          </cell>
          <cell r="DE78">
            <v>-644.77806942995448</v>
          </cell>
          <cell r="DF78">
            <v>-630.76542831227107</v>
          </cell>
          <cell r="DG78">
            <v>-632.94770755770708</v>
          </cell>
          <cell r="DH78">
            <v>-656.68902529933212</v>
          </cell>
          <cell r="DI78">
            <v>-640.51803784678009</v>
          </cell>
          <cell r="DJ78">
            <v>-613.22839547204467</v>
          </cell>
          <cell r="DK78">
            <v>-582.79828823012599</v>
          </cell>
          <cell r="DL78">
            <v>-571.12298942240773</v>
          </cell>
          <cell r="DM78">
            <v>-640.51803784678009</v>
          </cell>
          <cell r="DN78">
            <v>-566.68679988946599</v>
          </cell>
          <cell r="DO78">
            <v>-534.15431644289993</v>
          </cell>
          <cell r="DP78">
            <v>-499.13422816315295</v>
          </cell>
          <cell r="DQ78">
            <v>-481.97165576777252</v>
          </cell>
          <cell r="DR78">
            <v>-566.68679988946599</v>
          </cell>
        </row>
        <row r="79">
          <cell r="B79" t="str">
            <v>Bad debt expense</v>
          </cell>
          <cell r="D79">
            <v>-26.117000000000001</v>
          </cell>
          <cell r="E79">
            <v>-20.7</v>
          </cell>
          <cell r="F79">
            <v>-22.1</v>
          </cell>
          <cell r="G79">
            <v>-68.082999999999998</v>
          </cell>
          <cell r="H79">
            <v>-137</v>
          </cell>
          <cell r="I79">
            <v>-67.3</v>
          </cell>
          <cell r="J79">
            <v>-69.7</v>
          </cell>
          <cell r="K79">
            <v>-71.900000000000006</v>
          </cell>
          <cell r="L79">
            <v>-81.099999999999994</v>
          </cell>
          <cell r="M79">
            <v>-290</v>
          </cell>
          <cell r="N79">
            <v>-74.5</v>
          </cell>
          <cell r="O79">
            <v>-78.7</v>
          </cell>
          <cell r="P79">
            <v>-128.1</v>
          </cell>
          <cell r="Q79">
            <v>-212.70000000000005</v>
          </cell>
          <cell r="R79">
            <v>-494</v>
          </cell>
          <cell r="S79">
            <v>-148</v>
          </cell>
          <cell r="T79">
            <v>-136</v>
          </cell>
          <cell r="U79">
            <v>-163</v>
          </cell>
          <cell r="V79">
            <v>-141</v>
          </cell>
          <cell r="W79">
            <v>-588</v>
          </cell>
          <cell r="X79">
            <v>-159</v>
          </cell>
          <cell r="Y79">
            <v>-184</v>
          </cell>
          <cell r="Z79">
            <v>-190</v>
          </cell>
          <cell r="AA79">
            <v>-210</v>
          </cell>
          <cell r="AB79">
            <v>-743</v>
          </cell>
          <cell r="AC79">
            <v>-223</v>
          </cell>
          <cell r="AD79">
            <v>-210</v>
          </cell>
          <cell r="AE79">
            <v>-214</v>
          </cell>
          <cell r="AF79">
            <v>-204</v>
          </cell>
          <cell r="AG79">
            <v>-851</v>
          </cell>
          <cell r="AH79">
            <v>-213</v>
          </cell>
          <cell r="AI79">
            <v>-206</v>
          </cell>
          <cell r="AJ79">
            <v>-219</v>
          </cell>
          <cell r="AK79">
            <v>-211</v>
          </cell>
          <cell r="AL79">
            <v>-849</v>
          </cell>
          <cell r="AM79">
            <v>-246</v>
          </cell>
          <cell r="AN79">
            <v>-258</v>
          </cell>
          <cell r="AO79">
            <v>-236</v>
          </cell>
          <cell r="AP79">
            <v>-246</v>
          </cell>
          <cell r="AQ79">
            <v>-986</v>
          </cell>
          <cell r="AR79">
            <v>-277</v>
          </cell>
          <cell r="AS79">
            <v>-291</v>
          </cell>
          <cell r="AT79">
            <v>-304</v>
          </cell>
          <cell r="BA79">
            <v>-300</v>
          </cell>
          <cell r="BB79">
            <v>-316</v>
          </cell>
          <cell r="BC79">
            <v>-552</v>
          </cell>
          <cell r="BD79">
            <v>-407</v>
          </cell>
          <cell r="BE79">
            <v>-1575</v>
          </cell>
          <cell r="BF79">
            <v>-293</v>
          </cell>
          <cell r="BG79">
            <v>-497</v>
          </cell>
          <cell r="BH79">
            <v>-228</v>
          </cell>
          <cell r="BI79">
            <v>-187</v>
          </cell>
          <cell r="BJ79">
            <v>-1205</v>
          </cell>
          <cell r="BK79">
            <v>-167</v>
          </cell>
          <cell r="BL79">
            <v>-153</v>
          </cell>
          <cell r="BM79">
            <v>-206</v>
          </cell>
          <cell r="BN79">
            <v>-172</v>
          </cell>
          <cell r="BO79">
            <v>-698</v>
          </cell>
          <cell r="BP79">
            <v>-138</v>
          </cell>
          <cell r="BQ79">
            <v>-128</v>
          </cell>
          <cell r="BR79">
            <v>-157</v>
          </cell>
          <cell r="BS79">
            <v>-124</v>
          </cell>
          <cell r="BT79">
            <v>-547</v>
          </cell>
          <cell r="BU79">
            <v>-141</v>
          </cell>
          <cell r="BV79">
            <v>-151</v>
          </cell>
          <cell r="BW79">
            <v>-159</v>
          </cell>
          <cell r="BX79">
            <v>-134</v>
          </cell>
          <cell r="BY79">
            <v>-585</v>
          </cell>
          <cell r="BZ79">
            <v>-149</v>
          </cell>
          <cell r="CA79">
            <v>-154</v>
          </cell>
          <cell r="CB79">
            <v>-166</v>
          </cell>
          <cell r="CC79">
            <v>-166</v>
          </cell>
          <cell r="CD79">
            <v>-635</v>
          </cell>
          <cell r="CE79">
            <v>-156</v>
          </cell>
          <cell r="CF79">
            <v>-167</v>
          </cell>
          <cell r="CG79">
            <v>-193</v>
          </cell>
          <cell r="CH79">
            <v>-181</v>
          </cell>
          <cell r="CI79">
            <v>-697</v>
          </cell>
          <cell r="CJ79">
            <v>-189</v>
          </cell>
          <cell r="CK79">
            <v>-173</v>
          </cell>
          <cell r="CL79">
            <v>-187</v>
          </cell>
          <cell r="CM79">
            <v>-191</v>
          </cell>
          <cell r="CN79">
            <v>-740</v>
          </cell>
          <cell r="CO79">
            <v>-179</v>
          </cell>
          <cell r="CP79">
            <v>-168</v>
          </cell>
          <cell r="CQ79">
            <v>-189</v>
          </cell>
          <cell r="CR79">
            <v>-181</v>
          </cell>
          <cell r="CS79">
            <v>-717</v>
          </cell>
          <cell r="CT79">
            <v>-189</v>
          </cell>
          <cell r="CU79">
            <v>-190</v>
          </cell>
          <cell r="CV79">
            <v>-206</v>
          </cell>
          <cell r="CW79">
            <v>-208.10146299321087</v>
          </cell>
          <cell r="CX79">
            <v>-793.10146299321082</v>
          </cell>
          <cell r="CY79">
            <v>-204.88732183322202</v>
          </cell>
          <cell r="CZ79">
            <v>-208.83679518688257</v>
          </cell>
          <cell r="DA79">
            <v>-226.58118378504724</v>
          </cell>
          <cell r="DB79">
            <v>-229.02726390058174</v>
          </cell>
          <cell r="DC79">
            <v>-869.33256470573349</v>
          </cell>
          <cell r="DD79">
            <v>-169.86391991421326</v>
          </cell>
          <cell r="DE79">
            <v>-169.13840597997893</v>
          </cell>
          <cell r="DF79">
            <v>-184.76305973911246</v>
          </cell>
          <cell r="DG79">
            <v>-187.86952586921848</v>
          </cell>
          <cell r="DH79">
            <v>-711.6349115025231</v>
          </cell>
          <cell r="DI79">
            <v>-157.17303567209143</v>
          </cell>
          <cell r="DJ79">
            <v>-156.94870239267993</v>
          </cell>
          <cell r="DK79">
            <v>-172.08563740553268</v>
          </cell>
          <cell r="DL79">
            <v>-175.70831831527954</v>
          </cell>
          <cell r="DM79">
            <v>-661.91569378558358</v>
          </cell>
          <cell r="DN79">
            <v>-151.20343750782621</v>
          </cell>
          <cell r="DO79">
            <v>-150.37501062876376</v>
          </cell>
          <cell r="DP79">
            <v>-165.37000217204101</v>
          </cell>
          <cell r="DQ79">
            <v>-169.35556161795313</v>
          </cell>
          <cell r="DR79">
            <v>-636.30401192658405</v>
          </cell>
        </row>
        <row r="80">
          <cell r="B80" t="str">
            <v>% of revenues</v>
          </cell>
          <cell r="D80">
            <v>3.9401962781084279E-2</v>
          </cell>
          <cell r="E80">
            <v>3.240450845335003E-2</v>
          </cell>
          <cell r="F80">
            <v>3.3459500378501136E-2</v>
          </cell>
          <cell r="G80">
            <v>5.0213701216566542E-2</v>
          </cell>
          <cell r="H80">
            <v>4.1289933694996984E-2</v>
          </cell>
          <cell r="I80">
            <v>5.2418412648960196E-2</v>
          </cell>
          <cell r="J80">
            <v>5.0842512218250785E-2</v>
          </cell>
          <cell r="K80">
            <v>5.0213003701375797E-2</v>
          </cell>
          <cell r="L80">
            <v>5.5083882360931882E-2</v>
          </cell>
          <cell r="M80">
            <v>5.216765605324699E-2</v>
          </cell>
          <cell r="N80">
            <v>5.1786459057416939E-2</v>
          </cell>
          <cell r="O80">
            <v>5.3316170991125268E-2</v>
          </cell>
          <cell r="P80">
            <v>5.7266753095802224E-2</v>
          </cell>
          <cell r="Q80">
            <v>6.0094931344295666E-2</v>
          </cell>
          <cell r="R80">
            <v>5.6840409619146243E-2</v>
          </cell>
          <cell r="S80">
            <v>6.3492063492063489E-2</v>
          </cell>
          <cell r="T80">
            <v>5.5990119390695758E-2</v>
          </cell>
          <cell r="U80">
            <v>6.3572542901716073E-2</v>
          </cell>
          <cell r="V80">
            <v>5.4842473745624273E-2</v>
          </cell>
          <cell r="W80">
            <v>5.9423951490651841E-2</v>
          </cell>
          <cell r="X80">
            <v>6.2279670975323151E-2</v>
          </cell>
          <cell r="Y80">
            <v>7.1790870074131874E-2</v>
          </cell>
          <cell r="Z80">
            <v>6.7328136073706593E-2</v>
          </cell>
          <cell r="AA80">
            <v>7.1380013596193059E-2</v>
          </cell>
          <cell r="AB80">
            <v>6.8290441176470582E-2</v>
          </cell>
          <cell r="AC80">
            <v>7.76192133658197E-2</v>
          </cell>
          <cell r="AD80">
            <v>7.5539568345323743E-2</v>
          </cell>
          <cell r="AE80">
            <v>7.508771929824562E-2</v>
          </cell>
          <cell r="AF80">
            <v>7.007901064926142E-2</v>
          </cell>
          <cell r="AG80">
            <v>7.4557560890134919E-2</v>
          </cell>
          <cell r="AH80">
            <v>7.3625993778085028E-2</v>
          </cell>
          <cell r="AI80">
            <v>7.0668953687821612E-2</v>
          </cell>
          <cell r="AJ80">
            <v>7.2134387351778656E-2</v>
          </cell>
          <cell r="AK80">
            <v>6.575257089435961E-2</v>
          </cell>
          <cell r="AL80">
            <v>7.0438894880942501E-2</v>
          </cell>
          <cell r="AM80">
            <v>7.4613284804367602E-2</v>
          </cell>
          <cell r="AN80">
            <v>7.6016499705362409E-2</v>
          </cell>
          <cell r="AO80">
            <v>6.7738231917336397E-2</v>
          </cell>
          <cell r="AP80">
            <v>6.5810593900481537E-2</v>
          </cell>
          <cell r="AQ80">
            <v>7.0868971465535835E-2</v>
          </cell>
          <cell r="AR80">
            <v>0.11883311883311884</v>
          </cell>
          <cell r="AS80">
            <v>0.1198023878139152</v>
          </cell>
          <cell r="AT80">
            <v>0.11856474258970359</v>
          </cell>
          <cell r="BA80">
            <v>8.6906141367323289E-2</v>
          </cell>
          <cell r="BB80">
            <v>9.3518792542172241E-2</v>
          </cell>
          <cell r="BC80">
            <v>0.16742493175614195</v>
          </cell>
          <cell r="BD80">
            <v>0.12794718641936498</v>
          </cell>
          <cell r="BE80">
            <v>0.11834097227440078</v>
          </cell>
          <cell r="BF80">
            <v>0.10977894342450356</v>
          </cell>
          <cell r="BG80">
            <v>0.19338521400778211</v>
          </cell>
          <cell r="BH80">
            <v>9.3442622950819676E-2</v>
          </cell>
          <cell r="BI80">
            <v>7.7529021558872299E-2</v>
          </cell>
          <cell r="BJ80">
            <v>0.11941333861857101</v>
          </cell>
          <cell r="BK80">
            <v>6.6773290683726505E-2</v>
          </cell>
          <cell r="BL80">
            <v>6.3223140495867775E-2</v>
          </cell>
          <cell r="BM80">
            <v>8.6048454469507096E-2</v>
          </cell>
          <cell r="BN80">
            <v>7.4815137016093949E-2</v>
          </cell>
          <cell r="BO80">
            <v>7.2602454753484508E-2</v>
          </cell>
          <cell r="BP80">
            <v>5.7166528583264292E-2</v>
          </cell>
          <cell r="BQ80">
            <v>5.8314350797266518E-2</v>
          </cell>
          <cell r="BR80">
            <v>7.4161549362305151E-2</v>
          </cell>
          <cell r="BS80">
            <v>5.6906837999082145E-2</v>
          </cell>
          <cell r="BT80">
            <v>6.1426165075800114E-2</v>
          </cell>
          <cell r="BU80">
            <v>6.1869240895129442E-2</v>
          </cell>
          <cell r="BV80">
            <v>6.7773788150807895E-2</v>
          </cell>
          <cell r="BW80">
            <v>7.1880650994575052E-2</v>
          </cell>
          <cell r="BX80">
            <v>5.9529098178587293E-2</v>
          </cell>
          <cell r="BY80">
            <v>6.5217391304347824E-2</v>
          </cell>
          <cell r="BZ80">
            <v>6.2842682412484183E-2</v>
          </cell>
          <cell r="CA80">
            <v>7.0512820512820512E-2</v>
          </cell>
          <cell r="CB80">
            <v>7.6923076923076927E-2</v>
          </cell>
          <cell r="CC80">
            <v>7.5626423690205016E-2</v>
          </cell>
          <cell r="CD80">
            <v>7.1284238886394249E-2</v>
          </cell>
          <cell r="CE80">
            <v>6.8451075032909175E-2</v>
          </cell>
          <cell r="CF80">
            <v>7.4921489457155668E-2</v>
          </cell>
          <cell r="CG80">
            <v>8.532272325375774E-2</v>
          </cell>
          <cell r="CH80">
            <v>8.0053073861123397E-2</v>
          </cell>
          <cell r="CI80">
            <v>7.7178607020263537E-2</v>
          </cell>
          <cell r="CJ80">
            <v>8.0803762291577597E-2</v>
          </cell>
          <cell r="CK80">
            <v>7.5119409465914028E-2</v>
          </cell>
          <cell r="CL80">
            <v>8.267020335985853E-2</v>
          </cell>
          <cell r="CM80">
            <v>8.3007388092133857E-2</v>
          </cell>
          <cell r="CN80">
            <v>8.039109179793591E-2</v>
          </cell>
          <cell r="CO80">
            <v>7.369287772745986E-2</v>
          </cell>
          <cell r="CP80">
            <v>7.3043478260869571E-2</v>
          </cell>
          <cell r="CQ80">
            <v>8.2568807339449546E-2</v>
          </cell>
          <cell r="CR80">
            <v>7.6923076923076927E-2</v>
          </cell>
          <cell r="CS80">
            <v>7.6512645395368686E-2</v>
          </cell>
          <cell r="CT80">
            <v>7.5873143315937377E-2</v>
          </cell>
          <cell r="CU80">
            <v>7.7393075356415472E-2</v>
          </cell>
          <cell r="CV80">
            <v>8.4878450762257932E-2</v>
          </cell>
          <cell r="CW80">
            <v>8.2401127524428089E-2</v>
          </cell>
          <cell r="CX80">
            <v>8.0123652687612429E-2</v>
          </cell>
          <cell r="CY80">
            <v>7.7054552049793071E-2</v>
          </cell>
          <cell r="CZ80">
            <v>7.6507022078941181E-2</v>
          </cell>
          <cell r="DA80">
            <v>8.3630813295141701E-2</v>
          </cell>
          <cell r="DB80">
            <v>8.235371216437698E-2</v>
          </cell>
          <cell r="DC80">
            <v>7.9909567877343921E-2</v>
          </cell>
          <cell r="DD80">
            <v>6.1245607163135596E-2</v>
          </cell>
          <cell r="DE80">
            <v>6.0003348446912338E-2</v>
          </cell>
          <cell r="DF80">
            <v>6.6117164100963688E-2</v>
          </cell>
          <cell r="DG80">
            <v>6.5395929986680895E-2</v>
          </cell>
          <cell r="DH80">
            <v>6.3202590628234842E-2</v>
          </cell>
          <cell r="DI80">
            <v>5.3708221519859566E-2</v>
          </cell>
          <cell r="DJ80">
            <v>5.3423839359143611E-2</v>
          </cell>
          <cell r="DK80">
            <v>5.9094579347081184E-2</v>
          </cell>
          <cell r="DL80">
            <v>5.8548672805782957E-2</v>
          </cell>
          <cell r="DM80">
            <v>5.6202532698828987E-2</v>
          </cell>
          <cell r="DN80">
            <v>4.928169635116602E-2</v>
          </cell>
          <cell r="DO80">
            <v>4.8940483217617396E-2</v>
          </cell>
          <cell r="DP80">
            <v>5.4287478450490763E-2</v>
          </cell>
          <cell r="DQ80">
            <v>5.4014949450804949E-2</v>
          </cell>
          <cell r="DR80">
            <v>5.1638444333331222E-2</v>
          </cell>
        </row>
        <row r="81">
          <cell r="B81" t="str">
            <v>Transfers from acquisitions (Dispositions)</v>
          </cell>
        </row>
        <row r="82">
          <cell r="B82" t="str">
            <v>Write-offs</v>
          </cell>
          <cell r="D82">
            <v>36.032000000000011</v>
          </cell>
          <cell r="E82">
            <v>20.747</v>
          </cell>
          <cell r="F82">
            <v>18.000000000000007</v>
          </cell>
          <cell r="G82">
            <v>-44.617000000000004</v>
          </cell>
          <cell r="H82">
            <v>30.16200000000002</v>
          </cell>
          <cell r="I82">
            <v>83.499999999999986</v>
          </cell>
          <cell r="J82">
            <v>76.40000000000002</v>
          </cell>
          <cell r="K82">
            <v>78.900000000000006</v>
          </cell>
          <cell r="L82">
            <v>79.199999999999989</v>
          </cell>
          <cell r="M82">
            <v>318</v>
          </cell>
          <cell r="N82">
            <v>75.699999999999989</v>
          </cell>
          <cell r="O82">
            <v>51.300000000000026</v>
          </cell>
          <cell r="P82">
            <v>81.899999999999977</v>
          </cell>
          <cell r="Q82">
            <v>217.10000000000005</v>
          </cell>
          <cell r="R82">
            <v>426</v>
          </cell>
          <cell r="S82">
            <v>136</v>
          </cell>
          <cell r="T82">
            <v>157</v>
          </cell>
          <cell r="U82">
            <v>174</v>
          </cell>
          <cell r="V82">
            <v>154</v>
          </cell>
          <cell r="W82">
            <v>621</v>
          </cell>
          <cell r="X82">
            <v>168</v>
          </cell>
          <cell r="Y82">
            <v>163</v>
          </cell>
          <cell r="Z82">
            <v>149</v>
          </cell>
          <cell r="AA82">
            <v>167</v>
          </cell>
          <cell r="AB82">
            <v>647</v>
          </cell>
          <cell r="AC82">
            <v>193</v>
          </cell>
          <cell r="AD82">
            <v>234</v>
          </cell>
          <cell r="AE82">
            <v>146</v>
          </cell>
          <cell r="AF82">
            <v>207</v>
          </cell>
          <cell r="AG82">
            <v>780</v>
          </cell>
          <cell r="AH82">
            <v>216</v>
          </cell>
          <cell r="AI82">
            <v>207</v>
          </cell>
          <cell r="AJ82">
            <v>226</v>
          </cell>
          <cell r="AK82">
            <v>225</v>
          </cell>
          <cell r="AL82">
            <v>874</v>
          </cell>
          <cell r="AM82">
            <v>240</v>
          </cell>
          <cell r="AN82">
            <v>272</v>
          </cell>
          <cell r="AO82">
            <v>246</v>
          </cell>
          <cell r="AP82">
            <v>246</v>
          </cell>
          <cell r="AQ82">
            <v>1004</v>
          </cell>
          <cell r="AR82">
            <v>264</v>
          </cell>
          <cell r="AS82">
            <v>269</v>
          </cell>
          <cell r="AT82">
            <v>312</v>
          </cell>
          <cell r="BA82">
            <v>293</v>
          </cell>
          <cell r="BB82">
            <v>322</v>
          </cell>
          <cell r="BC82">
            <v>403</v>
          </cell>
          <cell r="BD82">
            <v>407</v>
          </cell>
          <cell r="BE82">
            <v>1425</v>
          </cell>
          <cell r="BF82">
            <v>279</v>
          </cell>
          <cell r="BG82">
            <v>173</v>
          </cell>
          <cell r="BH82">
            <v>266</v>
          </cell>
          <cell r="BI82">
            <v>289</v>
          </cell>
          <cell r="BJ82">
            <v>1007</v>
          </cell>
          <cell r="BK82">
            <v>182</v>
          </cell>
          <cell r="BL82">
            <v>194</v>
          </cell>
          <cell r="BM82">
            <v>206</v>
          </cell>
          <cell r="BN82">
            <v>220</v>
          </cell>
          <cell r="BO82">
            <v>802</v>
          </cell>
          <cell r="BP82">
            <v>157</v>
          </cell>
          <cell r="BQ82">
            <v>184</v>
          </cell>
          <cell r="BR82">
            <v>177</v>
          </cell>
          <cell r="BS82">
            <v>125</v>
          </cell>
          <cell r="BT82">
            <v>643</v>
          </cell>
          <cell r="BU82">
            <v>156</v>
          </cell>
          <cell r="BV82">
            <v>151</v>
          </cell>
          <cell r="BW82">
            <v>164</v>
          </cell>
          <cell r="BX82">
            <v>171</v>
          </cell>
          <cell r="BY82">
            <v>642</v>
          </cell>
          <cell r="BZ82">
            <v>162</v>
          </cell>
          <cell r="CA82">
            <v>172</v>
          </cell>
          <cell r="CB82">
            <v>178</v>
          </cell>
          <cell r="CC82">
            <v>168</v>
          </cell>
          <cell r="CD82">
            <v>680</v>
          </cell>
          <cell r="CE82">
            <v>161</v>
          </cell>
          <cell r="CF82">
            <v>151</v>
          </cell>
          <cell r="CG82">
            <v>217</v>
          </cell>
          <cell r="CH82">
            <v>195</v>
          </cell>
          <cell r="CI82">
            <v>724</v>
          </cell>
          <cell r="CJ82">
            <v>197</v>
          </cell>
          <cell r="CK82">
            <v>170</v>
          </cell>
          <cell r="CL82">
            <v>196</v>
          </cell>
          <cell r="CM82">
            <v>194</v>
          </cell>
          <cell r="CN82">
            <v>757</v>
          </cell>
          <cell r="CO82">
            <v>172</v>
          </cell>
          <cell r="CP82">
            <v>163</v>
          </cell>
          <cell r="CQ82">
            <v>176</v>
          </cell>
          <cell r="CR82">
            <v>161</v>
          </cell>
          <cell r="CS82">
            <v>672</v>
          </cell>
          <cell r="CT82">
            <v>206</v>
          </cell>
          <cell r="CU82">
            <v>169</v>
          </cell>
          <cell r="CV82">
            <v>205</v>
          </cell>
          <cell r="CW82">
            <v>152.25</v>
          </cell>
          <cell r="CX82">
            <v>732.25</v>
          </cell>
          <cell r="CY82">
            <v>160.15901687088467</v>
          </cell>
          <cell r="CZ82">
            <v>165.47682334764789</v>
          </cell>
          <cell r="DA82">
            <v>171.12855690682741</v>
          </cell>
          <cell r="DB82">
            <v>173.73060527425213</v>
          </cell>
          <cell r="DC82">
            <v>670.49500239961208</v>
          </cell>
          <cell r="DD82">
            <v>181.77487578359086</v>
          </cell>
          <cell r="DE82">
            <v>183.15104709766231</v>
          </cell>
          <cell r="DF82">
            <v>182.58078049367643</v>
          </cell>
          <cell r="DG82">
            <v>180.29919558014564</v>
          </cell>
          <cell r="DH82">
            <v>727.80589895507524</v>
          </cell>
          <cell r="DI82">
            <v>184.46267804682677</v>
          </cell>
          <cell r="DJ82">
            <v>187.37880963459867</v>
          </cell>
          <cell r="DK82">
            <v>183.76093621325097</v>
          </cell>
          <cell r="DL82">
            <v>180.14450784822122</v>
          </cell>
          <cell r="DM82">
            <v>735.74693174289757</v>
          </cell>
          <cell r="DN82">
            <v>183.73592095439218</v>
          </cell>
          <cell r="DO82">
            <v>185.39509890851076</v>
          </cell>
          <cell r="DP82">
            <v>182.53257456742145</v>
          </cell>
          <cell r="DQ82">
            <v>178.34054716859109</v>
          </cell>
          <cell r="DR82">
            <v>730.00414159891545</v>
          </cell>
        </row>
        <row r="83">
          <cell r="B83" t="str">
            <v>% of beg. gross receivables (annualized)</v>
          </cell>
          <cell r="E83">
            <v>0.1885700911856866</v>
          </cell>
          <cell r="F83">
            <v>0.15043877977434189</v>
          </cell>
          <cell r="G83">
            <v>-0.36995854063018241</v>
          </cell>
          <cell r="H83" t="str">
            <v>nm</v>
          </cell>
          <cell r="I83">
            <v>0.44592790387182901</v>
          </cell>
          <cell r="J83">
            <v>0.39708939708939722</v>
          </cell>
          <cell r="K83">
            <v>0.35369270424745042</v>
          </cell>
          <cell r="L83">
            <v>0.33044748096380511</v>
          </cell>
          <cell r="M83">
            <v>0.42456608811748997</v>
          </cell>
          <cell r="N83">
            <v>0.30462776659959756</v>
          </cell>
          <cell r="O83">
            <v>0.19738360908041566</v>
          </cell>
          <cell r="P83">
            <v>0.27564156499789644</v>
          </cell>
          <cell r="Q83">
            <v>0.55077059681613505</v>
          </cell>
          <cell r="R83">
            <v>0.42857142857142855</v>
          </cell>
          <cell r="S83">
            <v>0.34649681528662418</v>
          </cell>
          <cell r="T83">
            <v>0.39671509791535059</v>
          </cell>
          <cell r="U83">
            <v>0.39233370913190529</v>
          </cell>
          <cell r="V83">
            <v>0.31933644375324</v>
          </cell>
          <cell r="W83">
            <v>0.39554140127388537</v>
          </cell>
          <cell r="X83">
            <v>0.34764614588722192</v>
          </cell>
          <cell r="Y83">
            <v>0.31543299467827768</v>
          </cell>
          <cell r="Z83">
            <v>0.26524254561637739</v>
          </cell>
          <cell r="AA83">
            <v>0.26226933647428347</v>
          </cell>
          <cell r="AB83">
            <v>0.33471288153129852</v>
          </cell>
          <cell r="AC83">
            <v>0.29635316698656428</v>
          </cell>
          <cell r="AD83">
            <v>0.34148121123677488</v>
          </cell>
          <cell r="AE83">
            <v>0.21151756609923941</v>
          </cell>
          <cell r="AF83">
            <v>0.28259385665529008</v>
          </cell>
          <cell r="AG83">
            <v>0.29942418426103645</v>
          </cell>
          <cell r="AH83">
            <v>0.3016759776536313</v>
          </cell>
          <cell r="AI83">
            <v>0.28850174216027874</v>
          </cell>
          <cell r="AJ83">
            <v>0.31183166609175578</v>
          </cell>
          <cell r="AK83">
            <v>0.30060120240480964</v>
          </cell>
          <cell r="AL83">
            <v>0.30516759776536312</v>
          </cell>
          <cell r="AM83">
            <v>0.35307098197866865</v>
          </cell>
          <cell r="AN83">
            <v>0.40491254186825454</v>
          </cell>
          <cell r="AO83">
            <v>0.36417468541820874</v>
          </cell>
          <cell r="AP83">
            <v>0.3524355300859599</v>
          </cell>
          <cell r="AQ83">
            <v>0.3692534019860243</v>
          </cell>
          <cell r="AR83">
            <v>0.38540145985401458</v>
          </cell>
          <cell r="AS83">
            <v>0.38319088319088318</v>
          </cell>
          <cell r="AT83">
            <v>0.42535787321063395</v>
          </cell>
          <cell r="BA83">
            <v>0.39863945578231291</v>
          </cell>
          <cell r="BB83">
            <v>0.41682847896440128</v>
          </cell>
          <cell r="BC83">
            <v>0.534128561961564</v>
          </cell>
          <cell r="BD83">
            <v>0.54907251264755486</v>
          </cell>
          <cell r="BE83">
            <v>0.48469387755102039</v>
          </cell>
          <cell r="BF83">
            <v>0.38284734133790738</v>
          </cell>
          <cell r="BG83">
            <v>0.24187347081440055</v>
          </cell>
          <cell r="BH83">
            <v>0.38453198409830142</v>
          </cell>
          <cell r="BI83">
            <v>0.44615978386723271</v>
          </cell>
          <cell r="BJ83">
            <v>0.34545454545454546</v>
          </cell>
          <cell r="BK83">
            <v>0.30511316010058676</v>
          </cell>
          <cell r="BL83">
            <v>0.34124890061565522</v>
          </cell>
          <cell r="BM83">
            <v>0.38486688463334889</v>
          </cell>
          <cell r="BN83">
            <v>0.40646651270207851</v>
          </cell>
          <cell r="BO83">
            <v>0.33612740989103101</v>
          </cell>
          <cell r="BP83">
            <v>0.29636621047663991</v>
          </cell>
          <cell r="BQ83">
            <v>0.34089856415006947</v>
          </cell>
          <cell r="BR83">
            <v>0.35346979530703942</v>
          </cell>
          <cell r="BS83">
            <v>0.25614754098360654</v>
          </cell>
          <cell r="BT83">
            <v>0.3034450212364323</v>
          </cell>
          <cell r="BU83">
            <v>0.32653061224489793</v>
          </cell>
          <cell r="BV83">
            <v>0.31623036649214659</v>
          </cell>
          <cell r="BW83">
            <v>0.35536294691224268</v>
          </cell>
          <cell r="BX83">
            <v>0.37336244541484714</v>
          </cell>
          <cell r="BY83">
            <v>0.33594976452119307</v>
          </cell>
          <cell r="BZ83">
            <v>0.35487404162102959</v>
          </cell>
          <cell r="CA83">
            <v>0.3628691983122363</v>
          </cell>
          <cell r="CB83">
            <v>0.3827956989247312</v>
          </cell>
          <cell r="CC83">
            <v>0.38312428734321552</v>
          </cell>
          <cell r="CD83">
            <v>0.3723986856516977</v>
          </cell>
          <cell r="CE83">
            <v>0.37160992498557416</v>
          </cell>
          <cell r="CF83">
            <v>0.34009009009009011</v>
          </cell>
          <cell r="CG83">
            <v>0.53186274509803921</v>
          </cell>
          <cell r="CH83">
            <v>0.49429657794676807</v>
          </cell>
          <cell r="CI83">
            <v>0.41777264858626662</v>
          </cell>
          <cell r="CJ83">
            <v>0.51604453176162413</v>
          </cell>
          <cell r="CK83">
            <v>0.43339706819630336</v>
          </cell>
          <cell r="CL83">
            <v>0.51443569553805779</v>
          </cell>
          <cell r="CM83">
            <v>0.52291105121293802</v>
          </cell>
          <cell r="CN83">
            <v>0.49574328749181401</v>
          </cell>
          <cell r="CO83">
            <v>0.46020066889632105</v>
          </cell>
          <cell r="CP83">
            <v>0.40852130325814534</v>
          </cell>
          <cell r="CQ83">
            <v>0.43403205918618987</v>
          </cell>
          <cell r="CR83">
            <v>0.40300375469336669</v>
          </cell>
          <cell r="CS83">
            <v>0.44949832775919735</v>
          </cell>
          <cell r="CT83">
            <v>0.49194029850746268</v>
          </cell>
          <cell r="CU83">
            <v>0.37618252643294381</v>
          </cell>
          <cell r="CV83">
            <v>0.46670461013090497</v>
          </cell>
          <cell r="CW83">
            <v>0.35</v>
          </cell>
          <cell r="CX83">
            <v>0.43716417910447763</v>
          </cell>
          <cell r="CY83">
            <v>0.35</v>
          </cell>
          <cell r="CZ83">
            <v>0.35</v>
          </cell>
          <cell r="DA83">
            <v>0.35</v>
          </cell>
          <cell r="DB83">
            <v>0.35</v>
          </cell>
          <cell r="DC83">
            <v>0.36631289237534886</v>
          </cell>
          <cell r="DD83">
            <v>0.35</v>
          </cell>
          <cell r="DE83">
            <v>0.35</v>
          </cell>
          <cell r="DF83">
            <v>0.35</v>
          </cell>
          <cell r="DG83">
            <v>0.35</v>
          </cell>
          <cell r="DH83">
            <v>0.35034003397909547</v>
          </cell>
          <cell r="DI83">
            <v>0.35</v>
          </cell>
          <cell r="DJ83">
            <v>0.35</v>
          </cell>
          <cell r="DK83">
            <v>0.35</v>
          </cell>
          <cell r="DL83">
            <v>0.35</v>
          </cell>
          <cell r="DM83">
            <v>0.34900207027874169</v>
          </cell>
          <cell r="DN83">
            <v>0.35</v>
          </cell>
          <cell r="DO83">
            <v>0.35</v>
          </cell>
          <cell r="DP83">
            <v>0.35</v>
          </cell>
          <cell r="DQ83">
            <v>0.35</v>
          </cell>
          <cell r="DR83">
            <v>0.34764765680065657</v>
          </cell>
        </row>
        <row r="84">
          <cell r="B84" t="str">
            <v>Allowance for doubtful accts - closing</v>
          </cell>
          <cell r="D84">
            <v>-67.247</v>
          </cell>
          <cell r="E84">
            <v>-67.2</v>
          </cell>
          <cell r="F84">
            <v>-71.3</v>
          </cell>
          <cell r="G84">
            <v>-184</v>
          </cell>
          <cell r="H84">
            <v>-184</v>
          </cell>
          <cell r="I84">
            <v>-167.8</v>
          </cell>
          <cell r="J84">
            <v>-161.1</v>
          </cell>
          <cell r="K84">
            <v>-154.1</v>
          </cell>
          <cell r="L84">
            <v>-156</v>
          </cell>
          <cell r="M84">
            <v>-156</v>
          </cell>
          <cell r="N84">
            <v>-154.80000000000001</v>
          </cell>
          <cell r="O84">
            <v>-182.2</v>
          </cell>
          <cell r="P84">
            <v>-228.4</v>
          </cell>
          <cell r="Q84">
            <v>-224</v>
          </cell>
          <cell r="R84">
            <v>-224</v>
          </cell>
          <cell r="S84">
            <v>-236</v>
          </cell>
          <cell r="T84">
            <v>-215</v>
          </cell>
          <cell r="U84">
            <v>-204</v>
          </cell>
          <cell r="V84">
            <v>-191</v>
          </cell>
          <cell r="W84">
            <v>-191</v>
          </cell>
          <cell r="X84">
            <v>-182</v>
          </cell>
          <cell r="Y84">
            <v>-203</v>
          </cell>
          <cell r="Z84">
            <v>-244</v>
          </cell>
          <cell r="AA84">
            <v>-287</v>
          </cell>
          <cell r="AB84">
            <v>-287</v>
          </cell>
          <cell r="AC84">
            <v>-317</v>
          </cell>
          <cell r="AD84">
            <v>-293</v>
          </cell>
          <cell r="AE84">
            <v>-361</v>
          </cell>
          <cell r="AF84">
            <v>-358</v>
          </cell>
          <cell r="AG84">
            <v>-358</v>
          </cell>
          <cell r="AH84">
            <v>-355</v>
          </cell>
          <cell r="AI84">
            <v>-354</v>
          </cell>
          <cell r="AJ84">
            <v>-347</v>
          </cell>
          <cell r="AK84">
            <v>-333</v>
          </cell>
          <cell r="AL84">
            <v>-333</v>
          </cell>
          <cell r="AM84">
            <v>-339</v>
          </cell>
          <cell r="AN84">
            <v>-325</v>
          </cell>
          <cell r="AO84">
            <v>-315</v>
          </cell>
          <cell r="AP84">
            <v>-315</v>
          </cell>
          <cell r="AQ84">
            <v>-315</v>
          </cell>
          <cell r="AR84">
            <v>-328</v>
          </cell>
          <cell r="AS84">
            <v>-350</v>
          </cell>
          <cell r="AT84">
            <v>-342</v>
          </cell>
          <cell r="AZ84">
            <v>-350</v>
          </cell>
          <cell r="BA84">
            <v>-357</v>
          </cell>
          <cell r="BB84">
            <v>-351</v>
          </cell>
          <cell r="BC84">
            <v>-500</v>
          </cell>
          <cell r="BD84">
            <v>-500</v>
          </cell>
          <cell r="BE84">
            <v>-500</v>
          </cell>
          <cell r="BF84">
            <v>-514</v>
          </cell>
          <cell r="BG84">
            <v>-838</v>
          </cell>
          <cell r="BH84">
            <v>-800</v>
          </cell>
          <cell r="BI84">
            <v>-698</v>
          </cell>
          <cell r="BJ84">
            <v>-698</v>
          </cell>
          <cell r="BK84">
            <v>-683</v>
          </cell>
          <cell r="BL84">
            <v>-642</v>
          </cell>
          <cell r="BM84">
            <v>-642</v>
          </cell>
          <cell r="BN84">
            <v>-594</v>
          </cell>
          <cell r="BO84">
            <v>-594</v>
          </cell>
          <cell r="BP84">
            <v>-575</v>
          </cell>
          <cell r="BQ84">
            <v>-519</v>
          </cell>
          <cell r="BR84">
            <v>-499</v>
          </cell>
          <cell r="BS84">
            <v>-498</v>
          </cell>
          <cell r="BT84">
            <v>-498</v>
          </cell>
          <cell r="BU84">
            <v>-483</v>
          </cell>
          <cell r="BV84">
            <v>-483</v>
          </cell>
          <cell r="BW84">
            <v>-478</v>
          </cell>
          <cell r="BX84">
            <v>-441</v>
          </cell>
          <cell r="BY84">
            <v>-441</v>
          </cell>
          <cell r="BZ84">
            <v>-428</v>
          </cell>
          <cell r="CA84">
            <v>-410</v>
          </cell>
          <cell r="CB84">
            <v>-398</v>
          </cell>
          <cell r="CC84">
            <v>-396</v>
          </cell>
          <cell r="CD84">
            <v>-396</v>
          </cell>
          <cell r="CE84">
            <v>-391</v>
          </cell>
          <cell r="CF84">
            <v>-407</v>
          </cell>
          <cell r="CG84">
            <v>-383</v>
          </cell>
          <cell r="CH84">
            <v>-369</v>
          </cell>
          <cell r="CI84">
            <v>-369</v>
          </cell>
          <cell r="CJ84">
            <v>-361</v>
          </cell>
          <cell r="CK84">
            <v>-364</v>
          </cell>
          <cell r="CL84">
            <v>-355</v>
          </cell>
          <cell r="CM84">
            <v>-352</v>
          </cell>
          <cell r="CN84">
            <v>-352</v>
          </cell>
          <cell r="CO84">
            <v>-359</v>
          </cell>
          <cell r="CP84">
            <v>-364</v>
          </cell>
          <cell r="CQ84">
            <v>-377</v>
          </cell>
          <cell r="CR84">
            <v>-397</v>
          </cell>
          <cell r="CS84">
            <v>-397</v>
          </cell>
          <cell r="CT84">
            <v>-380</v>
          </cell>
          <cell r="CU84">
            <v>-401</v>
          </cell>
          <cell r="CV84">
            <v>-402</v>
          </cell>
          <cell r="CW84">
            <v>-457.85146299321082</v>
          </cell>
          <cell r="CX84">
            <v>-457.85146299321082</v>
          </cell>
          <cell r="CY84">
            <v>-502.57976795554816</v>
          </cell>
          <cell r="CZ84">
            <v>-545.93973979478278</v>
          </cell>
          <cell r="DA84">
            <v>-601.39236667300258</v>
          </cell>
          <cell r="DB84">
            <v>-656.68902529933212</v>
          </cell>
          <cell r="DC84">
            <v>-656.68902529933212</v>
          </cell>
          <cell r="DD84">
            <v>-644.77806942995448</v>
          </cell>
          <cell r="DE84">
            <v>-630.76542831227107</v>
          </cell>
          <cell r="DF84">
            <v>-632.94770755770708</v>
          </cell>
          <cell r="DG84">
            <v>-640.51803784677986</v>
          </cell>
          <cell r="DH84">
            <v>-640.51803784678009</v>
          </cell>
          <cell r="DI84">
            <v>-613.22839547204467</v>
          </cell>
          <cell r="DJ84">
            <v>-582.79828823012599</v>
          </cell>
          <cell r="DK84">
            <v>-571.12298942240773</v>
          </cell>
          <cell r="DL84">
            <v>-566.68679988946599</v>
          </cell>
          <cell r="DM84">
            <v>-566.68679988946599</v>
          </cell>
          <cell r="DN84">
            <v>-534.15431644289993</v>
          </cell>
          <cell r="DO84">
            <v>-499.13422816315295</v>
          </cell>
          <cell r="DP84">
            <v>-481.97165576777252</v>
          </cell>
          <cell r="DQ84">
            <v>-472.98667021713447</v>
          </cell>
          <cell r="DR84">
            <v>-472.9866702171347</v>
          </cell>
        </row>
        <row r="85">
          <cell r="B85" t="str">
            <v>as a % of gross receivables</v>
          </cell>
          <cell r="D85">
            <v>0.15280248857622628</v>
          </cell>
          <cell r="E85">
            <v>0.14040952778938573</v>
          </cell>
          <cell r="F85">
            <v>0.1478026533996683</v>
          </cell>
          <cell r="G85">
            <v>0.24566088117489987</v>
          </cell>
          <cell r="H85">
            <v>0.24566088117489987</v>
          </cell>
          <cell r="I85">
            <v>0.21803534303534308</v>
          </cell>
          <cell r="J85">
            <v>0.18054465986775747</v>
          </cell>
          <cell r="K85">
            <v>0.16073850005215395</v>
          </cell>
          <cell r="L85">
            <v>0.15694164989939638</v>
          </cell>
          <cell r="M85">
            <v>0.15694164989939638</v>
          </cell>
          <cell r="N85">
            <v>0.1489034243939977</v>
          </cell>
          <cell r="O85">
            <v>0.15330248212031972</v>
          </cell>
          <cell r="P85">
            <v>0.14485951671212025</v>
          </cell>
          <cell r="Q85">
            <v>0.14267515923566879</v>
          </cell>
          <cell r="R85">
            <v>0.14267515923566879</v>
          </cell>
          <cell r="S85">
            <v>0.14908401768793431</v>
          </cell>
          <cell r="T85">
            <v>0.12119503945885006</v>
          </cell>
          <cell r="U85">
            <v>0.10575427682737169</v>
          </cell>
          <cell r="V85">
            <v>9.8810139679255046E-2</v>
          </cell>
          <cell r="W85">
            <v>9.8810139679255046E-2</v>
          </cell>
          <cell r="X85">
            <v>8.8050314465408799E-2</v>
          </cell>
          <cell r="Y85">
            <v>9.0342679127725853E-2</v>
          </cell>
          <cell r="Z85">
            <v>9.5798979191205336E-2</v>
          </cell>
          <cell r="AA85">
            <v>0.11017274472168906</v>
          </cell>
          <cell r="AB85">
            <v>0.11017274472168906</v>
          </cell>
          <cell r="AC85">
            <v>0.11565122218168551</v>
          </cell>
          <cell r="AD85">
            <v>0.10612097066280334</v>
          </cell>
          <cell r="AE85">
            <v>0.12320819112627987</v>
          </cell>
          <cell r="AF85">
            <v>0.125</v>
          </cell>
          <cell r="AG85">
            <v>0.125</v>
          </cell>
          <cell r="AH85">
            <v>0.12369337979094076</v>
          </cell>
          <cell r="AI85">
            <v>0.12211107278371852</v>
          </cell>
          <cell r="AJ85">
            <v>0.11589846359385438</v>
          </cell>
          <cell r="AK85">
            <v>0.12247149687385069</v>
          </cell>
          <cell r="AL85">
            <v>0.12247149687385069</v>
          </cell>
          <cell r="AM85">
            <v>0.12616300707108299</v>
          </cell>
          <cell r="AN85">
            <v>0.12028127313101407</v>
          </cell>
          <cell r="AO85">
            <v>0.11282234957020057</v>
          </cell>
          <cell r="AP85">
            <v>0.11496350364963503</v>
          </cell>
          <cell r="AQ85">
            <v>0.11496350364963503</v>
          </cell>
          <cell r="AR85">
            <v>0.11680911680911681</v>
          </cell>
          <cell r="AS85">
            <v>0.11929107021131562</v>
          </cell>
          <cell r="AT85">
            <v>0.11384820239680427</v>
          </cell>
          <cell r="AZ85">
            <v>0.11904761904761904</v>
          </cell>
          <cell r="BA85">
            <v>0.11553398058252427</v>
          </cell>
          <cell r="BB85">
            <v>0.11630218687872763</v>
          </cell>
          <cell r="BC85">
            <v>0.16863406408094436</v>
          </cell>
          <cell r="BD85">
            <v>0.17152658662092624</v>
          </cell>
          <cell r="BE85">
            <v>0.17152658662092624</v>
          </cell>
          <cell r="BF85">
            <v>0.17965746242572528</v>
          </cell>
          <cell r="BG85">
            <v>0.30285507770148173</v>
          </cell>
          <cell r="BH85">
            <v>0.30876109610189117</v>
          </cell>
          <cell r="BI85">
            <v>0.29253981559094722</v>
          </cell>
          <cell r="BJ85">
            <v>0.29253981559094722</v>
          </cell>
          <cell r="BK85">
            <v>0.30035180299032543</v>
          </cell>
          <cell r="BL85">
            <v>0.29985987856141988</v>
          </cell>
          <cell r="BM85">
            <v>0.29653579676674363</v>
          </cell>
          <cell r="BN85">
            <v>0.28032090608777727</v>
          </cell>
          <cell r="BO85">
            <v>0.28032090608777727</v>
          </cell>
          <cell r="BP85">
            <v>0.26632700324224179</v>
          </cell>
          <cell r="BQ85">
            <v>0.25911133300049927</v>
          </cell>
          <cell r="BR85">
            <v>0.25563524590163933</v>
          </cell>
          <cell r="BS85">
            <v>0.26059654631083201</v>
          </cell>
          <cell r="BT85">
            <v>0.26059654631083201</v>
          </cell>
          <cell r="BU85">
            <v>0.25287958115183246</v>
          </cell>
          <cell r="BV85">
            <v>0.26164680390032502</v>
          </cell>
          <cell r="BW85">
            <v>0.26091703056768561</v>
          </cell>
          <cell r="BX85">
            <v>0.24151150054764511</v>
          </cell>
          <cell r="BY85">
            <v>0.24151150054764511</v>
          </cell>
          <cell r="BZ85">
            <v>0.22573839662447256</v>
          </cell>
          <cell r="CA85">
            <v>0.22043010752688172</v>
          </cell>
          <cell r="CB85">
            <v>0.22690992018244013</v>
          </cell>
          <cell r="CC85">
            <v>0.22850548182342759</v>
          </cell>
          <cell r="CD85">
            <v>0.22850548182342759</v>
          </cell>
          <cell r="CE85">
            <v>0.22015765765765766</v>
          </cell>
          <cell r="CF85">
            <v>0.24938725490196079</v>
          </cell>
          <cell r="CG85">
            <v>0.24271229404309252</v>
          </cell>
          <cell r="CH85">
            <v>0.24165029469548133</v>
          </cell>
          <cell r="CI85">
            <v>0.24165029469548133</v>
          </cell>
          <cell r="CJ85">
            <v>0.23008285532186107</v>
          </cell>
          <cell r="CK85">
            <v>0.23884514435695539</v>
          </cell>
          <cell r="CL85">
            <v>0.23921832884097036</v>
          </cell>
          <cell r="CM85">
            <v>0.23545150501672241</v>
          </cell>
          <cell r="CN85">
            <v>0.23545150501672241</v>
          </cell>
          <cell r="CO85">
            <v>0.22493734335839599</v>
          </cell>
          <cell r="CP85">
            <v>0.22441430332922319</v>
          </cell>
          <cell r="CQ85">
            <v>0.23591989987484355</v>
          </cell>
          <cell r="CR85">
            <v>0.23701492537313432</v>
          </cell>
          <cell r="CS85">
            <v>0.23701492537313432</v>
          </cell>
          <cell r="CT85">
            <v>0.21146355036171396</v>
          </cell>
          <cell r="CU85">
            <v>0.22822993739328401</v>
          </cell>
          <cell r="CV85">
            <v>0.23103448275862068</v>
          </cell>
          <cell r="CW85">
            <v>0.25013891690033735</v>
          </cell>
          <cell r="CX85">
            <v>0.25013891690033735</v>
          </cell>
          <cell r="CY85">
            <v>0.26575159473373788</v>
          </cell>
          <cell r="CZ85">
            <v>0.27914527005596251</v>
          </cell>
          <cell r="DA85">
            <v>0.30289327548717504</v>
          </cell>
          <cell r="DB85">
            <v>0.31610688477157856</v>
          </cell>
          <cell r="DC85">
            <v>0.31610688477157856</v>
          </cell>
          <cell r="DD85">
            <v>0.308041269592289</v>
          </cell>
          <cell r="DE85">
            <v>0.30228797811079167</v>
          </cell>
          <cell r="DF85">
            <v>0.30717233226190876</v>
          </cell>
          <cell r="DG85">
            <v>0.3038301780339861</v>
          </cell>
          <cell r="DH85">
            <v>0.30383017803398621</v>
          </cell>
          <cell r="DI85">
            <v>0.28635833853592957</v>
          </cell>
          <cell r="DJ85">
            <v>0.27750647809585327</v>
          </cell>
          <cell r="DK85">
            <v>0.27740652308181996</v>
          </cell>
          <cell r="DL85">
            <v>0.26987153482435544</v>
          </cell>
          <cell r="DM85">
            <v>0.26987153482435544</v>
          </cell>
          <cell r="DN85">
            <v>0.25210214813617254</v>
          </cell>
          <cell r="DO85">
            <v>0.23926822413905127</v>
          </cell>
          <cell r="DP85">
            <v>0.23647185426549716</v>
          </cell>
          <cell r="DQ85">
            <v>0.22797399545599509</v>
          </cell>
          <cell r="DR85">
            <v>0.2279739954559952</v>
          </cell>
        </row>
        <row r="87">
          <cell r="B87" t="str">
            <v>Accounts receivable turnover (Annualized)</v>
          </cell>
          <cell r="D87">
            <v>7.1111242235358496</v>
          </cell>
          <cell r="E87">
            <v>6.5163393025639982</v>
          </cell>
          <cell r="F87">
            <v>6.4956973995271863</v>
          </cell>
          <cell r="G87">
            <v>10.991720823329754</v>
          </cell>
          <cell r="H87">
            <v>7.5394354739755407</v>
          </cell>
          <cell r="I87">
            <v>8.755037933552936</v>
          </cell>
          <cell r="J87">
            <v>8.2726626711622977</v>
          </cell>
          <cell r="K87">
            <v>7.5830967573902841</v>
          </cell>
          <cell r="L87">
            <v>7.0549286536293749</v>
          </cell>
          <cell r="M87">
            <v>7.850364345026267</v>
          </cell>
          <cell r="N87">
            <v>6.6258290346352249</v>
          </cell>
          <cell r="O87">
            <v>6.261562983576626</v>
          </cell>
          <cell r="P87">
            <v>7.7056588993648374</v>
          </cell>
          <cell r="Q87">
            <v>10.423623785479489</v>
          </cell>
          <cell r="R87">
            <v>8.012501382896339</v>
          </cell>
          <cell r="S87">
            <v>6.8681686820904435</v>
          </cell>
          <cell r="T87">
            <v>6.7052252633808029</v>
          </cell>
          <cell r="U87">
            <v>6.3327919880904044</v>
          </cell>
          <cell r="V87">
            <v>5.884143665115813</v>
          </cell>
          <cell r="W87">
            <v>6.4095090037569635</v>
          </cell>
          <cell r="X87">
            <v>5.5851943755169557</v>
          </cell>
          <cell r="Y87">
            <v>5.2329675923465686</v>
          </cell>
          <cell r="Z87">
            <v>5.2655982414436515</v>
          </cell>
          <cell r="AA87">
            <v>5.0517486333656372</v>
          </cell>
          <cell r="AB87">
            <v>5.2856587640886126</v>
          </cell>
          <cell r="AC87">
            <v>4.8602157016328249</v>
          </cell>
          <cell r="AD87">
            <v>4.558687428679252</v>
          </cell>
          <cell r="AE87">
            <v>4.5893719806763276</v>
          </cell>
          <cell r="AF87">
            <v>4.502420679061391</v>
          </cell>
          <cell r="AG87">
            <v>4.6455026455026456</v>
          </cell>
          <cell r="AH87">
            <v>4.5718633911484803</v>
          </cell>
          <cell r="AI87">
            <v>4.6213569039655997</v>
          </cell>
          <cell r="AJ87">
            <v>4.7429378531073443</v>
          </cell>
          <cell r="AK87">
            <v>5.0591530680119909</v>
          </cell>
          <cell r="AL87">
            <v>4.783316136201285</v>
          </cell>
          <cell r="AM87">
            <v>5.5261889017468455</v>
          </cell>
          <cell r="AN87">
            <v>5.7622419908134193</v>
          </cell>
          <cell r="AO87">
            <v>5.8218193471592725</v>
          </cell>
          <cell r="AP87">
            <v>6.0506359427385457</v>
          </cell>
          <cell r="AQ87">
            <v>5.7908099558811292</v>
          </cell>
          <cell r="AR87">
            <v>5.9903160040774717</v>
          </cell>
          <cell r="AS87">
            <v>5.9848011388295745</v>
          </cell>
          <cell r="AT87">
            <v>5.6991146693777264</v>
          </cell>
          <cell r="BA87">
            <v>5.2601081261611036</v>
          </cell>
          <cell r="BB87">
            <v>5.0196784696784693</v>
          </cell>
          <cell r="BC87">
            <v>5.0976185231624251</v>
          </cell>
          <cell r="BD87">
            <v>5.1722425160370635</v>
          </cell>
          <cell r="BE87">
            <v>5.1705516705516708</v>
          </cell>
          <cell r="BF87">
            <v>4.5084667537418479</v>
          </cell>
          <cell r="BG87">
            <v>4.8346508496181091</v>
          </cell>
          <cell r="BH87">
            <v>5.2187938288920055</v>
          </cell>
          <cell r="BI87">
            <v>5.5162777909694185</v>
          </cell>
          <cell r="BJ87">
            <v>4.9611602753195676</v>
          </cell>
          <cell r="BK87">
            <v>6.1866083833146961</v>
          </cell>
          <cell r="BL87">
            <v>6.282584729186671</v>
          </cell>
          <cell r="BM87">
            <v>6.2858602135067478</v>
          </cell>
          <cell r="BN87">
            <v>5.9849295332648635</v>
          </cell>
          <cell r="BO87">
            <v>6.1423460260669565</v>
          </cell>
          <cell r="BP87">
            <v>6.297916443300811</v>
          </cell>
          <cell r="BQ87">
            <v>5.7393226069888392</v>
          </cell>
          <cell r="BR87">
            <v>5.7194194016372819</v>
          </cell>
          <cell r="BS87">
            <v>6.0327603992839585</v>
          </cell>
          <cell r="BT87">
            <v>5.9692988336238102</v>
          </cell>
          <cell r="BU87">
            <v>6.5088810641627539</v>
          </cell>
          <cell r="BV87">
            <v>6.4060813738233096</v>
          </cell>
          <cell r="BW87">
            <v>6.4599702357139428</v>
          </cell>
          <cell r="BX87">
            <v>6.5210644951346888</v>
          </cell>
          <cell r="BY87">
            <v>6.4606741573033704</v>
          </cell>
          <cell r="BZ87">
            <v>6.6849701297650821</v>
          </cell>
          <cell r="CA87">
            <v>6.0205620287868404</v>
          </cell>
          <cell r="CB87">
            <v>6.119092627599243</v>
          </cell>
          <cell r="CC87">
            <v>6.4851708939440416</v>
          </cell>
          <cell r="CD87">
            <v>6.3664951400800458</v>
          </cell>
          <cell r="CE87">
            <v>6.7910441668707646</v>
          </cell>
          <cell r="CF87">
            <v>6.8509536440570917</v>
          </cell>
          <cell r="CG87">
            <v>7.4167265540783323</v>
          </cell>
          <cell r="CH87">
            <v>7.6245403647517511</v>
          </cell>
          <cell r="CI87">
            <v>7.1674603174603178</v>
          </cell>
          <cell r="CJ87">
            <v>7.8526030169242089</v>
          </cell>
          <cell r="CK87">
            <v>7.9631962864721482</v>
          </cell>
          <cell r="CL87">
            <v>7.9488389109254056</v>
          </cell>
          <cell r="CM87">
            <v>8.0360628444580531</v>
          </cell>
          <cell r="CN87">
            <v>7.9380820972749229</v>
          </cell>
          <cell r="CO87">
            <v>7.9635767537950235</v>
          </cell>
          <cell r="CP87">
            <v>7.3332867450514509</v>
          </cell>
          <cell r="CQ87">
            <v>7.4376402093793397</v>
          </cell>
          <cell r="CR87">
            <v>7.4712058736538101</v>
          </cell>
          <cell r="CS87">
            <v>7.6348378686654712</v>
          </cell>
          <cell r="CT87">
            <v>7.0703932623480963</v>
          </cell>
          <cell r="CU87">
            <v>7.2816784984926572</v>
          </cell>
          <cell r="CV87">
            <v>1.7744687073503607</v>
          </cell>
          <cell r="CW87">
            <v>7.4132704541644499</v>
          </cell>
          <cell r="CX87">
            <v>7.3196879594736357</v>
          </cell>
          <cell r="CY87">
            <v>7.7659574468085104</v>
          </cell>
          <cell r="CZ87">
            <v>7.7659574468085113</v>
          </cell>
          <cell r="DA87">
            <v>7.7659574468085113</v>
          </cell>
          <cell r="DB87">
            <v>7.8673993245496465</v>
          </cell>
          <cell r="DC87">
            <v>7.7976675939053468</v>
          </cell>
          <cell r="DD87">
            <v>7.7659574468085104</v>
          </cell>
          <cell r="DE87">
            <v>7.7659574468085104</v>
          </cell>
          <cell r="DF87">
            <v>7.7659574468085113</v>
          </cell>
          <cell r="DG87">
            <v>7.8732832216798663</v>
          </cell>
          <cell r="DH87">
            <v>7.7972496289675819</v>
          </cell>
          <cell r="DI87">
            <v>7.7659574468085104</v>
          </cell>
          <cell r="DJ87">
            <v>7.7659574468085104</v>
          </cell>
          <cell r="DK87">
            <v>7.7659574468085095</v>
          </cell>
          <cell r="DL87">
            <v>7.8828801323391859</v>
          </cell>
          <cell r="DM87">
            <v>7.8160975696515456</v>
          </cell>
          <cell r="DN87">
            <v>7.7872340425531918</v>
          </cell>
          <cell r="DO87">
            <v>7.7872340425531918</v>
          </cell>
          <cell r="DP87">
            <v>7.787234042553191</v>
          </cell>
          <cell r="DQ87">
            <v>7.8995484215207394</v>
          </cell>
          <cell r="DR87">
            <v>7.8359063480702984</v>
          </cell>
        </row>
        <row r="88">
          <cell r="B88" t="str">
            <v>Ending receivables collection period (DSOs)</v>
          </cell>
          <cell r="D88">
            <v>51.187405613765108</v>
          </cell>
          <cell r="E88">
            <v>58.605823418910454</v>
          </cell>
          <cell r="F88">
            <v>56.016654049962156</v>
          </cell>
          <cell r="G88">
            <v>38.337150085001092</v>
          </cell>
          <cell r="H88">
            <v>61.983122362869196</v>
          </cell>
          <cell r="I88">
            <v>43.122984656125858</v>
          </cell>
          <cell r="J88">
            <v>48.536873586694867</v>
          </cell>
          <cell r="K88">
            <v>50.571967316153362</v>
          </cell>
          <cell r="L88">
            <v>52.93350539971474</v>
          </cell>
          <cell r="M88">
            <v>55.173232595790608</v>
          </cell>
          <cell r="N88">
            <v>56.583901014875572</v>
          </cell>
          <cell r="O88">
            <v>62.037328094302552</v>
          </cell>
          <cell r="P88">
            <v>54.247842997004781</v>
          </cell>
          <cell r="Q88">
            <v>34.986720913149128</v>
          </cell>
          <cell r="R88">
            <v>56.528592797146473</v>
          </cell>
          <cell r="S88">
            <v>53.163449163449165</v>
          </cell>
          <cell r="T88">
            <v>58.406340057636889</v>
          </cell>
          <cell r="U88">
            <v>60.549921996879881</v>
          </cell>
          <cell r="V88">
            <v>62.335278101905871</v>
          </cell>
          <cell r="W88">
            <v>64.257705912076801</v>
          </cell>
          <cell r="X88">
            <v>67.927927927927925</v>
          </cell>
          <cell r="Y88">
            <v>72.572766289504486</v>
          </cell>
          <cell r="Z88">
            <v>73.447909284195603</v>
          </cell>
          <cell r="AA88">
            <v>72.48674371176071</v>
          </cell>
          <cell r="AB88">
            <v>77.763786764705884</v>
          </cell>
          <cell r="AC88">
            <v>76.778280542986423</v>
          </cell>
          <cell r="AD88">
            <v>80.787050359712225</v>
          </cell>
          <cell r="AE88">
            <v>81.126315789473693</v>
          </cell>
          <cell r="AF88">
            <v>80.061147372037098</v>
          </cell>
          <cell r="AG88">
            <v>80.137550376730331</v>
          </cell>
          <cell r="AH88">
            <v>79.979260283442798</v>
          </cell>
          <cell r="AI88">
            <v>79.449399656946824</v>
          </cell>
          <cell r="AJ88">
            <v>78.468379446640313</v>
          </cell>
          <cell r="AK88">
            <v>68.405110626363353</v>
          </cell>
          <cell r="AL88">
            <v>72.255040238944659</v>
          </cell>
          <cell r="AM88">
            <v>65.518956627236889</v>
          </cell>
          <cell r="AN88">
            <v>63.732174425456684</v>
          </cell>
          <cell r="AO88">
            <v>63.986796785304243</v>
          </cell>
          <cell r="AP88">
            <v>59.68432316746923</v>
          </cell>
          <cell r="AQ88">
            <v>63.61855818299432</v>
          </cell>
          <cell r="AR88">
            <v>61.614906832298139</v>
          </cell>
          <cell r="AS88">
            <v>62.240338803599791</v>
          </cell>
          <cell r="AT88">
            <v>64.99728703201302</v>
          </cell>
          <cell r="AZ88">
            <v>80.992522093813733</v>
          </cell>
          <cell r="BA88">
            <v>71.254345307068363</v>
          </cell>
          <cell r="BB88">
            <v>71.82509618230246</v>
          </cell>
          <cell r="BC88">
            <v>68.783742796481647</v>
          </cell>
          <cell r="BD88">
            <v>69.845960389814522</v>
          </cell>
          <cell r="BE88">
            <v>66.231497482906306</v>
          </cell>
          <cell r="BF88">
            <v>80.021356313225937</v>
          </cell>
          <cell r="BG88">
            <v>68.303112840466923</v>
          </cell>
          <cell r="BH88">
            <v>67.529508196721309</v>
          </cell>
          <cell r="BI88">
            <v>64.384742951907128</v>
          </cell>
          <cell r="BJ88">
            <v>61.223664651669807</v>
          </cell>
          <cell r="BK88">
            <v>57.253098760495796</v>
          </cell>
          <cell r="BL88">
            <v>56.367355371900821</v>
          </cell>
          <cell r="BM88">
            <v>58.527986633249796</v>
          </cell>
          <cell r="BN88">
            <v>61.026533275337101</v>
          </cell>
          <cell r="BP88">
            <v>59.055509527754758</v>
          </cell>
          <cell r="BQ88">
            <v>61.523462414578589</v>
          </cell>
          <cell r="BR88">
            <v>63.144071799716578</v>
          </cell>
          <cell r="BS88">
            <v>59.658558972005508</v>
          </cell>
          <cell r="BU88">
            <v>56.353663887670031</v>
          </cell>
          <cell r="BV88">
            <v>55.670107719928183</v>
          </cell>
          <cell r="BW88">
            <v>56.31464737793852</v>
          </cell>
          <cell r="BX88">
            <v>56.605952909817866</v>
          </cell>
          <cell r="BZ88">
            <v>56.342471530999575</v>
          </cell>
          <cell r="CA88">
            <v>60.416666666666664</v>
          </cell>
          <cell r="CB88">
            <v>57.809082483781282</v>
          </cell>
          <cell r="CC88">
            <v>56.038268792710703</v>
          </cell>
          <cell r="CD88">
            <v>54.93286933093848</v>
          </cell>
          <cell r="CE88">
            <v>54.695041684949537</v>
          </cell>
          <cell r="CF88">
            <v>50.0112157918349</v>
          </cell>
          <cell r="CG88">
            <v>48.603006189213083</v>
          </cell>
          <cell r="CH88">
            <v>47.118973905351616</v>
          </cell>
          <cell r="CI88">
            <v>46.802126010408593</v>
          </cell>
          <cell r="CJ88">
            <v>46.481402308678923</v>
          </cell>
          <cell r="CK88">
            <v>45.835866261398174</v>
          </cell>
          <cell r="CL88">
            <v>45.918656056587089</v>
          </cell>
          <cell r="CM88">
            <v>45.700130378096482</v>
          </cell>
          <cell r="CN88">
            <v>45.322650733297124</v>
          </cell>
          <cell r="CO88">
            <v>45.833676410045285</v>
          </cell>
          <cell r="CP88">
            <v>49.773043478260874</v>
          </cell>
          <cell r="CQ88">
            <v>49.074705111402366</v>
          </cell>
          <cell r="CR88">
            <v>49.968550786230345</v>
          </cell>
          <cell r="CS88">
            <v>49.778038629815384</v>
          </cell>
          <cell r="CT88">
            <v>51.765154556403047</v>
          </cell>
          <cell r="CU88">
            <v>50.263136456211811</v>
          </cell>
          <cell r="CV88">
            <v>50.71940667490729</v>
          </cell>
          <cell r="CW88">
            <v>50</v>
          </cell>
          <cell r="CX88">
            <v>50.750138310842907</v>
          </cell>
          <cell r="CY88">
            <v>47</v>
          </cell>
          <cell r="CZ88">
            <v>47</v>
          </cell>
          <cell r="DA88">
            <v>47</v>
          </cell>
          <cell r="DB88">
            <v>47</v>
          </cell>
          <cell r="DC88">
            <v>47.667210045399564</v>
          </cell>
          <cell r="DD88">
            <v>47</v>
          </cell>
          <cell r="DE88">
            <v>47</v>
          </cell>
          <cell r="DF88">
            <v>47</v>
          </cell>
          <cell r="DG88">
            <v>47</v>
          </cell>
          <cell r="DH88">
            <v>47.575805347812313</v>
          </cell>
          <cell r="DI88">
            <v>47</v>
          </cell>
          <cell r="DJ88">
            <v>47</v>
          </cell>
          <cell r="DK88">
            <v>47</v>
          </cell>
          <cell r="DL88">
            <v>47</v>
          </cell>
          <cell r="DM88">
            <v>47.515069755710456</v>
          </cell>
          <cell r="DN88">
            <v>47</v>
          </cell>
          <cell r="DO88">
            <v>47</v>
          </cell>
          <cell r="DP88">
            <v>47</v>
          </cell>
          <cell r="DQ88">
            <v>47</v>
          </cell>
          <cell r="DR88">
            <v>47.57568982508085</v>
          </cell>
        </row>
        <row r="89">
          <cell r="B89" t="str">
            <v>Inventory Analysis</v>
          </cell>
        </row>
        <row r="90">
          <cell r="B90" t="str">
            <v>Y/Y increase in sales</v>
          </cell>
          <cell r="I90">
            <v>0.9369828086929628</v>
          </cell>
          <cell r="J90">
            <v>1.146055103318723</v>
          </cell>
          <cell r="K90">
            <v>1.1679031037093113</v>
          </cell>
          <cell r="L90">
            <v>8.587506868309136E-2</v>
          </cell>
          <cell r="M90">
            <v>0.67540687160940327</v>
          </cell>
          <cell r="N90">
            <v>0.12049225017524723</v>
          </cell>
          <cell r="O90">
            <v>7.6737909402582183E-2</v>
          </cell>
          <cell r="P90">
            <v>0.56219009707381806</v>
          </cell>
          <cell r="Q90">
            <v>1.4039937512735179</v>
          </cell>
          <cell r="R90">
            <v>0.56341068537506755</v>
          </cell>
          <cell r="S90">
            <v>0.62032531627971643</v>
          </cell>
          <cell r="T90">
            <v>0.64555246934489552</v>
          </cell>
          <cell r="U90">
            <v>0.14622915642183365</v>
          </cell>
          <cell r="V90">
            <v>-0.27360569588065764</v>
          </cell>
          <cell r="W90">
            <v>0.13853411575192731</v>
          </cell>
          <cell r="X90">
            <v>9.5238095238095344E-2</v>
          </cell>
          <cell r="Y90">
            <v>5.5166735282009105E-2</v>
          </cell>
          <cell r="Z90">
            <v>0.10062402496099843</v>
          </cell>
          <cell r="AA90">
            <v>0.14430182808245817</v>
          </cell>
          <cell r="AB90">
            <v>9.9545224861040893E-2</v>
          </cell>
          <cell r="AC90">
            <v>0.12534273403838614</v>
          </cell>
          <cell r="AD90">
            <v>8.4666406554818607E-2</v>
          </cell>
          <cell r="AE90">
            <v>9.9220411055989111E-3</v>
          </cell>
          <cell r="AF90">
            <v>-1.0537049626104689E-2</v>
          </cell>
          <cell r="AG90">
            <v>4.9080882352941169E-2</v>
          </cell>
          <cell r="AH90">
            <v>6.9613644274277853E-3</v>
          </cell>
          <cell r="AI90">
            <v>4.8561151079136611E-2</v>
          </cell>
          <cell r="AJ90">
            <v>6.5263157894736912E-2</v>
          </cell>
          <cell r="AK90">
            <v>0.1023703194778427</v>
          </cell>
          <cell r="AL90">
            <v>5.5983879446294127E-2</v>
          </cell>
          <cell r="AM90">
            <v>0.13964742481852754</v>
          </cell>
          <cell r="AN90">
            <v>0.16432246998284739</v>
          </cell>
          <cell r="AO90">
            <v>0.14756258234519115</v>
          </cell>
          <cell r="AP90">
            <v>0.16484886257401055</v>
          </cell>
          <cell r="AQ90">
            <v>0.15431842694764786</v>
          </cell>
          <cell r="AR90">
            <v>0.12314225053078554</v>
          </cell>
          <cell r="AS90">
            <v>0.11314083677077202</v>
          </cell>
          <cell r="AT90">
            <v>5.7979334098737123E-2</v>
          </cell>
          <cell r="BA90">
            <v>2.2814814814814843E-2</v>
          </cell>
          <cell r="BB90">
            <v>-1.4868804664723068E-2</v>
          </cell>
          <cell r="BC90">
            <v>-6.3618290258449339E-2</v>
          </cell>
          <cell r="BD90">
            <v>-8.932150014314344E-2</v>
          </cell>
          <cell r="BE90">
            <v>-3.6905709530356767E-2</v>
          </cell>
          <cell r="BF90">
            <v>-0.22682502896871382</v>
          </cell>
          <cell r="BG90">
            <v>-0.23941994672980171</v>
          </cell>
          <cell r="BH90">
            <v>-0.25993327267212618</v>
          </cell>
          <cell r="BI90">
            <v>-0.24174787802577802</v>
          </cell>
          <cell r="BJ90">
            <v>-0.24179126906604553</v>
          </cell>
          <cell r="BK90">
            <v>-6.2944923192206792E-2</v>
          </cell>
          <cell r="BL90">
            <v>-5.8365758754863828E-2</v>
          </cell>
          <cell r="BM90">
            <v>-1.885245901639343E-2</v>
          </cell>
          <cell r="BN90">
            <v>-4.6849087893863994E-2</v>
          </cell>
          <cell r="BO90">
            <v>-4.7269844415816054E-2</v>
          </cell>
          <cell r="BP90">
            <v>-3.4786085565773672E-2</v>
          </cell>
          <cell r="BQ90">
            <v>-9.2975206611570216E-2</v>
          </cell>
          <cell r="BR90">
            <v>-0.1157059314954052</v>
          </cell>
          <cell r="BS90">
            <v>-5.2196607220530655E-2</v>
          </cell>
          <cell r="BT90">
            <v>-7.3746619513209932E-2</v>
          </cell>
          <cell r="BU90">
            <v>-5.5923777961888965E-2</v>
          </cell>
          <cell r="BV90">
            <v>1.5034168564920236E-2</v>
          </cell>
          <cell r="BW90">
            <v>4.4874822862541297E-2</v>
          </cell>
          <cell r="BX90">
            <v>3.3042680128499313E-2</v>
          </cell>
          <cell r="BY90">
            <v>7.2992700729928028E-3</v>
          </cell>
          <cell r="BZ90">
            <v>4.0368582711715728E-2</v>
          </cell>
          <cell r="CA90">
            <v>-1.9748653500897717E-2</v>
          </cell>
          <cell r="CB90">
            <v>-2.4412296564195302E-2</v>
          </cell>
          <cell r="CC90">
            <v>-2.4877832074633455E-2</v>
          </cell>
          <cell r="CD90">
            <v>-6.9119286510590516E-3</v>
          </cell>
          <cell r="CE90">
            <v>-3.8802193167439936E-2</v>
          </cell>
          <cell r="CF90">
            <v>2.0604395604395531E-2</v>
          </cell>
          <cell r="CG90">
            <v>4.8192771084337283E-2</v>
          </cell>
          <cell r="CH90">
            <v>3.0068337129840472E-2</v>
          </cell>
          <cell r="CI90">
            <v>1.3807813201616614E-2</v>
          </cell>
          <cell r="CJ90">
            <v>2.6327336551118963E-2</v>
          </cell>
          <cell r="CK90">
            <v>3.3198743831314381E-2</v>
          </cell>
          <cell r="CL90">
            <v>0</v>
          </cell>
          <cell r="CM90">
            <v>1.769128704113232E-2</v>
          </cell>
          <cell r="CN90">
            <v>1.9266969327870642E-2</v>
          </cell>
          <cell r="CO90">
            <v>3.8477982043608305E-2</v>
          </cell>
          <cell r="CP90">
            <v>-1.3026487190620495E-3</v>
          </cell>
          <cell r="CQ90">
            <v>1.1936339522546469E-2</v>
          </cell>
          <cell r="CR90">
            <v>2.2598870056497189E-2</v>
          </cell>
          <cell r="CS90">
            <v>1.8033677349266641E-2</v>
          </cell>
          <cell r="CT90">
            <v>2.5524907369287808E-2</v>
          </cell>
          <cell r="CU90">
            <v>6.7391304347826031E-2</v>
          </cell>
          <cell r="CV90">
            <v>6.0288335517693303E-2</v>
          </cell>
          <cell r="CW90">
            <v>7.3297337140529883E-2</v>
          </cell>
          <cell r="CX90">
            <v>5.6287336921530873E-2</v>
          </cell>
          <cell r="CY90">
            <v>6.7438980074248533E-2</v>
          </cell>
          <cell r="CZ90">
            <v>0.11187054523356843</v>
          </cell>
          <cell r="DA90">
            <v>0.11631753046850379</v>
          </cell>
          <cell r="DB90">
            <v>0.10118940845706792</v>
          </cell>
          <cell r="DC90">
            <v>9.9054313123197568E-2</v>
          </cell>
          <cell r="DD90">
            <v>4.3060290354330455E-2</v>
          </cell>
          <cell r="DE90">
            <v>3.2668726285691951E-2</v>
          </cell>
          <cell r="DF90">
            <v>3.1438663592909366E-2</v>
          </cell>
          <cell r="DG90">
            <v>3.3003075463946763E-2</v>
          </cell>
          <cell r="DH90">
            <v>3.4987725708524042E-2</v>
          </cell>
          <cell r="DI90">
            <v>5.5142392919380168E-2</v>
          </cell>
          <cell r="DJ90">
            <v>4.2211562114631285E-2</v>
          </cell>
          <cell r="DK90">
            <v>4.2067979261174226E-2</v>
          </cell>
          <cell r="DL90">
            <v>4.4647208812917283E-2</v>
          </cell>
          <cell r="DM90">
            <v>4.598251710754897E-2</v>
          </cell>
          <cell r="DN90">
            <v>4.842832685330567E-2</v>
          </cell>
          <cell r="DO90">
            <v>4.5887046864864001E-2</v>
          </cell>
          <cell r="DP90">
            <v>4.6068399794980674E-2</v>
          </cell>
          <cell r="DQ90">
            <v>4.4744809243228989E-2</v>
          </cell>
          <cell r="DR90">
            <v>4.6272282050588975E-2</v>
          </cell>
        </row>
        <row r="91">
          <cell r="B91" t="str">
            <v>Y/Y increase in inventories</v>
          </cell>
          <cell r="I91">
            <v>1.2227165711955212</v>
          </cell>
          <cell r="J91">
            <v>1.2828467153284673</v>
          </cell>
          <cell r="K91">
            <v>1.2947558770343583</v>
          </cell>
          <cell r="L91">
            <v>0.10344827586206895</v>
          </cell>
          <cell r="M91">
            <v>0.10344827586206895</v>
          </cell>
          <cell r="N91">
            <v>0.1000834028356965</v>
          </cell>
          <cell r="O91">
            <v>7.6738609112709799E-2</v>
          </cell>
          <cell r="P91">
            <v>0.46493301812450749</v>
          </cell>
          <cell r="Q91">
            <v>0.5078125</v>
          </cell>
          <cell r="R91">
            <v>0.5078125</v>
          </cell>
          <cell r="S91">
            <v>0.50871872630780879</v>
          </cell>
          <cell r="T91">
            <v>0.51447661469933204</v>
          </cell>
          <cell r="U91">
            <v>0.1350188273265196</v>
          </cell>
          <cell r="V91">
            <v>0.10880829015544036</v>
          </cell>
          <cell r="W91">
            <v>0.10880829015544036</v>
          </cell>
          <cell r="X91">
            <v>9.5477386934673447E-2</v>
          </cell>
          <cell r="Y91">
            <v>0.16176470588235303</v>
          </cell>
          <cell r="Z91">
            <v>0.15639810426540279</v>
          </cell>
          <cell r="AA91">
            <v>3.2710280373831724E-2</v>
          </cell>
          <cell r="AB91">
            <v>3.2710280373831724E-2</v>
          </cell>
          <cell r="AC91">
            <v>3.669724770642202E-2</v>
          </cell>
          <cell r="AD91">
            <v>-8.0168776371308037E-2</v>
          </cell>
          <cell r="AE91">
            <v>-0.10655737704918034</v>
          </cell>
          <cell r="AF91">
            <v>9.0497737556560764E-3</v>
          </cell>
          <cell r="AG91">
            <v>9.0497737556560764E-3</v>
          </cell>
          <cell r="AH91">
            <v>0</v>
          </cell>
          <cell r="AI91">
            <v>4.5871559633028358E-3</v>
          </cell>
          <cell r="AJ91">
            <v>4.5871559633028358E-3</v>
          </cell>
          <cell r="AK91">
            <v>-4.035874439461884E-2</v>
          </cell>
          <cell r="AL91">
            <v>-4.035874439461884E-2</v>
          </cell>
          <cell r="AM91">
            <v>-1.3274336283185861E-2</v>
          </cell>
          <cell r="AN91">
            <v>4.5662100456620447E-3</v>
          </cell>
          <cell r="AO91">
            <v>3.6529680365296802E-2</v>
          </cell>
          <cell r="AP91">
            <v>7.9439252336448662E-2</v>
          </cell>
          <cell r="AQ91">
            <v>7.9439252336448662E-2</v>
          </cell>
          <cell r="AR91">
            <v>5.3811659192825045E-2</v>
          </cell>
          <cell r="AS91">
            <v>7.2727272727272751E-2</v>
          </cell>
          <cell r="AT91">
            <v>6.6079295154185091E-2</v>
          </cell>
          <cell r="BA91" t="str">
            <v>nm</v>
          </cell>
          <cell r="BB91" t="str">
            <v>nm</v>
          </cell>
          <cell r="BC91" t="str">
            <v>nm</v>
          </cell>
          <cell r="BD91">
            <v>-7.0539419087136901E-2</v>
          </cell>
          <cell r="BE91">
            <v>-7.0539419087136901E-2</v>
          </cell>
          <cell r="BF91">
            <v>-0.16289592760180993</v>
          </cell>
          <cell r="BG91">
            <v>-0.15000000000000002</v>
          </cell>
          <cell r="BH91">
            <v>-0.1651785714285714</v>
          </cell>
          <cell r="BI91">
            <v>-0.1607142857142857</v>
          </cell>
          <cell r="BJ91">
            <v>-0.1607142857142857</v>
          </cell>
          <cell r="BK91">
            <v>2.7027027027026973E-2</v>
          </cell>
          <cell r="BL91">
            <v>3.2085561497326109E-2</v>
          </cell>
          <cell r="BM91">
            <v>0</v>
          </cell>
          <cell r="BN91">
            <v>1.0638297872340496E-2</v>
          </cell>
          <cell r="BO91">
            <v>1.0638297872340496E-2</v>
          </cell>
          <cell r="BP91">
            <v>2.1052631578947434E-2</v>
          </cell>
          <cell r="BQ91">
            <v>-9.8445595854922296E-2</v>
          </cell>
          <cell r="BR91">
            <v>-5.3475935828876997E-2</v>
          </cell>
          <cell r="BS91">
            <v>-3.157894736842104E-2</v>
          </cell>
          <cell r="BT91">
            <v>-3.157894736842104E-2</v>
          </cell>
          <cell r="BU91">
            <v>-7.2164948453608213E-2</v>
          </cell>
          <cell r="BV91">
            <v>5.7471264367816133E-2</v>
          </cell>
          <cell r="BW91">
            <v>2.2598870056497189E-2</v>
          </cell>
          <cell r="BX91">
            <v>-5.4347826086956763E-3</v>
          </cell>
          <cell r="BY91">
            <v>-5.4347826086956763E-3</v>
          </cell>
          <cell r="BZ91">
            <v>1.1111111111111072E-2</v>
          </cell>
          <cell r="CA91">
            <v>-7.6086956521739135E-2</v>
          </cell>
          <cell r="CB91">
            <v>-8.8397790055248615E-2</v>
          </cell>
          <cell r="CC91">
            <v>-0.1202185792349727</v>
          </cell>
          <cell r="CD91">
            <v>-0.1202185792349727</v>
          </cell>
          <cell r="CE91">
            <v>-0.13186813186813184</v>
          </cell>
          <cell r="CF91">
            <v>-9.4117647058823528E-2</v>
          </cell>
          <cell r="CG91">
            <v>-7.2727272727272751E-2</v>
          </cell>
          <cell r="CH91">
            <v>-4.9689440993788803E-2</v>
          </cell>
          <cell r="CI91">
            <v>-4.9689440993788803E-2</v>
          </cell>
          <cell r="CJ91">
            <v>-4.4303797468354444E-2</v>
          </cell>
          <cell r="CK91">
            <v>-1.2987012987012991E-2</v>
          </cell>
          <cell r="CL91">
            <v>-6.5359477124182774E-3</v>
          </cell>
          <cell r="CM91">
            <v>1.9607843137254832E-2</v>
          </cell>
          <cell r="CN91">
            <v>1.9607843137254832E-2</v>
          </cell>
          <cell r="CO91">
            <v>3.3112582781456901E-2</v>
          </cell>
          <cell r="CP91">
            <v>2.6315789473684292E-2</v>
          </cell>
          <cell r="CQ91">
            <v>3.289473684210531E-2</v>
          </cell>
          <cell r="CR91">
            <v>3.2051282051282159E-2</v>
          </cell>
          <cell r="CS91">
            <v>3.2051282051282159E-2</v>
          </cell>
          <cell r="CT91">
            <v>6.4102564102563875E-3</v>
          </cell>
          <cell r="CU91">
            <v>-1.2820512820512775E-2</v>
          </cell>
          <cell r="CV91">
            <v>-1.9108280254777066E-2</v>
          </cell>
          <cell r="CW91">
            <v>-7.3734917572454983E-2</v>
          </cell>
          <cell r="CX91">
            <v>-7.3734917572454983E-2</v>
          </cell>
          <cell r="CY91">
            <v>1.2003395120809834E-3</v>
          </cell>
          <cell r="CZ91">
            <v>-1.0632848074966672E-2</v>
          </cell>
          <cell r="DA91">
            <v>-5.3521080854146863E-2</v>
          </cell>
          <cell r="DB91">
            <v>-1.7659717050961254E-2</v>
          </cell>
          <cell r="DC91">
            <v>-1.7659717050961254E-2</v>
          </cell>
          <cell r="DD91">
            <v>1.8184423023707375E-2</v>
          </cell>
          <cell r="DE91">
            <v>2.2068402966491929E-2</v>
          </cell>
          <cell r="DF91">
            <v>2.5967572848715426E-2</v>
          </cell>
          <cell r="DG91">
            <v>2.551195438965137E-2</v>
          </cell>
          <cell r="DH91">
            <v>2.551195438965137E-2</v>
          </cell>
          <cell r="DI91">
            <v>3.3136270677256441E-2</v>
          </cell>
          <cell r="DJ91">
            <v>2.7071779410523966E-2</v>
          </cell>
          <cell r="DK91">
            <v>2.716046153485796E-2</v>
          </cell>
          <cell r="DL91">
            <v>2.8157412131594395E-2</v>
          </cell>
          <cell r="DM91">
            <v>2.8157412131594395E-2</v>
          </cell>
          <cell r="DN91">
            <v>3.6472356588410637E-2</v>
          </cell>
          <cell r="DO91">
            <v>4.4597187761376222E-2</v>
          </cell>
          <cell r="DP91">
            <v>4.5100183817665673E-2</v>
          </cell>
          <cell r="DQ91">
            <v>4.3910940253368835E-2</v>
          </cell>
          <cell r="DR91">
            <v>4.3910940253368835E-2</v>
          </cell>
        </row>
        <row r="92">
          <cell r="B92" t="str">
            <v>Ratio</v>
          </cell>
          <cell r="I92">
            <v>0.76631234970244999</v>
          </cell>
          <cell r="J92">
            <v>0.89336870073778107</v>
          </cell>
          <cell r="K92">
            <v>0.90202572116096225</v>
          </cell>
          <cell r="L92">
            <v>0.83012566393654996</v>
          </cell>
          <cell r="M92">
            <v>6.528933092224233</v>
          </cell>
          <cell r="N92">
            <v>1.2039183996676774</v>
          </cell>
          <cell r="O92">
            <v>0.99999088190239949</v>
          </cell>
          <cell r="P92">
            <v>1.2091851409943646</v>
          </cell>
          <cell r="Q92">
            <v>2.764787694815543</v>
          </cell>
          <cell r="R92">
            <v>1.1094856573539791</v>
          </cell>
          <cell r="S92">
            <v>1.2193876187376247</v>
          </cell>
          <cell r="T92">
            <v>1.2547751460426753</v>
          </cell>
          <cell r="U92">
            <v>1.0830278955704735</v>
          </cell>
          <cell r="V92">
            <v>-2.5145666335698547</v>
          </cell>
          <cell r="W92">
            <v>1.2731944923867613</v>
          </cell>
          <cell r="X92">
            <v>0.99749373433583988</v>
          </cell>
          <cell r="Y92">
            <v>0.34103072719787425</v>
          </cell>
          <cell r="Z92">
            <v>0.64338391717486898</v>
          </cell>
          <cell r="AA92">
            <v>4.4115130299494423</v>
          </cell>
          <cell r="AB92">
            <v>3.0432397314661119</v>
          </cell>
          <cell r="AC92">
            <v>3.4155895025460219</v>
          </cell>
          <cell r="AD92">
            <v>-1.0561020186048424</v>
          </cell>
          <cell r="AE92">
            <v>-9.3114539606389768E-2</v>
          </cell>
          <cell r="AF92">
            <v>-1.1643439836845721</v>
          </cell>
          <cell r="AG92">
            <v>5.4234375000000181</v>
          </cell>
          <cell r="AH92" t="str">
            <v>nm</v>
          </cell>
          <cell r="AI92">
            <v>10.586330935251588</v>
          </cell>
          <cell r="AJ92">
            <v>14.227368421052388</v>
          </cell>
          <cell r="AK92">
            <v>-2.536509027062102</v>
          </cell>
          <cell r="AL92">
            <v>-1.3871561240581765</v>
          </cell>
          <cell r="AM92">
            <v>-10.520106002995725</v>
          </cell>
          <cell r="AN92">
            <v>35.986620926244015</v>
          </cell>
          <cell r="AO92">
            <v>4.0395256916996081</v>
          </cell>
          <cell r="AP92">
            <v>2.0751562700493076</v>
          </cell>
          <cell r="AQ92">
            <v>1.9425966686350951</v>
          </cell>
          <cell r="AR92">
            <v>2.288393489030434</v>
          </cell>
          <cell r="AS92">
            <v>1.5556865055981148</v>
          </cell>
          <cell r="AT92">
            <v>0.87742058936088752</v>
          </cell>
          <cell r="BA92" t="str">
            <v>nm</v>
          </cell>
          <cell r="BB92" t="str">
            <v>nm</v>
          </cell>
          <cell r="BC92" t="str">
            <v>nm</v>
          </cell>
          <cell r="BD92">
            <v>1.2662636196763282</v>
          </cell>
          <cell r="BE92">
            <v>0.52319270569505794</v>
          </cell>
          <cell r="BF92">
            <v>1.3924536500579379</v>
          </cell>
          <cell r="BG92">
            <v>1.5961329781986779</v>
          </cell>
          <cell r="BH92">
            <v>1.5736500832042237</v>
          </cell>
          <cell r="BI92">
            <v>1.5042090188270634</v>
          </cell>
          <cell r="BJ92">
            <v>1.5044790075220613</v>
          </cell>
          <cell r="BK92">
            <v>-2.328962158111656</v>
          </cell>
          <cell r="BL92">
            <v>-1.8190661478599279</v>
          </cell>
          <cell r="BM92" t="str">
            <v>nm</v>
          </cell>
          <cell r="BN92">
            <v>-4.4038142620231859</v>
          </cell>
          <cell r="BO92">
            <v>-4.4433653750866791</v>
          </cell>
          <cell r="BP92">
            <v>-1.6523390643742444</v>
          </cell>
          <cell r="BQ92">
            <v>0.94443236189647628</v>
          </cell>
          <cell r="BR92">
            <v>2.1637009189640777</v>
          </cell>
          <cell r="BS92">
            <v>1.6528925619834713</v>
          </cell>
          <cell r="BT92">
            <v>2.3353096179183153</v>
          </cell>
          <cell r="BU92">
            <v>0.77494378032903322</v>
          </cell>
          <cell r="BV92">
            <v>0.26159453302961194</v>
          </cell>
          <cell r="BW92">
            <v>1.9857109116674512</v>
          </cell>
          <cell r="BX92">
            <v>-6.079853143643847</v>
          </cell>
          <cell r="BY92">
            <v>-1.3430656934306697</v>
          </cell>
          <cell r="BZ92">
            <v>3.6331724440544284</v>
          </cell>
          <cell r="CA92">
            <v>0.25955373172608426</v>
          </cell>
          <cell r="CB92">
            <v>0.27616410488245935</v>
          </cell>
          <cell r="CC92">
            <v>0.20693833043899643</v>
          </cell>
          <cell r="CD92">
            <v>5.7494679233809375E-2</v>
          </cell>
          <cell r="CE92">
            <v>0.29424996485308624</v>
          </cell>
          <cell r="CF92">
            <v>-0.21892170329670252</v>
          </cell>
          <cell r="CG92">
            <v>-0.66265060240963747</v>
          </cell>
          <cell r="CH92">
            <v>-0.60512528473803973</v>
          </cell>
          <cell r="CI92">
            <v>-0.27788224068253448</v>
          </cell>
          <cell r="CJ92">
            <v>-0.59424559643954211</v>
          </cell>
          <cell r="CK92">
            <v>-2.5563032750112065</v>
          </cell>
          <cell r="CL92">
            <v>0</v>
          </cell>
          <cell r="CM92">
            <v>0.90225563909775153</v>
          </cell>
          <cell r="CN92">
            <v>0.98261543572140619</v>
          </cell>
          <cell r="CO92">
            <v>1.1620350577169727</v>
          </cell>
          <cell r="CP92">
            <v>-4.9500651324357728E-2</v>
          </cell>
          <cell r="CQ92">
            <v>0.36286472148541216</v>
          </cell>
          <cell r="CR92">
            <v>0.70508474576270996</v>
          </cell>
          <cell r="CS92">
            <v>0.56265073329711734</v>
          </cell>
          <cell r="CT92">
            <v>3.9818855496089123</v>
          </cell>
          <cell r="CU92">
            <v>-5.2565217391304495</v>
          </cell>
          <cell r="CV92">
            <v>-3.1550895587592835</v>
          </cell>
          <cell r="CW92">
            <v>-0.99406549235651998</v>
          </cell>
          <cell r="CX92">
            <v>-0.76337424350167071</v>
          </cell>
          <cell r="CY92">
            <v>56.183254317215727</v>
          </cell>
          <cell r="CZ92">
            <v>-10.521221073114889</v>
          </cell>
          <cell r="DA92">
            <v>-2.1733030912713978</v>
          </cell>
          <cell r="DB92">
            <v>-5.7299563840724153</v>
          </cell>
          <cell r="DC92">
            <v>-5.60905437144622</v>
          </cell>
          <cell r="DD92">
            <v>2.3679767182160218</v>
          </cell>
          <cell r="DE92">
            <v>1.4803393945314154</v>
          </cell>
          <cell r="DF92">
            <v>1.210689338432513</v>
          </cell>
          <cell r="DG92">
            <v>1.2936317994255304</v>
          </cell>
          <cell r="DH92">
            <v>1.3714247514771509</v>
          </cell>
          <cell r="DI92">
            <v>1.6641098045238973</v>
          </cell>
          <cell r="DJ92">
            <v>1.5592459392684705</v>
          </cell>
          <cell r="DK92">
            <v>1.5488683506789396</v>
          </cell>
          <cell r="DL92">
            <v>1.5856289848036245</v>
          </cell>
          <cell r="DM92">
            <v>1.6330519613325432</v>
          </cell>
          <cell r="DN92">
            <v>1.3278090966212512</v>
          </cell>
          <cell r="DO92">
            <v>1.0289224313961085</v>
          </cell>
          <cell r="DP92">
            <v>1.0214681159888255</v>
          </cell>
          <cell r="DQ92">
            <v>1.018990005339186</v>
          </cell>
          <cell r="DR92">
            <v>1.053775705634975</v>
          </cell>
        </row>
        <row r="94">
          <cell r="B94" t="str">
            <v>Inventory turnover</v>
          </cell>
          <cell r="E94">
            <v>5.7750843732470143</v>
          </cell>
          <cell r="F94">
            <v>6.1713593702694522</v>
          </cell>
          <cell r="G94">
            <v>12.449300743673696</v>
          </cell>
          <cell r="H94">
            <v>6.1704809618522871</v>
          </cell>
          <cell r="I94">
            <v>6.0272591555006718</v>
          </cell>
          <cell r="J94">
            <v>6.106840098676833</v>
          </cell>
          <cell r="K94">
            <v>6.455026455026454</v>
          </cell>
          <cell r="L94">
            <v>6.1541148331413948</v>
          </cell>
          <cell r="M94">
            <v>6.2023055690858913</v>
          </cell>
          <cell r="N94">
            <v>5.8312561687605609</v>
          </cell>
          <cell r="O94">
            <v>6.1413567677633685</v>
          </cell>
          <cell r="P94">
            <v>7.9820822069730353</v>
          </cell>
          <cell r="Q94">
            <v>10.186007550460717</v>
          </cell>
          <cell r="R94">
            <v>7.7375565610859738</v>
          </cell>
          <cell r="S94">
            <v>6.4976153504880214</v>
          </cell>
          <cell r="T94">
            <v>6.5688653777983799</v>
          </cell>
          <cell r="U94">
            <v>7.1338688085676027</v>
          </cell>
          <cell r="V94">
            <v>6.7025575447570338</v>
          </cell>
          <cell r="W94">
            <v>6.7335945151811956</v>
          </cell>
          <cell r="X94">
            <v>6.4286433172302742</v>
          </cell>
          <cell r="Y94">
            <v>6.188383045525903</v>
          </cell>
          <cell r="Z94">
            <v>6.7957957957957955</v>
          </cell>
          <cell r="AA94">
            <v>7.1839644693782141</v>
          </cell>
          <cell r="AB94">
            <v>6.7239858906525569</v>
          </cell>
          <cell r="AC94">
            <v>7.304127639698109</v>
          </cell>
          <cell r="AD94">
            <v>6.9921294921294921</v>
          </cell>
          <cell r="AE94">
            <v>7.4599898063200811</v>
          </cell>
          <cell r="AF94">
            <v>7.1196937556384565</v>
          </cell>
          <cell r="AG94">
            <v>7.2106690777576858</v>
          </cell>
          <cell r="AH94">
            <v>7.1395371356637938</v>
          </cell>
          <cell r="AI94">
            <v>7.3009013458451664</v>
          </cell>
          <cell r="AJ94">
            <v>7.7777777777777768</v>
          </cell>
          <cell r="AK94">
            <v>8.2096596043779506</v>
          </cell>
          <cell r="AL94">
            <v>7.6158038147138969</v>
          </cell>
          <cell r="AM94">
            <v>8.4613471296388418</v>
          </cell>
          <cell r="AN94">
            <v>8.5652270979584753</v>
          </cell>
          <cell r="AO94">
            <v>9.0002485707183695</v>
          </cell>
          <cell r="AP94">
            <v>9.095547750142396</v>
          </cell>
          <cell r="AQ94">
            <v>8.7892376681614355</v>
          </cell>
          <cell r="AR94">
            <v>9.0075107296137329</v>
          </cell>
          <cell r="AS94">
            <v>9.1290450526119304</v>
          </cell>
          <cell r="AT94">
            <v>9.468619246861925</v>
          </cell>
          <cell r="BA94">
            <v>9.2522847522847531</v>
          </cell>
          <cell r="BB94">
            <v>9.549973835688121</v>
          </cell>
          <cell r="BC94">
            <v>9.3108597728162934</v>
          </cell>
          <cell r="BD94">
            <v>9.4402659161490678</v>
          </cell>
          <cell r="BE94">
            <v>9.3185840707964598</v>
          </cell>
          <cell r="BF94">
            <v>8.8306510115801071</v>
          </cell>
          <cell r="BG94">
            <v>9.4494859978730954</v>
          </cell>
          <cell r="BH94">
            <v>8.998953731690305</v>
          </cell>
          <cell r="BI94">
            <v>9.4205217391304341</v>
          </cell>
          <cell r="BJ94">
            <v>9.0267765190525235</v>
          </cell>
          <cell r="BK94">
            <v>9.8062904174015291</v>
          </cell>
          <cell r="BL94">
            <v>9.3624652110291784</v>
          </cell>
          <cell r="BM94">
            <v>9.3129290617848977</v>
          </cell>
          <cell r="BN94">
            <v>8.9239995386921915</v>
          </cell>
          <cell r="BO94">
            <v>9.3565400843881861</v>
          </cell>
          <cell r="BP94">
            <v>9.484085648148147</v>
          </cell>
          <cell r="BQ94">
            <v>8.6759436215957955</v>
          </cell>
          <cell r="BR94">
            <v>8.7260002477393783</v>
          </cell>
          <cell r="BS94">
            <v>8.6161628327110691</v>
          </cell>
          <cell r="BT94">
            <v>8.8411316648531013</v>
          </cell>
          <cell r="BU94">
            <v>9.0915750915750912</v>
          </cell>
          <cell r="BV94">
            <v>8.7933220625528321</v>
          </cell>
          <cell r="BW94">
            <v>8.3260869565217401</v>
          </cell>
          <cell r="BX94">
            <v>8.8503344481605364</v>
          </cell>
          <cell r="BY94">
            <v>8.75</v>
          </cell>
          <cell r="BZ94">
            <v>9.2560590094836659</v>
          </cell>
          <cell r="CA94">
            <v>8.9580419580419566</v>
          </cell>
          <cell r="CB94">
            <v>9.025308241401687</v>
          </cell>
          <cell r="CC94">
            <v>9.4697252600693513</v>
          </cell>
          <cell r="CD94">
            <v>9.175377468060395</v>
          </cell>
          <cell r="CE94">
            <v>10.043538836642284</v>
          </cell>
          <cell r="CF94">
            <v>10.156029867568328</v>
          </cell>
          <cell r="CG94">
            <v>10.054170797337488</v>
          </cell>
          <cell r="CH94">
            <v>10.216680875248651</v>
          </cell>
          <cell r="CI94">
            <v>10.096277278562258</v>
          </cell>
          <cell r="CJ94">
            <v>10.619152046783624</v>
          </cell>
          <cell r="CK94">
            <v>10.457694121060456</v>
          </cell>
          <cell r="CL94">
            <v>10.179490846681922</v>
          </cell>
          <cell r="CM94">
            <v>10.15033879164314</v>
          </cell>
          <cell r="CN94">
            <v>10.320680628272251</v>
          </cell>
          <cell r="CO94">
            <v>10.294871794871794</v>
          </cell>
          <cell r="CP94">
            <v>10.078895463510849</v>
          </cell>
          <cell r="CQ94">
            <v>9.6079316571746087</v>
          </cell>
          <cell r="CR94">
            <v>9.5067678424938489</v>
          </cell>
          <cell r="CS94">
            <v>9.8473282442748094</v>
          </cell>
          <cell r="CT94">
            <v>10.09288824383164</v>
          </cell>
          <cell r="CU94">
            <v>10.061411257552736</v>
          </cell>
          <cell r="CV94">
            <v>2.3884810841332582</v>
          </cell>
          <cell r="CW94">
            <v>10.003286861994194</v>
          </cell>
          <cell r="CX94">
            <v>9.9667749727343935</v>
          </cell>
          <cell r="CY94">
            <v>10.858082050669822</v>
          </cell>
          <cell r="CZ94">
            <v>10.414772057069337</v>
          </cell>
          <cell r="DA94">
            <v>10.345319054534228</v>
          </cell>
          <cell r="DB94">
            <v>10.606402771369369</v>
          </cell>
          <cell r="DC94">
            <v>10.595369960232986</v>
          </cell>
          <cell r="DD94">
            <v>11.209884217326683</v>
          </cell>
          <cell r="DE94">
            <v>10.588362628666017</v>
          </cell>
          <cell r="DF94">
            <v>10.517885405917767</v>
          </cell>
          <cell r="DG94">
            <v>10.759995066977925</v>
          </cell>
          <cell r="DH94">
            <v>10.836691801318706</v>
          </cell>
          <cell r="DI94">
            <v>11.417462628759333</v>
          </cell>
          <cell r="DJ94">
            <v>10.714332799600014</v>
          </cell>
          <cell r="DK94">
            <v>10.675338942256781</v>
          </cell>
          <cell r="DL94">
            <v>10.925876946462827</v>
          </cell>
          <cell r="DM94">
            <v>11.005271260469911</v>
          </cell>
          <cell r="DN94">
            <v>11.49263398710157</v>
          </cell>
          <cell r="DO94">
            <v>10.786332527760093</v>
          </cell>
          <cell r="DP94">
            <v>10.707215153182933</v>
          </cell>
          <cell r="DQ94">
            <v>10.94959123873868</v>
          </cell>
          <cell r="DR94">
            <v>11.0659324115513</v>
          </cell>
        </row>
        <row r="95">
          <cell r="B95" t="str">
            <v>Ending days of inventory in stock (DIOs)</v>
          </cell>
          <cell r="D95" t="str">
            <v>nm</v>
          </cell>
          <cell r="E95">
            <v>63.526114649681524</v>
          </cell>
          <cell r="F95">
            <v>59.25</v>
          </cell>
          <cell r="G95">
            <v>39.599257884972168</v>
          </cell>
          <cell r="H95">
            <v>97.740740740740748</v>
          </cell>
          <cell r="I95">
            <v>61.728035814213769</v>
          </cell>
          <cell r="J95">
            <v>61.204838709677425</v>
          </cell>
          <cell r="K95">
            <v>57.105000000000004</v>
          </cell>
          <cell r="L95">
            <v>59.729051680883103</v>
          </cell>
          <cell r="M95">
            <v>61.319371727748695</v>
          </cell>
          <cell r="N95">
            <v>63.532984293193721</v>
          </cell>
          <cell r="O95">
            <v>60.057324840764323</v>
          </cell>
          <cell r="P95">
            <v>53.030110935023778</v>
          </cell>
          <cell r="Q95">
            <v>36.504934210526315</v>
          </cell>
          <cell r="R95">
            <v>58.85129490392648</v>
          </cell>
          <cell r="S95">
            <v>57.034267912772584</v>
          </cell>
          <cell r="T95">
            <v>56.25454545454545</v>
          </cell>
          <cell r="U95">
            <v>52.027397260273972</v>
          </cell>
          <cell r="V95">
            <v>54.841225626740943</v>
          </cell>
          <cell r="W95">
            <v>56.807272727272725</v>
          </cell>
          <cell r="X95">
            <v>57.302857142857142</v>
          </cell>
          <cell r="Y95">
            <v>61.44444444444445</v>
          </cell>
          <cell r="Z95">
            <v>54.49131513647643</v>
          </cell>
          <cell r="AA95">
            <v>48.294536817102134</v>
          </cell>
          <cell r="AB95">
            <v>52.895081967213116</v>
          </cell>
          <cell r="AC95">
            <v>50.530712530712535</v>
          </cell>
          <cell r="AD95">
            <v>51.260981912144707</v>
          </cell>
          <cell r="AE95">
            <v>48.927680798004985</v>
          </cell>
          <cell r="AF95">
            <v>51.847499999999997</v>
          </cell>
          <cell r="AG95">
            <v>51.031347962382441</v>
          </cell>
          <cell r="AH95">
            <v>51.46534653465347</v>
          </cell>
          <cell r="AI95">
            <v>49.207407407407409</v>
          </cell>
          <cell r="AJ95">
            <v>46.928571428571431</v>
          </cell>
          <cell r="AK95">
            <v>43.946428571428577</v>
          </cell>
          <cell r="AL95">
            <v>46.577221228384019</v>
          </cell>
          <cell r="AM95">
            <v>44.025751072961377</v>
          </cell>
          <cell r="AN95">
            <v>42.325581395348834</v>
          </cell>
          <cell r="AO95">
            <v>41.189516129032256</v>
          </cell>
          <cell r="AP95">
            <v>40.479999999999997</v>
          </cell>
          <cell r="AQ95">
            <v>43.017857142857139</v>
          </cell>
          <cell r="AR95">
            <v>40.869565217391305</v>
          </cell>
          <cell r="AS95">
            <v>40.067164179104481</v>
          </cell>
          <cell r="AT95">
            <v>39.032258064516128</v>
          </cell>
          <cell r="AZ95">
            <v>52.665083135391924</v>
          </cell>
          <cell r="BA95">
            <v>37.741935483870968</v>
          </cell>
          <cell r="BB95">
            <v>38.133333333333333</v>
          </cell>
          <cell r="BC95">
            <v>39.554702495201532</v>
          </cell>
          <cell r="BD95">
            <v>38.664165103189497</v>
          </cell>
          <cell r="BE95">
            <v>38.822412155745489</v>
          </cell>
          <cell r="BF95">
            <v>37.494432071269486</v>
          </cell>
          <cell r="BG95">
            <v>38.940503432494282</v>
          </cell>
          <cell r="BH95">
            <v>40.671394799054376</v>
          </cell>
          <cell r="BI95">
            <v>38.954954954954957</v>
          </cell>
          <cell r="BJ95">
            <v>39.251568739304048</v>
          </cell>
          <cell r="BK95">
            <v>37.417943107221006</v>
          </cell>
          <cell r="BL95">
            <v>39.290827740492169</v>
          </cell>
          <cell r="BM95">
            <v>38.573991031390136</v>
          </cell>
          <cell r="BN95">
            <v>41.226415094339622</v>
          </cell>
          <cell r="BP95">
            <v>38.886414253897549</v>
          </cell>
          <cell r="BQ95">
            <v>39.78391959798995</v>
          </cell>
          <cell r="BR95">
            <v>42.186528497409327</v>
          </cell>
          <cell r="BS95">
            <v>43.183673469387756</v>
          </cell>
          <cell r="BU95">
            <v>39.705882352941174</v>
          </cell>
          <cell r="BV95">
            <v>41.964912280701753</v>
          </cell>
          <cell r="BW95">
            <v>43.477806788511749</v>
          </cell>
          <cell r="BX95">
            <v>41.467980295566505</v>
          </cell>
          <cell r="BZ95">
            <v>39.433333333333337</v>
          </cell>
          <cell r="CA95">
            <v>39.464285714285715</v>
          </cell>
          <cell r="CB95">
            <v>39.94736842105263</v>
          </cell>
          <cell r="CC95">
            <v>38.175257731958766</v>
          </cell>
          <cell r="CE95">
            <v>36</v>
          </cell>
          <cell r="CF95">
            <v>35.478481012658229</v>
          </cell>
          <cell r="CG95">
            <v>36.185089974293057</v>
          </cell>
          <cell r="CH95">
            <v>35.725888324873097</v>
          </cell>
          <cell r="CJ95">
            <v>34.145728643216081</v>
          </cell>
          <cell r="CK95">
            <v>35.017721518987344</v>
          </cell>
          <cell r="CL95">
            <v>35.856410256410257</v>
          </cell>
          <cell r="CM95">
            <v>36.426395939086298</v>
          </cell>
          <cell r="CN95">
            <v>35.361564089424995</v>
          </cell>
          <cell r="CO95">
            <v>35.454545454545453</v>
          </cell>
          <cell r="CP95">
            <v>36.214285714285715</v>
          </cell>
          <cell r="CQ95">
            <v>38.110817941952504</v>
          </cell>
          <cell r="CR95">
            <v>38.876640419947506</v>
          </cell>
          <cell r="CS95">
            <v>37.961886304909562</v>
          </cell>
          <cell r="CT95">
            <v>35.807017543859644</v>
          </cell>
          <cell r="CU95">
            <v>36.025706940874038</v>
          </cell>
          <cell r="CV95">
            <v>37.680851063829785</v>
          </cell>
          <cell r="CW95">
            <v>36</v>
          </cell>
          <cell r="CX95">
            <v>35.325132557988525</v>
          </cell>
          <cell r="CY95">
            <v>34.5</v>
          </cell>
          <cell r="CZ95">
            <v>34.5</v>
          </cell>
          <cell r="DA95">
            <v>34.5</v>
          </cell>
          <cell r="DB95">
            <v>34.5</v>
          </cell>
          <cell r="DC95">
            <v>33.602295344060352</v>
          </cell>
          <cell r="DD95">
            <v>34</v>
          </cell>
          <cell r="DE95">
            <v>34</v>
          </cell>
          <cell r="DF95">
            <v>34</v>
          </cell>
          <cell r="DG95">
            <v>34</v>
          </cell>
          <cell r="DH95">
            <v>33.200990004190821</v>
          </cell>
          <cell r="DI95">
            <v>33.5</v>
          </cell>
          <cell r="DJ95">
            <v>33.5</v>
          </cell>
          <cell r="DK95">
            <v>33.5</v>
          </cell>
          <cell r="DL95">
            <v>33.5</v>
          </cell>
          <cell r="DM95">
            <v>32.688611890711876</v>
          </cell>
          <cell r="DN95">
            <v>33.5</v>
          </cell>
          <cell r="DO95">
            <v>33.5</v>
          </cell>
          <cell r="DP95">
            <v>33.5</v>
          </cell>
          <cell r="DQ95">
            <v>33.5</v>
          </cell>
          <cell r="DR95">
            <v>32.730699277092157</v>
          </cell>
        </row>
        <row r="97">
          <cell r="B97" t="str">
            <v>Accounts Payable Analysis</v>
          </cell>
        </row>
        <row r="98">
          <cell r="B98" t="str">
            <v>Accounts payable turnover</v>
          </cell>
          <cell r="E98">
            <v>6.2996350390727027</v>
          </cell>
          <cell r="F98">
            <v>7.1338878543347821</v>
          </cell>
          <cell r="G98">
            <v>11.842837434916115</v>
          </cell>
          <cell r="H98">
            <v>5.2660994076854104</v>
          </cell>
          <cell r="I98">
            <v>5.9338738764124086</v>
          </cell>
          <cell r="J98">
            <v>7.3775747338354218</v>
          </cell>
          <cell r="K98">
            <v>7.4799711815561958</v>
          </cell>
          <cell r="L98">
            <v>6.1636839280274272</v>
          </cell>
          <cell r="M98">
            <v>6.3643390878639519</v>
          </cell>
          <cell r="N98">
            <v>5.807513266921144</v>
          </cell>
          <cell r="O98">
            <v>7.1626755397191344</v>
          </cell>
          <cell r="P98">
            <v>9.3298545070308059</v>
          </cell>
          <cell r="Q98">
            <v>9.9748709466337093</v>
          </cell>
          <cell r="R98">
            <v>7.8638253638253639</v>
          </cell>
          <cell r="S98">
            <v>6.0753031928058743</v>
          </cell>
          <cell r="T98">
            <v>6.8227328227328226</v>
          </cell>
          <cell r="U98">
            <v>7.0771848924022827</v>
          </cell>
          <cell r="V98">
            <v>6.0791209592186313</v>
          </cell>
          <cell r="W98">
            <v>6.3275798751377152</v>
          </cell>
          <cell r="X98">
            <v>6.1155558007798136</v>
          </cell>
          <cell r="Y98">
            <v>6.6093961645398158</v>
          </cell>
          <cell r="Z98">
            <v>6.8768115942028984</v>
          </cell>
          <cell r="AA98">
            <v>6.1662923150970643</v>
          </cell>
          <cell r="AB98">
            <v>6.2552571983176959</v>
          </cell>
          <cell r="AC98">
            <v>6.3051647514709206</v>
          </cell>
          <cell r="AD98">
            <v>6.5973279832200991</v>
          </cell>
          <cell r="AE98">
            <v>6.787121003938811</v>
          </cell>
          <cell r="AF98">
            <v>6.6404364969272027</v>
          </cell>
          <cell r="AG98">
            <v>6.443540819518299</v>
          </cell>
          <cell r="AH98">
            <v>6.4875581077385842</v>
          </cell>
          <cell r="AI98">
            <v>6.4447965296076326</v>
          </cell>
          <cell r="AJ98">
            <v>6.2361513687600647</v>
          </cell>
          <cell r="AK98">
            <v>6.1835831570164199</v>
          </cell>
          <cell r="AL98">
            <v>6.2445287423402398</v>
          </cell>
          <cell r="AM98">
            <v>5.8151484219819025</v>
          </cell>
          <cell r="AN98">
            <v>5.7914280233482236</v>
          </cell>
          <cell r="AO98">
            <v>5.8844334772774003</v>
          </cell>
          <cell r="AP98">
            <v>5.7533838064170597</v>
          </cell>
          <cell r="AQ98">
            <v>5.7430972388955581</v>
          </cell>
          <cell r="AR98">
            <v>5.145436252232698</v>
          </cell>
          <cell r="AS98">
            <v>5.5972433523453926</v>
          </cell>
          <cell r="AT98">
            <v>6.2967836257309937</v>
          </cell>
          <cell r="BA98">
            <v>5.548071072167458</v>
          </cell>
          <cell r="BB98">
            <v>5.5748167004284461</v>
          </cell>
          <cell r="BC98">
            <v>5.6804311207675218</v>
          </cell>
          <cell r="BD98">
            <v>5.2941279763995217</v>
          </cell>
          <cell r="BE98">
            <v>5.4865041358293425</v>
          </cell>
          <cell r="BF98">
            <v>4.3221256355584714</v>
          </cell>
          <cell r="BG98">
            <v>4.8346854064420084</v>
          </cell>
          <cell r="BH98">
            <v>4.608387295713845</v>
          </cell>
          <cell r="BI98">
            <v>4.4800235017626324</v>
          </cell>
          <cell r="BJ98">
            <v>4.4783573806881245</v>
          </cell>
          <cell r="BK98">
            <v>4.66471848821352</v>
          </cell>
          <cell r="BL98">
            <v>5.2528630789500355</v>
          </cell>
          <cell r="BM98">
            <v>5.1192145862552598</v>
          </cell>
          <cell r="BN98">
            <v>4.6711678736698996</v>
          </cell>
          <cell r="BO98">
            <v>4.7722613065326636</v>
          </cell>
          <cell r="BP98">
            <v>4.8924950670204801</v>
          </cell>
          <cell r="BQ98">
            <v>4.6712233764933835</v>
          </cell>
          <cell r="BR98">
            <v>4.7240858047797296</v>
          </cell>
          <cell r="BS98">
            <v>4.7692000456464685</v>
          </cell>
          <cell r="BT98">
            <v>4.7240571063285746</v>
          </cell>
          <cell r="BU98">
            <v>5.2420662497104464</v>
          </cell>
          <cell r="BV98">
            <v>5.7001497736566646</v>
          </cell>
          <cell r="BW98">
            <v>5.5400788659618589</v>
          </cell>
          <cell r="BX98">
            <v>5.1965266484612318</v>
          </cell>
          <cell r="BY98">
            <v>5.1598877980364657</v>
          </cell>
          <cell r="BZ98">
            <v>5.4195655724318144</v>
          </cell>
          <cell r="CA98">
            <v>5.6736367081194672</v>
          </cell>
          <cell r="CB98">
            <v>5.5165217391304351</v>
          </cell>
          <cell r="CC98">
            <v>5.2097710628752392</v>
          </cell>
          <cell r="CD98">
            <v>5.3187192118226605</v>
          </cell>
          <cell r="CE98">
            <v>5.2940785096473721</v>
          </cell>
          <cell r="CF98">
            <v>5.4850591049329216</v>
          </cell>
          <cell r="CG98">
            <v>5.5278143173636112</v>
          </cell>
          <cell r="CH98">
            <v>5.030548451264564</v>
          </cell>
          <cell r="CI98">
            <v>5.14054054054054</v>
          </cell>
          <cell r="CJ98">
            <v>5.1817659609387823</v>
          </cell>
          <cell r="CK98">
            <v>5.8240864826230681</v>
          </cell>
          <cell r="CL98">
            <v>5.8401566075514877</v>
          </cell>
          <cell r="CM98">
            <v>5.1777309679755135</v>
          </cell>
          <cell r="CN98">
            <v>5.2593516209476308</v>
          </cell>
          <cell r="CO98">
            <v>5.2979054164621173</v>
          </cell>
          <cell r="CP98">
            <v>5.7665976196327637</v>
          </cell>
          <cell r="CQ98">
            <v>5.7835181363461476</v>
          </cell>
          <cell r="CR98">
            <v>4.998513162425267</v>
          </cell>
          <cell r="CS98">
            <v>5.1948556175685514</v>
          </cell>
          <cell r="CT98">
            <v>5.3434850863422287</v>
          </cell>
          <cell r="CU98">
            <v>5.7823765020026698</v>
          </cell>
          <cell r="CV98">
            <v>1.4062980293042797</v>
          </cell>
          <cell r="CW98">
            <v>5.5687155960751697</v>
          </cell>
          <cell r="CX98">
            <v>5.4560760513524995</v>
          </cell>
          <cell r="CY98">
            <v>5.8318961562416192</v>
          </cell>
          <cell r="CZ98">
            <v>5.5793168989734863</v>
          </cell>
          <cell r="DA98">
            <v>5.5609556134294635</v>
          </cell>
          <cell r="DB98">
            <v>5.5865451313079797</v>
          </cell>
          <cell r="DC98">
            <v>5.6850821679793118</v>
          </cell>
          <cell r="DD98">
            <v>5.8453495202892078</v>
          </cell>
          <cell r="DE98">
            <v>5.5877221662874268</v>
          </cell>
          <cell r="DF98">
            <v>5.5699398208752404</v>
          </cell>
          <cell r="DG98">
            <v>5.5843286833284527</v>
          </cell>
          <cell r="DH98">
            <v>5.6911333897957528</v>
          </cell>
          <cell r="DI98">
            <v>5.878528721338812</v>
          </cell>
          <cell r="DJ98">
            <v>5.565455880001843</v>
          </cell>
          <cell r="DK98">
            <v>5.5663376629005059</v>
          </cell>
          <cell r="DL98">
            <v>5.5871127385283339</v>
          </cell>
          <cell r="DM98">
            <v>5.6977714195192677</v>
          </cell>
          <cell r="DN98">
            <v>5.8691605256560466</v>
          </cell>
          <cell r="DO98">
            <v>5.6099179176273282</v>
          </cell>
          <cell r="DP98">
            <v>5.5826781670054455</v>
          </cell>
          <cell r="DQ98">
            <v>5.5980734944584354</v>
          </cell>
          <cell r="DR98">
            <v>5.7108806803435854</v>
          </cell>
        </row>
        <row r="99">
          <cell r="B99" t="str">
            <v>Ending payable payment period (DPOs)</v>
          </cell>
          <cell r="D99" t="str">
            <v>nm</v>
          </cell>
          <cell r="E99">
            <v>56.696548632900047</v>
          </cell>
          <cell r="F99">
            <v>49.21875</v>
          </cell>
          <cell r="G99">
            <v>45.175762549582814</v>
          </cell>
          <cell r="I99">
            <v>51.606343688898534</v>
          </cell>
          <cell r="J99">
            <v>50.542987362751191</v>
          </cell>
          <cell r="K99">
            <v>50.605170387779083</v>
          </cell>
          <cell r="L99">
            <v>67.649310872894347</v>
          </cell>
          <cell r="M99">
            <v>70.384615384615387</v>
          </cell>
          <cell r="N99">
            <v>57.511215135556853</v>
          </cell>
          <cell r="O99">
            <v>46.289719626168221</v>
          </cell>
          <cell r="P99">
            <v>47.71305011447469</v>
          </cell>
          <cell r="Q99">
            <v>41.303624875290978</v>
          </cell>
          <cell r="R99">
            <v>65.135492399206868</v>
          </cell>
          <cell r="S99">
            <v>58.597273853779427</v>
          </cell>
          <cell r="T99">
            <v>51.444180522565318</v>
          </cell>
          <cell r="U99">
            <v>54.631936579841444</v>
          </cell>
          <cell r="V99">
            <v>66.131291028446398</v>
          </cell>
          <cell r="W99">
            <v>69.589378990133497</v>
          </cell>
          <cell r="X99">
            <v>53.018660812294179</v>
          </cell>
          <cell r="Y99">
            <v>56.70866141732283</v>
          </cell>
          <cell r="Z99">
            <v>56.982248520710058</v>
          </cell>
          <cell r="AA99">
            <v>62.294396961063626</v>
          </cell>
          <cell r="AB99">
            <v>67.298939746573581</v>
          </cell>
          <cell r="AC99">
            <v>52.906976744186046</v>
          </cell>
          <cell r="AD99">
            <v>55.554994954591322</v>
          </cell>
          <cell r="AE99">
            <v>53.911330049261089</v>
          </cell>
          <cell r="AF99">
            <v>57.673752310536038</v>
          </cell>
          <cell r="AG99">
            <v>59.445388349514559</v>
          </cell>
          <cell r="AH99">
            <v>53.16538461538461</v>
          </cell>
          <cell r="AI99">
            <v>60.783109404990405</v>
          </cell>
          <cell r="AJ99">
            <v>58.02073515551367</v>
          </cell>
          <cell r="AK99">
            <v>62.708883025505713</v>
          </cell>
          <cell r="AL99">
            <v>66.092289719626166</v>
          </cell>
          <cell r="AM99">
            <v>63.802597402597407</v>
          </cell>
          <cell r="AN99">
            <v>63.102763385146801</v>
          </cell>
          <cell r="AO99">
            <v>62.602040816326536</v>
          </cell>
          <cell r="AP99">
            <v>68.769111969111975</v>
          </cell>
          <cell r="AQ99">
            <v>73.854515050167223</v>
          </cell>
          <cell r="AR99">
            <v>70.457097032878906</v>
          </cell>
          <cell r="AS99">
            <v>61.721739130434777</v>
          </cell>
          <cell r="AT99">
            <v>61.398305084745758</v>
          </cell>
          <cell r="AZ99">
            <v>78.457739791073124</v>
          </cell>
          <cell r="BA99">
            <v>66.869495596477179</v>
          </cell>
          <cell r="BB99">
            <v>64.867762128325509</v>
          </cell>
          <cell r="BC99">
            <v>62.776470588235298</v>
          </cell>
          <cell r="BD99">
            <v>73.288135593220332</v>
          </cell>
          <cell r="BE99">
            <v>71.464987105732988</v>
          </cell>
          <cell r="BF99">
            <v>80.256944444444443</v>
          </cell>
          <cell r="BG99">
            <v>74.138490926456541</v>
          </cell>
          <cell r="BH99">
            <v>78.763265306122449</v>
          </cell>
          <cell r="BI99">
            <v>86.204000000000008</v>
          </cell>
          <cell r="BJ99">
            <v>84.991821561338284</v>
          </cell>
          <cell r="BK99">
            <v>70.792682926829272</v>
          </cell>
          <cell r="BL99">
            <v>68.112676056338032</v>
          </cell>
          <cell r="BM99">
            <v>74.152000000000001</v>
          </cell>
          <cell r="BN99">
            <v>80.535240040858014</v>
          </cell>
          <cell r="BP99">
            <v>70.903553299492387</v>
          </cell>
          <cell r="BQ99">
            <v>77.375418994413408</v>
          </cell>
          <cell r="BR99">
            <v>76.649610678531701</v>
          </cell>
          <cell r="BS99">
            <v>77.838427947598248</v>
          </cell>
          <cell r="BU99">
            <v>64.258064516129039</v>
          </cell>
          <cell r="BV99">
            <v>62.954741379310342</v>
          </cell>
          <cell r="BW99">
            <v>65.625979843225082</v>
          </cell>
          <cell r="BX99">
            <v>77.327586206896555</v>
          </cell>
          <cell r="BZ99">
            <v>60.507352941176471</v>
          </cell>
          <cell r="CA99">
            <v>65.01444444444445</v>
          </cell>
          <cell r="CB99">
            <v>65.773755656108605</v>
          </cell>
          <cell r="CC99">
            <v>73.130938586326778</v>
          </cell>
          <cell r="CE99">
            <v>67.087155963302749</v>
          </cell>
          <cell r="CF99">
            <v>64.865051903114193</v>
          </cell>
          <cell r="CG99">
            <v>67.081142857142851</v>
          </cell>
          <cell r="CH99">
            <v>77.878579610538367</v>
          </cell>
          <cell r="CJ99">
            <v>63.988439306358387</v>
          </cell>
          <cell r="CK99">
            <v>62.670772676371783</v>
          </cell>
          <cell r="CL99">
            <v>61.778770949720673</v>
          </cell>
          <cell r="CM99">
            <v>76.844547563805108</v>
          </cell>
          <cell r="CN99">
            <v>66.32063262406399</v>
          </cell>
          <cell r="CO99">
            <v>64.73506200676438</v>
          </cell>
          <cell r="CP99">
            <v>62.082222222222221</v>
          </cell>
          <cell r="CQ99">
            <v>63.871964679911699</v>
          </cell>
          <cell r="CR99">
            <v>79.90857142857142</v>
          </cell>
          <cell r="CS99">
            <v>77.746636771300444</v>
          </cell>
          <cell r="CT99">
            <v>62.623655913978503</v>
          </cell>
          <cell r="CU99">
            <v>63.492957746478872</v>
          </cell>
          <cell r="CV99">
            <v>63.243715846994533</v>
          </cell>
          <cell r="CW99">
            <v>69</v>
          </cell>
          <cell r="CY99">
            <v>65</v>
          </cell>
          <cell r="CZ99">
            <v>65</v>
          </cell>
          <cell r="DA99">
            <v>65</v>
          </cell>
          <cell r="DB99">
            <v>65</v>
          </cell>
          <cell r="DD99">
            <v>65</v>
          </cell>
          <cell r="DE99">
            <v>65</v>
          </cell>
          <cell r="DF99">
            <v>65</v>
          </cell>
          <cell r="DG99">
            <v>65</v>
          </cell>
          <cell r="DI99">
            <v>65</v>
          </cell>
          <cell r="DJ99">
            <v>65</v>
          </cell>
          <cell r="DK99">
            <v>65</v>
          </cell>
          <cell r="DL99">
            <v>65</v>
          </cell>
          <cell r="DN99">
            <v>65</v>
          </cell>
          <cell r="DO99">
            <v>65</v>
          </cell>
          <cell r="DP99">
            <v>65</v>
          </cell>
          <cell r="DQ99">
            <v>65</v>
          </cell>
        </row>
        <row r="101">
          <cell r="B101" t="str">
            <v>BOP shareholders' equity</v>
          </cell>
          <cell r="D101">
            <v>1320</v>
          </cell>
          <cell r="E101">
            <v>1388.164</v>
          </cell>
          <cell r="F101">
            <v>1434.6</v>
          </cell>
          <cell r="G101">
            <v>1485</v>
          </cell>
          <cell r="H101">
            <v>1320</v>
          </cell>
          <cell r="I101">
            <v>1986</v>
          </cell>
          <cell r="J101">
            <v>2105.9</v>
          </cell>
          <cell r="K101">
            <v>2355</v>
          </cell>
          <cell r="L101">
            <v>2655.8</v>
          </cell>
          <cell r="M101">
            <v>1986</v>
          </cell>
          <cell r="N101">
            <v>2636</v>
          </cell>
          <cell r="O101">
            <v>2763.8</v>
          </cell>
          <cell r="P101">
            <v>2846.2000000000003</v>
          </cell>
          <cell r="Q101">
            <v>3474.8</v>
          </cell>
          <cell r="R101">
            <v>2636</v>
          </cell>
          <cell r="S101">
            <v>3224</v>
          </cell>
          <cell r="T101">
            <v>3381</v>
          </cell>
          <cell r="U101">
            <v>3460</v>
          </cell>
          <cell r="V101">
            <v>3693</v>
          </cell>
          <cell r="W101">
            <v>3224</v>
          </cell>
          <cell r="X101">
            <v>3558</v>
          </cell>
          <cell r="Y101">
            <v>3663</v>
          </cell>
          <cell r="Z101">
            <v>3864</v>
          </cell>
          <cell r="AA101">
            <v>3973</v>
          </cell>
          <cell r="AB101">
            <v>3558</v>
          </cell>
          <cell r="AC101">
            <v>3870</v>
          </cell>
          <cell r="AD101">
            <v>3952</v>
          </cell>
          <cell r="AE101">
            <v>4089</v>
          </cell>
          <cell r="AF101">
            <v>4103</v>
          </cell>
          <cell r="AG101">
            <v>3870</v>
          </cell>
          <cell r="AH101">
            <v>4066</v>
          </cell>
          <cell r="AI101">
            <v>4293</v>
          </cell>
          <cell r="AJ101">
            <v>4584</v>
          </cell>
          <cell r="AK101">
            <v>4940</v>
          </cell>
          <cell r="AL101">
            <v>4066</v>
          </cell>
          <cell r="AM101">
            <v>5079</v>
          </cell>
          <cell r="AN101">
            <v>5284</v>
          </cell>
          <cell r="AO101">
            <v>5301</v>
          </cell>
          <cell r="AP101">
            <v>5465</v>
          </cell>
          <cell r="AQ101">
            <v>5079</v>
          </cell>
          <cell r="AR101">
            <v>5619</v>
          </cell>
          <cell r="AS101">
            <v>5881</v>
          </cell>
          <cell r="AT101">
            <v>5893</v>
          </cell>
          <cell r="BA101">
            <v>5723</v>
          </cell>
          <cell r="BB101">
            <v>5743</v>
          </cell>
          <cell r="BC101">
            <v>5531</v>
          </cell>
          <cell r="BD101">
            <v>5272</v>
          </cell>
          <cell r="BE101">
            <v>5723</v>
          </cell>
          <cell r="BF101">
            <v>4361</v>
          </cell>
          <cell r="BG101">
            <v>4268</v>
          </cell>
          <cell r="BH101">
            <v>3887</v>
          </cell>
          <cell r="BI101">
            <v>3849</v>
          </cell>
          <cell r="BJ101">
            <v>4361</v>
          </cell>
          <cell r="BK101">
            <v>1732</v>
          </cell>
          <cell r="BL101">
            <v>1723</v>
          </cell>
          <cell r="BM101">
            <v>1709</v>
          </cell>
          <cell r="BN101">
            <v>1324</v>
          </cell>
          <cell r="BO101">
            <v>1732</v>
          </cell>
          <cell r="BP101">
            <v>1021</v>
          </cell>
          <cell r="BQ101">
            <v>1099</v>
          </cell>
          <cell r="BR101">
            <v>707</v>
          </cell>
          <cell r="BS101">
            <v>631</v>
          </cell>
          <cell r="BT101">
            <v>1021</v>
          </cell>
          <cell r="BU101">
            <v>264</v>
          </cell>
          <cell r="BV101">
            <v>167</v>
          </cell>
          <cell r="BW101">
            <v>149</v>
          </cell>
          <cell r="BX101">
            <v>101</v>
          </cell>
          <cell r="BY101">
            <v>264</v>
          </cell>
          <cell r="BZ101">
            <v>54</v>
          </cell>
          <cell r="CA101">
            <v>32</v>
          </cell>
          <cell r="CB101">
            <v>29</v>
          </cell>
          <cell r="CC101">
            <v>136</v>
          </cell>
          <cell r="CD101">
            <v>54</v>
          </cell>
          <cell r="CE101">
            <v>103</v>
          </cell>
          <cell r="CF101">
            <v>291</v>
          </cell>
          <cell r="CG101">
            <v>286</v>
          </cell>
          <cell r="CH101">
            <v>626</v>
          </cell>
          <cell r="CI101">
            <v>103</v>
          </cell>
          <cell r="CJ101">
            <v>646</v>
          </cell>
          <cell r="CK101">
            <v>739</v>
          </cell>
          <cell r="CL101">
            <v>772</v>
          </cell>
          <cell r="CM101">
            <v>1711</v>
          </cell>
          <cell r="CN101">
            <v>646</v>
          </cell>
          <cell r="CO101">
            <v>1766</v>
          </cell>
          <cell r="CP101">
            <v>1844</v>
          </cell>
          <cell r="CQ101">
            <v>1810</v>
          </cell>
          <cell r="CR101">
            <v>1698</v>
          </cell>
          <cell r="CS101">
            <v>1766</v>
          </cell>
          <cell r="CT101">
            <v>1423</v>
          </cell>
          <cell r="CU101">
            <v>1460</v>
          </cell>
          <cell r="CV101">
            <v>1176</v>
          </cell>
          <cell r="CW101">
            <v>1224</v>
          </cell>
          <cell r="CX101">
            <v>1423</v>
          </cell>
          <cell r="CY101">
            <v>1293.7919732096275</v>
          </cell>
          <cell r="CZ101">
            <v>1335.9385855647201</v>
          </cell>
          <cell r="DA101">
            <v>1421.7921669820325</v>
          </cell>
          <cell r="DB101">
            <v>1492.258215820284</v>
          </cell>
          <cell r="DC101">
            <v>1293.7919732096275</v>
          </cell>
          <cell r="DD101">
            <v>1605.9342118571194</v>
          </cell>
          <cell r="DE101">
            <v>1684.9248638383506</v>
          </cell>
          <cell r="DF101">
            <v>1791.0176838296456</v>
          </cell>
          <cell r="DG101">
            <v>1876.4009341940864</v>
          </cell>
          <cell r="DH101">
            <v>1605.934211857119</v>
          </cell>
          <cell r="DI101">
            <v>2010.1144268221642</v>
          </cell>
          <cell r="DJ101">
            <v>2103.4274786756514</v>
          </cell>
          <cell r="DK101">
            <v>2215.8213085405573</v>
          </cell>
          <cell r="DL101">
            <v>2309.7570163021028</v>
          </cell>
          <cell r="DM101">
            <v>2010.114426822164</v>
          </cell>
          <cell r="DN101">
            <v>2458.091565099463</v>
          </cell>
          <cell r="DO101">
            <v>2567.884386115511</v>
          </cell>
          <cell r="DP101">
            <v>2693.5067161063762</v>
          </cell>
          <cell r="DQ101">
            <v>2800.2441578870985</v>
          </cell>
          <cell r="DR101">
            <v>2458.0915650994625</v>
          </cell>
        </row>
        <row r="102">
          <cell r="B102" t="str">
            <v>Net income</v>
          </cell>
          <cell r="D102">
            <v>64.02800000000002</v>
          </cell>
          <cell r="E102">
            <v>46.199999999999974</v>
          </cell>
          <cell r="F102">
            <v>48.899999999999949</v>
          </cell>
          <cell r="G102">
            <v>5.8719999999999937</v>
          </cell>
          <cell r="H102">
            <v>164.99999999999991</v>
          </cell>
          <cell r="I102">
            <v>118.30000000000004</v>
          </cell>
          <cell r="J102">
            <v>182.79999999999998</v>
          </cell>
          <cell r="K102">
            <v>70.700000000000117</v>
          </cell>
          <cell r="L102">
            <v>-21.800000000000257</v>
          </cell>
          <cell r="M102">
            <v>350</v>
          </cell>
          <cell r="N102">
            <v>72.399999999999892</v>
          </cell>
          <cell r="O102">
            <v>76.799999999999869</v>
          </cell>
          <cell r="P102">
            <v>-113.29999999999993</v>
          </cell>
          <cell r="Q102">
            <v>-289.90000000000066</v>
          </cell>
          <cell r="R102">
            <v>-254</v>
          </cell>
          <cell r="S102">
            <v>116</v>
          </cell>
          <cell r="T102">
            <v>138</v>
          </cell>
          <cell r="U102">
            <v>148</v>
          </cell>
          <cell r="V102">
            <v>-141</v>
          </cell>
          <cell r="W102">
            <v>261</v>
          </cell>
          <cell r="X102">
            <v>137</v>
          </cell>
          <cell r="Y102">
            <v>125</v>
          </cell>
          <cell r="Z102">
            <v>124</v>
          </cell>
          <cell r="AA102">
            <v>-137</v>
          </cell>
          <cell r="AB102">
            <v>249</v>
          </cell>
          <cell r="AC102">
            <v>109</v>
          </cell>
          <cell r="AD102">
            <v>135</v>
          </cell>
          <cell r="AE102">
            <v>38</v>
          </cell>
          <cell r="AF102">
            <v>20</v>
          </cell>
          <cell r="AG102">
            <v>302</v>
          </cell>
          <cell r="AH102">
            <v>154</v>
          </cell>
          <cell r="AI102">
            <v>175</v>
          </cell>
          <cell r="AJ102">
            <v>198</v>
          </cell>
          <cell r="AK102">
            <v>116</v>
          </cell>
          <cell r="AL102">
            <v>643</v>
          </cell>
          <cell r="AM102">
            <v>155</v>
          </cell>
          <cell r="AN102">
            <v>89</v>
          </cell>
          <cell r="AO102">
            <v>280</v>
          </cell>
          <cell r="AP102">
            <v>261</v>
          </cell>
          <cell r="AQ102">
            <v>785</v>
          </cell>
          <cell r="AR102">
            <v>338</v>
          </cell>
          <cell r="AS102">
            <v>315</v>
          </cell>
          <cell r="AT102">
            <v>-55</v>
          </cell>
          <cell r="BA102">
            <v>-20</v>
          </cell>
          <cell r="BB102">
            <v>-195</v>
          </cell>
          <cell r="BC102">
            <v>-308</v>
          </cell>
          <cell r="BD102">
            <v>-954</v>
          </cell>
          <cell r="BE102">
            <v>-1477</v>
          </cell>
          <cell r="BF102">
            <v>-122</v>
          </cell>
          <cell r="BG102">
            <v>-426</v>
          </cell>
          <cell r="BH102">
            <v>-70</v>
          </cell>
          <cell r="BI102">
            <v>-2022</v>
          </cell>
          <cell r="BJ102">
            <v>-2640</v>
          </cell>
          <cell r="BK102">
            <v>-4</v>
          </cell>
          <cell r="BL102">
            <v>-33</v>
          </cell>
          <cell r="BM102">
            <v>-401</v>
          </cell>
          <cell r="BN102">
            <v>-286</v>
          </cell>
          <cell r="BO102">
            <v>-724</v>
          </cell>
          <cell r="BP102">
            <v>70</v>
          </cell>
          <cell r="BQ102">
            <v>-398</v>
          </cell>
          <cell r="BR102">
            <v>-89</v>
          </cell>
          <cell r="BS102">
            <v>-386</v>
          </cell>
          <cell r="BT102">
            <v>-803</v>
          </cell>
          <cell r="BU102">
            <v>75</v>
          </cell>
          <cell r="BV102">
            <v>-30</v>
          </cell>
          <cell r="BW102">
            <v>-59</v>
          </cell>
          <cell r="BX102">
            <v>-75</v>
          </cell>
          <cell r="BY102">
            <v>-89</v>
          </cell>
          <cell r="BZ102">
            <v>-31</v>
          </cell>
          <cell r="CA102">
            <v>-15</v>
          </cell>
          <cell r="CB102">
            <v>104</v>
          </cell>
          <cell r="CC102">
            <v>-33</v>
          </cell>
          <cell r="CD102">
            <v>25</v>
          </cell>
          <cell r="CE102">
            <v>178</v>
          </cell>
          <cell r="CF102">
            <v>-15</v>
          </cell>
          <cell r="CG102">
            <v>-3</v>
          </cell>
          <cell r="CH102">
            <v>21</v>
          </cell>
          <cell r="CI102">
            <v>181</v>
          </cell>
          <cell r="CJ102">
            <v>88</v>
          </cell>
          <cell r="CK102">
            <v>25</v>
          </cell>
          <cell r="CL102">
            <v>932</v>
          </cell>
          <cell r="CM102">
            <v>74</v>
          </cell>
          <cell r="CN102">
            <v>1119</v>
          </cell>
          <cell r="CO102">
            <v>73</v>
          </cell>
          <cell r="CP102">
            <v>55</v>
          </cell>
          <cell r="CQ102">
            <v>6</v>
          </cell>
          <cell r="CR102">
            <v>-76</v>
          </cell>
          <cell r="CS102">
            <v>58</v>
          </cell>
          <cell r="CT102">
            <v>58</v>
          </cell>
          <cell r="CU102">
            <v>-6</v>
          </cell>
          <cell r="CV102">
            <v>40</v>
          </cell>
          <cell r="CW102">
            <v>60.791973209627599</v>
          </cell>
          <cell r="CX102">
            <v>152.79197320962794</v>
          </cell>
          <cell r="CY102">
            <v>33.146612355092657</v>
          </cell>
          <cell r="CZ102">
            <v>76.853581417312114</v>
          </cell>
          <cell r="DA102">
            <v>61.466048838251822</v>
          </cell>
          <cell r="DB102">
            <v>104.67599603683516</v>
          </cell>
          <cell r="DC102">
            <v>276.14223864749249</v>
          </cell>
          <cell r="DD102">
            <v>69.990651981231224</v>
          </cell>
          <cell r="DE102">
            <v>97.09281999129503</v>
          </cell>
          <cell r="DF102">
            <v>76.383250364440926</v>
          </cell>
          <cell r="DG102">
            <v>124.71349262807792</v>
          </cell>
          <cell r="DH102">
            <v>368.18021496504582</v>
          </cell>
          <cell r="DI102">
            <v>84.313051853487323</v>
          </cell>
          <cell r="DJ102">
            <v>103.39382986490556</v>
          </cell>
          <cell r="DK102">
            <v>84.93570776154553</v>
          </cell>
          <cell r="DL102">
            <v>139.33454879735996</v>
          </cell>
          <cell r="DM102">
            <v>411.97713827729763</v>
          </cell>
          <cell r="DN102">
            <v>100.79282101604809</v>
          </cell>
          <cell r="DO102">
            <v>116.62232999086577</v>
          </cell>
          <cell r="DP102">
            <v>97.73744178072215</v>
          </cell>
          <cell r="DQ102">
            <v>152.90114265272507</v>
          </cell>
          <cell r="DR102">
            <v>468.05373544036024</v>
          </cell>
        </row>
        <row r="103">
          <cell r="B103" t="str">
            <v>Preferred stock</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334</v>
          </cell>
          <cell r="CH103">
            <v>0</v>
          </cell>
          <cell r="CI103">
            <v>334</v>
          </cell>
          <cell r="CJ103">
            <v>0</v>
          </cell>
          <cell r="CK103">
            <v>0</v>
          </cell>
          <cell r="CL103">
            <v>0</v>
          </cell>
          <cell r="CM103">
            <v>0</v>
          </cell>
          <cell r="CN103">
            <v>0</v>
          </cell>
          <cell r="CO103">
            <v>0</v>
          </cell>
          <cell r="CP103">
            <v>0</v>
          </cell>
          <cell r="CQ103">
            <v>0</v>
          </cell>
          <cell r="CR103">
            <v>0</v>
          </cell>
          <cell r="CS103">
            <v>0</v>
          </cell>
          <cell r="CT103">
            <v>0</v>
          </cell>
          <cell r="CU103">
            <v>-289</v>
          </cell>
          <cell r="CV103">
            <v>0</v>
          </cell>
          <cell r="CW103">
            <v>0</v>
          </cell>
          <cell r="CX103">
            <v>-289</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row>
        <row r="104">
          <cell r="B104" t="str">
            <v>Common Stock</v>
          </cell>
          <cell r="D104">
            <v>-8.0999999999999517E-2</v>
          </cell>
          <cell r="E104">
            <v>-1.9000000000000128E-2</v>
          </cell>
          <cell r="F104">
            <v>0</v>
          </cell>
          <cell r="G104">
            <v>2.0999999999999996</v>
          </cell>
          <cell r="H104">
            <v>2</v>
          </cell>
          <cell r="I104">
            <v>0.39999999999999858</v>
          </cell>
          <cell r="J104">
            <v>0</v>
          </cell>
          <cell r="K104">
            <v>0</v>
          </cell>
          <cell r="L104">
            <v>-0.39999999999999858</v>
          </cell>
          <cell r="M104">
            <v>0</v>
          </cell>
          <cell r="N104">
            <v>0.39999999999999858</v>
          </cell>
          <cell r="O104">
            <v>0.10000000000000142</v>
          </cell>
          <cell r="P104">
            <v>6.3000000000000007</v>
          </cell>
          <cell r="Q104">
            <v>0.19999999999999929</v>
          </cell>
          <cell r="R104">
            <v>7</v>
          </cell>
          <cell r="S104">
            <v>0</v>
          </cell>
          <cell r="T104">
            <v>0</v>
          </cell>
          <cell r="U104">
            <v>0</v>
          </cell>
          <cell r="V104">
            <v>0</v>
          </cell>
          <cell r="W104">
            <v>0</v>
          </cell>
          <cell r="X104">
            <v>1</v>
          </cell>
          <cell r="Y104">
            <v>0</v>
          </cell>
          <cell r="Z104">
            <v>0</v>
          </cell>
          <cell r="AA104">
            <v>0</v>
          </cell>
          <cell r="AB104">
            <v>1</v>
          </cell>
          <cell r="AC104">
            <v>0</v>
          </cell>
          <cell r="AD104">
            <v>0</v>
          </cell>
          <cell r="AE104">
            <v>0</v>
          </cell>
          <cell r="AF104">
            <v>0</v>
          </cell>
          <cell r="AG104">
            <v>0</v>
          </cell>
          <cell r="AH104">
            <v>0</v>
          </cell>
          <cell r="AI104">
            <v>0</v>
          </cell>
          <cell r="AJ104">
            <v>1</v>
          </cell>
          <cell r="AK104">
            <v>0</v>
          </cell>
          <cell r="AL104">
            <v>1</v>
          </cell>
          <cell r="AM104">
            <v>0</v>
          </cell>
          <cell r="AN104">
            <v>0</v>
          </cell>
          <cell r="AO104">
            <v>0</v>
          </cell>
          <cell r="AP104">
            <v>1</v>
          </cell>
          <cell r="AQ104">
            <v>1</v>
          </cell>
          <cell r="AR104">
            <v>-26</v>
          </cell>
          <cell r="AS104">
            <v>0</v>
          </cell>
          <cell r="AT104">
            <v>0</v>
          </cell>
          <cell r="BA104">
            <v>-26</v>
          </cell>
          <cell r="BB104">
            <v>0</v>
          </cell>
          <cell r="BC104">
            <v>0</v>
          </cell>
          <cell r="BD104">
            <v>26</v>
          </cell>
          <cell r="BE104">
            <v>0</v>
          </cell>
          <cell r="BF104">
            <v>-26</v>
          </cell>
          <cell r="BG104">
            <v>0</v>
          </cell>
          <cell r="BH104">
            <v>0</v>
          </cell>
          <cell r="BI104">
            <v>26</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1</v>
          </cell>
          <cell r="CA104">
            <v>-1</v>
          </cell>
          <cell r="CB104">
            <v>0</v>
          </cell>
          <cell r="CC104">
            <v>0</v>
          </cell>
          <cell r="CD104">
            <v>0</v>
          </cell>
          <cell r="CE104">
            <v>0</v>
          </cell>
          <cell r="CF104">
            <v>0</v>
          </cell>
          <cell r="CG104">
            <v>0</v>
          </cell>
          <cell r="CH104">
            <v>1</v>
          </cell>
          <cell r="CI104">
            <v>1</v>
          </cell>
          <cell r="CJ104">
            <v>0</v>
          </cell>
          <cell r="CK104">
            <v>0</v>
          </cell>
          <cell r="CL104">
            <v>0</v>
          </cell>
          <cell r="CM104">
            <v>0</v>
          </cell>
          <cell r="CN104">
            <v>0</v>
          </cell>
          <cell r="CO104">
            <v>0</v>
          </cell>
          <cell r="CP104">
            <v>0</v>
          </cell>
          <cell r="CQ104">
            <v>0</v>
          </cell>
          <cell r="CR104">
            <v>0</v>
          </cell>
          <cell r="CS104">
            <v>0</v>
          </cell>
          <cell r="CT104">
            <v>0</v>
          </cell>
          <cell r="CU104">
            <v>0</v>
          </cell>
          <cell r="CV104">
            <v>-20</v>
          </cell>
          <cell r="CW104">
            <v>0</v>
          </cell>
          <cell r="CX104">
            <v>-20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W104" t="str">
            <v>mstag:netIssuanceRepurchaseOfCommonStock</v>
          </cell>
          <cell r="DX104">
            <v>6</v>
          </cell>
          <cell r="DY104" t="str">
            <v>ISO4217:USD</v>
          </cell>
          <cell r="DZ104" t="b">
            <v>0</v>
          </cell>
        </row>
        <row r="105">
          <cell r="B105" t="str">
            <v>Treasury Stock</v>
          </cell>
          <cell r="D105">
            <v>2.625</v>
          </cell>
          <cell r="E105">
            <v>1.2749999999999773</v>
          </cell>
          <cell r="F105">
            <v>1.9000000000000341</v>
          </cell>
          <cell r="G105">
            <v>4.1999999999999886</v>
          </cell>
          <cell r="H105">
            <v>10</v>
          </cell>
          <cell r="I105">
            <v>2</v>
          </cell>
          <cell r="J105">
            <v>50.699999999999989</v>
          </cell>
          <cell r="K105">
            <v>160.80000000000001</v>
          </cell>
          <cell r="L105">
            <v>18.5</v>
          </cell>
          <cell r="M105">
            <v>232</v>
          </cell>
          <cell r="N105">
            <v>1.2999999999999972</v>
          </cell>
          <cell r="O105">
            <v>0</v>
          </cell>
          <cell r="P105">
            <v>0</v>
          </cell>
          <cell r="Q105">
            <v>-0.29999999999999716</v>
          </cell>
          <cell r="R105">
            <v>1</v>
          </cell>
          <cell r="S105">
            <v>-31</v>
          </cell>
          <cell r="T105">
            <v>0</v>
          </cell>
          <cell r="U105">
            <v>0</v>
          </cell>
          <cell r="V105">
            <v>0</v>
          </cell>
          <cell r="W105">
            <v>-31</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-94</v>
          </cell>
          <cell r="AN105">
            <v>-93</v>
          </cell>
          <cell r="AO105">
            <v>-293</v>
          </cell>
          <cell r="AP105">
            <v>-235</v>
          </cell>
          <cell r="AQ105">
            <v>-715</v>
          </cell>
          <cell r="AR105">
            <v>-119</v>
          </cell>
          <cell r="AS105">
            <v>-381</v>
          </cell>
          <cell r="AT105">
            <v>-110</v>
          </cell>
          <cell r="BA105">
            <v>-110</v>
          </cell>
          <cell r="BB105">
            <v>-98</v>
          </cell>
          <cell r="BC105">
            <v>2</v>
          </cell>
          <cell r="BD105">
            <v>0</v>
          </cell>
          <cell r="BE105">
            <v>-206</v>
          </cell>
          <cell r="BF105">
            <v>0</v>
          </cell>
          <cell r="BG105">
            <v>0</v>
          </cell>
          <cell r="BH105">
            <v>1</v>
          </cell>
          <cell r="BI105">
            <v>8</v>
          </cell>
          <cell r="BJ105">
            <v>9</v>
          </cell>
          <cell r="BK105">
            <v>1</v>
          </cell>
          <cell r="BL105">
            <v>2</v>
          </cell>
          <cell r="BM105">
            <v>-1</v>
          </cell>
          <cell r="BN105">
            <v>1</v>
          </cell>
          <cell r="BO105">
            <v>3</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2</v>
          </cell>
          <cell r="CF105">
            <v>0</v>
          </cell>
          <cell r="CG105">
            <v>-2</v>
          </cell>
          <cell r="CH105">
            <v>0</v>
          </cell>
          <cell r="CI105">
            <v>0</v>
          </cell>
          <cell r="CJ105">
            <v>0</v>
          </cell>
          <cell r="CK105">
            <v>0</v>
          </cell>
          <cell r="CL105">
            <v>0</v>
          </cell>
          <cell r="CM105">
            <v>0</v>
          </cell>
          <cell r="CN105">
            <v>0</v>
          </cell>
          <cell r="CO105">
            <v>0</v>
          </cell>
          <cell r="CP105">
            <v>-72</v>
          </cell>
          <cell r="CQ105">
            <v>-124</v>
          </cell>
          <cell r="CR105">
            <v>-178</v>
          </cell>
          <cell r="CS105">
            <v>-374</v>
          </cell>
          <cell r="CT105">
            <v>-26</v>
          </cell>
          <cell r="CU105">
            <v>0</v>
          </cell>
          <cell r="CV105">
            <v>0</v>
          </cell>
          <cell r="CW105">
            <v>0</v>
          </cell>
          <cell r="CX105">
            <v>-26</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W105" t="str">
            <v>mstag:netIssuanceRepurchaseOfCommonStock</v>
          </cell>
          <cell r="DX105">
            <v>6</v>
          </cell>
          <cell r="DY105" t="str">
            <v>ISO4217:USD</v>
          </cell>
          <cell r="DZ105" t="b">
            <v>0</v>
          </cell>
        </row>
        <row r="106">
          <cell r="B106" t="str">
            <v>Additional paid-in capital</v>
          </cell>
          <cell r="D106">
            <v>640.61999999999989</v>
          </cell>
          <cell r="E106">
            <v>45.180000000000064</v>
          </cell>
          <cell r="F106">
            <v>48.5</v>
          </cell>
          <cell r="G106">
            <v>-245.29999999999995</v>
          </cell>
          <cell r="H106">
            <v>489</v>
          </cell>
          <cell r="I106">
            <v>857.5</v>
          </cell>
          <cell r="J106">
            <v>198.40000000000009</v>
          </cell>
          <cell r="K106">
            <v>140</v>
          </cell>
          <cell r="L106">
            <v>-1155.9000000000001</v>
          </cell>
          <cell r="M106">
            <v>40</v>
          </cell>
          <cell r="N106">
            <v>1244.0999999999999</v>
          </cell>
          <cell r="O106">
            <v>82.300000000000182</v>
          </cell>
          <cell r="P106">
            <v>622.29999999999973</v>
          </cell>
          <cell r="Q106">
            <v>-1179.6999999999998</v>
          </cell>
          <cell r="R106">
            <v>769</v>
          </cell>
          <cell r="S106">
            <v>1117</v>
          </cell>
          <cell r="T106">
            <v>79</v>
          </cell>
          <cell r="U106">
            <v>233</v>
          </cell>
          <cell r="V106">
            <v>-1265</v>
          </cell>
          <cell r="W106">
            <v>164</v>
          </cell>
          <cell r="X106">
            <v>1234</v>
          </cell>
          <cell r="Y106">
            <v>201</v>
          </cell>
          <cell r="Z106">
            <v>109</v>
          </cell>
          <cell r="AA106">
            <v>-1509</v>
          </cell>
          <cell r="AB106">
            <v>35</v>
          </cell>
          <cell r="AC106">
            <v>1488</v>
          </cell>
          <cell r="AD106">
            <v>137</v>
          </cell>
          <cell r="AE106">
            <v>14</v>
          </cell>
          <cell r="AF106">
            <v>-1594</v>
          </cell>
          <cell r="AG106">
            <v>45</v>
          </cell>
          <cell r="AH106">
            <v>1784</v>
          </cell>
          <cell r="AI106">
            <v>291</v>
          </cell>
          <cell r="AJ106">
            <v>355</v>
          </cell>
          <cell r="AK106">
            <v>-2087</v>
          </cell>
          <cell r="AL106">
            <v>343</v>
          </cell>
          <cell r="AM106">
            <v>127</v>
          </cell>
          <cell r="AN106">
            <v>38</v>
          </cell>
          <cell r="AO106">
            <v>176</v>
          </cell>
          <cell r="AP106">
            <v>128</v>
          </cell>
          <cell r="AQ106">
            <v>469</v>
          </cell>
          <cell r="AR106">
            <v>67</v>
          </cell>
          <cell r="AS106">
            <v>52</v>
          </cell>
          <cell r="AT106">
            <v>33</v>
          </cell>
          <cell r="BA106">
            <v>504</v>
          </cell>
          <cell r="BB106">
            <v>79</v>
          </cell>
          <cell r="BC106">
            <v>46</v>
          </cell>
          <cell r="BD106">
            <v>12</v>
          </cell>
          <cell r="BE106">
            <v>641</v>
          </cell>
          <cell r="BF106">
            <v>56</v>
          </cell>
          <cell r="BG106">
            <v>50</v>
          </cell>
          <cell r="BH106">
            <v>30</v>
          </cell>
          <cell r="BI106">
            <v>-129</v>
          </cell>
          <cell r="BJ106">
            <v>7</v>
          </cell>
          <cell r="BK106">
            <v>147</v>
          </cell>
          <cell r="BL106">
            <v>16</v>
          </cell>
          <cell r="BM106">
            <v>17</v>
          </cell>
          <cell r="BN106">
            <v>9</v>
          </cell>
          <cell r="BO106">
            <v>189</v>
          </cell>
          <cell r="BP106">
            <v>9</v>
          </cell>
          <cell r="BQ106">
            <v>6</v>
          </cell>
          <cell r="BR106">
            <v>12</v>
          </cell>
          <cell r="BS106">
            <v>25</v>
          </cell>
          <cell r="BT106">
            <v>52</v>
          </cell>
          <cell r="BU106">
            <v>7</v>
          </cell>
          <cell r="BV106">
            <v>12</v>
          </cell>
          <cell r="BW106">
            <v>10</v>
          </cell>
          <cell r="BX106">
            <v>11</v>
          </cell>
          <cell r="BY106">
            <v>40</v>
          </cell>
          <cell r="BZ106">
            <v>8</v>
          </cell>
          <cell r="CA106">
            <v>11</v>
          </cell>
          <cell r="CB106">
            <v>6</v>
          </cell>
          <cell r="CC106">
            <v>8</v>
          </cell>
          <cell r="CD106">
            <v>33</v>
          </cell>
          <cell r="CE106">
            <v>5</v>
          </cell>
          <cell r="CF106">
            <v>7</v>
          </cell>
          <cell r="CG106">
            <v>7</v>
          </cell>
          <cell r="CH106">
            <v>-3</v>
          </cell>
          <cell r="CI106">
            <v>16</v>
          </cell>
          <cell r="CJ106">
            <v>-2</v>
          </cell>
          <cell r="CK106">
            <v>2</v>
          </cell>
          <cell r="CL106">
            <v>0</v>
          </cell>
          <cell r="CM106">
            <v>-12</v>
          </cell>
          <cell r="CN106">
            <v>-12</v>
          </cell>
          <cell r="CO106">
            <v>-1</v>
          </cell>
          <cell r="CP106">
            <v>-23</v>
          </cell>
          <cell r="CQ106">
            <v>0</v>
          </cell>
          <cell r="CR106">
            <v>-18</v>
          </cell>
          <cell r="CS106">
            <v>-42</v>
          </cell>
          <cell r="CT106">
            <v>-4</v>
          </cell>
          <cell r="CU106">
            <v>7</v>
          </cell>
          <cell r="CV106">
            <v>27</v>
          </cell>
          <cell r="CW106">
            <v>9</v>
          </cell>
          <cell r="CX106">
            <v>39</v>
          </cell>
          <cell r="CY106">
            <v>9</v>
          </cell>
          <cell r="CZ106">
            <v>9</v>
          </cell>
          <cell r="DA106">
            <v>9</v>
          </cell>
          <cell r="DB106">
            <v>9</v>
          </cell>
          <cell r="DC106">
            <v>36</v>
          </cell>
          <cell r="DD106">
            <v>9</v>
          </cell>
          <cell r="DE106">
            <v>9</v>
          </cell>
          <cell r="DF106">
            <v>9</v>
          </cell>
          <cell r="DG106">
            <v>9</v>
          </cell>
          <cell r="DH106">
            <v>36</v>
          </cell>
          <cell r="DI106">
            <v>9</v>
          </cell>
          <cell r="DJ106">
            <v>9</v>
          </cell>
          <cell r="DK106">
            <v>9</v>
          </cell>
          <cell r="DL106">
            <v>9</v>
          </cell>
          <cell r="DM106">
            <v>36</v>
          </cell>
          <cell r="DN106">
            <v>9</v>
          </cell>
          <cell r="DO106">
            <v>9</v>
          </cell>
          <cell r="DP106">
            <v>9</v>
          </cell>
          <cell r="DQ106">
            <v>9</v>
          </cell>
          <cell r="DR106">
            <v>36</v>
          </cell>
          <cell r="DW106" t="str">
            <v>mstag:netIssuanceRepurchaseOfCommonStock</v>
          </cell>
          <cell r="DX106">
            <v>6</v>
          </cell>
          <cell r="DY106" t="str">
            <v>ISO4217:USD</v>
          </cell>
          <cell r="DZ106" t="b">
            <v>0</v>
          </cell>
        </row>
        <row r="107">
          <cell r="B107" t="str">
            <v>Accumulated and other comprehensive</v>
          </cell>
          <cell r="D107">
            <v>0</v>
          </cell>
          <cell r="E107">
            <v>0</v>
          </cell>
          <cell r="F107">
            <v>0</v>
          </cell>
          <cell r="G107">
            <v>0</v>
          </cell>
          <cell r="H107">
            <v>0</v>
          </cell>
          <cell r="I107">
            <v>0</v>
          </cell>
          <cell r="J107">
            <v>0</v>
          </cell>
          <cell r="K107">
            <v>0</v>
          </cell>
          <cell r="L107">
            <v>28</v>
          </cell>
          <cell r="M107">
            <v>28</v>
          </cell>
          <cell r="N107">
            <v>-28</v>
          </cell>
          <cell r="O107">
            <v>0</v>
          </cell>
          <cell r="P107">
            <v>0</v>
          </cell>
          <cell r="Q107">
            <v>110</v>
          </cell>
          <cell r="R107">
            <v>82</v>
          </cell>
          <cell r="S107">
            <v>-110</v>
          </cell>
          <cell r="T107">
            <v>0</v>
          </cell>
          <cell r="U107">
            <v>0</v>
          </cell>
          <cell r="V107">
            <v>50</v>
          </cell>
          <cell r="W107">
            <v>-60</v>
          </cell>
          <cell r="X107">
            <v>-50</v>
          </cell>
          <cell r="Y107">
            <v>0</v>
          </cell>
          <cell r="Z107">
            <v>0</v>
          </cell>
          <cell r="AA107">
            <v>77</v>
          </cell>
          <cell r="AB107">
            <v>27</v>
          </cell>
          <cell r="AC107">
            <v>-77</v>
          </cell>
          <cell r="AD107">
            <v>0</v>
          </cell>
          <cell r="AE107">
            <v>0</v>
          </cell>
          <cell r="AF107">
            <v>-70</v>
          </cell>
          <cell r="AG107">
            <v>-147</v>
          </cell>
          <cell r="AH107">
            <v>70</v>
          </cell>
          <cell r="AI107">
            <v>0</v>
          </cell>
          <cell r="AJ107">
            <v>0</v>
          </cell>
          <cell r="AK107">
            <v>-44</v>
          </cell>
          <cell r="AL107">
            <v>26</v>
          </cell>
          <cell r="AM107">
            <v>16</v>
          </cell>
          <cell r="AN107">
            <v>-16</v>
          </cell>
          <cell r="AO107">
            <v>1</v>
          </cell>
          <cell r="AP107">
            <v>-1</v>
          </cell>
          <cell r="AQ107">
            <v>0</v>
          </cell>
          <cell r="AR107">
            <v>2</v>
          </cell>
          <cell r="AS107">
            <v>26</v>
          </cell>
          <cell r="AT107">
            <v>1</v>
          </cell>
          <cell r="BA107">
            <v>1</v>
          </cell>
          <cell r="BB107">
            <v>2</v>
          </cell>
          <cell r="BC107">
            <v>1</v>
          </cell>
          <cell r="BD107">
            <v>3</v>
          </cell>
          <cell r="BE107">
            <v>7</v>
          </cell>
          <cell r="BF107">
            <v>-1</v>
          </cell>
          <cell r="BG107">
            <v>-5</v>
          </cell>
          <cell r="BH107">
            <v>1</v>
          </cell>
          <cell r="BI107">
            <v>0</v>
          </cell>
          <cell r="BJ107">
            <v>-5</v>
          </cell>
          <cell r="BK107">
            <v>0</v>
          </cell>
          <cell r="BL107">
            <v>1</v>
          </cell>
          <cell r="BM107">
            <v>0</v>
          </cell>
          <cell r="BN107">
            <v>-27</v>
          </cell>
          <cell r="BO107">
            <v>-26</v>
          </cell>
          <cell r="BP107">
            <v>-1</v>
          </cell>
          <cell r="BQ107">
            <v>0</v>
          </cell>
          <cell r="BR107">
            <v>1</v>
          </cell>
          <cell r="BS107">
            <v>-6</v>
          </cell>
          <cell r="BT107">
            <v>-6</v>
          </cell>
          <cell r="BU107">
            <v>-1</v>
          </cell>
          <cell r="BV107">
            <v>0</v>
          </cell>
          <cell r="BW107">
            <v>1</v>
          </cell>
          <cell r="BX107">
            <v>17</v>
          </cell>
          <cell r="BY107">
            <v>17</v>
          </cell>
          <cell r="BZ107">
            <v>0</v>
          </cell>
          <cell r="CA107">
            <v>2</v>
          </cell>
          <cell r="CB107">
            <v>-3</v>
          </cell>
          <cell r="CC107">
            <v>-8</v>
          </cell>
          <cell r="CD107">
            <v>-9</v>
          </cell>
          <cell r="CE107">
            <v>3</v>
          </cell>
          <cell r="CF107">
            <v>3</v>
          </cell>
          <cell r="CG107">
            <v>4</v>
          </cell>
          <cell r="CH107">
            <v>-5</v>
          </cell>
          <cell r="CI107">
            <v>5</v>
          </cell>
          <cell r="CJ107">
            <v>1</v>
          </cell>
          <cell r="CK107">
            <v>0</v>
          </cell>
          <cell r="CL107">
            <v>1</v>
          </cell>
          <cell r="CM107">
            <v>-13</v>
          </cell>
          <cell r="CN107">
            <v>-11</v>
          </cell>
          <cell r="CO107">
            <v>0</v>
          </cell>
          <cell r="CP107">
            <v>0</v>
          </cell>
          <cell r="CQ107">
            <v>0</v>
          </cell>
          <cell r="CR107">
            <v>-9</v>
          </cell>
          <cell r="CS107">
            <v>-9</v>
          </cell>
          <cell r="CT107">
            <v>3</v>
          </cell>
          <cell r="CU107">
            <v>0</v>
          </cell>
          <cell r="CV107">
            <v>0</v>
          </cell>
          <cell r="CW107">
            <v>0</v>
          </cell>
          <cell r="CX107">
            <v>3</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W107" t="str">
            <v>mstag:changeInAccumulatedOtherComprehensiveIncomeLossOrOtherReserves</v>
          </cell>
          <cell r="DX107">
            <v>6</v>
          </cell>
          <cell r="DY107" t="str">
            <v>ISO4217:USD</v>
          </cell>
          <cell r="DZ107" t="b">
            <v>0</v>
          </cell>
        </row>
        <row r="108">
          <cell r="B108" t="str">
            <v>Adjustments</v>
          </cell>
          <cell r="D108">
            <v>-639.02800000000002</v>
          </cell>
          <cell r="E108">
            <v>-46.199999999999974</v>
          </cell>
          <cell r="F108">
            <v>-48.899999999999949</v>
          </cell>
          <cell r="G108">
            <v>734.12800000000004</v>
          </cell>
          <cell r="H108">
            <v>0</v>
          </cell>
          <cell r="I108">
            <v>-858.30000000000007</v>
          </cell>
          <cell r="J108">
            <v>-182.79999999999998</v>
          </cell>
          <cell r="K108">
            <v>-70.700000000000117</v>
          </cell>
          <cell r="L108">
            <v>1111.8000000000002</v>
          </cell>
          <cell r="M108">
            <v>0</v>
          </cell>
          <cell r="N108">
            <v>-1162.3999999999999</v>
          </cell>
          <cell r="O108">
            <v>-76.799999999999869</v>
          </cell>
          <cell r="P108">
            <v>113.29999999999993</v>
          </cell>
          <cell r="Q108">
            <v>1108.9000000000005</v>
          </cell>
          <cell r="R108">
            <v>-17</v>
          </cell>
          <cell r="S108">
            <v>-935</v>
          </cell>
          <cell r="T108">
            <v>-138</v>
          </cell>
          <cell r="U108">
            <v>-148</v>
          </cell>
          <cell r="V108">
            <v>1221</v>
          </cell>
          <cell r="W108">
            <v>0</v>
          </cell>
          <cell r="X108">
            <v>-1217</v>
          </cell>
          <cell r="Y108">
            <v>-125</v>
          </cell>
          <cell r="Z108">
            <v>-124</v>
          </cell>
          <cell r="AA108">
            <v>1466</v>
          </cell>
          <cell r="AB108">
            <v>0</v>
          </cell>
          <cell r="AC108">
            <v>-1438</v>
          </cell>
          <cell r="AD108">
            <v>-135</v>
          </cell>
          <cell r="AE108">
            <v>-38</v>
          </cell>
          <cell r="AF108">
            <v>1607</v>
          </cell>
          <cell r="AG108">
            <v>-4</v>
          </cell>
          <cell r="AH108">
            <v>-1781</v>
          </cell>
          <cell r="AI108">
            <v>-175</v>
          </cell>
          <cell r="AJ108">
            <v>-198</v>
          </cell>
          <cell r="AK108">
            <v>2154</v>
          </cell>
          <cell r="AL108">
            <v>0</v>
          </cell>
          <cell r="AM108">
            <v>1</v>
          </cell>
          <cell r="AN108">
            <v>-1</v>
          </cell>
          <cell r="AO108">
            <v>0</v>
          </cell>
          <cell r="AP108">
            <v>0</v>
          </cell>
          <cell r="AQ108">
            <v>0</v>
          </cell>
          <cell r="AR108">
            <v>0</v>
          </cell>
          <cell r="AS108">
            <v>0</v>
          </cell>
          <cell r="AT108">
            <v>0</v>
          </cell>
          <cell r="BA108">
            <v>-329</v>
          </cell>
          <cell r="BB108">
            <v>0</v>
          </cell>
          <cell r="BC108">
            <v>0</v>
          </cell>
          <cell r="BD108">
            <v>2</v>
          </cell>
          <cell r="BE108">
            <v>-327</v>
          </cell>
          <cell r="BF108">
            <v>0</v>
          </cell>
          <cell r="BG108">
            <v>0</v>
          </cell>
          <cell r="BH108">
            <v>0</v>
          </cell>
          <cell r="BI108">
            <v>0</v>
          </cell>
          <cell r="BJ108">
            <v>0</v>
          </cell>
          <cell r="BK108">
            <v>-153</v>
          </cell>
          <cell r="BL108">
            <v>0</v>
          </cell>
          <cell r="BM108">
            <v>0</v>
          </cell>
          <cell r="BN108">
            <v>0</v>
          </cell>
          <cell r="BO108">
            <v>-153</v>
          </cell>
          <cell r="BP108">
            <v>0</v>
          </cell>
          <cell r="BQ108">
            <v>0</v>
          </cell>
          <cell r="BR108">
            <v>0</v>
          </cell>
          <cell r="BS108">
            <v>0</v>
          </cell>
          <cell r="BT108">
            <v>0</v>
          </cell>
          <cell r="BU108">
            <v>-178</v>
          </cell>
          <cell r="BV108">
            <v>0</v>
          </cell>
          <cell r="BW108">
            <v>0</v>
          </cell>
          <cell r="BX108">
            <v>0</v>
          </cell>
          <cell r="BY108">
            <v>-178</v>
          </cell>
          <cell r="BZ108">
            <v>0</v>
          </cell>
          <cell r="CA108">
            <v>0</v>
          </cell>
          <cell r="CB108">
            <v>0</v>
          </cell>
          <cell r="CC108">
            <v>0</v>
          </cell>
          <cell r="CD108">
            <v>0</v>
          </cell>
          <cell r="CE108">
            <v>0</v>
          </cell>
          <cell r="CF108">
            <v>0</v>
          </cell>
          <cell r="CG108">
            <v>0</v>
          </cell>
          <cell r="CH108">
            <v>6</v>
          </cell>
          <cell r="CI108">
            <v>6</v>
          </cell>
          <cell r="CJ108">
            <v>6</v>
          </cell>
          <cell r="CK108">
            <v>6</v>
          </cell>
          <cell r="CL108">
            <v>6</v>
          </cell>
          <cell r="CM108">
            <v>6</v>
          </cell>
          <cell r="CN108">
            <v>24</v>
          </cell>
          <cell r="CO108">
            <v>6</v>
          </cell>
          <cell r="CP108">
            <v>6</v>
          </cell>
          <cell r="CQ108">
            <v>6</v>
          </cell>
          <cell r="CR108">
            <v>6</v>
          </cell>
          <cell r="CS108">
            <v>24</v>
          </cell>
          <cell r="CT108">
            <v>6</v>
          </cell>
          <cell r="CU108">
            <v>4</v>
          </cell>
          <cell r="CV108">
            <v>1</v>
          </cell>
          <cell r="CW108">
            <v>-1.1368683772161603E-13</v>
          </cell>
          <cell r="CX108">
            <v>10.999999999999545</v>
          </cell>
          <cell r="CY108">
            <v>0</v>
          </cell>
          <cell r="CZ108">
            <v>0</v>
          </cell>
          <cell r="DA108">
            <v>-1.1368683772161603E-13</v>
          </cell>
          <cell r="DB108">
            <v>0</v>
          </cell>
          <cell r="DC108">
            <v>-7.9580786405131221E-13</v>
          </cell>
          <cell r="DD108">
            <v>0</v>
          </cell>
          <cell r="DE108">
            <v>0</v>
          </cell>
          <cell r="DF108">
            <v>0</v>
          </cell>
          <cell r="DG108">
            <v>0</v>
          </cell>
          <cell r="DH108">
            <v>-6.8212102632969618E-13</v>
          </cell>
          <cell r="DI108">
            <v>0</v>
          </cell>
          <cell r="DJ108">
            <v>0</v>
          </cell>
          <cell r="DK108">
            <v>0</v>
          </cell>
          <cell r="DL108">
            <v>0</v>
          </cell>
          <cell r="DM108">
            <v>7.3896444519050419E-13</v>
          </cell>
          <cell r="DN108">
            <v>0</v>
          </cell>
          <cell r="DO108">
            <v>0</v>
          </cell>
          <cell r="DP108">
            <v>0</v>
          </cell>
          <cell r="DQ108">
            <v>0</v>
          </cell>
          <cell r="DR108">
            <v>8.5265128291212022E-13</v>
          </cell>
          <cell r="DW108" t="str">
            <v>mstag:changeInAccumulatedOtherComprehensiveIncomeLossOrOtherReserves</v>
          </cell>
          <cell r="DX108">
            <v>6</v>
          </cell>
          <cell r="DY108" t="str">
            <v>ISO4217:USD</v>
          </cell>
          <cell r="DZ108" t="b">
            <v>0</v>
          </cell>
        </row>
        <row r="109">
          <cell r="B109" t="str">
            <v>EOP shareholders' equity</v>
          </cell>
          <cell r="D109">
            <v>1388.164</v>
          </cell>
          <cell r="E109">
            <v>1434.6</v>
          </cell>
          <cell r="F109">
            <v>1485</v>
          </cell>
          <cell r="G109">
            <v>1986</v>
          </cell>
          <cell r="H109">
            <v>1986</v>
          </cell>
          <cell r="I109">
            <v>2105.9</v>
          </cell>
          <cell r="J109">
            <v>2355</v>
          </cell>
          <cell r="K109">
            <v>2655.8</v>
          </cell>
          <cell r="L109">
            <v>2636</v>
          </cell>
          <cell r="M109">
            <v>2636</v>
          </cell>
          <cell r="N109">
            <v>2763.8</v>
          </cell>
          <cell r="O109">
            <v>2846.2000000000003</v>
          </cell>
          <cell r="P109">
            <v>3474.8</v>
          </cell>
          <cell r="Q109">
            <v>3224</v>
          </cell>
          <cell r="R109">
            <v>3224</v>
          </cell>
          <cell r="S109">
            <v>3381</v>
          </cell>
          <cell r="T109">
            <v>3460</v>
          </cell>
          <cell r="U109">
            <v>3693</v>
          </cell>
          <cell r="V109">
            <v>3558</v>
          </cell>
          <cell r="W109">
            <v>3558</v>
          </cell>
          <cell r="X109">
            <v>3663</v>
          </cell>
          <cell r="Y109">
            <v>3864</v>
          </cell>
          <cell r="Z109">
            <v>3973</v>
          </cell>
          <cell r="AA109">
            <v>3870</v>
          </cell>
          <cell r="AB109">
            <v>3870</v>
          </cell>
          <cell r="AC109">
            <v>3952</v>
          </cell>
          <cell r="AD109">
            <v>4089</v>
          </cell>
          <cell r="AE109">
            <v>4103</v>
          </cell>
          <cell r="AF109">
            <v>4066</v>
          </cell>
          <cell r="AG109">
            <v>4066</v>
          </cell>
          <cell r="AH109">
            <v>4293</v>
          </cell>
          <cell r="AI109">
            <v>4584</v>
          </cell>
          <cell r="AJ109">
            <v>4940</v>
          </cell>
          <cell r="AK109">
            <v>5079</v>
          </cell>
          <cell r="AL109">
            <v>5079</v>
          </cell>
          <cell r="AM109">
            <v>5284</v>
          </cell>
          <cell r="AN109">
            <v>5301</v>
          </cell>
          <cell r="AO109">
            <v>5465</v>
          </cell>
          <cell r="AP109">
            <v>5619</v>
          </cell>
          <cell r="AQ109">
            <v>5619</v>
          </cell>
          <cell r="AR109">
            <v>5881</v>
          </cell>
          <cell r="AS109">
            <v>5893</v>
          </cell>
          <cell r="AT109">
            <v>5762</v>
          </cell>
          <cell r="AZ109">
            <v>5723</v>
          </cell>
          <cell r="BA109">
            <v>5743</v>
          </cell>
          <cell r="BB109">
            <v>5531</v>
          </cell>
          <cell r="BC109">
            <v>5272</v>
          </cell>
          <cell r="BD109">
            <v>4361</v>
          </cell>
          <cell r="BE109">
            <v>4361</v>
          </cell>
          <cell r="BF109">
            <v>4268</v>
          </cell>
          <cell r="BG109">
            <v>3887</v>
          </cell>
          <cell r="BH109">
            <v>3849</v>
          </cell>
          <cell r="BI109">
            <v>1732</v>
          </cell>
          <cell r="BJ109">
            <v>1732</v>
          </cell>
          <cell r="BK109">
            <v>1723</v>
          </cell>
          <cell r="BL109">
            <v>1709</v>
          </cell>
          <cell r="BM109">
            <v>1324</v>
          </cell>
          <cell r="BN109">
            <v>1021</v>
          </cell>
          <cell r="BO109">
            <v>1021</v>
          </cell>
          <cell r="BP109">
            <v>1099</v>
          </cell>
          <cell r="BQ109">
            <v>707</v>
          </cell>
          <cell r="BR109">
            <v>631</v>
          </cell>
          <cell r="BS109">
            <v>264</v>
          </cell>
          <cell r="BT109">
            <v>264</v>
          </cell>
          <cell r="BU109">
            <v>167</v>
          </cell>
          <cell r="BV109">
            <v>149</v>
          </cell>
          <cell r="BW109">
            <v>101</v>
          </cell>
          <cell r="BX109">
            <v>54</v>
          </cell>
          <cell r="BY109">
            <v>54</v>
          </cell>
          <cell r="BZ109">
            <v>32</v>
          </cell>
          <cell r="CA109">
            <v>29</v>
          </cell>
          <cell r="CB109">
            <v>136</v>
          </cell>
          <cell r="CC109">
            <v>103</v>
          </cell>
          <cell r="CD109">
            <v>103</v>
          </cell>
          <cell r="CE109">
            <v>291</v>
          </cell>
          <cell r="CF109">
            <v>286</v>
          </cell>
          <cell r="CG109">
            <v>626</v>
          </cell>
          <cell r="CH109">
            <v>646</v>
          </cell>
          <cell r="CI109">
            <v>646</v>
          </cell>
          <cell r="CJ109">
            <v>739</v>
          </cell>
          <cell r="CK109">
            <v>772</v>
          </cell>
          <cell r="CL109">
            <v>1711</v>
          </cell>
          <cell r="CM109">
            <v>1766</v>
          </cell>
          <cell r="CN109">
            <v>1766</v>
          </cell>
          <cell r="CO109">
            <v>1844</v>
          </cell>
          <cell r="CP109">
            <v>1810</v>
          </cell>
          <cell r="CQ109">
            <v>1698</v>
          </cell>
          <cell r="CR109">
            <v>1423</v>
          </cell>
          <cell r="CS109">
            <v>1423</v>
          </cell>
          <cell r="CT109">
            <v>1460</v>
          </cell>
          <cell r="CU109">
            <v>1176</v>
          </cell>
          <cell r="CV109">
            <v>1224</v>
          </cell>
          <cell r="CW109">
            <v>1293.7919732096275</v>
          </cell>
          <cell r="CX109">
            <v>1293.7919732096275</v>
          </cell>
          <cell r="CY109">
            <v>1335.9385855647201</v>
          </cell>
          <cell r="CZ109">
            <v>1421.7921669820323</v>
          </cell>
          <cell r="DA109">
            <v>1492.2582158202845</v>
          </cell>
          <cell r="DB109">
            <v>1605.9342118571192</v>
          </cell>
          <cell r="DC109">
            <v>1605.934211857119</v>
          </cell>
          <cell r="DD109">
            <v>1684.9248638383506</v>
          </cell>
          <cell r="DE109">
            <v>1791.0176838296456</v>
          </cell>
          <cell r="DF109">
            <v>1876.4009341940866</v>
          </cell>
          <cell r="DG109">
            <v>2010.1144268221642</v>
          </cell>
          <cell r="DH109">
            <v>2010.114426822164</v>
          </cell>
          <cell r="DI109">
            <v>2103.4274786756514</v>
          </cell>
          <cell r="DJ109">
            <v>2215.8213085405569</v>
          </cell>
          <cell r="DK109">
            <v>2309.7570163021028</v>
          </cell>
          <cell r="DL109">
            <v>2458.091565099463</v>
          </cell>
          <cell r="DM109">
            <v>2458.0915650994625</v>
          </cell>
          <cell r="DN109">
            <v>2567.884386115511</v>
          </cell>
          <cell r="DO109">
            <v>2693.5067161063766</v>
          </cell>
          <cell r="DP109">
            <v>2800.2441578870985</v>
          </cell>
          <cell r="DQ109">
            <v>2962.1453005398234</v>
          </cell>
          <cell r="DR109">
            <v>2962.1453005398234</v>
          </cell>
        </row>
        <row r="110">
          <cell r="B110" t="str">
            <v>EOP shareholders' equity from BS</v>
          </cell>
          <cell r="D110">
            <v>1388.164</v>
          </cell>
          <cell r="E110">
            <v>1434.6</v>
          </cell>
          <cell r="F110">
            <v>1485</v>
          </cell>
          <cell r="G110">
            <v>1986</v>
          </cell>
          <cell r="H110">
            <v>1986</v>
          </cell>
          <cell r="I110">
            <v>2105.9</v>
          </cell>
          <cell r="J110">
            <v>2355</v>
          </cell>
          <cell r="K110">
            <v>2655.8</v>
          </cell>
          <cell r="L110">
            <v>2636</v>
          </cell>
          <cell r="M110">
            <v>2636</v>
          </cell>
          <cell r="N110">
            <v>2763.8</v>
          </cell>
          <cell r="O110">
            <v>2846.2000000000003</v>
          </cell>
          <cell r="P110">
            <v>3474.8</v>
          </cell>
          <cell r="Q110">
            <v>3224</v>
          </cell>
          <cell r="R110">
            <v>3224</v>
          </cell>
          <cell r="S110">
            <v>3381</v>
          </cell>
          <cell r="T110">
            <v>3460</v>
          </cell>
          <cell r="U110">
            <v>3693</v>
          </cell>
          <cell r="V110">
            <v>3558</v>
          </cell>
          <cell r="W110">
            <v>3558</v>
          </cell>
          <cell r="X110">
            <v>3663</v>
          </cell>
          <cell r="Y110">
            <v>3864</v>
          </cell>
          <cell r="Z110">
            <v>3973</v>
          </cell>
          <cell r="AA110">
            <v>3870</v>
          </cell>
          <cell r="AB110">
            <v>3870</v>
          </cell>
          <cell r="AC110">
            <v>3952</v>
          </cell>
          <cell r="AD110">
            <v>4089</v>
          </cell>
          <cell r="AE110">
            <v>4103</v>
          </cell>
          <cell r="AF110">
            <v>4066</v>
          </cell>
          <cell r="AG110">
            <v>4066</v>
          </cell>
          <cell r="AH110">
            <v>4293</v>
          </cell>
          <cell r="AI110">
            <v>4584</v>
          </cell>
          <cell r="AJ110">
            <v>4940</v>
          </cell>
          <cell r="AK110">
            <v>5079</v>
          </cell>
          <cell r="AL110">
            <v>5079</v>
          </cell>
          <cell r="AM110">
            <v>5284</v>
          </cell>
          <cell r="AN110">
            <v>5301</v>
          </cell>
          <cell r="AO110">
            <v>5465</v>
          </cell>
          <cell r="AP110">
            <v>5619</v>
          </cell>
          <cell r="AQ110">
            <v>5619</v>
          </cell>
          <cell r="AR110">
            <v>5881</v>
          </cell>
          <cell r="AS110">
            <v>5893</v>
          </cell>
          <cell r="AT110">
            <v>5762</v>
          </cell>
          <cell r="BA110">
            <v>5743</v>
          </cell>
          <cell r="BB110">
            <v>5531</v>
          </cell>
          <cell r="BC110">
            <v>5272</v>
          </cell>
          <cell r="BD110">
            <v>4361</v>
          </cell>
          <cell r="BE110">
            <v>4361</v>
          </cell>
          <cell r="BF110">
            <v>4268</v>
          </cell>
          <cell r="BG110">
            <v>3887</v>
          </cell>
          <cell r="BH110">
            <v>3849</v>
          </cell>
          <cell r="BI110">
            <v>1732</v>
          </cell>
          <cell r="BJ110">
            <v>1732</v>
          </cell>
          <cell r="BK110">
            <v>1723</v>
          </cell>
          <cell r="BL110">
            <v>1709</v>
          </cell>
          <cell r="BM110">
            <v>1324</v>
          </cell>
          <cell r="BN110">
            <v>1021</v>
          </cell>
          <cell r="BO110">
            <v>1021</v>
          </cell>
          <cell r="BP110">
            <v>1099</v>
          </cell>
          <cell r="BQ110">
            <v>707</v>
          </cell>
          <cell r="BR110">
            <v>631</v>
          </cell>
          <cell r="BS110">
            <v>264</v>
          </cell>
          <cell r="BT110">
            <v>264</v>
          </cell>
          <cell r="BU110">
            <v>167</v>
          </cell>
          <cell r="BV110">
            <v>149</v>
          </cell>
          <cell r="BW110">
            <v>101</v>
          </cell>
          <cell r="BX110">
            <v>54</v>
          </cell>
          <cell r="BY110">
            <v>54</v>
          </cell>
          <cell r="BZ110">
            <v>32</v>
          </cell>
          <cell r="CA110">
            <v>29</v>
          </cell>
          <cell r="CB110">
            <v>136</v>
          </cell>
          <cell r="CC110">
            <v>103</v>
          </cell>
          <cell r="CD110">
            <v>103</v>
          </cell>
          <cell r="CE110">
            <v>291</v>
          </cell>
          <cell r="CF110">
            <v>286</v>
          </cell>
          <cell r="CG110">
            <v>626</v>
          </cell>
          <cell r="CH110">
            <v>646</v>
          </cell>
          <cell r="CI110">
            <v>646</v>
          </cell>
          <cell r="CJ110">
            <v>739</v>
          </cell>
          <cell r="CK110">
            <v>772</v>
          </cell>
          <cell r="CL110">
            <v>1711</v>
          </cell>
          <cell r="CM110">
            <v>1766</v>
          </cell>
          <cell r="CN110">
            <v>1766</v>
          </cell>
          <cell r="CO110">
            <v>1844</v>
          </cell>
          <cell r="CP110">
            <v>1810</v>
          </cell>
          <cell r="CQ110">
            <v>1698</v>
          </cell>
          <cell r="CR110">
            <v>1423</v>
          </cell>
          <cell r="CS110">
            <v>1423</v>
          </cell>
          <cell r="CT110">
            <v>1460</v>
          </cell>
          <cell r="CU110">
            <v>1176</v>
          </cell>
          <cell r="CV110">
            <v>1224</v>
          </cell>
          <cell r="CW110">
            <v>1293.7919732096275</v>
          </cell>
          <cell r="CX110">
            <v>1293.7919732096275</v>
          </cell>
          <cell r="CY110">
            <v>1335.9385855647201</v>
          </cell>
          <cell r="CZ110">
            <v>1421.7921669820325</v>
          </cell>
          <cell r="DA110">
            <v>1492.258215820284</v>
          </cell>
          <cell r="DB110">
            <v>1605.9342118571194</v>
          </cell>
          <cell r="DC110">
            <v>1605.9342118571194</v>
          </cell>
          <cell r="DD110">
            <v>1684.9248638383506</v>
          </cell>
          <cell r="DE110">
            <v>1791.0176838296456</v>
          </cell>
          <cell r="DF110">
            <v>1876.4009341940864</v>
          </cell>
          <cell r="DG110">
            <v>2010.1144268221642</v>
          </cell>
          <cell r="DH110">
            <v>2010.1144268221642</v>
          </cell>
          <cell r="DI110">
            <v>2103.4274786756514</v>
          </cell>
          <cell r="DJ110">
            <v>2215.8213085405573</v>
          </cell>
          <cell r="DK110">
            <v>2309.7570163021028</v>
          </cell>
          <cell r="DL110">
            <v>2458.091565099463</v>
          </cell>
          <cell r="DM110">
            <v>2458.091565099463</v>
          </cell>
          <cell r="DN110">
            <v>2567.884386115511</v>
          </cell>
          <cell r="DO110">
            <v>2693.5067161063762</v>
          </cell>
          <cell r="DP110">
            <v>2800.2441578870985</v>
          </cell>
          <cell r="DQ110">
            <v>2962.1453005398234</v>
          </cell>
          <cell r="DR110">
            <v>2962.1453005398234</v>
          </cell>
        </row>
        <row r="111">
          <cell r="B111" t="str">
            <v>Check</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row>
        <row r="114">
          <cell r="B114" t="str">
            <v>Property &amp; Equipment, net - EOP</v>
          </cell>
          <cell r="D114">
            <v>1794.4960000000001</v>
          </cell>
          <cell r="E114">
            <v>1780.9</v>
          </cell>
          <cell r="F114">
            <v>1786.7</v>
          </cell>
          <cell r="G114">
            <v>3319</v>
          </cell>
          <cell r="H114">
            <v>3319</v>
          </cell>
          <cell r="I114">
            <v>3418</v>
          </cell>
          <cell r="J114">
            <v>3563.5</v>
          </cell>
          <cell r="K114">
            <v>3590</v>
          </cell>
          <cell r="L114">
            <v>3648</v>
          </cell>
          <cell r="M114">
            <v>3648</v>
          </cell>
          <cell r="N114">
            <v>3689</v>
          </cell>
          <cell r="O114">
            <v>3738.1</v>
          </cell>
          <cell r="P114">
            <v>5283.3</v>
          </cell>
          <cell r="Q114">
            <v>5490</v>
          </cell>
          <cell r="R114">
            <v>5490</v>
          </cell>
          <cell r="S114">
            <v>5657</v>
          </cell>
          <cell r="T114">
            <v>5677</v>
          </cell>
          <cell r="U114">
            <v>5835</v>
          </cell>
          <cell r="V114">
            <v>5987</v>
          </cell>
          <cell r="W114">
            <v>5987</v>
          </cell>
          <cell r="X114">
            <v>6103</v>
          </cell>
          <cell r="Y114">
            <v>6422</v>
          </cell>
          <cell r="Z114">
            <v>6432</v>
          </cell>
          <cell r="AA114">
            <v>5839</v>
          </cell>
          <cell r="AB114">
            <v>5839</v>
          </cell>
          <cell r="AC114">
            <v>5818</v>
          </cell>
          <cell r="AD114">
            <v>5843</v>
          </cell>
          <cell r="AE114">
            <v>5793</v>
          </cell>
          <cell r="AF114">
            <v>5894</v>
          </cell>
          <cell r="AG114">
            <v>5894</v>
          </cell>
          <cell r="AH114">
            <v>5842</v>
          </cell>
          <cell r="AI114">
            <v>5863</v>
          </cell>
          <cell r="AJ114">
            <v>5892</v>
          </cell>
          <cell r="AK114">
            <v>5976</v>
          </cell>
          <cell r="AL114">
            <v>5976</v>
          </cell>
          <cell r="AM114">
            <v>6221</v>
          </cell>
          <cell r="AN114">
            <v>6308</v>
          </cell>
          <cell r="AO114">
            <v>6391</v>
          </cell>
          <cell r="AP114">
            <v>6585</v>
          </cell>
          <cell r="AQ114">
            <v>6585</v>
          </cell>
          <cell r="AR114">
            <v>6564</v>
          </cell>
          <cell r="AS114">
            <v>6679</v>
          </cell>
          <cell r="AT114">
            <v>6412</v>
          </cell>
          <cell r="AZ114">
            <v>6359</v>
          </cell>
          <cell r="BA114">
            <v>6051</v>
          </cell>
          <cell r="BB114">
            <v>5899</v>
          </cell>
          <cell r="BC114">
            <v>5914</v>
          </cell>
          <cell r="BD114">
            <v>5557</v>
          </cell>
          <cell r="BE114">
            <v>5557</v>
          </cell>
          <cell r="BF114">
            <v>4868</v>
          </cell>
          <cell r="BG114">
            <v>4823</v>
          </cell>
          <cell r="BH114">
            <v>4837</v>
          </cell>
          <cell r="BI114">
            <v>4820</v>
          </cell>
          <cell r="BJ114">
            <v>4820</v>
          </cell>
          <cell r="BK114">
            <v>4817</v>
          </cell>
          <cell r="BL114">
            <v>4849</v>
          </cell>
          <cell r="BM114">
            <v>4593</v>
          </cell>
          <cell r="BN114">
            <v>4620</v>
          </cell>
          <cell r="BO114">
            <v>4620</v>
          </cell>
          <cell r="BP114">
            <v>4601</v>
          </cell>
          <cell r="BQ114">
            <v>4276</v>
          </cell>
          <cell r="BR114">
            <v>4317</v>
          </cell>
          <cell r="BS114">
            <v>4299</v>
          </cell>
          <cell r="BT114">
            <v>4299</v>
          </cell>
          <cell r="BU114">
            <v>4275</v>
          </cell>
          <cell r="BV114">
            <v>4354</v>
          </cell>
          <cell r="BW114">
            <v>4403</v>
          </cell>
          <cell r="BX114">
            <v>4645</v>
          </cell>
          <cell r="BY114">
            <v>4645</v>
          </cell>
          <cell r="BZ114">
            <v>4622</v>
          </cell>
          <cell r="CA114">
            <v>4274</v>
          </cell>
          <cell r="CB114">
            <v>4239</v>
          </cell>
          <cell r="CC114">
            <v>4291</v>
          </cell>
          <cell r="CD114">
            <v>4291</v>
          </cell>
          <cell r="CE114">
            <v>4236</v>
          </cell>
          <cell r="CF114">
            <v>4182</v>
          </cell>
          <cell r="CG114">
            <v>4172</v>
          </cell>
          <cell r="CH114">
            <v>4313</v>
          </cell>
          <cell r="CI114">
            <v>4313</v>
          </cell>
          <cell r="CJ114">
            <v>4249</v>
          </cell>
          <cell r="CK114">
            <v>4211</v>
          </cell>
          <cell r="CL114">
            <v>4239</v>
          </cell>
          <cell r="CM114">
            <v>4304</v>
          </cell>
          <cell r="CN114">
            <v>4304</v>
          </cell>
          <cell r="CO114">
            <v>4262</v>
          </cell>
          <cell r="CP114">
            <v>4238</v>
          </cell>
          <cell r="CQ114">
            <v>4201</v>
          </cell>
          <cell r="CR114">
            <v>4350</v>
          </cell>
          <cell r="CS114">
            <v>4350</v>
          </cell>
          <cell r="CT114">
            <v>4324</v>
          </cell>
          <cell r="CU114">
            <v>4181</v>
          </cell>
          <cell r="CV114">
            <v>4173</v>
          </cell>
          <cell r="CW114">
            <v>4208</v>
          </cell>
          <cell r="CX114">
            <v>4208</v>
          </cell>
          <cell r="CY114">
            <v>4380.0124999999998</v>
          </cell>
          <cell r="CZ114">
            <v>4402.0249999999996</v>
          </cell>
          <cell r="DA114">
            <v>4424.0374999999995</v>
          </cell>
          <cell r="DB114">
            <v>4451.0499999999993</v>
          </cell>
          <cell r="DC114">
            <v>4451.0499999999993</v>
          </cell>
          <cell r="DD114">
            <v>4471.8993749999991</v>
          </cell>
          <cell r="DE114">
            <v>4492.7487499999988</v>
          </cell>
          <cell r="DF114">
            <v>4513.5981249999986</v>
          </cell>
          <cell r="DG114">
            <v>4534.4474999999984</v>
          </cell>
          <cell r="DH114">
            <v>4534.4474999999984</v>
          </cell>
          <cell r="DI114">
            <v>4554.2544062499983</v>
          </cell>
          <cell r="DJ114">
            <v>4574.0613124999982</v>
          </cell>
          <cell r="DK114">
            <v>4593.8682187499981</v>
          </cell>
          <cell r="DL114">
            <v>4613.6751249999979</v>
          </cell>
          <cell r="DM114">
            <v>4613.6751249999979</v>
          </cell>
          <cell r="DN114">
            <v>4632.491685937498</v>
          </cell>
          <cell r="DO114">
            <v>4651.3082468749981</v>
          </cell>
          <cell r="DP114">
            <v>4670.1248078124981</v>
          </cell>
          <cell r="DQ114">
            <v>4688.9413687499982</v>
          </cell>
          <cell r="DR114">
            <v>4688.9413687499982</v>
          </cell>
        </row>
        <row r="115">
          <cell r="B115" t="str">
            <v>check</v>
          </cell>
          <cell r="D115" t="str">
            <v>ok</v>
          </cell>
          <cell r="E115" t="str">
            <v>ok</v>
          </cell>
          <cell r="F115" t="str">
            <v>ok</v>
          </cell>
          <cell r="G115" t="str">
            <v>ok</v>
          </cell>
          <cell r="H115" t="str">
            <v>ok</v>
          </cell>
          <cell r="I115" t="str">
            <v>ok</v>
          </cell>
          <cell r="J115" t="str">
            <v>ok</v>
          </cell>
          <cell r="K115" t="str">
            <v>ok</v>
          </cell>
          <cell r="L115" t="str">
            <v>ok</v>
          </cell>
          <cell r="M115" t="str">
            <v>ok</v>
          </cell>
          <cell r="N115" t="str">
            <v>ok</v>
          </cell>
          <cell r="O115" t="str">
            <v>ok</v>
          </cell>
          <cell r="P115" t="str">
            <v>ok</v>
          </cell>
          <cell r="Q115" t="str">
            <v>ok</v>
          </cell>
          <cell r="R115" t="str">
            <v>ok</v>
          </cell>
          <cell r="S115" t="str">
            <v>ok</v>
          </cell>
          <cell r="T115" t="str">
            <v>ok</v>
          </cell>
          <cell r="U115" t="str">
            <v>ok</v>
          </cell>
          <cell r="V115" t="str">
            <v>ok</v>
          </cell>
          <cell r="W115" t="str">
            <v>ok</v>
          </cell>
          <cell r="X115" t="str">
            <v>ok</v>
          </cell>
          <cell r="Y115" t="str">
            <v>ok</v>
          </cell>
          <cell r="Z115" t="str">
            <v>ok</v>
          </cell>
          <cell r="AA115" t="str">
            <v>ok</v>
          </cell>
          <cell r="AB115" t="str">
            <v>ok</v>
          </cell>
          <cell r="AC115" t="str">
            <v>ok</v>
          </cell>
          <cell r="AD115" t="str">
            <v>ok</v>
          </cell>
          <cell r="AE115" t="str">
            <v>ok</v>
          </cell>
          <cell r="AF115" t="str">
            <v>ok</v>
          </cell>
          <cell r="AG115" t="str">
            <v>ok</v>
          </cell>
          <cell r="AH115" t="str">
            <v>ok</v>
          </cell>
          <cell r="AI115" t="str">
            <v>ok</v>
          </cell>
          <cell r="AJ115" t="str">
            <v>ok</v>
          </cell>
          <cell r="AK115" t="str">
            <v>ok</v>
          </cell>
          <cell r="AL115" t="str">
            <v>ok</v>
          </cell>
          <cell r="AM115" t="str">
            <v>ok</v>
          </cell>
          <cell r="AN115" t="str">
            <v>ok</v>
          </cell>
          <cell r="AO115" t="str">
            <v>ok</v>
          </cell>
          <cell r="AP115" t="str">
            <v>ok</v>
          </cell>
          <cell r="AQ115" t="str">
            <v>ok</v>
          </cell>
          <cell r="AR115" t="str">
            <v>ok</v>
          </cell>
          <cell r="AS115" t="str">
            <v>ok</v>
          </cell>
          <cell r="AT115" t="str">
            <v>ok</v>
          </cell>
          <cell r="AZ115" t="str">
            <v>ok</v>
          </cell>
          <cell r="BA115" t="str">
            <v>ok</v>
          </cell>
          <cell r="BB115" t="str">
            <v>ok</v>
          </cell>
          <cell r="BC115" t="str">
            <v>ok</v>
          </cell>
          <cell r="BD115" t="str">
            <v>ok</v>
          </cell>
          <cell r="BE115" t="str">
            <v>ok</v>
          </cell>
          <cell r="BF115" t="str">
            <v>ok</v>
          </cell>
          <cell r="BG115" t="str">
            <v>ok</v>
          </cell>
          <cell r="BH115" t="str">
            <v>ok</v>
          </cell>
          <cell r="BI115" t="str">
            <v>ok</v>
          </cell>
          <cell r="BJ115" t="str">
            <v>ok</v>
          </cell>
          <cell r="BK115" t="str">
            <v>ok</v>
          </cell>
          <cell r="BL115" t="str">
            <v>ok</v>
          </cell>
          <cell r="BM115" t="str">
            <v>ok</v>
          </cell>
          <cell r="BN115" t="str">
            <v>ok</v>
          </cell>
          <cell r="BO115" t="str">
            <v>ok</v>
          </cell>
          <cell r="BP115" t="str">
            <v>ok</v>
          </cell>
          <cell r="BQ115" t="str">
            <v>ok</v>
          </cell>
          <cell r="BR115" t="str">
            <v>ok</v>
          </cell>
          <cell r="BS115" t="str">
            <v>ok</v>
          </cell>
          <cell r="BT115" t="str">
            <v>ok</v>
          </cell>
          <cell r="BU115" t="str">
            <v>ok</v>
          </cell>
          <cell r="BV115" t="str">
            <v>ok</v>
          </cell>
          <cell r="BW115" t="str">
            <v>ok</v>
          </cell>
          <cell r="BX115" t="str">
            <v>ok</v>
          </cell>
          <cell r="BY115" t="str">
            <v>ok</v>
          </cell>
          <cell r="BZ115" t="str">
            <v>ok</v>
          </cell>
          <cell r="CA115" t="str">
            <v>ok</v>
          </cell>
          <cell r="CB115" t="str">
            <v>ok</v>
          </cell>
          <cell r="CC115" t="str">
            <v>ok</v>
          </cell>
          <cell r="CD115" t="str">
            <v>ok</v>
          </cell>
          <cell r="CE115" t="str">
            <v>ok</v>
          </cell>
          <cell r="CF115" t="str">
            <v>ok</v>
          </cell>
          <cell r="CG115" t="str">
            <v>ok</v>
          </cell>
          <cell r="CH115" t="str">
            <v>ok</v>
          </cell>
          <cell r="CI115" t="str">
            <v>ok</v>
          </cell>
          <cell r="CJ115" t="str">
            <v>ok</v>
          </cell>
          <cell r="CK115" t="str">
            <v>ok</v>
          </cell>
          <cell r="CL115" t="str">
            <v>ok</v>
          </cell>
          <cell r="CM115" t="str">
            <v>ok</v>
          </cell>
          <cell r="CN115" t="str">
            <v>ok</v>
          </cell>
          <cell r="CO115" t="str">
            <v>ok</v>
          </cell>
          <cell r="CP115" t="str">
            <v>ok</v>
          </cell>
          <cell r="CQ115" t="str">
            <v>ok</v>
          </cell>
          <cell r="CR115" t="str">
            <v>ok</v>
          </cell>
          <cell r="CS115" t="str">
            <v>ok</v>
          </cell>
          <cell r="CT115" t="str">
            <v>ok</v>
          </cell>
          <cell r="CU115" t="str">
            <v>ok</v>
          </cell>
          <cell r="CV115" t="str">
            <v>ok</v>
          </cell>
          <cell r="CW115" t="str">
            <v>ok</v>
          </cell>
          <cell r="CX115" t="str">
            <v>ok</v>
          </cell>
          <cell r="CY115" t="str">
            <v>ok</v>
          </cell>
          <cell r="CZ115" t="str">
            <v>ok</v>
          </cell>
          <cell r="DA115" t="str">
            <v>ok</v>
          </cell>
          <cell r="DB115" t="str">
            <v>ok</v>
          </cell>
          <cell r="DC115" t="str">
            <v>ok</v>
          </cell>
          <cell r="DD115" t="str">
            <v>ok</v>
          </cell>
          <cell r="DE115" t="str">
            <v>ok</v>
          </cell>
          <cell r="DF115" t="str">
            <v>ok</v>
          </cell>
          <cell r="DG115" t="str">
            <v>ok</v>
          </cell>
          <cell r="DH115" t="str">
            <v>ok</v>
          </cell>
          <cell r="DI115" t="str">
            <v>ok</v>
          </cell>
          <cell r="DJ115" t="str">
            <v>ok</v>
          </cell>
          <cell r="DK115" t="str">
            <v>ok</v>
          </cell>
          <cell r="DL115" t="str">
            <v>ok</v>
          </cell>
          <cell r="DM115" t="str">
            <v>ok</v>
          </cell>
          <cell r="DN115" t="str">
            <v>ok</v>
          </cell>
          <cell r="DO115" t="str">
            <v>ok</v>
          </cell>
          <cell r="DP115" t="str">
            <v>ok</v>
          </cell>
          <cell r="DQ115" t="str">
            <v>ok</v>
          </cell>
          <cell r="DR115" t="str">
            <v>ok</v>
          </cell>
        </row>
        <row r="116">
          <cell r="B116" t="str">
            <v>Plus:  Accumulated Depreciation</v>
          </cell>
          <cell r="D116">
            <v>788.17399999999998</v>
          </cell>
          <cell r="E116">
            <v>841.6</v>
          </cell>
          <cell r="F116">
            <v>876.5</v>
          </cell>
          <cell r="G116">
            <v>824</v>
          </cell>
          <cell r="H116">
            <v>824</v>
          </cell>
          <cell r="I116">
            <v>840.9</v>
          </cell>
          <cell r="J116">
            <v>901.2</v>
          </cell>
          <cell r="K116">
            <v>957.8</v>
          </cell>
          <cell r="L116">
            <v>950</v>
          </cell>
          <cell r="M116">
            <v>950</v>
          </cell>
          <cell r="N116">
            <v>1012.8</v>
          </cell>
          <cell r="O116">
            <v>1051.8</v>
          </cell>
          <cell r="P116">
            <v>1482</v>
          </cell>
          <cell r="Q116">
            <v>1432</v>
          </cell>
          <cell r="R116">
            <v>1432</v>
          </cell>
          <cell r="S116">
            <v>1517</v>
          </cell>
          <cell r="T116">
            <v>1592</v>
          </cell>
          <cell r="U116">
            <v>1728</v>
          </cell>
          <cell r="V116">
            <v>1761</v>
          </cell>
          <cell r="W116">
            <v>1761</v>
          </cell>
          <cell r="X116">
            <v>1857</v>
          </cell>
          <cell r="Y116">
            <v>1951</v>
          </cell>
          <cell r="Z116">
            <v>2033</v>
          </cell>
          <cell r="AA116">
            <v>1864</v>
          </cell>
          <cell r="AB116">
            <v>1864</v>
          </cell>
          <cell r="AC116">
            <v>1962</v>
          </cell>
          <cell r="AD116">
            <v>2052</v>
          </cell>
          <cell r="AE116">
            <v>2088</v>
          </cell>
          <cell r="AF116">
            <v>2247</v>
          </cell>
          <cell r="AG116">
            <v>2247</v>
          </cell>
          <cell r="AH116">
            <v>2347</v>
          </cell>
          <cell r="AI116">
            <v>2447</v>
          </cell>
          <cell r="AJ116">
            <v>2546</v>
          </cell>
          <cell r="AK116">
            <v>2607</v>
          </cell>
          <cell r="AL116">
            <v>2607</v>
          </cell>
          <cell r="AM116">
            <v>2756</v>
          </cell>
          <cell r="AN116">
            <v>2907</v>
          </cell>
          <cell r="AO116">
            <v>3061</v>
          </cell>
          <cell r="AP116">
            <v>2986</v>
          </cell>
          <cell r="AQ116">
            <v>2986</v>
          </cell>
          <cell r="AR116">
            <v>3114</v>
          </cell>
          <cell r="AS116">
            <v>3244</v>
          </cell>
          <cell r="AT116">
            <v>3376</v>
          </cell>
          <cell r="AZ116">
            <v>3014</v>
          </cell>
          <cell r="BA116">
            <v>3133</v>
          </cell>
          <cell r="BB116">
            <v>3253</v>
          </cell>
          <cell r="BC116">
            <v>3365</v>
          </cell>
          <cell r="BD116">
            <v>2556</v>
          </cell>
          <cell r="BE116">
            <v>2556</v>
          </cell>
          <cell r="BF116">
            <v>2652</v>
          </cell>
          <cell r="BG116">
            <v>2747</v>
          </cell>
          <cell r="BH116">
            <v>2650</v>
          </cell>
          <cell r="BI116">
            <v>2574</v>
          </cell>
          <cell r="BJ116">
            <v>2574</v>
          </cell>
          <cell r="BK116">
            <v>2652</v>
          </cell>
          <cell r="BL116">
            <v>2722</v>
          </cell>
          <cell r="BM116">
            <v>2661</v>
          </cell>
          <cell r="BN116">
            <v>2582</v>
          </cell>
          <cell r="BO116">
            <v>2582</v>
          </cell>
          <cell r="BP116">
            <v>2621</v>
          </cell>
          <cell r="BQ116">
            <v>2541</v>
          </cell>
          <cell r="BR116">
            <v>2608</v>
          </cell>
          <cell r="BS116">
            <v>2548</v>
          </cell>
          <cell r="BT116">
            <v>2548</v>
          </cell>
          <cell r="BU116">
            <v>2616</v>
          </cell>
          <cell r="BV116">
            <v>2666</v>
          </cell>
          <cell r="BW116">
            <v>2726</v>
          </cell>
          <cell r="BX116">
            <v>2779</v>
          </cell>
          <cell r="BY116">
            <v>2779</v>
          </cell>
          <cell r="BZ116">
            <v>2835</v>
          </cell>
          <cell r="CA116">
            <v>2743</v>
          </cell>
          <cell r="CB116">
            <v>2753</v>
          </cell>
          <cell r="CC116">
            <v>2795</v>
          </cell>
          <cell r="CD116">
            <v>2795</v>
          </cell>
          <cell r="CE116">
            <v>2852</v>
          </cell>
          <cell r="CF116">
            <v>2914</v>
          </cell>
          <cell r="CG116">
            <v>2966</v>
          </cell>
          <cell r="CH116">
            <v>2970</v>
          </cell>
          <cell r="CI116">
            <v>2970</v>
          </cell>
          <cell r="CJ116">
            <v>3028</v>
          </cell>
          <cell r="CK116">
            <v>3098</v>
          </cell>
          <cell r="CL116">
            <v>3073</v>
          </cell>
          <cell r="CM116">
            <v>3100</v>
          </cell>
          <cell r="CN116">
            <v>3100</v>
          </cell>
          <cell r="CO116">
            <v>3167</v>
          </cell>
          <cell r="CP116">
            <v>3230</v>
          </cell>
          <cell r="CQ116">
            <v>3304</v>
          </cell>
          <cell r="CR116">
            <v>3386</v>
          </cell>
          <cell r="CS116">
            <v>3386</v>
          </cell>
          <cell r="CT116">
            <v>3442</v>
          </cell>
          <cell r="CU116">
            <v>3367</v>
          </cell>
          <cell r="CV116">
            <v>3444</v>
          </cell>
          <cell r="CW116">
            <v>3554</v>
          </cell>
          <cell r="CX116">
            <v>3554</v>
          </cell>
          <cell r="CY116">
            <v>3661.9875000000002</v>
          </cell>
          <cell r="CZ116">
            <v>3769.9750000000004</v>
          </cell>
          <cell r="DA116">
            <v>3877.9625000000005</v>
          </cell>
          <cell r="DB116">
            <v>3985.9500000000007</v>
          </cell>
          <cell r="DC116">
            <v>3985.9500000000007</v>
          </cell>
          <cell r="DD116">
            <v>4095.1006250000009</v>
          </cell>
          <cell r="DE116">
            <v>4204.2512500000012</v>
          </cell>
          <cell r="DF116">
            <v>4313.4018750000014</v>
          </cell>
          <cell r="DG116">
            <v>4422.5525000000016</v>
          </cell>
          <cell r="DH116">
            <v>4422.5525000000016</v>
          </cell>
          <cell r="DI116">
            <v>4532.7455937500017</v>
          </cell>
          <cell r="DJ116">
            <v>4642.9386875000018</v>
          </cell>
          <cell r="DK116">
            <v>4753.1317812500019</v>
          </cell>
          <cell r="DL116">
            <v>4863.3248750000021</v>
          </cell>
          <cell r="DM116">
            <v>4863.3248750000021</v>
          </cell>
          <cell r="DN116">
            <v>4974.508314062502</v>
          </cell>
          <cell r="DO116">
            <v>5085.6917531250019</v>
          </cell>
          <cell r="DP116">
            <v>5196.8751921875019</v>
          </cell>
          <cell r="DQ116">
            <v>5308.0586312500018</v>
          </cell>
          <cell r="DR116">
            <v>5308.0586312500018</v>
          </cell>
        </row>
        <row r="117">
          <cell r="B117" t="str">
            <v>Gross Property &amp; Equipment - EOP</v>
          </cell>
          <cell r="D117">
            <v>2582.67</v>
          </cell>
          <cell r="E117">
            <v>2622.5</v>
          </cell>
          <cell r="F117">
            <v>2663.2</v>
          </cell>
          <cell r="G117">
            <v>4143</v>
          </cell>
          <cell r="H117">
            <v>4143</v>
          </cell>
          <cell r="I117">
            <v>4258.8999999999996</v>
          </cell>
          <cell r="J117">
            <v>4464.7</v>
          </cell>
          <cell r="K117">
            <v>4547.8</v>
          </cell>
          <cell r="L117">
            <v>4598</v>
          </cell>
          <cell r="M117">
            <v>4598</v>
          </cell>
          <cell r="N117">
            <v>4701.8</v>
          </cell>
          <cell r="O117">
            <v>4789.8999999999996</v>
          </cell>
          <cell r="P117">
            <v>6765.3</v>
          </cell>
          <cell r="Q117">
            <v>6922</v>
          </cell>
          <cell r="R117">
            <v>6922</v>
          </cell>
          <cell r="S117">
            <v>7174</v>
          </cell>
          <cell r="T117">
            <v>7269</v>
          </cell>
          <cell r="U117">
            <v>7563</v>
          </cell>
          <cell r="V117">
            <v>7748</v>
          </cell>
          <cell r="W117">
            <v>7748</v>
          </cell>
          <cell r="X117">
            <v>7960</v>
          </cell>
          <cell r="Y117">
            <v>8373</v>
          </cell>
          <cell r="Z117">
            <v>8465</v>
          </cell>
          <cell r="AA117">
            <v>7703</v>
          </cell>
          <cell r="AB117">
            <v>7703</v>
          </cell>
          <cell r="AC117">
            <v>7780</v>
          </cell>
          <cell r="AD117">
            <v>7895</v>
          </cell>
          <cell r="AE117">
            <v>7881</v>
          </cell>
          <cell r="AF117">
            <v>8141</v>
          </cell>
          <cell r="AG117">
            <v>8141</v>
          </cell>
          <cell r="AH117">
            <v>8189</v>
          </cell>
          <cell r="AI117">
            <v>8310</v>
          </cell>
          <cell r="AJ117">
            <v>8438</v>
          </cell>
          <cell r="AK117">
            <v>8583</v>
          </cell>
          <cell r="AL117">
            <v>8583</v>
          </cell>
          <cell r="AM117">
            <v>8977</v>
          </cell>
          <cell r="AN117">
            <v>9215</v>
          </cell>
          <cell r="AO117">
            <v>9452</v>
          </cell>
          <cell r="AP117">
            <v>9571</v>
          </cell>
          <cell r="AQ117">
            <v>9571</v>
          </cell>
          <cell r="AR117">
            <v>9678</v>
          </cell>
          <cell r="AS117">
            <v>9923</v>
          </cell>
          <cell r="AT117">
            <v>9788</v>
          </cell>
          <cell r="AZ117">
            <v>9373</v>
          </cell>
          <cell r="BA117">
            <v>9184</v>
          </cell>
          <cell r="BB117">
            <v>9152</v>
          </cell>
          <cell r="BC117">
            <v>9279</v>
          </cell>
          <cell r="BD117">
            <v>8113</v>
          </cell>
          <cell r="BE117">
            <v>8113</v>
          </cell>
          <cell r="BF117">
            <v>7520</v>
          </cell>
          <cell r="BG117">
            <v>7570</v>
          </cell>
          <cell r="BH117">
            <v>7487</v>
          </cell>
          <cell r="BI117">
            <v>7394</v>
          </cell>
          <cell r="BJ117">
            <v>7394</v>
          </cell>
          <cell r="BK117">
            <v>7469</v>
          </cell>
          <cell r="BL117">
            <v>7571</v>
          </cell>
          <cell r="BM117">
            <v>7254</v>
          </cell>
          <cell r="BN117">
            <v>7202</v>
          </cell>
          <cell r="BO117">
            <v>7202</v>
          </cell>
          <cell r="BP117">
            <v>7222</v>
          </cell>
          <cell r="BQ117">
            <v>6817</v>
          </cell>
          <cell r="BR117">
            <v>6925</v>
          </cell>
          <cell r="BS117">
            <v>6847</v>
          </cell>
          <cell r="BT117">
            <v>6847</v>
          </cell>
          <cell r="BU117">
            <v>6891</v>
          </cell>
          <cell r="BV117">
            <v>7020</v>
          </cell>
          <cell r="BW117">
            <v>7129</v>
          </cell>
          <cell r="BX117">
            <v>7424</v>
          </cell>
          <cell r="BY117">
            <v>7424</v>
          </cell>
          <cell r="BZ117">
            <v>7457</v>
          </cell>
          <cell r="CA117">
            <v>7017</v>
          </cell>
          <cell r="CB117">
            <v>6992</v>
          </cell>
          <cell r="CC117">
            <v>7086</v>
          </cell>
          <cell r="CD117">
            <v>7086</v>
          </cell>
          <cell r="CE117">
            <v>7088</v>
          </cell>
          <cell r="CF117">
            <v>7096</v>
          </cell>
          <cell r="CG117">
            <v>7138</v>
          </cell>
          <cell r="CH117">
            <v>7283</v>
          </cell>
          <cell r="CI117">
            <v>7283</v>
          </cell>
          <cell r="CJ117">
            <v>7277</v>
          </cell>
          <cell r="CK117">
            <v>7309</v>
          </cell>
          <cell r="CL117">
            <v>7312</v>
          </cell>
          <cell r="CM117">
            <v>7404</v>
          </cell>
          <cell r="CN117">
            <v>7404</v>
          </cell>
          <cell r="CO117">
            <v>7429</v>
          </cell>
          <cell r="CP117">
            <v>7468</v>
          </cell>
          <cell r="CQ117">
            <v>7505</v>
          </cell>
          <cell r="CR117">
            <v>7736</v>
          </cell>
          <cell r="CS117">
            <v>7736</v>
          </cell>
          <cell r="CT117">
            <v>7766</v>
          </cell>
          <cell r="CU117">
            <v>7548</v>
          </cell>
          <cell r="CV117">
            <v>7617</v>
          </cell>
          <cell r="CW117">
            <v>7762</v>
          </cell>
          <cell r="CX117">
            <v>7762</v>
          </cell>
          <cell r="CY117">
            <v>8042</v>
          </cell>
          <cell r="CZ117">
            <v>8172</v>
          </cell>
          <cell r="DA117">
            <v>8302</v>
          </cell>
          <cell r="DB117">
            <v>8437</v>
          </cell>
          <cell r="DC117">
            <v>8437</v>
          </cell>
          <cell r="DD117">
            <v>8567</v>
          </cell>
          <cell r="DE117">
            <v>8697</v>
          </cell>
          <cell r="DF117">
            <v>8827</v>
          </cell>
          <cell r="DG117">
            <v>8957</v>
          </cell>
          <cell r="DH117">
            <v>8957</v>
          </cell>
          <cell r="DI117">
            <v>9087</v>
          </cell>
          <cell r="DJ117">
            <v>9217</v>
          </cell>
          <cell r="DK117">
            <v>9347</v>
          </cell>
          <cell r="DL117">
            <v>9477</v>
          </cell>
          <cell r="DM117">
            <v>9477</v>
          </cell>
          <cell r="DN117">
            <v>9607</v>
          </cell>
          <cell r="DO117">
            <v>9737</v>
          </cell>
          <cell r="DP117">
            <v>9867</v>
          </cell>
          <cell r="DQ117">
            <v>9997</v>
          </cell>
          <cell r="DR117">
            <v>9997</v>
          </cell>
        </row>
        <row r="119">
          <cell r="B119" t="str">
            <v>Accumulated Depreciation - BOP</v>
          </cell>
          <cell r="D119">
            <v>771.58199999999999</v>
          </cell>
          <cell r="E119">
            <v>788.17399999999998</v>
          </cell>
          <cell r="F119">
            <v>841.6</v>
          </cell>
          <cell r="G119">
            <v>876.5</v>
          </cell>
          <cell r="H119">
            <v>771.58199999999999</v>
          </cell>
          <cell r="I119">
            <v>824</v>
          </cell>
          <cell r="J119">
            <v>840.9</v>
          </cell>
          <cell r="K119">
            <v>901.2</v>
          </cell>
          <cell r="L119">
            <v>957.8</v>
          </cell>
          <cell r="M119">
            <v>824</v>
          </cell>
          <cell r="N119">
            <v>950</v>
          </cell>
          <cell r="O119">
            <v>1012.8</v>
          </cell>
          <cell r="P119">
            <v>1051.8</v>
          </cell>
          <cell r="Q119">
            <v>1482</v>
          </cell>
          <cell r="R119">
            <v>950</v>
          </cell>
          <cell r="S119">
            <v>1432</v>
          </cell>
          <cell r="T119">
            <v>1517</v>
          </cell>
          <cell r="U119">
            <v>1592</v>
          </cell>
          <cell r="V119">
            <v>1728</v>
          </cell>
          <cell r="W119">
            <v>1432</v>
          </cell>
          <cell r="X119">
            <v>1761</v>
          </cell>
          <cell r="Y119">
            <v>1857</v>
          </cell>
          <cell r="Z119">
            <v>1951</v>
          </cell>
          <cell r="AA119">
            <v>2033</v>
          </cell>
          <cell r="AB119">
            <v>1761</v>
          </cell>
          <cell r="AC119">
            <v>1864</v>
          </cell>
          <cell r="AD119">
            <v>1962</v>
          </cell>
          <cell r="AE119">
            <v>2052</v>
          </cell>
          <cell r="AF119">
            <v>2088</v>
          </cell>
          <cell r="AG119">
            <v>1864</v>
          </cell>
          <cell r="AH119">
            <v>2247</v>
          </cell>
          <cell r="AI119">
            <v>2347</v>
          </cell>
          <cell r="AJ119">
            <v>2447</v>
          </cell>
          <cell r="AK119">
            <v>2546</v>
          </cell>
          <cell r="AL119">
            <v>2247</v>
          </cell>
          <cell r="AM119">
            <v>2607</v>
          </cell>
          <cell r="AN119">
            <v>2756</v>
          </cell>
          <cell r="AO119">
            <v>2907</v>
          </cell>
          <cell r="AP119">
            <v>3061</v>
          </cell>
          <cell r="AQ119">
            <v>2607</v>
          </cell>
          <cell r="AR119">
            <v>2986</v>
          </cell>
          <cell r="AS119">
            <v>3114</v>
          </cell>
          <cell r="AT119">
            <v>3244</v>
          </cell>
          <cell r="BA119">
            <v>3014</v>
          </cell>
          <cell r="BB119">
            <v>3133</v>
          </cell>
          <cell r="BC119">
            <v>3253</v>
          </cell>
          <cell r="BD119">
            <v>3365</v>
          </cell>
          <cell r="BE119">
            <v>3014</v>
          </cell>
          <cell r="BF119">
            <v>2556</v>
          </cell>
          <cell r="BG119">
            <v>2652</v>
          </cell>
          <cell r="BH119">
            <v>2747</v>
          </cell>
          <cell r="BI119">
            <v>2650</v>
          </cell>
          <cell r="BJ119">
            <v>2556</v>
          </cell>
          <cell r="BK119">
            <v>2574</v>
          </cell>
          <cell r="BL119">
            <v>2652</v>
          </cell>
          <cell r="BM119">
            <v>2722</v>
          </cell>
          <cell r="BN119">
            <v>2661</v>
          </cell>
          <cell r="BO119">
            <v>2574</v>
          </cell>
          <cell r="BP119">
            <v>2582</v>
          </cell>
          <cell r="BQ119">
            <v>2621</v>
          </cell>
          <cell r="BR119">
            <v>2541</v>
          </cell>
          <cell r="BS119">
            <v>2608</v>
          </cell>
          <cell r="BT119">
            <v>2582</v>
          </cell>
          <cell r="BU119">
            <v>2548</v>
          </cell>
          <cell r="BV119">
            <v>2616</v>
          </cell>
          <cell r="BW119">
            <v>2666</v>
          </cell>
          <cell r="BX119">
            <v>2726</v>
          </cell>
          <cell r="BY119">
            <v>2548</v>
          </cell>
          <cell r="BZ119">
            <v>2779</v>
          </cell>
          <cell r="CA119">
            <v>2835</v>
          </cell>
          <cell r="CB119">
            <v>2743</v>
          </cell>
          <cell r="CC119">
            <v>2753</v>
          </cell>
          <cell r="CD119">
            <v>2779</v>
          </cell>
          <cell r="CE119">
            <v>2795</v>
          </cell>
          <cell r="CF119">
            <v>2852</v>
          </cell>
          <cell r="CG119">
            <v>2914</v>
          </cell>
          <cell r="CH119">
            <v>2966</v>
          </cell>
          <cell r="CI119">
            <v>2795</v>
          </cell>
          <cell r="CJ119">
            <v>2970</v>
          </cell>
          <cell r="CK119">
            <v>2970</v>
          </cell>
          <cell r="CL119">
            <v>3098</v>
          </cell>
          <cell r="CM119">
            <v>3073</v>
          </cell>
          <cell r="CN119">
            <v>2970</v>
          </cell>
          <cell r="CO119">
            <v>3100</v>
          </cell>
          <cell r="CP119">
            <v>3100</v>
          </cell>
          <cell r="CQ119">
            <v>3230</v>
          </cell>
          <cell r="CR119">
            <v>3304</v>
          </cell>
          <cell r="CS119">
            <v>3100</v>
          </cell>
          <cell r="CT119">
            <v>3386</v>
          </cell>
          <cell r="CU119">
            <v>3442</v>
          </cell>
          <cell r="CV119">
            <v>3367</v>
          </cell>
          <cell r="CW119">
            <v>3444</v>
          </cell>
          <cell r="CX119">
            <v>3386</v>
          </cell>
          <cell r="CY119">
            <v>3554</v>
          </cell>
          <cell r="CZ119">
            <v>3661.9875000000002</v>
          </cell>
          <cell r="DA119">
            <v>3769.9750000000004</v>
          </cell>
          <cell r="DB119">
            <v>3877.9625000000005</v>
          </cell>
          <cell r="DC119">
            <v>3810</v>
          </cell>
          <cell r="DD119">
            <v>3985.9500000000007</v>
          </cell>
          <cell r="DE119">
            <v>4095.1006250000009</v>
          </cell>
          <cell r="DF119">
            <v>4204.2512500000012</v>
          </cell>
          <cell r="DG119">
            <v>4313.4018750000014</v>
          </cell>
          <cell r="DH119">
            <v>4241.95</v>
          </cell>
          <cell r="DI119">
            <v>4422.5525000000016</v>
          </cell>
          <cell r="DJ119">
            <v>4532.7455937500017</v>
          </cell>
          <cell r="DK119">
            <v>4642.9386875000018</v>
          </cell>
          <cell r="DL119">
            <v>4753.1317812500019</v>
          </cell>
          <cell r="DM119">
            <v>4678.5524999999998</v>
          </cell>
          <cell r="DN119">
            <v>4863.3248750000021</v>
          </cell>
          <cell r="DO119">
            <v>4974.508314062502</v>
          </cell>
          <cell r="DP119">
            <v>5085.6917531250019</v>
          </cell>
          <cell r="DQ119">
            <v>5196.8751921875019</v>
          </cell>
          <cell r="DR119">
            <v>5119.3248749999993</v>
          </cell>
        </row>
        <row r="120">
          <cell r="B120" t="str">
            <v>Additional Depreciation</v>
          </cell>
          <cell r="D120">
            <v>37.822000000000003</v>
          </cell>
          <cell r="E120">
            <v>37.200000000000003</v>
          </cell>
          <cell r="F120">
            <v>37.6</v>
          </cell>
          <cell r="G120">
            <v>82.377999999999986</v>
          </cell>
          <cell r="H120">
            <v>195</v>
          </cell>
          <cell r="I120">
            <v>80.2</v>
          </cell>
          <cell r="J120">
            <v>82.5</v>
          </cell>
          <cell r="K120">
            <v>77.8</v>
          </cell>
          <cell r="L120">
            <v>80.5</v>
          </cell>
          <cell r="M120">
            <v>321</v>
          </cell>
          <cell r="N120">
            <v>84.1</v>
          </cell>
          <cell r="O120">
            <v>85.5</v>
          </cell>
          <cell r="P120">
            <v>108.2</v>
          </cell>
          <cell r="Q120">
            <v>165.2</v>
          </cell>
          <cell r="R120">
            <v>443</v>
          </cell>
          <cell r="S120">
            <v>105</v>
          </cell>
          <cell r="T120">
            <v>114</v>
          </cell>
          <cell r="U120">
            <v>121</v>
          </cell>
          <cell r="V120">
            <v>120</v>
          </cell>
          <cell r="W120">
            <v>460</v>
          </cell>
          <cell r="X120">
            <v>127</v>
          </cell>
          <cell r="Y120">
            <v>134</v>
          </cell>
          <cell r="Z120">
            <v>142</v>
          </cell>
          <cell r="AA120">
            <v>153</v>
          </cell>
          <cell r="AB120">
            <v>556</v>
          </cell>
          <cell r="AC120">
            <v>134</v>
          </cell>
          <cell r="AD120">
            <v>132</v>
          </cell>
          <cell r="AE120">
            <v>133</v>
          </cell>
          <cell r="AF120">
            <v>134</v>
          </cell>
          <cell r="AG120">
            <v>533</v>
          </cell>
          <cell r="AH120">
            <v>137</v>
          </cell>
          <cell r="AI120">
            <v>136</v>
          </cell>
          <cell r="AJ120">
            <v>139</v>
          </cell>
          <cell r="AK120">
            <v>142</v>
          </cell>
          <cell r="AL120">
            <v>554</v>
          </cell>
          <cell r="AM120">
            <v>149</v>
          </cell>
          <cell r="AN120">
            <v>151</v>
          </cell>
          <cell r="AO120">
            <v>154</v>
          </cell>
          <cell r="AP120">
            <v>150</v>
          </cell>
          <cell r="AQ120">
            <v>604</v>
          </cell>
          <cell r="AR120">
            <v>128</v>
          </cell>
          <cell r="AS120">
            <v>130</v>
          </cell>
          <cell r="AT120">
            <v>132</v>
          </cell>
          <cell r="BA120">
            <v>119</v>
          </cell>
          <cell r="BB120">
            <v>120</v>
          </cell>
          <cell r="BC120">
            <v>112</v>
          </cell>
          <cell r="BD120">
            <v>114</v>
          </cell>
          <cell r="BE120">
            <v>465</v>
          </cell>
          <cell r="BF120">
            <v>96</v>
          </cell>
          <cell r="BG120">
            <v>95</v>
          </cell>
          <cell r="BH120">
            <v>99</v>
          </cell>
          <cell r="BI120">
            <v>100</v>
          </cell>
          <cell r="BJ120">
            <v>390</v>
          </cell>
          <cell r="BK120">
            <v>96</v>
          </cell>
          <cell r="BL120">
            <v>92</v>
          </cell>
          <cell r="BM120">
            <v>105</v>
          </cell>
          <cell r="BN120">
            <v>89</v>
          </cell>
          <cell r="BO120">
            <v>382</v>
          </cell>
          <cell r="BP120">
            <v>90</v>
          </cell>
          <cell r="BQ120">
            <v>82</v>
          </cell>
          <cell r="BR120">
            <v>83</v>
          </cell>
          <cell r="BS120">
            <v>95</v>
          </cell>
          <cell r="BT120">
            <v>350</v>
          </cell>
          <cell r="BU120">
            <v>89</v>
          </cell>
          <cell r="BV120">
            <v>89</v>
          </cell>
          <cell r="BW120">
            <v>91</v>
          </cell>
          <cell r="BX120">
            <v>93</v>
          </cell>
          <cell r="BY120">
            <v>362</v>
          </cell>
          <cell r="BZ120">
            <v>95</v>
          </cell>
          <cell r="CA120">
            <v>95</v>
          </cell>
          <cell r="CB120">
            <v>94</v>
          </cell>
          <cell r="CC120">
            <v>96</v>
          </cell>
          <cell r="CD120">
            <v>380</v>
          </cell>
          <cell r="CE120">
            <v>97</v>
          </cell>
          <cell r="CF120">
            <v>98</v>
          </cell>
          <cell r="CG120">
            <v>97</v>
          </cell>
          <cell r="CH120">
            <v>95</v>
          </cell>
          <cell r="CI120">
            <v>387</v>
          </cell>
          <cell r="CJ120">
            <v>95</v>
          </cell>
          <cell r="CK120">
            <v>97</v>
          </cell>
          <cell r="CL120">
            <v>101</v>
          </cell>
          <cell r="CM120">
            <v>101</v>
          </cell>
          <cell r="CN120">
            <v>394</v>
          </cell>
          <cell r="CO120">
            <v>98</v>
          </cell>
          <cell r="CP120">
            <v>100</v>
          </cell>
          <cell r="CQ120">
            <v>100</v>
          </cell>
          <cell r="CR120">
            <v>100</v>
          </cell>
          <cell r="CS120">
            <v>398</v>
          </cell>
          <cell r="CT120">
            <v>100</v>
          </cell>
          <cell r="CU120">
            <v>104</v>
          </cell>
          <cell r="CV120">
            <v>110</v>
          </cell>
          <cell r="CW120">
            <v>110</v>
          </cell>
          <cell r="CX120">
            <v>424</v>
          </cell>
          <cell r="CY120">
            <v>107.9875</v>
          </cell>
          <cell r="CZ120">
            <v>107.9875</v>
          </cell>
          <cell r="DA120">
            <v>107.9875</v>
          </cell>
          <cell r="DB120">
            <v>107.9875</v>
          </cell>
          <cell r="DC120">
            <v>431.95</v>
          </cell>
          <cell r="DD120">
            <v>109.15062499999999</v>
          </cell>
          <cell r="DE120">
            <v>109.15062499999999</v>
          </cell>
          <cell r="DF120">
            <v>109.15062499999999</v>
          </cell>
          <cell r="DG120">
            <v>109.15062499999999</v>
          </cell>
          <cell r="DH120">
            <v>436.60249999999996</v>
          </cell>
          <cell r="DI120">
            <v>110.19309374999999</v>
          </cell>
          <cell r="DJ120">
            <v>110.19309374999999</v>
          </cell>
          <cell r="DK120">
            <v>110.19309374999999</v>
          </cell>
          <cell r="DL120">
            <v>110.19309374999999</v>
          </cell>
          <cell r="DM120">
            <v>440.77237499999995</v>
          </cell>
          <cell r="DN120">
            <v>111.18343906249999</v>
          </cell>
          <cell r="DO120">
            <v>111.18343906249999</v>
          </cell>
          <cell r="DP120">
            <v>111.18343906249999</v>
          </cell>
          <cell r="DQ120">
            <v>111.18343906249999</v>
          </cell>
          <cell r="DR120">
            <v>444.73375624999994</v>
          </cell>
        </row>
        <row r="121">
          <cell r="B121" t="str">
            <v>Retirements/Other</v>
          </cell>
          <cell r="D121">
            <v>-21.230000000000018</v>
          </cell>
          <cell r="E121">
            <v>16.226000000000042</v>
          </cell>
          <cell r="F121">
            <v>-2.7000000000000242</v>
          </cell>
          <cell r="G121">
            <v>-134.87799999999999</v>
          </cell>
          <cell r="H121">
            <v>-142.58199999999999</v>
          </cell>
          <cell r="I121">
            <v>-63.300000000000026</v>
          </cell>
          <cell r="J121">
            <v>-22.199999999999932</v>
          </cell>
          <cell r="K121">
            <v>-21.200000000000088</v>
          </cell>
          <cell r="L121">
            <v>-88.299999999999955</v>
          </cell>
          <cell r="M121">
            <v>-195</v>
          </cell>
          <cell r="N121">
            <v>-21.30000000000004</v>
          </cell>
          <cell r="O121">
            <v>-46.5</v>
          </cell>
          <cell r="P121">
            <v>322.00000000000006</v>
          </cell>
          <cell r="Q121">
            <v>-215.2</v>
          </cell>
          <cell r="R121">
            <v>39.000000000000028</v>
          </cell>
          <cell r="S121">
            <v>-20</v>
          </cell>
          <cell r="T121">
            <v>-39</v>
          </cell>
          <cell r="U121">
            <v>15</v>
          </cell>
          <cell r="V121">
            <v>-87</v>
          </cell>
          <cell r="W121">
            <v>-131</v>
          </cell>
          <cell r="X121">
            <v>-31</v>
          </cell>
          <cell r="Y121">
            <v>-40</v>
          </cell>
          <cell r="Z121">
            <v>-60</v>
          </cell>
          <cell r="AA121">
            <v>-322</v>
          </cell>
          <cell r="AB121">
            <v>-453</v>
          </cell>
          <cell r="AC121">
            <v>-36</v>
          </cell>
          <cell r="AD121">
            <v>-42</v>
          </cell>
          <cell r="AE121">
            <v>-97</v>
          </cell>
          <cell r="AF121">
            <v>25</v>
          </cell>
          <cell r="AG121">
            <v>-150</v>
          </cell>
          <cell r="AH121">
            <v>-37</v>
          </cell>
          <cell r="AI121">
            <v>-36</v>
          </cell>
          <cell r="AJ121">
            <v>-40</v>
          </cell>
          <cell r="AK121">
            <v>-81</v>
          </cell>
          <cell r="AL121">
            <v>-194</v>
          </cell>
          <cell r="AM121">
            <v>0</v>
          </cell>
          <cell r="AN121">
            <v>0</v>
          </cell>
          <cell r="AO121">
            <v>0</v>
          </cell>
          <cell r="AP121">
            <v>-225</v>
          </cell>
          <cell r="AQ121">
            <v>-225</v>
          </cell>
          <cell r="AR121">
            <v>0</v>
          </cell>
          <cell r="AS121">
            <v>0</v>
          </cell>
          <cell r="AT121">
            <v>0</v>
          </cell>
          <cell r="BA121">
            <v>0</v>
          </cell>
          <cell r="BB121">
            <v>0</v>
          </cell>
          <cell r="BC121">
            <v>0</v>
          </cell>
          <cell r="BD121">
            <v>-923</v>
          </cell>
          <cell r="BE121">
            <v>-923</v>
          </cell>
          <cell r="BF121">
            <v>0</v>
          </cell>
          <cell r="BG121">
            <v>0</v>
          </cell>
          <cell r="BH121">
            <v>-196</v>
          </cell>
          <cell r="BI121">
            <v>-176</v>
          </cell>
          <cell r="BJ121">
            <v>-372</v>
          </cell>
          <cell r="BK121">
            <v>-18</v>
          </cell>
          <cell r="BL121">
            <v>-22</v>
          </cell>
          <cell r="BM121">
            <v>-166</v>
          </cell>
          <cell r="BN121">
            <v>-168</v>
          </cell>
          <cell r="BO121">
            <v>-374</v>
          </cell>
          <cell r="BP121">
            <v>-51</v>
          </cell>
          <cell r="BQ121">
            <v>-162</v>
          </cell>
          <cell r="BR121">
            <v>-16</v>
          </cell>
          <cell r="BS121">
            <v>-155</v>
          </cell>
          <cell r="BT121">
            <v>-384</v>
          </cell>
          <cell r="BU121">
            <v>-21</v>
          </cell>
          <cell r="BV121">
            <v>-39</v>
          </cell>
          <cell r="BW121">
            <v>-31</v>
          </cell>
          <cell r="BX121">
            <v>-40</v>
          </cell>
          <cell r="BY121">
            <v>-131</v>
          </cell>
          <cell r="BZ121">
            <v>-39</v>
          </cell>
          <cell r="CA121">
            <v>-187</v>
          </cell>
          <cell r="CB121">
            <v>-84</v>
          </cell>
          <cell r="CC121">
            <v>-54</v>
          </cell>
          <cell r="CD121">
            <v>-364</v>
          </cell>
          <cell r="CE121">
            <v>-40</v>
          </cell>
          <cell r="CF121">
            <v>-36</v>
          </cell>
          <cell r="CG121">
            <v>-45</v>
          </cell>
          <cell r="CH121">
            <v>-91</v>
          </cell>
          <cell r="CI121">
            <v>-212</v>
          </cell>
          <cell r="CJ121">
            <v>-37</v>
          </cell>
          <cell r="CK121">
            <v>31</v>
          </cell>
          <cell r="CL121">
            <v>-126</v>
          </cell>
          <cell r="CM121">
            <v>-74</v>
          </cell>
          <cell r="CN121">
            <v>-206</v>
          </cell>
          <cell r="CO121">
            <v>-31</v>
          </cell>
          <cell r="CP121">
            <v>30</v>
          </cell>
          <cell r="CQ121">
            <v>-26</v>
          </cell>
          <cell r="CR121">
            <v>-18</v>
          </cell>
          <cell r="CS121">
            <v>-45</v>
          </cell>
          <cell r="CT121">
            <v>-44</v>
          </cell>
          <cell r="CU121">
            <v>-179</v>
          </cell>
          <cell r="CV121">
            <v>-33</v>
          </cell>
        </row>
        <row r="122">
          <cell r="B122" t="str">
            <v>Accumulated Depreciation - EOP</v>
          </cell>
          <cell r="D122">
            <v>788.17399999999998</v>
          </cell>
          <cell r="E122">
            <v>841.6</v>
          </cell>
          <cell r="F122">
            <v>876.5</v>
          </cell>
          <cell r="G122">
            <v>824</v>
          </cell>
          <cell r="H122">
            <v>824</v>
          </cell>
          <cell r="I122">
            <v>840.9</v>
          </cell>
          <cell r="J122">
            <v>901.2</v>
          </cell>
          <cell r="K122">
            <v>957.8</v>
          </cell>
          <cell r="L122">
            <v>950</v>
          </cell>
          <cell r="M122">
            <v>950</v>
          </cell>
          <cell r="N122">
            <v>1012.8</v>
          </cell>
          <cell r="O122">
            <v>1051.8</v>
          </cell>
          <cell r="P122">
            <v>1482</v>
          </cell>
          <cell r="Q122">
            <v>1432</v>
          </cell>
          <cell r="R122">
            <v>1432</v>
          </cell>
          <cell r="S122">
            <v>1517</v>
          </cell>
          <cell r="T122">
            <v>1592</v>
          </cell>
          <cell r="U122">
            <v>1728</v>
          </cell>
          <cell r="V122">
            <v>1761</v>
          </cell>
          <cell r="W122">
            <v>1761</v>
          </cell>
          <cell r="X122">
            <v>1857</v>
          </cell>
          <cell r="Y122">
            <v>1951</v>
          </cell>
          <cell r="Z122">
            <v>2033</v>
          </cell>
          <cell r="AA122">
            <v>1864</v>
          </cell>
          <cell r="AB122">
            <v>1864</v>
          </cell>
          <cell r="AC122">
            <v>1962</v>
          </cell>
          <cell r="AD122">
            <v>2052</v>
          </cell>
          <cell r="AE122">
            <v>2088</v>
          </cell>
          <cell r="AF122">
            <v>2247</v>
          </cell>
          <cell r="AG122">
            <v>2247</v>
          </cell>
          <cell r="AH122">
            <v>2347</v>
          </cell>
          <cell r="AI122">
            <v>2447</v>
          </cell>
          <cell r="AJ122">
            <v>2546</v>
          </cell>
          <cell r="AK122">
            <v>2607</v>
          </cell>
          <cell r="AL122">
            <v>2607</v>
          </cell>
          <cell r="AM122">
            <v>2756</v>
          </cell>
          <cell r="AN122">
            <v>2907</v>
          </cell>
          <cell r="AO122">
            <v>3061</v>
          </cell>
          <cell r="AP122">
            <v>2986</v>
          </cell>
          <cell r="AQ122">
            <v>2986</v>
          </cell>
          <cell r="AR122">
            <v>3114</v>
          </cell>
          <cell r="AS122">
            <v>3244</v>
          </cell>
          <cell r="AT122">
            <v>3376</v>
          </cell>
          <cell r="AZ122">
            <v>3014</v>
          </cell>
          <cell r="BA122">
            <v>3133</v>
          </cell>
          <cell r="BB122">
            <v>3253</v>
          </cell>
          <cell r="BC122">
            <v>3365</v>
          </cell>
          <cell r="BD122">
            <v>2556</v>
          </cell>
          <cell r="BE122">
            <v>2556</v>
          </cell>
          <cell r="BF122">
            <v>2652</v>
          </cell>
          <cell r="BG122">
            <v>2747</v>
          </cell>
          <cell r="BH122">
            <v>2650</v>
          </cell>
          <cell r="BI122">
            <v>2574</v>
          </cell>
          <cell r="BJ122">
            <v>2574</v>
          </cell>
          <cell r="BK122">
            <v>2652</v>
          </cell>
          <cell r="BL122">
            <v>2722</v>
          </cell>
          <cell r="BM122">
            <v>2661</v>
          </cell>
          <cell r="BN122">
            <v>2582</v>
          </cell>
          <cell r="BO122">
            <v>2582</v>
          </cell>
          <cell r="BP122">
            <v>2621</v>
          </cell>
          <cell r="BQ122">
            <v>2541</v>
          </cell>
          <cell r="BR122">
            <v>2608</v>
          </cell>
          <cell r="BS122">
            <v>2548</v>
          </cell>
          <cell r="BT122">
            <v>2548</v>
          </cell>
          <cell r="BU122">
            <v>2616</v>
          </cell>
          <cell r="BV122">
            <v>2666</v>
          </cell>
          <cell r="BW122">
            <v>2726</v>
          </cell>
          <cell r="BX122">
            <v>2779</v>
          </cell>
          <cell r="BY122">
            <v>2779</v>
          </cell>
          <cell r="BZ122">
            <v>2835</v>
          </cell>
          <cell r="CA122">
            <v>2743</v>
          </cell>
          <cell r="CB122">
            <v>2753</v>
          </cell>
          <cell r="CC122">
            <v>2795</v>
          </cell>
          <cell r="CD122">
            <v>2795</v>
          </cell>
          <cell r="CE122">
            <v>2852</v>
          </cell>
          <cell r="CF122">
            <v>2914</v>
          </cell>
          <cell r="CG122">
            <v>2966</v>
          </cell>
          <cell r="CH122">
            <v>2970</v>
          </cell>
          <cell r="CI122">
            <v>2970</v>
          </cell>
          <cell r="CJ122">
            <v>3028</v>
          </cell>
          <cell r="CK122">
            <v>3098</v>
          </cell>
          <cell r="CL122">
            <v>3073</v>
          </cell>
          <cell r="CM122">
            <v>3100</v>
          </cell>
          <cell r="CN122">
            <v>3100</v>
          </cell>
          <cell r="CO122">
            <v>3167</v>
          </cell>
          <cell r="CP122">
            <v>3230</v>
          </cell>
          <cell r="CQ122">
            <v>3304</v>
          </cell>
          <cell r="CR122">
            <v>3386</v>
          </cell>
          <cell r="CS122">
            <v>3386</v>
          </cell>
          <cell r="CT122">
            <v>3442</v>
          </cell>
          <cell r="CU122">
            <v>3367</v>
          </cell>
          <cell r="CV122">
            <v>3444</v>
          </cell>
          <cell r="CW122">
            <v>3554</v>
          </cell>
          <cell r="CX122">
            <v>3810</v>
          </cell>
          <cell r="CY122">
            <v>3661.9875000000002</v>
          </cell>
          <cell r="CZ122">
            <v>3769.9750000000004</v>
          </cell>
          <cell r="DA122">
            <v>3877.9625000000005</v>
          </cell>
          <cell r="DB122">
            <v>3985.9500000000007</v>
          </cell>
          <cell r="DC122">
            <v>4241.95</v>
          </cell>
          <cell r="DD122">
            <v>4095.1006250000009</v>
          </cell>
          <cell r="DE122">
            <v>4204.2512500000012</v>
          </cell>
          <cell r="DF122">
            <v>4313.4018750000014</v>
          </cell>
          <cell r="DG122">
            <v>4422.5525000000016</v>
          </cell>
          <cell r="DH122">
            <v>4678.5524999999998</v>
          </cell>
          <cell r="DI122">
            <v>4532.7455937500017</v>
          </cell>
          <cell r="DJ122">
            <v>4642.9386875000018</v>
          </cell>
          <cell r="DK122">
            <v>4753.1317812500019</v>
          </cell>
          <cell r="DL122">
            <v>4863.3248750000021</v>
          </cell>
          <cell r="DM122">
            <v>5119.3248749999993</v>
          </cell>
          <cell r="DN122">
            <v>4974.508314062502</v>
          </cell>
          <cell r="DO122">
            <v>5085.6917531250019</v>
          </cell>
          <cell r="DP122">
            <v>5196.8751921875019</v>
          </cell>
          <cell r="DQ122">
            <v>5308.0586312500018</v>
          </cell>
          <cell r="DR122">
            <v>5564.0586312499991</v>
          </cell>
        </row>
        <row r="124">
          <cell r="B124" t="str">
            <v>Gross Property &amp; Equipment - BOP</v>
          </cell>
          <cell r="D124">
            <v>2536.125</v>
          </cell>
          <cell r="E124">
            <v>2582.67</v>
          </cell>
          <cell r="F124">
            <v>2622.5</v>
          </cell>
          <cell r="G124">
            <v>2663.2</v>
          </cell>
          <cell r="H124">
            <v>2536.125</v>
          </cell>
          <cell r="I124">
            <v>4143</v>
          </cell>
          <cell r="J124">
            <v>4258.8999999999996</v>
          </cell>
          <cell r="K124">
            <v>4464.7</v>
          </cell>
          <cell r="L124">
            <v>4547.8</v>
          </cell>
          <cell r="M124">
            <v>4143</v>
          </cell>
          <cell r="N124">
            <v>4598</v>
          </cell>
          <cell r="O124">
            <v>4701.8</v>
          </cell>
          <cell r="P124">
            <v>4789.8999999999996</v>
          </cell>
          <cell r="Q124">
            <v>6765.3</v>
          </cell>
          <cell r="R124">
            <v>4598</v>
          </cell>
          <cell r="S124">
            <v>6922</v>
          </cell>
          <cell r="T124">
            <v>7174</v>
          </cell>
          <cell r="U124">
            <v>7269</v>
          </cell>
          <cell r="V124">
            <v>7563</v>
          </cell>
          <cell r="W124">
            <v>6922</v>
          </cell>
          <cell r="X124">
            <v>7748</v>
          </cell>
          <cell r="Y124">
            <v>7960</v>
          </cell>
          <cell r="Z124">
            <v>8373</v>
          </cell>
          <cell r="AA124">
            <v>8465</v>
          </cell>
          <cell r="AB124">
            <v>7748</v>
          </cell>
          <cell r="AC124">
            <v>7703</v>
          </cell>
          <cell r="AD124">
            <v>7780</v>
          </cell>
          <cell r="AE124">
            <v>7895</v>
          </cell>
          <cell r="AF124">
            <v>7881</v>
          </cell>
          <cell r="AG124">
            <v>7703</v>
          </cell>
          <cell r="AH124">
            <v>8141</v>
          </cell>
          <cell r="AI124">
            <v>8189</v>
          </cell>
          <cell r="AJ124">
            <v>8310</v>
          </cell>
          <cell r="AK124">
            <v>8438</v>
          </cell>
          <cell r="AL124">
            <v>8141</v>
          </cell>
          <cell r="AM124">
            <v>8583</v>
          </cell>
          <cell r="AN124">
            <v>8977</v>
          </cell>
          <cell r="AO124">
            <v>9215</v>
          </cell>
          <cell r="AP124">
            <v>9452</v>
          </cell>
          <cell r="AQ124">
            <v>8583</v>
          </cell>
          <cell r="AR124">
            <v>9571</v>
          </cell>
          <cell r="AS124">
            <v>9678</v>
          </cell>
          <cell r="AT124">
            <v>9923</v>
          </cell>
          <cell r="BA124">
            <v>9373</v>
          </cell>
          <cell r="BB124">
            <v>9184</v>
          </cell>
          <cell r="BC124">
            <v>9152</v>
          </cell>
          <cell r="BD124">
            <v>9279</v>
          </cell>
          <cell r="BE124">
            <v>9373</v>
          </cell>
          <cell r="BF124">
            <v>8113</v>
          </cell>
          <cell r="BG124">
            <v>7520</v>
          </cell>
          <cell r="BH124">
            <v>7570</v>
          </cell>
          <cell r="BI124">
            <v>7487</v>
          </cell>
          <cell r="BJ124">
            <v>8113</v>
          </cell>
          <cell r="BK124">
            <v>7394</v>
          </cell>
          <cell r="BL124">
            <v>7469</v>
          </cell>
          <cell r="BM124">
            <v>7571</v>
          </cell>
          <cell r="BN124">
            <v>7254</v>
          </cell>
          <cell r="BO124">
            <v>7394</v>
          </cell>
          <cell r="BP124">
            <v>7202</v>
          </cell>
          <cell r="BQ124">
            <v>7222</v>
          </cell>
          <cell r="BR124">
            <v>6817</v>
          </cell>
          <cell r="BS124">
            <v>6925</v>
          </cell>
          <cell r="BT124">
            <v>7202</v>
          </cell>
          <cell r="BU124">
            <v>6847</v>
          </cell>
          <cell r="BV124">
            <v>6891</v>
          </cell>
          <cell r="BW124">
            <v>7020</v>
          </cell>
          <cell r="BX124">
            <v>7129</v>
          </cell>
          <cell r="BY124">
            <v>6847</v>
          </cell>
          <cell r="BZ124">
            <v>7424</v>
          </cell>
          <cell r="CA124">
            <v>7457</v>
          </cell>
          <cell r="CB124">
            <v>7017</v>
          </cell>
          <cell r="CC124">
            <v>6992</v>
          </cell>
          <cell r="CD124">
            <v>7424</v>
          </cell>
          <cell r="CE124">
            <v>7086</v>
          </cell>
          <cell r="CF124">
            <v>7088</v>
          </cell>
          <cell r="CG124">
            <v>7096</v>
          </cell>
          <cell r="CH124">
            <v>7138</v>
          </cell>
          <cell r="CI124">
            <v>7086</v>
          </cell>
          <cell r="CJ124">
            <v>7283</v>
          </cell>
          <cell r="CK124">
            <v>7283</v>
          </cell>
          <cell r="CL124">
            <v>7309</v>
          </cell>
          <cell r="CM124">
            <v>7312</v>
          </cell>
          <cell r="CN124">
            <v>7283</v>
          </cell>
          <cell r="CO124">
            <v>7404</v>
          </cell>
          <cell r="CP124">
            <v>7404</v>
          </cell>
          <cell r="CQ124">
            <v>7468</v>
          </cell>
          <cell r="CR124">
            <v>7505</v>
          </cell>
          <cell r="CS124">
            <v>7404</v>
          </cell>
          <cell r="CT124">
            <v>7736</v>
          </cell>
          <cell r="CU124">
            <v>7766</v>
          </cell>
          <cell r="CV124">
            <v>7548</v>
          </cell>
          <cell r="CW124">
            <v>7617</v>
          </cell>
          <cell r="CX124">
            <v>7736</v>
          </cell>
          <cell r="CY124">
            <v>7762</v>
          </cell>
          <cell r="CZ124">
            <v>8042</v>
          </cell>
          <cell r="DA124">
            <v>8172</v>
          </cell>
          <cell r="DB124">
            <v>8302</v>
          </cell>
          <cell r="DC124">
            <v>8234</v>
          </cell>
          <cell r="DD124">
            <v>8437</v>
          </cell>
          <cell r="DE124">
            <v>8567</v>
          </cell>
          <cell r="DF124">
            <v>8697</v>
          </cell>
          <cell r="DG124">
            <v>8827</v>
          </cell>
          <cell r="DH124">
            <v>8909</v>
          </cell>
          <cell r="DI124">
            <v>8957</v>
          </cell>
          <cell r="DJ124">
            <v>9087</v>
          </cell>
          <cell r="DK124">
            <v>9217</v>
          </cell>
          <cell r="DL124">
            <v>9347</v>
          </cell>
          <cell r="DM124">
            <v>9429</v>
          </cell>
          <cell r="DN124">
            <v>9477</v>
          </cell>
          <cell r="DO124">
            <v>9607</v>
          </cell>
          <cell r="DP124">
            <v>9737</v>
          </cell>
          <cell r="DQ124">
            <v>9867</v>
          </cell>
          <cell r="DR124">
            <v>9949</v>
          </cell>
        </row>
        <row r="125">
          <cell r="B125" t="str">
            <v>CAPEX</v>
          </cell>
          <cell r="D125">
            <v>28.175999999999998</v>
          </cell>
          <cell r="E125">
            <v>31.424000000000003</v>
          </cell>
          <cell r="F125">
            <v>40.9</v>
          </cell>
          <cell r="G125">
            <v>163.5</v>
          </cell>
          <cell r="H125">
            <v>264</v>
          </cell>
          <cell r="I125">
            <v>95.1</v>
          </cell>
          <cell r="J125">
            <v>65.400000000000006</v>
          </cell>
          <cell r="K125">
            <v>74.800000000000011</v>
          </cell>
          <cell r="L125">
            <v>134.69999999999999</v>
          </cell>
          <cell r="M125">
            <v>370</v>
          </cell>
          <cell r="N125">
            <v>43.4</v>
          </cell>
          <cell r="O125">
            <v>52.000000000000007</v>
          </cell>
          <cell r="P125">
            <v>165.99999999999997</v>
          </cell>
          <cell r="Q125">
            <v>144.60000000000002</v>
          </cell>
          <cell r="R125">
            <v>406</v>
          </cell>
          <cell r="S125">
            <v>103</v>
          </cell>
          <cell r="T125">
            <v>112</v>
          </cell>
          <cell r="U125">
            <v>156</v>
          </cell>
          <cell r="V125">
            <v>163</v>
          </cell>
          <cell r="W125">
            <v>534</v>
          </cell>
          <cell r="X125">
            <v>107</v>
          </cell>
          <cell r="Y125">
            <v>134</v>
          </cell>
          <cell r="Z125">
            <v>160</v>
          </cell>
          <cell r="AA125">
            <v>191</v>
          </cell>
          <cell r="AB125">
            <v>592</v>
          </cell>
          <cell r="AC125">
            <v>138</v>
          </cell>
          <cell r="AD125">
            <v>126</v>
          </cell>
          <cell r="AE125">
            <v>132</v>
          </cell>
          <cell r="AF125">
            <v>223</v>
          </cell>
          <cell r="AG125">
            <v>619</v>
          </cell>
          <cell r="AH125">
            <v>120</v>
          </cell>
          <cell r="AI125">
            <v>119</v>
          </cell>
          <cell r="AJ125">
            <v>157</v>
          </cell>
          <cell r="AK125">
            <v>205</v>
          </cell>
          <cell r="AL125">
            <v>601</v>
          </cell>
          <cell r="AM125">
            <v>209</v>
          </cell>
          <cell r="AN125">
            <v>206</v>
          </cell>
          <cell r="AO125">
            <v>168</v>
          </cell>
          <cell r="AP125">
            <v>306</v>
          </cell>
          <cell r="AQ125">
            <v>889</v>
          </cell>
          <cell r="AR125">
            <v>195</v>
          </cell>
          <cell r="AS125">
            <v>218</v>
          </cell>
          <cell r="AT125">
            <v>229</v>
          </cell>
          <cell r="BA125">
            <v>220</v>
          </cell>
          <cell r="BB125">
            <v>198</v>
          </cell>
          <cell r="BC125">
            <v>145</v>
          </cell>
          <cell r="BD125">
            <v>270</v>
          </cell>
          <cell r="BE125">
            <v>833</v>
          </cell>
          <cell r="BF125">
            <v>114</v>
          </cell>
          <cell r="BG125">
            <v>136</v>
          </cell>
          <cell r="BH125">
            <v>116</v>
          </cell>
          <cell r="BI125">
            <v>192</v>
          </cell>
          <cell r="BJ125">
            <v>558</v>
          </cell>
          <cell r="BK125">
            <v>96</v>
          </cell>
          <cell r="BL125">
            <v>128</v>
          </cell>
          <cell r="BM125">
            <v>136</v>
          </cell>
          <cell r="BN125">
            <v>218</v>
          </cell>
          <cell r="BO125">
            <v>578</v>
          </cell>
          <cell r="BP125">
            <v>117</v>
          </cell>
          <cell r="BQ125">
            <v>126</v>
          </cell>
          <cell r="BR125">
            <v>148</v>
          </cell>
          <cell r="BS125">
            <v>302</v>
          </cell>
          <cell r="BT125">
            <v>693</v>
          </cell>
          <cell r="BU125">
            <v>111</v>
          </cell>
          <cell r="BV125">
            <v>150</v>
          </cell>
          <cell r="BW125">
            <v>179</v>
          </cell>
          <cell r="BX125">
            <v>303</v>
          </cell>
          <cell r="BY125">
            <v>743</v>
          </cell>
          <cell r="BZ125">
            <v>189</v>
          </cell>
          <cell r="CA125">
            <v>110</v>
          </cell>
          <cell r="CB125">
            <v>114</v>
          </cell>
          <cell r="CC125">
            <v>134</v>
          </cell>
          <cell r="CD125">
            <v>547</v>
          </cell>
          <cell r="CE125">
            <v>102</v>
          </cell>
          <cell r="CF125">
            <v>71</v>
          </cell>
          <cell r="CG125">
            <v>91</v>
          </cell>
          <cell r="CH125">
            <v>192</v>
          </cell>
          <cell r="CI125">
            <v>456</v>
          </cell>
          <cell r="CJ125">
            <v>83</v>
          </cell>
          <cell r="CK125">
            <v>77</v>
          </cell>
          <cell r="CL125">
            <v>120</v>
          </cell>
          <cell r="CM125">
            <v>196</v>
          </cell>
          <cell r="CN125">
            <v>476</v>
          </cell>
          <cell r="CO125">
            <v>116</v>
          </cell>
          <cell r="CP125">
            <v>82</v>
          </cell>
          <cell r="CQ125">
            <v>100</v>
          </cell>
          <cell r="CR125">
            <v>177</v>
          </cell>
          <cell r="CS125">
            <v>475</v>
          </cell>
          <cell r="CT125">
            <v>136</v>
          </cell>
          <cell r="CU125">
            <v>116</v>
          </cell>
          <cell r="CV125">
            <v>108</v>
          </cell>
          <cell r="CW125">
            <v>145</v>
          </cell>
          <cell r="CX125">
            <v>505</v>
          </cell>
          <cell r="CY125">
            <v>130</v>
          </cell>
          <cell r="CZ125">
            <v>130</v>
          </cell>
          <cell r="DA125">
            <v>130</v>
          </cell>
          <cell r="DB125">
            <v>135</v>
          </cell>
          <cell r="DC125">
            <v>525</v>
          </cell>
          <cell r="DD125">
            <v>130</v>
          </cell>
          <cell r="DE125">
            <v>130</v>
          </cell>
          <cell r="DF125">
            <v>130</v>
          </cell>
          <cell r="DG125">
            <v>130</v>
          </cell>
          <cell r="DH125">
            <v>520</v>
          </cell>
          <cell r="DI125">
            <v>130</v>
          </cell>
          <cell r="DJ125">
            <v>130</v>
          </cell>
          <cell r="DK125">
            <v>130</v>
          </cell>
          <cell r="DL125">
            <v>130</v>
          </cell>
          <cell r="DM125">
            <v>520</v>
          </cell>
          <cell r="DN125">
            <v>130</v>
          </cell>
          <cell r="DO125">
            <v>130</v>
          </cell>
          <cell r="DP125">
            <v>130</v>
          </cell>
          <cell r="DQ125">
            <v>130</v>
          </cell>
          <cell r="DR125">
            <v>520</v>
          </cell>
        </row>
        <row r="126">
          <cell r="B126" t="str">
            <v>Acquisitions/(Divestitures), net</v>
          </cell>
          <cell r="D126">
            <v>-140.93799999999999</v>
          </cell>
          <cell r="E126">
            <v>-4.4620000000000068</v>
          </cell>
          <cell r="F126">
            <v>2.4000000000000128</v>
          </cell>
          <cell r="G126">
            <v>1400</v>
          </cell>
          <cell r="H126">
            <v>1257</v>
          </cell>
          <cell r="I126">
            <v>-7</v>
          </cell>
          <cell r="J126">
            <v>-28.5</v>
          </cell>
          <cell r="K126">
            <v>-18.600000000000023</v>
          </cell>
          <cell r="L126">
            <v>-83.899999999999977</v>
          </cell>
          <cell r="M126">
            <v>-138</v>
          </cell>
          <cell r="N126">
            <v>38.900000000000006</v>
          </cell>
          <cell r="O126">
            <v>80.499999999999986</v>
          </cell>
          <cell r="P126">
            <v>507.4</v>
          </cell>
          <cell r="Q126">
            <v>110.2</v>
          </cell>
          <cell r="R126">
            <v>737</v>
          </cell>
          <cell r="S126">
            <v>88</v>
          </cell>
          <cell r="T126">
            <v>236</v>
          </cell>
          <cell r="U126">
            <v>193</v>
          </cell>
          <cell r="V126">
            <v>-8</v>
          </cell>
          <cell r="W126">
            <v>509</v>
          </cell>
          <cell r="X126">
            <v>84</v>
          </cell>
          <cell r="Y126">
            <v>358</v>
          </cell>
          <cell r="Z126">
            <v>9</v>
          </cell>
          <cell r="AA126">
            <v>123</v>
          </cell>
          <cell r="AB126">
            <v>574</v>
          </cell>
          <cell r="AC126">
            <v>-10</v>
          </cell>
          <cell r="AD126">
            <v>-595</v>
          </cell>
          <cell r="AE126">
            <v>-13</v>
          </cell>
          <cell r="AF126">
            <v>-108</v>
          </cell>
          <cell r="AG126">
            <v>-726</v>
          </cell>
          <cell r="AH126">
            <v>-14</v>
          </cell>
          <cell r="AI126">
            <v>-2</v>
          </cell>
          <cell r="AJ126">
            <v>-10</v>
          </cell>
          <cell r="AK126">
            <v>-77</v>
          </cell>
          <cell r="AL126">
            <v>-103</v>
          </cell>
          <cell r="AM126">
            <v>247</v>
          </cell>
          <cell r="AN126">
            <v>26</v>
          </cell>
          <cell r="AO126">
            <v>36</v>
          </cell>
          <cell r="AP126">
            <v>-13</v>
          </cell>
          <cell r="AQ126">
            <v>296</v>
          </cell>
          <cell r="AR126">
            <v>-5</v>
          </cell>
          <cell r="AS126">
            <v>5</v>
          </cell>
          <cell r="AT126">
            <v>27</v>
          </cell>
          <cell r="BA126">
            <v>0</v>
          </cell>
          <cell r="BB126">
            <v>0</v>
          </cell>
          <cell r="BC126">
            <v>0</v>
          </cell>
          <cell r="BD126">
            <v>-691</v>
          </cell>
          <cell r="BE126">
            <v>-691</v>
          </cell>
          <cell r="BF126">
            <v>-63</v>
          </cell>
          <cell r="BG126">
            <v>-127</v>
          </cell>
          <cell r="BH126">
            <v>-105</v>
          </cell>
          <cell r="BI126">
            <v>-136</v>
          </cell>
          <cell r="BJ126">
            <v>-431</v>
          </cell>
          <cell r="BK126">
            <v>-71</v>
          </cell>
          <cell r="BL126">
            <v>-46</v>
          </cell>
          <cell r="BM126">
            <v>-36</v>
          </cell>
          <cell r="BN126">
            <v>-20</v>
          </cell>
          <cell r="BO126">
            <v>-173</v>
          </cell>
          <cell r="BP126">
            <v>-26</v>
          </cell>
          <cell r="BQ126">
            <v>-4</v>
          </cell>
          <cell r="BR126">
            <v>-107</v>
          </cell>
          <cell r="BS126">
            <v>-79</v>
          </cell>
          <cell r="BT126">
            <v>-216</v>
          </cell>
          <cell r="BU126">
            <v>-38</v>
          </cell>
          <cell r="BV126">
            <v>27</v>
          </cell>
          <cell r="BW126">
            <v>-36</v>
          </cell>
          <cell r="BX126">
            <v>-8</v>
          </cell>
          <cell r="BY126">
            <v>-55</v>
          </cell>
          <cell r="BZ126">
            <v>-23</v>
          </cell>
          <cell r="CA126">
            <v>-57</v>
          </cell>
          <cell r="CB126">
            <v>12</v>
          </cell>
          <cell r="CC126">
            <v>0</v>
          </cell>
          <cell r="CD126">
            <v>-68</v>
          </cell>
          <cell r="CE126">
            <v>-251</v>
          </cell>
          <cell r="CF126">
            <v>30</v>
          </cell>
          <cell r="CG126">
            <v>0</v>
          </cell>
          <cell r="CH126">
            <v>0</v>
          </cell>
          <cell r="CI126">
            <v>-221</v>
          </cell>
          <cell r="CJ126">
            <v>0</v>
          </cell>
          <cell r="CK126">
            <v>-16</v>
          </cell>
          <cell r="CL126">
            <v>41</v>
          </cell>
          <cell r="CM126">
            <v>21</v>
          </cell>
          <cell r="CN126">
            <v>46</v>
          </cell>
          <cell r="CO126">
            <v>18</v>
          </cell>
          <cell r="CP126">
            <v>24</v>
          </cell>
          <cell r="CQ126">
            <v>14</v>
          </cell>
          <cell r="CR126">
            <v>28</v>
          </cell>
          <cell r="CS126">
            <v>84</v>
          </cell>
          <cell r="CT126">
            <v>3</v>
          </cell>
          <cell r="CU126">
            <v>0</v>
          </cell>
          <cell r="CV126">
            <v>-10</v>
          </cell>
          <cell r="CW126">
            <v>0</v>
          </cell>
          <cell r="CX126">
            <v>-7</v>
          </cell>
          <cell r="CY126">
            <v>150</v>
          </cell>
          <cell r="CZ126">
            <v>0</v>
          </cell>
          <cell r="DA126">
            <v>0</v>
          </cell>
          <cell r="DB126">
            <v>0</v>
          </cell>
          <cell r="DC126">
            <v>150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row>
        <row r="127">
          <cell r="B127" t="str">
            <v>Other</v>
          </cell>
          <cell r="D127">
            <v>159.30700000000007</v>
          </cell>
          <cell r="E127">
            <v>12.867999999999931</v>
          </cell>
          <cell r="F127">
            <v>-2.6000000000001933</v>
          </cell>
          <cell r="G127">
            <v>-83.699999999999818</v>
          </cell>
          <cell r="H127">
            <v>85.875</v>
          </cell>
          <cell r="I127">
            <v>27.799999999999642</v>
          </cell>
          <cell r="J127">
            <v>168.90000000000018</v>
          </cell>
          <cell r="K127">
            <v>26.900000000000375</v>
          </cell>
          <cell r="L127">
            <v>-0.60000000000019327</v>
          </cell>
          <cell r="M127">
            <v>223</v>
          </cell>
          <cell r="N127">
            <v>21.500000000000178</v>
          </cell>
          <cell r="O127">
            <v>-44.400000000000539</v>
          </cell>
          <cell r="P127">
            <v>1302.0000000000005</v>
          </cell>
          <cell r="Q127">
            <v>-98.100000000000207</v>
          </cell>
          <cell r="R127">
            <v>1181</v>
          </cell>
          <cell r="S127">
            <v>61</v>
          </cell>
          <cell r="T127">
            <v>-253</v>
          </cell>
          <cell r="U127">
            <v>-55</v>
          </cell>
          <cell r="V127">
            <v>30</v>
          </cell>
          <cell r="W127">
            <v>-217</v>
          </cell>
          <cell r="X127">
            <v>21</v>
          </cell>
          <cell r="Y127">
            <v>-79</v>
          </cell>
          <cell r="Z127">
            <v>-77</v>
          </cell>
          <cell r="AA127">
            <v>-1076</v>
          </cell>
          <cell r="AB127">
            <v>-1211</v>
          </cell>
          <cell r="AC127">
            <v>-51</v>
          </cell>
          <cell r="AD127">
            <v>584</v>
          </cell>
          <cell r="AE127">
            <v>-133</v>
          </cell>
          <cell r="AF127">
            <v>145</v>
          </cell>
          <cell r="AG127">
            <v>545</v>
          </cell>
          <cell r="AH127">
            <v>-58</v>
          </cell>
          <cell r="AI127">
            <v>4</v>
          </cell>
          <cell r="AJ127">
            <v>-19</v>
          </cell>
          <cell r="AK127">
            <v>17</v>
          </cell>
          <cell r="AL127">
            <v>-56</v>
          </cell>
          <cell r="AM127">
            <v>-62</v>
          </cell>
          <cell r="AN127">
            <v>6</v>
          </cell>
          <cell r="AO127">
            <v>33</v>
          </cell>
          <cell r="AP127">
            <v>-174</v>
          </cell>
          <cell r="AQ127">
            <v>-197</v>
          </cell>
          <cell r="AR127">
            <v>-83</v>
          </cell>
          <cell r="AS127">
            <v>22</v>
          </cell>
          <cell r="AT127">
            <v>-391</v>
          </cell>
          <cell r="BA127">
            <v>-409</v>
          </cell>
          <cell r="BB127">
            <v>-230</v>
          </cell>
          <cell r="BC127">
            <v>-18</v>
          </cell>
          <cell r="BD127">
            <v>-745</v>
          </cell>
          <cell r="BE127">
            <v>-1402</v>
          </cell>
          <cell r="BF127">
            <v>-644</v>
          </cell>
          <cell r="BG127">
            <v>41</v>
          </cell>
          <cell r="BH127">
            <v>-94</v>
          </cell>
          <cell r="BI127">
            <v>-149</v>
          </cell>
          <cell r="BJ127">
            <v>-846</v>
          </cell>
          <cell r="BK127">
            <v>50</v>
          </cell>
          <cell r="BL127">
            <v>20</v>
          </cell>
          <cell r="BM127">
            <v>-417</v>
          </cell>
          <cell r="BN127">
            <v>-250</v>
          </cell>
          <cell r="BO127">
            <v>-597</v>
          </cell>
          <cell r="BP127">
            <v>-71</v>
          </cell>
          <cell r="BQ127">
            <v>-527</v>
          </cell>
          <cell r="BR127">
            <v>67</v>
          </cell>
          <cell r="BS127">
            <v>-301</v>
          </cell>
          <cell r="BT127">
            <v>-832</v>
          </cell>
          <cell r="BU127">
            <v>-29</v>
          </cell>
          <cell r="BV127">
            <v>-48</v>
          </cell>
          <cell r="BW127">
            <v>-34</v>
          </cell>
          <cell r="BX127">
            <v>0</v>
          </cell>
          <cell r="BY127">
            <v>-111</v>
          </cell>
          <cell r="BZ127">
            <v>-133</v>
          </cell>
          <cell r="CA127">
            <v>-493</v>
          </cell>
          <cell r="CB127">
            <v>-151</v>
          </cell>
          <cell r="CC127">
            <v>-40</v>
          </cell>
          <cell r="CD127">
            <v>-817</v>
          </cell>
          <cell r="CE127">
            <v>151</v>
          </cell>
          <cell r="CF127">
            <v>-93</v>
          </cell>
          <cell r="CG127">
            <v>-49</v>
          </cell>
          <cell r="CH127">
            <v>-47</v>
          </cell>
          <cell r="CI127">
            <v>-38</v>
          </cell>
          <cell r="CJ127">
            <v>-89</v>
          </cell>
          <cell r="CK127">
            <v>-35</v>
          </cell>
          <cell r="CL127">
            <v>-158</v>
          </cell>
          <cell r="CM127">
            <v>-125</v>
          </cell>
          <cell r="CN127">
            <v>-401</v>
          </cell>
          <cell r="CO127">
            <v>-109</v>
          </cell>
          <cell r="CP127">
            <v>-42</v>
          </cell>
          <cell r="CQ127">
            <v>-77</v>
          </cell>
          <cell r="CR127">
            <v>26</v>
          </cell>
          <cell r="CS127">
            <v>-227</v>
          </cell>
          <cell r="CT127">
            <v>-109</v>
          </cell>
          <cell r="CU127">
            <v>-334</v>
          </cell>
          <cell r="CV127">
            <v>-29</v>
          </cell>
        </row>
        <row r="128">
          <cell r="B128" t="str">
            <v>Gross Property &amp; Equipment - EOP</v>
          </cell>
          <cell r="D128">
            <v>2582.67</v>
          </cell>
          <cell r="E128">
            <v>2622.5</v>
          </cell>
          <cell r="F128">
            <v>2663.2</v>
          </cell>
          <cell r="G128">
            <v>4143</v>
          </cell>
          <cell r="H128">
            <v>4143</v>
          </cell>
          <cell r="I128">
            <v>4258.8999999999996</v>
          </cell>
          <cell r="J128">
            <v>4464.7</v>
          </cell>
          <cell r="K128">
            <v>4547.8</v>
          </cell>
          <cell r="L128">
            <v>4598</v>
          </cell>
          <cell r="M128">
            <v>4598</v>
          </cell>
          <cell r="N128">
            <v>4701.8</v>
          </cell>
          <cell r="O128">
            <v>4789.8999999999996</v>
          </cell>
          <cell r="P128">
            <v>6765.3</v>
          </cell>
          <cell r="Q128">
            <v>6922</v>
          </cell>
          <cell r="R128">
            <v>6922</v>
          </cell>
          <cell r="S128">
            <v>7174</v>
          </cell>
          <cell r="T128">
            <v>7269</v>
          </cell>
          <cell r="U128">
            <v>7563</v>
          </cell>
          <cell r="V128">
            <v>7748</v>
          </cell>
          <cell r="W128">
            <v>7748</v>
          </cell>
          <cell r="X128">
            <v>7960</v>
          </cell>
          <cell r="Y128">
            <v>8373</v>
          </cell>
          <cell r="Z128">
            <v>8465</v>
          </cell>
          <cell r="AA128">
            <v>7703</v>
          </cell>
          <cell r="AB128">
            <v>7703</v>
          </cell>
          <cell r="AC128">
            <v>7780</v>
          </cell>
          <cell r="AD128">
            <v>7895</v>
          </cell>
          <cell r="AE128">
            <v>7881</v>
          </cell>
          <cell r="AF128">
            <v>8141</v>
          </cell>
          <cell r="AG128">
            <v>8141</v>
          </cell>
          <cell r="AH128">
            <v>8189</v>
          </cell>
          <cell r="AI128">
            <v>8310</v>
          </cell>
          <cell r="AJ128">
            <v>8438</v>
          </cell>
          <cell r="AK128">
            <v>8583</v>
          </cell>
          <cell r="AL128">
            <v>8583</v>
          </cell>
          <cell r="AM128">
            <v>8977</v>
          </cell>
          <cell r="AN128">
            <v>9215</v>
          </cell>
          <cell r="AO128">
            <v>9452</v>
          </cell>
          <cell r="AP128">
            <v>9571</v>
          </cell>
          <cell r="AQ128">
            <v>9571</v>
          </cell>
          <cell r="AR128">
            <v>9678</v>
          </cell>
          <cell r="AS128">
            <v>9923</v>
          </cell>
          <cell r="AT128">
            <v>9788</v>
          </cell>
          <cell r="AZ128">
            <v>9373</v>
          </cell>
          <cell r="BA128">
            <v>9184</v>
          </cell>
          <cell r="BB128">
            <v>9152</v>
          </cell>
          <cell r="BC128">
            <v>9279</v>
          </cell>
          <cell r="BD128">
            <v>8113</v>
          </cell>
          <cell r="BE128">
            <v>8113</v>
          </cell>
          <cell r="BF128">
            <v>7520</v>
          </cell>
          <cell r="BG128">
            <v>7570</v>
          </cell>
          <cell r="BH128">
            <v>7487</v>
          </cell>
          <cell r="BI128">
            <v>7394</v>
          </cell>
          <cell r="BJ128">
            <v>7394</v>
          </cell>
          <cell r="BK128">
            <v>7469</v>
          </cell>
          <cell r="BL128">
            <v>7571</v>
          </cell>
          <cell r="BM128">
            <v>7254</v>
          </cell>
          <cell r="BN128">
            <v>7202</v>
          </cell>
          <cell r="BO128">
            <v>7202</v>
          </cell>
          <cell r="BP128">
            <v>7222</v>
          </cell>
          <cell r="BQ128">
            <v>6817</v>
          </cell>
          <cell r="BR128">
            <v>6925</v>
          </cell>
          <cell r="BS128">
            <v>6847</v>
          </cell>
          <cell r="BT128">
            <v>6847</v>
          </cell>
          <cell r="BU128">
            <v>6891</v>
          </cell>
          <cell r="BV128">
            <v>7020</v>
          </cell>
          <cell r="BW128">
            <v>7129</v>
          </cell>
          <cell r="BX128">
            <v>7424</v>
          </cell>
          <cell r="BY128">
            <v>7424</v>
          </cell>
          <cell r="BZ128">
            <v>7457</v>
          </cell>
          <cell r="CA128">
            <v>7017</v>
          </cell>
          <cell r="CB128">
            <v>6992</v>
          </cell>
          <cell r="CC128">
            <v>7086</v>
          </cell>
          <cell r="CD128">
            <v>7086</v>
          </cell>
          <cell r="CE128">
            <v>7088</v>
          </cell>
          <cell r="CF128">
            <v>7096</v>
          </cell>
          <cell r="CG128">
            <v>7138</v>
          </cell>
          <cell r="CH128">
            <v>7283</v>
          </cell>
          <cell r="CI128">
            <v>7283</v>
          </cell>
          <cell r="CJ128">
            <v>7277</v>
          </cell>
          <cell r="CK128">
            <v>7309</v>
          </cell>
          <cell r="CL128">
            <v>7312</v>
          </cell>
          <cell r="CM128">
            <v>7404</v>
          </cell>
          <cell r="CN128">
            <v>7404</v>
          </cell>
          <cell r="CO128">
            <v>7429</v>
          </cell>
          <cell r="CP128">
            <v>7468</v>
          </cell>
          <cell r="CQ128">
            <v>7505</v>
          </cell>
          <cell r="CR128">
            <v>7736</v>
          </cell>
          <cell r="CS128">
            <v>7736</v>
          </cell>
          <cell r="CT128">
            <v>7766</v>
          </cell>
          <cell r="CU128">
            <v>7548</v>
          </cell>
          <cell r="CV128">
            <v>7617</v>
          </cell>
          <cell r="CW128">
            <v>7762</v>
          </cell>
          <cell r="CX128">
            <v>8234</v>
          </cell>
          <cell r="CY128">
            <v>8042</v>
          </cell>
          <cell r="CZ128">
            <v>8172</v>
          </cell>
          <cell r="DA128">
            <v>8302</v>
          </cell>
          <cell r="DB128">
            <v>8437</v>
          </cell>
          <cell r="DC128">
            <v>8909</v>
          </cell>
          <cell r="DD128">
            <v>8567</v>
          </cell>
          <cell r="DE128">
            <v>8697</v>
          </cell>
          <cell r="DF128">
            <v>8827</v>
          </cell>
          <cell r="DG128">
            <v>8957</v>
          </cell>
          <cell r="DH128">
            <v>9429</v>
          </cell>
          <cell r="DI128">
            <v>9087</v>
          </cell>
          <cell r="DJ128">
            <v>9217</v>
          </cell>
          <cell r="DK128">
            <v>9347</v>
          </cell>
          <cell r="DL128">
            <v>9477</v>
          </cell>
          <cell r="DM128">
            <v>9949</v>
          </cell>
          <cell r="DN128">
            <v>9607</v>
          </cell>
          <cell r="DO128">
            <v>9737</v>
          </cell>
          <cell r="DP128">
            <v>9867</v>
          </cell>
          <cell r="DQ128">
            <v>9997</v>
          </cell>
          <cell r="DR128">
            <v>10469</v>
          </cell>
        </row>
        <row r="130">
          <cell r="B130" t="str">
            <v>Depreciation &amp; amortization</v>
          </cell>
          <cell r="D130">
            <v>37.822000000000003</v>
          </cell>
          <cell r="E130">
            <v>37.200000000000003</v>
          </cell>
          <cell r="F130">
            <v>37.6</v>
          </cell>
          <cell r="G130">
            <v>82.377999999999986</v>
          </cell>
          <cell r="H130">
            <v>195</v>
          </cell>
          <cell r="I130">
            <v>80.2</v>
          </cell>
          <cell r="J130">
            <v>82.5</v>
          </cell>
          <cell r="K130">
            <v>77.8</v>
          </cell>
          <cell r="L130">
            <v>80.5</v>
          </cell>
          <cell r="M130">
            <v>321</v>
          </cell>
          <cell r="N130">
            <v>84.1</v>
          </cell>
          <cell r="O130">
            <v>85.5</v>
          </cell>
          <cell r="P130">
            <v>108.2</v>
          </cell>
          <cell r="Q130">
            <v>165.2</v>
          </cell>
          <cell r="R130">
            <v>443</v>
          </cell>
          <cell r="S130">
            <v>105</v>
          </cell>
          <cell r="T130">
            <v>114</v>
          </cell>
          <cell r="U130">
            <v>121</v>
          </cell>
          <cell r="V130">
            <v>120</v>
          </cell>
          <cell r="W130">
            <v>460</v>
          </cell>
          <cell r="X130">
            <v>127</v>
          </cell>
          <cell r="Y130">
            <v>134</v>
          </cell>
          <cell r="Z130">
            <v>142</v>
          </cell>
          <cell r="AA130">
            <v>153</v>
          </cell>
          <cell r="AB130">
            <v>556</v>
          </cell>
          <cell r="AC130">
            <v>134</v>
          </cell>
          <cell r="AD130">
            <v>132</v>
          </cell>
          <cell r="AE130">
            <v>133</v>
          </cell>
          <cell r="AF130">
            <v>134</v>
          </cell>
          <cell r="AG130">
            <v>533</v>
          </cell>
          <cell r="AH130">
            <v>137</v>
          </cell>
          <cell r="AI130">
            <v>136</v>
          </cell>
          <cell r="AJ130">
            <v>139</v>
          </cell>
          <cell r="AK130">
            <v>142</v>
          </cell>
          <cell r="AL130">
            <v>554</v>
          </cell>
          <cell r="AM130">
            <v>149</v>
          </cell>
          <cell r="AN130">
            <v>151</v>
          </cell>
          <cell r="AO130">
            <v>154</v>
          </cell>
          <cell r="AP130">
            <v>150</v>
          </cell>
          <cell r="AQ130">
            <v>604</v>
          </cell>
          <cell r="AR130">
            <v>128</v>
          </cell>
          <cell r="AS130">
            <v>130</v>
          </cell>
          <cell r="AT130">
            <v>132</v>
          </cell>
          <cell r="AZ130">
            <v>153</v>
          </cell>
          <cell r="BA130">
            <v>119</v>
          </cell>
          <cell r="BB130">
            <v>120</v>
          </cell>
          <cell r="BC130">
            <v>112</v>
          </cell>
          <cell r="BD130">
            <v>114</v>
          </cell>
          <cell r="BE130">
            <v>465</v>
          </cell>
          <cell r="BF130">
            <v>96</v>
          </cell>
          <cell r="BG130">
            <v>95</v>
          </cell>
          <cell r="BH130">
            <v>99</v>
          </cell>
          <cell r="BI130">
            <v>100</v>
          </cell>
          <cell r="BJ130">
            <v>390</v>
          </cell>
          <cell r="BK130">
            <v>96</v>
          </cell>
          <cell r="BL130">
            <v>92</v>
          </cell>
          <cell r="BM130">
            <v>105</v>
          </cell>
          <cell r="BN130">
            <v>89</v>
          </cell>
          <cell r="BO130">
            <v>382</v>
          </cell>
          <cell r="BP130">
            <v>90</v>
          </cell>
          <cell r="BQ130">
            <v>82</v>
          </cell>
          <cell r="BR130">
            <v>83</v>
          </cell>
          <cell r="BS130">
            <v>95</v>
          </cell>
          <cell r="BT130">
            <v>350</v>
          </cell>
          <cell r="BU130">
            <v>89</v>
          </cell>
          <cell r="BV130">
            <v>89</v>
          </cell>
          <cell r="BW130">
            <v>91</v>
          </cell>
          <cell r="BX130">
            <v>93</v>
          </cell>
          <cell r="BY130">
            <v>362</v>
          </cell>
          <cell r="BZ130">
            <v>95</v>
          </cell>
          <cell r="CA130">
            <v>95</v>
          </cell>
          <cell r="CB130">
            <v>94</v>
          </cell>
          <cell r="CC130">
            <v>96</v>
          </cell>
          <cell r="CD130">
            <v>380</v>
          </cell>
          <cell r="CE130">
            <v>97</v>
          </cell>
          <cell r="CF130">
            <v>98</v>
          </cell>
          <cell r="CG130">
            <v>97</v>
          </cell>
          <cell r="CH130">
            <v>95</v>
          </cell>
          <cell r="CI130">
            <v>387</v>
          </cell>
          <cell r="CJ130">
            <v>95</v>
          </cell>
          <cell r="CK130">
            <v>97</v>
          </cell>
          <cell r="CL130">
            <v>101</v>
          </cell>
          <cell r="CM130">
            <v>101</v>
          </cell>
          <cell r="CN130">
            <v>394</v>
          </cell>
          <cell r="CO130">
            <v>98</v>
          </cell>
          <cell r="CP130">
            <v>100</v>
          </cell>
          <cell r="CQ130">
            <v>100</v>
          </cell>
          <cell r="CR130">
            <v>100</v>
          </cell>
          <cell r="CS130">
            <v>398</v>
          </cell>
          <cell r="CT130">
            <v>100</v>
          </cell>
          <cell r="CU130">
            <v>104</v>
          </cell>
          <cell r="CV130">
            <v>110</v>
          </cell>
          <cell r="CW130">
            <v>110</v>
          </cell>
          <cell r="CX130">
            <v>424</v>
          </cell>
          <cell r="CY130">
            <v>107.9875</v>
          </cell>
          <cell r="CZ130">
            <v>107.9875</v>
          </cell>
          <cell r="DA130">
            <v>107.9875</v>
          </cell>
          <cell r="DB130">
            <v>107.9875</v>
          </cell>
          <cell r="DC130">
            <v>431.95</v>
          </cell>
          <cell r="DD130">
            <v>109.15062499999999</v>
          </cell>
          <cell r="DE130">
            <v>109.15062499999999</v>
          </cell>
          <cell r="DF130">
            <v>109.15062499999999</v>
          </cell>
          <cell r="DG130">
            <v>109.15062499999999</v>
          </cell>
          <cell r="DH130">
            <v>436.60249999999996</v>
          </cell>
          <cell r="DI130">
            <v>110.19309374999999</v>
          </cell>
          <cell r="DJ130">
            <v>110.19309374999999</v>
          </cell>
          <cell r="DK130">
            <v>110.19309374999999</v>
          </cell>
          <cell r="DL130">
            <v>110.19309374999999</v>
          </cell>
          <cell r="DM130">
            <v>440.77237499999995</v>
          </cell>
          <cell r="DN130">
            <v>111.18343906249999</v>
          </cell>
          <cell r="DO130">
            <v>111.18343906249999</v>
          </cell>
          <cell r="DP130">
            <v>111.18343906249999</v>
          </cell>
          <cell r="DQ130">
            <v>111.18343906249999</v>
          </cell>
          <cell r="DR130">
            <v>444.73375624999994</v>
          </cell>
        </row>
        <row r="131">
          <cell r="B131" t="str">
            <v>Average Gross PP&amp;E</v>
          </cell>
          <cell r="E131">
            <v>2602.585</v>
          </cell>
          <cell r="F131">
            <v>2642.85</v>
          </cell>
          <cell r="G131">
            <v>3403.1</v>
          </cell>
          <cell r="H131">
            <v>3002.8424999999997</v>
          </cell>
          <cell r="I131">
            <v>4200.95</v>
          </cell>
          <cell r="J131">
            <v>4361.7999999999993</v>
          </cell>
          <cell r="K131">
            <v>4506.25</v>
          </cell>
          <cell r="L131">
            <v>4572.8999999999996</v>
          </cell>
          <cell r="M131">
            <v>4402.4799999999996</v>
          </cell>
          <cell r="N131">
            <v>4649.8999999999996</v>
          </cell>
          <cell r="O131">
            <v>4745.8500000000004</v>
          </cell>
          <cell r="P131">
            <v>5777.6</v>
          </cell>
          <cell r="Q131">
            <v>6843.65</v>
          </cell>
          <cell r="R131">
            <v>5555.4</v>
          </cell>
          <cell r="S131">
            <v>7048</v>
          </cell>
          <cell r="T131">
            <v>7221.5</v>
          </cell>
          <cell r="U131">
            <v>7416</v>
          </cell>
          <cell r="V131">
            <v>7655.5</v>
          </cell>
          <cell r="W131">
            <v>7335.2</v>
          </cell>
          <cell r="X131">
            <v>7854</v>
          </cell>
          <cell r="Y131">
            <v>8166.5</v>
          </cell>
          <cell r="Z131">
            <v>8419</v>
          </cell>
          <cell r="AA131">
            <v>8084</v>
          </cell>
          <cell r="AB131">
            <v>8049.8</v>
          </cell>
          <cell r="AC131">
            <v>7741.5</v>
          </cell>
          <cell r="AD131">
            <v>7837.5</v>
          </cell>
          <cell r="AE131">
            <v>7888</v>
          </cell>
          <cell r="AF131">
            <v>8011</v>
          </cell>
          <cell r="AG131">
            <v>7880</v>
          </cell>
          <cell r="AH131">
            <v>8165</v>
          </cell>
          <cell r="AI131">
            <v>8249.5</v>
          </cell>
          <cell r="AJ131">
            <v>8374</v>
          </cell>
          <cell r="AK131">
            <v>8510.5</v>
          </cell>
          <cell r="AL131">
            <v>8332.2000000000007</v>
          </cell>
          <cell r="AM131">
            <v>8780</v>
          </cell>
          <cell r="AN131">
            <v>9096</v>
          </cell>
          <cell r="AO131">
            <v>9333.5</v>
          </cell>
          <cell r="AP131">
            <v>9511.5</v>
          </cell>
          <cell r="AQ131">
            <v>9159.6</v>
          </cell>
          <cell r="AR131">
            <v>9624.5</v>
          </cell>
          <cell r="AS131">
            <v>9800.5</v>
          </cell>
          <cell r="AT131">
            <v>9855.5</v>
          </cell>
          <cell r="BA131">
            <v>9278.5</v>
          </cell>
          <cell r="BB131">
            <v>9168</v>
          </cell>
          <cell r="BC131">
            <v>9215.5</v>
          </cell>
          <cell r="BD131">
            <v>8696</v>
          </cell>
          <cell r="BE131">
            <v>9020.2000000000007</v>
          </cell>
          <cell r="BF131">
            <v>7816.5</v>
          </cell>
          <cell r="BG131">
            <v>7545</v>
          </cell>
          <cell r="BH131">
            <v>7528.5</v>
          </cell>
          <cell r="BI131">
            <v>7440.5</v>
          </cell>
          <cell r="BJ131">
            <v>7616.8</v>
          </cell>
          <cell r="BK131">
            <v>7431.5</v>
          </cell>
          <cell r="BL131">
            <v>7520</v>
          </cell>
          <cell r="BM131">
            <v>7412.5</v>
          </cell>
          <cell r="BN131">
            <v>7228</v>
          </cell>
          <cell r="BO131">
            <v>7378</v>
          </cell>
          <cell r="BP131">
            <v>7212</v>
          </cell>
          <cell r="BQ131">
            <v>7019.5</v>
          </cell>
          <cell r="BR131">
            <v>6871</v>
          </cell>
          <cell r="BS131">
            <v>6886</v>
          </cell>
          <cell r="BT131">
            <v>7002.6</v>
          </cell>
          <cell r="BU131">
            <v>6869</v>
          </cell>
          <cell r="BV131">
            <v>6955.5</v>
          </cell>
          <cell r="BW131">
            <v>7074.5</v>
          </cell>
          <cell r="BX131">
            <v>7276.5</v>
          </cell>
          <cell r="BY131">
            <v>7062.2</v>
          </cell>
          <cell r="BZ131">
            <v>7440.5</v>
          </cell>
          <cell r="CA131">
            <v>7237</v>
          </cell>
          <cell r="CB131">
            <v>7004.5</v>
          </cell>
          <cell r="CC131">
            <v>7039</v>
          </cell>
          <cell r="CD131">
            <v>7195.2</v>
          </cell>
          <cell r="CE131">
            <v>7087</v>
          </cell>
          <cell r="CF131">
            <v>7092</v>
          </cell>
          <cell r="CG131">
            <v>7117</v>
          </cell>
          <cell r="CH131">
            <v>7210.5</v>
          </cell>
          <cell r="CI131">
            <v>7138.2</v>
          </cell>
          <cell r="CJ131">
            <v>7280</v>
          </cell>
          <cell r="CK131">
            <v>7293</v>
          </cell>
          <cell r="CL131">
            <v>7310.5</v>
          </cell>
          <cell r="CM131">
            <v>7358</v>
          </cell>
          <cell r="CN131">
            <v>7317</v>
          </cell>
          <cell r="CO131">
            <v>7416.5</v>
          </cell>
          <cell r="CP131">
            <v>7448.5</v>
          </cell>
          <cell r="CQ131">
            <v>7486.5</v>
          </cell>
          <cell r="CR131">
            <v>7620.5</v>
          </cell>
          <cell r="CS131">
            <v>7508.4</v>
          </cell>
          <cell r="CT131">
            <v>7751</v>
          </cell>
          <cell r="CU131">
            <v>7657</v>
          </cell>
          <cell r="CV131">
            <v>7582.5</v>
          </cell>
          <cell r="CW131">
            <v>7689.5</v>
          </cell>
          <cell r="CX131">
            <v>7685.8</v>
          </cell>
          <cell r="CY131">
            <v>7902</v>
          </cell>
          <cell r="CZ131">
            <v>8107</v>
          </cell>
          <cell r="DA131">
            <v>8237</v>
          </cell>
          <cell r="DB131">
            <v>8369.5</v>
          </cell>
          <cell r="DC131">
            <v>8143</v>
          </cell>
          <cell r="DD131">
            <v>8502</v>
          </cell>
          <cell r="DE131">
            <v>8632</v>
          </cell>
          <cell r="DF131">
            <v>8762</v>
          </cell>
          <cell r="DG131">
            <v>8892</v>
          </cell>
          <cell r="DH131">
            <v>8697</v>
          </cell>
          <cell r="DI131">
            <v>9022</v>
          </cell>
          <cell r="DJ131">
            <v>9152</v>
          </cell>
          <cell r="DK131">
            <v>9282</v>
          </cell>
          <cell r="DL131">
            <v>9412</v>
          </cell>
          <cell r="DM131">
            <v>9217</v>
          </cell>
          <cell r="DN131">
            <v>9542</v>
          </cell>
          <cell r="DO131">
            <v>9672</v>
          </cell>
          <cell r="DP131">
            <v>9802</v>
          </cell>
          <cell r="DQ131">
            <v>9932</v>
          </cell>
          <cell r="DR131">
            <v>9737</v>
          </cell>
        </row>
        <row r="132">
          <cell r="B132" t="str">
            <v>Average Depreciable Life</v>
          </cell>
          <cell r="E132">
            <v>17.490490591397847</v>
          </cell>
          <cell r="F132">
            <v>17.379040507364973</v>
          </cell>
          <cell r="G132">
            <v>10.441187887836268</v>
          </cell>
          <cell r="H132">
            <v>15.399192307692307</v>
          </cell>
          <cell r="I132">
            <v>13.166789310875814</v>
          </cell>
          <cell r="J132">
            <v>13.145348567643648</v>
          </cell>
          <cell r="K132">
            <v>14.242856841839101</v>
          </cell>
          <cell r="L132">
            <v>14.434365135933204</v>
          </cell>
          <cell r="M132">
            <v>13.714890965732085</v>
          </cell>
          <cell r="N132">
            <v>13.936142556969035</v>
          </cell>
          <cell r="O132">
            <v>13.838735880797886</v>
          </cell>
          <cell r="P132">
            <v>13.166485199908847</v>
          </cell>
          <cell r="Q132">
            <v>10.441736044313243</v>
          </cell>
          <cell r="R132">
            <v>12.540406320541759</v>
          </cell>
          <cell r="S132">
            <v>16.91887801696021</v>
          </cell>
          <cell r="T132">
            <v>15.793234799327086</v>
          </cell>
          <cell r="U132">
            <v>15.112419336578739</v>
          </cell>
          <cell r="V132">
            <v>16.080045662100456</v>
          </cell>
          <cell r="W132">
            <v>15.946086956521739</v>
          </cell>
          <cell r="X132">
            <v>15.587703591845539</v>
          </cell>
          <cell r="Y132">
            <v>15.194264976487426</v>
          </cell>
          <cell r="Z132">
            <v>14.619139494501255</v>
          </cell>
          <cell r="AA132">
            <v>13.317718685647774</v>
          </cell>
          <cell r="AB132">
            <v>14.478057553956836</v>
          </cell>
          <cell r="AC132">
            <v>14.403526886117358</v>
          </cell>
          <cell r="AD132">
            <v>14.803082191780822</v>
          </cell>
          <cell r="AE132">
            <v>14.623957153156866</v>
          </cell>
          <cell r="AF132">
            <v>15.232529135146187</v>
          </cell>
          <cell r="AG132">
            <v>14.784240150093808</v>
          </cell>
          <cell r="AH132">
            <v>15.022097790220979</v>
          </cell>
          <cell r="AI132">
            <v>15.122975423045931</v>
          </cell>
          <cell r="AJ132">
            <v>14.854833941066326</v>
          </cell>
          <cell r="AK132">
            <v>15.106424850472699</v>
          </cell>
          <cell r="AL132">
            <v>15.040072202166066</v>
          </cell>
          <cell r="AM132">
            <v>14.85262480463363</v>
          </cell>
          <cell r="AN132">
            <v>15.018343463666879</v>
          </cell>
          <cell r="AO132">
            <v>14.944227005870841</v>
          </cell>
          <cell r="AP132">
            <v>15.982794520547944</v>
          </cell>
          <cell r="AQ132">
            <v>15.164900662251656</v>
          </cell>
          <cell r="AR132">
            <v>18.952354452054795</v>
          </cell>
          <cell r="AS132">
            <v>18.795479452054796</v>
          </cell>
          <cell r="AT132">
            <v>18.410024906600249</v>
          </cell>
          <cell r="BA132">
            <v>19.225624496373893</v>
          </cell>
          <cell r="BB132">
            <v>19.047671232876713</v>
          </cell>
          <cell r="BC132">
            <v>20.739383561643834</v>
          </cell>
          <cell r="BD132">
            <v>19.226916606584954</v>
          </cell>
          <cell r="BE132">
            <v>19.398279569892473</v>
          </cell>
          <cell r="BF132">
            <v>20.244236680327869</v>
          </cell>
          <cell r="BG132">
            <v>19.74676445211389</v>
          </cell>
          <cell r="BH132">
            <v>19.115250869349232</v>
          </cell>
          <cell r="BI132">
            <v>18.70289617486339</v>
          </cell>
          <cell r="BJ132">
            <v>19.53025641025641</v>
          </cell>
          <cell r="BK132">
            <v>19.087756849315067</v>
          </cell>
          <cell r="BL132">
            <v>20.378796902918403</v>
          </cell>
          <cell r="BM132">
            <v>17.793868232224398</v>
          </cell>
          <cell r="BN132">
            <v>20.470247806680007</v>
          </cell>
          <cell r="CE132">
            <v>18.015252083039123</v>
          </cell>
          <cell r="CF132">
            <v>18.042270058708414</v>
          </cell>
          <cell r="CG132">
            <v>18.493546109306596</v>
          </cell>
          <cell r="CH132">
            <v>19.13095890410959</v>
          </cell>
          <cell r="CI132">
            <v>18.444961240310079</v>
          </cell>
          <cell r="CJ132">
            <v>18.895457822638789</v>
          </cell>
          <cell r="CK132">
            <v>18.74489478887163</v>
          </cell>
          <cell r="CL132">
            <v>18.244025498440255</v>
          </cell>
          <cell r="CM132">
            <v>18.362566119625662</v>
          </cell>
          <cell r="CN132">
            <v>18.571065989847718</v>
          </cell>
          <cell r="CO132">
            <v>18.660469667318985</v>
          </cell>
          <cell r="CP132">
            <v>18.570232876712328</v>
          </cell>
          <cell r="CQ132">
            <v>18.870082191780821</v>
          </cell>
          <cell r="CR132">
            <v>19.207835616438356</v>
          </cell>
          <cell r="CS132">
            <v>18.865326633165829</v>
          </cell>
          <cell r="CT132">
            <v>19.271612021857926</v>
          </cell>
          <cell r="CU132">
            <v>18.305669398907103</v>
          </cell>
          <cell r="CV132">
            <v>70.463636363636368</v>
          </cell>
          <cell r="CW132">
            <v>17.57163437655241</v>
          </cell>
          <cell r="CX132">
            <v>18.126886792452829</v>
          </cell>
          <cell r="CY132">
            <v>18.043184221918128</v>
          </cell>
          <cell r="CZ132">
            <v>18.716955761305453</v>
          </cell>
          <cell r="DA132">
            <v>19.226071003271244</v>
          </cell>
          <cell r="DB132">
            <v>19.535340689799526</v>
          </cell>
          <cell r="DC132">
            <v>18.851718948952424</v>
          </cell>
          <cell r="DD132">
            <v>19.206335846852326</v>
          </cell>
          <cell r="DE132">
            <v>19.71667749252812</v>
          </cell>
          <cell r="DF132">
            <v>20.233545246204876</v>
          </cell>
          <cell r="DG132">
            <v>20.533746214249458</v>
          </cell>
          <cell r="DH132">
            <v>19.91972102770827</v>
          </cell>
          <cell r="DI132">
            <v>20.188222909623388</v>
          </cell>
          <cell r="DJ132">
            <v>20.706665265483711</v>
          </cell>
          <cell r="DK132">
            <v>21.231571989870972</v>
          </cell>
          <cell r="DL132">
            <v>21.528932942110064</v>
          </cell>
          <cell r="DM132">
            <v>20.911020115541501</v>
          </cell>
          <cell r="DN132">
            <v>21.338290134564684</v>
          </cell>
          <cell r="DO132">
            <v>21.629002534218152</v>
          </cell>
          <cell r="DP132">
            <v>22.160590922155926</v>
          </cell>
          <cell r="DQ132">
            <v>22.454497963563831</v>
          </cell>
          <cell r="DR132">
            <v>21.893998067748431</v>
          </cell>
        </row>
        <row r="135">
          <cell r="B135" t="str">
            <v>Fiscal Year ends December 31</v>
          </cell>
          <cell r="D135">
            <v>34577</v>
          </cell>
          <cell r="E135">
            <v>34668</v>
          </cell>
          <cell r="F135">
            <v>34758</v>
          </cell>
          <cell r="G135">
            <v>34850</v>
          </cell>
          <cell r="I135">
            <v>34942</v>
          </cell>
          <cell r="J135">
            <v>35033</v>
          </cell>
          <cell r="K135">
            <v>35123</v>
          </cell>
          <cell r="L135">
            <v>35216</v>
          </cell>
          <cell r="N135">
            <v>35308</v>
          </cell>
          <cell r="O135">
            <v>35399</v>
          </cell>
          <cell r="P135">
            <v>35489</v>
          </cell>
          <cell r="Q135">
            <v>35581</v>
          </cell>
          <cell r="S135">
            <v>35673</v>
          </cell>
          <cell r="T135">
            <v>35764</v>
          </cell>
          <cell r="U135">
            <v>35854</v>
          </cell>
          <cell r="V135">
            <v>35946</v>
          </cell>
          <cell r="X135">
            <v>36038</v>
          </cell>
          <cell r="Y135">
            <v>36129</v>
          </cell>
          <cell r="Z135">
            <v>36219</v>
          </cell>
          <cell r="AA135">
            <v>36311</v>
          </cell>
          <cell r="AC135">
            <v>36403</v>
          </cell>
          <cell r="AD135">
            <v>36494</v>
          </cell>
          <cell r="AE135">
            <v>36584</v>
          </cell>
          <cell r="AF135">
            <v>36677</v>
          </cell>
          <cell r="AH135">
            <v>36769</v>
          </cell>
          <cell r="AI135">
            <v>36860</v>
          </cell>
          <cell r="AJ135">
            <v>36950</v>
          </cell>
          <cell r="AK135">
            <v>37042</v>
          </cell>
          <cell r="AM135">
            <v>37134</v>
          </cell>
          <cell r="AN135">
            <v>37225</v>
          </cell>
          <cell r="AO135">
            <v>37315</v>
          </cell>
          <cell r="AP135">
            <v>37407</v>
          </cell>
          <cell r="AR135">
            <v>37499</v>
          </cell>
          <cell r="AS135">
            <v>37590</v>
          </cell>
          <cell r="AT135">
            <v>37680</v>
          </cell>
          <cell r="AV135">
            <v>37346</v>
          </cell>
          <cell r="AW135">
            <v>37437</v>
          </cell>
          <cell r="AX135">
            <v>37529</v>
          </cell>
          <cell r="AY135">
            <v>37621</v>
          </cell>
          <cell r="BA135">
            <v>37711</v>
          </cell>
          <cell r="BB135">
            <v>37802</v>
          </cell>
          <cell r="BC135">
            <v>37894</v>
          </cell>
          <cell r="BD135">
            <v>37986</v>
          </cell>
          <cell r="BF135">
            <v>38077</v>
          </cell>
          <cell r="BG135">
            <v>38168</v>
          </cell>
          <cell r="BH135">
            <v>38260</v>
          </cell>
          <cell r="BI135">
            <v>38352</v>
          </cell>
          <cell r="BK135">
            <v>38442</v>
          </cell>
          <cell r="BL135">
            <v>38533</v>
          </cell>
          <cell r="BM135">
            <v>38625</v>
          </cell>
          <cell r="BN135">
            <v>38717</v>
          </cell>
          <cell r="BP135">
            <v>38807</v>
          </cell>
          <cell r="BQ135">
            <v>38898</v>
          </cell>
          <cell r="BR135">
            <v>38990</v>
          </cell>
          <cell r="BS135">
            <v>39082</v>
          </cell>
          <cell r="BU135">
            <v>39172</v>
          </cell>
          <cell r="BV135">
            <v>39263</v>
          </cell>
          <cell r="BW135">
            <v>39355</v>
          </cell>
          <cell r="BX135">
            <v>39447</v>
          </cell>
          <cell r="BZ135">
            <v>39538</v>
          </cell>
          <cell r="CA135">
            <v>39629</v>
          </cell>
          <cell r="CB135">
            <v>39721</v>
          </cell>
          <cell r="CC135">
            <v>39813</v>
          </cell>
          <cell r="CE135">
            <v>39903</v>
          </cell>
          <cell r="CF135">
            <v>39994</v>
          </cell>
          <cell r="CG135">
            <v>40086</v>
          </cell>
          <cell r="CH135">
            <v>40178</v>
          </cell>
          <cell r="CJ135">
            <v>40268</v>
          </cell>
          <cell r="CK135">
            <v>40359</v>
          </cell>
          <cell r="CL135">
            <v>40451</v>
          </cell>
          <cell r="CM135">
            <v>40543</v>
          </cell>
          <cell r="CO135">
            <v>40633</v>
          </cell>
          <cell r="CP135">
            <v>40724</v>
          </cell>
          <cell r="CQ135">
            <v>40816</v>
          </cell>
          <cell r="CR135">
            <v>40908</v>
          </cell>
          <cell r="CT135">
            <v>40999</v>
          </cell>
          <cell r="CU135">
            <v>41090</v>
          </cell>
          <cell r="CV135">
            <v>41182</v>
          </cell>
          <cell r="CW135">
            <v>41274</v>
          </cell>
          <cell r="CY135">
            <v>41364</v>
          </cell>
          <cell r="CZ135">
            <v>41455</v>
          </cell>
          <cell r="DA135">
            <v>41547</v>
          </cell>
          <cell r="DB135">
            <v>41639</v>
          </cell>
          <cell r="DD135">
            <v>41729</v>
          </cell>
          <cell r="DE135">
            <v>41820</v>
          </cell>
          <cell r="DF135">
            <v>41912</v>
          </cell>
          <cell r="DG135">
            <v>42004</v>
          </cell>
          <cell r="DI135">
            <v>42094</v>
          </cell>
          <cell r="DJ135">
            <v>42185</v>
          </cell>
          <cell r="DK135">
            <v>42277</v>
          </cell>
          <cell r="DL135">
            <v>42369</v>
          </cell>
          <cell r="DN135">
            <v>42460</v>
          </cell>
          <cell r="DO135">
            <v>42551</v>
          </cell>
          <cell r="DP135">
            <v>42643</v>
          </cell>
          <cell r="DQ135">
            <v>42735</v>
          </cell>
        </row>
        <row r="136">
          <cell r="B136" t="str">
            <v>($ Millions, except per share data)</v>
          </cell>
          <cell r="D136" t="str">
            <v>F1Q95A</v>
          </cell>
          <cell r="E136" t="str">
            <v>F2Q95A</v>
          </cell>
          <cell r="F136" t="str">
            <v>F3Q95A</v>
          </cell>
          <cell r="G136" t="str">
            <v>F4Q95A</v>
          </cell>
          <cell r="H136" t="str">
            <v>F1995A</v>
          </cell>
          <cell r="I136" t="str">
            <v>F1Q96A</v>
          </cell>
          <cell r="J136" t="str">
            <v>F2Q96A</v>
          </cell>
          <cell r="K136" t="str">
            <v>F3Q96A</v>
          </cell>
          <cell r="L136" t="str">
            <v>F4Q96A</v>
          </cell>
          <cell r="M136" t="str">
            <v>F1996A</v>
          </cell>
          <cell r="N136" t="str">
            <v>F1Q97A</v>
          </cell>
          <cell r="O136" t="str">
            <v>F2Q97A</v>
          </cell>
          <cell r="P136" t="str">
            <v>F3Q97A</v>
          </cell>
          <cell r="Q136" t="str">
            <v>F4Q97A</v>
          </cell>
          <cell r="R136" t="str">
            <v>F1997A</v>
          </cell>
          <cell r="S136" t="str">
            <v>F1Q98A</v>
          </cell>
          <cell r="T136" t="str">
            <v>F2Q98A</v>
          </cell>
          <cell r="U136" t="str">
            <v>F3Q98A</v>
          </cell>
          <cell r="V136" t="str">
            <v>F4Q98A</v>
          </cell>
          <cell r="W136" t="str">
            <v>F1998A</v>
          </cell>
          <cell r="X136" t="str">
            <v>F1Q99A</v>
          </cell>
          <cell r="Y136" t="str">
            <v>F2Q99A</v>
          </cell>
          <cell r="Z136" t="str">
            <v>F3Q99A</v>
          </cell>
          <cell r="AA136" t="str">
            <v>F4Q99A</v>
          </cell>
          <cell r="AB136" t="str">
            <v>F1999A</v>
          </cell>
          <cell r="AC136" t="str">
            <v>F1Q00A</v>
          </cell>
          <cell r="AD136" t="str">
            <v>F2Q00A</v>
          </cell>
          <cell r="AE136" t="str">
            <v>F3Q00A</v>
          </cell>
          <cell r="AF136" t="str">
            <v>F4Q00A</v>
          </cell>
          <cell r="AG136" t="str">
            <v>F2000A</v>
          </cell>
          <cell r="AH136" t="str">
            <v>F1Q01A</v>
          </cell>
          <cell r="AI136" t="str">
            <v>F2Q01A</v>
          </cell>
          <cell r="AJ136" t="str">
            <v>F3Q01A</v>
          </cell>
          <cell r="AK136" t="str">
            <v>F4Q01A</v>
          </cell>
          <cell r="AL136" t="str">
            <v>F2001A</v>
          </cell>
          <cell r="AM136" t="str">
            <v>F1Q02A</v>
          </cell>
          <cell r="AN136" t="str">
            <v>F2Q02A</v>
          </cell>
          <cell r="AO136" t="str">
            <v>F3Q02A</v>
          </cell>
          <cell r="AP136" t="str">
            <v>F4Q02A</v>
          </cell>
          <cell r="AQ136" t="str">
            <v>F2002A</v>
          </cell>
          <cell r="AR136" t="str">
            <v>F1Q03A</v>
          </cell>
          <cell r="AS136" t="str">
            <v>F2Q03A</v>
          </cell>
          <cell r="AT136" t="str">
            <v>F3Q03A</v>
          </cell>
          <cell r="AV136" t="str">
            <v>1Q02A</v>
          </cell>
          <cell r="AW136" t="str">
            <v>2Q02A</v>
          </cell>
          <cell r="AX136" t="str">
            <v>3Q02A</v>
          </cell>
          <cell r="AY136" t="str">
            <v>4Q02A</v>
          </cell>
          <cell r="AZ136" t="str">
            <v>2002A</v>
          </cell>
          <cell r="BA136" t="str">
            <v>1Q03A</v>
          </cell>
          <cell r="BB136" t="str">
            <v>2Q03A</v>
          </cell>
          <cell r="BC136" t="str">
            <v>3Q03A</v>
          </cell>
          <cell r="BD136" t="str">
            <v>4Q03A</v>
          </cell>
          <cell r="BE136" t="str">
            <v>2003A</v>
          </cell>
          <cell r="BF136" t="str">
            <v>1Q04A</v>
          </cell>
          <cell r="BG136" t="str">
            <v>2Q04A</v>
          </cell>
          <cell r="BH136" t="str">
            <v>3Q04A</v>
          </cell>
          <cell r="BI136" t="str">
            <v>4Q04A</v>
          </cell>
          <cell r="BJ136" t="str">
            <v>2004A</v>
          </cell>
          <cell r="BK136" t="str">
            <v>1Q05A</v>
          </cell>
          <cell r="BL136" t="str">
            <v>2Q05A</v>
          </cell>
          <cell r="BM136" t="str">
            <v>3Q05A</v>
          </cell>
          <cell r="BN136" t="str">
            <v>4Q05A</v>
          </cell>
          <cell r="BO136" t="str">
            <v>2005A</v>
          </cell>
          <cell r="BP136" t="str">
            <v>1Q06A</v>
          </cell>
          <cell r="BQ136" t="str">
            <v>2Q06A</v>
          </cell>
          <cell r="BR136" t="str">
            <v>3Q06A</v>
          </cell>
          <cell r="BS136" t="str">
            <v>4Q06A</v>
          </cell>
          <cell r="BT136" t="str">
            <v>2006A</v>
          </cell>
          <cell r="BU136" t="str">
            <v>1Q07A</v>
          </cell>
          <cell r="BV136" t="str">
            <v>2Q07A</v>
          </cell>
          <cell r="BW136" t="str">
            <v>3Q07A</v>
          </cell>
          <cell r="BX136" t="str">
            <v>4Q07A</v>
          </cell>
          <cell r="BY136" t="str">
            <v>2007A</v>
          </cell>
          <cell r="BZ136" t="str">
            <v>1Q08A</v>
          </cell>
          <cell r="CA136" t="str">
            <v>2Q08A</v>
          </cell>
          <cell r="CB136" t="str">
            <v>3Q08A</v>
          </cell>
          <cell r="CC136" t="str">
            <v>4Q08A</v>
          </cell>
          <cell r="CD136" t="str">
            <v>2008A</v>
          </cell>
          <cell r="CE136" t="str">
            <v>1Q09A</v>
          </cell>
          <cell r="CF136" t="str">
            <v>2Q09A</v>
          </cell>
          <cell r="CG136" t="str">
            <v>3Q09A</v>
          </cell>
          <cell r="CH136" t="str">
            <v>4Q09A</v>
          </cell>
          <cell r="CI136" t="str">
            <v>2009A</v>
          </cell>
          <cell r="CJ136" t="str">
            <v>1Q10A</v>
          </cell>
          <cell r="CK136" t="str">
            <v>2Q10A</v>
          </cell>
          <cell r="CL136" t="str">
            <v>3Q10A</v>
          </cell>
          <cell r="CM136" t="str">
            <v>4Q10A</v>
          </cell>
          <cell r="CN136" t="str">
            <v>2010A</v>
          </cell>
          <cell r="CO136" t="str">
            <v>1Q11A</v>
          </cell>
          <cell r="CP136" t="str">
            <v>2Q11A</v>
          </cell>
          <cell r="CQ136" t="str">
            <v>3Q11A</v>
          </cell>
          <cell r="CR136" t="str">
            <v>4Q11A</v>
          </cell>
          <cell r="CS136" t="str">
            <v>2011A</v>
          </cell>
          <cell r="CT136" t="str">
            <v>1Q12A</v>
          </cell>
          <cell r="CU136" t="str">
            <v>2Q12A</v>
          </cell>
          <cell r="CV136" t="str">
            <v>3Q12A</v>
          </cell>
          <cell r="CW136" t="str">
            <v>4Q12E</v>
          </cell>
          <cell r="CX136" t="str">
            <v>2012E</v>
          </cell>
          <cell r="CY136" t="str">
            <v>1Q13E</v>
          </cell>
          <cell r="CZ136" t="str">
            <v>2Q13E</v>
          </cell>
          <cell r="DA136" t="str">
            <v>3Q13E</v>
          </cell>
          <cell r="DB136" t="str">
            <v>4Q13E</v>
          </cell>
          <cell r="DC136" t="str">
            <v>2013E</v>
          </cell>
          <cell r="DD136" t="str">
            <v>1Q14E</v>
          </cell>
          <cell r="DE136" t="str">
            <v>2Q14E</v>
          </cell>
          <cell r="DF136" t="str">
            <v>3Q14E</v>
          </cell>
          <cell r="DG136" t="str">
            <v>4Q14E</v>
          </cell>
          <cell r="DH136" t="str">
            <v>2014E</v>
          </cell>
          <cell r="DI136" t="str">
            <v>1Q15E</v>
          </cell>
          <cell r="DJ136" t="str">
            <v>2Q15E</v>
          </cell>
          <cell r="DK136" t="str">
            <v>3Q15E</v>
          </cell>
          <cell r="DL136" t="str">
            <v>4Q15E</v>
          </cell>
          <cell r="DM136" t="str">
            <v>2015E</v>
          </cell>
          <cell r="DN136" t="str">
            <v>1Q16E</v>
          </cell>
          <cell r="DO136" t="str">
            <v>2Q16E</v>
          </cell>
          <cell r="DP136" t="str">
            <v>3Q16E</v>
          </cell>
          <cell r="DQ136" t="str">
            <v>4Q16E</v>
          </cell>
          <cell r="DR136" t="str">
            <v>2016E</v>
          </cell>
        </row>
        <row r="137">
          <cell r="B137" t="str">
            <v>Net income (loss)</v>
          </cell>
          <cell r="H137">
            <v>165</v>
          </cell>
          <cell r="M137">
            <v>350</v>
          </cell>
          <cell r="R137">
            <v>-254</v>
          </cell>
          <cell r="W137">
            <v>261</v>
          </cell>
          <cell r="X137">
            <v>137</v>
          </cell>
          <cell r="Y137">
            <v>125</v>
          </cell>
          <cell r="Z137">
            <v>124</v>
          </cell>
          <cell r="AA137">
            <v>-137</v>
          </cell>
          <cell r="AB137">
            <v>249</v>
          </cell>
          <cell r="AC137">
            <v>109</v>
          </cell>
          <cell r="AD137">
            <v>135</v>
          </cell>
          <cell r="AE137">
            <v>38</v>
          </cell>
          <cell r="AF137">
            <v>20</v>
          </cell>
          <cell r="AG137">
            <v>302</v>
          </cell>
          <cell r="AH137">
            <v>154</v>
          </cell>
          <cell r="AI137">
            <v>175</v>
          </cell>
          <cell r="AJ137">
            <v>198</v>
          </cell>
          <cell r="AK137">
            <v>116</v>
          </cell>
          <cell r="AL137">
            <v>643</v>
          </cell>
          <cell r="AM137">
            <v>155</v>
          </cell>
          <cell r="AN137">
            <v>89</v>
          </cell>
          <cell r="AO137">
            <v>280</v>
          </cell>
          <cell r="AP137">
            <v>261</v>
          </cell>
          <cell r="AQ137">
            <v>785</v>
          </cell>
          <cell r="AR137">
            <v>338</v>
          </cell>
          <cell r="AS137">
            <v>315</v>
          </cell>
          <cell r="AT137">
            <v>-55</v>
          </cell>
          <cell r="AZ137">
            <v>459</v>
          </cell>
          <cell r="BA137">
            <v>-20</v>
          </cell>
          <cell r="BB137">
            <v>-195</v>
          </cell>
          <cell r="BC137">
            <v>-308</v>
          </cell>
          <cell r="BD137">
            <v>-954</v>
          </cell>
          <cell r="BE137">
            <v>-1477</v>
          </cell>
          <cell r="BF137">
            <v>-122</v>
          </cell>
          <cell r="BG137">
            <v>-426</v>
          </cell>
          <cell r="BH137">
            <v>-70</v>
          </cell>
          <cell r="BI137">
            <v>-2022</v>
          </cell>
          <cell r="BJ137">
            <v>-2640</v>
          </cell>
          <cell r="BK137">
            <v>-4</v>
          </cell>
          <cell r="BL137">
            <v>-33</v>
          </cell>
          <cell r="BM137">
            <v>-401</v>
          </cell>
          <cell r="BN137">
            <v>-286</v>
          </cell>
          <cell r="BO137">
            <v>-724</v>
          </cell>
          <cell r="BP137">
            <v>70</v>
          </cell>
          <cell r="BQ137">
            <v>-398</v>
          </cell>
          <cell r="BR137">
            <v>-89</v>
          </cell>
          <cell r="BS137">
            <v>-386</v>
          </cell>
          <cell r="BT137">
            <v>-803</v>
          </cell>
          <cell r="BU137">
            <v>75</v>
          </cell>
          <cell r="BV137">
            <v>-30</v>
          </cell>
          <cell r="BW137">
            <v>-59</v>
          </cell>
          <cell r="BX137">
            <v>-75</v>
          </cell>
          <cell r="BY137">
            <v>-89</v>
          </cell>
          <cell r="BZ137">
            <v>-31</v>
          </cell>
          <cell r="CA137">
            <v>-15</v>
          </cell>
          <cell r="CB137">
            <v>104</v>
          </cell>
          <cell r="CC137">
            <v>-33</v>
          </cell>
          <cell r="CD137">
            <v>25</v>
          </cell>
          <cell r="CE137">
            <v>183</v>
          </cell>
          <cell r="CF137">
            <v>-14</v>
          </cell>
          <cell r="CG137">
            <v>-1</v>
          </cell>
          <cell r="CH137">
            <v>29</v>
          </cell>
          <cell r="CI137">
            <v>197</v>
          </cell>
          <cell r="CJ137">
            <v>95</v>
          </cell>
          <cell r="CK137">
            <v>35</v>
          </cell>
          <cell r="CL137">
            <v>940</v>
          </cell>
          <cell r="CM137">
            <v>82</v>
          </cell>
          <cell r="CN137">
            <v>1152</v>
          </cell>
          <cell r="CO137">
            <v>82</v>
          </cell>
          <cell r="CP137">
            <v>63</v>
          </cell>
          <cell r="CQ137">
            <v>15</v>
          </cell>
          <cell r="CR137">
            <v>-66</v>
          </cell>
          <cell r="CS137">
            <v>94</v>
          </cell>
          <cell r="CT137">
            <v>67</v>
          </cell>
          <cell r="CU137">
            <v>-20</v>
          </cell>
          <cell r="CV137">
            <v>32</v>
          </cell>
          <cell r="CW137">
            <v>60.791973209627599</v>
          </cell>
          <cell r="CX137">
            <v>139.7919732096276</v>
          </cell>
          <cell r="CY137">
            <v>33.146612355092657</v>
          </cell>
          <cell r="CZ137">
            <v>76.853581417312114</v>
          </cell>
          <cell r="DA137">
            <v>61.466048838251822</v>
          </cell>
          <cell r="DB137">
            <v>104.67599603683516</v>
          </cell>
          <cell r="DC137">
            <v>276.14223864749175</v>
          </cell>
          <cell r="DD137">
            <v>69.990651981231224</v>
          </cell>
          <cell r="DE137">
            <v>97.09281999129503</v>
          </cell>
          <cell r="DF137">
            <v>76.383250364440926</v>
          </cell>
          <cell r="DG137">
            <v>124.71349262807792</v>
          </cell>
          <cell r="DH137">
            <v>368.18021496504508</v>
          </cell>
          <cell r="DI137">
            <v>84.313051853487323</v>
          </cell>
          <cell r="DJ137">
            <v>103.39382986490556</v>
          </cell>
          <cell r="DK137">
            <v>84.93570776154553</v>
          </cell>
          <cell r="DL137">
            <v>139.33454879735996</v>
          </cell>
          <cell r="DM137">
            <v>411.97713827729837</v>
          </cell>
          <cell r="DN137">
            <v>100.79282101604809</v>
          </cell>
          <cell r="DO137">
            <v>116.62232999086577</v>
          </cell>
          <cell r="DP137">
            <v>97.73744178072215</v>
          </cell>
          <cell r="DQ137">
            <v>152.90114265272507</v>
          </cell>
          <cell r="DR137">
            <v>468.05373544036104</v>
          </cell>
          <cell r="DW137" t="str">
            <v>mstag:netIncomeReported</v>
          </cell>
          <cell r="DX137">
            <v>6</v>
          </cell>
          <cell r="DY137" t="str">
            <v>ISO4217:USD</v>
          </cell>
          <cell r="DZ137" t="b">
            <v>0</v>
          </cell>
        </row>
        <row r="139">
          <cell r="B139" t="str">
            <v>Depreciation &amp; amortization</v>
          </cell>
          <cell r="H139">
            <v>195</v>
          </cell>
          <cell r="M139">
            <v>321</v>
          </cell>
          <cell r="R139">
            <v>443</v>
          </cell>
          <cell r="W139">
            <v>460</v>
          </cell>
          <cell r="X139">
            <v>128</v>
          </cell>
          <cell r="Y139">
            <v>133</v>
          </cell>
          <cell r="Z139">
            <v>142</v>
          </cell>
          <cell r="AA139">
            <v>153</v>
          </cell>
          <cell r="AB139">
            <v>556</v>
          </cell>
          <cell r="AC139">
            <v>134</v>
          </cell>
          <cell r="AD139">
            <v>132</v>
          </cell>
          <cell r="AE139">
            <v>133</v>
          </cell>
          <cell r="AF139">
            <v>134</v>
          </cell>
          <cell r="AG139">
            <v>533</v>
          </cell>
          <cell r="AH139">
            <v>137</v>
          </cell>
          <cell r="AI139">
            <v>136</v>
          </cell>
          <cell r="AJ139">
            <v>139</v>
          </cell>
          <cell r="AK139">
            <v>142</v>
          </cell>
          <cell r="AL139">
            <v>554</v>
          </cell>
          <cell r="AM139">
            <v>149</v>
          </cell>
          <cell r="AN139">
            <v>151</v>
          </cell>
          <cell r="AO139">
            <v>154</v>
          </cell>
          <cell r="AP139">
            <v>150</v>
          </cell>
          <cell r="AQ139">
            <v>604</v>
          </cell>
          <cell r="AR139">
            <v>128</v>
          </cell>
          <cell r="AS139">
            <v>130</v>
          </cell>
          <cell r="AT139">
            <v>132</v>
          </cell>
          <cell r="AZ139">
            <v>302</v>
          </cell>
          <cell r="BA139">
            <v>125</v>
          </cell>
          <cell r="BB139">
            <v>120</v>
          </cell>
          <cell r="BC139">
            <v>112</v>
          </cell>
          <cell r="BD139">
            <v>114</v>
          </cell>
          <cell r="BE139">
            <v>471</v>
          </cell>
          <cell r="BF139">
            <v>96</v>
          </cell>
          <cell r="BG139">
            <v>95</v>
          </cell>
          <cell r="BH139">
            <v>98</v>
          </cell>
          <cell r="BI139">
            <v>99</v>
          </cell>
          <cell r="BJ139">
            <v>388</v>
          </cell>
          <cell r="BK139">
            <v>96</v>
          </cell>
          <cell r="BL139">
            <v>92</v>
          </cell>
          <cell r="BM139">
            <v>105</v>
          </cell>
          <cell r="BN139">
            <v>89</v>
          </cell>
          <cell r="BO139">
            <v>382</v>
          </cell>
          <cell r="BP139">
            <v>90</v>
          </cell>
          <cell r="BQ139">
            <v>74</v>
          </cell>
          <cell r="BR139">
            <v>83</v>
          </cell>
          <cell r="BS139">
            <v>95</v>
          </cell>
          <cell r="BT139">
            <v>342</v>
          </cell>
          <cell r="BU139">
            <v>89</v>
          </cell>
          <cell r="BV139">
            <v>89</v>
          </cell>
          <cell r="BW139">
            <v>91</v>
          </cell>
          <cell r="BX139">
            <v>93</v>
          </cell>
          <cell r="BY139">
            <v>362</v>
          </cell>
          <cell r="BZ139">
            <v>95</v>
          </cell>
          <cell r="CA139">
            <v>92</v>
          </cell>
          <cell r="CB139">
            <v>90</v>
          </cell>
          <cell r="CC139">
            <v>96</v>
          </cell>
          <cell r="CD139">
            <v>373</v>
          </cell>
          <cell r="CE139">
            <v>97</v>
          </cell>
          <cell r="CF139">
            <v>97</v>
          </cell>
          <cell r="CG139">
            <v>97</v>
          </cell>
          <cell r="CH139">
            <v>95</v>
          </cell>
          <cell r="CI139">
            <v>386</v>
          </cell>
          <cell r="CJ139">
            <v>95</v>
          </cell>
          <cell r="CK139">
            <v>97</v>
          </cell>
          <cell r="CL139">
            <v>101</v>
          </cell>
          <cell r="CM139">
            <v>101</v>
          </cell>
          <cell r="CN139">
            <v>394</v>
          </cell>
          <cell r="CO139">
            <v>101</v>
          </cell>
          <cell r="CP139">
            <v>104</v>
          </cell>
          <cell r="CQ139">
            <v>103</v>
          </cell>
          <cell r="CR139">
            <v>105</v>
          </cell>
          <cell r="CS139">
            <v>413</v>
          </cell>
          <cell r="CT139">
            <v>104</v>
          </cell>
          <cell r="CU139">
            <v>100</v>
          </cell>
          <cell r="CV139">
            <v>110</v>
          </cell>
          <cell r="CW139">
            <v>110</v>
          </cell>
          <cell r="CX139">
            <v>424</v>
          </cell>
          <cell r="CY139">
            <v>107.9875</v>
          </cell>
          <cell r="CZ139">
            <v>107.9875</v>
          </cell>
          <cell r="DA139">
            <v>107.9875</v>
          </cell>
          <cell r="DB139">
            <v>107.9875</v>
          </cell>
          <cell r="DC139">
            <v>431.95</v>
          </cell>
          <cell r="DD139">
            <v>109.15062499999999</v>
          </cell>
          <cell r="DE139">
            <v>109.15062499999999</v>
          </cell>
          <cell r="DF139">
            <v>109.15062499999999</v>
          </cell>
          <cell r="DG139">
            <v>109.15062499999999</v>
          </cell>
          <cell r="DH139">
            <v>436.60249999999996</v>
          </cell>
          <cell r="DI139">
            <v>110.19309374999999</v>
          </cell>
          <cell r="DJ139">
            <v>110.19309374999999</v>
          </cell>
          <cell r="DK139">
            <v>110.19309374999999</v>
          </cell>
          <cell r="DL139">
            <v>110.19309374999999</v>
          </cell>
          <cell r="DM139">
            <v>440.77237499999995</v>
          </cell>
          <cell r="DN139">
            <v>111.18343906249999</v>
          </cell>
          <cell r="DO139">
            <v>111.18343906249999</v>
          </cell>
          <cell r="DP139">
            <v>111.18343906249999</v>
          </cell>
          <cell r="DQ139">
            <v>111.18343906249999</v>
          </cell>
          <cell r="DR139">
            <v>444.73375624999994</v>
          </cell>
          <cell r="DW139" t="str">
            <v>mstag:depreciation</v>
          </cell>
          <cell r="DX139">
            <v>6</v>
          </cell>
          <cell r="DY139" t="str">
            <v>ISO4217:USD</v>
          </cell>
          <cell r="DZ139" t="b">
            <v>0</v>
          </cell>
        </row>
        <row r="140">
          <cell r="B140" t="str">
            <v>Provision for doubtful accounts</v>
          </cell>
          <cell r="H140">
            <v>0</v>
          </cell>
          <cell r="M140">
            <v>0</v>
          </cell>
          <cell r="R140">
            <v>494</v>
          </cell>
          <cell r="W140">
            <v>588</v>
          </cell>
          <cell r="X140">
            <v>159</v>
          </cell>
          <cell r="Y140">
            <v>184</v>
          </cell>
          <cell r="Z140">
            <v>190</v>
          </cell>
          <cell r="AA140">
            <v>210</v>
          </cell>
          <cell r="AB140">
            <v>743</v>
          </cell>
          <cell r="AC140">
            <v>223</v>
          </cell>
          <cell r="AD140">
            <v>210</v>
          </cell>
          <cell r="AE140">
            <v>214</v>
          </cell>
          <cell r="AF140">
            <v>204</v>
          </cell>
          <cell r="AG140">
            <v>851</v>
          </cell>
          <cell r="AH140">
            <v>213</v>
          </cell>
          <cell r="AI140">
            <v>206</v>
          </cell>
          <cell r="AJ140">
            <v>219</v>
          </cell>
          <cell r="AK140">
            <v>211</v>
          </cell>
          <cell r="AL140">
            <v>849</v>
          </cell>
          <cell r="AM140">
            <v>246</v>
          </cell>
          <cell r="AN140">
            <v>258</v>
          </cell>
          <cell r="AO140">
            <v>236</v>
          </cell>
          <cell r="AP140">
            <v>246</v>
          </cell>
          <cell r="AQ140">
            <v>986</v>
          </cell>
          <cell r="AR140">
            <v>277</v>
          </cell>
          <cell r="AS140">
            <v>291</v>
          </cell>
          <cell r="AT140">
            <v>304</v>
          </cell>
          <cell r="AZ140">
            <v>676</v>
          </cell>
          <cell r="BA140">
            <v>300</v>
          </cell>
          <cell r="BB140">
            <v>316</v>
          </cell>
          <cell r="BC140">
            <v>552</v>
          </cell>
          <cell r="BD140">
            <v>407</v>
          </cell>
          <cell r="BE140">
            <v>1575</v>
          </cell>
          <cell r="BF140">
            <v>293</v>
          </cell>
          <cell r="BG140">
            <v>497</v>
          </cell>
          <cell r="BH140">
            <v>228</v>
          </cell>
          <cell r="BI140">
            <v>187</v>
          </cell>
          <cell r="BJ140">
            <v>1205</v>
          </cell>
          <cell r="BK140">
            <v>167</v>
          </cell>
          <cell r="BL140">
            <v>153</v>
          </cell>
          <cell r="BM140">
            <v>206</v>
          </cell>
          <cell r="BN140">
            <v>172</v>
          </cell>
          <cell r="BO140">
            <v>698</v>
          </cell>
          <cell r="BP140">
            <v>138</v>
          </cell>
          <cell r="BQ140">
            <v>111</v>
          </cell>
          <cell r="BR140">
            <v>157</v>
          </cell>
          <cell r="BS140">
            <v>124</v>
          </cell>
          <cell r="BT140">
            <v>530</v>
          </cell>
          <cell r="BU140">
            <v>141</v>
          </cell>
          <cell r="BV140">
            <v>151</v>
          </cell>
          <cell r="BW140">
            <v>141</v>
          </cell>
          <cell r="BX140">
            <v>134</v>
          </cell>
          <cell r="BY140">
            <v>567</v>
          </cell>
          <cell r="BZ140">
            <v>149</v>
          </cell>
          <cell r="CA140">
            <v>153</v>
          </cell>
          <cell r="CB140">
            <v>164</v>
          </cell>
          <cell r="CC140">
            <v>166</v>
          </cell>
          <cell r="CD140">
            <v>632</v>
          </cell>
          <cell r="CE140">
            <v>156</v>
          </cell>
          <cell r="CF140">
            <v>167</v>
          </cell>
          <cell r="CG140">
            <v>193</v>
          </cell>
          <cell r="CH140">
            <v>181</v>
          </cell>
          <cell r="CI140">
            <v>697</v>
          </cell>
          <cell r="CJ140">
            <v>189</v>
          </cell>
          <cell r="CK140">
            <v>173</v>
          </cell>
          <cell r="CL140">
            <v>187</v>
          </cell>
          <cell r="CM140">
            <v>191</v>
          </cell>
          <cell r="CN140">
            <v>740</v>
          </cell>
          <cell r="CO140">
            <v>182</v>
          </cell>
          <cell r="CP140">
            <v>171</v>
          </cell>
          <cell r="CQ140">
            <v>193</v>
          </cell>
          <cell r="CR140">
            <v>184</v>
          </cell>
          <cell r="CS140">
            <v>730</v>
          </cell>
          <cell r="CT140">
            <v>193</v>
          </cell>
          <cell r="CU140">
            <v>186</v>
          </cell>
          <cell r="CV140">
            <v>206</v>
          </cell>
          <cell r="CW140">
            <v>208.10146299321087</v>
          </cell>
          <cell r="CX140">
            <v>793.10146299321082</v>
          </cell>
          <cell r="CY140">
            <v>204.88732183322202</v>
          </cell>
          <cell r="CZ140">
            <v>208.83679518688257</v>
          </cell>
          <cell r="DA140">
            <v>226.58118378504724</v>
          </cell>
          <cell r="DB140">
            <v>229.02726390058174</v>
          </cell>
          <cell r="DC140">
            <v>869.33256470573349</v>
          </cell>
          <cell r="DD140">
            <v>169.86391991421326</v>
          </cell>
          <cell r="DE140">
            <v>169.13840597997893</v>
          </cell>
          <cell r="DF140">
            <v>184.76305973911246</v>
          </cell>
          <cell r="DG140">
            <v>187.86952586921848</v>
          </cell>
          <cell r="DH140">
            <v>711.6349115025231</v>
          </cell>
          <cell r="DI140">
            <v>157.17303567209143</v>
          </cell>
          <cell r="DJ140">
            <v>156.94870239267993</v>
          </cell>
          <cell r="DK140">
            <v>172.08563740553268</v>
          </cell>
          <cell r="DL140">
            <v>175.70831831527954</v>
          </cell>
          <cell r="DM140">
            <v>661.91569378558358</v>
          </cell>
          <cell r="DN140">
            <v>151.20343750782621</v>
          </cell>
          <cell r="DO140">
            <v>150.37501062876376</v>
          </cell>
          <cell r="DP140">
            <v>165.37000217204101</v>
          </cell>
          <cell r="DQ140">
            <v>169.35556161795313</v>
          </cell>
          <cell r="DR140">
            <v>636.30401192658405</v>
          </cell>
          <cell r="DW140" t="str">
            <v>mstag:provisionForDoubtfulAccountsRecurringCashFlowStatement</v>
          </cell>
          <cell r="DX140">
            <v>6</v>
          </cell>
          <cell r="DY140" t="str">
            <v>ISO4217:USD</v>
          </cell>
          <cell r="DZ140" t="b">
            <v>0</v>
          </cell>
        </row>
        <row r="141">
          <cell r="B141" t="str">
            <v>Deferred income taxes</v>
          </cell>
          <cell r="H141">
            <v>95</v>
          </cell>
          <cell r="M141">
            <v>243</v>
          </cell>
          <cell r="R141">
            <v>-219</v>
          </cell>
          <cell r="W141">
            <v>131</v>
          </cell>
          <cell r="X141">
            <v>14</v>
          </cell>
          <cell r="Y141">
            <v>27</v>
          </cell>
          <cell r="Z141">
            <v>54</v>
          </cell>
          <cell r="AA141">
            <v>6</v>
          </cell>
          <cell r="AB141">
            <v>101</v>
          </cell>
          <cell r="AC141">
            <v>46</v>
          </cell>
          <cell r="AD141">
            <v>-26</v>
          </cell>
          <cell r="AE141">
            <v>-47</v>
          </cell>
          <cell r="AF141">
            <v>29</v>
          </cell>
          <cell r="AG141">
            <v>2</v>
          </cell>
          <cell r="AH141">
            <v>58</v>
          </cell>
          <cell r="AI141">
            <v>-30</v>
          </cell>
          <cell r="AJ141">
            <v>-10</v>
          </cell>
          <cell r="AK141">
            <v>30</v>
          </cell>
          <cell r="AL141">
            <v>48</v>
          </cell>
          <cell r="AM141">
            <v>18</v>
          </cell>
          <cell r="AN141">
            <v>-22</v>
          </cell>
          <cell r="AO141">
            <v>6</v>
          </cell>
          <cell r="AP141">
            <v>88</v>
          </cell>
          <cell r="AQ141">
            <v>90</v>
          </cell>
          <cell r="AR141">
            <v>53</v>
          </cell>
          <cell r="AS141">
            <v>-19</v>
          </cell>
          <cell r="AT141">
            <v>-265</v>
          </cell>
          <cell r="AZ141">
            <v>-255</v>
          </cell>
          <cell r="BA141">
            <v>6</v>
          </cell>
          <cell r="BB141">
            <v>-90</v>
          </cell>
          <cell r="BC141">
            <v>-184</v>
          </cell>
          <cell r="BD141">
            <v>-295</v>
          </cell>
          <cell r="BE141">
            <v>-563</v>
          </cell>
          <cell r="BF141">
            <v>22</v>
          </cell>
          <cell r="BG141">
            <v>-204</v>
          </cell>
          <cell r="BH141">
            <v>16</v>
          </cell>
          <cell r="BI141">
            <v>661</v>
          </cell>
          <cell r="BJ141">
            <v>495</v>
          </cell>
          <cell r="BK141">
            <v>-18</v>
          </cell>
          <cell r="BL141">
            <v>-20</v>
          </cell>
          <cell r="BM141">
            <v>3</v>
          </cell>
          <cell r="BN141">
            <v>-27</v>
          </cell>
          <cell r="BO141">
            <v>-62</v>
          </cell>
          <cell r="BP141">
            <v>-1</v>
          </cell>
          <cell r="BQ141">
            <v>-84</v>
          </cell>
          <cell r="BR141">
            <v>83</v>
          </cell>
          <cell r="BS141">
            <v>-66</v>
          </cell>
          <cell r="BT141">
            <v>-68</v>
          </cell>
          <cell r="BU141">
            <v>-2</v>
          </cell>
          <cell r="BV141">
            <v>2</v>
          </cell>
          <cell r="BW141">
            <v>-2</v>
          </cell>
          <cell r="BX141">
            <v>4</v>
          </cell>
          <cell r="BY141">
            <v>2</v>
          </cell>
          <cell r="BZ141">
            <v>21</v>
          </cell>
          <cell r="CA141">
            <v>-5</v>
          </cell>
          <cell r="CB141">
            <v>-5</v>
          </cell>
          <cell r="CC141">
            <v>-24</v>
          </cell>
          <cell r="CD141">
            <v>-13</v>
          </cell>
          <cell r="CE141">
            <v>3</v>
          </cell>
          <cell r="CF141">
            <v>8</v>
          </cell>
          <cell r="CG141">
            <v>6</v>
          </cell>
          <cell r="CH141">
            <v>3</v>
          </cell>
          <cell r="CI141">
            <v>20</v>
          </cell>
          <cell r="CJ141">
            <v>5</v>
          </cell>
          <cell r="CK141">
            <v>7</v>
          </cell>
          <cell r="CL141">
            <v>-996</v>
          </cell>
          <cell r="CM141">
            <v>32</v>
          </cell>
          <cell r="CN141">
            <v>-952</v>
          </cell>
          <cell r="CO141">
            <v>35</v>
          </cell>
          <cell r="CP141">
            <v>56</v>
          </cell>
          <cell r="CQ141">
            <v>11</v>
          </cell>
          <cell r="CR141">
            <v>-21</v>
          </cell>
          <cell r="CS141">
            <v>81</v>
          </cell>
          <cell r="CT141">
            <v>38</v>
          </cell>
          <cell r="CU141">
            <v>-1</v>
          </cell>
          <cell r="CV141">
            <v>21</v>
          </cell>
          <cell r="CW141">
            <v>0</v>
          </cell>
          <cell r="CX141">
            <v>58</v>
          </cell>
          <cell r="CY141">
            <v>0</v>
          </cell>
          <cell r="CZ141">
            <v>0</v>
          </cell>
          <cell r="DA141">
            <v>0</v>
          </cell>
          <cell r="DB141">
            <v>0</v>
          </cell>
          <cell r="DC141">
            <v>0</v>
          </cell>
          <cell r="DD141">
            <v>0</v>
          </cell>
          <cell r="DE141">
            <v>0</v>
          </cell>
          <cell r="DF141">
            <v>0</v>
          </cell>
          <cell r="DG141">
            <v>0</v>
          </cell>
          <cell r="DH141">
            <v>0</v>
          </cell>
          <cell r="DI141">
            <v>0</v>
          </cell>
          <cell r="DJ141">
            <v>0</v>
          </cell>
          <cell r="DK141">
            <v>0</v>
          </cell>
          <cell r="DL141">
            <v>0</v>
          </cell>
          <cell r="DM141">
            <v>0</v>
          </cell>
          <cell r="DN141">
            <v>0</v>
          </cell>
          <cell r="DO141">
            <v>0</v>
          </cell>
          <cell r="DP141">
            <v>0</v>
          </cell>
          <cell r="DQ141">
            <v>0</v>
          </cell>
          <cell r="DR141">
            <v>0</v>
          </cell>
          <cell r="DW141" t="str">
            <v>mstag:deferredTax</v>
          </cell>
          <cell r="DX141">
            <v>6</v>
          </cell>
          <cell r="DY141" t="str">
            <v>ISO4217:USD</v>
          </cell>
          <cell r="DZ141" t="b">
            <v>0</v>
          </cell>
        </row>
        <row r="142">
          <cell r="B142" t="str">
            <v>Stock-based compensation</v>
          </cell>
          <cell r="M142">
            <v>0</v>
          </cell>
          <cell r="R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Z142">
            <v>0</v>
          </cell>
          <cell r="BA142">
            <v>39</v>
          </cell>
          <cell r="BB142">
            <v>37</v>
          </cell>
          <cell r="BC142">
            <v>32</v>
          </cell>
          <cell r="BD142">
            <v>31</v>
          </cell>
          <cell r="BE142">
            <v>139</v>
          </cell>
          <cell r="BF142">
            <v>21</v>
          </cell>
          <cell r="BG142">
            <v>36</v>
          </cell>
          <cell r="BH142">
            <v>25</v>
          </cell>
          <cell r="BI142">
            <v>19</v>
          </cell>
          <cell r="BJ142">
            <v>101</v>
          </cell>
          <cell r="BK142">
            <v>13</v>
          </cell>
          <cell r="BL142">
            <v>13</v>
          </cell>
          <cell r="BM142">
            <v>12</v>
          </cell>
          <cell r="BN142">
            <v>10</v>
          </cell>
          <cell r="BO142">
            <v>48</v>
          </cell>
          <cell r="BP142">
            <v>11</v>
          </cell>
          <cell r="BQ142">
            <v>11</v>
          </cell>
          <cell r="BR142">
            <v>12</v>
          </cell>
          <cell r="BS142">
            <v>16</v>
          </cell>
          <cell r="BT142">
            <v>50</v>
          </cell>
          <cell r="BU142">
            <v>11</v>
          </cell>
          <cell r="BV142">
            <v>10</v>
          </cell>
          <cell r="BW142">
            <v>10</v>
          </cell>
          <cell r="BX142">
            <v>9</v>
          </cell>
          <cell r="BY142">
            <v>40</v>
          </cell>
          <cell r="BZ142">
            <v>10</v>
          </cell>
          <cell r="CA142">
            <v>10</v>
          </cell>
          <cell r="CB142">
            <v>7</v>
          </cell>
          <cell r="CC142">
            <v>6</v>
          </cell>
          <cell r="CD142">
            <v>33</v>
          </cell>
          <cell r="CE142">
            <v>7</v>
          </cell>
          <cell r="CF142">
            <v>6</v>
          </cell>
          <cell r="CG142">
            <v>5</v>
          </cell>
          <cell r="CH142">
            <v>5</v>
          </cell>
          <cell r="CI142">
            <v>23</v>
          </cell>
          <cell r="CJ142">
            <v>7</v>
          </cell>
          <cell r="CK142">
            <v>6</v>
          </cell>
          <cell r="CL142">
            <v>5</v>
          </cell>
          <cell r="CM142">
            <v>4</v>
          </cell>
          <cell r="CN142">
            <v>22</v>
          </cell>
          <cell r="CO142">
            <v>7</v>
          </cell>
          <cell r="CP142">
            <v>5</v>
          </cell>
          <cell r="CQ142">
            <v>5</v>
          </cell>
          <cell r="CR142">
            <v>7</v>
          </cell>
          <cell r="CS142">
            <v>24</v>
          </cell>
          <cell r="CT142">
            <v>8</v>
          </cell>
          <cell r="CU142">
            <v>9</v>
          </cell>
          <cell r="CV142">
            <v>7</v>
          </cell>
          <cell r="CW142">
            <v>9</v>
          </cell>
          <cell r="CX142">
            <v>33</v>
          </cell>
          <cell r="CY142">
            <v>9</v>
          </cell>
          <cell r="CZ142">
            <v>9</v>
          </cell>
          <cell r="DA142">
            <v>9</v>
          </cell>
          <cell r="DB142">
            <v>9</v>
          </cell>
          <cell r="DC142">
            <v>36</v>
          </cell>
          <cell r="DD142">
            <v>9</v>
          </cell>
          <cell r="DE142">
            <v>9</v>
          </cell>
          <cell r="DF142">
            <v>9</v>
          </cell>
          <cell r="DG142">
            <v>9</v>
          </cell>
          <cell r="DH142">
            <v>36</v>
          </cell>
          <cell r="DI142">
            <v>9</v>
          </cell>
          <cell r="DJ142">
            <v>9</v>
          </cell>
          <cell r="DK142">
            <v>9</v>
          </cell>
          <cell r="DL142">
            <v>9</v>
          </cell>
          <cell r="DM142">
            <v>36</v>
          </cell>
          <cell r="DN142">
            <v>9</v>
          </cell>
          <cell r="DO142">
            <v>9</v>
          </cell>
          <cell r="DP142">
            <v>9</v>
          </cell>
          <cell r="DQ142">
            <v>9</v>
          </cell>
          <cell r="DR142">
            <v>36</v>
          </cell>
          <cell r="DW142" t="str">
            <v>mstag:stockBasedCompensationChargePreTax</v>
          </cell>
          <cell r="DX142">
            <v>6</v>
          </cell>
          <cell r="DY142" t="str">
            <v>ISO4217:USD</v>
          </cell>
          <cell r="DZ142" t="b">
            <v>0</v>
          </cell>
        </row>
        <row r="143">
          <cell r="B143" t="str">
            <v>Asset impairment &amp; restructuring</v>
          </cell>
          <cell r="M143">
            <v>0</v>
          </cell>
          <cell r="R143">
            <v>0</v>
          </cell>
          <cell r="W143">
            <v>221</v>
          </cell>
          <cell r="X143">
            <v>0</v>
          </cell>
          <cell r="Y143">
            <v>0</v>
          </cell>
          <cell r="Z143">
            <v>0</v>
          </cell>
          <cell r="AA143">
            <v>363</v>
          </cell>
          <cell r="AB143">
            <v>363</v>
          </cell>
          <cell r="AC143">
            <v>0</v>
          </cell>
          <cell r="AD143">
            <v>0</v>
          </cell>
          <cell r="AE143">
            <v>232</v>
          </cell>
          <cell r="AF143">
            <v>123</v>
          </cell>
          <cell r="AG143">
            <v>355</v>
          </cell>
          <cell r="AH143">
            <v>0</v>
          </cell>
          <cell r="AI143">
            <v>0</v>
          </cell>
          <cell r="AJ143">
            <v>0</v>
          </cell>
          <cell r="AK143">
            <v>143</v>
          </cell>
          <cell r="AL143">
            <v>143</v>
          </cell>
          <cell r="AM143">
            <v>0</v>
          </cell>
          <cell r="AN143">
            <v>99</v>
          </cell>
          <cell r="AO143">
            <v>0</v>
          </cell>
          <cell r="AP143">
            <v>0</v>
          </cell>
          <cell r="AQ143">
            <v>99</v>
          </cell>
          <cell r="AR143">
            <v>0</v>
          </cell>
          <cell r="AS143">
            <v>64</v>
          </cell>
          <cell r="AT143">
            <v>398</v>
          </cell>
          <cell r="AZ143">
            <v>460</v>
          </cell>
          <cell r="BA143">
            <v>196</v>
          </cell>
          <cell r="BB143">
            <v>280</v>
          </cell>
          <cell r="BC143">
            <v>9</v>
          </cell>
          <cell r="BD143">
            <v>1603</v>
          </cell>
          <cell r="BE143">
            <v>2088</v>
          </cell>
          <cell r="BF143">
            <v>60</v>
          </cell>
          <cell r="BG143">
            <v>42</v>
          </cell>
          <cell r="BH143">
            <v>-69</v>
          </cell>
          <cell r="BI143">
            <v>1239</v>
          </cell>
          <cell r="BJ143">
            <v>1272</v>
          </cell>
          <cell r="BK143">
            <v>9</v>
          </cell>
          <cell r="BL143">
            <v>-4</v>
          </cell>
          <cell r="BM143">
            <v>205</v>
          </cell>
          <cell r="BN143">
            <v>56</v>
          </cell>
          <cell r="BO143">
            <v>266</v>
          </cell>
          <cell r="BP143">
            <v>1</v>
          </cell>
          <cell r="BQ143">
            <v>55</v>
          </cell>
          <cell r="BR143">
            <v>1</v>
          </cell>
          <cell r="BS143">
            <v>323</v>
          </cell>
          <cell r="BT143">
            <v>380</v>
          </cell>
          <cell r="BU143">
            <v>3</v>
          </cell>
          <cell r="BV143">
            <v>10</v>
          </cell>
          <cell r="BW143">
            <v>11</v>
          </cell>
          <cell r="BX143">
            <v>36</v>
          </cell>
          <cell r="BY143">
            <v>60</v>
          </cell>
          <cell r="BZ143">
            <v>1</v>
          </cell>
          <cell r="CA143">
            <v>2</v>
          </cell>
          <cell r="CB143">
            <v>1</v>
          </cell>
          <cell r="CC143">
            <v>14</v>
          </cell>
          <cell r="CD143">
            <v>18</v>
          </cell>
          <cell r="CE143">
            <v>5</v>
          </cell>
          <cell r="CF143">
            <v>1</v>
          </cell>
          <cell r="CG143">
            <v>7</v>
          </cell>
          <cell r="CH143">
            <v>14</v>
          </cell>
          <cell r="CI143">
            <v>27</v>
          </cell>
          <cell r="CJ143">
            <v>0</v>
          </cell>
          <cell r="CK143">
            <v>-2</v>
          </cell>
          <cell r="CL143">
            <v>3</v>
          </cell>
          <cell r="CM143">
            <v>9</v>
          </cell>
          <cell r="CN143">
            <v>10</v>
          </cell>
          <cell r="CO143">
            <v>8</v>
          </cell>
          <cell r="CP143">
            <v>2</v>
          </cell>
          <cell r="CQ143">
            <v>8</v>
          </cell>
          <cell r="CR143">
            <v>9</v>
          </cell>
          <cell r="CS143">
            <v>27</v>
          </cell>
          <cell r="CT143">
            <v>3</v>
          </cell>
          <cell r="CU143">
            <v>3</v>
          </cell>
          <cell r="CV143">
            <v>6</v>
          </cell>
          <cell r="CW143">
            <v>0</v>
          </cell>
          <cell r="CX143">
            <v>12</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W143" t="str">
            <v>mstag:restructuringCostsOneTimeCashFlowStatement</v>
          </cell>
          <cell r="DX143">
            <v>6</v>
          </cell>
          <cell r="DY143" t="str">
            <v>ISO4217:USD</v>
          </cell>
          <cell r="DZ143" t="b">
            <v>0</v>
          </cell>
        </row>
        <row r="144">
          <cell r="B144" t="str">
            <v>Litigation and investigation costs</v>
          </cell>
          <cell r="M144">
            <v>0</v>
          </cell>
          <cell r="R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744</v>
          </cell>
          <cell r="BR144">
            <v>7</v>
          </cell>
          <cell r="BS144">
            <v>15</v>
          </cell>
          <cell r="BT144">
            <v>766</v>
          </cell>
          <cell r="BU144">
            <v>-1</v>
          </cell>
          <cell r="BV144">
            <v>-1</v>
          </cell>
          <cell r="BW144">
            <v>3</v>
          </cell>
          <cell r="BX144">
            <v>12</v>
          </cell>
          <cell r="BY144">
            <v>13</v>
          </cell>
          <cell r="BZ144">
            <v>47</v>
          </cell>
          <cell r="CA144">
            <v>3</v>
          </cell>
          <cell r="CB144">
            <v>-5</v>
          </cell>
          <cell r="CC144">
            <v>-4</v>
          </cell>
          <cell r="CD144">
            <v>41</v>
          </cell>
          <cell r="CE144">
            <v>1</v>
          </cell>
          <cell r="CF144">
            <v>9</v>
          </cell>
          <cell r="CG144">
            <v>3</v>
          </cell>
          <cell r="CH144">
            <v>18</v>
          </cell>
          <cell r="CI144">
            <v>31</v>
          </cell>
          <cell r="CJ144">
            <v>2</v>
          </cell>
          <cell r="CK144">
            <v>2</v>
          </cell>
          <cell r="CL144">
            <v>2</v>
          </cell>
          <cell r="CM144">
            <v>6</v>
          </cell>
          <cell r="CN144">
            <v>12</v>
          </cell>
          <cell r="CO144">
            <v>11</v>
          </cell>
          <cell r="CP144">
            <v>8</v>
          </cell>
          <cell r="CQ144">
            <v>5</v>
          </cell>
          <cell r="CR144">
            <v>31</v>
          </cell>
          <cell r="CS144">
            <v>55</v>
          </cell>
          <cell r="CT144">
            <v>2</v>
          </cell>
          <cell r="CU144">
            <v>1</v>
          </cell>
          <cell r="CV144">
            <v>0</v>
          </cell>
          <cell r="CW144">
            <v>0</v>
          </cell>
          <cell r="CX144">
            <v>3</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W144" t="str">
            <v>mstag:legalProvisionOneTimeCashFlowStatement</v>
          </cell>
          <cell r="DX144">
            <v>6</v>
          </cell>
          <cell r="DY144" t="str">
            <v>ISO4217:USD</v>
          </cell>
          <cell r="DZ144" t="b">
            <v>0</v>
          </cell>
        </row>
        <row r="145">
          <cell r="B145" t="str">
            <v>Fair market value adjustments related to interest rate swap and LIBOR cap agreements</v>
          </cell>
          <cell r="M145">
            <v>0</v>
          </cell>
          <cell r="R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3</v>
          </cell>
          <cell r="CG145">
            <v>-4</v>
          </cell>
          <cell r="CH145">
            <v>0</v>
          </cell>
          <cell r="CI145">
            <v>-1</v>
          </cell>
          <cell r="CJ145">
            <v>2</v>
          </cell>
          <cell r="CK145">
            <v>1</v>
          </cell>
          <cell r="CL145">
            <v>0</v>
          </cell>
          <cell r="CM145">
            <v>0</v>
          </cell>
          <cell r="CN145">
            <v>3</v>
          </cell>
          <cell r="CO145">
            <v>19</v>
          </cell>
          <cell r="CP145">
            <v>-2</v>
          </cell>
          <cell r="CQ145">
            <v>-17</v>
          </cell>
          <cell r="CR145">
            <v>0</v>
          </cell>
          <cell r="CS145">
            <v>0</v>
          </cell>
          <cell r="CT145">
            <v>0</v>
          </cell>
          <cell r="CU145">
            <v>0</v>
          </cell>
          <cell r="CV145">
            <v>0</v>
          </cell>
          <cell r="CX145">
            <v>0</v>
          </cell>
          <cell r="DC145">
            <v>0</v>
          </cell>
          <cell r="DH145">
            <v>0</v>
          </cell>
          <cell r="DM145">
            <v>0</v>
          </cell>
          <cell r="DR145">
            <v>0</v>
          </cell>
          <cell r="DW145" t="str">
            <v>mstag:otherCashFlow</v>
          </cell>
          <cell r="DX145">
            <v>6</v>
          </cell>
          <cell r="DY145" t="str">
            <v>ISO4217:USD</v>
          </cell>
          <cell r="DZ145" t="b">
            <v>0</v>
          </cell>
        </row>
        <row r="146">
          <cell r="B146" t="str">
            <v>Amortization of debt discount and debt issuance costs</v>
          </cell>
          <cell r="M146">
            <v>0</v>
          </cell>
          <cell r="R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31</v>
          </cell>
          <cell r="CN146">
            <v>31</v>
          </cell>
          <cell r="CO146">
            <v>8</v>
          </cell>
          <cell r="CP146">
            <v>7</v>
          </cell>
          <cell r="CQ146">
            <v>8</v>
          </cell>
          <cell r="CR146">
            <v>7</v>
          </cell>
          <cell r="CS146">
            <v>30</v>
          </cell>
          <cell r="CT146">
            <v>5</v>
          </cell>
          <cell r="CU146">
            <v>6</v>
          </cell>
          <cell r="CV146">
            <v>5</v>
          </cell>
          <cell r="CX146">
            <v>16</v>
          </cell>
          <cell r="DC146">
            <v>0</v>
          </cell>
          <cell r="DH146">
            <v>0</v>
          </cell>
          <cell r="DM146">
            <v>0</v>
          </cell>
          <cell r="DR146">
            <v>0</v>
          </cell>
          <cell r="DW146" t="str">
            <v>mstag:amortizationOfDiscountPremiumOnDebtCashFlowStatement</v>
          </cell>
          <cell r="DX146">
            <v>6</v>
          </cell>
          <cell r="DY146" t="str">
            <v>ISO4217:USD</v>
          </cell>
          <cell r="DZ146" t="b">
            <v>0</v>
          </cell>
        </row>
        <row r="147">
          <cell r="B147" t="str">
            <v>Income (loss) from discontinued operations</v>
          </cell>
          <cell r="M147">
            <v>0</v>
          </cell>
          <cell r="R147">
            <v>-108</v>
          </cell>
          <cell r="W147">
            <v>-385</v>
          </cell>
          <cell r="X147">
            <v>0</v>
          </cell>
          <cell r="Y147">
            <v>0</v>
          </cell>
          <cell r="Z147">
            <v>0</v>
          </cell>
          <cell r="AA147">
            <v>-75</v>
          </cell>
          <cell r="AB147">
            <v>-75</v>
          </cell>
          <cell r="AC147">
            <v>-18</v>
          </cell>
          <cell r="AD147">
            <v>-27</v>
          </cell>
          <cell r="AE147">
            <v>-37</v>
          </cell>
          <cell r="AF147">
            <v>-9</v>
          </cell>
          <cell r="AG147">
            <v>-91</v>
          </cell>
          <cell r="AH147">
            <v>-25</v>
          </cell>
          <cell r="AI147">
            <v>-18</v>
          </cell>
          <cell r="AJ147">
            <v>-64</v>
          </cell>
          <cell r="AK147">
            <v>-22</v>
          </cell>
          <cell r="AL147">
            <v>-129</v>
          </cell>
          <cell r="AM147">
            <v>-13</v>
          </cell>
          <cell r="AN147">
            <v>-17</v>
          </cell>
          <cell r="AO147">
            <v>-29</v>
          </cell>
          <cell r="AP147">
            <v>-18</v>
          </cell>
          <cell r="AQ147">
            <v>-77</v>
          </cell>
          <cell r="AR147">
            <v>-11</v>
          </cell>
          <cell r="AS147">
            <v>-4</v>
          </cell>
          <cell r="AT147">
            <v>-8</v>
          </cell>
          <cell r="AZ147">
            <v>0</v>
          </cell>
          <cell r="BA147">
            <v>61</v>
          </cell>
          <cell r="BB147">
            <v>4</v>
          </cell>
          <cell r="BC147">
            <v>99</v>
          </cell>
          <cell r="BD147">
            <v>-438</v>
          </cell>
          <cell r="BE147">
            <v>-274</v>
          </cell>
          <cell r="BF147">
            <v>149</v>
          </cell>
          <cell r="BG147">
            <v>314</v>
          </cell>
          <cell r="BH147">
            <v>148</v>
          </cell>
          <cell r="BI147">
            <v>445</v>
          </cell>
          <cell r="BJ147">
            <v>1056</v>
          </cell>
          <cell r="BK147">
            <v>24</v>
          </cell>
          <cell r="BL147">
            <v>21</v>
          </cell>
          <cell r="BM147">
            <v>22</v>
          </cell>
          <cell r="BN147">
            <v>17</v>
          </cell>
          <cell r="BO147">
            <v>84</v>
          </cell>
          <cell r="BP147">
            <v>-55</v>
          </cell>
          <cell r="BQ147">
            <v>-67</v>
          </cell>
          <cell r="BR147">
            <v>20</v>
          </cell>
          <cell r="BS147">
            <v>23</v>
          </cell>
          <cell r="BT147">
            <v>-79</v>
          </cell>
          <cell r="BU147">
            <v>31</v>
          </cell>
          <cell r="BV147">
            <v>-1</v>
          </cell>
          <cell r="BW147">
            <v>38</v>
          </cell>
          <cell r="BX147">
            <v>-8</v>
          </cell>
          <cell r="BY147">
            <v>60</v>
          </cell>
          <cell r="BZ147">
            <v>19</v>
          </cell>
          <cell r="CA147">
            <v>-16</v>
          </cell>
          <cell r="CB147">
            <v>10</v>
          </cell>
          <cell r="CC147">
            <v>29</v>
          </cell>
          <cell r="CD147">
            <v>42</v>
          </cell>
          <cell r="CE147">
            <v>9</v>
          </cell>
          <cell r="CF147">
            <v>20</v>
          </cell>
          <cell r="CG147">
            <v>3</v>
          </cell>
          <cell r="CH147">
            <v>-9</v>
          </cell>
          <cell r="CI147">
            <v>23</v>
          </cell>
          <cell r="CJ147">
            <v>-6</v>
          </cell>
          <cell r="CK147">
            <v>8</v>
          </cell>
          <cell r="CL147">
            <v>3</v>
          </cell>
          <cell r="CM147">
            <v>-15</v>
          </cell>
          <cell r="CN147">
            <v>-10</v>
          </cell>
          <cell r="CO147">
            <v>15</v>
          </cell>
          <cell r="CP147">
            <v>3</v>
          </cell>
          <cell r="CQ147">
            <v>2</v>
          </cell>
          <cell r="CR147">
            <v>19</v>
          </cell>
          <cell r="CS147">
            <v>39</v>
          </cell>
          <cell r="CT147">
            <v>-1</v>
          </cell>
          <cell r="CU147">
            <v>96</v>
          </cell>
          <cell r="CV147">
            <v>-3</v>
          </cell>
          <cell r="CW147">
            <v>0</v>
          </cell>
          <cell r="CX147">
            <v>92</v>
          </cell>
          <cell r="CY147">
            <v>0</v>
          </cell>
          <cell r="CZ147">
            <v>0</v>
          </cell>
          <cell r="DA147">
            <v>0</v>
          </cell>
          <cell r="DB147">
            <v>0</v>
          </cell>
          <cell r="DC147">
            <v>0</v>
          </cell>
          <cell r="DD147">
            <v>0</v>
          </cell>
          <cell r="DE147">
            <v>0</v>
          </cell>
          <cell r="DF147">
            <v>0</v>
          </cell>
          <cell r="DG147">
            <v>0</v>
          </cell>
          <cell r="DH147">
            <v>0</v>
          </cell>
          <cell r="DI147">
            <v>0</v>
          </cell>
          <cell r="DJ147">
            <v>0</v>
          </cell>
          <cell r="DK147">
            <v>0</v>
          </cell>
          <cell r="DL147">
            <v>0</v>
          </cell>
          <cell r="DM147">
            <v>0</v>
          </cell>
          <cell r="DN147">
            <v>0</v>
          </cell>
          <cell r="DO147">
            <v>0</v>
          </cell>
          <cell r="DP147">
            <v>0</v>
          </cell>
          <cell r="DQ147">
            <v>0</v>
          </cell>
          <cell r="DR147">
            <v>0</v>
          </cell>
          <cell r="DW147" t="str">
            <v>mstag:netCashFlowFromDiscontinuedOperations</v>
          </cell>
          <cell r="DX147">
            <v>6</v>
          </cell>
          <cell r="DY147" t="str">
            <v>ISO4217:USD</v>
          </cell>
          <cell r="DZ147" t="b">
            <v>0</v>
          </cell>
        </row>
        <row r="148">
          <cell r="B148" t="str">
            <v>Other items</v>
          </cell>
          <cell r="H148">
            <v>35</v>
          </cell>
          <cell r="M148">
            <v>-184</v>
          </cell>
          <cell r="R148">
            <v>1046</v>
          </cell>
          <cell r="W148">
            <v>155</v>
          </cell>
          <cell r="X148">
            <v>11</v>
          </cell>
          <cell r="Y148">
            <v>1</v>
          </cell>
          <cell r="Z148">
            <v>3</v>
          </cell>
          <cell r="AA148">
            <v>2</v>
          </cell>
          <cell r="AB148">
            <v>17</v>
          </cell>
          <cell r="AC148">
            <v>15</v>
          </cell>
          <cell r="AD148">
            <v>-48</v>
          </cell>
          <cell r="AE148">
            <v>-40</v>
          </cell>
          <cell r="AF148">
            <v>76</v>
          </cell>
          <cell r="AG148">
            <v>3</v>
          </cell>
          <cell r="AH148">
            <v>19</v>
          </cell>
          <cell r="AI148">
            <v>-6</v>
          </cell>
          <cell r="AJ148">
            <v>7</v>
          </cell>
          <cell r="AK148">
            <v>88</v>
          </cell>
          <cell r="AL148">
            <v>108</v>
          </cell>
          <cell r="AM148">
            <v>133</v>
          </cell>
          <cell r="AN148">
            <v>129</v>
          </cell>
          <cell r="AO148">
            <v>85</v>
          </cell>
          <cell r="AP148">
            <v>115</v>
          </cell>
          <cell r="AQ148">
            <v>462</v>
          </cell>
          <cell r="AR148">
            <v>50</v>
          </cell>
          <cell r="AS148">
            <v>33</v>
          </cell>
          <cell r="AT148">
            <v>12</v>
          </cell>
          <cell r="AZ148">
            <v>85</v>
          </cell>
          <cell r="BA148">
            <v>21</v>
          </cell>
          <cell r="BB148">
            <v>1</v>
          </cell>
          <cell r="BC148">
            <v>-88</v>
          </cell>
          <cell r="BD148">
            <v>109</v>
          </cell>
          <cell r="BE148">
            <v>43</v>
          </cell>
          <cell r="BF148">
            <v>3</v>
          </cell>
          <cell r="BG148">
            <v>-7</v>
          </cell>
          <cell r="BH148">
            <v>-6</v>
          </cell>
          <cell r="BI148">
            <v>7</v>
          </cell>
          <cell r="BJ148">
            <v>-3</v>
          </cell>
          <cell r="BK148">
            <v>18</v>
          </cell>
          <cell r="BL148">
            <v>1</v>
          </cell>
          <cell r="BM148">
            <v>-4</v>
          </cell>
          <cell r="BN148">
            <v>25</v>
          </cell>
          <cell r="BO148">
            <v>40</v>
          </cell>
          <cell r="BP148">
            <v>6</v>
          </cell>
          <cell r="BQ148">
            <v>2</v>
          </cell>
          <cell r="BR148">
            <v>142</v>
          </cell>
          <cell r="BS148">
            <v>-13</v>
          </cell>
          <cell r="BT148">
            <v>137</v>
          </cell>
          <cell r="BU148">
            <v>-11</v>
          </cell>
          <cell r="BV148">
            <v>3</v>
          </cell>
          <cell r="BW148">
            <v>-3</v>
          </cell>
          <cell r="BX148">
            <v>-1</v>
          </cell>
          <cell r="BY148">
            <v>-12</v>
          </cell>
          <cell r="BZ148">
            <v>3</v>
          </cell>
          <cell r="CA148">
            <v>-6</v>
          </cell>
          <cell r="CB148">
            <v>-135</v>
          </cell>
          <cell r="CC148">
            <v>10</v>
          </cell>
          <cell r="CD148">
            <v>-128</v>
          </cell>
          <cell r="CE148">
            <v>-125</v>
          </cell>
          <cell r="CF148">
            <v>3</v>
          </cell>
          <cell r="CG148">
            <v>26</v>
          </cell>
          <cell r="CH148">
            <v>17</v>
          </cell>
          <cell r="CI148">
            <v>-79</v>
          </cell>
          <cell r="CJ148">
            <v>6</v>
          </cell>
          <cell r="CK148">
            <v>10</v>
          </cell>
          <cell r="CL148">
            <v>62</v>
          </cell>
          <cell r="CM148">
            <v>-25</v>
          </cell>
          <cell r="CN148">
            <v>53</v>
          </cell>
          <cell r="CO148">
            <v>-13</v>
          </cell>
          <cell r="CP148">
            <v>8</v>
          </cell>
          <cell r="CQ148">
            <v>-7</v>
          </cell>
          <cell r="CR148">
            <v>114</v>
          </cell>
          <cell r="CS148">
            <v>102</v>
          </cell>
          <cell r="CT148">
            <v>-4</v>
          </cell>
          <cell r="CU148">
            <v>0</v>
          </cell>
          <cell r="CV148">
            <v>-3</v>
          </cell>
          <cell r="CW148">
            <v>0</v>
          </cell>
          <cell r="CX148">
            <v>-7</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W148" t="str">
            <v>mstag:otherCashFlow</v>
          </cell>
          <cell r="DX148">
            <v>6</v>
          </cell>
          <cell r="DY148" t="str">
            <v>ISO4217:USD</v>
          </cell>
          <cell r="DZ148" t="b">
            <v>0</v>
          </cell>
        </row>
        <row r="150">
          <cell r="B150" t="str">
            <v>Accounts receivable</v>
          </cell>
          <cell r="H150">
            <v>-47</v>
          </cell>
          <cell r="M150">
            <v>-256</v>
          </cell>
          <cell r="R150">
            <v>-791</v>
          </cell>
          <cell r="W150">
            <v>-988</v>
          </cell>
          <cell r="X150">
            <v>-313</v>
          </cell>
          <cell r="Y150">
            <v>-327</v>
          </cell>
          <cell r="Z150">
            <v>-480</v>
          </cell>
          <cell r="AA150">
            <v>-227</v>
          </cell>
          <cell r="AB150">
            <v>-1347</v>
          </cell>
          <cell r="AC150">
            <v>-329</v>
          </cell>
          <cell r="AD150">
            <v>-259</v>
          </cell>
          <cell r="AE150">
            <v>-377</v>
          </cell>
          <cell r="AF150">
            <v>-174</v>
          </cell>
          <cell r="AG150">
            <v>-1139</v>
          </cell>
          <cell r="AH150">
            <v>-224</v>
          </cell>
          <cell r="AI150">
            <v>-229</v>
          </cell>
          <cell r="AJ150">
            <v>-323</v>
          </cell>
          <cell r="AK150">
            <v>41</v>
          </cell>
          <cell r="AL150">
            <v>-735</v>
          </cell>
          <cell r="AM150">
            <v>-209</v>
          </cell>
          <cell r="AN150">
            <v>-311</v>
          </cell>
          <cell r="AO150">
            <v>-363</v>
          </cell>
          <cell r="AP150">
            <v>-192</v>
          </cell>
          <cell r="AQ150">
            <v>-1075</v>
          </cell>
          <cell r="AR150">
            <v>-333</v>
          </cell>
          <cell r="AS150">
            <v>-400</v>
          </cell>
          <cell r="AT150">
            <v>-377</v>
          </cell>
          <cell r="AZ150">
            <v>-841</v>
          </cell>
          <cell r="BA150">
            <v>-443</v>
          </cell>
          <cell r="BB150">
            <v>-252</v>
          </cell>
          <cell r="BC150">
            <v>-351</v>
          </cell>
          <cell r="BD150">
            <v>-357</v>
          </cell>
          <cell r="BE150">
            <v>-1403</v>
          </cell>
          <cell r="BF150">
            <v>-334</v>
          </cell>
          <cell r="BG150">
            <v>-194</v>
          </cell>
          <cell r="BH150">
            <v>-190</v>
          </cell>
          <cell r="BI150">
            <v>-181</v>
          </cell>
          <cell r="BJ150">
            <v>-899</v>
          </cell>
          <cell r="BK150">
            <v>-194</v>
          </cell>
          <cell r="BL150">
            <v>-129</v>
          </cell>
          <cell r="BM150">
            <v>-212</v>
          </cell>
          <cell r="BN150">
            <v>-161</v>
          </cell>
          <cell r="BO150">
            <v>-696</v>
          </cell>
          <cell r="BP150">
            <v>-187</v>
          </cell>
          <cell r="BQ150">
            <v>-29</v>
          </cell>
          <cell r="BR150">
            <v>-143</v>
          </cell>
          <cell r="BS150">
            <v>-112</v>
          </cell>
          <cell r="BT150">
            <v>-471</v>
          </cell>
          <cell r="BU150">
            <v>-206</v>
          </cell>
          <cell r="BV150">
            <v>-98</v>
          </cell>
          <cell r="BW150">
            <v>-183</v>
          </cell>
          <cell r="BX150">
            <v>-160</v>
          </cell>
          <cell r="BY150">
            <v>-647</v>
          </cell>
          <cell r="BZ150">
            <v>-243</v>
          </cell>
          <cell r="CA150">
            <v>-117</v>
          </cell>
          <cell r="CB150">
            <v>-121</v>
          </cell>
          <cell r="CC150">
            <v>-170</v>
          </cell>
          <cell r="CD150">
            <v>-651</v>
          </cell>
          <cell r="CE150">
            <v>-229</v>
          </cell>
          <cell r="CF150">
            <v>-90</v>
          </cell>
          <cell r="CG150">
            <v>-179</v>
          </cell>
          <cell r="CH150">
            <v>-148</v>
          </cell>
          <cell r="CI150">
            <v>-646</v>
          </cell>
          <cell r="CJ150">
            <v>-242</v>
          </cell>
          <cell r="CK150">
            <v>-135</v>
          </cell>
          <cell r="CL150">
            <v>-160</v>
          </cell>
          <cell r="CM150">
            <v>-207</v>
          </cell>
          <cell r="CN150">
            <v>-744</v>
          </cell>
          <cell r="CO150">
            <v>-278</v>
          </cell>
          <cell r="CP150">
            <v>-192</v>
          </cell>
          <cell r="CQ150">
            <v>-155</v>
          </cell>
          <cell r="CR150">
            <v>-240</v>
          </cell>
          <cell r="CS150">
            <v>-865</v>
          </cell>
          <cell r="CT150">
            <v>-326</v>
          </cell>
          <cell r="CU150">
            <v>-124</v>
          </cell>
          <cell r="CV150">
            <v>-203</v>
          </cell>
          <cell r="CW150">
            <v>-242.63876423868197</v>
          </cell>
          <cell r="CX150">
            <v>-895.63876423868192</v>
          </cell>
          <cell r="CY150">
            <v>-220.93394803389299</v>
          </cell>
          <cell r="CZ150">
            <v>-230.06806402398536</v>
          </cell>
          <cell r="DA150">
            <v>-200.86625253453877</v>
          </cell>
          <cell r="DB150">
            <v>-265.66512538098038</v>
          </cell>
          <cell r="DC150">
            <v>-917.53338997339745</v>
          </cell>
          <cell r="DD150">
            <v>-197.50254794440772</v>
          </cell>
          <cell r="DE150">
            <v>-176.63371448068079</v>
          </cell>
          <cell r="DF150">
            <v>-156.50552433903829</v>
          </cell>
          <cell r="DG150">
            <v>-227.88185234221601</v>
          </cell>
          <cell r="DH150">
            <v>-758.52363910634278</v>
          </cell>
          <cell r="DI150">
            <v>-217.7898961927911</v>
          </cell>
          <cell r="DJ150">
            <v>-146.03168481919647</v>
          </cell>
          <cell r="DK150">
            <v>-142.43032632719633</v>
          </cell>
          <cell r="DL150">
            <v>-221.18922906160429</v>
          </cell>
          <cell r="DM150">
            <v>-727.4411364007882</v>
          </cell>
          <cell r="DN150">
            <v>-202.69795471574724</v>
          </cell>
          <cell r="DO150">
            <v>-152.68053501034714</v>
          </cell>
          <cell r="DP150">
            <v>-134.62369000936016</v>
          </cell>
          <cell r="DQ150">
            <v>-214.90243924922839</v>
          </cell>
          <cell r="DR150">
            <v>-704.90461898468288</v>
          </cell>
          <cell r="DW150" t="str">
            <v>mstag:netDecreaseInTradeReceivables</v>
          </cell>
          <cell r="DX150">
            <v>6</v>
          </cell>
          <cell r="DY150" t="str">
            <v>ISO4217:USD</v>
          </cell>
          <cell r="DZ150" t="b">
            <v>0</v>
          </cell>
        </row>
        <row r="151">
          <cell r="B151" t="str">
            <v>Inventories &amp; other current assets</v>
          </cell>
          <cell r="H151">
            <v>1</v>
          </cell>
          <cell r="M151">
            <v>-12</v>
          </cell>
          <cell r="R151">
            <v>-7</v>
          </cell>
          <cell r="W151">
            <v>-100</v>
          </cell>
          <cell r="X151">
            <v>-38</v>
          </cell>
          <cell r="Y151">
            <v>1</v>
          </cell>
          <cell r="Z151">
            <v>-57</v>
          </cell>
          <cell r="AA151">
            <v>-20</v>
          </cell>
          <cell r="AB151">
            <v>-114</v>
          </cell>
          <cell r="AC151">
            <v>-24</v>
          </cell>
          <cell r="AD151">
            <v>-3</v>
          </cell>
          <cell r="AE151">
            <v>-22</v>
          </cell>
          <cell r="AF151">
            <v>100</v>
          </cell>
          <cell r="AG151">
            <v>51</v>
          </cell>
          <cell r="AH151">
            <v>-11</v>
          </cell>
          <cell r="AI151">
            <v>-17</v>
          </cell>
          <cell r="AJ151">
            <v>-17</v>
          </cell>
          <cell r="AK151">
            <v>90</v>
          </cell>
          <cell r="AL151">
            <v>45</v>
          </cell>
          <cell r="AM151">
            <v>-53</v>
          </cell>
          <cell r="AN151">
            <v>-21</v>
          </cell>
          <cell r="AO151">
            <v>-14</v>
          </cell>
          <cell r="AP151">
            <v>-16</v>
          </cell>
          <cell r="AQ151">
            <v>-104</v>
          </cell>
          <cell r="AR151">
            <v>41</v>
          </cell>
          <cell r="AS151">
            <v>-59</v>
          </cell>
          <cell r="AT151">
            <v>0</v>
          </cell>
          <cell r="AZ151">
            <v>-26</v>
          </cell>
          <cell r="BA151">
            <v>1</v>
          </cell>
          <cell r="BB151">
            <v>24</v>
          </cell>
          <cell r="BC151">
            <v>-26</v>
          </cell>
          <cell r="BD151">
            <v>1</v>
          </cell>
          <cell r="BE151">
            <v>0</v>
          </cell>
          <cell r="BF151">
            <v>37</v>
          </cell>
          <cell r="BG151">
            <v>-7</v>
          </cell>
          <cell r="BH151">
            <v>-42</v>
          </cell>
          <cell r="BI151">
            <v>-28</v>
          </cell>
          <cell r="BJ151">
            <v>-40</v>
          </cell>
          <cell r="BK151">
            <v>16</v>
          </cell>
          <cell r="BL151">
            <v>-20</v>
          </cell>
          <cell r="BM151">
            <v>18</v>
          </cell>
          <cell r="BN151">
            <v>10</v>
          </cell>
          <cell r="BO151">
            <v>24</v>
          </cell>
          <cell r="BP151">
            <v>11</v>
          </cell>
          <cell r="BQ151">
            <v>-50</v>
          </cell>
          <cell r="BR151">
            <v>10</v>
          </cell>
          <cell r="BS151">
            <v>-16</v>
          </cell>
          <cell r="BT151">
            <v>-45</v>
          </cell>
          <cell r="BU151">
            <v>10</v>
          </cell>
          <cell r="BV151">
            <v>-3</v>
          </cell>
          <cell r="BW151">
            <v>-15</v>
          </cell>
          <cell r="BX151">
            <v>-18</v>
          </cell>
          <cell r="BY151">
            <v>-26</v>
          </cell>
          <cell r="BZ151">
            <v>1</v>
          </cell>
          <cell r="CA151">
            <v>14</v>
          </cell>
          <cell r="CB151">
            <v>-11</v>
          </cell>
          <cell r="CC151">
            <v>-6</v>
          </cell>
          <cell r="CD151">
            <v>-2</v>
          </cell>
          <cell r="CE151">
            <v>-16</v>
          </cell>
          <cell r="CF151">
            <v>0</v>
          </cell>
          <cell r="CG151">
            <v>-9</v>
          </cell>
          <cell r="CH151">
            <v>3</v>
          </cell>
          <cell r="CI151">
            <v>-22</v>
          </cell>
          <cell r="CJ151">
            <v>3</v>
          </cell>
          <cell r="CK151">
            <v>-11</v>
          </cell>
          <cell r="CL151">
            <v>10</v>
          </cell>
          <cell r="CM151">
            <v>-19</v>
          </cell>
          <cell r="CN151">
            <v>-17</v>
          </cell>
          <cell r="CO151">
            <v>-113</v>
          </cell>
          <cell r="CP151">
            <v>55</v>
          </cell>
          <cell r="CQ151">
            <v>22</v>
          </cell>
          <cell r="CR151">
            <v>-2</v>
          </cell>
          <cell r="CS151">
            <v>-38</v>
          </cell>
          <cell r="CT151">
            <v>-10</v>
          </cell>
          <cell r="CU151">
            <v>-106</v>
          </cell>
          <cell r="CV151">
            <v>10</v>
          </cell>
          <cell r="CW151">
            <v>4.8713217291652597</v>
          </cell>
          <cell r="CX151">
            <v>-101.12867827083474</v>
          </cell>
          <cell r="CY151">
            <v>-8.059775032561987</v>
          </cell>
          <cell r="CZ151">
            <v>4.8259119069415988</v>
          </cell>
          <cell r="DA151">
            <v>6.6047878479937481</v>
          </cell>
          <cell r="DB151">
            <v>-0.73735445992659265</v>
          </cell>
          <cell r="DC151">
            <v>2.6335702624467672</v>
          </cell>
          <cell r="DD151">
            <v>-13.551726624319997</v>
          </cell>
          <cell r="DE151">
            <v>4.3218952757170541</v>
          </cell>
          <cell r="DF151">
            <v>6.1822107249947464</v>
          </cell>
          <cell r="DG151">
            <v>-0.68975589020885764</v>
          </cell>
          <cell r="DH151">
            <v>-3.737376513817054</v>
          </cell>
          <cell r="DI151">
            <v>-15.117705343930453</v>
          </cell>
          <cell r="DJ151">
            <v>5.4094993021548987</v>
          </cell>
          <cell r="DK151">
            <v>6.3363124031573932</v>
          </cell>
          <cell r="DL151">
            <v>-0.85826434362692794</v>
          </cell>
          <cell r="DM151">
            <v>-4.230157982245089</v>
          </cell>
          <cell r="DN151">
            <v>-16.918258448444448</v>
          </cell>
          <cell r="DO151">
            <v>4.3073053811479838</v>
          </cell>
          <cell r="DP151">
            <v>6.5416317206720294</v>
          </cell>
          <cell r="DQ151">
            <v>-0.71327851976593593</v>
          </cell>
          <cell r="DR151">
            <v>-6.7825998663903704</v>
          </cell>
          <cell r="DW151" t="str">
            <v>mstag:netDecreaseInInventories</v>
          </cell>
          <cell r="DX151">
            <v>6</v>
          </cell>
          <cell r="DY151" t="str">
            <v>ISO4217:USD</v>
          </cell>
          <cell r="DZ151" t="b">
            <v>0</v>
          </cell>
        </row>
        <row r="152">
          <cell r="B152" t="str">
            <v>Income taxes</v>
          </cell>
          <cell r="H152">
            <v>0</v>
          </cell>
          <cell r="M152">
            <v>0</v>
          </cell>
          <cell r="R152">
            <v>0</v>
          </cell>
          <cell r="W152">
            <v>0</v>
          </cell>
          <cell r="X152">
            <v>0</v>
          </cell>
          <cell r="Y152">
            <v>113</v>
          </cell>
          <cell r="Z152">
            <v>32</v>
          </cell>
          <cell r="AA152">
            <v>-145</v>
          </cell>
          <cell r="AB152">
            <v>0</v>
          </cell>
          <cell r="AC152">
            <v>0</v>
          </cell>
          <cell r="AD152">
            <v>161</v>
          </cell>
          <cell r="AE152">
            <v>-62</v>
          </cell>
          <cell r="AF152">
            <v>-99</v>
          </cell>
          <cell r="AG152">
            <v>0</v>
          </cell>
          <cell r="AH152">
            <v>0</v>
          </cell>
          <cell r="AI152">
            <v>88</v>
          </cell>
          <cell r="AJ152">
            <v>56</v>
          </cell>
          <cell r="AK152">
            <v>-144</v>
          </cell>
          <cell r="AL152">
            <v>0</v>
          </cell>
          <cell r="AM152">
            <v>0</v>
          </cell>
          <cell r="AN152">
            <v>143</v>
          </cell>
          <cell r="AO152">
            <v>-28</v>
          </cell>
          <cell r="AP152">
            <v>-115</v>
          </cell>
          <cell r="AQ152">
            <v>0</v>
          </cell>
          <cell r="AR152">
            <v>128</v>
          </cell>
          <cell r="AS152">
            <v>-84</v>
          </cell>
          <cell r="AT152">
            <v>29</v>
          </cell>
          <cell r="AZ152">
            <v>208</v>
          </cell>
          <cell r="BA152">
            <v>-173</v>
          </cell>
          <cell r="BB152">
            <v>-73</v>
          </cell>
          <cell r="BC152">
            <v>-13</v>
          </cell>
          <cell r="BD152">
            <v>78</v>
          </cell>
          <cell r="BE152">
            <v>-181</v>
          </cell>
          <cell r="BF152">
            <v>-102</v>
          </cell>
          <cell r="BG152">
            <v>-34</v>
          </cell>
          <cell r="BH152">
            <v>-48</v>
          </cell>
          <cell r="BI152">
            <v>-378</v>
          </cell>
          <cell r="BJ152">
            <v>-562</v>
          </cell>
          <cell r="BK152">
            <v>536</v>
          </cell>
          <cell r="BL152">
            <v>5</v>
          </cell>
          <cell r="BM152">
            <v>-4</v>
          </cell>
          <cell r="BN152">
            <v>-27</v>
          </cell>
          <cell r="BO152">
            <v>510</v>
          </cell>
          <cell r="BP152">
            <v>4</v>
          </cell>
          <cell r="BQ152">
            <v>-167</v>
          </cell>
          <cell r="BR152">
            <v>-108</v>
          </cell>
          <cell r="BS152">
            <v>-126</v>
          </cell>
          <cell r="BT152">
            <v>-397</v>
          </cell>
          <cell r="BU152">
            <v>-105</v>
          </cell>
          <cell r="BV152">
            <v>165</v>
          </cell>
          <cell r="BW152">
            <v>14</v>
          </cell>
          <cell r="BX152">
            <v>9</v>
          </cell>
          <cell r="BY152">
            <v>83</v>
          </cell>
          <cell r="BZ152">
            <v>-17</v>
          </cell>
          <cell r="CA152">
            <v>-12</v>
          </cell>
          <cell r="CB152">
            <v>-3</v>
          </cell>
          <cell r="CC152">
            <v>11</v>
          </cell>
          <cell r="CD152">
            <v>-21</v>
          </cell>
          <cell r="CE152">
            <v>4</v>
          </cell>
          <cell r="CF152">
            <v>17</v>
          </cell>
          <cell r="CG152">
            <v>-8</v>
          </cell>
          <cell r="CH152">
            <v>-91</v>
          </cell>
          <cell r="CI152">
            <v>-78</v>
          </cell>
          <cell r="CJ152">
            <v>17</v>
          </cell>
          <cell r="CK152">
            <v>33</v>
          </cell>
          <cell r="CL152">
            <v>-10</v>
          </cell>
          <cell r="CM152">
            <v>-37</v>
          </cell>
          <cell r="CN152">
            <v>3</v>
          </cell>
          <cell r="CO152">
            <v>-14</v>
          </cell>
          <cell r="CP152">
            <v>-12</v>
          </cell>
          <cell r="CQ152">
            <v>-18</v>
          </cell>
          <cell r="CR152">
            <v>-19</v>
          </cell>
          <cell r="CS152">
            <v>-63</v>
          </cell>
          <cell r="CT152">
            <v>3</v>
          </cell>
          <cell r="CU152">
            <v>-8</v>
          </cell>
          <cell r="CV152">
            <v>3</v>
          </cell>
          <cell r="CW152">
            <v>0</v>
          </cell>
          <cell r="CX152">
            <v>-2</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W152" t="str">
            <v>mstag:netIncreaseInIncomeTaxPayableReceivable</v>
          </cell>
          <cell r="DX152">
            <v>6</v>
          </cell>
          <cell r="DY152" t="str">
            <v>ISO4217:USD</v>
          </cell>
          <cell r="DZ152" t="b">
            <v>0</v>
          </cell>
        </row>
        <row r="153">
          <cell r="B153" t="str">
            <v>Accounts payable &amp; current liabilities</v>
          </cell>
          <cell r="H153">
            <v>-28</v>
          </cell>
          <cell r="M153">
            <v>-64</v>
          </cell>
          <cell r="R153">
            <v>-141</v>
          </cell>
          <cell r="W153">
            <v>143</v>
          </cell>
          <cell r="X153">
            <v>-52</v>
          </cell>
          <cell r="Y153">
            <v>-1</v>
          </cell>
          <cell r="Z153">
            <v>70</v>
          </cell>
          <cell r="AA153">
            <v>180</v>
          </cell>
          <cell r="AB153">
            <v>197</v>
          </cell>
          <cell r="AC153">
            <v>-129</v>
          </cell>
          <cell r="AD153">
            <v>35</v>
          </cell>
          <cell r="AE153">
            <v>-38</v>
          </cell>
          <cell r="AF153">
            <v>117</v>
          </cell>
          <cell r="AG153">
            <v>-15</v>
          </cell>
          <cell r="AH153">
            <v>-53</v>
          </cell>
          <cell r="AI153">
            <v>160</v>
          </cell>
          <cell r="AJ153">
            <v>21</v>
          </cell>
          <cell r="AK153">
            <v>184</v>
          </cell>
          <cell r="AL153">
            <v>312</v>
          </cell>
          <cell r="AM153">
            <v>50</v>
          </cell>
          <cell r="AN153">
            <v>31</v>
          </cell>
          <cell r="AO153">
            <v>146</v>
          </cell>
          <cell r="AP153">
            <v>299</v>
          </cell>
          <cell r="AQ153">
            <v>526</v>
          </cell>
          <cell r="AR153">
            <v>14</v>
          </cell>
          <cell r="AS153">
            <v>-30</v>
          </cell>
          <cell r="AT153">
            <v>-119</v>
          </cell>
          <cell r="AZ153">
            <v>-195</v>
          </cell>
          <cell r="BA153">
            <v>102</v>
          </cell>
          <cell r="BB153">
            <v>-16</v>
          </cell>
          <cell r="BC153">
            <v>294</v>
          </cell>
          <cell r="BD153">
            <v>21</v>
          </cell>
          <cell r="BE153">
            <v>401</v>
          </cell>
          <cell r="BF153">
            <v>-85</v>
          </cell>
          <cell r="BG153">
            <v>-5</v>
          </cell>
          <cell r="BH153">
            <v>71</v>
          </cell>
          <cell r="BI153">
            <v>185</v>
          </cell>
          <cell r="BJ153">
            <v>166</v>
          </cell>
          <cell r="BK153">
            <v>-195</v>
          </cell>
          <cell r="BL153">
            <v>103</v>
          </cell>
          <cell r="BM153">
            <v>73</v>
          </cell>
          <cell r="BN153">
            <v>290</v>
          </cell>
          <cell r="BO153">
            <v>271</v>
          </cell>
          <cell r="BP153">
            <v>-240</v>
          </cell>
          <cell r="BQ153">
            <v>2</v>
          </cell>
          <cell r="BR153">
            <v>12</v>
          </cell>
          <cell r="BS153">
            <v>116</v>
          </cell>
          <cell r="BT153">
            <v>-110</v>
          </cell>
          <cell r="BU153">
            <v>-208</v>
          </cell>
          <cell r="BV153">
            <v>11</v>
          </cell>
          <cell r="BW153">
            <v>46</v>
          </cell>
          <cell r="BX153">
            <v>70</v>
          </cell>
          <cell r="BY153">
            <v>-81</v>
          </cell>
          <cell r="BZ153">
            <v>-161</v>
          </cell>
          <cell r="CA153">
            <v>72</v>
          </cell>
          <cell r="CB153">
            <v>45</v>
          </cell>
          <cell r="CC153">
            <v>15</v>
          </cell>
          <cell r="CD153">
            <v>-29</v>
          </cell>
          <cell r="CE153">
            <v>-117</v>
          </cell>
          <cell r="CF153">
            <v>-2</v>
          </cell>
          <cell r="CG153">
            <v>82</v>
          </cell>
          <cell r="CH153">
            <v>49</v>
          </cell>
          <cell r="CI153">
            <v>12</v>
          </cell>
          <cell r="CJ153">
            <v>-146</v>
          </cell>
          <cell r="CK153">
            <v>-18</v>
          </cell>
          <cell r="CL153">
            <v>18</v>
          </cell>
          <cell r="CM153">
            <v>62</v>
          </cell>
          <cell r="CN153">
            <v>-84</v>
          </cell>
          <cell r="CO153">
            <v>-44</v>
          </cell>
          <cell r="CP153">
            <v>-74</v>
          </cell>
          <cell r="CQ153">
            <v>20</v>
          </cell>
          <cell r="CR153">
            <v>63</v>
          </cell>
          <cell r="CS153">
            <v>-35</v>
          </cell>
          <cell r="CT153">
            <v>-110</v>
          </cell>
          <cell r="CU153">
            <v>133</v>
          </cell>
          <cell r="CV153">
            <v>-46</v>
          </cell>
          <cell r="CW153">
            <v>65.987295771683421</v>
          </cell>
          <cell r="CX153">
            <v>42.987295771683421</v>
          </cell>
          <cell r="CY153">
            <v>55.742288513324866</v>
          </cell>
          <cell r="CZ153">
            <v>-9.5823516355601441</v>
          </cell>
          <cell r="DA153">
            <v>-14.229710850304741</v>
          </cell>
          <cell r="DB153">
            <v>-7.4284528486226691</v>
          </cell>
          <cell r="DC153">
            <v>24.501773178837311</v>
          </cell>
          <cell r="DD153">
            <v>61.446366008993209</v>
          </cell>
          <cell r="DE153">
            <v>-7.6563553239626572</v>
          </cell>
          <cell r="DF153">
            <v>-12.415674922482708</v>
          </cell>
          <cell r="DG153">
            <v>-8.3696346405345139</v>
          </cell>
          <cell r="DH153">
            <v>33.00470112201333</v>
          </cell>
          <cell r="DI153">
            <v>73.993050205029817</v>
          </cell>
          <cell r="DJ153">
            <v>-14.567752635040961</v>
          </cell>
          <cell r="DK153">
            <v>-14.060424406040966</v>
          </cell>
          <cell r="DL153">
            <v>-7.9937399950949839</v>
          </cell>
          <cell r="DM153">
            <v>37.371133168852907</v>
          </cell>
          <cell r="DN153">
            <v>69.838175034573283</v>
          </cell>
          <cell r="DO153">
            <v>-6.3436453155026129</v>
          </cell>
          <cell r="DP153">
            <v>-14.453239127378083</v>
          </cell>
          <cell r="DQ153">
            <v>-9.6861747578535642</v>
          </cell>
          <cell r="DR153">
            <v>39.355115833839022</v>
          </cell>
          <cell r="DW153" t="str">
            <v>mstag:netIncreaseInTradeAndOtherPayables</v>
          </cell>
          <cell r="DX153">
            <v>6</v>
          </cell>
          <cell r="DY153" t="str">
            <v>ISO4217:USD</v>
          </cell>
          <cell r="DZ153" t="b">
            <v>0</v>
          </cell>
        </row>
        <row r="154">
          <cell r="B154" t="str">
            <v>Other long-term liabilities</v>
          </cell>
          <cell r="H154">
            <v>4</v>
          </cell>
          <cell r="M154">
            <v>-106</v>
          </cell>
          <cell r="R154">
            <v>-59</v>
          </cell>
          <cell r="W154">
            <v>-83</v>
          </cell>
          <cell r="X154">
            <v>3</v>
          </cell>
          <cell r="Y154">
            <v>12</v>
          </cell>
          <cell r="Z154">
            <v>-43</v>
          </cell>
          <cell r="AA154">
            <v>-80</v>
          </cell>
          <cell r="AB154">
            <v>-108</v>
          </cell>
          <cell r="AC154">
            <v>-15</v>
          </cell>
          <cell r="AD154">
            <v>3</v>
          </cell>
          <cell r="AE154">
            <v>3</v>
          </cell>
          <cell r="AF154">
            <v>26</v>
          </cell>
          <cell r="AG154">
            <v>17</v>
          </cell>
          <cell r="AH154">
            <v>3</v>
          </cell>
          <cell r="AI154">
            <v>-11</v>
          </cell>
          <cell r="AJ154">
            <v>-13</v>
          </cell>
          <cell r="AK154">
            <v>1</v>
          </cell>
          <cell r="AL154">
            <v>-20</v>
          </cell>
          <cell r="AM154">
            <v>11</v>
          </cell>
          <cell r="AN154">
            <v>2</v>
          </cell>
          <cell r="AO154">
            <v>2</v>
          </cell>
          <cell r="AP154">
            <v>4</v>
          </cell>
          <cell r="AQ154">
            <v>19</v>
          </cell>
          <cell r="AR154">
            <v>11</v>
          </cell>
          <cell r="AS154">
            <v>9</v>
          </cell>
          <cell r="AT154">
            <v>276</v>
          </cell>
          <cell r="AZ154">
            <v>271</v>
          </cell>
          <cell r="BA154">
            <v>9</v>
          </cell>
          <cell r="BB154">
            <v>203</v>
          </cell>
          <cell r="BC154">
            <v>9</v>
          </cell>
          <cell r="BD154">
            <v>-54</v>
          </cell>
          <cell r="BE154">
            <v>167</v>
          </cell>
          <cell r="BF154">
            <v>44</v>
          </cell>
          <cell r="BG154">
            <v>67</v>
          </cell>
          <cell r="BH154">
            <v>9</v>
          </cell>
          <cell r="BI154">
            <v>-53</v>
          </cell>
          <cell r="BJ154">
            <v>67</v>
          </cell>
          <cell r="BK154">
            <v>17</v>
          </cell>
          <cell r="BL154">
            <v>-2</v>
          </cell>
          <cell r="BM154">
            <v>17</v>
          </cell>
          <cell r="BN154">
            <v>-55</v>
          </cell>
          <cell r="BO154">
            <v>-23</v>
          </cell>
          <cell r="BP154">
            <v>14</v>
          </cell>
          <cell r="BQ154">
            <v>6</v>
          </cell>
          <cell r="BR154">
            <v>11</v>
          </cell>
          <cell r="BS154">
            <v>-4</v>
          </cell>
          <cell r="BT154">
            <v>27</v>
          </cell>
          <cell r="BU154">
            <v>9</v>
          </cell>
          <cell r="BV154">
            <v>6</v>
          </cell>
          <cell r="BW154">
            <v>8</v>
          </cell>
          <cell r="BX154">
            <v>16</v>
          </cell>
          <cell r="BY154">
            <v>39</v>
          </cell>
          <cell r="BZ154">
            <v>0</v>
          </cell>
          <cell r="CA154">
            <v>-25</v>
          </cell>
          <cell r="CB154">
            <v>-1</v>
          </cell>
          <cell r="CC154">
            <v>-10</v>
          </cell>
          <cell r="CD154">
            <v>-36</v>
          </cell>
          <cell r="CE154">
            <v>-12</v>
          </cell>
          <cell r="CF154">
            <v>1</v>
          </cell>
          <cell r="CG154">
            <v>5</v>
          </cell>
          <cell r="CH154">
            <v>-7</v>
          </cell>
          <cell r="CI154">
            <v>-13</v>
          </cell>
          <cell r="CJ154">
            <v>-27</v>
          </cell>
          <cell r="CK154">
            <v>9</v>
          </cell>
          <cell r="CL154">
            <v>-5</v>
          </cell>
          <cell r="CM154">
            <v>-35</v>
          </cell>
          <cell r="CN154">
            <v>-58</v>
          </cell>
          <cell r="CO154">
            <v>12</v>
          </cell>
          <cell r="CP154">
            <v>-4</v>
          </cell>
          <cell r="CQ154">
            <v>-19</v>
          </cell>
          <cell r="CR154">
            <v>5</v>
          </cell>
          <cell r="CS154">
            <v>-6</v>
          </cell>
          <cell r="CT154">
            <v>16</v>
          </cell>
          <cell r="CU154">
            <v>10</v>
          </cell>
          <cell r="CV154">
            <v>-6</v>
          </cell>
          <cell r="CW154">
            <v>0</v>
          </cell>
          <cell r="CX154">
            <v>20</v>
          </cell>
          <cell r="CY154">
            <v>78</v>
          </cell>
          <cell r="CZ154">
            <v>0</v>
          </cell>
          <cell r="DA154">
            <v>0</v>
          </cell>
          <cell r="DB154">
            <v>0</v>
          </cell>
          <cell r="DC154">
            <v>78</v>
          </cell>
          <cell r="DD154">
            <v>0</v>
          </cell>
          <cell r="DE154">
            <v>0</v>
          </cell>
          <cell r="DF154">
            <v>0</v>
          </cell>
          <cell r="DG154">
            <v>0</v>
          </cell>
          <cell r="DH154">
            <v>0</v>
          </cell>
          <cell r="DI154">
            <v>0</v>
          </cell>
          <cell r="DJ154">
            <v>0</v>
          </cell>
          <cell r="DK154">
            <v>0</v>
          </cell>
          <cell r="DL154">
            <v>0</v>
          </cell>
          <cell r="DM154">
            <v>0</v>
          </cell>
          <cell r="DN154">
            <v>0</v>
          </cell>
          <cell r="DO154">
            <v>0</v>
          </cell>
          <cell r="DP154">
            <v>0</v>
          </cell>
          <cell r="DQ154">
            <v>0</v>
          </cell>
          <cell r="DR154">
            <v>0</v>
          </cell>
          <cell r="DW154" t="str">
            <v>mstag:netIncreaseInOtherLiabilitiesOperating</v>
          </cell>
          <cell r="DX154">
            <v>6</v>
          </cell>
          <cell r="DY154" t="str">
            <v>ISO4217:USD</v>
          </cell>
          <cell r="DZ154" t="b">
            <v>0</v>
          </cell>
        </row>
        <row r="155">
          <cell r="B155" t="str">
            <v>Changes in working capital</v>
          </cell>
          <cell r="D155">
            <v>0</v>
          </cell>
          <cell r="E155">
            <v>0</v>
          </cell>
          <cell r="F155">
            <v>0</v>
          </cell>
          <cell r="G155">
            <v>0</v>
          </cell>
          <cell r="H155">
            <v>-70</v>
          </cell>
          <cell r="I155">
            <v>0</v>
          </cell>
          <cell r="J155">
            <v>0</v>
          </cell>
          <cell r="K155">
            <v>0</v>
          </cell>
          <cell r="L155">
            <v>0</v>
          </cell>
          <cell r="M155">
            <v>-438</v>
          </cell>
          <cell r="N155">
            <v>0</v>
          </cell>
          <cell r="O155">
            <v>0</v>
          </cell>
          <cell r="P155">
            <v>0</v>
          </cell>
          <cell r="Q155">
            <v>0</v>
          </cell>
          <cell r="R155">
            <v>-998</v>
          </cell>
          <cell r="S155">
            <v>0</v>
          </cell>
          <cell r="T155">
            <v>0</v>
          </cell>
          <cell r="U155">
            <v>0</v>
          </cell>
          <cell r="V155">
            <v>0</v>
          </cell>
          <cell r="W155">
            <v>-1028</v>
          </cell>
          <cell r="X155">
            <v>-400</v>
          </cell>
          <cell r="Y155">
            <v>-202</v>
          </cell>
          <cell r="Z155">
            <v>-478</v>
          </cell>
          <cell r="AA155">
            <v>-292</v>
          </cell>
          <cell r="AB155">
            <v>-1372</v>
          </cell>
          <cell r="AC155">
            <v>-497</v>
          </cell>
          <cell r="AD155">
            <v>-63</v>
          </cell>
          <cell r="AE155">
            <v>-496</v>
          </cell>
          <cell r="AF155">
            <v>-30</v>
          </cell>
          <cell r="AG155">
            <v>-1086</v>
          </cell>
          <cell r="AH155">
            <v>-285</v>
          </cell>
          <cell r="AI155">
            <v>-9</v>
          </cell>
          <cell r="AJ155">
            <v>-276</v>
          </cell>
          <cell r="AK155">
            <v>172</v>
          </cell>
          <cell r="AL155">
            <v>-398</v>
          </cell>
          <cell r="AM155">
            <v>-201</v>
          </cell>
          <cell r="AN155">
            <v>-156</v>
          </cell>
          <cell r="AO155">
            <v>-257</v>
          </cell>
          <cell r="AP155">
            <v>-20</v>
          </cell>
          <cell r="AQ155">
            <v>-634</v>
          </cell>
          <cell r="AR155">
            <v>-139</v>
          </cell>
          <cell r="AS155">
            <v>-564</v>
          </cell>
          <cell r="AT155">
            <v>-191</v>
          </cell>
          <cell r="AZ155">
            <v>-583</v>
          </cell>
          <cell r="BA155">
            <v>-504</v>
          </cell>
          <cell r="BB155">
            <v>-114</v>
          </cell>
          <cell r="BC155">
            <v>-87</v>
          </cell>
          <cell r="BD155">
            <v>-311</v>
          </cell>
          <cell r="BE155">
            <v>-1016</v>
          </cell>
          <cell r="BF155">
            <v>-440</v>
          </cell>
          <cell r="BG155">
            <v>-173</v>
          </cell>
          <cell r="BH155">
            <v>-200</v>
          </cell>
          <cell r="BI155">
            <v>-455</v>
          </cell>
          <cell r="BJ155">
            <v>-1268</v>
          </cell>
          <cell r="BK155">
            <v>180</v>
          </cell>
          <cell r="BL155">
            <v>-43</v>
          </cell>
          <cell r="BM155">
            <v>-108</v>
          </cell>
          <cell r="BN155">
            <v>57</v>
          </cell>
          <cell r="BO155">
            <v>86</v>
          </cell>
          <cell r="BP155">
            <v>-398</v>
          </cell>
          <cell r="BQ155">
            <v>-238</v>
          </cell>
          <cell r="BR155">
            <v>-218</v>
          </cell>
          <cell r="BS155">
            <v>-142</v>
          </cell>
          <cell r="BT155">
            <v>-996</v>
          </cell>
          <cell r="BU155">
            <v>-500</v>
          </cell>
          <cell r="BV155">
            <v>81</v>
          </cell>
          <cell r="BW155">
            <v>-130</v>
          </cell>
          <cell r="BX155">
            <v>-83</v>
          </cell>
          <cell r="BY155">
            <v>-632</v>
          </cell>
          <cell r="BZ155">
            <v>-420</v>
          </cell>
          <cell r="CA155">
            <v>-68</v>
          </cell>
          <cell r="CB155">
            <v>-91</v>
          </cell>
          <cell r="CC155">
            <v>-160</v>
          </cell>
          <cell r="CD155">
            <v>-739</v>
          </cell>
          <cell r="CE155">
            <v>-370</v>
          </cell>
          <cell r="CF155">
            <v>-74</v>
          </cell>
          <cell r="CG155">
            <v>-109</v>
          </cell>
          <cell r="CH155">
            <v>-194</v>
          </cell>
          <cell r="CI155">
            <v>-747</v>
          </cell>
          <cell r="CJ155">
            <v>-395</v>
          </cell>
          <cell r="CK155">
            <v>-122</v>
          </cell>
          <cell r="CL155">
            <v>-147</v>
          </cell>
          <cell r="CM155">
            <v>-236</v>
          </cell>
          <cell r="CN155">
            <v>-900</v>
          </cell>
          <cell r="CO155">
            <v>-437</v>
          </cell>
          <cell r="CP155">
            <v>-227</v>
          </cell>
          <cell r="CQ155">
            <v>-150</v>
          </cell>
          <cell r="CR155">
            <v>-193</v>
          </cell>
          <cell r="CS155">
            <v>-1007</v>
          </cell>
          <cell r="CT155">
            <v>-427</v>
          </cell>
          <cell r="CU155">
            <v>-95</v>
          </cell>
          <cell r="CV155">
            <v>-242</v>
          </cell>
          <cell r="CW155">
            <v>-171.78014673783329</v>
          </cell>
          <cell r="CX155">
            <v>-935.78014673783321</v>
          </cell>
          <cell r="CY155">
            <v>-95.25143455313011</v>
          </cell>
          <cell r="CZ155">
            <v>-234.8245037526039</v>
          </cell>
          <cell r="DA155">
            <v>-208.49117553684977</v>
          </cell>
          <cell r="DB155">
            <v>-273.83093268952962</v>
          </cell>
          <cell r="DC155">
            <v>-812.39804653211331</v>
          </cell>
          <cell r="DD155">
            <v>-149.60790855973451</v>
          </cell>
          <cell r="DE155">
            <v>-179.9681745289264</v>
          </cell>
          <cell r="DF155">
            <v>-162.73898853652625</v>
          </cell>
          <cell r="DG155">
            <v>-236.94124287295938</v>
          </cell>
          <cell r="DH155">
            <v>-729.25631449814648</v>
          </cell>
          <cell r="DI155">
            <v>-158.91455133169174</v>
          </cell>
          <cell r="DJ155">
            <v>-155.18993815208253</v>
          </cell>
          <cell r="DK155">
            <v>-150.1544383300799</v>
          </cell>
          <cell r="DL155">
            <v>-230.04123340032621</v>
          </cell>
          <cell r="DM155">
            <v>-694.30016121418032</v>
          </cell>
          <cell r="DN155">
            <v>-149.77803812961841</v>
          </cell>
          <cell r="DO155">
            <v>-154.71687494470177</v>
          </cell>
          <cell r="DP155">
            <v>-142.53529741606621</v>
          </cell>
          <cell r="DQ155">
            <v>-225.30189252684789</v>
          </cell>
          <cell r="DR155">
            <v>-672.3321030172342</v>
          </cell>
        </row>
        <row r="156">
          <cell r="B156" t="str">
            <v>Restructuring &amp; litigation reserves</v>
          </cell>
          <cell r="M156">
            <v>0</v>
          </cell>
          <cell r="R156">
            <v>0</v>
          </cell>
          <cell r="W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Z156">
            <v>-18</v>
          </cell>
          <cell r="BA156">
            <v>0</v>
          </cell>
          <cell r="BB156">
            <v>0</v>
          </cell>
          <cell r="BC156">
            <v>0</v>
          </cell>
          <cell r="BD156">
            <v>-148</v>
          </cell>
          <cell r="BE156">
            <v>-148</v>
          </cell>
          <cell r="BF156">
            <v>-187</v>
          </cell>
          <cell r="BG156">
            <v>-57</v>
          </cell>
          <cell r="BH156">
            <v>-5</v>
          </cell>
          <cell r="BI156">
            <v>-31</v>
          </cell>
          <cell r="BJ156">
            <v>-280</v>
          </cell>
          <cell r="BK156">
            <v>-14</v>
          </cell>
          <cell r="BL156">
            <v>-28</v>
          </cell>
          <cell r="BM156">
            <v>-31</v>
          </cell>
          <cell r="BN156">
            <v>-27</v>
          </cell>
          <cell r="BO156">
            <v>-100</v>
          </cell>
          <cell r="BP156">
            <v>-175</v>
          </cell>
          <cell r="BQ156">
            <v>-489</v>
          </cell>
          <cell r="BR156">
            <v>-19</v>
          </cell>
          <cell r="BS156">
            <v>-15</v>
          </cell>
          <cell r="BT156">
            <v>-698</v>
          </cell>
          <cell r="BU156">
            <v>-7</v>
          </cell>
          <cell r="BV156">
            <v>-21</v>
          </cell>
          <cell r="BW156">
            <v>-11</v>
          </cell>
          <cell r="BX156">
            <v>-31</v>
          </cell>
          <cell r="BY156">
            <v>-70</v>
          </cell>
          <cell r="BZ156">
            <v>-27</v>
          </cell>
          <cell r="CA156">
            <v>-29</v>
          </cell>
          <cell r="CB156">
            <v>-23</v>
          </cell>
          <cell r="CC156">
            <v>-21</v>
          </cell>
          <cell r="CD156">
            <v>-100</v>
          </cell>
          <cell r="CE156">
            <v>-28</v>
          </cell>
          <cell r="CF156">
            <v>-28</v>
          </cell>
          <cell r="CG156">
            <v>-109</v>
          </cell>
          <cell r="CH156">
            <v>-27</v>
          </cell>
          <cell r="CI156">
            <v>-192</v>
          </cell>
          <cell r="CJ156">
            <v>-24</v>
          </cell>
          <cell r="CK156">
            <v>-27</v>
          </cell>
          <cell r="CL156">
            <v>-25</v>
          </cell>
          <cell r="CM156">
            <v>-7</v>
          </cell>
          <cell r="CN156">
            <v>-83</v>
          </cell>
          <cell r="CO156">
            <v>-7</v>
          </cell>
          <cell r="CP156">
            <v>-14</v>
          </cell>
          <cell r="CQ156">
            <v>-6</v>
          </cell>
          <cell r="CR156">
            <v>-17</v>
          </cell>
          <cell r="CS156">
            <v>-44</v>
          </cell>
          <cell r="CT156">
            <v>-11</v>
          </cell>
          <cell r="CU156">
            <v>-39</v>
          </cell>
          <cell r="CV156">
            <v>-6</v>
          </cell>
          <cell r="CW156">
            <v>0</v>
          </cell>
          <cell r="CX156">
            <v>-56</v>
          </cell>
          <cell r="CY156">
            <v>3</v>
          </cell>
          <cell r="CZ156">
            <v>0</v>
          </cell>
          <cell r="DA156">
            <v>0</v>
          </cell>
          <cell r="DB156">
            <v>0</v>
          </cell>
          <cell r="DC156">
            <v>3</v>
          </cell>
          <cell r="DD156">
            <v>0</v>
          </cell>
          <cell r="DE156">
            <v>0</v>
          </cell>
          <cell r="DF156">
            <v>0</v>
          </cell>
          <cell r="DG156">
            <v>0</v>
          </cell>
          <cell r="DH156">
            <v>0</v>
          </cell>
          <cell r="DI156">
            <v>0</v>
          </cell>
          <cell r="DJ156">
            <v>0</v>
          </cell>
          <cell r="DK156">
            <v>0</v>
          </cell>
          <cell r="DL156">
            <v>0</v>
          </cell>
          <cell r="DM156">
            <v>0</v>
          </cell>
          <cell r="DN156">
            <v>0</v>
          </cell>
          <cell r="DO156">
            <v>0</v>
          </cell>
          <cell r="DP156">
            <v>0</v>
          </cell>
          <cell r="DQ156">
            <v>0</v>
          </cell>
          <cell r="DR156">
            <v>0</v>
          </cell>
          <cell r="DW156" t="str">
            <v>mstag:legalProvisionOneTimeCashFlowStatement</v>
          </cell>
          <cell r="DX156">
            <v>6</v>
          </cell>
          <cell r="DY156" t="str">
            <v>ISO4217:USD</v>
          </cell>
          <cell r="DZ156" t="b">
            <v>0</v>
          </cell>
        </row>
        <row r="157">
          <cell r="B157" t="str">
            <v>Discontinued operations</v>
          </cell>
          <cell r="H157">
            <v>-427</v>
          </cell>
          <cell r="M157">
            <v>-97</v>
          </cell>
          <cell r="R157">
            <v>0</v>
          </cell>
          <cell r="W157">
            <v>0</v>
          </cell>
          <cell r="X157">
            <v>-8</v>
          </cell>
          <cell r="Y157">
            <v>-12</v>
          </cell>
          <cell r="Z157">
            <v>-17</v>
          </cell>
          <cell r="AA157">
            <v>37</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Z157">
            <v>0</v>
          </cell>
          <cell r="BA157">
            <v>0</v>
          </cell>
          <cell r="BB157">
            <v>0</v>
          </cell>
          <cell r="BC157">
            <v>0</v>
          </cell>
          <cell r="BD157">
            <v>0</v>
          </cell>
          <cell r="BE157">
            <v>0</v>
          </cell>
          <cell r="BF157">
            <v>46</v>
          </cell>
          <cell r="BG157">
            <v>27</v>
          </cell>
          <cell r="BH157">
            <v>-42</v>
          </cell>
          <cell r="BI157">
            <v>-439</v>
          </cell>
          <cell r="BJ157">
            <v>-408</v>
          </cell>
          <cell r="BK157">
            <v>45</v>
          </cell>
          <cell r="BL157">
            <v>32</v>
          </cell>
          <cell r="BM157">
            <v>-24</v>
          </cell>
          <cell r="BN157">
            <v>-8</v>
          </cell>
          <cell r="BO157">
            <v>45</v>
          </cell>
          <cell r="BP157">
            <v>-8</v>
          </cell>
          <cell r="BQ157">
            <v>-41</v>
          </cell>
          <cell r="BR157">
            <v>21</v>
          </cell>
          <cell r="BS157">
            <v>5</v>
          </cell>
          <cell r="BT157">
            <v>-23</v>
          </cell>
          <cell r="BU157">
            <v>17</v>
          </cell>
          <cell r="BV157">
            <v>-8</v>
          </cell>
          <cell r="BW157">
            <v>-6</v>
          </cell>
          <cell r="BX157">
            <v>22</v>
          </cell>
          <cell r="BY157">
            <v>25</v>
          </cell>
          <cell r="BZ157">
            <v>0</v>
          </cell>
          <cell r="CA157">
            <v>2</v>
          </cell>
          <cell r="CB157">
            <v>34</v>
          </cell>
          <cell r="CC157">
            <v>-12</v>
          </cell>
          <cell r="CD157">
            <v>24</v>
          </cell>
          <cell r="CE157">
            <v>56</v>
          </cell>
          <cell r="CF157">
            <v>-28</v>
          </cell>
          <cell r="CG157">
            <v>3</v>
          </cell>
          <cell r="CH157">
            <v>9</v>
          </cell>
          <cell r="CI157">
            <v>40</v>
          </cell>
          <cell r="CJ157">
            <v>2</v>
          </cell>
          <cell r="CK157">
            <v>3</v>
          </cell>
          <cell r="CL157">
            <v>-7</v>
          </cell>
          <cell r="CM157">
            <v>2</v>
          </cell>
          <cell r="CN157">
            <v>0</v>
          </cell>
          <cell r="CO157">
            <v>-13</v>
          </cell>
          <cell r="CP157">
            <v>-6</v>
          </cell>
          <cell r="CQ157">
            <v>-22</v>
          </cell>
          <cell r="CR157">
            <v>-6</v>
          </cell>
          <cell r="CS157">
            <v>-47</v>
          </cell>
          <cell r="CT157">
            <v>-19</v>
          </cell>
          <cell r="CU157">
            <v>-3</v>
          </cell>
          <cell r="CV157">
            <v>3</v>
          </cell>
          <cell r="CW157">
            <v>0</v>
          </cell>
          <cell r="CX157">
            <v>-19</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W157" t="str">
            <v>mstag:netCashFlowFromDiscontinuedOperations</v>
          </cell>
          <cell r="DX157">
            <v>6</v>
          </cell>
          <cell r="DY157" t="str">
            <v>ISO4217:USD</v>
          </cell>
          <cell r="DZ157" t="b">
            <v>0</v>
          </cell>
        </row>
        <row r="158">
          <cell r="B158" t="str">
            <v>Cash Flow from Operations</v>
          </cell>
          <cell r="D158">
            <v>-377.21100000000001</v>
          </cell>
          <cell r="E158">
            <v>56.711000000000013</v>
          </cell>
          <cell r="F158">
            <v>79.900000000000006</v>
          </cell>
          <cell r="G158">
            <v>233.6</v>
          </cell>
          <cell r="H158">
            <v>-7</v>
          </cell>
          <cell r="I158">
            <v>60.8</v>
          </cell>
          <cell r="J158">
            <v>-49.699999999999996</v>
          </cell>
          <cell r="K158">
            <v>68.2</v>
          </cell>
          <cell r="L158">
            <v>115.69999999999997</v>
          </cell>
          <cell r="M158">
            <v>195</v>
          </cell>
          <cell r="N158">
            <v>39.299999999999997</v>
          </cell>
          <cell r="O158">
            <v>-53.5</v>
          </cell>
          <cell r="P158">
            <v>269.09999999999997</v>
          </cell>
          <cell r="Q158">
            <v>149.10000000000002</v>
          </cell>
          <cell r="R158">
            <v>404</v>
          </cell>
          <cell r="S158">
            <v>1</v>
          </cell>
          <cell r="T158">
            <v>11</v>
          </cell>
          <cell r="U158">
            <v>125</v>
          </cell>
          <cell r="V158">
            <v>266</v>
          </cell>
          <cell r="W158">
            <v>403</v>
          </cell>
          <cell r="X158">
            <v>41</v>
          </cell>
          <cell r="Y158">
            <v>256</v>
          </cell>
          <cell r="Z158">
            <v>18</v>
          </cell>
          <cell r="AA158">
            <v>267</v>
          </cell>
          <cell r="AB158">
            <v>582</v>
          </cell>
          <cell r="AC158">
            <v>12</v>
          </cell>
          <cell r="AD158">
            <v>313</v>
          </cell>
          <cell r="AE158">
            <v>-3</v>
          </cell>
          <cell r="AF158">
            <v>547</v>
          </cell>
          <cell r="AG158">
            <v>869</v>
          </cell>
          <cell r="AH158">
            <v>271</v>
          </cell>
          <cell r="AI158">
            <v>454</v>
          </cell>
          <cell r="AJ158">
            <v>213</v>
          </cell>
          <cell r="AK158">
            <v>880</v>
          </cell>
          <cell r="AL158">
            <v>1818</v>
          </cell>
          <cell r="AM158">
            <v>487</v>
          </cell>
          <cell r="AN158">
            <v>531</v>
          </cell>
          <cell r="AO158">
            <v>475</v>
          </cell>
          <cell r="AP158">
            <v>822</v>
          </cell>
          <cell r="AQ158">
            <v>2315</v>
          </cell>
          <cell r="AR158">
            <v>696</v>
          </cell>
          <cell r="AS158">
            <v>246</v>
          </cell>
          <cell r="AT158">
            <v>327</v>
          </cell>
          <cell r="AZ158">
            <v>1126</v>
          </cell>
          <cell r="BA158">
            <v>224</v>
          </cell>
          <cell r="BB158">
            <v>359</v>
          </cell>
          <cell r="BC158">
            <v>137</v>
          </cell>
          <cell r="BD158">
            <v>118</v>
          </cell>
          <cell r="BE158">
            <v>838</v>
          </cell>
          <cell r="BF158">
            <v>-59</v>
          </cell>
          <cell r="BG158">
            <v>144</v>
          </cell>
          <cell r="BH158">
            <v>123</v>
          </cell>
          <cell r="BI158">
            <v>-290</v>
          </cell>
          <cell r="BJ158">
            <v>-82</v>
          </cell>
          <cell r="BK158">
            <v>516</v>
          </cell>
          <cell r="BL158">
            <v>184</v>
          </cell>
          <cell r="BM158">
            <v>-15</v>
          </cell>
          <cell r="BN158">
            <v>78</v>
          </cell>
          <cell r="BO158">
            <v>763</v>
          </cell>
          <cell r="BP158">
            <v>-321</v>
          </cell>
          <cell r="BQ158">
            <v>-320</v>
          </cell>
          <cell r="BR158">
            <v>200</v>
          </cell>
          <cell r="BS158">
            <v>-21</v>
          </cell>
          <cell r="BT158">
            <v>-462</v>
          </cell>
          <cell r="BU158">
            <v>-154</v>
          </cell>
          <cell r="BV158">
            <v>285</v>
          </cell>
          <cell r="BW158">
            <v>83</v>
          </cell>
          <cell r="BX158">
            <v>112</v>
          </cell>
          <cell r="BY158">
            <v>326</v>
          </cell>
          <cell r="BZ158">
            <v>-133</v>
          </cell>
          <cell r="CA158">
            <v>123</v>
          </cell>
          <cell r="CB158">
            <v>151</v>
          </cell>
          <cell r="CC158">
            <v>67</v>
          </cell>
          <cell r="CD158">
            <v>208</v>
          </cell>
          <cell r="CE158">
            <v>-6</v>
          </cell>
          <cell r="CF158">
            <v>170</v>
          </cell>
          <cell r="CG158">
            <v>120</v>
          </cell>
          <cell r="CH158">
            <v>141</v>
          </cell>
          <cell r="CI158">
            <v>425</v>
          </cell>
          <cell r="CJ158">
            <v>-22</v>
          </cell>
          <cell r="CK158">
            <v>191</v>
          </cell>
          <cell r="CL158">
            <v>128</v>
          </cell>
          <cell r="CM158">
            <v>175</v>
          </cell>
          <cell r="CN158">
            <v>472</v>
          </cell>
          <cell r="CO158">
            <v>-2</v>
          </cell>
          <cell r="CP158">
            <v>178</v>
          </cell>
          <cell r="CQ158">
            <v>148</v>
          </cell>
          <cell r="CR158">
            <v>173</v>
          </cell>
          <cell r="CS158">
            <v>497</v>
          </cell>
          <cell r="CT158">
            <v>-42</v>
          </cell>
          <cell r="CU158">
            <v>243</v>
          </cell>
          <cell r="CV158">
            <v>136</v>
          </cell>
          <cell r="CW158">
            <v>216.11328946500518</v>
          </cell>
          <cell r="CX158">
            <v>553.11328946500532</v>
          </cell>
          <cell r="CY158">
            <v>262.7699996351846</v>
          </cell>
          <cell r="CZ158">
            <v>167.85337285159079</v>
          </cell>
          <cell r="DA158">
            <v>196.54355708644931</v>
          </cell>
          <cell r="DB158">
            <v>176.85982724788732</v>
          </cell>
          <cell r="DC158">
            <v>804.02675682111203</v>
          </cell>
          <cell r="DD158">
            <v>208.39728833570993</v>
          </cell>
          <cell r="DE158">
            <v>204.41367644234754</v>
          </cell>
          <cell r="DF158">
            <v>216.55794656702713</v>
          </cell>
          <cell r="DG158">
            <v>193.79240062433701</v>
          </cell>
          <cell r="DH158">
            <v>823.16131196942149</v>
          </cell>
          <cell r="DI158">
            <v>201.764629943887</v>
          </cell>
          <cell r="DJ158">
            <v>224.34568785550297</v>
          </cell>
          <cell r="DK158">
            <v>226.06000058699831</v>
          </cell>
          <cell r="DL158">
            <v>204.1947274623133</v>
          </cell>
          <cell r="DM158">
            <v>856.3650458487017</v>
          </cell>
          <cell r="DN158">
            <v>222.40165945675588</v>
          </cell>
          <cell r="DO158">
            <v>232.4639047374277</v>
          </cell>
          <cell r="DP158">
            <v>240.75558559919693</v>
          </cell>
          <cell r="DQ158">
            <v>217.13825080633029</v>
          </cell>
          <cell r="DR158">
            <v>912.75940059971072</v>
          </cell>
        </row>
        <row r="159">
          <cell r="B159" t="str">
            <v>% of net income + D&amp;A</v>
          </cell>
          <cell r="H159" t="str">
            <v>nm</v>
          </cell>
          <cell r="M159">
            <v>0.29061102831594637</v>
          </cell>
          <cell r="R159">
            <v>2.1375661375661377</v>
          </cell>
          <cell r="W159">
            <v>0.55894590846047154</v>
          </cell>
          <cell r="AB159">
            <v>0.72298136645962729</v>
          </cell>
          <cell r="AC159">
            <v>4.9382716049382713E-2</v>
          </cell>
          <cell r="AD159">
            <v>1.1722846441947565</v>
          </cell>
          <cell r="AE159" t="str">
            <v>nm</v>
          </cell>
          <cell r="AF159">
            <v>3.551948051948052</v>
          </cell>
          <cell r="AG159">
            <v>1.0407185628742515</v>
          </cell>
          <cell r="AH159">
            <v>0.93127147766323026</v>
          </cell>
          <cell r="AI159">
            <v>1.459807073954984</v>
          </cell>
          <cell r="AJ159">
            <v>0.63204747774480707</v>
          </cell>
          <cell r="AK159">
            <v>3.4108527131782944</v>
          </cell>
          <cell r="AL159">
            <v>1.518796992481203</v>
          </cell>
          <cell r="AM159">
            <v>1.6019736842105263</v>
          </cell>
          <cell r="AN159">
            <v>2.2124999999999999</v>
          </cell>
          <cell r="AO159">
            <v>1.0944700460829493</v>
          </cell>
          <cell r="AP159">
            <v>2</v>
          </cell>
          <cell r="AQ159">
            <v>1.6666666666666667</v>
          </cell>
          <cell r="AR159">
            <v>1.4935622317596566</v>
          </cell>
          <cell r="AS159">
            <v>0.55280898876404494</v>
          </cell>
          <cell r="AT159">
            <v>4.2467532467532472</v>
          </cell>
          <cell r="BA159">
            <v>2.1333333333333333</v>
          </cell>
          <cell r="BB159" t="str">
            <v>nm</v>
          </cell>
          <cell r="BC159" t="str">
            <v>nm</v>
          </cell>
          <cell r="BD159" t="str">
            <v>nm</v>
          </cell>
          <cell r="BE159" t="str">
            <v>nm</v>
          </cell>
          <cell r="BF159" t="str">
            <v>nm</v>
          </cell>
          <cell r="BG159" t="str">
            <v>nm</v>
          </cell>
          <cell r="BH159">
            <v>4.3928571428571432</v>
          </cell>
          <cell r="BI159" t="str">
            <v>nm</v>
          </cell>
          <cell r="BJ159" t="str">
            <v>nm</v>
          </cell>
          <cell r="BK159">
            <v>5.6086956521739131</v>
          </cell>
          <cell r="BL159">
            <v>3.1186440677966103</v>
          </cell>
          <cell r="BM159" t="str">
            <v>nm</v>
          </cell>
          <cell r="BN159" t="str">
            <v>nm</v>
          </cell>
          <cell r="BO159">
            <v>-2.2309941520467835</v>
          </cell>
          <cell r="BP159" t="str">
            <v>nm</v>
          </cell>
          <cell r="BQ159" t="str">
            <v>nm</v>
          </cell>
          <cell r="BR159">
            <v>-33.333333333333336</v>
          </cell>
          <cell r="BS159" t="str">
            <v>nm</v>
          </cell>
          <cell r="BT159" t="str">
            <v>nm</v>
          </cell>
          <cell r="BU159" t="str">
            <v>nm</v>
          </cell>
          <cell r="BV159">
            <v>4.8305084745762707</v>
          </cell>
          <cell r="BW159">
            <v>2.59375</v>
          </cell>
          <cell r="BX159">
            <v>6.2222222222222223</v>
          </cell>
          <cell r="BY159">
            <v>1.1941391941391941</v>
          </cell>
          <cell r="BZ159" t="str">
            <v>nm</v>
          </cell>
          <cell r="CA159">
            <v>1.5974025974025974</v>
          </cell>
          <cell r="CB159">
            <v>0.77835051546391754</v>
          </cell>
          <cell r="CC159">
            <v>1.0634920634920635</v>
          </cell>
          <cell r="CD159">
            <v>0.52261306532663321</v>
          </cell>
          <cell r="CE159" t="str">
            <v>nm</v>
          </cell>
          <cell r="CF159">
            <v>2.0481927710843375</v>
          </cell>
          <cell r="CG159">
            <v>1.25</v>
          </cell>
          <cell r="CH159">
            <v>1.1370967741935485</v>
          </cell>
          <cell r="CI159">
            <v>0.72898799313893659</v>
          </cell>
          <cell r="CJ159" t="str">
            <v>nm</v>
          </cell>
          <cell r="CK159">
            <v>1.446969696969697</v>
          </cell>
          <cell r="CL159">
            <v>0.12295869356388088</v>
          </cell>
          <cell r="CM159">
            <v>0.95628415300546443</v>
          </cell>
          <cell r="CN159">
            <v>0.3053040103492885</v>
          </cell>
          <cell r="CO159" t="str">
            <v>nm</v>
          </cell>
          <cell r="CP159">
            <v>1.0658682634730539</v>
          </cell>
          <cell r="CQ159">
            <v>1.2542372881355932</v>
          </cell>
          <cell r="CR159">
            <v>4.4358974358974361</v>
          </cell>
          <cell r="CS159">
            <v>0.98027613412228798</v>
          </cell>
          <cell r="CT159" t="str">
            <v>nm</v>
          </cell>
          <cell r="CU159">
            <v>3.0375000000000001</v>
          </cell>
          <cell r="CV159">
            <v>0.95774647887323938</v>
          </cell>
          <cell r="CW159">
            <v>1.265359755518199</v>
          </cell>
          <cell r="CX159">
            <v>0.9810591774057561</v>
          </cell>
          <cell r="CY159">
            <v>1.8618461210430595</v>
          </cell>
          <cell r="CZ159">
            <v>0.90809560063453365</v>
          </cell>
          <cell r="DA159">
            <v>1.1598668687314164</v>
          </cell>
          <cell r="DB159">
            <v>0.83164168060725219</v>
          </cell>
          <cell r="DC159">
            <v>1.1354830810698651</v>
          </cell>
          <cell r="DD159">
            <v>1.1633125086941514</v>
          </cell>
          <cell r="DE159">
            <v>0.9911281129491184</v>
          </cell>
          <cell r="DF159">
            <v>1.167215130615076</v>
          </cell>
          <cell r="DG159">
            <v>0.82865384647221374</v>
          </cell>
          <cell r="DH159">
            <v>1.0228367193561989</v>
          </cell>
          <cell r="DI159">
            <v>1.0373175064360001</v>
          </cell>
          <cell r="DJ159">
            <v>1.0503718301593938</v>
          </cell>
          <cell r="DK159">
            <v>1.1585168300929816</v>
          </cell>
          <cell r="DL159">
            <v>0.81832507764568585</v>
          </cell>
          <cell r="DM159">
            <v>1.0042398529874361</v>
          </cell>
          <cell r="DN159">
            <v>1.0491819195901686</v>
          </cell>
          <cell r="DO159">
            <v>1.0204478389788747</v>
          </cell>
          <cell r="DP159">
            <v>1.1523768453755665</v>
          </cell>
          <cell r="DQ159">
            <v>0.82222994389153992</v>
          </cell>
          <cell r="DR159">
            <v>0.99996922493909479</v>
          </cell>
        </row>
        <row r="161">
          <cell r="B161" t="str">
            <v>Capital expenditures - continuing ops</v>
          </cell>
          <cell r="D161">
            <v>-28.175999999999998</v>
          </cell>
          <cell r="E161">
            <v>-31.424000000000003</v>
          </cell>
          <cell r="F161">
            <v>-40.9</v>
          </cell>
          <cell r="G161">
            <v>-163.5</v>
          </cell>
          <cell r="H161">
            <v>-264</v>
          </cell>
          <cell r="I161">
            <v>-95.1</v>
          </cell>
          <cell r="J161">
            <v>-65.400000000000006</v>
          </cell>
          <cell r="K161">
            <v>-74.800000000000011</v>
          </cell>
          <cell r="L161">
            <v>-134.69999999999999</v>
          </cell>
          <cell r="M161">
            <v>-370</v>
          </cell>
          <cell r="N161">
            <v>-43.4</v>
          </cell>
          <cell r="O161">
            <v>-52.000000000000007</v>
          </cell>
          <cell r="P161">
            <v>-165.99999999999997</v>
          </cell>
          <cell r="Q161">
            <v>-144.60000000000002</v>
          </cell>
          <cell r="R161">
            <v>-406</v>
          </cell>
          <cell r="S161">
            <v>-103</v>
          </cell>
          <cell r="T161">
            <v>-112</v>
          </cell>
          <cell r="U161">
            <v>-156</v>
          </cell>
          <cell r="V161">
            <v>-163</v>
          </cell>
          <cell r="W161">
            <v>-534</v>
          </cell>
          <cell r="X161">
            <v>-107</v>
          </cell>
          <cell r="Y161">
            <v>-134</v>
          </cell>
          <cell r="Z161">
            <v>-160</v>
          </cell>
          <cell r="AA161">
            <v>-191</v>
          </cell>
          <cell r="AB161">
            <v>-592</v>
          </cell>
          <cell r="AC161">
            <v>-138</v>
          </cell>
          <cell r="AD161">
            <v>-126</v>
          </cell>
          <cell r="AE161">
            <v>-132</v>
          </cell>
          <cell r="AF161">
            <v>-223</v>
          </cell>
          <cell r="AG161">
            <v>-619</v>
          </cell>
          <cell r="AH161">
            <v>-120</v>
          </cell>
          <cell r="AI161">
            <v>-119</v>
          </cell>
          <cell r="AJ161">
            <v>-157</v>
          </cell>
          <cell r="AK161">
            <v>-205</v>
          </cell>
          <cell r="AL161">
            <v>-601</v>
          </cell>
          <cell r="AM161">
            <v>-209</v>
          </cell>
          <cell r="AN161">
            <v>-206</v>
          </cell>
          <cell r="AO161">
            <v>-168</v>
          </cell>
          <cell r="AP161">
            <v>-306</v>
          </cell>
          <cell r="AQ161">
            <v>-889</v>
          </cell>
          <cell r="AR161">
            <v>-195</v>
          </cell>
          <cell r="AS161">
            <v>-218</v>
          </cell>
          <cell r="AT161">
            <v>-229</v>
          </cell>
          <cell r="AZ161">
            <v>-490</v>
          </cell>
          <cell r="BA161">
            <v>-220</v>
          </cell>
          <cell r="BB161">
            <v>-198</v>
          </cell>
          <cell r="BC161">
            <v>-145</v>
          </cell>
          <cell r="BD161">
            <v>-190</v>
          </cell>
          <cell r="BE161">
            <v>-753</v>
          </cell>
          <cell r="BF161">
            <v>-82</v>
          </cell>
          <cell r="BG161">
            <v>-93</v>
          </cell>
          <cell r="BH161">
            <v>-96</v>
          </cell>
          <cell r="BI161">
            <v>-183</v>
          </cell>
          <cell r="BJ161">
            <v>-454</v>
          </cell>
          <cell r="BK161">
            <v>-96</v>
          </cell>
          <cell r="BL161">
            <v>-127</v>
          </cell>
          <cell r="BM161">
            <v>-135</v>
          </cell>
          <cell r="BN161">
            <v>-218</v>
          </cell>
          <cell r="BO161">
            <v>-576</v>
          </cell>
          <cell r="BP161">
            <v>-116</v>
          </cell>
          <cell r="BQ161">
            <v>-97</v>
          </cell>
          <cell r="BR161">
            <v>-133</v>
          </cell>
          <cell r="BS161">
            <v>-297</v>
          </cell>
          <cell r="BT161">
            <v>-643</v>
          </cell>
          <cell r="BU161">
            <v>-110</v>
          </cell>
          <cell r="BV161">
            <v>-148</v>
          </cell>
          <cell r="BW161">
            <v>-171</v>
          </cell>
          <cell r="BX161">
            <v>-300</v>
          </cell>
          <cell r="BY161">
            <v>-729</v>
          </cell>
          <cell r="BZ161">
            <v>-188</v>
          </cell>
          <cell r="CA161">
            <v>-101</v>
          </cell>
          <cell r="CB161">
            <v>-108</v>
          </cell>
          <cell r="CC161">
            <v>-130</v>
          </cell>
          <cell r="CD161">
            <v>-527</v>
          </cell>
          <cell r="CE161">
            <v>-101</v>
          </cell>
          <cell r="CF161">
            <v>-71</v>
          </cell>
          <cell r="CG161">
            <v>-91</v>
          </cell>
          <cell r="CH161">
            <v>-192</v>
          </cell>
          <cell r="CI161">
            <v>-455</v>
          </cell>
          <cell r="CJ161">
            <v>-83</v>
          </cell>
          <cell r="CK161">
            <v>-77</v>
          </cell>
          <cell r="CL161">
            <v>-107</v>
          </cell>
          <cell r="CM161">
            <v>-196</v>
          </cell>
          <cell r="CN161">
            <v>-463</v>
          </cell>
          <cell r="CO161">
            <v>-116</v>
          </cell>
          <cell r="CP161">
            <v>-82</v>
          </cell>
          <cell r="CQ161">
            <v>-100</v>
          </cell>
          <cell r="CR161">
            <v>-177</v>
          </cell>
          <cell r="CS161">
            <v>-475</v>
          </cell>
          <cell r="CT161">
            <v>-136</v>
          </cell>
          <cell r="CU161">
            <v>-115</v>
          </cell>
          <cell r="CV161">
            <v>-107</v>
          </cell>
          <cell r="CW161">
            <v>-125</v>
          </cell>
          <cell r="CX161">
            <v>-483</v>
          </cell>
          <cell r="CY161">
            <v>-115</v>
          </cell>
          <cell r="CZ161">
            <v>-115</v>
          </cell>
          <cell r="DA161">
            <v>-115</v>
          </cell>
          <cell r="DB161">
            <v>-115</v>
          </cell>
          <cell r="DC161">
            <v>-460</v>
          </cell>
          <cell r="DD161">
            <v>-115</v>
          </cell>
          <cell r="DE161">
            <v>-115</v>
          </cell>
          <cell r="DF161">
            <v>-115</v>
          </cell>
          <cell r="DG161">
            <v>-115</v>
          </cell>
          <cell r="DH161">
            <v>-460</v>
          </cell>
          <cell r="DI161">
            <v>-115</v>
          </cell>
          <cell r="DJ161">
            <v>-115</v>
          </cell>
          <cell r="DK161">
            <v>-115</v>
          </cell>
          <cell r="DL161">
            <v>-115</v>
          </cell>
          <cell r="DM161">
            <v>-460</v>
          </cell>
          <cell r="DN161">
            <v>-115</v>
          </cell>
          <cell r="DO161">
            <v>-115</v>
          </cell>
          <cell r="DP161">
            <v>-115</v>
          </cell>
          <cell r="DQ161">
            <v>-115</v>
          </cell>
          <cell r="DR161">
            <v>-460</v>
          </cell>
          <cell r="DW161" t="str">
            <v>mstag:capitalExpenditures</v>
          </cell>
          <cell r="DX161">
            <v>6</v>
          </cell>
          <cell r="DY161" t="str">
            <v>ISO4217:USD</v>
          </cell>
          <cell r="DZ161" t="b">
            <v>1</v>
          </cell>
        </row>
        <row r="162">
          <cell r="B162" t="str">
            <v>Hospital construction</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Z162">
            <v>0</v>
          </cell>
          <cell r="BA162">
            <v>0</v>
          </cell>
          <cell r="BB162">
            <v>0</v>
          </cell>
          <cell r="BC162">
            <v>0</v>
          </cell>
          <cell r="BD162">
            <v>-80</v>
          </cell>
          <cell r="BE162">
            <v>-80</v>
          </cell>
          <cell r="BF162">
            <v>-27</v>
          </cell>
          <cell r="BG162">
            <v>-38</v>
          </cell>
          <cell r="BH162">
            <v>-14</v>
          </cell>
          <cell r="BI162">
            <v>-5</v>
          </cell>
          <cell r="BJ162">
            <v>-84</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0</v>
          </cell>
          <cell r="CJ162">
            <v>0</v>
          </cell>
          <cell r="CK162">
            <v>0</v>
          </cell>
          <cell r="CL162">
            <v>0</v>
          </cell>
          <cell r="CM162">
            <v>0</v>
          </cell>
          <cell r="CN162">
            <v>0</v>
          </cell>
          <cell r="CO162">
            <v>0</v>
          </cell>
          <cell r="CP162">
            <v>0</v>
          </cell>
          <cell r="CQ162">
            <v>0</v>
          </cell>
          <cell r="CR162">
            <v>0</v>
          </cell>
          <cell r="CS162">
            <v>0</v>
          </cell>
          <cell r="CT162">
            <v>0</v>
          </cell>
          <cell r="CU162">
            <v>0</v>
          </cell>
          <cell r="CV162">
            <v>0</v>
          </cell>
          <cell r="CW162">
            <v>-20</v>
          </cell>
          <cell r="CX162">
            <v>-20</v>
          </cell>
          <cell r="CY162">
            <v>-15</v>
          </cell>
          <cell r="CZ162">
            <v>-15</v>
          </cell>
          <cell r="DA162">
            <v>-15</v>
          </cell>
          <cell r="DB162">
            <v>-20</v>
          </cell>
          <cell r="DC162">
            <v>-65</v>
          </cell>
          <cell r="DD162">
            <v>-15</v>
          </cell>
          <cell r="DE162">
            <v>-15</v>
          </cell>
          <cell r="DF162">
            <v>-15</v>
          </cell>
          <cell r="DG162">
            <v>-15</v>
          </cell>
          <cell r="DH162">
            <v>-60</v>
          </cell>
          <cell r="DI162">
            <v>-15</v>
          </cell>
          <cell r="DJ162">
            <v>-15</v>
          </cell>
          <cell r="DK162">
            <v>-15</v>
          </cell>
          <cell r="DL162">
            <v>-15</v>
          </cell>
          <cell r="DM162">
            <v>-60</v>
          </cell>
          <cell r="DN162">
            <v>-15</v>
          </cell>
          <cell r="DO162">
            <v>-15</v>
          </cell>
          <cell r="DP162">
            <v>-15</v>
          </cell>
          <cell r="DQ162">
            <v>-15</v>
          </cell>
          <cell r="DR162">
            <v>-60</v>
          </cell>
          <cell r="DW162" t="str">
            <v>mstag:capitalExpenditures</v>
          </cell>
          <cell r="DX162">
            <v>6</v>
          </cell>
          <cell r="DY162" t="str">
            <v>ISO4217:USD</v>
          </cell>
          <cell r="DZ162" t="b">
            <v>1</v>
          </cell>
        </row>
        <row r="163">
          <cell r="B163" t="str">
            <v>Capital expenditures - discontinuing ops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Z163">
            <v>0</v>
          </cell>
          <cell r="BA163">
            <v>0</v>
          </cell>
          <cell r="BB163">
            <v>0</v>
          </cell>
          <cell r="BC163">
            <v>0</v>
          </cell>
          <cell r="BD163">
            <v>0</v>
          </cell>
          <cell r="BE163">
            <v>0</v>
          </cell>
          <cell r="BF163">
            <v>-5</v>
          </cell>
          <cell r="BG163">
            <v>-5</v>
          </cell>
          <cell r="BH163">
            <v>-6</v>
          </cell>
          <cell r="BI163">
            <v>-4</v>
          </cell>
          <cell r="BJ163">
            <v>-20</v>
          </cell>
          <cell r="BK163">
            <v>0</v>
          </cell>
          <cell r="BL163">
            <v>-1</v>
          </cell>
          <cell r="BM163">
            <v>-1</v>
          </cell>
          <cell r="BN163">
            <v>0</v>
          </cell>
          <cell r="BO163">
            <v>-2</v>
          </cell>
          <cell r="BP163">
            <v>-1</v>
          </cell>
          <cell r="BQ163">
            <v>-29</v>
          </cell>
          <cell r="BR163">
            <v>-15</v>
          </cell>
          <cell r="BS163">
            <v>-5</v>
          </cell>
          <cell r="BT163">
            <v>-50</v>
          </cell>
          <cell r="BU163">
            <v>-1</v>
          </cell>
          <cell r="BV163">
            <v>-2</v>
          </cell>
          <cell r="BW163">
            <v>-8</v>
          </cell>
          <cell r="BX163">
            <v>-3</v>
          </cell>
          <cell r="BY163">
            <v>-14</v>
          </cell>
          <cell r="BZ163">
            <v>-1</v>
          </cell>
          <cell r="CA163">
            <v>-9</v>
          </cell>
          <cell r="CB163">
            <v>-6</v>
          </cell>
          <cell r="CC163">
            <v>-4</v>
          </cell>
          <cell r="CD163">
            <v>-20</v>
          </cell>
          <cell r="CE163">
            <v>-1</v>
          </cell>
          <cell r="CF163">
            <v>0</v>
          </cell>
          <cell r="CG163">
            <v>0</v>
          </cell>
          <cell r="CH163">
            <v>0</v>
          </cell>
          <cell r="CI163">
            <v>-1</v>
          </cell>
          <cell r="CJ163">
            <v>0</v>
          </cell>
          <cell r="CK163">
            <v>0</v>
          </cell>
          <cell r="CL163">
            <v>-13</v>
          </cell>
          <cell r="CM163">
            <v>0</v>
          </cell>
          <cell r="CN163">
            <v>-13</v>
          </cell>
          <cell r="CO163">
            <v>0</v>
          </cell>
          <cell r="CP163">
            <v>0</v>
          </cell>
          <cell r="CQ163">
            <v>0</v>
          </cell>
          <cell r="CR163">
            <v>0</v>
          </cell>
          <cell r="CS163">
            <v>0</v>
          </cell>
          <cell r="CT163">
            <v>0</v>
          </cell>
          <cell r="CU163">
            <v>-1</v>
          </cell>
          <cell r="CV163">
            <v>-1</v>
          </cell>
          <cell r="CX163">
            <v>-2</v>
          </cell>
          <cell r="DC163">
            <v>0</v>
          </cell>
          <cell r="DH163">
            <v>0</v>
          </cell>
          <cell r="DM163">
            <v>0</v>
          </cell>
          <cell r="DR163">
            <v>0</v>
          </cell>
          <cell r="DW163" t="str">
            <v>mstag:capitalExpenditures</v>
          </cell>
          <cell r="DX163">
            <v>6</v>
          </cell>
          <cell r="DY163" t="str">
            <v>ISO4217:USD</v>
          </cell>
          <cell r="DZ163" t="b">
            <v>1</v>
          </cell>
        </row>
        <row r="164">
          <cell r="B164" t="str">
            <v>Purchases of businesses or joint venture interests</v>
          </cell>
          <cell r="D164">
            <v>-9.02</v>
          </cell>
          <cell r="E164">
            <v>1.9999999999999574E-2</v>
          </cell>
          <cell r="F164">
            <v>-7.1000000000000014</v>
          </cell>
          <cell r="G164">
            <v>-1412.9</v>
          </cell>
          <cell r="H164">
            <v>-1429</v>
          </cell>
          <cell r="I164">
            <v>-224.3</v>
          </cell>
          <cell r="J164">
            <v>-143</v>
          </cell>
          <cell r="K164">
            <v>-2.5999999999999659</v>
          </cell>
          <cell r="L164">
            <v>-40.100000000000023</v>
          </cell>
          <cell r="M164">
            <v>-410</v>
          </cell>
          <cell r="N164">
            <v>-79.2</v>
          </cell>
          <cell r="O164">
            <v>-80.499999999999986</v>
          </cell>
          <cell r="P164">
            <v>-516.79999999999995</v>
          </cell>
          <cell r="Q164">
            <v>-110.5</v>
          </cell>
          <cell r="R164">
            <v>-787</v>
          </cell>
          <cell r="S164">
            <v>-126</v>
          </cell>
          <cell r="T164">
            <v>-255</v>
          </cell>
          <cell r="U164">
            <v>-298</v>
          </cell>
          <cell r="V164">
            <v>0</v>
          </cell>
          <cell r="W164">
            <v>-679</v>
          </cell>
          <cell r="X164">
            <v>-84</v>
          </cell>
          <cell r="Y164">
            <v>-362</v>
          </cell>
          <cell r="Z164">
            <v>-24</v>
          </cell>
          <cell r="AA164">
            <v>-176</v>
          </cell>
          <cell r="AB164">
            <v>-646</v>
          </cell>
          <cell r="AC164">
            <v>-24</v>
          </cell>
          <cell r="AD164">
            <v>-14</v>
          </cell>
          <cell r="AE164">
            <v>2</v>
          </cell>
          <cell r="AF164">
            <v>-2</v>
          </cell>
          <cell r="AG164">
            <v>-38</v>
          </cell>
          <cell r="AH164">
            <v>-9</v>
          </cell>
          <cell r="AI164">
            <v>-4</v>
          </cell>
          <cell r="AJ164">
            <v>0</v>
          </cell>
          <cell r="AK164">
            <v>-16</v>
          </cell>
          <cell r="AL164">
            <v>-29</v>
          </cell>
          <cell r="AM164">
            <v>-248</v>
          </cell>
          <cell r="AN164">
            <v>-25</v>
          </cell>
          <cell r="AO164">
            <v>-51</v>
          </cell>
          <cell r="AP164">
            <v>0</v>
          </cell>
          <cell r="AQ164">
            <v>-324</v>
          </cell>
          <cell r="AR164">
            <v>0</v>
          </cell>
          <cell r="AS164">
            <v>0</v>
          </cell>
          <cell r="AT164">
            <v>-27</v>
          </cell>
          <cell r="AZ164">
            <v>-27</v>
          </cell>
          <cell r="BA164">
            <v>0</v>
          </cell>
          <cell r="BB164">
            <v>0</v>
          </cell>
          <cell r="BC164">
            <v>0</v>
          </cell>
          <cell r="BD164">
            <v>-39</v>
          </cell>
          <cell r="BE164">
            <v>-39</v>
          </cell>
          <cell r="BF164">
            <v>0</v>
          </cell>
          <cell r="BG164">
            <v>0</v>
          </cell>
          <cell r="BH164">
            <v>0</v>
          </cell>
          <cell r="BI164">
            <v>0</v>
          </cell>
          <cell r="BJ164">
            <v>0</v>
          </cell>
          <cell r="BK164">
            <v>0</v>
          </cell>
          <cell r="BL164">
            <v>0</v>
          </cell>
          <cell r="BM164">
            <v>0</v>
          </cell>
          <cell r="BN164">
            <v>0</v>
          </cell>
          <cell r="BO164">
            <v>0</v>
          </cell>
          <cell r="BP164">
            <v>0</v>
          </cell>
          <cell r="BQ164">
            <v>0</v>
          </cell>
          <cell r="BR164">
            <v>-28</v>
          </cell>
          <cell r="BS164">
            <v>0</v>
          </cell>
          <cell r="BT164">
            <v>-28</v>
          </cell>
          <cell r="BU164">
            <v>0</v>
          </cell>
          <cell r="BV164">
            <v>-36</v>
          </cell>
          <cell r="BW164">
            <v>0</v>
          </cell>
          <cell r="BX164">
            <v>0</v>
          </cell>
          <cell r="BY164">
            <v>-36</v>
          </cell>
          <cell r="BZ164">
            <v>0</v>
          </cell>
          <cell r="CA164">
            <v>-3</v>
          </cell>
          <cell r="CB164">
            <v>-89</v>
          </cell>
          <cell r="CC164">
            <v>0</v>
          </cell>
          <cell r="CD164">
            <v>-92</v>
          </cell>
          <cell r="CE164">
            <v>0</v>
          </cell>
          <cell r="CF164">
            <v>0</v>
          </cell>
          <cell r="CG164">
            <v>0</v>
          </cell>
          <cell r="CH164">
            <v>0</v>
          </cell>
          <cell r="CI164">
            <v>0</v>
          </cell>
          <cell r="CJ164">
            <v>0</v>
          </cell>
          <cell r="CK164">
            <v>-2</v>
          </cell>
          <cell r="CL164">
            <v>-42</v>
          </cell>
          <cell r="CM164">
            <v>-21</v>
          </cell>
          <cell r="CN164">
            <v>-65</v>
          </cell>
          <cell r="CO164">
            <v>-18</v>
          </cell>
          <cell r="CP164">
            <v>-24</v>
          </cell>
          <cell r="CQ164">
            <v>-14</v>
          </cell>
          <cell r="CR164">
            <v>-28</v>
          </cell>
          <cell r="CS164">
            <v>-84</v>
          </cell>
          <cell r="CT164">
            <v>-3</v>
          </cell>
          <cell r="CU164">
            <v>-10</v>
          </cell>
          <cell r="CV164">
            <v>-25</v>
          </cell>
          <cell r="CW164">
            <v>0</v>
          </cell>
          <cell r="CX164">
            <v>-38</v>
          </cell>
          <cell r="CY164">
            <v>-150</v>
          </cell>
          <cell r="CZ164">
            <v>0</v>
          </cell>
          <cell r="DA164">
            <v>0</v>
          </cell>
          <cell r="DB164">
            <v>0</v>
          </cell>
          <cell r="DC164">
            <v>-150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W164" t="str">
            <v>mstag:netDisposalsAcquisitions</v>
          </cell>
          <cell r="DX164">
            <v>6</v>
          </cell>
          <cell r="DY164" t="str">
            <v>ISO4217:USD</v>
          </cell>
          <cell r="DZ164" t="b">
            <v>0</v>
          </cell>
        </row>
        <row r="165">
          <cell r="B165" t="str">
            <v>Proceeds from sale of facilites &amp; assets - discontinued ops</v>
          </cell>
          <cell r="D165">
            <v>149.958</v>
          </cell>
          <cell r="E165">
            <v>4.4420000000000073</v>
          </cell>
          <cell r="F165">
            <v>4.6999999999999886</v>
          </cell>
          <cell r="G165">
            <v>12.900000000000006</v>
          </cell>
          <cell r="H165">
            <v>172</v>
          </cell>
          <cell r="I165">
            <v>231.3</v>
          </cell>
          <cell r="J165">
            <v>171.5</v>
          </cell>
          <cell r="K165">
            <v>21.199999999999989</v>
          </cell>
          <cell r="L165">
            <v>124</v>
          </cell>
          <cell r="M165">
            <v>548</v>
          </cell>
          <cell r="N165">
            <v>40.299999999999997</v>
          </cell>
          <cell r="O165">
            <v>0</v>
          </cell>
          <cell r="P165">
            <v>9.4000000000000057</v>
          </cell>
          <cell r="Q165">
            <v>0.29999999999999716</v>
          </cell>
          <cell r="R165">
            <v>50</v>
          </cell>
          <cell r="S165">
            <v>38</v>
          </cell>
          <cell r="T165">
            <v>19</v>
          </cell>
          <cell r="U165">
            <v>105</v>
          </cell>
          <cell r="V165">
            <v>8</v>
          </cell>
          <cell r="W165">
            <v>170</v>
          </cell>
          <cell r="X165">
            <v>0</v>
          </cell>
          <cell r="Y165">
            <v>4</v>
          </cell>
          <cell r="Z165">
            <v>15</v>
          </cell>
          <cell r="AA165">
            <v>53</v>
          </cell>
          <cell r="AB165">
            <v>72</v>
          </cell>
          <cell r="AC165">
            <v>34</v>
          </cell>
          <cell r="AD165">
            <v>609</v>
          </cell>
          <cell r="AE165">
            <v>11</v>
          </cell>
          <cell r="AF165">
            <v>110</v>
          </cell>
          <cell r="AG165">
            <v>764</v>
          </cell>
          <cell r="AH165">
            <v>23</v>
          </cell>
          <cell r="AI165">
            <v>6</v>
          </cell>
          <cell r="AJ165">
            <v>10</v>
          </cell>
          <cell r="AK165">
            <v>93</v>
          </cell>
          <cell r="AL165">
            <v>132</v>
          </cell>
          <cell r="AM165">
            <v>1</v>
          </cell>
          <cell r="AN165">
            <v>-1</v>
          </cell>
          <cell r="AO165">
            <v>15</v>
          </cell>
          <cell r="AP165">
            <v>13</v>
          </cell>
          <cell r="AQ165">
            <v>28</v>
          </cell>
          <cell r="AR165">
            <v>5</v>
          </cell>
          <cell r="AS165">
            <v>-5</v>
          </cell>
          <cell r="AT165">
            <v>0</v>
          </cell>
          <cell r="AZ165">
            <v>6</v>
          </cell>
          <cell r="BA165">
            <v>0</v>
          </cell>
          <cell r="BB165">
            <v>0</v>
          </cell>
          <cell r="BC165">
            <v>0</v>
          </cell>
          <cell r="BD165">
            <v>730</v>
          </cell>
          <cell r="BE165">
            <v>730</v>
          </cell>
          <cell r="BF165">
            <v>63</v>
          </cell>
          <cell r="BG165">
            <v>127</v>
          </cell>
          <cell r="BH165">
            <v>105</v>
          </cell>
          <cell r="BI165">
            <v>136</v>
          </cell>
          <cell r="BJ165">
            <v>431</v>
          </cell>
          <cell r="BK165">
            <v>71</v>
          </cell>
          <cell r="BL165">
            <v>46</v>
          </cell>
          <cell r="BM165">
            <v>36</v>
          </cell>
          <cell r="BN165">
            <v>20</v>
          </cell>
          <cell r="BO165">
            <v>173</v>
          </cell>
          <cell r="BP165">
            <v>26</v>
          </cell>
          <cell r="BQ165">
            <v>4</v>
          </cell>
          <cell r="BR165">
            <v>135</v>
          </cell>
          <cell r="BS165">
            <v>79</v>
          </cell>
          <cell r="BT165">
            <v>244</v>
          </cell>
          <cell r="BU165">
            <v>38</v>
          </cell>
          <cell r="BV165">
            <v>9</v>
          </cell>
          <cell r="BW165">
            <v>36</v>
          </cell>
          <cell r="BX165">
            <v>8</v>
          </cell>
          <cell r="BY165">
            <v>91</v>
          </cell>
          <cell r="BZ165">
            <v>23</v>
          </cell>
          <cell r="CA165">
            <v>60</v>
          </cell>
          <cell r="CB165">
            <v>77</v>
          </cell>
          <cell r="CC165">
            <v>0</v>
          </cell>
          <cell r="CD165">
            <v>160</v>
          </cell>
          <cell r="CE165">
            <v>251</v>
          </cell>
          <cell r="CF165">
            <v>-30</v>
          </cell>
          <cell r="CG165">
            <v>0</v>
          </cell>
          <cell r="CH165">
            <v>0</v>
          </cell>
          <cell r="CI165">
            <v>221</v>
          </cell>
          <cell r="CJ165">
            <v>0</v>
          </cell>
          <cell r="CK165">
            <v>18</v>
          </cell>
          <cell r="CL165">
            <v>1</v>
          </cell>
          <cell r="CM165">
            <v>0</v>
          </cell>
          <cell r="CN165">
            <v>19</v>
          </cell>
          <cell r="CO165">
            <v>0</v>
          </cell>
          <cell r="CP165">
            <v>0</v>
          </cell>
          <cell r="CQ165">
            <v>0</v>
          </cell>
          <cell r="CR165">
            <v>0</v>
          </cell>
          <cell r="CS165">
            <v>0</v>
          </cell>
          <cell r="CT165">
            <v>0</v>
          </cell>
          <cell r="CU165">
            <v>10</v>
          </cell>
          <cell r="CV165">
            <v>35</v>
          </cell>
          <cell r="CX165">
            <v>45</v>
          </cell>
          <cell r="DC165">
            <v>0</v>
          </cell>
          <cell r="DH165">
            <v>0</v>
          </cell>
          <cell r="DM165">
            <v>0</v>
          </cell>
          <cell r="DR165">
            <v>0</v>
          </cell>
          <cell r="DW165" t="str">
            <v>mstag:proceedsFromSaleOfppeAndIntangibleAssetsOnetime</v>
          </cell>
          <cell r="DX165">
            <v>6</v>
          </cell>
          <cell r="DY165" t="str">
            <v>ISO4217:USD</v>
          </cell>
          <cell r="DZ165" t="b">
            <v>0</v>
          </cell>
        </row>
        <row r="166">
          <cell r="B166" t="str">
            <v>Proceeds from sales of marketable securities</v>
          </cell>
          <cell r="D166">
            <v>7.6559999999999997</v>
          </cell>
          <cell r="E166">
            <v>1.144000000000001</v>
          </cell>
          <cell r="F166">
            <v>-0.20000000000000107</v>
          </cell>
          <cell r="G166">
            <v>-8.6</v>
          </cell>
          <cell r="H166">
            <v>0</v>
          </cell>
          <cell r="I166">
            <v>0</v>
          </cell>
          <cell r="J166">
            <v>0</v>
          </cell>
          <cell r="K166">
            <v>0</v>
          </cell>
          <cell r="L166">
            <v>0</v>
          </cell>
          <cell r="M166">
            <v>0</v>
          </cell>
          <cell r="N166">
            <v>67.099999999999994</v>
          </cell>
          <cell r="O166">
            <v>0</v>
          </cell>
          <cell r="P166">
            <v>3.1000000000000085</v>
          </cell>
          <cell r="Q166">
            <v>-70.2</v>
          </cell>
          <cell r="R166">
            <v>0</v>
          </cell>
          <cell r="S166">
            <v>13</v>
          </cell>
          <cell r="T166">
            <v>7</v>
          </cell>
          <cell r="U166">
            <v>5</v>
          </cell>
          <cell r="V166">
            <v>-25</v>
          </cell>
          <cell r="W166">
            <v>0</v>
          </cell>
          <cell r="X166">
            <v>0</v>
          </cell>
          <cell r="Y166">
            <v>0</v>
          </cell>
          <cell r="Z166">
            <v>7</v>
          </cell>
          <cell r="AA166">
            <v>-7</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-43</v>
          </cell>
          <cell r="BO166">
            <v>-43</v>
          </cell>
          <cell r="BP166">
            <v>-3</v>
          </cell>
          <cell r="BQ166">
            <v>-3</v>
          </cell>
          <cell r="BR166">
            <v>-12</v>
          </cell>
          <cell r="BS166">
            <v>-25</v>
          </cell>
          <cell r="BT166">
            <v>-43</v>
          </cell>
          <cell r="BU166">
            <v>26</v>
          </cell>
          <cell r="BV166">
            <v>-13</v>
          </cell>
          <cell r="BW166">
            <v>-5</v>
          </cell>
          <cell r="BX166">
            <v>46</v>
          </cell>
          <cell r="BY166">
            <v>54</v>
          </cell>
          <cell r="BZ166">
            <v>3</v>
          </cell>
          <cell r="CA166">
            <v>3</v>
          </cell>
          <cell r="CB166">
            <v>169</v>
          </cell>
          <cell r="CC166">
            <v>23</v>
          </cell>
          <cell r="CD166">
            <v>198</v>
          </cell>
          <cell r="CE166">
            <v>18</v>
          </cell>
          <cell r="CF166">
            <v>74</v>
          </cell>
          <cell r="CG166">
            <v>-5</v>
          </cell>
          <cell r="CH166">
            <v>12</v>
          </cell>
          <cell r="CI166">
            <v>99</v>
          </cell>
          <cell r="CJ166">
            <v>12</v>
          </cell>
          <cell r="CK166">
            <v>4</v>
          </cell>
          <cell r="CL166">
            <v>15</v>
          </cell>
          <cell r="CM166">
            <v>53</v>
          </cell>
          <cell r="CN166">
            <v>84</v>
          </cell>
          <cell r="CO166">
            <v>5</v>
          </cell>
          <cell r="CP166">
            <v>5</v>
          </cell>
          <cell r="CQ166">
            <v>21</v>
          </cell>
          <cell r="CR166">
            <v>28</v>
          </cell>
          <cell r="CS166">
            <v>59</v>
          </cell>
          <cell r="CT166">
            <v>3</v>
          </cell>
          <cell r="CU166">
            <v>2</v>
          </cell>
          <cell r="CV166">
            <v>4</v>
          </cell>
          <cell r="CW166">
            <v>0</v>
          </cell>
          <cell r="CX166">
            <v>9</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W166" t="str">
            <v>mstag:proceedsFromSaleOfFundsUsedTopurchaseSecuritiesAndOtherInvestments</v>
          </cell>
          <cell r="DX166">
            <v>6</v>
          </cell>
          <cell r="DY166" t="str">
            <v>ISO4217:USD</v>
          </cell>
          <cell r="DZ166" t="b">
            <v>0</v>
          </cell>
        </row>
        <row r="167">
          <cell r="B167" t="str">
            <v>Purchases of marketable securities</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Z167">
            <v>0</v>
          </cell>
          <cell r="BA167">
            <v>-105</v>
          </cell>
          <cell r="BB167">
            <v>0</v>
          </cell>
          <cell r="BC167">
            <v>-2</v>
          </cell>
          <cell r="BD167">
            <v>0</v>
          </cell>
          <cell r="BE167">
            <v>-107</v>
          </cell>
          <cell r="BF167">
            <v>-2</v>
          </cell>
          <cell r="BG167">
            <v>0</v>
          </cell>
          <cell r="BH167">
            <v>-1</v>
          </cell>
          <cell r="BI167">
            <v>0</v>
          </cell>
          <cell r="BJ167">
            <v>-3</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W167" t="str">
            <v>mstag:proceedsFromSaleOfFundsUsedTopurchaseSecuritiesAndOtherInvestments</v>
          </cell>
          <cell r="DX167">
            <v>6</v>
          </cell>
          <cell r="DY167" t="str">
            <v>ISO4217:USD</v>
          </cell>
          <cell r="DZ167" t="b">
            <v>0</v>
          </cell>
        </row>
        <row r="168">
          <cell r="B168" t="str">
            <v>Other items, net</v>
          </cell>
          <cell r="D168">
            <v>-11.606999999999999</v>
          </cell>
          <cell r="E168">
            <v>-5.2930000000000028</v>
          </cell>
          <cell r="F168">
            <v>-31.8</v>
          </cell>
          <cell r="G168">
            <v>56.7</v>
          </cell>
          <cell r="H168">
            <v>8</v>
          </cell>
          <cell r="I168">
            <v>-8.4</v>
          </cell>
          <cell r="J168">
            <v>-1.5</v>
          </cell>
          <cell r="K168">
            <v>17.7</v>
          </cell>
          <cell r="L168">
            <v>-43.8</v>
          </cell>
          <cell r="M168">
            <v>-36</v>
          </cell>
          <cell r="N168">
            <v>-0.5</v>
          </cell>
          <cell r="O168">
            <v>-0.30000000000000004</v>
          </cell>
          <cell r="P168">
            <v>-14.299999999999999</v>
          </cell>
          <cell r="Q168">
            <v>33.1</v>
          </cell>
          <cell r="R168">
            <v>18</v>
          </cell>
          <cell r="S168">
            <v>-37</v>
          </cell>
          <cell r="T168">
            <v>-6</v>
          </cell>
          <cell r="U168">
            <v>-34</v>
          </cell>
          <cell r="V168">
            <v>37</v>
          </cell>
          <cell r="W168">
            <v>-40</v>
          </cell>
          <cell r="X168">
            <v>-27</v>
          </cell>
          <cell r="Y168">
            <v>-37</v>
          </cell>
          <cell r="Z168">
            <v>-44</v>
          </cell>
          <cell r="AA168">
            <v>127</v>
          </cell>
          <cell r="AB168">
            <v>19</v>
          </cell>
          <cell r="AC168">
            <v>-20</v>
          </cell>
          <cell r="AD168">
            <v>-14</v>
          </cell>
          <cell r="AE168">
            <v>-60</v>
          </cell>
          <cell r="AF168">
            <v>-49</v>
          </cell>
          <cell r="AG168">
            <v>-143</v>
          </cell>
          <cell r="AH168">
            <v>-5</v>
          </cell>
          <cell r="AI168">
            <v>-42</v>
          </cell>
          <cell r="AJ168">
            <v>10</v>
          </cell>
          <cell r="AK168">
            <v>-39</v>
          </cell>
          <cell r="AL168">
            <v>-76</v>
          </cell>
          <cell r="AM168">
            <v>-52</v>
          </cell>
          <cell r="AN168">
            <v>25</v>
          </cell>
          <cell r="AO168">
            <v>-15</v>
          </cell>
          <cell r="AP168">
            <v>0</v>
          </cell>
          <cell r="AQ168">
            <v>-42</v>
          </cell>
          <cell r="AR168">
            <v>21</v>
          </cell>
          <cell r="AS168">
            <v>14</v>
          </cell>
          <cell r="AT168">
            <v>-24</v>
          </cell>
          <cell r="AZ168">
            <v>122</v>
          </cell>
          <cell r="BA168">
            <v>-8</v>
          </cell>
          <cell r="BB168">
            <v>36</v>
          </cell>
          <cell r="BC168">
            <v>10</v>
          </cell>
          <cell r="BD168">
            <v>-122</v>
          </cell>
          <cell r="BE168">
            <v>-84</v>
          </cell>
          <cell r="BF168">
            <v>-3</v>
          </cell>
          <cell r="BG168">
            <v>58</v>
          </cell>
          <cell r="BH168">
            <v>18</v>
          </cell>
          <cell r="BI168">
            <v>45</v>
          </cell>
          <cell r="BJ168">
            <v>118</v>
          </cell>
          <cell r="BK168">
            <v>3</v>
          </cell>
          <cell r="BL168">
            <v>-6</v>
          </cell>
          <cell r="BM168">
            <v>3</v>
          </cell>
          <cell r="BN168">
            <v>56</v>
          </cell>
          <cell r="BO168">
            <v>56</v>
          </cell>
          <cell r="BP168">
            <v>16</v>
          </cell>
          <cell r="BQ168">
            <v>37</v>
          </cell>
          <cell r="BR168">
            <v>97</v>
          </cell>
          <cell r="BS168">
            <v>-9</v>
          </cell>
          <cell r="BT168">
            <v>141</v>
          </cell>
          <cell r="BU168">
            <v>0</v>
          </cell>
          <cell r="BV168">
            <v>-4</v>
          </cell>
          <cell r="BW168">
            <v>66</v>
          </cell>
          <cell r="BX168">
            <v>52</v>
          </cell>
          <cell r="BY168">
            <v>114</v>
          </cell>
          <cell r="BZ168">
            <v>2</v>
          </cell>
          <cell r="CA168">
            <v>0</v>
          </cell>
          <cell r="CB168">
            <v>-35</v>
          </cell>
          <cell r="CC168">
            <v>40</v>
          </cell>
          <cell r="CD168">
            <v>7</v>
          </cell>
          <cell r="CE168">
            <v>7</v>
          </cell>
          <cell r="CF168">
            <v>3</v>
          </cell>
          <cell r="CG168">
            <v>1</v>
          </cell>
          <cell r="CH168">
            <v>0</v>
          </cell>
          <cell r="CI168">
            <v>11</v>
          </cell>
          <cell r="CJ168">
            <v>3</v>
          </cell>
          <cell r="CK168">
            <v>-1</v>
          </cell>
          <cell r="CL168">
            <v>1</v>
          </cell>
          <cell r="CM168">
            <v>15</v>
          </cell>
          <cell r="CN168">
            <v>18</v>
          </cell>
          <cell r="CO168">
            <v>0</v>
          </cell>
          <cell r="CP168">
            <v>-1</v>
          </cell>
          <cell r="CQ168">
            <v>0</v>
          </cell>
          <cell r="CR168">
            <v>-2</v>
          </cell>
          <cell r="CS168">
            <v>-3</v>
          </cell>
          <cell r="CT168">
            <v>0</v>
          </cell>
          <cell r="CU168">
            <v>2</v>
          </cell>
          <cell r="CV168">
            <v>-4</v>
          </cell>
          <cell r="CW168">
            <v>0</v>
          </cell>
          <cell r="CX168">
            <v>-2</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W168" t="str">
            <v>mstag:netDecreaseInInvestmentsNonOperating</v>
          </cell>
          <cell r="DX168">
            <v>6</v>
          </cell>
          <cell r="DY168" t="str">
            <v>ISO4217:USD</v>
          </cell>
          <cell r="DZ168" t="b">
            <v>0</v>
          </cell>
        </row>
        <row r="169">
          <cell r="B169" t="str">
            <v>Cash Flow from Investing</v>
          </cell>
          <cell r="D169">
            <v>108.81100000000001</v>
          </cell>
          <cell r="E169">
            <v>-31.110999999999997</v>
          </cell>
          <cell r="F169">
            <v>-75.300000000000011</v>
          </cell>
          <cell r="G169">
            <v>-1515.3999999999999</v>
          </cell>
          <cell r="H169">
            <v>-1513</v>
          </cell>
          <cell r="I169">
            <v>-96.499999999999972</v>
          </cell>
          <cell r="J169">
            <v>-38.400000000000006</v>
          </cell>
          <cell r="K169">
            <v>-38.499999999999986</v>
          </cell>
          <cell r="L169">
            <v>-94.600000000000009</v>
          </cell>
          <cell r="M169">
            <v>-268</v>
          </cell>
          <cell r="N169">
            <v>-15.700000000000003</v>
          </cell>
          <cell r="O169">
            <v>-132.80000000000001</v>
          </cell>
          <cell r="P169">
            <v>-684.59999999999991</v>
          </cell>
          <cell r="Q169">
            <v>-291.89999999999998</v>
          </cell>
          <cell r="R169">
            <v>-1125</v>
          </cell>
          <cell r="S169">
            <v>-215</v>
          </cell>
          <cell r="T169">
            <v>-347</v>
          </cell>
          <cell r="U169">
            <v>-378</v>
          </cell>
          <cell r="V169">
            <v>-143</v>
          </cell>
          <cell r="W169">
            <v>-1083</v>
          </cell>
          <cell r="X169">
            <v>-218</v>
          </cell>
          <cell r="Y169">
            <v>-529</v>
          </cell>
          <cell r="Z169">
            <v>-206</v>
          </cell>
          <cell r="AA169">
            <v>-194</v>
          </cell>
          <cell r="AB169">
            <v>-1147</v>
          </cell>
          <cell r="AC169">
            <v>-148</v>
          </cell>
          <cell r="AD169">
            <v>455</v>
          </cell>
          <cell r="AE169">
            <v>-179</v>
          </cell>
          <cell r="AF169">
            <v>-164</v>
          </cell>
          <cell r="AG169">
            <v>-36</v>
          </cell>
          <cell r="AH169">
            <v>-111</v>
          </cell>
          <cell r="AI169">
            <v>-159</v>
          </cell>
          <cell r="AJ169">
            <v>-137</v>
          </cell>
          <cell r="AK169">
            <v>-167</v>
          </cell>
          <cell r="AL169">
            <v>-574</v>
          </cell>
          <cell r="AM169">
            <v>-508</v>
          </cell>
          <cell r="AN169">
            <v>-207</v>
          </cell>
          <cell r="AO169">
            <v>-219</v>
          </cell>
          <cell r="AP169">
            <v>-293</v>
          </cell>
          <cell r="AQ169">
            <v>-1227</v>
          </cell>
          <cell r="AR169">
            <v>-169</v>
          </cell>
          <cell r="AS169">
            <v>-209</v>
          </cell>
          <cell r="AT169">
            <v>-280</v>
          </cell>
          <cell r="AZ169">
            <v>-389</v>
          </cell>
          <cell r="BA169">
            <v>-333</v>
          </cell>
          <cell r="BB169">
            <v>-162</v>
          </cell>
          <cell r="BC169">
            <v>-137</v>
          </cell>
          <cell r="BD169">
            <v>299</v>
          </cell>
          <cell r="BE169">
            <v>-333</v>
          </cell>
          <cell r="BF169">
            <v>-56</v>
          </cell>
          <cell r="BG169">
            <v>49</v>
          </cell>
          <cell r="BH169">
            <v>6</v>
          </cell>
          <cell r="BI169">
            <v>-11</v>
          </cell>
          <cell r="BJ169">
            <v>-12</v>
          </cell>
          <cell r="BK169">
            <v>-22</v>
          </cell>
          <cell r="BL169">
            <v>-88</v>
          </cell>
          <cell r="BM169">
            <v>-97</v>
          </cell>
          <cell r="BN169">
            <v>-185</v>
          </cell>
          <cell r="BO169">
            <v>-392</v>
          </cell>
          <cell r="BP169">
            <v>-78</v>
          </cell>
          <cell r="BQ169">
            <v>-88</v>
          </cell>
          <cell r="BR169">
            <v>44</v>
          </cell>
          <cell r="BS169">
            <v>-257</v>
          </cell>
          <cell r="BT169">
            <v>-379</v>
          </cell>
          <cell r="BU169">
            <v>-47</v>
          </cell>
          <cell r="BV169">
            <v>-194</v>
          </cell>
          <cell r="BW169">
            <v>-82</v>
          </cell>
          <cell r="BX169">
            <v>-197</v>
          </cell>
          <cell r="BY169">
            <v>-520</v>
          </cell>
          <cell r="BZ169">
            <v>-161</v>
          </cell>
          <cell r="CA169">
            <v>-50</v>
          </cell>
          <cell r="CB169">
            <v>8</v>
          </cell>
          <cell r="CC169">
            <v>-71</v>
          </cell>
          <cell r="CD169">
            <v>-274</v>
          </cell>
          <cell r="CE169">
            <v>174</v>
          </cell>
          <cell r="CF169">
            <v>-24</v>
          </cell>
          <cell r="CG169">
            <v>-95</v>
          </cell>
          <cell r="CH169">
            <v>-180</v>
          </cell>
          <cell r="CI169">
            <v>-125</v>
          </cell>
          <cell r="CJ169">
            <v>-68</v>
          </cell>
          <cell r="CK169">
            <v>-58</v>
          </cell>
          <cell r="CL169">
            <v>-145</v>
          </cell>
          <cell r="CM169">
            <v>-149</v>
          </cell>
          <cell r="CN169">
            <v>-420</v>
          </cell>
          <cell r="CO169">
            <v>-129</v>
          </cell>
          <cell r="CP169">
            <v>-102</v>
          </cell>
          <cell r="CQ169">
            <v>-93</v>
          </cell>
          <cell r="CR169">
            <v>-179</v>
          </cell>
          <cell r="CS169">
            <v>-503</v>
          </cell>
          <cell r="CT169">
            <v>-136</v>
          </cell>
          <cell r="CU169">
            <v>-112</v>
          </cell>
          <cell r="CV169">
            <v>-98</v>
          </cell>
          <cell r="CW169">
            <v>-145</v>
          </cell>
          <cell r="CX169">
            <v>-491</v>
          </cell>
          <cell r="CY169">
            <v>-280</v>
          </cell>
          <cell r="CZ169">
            <v>-130</v>
          </cell>
          <cell r="DA169">
            <v>-130</v>
          </cell>
          <cell r="DB169">
            <v>-135</v>
          </cell>
          <cell r="DC169">
            <v>-675</v>
          </cell>
          <cell r="DD169">
            <v>-130</v>
          </cell>
          <cell r="DE169">
            <v>-130</v>
          </cell>
          <cell r="DF169">
            <v>-130</v>
          </cell>
          <cell r="DG169">
            <v>-130</v>
          </cell>
          <cell r="DH169">
            <v>-520</v>
          </cell>
          <cell r="DI169">
            <v>-130</v>
          </cell>
          <cell r="DJ169">
            <v>-130</v>
          </cell>
          <cell r="DK169">
            <v>-130</v>
          </cell>
          <cell r="DL169">
            <v>-130</v>
          </cell>
          <cell r="DM169">
            <v>-520</v>
          </cell>
          <cell r="DN169">
            <v>-130</v>
          </cell>
          <cell r="DO169">
            <v>-130</v>
          </cell>
          <cell r="DP169">
            <v>-130</v>
          </cell>
          <cell r="DQ169">
            <v>-130</v>
          </cell>
          <cell r="DR169">
            <v>-520</v>
          </cell>
        </row>
        <row r="171">
          <cell r="B171" t="str">
            <v>Repayments of borrowings under credit facility</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-365</v>
          </cell>
          <cell r="CS171">
            <v>-365</v>
          </cell>
          <cell r="CT171">
            <v>-455</v>
          </cell>
          <cell r="CU171">
            <v>-518</v>
          </cell>
          <cell r="CV171">
            <v>-485</v>
          </cell>
          <cell r="CW171">
            <v>0</v>
          </cell>
          <cell r="CX171">
            <v>-1458</v>
          </cell>
          <cell r="CY171">
            <v>0</v>
          </cell>
          <cell r="CZ171">
            <v>-51.709000000000003</v>
          </cell>
          <cell r="DA171">
            <v>0</v>
          </cell>
          <cell r="DB171">
            <v>0</v>
          </cell>
          <cell r="DC171">
            <v>-51.709000000000003</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W171" t="str">
            <v>mstag:proceedsFromIssuanceAndCashUsedToRepayLongTermDebt</v>
          </cell>
          <cell r="DX171">
            <v>6</v>
          </cell>
          <cell r="DY171" t="str">
            <v>ISO4217:USD</v>
          </cell>
          <cell r="DZ171" t="b">
            <v>0</v>
          </cell>
        </row>
        <row r="172">
          <cell r="B172" t="str">
            <v>Proceeds from borrowings under credit facility</v>
          </cell>
          <cell r="D172">
            <v>43.332999999999998</v>
          </cell>
          <cell r="E172">
            <v>-3.3000000000001251E-2</v>
          </cell>
          <cell r="F172">
            <v>0</v>
          </cell>
          <cell r="G172">
            <v>-43.3</v>
          </cell>
          <cell r="H172">
            <v>0</v>
          </cell>
          <cell r="I172">
            <v>166</v>
          </cell>
          <cell r="J172">
            <v>-166</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-21</v>
          </cell>
          <cell r="BX172">
            <v>-1</v>
          </cell>
          <cell r="BY172">
            <v>-22</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445</v>
          </cell>
          <cell r="CS172">
            <v>445</v>
          </cell>
          <cell r="CT172">
            <v>658</v>
          </cell>
          <cell r="CU172">
            <v>435</v>
          </cell>
          <cell r="CV172">
            <v>460</v>
          </cell>
          <cell r="CW172">
            <v>642.70900000000006</v>
          </cell>
          <cell r="CX172">
            <v>2195.7089999999998</v>
          </cell>
          <cell r="CY172">
            <v>3.5</v>
          </cell>
          <cell r="CZ172">
            <v>0</v>
          </cell>
          <cell r="DA172">
            <v>3.5</v>
          </cell>
          <cell r="DB172">
            <v>3.5</v>
          </cell>
          <cell r="DC172">
            <v>10.5</v>
          </cell>
          <cell r="DD172">
            <v>3.5</v>
          </cell>
          <cell r="DE172">
            <v>3.5</v>
          </cell>
          <cell r="DF172">
            <v>3.5</v>
          </cell>
          <cell r="DG172">
            <v>3.5</v>
          </cell>
          <cell r="DH172">
            <v>14</v>
          </cell>
          <cell r="DI172">
            <v>3.5</v>
          </cell>
          <cell r="DJ172">
            <v>3.5</v>
          </cell>
          <cell r="DK172">
            <v>3.5</v>
          </cell>
          <cell r="DL172">
            <v>3.5</v>
          </cell>
          <cell r="DM172">
            <v>14</v>
          </cell>
          <cell r="DN172">
            <v>3.5</v>
          </cell>
          <cell r="DO172">
            <v>3.5</v>
          </cell>
          <cell r="DP172">
            <v>3.5</v>
          </cell>
          <cell r="DQ172">
            <v>3.5</v>
          </cell>
          <cell r="DR172">
            <v>14</v>
          </cell>
          <cell r="DW172" t="str">
            <v>mstag:proceedsFromIssuanceAndCashUsedToRepayLongTermDebt</v>
          </cell>
          <cell r="DX172">
            <v>6</v>
          </cell>
          <cell r="DY172" t="str">
            <v>ISO4217:USD</v>
          </cell>
          <cell r="DZ172" t="b">
            <v>0</v>
          </cell>
        </row>
        <row r="173">
          <cell r="B173" t="str">
            <v>Repayments of other borrowings</v>
          </cell>
          <cell r="D173">
            <v>-57.094999999999999</v>
          </cell>
          <cell r="E173">
            <v>-15.305000000000007</v>
          </cell>
          <cell r="F173">
            <v>-1.5</v>
          </cell>
          <cell r="G173">
            <v>-2017.1</v>
          </cell>
          <cell r="H173">
            <v>-2091</v>
          </cell>
          <cell r="I173">
            <v>-197.5</v>
          </cell>
          <cell r="J173">
            <v>-868.40000000000009</v>
          </cell>
          <cell r="K173">
            <v>-678.3</v>
          </cell>
          <cell r="L173">
            <v>-1442.8</v>
          </cell>
          <cell r="M173">
            <v>-3187</v>
          </cell>
          <cell r="N173">
            <v>-222.6</v>
          </cell>
          <cell r="O173">
            <v>-413.6</v>
          </cell>
          <cell r="P173">
            <v>-3299.7</v>
          </cell>
          <cell r="Q173">
            <v>-576.10000000000036</v>
          </cell>
          <cell r="R173">
            <v>-4512</v>
          </cell>
          <cell r="S173">
            <v>-452</v>
          </cell>
          <cell r="T173">
            <v>-437</v>
          </cell>
          <cell r="U173">
            <v>-300</v>
          </cell>
          <cell r="V173">
            <v>-1573</v>
          </cell>
          <cell r="W173">
            <v>-2762</v>
          </cell>
          <cell r="X173">
            <v>-416</v>
          </cell>
          <cell r="Y173">
            <v>-1251</v>
          </cell>
          <cell r="Z173">
            <v>-2331</v>
          </cell>
          <cell r="AA173">
            <v>-1087</v>
          </cell>
          <cell r="AB173">
            <v>-5085</v>
          </cell>
          <cell r="AC173">
            <v>-346</v>
          </cell>
          <cell r="AD173">
            <v>-1084</v>
          </cell>
          <cell r="AE173">
            <v>-282</v>
          </cell>
          <cell r="AF173">
            <v>-373</v>
          </cell>
          <cell r="AG173">
            <v>-2085</v>
          </cell>
          <cell r="AH173">
            <v>-758</v>
          </cell>
          <cell r="AI173">
            <v>-476</v>
          </cell>
          <cell r="AJ173">
            <v>-510</v>
          </cell>
          <cell r="AK173">
            <v>-1201</v>
          </cell>
          <cell r="AL173">
            <v>-2945</v>
          </cell>
          <cell r="AM173">
            <v>-1400</v>
          </cell>
          <cell r="AN173">
            <v>-3340</v>
          </cell>
          <cell r="AO173">
            <v>-677</v>
          </cell>
          <cell r="AP173">
            <v>-2159</v>
          </cell>
          <cell r="AQ173">
            <v>-7576</v>
          </cell>
          <cell r="AR173">
            <v>-1336</v>
          </cell>
          <cell r="AS173">
            <v>-474</v>
          </cell>
          <cell r="AT173">
            <v>-860</v>
          </cell>
          <cell r="AZ173">
            <v>-1833</v>
          </cell>
          <cell r="BA173">
            <v>-846</v>
          </cell>
          <cell r="BB173">
            <v>-60</v>
          </cell>
          <cell r="BC173">
            <v>-3</v>
          </cell>
          <cell r="BD173">
            <v>-17</v>
          </cell>
          <cell r="BE173">
            <v>-926</v>
          </cell>
          <cell r="BF173">
            <v>-1</v>
          </cell>
          <cell r="BG173">
            <v>-462</v>
          </cell>
          <cell r="BH173">
            <v>-3</v>
          </cell>
          <cell r="BI173">
            <v>-106</v>
          </cell>
          <cell r="BJ173">
            <v>-572</v>
          </cell>
          <cell r="BK173">
            <v>-435</v>
          </cell>
          <cell r="BL173">
            <v>0</v>
          </cell>
          <cell r="BM173">
            <v>-3</v>
          </cell>
          <cell r="BN173">
            <v>0</v>
          </cell>
          <cell r="BO173">
            <v>-438</v>
          </cell>
          <cell r="BP173">
            <v>0</v>
          </cell>
          <cell r="BQ173">
            <v>-1</v>
          </cell>
          <cell r="BR173">
            <v>-2</v>
          </cell>
          <cell r="BS173">
            <v>-17</v>
          </cell>
          <cell r="BT173">
            <v>-20</v>
          </cell>
          <cell r="BU173">
            <v>0</v>
          </cell>
          <cell r="BV173">
            <v>0</v>
          </cell>
          <cell r="BW173">
            <v>0</v>
          </cell>
          <cell r="BX173">
            <v>0</v>
          </cell>
          <cell r="BY173">
            <v>0</v>
          </cell>
          <cell r="BZ173">
            <v>-1</v>
          </cell>
          <cell r="CA173">
            <v>0</v>
          </cell>
          <cell r="CB173">
            <v>0</v>
          </cell>
          <cell r="CC173">
            <v>0</v>
          </cell>
          <cell r="CD173">
            <v>-1</v>
          </cell>
          <cell r="CE173">
            <v>-1</v>
          </cell>
          <cell r="CF173">
            <v>-900</v>
          </cell>
          <cell r="CG173">
            <v>-384</v>
          </cell>
          <cell r="CH173">
            <v>-6</v>
          </cell>
          <cell r="CI173">
            <v>-1291</v>
          </cell>
          <cell r="CJ173">
            <v>-7</v>
          </cell>
          <cell r="CK173">
            <v>-5</v>
          </cell>
          <cell r="CL173">
            <v>-874</v>
          </cell>
          <cell r="CM173">
            <v>0</v>
          </cell>
          <cell r="CN173">
            <v>-886</v>
          </cell>
          <cell r="CO173">
            <v>-1</v>
          </cell>
          <cell r="CP173">
            <v>-1</v>
          </cell>
          <cell r="CQ173">
            <v>-2</v>
          </cell>
          <cell r="CR173">
            <v>-839</v>
          </cell>
          <cell r="CS173">
            <v>-843</v>
          </cell>
          <cell r="CT173">
            <v>-4</v>
          </cell>
          <cell r="CU173">
            <v>-63</v>
          </cell>
          <cell r="CV173">
            <v>-9</v>
          </cell>
          <cell r="CX173">
            <v>-76</v>
          </cell>
          <cell r="DC173">
            <v>0</v>
          </cell>
          <cell r="DH173">
            <v>0</v>
          </cell>
          <cell r="DM173">
            <v>0</v>
          </cell>
          <cell r="DR173">
            <v>0</v>
          </cell>
          <cell r="DW173" t="str">
            <v>mstag:proceedsFromIssuanceAndCashUsedToRepayLongTermDebt</v>
          </cell>
          <cell r="DX173">
            <v>6</v>
          </cell>
          <cell r="DY173" t="str">
            <v>ISO4217:USD</v>
          </cell>
          <cell r="DZ173" t="b">
            <v>0</v>
          </cell>
        </row>
        <row r="174">
          <cell r="B174" t="str">
            <v>Proceeds from other borrowings</v>
          </cell>
          <cell r="D174">
            <v>77.850999999999999</v>
          </cell>
          <cell r="E174">
            <v>8.1490000000000009</v>
          </cell>
          <cell r="F174">
            <v>8</v>
          </cell>
          <cell r="G174">
            <v>3351</v>
          </cell>
          <cell r="H174">
            <v>3445</v>
          </cell>
          <cell r="I174">
            <v>17.399999999999999</v>
          </cell>
          <cell r="J174">
            <v>1061.7999999999997</v>
          </cell>
          <cell r="K174">
            <v>509.20000000000005</v>
          </cell>
          <cell r="L174">
            <v>1372.6000000000001</v>
          </cell>
          <cell r="M174">
            <v>2961</v>
          </cell>
          <cell r="N174">
            <v>207</v>
          </cell>
          <cell r="O174">
            <v>544.4</v>
          </cell>
          <cell r="P174">
            <v>3684.2000000000003</v>
          </cell>
          <cell r="Q174">
            <v>681.39999999999964</v>
          </cell>
          <cell r="R174">
            <v>5117</v>
          </cell>
          <cell r="S174">
            <v>712</v>
          </cell>
          <cell r="T174">
            <v>674</v>
          </cell>
          <cell r="U174">
            <v>530</v>
          </cell>
          <cell r="V174">
            <v>1433</v>
          </cell>
          <cell r="W174">
            <v>3349</v>
          </cell>
          <cell r="X174">
            <v>589</v>
          </cell>
          <cell r="Y174">
            <v>1529</v>
          </cell>
          <cell r="Z174">
            <v>2542</v>
          </cell>
          <cell r="AA174">
            <v>974</v>
          </cell>
          <cell r="AB174">
            <v>5634</v>
          </cell>
          <cell r="AC174">
            <v>476</v>
          </cell>
          <cell r="AD174">
            <v>326</v>
          </cell>
          <cell r="AE174">
            <v>456</v>
          </cell>
          <cell r="AF174">
            <v>40</v>
          </cell>
          <cell r="AG174">
            <v>1298</v>
          </cell>
          <cell r="AH174">
            <v>511</v>
          </cell>
          <cell r="AI174">
            <v>94</v>
          </cell>
          <cell r="AJ174">
            <v>319</v>
          </cell>
          <cell r="AK174">
            <v>463</v>
          </cell>
          <cell r="AL174">
            <v>1387</v>
          </cell>
          <cell r="AM174">
            <v>1437</v>
          </cell>
          <cell r="AN174">
            <v>3115</v>
          </cell>
          <cell r="AO174">
            <v>603</v>
          </cell>
          <cell r="AP174">
            <v>1780</v>
          </cell>
          <cell r="AQ174">
            <v>6935</v>
          </cell>
          <cell r="AR174">
            <v>908</v>
          </cell>
          <cell r="AS174">
            <v>796</v>
          </cell>
          <cell r="AT174">
            <v>1002</v>
          </cell>
          <cell r="AZ174">
            <v>1727</v>
          </cell>
          <cell r="BA174">
            <v>987</v>
          </cell>
          <cell r="BB174">
            <v>41</v>
          </cell>
          <cell r="BC174">
            <v>7</v>
          </cell>
          <cell r="BD174">
            <v>-7</v>
          </cell>
          <cell r="BE174">
            <v>1028</v>
          </cell>
          <cell r="BF174">
            <v>0</v>
          </cell>
          <cell r="BG174">
            <v>954</v>
          </cell>
          <cell r="BH174">
            <v>0</v>
          </cell>
          <cell r="BI174">
            <v>0</v>
          </cell>
          <cell r="BJ174">
            <v>954</v>
          </cell>
          <cell r="BK174">
            <v>773</v>
          </cell>
          <cell r="BL174">
            <v>0</v>
          </cell>
          <cell r="BM174">
            <v>0</v>
          </cell>
          <cell r="BN174">
            <v>0</v>
          </cell>
          <cell r="BO174">
            <v>773</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885</v>
          </cell>
          <cell r="CG174">
            <v>0</v>
          </cell>
          <cell r="CH174">
            <v>0</v>
          </cell>
          <cell r="CI174">
            <v>885</v>
          </cell>
          <cell r="CJ174">
            <v>1</v>
          </cell>
          <cell r="CK174">
            <v>0</v>
          </cell>
          <cell r="CL174">
            <v>600</v>
          </cell>
          <cell r="CM174">
            <v>0</v>
          </cell>
          <cell r="CN174">
            <v>601</v>
          </cell>
          <cell r="CO174">
            <v>0</v>
          </cell>
          <cell r="CP174">
            <v>0</v>
          </cell>
          <cell r="CQ174">
            <v>0</v>
          </cell>
          <cell r="CR174">
            <v>900</v>
          </cell>
          <cell r="CS174">
            <v>900</v>
          </cell>
          <cell r="CT174">
            <v>0</v>
          </cell>
          <cell r="CU174">
            <v>292</v>
          </cell>
          <cell r="CV174">
            <v>0</v>
          </cell>
          <cell r="CX174">
            <v>292</v>
          </cell>
          <cell r="DC174">
            <v>0</v>
          </cell>
          <cell r="DH174">
            <v>0</v>
          </cell>
          <cell r="DM174">
            <v>0</v>
          </cell>
          <cell r="DR174">
            <v>0</v>
          </cell>
          <cell r="DW174" t="str">
            <v>mstag:proceedsFromIssuanceAndCashUsedToRepayLongTermDebt</v>
          </cell>
          <cell r="DX174">
            <v>6</v>
          </cell>
          <cell r="DY174" t="str">
            <v>ISO4217:USD</v>
          </cell>
          <cell r="DZ174" t="b">
            <v>0</v>
          </cell>
        </row>
        <row r="175">
          <cell r="B175" t="str">
            <v>Repurchases of preferred stock</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-292</v>
          </cell>
          <cell r="CV175">
            <v>0</v>
          </cell>
          <cell r="CX175">
            <v>-292</v>
          </cell>
          <cell r="DC175">
            <v>0</v>
          </cell>
          <cell r="DH175">
            <v>0</v>
          </cell>
          <cell r="DM175">
            <v>0</v>
          </cell>
          <cell r="DR175">
            <v>0</v>
          </cell>
          <cell r="DW175" t="str">
            <v>mstag:redemptionsRetirementsAndRepurchasesOfPreferredStock</v>
          </cell>
          <cell r="DX175">
            <v>6</v>
          </cell>
          <cell r="DY175" t="str">
            <v>ISO4217:USD</v>
          </cell>
          <cell r="DZ175" t="b">
            <v>1</v>
          </cell>
        </row>
        <row r="176">
          <cell r="B176" t="str">
            <v>Deferred debt issuance costs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-22</v>
          </cell>
          <cell r="CF176">
            <v>-24</v>
          </cell>
          <cell r="CG176">
            <v>-1</v>
          </cell>
          <cell r="CH176">
            <v>1</v>
          </cell>
          <cell r="CI176">
            <v>-46</v>
          </cell>
          <cell r="CJ176">
            <v>0</v>
          </cell>
          <cell r="CK176">
            <v>0</v>
          </cell>
          <cell r="CL176">
            <v>-15</v>
          </cell>
          <cell r="CM176">
            <v>15</v>
          </cell>
          <cell r="CN176">
            <v>0</v>
          </cell>
          <cell r="CO176">
            <v>0</v>
          </cell>
          <cell r="CP176">
            <v>0</v>
          </cell>
          <cell r="CQ176">
            <v>0</v>
          </cell>
          <cell r="CR176">
            <v>-21</v>
          </cell>
          <cell r="CS176">
            <v>-21</v>
          </cell>
          <cell r="CT176">
            <v>0</v>
          </cell>
          <cell r="CU176">
            <v>-2</v>
          </cell>
          <cell r="CV176">
            <v>-1</v>
          </cell>
          <cell r="CX176">
            <v>-3</v>
          </cell>
          <cell r="DC176">
            <v>0</v>
          </cell>
          <cell r="DH176">
            <v>0</v>
          </cell>
          <cell r="DM176">
            <v>0</v>
          </cell>
          <cell r="DR176">
            <v>0</v>
          </cell>
          <cell r="DW176" t="str">
            <v>mstag:otherCashFlowsFromUsedInFinancingActivities</v>
          </cell>
          <cell r="DX176">
            <v>6</v>
          </cell>
          <cell r="DY176" t="str">
            <v>ISO4217:USD</v>
          </cell>
          <cell r="DZ176" t="b">
            <v>0</v>
          </cell>
        </row>
        <row r="177">
          <cell r="B177" t="str">
            <v>Repurchases of common stock</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-94</v>
          </cell>
          <cell r="AN177">
            <v>-93</v>
          </cell>
          <cell r="AO177">
            <v>-293</v>
          </cell>
          <cell r="AP177">
            <v>-235</v>
          </cell>
          <cell r="AQ177">
            <v>-715</v>
          </cell>
          <cell r="AR177">
            <v>-119</v>
          </cell>
          <cell r="AS177">
            <v>-381</v>
          </cell>
          <cell r="AT177">
            <v>-110</v>
          </cell>
          <cell r="AZ177">
            <v>-500</v>
          </cell>
          <cell r="BA177">
            <v>-110</v>
          </cell>
          <cell r="BB177">
            <v>-98</v>
          </cell>
          <cell r="BC177">
            <v>0</v>
          </cell>
          <cell r="BD177">
            <v>0</v>
          </cell>
          <cell r="BE177">
            <v>-208</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-27</v>
          </cell>
          <cell r="CN177">
            <v>-27</v>
          </cell>
          <cell r="CO177">
            <v>0</v>
          </cell>
          <cell r="CP177">
            <v>-72</v>
          </cell>
          <cell r="CQ177">
            <v>-124</v>
          </cell>
          <cell r="CR177">
            <v>-178</v>
          </cell>
          <cell r="CS177">
            <v>-374</v>
          </cell>
          <cell r="CT177">
            <v>-26</v>
          </cell>
          <cell r="CU177">
            <v>0</v>
          </cell>
          <cell r="CV177">
            <v>0</v>
          </cell>
          <cell r="CW177">
            <v>0</v>
          </cell>
          <cell r="CX177">
            <v>-26</v>
          </cell>
          <cell r="DC177">
            <v>0</v>
          </cell>
          <cell r="DH177">
            <v>0</v>
          </cell>
          <cell r="DM177">
            <v>0</v>
          </cell>
          <cell r="DR177">
            <v>0</v>
          </cell>
          <cell r="DW177" t="str">
            <v>mstag:fundsUsedToRepurchaseCommonStock</v>
          </cell>
          <cell r="DX177">
            <v>6</v>
          </cell>
          <cell r="DY177" t="str">
            <v>ISO4217:USD</v>
          </cell>
          <cell r="DZ177" t="b">
            <v>1</v>
          </cell>
        </row>
        <row r="178">
          <cell r="B178" t="str">
            <v>Cash dividends on preferred stock</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cell r="CH178">
            <v>0</v>
          </cell>
          <cell r="CI178">
            <v>0</v>
          </cell>
          <cell r="CJ178">
            <v>-6</v>
          </cell>
          <cell r="CK178">
            <v>-6</v>
          </cell>
          <cell r="CL178">
            <v>-6</v>
          </cell>
          <cell r="CM178">
            <v>-6</v>
          </cell>
          <cell r="CN178">
            <v>-24</v>
          </cell>
          <cell r="CO178">
            <v>-6</v>
          </cell>
          <cell r="CP178">
            <v>-6</v>
          </cell>
          <cell r="CQ178">
            <v>-6</v>
          </cell>
          <cell r="CR178">
            <v>-6</v>
          </cell>
          <cell r="CS178">
            <v>-24</v>
          </cell>
          <cell r="CT178">
            <v>-6</v>
          </cell>
          <cell r="CU178">
            <v>-6</v>
          </cell>
          <cell r="CV178">
            <v>-1</v>
          </cell>
          <cell r="CX178">
            <v>-13</v>
          </cell>
          <cell r="DC178">
            <v>0</v>
          </cell>
          <cell r="DH178">
            <v>0</v>
          </cell>
          <cell r="DM178">
            <v>0</v>
          </cell>
          <cell r="DR178">
            <v>0</v>
          </cell>
          <cell r="DW178" t="str">
            <v>mstag:cashDividendsPaidPreferred</v>
          </cell>
          <cell r="DX178">
            <v>6</v>
          </cell>
          <cell r="DY178" t="str">
            <v>ISO4217:USD</v>
          </cell>
          <cell r="DZ178" t="b">
            <v>1</v>
          </cell>
        </row>
        <row r="179">
          <cell r="B179" t="str">
            <v>Distributions paid to noncontrolling interests</v>
          </cell>
          <cell r="D179">
            <v>0</v>
          </cell>
          <cell r="E179">
            <v>0</v>
          </cell>
          <cell r="F179">
            <v>0</v>
          </cell>
          <cell r="G179">
            <v>0</v>
          </cell>
          <cell r="H179">
            <v>0</v>
          </cell>
          <cell r="I179">
            <v>0</v>
          </cell>
          <cell r="J179">
            <v>0</v>
          </cell>
          <cell r="K179">
            <v>0</v>
          </cell>
          <cell r="L179">
            <v>0</v>
          </cell>
          <cell r="M179">
            <v>0</v>
          </cell>
          <cell r="N179">
            <v>-3</v>
          </cell>
          <cell r="O179">
            <v>-1.2999999999999998</v>
          </cell>
          <cell r="P179">
            <v>4.3</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-2</v>
          </cell>
          <cell r="CF179">
            <v>-1</v>
          </cell>
          <cell r="CG179">
            <v>-2</v>
          </cell>
          <cell r="CH179">
            <v>-2</v>
          </cell>
          <cell r="CI179">
            <v>-7</v>
          </cell>
          <cell r="CJ179">
            <v>-1</v>
          </cell>
          <cell r="CK179">
            <v>-2</v>
          </cell>
          <cell r="CL179">
            <v>-3</v>
          </cell>
          <cell r="CM179">
            <v>-2</v>
          </cell>
          <cell r="CN179">
            <v>-8</v>
          </cell>
          <cell r="CO179">
            <v>-2</v>
          </cell>
          <cell r="CP179">
            <v>-2</v>
          </cell>
          <cell r="CQ179">
            <v>-4</v>
          </cell>
          <cell r="CR179">
            <v>-2</v>
          </cell>
          <cell r="CS179">
            <v>-10</v>
          </cell>
          <cell r="CT179">
            <v>-3</v>
          </cell>
          <cell r="CU179">
            <v>-3</v>
          </cell>
          <cell r="CV179">
            <v>-3</v>
          </cell>
          <cell r="CX179">
            <v>-9</v>
          </cell>
          <cell r="DC179">
            <v>0</v>
          </cell>
          <cell r="DH179">
            <v>0</v>
          </cell>
          <cell r="DM179">
            <v>0</v>
          </cell>
          <cell r="DR179">
            <v>0</v>
          </cell>
          <cell r="DW179" t="str">
            <v>mstag:netIncreaseInMinorityInterestsInShareholdersEquity</v>
          </cell>
          <cell r="DX179">
            <v>6</v>
          </cell>
          <cell r="DY179" t="str">
            <v>ISO4217:USD</v>
          </cell>
          <cell r="DZ179" t="b">
            <v>0</v>
          </cell>
        </row>
        <row r="180">
          <cell r="B180" t="str">
            <v>Other items, net</v>
          </cell>
          <cell r="D180">
            <v>3.4159999999999999</v>
          </cell>
          <cell r="E180">
            <v>1.0850000000000004</v>
          </cell>
          <cell r="F180">
            <v>1.6000000000000005</v>
          </cell>
          <cell r="G180">
            <v>1.6999999999999986</v>
          </cell>
          <cell r="H180">
            <v>7.8009999999999993</v>
          </cell>
          <cell r="I180">
            <v>1.2</v>
          </cell>
          <cell r="J180">
            <v>53.099999999999994</v>
          </cell>
          <cell r="K180">
            <v>154.80000000000001</v>
          </cell>
          <cell r="L180">
            <v>23.899999999999977</v>
          </cell>
          <cell r="M180">
            <v>233</v>
          </cell>
          <cell r="N180">
            <v>9.9</v>
          </cell>
          <cell r="O180">
            <v>9.4999999999999982</v>
          </cell>
          <cell r="P180">
            <v>31.199999999999996</v>
          </cell>
          <cell r="Q180">
            <v>11.200000000000006</v>
          </cell>
          <cell r="R180">
            <v>61.8</v>
          </cell>
          <cell r="S180">
            <v>22</v>
          </cell>
          <cell r="T180">
            <v>10</v>
          </cell>
          <cell r="U180">
            <v>26</v>
          </cell>
          <cell r="V180">
            <v>23</v>
          </cell>
          <cell r="W180">
            <v>81</v>
          </cell>
          <cell r="X180">
            <v>2</v>
          </cell>
          <cell r="Y180">
            <v>6</v>
          </cell>
          <cell r="Z180">
            <v>6</v>
          </cell>
          <cell r="AA180">
            <v>8</v>
          </cell>
          <cell r="AB180">
            <v>22</v>
          </cell>
          <cell r="AC180">
            <v>1</v>
          </cell>
          <cell r="AD180">
            <v>-3</v>
          </cell>
          <cell r="AE180">
            <v>15</v>
          </cell>
          <cell r="AF180">
            <v>47</v>
          </cell>
          <cell r="AG180">
            <v>60</v>
          </cell>
          <cell r="AH180">
            <v>35</v>
          </cell>
          <cell r="AI180">
            <v>86</v>
          </cell>
          <cell r="AJ180">
            <v>90</v>
          </cell>
          <cell r="AK180">
            <v>30</v>
          </cell>
          <cell r="AL180">
            <v>241</v>
          </cell>
          <cell r="AM180">
            <v>82</v>
          </cell>
          <cell r="AN180">
            <v>-9</v>
          </cell>
          <cell r="AO180">
            <v>100</v>
          </cell>
          <cell r="AP180">
            <v>71</v>
          </cell>
          <cell r="AQ180">
            <v>244</v>
          </cell>
          <cell r="AR180">
            <v>24</v>
          </cell>
          <cell r="AS180">
            <v>20</v>
          </cell>
          <cell r="AT180">
            <v>-1</v>
          </cell>
          <cell r="AZ180">
            <v>41</v>
          </cell>
          <cell r="BA180">
            <v>3</v>
          </cell>
          <cell r="BB180">
            <v>6</v>
          </cell>
          <cell r="BC180">
            <v>-6</v>
          </cell>
          <cell r="BD180">
            <v>7</v>
          </cell>
          <cell r="BE180">
            <v>10</v>
          </cell>
          <cell r="BF180">
            <v>4</v>
          </cell>
          <cell r="BG180">
            <v>1</v>
          </cell>
          <cell r="BH180">
            <v>4</v>
          </cell>
          <cell r="BI180">
            <v>-262</v>
          </cell>
          <cell r="BJ180">
            <v>-253</v>
          </cell>
          <cell r="BK180">
            <v>11</v>
          </cell>
          <cell r="BL180">
            <v>1</v>
          </cell>
          <cell r="BM180">
            <v>1</v>
          </cell>
          <cell r="BN180">
            <v>0</v>
          </cell>
          <cell r="BO180">
            <v>13</v>
          </cell>
          <cell r="BP180">
            <v>1</v>
          </cell>
          <cell r="BQ180">
            <v>2</v>
          </cell>
          <cell r="BR180">
            <v>-1</v>
          </cell>
          <cell r="BS180">
            <v>270</v>
          </cell>
          <cell r="BT180">
            <v>272</v>
          </cell>
          <cell r="BU180">
            <v>1</v>
          </cell>
          <cell r="BV180">
            <v>0</v>
          </cell>
          <cell r="BW180">
            <v>0</v>
          </cell>
          <cell r="BX180">
            <v>3</v>
          </cell>
          <cell r="BY180">
            <v>4</v>
          </cell>
          <cell r="BZ180">
            <v>1</v>
          </cell>
          <cell r="CA180">
            <v>1</v>
          </cell>
          <cell r="CB180">
            <v>1</v>
          </cell>
          <cell r="CC180">
            <v>-1</v>
          </cell>
          <cell r="CD180">
            <v>2</v>
          </cell>
          <cell r="CE180">
            <v>2</v>
          </cell>
          <cell r="CF180">
            <v>0</v>
          </cell>
          <cell r="CG180">
            <v>335</v>
          </cell>
          <cell r="CH180">
            <v>5</v>
          </cell>
          <cell r="CI180">
            <v>342</v>
          </cell>
          <cell r="CJ180">
            <v>2</v>
          </cell>
          <cell r="CK180">
            <v>2</v>
          </cell>
          <cell r="CL180">
            <v>2</v>
          </cell>
          <cell r="CM180">
            <v>1</v>
          </cell>
          <cell r="CN180">
            <v>7</v>
          </cell>
          <cell r="CO180">
            <v>2</v>
          </cell>
          <cell r="CP180">
            <v>2</v>
          </cell>
          <cell r="CQ180">
            <v>2</v>
          </cell>
          <cell r="CR180">
            <v>0</v>
          </cell>
          <cell r="CS180">
            <v>6</v>
          </cell>
          <cell r="CT180">
            <v>5</v>
          </cell>
          <cell r="CU180">
            <v>4</v>
          </cell>
          <cell r="CV180">
            <v>2</v>
          </cell>
          <cell r="CW180">
            <v>0</v>
          </cell>
          <cell r="CX180">
            <v>11</v>
          </cell>
          <cell r="DC180">
            <v>0</v>
          </cell>
          <cell r="DH180">
            <v>0</v>
          </cell>
          <cell r="DM180">
            <v>0</v>
          </cell>
          <cell r="DR180">
            <v>0</v>
          </cell>
          <cell r="DW180" t="str">
            <v>mstag:otherCashFlowsFromUsedInFinancingActivities</v>
          </cell>
          <cell r="DX180">
            <v>6</v>
          </cell>
          <cell r="DY180" t="str">
            <v>ISO4217:USD</v>
          </cell>
          <cell r="DZ180" t="b">
            <v>0</v>
          </cell>
        </row>
        <row r="181">
          <cell r="B181" t="str">
            <v>Cash Flow from Financing</v>
          </cell>
          <cell r="D181">
            <v>67.504999999999995</v>
          </cell>
          <cell r="E181">
            <v>-6.1040000000000063</v>
          </cell>
          <cell r="F181">
            <v>8.1000000000000014</v>
          </cell>
          <cell r="G181">
            <v>1292.3</v>
          </cell>
          <cell r="H181">
            <v>1361.8009999999999</v>
          </cell>
          <cell r="I181">
            <v>-12.900000000000002</v>
          </cell>
          <cell r="J181">
            <v>80.499999999999631</v>
          </cell>
          <cell r="K181">
            <v>-14.299999999999898</v>
          </cell>
          <cell r="L181">
            <v>-46.299999999999841</v>
          </cell>
          <cell r="M181">
            <v>7</v>
          </cell>
          <cell r="N181">
            <v>-8.699999999999994</v>
          </cell>
          <cell r="O181">
            <v>138.99999999999994</v>
          </cell>
          <cell r="P181">
            <v>420.00000000000045</v>
          </cell>
          <cell r="Q181">
            <v>116.49999999999928</v>
          </cell>
          <cell r="R181">
            <v>666.8</v>
          </cell>
          <cell r="S181">
            <v>282</v>
          </cell>
          <cell r="T181">
            <v>247</v>
          </cell>
          <cell r="U181">
            <v>256</v>
          </cell>
          <cell r="V181">
            <v>-117</v>
          </cell>
          <cell r="W181">
            <v>668</v>
          </cell>
          <cell r="X181">
            <v>175</v>
          </cell>
          <cell r="Y181">
            <v>284</v>
          </cell>
          <cell r="Z181">
            <v>217</v>
          </cell>
          <cell r="AA181">
            <v>-105</v>
          </cell>
          <cell r="AB181">
            <v>571</v>
          </cell>
          <cell r="AC181">
            <v>131</v>
          </cell>
          <cell r="AD181">
            <v>-761</v>
          </cell>
          <cell r="AE181">
            <v>189</v>
          </cell>
          <cell r="AF181">
            <v>-286</v>
          </cell>
          <cell r="AG181">
            <v>-727</v>
          </cell>
          <cell r="AH181">
            <v>-212</v>
          </cell>
          <cell r="AI181">
            <v>-296</v>
          </cell>
          <cell r="AJ181">
            <v>-101</v>
          </cell>
          <cell r="AK181">
            <v>-708</v>
          </cell>
          <cell r="AL181">
            <v>-1317</v>
          </cell>
          <cell r="AM181">
            <v>25</v>
          </cell>
          <cell r="AN181">
            <v>-327</v>
          </cell>
          <cell r="AO181">
            <v>-267</v>
          </cell>
          <cell r="AP181">
            <v>-543</v>
          </cell>
          <cell r="AQ181">
            <v>-1112</v>
          </cell>
          <cell r="AR181">
            <v>-523</v>
          </cell>
          <cell r="AS181">
            <v>-39</v>
          </cell>
          <cell r="AT181">
            <v>31</v>
          </cell>
          <cell r="AZ181">
            <v>-565</v>
          </cell>
          <cell r="BA181">
            <v>34</v>
          </cell>
          <cell r="BB181">
            <v>-111</v>
          </cell>
          <cell r="BC181">
            <v>-2</v>
          </cell>
          <cell r="BD181">
            <v>-17</v>
          </cell>
          <cell r="BE181">
            <v>-96</v>
          </cell>
          <cell r="BF181">
            <v>3</v>
          </cell>
          <cell r="BG181">
            <v>493</v>
          </cell>
          <cell r="BH181">
            <v>1</v>
          </cell>
          <cell r="BI181">
            <v>-368</v>
          </cell>
          <cell r="BJ181">
            <v>129</v>
          </cell>
          <cell r="BK181">
            <v>349</v>
          </cell>
          <cell r="BL181">
            <v>1</v>
          </cell>
          <cell r="BM181">
            <v>-2</v>
          </cell>
          <cell r="BN181">
            <v>0</v>
          </cell>
          <cell r="BO181">
            <v>348</v>
          </cell>
          <cell r="BP181">
            <v>1</v>
          </cell>
          <cell r="BQ181">
            <v>1</v>
          </cell>
          <cell r="BR181">
            <v>-3</v>
          </cell>
          <cell r="BS181">
            <v>253</v>
          </cell>
          <cell r="BT181">
            <v>252</v>
          </cell>
          <cell r="BU181">
            <v>1</v>
          </cell>
          <cell r="BV181">
            <v>0</v>
          </cell>
          <cell r="BW181">
            <v>-21</v>
          </cell>
          <cell r="BX181">
            <v>2</v>
          </cell>
          <cell r="BY181">
            <v>-18</v>
          </cell>
          <cell r="BZ181">
            <v>0</v>
          </cell>
          <cell r="CA181">
            <v>1</v>
          </cell>
          <cell r="CB181">
            <v>1</v>
          </cell>
          <cell r="CC181">
            <v>-1</v>
          </cell>
          <cell r="CD181">
            <v>1</v>
          </cell>
          <cell r="CE181">
            <v>-23</v>
          </cell>
          <cell r="CF181">
            <v>-40</v>
          </cell>
          <cell r="CG181">
            <v>-52</v>
          </cell>
          <cell r="CH181">
            <v>-2</v>
          </cell>
          <cell r="CI181">
            <v>-117</v>
          </cell>
          <cell r="CJ181">
            <v>-11</v>
          </cell>
          <cell r="CK181">
            <v>-11</v>
          </cell>
          <cell r="CL181">
            <v>-296</v>
          </cell>
          <cell r="CM181">
            <v>-19</v>
          </cell>
          <cell r="CN181">
            <v>-337</v>
          </cell>
          <cell r="CO181">
            <v>-7</v>
          </cell>
          <cell r="CP181">
            <v>-79</v>
          </cell>
          <cell r="CQ181">
            <v>-134</v>
          </cell>
          <cell r="CR181">
            <v>-66</v>
          </cell>
          <cell r="CS181">
            <v>-286</v>
          </cell>
          <cell r="CT181">
            <v>169</v>
          </cell>
          <cell r="CU181">
            <v>-153</v>
          </cell>
          <cell r="CV181">
            <v>-37</v>
          </cell>
          <cell r="CW181">
            <v>642.70900000000006</v>
          </cell>
          <cell r="CX181">
            <v>621.70899999999983</v>
          </cell>
          <cell r="CY181">
            <v>3.5</v>
          </cell>
          <cell r="CZ181">
            <v>-51.709000000000003</v>
          </cell>
          <cell r="DA181">
            <v>3.5</v>
          </cell>
          <cell r="DB181">
            <v>3.5</v>
          </cell>
          <cell r="DC181">
            <v>-41.209000000000003</v>
          </cell>
          <cell r="DD181">
            <v>3.5</v>
          </cell>
          <cell r="DE181">
            <v>3.5</v>
          </cell>
          <cell r="DF181">
            <v>3.5</v>
          </cell>
          <cell r="DG181">
            <v>3.5</v>
          </cell>
          <cell r="DH181">
            <v>14</v>
          </cell>
          <cell r="DI181">
            <v>3.5</v>
          </cell>
          <cell r="DJ181">
            <v>3.5</v>
          </cell>
          <cell r="DK181">
            <v>3.5</v>
          </cell>
          <cell r="DL181">
            <v>3.5</v>
          </cell>
          <cell r="DM181">
            <v>14</v>
          </cell>
          <cell r="DN181">
            <v>3.5</v>
          </cell>
          <cell r="DO181">
            <v>3.5</v>
          </cell>
          <cell r="DP181">
            <v>3.5</v>
          </cell>
          <cell r="DQ181">
            <v>3.5</v>
          </cell>
          <cell r="DR181">
            <v>14</v>
          </cell>
        </row>
        <row r="183">
          <cell r="B183" t="str">
            <v>Cash &amp; equivalents - beg balance</v>
          </cell>
          <cell r="D183">
            <v>313.19900000000001</v>
          </cell>
          <cell r="E183">
            <v>112.30400000000003</v>
          </cell>
          <cell r="F183">
            <v>131.80000000000004</v>
          </cell>
          <cell r="G183">
            <v>144.50000000000003</v>
          </cell>
          <cell r="H183">
            <v>313.19900000000001</v>
          </cell>
          <cell r="I183">
            <v>154.99999999999994</v>
          </cell>
          <cell r="J183">
            <v>106.39999999999996</v>
          </cell>
          <cell r="K183">
            <v>98.799999999999599</v>
          </cell>
          <cell r="L183">
            <v>114.19999999999972</v>
          </cell>
          <cell r="M183">
            <v>154.99999999999994</v>
          </cell>
          <cell r="N183">
            <v>89.199999999999946</v>
          </cell>
          <cell r="O183">
            <v>104.09999999999995</v>
          </cell>
          <cell r="P183">
            <v>56.799999999999883</v>
          </cell>
          <cell r="Q183">
            <v>61.300000000000395</v>
          </cell>
          <cell r="R183">
            <v>89.199999999999946</v>
          </cell>
          <cell r="S183">
            <v>34.999999999999901</v>
          </cell>
          <cell r="T183">
            <v>102.9999999999999</v>
          </cell>
          <cell r="U183">
            <v>13.999999999999901</v>
          </cell>
          <cell r="V183">
            <v>16.999999999999901</v>
          </cell>
          <cell r="W183">
            <v>34.999999999999901</v>
          </cell>
          <cell r="X183">
            <v>22.999999999999901</v>
          </cell>
          <cell r="Y183">
            <v>20.999999999999901</v>
          </cell>
          <cell r="Z183">
            <v>31.999999999999901</v>
          </cell>
          <cell r="AA183">
            <v>60.999999999999901</v>
          </cell>
          <cell r="AB183">
            <v>22.999999999999901</v>
          </cell>
          <cell r="AC183">
            <v>28.999999999999901</v>
          </cell>
          <cell r="AD183">
            <v>23.999999999999901</v>
          </cell>
          <cell r="AE183">
            <v>30.999999999999901</v>
          </cell>
          <cell r="AF183">
            <v>37.999999999999901</v>
          </cell>
          <cell r="AG183">
            <v>28.999999999999901</v>
          </cell>
          <cell r="AH183">
            <v>134.99999999999989</v>
          </cell>
          <cell r="AI183">
            <v>82.999999999999886</v>
          </cell>
          <cell r="AJ183">
            <v>81.999999999999886</v>
          </cell>
          <cell r="AK183">
            <v>56.999999999999886</v>
          </cell>
          <cell r="AL183">
            <v>134.99999999999989</v>
          </cell>
          <cell r="AM183">
            <v>61.999999999999886</v>
          </cell>
          <cell r="AN183">
            <v>65.999999999999886</v>
          </cell>
          <cell r="AO183">
            <v>62.999999999999886</v>
          </cell>
          <cell r="AP183">
            <v>51.999999999999886</v>
          </cell>
          <cell r="AQ183">
            <v>61.999999999999886</v>
          </cell>
          <cell r="AR183">
            <v>37.999999999999886</v>
          </cell>
          <cell r="AS183">
            <v>41.999999999999886</v>
          </cell>
          <cell r="AT183">
            <v>39.999999999999886</v>
          </cell>
          <cell r="AZ183">
            <v>38</v>
          </cell>
          <cell r="BA183">
            <v>210</v>
          </cell>
          <cell r="BB183">
            <v>135</v>
          </cell>
          <cell r="BC183">
            <v>221</v>
          </cell>
          <cell r="BD183">
            <v>219</v>
          </cell>
          <cell r="BE183">
            <v>210</v>
          </cell>
          <cell r="BF183">
            <v>619</v>
          </cell>
          <cell r="BG183">
            <v>507</v>
          </cell>
          <cell r="BH183">
            <v>1193</v>
          </cell>
          <cell r="BI183">
            <v>1323</v>
          </cell>
          <cell r="BJ183">
            <v>619</v>
          </cell>
          <cell r="BK183">
            <v>654</v>
          </cell>
          <cell r="BL183">
            <v>1497</v>
          </cell>
          <cell r="BM183">
            <v>1594</v>
          </cell>
          <cell r="BN183">
            <v>1480</v>
          </cell>
          <cell r="BO183">
            <v>654</v>
          </cell>
          <cell r="BP183">
            <v>1373</v>
          </cell>
          <cell r="BQ183">
            <v>975</v>
          </cell>
          <cell r="BR183">
            <v>568</v>
          </cell>
          <cell r="BS183">
            <v>809</v>
          </cell>
          <cell r="BT183">
            <v>1373</v>
          </cell>
          <cell r="BU183">
            <v>784</v>
          </cell>
          <cell r="BV183">
            <v>584</v>
          </cell>
          <cell r="BW183">
            <v>675</v>
          </cell>
          <cell r="BX183">
            <v>655</v>
          </cell>
          <cell r="BY183">
            <v>784</v>
          </cell>
          <cell r="BZ183">
            <v>572</v>
          </cell>
          <cell r="CA183">
            <v>278</v>
          </cell>
          <cell r="CB183">
            <v>352</v>
          </cell>
          <cell r="CC183">
            <v>512</v>
          </cell>
          <cell r="CD183">
            <v>572</v>
          </cell>
          <cell r="CE183">
            <v>507</v>
          </cell>
          <cell r="CF183">
            <v>652</v>
          </cell>
          <cell r="CG183">
            <v>758</v>
          </cell>
          <cell r="CH183">
            <v>731</v>
          </cell>
          <cell r="CI183">
            <v>507</v>
          </cell>
          <cell r="CJ183">
            <v>690</v>
          </cell>
          <cell r="CK183">
            <v>589</v>
          </cell>
          <cell r="CL183">
            <v>711</v>
          </cell>
          <cell r="CM183">
            <v>398</v>
          </cell>
          <cell r="CN183">
            <v>690</v>
          </cell>
          <cell r="CO183">
            <v>405</v>
          </cell>
          <cell r="CP183">
            <v>267</v>
          </cell>
          <cell r="CQ183">
            <v>264</v>
          </cell>
          <cell r="CR183">
            <v>185</v>
          </cell>
          <cell r="CS183">
            <v>405</v>
          </cell>
          <cell r="CT183">
            <v>113</v>
          </cell>
          <cell r="CU183">
            <v>104</v>
          </cell>
          <cell r="CV183">
            <v>82</v>
          </cell>
          <cell r="CW183">
            <v>83</v>
          </cell>
          <cell r="CX183">
            <v>113</v>
          </cell>
          <cell r="CY183">
            <v>796.82228946500527</v>
          </cell>
          <cell r="CZ183">
            <v>783.09228910018987</v>
          </cell>
          <cell r="DA183">
            <v>769.23666195178066</v>
          </cell>
          <cell r="DB183">
            <v>839.28021903822992</v>
          </cell>
          <cell r="DC183">
            <v>796.82228946500527</v>
          </cell>
          <cell r="DD183">
            <v>884.64004628611724</v>
          </cell>
          <cell r="DE183">
            <v>966.5373346218272</v>
          </cell>
          <cell r="DF183">
            <v>1044.4510110641747</v>
          </cell>
          <cell r="DG183">
            <v>1134.5089576312018</v>
          </cell>
          <cell r="DH183">
            <v>884.64004628611724</v>
          </cell>
          <cell r="DI183">
            <v>1201.8013582555388</v>
          </cell>
          <cell r="DJ183">
            <v>1277.0659881994259</v>
          </cell>
          <cell r="DK183">
            <v>1374.9116760549289</v>
          </cell>
          <cell r="DL183">
            <v>1474.4716766419272</v>
          </cell>
          <cell r="DM183">
            <v>1201.8013582555388</v>
          </cell>
          <cell r="DN183">
            <v>1552.1664041042404</v>
          </cell>
          <cell r="DO183">
            <v>1648.0680635609963</v>
          </cell>
          <cell r="DP183">
            <v>1754.0319682984241</v>
          </cell>
          <cell r="DQ183">
            <v>1868.2875538976209</v>
          </cell>
          <cell r="DR183">
            <v>1552.1664041042404</v>
          </cell>
        </row>
        <row r="184">
          <cell r="B184" t="str">
            <v>Change in cash &amp; equivalents</v>
          </cell>
          <cell r="D184">
            <v>-200.89499999999998</v>
          </cell>
          <cell r="E184">
            <v>19.496000000000009</v>
          </cell>
          <cell r="F184">
            <v>12.699999999999996</v>
          </cell>
          <cell r="G184">
            <v>10.5</v>
          </cell>
          <cell r="H184">
            <v>-158.19900000000007</v>
          </cell>
          <cell r="I184">
            <v>-48.59999999999998</v>
          </cell>
          <cell r="J184">
            <v>-7.6000000000003638</v>
          </cell>
          <cell r="K184">
            <v>15.400000000000119</v>
          </cell>
          <cell r="L184">
            <v>-25.199999999999875</v>
          </cell>
          <cell r="M184">
            <v>-66</v>
          </cell>
          <cell r="N184">
            <v>14.9</v>
          </cell>
          <cell r="O184">
            <v>-47.300000000000068</v>
          </cell>
          <cell r="P184">
            <v>4.5000000000005116</v>
          </cell>
          <cell r="Q184">
            <v>-26.300000000000679</v>
          </cell>
          <cell r="R184">
            <v>-54.200000000000045</v>
          </cell>
          <cell r="S184">
            <v>68</v>
          </cell>
          <cell r="T184">
            <v>-89</v>
          </cell>
          <cell r="U184">
            <v>3</v>
          </cell>
          <cell r="V184">
            <v>6</v>
          </cell>
          <cell r="W184">
            <v>-12</v>
          </cell>
          <cell r="X184">
            <v>-2</v>
          </cell>
          <cell r="Y184">
            <v>11</v>
          </cell>
          <cell r="Z184">
            <v>29</v>
          </cell>
          <cell r="AA184">
            <v>-32</v>
          </cell>
          <cell r="AB184">
            <v>6</v>
          </cell>
          <cell r="AC184">
            <v>-5</v>
          </cell>
          <cell r="AD184">
            <v>7</v>
          </cell>
          <cell r="AE184">
            <v>7</v>
          </cell>
          <cell r="AF184">
            <v>97</v>
          </cell>
          <cell r="AG184">
            <v>106</v>
          </cell>
          <cell r="AH184">
            <v>-52</v>
          </cell>
          <cell r="AI184">
            <v>-1</v>
          </cell>
          <cell r="AJ184">
            <v>-25</v>
          </cell>
          <cell r="AK184">
            <v>5</v>
          </cell>
          <cell r="AL184">
            <v>-73</v>
          </cell>
          <cell r="AM184">
            <v>4</v>
          </cell>
          <cell r="AN184">
            <v>-3</v>
          </cell>
          <cell r="AO184">
            <v>-11</v>
          </cell>
          <cell r="AP184">
            <v>-14</v>
          </cell>
          <cell r="AQ184">
            <v>-24</v>
          </cell>
          <cell r="AR184">
            <v>4</v>
          </cell>
          <cell r="AS184">
            <v>-2</v>
          </cell>
          <cell r="AT184">
            <v>78</v>
          </cell>
          <cell r="AZ184">
            <v>172</v>
          </cell>
          <cell r="BA184">
            <v>-75</v>
          </cell>
          <cell r="BB184">
            <v>86</v>
          </cell>
          <cell r="BC184">
            <v>-2</v>
          </cell>
          <cell r="BD184">
            <v>400</v>
          </cell>
          <cell r="BE184">
            <v>409</v>
          </cell>
          <cell r="BF184">
            <v>-112</v>
          </cell>
          <cell r="BG184">
            <v>686</v>
          </cell>
          <cell r="BH184">
            <v>130</v>
          </cell>
          <cell r="BI184">
            <v>-669</v>
          </cell>
          <cell r="BJ184">
            <v>35</v>
          </cell>
          <cell r="BK184">
            <v>843</v>
          </cell>
          <cell r="BL184">
            <v>97</v>
          </cell>
          <cell r="BM184">
            <v>-114</v>
          </cell>
          <cell r="BN184">
            <v>-107</v>
          </cell>
          <cell r="BO184">
            <v>719</v>
          </cell>
          <cell r="BP184">
            <v>-398</v>
          </cell>
          <cell r="BQ184">
            <v>-407</v>
          </cell>
          <cell r="BR184">
            <v>241</v>
          </cell>
          <cell r="BS184">
            <v>-25</v>
          </cell>
          <cell r="BT184">
            <v>-589</v>
          </cell>
          <cell r="BU184">
            <v>-200</v>
          </cell>
          <cell r="BV184">
            <v>91</v>
          </cell>
          <cell r="BW184">
            <v>-20</v>
          </cell>
          <cell r="BX184">
            <v>-83</v>
          </cell>
          <cell r="BY184">
            <v>-212</v>
          </cell>
          <cell r="BZ184">
            <v>-294</v>
          </cell>
          <cell r="CA184">
            <v>74</v>
          </cell>
          <cell r="CB184">
            <v>160</v>
          </cell>
          <cell r="CC184">
            <v>-5</v>
          </cell>
          <cell r="CD184">
            <v>-65</v>
          </cell>
          <cell r="CE184">
            <v>145</v>
          </cell>
          <cell r="CF184">
            <v>106</v>
          </cell>
          <cell r="CG184">
            <v>-27</v>
          </cell>
          <cell r="CH184">
            <v>-41</v>
          </cell>
          <cell r="CI184">
            <v>183</v>
          </cell>
          <cell r="CJ184">
            <v>-101</v>
          </cell>
          <cell r="CK184">
            <v>122</v>
          </cell>
          <cell r="CL184">
            <v>-313</v>
          </cell>
          <cell r="CM184">
            <v>7</v>
          </cell>
          <cell r="CN184">
            <v>-285</v>
          </cell>
          <cell r="CO184">
            <v>-138</v>
          </cell>
          <cell r="CP184">
            <v>-3</v>
          </cell>
          <cell r="CQ184">
            <v>-79</v>
          </cell>
          <cell r="CR184">
            <v>-72</v>
          </cell>
          <cell r="CS184">
            <v>-292</v>
          </cell>
          <cell r="CT184">
            <v>-9</v>
          </cell>
          <cell r="CU184">
            <v>-22</v>
          </cell>
          <cell r="CV184">
            <v>1</v>
          </cell>
          <cell r="CW184">
            <v>713.82228946500527</v>
          </cell>
          <cell r="CX184">
            <v>683.82228946500516</v>
          </cell>
          <cell r="CY184">
            <v>-13.730000364815396</v>
          </cell>
          <cell r="CZ184">
            <v>-13.855627148409212</v>
          </cell>
          <cell r="DA184">
            <v>70.043557086449312</v>
          </cell>
          <cell r="DB184">
            <v>45.359827247887324</v>
          </cell>
          <cell r="DC184">
            <v>87.817756821112027</v>
          </cell>
          <cell r="DD184">
            <v>81.897288335709931</v>
          </cell>
          <cell r="DE184">
            <v>77.913676442347537</v>
          </cell>
          <cell r="DF184">
            <v>90.05794656702713</v>
          </cell>
          <cell r="DG184">
            <v>67.292400624337006</v>
          </cell>
          <cell r="DH184">
            <v>317.16131196942149</v>
          </cell>
          <cell r="DI184">
            <v>75.264629943887002</v>
          </cell>
          <cell r="DJ184">
            <v>97.845687855502973</v>
          </cell>
          <cell r="DK184">
            <v>99.560000586998314</v>
          </cell>
          <cell r="DL184">
            <v>77.694727462313296</v>
          </cell>
          <cell r="DM184">
            <v>350.3650458487017</v>
          </cell>
          <cell r="DN184">
            <v>95.90165945675588</v>
          </cell>
          <cell r="DO184">
            <v>105.9639047374277</v>
          </cell>
          <cell r="DP184">
            <v>114.25558559919693</v>
          </cell>
          <cell r="DQ184">
            <v>90.638250806330291</v>
          </cell>
          <cell r="DR184">
            <v>406.75940059971072</v>
          </cell>
        </row>
        <row r="185">
          <cell r="B185" t="str">
            <v>Cash &amp; equivalents - ending balance</v>
          </cell>
          <cell r="D185">
            <v>112.30400000000003</v>
          </cell>
          <cell r="E185">
            <v>131.80000000000004</v>
          </cell>
          <cell r="F185">
            <v>144.50000000000003</v>
          </cell>
          <cell r="G185">
            <v>155.00000000000003</v>
          </cell>
          <cell r="H185">
            <v>154.99999999999994</v>
          </cell>
          <cell r="I185">
            <v>106.39999999999996</v>
          </cell>
          <cell r="J185">
            <v>98.799999999999599</v>
          </cell>
          <cell r="K185">
            <v>114.19999999999972</v>
          </cell>
          <cell r="L185">
            <v>88.999999999999844</v>
          </cell>
          <cell r="M185">
            <v>88.999999999999943</v>
          </cell>
          <cell r="N185">
            <v>104.09999999999995</v>
          </cell>
          <cell r="O185">
            <v>56.799999999999883</v>
          </cell>
          <cell r="P185">
            <v>61.300000000000395</v>
          </cell>
          <cell r="Q185">
            <v>34.999999999999716</v>
          </cell>
          <cell r="R185">
            <v>34.999999999999901</v>
          </cell>
          <cell r="S185">
            <v>102.9999999999999</v>
          </cell>
          <cell r="T185">
            <v>13.999999999999901</v>
          </cell>
          <cell r="U185">
            <v>16.999999999999901</v>
          </cell>
          <cell r="V185">
            <v>22.999999999999901</v>
          </cell>
          <cell r="W185">
            <v>22.999999999999901</v>
          </cell>
          <cell r="X185">
            <v>20.999999999999901</v>
          </cell>
          <cell r="Y185">
            <v>31.999999999999901</v>
          </cell>
          <cell r="Z185">
            <v>60.999999999999901</v>
          </cell>
          <cell r="AA185">
            <v>28.999999999999901</v>
          </cell>
          <cell r="AB185">
            <v>28.999999999999901</v>
          </cell>
          <cell r="AC185">
            <v>23.999999999999901</v>
          </cell>
          <cell r="AD185">
            <v>30.999999999999901</v>
          </cell>
          <cell r="AE185">
            <v>37.999999999999901</v>
          </cell>
          <cell r="AF185">
            <v>134.99999999999989</v>
          </cell>
          <cell r="AG185">
            <v>134.99999999999989</v>
          </cell>
          <cell r="AH185">
            <v>82.999999999999886</v>
          </cell>
          <cell r="AI185">
            <v>81.999999999999886</v>
          </cell>
          <cell r="AJ185">
            <v>56.999999999999886</v>
          </cell>
          <cell r="AK185">
            <v>61.999999999999886</v>
          </cell>
          <cell r="AL185">
            <v>61.999999999999886</v>
          </cell>
          <cell r="AM185">
            <v>65.999999999999886</v>
          </cell>
          <cell r="AN185">
            <v>62.999999999999886</v>
          </cell>
          <cell r="AO185">
            <v>51.999999999999886</v>
          </cell>
          <cell r="AP185">
            <v>37.999999999999886</v>
          </cell>
          <cell r="AQ185">
            <v>37.999999999999886</v>
          </cell>
          <cell r="AR185">
            <v>41.999999999999886</v>
          </cell>
          <cell r="AS185">
            <v>39.999999999999886</v>
          </cell>
          <cell r="AT185">
            <v>117.99999999999989</v>
          </cell>
          <cell r="AZ185">
            <v>210</v>
          </cell>
          <cell r="BA185">
            <v>135</v>
          </cell>
          <cell r="BB185">
            <v>221</v>
          </cell>
          <cell r="BC185">
            <v>219</v>
          </cell>
          <cell r="BD185">
            <v>619</v>
          </cell>
          <cell r="BE185">
            <v>619</v>
          </cell>
          <cell r="BF185">
            <v>507</v>
          </cell>
          <cell r="BG185">
            <v>1193</v>
          </cell>
          <cell r="BH185">
            <v>1323</v>
          </cell>
          <cell r="BI185">
            <v>654</v>
          </cell>
          <cell r="BJ185">
            <v>654</v>
          </cell>
          <cell r="BK185">
            <v>1497</v>
          </cell>
          <cell r="BL185">
            <v>1594</v>
          </cell>
          <cell r="BM185">
            <v>1480</v>
          </cell>
          <cell r="BN185">
            <v>1373</v>
          </cell>
          <cell r="BO185">
            <v>1373</v>
          </cell>
          <cell r="BP185">
            <v>975</v>
          </cell>
          <cell r="BQ185">
            <v>568</v>
          </cell>
          <cell r="BR185">
            <v>809</v>
          </cell>
          <cell r="BS185">
            <v>784</v>
          </cell>
          <cell r="BT185">
            <v>784</v>
          </cell>
          <cell r="BU185">
            <v>584</v>
          </cell>
          <cell r="BV185">
            <v>675</v>
          </cell>
          <cell r="BW185">
            <v>655</v>
          </cell>
          <cell r="BX185">
            <v>572</v>
          </cell>
          <cell r="BY185">
            <v>572</v>
          </cell>
          <cell r="BZ185">
            <v>278</v>
          </cell>
          <cell r="CA185">
            <v>352</v>
          </cell>
          <cell r="CB185">
            <v>512</v>
          </cell>
          <cell r="CC185">
            <v>507</v>
          </cell>
          <cell r="CD185">
            <v>507</v>
          </cell>
          <cell r="CE185">
            <v>652</v>
          </cell>
          <cell r="CF185">
            <v>758</v>
          </cell>
          <cell r="CG185">
            <v>731</v>
          </cell>
          <cell r="CH185">
            <v>690</v>
          </cell>
          <cell r="CI185">
            <v>690</v>
          </cell>
          <cell r="CJ185">
            <v>589</v>
          </cell>
          <cell r="CK185">
            <v>711</v>
          </cell>
          <cell r="CL185">
            <v>398</v>
          </cell>
          <cell r="CM185">
            <v>405</v>
          </cell>
          <cell r="CN185">
            <v>405</v>
          </cell>
          <cell r="CO185">
            <v>267</v>
          </cell>
          <cell r="CP185">
            <v>264</v>
          </cell>
          <cell r="CQ185">
            <v>185</v>
          </cell>
          <cell r="CR185">
            <v>113</v>
          </cell>
          <cell r="CS185">
            <v>113</v>
          </cell>
          <cell r="CT185">
            <v>104</v>
          </cell>
          <cell r="CU185">
            <v>82</v>
          </cell>
          <cell r="CV185">
            <v>83</v>
          </cell>
          <cell r="CW185">
            <v>796.82228946500527</v>
          </cell>
          <cell r="CX185">
            <v>796.82228946500516</v>
          </cell>
          <cell r="CY185">
            <v>783.09228910018987</v>
          </cell>
          <cell r="CZ185">
            <v>769.23666195178066</v>
          </cell>
          <cell r="DA185">
            <v>839.28021903822992</v>
          </cell>
          <cell r="DB185">
            <v>884.64004628611724</v>
          </cell>
          <cell r="DC185">
            <v>884.64004628611724</v>
          </cell>
          <cell r="DD185">
            <v>966.5373346218272</v>
          </cell>
          <cell r="DE185">
            <v>1044.4510110641747</v>
          </cell>
          <cell r="DF185">
            <v>1134.5089576312018</v>
          </cell>
          <cell r="DG185">
            <v>1201.8013582555388</v>
          </cell>
          <cell r="DH185">
            <v>1201.8013582555386</v>
          </cell>
          <cell r="DI185">
            <v>1277.0659881994259</v>
          </cell>
          <cell r="DJ185">
            <v>1374.9116760549289</v>
          </cell>
          <cell r="DK185">
            <v>1474.4716766419272</v>
          </cell>
          <cell r="DL185">
            <v>1552.1664041042404</v>
          </cell>
          <cell r="DM185">
            <v>1552.1664041042404</v>
          </cell>
          <cell r="DN185">
            <v>1648.0680635609963</v>
          </cell>
          <cell r="DO185">
            <v>1754.0319682984241</v>
          </cell>
          <cell r="DP185">
            <v>1868.2875538976209</v>
          </cell>
          <cell r="DQ185">
            <v>1958.9258047039511</v>
          </cell>
          <cell r="DR185">
            <v>1958.9258047039511</v>
          </cell>
        </row>
        <row r="187">
          <cell r="B187" t="str">
            <v>SCF = BS ?</v>
          </cell>
          <cell r="D187" t="str">
            <v>ok</v>
          </cell>
          <cell r="E187" t="str">
            <v>ok</v>
          </cell>
          <cell r="F187" t="str">
            <v>ok</v>
          </cell>
          <cell r="G187" t="str">
            <v>ok</v>
          </cell>
          <cell r="H187" t="str">
            <v>ok</v>
          </cell>
          <cell r="I187" t="str">
            <v>ok</v>
          </cell>
          <cell r="J187" t="str">
            <v>ok</v>
          </cell>
          <cell r="K187" t="str">
            <v>ok</v>
          </cell>
          <cell r="L187" t="str">
            <v>ok</v>
          </cell>
          <cell r="M187" t="str">
            <v>ok</v>
          </cell>
          <cell r="N187" t="str">
            <v>ok</v>
          </cell>
          <cell r="O187" t="str">
            <v>ok</v>
          </cell>
          <cell r="P187" t="str">
            <v>ok</v>
          </cell>
          <cell r="Q187" t="str">
            <v>ok</v>
          </cell>
          <cell r="R187" t="str">
            <v>ok</v>
          </cell>
          <cell r="S187" t="str">
            <v>ok</v>
          </cell>
          <cell r="T187" t="str">
            <v>ok</v>
          </cell>
          <cell r="U187" t="str">
            <v>ok</v>
          </cell>
          <cell r="V187" t="str">
            <v>ok</v>
          </cell>
          <cell r="W187" t="str">
            <v>ok</v>
          </cell>
          <cell r="X187" t="str">
            <v>ok</v>
          </cell>
          <cell r="Y187" t="str">
            <v>ok</v>
          </cell>
          <cell r="Z187" t="str">
            <v>ok</v>
          </cell>
          <cell r="AA187" t="str">
            <v>ok</v>
          </cell>
          <cell r="AB187" t="str">
            <v>ok</v>
          </cell>
          <cell r="AC187" t="str">
            <v>ok</v>
          </cell>
          <cell r="AD187" t="str">
            <v>ok</v>
          </cell>
          <cell r="AE187" t="str">
            <v>ok</v>
          </cell>
          <cell r="AF187" t="str">
            <v>ok</v>
          </cell>
          <cell r="AG187" t="str">
            <v>ok</v>
          </cell>
          <cell r="AH187" t="str">
            <v>ok</v>
          </cell>
          <cell r="AI187" t="str">
            <v>ok</v>
          </cell>
          <cell r="AJ187" t="str">
            <v>ok</v>
          </cell>
          <cell r="AK187" t="str">
            <v>ok</v>
          </cell>
          <cell r="AL187" t="str">
            <v>ok</v>
          </cell>
          <cell r="AM187" t="str">
            <v>ok</v>
          </cell>
          <cell r="AN187" t="str">
            <v>ok</v>
          </cell>
          <cell r="AO187" t="str">
            <v>ok</v>
          </cell>
          <cell r="AP187" t="str">
            <v>ok</v>
          </cell>
          <cell r="AQ187" t="str">
            <v>ok</v>
          </cell>
          <cell r="AR187" t="str">
            <v>ok</v>
          </cell>
          <cell r="AS187" t="str">
            <v>ok</v>
          </cell>
          <cell r="AT187" t="str">
            <v>ok</v>
          </cell>
          <cell r="AZ187" t="str">
            <v>ok</v>
          </cell>
          <cell r="BA187" t="str">
            <v>ok</v>
          </cell>
          <cell r="BB187" t="str">
            <v>ok</v>
          </cell>
          <cell r="BC187" t="str">
            <v>ok</v>
          </cell>
          <cell r="BD187" t="str">
            <v>ok</v>
          </cell>
          <cell r="BE187" t="str">
            <v>ok</v>
          </cell>
          <cell r="BF187" t="str">
            <v>ok</v>
          </cell>
          <cell r="BG187" t="str">
            <v>ok</v>
          </cell>
          <cell r="BH187" t="str">
            <v>ok</v>
          </cell>
          <cell r="BI187" t="str">
            <v>ok</v>
          </cell>
          <cell r="BJ187" t="str">
            <v>ok</v>
          </cell>
          <cell r="BK187" t="str">
            <v>ok</v>
          </cell>
          <cell r="BL187" t="str">
            <v>ok</v>
          </cell>
          <cell r="BM187" t="str">
            <v>ok</v>
          </cell>
          <cell r="BN187" t="str">
            <v>ok</v>
          </cell>
          <cell r="BO187" t="str">
            <v>ok</v>
          </cell>
          <cell r="BP187" t="str">
            <v>ok</v>
          </cell>
          <cell r="BQ187" t="str">
            <v>ok</v>
          </cell>
          <cell r="BR187" t="str">
            <v>ok</v>
          </cell>
          <cell r="BS187" t="str">
            <v>ok</v>
          </cell>
          <cell r="BT187" t="str">
            <v>ok</v>
          </cell>
          <cell r="BU187" t="str">
            <v>ok</v>
          </cell>
          <cell r="BV187" t="str">
            <v>ok</v>
          </cell>
          <cell r="BW187" t="str">
            <v>ok</v>
          </cell>
          <cell r="BX187" t="str">
            <v>ok</v>
          </cell>
          <cell r="BY187" t="str">
            <v>ok</v>
          </cell>
          <cell r="BZ187" t="str">
            <v>ok</v>
          </cell>
          <cell r="CA187" t="str">
            <v>ok</v>
          </cell>
          <cell r="CB187" t="str">
            <v>ok</v>
          </cell>
          <cell r="CC187" t="str">
            <v>ok</v>
          </cell>
          <cell r="CD187" t="str">
            <v>ok</v>
          </cell>
          <cell r="CE187" t="str">
            <v>ok</v>
          </cell>
          <cell r="CF187" t="str">
            <v>ok</v>
          </cell>
          <cell r="CG187" t="str">
            <v>ok</v>
          </cell>
          <cell r="CH187" t="str">
            <v>ok</v>
          </cell>
          <cell r="CI187" t="str">
            <v>ok</v>
          </cell>
          <cell r="CJ187" t="str">
            <v>ok</v>
          </cell>
          <cell r="CK187" t="str">
            <v>ok</v>
          </cell>
          <cell r="CL187" t="str">
            <v>ok</v>
          </cell>
          <cell r="CM187" t="str">
            <v>ok</v>
          </cell>
          <cell r="CN187" t="str">
            <v>ok</v>
          </cell>
          <cell r="CO187" t="str">
            <v>ok</v>
          </cell>
          <cell r="CP187" t="str">
            <v>ok</v>
          </cell>
          <cell r="CQ187" t="str">
            <v>ok</v>
          </cell>
          <cell r="CR187" t="str">
            <v>ok</v>
          </cell>
          <cell r="CS187" t="str">
            <v>ok</v>
          </cell>
          <cell r="CT187" t="str">
            <v>ok</v>
          </cell>
          <cell r="CU187" t="str">
            <v>ok</v>
          </cell>
          <cell r="CV187" t="str">
            <v>ok</v>
          </cell>
          <cell r="CW187" t="str">
            <v>ok</v>
          </cell>
          <cell r="CX187" t="str">
            <v>ok</v>
          </cell>
          <cell r="CY187" t="str">
            <v>ok</v>
          </cell>
          <cell r="CZ187" t="str">
            <v>ok</v>
          </cell>
          <cell r="DA187" t="str">
            <v>ok</v>
          </cell>
          <cell r="DB187" t="str">
            <v>ok</v>
          </cell>
          <cell r="DC187" t="str">
            <v>ok</v>
          </cell>
          <cell r="DD187" t="str">
            <v>ok</v>
          </cell>
          <cell r="DE187" t="str">
            <v>ok</v>
          </cell>
          <cell r="DF187" t="str">
            <v>ok</v>
          </cell>
          <cell r="DG187" t="str">
            <v>ok</v>
          </cell>
          <cell r="DH187" t="str">
            <v>ok</v>
          </cell>
          <cell r="DI187" t="str">
            <v>ok</v>
          </cell>
          <cell r="DJ187" t="str">
            <v>ok</v>
          </cell>
          <cell r="DK187" t="str">
            <v>ok</v>
          </cell>
          <cell r="DL187" t="str">
            <v>ok</v>
          </cell>
          <cell r="DM187" t="str">
            <v>ok</v>
          </cell>
          <cell r="DN187" t="str">
            <v>ok</v>
          </cell>
          <cell r="DO187" t="str">
            <v>ok</v>
          </cell>
          <cell r="DP187" t="str">
            <v>ok</v>
          </cell>
          <cell r="DQ187" t="str">
            <v>ok</v>
          </cell>
          <cell r="DR187" t="str">
            <v>ok</v>
          </cell>
        </row>
        <row r="189">
          <cell r="B189" t="str">
            <v>Free Cash Flow</v>
          </cell>
        </row>
        <row r="190">
          <cell r="B190" t="str">
            <v>Free cash flow</v>
          </cell>
          <cell r="D190">
            <v>-405.387</v>
          </cell>
          <cell r="E190">
            <v>25.28700000000001</v>
          </cell>
          <cell r="F190">
            <v>39.000000000000007</v>
          </cell>
          <cell r="G190">
            <v>70.099999999999994</v>
          </cell>
          <cell r="H190">
            <v>-271</v>
          </cell>
          <cell r="I190">
            <v>-34.299999999999997</v>
          </cell>
          <cell r="J190">
            <v>-115.1</v>
          </cell>
          <cell r="K190">
            <v>-6.6000000000000085</v>
          </cell>
          <cell r="L190">
            <v>-19.000000000000014</v>
          </cell>
          <cell r="M190">
            <v>-175</v>
          </cell>
          <cell r="N190">
            <v>-4.1000000000000014</v>
          </cell>
          <cell r="O190">
            <v>-105.5</v>
          </cell>
          <cell r="P190">
            <v>103.1</v>
          </cell>
          <cell r="Q190">
            <v>4.5</v>
          </cell>
          <cell r="R190">
            <v>-2</v>
          </cell>
          <cell r="S190">
            <v>-102</v>
          </cell>
          <cell r="T190">
            <v>-101</v>
          </cell>
          <cell r="U190">
            <v>-31</v>
          </cell>
          <cell r="V190">
            <v>103</v>
          </cell>
          <cell r="W190">
            <v>-131</v>
          </cell>
          <cell r="X190">
            <v>-66</v>
          </cell>
          <cell r="Y190">
            <v>122</v>
          </cell>
          <cell r="Z190">
            <v>-142</v>
          </cell>
          <cell r="AA190">
            <v>76</v>
          </cell>
          <cell r="AB190">
            <v>-10</v>
          </cell>
          <cell r="AC190">
            <v>-126</v>
          </cell>
          <cell r="AD190">
            <v>187</v>
          </cell>
          <cell r="AE190">
            <v>-135</v>
          </cell>
          <cell r="AF190">
            <v>324</v>
          </cell>
          <cell r="AG190">
            <v>250</v>
          </cell>
          <cell r="AH190">
            <v>151</v>
          </cell>
          <cell r="AI190">
            <v>335</v>
          </cell>
          <cell r="AJ190">
            <v>56</v>
          </cell>
          <cell r="AK190">
            <v>675</v>
          </cell>
          <cell r="AL190">
            <v>1217</v>
          </cell>
          <cell r="AM190">
            <v>278</v>
          </cell>
          <cell r="AN190">
            <v>325</v>
          </cell>
          <cell r="AO190">
            <v>307</v>
          </cell>
          <cell r="AP190">
            <v>516</v>
          </cell>
          <cell r="AQ190">
            <v>1426</v>
          </cell>
          <cell r="AR190">
            <v>501</v>
          </cell>
          <cell r="AS190">
            <v>28</v>
          </cell>
          <cell r="AT190">
            <v>98</v>
          </cell>
          <cell r="AZ190">
            <v>636</v>
          </cell>
          <cell r="BA190">
            <v>4</v>
          </cell>
          <cell r="BB190">
            <v>161</v>
          </cell>
          <cell r="BC190">
            <v>-8</v>
          </cell>
          <cell r="BD190">
            <v>-152</v>
          </cell>
          <cell r="BE190">
            <v>5</v>
          </cell>
          <cell r="BF190">
            <v>-173</v>
          </cell>
          <cell r="BG190">
            <v>8</v>
          </cell>
          <cell r="BH190">
            <v>7</v>
          </cell>
          <cell r="BI190">
            <v>-482</v>
          </cell>
          <cell r="BJ190">
            <v>-640</v>
          </cell>
          <cell r="BK190">
            <v>420</v>
          </cell>
          <cell r="BL190">
            <v>56</v>
          </cell>
          <cell r="BM190">
            <v>-151</v>
          </cell>
          <cell r="BN190">
            <v>-140</v>
          </cell>
          <cell r="BO190">
            <v>185</v>
          </cell>
          <cell r="BP190">
            <v>-438</v>
          </cell>
          <cell r="BQ190">
            <v>-446</v>
          </cell>
          <cell r="BR190">
            <v>52</v>
          </cell>
          <cell r="BS190">
            <v>-323</v>
          </cell>
          <cell r="BT190">
            <v>-1155</v>
          </cell>
          <cell r="BU190">
            <v>-265</v>
          </cell>
          <cell r="BV190">
            <v>135</v>
          </cell>
          <cell r="BW190">
            <v>-96</v>
          </cell>
          <cell r="BX190">
            <v>-191</v>
          </cell>
          <cell r="BY190">
            <v>-417</v>
          </cell>
          <cell r="BZ190">
            <v>-322</v>
          </cell>
          <cell r="CA190">
            <v>13</v>
          </cell>
          <cell r="CB190">
            <v>37</v>
          </cell>
          <cell r="CC190">
            <v>-67</v>
          </cell>
          <cell r="CD190">
            <v>-339</v>
          </cell>
          <cell r="CE190">
            <v>-108</v>
          </cell>
          <cell r="CF190">
            <v>99</v>
          </cell>
          <cell r="CG190">
            <v>29</v>
          </cell>
          <cell r="CH190">
            <v>-51</v>
          </cell>
          <cell r="CI190">
            <v>-31</v>
          </cell>
          <cell r="CJ190">
            <v>-105</v>
          </cell>
          <cell r="CK190">
            <v>114</v>
          </cell>
          <cell r="CL190">
            <v>8</v>
          </cell>
          <cell r="CM190">
            <v>-21</v>
          </cell>
          <cell r="CN190">
            <v>-4</v>
          </cell>
          <cell r="CO190">
            <v>-118</v>
          </cell>
          <cell r="CP190">
            <v>96</v>
          </cell>
          <cell r="CQ190">
            <v>48</v>
          </cell>
          <cell r="CR190">
            <v>-4</v>
          </cell>
          <cell r="CS190">
            <v>22</v>
          </cell>
          <cell r="CT190">
            <v>-178</v>
          </cell>
          <cell r="CU190">
            <v>127</v>
          </cell>
          <cell r="CV190">
            <v>28</v>
          </cell>
          <cell r="CW190">
            <v>71.113289465005181</v>
          </cell>
          <cell r="CX190">
            <v>48.113289465005181</v>
          </cell>
          <cell r="CY190">
            <v>-17.230000364815396</v>
          </cell>
          <cell r="CZ190">
            <v>37.853372851590791</v>
          </cell>
          <cell r="DA190">
            <v>66.543557086449312</v>
          </cell>
          <cell r="DB190">
            <v>41.859827247887324</v>
          </cell>
          <cell r="DC190">
            <v>129.02675682111203</v>
          </cell>
          <cell r="DD190">
            <v>78.397288335709931</v>
          </cell>
          <cell r="DE190">
            <v>74.413676442347537</v>
          </cell>
          <cell r="DF190">
            <v>86.55794656702713</v>
          </cell>
          <cell r="DG190">
            <v>63.792400624337006</v>
          </cell>
          <cell r="DH190">
            <v>303.1613119694216</v>
          </cell>
          <cell r="DI190">
            <v>71.764629943887002</v>
          </cell>
          <cell r="DJ190">
            <v>94.345687855502973</v>
          </cell>
          <cell r="DK190">
            <v>96.060000586998314</v>
          </cell>
          <cell r="DL190">
            <v>74.194727462313296</v>
          </cell>
          <cell r="DM190">
            <v>336.36504584870158</v>
          </cell>
          <cell r="DN190">
            <v>92.40165945675588</v>
          </cell>
          <cell r="DO190">
            <v>102.4639047374277</v>
          </cell>
          <cell r="DP190">
            <v>110.75558559919693</v>
          </cell>
          <cell r="DQ190">
            <v>87.138250806330291</v>
          </cell>
          <cell r="DR190">
            <v>392.75940059971077</v>
          </cell>
        </row>
        <row r="191">
          <cell r="B191" t="str">
            <v>y/y change</v>
          </cell>
          <cell r="I191" t="str">
            <v>nm</v>
          </cell>
          <cell r="J191" t="str">
            <v>nm</v>
          </cell>
          <cell r="K191" t="str">
            <v>nm</v>
          </cell>
          <cell r="L191" t="str">
            <v>nm</v>
          </cell>
          <cell r="M191" t="str">
            <v>nm</v>
          </cell>
          <cell r="N191" t="str">
            <v>nm</v>
          </cell>
          <cell r="O191" t="str">
            <v>nm</v>
          </cell>
          <cell r="P191" t="str">
            <v>nm</v>
          </cell>
          <cell r="Q191" t="str">
            <v>nm</v>
          </cell>
          <cell r="R191" t="str">
            <v>nm</v>
          </cell>
          <cell r="S191" t="str">
            <v>nm</v>
          </cell>
          <cell r="T191" t="str">
            <v>nm</v>
          </cell>
          <cell r="U191" t="str">
            <v>nm</v>
          </cell>
          <cell r="V191">
            <v>21.888888888888889</v>
          </cell>
          <cell r="W191" t="str">
            <v>nm</v>
          </cell>
          <cell r="X191" t="str">
            <v>nm</v>
          </cell>
          <cell r="Y191" t="str">
            <v>nm</v>
          </cell>
          <cell r="Z191" t="str">
            <v>nm</v>
          </cell>
          <cell r="AA191">
            <v>-0.26213592233009708</v>
          </cell>
          <cell r="AB191" t="str">
            <v>nm</v>
          </cell>
          <cell r="AC191" t="str">
            <v>nm</v>
          </cell>
          <cell r="AD191">
            <v>0.53278688524590168</v>
          </cell>
          <cell r="AE191" t="str">
            <v>nm</v>
          </cell>
          <cell r="AF191">
            <v>3.2631578947368425</v>
          </cell>
          <cell r="AG191" t="str">
            <v>nm</v>
          </cell>
          <cell r="AH191" t="str">
            <v>nm</v>
          </cell>
          <cell r="AI191">
            <v>0.79144385026737973</v>
          </cell>
          <cell r="AJ191" t="str">
            <v>nm</v>
          </cell>
          <cell r="AK191">
            <v>1.0833333333333335</v>
          </cell>
          <cell r="AL191">
            <v>3.8680000000000003</v>
          </cell>
          <cell r="AM191">
            <v>0.8410596026490067</v>
          </cell>
          <cell r="AN191">
            <v>-2.9850746268656692E-2</v>
          </cell>
          <cell r="AO191">
            <v>4.4821428571428568</v>
          </cell>
          <cell r="AP191">
            <v>-0.23555555555555552</v>
          </cell>
          <cell r="AQ191">
            <v>0.17173377156943292</v>
          </cell>
          <cell r="AR191">
            <v>0.80215827338129486</v>
          </cell>
          <cell r="AS191">
            <v>-0.91384615384615386</v>
          </cell>
          <cell r="AT191">
            <v>-0.6807817589576548</v>
          </cell>
          <cell r="BA191" t="str">
            <v>nm</v>
          </cell>
          <cell r="BB191" t="str">
            <v>nm</v>
          </cell>
          <cell r="BC191" t="str">
            <v>nm</v>
          </cell>
          <cell r="BD191" t="str">
            <v>nm</v>
          </cell>
          <cell r="BE191">
            <v>-0.99213836477987416</v>
          </cell>
          <cell r="BF191" t="str">
            <v>nm</v>
          </cell>
          <cell r="BG191">
            <v>-0.9503105590062112</v>
          </cell>
          <cell r="BH191" t="str">
            <v>nm</v>
          </cell>
          <cell r="BI191" t="str">
            <v>nm</v>
          </cell>
          <cell r="BJ191" t="str">
            <v>nm</v>
          </cell>
          <cell r="BK191" t="str">
            <v>nm</v>
          </cell>
          <cell r="BL191">
            <v>6</v>
          </cell>
          <cell r="BM191" t="str">
            <v>nm</v>
          </cell>
          <cell r="BN191" t="str">
            <v>nm</v>
          </cell>
          <cell r="BP191" t="str">
            <v>nm</v>
          </cell>
          <cell r="BQ191" t="str">
            <v>nm</v>
          </cell>
          <cell r="BR191" t="str">
            <v>nm</v>
          </cell>
          <cell r="BS191" t="str">
            <v>nm</v>
          </cell>
          <cell r="BT191" t="str">
            <v>nm</v>
          </cell>
          <cell r="BU191" t="str">
            <v>nm</v>
          </cell>
          <cell r="BV191" t="str">
            <v>nm</v>
          </cell>
          <cell r="BW191" t="str">
            <v>nm</v>
          </cell>
          <cell r="BX191" t="str">
            <v>nm</v>
          </cell>
          <cell r="BY191" t="str">
            <v>nm</v>
          </cell>
          <cell r="BZ191" t="str">
            <v>nm</v>
          </cell>
          <cell r="CA191" t="str">
            <v>nm</v>
          </cell>
          <cell r="CB191" t="str">
            <v>nm</v>
          </cell>
          <cell r="CC191" t="str">
            <v>nm</v>
          </cell>
          <cell r="CD191" t="str">
            <v>nm</v>
          </cell>
          <cell r="CE191" t="str">
            <v>nm</v>
          </cell>
          <cell r="CF191" t="str">
            <v>nm</v>
          </cell>
          <cell r="CG191">
            <v>-0.21621621621621623</v>
          </cell>
          <cell r="CH191" t="str">
            <v>nm</v>
          </cell>
          <cell r="CI191" t="str">
            <v>nm</v>
          </cell>
          <cell r="CJ191" t="str">
            <v>nm</v>
          </cell>
          <cell r="CK191">
            <v>0.1515151515151516</v>
          </cell>
          <cell r="CL191">
            <v>-0.72413793103448276</v>
          </cell>
          <cell r="CM191" t="str">
            <v>nm</v>
          </cell>
          <cell r="CN191" t="str">
            <v>nm</v>
          </cell>
          <cell r="CO191" t="str">
            <v>nm</v>
          </cell>
          <cell r="CP191">
            <v>-0.15789473684210531</v>
          </cell>
          <cell r="CQ191">
            <v>5</v>
          </cell>
          <cell r="CR191" t="str">
            <v>nm</v>
          </cell>
          <cell r="CS191" t="str">
            <v>nm</v>
          </cell>
          <cell r="CT191" t="str">
            <v>nm</v>
          </cell>
          <cell r="CU191">
            <v>0.32291666666666674</v>
          </cell>
          <cell r="CV191">
            <v>-0.41666666666666663</v>
          </cell>
          <cell r="CW191" t="str">
            <v>nm</v>
          </cell>
          <cell r="CX191">
            <v>1.1869677029547812</v>
          </cell>
          <cell r="CY191" t="str">
            <v>nm</v>
          </cell>
          <cell r="CZ191">
            <v>-0.70194194605046623</v>
          </cell>
          <cell r="DA191">
            <v>1.3765556102303327</v>
          </cell>
          <cell r="DB191">
            <v>-0.41136421106653309</v>
          </cell>
          <cell r="DC191">
            <v>1.6817280268263226</v>
          </cell>
          <cell r="DD191" t="str">
            <v>nm</v>
          </cell>
          <cell r="DE191">
            <v>0.96584005166716058</v>
          </cell>
          <cell r="DF191">
            <v>0.30077125956125772</v>
          </cell>
          <cell r="DG191">
            <v>0.52395279241284065</v>
          </cell>
          <cell r="DH191">
            <v>1.349600342119246</v>
          </cell>
          <cell r="DI191">
            <v>-8.4603160806032029E-2</v>
          </cell>
          <cell r="DJ191">
            <v>0.26785414141710739</v>
          </cell>
          <cell r="DK191">
            <v>0.10977679574010191</v>
          </cell>
          <cell r="DL191">
            <v>0.16306529831404037</v>
          </cell>
          <cell r="DM191">
            <v>0.10952497092580549</v>
          </cell>
          <cell r="DN191">
            <v>0.28756546963323082</v>
          </cell>
          <cell r="DO191">
            <v>8.6047566841193079E-2</v>
          </cell>
          <cell r="DP191">
            <v>0.15298339498644209</v>
          </cell>
          <cell r="DQ191">
            <v>0.17445341180869711</v>
          </cell>
          <cell r="DR191">
            <v>0.16765818995465898</v>
          </cell>
        </row>
        <row r="192">
          <cell r="CN192">
            <v>0.27682815832751495</v>
          </cell>
        </row>
        <row r="193">
          <cell r="B193" t="str">
            <v xml:space="preserve">Adjusted Cash Flow </v>
          </cell>
        </row>
        <row r="194">
          <cell r="B194" t="str">
            <v>Cash Flow from Operations</v>
          </cell>
          <cell r="D194">
            <v>-377.21100000000001</v>
          </cell>
          <cell r="E194">
            <v>56.711000000000013</v>
          </cell>
          <cell r="F194">
            <v>79.900000000000006</v>
          </cell>
          <cell r="G194">
            <v>233.6</v>
          </cell>
          <cell r="H194">
            <v>-7</v>
          </cell>
          <cell r="I194">
            <v>60.8</v>
          </cell>
          <cell r="J194">
            <v>-49.699999999999996</v>
          </cell>
          <cell r="K194">
            <v>68.2</v>
          </cell>
          <cell r="L194">
            <v>115.69999999999997</v>
          </cell>
          <cell r="M194">
            <v>195</v>
          </cell>
          <cell r="N194">
            <v>39.299999999999997</v>
          </cell>
          <cell r="O194">
            <v>-53.5</v>
          </cell>
          <cell r="P194">
            <v>269.09999999999997</v>
          </cell>
          <cell r="Q194">
            <v>149.10000000000002</v>
          </cell>
          <cell r="R194">
            <v>404</v>
          </cell>
          <cell r="S194">
            <v>1</v>
          </cell>
          <cell r="T194">
            <v>11</v>
          </cell>
          <cell r="U194">
            <v>125</v>
          </cell>
          <cell r="V194">
            <v>266</v>
          </cell>
          <cell r="W194">
            <v>403</v>
          </cell>
          <cell r="X194">
            <v>41</v>
          </cell>
          <cell r="Y194">
            <v>256</v>
          </cell>
          <cell r="Z194">
            <v>18</v>
          </cell>
          <cell r="AA194">
            <v>267</v>
          </cell>
          <cell r="AB194">
            <v>582</v>
          </cell>
          <cell r="AC194">
            <v>12</v>
          </cell>
          <cell r="AD194">
            <v>313</v>
          </cell>
          <cell r="AE194">
            <v>-3</v>
          </cell>
          <cell r="AF194">
            <v>547</v>
          </cell>
          <cell r="AG194">
            <v>869</v>
          </cell>
          <cell r="AH194">
            <v>271</v>
          </cell>
          <cell r="AI194">
            <v>454</v>
          </cell>
          <cell r="AJ194">
            <v>213</v>
          </cell>
          <cell r="AK194">
            <v>880</v>
          </cell>
          <cell r="AL194">
            <v>1818</v>
          </cell>
          <cell r="AM194">
            <v>487</v>
          </cell>
          <cell r="AN194">
            <v>531</v>
          </cell>
          <cell r="AO194">
            <v>475</v>
          </cell>
          <cell r="AP194">
            <v>822</v>
          </cell>
          <cell r="AQ194">
            <v>2315</v>
          </cell>
          <cell r="AR194">
            <v>696</v>
          </cell>
          <cell r="AS194">
            <v>246</v>
          </cell>
          <cell r="AT194">
            <v>327</v>
          </cell>
          <cell r="AZ194">
            <v>1126</v>
          </cell>
          <cell r="BA194">
            <v>224</v>
          </cell>
          <cell r="BB194">
            <v>359</v>
          </cell>
          <cell r="BC194">
            <v>137</v>
          </cell>
          <cell r="BD194">
            <v>118</v>
          </cell>
          <cell r="BE194">
            <v>838</v>
          </cell>
          <cell r="BF194">
            <v>-59</v>
          </cell>
          <cell r="BG194">
            <v>144</v>
          </cell>
          <cell r="BH194">
            <v>123</v>
          </cell>
          <cell r="BI194">
            <v>-290</v>
          </cell>
          <cell r="BJ194">
            <v>-82</v>
          </cell>
          <cell r="BK194">
            <v>516</v>
          </cell>
          <cell r="BL194">
            <v>184</v>
          </cell>
          <cell r="BM194">
            <v>-15</v>
          </cell>
          <cell r="BN194">
            <v>78</v>
          </cell>
          <cell r="BO194">
            <v>763</v>
          </cell>
          <cell r="BP194">
            <v>-321</v>
          </cell>
          <cell r="BQ194">
            <v>-320</v>
          </cell>
          <cell r="BR194">
            <v>200</v>
          </cell>
          <cell r="BS194">
            <v>-21</v>
          </cell>
          <cell r="BT194">
            <v>-462</v>
          </cell>
          <cell r="BU194">
            <v>-154</v>
          </cell>
          <cell r="BV194">
            <v>285</v>
          </cell>
          <cell r="BW194">
            <v>83</v>
          </cell>
          <cell r="BX194">
            <v>112</v>
          </cell>
          <cell r="BY194">
            <v>326</v>
          </cell>
          <cell r="BZ194">
            <v>-133</v>
          </cell>
          <cell r="CA194">
            <v>123</v>
          </cell>
          <cell r="CB194">
            <v>151</v>
          </cell>
          <cell r="CC194">
            <v>67</v>
          </cell>
          <cell r="CD194">
            <v>208</v>
          </cell>
          <cell r="CE194">
            <v>-6</v>
          </cell>
          <cell r="CF194">
            <v>170</v>
          </cell>
          <cell r="CG194">
            <v>120</v>
          </cell>
          <cell r="CH194">
            <v>141</v>
          </cell>
          <cell r="CI194">
            <v>425</v>
          </cell>
          <cell r="CJ194">
            <v>-22</v>
          </cell>
          <cell r="CK194">
            <v>191</v>
          </cell>
          <cell r="CL194">
            <v>128</v>
          </cell>
          <cell r="CM194">
            <v>175</v>
          </cell>
          <cell r="CN194">
            <v>472</v>
          </cell>
          <cell r="CO194">
            <v>-2</v>
          </cell>
          <cell r="CP194">
            <v>178</v>
          </cell>
          <cell r="CQ194">
            <v>148</v>
          </cell>
          <cell r="CR194">
            <v>173</v>
          </cell>
          <cell r="CS194">
            <v>497</v>
          </cell>
          <cell r="CT194">
            <v>-42</v>
          </cell>
          <cell r="CU194">
            <v>243</v>
          </cell>
          <cell r="CV194">
            <v>136</v>
          </cell>
          <cell r="CW194">
            <v>216.11328946500518</v>
          </cell>
          <cell r="CX194">
            <v>553.11328946500521</v>
          </cell>
          <cell r="CY194">
            <v>262.7699996351846</v>
          </cell>
          <cell r="CZ194">
            <v>167.85337285159079</v>
          </cell>
          <cell r="DA194">
            <v>196.54355708644931</v>
          </cell>
          <cell r="DB194">
            <v>176.85982724788732</v>
          </cell>
          <cell r="DC194">
            <v>804.02675682111203</v>
          </cell>
          <cell r="DD194">
            <v>208.39728833570993</v>
          </cell>
          <cell r="DE194">
            <v>204.41367644234754</v>
          </cell>
          <cell r="DF194">
            <v>216.55794656702713</v>
          </cell>
          <cell r="DG194">
            <v>193.79240062433701</v>
          </cell>
          <cell r="DH194">
            <v>823.1613119694216</v>
          </cell>
          <cell r="DI194">
            <v>201.764629943887</v>
          </cell>
          <cell r="DJ194">
            <v>224.34568785550297</v>
          </cell>
          <cell r="DK194">
            <v>226.06000058699831</v>
          </cell>
          <cell r="DL194">
            <v>204.1947274623133</v>
          </cell>
          <cell r="DM194">
            <v>856.36504584870158</v>
          </cell>
          <cell r="DN194">
            <v>222.40165945675588</v>
          </cell>
          <cell r="DO194">
            <v>232.4639047374277</v>
          </cell>
          <cell r="DP194">
            <v>240.75558559919693</v>
          </cell>
          <cell r="DQ194">
            <v>217.13825080633029</v>
          </cell>
          <cell r="DR194">
            <v>912.75940059971072</v>
          </cell>
        </row>
        <row r="195">
          <cell r="B195" t="str">
            <v>less: income tax (payments) refunds, net</v>
          </cell>
          <cell r="D195">
            <v>-34.18</v>
          </cell>
          <cell r="E195">
            <v>-4.7199999999999989</v>
          </cell>
          <cell r="F195">
            <v>0</v>
          </cell>
          <cell r="G195">
            <v>-6.1000000000000014</v>
          </cell>
          <cell r="H195">
            <v>-45</v>
          </cell>
          <cell r="I195">
            <v>0</v>
          </cell>
          <cell r="J195">
            <v>-19.7</v>
          </cell>
          <cell r="K195">
            <v>-6.4000000000000021</v>
          </cell>
          <cell r="L195">
            <v>-1.8999999999999986</v>
          </cell>
          <cell r="M195">
            <v>-28</v>
          </cell>
          <cell r="N195">
            <v>-20.5</v>
          </cell>
          <cell r="O195">
            <v>-76.900000000000006</v>
          </cell>
          <cell r="P195">
            <v>-18.899999999999991</v>
          </cell>
          <cell r="Q195">
            <v>-30.700000000000017</v>
          </cell>
          <cell r="R195">
            <v>-147</v>
          </cell>
          <cell r="S195">
            <v>-7</v>
          </cell>
          <cell r="T195">
            <v>-5</v>
          </cell>
          <cell r="U195">
            <v>1</v>
          </cell>
          <cell r="V195">
            <v>0</v>
          </cell>
          <cell r="W195">
            <v>-11</v>
          </cell>
          <cell r="X195">
            <v>48</v>
          </cell>
          <cell r="Y195">
            <v>-18</v>
          </cell>
          <cell r="Z195">
            <v>0</v>
          </cell>
          <cell r="AA195">
            <v>-23</v>
          </cell>
          <cell r="AB195">
            <v>7</v>
          </cell>
          <cell r="AC195">
            <v>-4</v>
          </cell>
          <cell r="AD195">
            <v>-37</v>
          </cell>
          <cell r="AE195">
            <v>-135</v>
          </cell>
          <cell r="AF195">
            <v>-50</v>
          </cell>
          <cell r="AG195">
            <v>-226</v>
          </cell>
          <cell r="AH195">
            <v>0.5</v>
          </cell>
          <cell r="AI195">
            <v>-111.5</v>
          </cell>
          <cell r="AJ195">
            <v>-79</v>
          </cell>
          <cell r="AK195">
            <v>-67</v>
          </cell>
          <cell r="AL195">
            <v>-257</v>
          </cell>
          <cell r="AM195">
            <v>2</v>
          </cell>
          <cell r="AN195">
            <v>-94</v>
          </cell>
          <cell r="AO195">
            <v>-161</v>
          </cell>
          <cell r="AP195">
            <v>-15</v>
          </cell>
          <cell r="AQ195">
            <v>-268</v>
          </cell>
          <cell r="AR195">
            <v>-23</v>
          </cell>
          <cell r="AS195">
            <v>329</v>
          </cell>
          <cell r="AT195">
            <v>215</v>
          </cell>
          <cell r="AZ195">
            <v>-268</v>
          </cell>
          <cell r="BA195">
            <v>-215</v>
          </cell>
          <cell r="BB195">
            <v>-99</v>
          </cell>
          <cell r="BC195">
            <v>-20</v>
          </cell>
          <cell r="BD195">
            <v>-17</v>
          </cell>
          <cell r="BE195">
            <v>-351</v>
          </cell>
          <cell r="BF195">
            <v>-25</v>
          </cell>
          <cell r="BG195">
            <v>-28</v>
          </cell>
          <cell r="BH195">
            <v>0</v>
          </cell>
          <cell r="BI195">
            <v>7</v>
          </cell>
          <cell r="BJ195">
            <v>-46</v>
          </cell>
          <cell r="BY195">
            <v>-162</v>
          </cell>
          <cell r="BZ195">
            <v>-1</v>
          </cell>
          <cell r="CA195">
            <v>4</v>
          </cell>
          <cell r="CB195">
            <v>0</v>
          </cell>
          <cell r="CC195">
            <v>1</v>
          </cell>
          <cell r="CD195">
            <v>4</v>
          </cell>
          <cell r="CE195">
            <v>0</v>
          </cell>
          <cell r="CF195">
            <v>-22</v>
          </cell>
          <cell r="CG195">
            <v>7</v>
          </cell>
          <cell r="CH195">
            <v>58</v>
          </cell>
          <cell r="CI195">
            <v>43</v>
          </cell>
          <cell r="CJ195">
            <v>-17</v>
          </cell>
          <cell r="CK195">
            <v>-17</v>
          </cell>
          <cell r="CL195">
            <v>0</v>
          </cell>
          <cell r="CM195">
            <v>0</v>
          </cell>
          <cell r="CN195">
            <v>-34</v>
          </cell>
          <cell r="CO195">
            <v>24</v>
          </cell>
          <cell r="CP195">
            <v>-4</v>
          </cell>
          <cell r="CQ195">
            <v>-11</v>
          </cell>
          <cell r="CR195">
            <v>0</v>
          </cell>
          <cell r="CS195">
            <v>9</v>
          </cell>
          <cell r="CT195">
            <v>0</v>
          </cell>
          <cell r="CU195">
            <v>0</v>
          </cell>
          <cell r="CV195">
            <v>0</v>
          </cell>
          <cell r="CW195">
            <v>0</v>
          </cell>
          <cell r="CX195">
            <v>0</v>
          </cell>
          <cell r="CY195">
            <v>0</v>
          </cell>
          <cell r="CZ195">
            <v>0</v>
          </cell>
          <cell r="DA195">
            <v>0</v>
          </cell>
          <cell r="DB195">
            <v>0</v>
          </cell>
          <cell r="DC195">
            <v>0</v>
          </cell>
          <cell r="DD195">
            <v>0</v>
          </cell>
          <cell r="DE195">
            <v>0</v>
          </cell>
          <cell r="DF195">
            <v>0</v>
          </cell>
          <cell r="DG195">
            <v>0</v>
          </cell>
          <cell r="DH195">
            <v>0</v>
          </cell>
          <cell r="DI195">
            <v>0</v>
          </cell>
          <cell r="DJ195">
            <v>0</v>
          </cell>
          <cell r="DK195">
            <v>0</v>
          </cell>
          <cell r="DL195">
            <v>0</v>
          </cell>
          <cell r="DM195">
            <v>0</v>
          </cell>
          <cell r="DN195">
            <v>0</v>
          </cell>
          <cell r="DO195">
            <v>0</v>
          </cell>
          <cell r="DP195">
            <v>0</v>
          </cell>
          <cell r="DQ195">
            <v>0</v>
          </cell>
          <cell r="DR195">
            <v>0</v>
          </cell>
        </row>
        <row r="196">
          <cell r="B196" t="str">
            <v>less: insurance recoveries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cell r="CI196">
            <v>0</v>
          </cell>
          <cell r="CJ196">
            <v>0</v>
          </cell>
          <cell r="CK196">
            <v>0</v>
          </cell>
          <cell r="CL196">
            <v>0</v>
          </cell>
          <cell r="CM196">
            <v>0</v>
          </cell>
          <cell r="CN196">
            <v>0</v>
          </cell>
          <cell r="CO196">
            <v>0</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cell r="DJ196">
            <v>0</v>
          </cell>
          <cell r="DK196">
            <v>0</v>
          </cell>
          <cell r="DL196">
            <v>0</v>
          </cell>
          <cell r="DM196">
            <v>0</v>
          </cell>
          <cell r="DN196">
            <v>0</v>
          </cell>
          <cell r="DO196">
            <v>0</v>
          </cell>
          <cell r="DP196">
            <v>0</v>
          </cell>
          <cell r="DQ196">
            <v>0</v>
          </cell>
          <cell r="DR196">
            <v>0</v>
          </cell>
        </row>
        <row r="197">
          <cell r="B197" t="str">
            <v>less: payment against litigation &amp; restructuring</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Z197">
            <v>18</v>
          </cell>
          <cell r="BA197">
            <v>0</v>
          </cell>
          <cell r="BB197">
            <v>0</v>
          </cell>
          <cell r="BC197">
            <v>0</v>
          </cell>
          <cell r="BD197">
            <v>148</v>
          </cell>
          <cell r="BE197">
            <v>148</v>
          </cell>
          <cell r="BF197">
            <v>187</v>
          </cell>
          <cell r="BG197">
            <v>57</v>
          </cell>
          <cell r="BH197">
            <v>5</v>
          </cell>
          <cell r="BI197">
            <v>31</v>
          </cell>
          <cell r="BJ197">
            <v>280</v>
          </cell>
          <cell r="BK197">
            <v>14</v>
          </cell>
          <cell r="BL197">
            <v>28</v>
          </cell>
          <cell r="BM197">
            <v>31</v>
          </cell>
          <cell r="BN197">
            <v>27</v>
          </cell>
          <cell r="BO197">
            <v>100</v>
          </cell>
          <cell r="BP197">
            <v>175</v>
          </cell>
          <cell r="BQ197">
            <v>489</v>
          </cell>
          <cell r="BR197">
            <v>19</v>
          </cell>
          <cell r="BS197">
            <v>15</v>
          </cell>
          <cell r="BT197">
            <v>698</v>
          </cell>
          <cell r="BU197">
            <v>7</v>
          </cell>
          <cell r="BV197">
            <v>21</v>
          </cell>
          <cell r="BW197">
            <v>11</v>
          </cell>
          <cell r="BX197">
            <v>31</v>
          </cell>
          <cell r="BY197">
            <v>70</v>
          </cell>
          <cell r="BZ197">
            <v>27</v>
          </cell>
          <cell r="CA197">
            <v>29</v>
          </cell>
          <cell r="CB197">
            <v>23</v>
          </cell>
          <cell r="CC197">
            <v>21</v>
          </cell>
          <cell r="CD197">
            <v>100</v>
          </cell>
          <cell r="CE197">
            <v>28</v>
          </cell>
          <cell r="CF197">
            <v>28</v>
          </cell>
          <cell r="CG197">
            <v>109</v>
          </cell>
          <cell r="CH197">
            <v>27</v>
          </cell>
          <cell r="CI197">
            <v>192</v>
          </cell>
          <cell r="CJ197">
            <v>24</v>
          </cell>
          <cell r="CK197">
            <v>27</v>
          </cell>
          <cell r="CL197">
            <v>25</v>
          </cell>
          <cell r="CM197">
            <v>7</v>
          </cell>
          <cell r="CN197">
            <v>83</v>
          </cell>
          <cell r="CO197">
            <v>7</v>
          </cell>
          <cell r="CP197">
            <v>14</v>
          </cell>
          <cell r="CQ197">
            <v>6</v>
          </cell>
          <cell r="CR197">
            <v>17</v>
          </cell>
          <cell r="CS197">
            <v>44</v>
          </cell>
          <cell r="CT197">
            <v>11</v>
          </cell>
          <cell r="CU197">
            <v>39</v>
          </cell>
          <cell r="CV197">
            <v>6</v>
          </cell>
          <cell r="CW197">
            <v>0</v>
          </cell>
          <cell r="CX197">
            <v>56</v>
          </cell>
          <cell r="CY197">
            <v>-3</v>
          </cell>
          <cell r="CZ197">
            <v>0</v>
          </cell>
          <cell r="DA197">
            <v>0</v>
          </cell>
          <cell r="DB197">
            <v>0</v>
          </cell>
          <cell r="DC197">
            <v>-3</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row>
        <row r="198">
          <cell r="B198" t="str">
            <v>less: net cash from discontinued operations</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8</v>
          </cell>
          <cell r="Y198">
            <v>12</v>
          </cell>
          <cell r="Z198">
            <v>17</v>
          </cell>
          <cell r="AA198">
            <v>-37</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Z198">
            <v>0</v>
          </cell>
          <cell r="BA198">
            <v>0</v>
          </cell>
          <cell r="BB198">
            <v>0</v>
          </cell>
          <cell r="BC198">
            <v>0</v>
          </cell>
          <cell r="BD198">
            <v>0</v>
          </cell>
          <cell r="BE198">
            <v>0</v>
          </cell>
          <cell r="BF198">
            <v>-46</v>
          </cell>
          <cell r="BG198">
            <v>-27</v>
          </cell>
          <cell r="BH198">
            <v>42</v>
          </cell>
          <cell r="BI198">
            <v>439</v>
          </cell>
          <cell r="BJ198">
            <v>408</v>
          </cell>
          <cell r="BK198">
            <v>-45</v>
          </cell>
          <cell r="BL198">
            <v>-32</v>
          </cell>
          <cell r="BM198">
            <v>24</v>
          </cell>
          <cell r="BN198">
            <v>8</v>
          </cell>
          <cell r="BO198">
            <v>-45</v>
          </cell>
          <cell r="BP198">
            <v>8</v>
          </cell>
          <cell r="BQ198">
            <v>41</v>
          </cell>
          <cell r="BR198">
            <v>-21</v>
          </cell>
          <cell r="BS198">
            <v>-5</v>
          </cell>
          <cell r="BT198">
            <v>23</v>
          </cell>
          <cell r="BU198">
            <v>-17</v>
          </cell>
          <cell r="BV198">
            <v>8</v>
          </cell>
          <cell r="BW198">
            <v>6</v>
          </cell>
          <cell r="BX198">
            <v>-22</v>
          </cell>
          <cell r="BY198">
            <v>-32</v>
          </cell>
          <cell r="BZ198">
            <v>0</v>
          </cell>
          <cell r="CA198">
            <v>-2</v>
          </cell>
          <cell r="CB198">
            <v>-34</v>
          </cell>
          <cell r="CC198">
            <v>12</v>
          </cell>
          <cell r="CD198">
            <v>-24</v>
          </cell>
          <cell r="CE198">
            <v>-56</v>
          </cell>
          <cell r="CF198">
            <v>28</v>
          </cell>
          <cell r="CG198">
            <v>-3</v>
          </cell>
          <cell r="CH198">
            <v>-9</v>
          </cell>
          <cell r="CI198">
            <v>-40</v>
          </cell>
          <cell r="CJ198">
            <v>-2</v>
          </cell>
          <cell r="CK198">
            <v>-3</v>
          </cell>
          <cell r="CL198">
            <v>7</v>
          </cell>
          <cell r="CM198">
            <v>-2</v>
          </cell>
          <cell r="CN198">
            <v>0</v>
          </cell>
          <cell r="CO198">
            <v>13</v>
          </cell>
          <cell r="CP198">
            <v>6</v>
          </cell>
          <cell r="CQ198">
            <v>22</v>
          </cell>
          <cell r="CR198">
            <v>6</v>
          </cell>
          <cell r="CS198">
            <v>47</v>
          </cell>
          <cell r="CT198">
            <v>19</v>
          </cell>
          <cell r="CU198">
            <v>3</v>
          </cell>
          <cell r="CV198">
            <v>-3</v>
          </cell>
          <cell r="CW198">
            <v>0</v>
          </cell>
          <cell r="CX198">
            <v>19</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row>
        <row r="199">
          <cell r="B199" t="str">
            <v>Adjusted Cash Flow from Operations</v>
          </cell>
          <cell r="D199">
            <v>-411.39100000000002</v>
          </cell>
          <cell r="E199">
            <v>51.991000000000014</v>
          </cell>
          <cell r="F199">
            <v>79.900000000000006</v>
          </cell>
          <cell r="G199">
            <v>227.5</v>
          </cell>
          <cell r="H199">
            <v>-52</v>
          </cell>
          <cell r="I199">
            <v>60.8</v>
          </cell>
          <cell r="J199">
            <v>-69.399999999999991</v>
          </cell>
          <cell r="K199">
            <v>61.8</v>
          </cell>
          <cell r="L199">
            <v>113.79999999999998</v>
          </cell>
          <cell r="M199">
            <v>167</v>
          </cell>
          <cell r="N199">
            <v>18.799999999999997</v>
          </cell>
          <cell r="O199">
            <v>-130.4</v>
          </cell>
          <cell r="P199">
            <v>250.2</v>
          </cell>
          <cell r="Q199">
            <v>118.4</v>
          </cell>
          <cell r="R199">
            <v>257</v>
          </cell>
          <cell r="S199">
            <v>-6</v>
          </cell>
          <cell r="T199">
            <v>6</v>
          </cell>
          <cell r="U199">
            <v>126</v>
          </cell>
          <cell r="V199">
            <v>266</v>
          </cell>
          <cell r="W199">
            <v>392</v>
          </cell>
          <cell r="X199">
            <v>97</v>
          </cell>
          <cell r="Y199">
            <v>250</v>
          </cell>
          <cell r="Z199">
            <v>35</v>
          </cell>
          <cell r="AA199">
            <v>207</v>
          </cell>
          <cell r="AB199">
            <v>589</v>
          </cell>
          <cell r="AC199">
            <v>8</v>
          </cell>
          <cell r="AD199">
            <v>276</v>
          </cell>
          <cell r="AE199">
            <v>-138</v>
          </cell>
          <cell r="AF199">
            <v>497</v>
          </cell>
          <cell r="AG199">
            <v>643</v>
          </cell>
          <cell r="AH199">
            <v>271.5</v>
          </cell>
          <cell r="AI199">
            <v>342.5</v>
          </cell>
          <cell r="AJ199">
            <v>134</v>
          </cell>
          <cell r="AK199">
            <v>813</v>
          </cell>
          <cell r="AL199">
            <v>1561</v>
          </cell>
          <cell r="AM199">
            <v>489</v>
          </cell>
          <cell r="AN199">
            <v>437</v>
          </cell>
          <cell r="AO199">
            <v>314</v>
          </cell>
          <cell r="AP199">
            <v>807</v>
          </cell>
          <cell r="AQ199">
            <v>2047</v>
          </cell>
          <cell r="AR199">
            <v>673</v>
          </cell>
          <cell r="AS199">
            <v>575</v>
          </cell>
          <cell r="AT199">
            <v>542</v>
          </cell>
          <cell r="AZ199">
            <v>876</v>
          </cell>
          <cell r="BA199">
            <v>9</v>
          </cell>
          <cell r="BB199">
            <v>260</v>
          </cell>
          <cell r="BC199">
            <v>117</v>
          </cell>
          <cell r="BD199">
            <v>249</v>
          </cell>
          <cell r="BE199">
            <v>635</v>
          </cell>
          <cell r="BF199">
            <v>57</v>
          </cell>
          <cell r="BG199">
            <v>146</v>
          </cell>
          <cell r="BH199">
            <v>170</v>
          </cell>
          <cell r="BI199">
            <v>187</v>
          </cell>
          <cell r="BJ199">
            <v>560</v>
          </cell>
          <cell r="BK199">
            <v>485</v>
          </cell>
          <cell r="BL199">
            <v>180</v>
          </cell>
          <cell r="BM199">
            <v>40</v>
          </cell>
          <cell r="BN199">
            <v>113</v>
          </cell>
          <cell r="BO199">
            <v>818</v>
          </cell>
          <cell r="BP199">
            <v>-138</v>
          </cell>
          <cell r="BQ199">
            <v>210</v>
          </cell>
          <cell r="BR199">
            <v>198</v>
          </cell>
          <cell r="BS199">
            <v>-11</v>
          </cell>
          <cell r="BT199">
            <v>259</v>
          </cell>
          <cell r="BU199">
            <v>-164</v>
          </cell>
          <cell r="BV199">
            <v>314</v>
          </cell>
          <cell r="BW199">
            <v>100</v>
          </cell>
          <cell r="BX199">
            <v>121</v>
          </cell>
          <cell r="BY199">
            <v>202</v>
          </cell>
          <cell r="BZ199">
            <v>-107</v>
          </cell>
          <cell r="CA199">
            <v>154</v>
          </cell>
          <cell r="CB199">
            <v>140</v>
          </cell>
          <cell r="CC199">
            <v>101</v>
          </cell>
          <cell r="CD199">
            <v>288</v>
          </cell>
          <cell r="CE199">
            <v>-34</v>
          </cell>
          <cell r="CF199">
            <v>204</v>
          </cell>
          <cell r="CG199">
            <v>233</v>
          </cell>
          <cell r="CH199">
            <v>217</v>
          </cell>
          <cell r="CI199">
            <v>620</v>
          </cell>
          <cell r="CJ199">
            <v>-17</v>
          </cell>
          <cell r="CK199">
            <v>198</v>
          </cell>
          <cell r="CL199">
            <v>160</v>
          </cell>
          <cell r="CM199">
            <v>180</v>
          </cell>
          <cell r="CN199">
            <v>521</v>
          </cell>
          <cell r="CO199">
            <v>42</v>
          </cell>
          <cell r="CP199">
            <v>194</v>
          </cell>
          <cell r="CQ199">
            <v>165</v>
          </cell>
          <cell r="CR199">
            <v>196</v>
          </cell>
          <cell r="CS199">
            <v>597</v>
          </cell>
          <cell r="CT199">
            <v>-12</v>
          </cell>
          <cell r="CU199">
            <v>285</v>
          </cell>
          <cell r="CV199">
            <v>139</v>
          </cell>
          <cell r="CW199">
            <v>216.11328946500518</v>
          </cell>
          <cell r="CX199">
            <v>628.11328946500521</v>
          </cell>
          <cell r="CY199">
            <v>259.7699996351846</v>
          </cell>
          <cell r="CZ199">
            <v>167.85337285159079</v>
          </cell>
          <cell r="DA199">
            <v>196.54355708644931</v>
          </cell>
          <cell r="DB199">
            <v>176.85982724788732</v>
          </cell>
          <cell r="DC199">
            <v>801.02675682111203</v>
          </cell>
          <cell r="DD199">
            <v>208.39728833570993</v>
          </cell>
          <cell r="DE199">
            <v>204.41367644234754</v>
          </cell>
          <cell r="DF199">
            <v>216.55794656702713</v>
          </cell>
          <cell r="DG199">
            <v>193.79240062433701</v>
          </cell>
          <cell r="DH199">
            <v>823.1613119694216</v>
          </cell>
          <cell r="DI199">
            <v>201.764629943887</v>
          </cell>
          <cell r="DJ199">
            <v>224.34568785550297</v>
          </cell>
          <cell r="DK199">
            <v>226.06000058699831</v>
          </cell>
          <cell r="DL199">
            <v>204.1947274623133</v>
          </cell>
          <cell r="DM199">
            <v>856.36504584870158</v>
          </cell>
          <cell r="DN199">
            <v>222.40165945675588</v>
          </cell>
          <cell r="DO199">
            <v>232.4639047374277</v>
          </cell>
          <cell r="DP199">
            <v>240.75558559919693</v>
          </cell>
          <cell r="DQ199">
            <v>217.13825080633029</v>
          </cell>
          <cell r="DR199">
            <v>912.75940059971072</v>
          </cell>
        </row>
        <row r="200">
          <cell r="B200" t="str">
            <v>Capital expenditures</v>
          </cell>
          <cell r="D200">
            <v>-28.175999999999998</v>
          </cell>
          <cell r="E200">
            <v>-31.424000000000003</v>
          </cell>
          <cell r="F200">
            <v>-40.9</v>
          </cell>
          <cell r="G200">
            <v>-163.5</v>
          </cell>
          <cell r="H200">
            <v>-264</v>
          </cell>
          <cell r="I200">
            <v>-95.1</v>
          </cell>
          <cell r="J200">
            <v>-65.400000000000006</v>
          </cell>
          <cell r="K200">
            <v>-74.800000000000011</v>
          </cell>
          <cell r="L200">
            <v>-134.69999999999999</v>
          </cell>
          <cell r="M200">
            <v>-370</v>
          </cell>
          <cell r="N200">
            <v>-43.4</v>
          </cell>
          <cell r="O200">
            <v>-52.000000000000007</v>
          </cell>
          <cell r="P200">
            <v>-165.99999999999997</v>
          </cell>
          <cell r="Q200">
            <v>-144.60000000000002</v>
          </cell>
          <cell r="R200">
            <v>-406</v>
          </cell>
          <cell r="S200">
            <v>-103</v>
          </cell>
          <cell r="T200">
            <v>-112</v>
          </cell>
          <cell r="U200">
            <v>-156</v>
          </cell>
          <cell r="V200">
            <v>-163</v>
          </cell>
          <cell r="W200">
            <v>-534</v>
          </cell>
          <cell r="X200">
            <v>-107</v>
          </cell>
          <cell r="Y200">
            <v>-134</v>
          </cell>
          <cell r="Z200">
            <v>-160</v>
          </cell>
          <cell r="AA200">
            <v>-191</v>
          </cell>
          <cell r="AB200">
            <v>-592</v>
          </cell>
          <cell r="AC200">
            <v>-138</v>
          </cell>
          <cell r="AD200">
            <v>-126</v>
          </cell>
          <cell r="AE200">
            <v>-132</v>
          </cell>
          <cell r="AF200">
            <v>-223</v>
          </cell>
          <cell r="AG200">
            <v>-619</v>
          </cell>
          <cell r="AH200">
            <v>-120</v>
          </cell>
          <cell r="AI200">
            <v>-119</v>
          </cell>
          <cell r="AJ200">
            <v>-157</v>
          </cell>
          <cell r="AK200">
            <v>-205</v>
          </cell>
          <cell r="AL200">
            <v>-601</v>
          </cell>
          <cell r="AM200">
            <v>-209</v>
          </cell>
          <cell r="AN200">
            <v>-206</v>
          </cell>
          <cell r="AO200">
            <v>-168</v>
          </cell>
          <cell r="AP200">
            <v>-306</v>
          </cell>
          <cell r="AQ200">
            <v>-889</v>
          </cell>
          <cell r="AR200">
            <v>-195</v>
          </cell>
          <cell r="AS200">
            <v>-218</v>
          </cell>
          <cell r="AT200">
            <v>-229</v>
          </cell>
          <cell r="AZ200">
            <v>-490</v>
          </cell>
          <cell r="BA200">
            <v>-220</v>
          </cell>
          <cell r="BB200">
            <v>-198</v>
          </cell>
          <cell r="BC200">
            <v>-145</v>
          </cell>
          <cell r="BD200">
            <v>-190</v>
          </cell>
          <cell r="BE200">
            <v>-753</v>
          </cell>
          <cell r="BF200">
            <v>-82</v>
          </cell>
          <cell r="BG200">
            <v>-93</v>
          </cell>
          <cell r="BH200">
            <v>-96</v>
          </cell>
          <cell r="BI200">
            <v>-183</v>
          </cell>
          <cell r="BJ200">
            <v>-454</v>
          </cell>
          <cell r="BK200">
            <v>-96</v>
          </cell>
          <cell r="BL200">
            <v>-127</v>
          </cell>
          <cell r="BM200">
            <v>-135</v>
          </cell>
          <cell r="BN200">
            <v>-218</v>
          </cell>
          <cell r="BO200">
            <v>-576</v>
          </cell>
          <cell r="BP200">
            <v>-116</v>
          </cell>
          <cell r="BQ200">
            <v>-97</v>
          </cell>
          <cell r="BR200">
            <v>-133</v>
          </cell>
          <cell r="BS200">
            <v>-297</v>
          </cell>
          <cell r="BT200">
            <v>-643</v>
          </cell>
          <cell r="BU200">
            <v>-110</v>
          </cell>
          <cell r="BV200">
            <v>-148</v>
          </cell>
          <cell r="BW200">
            <v>-171</v>
          </cell>
          <cell r="BX200">
            <v>-300</v>
          </cell>
          <cell r="BY200">
            <v>-729</v>
          </cell>
          <cell r="BZ200">
            <v>-157</v>
          </cell>
          <cell r="CA200">
            <v>-101</v>
          </cell>
          <cell r="CB200">
            <v>-108</v>
          </cell>
          <cell r="CC200">
            <v>-130</v>
          </cell>
          <cell r="CD200">
            <v>-496</v>
          </cell>
          <cell r="CE200">
            <v>-101</v>
          </cell>
          <cell r="CF200">
            <v>-71</v>
          </cell>
          <cell r="CG200">
            <v>-91</v>
          </cell>
          <cell r="CH200">
            <v>-192</v>
          </cell>
          <cell r="CI200">
            <v>-455</v>
          </cell>
          <cell r="CJ200">
            <v>-83</v>
          </cell>
          <cell r="CK200">
            <v>-77</v>
          </cell>
          <cell r="CL200">
            <v>-107</v>
          </cell>
          <cell r="CM200">
            <v>-196</v>
          </cell>
          <cell r="CN200">
            <v>-463</v>
          </cell>
          <cell r="CO200">
            <v>-116</v>
          </cell>
          <cell r="CP200">
            <v>-82</v>
          </cell>
          <cell r="CQ200">
            <v>-100</v>
          </cell>
          <cell r="CR200">
            <v>-177</v>
          </cell>
          <cell r="CS200">
            <v>-475</v>
          </cell>
          <cell r="CT200">
            <v>-136</v>
          </cell>
          <cell r="CU200">
            <v>-115</v>
          </cell>
          <cell r="CV200">
            <v>-107</v>
          </cell>
          <cell r="CW200">
            <v>-125</v>
          </cell>
          <cell r="CX200">
            <v>-483</v>
          </cell>
          <cell r="CY200">
            <v>-115</v>
          </cell>
          <cell r="CZ200">
            <v>-115</v>
          </cell>
          <cell r="DA200">
            <v>-115</v>
          </cell>
          <cell r="DB200">
            <v>-115</v>
          </cell>
          <cell r="DC200">
            <v>-460</v>
          </cell>
          <cell r="DD200">
            <v>-115</v>
          </cell>
          <cell r="DE200">
            <v>-115</v>
          </cell>
          <cell r="DF200">
            <v>-115</v>
          </cell>
          <cell r="DG200">
            <v>-115</v>
          </cell>
          <cell r="DH200">
            <v>-460</v>
          </cell>
          <cell r="DI200">
            <v>-115</v>
          </cell>
          <cell r="DJ200">
            <v>-115</v>
          </cell>
          <cell r="DK200">
            <v>-115</v>
          </cell>
          <cell r="DL200">
            <v>-115</v>
          </cell>
          <cell r="DM200">
            <v>-460</v>
          </cell>
          <cell r="DN200">
            <v>-115</v>
          </cell>
          <cell r="DO200">
            <v>-115</v>
          </cell>
          <cell r="DP200">
            <v>-115</v>
          </cell>
          <cell r="DQ200">
            <v>-115</v>
          </cell>
          <cell r="DR200">
            <v>-460</v>
          </cell>
        </row>
        <row r="201">
          <cell r="B201" t="str">
            <v>Hospital construction</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Z201">
            <v>0</v>
          </cell>
          <cell r="BA201">
            <v>0</v>
          </cell>
          <cell r="BB201">
            <v>0</v>
          </cell>
          <cell r="BC201">
            <v>0</v>
          </cell>
          <cell r="BD201">
            <v>-80</v>
          </cell>
          <cell r="BE201">
            <v>-80</v>
          </cell>
          <cell r="BF201">
            <v>-27</v>
          </cell>
          <cell r="BG201">
            <v>-38</v>
          </cell>
          <cell r="BH201">
            <v>-14</v>
          </cell>
          <cell r="BI201">
            <v>-5</v>
          </cell>
          <cell r="BJ201">
            <v>-84</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cell r="CI201">
            <v>0</v>
          </cell>
          <cell r="CJ201">
            <v>0</v>
          </cell>
          <cell r="CK201">
            <v>0</v>
          </cell>
          <cell r="CL201">
            <v>0</v>
          </cell>
          <cell r="CM201">
            <v>0</v>
          </cell>
          <cell r="CN201">
            <v>0</v>
          </cell>
          <cell r="CO201">
            <v>0</v>
          </cell>
          <cell r="CP201">
            <v>0</v>
          </cell>
          <cell r="CQ201">
            <v>0</v>
          </cell>
          <cell r="CR201">
            <v>0</v>
          </cell>
          <cell r="CS201">
            <v>0</v>
          </cell>
          <cell r="CT201">
            <v>0</v>
          </cell>
          <cell r="CU201">
            <v>0</v>
          </cell>
          <cell r="CV201">
            <v>0</v>
          </cell>
          <cell r="CW201">
            <v>-20</v>
          </cell>
          <cell r="CX201">
            <v>-20</v>
          </cell>
          <cell r="CY201">
            <v>-15</v>
          </cell>
          <cell r="CZ201">
            <v>-15</v>
          </cell>
          <cell r="DA201">
            <v>-15</v>
          </cell>
          <cell r="DB201">
            <v>-20</v>
          </cell>
          <cell r="DC201">
            <v>-65</v>
          </cell>
          <cell r="DD201">
            <v>-15</v>
          </cell>
          <cell r="DE201">
            <v>-15</v>
          </cell>
          <cell r="DF201">
            <v>-15</v>
          </cell>
          <cell r="DG201">
            <v>-15</v>
          </cell>
          <cell r="DH201">
            <v>-60</v>
          </cell>
          <cell r="DI201">
            <v>-15</v>
          </cell>
          <cell r="DJ201">
            <v>-15</v>
          </cell>
          <cell r="DK201">
            <v>-15</v>
          </cell>
          <cell r="DL201">
            <v>-15</v>
          </cell>
          <cell r="DM201">
            <v>-60</v>
          </cell>
          <cell r="DN201">
            <v>-15</v>
          </cell>
          <cell r="DO201">
            <v>-15</v>
          </cell>
          <cell r="DP201">
            <v>-15</v>
          </cell>
          <cell r="DQ201">
            <v>-15</v>
          </cell>
          <cell r="DR201">
            <v>-60</v>
          </cell>
        </row>
        <row r="202">
          <cell r="B202" t="str">
            <v>Adjusted Free Cash Flow</v>
          </cell>
          <cell r="D202">
            <v>-439.56700000000001</v>
          </cell>
          <cell r="E202">
            <v>20.567000000000011</v>
          </cell>
          <cell r="F202">
            <v>39.000000000000007</v>
          </cell>
          <cell r="G202">
            <v>64</v>
          </cell>
          <cell r="H202">
            <v>-316</v>
          </cell>
          <cell r="I202">
            <v>-34.299999999999997</v>
          </cell>
          <cell r="J202">
            <v>-134.80000000000001</v>
          </cell>
          <cell r="K202">
            <v>-13.000000000000014</v>
          </cell>
          <cell r="L202">
            <v>-20.900000000000006</v>
          </cell>
          <cell r="M202">
            <v>-203</v>
          </cell>
          <cell r="N202">
            <v>-24.6</v>
          </cell>
          <cell r="O202">
            <v>-182.4</v>
          </cell>
          <cell r="P202">
            <v>84.200000000000017</v>
          </cell>
          <cell r="Q202">
            <v>-26.200000000000017</v>
          </cell>
          <cell r="R202">
            <v>-149</v>
          </cell>
          <cell r="S202">
            <v>-109</v>
          </cell>
          <cell r="T202">
            <v>-106</v>
          </cell>
          <cell r="U202">
            <v>-30</v>
          </cell>
          <cell r="V202">
            <v>103</v>
          </cell>
          <cell r="W202">
            <v>-142</v>
          </cell>
          <cell r="X202">
            <v>-10</v>
          </cell>
          <cell r="Y202">
            <v>116</v>
          </cell>
          <cell r="Z202">
            <v>-125</v>
          </cell>
          <cell r="AA202">
            <v>16</v>
          </cell>
          <cell r="AB202">
            <v>-3</v>
          </cell>
          <cell r="AC202">
            <v>-130</v>
          </cell>
          <cell r="AD202">
            <v>150</v>
          </cell>
          <cell r="AE202">
            <v>-270</v>
          </cell>
          <cell r="AF202">
            <v>274</v>
          </cell>
          <cell r="AG202">
            <v>24</v>
          </cell>
          <cell r="AH202">
            <v>151.5</v>
          </cell>
          <cell r="AI202">
            <v>223.5</v>
          </cell>
          <cell r="AJ202">
            <v>-23</v>
          </cell>
          <cell r="AK202">
            <v>608</v>
          </cell>
          <cell r="AL202">
            <v>960</v>
          </cell>
          <cell r="AM202">
            <v>280</v>
          </cell>
          <cell r="AN202">
            <v>231</v>
          </cell>
          <cell r="AO202">
            <v>146</v>
          </cell>
          <cell r="AP202">
            <v>501</v>
          </cell>
          <cell r="AQ202">
            <v>1158</v>
          </cell>
          <cell r="AR202">
            <v>478</v>
          </cell>
          <cell r="AS202">
            <v>357</v>
          </cell>
          <cell r="AT202">
            <v>313</v>
          </cell>
          <cell r="AZ202">
            <v>386</v>
          </cell>
          <cell r="BA202">
            <v>-211</v>
          </cell>
          <cell r="BB202">
            <v>62</v>
          </cell>
          <cell r="BC202">
            <v>-28</v>
          </cell>
          <cell r="BD202">
            <v>-21</v>
          </cell>
          <cell r="BE202">
            <v>-198</v>
          </cell>
          <cell r="BF202">
            <v>-52</v>
          </cell>
          <cell r="BG202">
            <v>15</v>
          </cell>
          <cell r="BH202">
            <v>60</v>
          </cell>
          <cell r="BI202">
            <v>-1</v>
          </cell>
          <cell r="BJ202">
            <v>22</v>
          </cell>
          <cell r="BK202">
            <v>389</v>
          </cell>
          <cell r="BL202">
            <v>53</v>
          </cell>
          <cell r="BM202">
            <v>-95</v>
          </cell>
          <cell r="BN202">
            <v>-105</v>
          </cell>
          <cell r="BO202">
            <v>242</v>
          </cell>
          <cell r="BP202">
            <v>-254</v>
          </cell>
          <cell r="BQ202">
            <v>113</v>
          </cell>
          <cell r="BR202">
            <v>65</v>
          </cell>
          <cell r="BS202">
            <v>-308</v>
          </cell>
          <cell r="BT202">
            <v>-384</v>
          </cell>
          <cell r="BU202">
            <v>-274</v>
          </cell>
          <cell r="BV202">
            <v>166</v>
          </cell>
          <cell r="BW202">
            <v>-71</v>
          </cell>
          <cell r="BX202">
            <v>-179</v>
          </cell>
          <cell r="BY202">
            <v>-527</v>
          </cell>
          <cell r="BZ202">
            <v>-264</v>
          </cell>
          <cell r="CA202">
            <v>53</v>
          </cell>
          <cell r="CB202">
            <v>32</v>
          </cell>
          <cell r="CC202">
            <v>-29</v>
          </cell>
          <cell r="CD202">
            <v>-208</v>
          </cell>
          <cell r="CE202">
            <v>-135</v>
          </cell>
          <cell r="CF202">
            <v>133</v>
          </cell>
          <cell r="CG202">
            <v>142</v>
          </cell>
          <cell r="CH202">
            <v>25</v>
          </cell>
          <cell r="CI202">
            <v>165</v>
          </cell>
          <cell r="CJ202">
            <v>-100</v>
          </cell>
          <cell r="CK202">
            <v>121</v>
          </cell>
          <cell r="CL202">
            <v>53</v>
          </cell>
          <cell r="CM202">
            <v>-16</v>
          </cell>
          <cell r="CN202">
            <v>58</v>
          </cell>
          <cell r="CO202">
            <v>-74</v>
          </cell>
          <cell r="CP202">
            <v>112</v>
          </cell>
          <cell r="CQ202">
            <v>65</v>
          </cell>
          <cell r="CR202">
            <v>19</v>
          </cell>
          <cell r="CS202">
            <v>122</v>
          </cell>
          <cell r="CT202">
            <v>-148</v>
          </cell>
          <cell r="CU202">
            <v>170</v>
          </cell>
          <cell r="CV202">
            <v>32</v>
          </cell>
          <cell r="CW202">
            <v>71.113289465005181</v>
          </cell>
          <cell r="CX202">
            <v>125.11328946500521</v>
          </cell>
          <cell r="CY202">
            <v>129.7699996351846</v>
          </cell>
          <cell r="CZ202">
            <v>37.853372851590791</v>
          </cell>
          <cell r="DA202">
            <v>66.543557086449312</v>
          </cell>
          <cell r="DB202">
            <v>41.859827247887324</v>
          </cell>
          <cell r="DC202">
            <v>276.02675682111203</v>
          </cell>
          <cell r="DD202">
            <v>78.397288335709931</v>
          </cell>
          <cell r="DE202">
            <v>74.413676442347537</v>
          </cell>
          <cell r="DF202">
            <v>86.55794656702713</v>
          </cell>
          <cell r="DG202">
            <v>63.792400624337006</v>
          </cell>
          <cell r="DH202">
            <v>303.1613119694216</v>
          </cell>
          <cell r="DI202">
            <v>71.764629943887002</v>
          </cell>
          <cell r="DJ202">
            <v>94.345687855502973</v>
          </cell>
          <cell r="DK202">
            <v>96.060000586998314</v>
          </cell>
          <cell r="DL202">
            <v>74.194727462313296</v>
          </cell>
          <cell r="DM202">
            <v>336.36504584870158</v>
          </cell>
          <cell r="DN202">
            <v>92.40165945675588</v>
          </cell>
          <cell r="DO202">
            <v>102.4639047374277</v>
          </cell>
          <cell r="DP202">
            <v>110.75558559919693</v>
          </cell>
          <cell r="DQ202">
            <v>87.138250806330291</v>
          </cell>
          <cell r="DR202">
            <v>392.75940059971072</v>
          </cell>
        </row>
        <row r="203">
          <cell r="B203" t="str">
            <v>adj FCF realization ratio (FCF/NI)</v>
          </cell>
          <cell r="D203" t="str">
            <v>nm</v>
          </cell>
          <cell r="E203" t="str">
            <v>nm</v>
          </cell>
          <cell r="F203" t="str">
            <v>nm</v>
          </cell>
          <cell r="G203" t="str">
            <v>nm</v>
          </cell>
          <cell r="H203" t="str">
            <v>nm</v>
          </cell>
          <cell r="I203" t="str">
            <v>nm</v>
          </cell>
          <cell r="J203" t="str">
            <v>nm</v>
          </cell>
          <cell r="K203" t="str">
            <v>nm</v>
          </cell>
          <cell r="L203" t="str">
            <v>nm</v>
          </cell>
          <cell r="M203" t="str">
            <v>nm</v>
          </cell>
          <cell r="N203" t="str">
            <v>nm</v>
          </cell>
          <cell r="O203" t="str">
            <v>nm</v>
          </cell>
          <cell r="P203" t="str">
            <v>nm</v>
          </cell>
          <cell r="Q203" t="str">
            <v>nm</v>
          </cell>
          <cell r="R203" t="str">
            <v>nm</v>
          </cell>
          <cell r="S203" t="str">
            <v>nm</v>
          </cell>
          <cell r="T203" t="str">
            <v>nm</v>
          </cell>
          <cell r="U203" t="str">
            <v>nm</v>
          </cell>
          <cell r="V203" t="str">
            <v>nm</v>
          </cell>
          <cell r="W203" t="str">
            <v>nm</v>
          </cell>
          <cell r="X203" t="str">
            <v>nm</v>
          </cell>
          <cell r="Y203">
            <v>0.92800000000000005</v>
          </cell>
          <cell r="Z203" t="str">
            <v>nm</v>
          </cell>
          <cell r="AA203">
            <v>-0.11678832116788321</v>
          </cell>
          <cell r="AB203" t="str">
            <v>nm</v>
          </cell>
          <cell r="AC203" t="str">
            <v>nm</v>
          </cell>
          <cell r="AD203">
            <v>1.1111111111111112</v>
          </cell>
          <cell r="AE203" t="str">
            <v>nm</v>
          </cell>
          <cell r="AF203">
            <v>13.7</v>
          </cell>
          <cell r="AG203">
            <v>7.9470198675496692E-2</v>
          </cell>
          <cell r="AH203">
            <v>0.98376623376623373</v>
          </cell>
          <cell r="AI203">
            <v>1.2771428571428571</v>
          </cell>
          <cell r="AJ203" t="str">
            <v>nm</v>
          </cell>
          <cell r="AK203">
            <v>5.2413793103448274</v>
          </cell>
          <cell r="AL203">
            <v>1.4930015552099534</v>
          </cell>
          <cell r="AM203">
            <v>1.8064516129032258</v>
          </cell>
          <cell r="AN203">
            <v>2.595505617977528</v>
          </cell>
          <cell r="AO203">
            <v>0.52142857142857146</v>
          </cell>
          <cell r="AP203">
            <v>1.9195402298850575</v>
          </cell>
          <cell r="AQ203">
            <v>1.4751592356687897</v>
          </cell>
          <cell r="AR203">
            <v>1.4142011834319526</v>
          </cell>
          <cell r="AS203">
            <v>1.1333333333333333</v>
          </cell>
          <cell r="AT203">
            <v>-5.6909090909090905</v>
          </cell>
          <cell r="AZ203">
            <v>0.84095860566448799</v>
          </cell>
          <cell r="BA203" t="str">
            <v>nm</v>
          </cell>
          <cell r="BB203">
            <v>-0.31794871794871793</v>
          </cell>
          <cell r="BC203" t="str">
            <v>nm</v>
          </cell>
          <cell r="BD203" t="str">
            <v>nm</v>
          </cell>
          <cell r="BE203" t="str">
            <v>nm</v>
          </cell>
          <cell r="BF203" t="str">
            <v>nm</v>
          </cell>
          <cell r="BG203">
            <v>-3.5211267605633804E-2</v>
          </cell>
          <cell r="BH203">
            <v>-0.8571428571428571</v>
          </cell>
          <cell r="BI203" t="str">
            <v>nm</v>
          </cell>
          <cell r="BJ203">
            <v>-8.3333333333333332E-3</v>
          </cell>
          <cell r="BK203">
            <v>-97.25</v>
          </cell>
          <cell r="BL203">
            <v>-1.606060606060606</v>
          </cell>
          <cell r="BM203" t="str">
            <v>nm</v>
          </cell>
          <cell r="BN203" t="str">
            <v>nm</v>
          </cell>
          <cell r="BO203">
            <v>-0.33425414364640882</v>
          </cell>
          <cell r="BP203" t="str">
            <v>nm</v>
          </cell>
          <cell r="BQ203">
            <v>-0.28391959798994976</v>
          </cell>
          <cell r="BR203">
            <v>-0.7303370786516854</v>
          </cell>
          <cell r="BS203" t="str">
            <v>nm</v>
          </cell>
          <cell r="BT203" t="str">
            <v>nm</v>
          </cell>
          <cell r="BU203" t="str">
            <v>nm</v>
          </cell>
          <cell r="BV203">
            <v>-5.5333333333333332</v>
          </cell>
          <cell r="BW203" t="str">
            <v>nm</v>
          </cell>
          <cell r="BX203" t="str">
            <v>nm</v>
          </cell>
          <cell r="BY203" t="str">
            <v>nm</v>
          </cell>
          <cell r="BZ203" t="str">
            <v>nm</v>
          </cell>
          <cell r="CA203">
            <v>-3.5333333333333332</v>
          </cell>
          <cell r="CB203">
            <v>0.30769230769230771</v>
          </cell>
          <cell r="CC203" t="str">
            <v>nm</v>
          </cell>
          <cell r="CD203" t="str">
            <v>nm</v>
          </cell>
          <cell r="CE203" t="str">
            <v>nm</v>
          </cell>
          <cell r="CF203">
            <v>-9.5</v>
          </cell>
          <cell r="CG203">
            <v>-142</v>
          </cell>
          <cell r="CH203">
            <v>0.86206896551724133</v>
          </cell>
          <cell r="CI203">
            <v>0.8375634517766497</v>
          </cell>
          <cell r="CJ203" t="str">
            <v>nm</v>
          </cell>
          <cell r="CK203">
            <v>3.4571428571428573</v>
          </cell>
          <cell r="CL203">
            <v>5.6382978723404253E-2</v>
          </cell>
          <cell r="CM203" t="str">
            <v>nm</v>
          </cell>
          <cell r="CN203">
            <v>5.0347222222222224E-2</v>
          </cell>
          <cell r="CO203" t="str">
            <v>nm</v>
          </cell>
          <cell r="CP203">
            <v>1.7777777777777777</v>
          </cell>
          <cell r="CQ203">
            <v>4.333333333333333</v>
          </cell>
          <cell r="CR203">
            <v>-0.2878787878787879</v>
          </cell>
          <cell r="CS203">
            <v>1.2978723404255319</v>
          </cell>
          <cell r="CT203" t="str">
            <v>nm</v>
          </cell>
          <cell r="CU203">
            <v>-8.5</v>
          </cell>
          <cell r="CV203">
            <v>1</v>
          </cell>
          <cell r="CW203">
            <v>1.1697809054459676</v>
          </cell>
          <cell r="CX203">
            <v>0.89499623327720901</v>
          </cell>
          <cell r="CY203">
            <v>3.9150305390181659</v>
          </cell>
          <cell r="CZ203">
            <v>0.49253882712437785</v>
          </cell>
          <cell r="DA203">
            <v>1.0826067128791534</v>
          </cell>
          <cell r="DB203">
            <v>0.3998990105922372</v>
          </cell>
          <cell r="DC203">
            <v>0.99958180310645217</v>
          </cell>
          <cell r="DD203">
            <v>1.1201108450416071</v>
          </cell>
          <cell r="DE203">
            <v>0.76641791276655868</v>
          </cell>
          <cell r="DF203">
            <v>1.1332058553942197</v>
          </cell>
          <cell r="DG203">
            <v>0.51151161979385407</v>
          </cell>
          <cell r="DH203">
            <v>0.8234046796843868</v>
          </cell>
          <cell r="DI203">
            <v>0.85116869056755295</v>
          </cell>
          <cell r="DJ203">
            <v>0.91248856898690289</v>
          </cell>
          <cell r="DK203">
            <v>1.1309730985780904</v>
          </cell>
          <cell r="DL203">
            <v>0.53249339882111923</v>
          </cell>
          <cell r="DM203">
            <v>0.81646531954473911</v>
          </cell>
          <cell r="DN203">
            <v>0.91674842042613147</v>
          </cell>
          <cell r="DO203">
            <v>0.87859593223230059</v>
          </cell>
          <cell r="DP203">
            <v>1.1331950538226845</v>
          </cell>
          <cell r="DQ203">
            <v>0.56989927802071449</v>
          </cell>
          <cell r="DR203">
            <v>0.83913313976693116</v>
          </cell>
        </row>
        <row r="205">
          <cell r="B205" t="str">
            <v>Adjusted Free Cash Flow per Share</v>
          </cell>
          <cell r="D205">
            <v>-6.506573116554633</v>
          </cell>
          <cell r="E205">
            <v>0.3010684218134444</v>
          </cell>
          <cell r="F205">
            <v>0.57120887570714562</v>
          </cell>
          <cell r="G205">
            <v>1.0860606060606059</v>
          </cell>
          <cell r="H205">
            <v>-4.4318454744511468</v>
          </cell>
          <cell r="I205">
            <v>-0.42377658449045652</v>
          </cell>
          <cell r="J205">
            <v>-1.6627887792595473</v>
          </cell>
          <cell r="K205">
            <v>-0.15901921838996116</v>
          </cell>
          <cell r="L205">
            <v>-0.270704761904762</v>
          </cell>
          <cell r="M205">
            <v>-2.4983539170620341</v>
          </cell>
          <cell r="N205">
            <v>-0.29866970056805431</v>
          </cell>
          <cell r="O205">
            <v>-2.2042062999333845</v>
          </cell>
          <cell r="P205">
            <v>0.73553097234006093</v>
          </cell>
          <cell r="Q205">
            <v>-0.22723624595469272</v>
          </cell>
          <cell r="R205">
            <v>-1.3063600665892932</v>
          </cell>
          <cell r="S205">
            <v>-0.93763440860215053</v>
          </cell>
          <cell r="T205">
            <v>-0.90788889067326162</v>
          </cell>
          <cell r="U205">
            <v>-0.25574139430208176</v>
          </cell>
          <cell r="V205">
            <v>0.91555555555555557</v>
          </cell>
          <cell r="W205">
            <v>-1.2132358045536926</v>
          </cell>
          <cell r="X205">
            <v>-8.5016392223125514E-2</v>
          </cell>
          <cell r="Y205">
            <v>0.98534197631144449</v>
          </cell>
          <cell r="Z205">
            <v>-1.0651498932187231</v>
          </cell>
          <cell r="AA205">
            <v>0.1370316301703163</v>
          </cell>
          <cell r="AB205">
            <v>-2.5527624080207791E-2</v>
          </cell>
          <cell r="AC205">
            <v>-1.1067691705190748</v>
          </cell>
          <cell r="AD205">
            <v>1.2749207158679818</v>
          </cell>
          <cell r="AE205">
            <v>-2.2794259645612578</v>
          </cell>
          <cell r="AF205">
            <v>2.2482051282051283</v>
          </cell>
          <cell r="AG205">
            <v>0.20322750684305121</v>
          </cell>
          <cell r="AH205">
            <v>1.2635147602918593</v>
          </cell>
          <cell r="AI205">
            <v>1.8297587542904159</v>
          </cell>
          <cell r="AJ205">
            <v>-0.18579102548568197</v>
          </cell>
          <cell r="AK205">
            <v>4.9391611479028699</v>
          </cell>
          <cell r="AL205">
            <v>7.8251088179195003</v>
          </cell>
          <cell r="AM205">
            <v>2.2248509896117339</v>
          </cell>
          <cell r="AN205">
            <v>1.8377252779708648</v>
          </cell>
          <cell r="AO205">
            <v>1.1617694305439927</v>
          </cell>
          <cell r="AP205">
            <v>3.9955140186915887</v>
          </cell>
          <cell r="AQ205">
            <v>9.2105969588326886</v>
          </cell>
          <cell r="AR205">
            <v>3.8233959034472553</v>
          </cell>
          <cell r="AS205">
            <v>2.8964870966367888</v>
          </cell>
          <cell r="AT205">
            <v>2.6509192464783218</v>
          </cell>
          <cell r="AZ205">
            <v>3.3058880778588806</v>
          </cell>
          <cell r="BA205">
            <v>-1.7869052029852326</v>
          </cell>
          <cell r="BB205">
            <v>0.533207198297177</v>
          </cell>
          <cell r="BC205">
            <v>-0.24157246419011752</v>
          </cell>
          <cell r="BD205">
            <v>-0.18082053776888984</v>
          </cell>
          <cell r="BE205">
            <v>-1.6998370989446845</v>
          </cell>
          <cell r="BF205">
            <v>-0.44702726866338849</v>
          </cell>
          <cell r="BG205">
            <v>0.12877691974193103</v>
          </cell>
          <cell r="BH205">
            <v>0.51430849080459273</v>
          </cell>
          <cell r="BI205">
            <v>-8.5645769099006504E-3</v>
          </cell>
          <cell r="BJ205">
            <v>0.18874966218100234</v>
          </cell>
          <cell r="BK205">
            <v>3.3180721915269742</v>
          </cell>
          <cell r="BL205">
            <v>0.45225894811395223</v>
          </cell>
          <cell r="BM205">
            <v>-0.80992542291961067</v>
          </cell>
          <cell r="BN205">
            <v>-0.89436486253399117</v>
          </cell>
          <cell r="BO205">
            <v>2.0644148620808789</v>
          </cell>
          <cell r="BP205">
            <v>-2.158281022634335</v>
          </cell>
          <cell r="BQ205">
            <v>0.96045966069425082</v>
          </cell>
          <cell r="BR205">
            <v>0.55175106689557263</v>
          </cell>
          <cell r="BS205">
            <v>-2.6130261048094954</v>
          </cell>
          <cell r="BT205">
            <v>-3.2622061943688716</v>
          </cell>
          <cell r="BU205">
            <v>-2.3106471076854316</v>
          </cell>
          <cell r="BV205">
            <v>1.4031765889284296</v>
          </cell>
          <cell r="BW205">
            <v>-0.59917634350526605</v>
          </cell>
          <cell r="BX205">
            <v>-1.5096376447965996</v>
          </cell>
          <cell r="BY205">
            <v>-4.4528469281059557</v>
          </cell>
          <cell r="BZ205">
            <v>-2.2228490357129327</v>
          </cell>
          <cell r="CA205">
            <v>0.44509015175054795</v>
          </cell>
          <cell r="CB205">
            <v>0.26622905266135455</v>
          </cell>
          <cell r="CC205">
            <v>-0.24312236180799204</v>
          </cell>
          <cell r="CD205">
            <v>-1.738381884054943</v>
          </cell>
          <cell r="CE205">
            <v>-1.1261449139958959</v>
          </cell>
          <cell r="CF205">
            <v>1.0896191248637976</v>
          </cell>
          <cell r="CG205">
            <v>1.1403698974470169</v>
          </cell>
          <cell r="CH205">
            <v>0.19976946603619422</v>
          </cell>
          <cell r="CI205">
            <v>1.3010643100317973</v>
          </cell>
          <cell r="CJ205">
            <v>-0.71527176750806476</v>
          </cell>
          <cell r="CK205">
            <v>0.96309016633203925</v>
          </cell>
          <cell r="CL205">
            <v>0.37867285880146467</v>
          </cell>
          <cell r="CM205">
            <v>-0.11389501371189188</v>
          </cell>
          <cell r="CN205">
            <v>0.41381942846542558</v>
          </cell>
          <cell r="CO205">
            <v>-0.52372602759116105</v>
          </cell>
          <cell r="CP205">
            <v>0.88933355566672223</v>
          </cell>
          <cell r="CQ205">
            <v>0.53759883547821485</v>
          </cell>
          <cell r="CR205">
            <v>0.17574123490590907</v>
          </cell>
          <cell r="CS205">
            <v>1.0058102027902989</v>
          </cell>
          <cell r="CT205">
            <v>-1.2209382663089097</v>
          </cell>
          <cell r="CU205">
            <v>1.5898697242043636</v>
          </cell>
          <cell r="CV205">
            <v>0.29819869351697403</v>
          </cell>
          <cell r="CW205">
            <v>0.66475895711269317</v>
          </cell>
          <cell r="CX205">
            <v>1.169544827013288</v>
          </cell>
          <cell r="CY205">
            <v>1.2429778985777102</v>
          </cell>
          <cell r="CZ205">
            <v>0.37745867250085702</v>
          </cell>
          <cell r="DA205">
            <v>0.68102239717791213</v>
          </cell>
          <cell r="DB205">
            <v>0.4329647374657718</v>
          </cell>
          <cell r="DC205">
            <v>2.7666279475890003</v>
          </cell>
          <cell r="DD205">
            <v>0.81631146080107497</v>
          </cell>
          <cell r="DE205">
            <v>0.77691402282927924</v>
          </cell>
          <cell r="DF205">
            <v>0.90614067411289068</v>
          </cell>
          <cell r="DG205">
            <v>0.66962129977835771</v>
          </cell>
          <cell r="DH205">
            <v>3.1694056242621773</v>
          </cell>
          <cell r="DI205">
            <v>0.75534536154234433</v>
          </cell>
          <cell r="DJ205">
            <v>0.99571525695130381</v>
          </cell>
          <cell r="DK205">
            <v>1.0165690541771388</v>
          </cell>
          <cell r="DL205">
            <v>0.78732086121888456</v>
          </cell>
          <cell r="DM205">
            <v>3.5547917245420213</v>
          </cell>
          <cell r="DN205">
            <v>0.98320966659105213</v>
          </cell>
          <cell r="DO205">
            <v>1.0932718898041121</v>
          </cell>
          <cell r="DP205">
            <v>1.1849965953096395</v>
          </cell>
          <cell r="DQ205">
            <v>0.9348841152221864</v>
          </cell>
          <cell r="DR205">
            <v>4.1964354806772182</v>
          </cell>
        </row>
        <row r="207">
          <cell r="B207" t="str">
            <v>CapEx as % of revs</v>
          </cell>
          <cell r="D207">
            <v>4.2508316549367486E-2</v>
          </cell>
          <cell r="E207">
            <v>4.9192235441452729E-2</v>
          </cell>
          <cell r="F207">
            <v>6.1922785768357302E-2</v>
          </cell>
          <cell r="G207">
            <v>0.12058722660441858</v>
          </cell>
          <cell r="H207">
            <v>7.956600361663653E-2</v>
          </cell>
          <cell r="I207">
            <v>7.4071189344964553E-2</v>
          </cell>
          <cell r="J207">
            <v>4.770588664381064E-2</v>
          </cell>
          <cell r="K207">
            <v>5.2238284796424339E-2</v>
          </cell>
          <cell r="L207">
            <v>9.1489506214766023E-2</v>
          </cell>
          <cell r="M207">
            <v>6.6558733585177193E-2</v>
          </cell>
          <cell r="N207">
            <v>3.016821910190463E-2</v>
          </cell>
          <cell r="O207">
            <v>3.5227965584987475E-2</v>
          </cell>
          <cell r="P207">
            <v>7.4209843980508727E-2</v>
          </cell>
          <cell r="Q207">
            <v>4.0854382098660803E-2</v>
          </cell>
          <cell r="R207">
            <v>4.6714992520998734E-2</v>
          </cell>
          <cell r="S207">
            <v>4.4187044187044187E-2</v>
          </cell>
          <cell r="T207">
            <v>4.6109510086455328E-2</v>
          </cell>
          <cell r="U207">
            <v>6.0842433697347896E-2</v>
          </cell>
          <cell r="V207">
            <v>6.3399455464799692E-2</v>
          </cell>
          <cell r="W207">
            <v>5.3966649823143004E-2</v>
          </cell>
          <cell r="X207">
            <v>4.1911476694085389E-2</v>
          </cell>
          <cell r="Y207">
            <v>5.2282481467030822E-2</v>
          </cell>
          <cell r="Z207">
            <v>5.6697377746279233E-2</v>
          </cell>
          <cell r="AA207">
            <v>6.4921821889870834E-2</v>
          </cell>
          <cell r="AB207">
            <v>5.4411764705882354E-2</v>
          </cell>
          <cell r="AC207">
            <v>4.8033414549251655E-2</v>
          </cell>
          <cell r="AD207">
            <v>4.5323741007194246E-2</v>
          </cell>
          <cell r="AE207">
            <v>4.6315789473684213E-2</v>
          </cell>
          <cell r="AF207">
            <v>7.6605977327378907E-2</v>
          </cell>
          <cell r="AG207">
            <v>5.423164534781847E-2</v>
          </cell>
          <cell r="AH207">
            <v>4.1479433114414106E-2</v>
          </cell>
          <cell r="AI207">
            <v>4.0823327615780447E-2</v>
          </cell>
          <cell r="AJ207">
            <v>5.1712779973649536E-2</v>
          </cell>
          <cell r="AK207">
            <v>6.3882829541913363E-2</v>
          </cell>
          <cell r="AL207">
            <v>4.9863104621256121E-2</v>
          </cell>
          <cell r="AM207">
            <v>6.3390961480133456E-2</v>
          </cell>
          <cell r="AN207">
            <v>6.0695344725987033E-2</v>
          </cell>
          <cell r="AO207">
            <v>4.8220436280137773E-2</v>
          </cell>
          <cell r="AP207">
            <v>8.186195826645265E-2</v>
          </cell>
          <cell r="AQ207">
            <v>6.3897074678358368E-2</v>
          </cell>
          <cell r="AR207">
            <v>5.2660005401026194E-2</v>
          </cell>
          <cell r="AS207">
            <v>5.7702488088935945E-2</v>
          </cell>
          <cell r="AT207">
            <v>6.2126966901790558E-2</v>
          </cell>
          <cell r="AZ207">
            <v>0.16655336505778381</v>
          </cell>
          <cell r="BA207">
            <v>6.3731170336037077E-2</v>
          </cell>
          <cell r="BB207">
            <v>5.8597218111867418E-2</v>
          </cell>
          <cell r="BC207">
            <v>4.3979375189566274E-2</v>
          </cell>
          <cell r="BD207">
            <v>5.9729644765796917E-2</v>
          </cell>
          <cell r="BE207">
            <v>5.6578255315951613E-2</v>
          </cell>
          <cell r="BF207">
            <v>3.0723117272386663E-2</v>
          </cell>
          <cell r="BG207">
            <v>3.6186770428015567E-2</v>
          </cell>
          <cell r="BH207">
            <v>3.9344262295081971E-2</v>
          </cell>
          <cell r="BI207">
            <v>7.5870646766169156E-2</v>
          </cell>
          <cell r="BJ207">
            <v>4.4990585670399368E-2</v>
          </cell>
          <cell r="BK207">
            <v>3.8384646141543383E-2</v>
          </cell>
          <cell r="BL207">
            <v>5.2479338842975204E-2</v>
          </cell>
          <cell r="BM207">
            <v>5.6390977443609019E-2</v>
          </cell>
          <cell r="BN207">
            <v>9.4823836450630708E-2</v>
          </cell>
          <cell r="BO207">
            <v>5.9912627418348241E-2</v>
          </cell>
          <cell r="BP207">
            <v>4.8053024026512015E-2</v>
          </cell>
          <cell r="BQ207">
            <v>4.419134396355353E-2</v>
          </cell>
          <cell r="BR207">
            <v>6.2824752007557869E-2</v>
          </cell>
          <cell r="BS207">
            <v>0.13630105553005967</v>
          </cell>
          <cell r="BT207">
            <v>7.2206625491297027E-2</v>
          </cell>
          <cell r="BU207">
            <v>4.8266783677051339E-2</v>
          </cell>
          <cell r="BV207">
            <v>6.6427289048473961E-2</v>
          </cell>
          <cell r="BW207">
            <v>7.730560578661845E-2</v>
          </cell>
          <cell r="BX207">
            <v>0.13327410039982229</v>
          </cell>
          <cell r="BY207">
            <v>8.1270903010033452E-2</v>
          </cell>
          <cell r="BZ207">
            <v>6.6216786166174615E-2</v>
          </cell>
          <cell r="CA207">
            <v>4.6245421245421248E-2</v>
          </cell>
          <cell r="CB207">
            <v>5.0046339202965709E-2</v>
          </cell>
          <cell r="CC207">
            <v>5.9225512528473807E-2</v>
          </cell>
          <cell r="CD207">
            <v>5.5680287382128421E-2</v>
          </cell>
          <cell r="CE207">
            <v>4.4317683194383499E-2</v>
          </cell>
          <cell r="CF207">
            <v>3.1852848811126065E-2</v>
          </cell>
          <cell r="CG207">
            <v>4.0229885057471264E-2</v>
          </cell>
          <cell r="CH207">
            <v>8.4918177797434768E-2</v>
          </cell>
          <cell r="CI207">
            <v>5.0382017495293988E-2</v>
          </cell>
          <cell r="CJ207">
            <v>3.5485250106883283E-2</v>
          </cell>
          <cell r="CK207">
            <v>3.3434650455927049E-2</v>
          </cell>
          <cell r="CL207">
            <v>4.7303271441202478E-2</v>
          </cell>
          <cell r="CM207">
            <v>8.518035636679705E-2</v>
          </cell>
          <cell r="CN207">
            <v>5.0298750678978814E-2</v>
          </cell>
          <cell r="CO207">
            <v>4.7756278303828739E-2</v>
          </cell>
          <cell r="CP207">
            <v>3.5652173913043476E-2</v>
          </cell>
          <cell r="CQ207">
            <v>4.3687199650502405E-2</v>
          </cell>
          <cell r="CR207">
            <v>7.5223119422014456E-2</v>
          </cell>
          <cell r="CS207">
            <v>5.0688293671966707E-2</v>
          </cell>
          <cell r="CT207">
            <v>5.4596547571256523E-2</v>
          </cell>
          <cell r="CU207">
            <v>4.684317718940937E-2</v>
          </cell>
          <cell r="CV207">
            <v>4.4087350638648534E-2</v>
          </cell>
          <cell r="CW207">
            <v>4.9495764193111629E-2</v>
          </cell>
          <cell r="CX207">
            <v>4.879542663061269E-2</v>
          </cell>
          <cell r="CY207">
            <v>4.3249496388748088E-2</v>
          </cell>
          <cell r="CZ207">
            <v>4.2130063963129009E-2</v>
          </cell>
          <cell r="DA207">
            <v>4.2446346904362782E-2</v>
          </cell>
          <cell r="DB207">
            <v>4.1351744493679454E-2</v>
          </cell>
          <cell r="DC207">
            <v>4.2283474375563984E-2</v>
          </cell>
          <cell r="DD207">
            <v>4.1464042672026281E-2</v>
          </cell>
          <cell r="DE207">
            <v>4.0797269144251747E-2</v>
          </cell>
          <cell r="DF207">
            <v>4.1152565249498549E-2</v>
          </cell>
          <cell r="DG207">
            <v>4.0030611211014429E-2</v>
          </cell>
          <cell r="DH207">
            <v>4.0854082928005631E-2</v>
          </cell>
          <cell r="DI207">
            <v>3.9297106201280657E-2</v>
          </cell>
          <cell r="DJ207">
            <v>3.9144901694886894E-2</v>
          </cell>
          <cell r="DK207">
            <v>3.9491248237639637E-2</v>
          </cell>
          <cell r="DL207">
            <v>3.8319741701605778E-2</v>
          </cell>
          <cell r="DM207">
            <v>3.9058093476532725E-2</v>
          </cell>
          <cell r="DN207">
            <v>3.7481919550213599E-2</v>
          </cell>
          <cell r="DO207">
            <v>3.7427465816913107E-2</v>
          </cell>
          <cell r="DP207">
            <v>3.7752070749273697E-2</v>
          </cell>
          <cell r="DQ207">
            <v>3.667856625137296E-2</v>
          </cell>
          <cell r="DR207">
            <v>3.7330716054125766E-2</v>
          </cell>
        </row>
        <row r="216">
          <cell r="B216" t="str">
            <v>Capital expenditures:</v>
          </cell>
        </row>
        <row r="217">
          <cell r="B217" t="str">
            <v>Hospital Operations and other</v>
          </cell>
          <cell r="CS217">
            <v>461</v>
          </cell>
          <cell r="CT217">
            <v>133</v>
          </cell>
          <cell r="CU217">
            <v>114</v>
          </cell>
          <cell r="CV217">
            <v>105</v>
          </cell>
        </row>
        <row r="218">
          <cell r="B218" t="str">
            <v>Conifer</v>
          </cell>
          <cell r="CS218">
            <v>14</v>
          </cell>
          <cell r="CT218">
            <v>3</v>
          </cell>
          <cell r="CU218">
            <v>2</v>
          </cell>
          <cell r="CV218">
            <v>3</v>
          </cell>
        </row>
        <row r="219">
          <cell r="B219" t="str">
            <v>Total</v>
          </cell>
          <cell r="CS219">
            <v>475</v>
          </cell>
          <cell r="CT219">
            <v>136</v>
          </cell>
          <cell r="CU219">
            <v>116</v>
          </cell>
          <cell r="CV219">
            <v>108</v>
          </cell>
        </row>
        <row r="221">
          <cell r="B221" t="str">
            <v>Depreciation and amortization:</v>
          </cell>
        </row>
        <row r="222">
          <cell r="B222" t="str">
            <v>Hospital Operations and other</v>
          </cell>
          <cell r="CS222">
            <v>389</v>
          </cell>
          <cell r="CT222">
            <v>98</v>
          </cell>
          <cell r="CU222">
            <v>101</v>
          </cell>
          <cell r="CV222">
            <v>108</v>
          </cell>
        </row>
        <row r="223">
          <cell r="B223" t="str">
            <v>Conifer</v>
          </cell>
          <cell r="CS223">
            <v>9</v>
          </cell>
          <cell r="CT223">
            <v>2</v>
          </cell>
          <cell r="CU223">
            <v>3</v>
          </cell>
          <cell r="CV223">
            <v>2</v>
          </cell>
        </row>
        <row r="224">
          <cell r="B224" t="str">
            <v>Total</v>
          </cell>
          <cell r="CS224">
            <v>398</v>
          </cell>
          <cell r="CT224">
            <v>100</v>
          </cell>
          <cell r="CU224">
            <v>104</v>
          </cell>
          <cell r="CV224">
            <v>110</v>
          </cell>
        </row>
        <row r="226">
          <cell r="AZ226" t="str">
            <v>2002-FY</v>
          </cell>
          <cell r="BA226" t="str">
            <v>2003-Q1</v>
          </cell>
          <cell r="BB226" t="str">
            <v>2003-Q2</v>
          </cell>
          <cell r="BC226" t="str">
            <v>2003-Q3</v>
          </cell>
          <cell r="BD226" t="str">
            <v>2003-Q4</v>
          </cell>
          <cell r="BE226" t="str">
            <v>2003-FY</v>
          </cell>
          <cell r="BF226" t="str">
            <v>2004-Q1</v>
          </cell>
          <cell r="BG226" t="str">
            <v>2004-Q2</v>
          </cell>
          <cell r="BH226" t="str">
            <v>2004-Q3</v>
          </cell>
          <cell r="BI226" t="str">
            <v>2004-Q4</v>
          </cell>
          <cell r="BJ226" t="str">
            <v>2004-FY</v>
          </cell>
          <cell r="BK226" t="str">
            <v>2005-Q1</v>
          </cell>
          <cell r="BL226" t="str">
            <v>2005-Q2</v>
          </cell>
          <cell r="BM226" t="str">
            <v>2005-Q3</v>
          </cell>
          <cell r="BN226" t="str">
            <v>2005-Q4</v>
          </cell>
          <cell r="BO226" t="str">
            <v>2005-FY</v>
          </cell>
          <cell r="BP226" t="str">
            <v>2006-Q1</v>
          </cell>
          <cell r="BQ226" t="str">
            <v>2006-Q2</v>
          </cell>
          <cell r="BR226" t="str">
            <v>2006-Q3</v>
          </cell>
          <cell r="BS226" t="str">
            <v>2006-Q4</v>
          </cell>
          <cell r="BT226" t="str">
            <v>2006-FY</v>
          </cell>
          <cell r="BU226" t="str">
            <v>2007-Q1</v>
          </cell>
          <cell r="BV226" t="str">
            <v>2007-Q2</v>
          </cell>
          <cell r="BW226" t="str">
            <v>2007-Q3</v>
          </cell>
          <cell r="BX226" t="str">
            <v>2007-Q4</v>
          </cell>
          <cell r="BY226" t="str">
            <v>2007-FY</v>
          </cell>
          <cell r="BZ226" t="str">
            <v>2008-Q1</v>
          </cell>
          <cell r="CA226" t="str">
            <v>2008-Q2</v>
          </cell>
          <cell r="CB226" t="str">
            <v>2008-Q3</v>
          </cell>
          <cell r="CC226" t="str">
            <v>2008-Q4</v>
          </cell>
          <cell r="CD226" t="str">
            <v>2008-FY</v>
          </cell>
          <cell r="CE226" t="str">
            <v>2009-Q1</v>
          </cell>
          <cell r="CF226" t="str">
            <v>2009-Q2</v>
          </cell>
          <cell r="CG226" t="str">
            <v>2009-Q3</v>
          </cell>
          <cell r="CH226" t="str">
            <v>2009-Q4</v>
          </cell>
          <cell r="CI226" t="str">
            <v>2009-FY</v>
          </cell>
          <cell r="CJ226" t="str">
            <v>2010-Q1</v>
          </cell>
          <cell r="CK226" t="str">
            <v>2010-Q2</v>
          </cell>
          <cell r="CL226" t="str">
            <v>2010-Q3</v>
          </cell>
          <cell r="CM226" t="str">
            <v>2010-Q4</v>
          </cell>
          <cell r="CN226" t="str">
            <v>2010-FY</v>
          </cell>
          <cell r="CO226" t="str">
            <v>2011-Q1</v>
          </cell>
          <cell r="CP226" t="str">
            <v>2011-Q2</v>
          </cell>
          <cell r="CQ226" t="str">
            <v>2011-Q3</v>
          </cell>
          <cell r="CR226" t="str">
            <v>2011-Q4</v>
          </cell>
          <cell r="CS226" t="str">
            <v>2011-FY</v>
          </cell>
          <cell r="CT226" t="str">
            <v>2012-Q1</v>
          </cell>
          <cell r="CU226" t="str">
            <v>2012-Q2</v>
          </cell>
          <cell r="CV226" t="str">
            <v>2012-Q3</v>
          </cell>
          <cell r="CW226" t="str">
            <v>2012-Q4</v>
          </cell>
          <cell r="CX226" t="str">
            <v>2012-FY</v>
          </cell>
          <cell r="CY226" t="str">
            <v>2013-Q1</v>
          </cell>
          <cell r="CZ226" t="str">
            <v>2013-Q2</v>
          </cell>
          <cell r="DA226" t="str">
            <v>2013-Q3</v>
          </cell>
          <cell r="DB226" t="str">
            <v>2013-Q4</v>
          </cell>
          <cell r="DC226" t="str">
            <v>2013-FY</v>
          </cell>
          <cell r="DD226" t="str">
            <v>2014-Q1</v>
          </cell>
          <cell r="DE226" t="str">
            <v>2014-Q2</v>
          </cell>
          <cell r="DF226" t="str">
            <v>2014-Q3</v>
          </cell>
          <cell r="DG226" t="str">
            <v>2014-Q4</v>
          </cell>
          <cell r="DH226" t="str">
            <v>2014-FY</v>
          </cell>
          <cell r="DI226" t="str">
            <v>2015-Q1</v>
          </cell>
          <cell r="DJ226" t="str">
            <v>2015-Q2</v>
          </cell>
          <cell r="DK226" t="str">
            <v>2015-Q3</v>
          </cell>
          <cell r="DL226" t="str">
            <v>2015-Q4</v>
          </cell>
          <cell r="DM226" t="str">
            <v>2015-FY</v>
          </cell>
          <cell r="DN226" t="str">
            <v>2016-Q1</v>
          </cell>
          <cell r="DO226" t="str">
            <v>2016-Q2</v>
          </cell>
          <cell r="DP226" t="str">
            <v>2016-Q3</v>
          </cell>
          <cell r="DQ226" t="str">
            <v>2016-Q4</v>
          </cell>
          <cell r="DR226" t="str">
            <v>2016-FY</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row r="1">
          <cell r="A1" t="str">
            <v>2009 Guidance</v>
          </cell>
        </row>
        <row r="3">
          <cell r="A3" t="str">
            <v>- Net operating revenues</v>
          </cell>
          <cell r="D3" t="str">
            <v>$8.9 billion to $9.1 billion (3% to 5% growth)</v>
          </cell>
        </row>
        <row r="4">
          <cell r="A4" t="str">
            <v>- Adjusted EBITDA</v>
          </cell>
          <cell r="D4" t="str">
            <v>$810 - $875 million</v>
          </cell>
        </row>
        <row r="5">
          <cell r="A5" t="str">
            <v>- Controllable operating expenses</v>
          </cell>
          <cell r="D5" t="str">
            <v>$7.3 bn to $7.4 billion</v>
          </cell>
        </row>
        <row r="6">
          <cell r="A6" t="str">
            <v>- Controllable operating expenses per adjusted patient day is in the range of 0.25 to 1.0 percent</v>
          </cell>
        </row>
        <row r="7">
          <cell r="A7" t="str">
            <v xml:space="preserve"> -The outlook for 2009 total-company bad debt expense is in the range of 7.8 to 8.5 percent of net operating revenues, and these assumptions correspond to 2009 total-company bad debt expense in the range of $700 million to $750 million</v>
          </cell>
        </row>
        <row r="8">
          <cell r="A8" t="str">
            <v>-Net loss attributable to shareholders of $20 million to net income of $60 million on a GAAP basis</v>
          </cell>
        </row>
        <row r="9">
          <cell r="A9" t="str">
            <v>-interest expense, net, in the range of $445 million to $460 million</v>
          </cell>
        </row>
        <row r="12">
          <cell r="A12" t="str">
            <v>Consenses</v>
          </cell>
          <cell r="C12" t="str">
            <v>Q309</v>
          </cell>
          <cell r="D12" t="str">
            <v>Q409</v>
          </cell>
          <cell r="E12" t="str">
            <v>2009E</v>
          </cell>
          <cell r="F12" t="str">
            <v>2010E</v>
          </cell>
          <cell r="G12" t="str">
            <v>2011E</v>
          </cell>
          <cell r="J12">
            <v>967</v>
          </cell>
        </row>
        <row r="13">
          <cell r="A13" t="str">
            <v>Revenue</v>
          </cell>
          <cell r="C13">
            <v>2224.9</v>
          </cell>
          <cell r="D13">
            <v>2259.9</v>
          </cell>
          <cell r="E13">
            <v>8985</v>
          </cell>
          <cell r="F13">
            <v>9399.9</v>
          </cell>
          <cell r="G13">
            <v>9951</v>
          </cell>
        </row>
        <row r="14">
          <cell r="A14" t="str">
            <v>EBITDA</v>
          </cell>
          <cell r="C14">
            <v>200.1</v>
          </cell>
          <cell r="D14">
            <v>207.3</v>
          </cell>
          <cell r="E14">
            <v>931.1</v>
          </cell>
          <cell r="F14">
            <v>965.8</v>
          </cell>
          <cell r="G14">
            <v>987.1</v>
          </cell>
          <cell r="J14">
            <v>915</v>
          </cell>
        </row>
        <row r="15">
          <cell r="A15" t="str">
            <v>Net Income</v>
          </cell>
        </row>
        <row r="16">
          <cell r="A16" t="str">
            <v>Cap Ex</v>
          </cell>
          <cell r="C16">
            <v>113.6</v>
          </cell>
          <cell r="D16">
            <v>116</v>
          </cell>
          <cell r="E16">
            <v>401.4</v>
          </cell>
          <cell r="F16">
            <v>415.6</v>
          </cell>
          <cell r="G16">
            <v>437.5</v>
          </cell>
        </row>
        <row r="17">
          <cell r="A17" t="str">
            <v>EPS, reported</v>
          </cell>
          <cell r="C17">
            <v>-0.04</v>
          </cell>
          <cell r="D17">
            <v>-0.02</v>
          </cell>
          <cell r="E17">
            <v>0.24</v>
          </cell>
          <cell r="F17">
            <v>0.12</v>
          </cell>
          <cell r="G17">
            <v>0.18</v>
          </cell>
        </row>
        <row r="18">
          <cell r="A18" t="str">
            <v>EPS, operating</v>
          </cell>
          <cell r="C18">
            <v>-0.02</v>
          </cell>
          <cell r="D18">
            <v>-0.01</v>
          </cell>
          <cell r="E18">
            <v>0.09</v>
          </cell>
          <cell r="F18">
            <v>0.19</v>
          </cell>
          <cell r="G18">
            <v>0.16</v>
          </cell>
        </row>
        <row r="19">
          <cell r="A19" t="str">
            <v>Net Debt</v>
          </cell>
          <cell r="E19">
            <v>4078.8</v>
          </cell>
          <cell r="F19">
            <v>4089.2</v>
          </cell>
          <cell r="G19">
            <v>4082.4</v>
          </cell>
        </row>
        <row r="20">
          <cell r="A20" t="str">
            <v>FCF, company guidance</v>
          </cell>
          <cell r="E20">
            <v>-7.9</v>
          </cell>
          <cell r="F20">
            <v>20.2</v>
          </cell>
          <cell r="G20">
            <v>100</v>
          </cell>
        </row>
        <row r="22">
          <cell r="A22" t="str">
            <v>Adale</v>
          </cell>
        </row>
        <row r="23">
          <cell r="A23" t="str">
            <v>Inpatient</v>
          </cell>
          <cell r="C23">
            <v>1436</v>
          </cell>
          <cell r="D23">
            <v>1475</v>
          </cell>
          <cell r="E23">
            <v>5865</v>
          </cell>
          <cell r="F23">
            <v>6125</v>
          </cell>
          <cell r="H23" t="str">
            <v>3-4% growth</v>
          </cell>
        </row>
        <row r="24">
          <cell r="A24" t="str">
            <v>Outpatient</v>
          </cell>
          <cell r="C24">
            <v>717</v>
          </cell>
          <cell r="D24">
            <v>701</v>
          </cell>
          <cell r="E24">
            <v>2789</v>
          </cell>
          <cell r="F24">
            <v>2989</v>
          </cell>
          <cell r="H24" t="str">
            <v>7-8% growth</v>
          </cell>
        </row>
        <row r="25">
          <cell r="A25" t="str">
            <v>Other</v>
          </cell>
          <cell r="C25">
            <v>78</v>
          </cell>
          <cell r="D25">
            <v>90</v>
          </cell>
          <cell r="E25">
            <v>324</v>
          </cell>
          <cell r="F25">
            <v>334</v>
          </cell>
        </row>
        <row r="26">
          <cell r="F26">
            <v>9448</v>
          </cell>
        </row>
        <row r="27">
          <cell r="A27" t="str">
            <v>Cap ex 400-450</v>
          </cell>
        </row>
        <row r="28">
          <cell r="A28" t="str">
            <v>Adj. FCF Walk Thru</v>
          </cell>
        </row>
        <row r="29">
          <cell r="A29" t="str">
            <v>2009 Walk Thru</v>
          </cell>
          <cell r="B29" t="str">
            <v>Low</v>
          </cell>
          <cell r="C29" t="str">
            <v>High</v>
          </cell>
        </row>
        <row r="30">
          <cell r="A30" t="str">
            <v>OCF</v>
          </cell>
          <cell r="B30">
            <v>138</v>
          </cell>
          <cell r="C30">
            <v>243</v>
          </cell>
        </row>
        <row r="31">
          <cell r="A31" t="str">
            <v>Income tax refunds</v>
          </cell>
          <cell r="B31">
            <v>-15</v>
          </cell>
          <cell r="C31">
            <v>-25</v>
          </cell>
        </row>
        <row r="32">
          <cell r="A32" t="str">
            <v>Payments ag reserves</v>
          </cell>
          <cell r="B32">
            <v>195</v>
          </cell>
          <cell r="C32">
            <v>185</v>
          </cell>
        </row>
        <row r="33">
          <cell r="A33" t="str">
            <v>Net cash disc</v>
          </cell>
          <cell r="B33">
            <v>-28</v>
          </cell>
          <cell r="C33">
            <v>-38</v>
          </cell>
        </row>
        <row r="34">
          <cell r="B34">
            <v>290</v>
          </cell>
          <cell r="C34">
            <v>365</v>
          </cell>
        </row>
        <row r="35">
          <cell r="A35" t="str">
            <v>Cap ex cont ops</v>
          </cell>
          <cell r="B35">
            <v>-320</v>
          </cell>
          <cell r="C35">
            <v>-360</v>
          </cell>
        </row>
        <row r="36">
          <cell r="A36" t="str">
            <v>Construction new hosp</v>
          </cell>
          <cell r="B36">
            <v>-80</v>
          </cell>
          <cell r="C36">
            <v>-90</v>
          </cell>
        </row>
        <row r="37">
          <cell r="A37" t="str">
            <v>Adjusted FCF</v>
          </cell>
          <cell r="B37">
            <v>-110</v>
          </cell>
          <cell r="C37">
            <v>-85</v>
          </cell>
        </row>
        <row r="39">
          <cell r="A39" t="str">
            <v>June Investor Presentation</v>
          </cell>
        </row>
        <row r="40">
          <cell r="A40" t="str">
            <v xml:space="preserve"> -49 hospitals in 12 states</v>
          </cell>
        </row>
        <row r="41">
          <cell r="A41" t="str">
            <v>- Adjusted EBITDA margins in high single digits, far below peers (9% in 2009 estimate)</v>
          </cell>
        </row>
        <row r="42">
          <cell r="A42" t="str">
            <v>Outpatient volumes been showing strong growth</v>
          </cell>
        </row>
        <row r="43">
          <cell r="A43" t="str">
            <v>31% of revenues</v>
          </cell>
        </row>
        <row r="44">
          <cell r="A44" t="str">
            <v>3.8 mm visits</v>
          </cell>
        </row>
        <row r="45">
          <cell r="A45" t="str">
            <v>57 free standing centers (36 diagnostic imaging centers - DICs, 21 ambulatory surgery centers, ASCs)</v>
          </cell>
        </row>
        <row r="46">
          <cell r="A46" t="str">
            <v>Growth strategy (improve and grow existing facilities, modest emphasis on de novo development and JV, selective acquistions)</v>
          </cell>
        </row>
        <row r="47">
          <cell r="A47" t="str">
            <v>Confier Healthcare Solutions  - RCM platform wont move bottom line in near future</v>
          </cell>
        </row>
        <row r="48">
          <cell r="A48" t="str">
            <v>Growth in controllable expenses down huge in past 2 years (SWB, supplies, other operating) - page 28 of investor presentation</v>
          </cell>
        </row>
        <row r="49">
          <cell r="A49" t="str">
            <v>Debt Maturities</v>
          </cell>
        </row>
        <row r="50">
          <cell r="B50">
            <v>2009</v>
          </cell>
          <cell r="C50">
            <v>2010</v>
          </cell>
          <cell r="D50">
            <v>2011</v>
          </cell>
          <cell r="E50">
            <v>2012</v>
          </cell>
          <cell r="F50">
            <v>2013</v>
          </cell>
          <cell r="G50">
            <v>2014</v>
          </cell>
        </row>
        <row r="51">
          <cell r="B51">
            <v>0</v>
          </cell>
          <cell r="C51">
            <v>0</v>
          </cell>
          <cell r="D51">
            <v>82</v>
          </cell>
          <cell r="E51">
            <v>90</v>
          </cell>
          <cell r="F51">
            <v>1000</v>
          </cell>
          <cell r="G51">
            <v>100</v>
          </cell>
        </row>
        <row r="52">
          <cell r="A52" t="str">
            <v>Tenet hospitals are in states with strongest population growth. Tenet states have average annual growth rate rate of 1.4%, more than twice U.S. median annual growth of 0.6%</v>
          </cell>
        </row>
        <row r="54">
          <cell r="A54" t="str">
            <v>Strategic Initiatives</v>
          </cell>
        </row>
        <row r="55">
          <cell r="A55" t="str">
            <v>TGI - Targeted Growth Initiative</v>
          </cell>
        </row>
        <row r="56">
          <cell r="A56" t="str">
            <v>Focused on more profitable , dependable procedures (orthopedic - knee, hips, 50 yr old tennis player)</v>
          </cell>
        </row>
        <row r="59">
          <cell r="A59" t="str">
            <v>Q3 Earnings</v>
          </cell>
        </row>
        <row r="60">
          <cell r="A60" t="str">
            <v>Outlook</v>
          </cell>
        </row>
        <row r="61">
          <cell r="A61" t="str">
            <v>2009Adjusted EBITDA $925mm to $975 mm for the year</v>
          </cell>
        </row>
        <row r="62">
          <cell r="A62" t="str">
            <v>-.5% to 0.5% growth in same hospital admissions</v>
          </cell>
        </row>
        <row r="63">
          <cell r="A63" t="str">
            <v>2.5% to 4% growth in outpatient visits</v>
          </cell>
        </row>
        <row r="64">
          <cell r="A64" t="str">
            <v>4.5% to 6.0% growth in net operating revenues</v>
          </cell>
        </row>
        <row r="65">
          <cell r="A65" t="str">
            <v>Controllable operating expenses of 7.35 to 7.45</v>
          </cell>
        </row>
        <row r="66">
          <cell r="A66" t="str">
            <v>Bad debt 7.8 to 8.3 (700 to 750)</v>
          </cell>
        </row>
        <row r="67">
          <cell r="A67" t="str">
            <v>D&amp;A of 400 to 420</v>
          </cell>
        </row>
        <row r="68">
          <cell r="A68" t="str">
            <v>Interest expense 460 to 445</v>
          </cell>
        </row>
        <row r="69">
          <cell r="A69" t="str">
            <v>Pretax income of 40 to 85</v>
          </cell>
        </row>
        <row r="70">
          <cell r="A70" t="str">
            <v>Pref stock divididends of $6 million</v>
          </cell>
        </row>
        <row r="71">
          <cell r="A71" t="str">
            <v>Minority interest of -8 to -13</v>
          </cell>
        </row>
        <row r="72">
          <cell r="A72" t="str">
            <v>NI to common of 27 to 50</v>
          </cell>
        </row>
        <row r="73">
          <cell r="A73" t="str">
            <v>EPS of 0.05 to .10 assuming normalized tax rate of 37.1%</v>
          </cell>
        </row>
        <row r="75">
          <cell r="A75" t="str">
            <v>YTD adjusted FCF is $140  million after being breakeven through June 30</v>
          </cell>
        </row>
        <row r="76">
          <cell r="A76" t="str">
            <v>YTD bad debt has been much better than they thought at the beginning of the year</v>
          </cell>
        </row>
        <row r="79">
          <cell r="A79" t="str">
            <v>Consenses</v>
          </cell>
          <cell r="B79" t="str">
            <v>Q409</v>
          </cell>
          <cell r="C79">
            <v>2009</v>
          </cell>
          <cell r="D79">
            <v>2010</v>
          </cell>
          <cell r="E79">
            <v>2011</v>
          </cell>
        </row>
        <row r="80">
          <cell r="A80" t="str">
            <v>Revenue</v>
          </cell>
          <cell r="B80">
            <v>2285</v>
          </cell>
          <cell r="C80">
            <v>9037</v>
          </cell>
          <cell r="D80">
            <v>9431</v>
          </cell>
          <cell r="E80">
            <v>9870</v>
          </cell>
        </row>
        <row r="81">
          <cell r="A81" t="str">
            <v>EBITDA</v>
          </cell>
          <cell r="B81">
            <v>972</v>
          </cell>
          <cell r="C81">
            <v>972</v>
          </cell>
          <cell r="D81">
            <v>1020</v>
          </cell>
          <cell r="E81">
            <v>1080</v>
          </cell>
        </row>
        <row r="82">
          <cell r="A82" t="str">
            <v>EPS</v>
          </cell>
          <cell r="B82">
            <v>0</v>
          </cell>
          <cell r="C82">
            <v>0.13</v>
          </cell>
          <cell r="D82">
            <v>0.19</v>
          </cell>
          <cell r="E82">
            <v>0.27</v>
          </cell>
        </row>
        <row r="84">
          <cell r="A84" t="str">
            <v>Net Debt</v>
          </cell>
          <cell r="C84">
            <v>3953</v>
          </cell>
          <cell r="D84">
            <v>3900</v>
          </cell>
          <cell r="E84">
            <v>3679</v>
          </cell>
        </row>
        <row r="85">
          <cell r="A85" t="str">
            <v>Cap Ex</v>
          </cell>
          <cell r="C85">
            <v>361</v>
          </cell>
          <cell r="D85">
            <v>414</v>
          </cell>
          <cell r="E85">
            <v>446</v>
          </cell>
        </row>
        <row r="89">
          <cell r="A89" t="str">
            <v>Biggest driver of profitability is commerical care volumes</v>
          </cell>
        </row>
        <row r="90">
          <cell r="A90" t="str">
            <v>-Outpatient commerical volumes flat, but inpatient down 4.5% compared to 5.7% decline in Q2</v>
          </cell>
        </row>
        <row r="91">
          <cell r="A91" t="str">
            <v>- Two reasons for decline could be overall drop in patient volumes and deferring elective procedures</v>
          </cell>
        </row>
        <row r="92">
          <cell r="A92" t="str">
            <v>Balance Sheet</v>
          </cell>
        </row>
        <row r="93">
          <cell r="A93" t="str">
            <v xml:space="preserve"> -Over past 8 months has extended debt maturities, nothing due until 2012</v>
          </cell>
        </row>
        <row r="94">
          <cell r="A94" t="str">
            <v>- Net Leverage at 3.7x compared to 5.8x at beginning of year</v>
          </cell>
        </row>
        <row r="95">
          <cell r="A95" t="str">
            <v>$1.0 billion matures on Feb 1 2013, 67 mm in 2011, 57 mm in 2012</v>
          </cell>
        </row>
        <row r="96">
          <cell r="A96" t="str">
            <v>HC Reform</v>
          </cell>
        </row>
        <row r="97">
          <cell r="A97" t="str">
            <v xml:space="preserve"> - ' Exposure to California, Florida, Texas has hurt</v>
          </cell>
        </row>
        <row r="98">
          <cell r="A98" t="str">
            <v>Cost Initiatives</v>
          </cell>
        </row>
        <row r="99">
          <cell r="A99" t="str">
            <v>Began year with $186 million in cost savings goals, and they have already exceeded that goal</v>
          </cell>
        </row>
        <row r="100">
          <cell r="A100" t="str">
            <v>Q3 same hospital salaries down 0.3% per adjusted patient day</v>
          </cell>
        </row>
        <row r="101">
          <cell r="A101" t="str">
            <v>Three factors in addition to what was outlined in quarter have helped during the quarter</v>
          </cell>
        </row>
        <row r="102">
          <cell r="A102" t="str">
            <v>Nurse retention, weak economomic backdrop limits mobility, staffing control systems</v>
          </cell>
        </row>
        <row r="103">
          <cell r="A103" t="str">
            <v>27% improvement in YoY employee turnover</v>
          </cell>
        </row>
        <row r="104">
          <cell r="A104" t="str">
            <v>Supply expense improved by 400bps YoY despite increases in surgies (2.2%) due to Medicare Performance Initiative</v>
          </cell>
        </row>
        <row r="105">
          <cell r="A105" t="str">
            <v>Volumes</v>
          </cell>
        </row>
      </sheetData>
      <sheetData sheetId="2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sheetDataSet>
      <sheetData sheetId="0"/>
      <sheetData sheetId="1"/>
      <sheetData sheetId="2"/>
      <sheetData sheetId="3"/>
      <sheetData sheetId="4"/>
      <sheetData sheetId="5"/>
      <sheetData sheetId="6"/>
      <sheetData sheetId="7"/>
      <sheetData sheetId="8"/>
      <sheetData sheetId="9" refreshError="1">
        <row r="3">
          <cell r="B3" t="str">
            <v xml:space="preserve">                                                                                    </v>
          </cell>
          <cell r="D3">
            <v>1999</v>
          </cell>
          <cell r="E3">
            <v>2000</v>
          </cell>
          <cell r="F3" t="str">
            <v>1Q01</v>
          </cell>
          <cell r="G3" t="str">
            <v>2Q01</v>
          </cell>
          <cell r="H3" t="str">
            <v>3Q01</v>
          </cell>
          <cell r="I3" t="str">
            <v>4Q01</v>
          </cell>
          <cell r="J3">
            <v>2001</v>
          </cell>
          <cell r="K3" t="str">
            <v>1Q02</v>
          </cell>
          <cell r="L3" t="str">
            <v>2Q02</v>
          </cell>
          <cell r="M3" t="str">
            <v>3Q02</v>
          </cell>
          <cell r="N3" t="str">
            <v>4Q02</v>
          </cell>
          <cell r="O3" t="str">
            <v>1Q03</v>
          </cell>
          <cell r="P3" t="str">
            <v>2Q03</v>
          </cell>
          <cell r="Q3" t="str">
            <v>3Q03</v>
          </cell>
          <cell r="R3" t="str">
            <v>4Q03</v>
          </cell>
          <cell r="S3" t="str">
            <v>1Q04</v>
          </cell>
          <cell r="T3" t="str">
            <v>2Q04</v>
          </cell>
          <cell r="U3" t="str">
            <v>3Q04</v>
          </cell>
          <cell r="V3" t="str">
            <v>4Q04</v>
          </cell>
          <cell r="W3" t="str">
            <v>1Q05</v>
          </cell>
          <cell r="X3" t="str">
            <v>2Q05</v>
          </cell>
          <cell r="Y3" t="str">
            <v>3Q05</v>
          </cell>
          <cell r="Z3" t="str">
            <v>4Q05</v>
          </cell>
          <cell r="AA3" t="str">
            <v>1Q06</v>
          </cell>
          <cell r="AB3" t="str">
            <v>2Q06</v>
          </cell>
          <cell r="AC3" t="str">
            <v>3Q06</v>
          </cell>
          <cell r="AD3" t="str">
            <v>4Q06</v>
          </cell>
          <cell r="AE3" t="str">
            <v>1Q07</v>
          </cell>
          <cell r="AF3" t="str">
            <v>2Q07</v>
          </cell>
          <cell r="AG3" t="str">
            <v>3Q07</v>
          </cell>
          <cell r="AH3" t="str">
            <v>4Q07</v>
          </cell>
          <cell r="AI3" t="str">
            <v>1Q08</v>
          </cell>
          <cell r="AJ3" t="str">
            <v>2Q08</v>
          </cell>
          <cell r="AK3" t="str">
            <v>3Q08</v>
          </cell>
          <cell r="AL3" t="str">
            <v>4Q08</v>
          </cell>
          <cell r="AM3" t="str">
            <v>1Q09</v>
          </cell>
          <cell r="AN3" t="str">
            <v>2Q09</v>
          </cell>
          <cell r="AO3" t="str">
            <v>3Q09</v>
          </cell>
          <cell r="AP3" t="str">
            <v>4Q09</v>
          </cell>
          <cell r="AQ3" t="str">
            <v>1Q10</v>
          </cell>
          <cell r="AR3" t="str">
            <v>2Q10</v>
          </cell>
          <cell r="AS3" t="str">
            <v>3Q10</v>
          </cell>
          <cell r="AT3" t="str">
            <v>4Q10</v>
          </cell>
          <cell r="AU3" t="str">
            <v>1Q11</v>
          </cell>
          <cell r="AV3" t="str">
            <v>2Q11</v>
          </cell>
          <cell r="AW3" t="str">
            <v>3Q11</v>
          </cell>
          <cell r="AX3" t="str">
            <v>4Q11</v>
          </cell>
          <cell r="AY3" t="str">
            <v>1Q12</v>
          </cell>
          <cell r="AZ3" t="str">
            <v>2Q12</v>
          </cell>
          <cell r="BA3" t="str">
            <v>3Q12</v>
          </cell>
          <cell r="BB3" t="str">
            <v>4Q12</v>
          </cell>
          <cell r="BC3" t="str">
            <v>1Q13</v>
          </cell>
          <cell r="BD3" t="str">
            <v>2Q13</v>
          </cell>
          <cell r="BE3" t="str">
            <v>3Q13</v>
          </cell>
          <cell r="BF3" t="str">
            <v>4Q13</v>
          </cell>
          <cell r="BG3" t="str">
            <v>1Q14</v>
          </cell>
          <cell r="BH3" t="str">
            <v>2Q14</v>
          </cell>
          <cell r="BI3" t="str">
            <v>3Q14</v>
          </cell>
          <cell r="BJ3" t="str">
            <v>4Q14</v>
          </cell>
        </row>
        <row r="4">
          <cell r="B4" t="str">
            <v>Generic Dispensing Rate</v>
          </cell>
        </row>
        <row r="5">
          <cell r="B5" t="str">
            <v>Generic dispensing rate</v>
          </cell>
          <cell r="K5">
            <v>0.43113041055820595</v>
          </cell>
          <cell r="L5">
            <v>0.43107377988780349</v>
          </cell>
          <cell r="M5">
            <v>0.45</v>
          </cell>
          <cell r="N5">
            <v>0.46</v>
          </cell>
          <cell r="O5">
            <v>0.47129045706930001</v>
          </cell>
          <cell r="P5">
            <v>0.46788578122149566</v>
          </cell>
          <cell r="Q5">
            <v>0.47089944513759974</v>
          </cell>
          <cell r="R5">
            <v>0.48091619426995558</v>
          </cell>
          <cell r="S5">
            <v>0.49404206813908402</v>
          </cell>
          <cell r="T5">
            <v>0.49534500289838546</v>
          </cell>
          <cell r="U5">
            <v>0.51571180026186936</v>
          </cell>
          <cell r="V5">
            <v>0.52</v>
          </cell>
          <cell r="W5">
            <v>0.53687623762376246</v>
          </cell>
          <cell r="X5">
            <v>0.53928846153846166</v>
          </cell>
          <cell r="Y5">
            <v>0.54544636678200686</v>
          </cell>
          <cell r="Z5">
            <v>0.55327635914332784</v>
          </cell>
          <cell r="AA5">
            <v>0.56465661047027504</v>
          </cell>
          <cell r="AB5">
            <v>0.56472134203168689</v>
          </cell>
          <cell r="AC5">
            <v>0.58455856727976763</v>
          </cell>
          <cell r="AD5">
            <v>0.5987562442183163</v>
          </cell>
          <cell r="AE5">
            <v>0.60386891385767805</v>
          </cell>
          <cell r="AF5">
            <v>0.611787356321839</v>
          </cell>
          <cell r="AG5">
            <v>0.62353665689149562</v>
          </cell>
          <cell r="AH5">
            <v>0.63818190298507471</v>
          </cell>
          <cell r="AI5">
            <v>0.65049728426479336</v>
          </cell>
          <cell r="AJ5">
            <v>0.65820654246888122</v>
          </cell>
          <cell r="AK5">
            <v>0.66070129026461411</v>
          </cell>
          <cell r="AL5">
            <v>0.67505595131304441</v>
          </cell>
          <cell r="AM5">
            <v>0.67672610868859173</v>
          </cell>
          <cell r="AN5">
            <v>0.67856295596545424</v>
          </cell>
          <cell r="AO5">
            <v>0.68309549986024853</v>
          </cell>
          <cell r="AP5">
            <v>0.69000274307829257</v>
          </cell>
          <cell r="AQ5">
            <v>0.69704092293290731</v>
          </cell>
          <cell r="AR5">
            <v>0.70298539103430902</v>
          </cell>
          <cell r="AS5">
            <v>0.70724234734148661</v>
          </cell>
          <cell r="AT5">
            <v>0.71000246584143079</v>
          </cell>
          <cell r="AU5">
            <v>0.7140981100553343</v>
          </cell>
          <cell r="AV5">
            <v>0.71701722168280368</v>
          </cell>
          <cell r="AW5">
            <v>0.72112484968756163</v>
          </cell>
          <cell r="AX5">
            <v>0.72898296786982353</v>
          </cell>
          <cell r="AY5">
            <v>0.73935482931833041</v>
          </cell>
          <cell r="AZ5">
            <v>0.75540247800480331</v>
          </cell>
          <cell r="BA5">
            <v>0.76967849196679772</v>
          </cell>
          <cell r="BB5">
            <v>0.78310939840191729</v>
          </cell>
          <cell r="BC5">
            <v>0.78546950291276096</v>
          </cell>
          <cell r="BD5">
            <v>0.78910644169047062</v>
          </cell>
          <cell r="BE5">
            <v>0.79293675145579434</v>
          </cell>
          <cell r="BF5">
            <v>0.79862816883548593</v>
          </cell>
          <cell r="BG5">
            <v>0.80322368003788502</v>
          </cell>
          <cell r="BH5">
            <v>0.81037645040186623</v>
          </cell>
          <cell r="BI5">
            <v>0.8179936159689557</v>
          </cell>
          <cell r="BJ5">
            <v>0.82019092901788082</v>
          </cell>
        </row>
        <row r="6">
          <cell r="B6" t="str">
            <v>y/y bp change</v>
          </cell>
          <cell r="O6">
            <v>401.6004651109406</v>
          </cell>
          <cell r="P6">
            <v>368.12001333692166</v>
          </cell>
          <cell r="Q6">
            <v>208.99445137599724</v>
          </cell>
          <cell r="R6">
            <v>209.1619426995556</v>
          </cell>
          <cell r="S6">
            <v>227.51611069784019</v>
          </cell>
          <cell r="T6">
            <v>274.59221676889803</v>
          </cell>
          <cell r="U6">
            <v>448.12355124269618</v>
          </cell>
          <cell r="V6">
            <v>390.8380573004444</v>
          </cell>
          <cell r="W6">
            <v>428.34169484678438</v>
          </cell>
          <cell r="X6">
            <v>439.43458640076204</v>
          </cell>
          <cell r="Y6">
            <v>297.34566520137508</v>
          </cell>
          <cell r="Z6">
            <v>332.76359143327829</v>
          </cell>
          <cell r="AA6">
            <v>277.8037284651258</v>
          </cell>
          <cell r="AB6">
            <v>254.3288049322523</v>
          </cell>
          <cell r="AC6">
            <v>391.12200497760762</v>
          </cell>
          <cell r="AD6">
            <v>454.79885074988459</v>
          </cell>
          <cell r="AE6">
            <v>392.12303387403</v>
          </cell>
          <cell r="AF6">
            <v>470.66014290152117</v>
          </cell>
          <cell r="AG6">
            <v>389.78089611727995</v>
          </cell>
          <cell r="AH6">
            <v>394.25658766758409</v>
          </cell>
          <cell r="AI6">
            <v>466.28370407115318</v>
          </cell>
          <cell r="AJ6">
            <v>464.19186147042211</v>
          </cell>
          <cell r="AK6">
            <v>371.64633373118482</v>
          </cell>
          <cell r="AL6">
            <v>368.740483279697</v>
          </cell>
          <cell r="AM6">
            <v>262.28824423798369</v>
          </cell>
          <cell r="AN6">
            <v>203.56413496573023</v>
          </cell>
          <cell r="AO6">
            <v>223.9420959563443</v>
          </cell>
          <cell r="AP6">
            <v>149.46791765248156</v>
          </cell>
          <cell r="AQ6">
            <v>203.14814244315582</v>
          </cell>
          <cell r="AR6">
            <v>244.22435068854776</v>
          </cell>
          <cell r="AS6">
            <v>241.46847481238075</v>
          </cell>
          <cell r="AT6">
            <v>199.99722763138217</v>
          </cell>
          <cell r="AU6">
            <v>170.57187122426987</v>
          </cell>
          <cell r="AV6">
            <v>140.3183064849467</v>
          </cell>
          <cell r="AW6">
            <v>138.8250234607502</v>
          </cell>
          <cell r="AX6">
            <v>189.80502028392743</v>
          </cell>
          <cell r="AY6">
            <v>252.56719262996108</v>
          </cell>
          <cell r="AZ6">
            <v>383.85256321999628</v>
          </cell>
          <cell r="BA6">
            <v>485.5364227923609</v>
          </cell>
          <cell r="BB6">
            <v>541.26430532093752</v>
          </cell>
          <cell r="BC6">
            <v>461.14673594430559</v>
          </cell>
          <cell r="BD6">
            <v>337.03963685667304</v>
          </cell>
          <cell r="BE6">
            <v>232.58259488996623</v>
          </cell>
          <cell r="BF6">
            <v>155.18770433568642</v>
          </cell>
          <cell r="BG6">
            <v>177.54177125124059</v>
          </cell>
          <cell r="BH6">
            <v>212.70008711395616</v>
          </cell>
          <cell r="BI6">
            <v>250.56864513161358</v>
          </cell>
          <cell r="BJ6">
            <v>215.62760182394891</v>
          </cell>
        </row>
        <row r="7">
          <cell r="B7" t="str">
            <v>Sequential bp change</v>
          </cell>
          <cell r="L7">
            <v>-0.56630670402457728</v>
          </cell>
          <cell r="M7">
            <v>189.26220112196523</v>
          </cell>
          <cell r="N7">
            <v>100.00000000000009</v>
          </cell>
          <cell r="O7">
            <v>112.90457069299987</v>
          </cell>
          <cell r="P7">
            <v>-34.0467584780435</v>
          </cell>
          <cell r="Q7">
            <v>30.136639161040812</v>
          </cell>
          <cell r="R7">
            <v>100.16749132355839</v>
          </cell>
          <cell r="S7">
            <v>131.25873869128446</v>
          </cell>
          <cell r="T7">
            <v>13.029347593014329</v>
          </cell>
          <cell r="U7">
            <v>203.66797363483903</v>
          </cell>
          <cell r="V7">
            <v>42.881997381306604</v>
          </cell>
          <cell r="W7">
            <v>168.76237623762447</v>
          </cell>
          <cell r="X7">
            <v>24.122239146991966</v>
          </cell>
          <cell r="Y7">
            <v>61.579052435452027</v>
          </cell>
          <cell r="Z7">
            <v>78.299923613209813</v>
          </cell>
          <cell r="AA7">
            <v>113.802513269472</v>
          </cell>
          <cell r="AB7">
            <v>0.64731561411845995</v>
          </cell>
          <cell r="AC7">
            <v>198.37225248080736</v>
          </cell>
          <cell r="AD7">
            <v>141.97676938548676</v>
          </cell>
          <cell r="AE7">
            <v>313.54357945557297</v>
          </cell>
          <cell r="AF7">
            <v>79.184424641609581</v>
          </cell>
          <cell r="AG7">
            <v>117.49300569656617</v>
          </cell>
          <cell r="AH7">
            <v>146.4524609357909</v>
          </cell>
          <cell r="AI7">
            <v>123.15381279718652</v>
          </cell>
          <cell r="AJ7">
            <v>77.09258204087854</v>
          </cell>
          <cell r="AK7">
            <v>24.947477957328879</v>
          </cell>
          <cell r="AL7">
            <v>143.54661048430307</v>
          </cell>
          <cell r="AM7">
            <v>16.701573755473209</v>
          </cell>
          <cell r="AN7">
            <v>18.368472768625075</v>
          </cell>
          <cell r="AO7">
            <v>45.325438947942942</v>
          </cell>
          <cell r="AP7">
            <v>69.072432180440344</v>
          </cell>
          <cell r="AQ7">
            <v>70.381798546147451</v>
          </cell>
          <cell r="AR7">
            <v>59.444681014017007</v>
          </cell>
          <cell r="AS7">
            <v>42.569563071775953</v>
          </cell>
          <cell r="AT7">
            <v>27.601184999441752</v>
          </cell>
          <cell r="AU7">
            <v>40.956442139035154</v>
          </cell>
          <cell r="AV7">
            <v>29.19111627469384</v>
          </cell>
          <cell r="AW7">
            <v>41.076280047579459</v>
          </cell>
          <cell r="AX7">
            <v>78.581181822618973</v>
          </cell>
          <cell r="AY7">
            <v>103.7186144850688</v>
          </cell>
          <cell r="AZ7">
            <v>160.47648686472905</v>
          </cell>
          <cell r="BA7">
            <v>142.76013961994406</v>
          </cell>
          <cell r="BB7">
            <v>134.30906435119573</v>
          </cell>
          <cell r="BC7">
            <v>23.601045108436747</v>
          </cell>
          <cell r="BD7">
            <v>36.369387777096527</v>
          </cell>
          <cell r="BE7">
            <v>38.303097653237252</v>
          </cell>
          <cell r="BF7">
            <v>56.914173796915875</v>
          </cell>
          <cell r="BG7">
            <v>45.955112023990942</v>
          </cell>
          <cell r="BH7">
            <v>71.527703639812088</v>
          </cell>
          <cell r="BI7">
            <v>76.17165567089468</v>
          </cell>
          <cell r="BJ7">
            <v>21.973130489251204</v>
          </cell>
        </row>
        <row r="8">
          <cell r="B8" t="str">
            <v>Generic dispensing rate - Retail / Network</v>
          </cell>
          <cell r="K8">
            <v>0.438</v>
          </cell>
          <cell r="L8">
            <v>0.438</v>
          </cell>
          <cell r="M8">
            <v>0.46100000000000002</v>
          </cell>
          <cell r="N8">
            <v>0.46800000000000003</v>
          </cell>
          <cell r="O8">
            <v>0.47899999999999998</v>
          </cell>
          <cell r="P8">
            <v>0.47599999999999998</v>
          </cell>
          <cell r="Q8">
            <v>0.48</v>
          </cell>
          <cell r="R8">
            <v>0.49</v>
          </cell>
          <cell r="S8">
            <v>0.504</v>
          </cell>
          <cell r="T8">
            <v>0.50600000000000001</v>
          </cell>
          <cell r="U8">
            <v>0.52600000000000002</v>
          </cell>
          <cell r="V8">
            <v>0.53</v>
          </cell>
          <cell r="W8">
            <v>0.54600000000000004</v>
          </cell>
          <cell r="X8">
            <v>0.54900000000000004</v>
          </cell>
          <cell r="Y8">
            <v>0.55600000000000005</v>
          </cell>
          <cell r="Z8">
            <v>0.5635</v>
          </cell>
          <cell r="AA8">
            <v>0.57799999999999996</v>
          </cell>
          <cell r="AB8">
            <v>0.57799999999999996</v>
          </cell>
          <cell r="AC8">
            <v>0.59699999999999998</v>
          </cell>
          <cell r="AD8">
            <v>0.61099999999999999</v>
          </cell>
          <cell r="AE8">
            <v>0.61650000000000005</v>
          </cell>
          <cell r="AF8">
            <v>0.624</v>
          </cell>
          <cell r="AG8">
            <v>0.63600000000000001</v>
          </cell>
          <cell r="AH8">
            <v>0.65</v>
          </cell>
          <cell r="AI8">
            <v>0.66400000000000003</v>
          </cell>
          <cell r="AJ8">
            <v>0.67</v>
          </cell>
          <cell r="AK8">
            <v>0.67300000000000004</v>
          </cell>
          <cell r="AL8">
            <v>0.68700000000000006</v>
          </cell>
          <cell r="AM8">
            <v>0.69</v>
          </cell>
          <cell r="AN8">
            <v>0.69199999999999995</v>
          </cell>
          <cell r="AO8">
            <v>0.69599999999999995</v>
          </cell>
          <cell r="AP8">
            <v>0.70134388989407426</v>
          </cell>
          <cell r="AQ8">
            <v>0.70705814076053786</v>
          </cell>
          <cell r="AR8">
            <v>0.71272462289339378</v>
          </cell>
          <cell r="AS8">
            <v>0.71689711864591976</v>
          </cell>
          <cell r="AT8">
            <v>0.71945389803482707</v>
          </cell>
          <cell r="AU8">
            <v>0.7232719849998831</v>
          </cell>
          <cell r="AV8">
            <v>0.72627519525779793</v>
          </cell>
          <cell r="AW8">
            <v>0.73064870623673939</v>
          </cell>
          <cell r="AX8">
            <v>0.7376791982179679</v>
          </cell>
          <cell r="AY8">
            <v>0.74717159768530017</v>
          </cell>
          <cell r="AZ8">
            <v>0.7628228890088653</v>
          </cell>
          <cell r="BA8">
            <v>0.77646057431859572</v>
          </cell>
          <cell r="BB8">
            <v>0.78909788099427203</v>
          </cell>
          <cell r="BC8">
            <v>0.79138199605138559</v>
          </cell>
          <cell r="BD8">
            <v>0.79496265661686849</v>
          </cell>
          <cell r="BE8">
            <v>0.79881033150511704</v>
          </cell>
          <cell r="BF8">
            <v>0.80425432924235807</v>
          </cell>
          <cell r="BG8">
            <v>0.80869447869690914</v>
          </cell>
          <cell r="BH8">
            <v>0.81528800733039508</v>
          </cell>
          <cell r="BI8">
            <v>0.82236639392646571</v>
          </cell>
          <cell r="BJ8">
            <v>0.82447722281286706</v>
          </cell>
        </row>
        <row r="9">
          <cell r="B9" t="str">
            <v>y/y bp change</v>
          </cell>
          <cell r="O9">
            <v>410</v>
          </cell>
          <cell r="P9">
            <v>380</v>
          </cell>
          <cell r="Q9">
            <v>190</v>
          </cell>
          <cell r="R9">
            <v>220</v>
          </cell>
          <cell r="S9">
            <v>250</v>
          </cell>
          <cell r="T9">
            <v>300</v>
          </cell>
          <cell r="U9">
            <v>460</v>
          </cell>
          <cell r="V9">
            <v>400</v>
          </cell>
          <cell r="W9">
            <v>420</v>
          </cell>
          <cell r="X9">
            <v>430</v>
          </cell>
          <cell r="Y9">
            <v>300</v>
          </cell>
          <cell r="Z9">
            <v>335</v>
          </cell>
          <cell r="AA9">
            <v>319.99999999999915</v>
          </cell>
          <cell r="AB9">
            <v>289.99999999999915</v>
          </cell>
          <cell r="AC9">
            <v>409.99999999999926</v>
          </cell>
          <cell r="AD9">
            <v>475</v>
          </cell>
          <cell r="AE9">
            <v>385.00000000000091</v>
          </cell>
          <cell r="AF9">
            <v>460</v>
          </cell>
          <cell r="AG9">
            <v>390</v>
          </cell>
          <cell r="AH9">
            <v>390</v>
          </cell>
          <cell r="AI9">
            <v>474.99999999999983</v>
          </cell>
          <cell r="AJ9">
            <v>460.0000000000004</v>
          </cell>
          <cell r="AK9">
            <v>370.00000000000034</v>
          </cell>
          <cell r="AL9">
            <v>370.00000000000034</v>
          </cell>
          <cell r="AM9">
            <v>259.99999999999915</v>
          </cell>
          <cell r="AN9">
            <v>219.99999999999909</v>
          </cell>
          <cell r="AO9">
            <v>229.99999999999909</v>
          </cell>
          <cell r="AP9">
            <v>143.43889894074204</v>
          </cell>
          <cell r="AQ9">
            <v>170.5814076053791</v>
          </cell>
          <cell r="AR9">
            <v>207.24622893393828</v>
          </cell>
          <cell r="AS9">
            <v>208.97118645919809</v>
          </cell>
          <cell r="AT9">
            <v>181.10008140752808</v>
          </cell>
          <cell r="AU9">
            <v>162.13844239345244</v>
          </cell>
          <cell r="AV9">
            <v>135.50572364404155</v>
          </cell>
          <cell r="AW9">
            <v>137.51587590819625</v>
          </cell>
          <cell r="AX9">
            <v>182.25300183140837</v>
          </cell>
          <cell r="AY9">
            <v>238.99612685417071</v>
          </cell>
          <cell r="AZ9">
            <v>365.47693751067368</v>
          </cell>
          <cell r="BA9">
            <v>458.11868081856329</v>
          </cell>
          <cell r="BB9">
            <v>514.18682776304126</v>
          </cell>
          <cell r="BC9">
            <v>442.10398366085428</v>
          </cell>
          <cell r="BD9">
            <v>321.39767608003189</v>
          </cell>
          <cell r="BE9">
            <v>223.49757186521325</v>
          </cell>
          <cell r="BF9">
            <v>151.56448248086042</v>
          </cell>
          <cell r="BG9">
            <v>173.12482645523542</v>
          </cell>
          <cell r="BH9">
            <v>203.25350713526592</v>
          </cell>
          <cell r="BI9">
            <v>235.56062421348668</v>
          </cell>
          <cell r="BJ9">
            <v>202.22893570508992</v>
          </cell>
        </row>
        <row r="10">
          <cell r="B10" t="str">
            <v>Sequential bp change</v>
          </cell>
          <cell r="L10">
            <v>0</v>
          </cell>
          <cell r="M10">
            <v>230.0000000000002</v>
          </cell>
          <cell r="N10">
            <v>70.000000000000057</v>
          </cell>
          <cell r="O10">
            <v>110</v>
          </cell>
          <cell r="P10">
            <v>-30</v>
          </cell>
          <cell r="Q10">
            <v>40</v>
          </cell>
          <cell r="R10">
            <v>100</v>
          </cell>
          <cell r="S10">
            <v>140</v>
          </cell>
          <cell r="T10">
            <v>20</v>
          </cell>
          <cell r="U10">
            <v>200</v>
          </cell>
          <cell r="V10">
            <v>40</v>
          </cell>
          <cell r="W10">
            <v>160</v>
          </cell>
          <cell r="X10">
            <v>30</v>
          </cell>
          <cell r="Y10">
            <v>70.000000000000057</v>
          </cell>
          <cell r="Z10">
            <v>74.999999999999517</v>
          </cell>
          <cell r="AA10">
            <v>145</v>
          </cell>
          <cell r="AB10">
            <v>0</v>
          </cell>
          <cell r="AC10">
            <v>190</v>
          </cell>
          <cell r="AD10">
            <v>140</v>
          </cell>
          <cell r="AE10">
            <v>55.000000000000604</v>
          </cell>
          <cell r="AF10">
            <v>332.11439339355996</v>
          </cell>
          <cell r="AG10">
            <v>195</v>
          </cell>
          <cell r="AH10">
            <v>260</v>
          </cell>
          <cell r="AI10">
            <v>140.00000000000011</v>
          </cell>
          <cell r="AJ10">
            <v>60.000000000000057</v>
          </cell>
          <cell r="AK10">
            <v>30.000000000000028</v>
          </cell>
          <cell r="AL10">
            <v>170.00000000000014</v>
          </cell>
          <cell r="AM10">
            <v>29.999999999998916</v>
          </cell>
          <cell r="AN10">
            <v>20.000000000000018</v>
          </cell>
          <cell r="AO10">
            <v>40.000000000000036</v>
          </cell>
          <cell r="AP10">
            <v>53.438898940743051</v>
          </cell>
          <cell r="AQ10">
            <v>57.142508664635713</v>
          </cell>
          <cell r="AR10">
            <v>56.664821328559341</v>
          </cell>
          <cell r="AS10">
            <v>41.724957525259704</v>
          </cell>
          <cell r="AT10">
            <v>25.567793889073599</v>
          </cell>
          <cell r="AU10">
            <v>38.180869650560474</v>
          </cell>
          <cell r="AV10">
            <v>30.032102579148624</v>
          </cell>
          <cell r="AW10">
            <v>43.735109789414665</v>
          </cell>
          <cell r="AX10">
            <v>70.304919812285149</v>
          </cell>
          <cell r="AY10">
            <v>94.923994673322966</v>
          </cell>
          <cell r="AZ10">
            <v>156.51291323565118</v>
          </cell>
          <cell r="BA10">
            <v>136.37685309730455</v>
          </cell>
          <cell r="BB10">
            <v>126.37306675676328</v>
          </cell>
          <cell r="BC10">
            <v>22.841150571135671</v>
          </cell>
          <cell r="BD10">
            <v>35.806605654829028</v>
          </cell>
          <cell r="BE10">
            <v>38.476748882486021</v>
          </cell>
          <cell r="BF10">
            <v>54.43997737241024</v>
          </cell>
          <cell r="BG10">
            <v>44.401494545510985</v>
          </cell>
          <cell r="BH10">
            <v>65.935286334859839</v>
          </cell>
          <cell r="BI10">
            <v>70.783865960705924</v>
          </cell>
          <cell r="BJ10">
            <v>21.108288864013936</v>
          </cell>
        </row>
        <row r="11">
          <cell r="B11" t="str">
            <v>Generic dispensing rate - Mail</v>
          </cell>
          <cell r="K11">
            <v>0.34</v>
          </cell>
          <cell r="L11">
            <v>0.34</v>
          </cell>
          <cell r="M11">
            <v>0.36299999999999999</v>
          </cell>
          <cell r="N11">
            <v>0.36499999999999999</v>
          </cell>
          <cell r="O11">
            <v>0.371</v>
          </cell>
          <cell r="P11">
            <v>0.372</v>
          </cell>
          <cell r="Q11">
            <v>0.37</v>
          </cell>
          <cell r="R11">
            <v>0.38</v>
          </cell>
          <cell r="S11">
            <v>0.39200000000000002</v>
          </cell>
          <cell r="T11">
            <v>0.38800000000000001</v>
          </cell>
          <cell r="U11">
            <v>0.40799999999999997</v>
          </cell>
          <cell r="V11">
            <v>0.42199999999999999</v>
          </cell>
          <cell r="W11">
            <v>0.432</v>
          </cell>
          <cell r="X11">
            <v>0.434</v>
          </cell>
          <cell r="Y11">
            <v>0.434</v>
          </cell>
          <cell r="Z11">
            <v>0.443</v>
          </cell>
          <cell r="AA11">
            <v>0.432</v>
          </cell>
          <cell r="AB11">
            <v>0.441</v>
          </cell>
          <cell r="AC11">
            <v>0.47099999999999997</v>
          </cell>
          <cell r="AD11">
            <v>0.48249999999999998</v>
          </cell>
          <cell r="AE11">
            <v>0.48159999999999997</v>
          </cell>
          <cell r="AF11">
            <v>0.499</v>
          </cell>
          <cell r="AG11">
            <v>0.51100000000000001</v>
          </cell>
          <cell r="AH11">
            <v>0.52700000000000002</v>
          </cell>
          <cell r="AI11">
            <v>0.53900000000000003</v>
          </cell>
          <cell r="AJ11">
            <v>0.56799999999999995</v>
          </cell>
          <cell r="AK11">
            <v>0.57199999999999995</v>
          </cell>
          <cell r="AL11">
            <v>0.58499999999999996</v>
          </cell>
          <cell r="AM11">
            <v>0.56899999999999995</v>
          </cell>
          <cell r="AN11">
            <v>0.57199999999999995</v>
          </cell>
          <cell r="AO11">
            <v>0.58299999999999996</v>
          </cell>
          <cell r="AP11">
            <v>0.5917232124853502</v>
          </cell>
          <cell r="AQ11">
            <v>0.59988175295014912</v>
          </cell>
          <cell r="AR11">
            <v>0.61301565715176065</v>
          </cell>
          <cell r="AS11">
            <v>0.6206667096219739</v>
          </cell>
          <cell r="AT11">
            <v>0.62449995032003347</v>
          </cell>
          <cell r="AU11">
            <v>0.63189205819736194</v>
          </cell>
          <cell r="AV11">
            <v>0.6368576768716957</v>
          </cell>
          <cell r="AW11">
            <v>0.64006088037719211</v>
          </cell>
          <cell r="AX11">
            <v>0.65715359718849498</v>
          </cell>
          <cell r="AY11">
            <v>0.67877221092616991</v>
          </cell>
          <cell r="AZ11">
            <v>0.70258248959488934</v>
          </cell>
          <cell r="BA11">
            <v>0.72712983925655317</v>
          </cell>
          <cell r="BB11">
            <v>0.75058249065103211</v>
          </cell>
          <cell r="BC11">
            <v>0.75426777531624978</v>
          </cell>
          <cell r="BD11">
            <v>0.75992166508104964</v>
          </cell>
          <cell r="BE11">
            <v>0.76553393027843686</v>
          </cell>
          <cell r="BF11">
            <v>0.77456251390828634</v>
          </cell>
          <cell r="BG11">
            <v>0.78167449822945068</v>
          </cell>
          <cell r="BH11">
            <v>0.7966068650733199</v>
          </cell>
          <cell r="BI11">
            <v>0.81262291593530811</v>
          </cell>
          <cell r="BJ11">
            <v>0.81663233791710821</v>
          </cell>
        </row>
        <row r="12">
          <cell r="B12" t="str">
            <v>y/y bp change</v>
          </cell>
          <cell r="O12">
            <v>310</v>
          </cell>
          <cell r="P12">
            <v>320</v>
          </cell>
          <cell r="Q12">
            <v>70.000000000000057</v>
          </cell>
          <cell r="R12">
            <v>150</v>
          </cell>
          <cell r="S12">
            <v>210</v>
          </cell>
          <cell r="T12">
            <v>160</v>
          </cell>
          <cell r="U12">
            <v>380</v>
          </cell>
          <cell r="V12">
            <v>420</v>
          </cell>
          <cell r="W12">
            <v>400</v>
          </cell>
          <cell r="X12">
            <v>460</v>
          </cell>
          <cell r="Y12">
            <v>260</v>
          </cell>
          <cell r="Z12">
            <v>210</v>
          </cell>
          <cell r="AA12">
            <v>0</v>
          </cell>
          <cell r="AB12">
            <v>70.000000000000057</v>
          </cell>
          <cell r="AC12">
            <v>370</v>
          </cell>
          <cell r="AD12">
            <v>395</v>
          </cell>
          <cell r="AE12">
            <v>496</v>
          </cell>
          <cell r="AF12">
            <v>580</v>
          </cell>
          <cell r="AG12">
            <v>400</v>
          </cell>
          <cell r="AH12">
            <v>445</v>
          </cell>
          <cell r="AI12">
            <v>574.00000000000068</v>
          </cell>
          <cell r="AJ12">
            <v>689.99999999999955</v>
          </cell>
          <cell r="AK12">
            <v>609.99999999999943</v>
          </cell>
          <cell r="AL12">
            <v>579.99999999999932</v>
          </cell>
          <cell r="AM12">
            <v>299.99999999999915</v>
          </cell>
          <cell r="AN12">
            <v>40.000000000000036</v>
          </cell>
          <cell r="AO12">
            <v>110.0000000000001</v>
          </cell>
          <cell r="AP12">
            <v>67.232124853502384</v>
          </cell>
          <cell r="AQ12">
            <v>308.81752950149166</v>
          </cell>
          <cell r="AR12">
            <v>410.15657151760701</v>
          </cell>
          <cell r="AS12">
            <v>376.66709621973939</v>
          </cell>
          <cell r="AT12">
            <v>327.76737834683269</v>
          </cell>
          <cell r="AU12">
            <v>320.10305247212824</v>
          </cell>
          <cell r="AV12">
            <v>238.42019719935047</v>
          </cell>
          <cell r="AW12">
            <v>193.94170755218209</v>
          </cell>
          <cell r="AX12">
            <v>326.53646868461504</v>
          </cell>
          <cell r="AY12">
            <v>468.80152728807968</v>
          </cell>
          <cell r="AZ12">
            <v>657.24812723193634</v>
          </cell>
          <cell r="BA12">
            <v>870.6895887936106</v>
          </cell>
          <cell r="BB12">
            <v>934.28893462537133</v>
          </cell>
          <cell r="BC12">
            <v>754.95564390079869</v>
          </cell>
          <cell r="BD12">
            <v>573.39175486160298</v>
          </cell>
          <cell r="BE12">
            <v>384.04091021883693</v>
          </cell>
          <cell r="BF12">
            <v>239.80023257254234</v>
          </cell>
          <cell r="BG12">
            <v>274.067229132009</v>
          </cell>
          <cell r="BH12">
            <v>366.8519999227027</v>
          </cell>
          <cell r="BI12">
            <v>470.8898565687125</v>
          </cell>
          <cell r="BJ12">
            <v>420.6982400882186</v>
          </cell>
        </row>
        <row r="13">
          <cell r="B13" t="str">
            <v>Sequential bp change</v>
          </cell>
          <cell r="L13">
            <v>0</v>
          </cell>
          <cell r="M13">
            <v>229.99999999999966</v>
          </cell>
          <cell r="N13">
            <v>20.000000000000018</v>
          </cell>
          <cell r="O13">
            <v>60.000000000000057</v>
          </cell>
          <cell r="P13">
            <v>10</v>
          </cell>
          <cell r="Q13">
            <v>-20</v>
          </cell>
          <cell r="R13">
            <v>100</v>
          </cell>
          <cell r="S13">
            <v>120</v>
          </cell>
          <cell r="T13">
            <v>-40</v>
          </cell>
          <cell r="U13">
            <v>200</v>
          </cell>
          <cell r="V13">
            <v>140</v>
          </cell>
          <cell r="W13">
            <v>100</v>
          </cell>
          <cell r="X13">
            <v>20</v>
          </cell>
          <cell r="Y13">
            <v>0</v>
          </cell>
          <cell r="Z13">
            <v>90.000000000000085</v>
          </cell>
          <cell r="AA13">
            <v>-110</v>
          </cell>
          <cell r="AB13">
            <v>90.000000000000085</v>
          </cell>
          <cell r="AC13">
            <v>300</v>
          </cell>
          <cell r="AD13">
            <v>115</v>
          </cell>
          <cell r="AE13">
            <v>-9.000000000000119</v>
          </cell>
          <cell r="AF13">
            <v>174</v>
          </cell>
          <cell r="AG13">
            <v>120</v>
          </cell>
          <cell r="AH13">
            <v>160</v>
          </cell>
          <cell r="AI13">
            <v>120.00000000000011</v>
          </cell>
          <cell r="AJ13">
            <v>289.99999999999915</v>
          </cell>
          <cell r="AK13">
            <v>40.000000000000036</v>
          </cell>
          <cell r="AL13">
            <v>130.00000000000011</v>
          </cell>
          <cell r="AM13">
            <v>-160.00000000000014</v>
          </cell>
          <cell r="AN13">
            <v>30.000000000000028</v>
          </cell>
          <cell r="AO13">
            <v>110.0000000000001</v>
          </cell>
          <cell r="AP13">
            <v>87.232124853502953</v>
          </cell>
          <cell r="AQ13">
            <v>81.585404647988852</v>
          </cell>
          <cell r="AR13">
            <v>131.33904201611591</v>
          </cell>
          <cell r="AS13">
            <v>76.510524702132216</v>
          </cell>
          <cell r="AT13">
            <v>38.332406980595977</v>
          </cell>
          <cell r="AU13">
            <v>73.921078773284407</v>
          </cell>
          <cell r="AV13">
            <v>49.656186743337884</v>
          </cell>
          <cell r="AW13">
            <v>32.032035054963551</v>
          </cell>
          <cell r="AX13">
            <v>170.92716811302921</v>
          </cell>
          <cell r="AY13">
            <v>216.18613737674957</v>
          </cell>
          <cell r="AZ13">
            <v>238.10278668719457</v>
          </cell>
          <cell r="BA13">
            <v>245.47349661663844</v>
          </cell>
          <cell r="BB13">
            <v>234.5265139447894</v>
          </cell>
          <cell r="BC13">
            <v>36.852846652176837</v>
          </cell>
          <cell r="BD13">
            <v>56.53889764799802</v>
          </cell>
          <cell r="BE13">
            <v>56.122651973872365</v>
          </cell>
          <cell r="BF13">
            <v>90.285836298495269</v>
          </cell>
          <cell r="BG13">
            <v>71.119843211643257</v>
          </cell>
          <cell r="BH13">
            <v>149.32366843869264</v>
          </cell>
          <cell r="BI13">
            <v>160.16050861988245</v>
          </cell>
          <cell r="BJ13">
            <v>40.094219818001129</v>
          </cell>
        </row>
        <row r="14">
          <cell r="B14" t="str">
            <v>Generic dispensing rate - as stated</v>
          </cell>
          <cell r="K14">
            <v>0.43</v>
          </cell>
          <cell r="L14">
            <v>0.43</v>
          </cell>
          <cell r="M14">
            <v>0.45</v>
          </cell>
          <cell r="N14">
            <v>0.46</v>
          </cell>
          <cell r="O14">
            <v>0.47</v>
          </cell>
          <cell r="P14">
            <v>0.47</v>
          </cell>
          <cell r="Q14">
            <v>0.47</v>
          </cell>
          <cell r="R14">
            <v>0.48</v>
          </cell>
          <cell r="S14">
            <v>0.49</v>
          </cell>
          <cell r="T14">
            <v>0.5</v>
          </cell>
          <cell r="U14">
            <v>0.51</v>
          </cell>
          <cell r="V14">
            <v>0.52</v>
          </cell>
          <cell r="W14">
            <v>0.53700000000000003</v>
          </cell>
          <cell r="X14">
            <v>0.53900000000000003</v>
          </cell>
          <cell r="Y14">
            <v>0.54900000000000004</v>
          </cell>
          <cell r="Z14">
            <v>0.55400000000000005</v>
          </cell>
          <cell r="AA14">
            <v>0.56299999999999994</v>
          </cell>
          <cell r="AB14">
            <v>0.56299999999999994</v>
          </cell>
          <cell r="AC14">
            <v>0.58299999999999996</v>
          </cell>
          <cell r="AD14">
            <v>0.59699999999999998</v>
          </cell>
          <cell r="AE14">
            <v>0.60299999999999998</v>
          </cell>
          <cell r="AF14">
            <v>0.61099999999999999</v>
          </cell>
          <cell r="AG14">
            <v>0.622</v>
          </cell>
          <cell r="AH14">
            <v>0.63700000000000001</v>
          </cell>
          <cell r="AI14">
            <v>0.65100000000000002</v>
          </cell>
          <cell r="AJ14">
            <v>0.65900000000000003</v>
          </cell>
          <cell r="AK14">
            <v>0.66200000000000003</v>
          </cell>
          <cell r="AL14">
            <v>0.67300000000000004</v>
          </cell>
          <cell r="AM14">
            <v>0.67700000000000005</v>
          </cell>
          <cell r="AN14">
            <v>0.67800000000000005</v>
          </cell>
          <cell r="AO14">
            <v>0.68300000000000005</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B15" t="str">
            <v>Branded utilization rate</v>
          </cell>
          <cell r="K15">
            <v>0.56886958944179411</v>
          </cell>
          <cell r="L15">
            <v>0.56892622011219651</v>
          </cell>
          <cell r="M15">
            <v>0.55000000000000004</v>
          </cell>
          <cell r="N15">
            <v>0.54</v>
          </cell>
          <cell r="O15">
            <v>0.52870954293070005</v>
          </cell>
          <cell r="P15">
            <v>0.5321142187785044</v>
          </cell>
          <cell r="Q15">
            <v>0.52910055486240026</v>
          </cell>
          <cell r="R15">
            <v>0.51908380573004442</v>
          </cell>
          <cell r="S15">
            <v>0.50595793186091598</v>
          </cell>
          <cell r="T15">
            <v>0.50465499710161454</v>
          </cell>
          <cell r="U15">
            <v>0.48428819973813064</v>
          </cell>
          <cell r="V15">
            <v>0.48</v>
          </cell>
          <cell r="W15">
            <v>0.46312376237623754</v>
          </cell>
          <cell r="X15">
            <v>0.46071153846153834</v>
          </cell>
          <cell r="Y15">
            <v>0.45455363321799314</v>
          </cell>
          <cell r="Z15">
            <v>0.44672364085667216</v>
          </cell>
          <cell r="AA15">
            <v>0.43534338952972496</v>
          </cell>
          <cell r="AB15">
            <v>0.43527865796831311</v>
          </cell>
          <cell r="AC15">
            <v>0.41544143272023237</v>
          </cell>
          <cell r="AD15">
            <v>0.4012437557816837</v>
          </cell>
          <cell r="AE15">
            <v>0.39613108614232195</v>
          </cell>
          <cell r="AF15">
            <v>0.388212643678161</v>
          </cell>
          <cell r="AG15">
            <v>0.37646334310850438</v>
          </cell>
          <cell r="AH15">
            <v>0.36181809701492529</v>
          </cell>
          <cell r="AI15">
            <v>0.34950271573520664</v>
          </cell>
          <cell r="AJ15">
            <v>0.34179345753111878</v>
          </cell>
          <cell r="AK15">
            <v>0.33929870973538589</v>
          </cell>
          <cell r="AL15">
            <v>0.32494404868695559</v>
          </cell>
          <cell r="AM15">
            <v>0.32327389131140827</v>
          </cell>
          <cell r="AN15">
            <v>0.32143704403454576</v>
          </cell>
          <cell r="AO15">
            <v>0.31690450013975147</v>
          </cell>
          <cell r="AP15">
            <v>0.30999725692170743</v>
          </cell>
          <cell r="AQ15">
            <v>0.30295907706709269</v>
          </cell>
          <cell r="AR15">
            <v>0.29701460896569098</v>
          </cell>
          <cell r="AS15">
            <v>0.29275765265851339</v>
          </cell>
          <cell r="AT15">
            <v>0.28999753415856921</v>
          </cell>
          <cell r="AU15">
            <v>0.2859018899446657</v>
          </cell>
          <cell r="AV15">
            <v>0.28298277831719632</v>
          </cell>
          <cell r="AW15">
            <v>0.27887515031243837</v>
          </cell>
          <cell r="AX15">
            <v>0.27101703213017647</v>
          </cell>
          <cell r="AY15">
            <v>0.26064517068166959</v>
          </cell>
          <cell r="AZ15">
            <v>0.24459752199519669</v>
          </cell>
          <cell r="BA15">
            <v>0.23032150803320228</v>
          </cell>
          <cell r="BB15">
            <v>0.21689060159808271</v>
          </cell>
          <cell r="BC15">
            <v>0.21453049708723904</v>
          </cell>
          <cell r="BD15">
            <v>0.21089355830952938</v>
          </cell>
          <cell r="BE15">
            <v>0.20706324854420566</v>
          </cell>
          <cell r="BF15">
            <v>0.20137183116451407</v>
          </cell>
          <cell r="BG15">
            <v>0.19677631996211498</v>
          </cell>
          <cell r="BH15">
            <v>0.18962354959813377</v>
          </cell>
          <cell r="BI15">
            <v>0.1820063840310443</v>
          </cell>
          <cell r="BJ15">
            <v>0.17980907098211918</v>
          </cell>
        </row>
        <row r="19">
          <cell r="B19" t="str">
            <v>Generic Dispensing Rate</v>
          </cell>
          <cell r="C19">
            <v>2002</v>
          </cell>
          <cell r="D19">
            <v>2003</v>
          </cell>
          <cell r="E19">
            <v>2004</v>
          </cell>
          <cell r="F19">
            <v>2005</v>
          </cell>
          <cell r="G19">
            <v>2006</v>
          </cell>
          <cell r="H19">
            <v>2007</v>
          </cell>
          <cell r="I19">
            <v>2008</v>
          </cell>
          <cell r="J19">
            <v>2009</v>
          </cell>
          <cell r="K19">
            <v>2010</v>
          </cell>
          <cell r="L19">
            <v>2011</v>
          </cell>
          <cell r="M19">
            <v>2012</v>
          </cell>
          <cell r="N19">
            <v>2013</v>
          </cell>
          <cell r="O19">
            <v>2014</v>
          </cell>
        </row>
        <row r="20">
          <cell r="B20" t="str">
            <v>Generic dispensing rate</v>
          </cell>
          <cell r="C20">
            <v>0.45100000000000001</v>
          </cell>
          <cell r="D20">
            <v>0.47242951242997205</v>
          </cell>
          <cell r="E20">
            <v>0.50900434404865336</v>
          </cell>
          <cell r="F20">
            <v>0.54057569146093121</v>
          </cell>
          <cell r="G20">
            <v>0.57251455591212075</v>
          </cell>
          <cell r="H20">
            <v>0.61294276105532475</v>
          </cell>
          <cell r="I20">
            <v>0.66098592982275484</v>
          </cell>
          <cell r="J20">
            <v>0.68250750997223075</v>
          </cell>
          <cell r="K20">
            <v>0.7043227702636472</v>
          </cell>
          <cell r="L20">
            <v>0.72031488831937995</v>
          </cell>
          <cell r="M20">
            <v>0.76190623860711848</v>
          </cell>
          <cell r="N20">
            <v>0.79154250665139236</v>
          </cell>
          <cell r="O20">
            <v>0.81295132782922075</v>
          </cell>
          <cell r="R20">
            <v>0</v>
          </cell>
        </row>
        <row r="21">
          <cell r="B21" t="str">
            <v>y/y bp change</v>
          </cell>
          <cell r="D21">
            <v>214.29512429972041</v>
          </cell>
          <cell r="E21">
            <v>365.74831618681304</v>
          </cell>
          <cell r="F21">
            <v>315.71347412277851</v>
          </cell>
          <cell r="G21">
            <v>319.38864451189539</v>
          </cell>
          <cell r="H21">
            <v>404.28205143204002</v>
          </cell>
          <cell r="I21">
            <v>480.43168767430086</v>
          </cell>
          <cell r="J21">
            <v>215.21580149475915</v>
          </cell>
          <cell r="K21">
            <v>218.1526029141645</v>
          </cell>
          <cell r="L21">
            <v>159.92118055732752</v>
          </cell>
          <cell r="M21">
            <v>415.91350287738527</v>
          </cell>
          <cell r="N21">
            <v>296.36268044273885</v>
          </cell>
          <cell r="O21">
            <v>214.08821177828386</v>
          </cell>
          <cell r="R21">
            <v>0</v>
          </cell>
        </row>
        <row r="22">
          <cell r="B22" t="str">
            <v>Sequential bp change</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R22">
            <v>0</v>
          </cell>
        </row>
        <row r="23">
          <cell r="B23" t="str">
            <v>Generic dispensing rate - Retail / Network</v>
          </cell>
          <cell r="C23">
            <v>0.45100000000000001</v>
          </cell>
          <cell r="D23">
            <v>0.48099999999999998</v>
          </cell>
          <cell r="E23">
            <v>0.51900000000000002</v>
          </cell>
          <cell r="F23">
            <v>0.55400000000000005</v>
          </cell>
          <cell r="G23">
            <v>0.590788560660644</v>
          </cell>
          <cell r="H23">
            <v>0.63162826681542761</v>
          </cell>
          <cell r="I23">
            <v>0.67337170706006322</v>
          </cell>
          <cell r="J23">
            <v>0.69519458014204594</v>
          </cell>
          <cell r="K23">
            <v>0.7140339334236312</v>
          </cell>
          <cell r="L23">
            <v>0.7294742787385402</v>
          </cell>
          <cell r="M23">
            <v>0.76889474491554621</v>
          </cell>
          <cell r="N23">
            <v>0.79735627705219525</v>
          </cell>
          <cell r="O23">
            <v>0.8177052673985149</v>
          </cell>
          <cell r="R23">
            <v>0</v>
          </cell>
        </row>
        <row r="24">
          <cell r="B24" t="str">
            <v>y/y bp change</v>
          </cell>
          <cell r="D24">
            <v>300</v>
          </cell>
          <cell r="E24">
            <v>380</v>
          </cell>
          <cell r="F24">
            <v>350</v>
          </cell>
          <cell r="G24">
            <v>367.88560660643952</v>
          </cell>
          <cell r="H24">
            <v>408.39706154783607</v>
          </cell>
          <cell r="I24">
            <v>417.43440244635616</v>
          </cell>
          <cell r="J24">
            <v>218.22873081982718</v>
          </cell>
          <cell r="K24">
            <v>188.39353281585258</v>
          </cell>
          <cell r="L24">
            <v>154.4034531490901</v>
          </cell>
          <cell r="M24">
            <v>394.20466177006006</v>
          </cell>
          <cell r="N24">
            <v>284.61532136649038</v>
          </cell>
          <cell r="O24">
            <v>203.4899034631965</v>
          </cell>
          <cell r="R24">
            <v>0</v>
          </cell>
        </row>
        <row r="25">
          <cell r="B25" t="str">
            <v>Sequential bp change</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R25">
            <v>0</v>
          </cell>
        </row>
        <row r="26">
          <cell r="B26" t="str">
            <v>Generic dispensing rate - Mail</v>
          </cell>
          <cell r="C26">
            <v>0.36</v>
          </cell>
          <cell r="D26">
            <v>0.372</v>
          </cell>
          <cell r="E26">
            <v>0.40500000000000003</v>
          </cell>
          <cell r="F26">
            <v>0.436</v>
          </cell>
          <cell r="G26">
            <v>0.45655218446601942</v>
          </cell>
          <cell r="H26">
            <v>0.50481818181818172</v>
          </cell>
          <cell r="I26">
            <v>0.56598052241432362</v>
          </cell>
          <cell r="J26">
            <v>0.57921701361491995</v>
          </cell>
          <cell r="K26">
            <v>0.614630661619326</v>
          </cell>
          <cell r="L26">
            <v>0.6415368019149964</v>
          </cell>
          <cell r="M26">
            <v>0.71501698930505242</v>
          </cell>
          <cell r="N26">
            <v>0.76363032304271039</v>
          </cell>
          <cell r="O26">
            <v>0.80204265124491003</v>
          </cell>
          <cell r="R26">
            <v>0</v>
          </cell>
        </row>
        <row r="27">
          <cell r="B27" t="str">
            <v>y/y bp change</v>
          </cell>
          <cell r="D27">
            <v>120</v>
          </cell>
          <cell r="E27">
            <v>330</v>
          </cell>
          <cell r="F27">
            <v>310</v>
          </cell>
          <cell r="G27">
            <v>205.5218446601942</v>
          </cell>
          <cell r="H27">
            <v>482.6599735216231</v>
          </cell>
          <cell r="I27">
            <v>611.62340596141894</v>
          </cell>
          <cell r="J27">
            <v>132.36491200596333</v>
          </cell>
          <cell r="K27">
            <v>354.13648004406053</v>
          </cell>
          <cell r="L27">
            <v>269.061402956704</v>
          </cell>
          <cell r="M27">
            <v>734.80187390056017</v>
          </cell>
          <cell r="N27">
            <v>486.13333737657973</v>
          </cell>
          <cell r="O27">
            <v>384.12328202199643</v>
          </cell>
          <cell r="R27">
            <v>0</v>
          </cell>
        </row>
        <row r="28">
          <cell r="B28" t="str">
            <v>Sequential bp change</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R28">
            <v>0</v>
          </cell>
        </row>
        <row r="29">
          <cell r="B29" t="str">
            <v>Generic dispensing rate - as stated</v>
          </cell>
          <cell r="C29">
            <v>0</v>
          </cell>
          <cell r="D29">
            <v>0</v>
          </cell>
          <cell r="E29">
            <v>0.504</v>
          </cell>
          <cell r="F29">
            <v>0.54400000000000004</v>
          </cell>
          <cell r="G29">
            <v>0.57599999999999996</v>
          </cell>
          <cell r="H29">
            <v>0.61799999999999999</v>
          </cell>
          <cell r="I29">
            <v>0.66100000000000003</v>
          </cell>
          <cell r="J29">
            <v>0</v>
          </cell>
          <cell r="K29">
            <v>0</v>
          </cell>
          <cell r="L29">
            <v>0</v>
          </cell>
          <cell r="M29">
            <v>0</v>
          </cell>
          <cell r="N29">
            <v>0</v>
          </cell>
          <cell r="O29">
            <v>0</v>
          </cell>
          <cell r="R29">
            <v>0</v>
          </cell>
        </row>
        <row r="30">
          <cell r="B30" t="str">
            <v>Branded utilization rate</v>
          </cell>
          <cell r="C30">
            <v>0.54899999999999993</v>
          </cell>
          <cell r="D30">
            <v>0.527570487570028</v>
          </cell>
          <cell r="E30">
            <v>0.49099565595134664</v>
          </cell>
          <cell r="F30">
            <v>0.45942430853906879</v>
          </cell>
          <cell r="G30">
            <v>0.42748544408787925</v>
          </cell>
          <cell r="H30">
            <v>0.38705723894467525</v>
          </cell>
          <cell r="I30">
            <v>0.33901407017724516</v>
          </cell>
          <cell r="J30">
            <v>0.31749249002776925</v>
          </cell>
          <cell r="K30">
            <v>0.2956772297363528</v>
          </cell>
          <cell r="L30">
            <v>0.27968511168062005</v>
          </cell>
          <cell r="M30">
            <v>0.23809376139288152</v>
          </cell>
          <cell r="N30">
            <v>0.20845749334860764</v>
          </cell>
          <cell r="O30">
            <v>0.18704867217077925</v>
          </cell>
          <cell r="R30">
            <v>0</v>
          </cell>
        </row>
        <row r="31">
          <cell r="R31">
            <v>0</v>
          </cell>
        </row>
        <row r="32">
          <cell r="R32">
            <v>0</v>
          </cell>
        </row>
        <row r="33">
          <cell r="R33">
            <v>0</v>
          </cell>
        </row>
        <row r="34">
          <cell r="R34">
            <v>0</v>
          </cell>
        </row>
        <row r="35">
          <cell r="R35">
            <v>0</v>
          </cell>
        </row>
        <row r="36">
          <cell r="R36">
            <v>0</v>
          </cell>
        </row>
        <row r="37">
          <cell r="R37">
            <v>0</v>
          </cell>
        </row>
        <row r="38">
          <cell r="R38">
            <v>0</v>
          </cell>
        </row>
        <row r="39">
          <cell r="R39">
            <v>0</v>
          </cell>
        </row>
        <row r="40">
          <cell r="R40">
            <v>0</v>
          </cell>
        </row>
        <row r="41">
          <cell r="R41">
            <v>0</v>
          </cell>
        </row>
        <row r="42">
          <cell r="R42">
            <v>0</v>
          </cell>
        </row>
        <row r="43">
          <cell r="R43">
            <v>0</v>
          </cell>
        </row>
        <row r="44">
          <cell r="R44">
            <v>0</v>
          </cell>
        </row>
        <row r="45">
          <cell r="R45">
            <v>0</v>
          </cell>
        </row>
        <row r="46">
          <cell r="R46">
            <v>0</v>
          </cell>
        </row>
        <row r="47">
          <cell r="R47">
            <v>0</v>
          </cell>
        </row>
        <row r="48">
          <cell r="R48">
            <v>0</v>
          </cell>
        </row>
        <row r="49">
          <cell r="R49">
            <v>0</v>
          </cell>
        </row>
        <row r="50">
          <cell r="R50">
            <v>0</v>
          </cell>
        </row>
        <row r="51">
          <cell r="R51">
            <v>0</v>
          </cell>
        </row>
        <row r="52">
          <cell r="R52">
            <v>0</v>
          </cell>
        </row>
        <row r="53">
          <cell r="R53">
            <v>0</v>
          </cell>
        </row>
        <row r="54">
          <cell r="R54">
            <v>0</v>
          </cell>
        </row>
        <row r="55">
          <cell r="R55">
            <v>0</v>
          </cell>
        </row>
        <row r="56">
          <cell r="R56">
            <v>0</v>
          </cell>
        </row>
        <row r="57">
          <cell r="R57">
            <v>0</v>
          </cell>
        </row>
        <row r="58">
          <cell r="R58">
            <v>0</v>
          </cell>
        </row>
        <row r="59">
          <cell r="C59">
            <v>0</v>
          </cell>
          <cell r="D59">
            <v>5</v>
          </cell>
          <cell r="E59">
            <v>10</v>
          </cell>
          <cell r="F59">
            <v>15</v>
          </cell>
          <cell r="G59">
            <v>20</v>
          </cell>
          <cell r="H59">
            <v>25</v>
          </cell>
          <cell r="I59">
            <v>30</v>
          </cell>
          <cell r="J59">
            <v>35</v>
          </cell>
          <cell r="K59">
            <v>40</v>
          </cell>
          <cell r="L59">
            <v>45</v>
          </cell>
          <cell r="M59">
            <v>50</v>
          </cell>
          <cell r="N59">
            <v>55</v>
          </cell>
          <cell r="O59">
            <v>60</v>
          </cell>
          <cell r="R59">
            <v>0</v>
          </cell>
        </row>
        <row r="60">
          <cell r="R60">
            <v>0</v>
          </cell>
        </row>
        <row r="61">
          <cell r="R61">
            <v>0</v>
          </cell>
        </row>
        <row r="62">
          <cell r="R62">
            <v>0</v>
          </cell>
        </row>
        <row r="63">
          <cell r="R63">
            <v>0</v>
          </cell>
        </row>
        <row r="64">
          <cell r="R64">
            <v>0</v>
          </cell>
        </row>
        <row r="65">
          <cell r="R65">
            <v>0</v>
          </cell>
        </row>
        <row r="66">
          <cell r="R66">
            <v>0</v>
          </cell>
        </row>
        <row r="67">
          <cell r="B67" t="str">
            <v>ESRX</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cell r="R67">
            <v>0</v>
          </cell>
        </row>
        <row r="68">
          <cell r="B68" t="str">
            <v>EPS, diluted  (continuing) Non GAAP</v>
          </cell>
          <cell r="C68">
            <v>0.63648060049958433</v>
          </cell>
          <cell r="D68">
            <v>0.79385009122237893</v>
          </cell>
          <cell r="E68">
            <v>0.967741935483871</v>
          </cell>
          <cell r="F68">
            <v>1.2996655518394675</v>
          </cell>
          <cell r="G68">
            <v>1.6482394366197208</v>
          </cell>
          <cell r="H68">
            <v>2.3852272727272785</v>
          </cell>
          <cell r="I68">
            <v>3.0957666017602135</v>
          </cell>
          <cell r="J68">
            <v>3.4833913065036373</v>
          </cell>
          <cell r="K68">
            <v>4.9357784346690101</v>
          </cell>
          <cell r="L68">
            <v>6.1823319253262889</v>
          </cell>
          <cell r="M68">
            <v>7.4870173324706633</v>
          </cell>
          <cell r="N68">
            <v>8.2781086015129919</v>
          </cell>
          <cell r="O68">
            <v>9.4747736108052791</v>
          </cell>
        </row>
        <row r="69">
          <cell r="B69" t="str">
            <v>EPS, diluted  (continuing) Non GAAP - Growth</v>
          </cell>
          <cell r="D69">
            <v>0.24724946934639114</v>
          </cell>
          <cell r="E69">
            <v>0.21904871736391884</v>
          </cell>
          <cell r="F69">
            <v>0.34298773690078299</v>
          </cell>
          <cell r="G69">
            <v>0.26820275746087363</v>
          </cell>
          <cell r="H69">
            <v>0.44713639276766948</v>
          </cell>
          <cell r="I69">
            <v>0.2978916672458225</v>
          </cell>
          <cell r="J69">
            <v>0.12521121731949214</v>
          </cell>
          <cell r="K69">
            <v>0.41694630329176774</v>
          </cell>
          <cell r="L69">
            <v>0.25255458833027467</v>
          </cell>
          <cell r="M69">
            <v>0.21103451301274423</v>
          </cell>
          <cell r="N69">
            <v>0.10566173870219608</v>
          </cell>
          <cell r="O69">
            <v>0.14455778087685056</v>
          </cell>
        </row>
        <row r="75">
          <cell r="J75">
            <v>2.8631165401861107</v>
          </cell>
          <cell r="K75">
            <v>3.3865256877003382</v>
          </cell>
          <cell r="L75">
            <v>4.0653657401724335</v>
          </cell>
          <cell r="M75">
            <v>5.0905340617048367</v>
          </cell>
        </row>
        <row r="76">
          <cell r="M76">
            <v>0.25217124043774719</v>
          </cell>
        </row>
        <row r="77">
          <cell r="J77">
            <v>6.3465078466897484</v>
          </cell>
          <cell r="K77">
            <v>8.3223041223693492</v>
          </cell>
          <cell r="L77">
            <v>10.247697665498723</v>
          </cell>
          <cell r="M77">
            <v>12.577551394175501</v>
          </cell>
        </row>
        <row r="78">
          <cell r="M78">
            <v>0.22935202010692235</v>
          </cell>
          <cell r="O78">
            <v>0.22735387056946221</v>
          </cell>
        </row>
        <row r="79">
          <cell r="J79">
            <v>6.3465078466897484</v>
          </cell>
          <cell r="K79">
            <v>7.8020922419524759</v>
          </cell>
          <cell r="L79">
            <v>9.5915178587048224</v>
          </cell>
          <cell r="M79">
            <v>11.791351855490396</v>
          </cell>
          <cell r="O79">
            <v>0.23160287672524571</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27.328874194487931</v>
          </cell>
          <cell r="D83">
            <v>27.160993268661318</v>
          </cell>
          <cell r="E83">
            <v>27.351530337247965</v>
          </cell>
          <cell r="F83">
            <v>25.176574977817214</v>
          </cell>
          <cell r="G83">
            <v>27.062560153994227</v>
          </cell>
          <cell r="H83">
            <v>35.586506214243443</v>
          </cell>
          <cell r="I83">
            <v>40.05435202716054</v>
          </cell>
          <cell r="J83">
            <v>44.242004266524482</v>
          </cell>
          <cell r="K83">
            <v>60.887813069400238</v>
          </cell>
          <cell r="L83">
            <v>62.198559856496097</v>
          </cell>
          <cell r="M83">
            <v>59.956322630987707</v>
          </cell>
          <cell r="N83">
            <v>57.392744566488325</v>
          </cell>
          <cell r="O83">
            <v>56.686359775652818</v>
          </cell>
        </row>
        <row r="84">
          <cell r="B84" t="str">
            <v>EBITDA per adj claim</v>
          </cell>
          <cell r="C84">
            <v>1.873652928969312</v>
          </cell>
          <cell r="D84">
            <v>1.8065720219873709</v>
          </cell>
          <cell r="E84">
            <v>1.8055753394597136</v>
          </cell>
          <cell r="F84">
            <v>2.1285055023074206</v>
          </cell>
          <cell r="G84">
            <v>2.8415784408084712</v>
          </cell>
          <cell r="H84">
            <v>3.4580785164726802</v>
          </cell>
          <cell r="I84">
            <v>4.0310092830337769</v>
          </cell>
          <cell r="J84">
            <v>4.6600034183291905</v>
          </cell>
          <cell r="K84">
            <v>4.5804821009656589</v>
          </cell>
          <cell r="L84">
            <v>4.8855465581511694</v>
          </cell>
          <cell r="M84">
            <v>5.223469632509798</v>
          </cell>
          <cell r="N84">
            <v>5.268730332918218</v>
          </cell>
          <cell r="O84">
            <v>5.4727301591221362</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Network</v>
          </cell>
          <cell r="C92">
            <v>0</v>
          </cell>
          <cell r="D92">
            <v>0</v>
          </cell>
          <cell r="E92">
            <v>0.20525233880139812</v>
          </cell>
          <cell r="F92">
            <v>0.25391122841934877</v>
          </cell>
          <cell r="G92">
            <v>0.25447132703493858</v>
          </cell>
          <cell r="H92">
            <v>0.27214088733863134</v>
          </cell>
          <cell r="I92">
            <v>0.31659516601089238</v>
          </cell>
          <cell r="J92">
            <v>0.35374017115571493</v>
          </cell>
          <cell r="K92">
            <v>0.42157995760694073</v>
          </cell>
          <cell r="L92">
            <v>0.41162217918311877</v>
          </cell>
          <cell r="M92">
            <v>0.39766505235529659</v>
          </cell>
          <cell r="N92">
            <v>0.38570269918602945</v>
          </cell>
          <cell r="O92">
            <v>0.37865395717569622</v>
          </cell>
        </row>
        <row r="93">
          <cell r="B93" t="str">
            <v>Mail / Home Delivery - core</v>
          </cell>
          <cell r="C93">
            <v>0</v>
          </cell>
          <cell r="D93">
            <v>0</v>
          </cell>
          <cell r="E93">
            <v>0.73826520635914317</v>
          </cell>
          <cell r="F93">
            <v>0.61522210737594862</v>
          </cell>
          <cell r="G93">
            <v>0.74272195751090853</v>
          </cell>
          <cell r="H93">
            <v>0.72571702403122029</v>
          </cell>
          <cell r="I93">
            <v>0.45449755569281552</v>
          </cell>
          <cell r="J93">
            <v>0.4241988728515913</v>
          </cell>
          <cell r="K93">
            <v>0.36161923704943794</v>
          </cell>
          <cell r="L93">
            <v>0.36292105376463729</v>
          </cell>
          <cell r="M93">
            <v>0.36739922855434654</v>
          </cell>
          <cell r="N93">
            <v>0.36085627456112845</v>
          </cell>
          <cell r="O93">
            <v>0.35548864678432063</v>
          </cell>
        </row>
        <row r="94">
          <cell r="B94" t="str">
            <v>Total Specialty</v>
          </cell>
          <cell r="C94">
            <v>0</v>
          </cell>
          <cell r="D94">
            <v>0</v>
          </cell>
          <cell r="E94">
            <v>0</v>
          </cell>
          <cell r="F94">
            <v>0</v>
          </cell>
          <cell r="G94">
            <v>0</v>
          </cell>
          <cell r="H94">
            <v>0</v>
          </cell>
          <cell r="I94">
            <v>0.11301751200831807</v>
          </cell>
          <cell r="J94">
            <v>0.11409903744364086</v>
          </cell>
          <cell r="K94">
            <v>0.13768296398744237</v>
          </cell>
          <cell r="L94">
            <v>0.15046151035712882</v>
          </cell>
          <cell r="M94">
            <v>0.1640226411671615</v>
          </cell>
          <cell r="N94">
            <v>0.1819570189524142</v>
          </cell>
          <cell r="O94">
            <v>0.19591680364537409</v>
          </cell>
        </row>
        <row r="95">
          <cell r="B95" t="str">
            <v>Services &amp; Other</v>
          </cell>
          <cell r="C95">
            <v>0</v>
          </cell>
          <cell r="D95">
            <v>0</v>
          </cell>
          <cell r="E95">
            <v>0</v>
          </cell>
          <cell r="F95">
            <v>0</v>
          </cell>
          <cell r="G95">
            <v>2.806715454154111E-3</v>
          </cell>
          <cell r="H95">
            <v>2.142088630148393E-3</v>
          </cell>
          <cell r="I95">
            <v>0.11588976628797415</v>
          </cell>
          <cell r="J95">
            <v>0.10796191854905282</v>
          </cell>
          <cell r="K95">
            <v>7.9117841356178942E-2</v>
          </cell>
          <cell r="L95">
            <v>7.4995256695115059E-2</v>
          </cell>
          <cell r="M95">
            <v>7.0913077923195414E-2</v>
          </cell>
          <cell r="N95">
            <v>7.1484007300427796E-2</v>
          </cell>
          <cell r="O95">
            <v>6.9940592394608994E-2</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v>
          </cell>
          <cell r="E101">
            <v>0.87014837031857883</v>
          </cell>
          <cell r="F101">
            <v>0.59962389097577495</v>
          </cell>
          <cell r="G101">
            <v>0.70390222379582568</v>
          </cell>
          <cell r="H101">
            <v>0.60901042489603152</v>
          </cell>
          <cell r="I101">
            <v>0.60609922880788902</v>
          </cell>
          <cell r="J101">
            <v>0.60567651652901189</v>
          </cell>
          <cell r="K101">
            <v>0.60642188876446701</v>
          </cell>
          <cell r="L101">
            <v>0.59936913046480855</v>
          </cell>
          <cell r="M101">
            <v>0.62287522204068835</v>
          </cell>
          <cell r="N101">
            <v>0.62106759921796506</v>
          </cell>
          <cell r="O101">
            <v>0.62451356144640924</v>
          </cell>
        </row>
        <row r="102">
          <cell r="B102" t="str">
            <v>Brand</v>
          </cell>
          <cell r="C102">
            <v>0</v>
          </cell>
          <cell r="D102">
            <v>0</v>
          </cell>
          <cell r="E102">
            <v>7.3369174841962481E-2</v>
          </cell>
          <cell r="F102">
            <v>0.26950944481952244</v>
          </cell>
          <cell r="G102">
            <v>0.29329106075002148</v>
          </cell>
          <cell r="H102">
            <v>0.38884748647382017</v>
          </cell>
          <cell r="I102">
            <v>0.16499349289581894</v>
          </cell>
          <cell r="J102">
            <v>0.17226252747829435</v>
          </cell>
          <cell r="K102">
            <v>0.17677730589191165</v>
          </cell>
          <cell r="L102">
            <v>0.17517410248294757</v>
          </cell>
          <cell r="M102">
            <v>0.14218905886895483</v>
          </cell>
          <cell r="N102">
            <v>0.12549137452919282</v>
          </cell>
          <cell r="O102">
            <v>0.10962904251360769</v>
          </cell>
        </row>
        <row r="103">
          <cell r="B103" t="str">
            <v>Specialty</v>
          </cell>
          <cell r="C103">
            <v>0</v>
          </cell>
          <cell r="D103">
            <v>0</v>
          </cell>
          <cell r="E103">
            <v>0</v>
          </cell>
          <cell r="F103">
            <v>0</v>
          </cell>
          <cell r="G103">
            <v>0</v>
          </cell>
          <cell r="H103">
            <v>0</v>
          </cell>
          <cell r="I103">
            <v>0.11301751200831807</v>
          </cell>
          <cell r="J103">
            <v>0.11409903744364086</v>
          </cell>
          <cell r="K103">
            <v>0.13768296398744237</v>
          </cell>
          <cell r="L103">
            <v>0.15046151035712882</v>
          </cell>
          <cell r="M103">
            <v>0.1640226411671615</v>
          </cell>
          <cell r="N103">
            <v>0.1819570189524142</v>
          </cell>
          <cell r="O103">
            <v>0.19591680364537409</v>
          </cell>
        </row>
        <row r="104">
          <cell r="B104" t="str">
            <v>Services &amp; Other</v>
          </cell>
          <cell r="C104">
            <v>0</v>
          </cell>
          <cell r="D104">
            <v>0</v>
          </cell>
          <cell r="E104">
            <v>0</v>
          </cell>
          <cell r="F104">
            <v>0</v>
          </cell>
          <cell r="G104">
            <v>2.806715454154111E-3</v>
          </cell>
          <cell r="H104">
            <v>2.142088630148393E-3</v>
          </cell>
          <cell r="I104">
            <v>0.11588976628797415</v>
          </cell>
          <cell r="J104">
            <v>0.10796191854905282</v>
          </cell>
          <cell r="K104">
            <v>7.9117841356178942E-2</v>
          </cell>
          <cell r="L104">
            <v>7.4995256695115059E-2</v>
          </cell>
          <cell r="M104">
            <v>7.0913077923195414E-2</v>
          </cell>
          <cell r="N104">
            <v>7.1484007300427796E-2</v>
          </cell>
          <cell r="O104">
            <v>6.9940592394608994E-2</v>
          </cell>
        </row>
        <row r="107">
          <cell r="B107" t="str">
            <v>Retail / Network - generics</v>
          </cell>
          <cell r="C107">
            <v>0</v>
          </cell>
          <cell r="D107">
            <v>0</v>
          </cell>
          <cell r="E107">
            <v>0.18207820433577135</v>
          </cell>
          <cell r="F107">
            <v>0.12385860260024335</v>
          </cell>
          <cell r="G107">
            <v>0.1271937649064584</v>
          </cell>
          <cell r="H107">
            <v>0.12026126632227407</v>
          </cell>
          <cell r="I107">
            <v>0.21687442251770958</v>
          </cell>
          <cell r="J107">
            <v>0.25029683068883996</v>
          </cell>
          <cell r="K107">
            <v>0.30153274803256308</v>
          </cell>
          <cell r="L107">
            <v>0.29422386927896765</v>
          </cell>
          <cell r="M107">
            <v>0.30059963800396594</v>
          </cell>
          <cell r="N107">
            <v>0.29891881712974061</v>
          </cell>
          <cell r="O107">
            <v>0.3015172279806585</v>
          </cell>
        </row>
        <row r="108">
          <cell r="B108" t="str">
            <v>Retail / Network - brand</v>
          </cell>
          <cell r="C108">
            <v>0</v>
          </cell>
          <cell r="D108">
            <v>0</v>
          </cell>
          <cell r="E108">
            <v>2.3174134465626779E-2</v>
          </cell>
          <cell r="F108">
            <v>0.1300526258191054</v>
          </cell>
          <cell r="G108">
            <v>0.12727756212848018</v>
          </cell>
          <cell r="H108">
            <v>0.1518796210163573</v>
          </cell>
          <cell r="I108">
            <v>9.9720743493182815E-2</v>
          </cell>
          <cell r="J108">
            <v>0.10344334046687505</v>
          </cell>
          <cell r="K108">
            <v>0.12004720957437767</v>
          </cell>
          <cell r="L108">
            <v>0.11739830990415115</v>
          </cell>
          <cell r="M108">
            <v>9.7065414351330662E-2</v>
          </cell>
          <cell r="N108">
            <v>8.6783882056288855E-2</v>
          </cell>
          <cell r="O108">
            <v>7.7136729195037765E-2</v>
          </cell>
        </row>
        <row r="109">
          <cell r="B109" t="str">
            <v>Mail / Home Delivery - generics - core</v>
          </cell>
          <cell r="C109">
            <v>0</v>
          </cell>
          <cell r="D109">
            <v>0</v>
          </cell>
          <cell r="E109">
            <v>0.68807016598280746</v>
          </cell>
          <cell r="F109">
            <v>0.47576528837553156</v>
          </cell>
          <cell r="G109">
            <v>0.57670845888936728</v>
          </cell>
          <cell r="H109">
            <v>0.48874915857375739</v>
          </cell>
          <cell r="I109">
            <v>0.38922480629017941</v>
          </cell>
          <cell r="J109">
            <v>0.35537968584017199</v>
          </cell>
          <cell r="K109">
            <v>0.30488914073190398</v>
          </cell>
          <cell r="L109">
            <v>0.3051452611858409</v>
          </cell>
          <cell r="M109">
            <v>0.32227558403672235</v>
          </cell>
          <cell r="N109">
            <v>0.32214878208822451</v>
          </cell>
          <cell r="O109">
            <v>0.32299633346575068</v>
          </cell>
        </row>
        <row r="110">
          <cell r="B110" t="str">
            <v>Mail / Home Delivery - brand - core</v>
          </cell>
          <cell r="C110">
            <v>0</v>
          </cell>
          <cell r="D110">
            <v>0</v>
          </cell>
          <cell r="E110">
            <v>5.0195040376335695E-2</v>
          </cell>
          <cell r="F110">
            <v>0.13945681900041704</v>
          </cell>
          <cell r="G110">
            <v>0.1660134986215413</v>
          </cell>
          <cell r="H110">
            <v>0.23696786545746287</v>
          </cell>
          <cell r="I110">
            <v>6.527274940263611E-2</v>
          </cell>
          <cell r="J110">
            <v>6.88191870114193E-2</v>
          </cell>
          <cell r="K110">
            <v>5.6730096317533965E-2</v>
          </cell>
          <cell r="L110">
            <v>5.7775792578796413E-2</v>
          </cell>
          <cell r="M110">
            <v>4.5123644517624163E-2</v>
          </cell>
          <cell r="N110">
            <v>3.8707492472903962E-2</v>
          </cell>
          <cell r="O110">
            <v>3.2492313318569922E-2</v>
          </cell>
        </row>
        <row r="111">
          <cell r="B111" t="str">
            <v>Mail / Home Delivery - specialty</v>
          </cell>
          <cell r="C111">
            <v>0</v>
          </cell>
          <cell r="D111">
            <v>0</v>
          </cell>
          <cell r="E111">
            <v>0</v>
          </cell>
          <cell r="F111">
            <v>0</v>
          </cell>
          <cell r="G111">
            <v>0</v>
          </cell>
          <cell r="H111">
            <v>0</v>
          </cell>
          <cell r="I111">
            <v>0.11301751200831807</v>
          </cell>
          <cell r="J111">
            <v>0.11409903744364086</v>
          </cell>
          <cell r="K111">
            <v>0.13768296398744237</v>
          </cell>
          <cell r="L111">
            <v>0.15046151035712882</v>
          </cell>
          <cell r="M111">
            <v>0.1640226411671615</v>
          </cell>
          <cell r="N111">
            <v>0.1819570189524142</v>
          </cell>
          <cell r="O111">
            <v>0.19591680364537409</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1445.7586411742684</v>
          </cell>
          <cell r="E119">
            <v>1501.8864821146765</v>
          </cell>
          <cell r="F119">
            <v>1467.3496401638847</v>
          </cell>
          <cell r="G119">
            <v>1477.3555793885143</v>
          </cell>
          <cell r="H119">
            <v>2343.2008577315969</v>
          </cell>
          <cell r="I119">
            <v>3293.8930439420883</v>
          </cell>
          <cell r="J119">
            <v>4188.4156934860439</v>
          </cell>
          <cell r="K119">
            <v>9280.4859662180534</v>
          </cell>
          <cell r="L119">
            <v>9935.3810676736666</v>
          </cell>
          <cell r="M119">
            <v>11163.106217568449</v>
          </cell>
          <cell r="N119">
            <v>11453.990586830012</v>
          </cell>
          <cell r="O119">
            <v>12280.710469953687</v>
          </cell>
        </row>
        <row r="120">
          <cell r="B120" t="str">
            <v>Retail Brand</v>
          </cell>
          <cell r="C120">
            <v>0</v>
          </cell>
          <cell r="D120">
            <v>7591.2413588257323</v>
          </cell>
          <cell r="E120">
            <v>7885.1135178853237</v>
          </cell>
          <cell r="F120">
            <v>7703.650359836116</v>
          </cell>
          <cell r="G120">
            <v>7391.6444206114847</v>
          </cell>
          <cell r="H120">
            <v>10680.099142268404</v>
          </cell>
          <cell r="I120">
            <v>9746.0069560579122</v>
          </cell>
          <cell r="J120">
            <v>11035.789326885135</v>
          </cell>
          <cell r="K120">
            <v>23753.399679663322</v>
          </cell>
          <cell r="L120">
            <v>24183.485108803041</v>
          </cell>
          <cell r="M120">
            <v>22001.299924142775</v>
          </cell>
          <cell r="N120">
            <v>20286.273717595639</v>
          </cell>
          <cell r="O120">
            <v>19167.812111909461</v>
          </cell>
        </row>
        <row r="121">
          <cell r="B121" t="str">
            <v>Mail Generic</v>
          </cell>
          <cell r="C121">
            <v>0</v>
          </cell>
          <cell r="D121">
            <v>493.50832930692604</v>
          </cell>
          <cell r="E121">
            <v>630.62235922554817</v>
          </cell>
          <cell r="F121">
            <v>663.10340989819974</v>
          </cell>
          <cell r="G121">
            <v>738.7985000000001</v>
          </cell>
          <cell r="H121">
            <v>825.09925523423624</v>
          </cell>
          <cell r="I121">
            <v>837.3833734355419</v>
          </cell>
          <cell r="J121">
            <v>929.05220468016728</v>
          </cell>
          <cell r="K121">
            <v>1566.8514628539592</v>
          </cell>
          <cell r="L121">
            <v>1743.3803363665425</v>
          </cell>
          <cell r="M121">
            <v>2081.4180316936408</v>
          </cell>
          <cell r="N121">
            <v>2208.6942460100381</v>
          </cell>
          <cell r="O121">
            <v>2425.0025697780475</v>
          </cell>
        </row>
        <row r="122">
          <cell r="B122" t="str">
            <v>Mail Brand</v>
          </cell>
          <cell r="C122">
            <v>0</v>
          </cell>
          <cell r="D122">
            <v>3494.4916706930744</v>
          </cell>
          <cell r="E122">
            <v>4140.3776407744517</v>
          </cell>
          <cell r="F122">
            <v>4352.8965901018</v>
          </cell>
          <cell r="G122">
            <v>4451.2015000000001</v>
          </cell>
          <cell r="H122">
            <v>4190.4007447657641</v>
          </cell>
          <cell r="I122">
            <v>4155.3166265644586</v>
          </cell>
          <cell r="J122">
            <v>4340.891237351816</v>
          </cell>
          <cell r="K122">
            <v>6532.8793097001608</v>
          </cell>
          <cell r="L122">
            <v>6636.0658266771616</v>
          </cell>
          <cell r="M122">
            <v>5702.7484317220624</v>
          </cell>
          <cell r="N122">
            <v>5045.1044942204026</v>
          </cell>
          <cell r="O122">
            <v>4502.6506024930486</v>
          </cell>
        </row>
        <row r="123">
          <cell r="B123" t="str">
            <v>Specialty</v>
          </cell>
          <cell r="C123">
            <v>0</v>
          </cell>
          <cell r="D123">
            <v>0</v>
          </cell>
          <cell r="E123">
            <v>0</v>
          </cell>
          <cell r="F123">
            <v>0</v>
          </cell>
          <cell r="G123">
            <v>0</v>
          </cell>
          <cell r="H123">
            <v>0</v>
          </cell>
          <cell r="I123">
            <v>2233</v>
          </cell>
          <cell r="J123">
            <v>2726.4116950696502</v>
          </cell>
          <cell r="K123">
            <v>4668.9493813858862</v>
          </cell>
          <cell r="L123">
            <v>5598.0703082816781</v>
          </cell>
          <cell r="M123">
            <v>6712.0862996297337</v>
          </cell>
          <cell r="N123">
            <v>7681.9827699262323</v>
          </cell>
          <cell r="O123">
            <v>8792.0292801805736</v>
          </cell>
        </row>
        <row r="124">
          <cell r="B124" t="str">
            <v>Services &amp; Other</v>
          </cell>
          <cell r="C124">
            <v>0</v>
          </cell>
          <cell r="D124">
            <v>73</v>
          </cell>
          <cell r="E124">
            <v>101</v>
          </cell>
          <cell r="F124">
            <v>152</v>
          </cell>
          <cell r="G124">
            <v>163</v>
          </cell>
          <cell r="H124">
            <v>168.7</v>
          </cell>
          <cell r="I124">
            <v>305.3</v>
          </cell>
          <cell r="J124">
            <v>343.96858956814947</v>
          </cell>
          <cell r="K124">
            <v>357.72733315087544</v>
          </cell>
          <cell r="L124">
            <v>372.03642647691049</v>
          </cell>
          <cell r="M124">
            <v>386.9178835359869</v>
          </cell>
          <cell r="N124">
            <v>402.39459887742646</v>
          </cell>
          <cell r="O124">
            <v>418.49038283252349</v>
          </cell>
        </row>
        <row r="125">
          <cell r="B125" t="str">
            <v>EM</v>
          </cell>
          <cell r="C125">
            <v>0</v>
          </cell>
          <cell r="D125">
            <v>0</v>
          </cell>
          <cell r="E125">
            <v>0</v>
          </cell>
          <cell r="F125">
            <v>0</v>
          </cell>
          <cell r="G125">
            <v>0</v>
          </cell>
          <cell r="H125">
            <v>0</v>
          </cell>
          <cell r="I125">
            <v>1407.1</v>
          </cell>
          <cell r="J125">
            <v>1294.4989999999998</v>
          </cell>
          <cell r="K125">
            <v>1320.01298</v>
          </cell>
          <cell r="L125">
            <v>1385.254109</v>
          </cell>
          <cell r="M125">
            <v>1453.7345088500001</v>
          </cell>
          <cell r="N125">
            <v>1525.6154595245002</v>
          </cell>
          <cell r="O125">
            <v>1601.0662844896851</v>
          </cell>
        </row>
      </sheetData>
      <sheetData sheetId="10" refreshError="1"/>
      <sheetData sheetId="11"/>
      <sheetData sheetId="12"/>
      <sheetData sheetId="13"/>
      <sheetData sheetId="14"/>
      <sheetData sheetId="15"/>
      <sheetData sheetId="1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S"/>
      <sheetName val="IS - Adj Basis"/>
      <sheetName val="BS"/>
      <sheetName val="CF"/>
      <sheetName val="Health Care"/>
      <sheetName val="Intl"/>
      <sheetName val="Dis&amp;Life"/>
      <sheetName val="Other &amp; Runoff"/>
      <sheetName val="Corp"/>
      <sheetName val="VADB"/>
      <sheetName val="Q comps"/>
      <sheetName val="MW-Cache"/>
      <sheetName val="Outlook"/>
      <sheetName val="Crosswalk"/>
      <sheetName val="One Pager"/>
      <sheetName val="mwareDates"/>
      <sheetName val="MWA RR"/>
      <sheetName val="mwareSettings"/>
      <sheetName val="Model Changes"/>
      <sheetName val="CI + HS"/>
      <sheetName val="CI + HS (2)"/>
      <sheetName val="CI"/>
    </sheetNames>
    <sheetDataSet>
      <sheetData sheetId="0"/>
      <sheetData sheetId="1"/>
      <sheetData sheetId="2">
        <row r="7">
          <cell r="AW7" t="str">
            <v>Q2A</v>
          </cell>
        </row>
        <row r="8">
          <cell r="AW8" t="str">
            <v>_is_2c11</v>
          </cell>
        </row>
        <row r="10">
          <cell r="AW10">
            <v>4786</v>
          </cell>
        </row>
        <row r="11">
          <cell r="AW11">
            <v>284</v>
          </cell>
        </row>
        <row r="12">
          <cell r="AW12">
            <v>420</v>
          </cell>
        </row>
        <row r="13">
          <cell r="AW13">
            <v>5490</v>
          </cell>
        </row>
        <row r="14">
          <cell r="AW14">
            <v>2034</v>
          </cell>
        </row>
        <row r="15">
          <cell r="AW15">
            <v>1058</v>
          </cell>
        </row>
        <row r="16">
          <cell r="AW16">
            <v>0</v>
          </cell>
        </row>
        <row r="17">
          <cell r="AW17">
            <v>289</v>
          </cell>
        </row>
        <row r="18">
          <cell r="AW18">
            <v>1497</v>
          </cell>
        </row>
        <row r="19">
          <cell r="AW19">
            <v>4878</v>
          </cell>
        </row>
        <row r="20">
          <cell r="AW20">
            <v>612</v>
          </cell>
        </row>
        <row r="21">
          <cell r="AW21">
            <v>211</v>
          </cell>
        </row>
        <row r="22">
          <cell r="AW22">
            <v>401</v>
          </cell>
        </row>
        <row r="23">
          <cell r="AW23">
            <v>-21</v>
          </cell>
        </row>
        <row r="24">
          <cell r="AW24">
            <v>11</v>
          </cell>
        </row>
        <row r="25">
          <cell r="AW25">
            <v>391</v>
          </cell>
        </row>
        <row r="27">
          <cell r="A27" t="str">
            <v>Operating EPS</v>
          </cell>
          <cell r="B27" t="str">
            <v>_opeps</v>
          </cell>
          <cell r="C27">
            <v>0.63975061357899754</v>
          </cell>
          <cell r="D27">
            <v>0.65008597911336663</v>
          </cell>
          <cell r="E27">
            <v>0.49606368694565478</v>
          </cell>
          <cell r="F27">
            <v>0.4228490523905224</v>
          </cell>
          <cell r="G27">
            <v>2.2159358793022159</v>
          </cell>
          <cell r="H27">
            <v>0.48788614403350944</v>
          </cell>
          <cell r="I27">
            <v>0.37690390143247338</v>
          </cell>
          <cell r="J27">
            <v>0.4838480148000569</v>
          </cell>
          <cell r="K27">
            <v>0.55060483823324391</v>
          </cell>
          <cell r="L27">
            <v>1.8965525416174749</v>
          </cell>
          <cell r="M27">
            <v>0.59762132539654411</v>
          </cell>
          <cell r="N27">
            <v>0.5575246852951079</v>
          </cell>
          <cell r="O27">
            <v>0.56176344873908501</v>
          </cell>
          <cell r="P27">
            <v>0.80360252774045882</v>
          </cell>
          <cell r="Q27">
            <v>2.5166081633837143</v>
          </cell>
          <cell r="R27">
            <v>0.74589756340129287</v>
          </cell>
          <cell r="S27">
            <v>0.65983483826432987</v>
          </cell>
          <cell r="T27">
            <v>0.64516294862600854</v>
          </cell>
          <cell r="U27">
            <v>0.66103328262756744</v>
          </cell>
          <cell r="V27">
            <v>2.7138261354037492</v>
          </cell>
          <cell r="W27">
            <v>0.70196632194134501</v>
          </cell>
          <cell r="X27">
            <v>0.76937543811656894</v>
          </cell>
          <cell r="Y27">
            <v>0.82536456167906258</v>
          </cell>
          <cell r="Z27">
            <v>0.7948969578017665</v>
          </cell>
          <cell r="AA27">
            <v>3.0810792377071907</v>
          </cell>
          <cell r="AB27">
            <v>0.89083252348558462</v>
          </cell>
          <cell r="AC27">
            <v>0.96206564804948957</v>
          </cell>
          <cell r="AD27">
            <v>1.2128157715266012</v>
          </cell>
          <cell r="AE27">
            <v>0.97989620882755601</v>
          </cell>
          <cell r="AF27">
            <v>4.0404811120513857</v>
          </cell>
          <cell r="AG27">
            <v>0.9381261549572002</v>
          </cell>
          <cell r="AH27">
            <v>1.0823825275596739</v>
          </cell>
          <cell r="AI27">
            <v>0.89487086213168432</v>
          </cell>
          <cell r="AJ27">
            <v>0.35540812699917068</v>
          </cell>
          <cell r="AK27">
            <v>3.287548500372107</v>
          </cell>
          <cell r="AL27">
            <v>0.688977820777812</v>
          </cell>
          <cell r="AM27">
            <v>1.137954227336351</v>
          </cell>
          <cell r="AN27">
            <v>1.126281099482128</v>
          </cell>
          <cell r="AO27">
            <v>1.0276084126875384</v>
          </cell>
          <cell r="AP27">
            <v>3.9839190578049584</v>
          </cell>
          <cell r="AQ27">
            <v>1.0104279036317871</v>
          </cell>
          <cell r="AR27">
            <v>1.3836042891732965</v>
          </cell>
          <cell r="AS27">
            <v>1.2204955285148802</v>
          </cell>
          <cell r="AT27">
            <v>1.1477940718086375</v>
          </cell>
          <cell r="AU27">
            <v>4.7621944962326479</v>
          </cell>
          <cell r="AV27">
            <v>1.3108265509926134</v>
          </cell>
          <cell r="AW27">
            <v>1.4703024569817367</v>
          </cell>
          <cell r="AX27">
            <v>1.2975079026685294</v>
          </cell>
          <cell r="AY27">
            <v>1.0528585288727585</v>
          </cell>
          <cell r="AZ27">
            <v>5.1267279005575253</v>
          </cell>
          <cell r="BA27">
            <v>1.2422188312070284</v>
          </cell>
          <cell r="BB27">
            <v>1.4937342323272997</v>
          </cell>
          <cell r="BC27">
            <v>1.7110823630875378</v>
          </cell>
          <cell r="BD27">
            <v>1.4479922984452029</v>
          </cell>
          <cell r="BE27">
            <v>5.8960384011342217</v>
          </cell>
          <cell r="BJ27">
            <v>6.4990211571810255</v>
          </cell>
          <cell r="BO27">
            <v>7.1516357794999088</v>
          </cell>
        </row>
        <row r="28">
          <cell r="AW28">
            <v>6.266110078355025E-2</v>
          </cell>
        </row>
        <row r="29">
          <cell r="AW29">
            <v>1.4336365602989003</v>
          </cell>
        </row>
        <row r="30">
          <cell r="AW30">
            <v>268.55700000000002</v>
          </cell>
        </row>
        <row r="31">
          <cell r="AW31">
            <v>272.733</v>
          </cell>
        </row>
        <row r="32">
          <cell r="AW32">
            <v>1.5549771556876202E-2</v>
          </cell>
        </row>
        <row r="33">
          <cell r="AW33">
            <v>270.20499999999998</v>
          </cell>
        </row>
        <row r="34">
          <cell r="AW34">
            <v>-0.55452900000000227</v>
          </cell>
        </row>
        <row r="35">
          <cell r="AW35">
            <v>-1.0383094052153652E-2</v>
          </cell>
        </row>
        <row r="36">
          <cell r="AW36">
            <v>47.460640000000005</v>
          </cell>
        </row>
        <row r="37">
          <cell r="AW37">
            <v>24.545970000000001</v>
          </cell>
        </row>
        <row r="40">
          <cell r="AW40" t="str">
            <v>Q2A</v>
          </cell>
        </row>
        <row r="43">
          <cell r="AW43">
            <v>0.64605098203092348</v>
          </cell>
        </row>
        <row r="44">
          <cell r="AW44">
            <v>0.79484173505275502</v>
          </cell>
        </row>
        <row r="45">
          <cell r="AW45">
            <v>0.27604646874423749</v>
          </cell>
        </row>
        <row r="46">
          <cell r="AW46">
            <v>0.11147540983606558</v>
          </cell>
        </row>
        <row r="47">
          <cell r="AW47">
            <v>7.304189435336976E-2</v>
          </cell>
        </row>
        <row r="48">
          <cell r="AW48">
            <v>0.34477124183006536</v>
          </cell>
        </row>
        <row r="51">
          <cell r="AW51">
            <v>6.261101243339251E-2</v>
          </cell>
        </row>
        <row r="52">
          <cell r="AW52">
            <v>2.9825548677546498E-2</v>
          </cell>
        </row>
        <row r="53">
          <cell r="AW53">
            <v>5.3356282271944888E-2</v>
          </cell>
        </row>
        <row r="54">
          <cell r="AW54">
            <v>4.4270833333333259E-2</v>
          </cell>
        </row>
        <row r="57">
          <cell r="AW57">
            <v>0.68846636021730045</v>
          </cell>
        </row>
        <row r="58">
          <cell r="AW58">
            <v>0.68816029143897994</v>
          </cell>
        </row>
        <row r="59">
          <cell r="AW59">
            <v>0.71568627450980393</v>
          </cell>
        </row>
        <row r="64">
          <cell r="AW64" t="str">
            <v>Q2A</v>
          </cell>
        </row>
        <row r="69">
          <cell r="AW69">
            <v>3295</v>
          </cell>
        </row>
        <row r="70">
          <cell r="AW70">
            <v>717</v>
          </cell>
        </row>
        <row r="71">
          <cell r="AW71">
            <v>737</v>
          </cell>
        </row>
        <row r="72">
          <cell r="AW72">
            <v>37</v>
          </cell>
        </row>
        <row r="73">
          <cell r="AW73">
            <v>4786</v>
          </cell>
        </row>
        <row r="74">
          <cell r="AW74">
            <v>6.261101243339251E-2</v>
          </cell>
        </row>
        <row r="77">
          <cell r="AW77">
            <v>67</v>
          </cell>
        </row>
        <row r="78">
          <cell r="AW78">
            <v>67</v>
          </cell>
        </row>
        <row r="79">
          <cell r="AW79">
            <v>24</v>
          </cell>
        </row>
        <row r="80">
          <cell r="AW80">
            <v>125</v>
          </cell>
        </row>
        <row r="81">
          <cell r="AW81">
            <v>1</v>
          </cell>
        </row>
        <row r="82">
          <cell r="AW82">
            <v>284</v>
          </cell>
        </row>
        <row r="83">
          <cell r="AW83">
            <v>3.5335689045936647E-3</v>
          </cell>
        </row>
        <row r="84">
          <cell r="AW84">
            <v>4.891491560454702E-2</v>
          </cell>
        </row>
        <row r="87">
          <cell r="AW87">
            <v>416</v>
          </cell>
        </row>
        <row r="88">
          <cell r="AW88">
            <v>0</v>
          </cell>
        </row>
        <row r="89">
          <cell r="AW89">
            <v>3</v>
          </cell>
        </row>
        <row r="90">
          <cell r="AW90">
            <v>15</v>
          </cell>
        </row>
        <row r="91">
          <cell r="AW91">
            <v>-14</v>
          </cell>
        </row>
        <row r="92">
          <cell r="AW92">
            <v>420</v>
          </cell>
        </row>
        <row r="93">
          <cell r="AW93">
            <v>-0.2279411764705882</v>
          </cell>
        </row>
        <row r="96">
          <cell r="AW96">
            <v>3778</v>
          </cell>
        </row>
        <row r="97">
          <cell r="AW97">
            <v>784</v>
          </cell>
        </row>
        <row r="98">
          <cell r="AW98">
            <v>764</v>
          </cell>
        </row>
        <row r="99">
          <cell r="AW99">
            <v>177</v>
          </cell>
        </row>
        <row r="100">
          <cell r="AW100">
            <v>-13</v>
          </cell>
        </row>
        <row r="101">
          <cell r="AW101">
            <v>5490</v>
          </cell>
        </row>
        <row r="102">
          <cell r="AW102">
            <v>2.9825548677546498E-2</v>
          </cell>
        </row>
        <row r="103">
          <cell r="AW103">
            <v>5423</v>
          </cell>
        </row>
        <row r="104">
          <cell r="AW104">
            <v>2.961837858363392E-2</v>
          </cell>
        </row>
        <row r="109">
          <cell r="AW109">
            <v>2034</v>
          </cell>
        </row>
        <row r="110">
          <cell r="AW110">
            <v>21</v>
          </cell>
        </row>
        <row r="111">
          <cell r="AW111">
            <v>496</v>
          </cell>
        </row>
        <row r="112">
          <cell r="AW112">
            <v>420</v>
          </cell>
        </row>
        <row r="113">
          <cell r="AW113">
            <v>0</v>
          </cell>
        </row>
        <row r="114">
          <cell r="AW114">
            <v>121</v>
          </cell>
        </row>
        <row r="115">
          <cell r="AW115">
            <v>3092</v>
          </cell>
        </row>
        <row r="116">
          <cell r="AW116">
            <v>1.2111292962356801E-2</v>
          </cell>
        </row>
        <row r="118">
          <cell r="AW118">
            <v>289</v>
          </cell>
        </row>
        <row r="121">
          <cell r="AW121">
            <v>996</v>
          </cell>
        </row>
        <row r="122">
          <cell r="AW122">
            <v>164</v>
          </cell>
        </row>
        <row r="123">
          <cell r="AW123">
            <v>262</v>
          </cell>
        </row>
        <row r="124">
          <cell r="AW124">
            <v>23</v>
          </cell>
        </row>
        <row r="125">
          <cell r="AW125">
            <v>52</v>
          </cell>
        </row>
        <row r="126">
          <cell r="AW126">
            <v>1497</v>
          </cell>
        </row>
        <row r="127">
          <cell r="AW127">
            <v>6.5480427046263445E-2</v>
          </cell>
        </row>
        <row r="130">
          <cell r="AW130">
            <v>438</v>
          </cell>
        </row>
        <row r="131">
          <cell r="AW131">
            <v>124</v>
          </cell>
        </row>
        <row r="132">
          <cell r="AW132">
            <v>82</v>
          </cell>
        </row>
        <row r="133">
          <cell r="AW133">
            <v>33</v>
          </cell>
        </row>
        <row r="134">
          <cell r="AW134">
            <v>-65</v>
          </cell>
        </row>
        <row r="135">
          <cell r="AW135">
            <v>612</v>
          </cell>
        </row>
        <row r="136">
          <cell r="AW136">
            <v>5.3356282271944888E-2</v>
          </cell>
        </row>
        <row r="139">
          <cell r="AW139">
            <v>158</v>
          </cell>
        </row>
        <row r="140">
          <cell r="AW140">
            <v>36</v>
          </cell>
        </row>
        <row r="141">
          <cell r="AW141">
            <v>25</v>
          </cell>
        </row>
        <row r="142">
          <cell r="AW142">
            <v>14</v>
          </cell>
        </row>
        <row r="143">
          <cell r="AW143">
            <v>-22</v>
          </cell>
        </row>
        <row r="144">
          <cell r="AW144">
            <v>211</v>
          </cell>
        </row>
        <row r="145">
          <cell r="AW145">
            <v>7.1065989847715727E-2</v>
          </cell>
        </row>
        <row r="148">
          <cell r="AW148">
            <v>280</v>
          </cell>
        </row>
        <row r="149">
          <cell r="AW149">
            <v>88</v>
          </cell>
        </row>
        <row r="150">
          <cell r="AW150">
            <v>57</v>
          </cell>
        </row>
        <row r="151">
          <cell r="AW151">
            <v>19</v>
          </cell>
        </row>
        <row r="152">
          <cell r="AW152">
            <v>-43</v>
          </cell>
        </row>
        <row r="153">
          <cell r="AW153">
            <v>401</v>
          </cell>
        </row>
        <row r="154">
          <cell r="AW154">
            <v>4.4270833333333259E-2</v>
          </cell>
        </row>
        <row r="157">
          <cell r="AW157">
            <v>0</v>
          </cell>
        </row>
        <row r="158">
          <cell r="AW158">
            <v>0</v>
          </cell>
        </row>
        <row r="159">
          <cell r="AW159">
            <v>0</v>
          </cell>
        </row>
        <row r="160">
          <cell r="AW160">
            <v>-21</v>
          </cell>
        </row>
        <row r="161">
          <cell r="AW161">
            <v>0</v>
          </cell>
        </row>
        <row r="162">
          <cell r="AW162">
            <v>0</v>
          </cell>
        </row>
        <row r="163">
          <cell r="AW163">
            <v>-21</v>
          </cell>
        </row>
        <row r="166">
          <cell r="AW166">
            <v>5</v>
          </cell>
        </row>
        <row r="167">
          <cell r="AW167">
            <v>4</v>
          </cell>
        </row>
        <row r="168">
          <cell r="AW168">
            <v>0</v>
          </cell>
        </row>
        <row r="169">
          <cell r="AW169">
            <v>2</v>
          </cell>
        </row>
        <row r="170">
          <cell r="AW170">
            <v>0</v>
          </cell>
        </row>
        <row r="171">
          <cell r="AW171">
            <v>0</v>
          </cell>
        </row>
        <row r="172">
          <cell r="AW172">
            <v>11</v>
          </cell>
        </row>
        <row r="176">
          <cell r="AW176">
            <v>0</v>
          </cell>
        </row>
        <row r="177">
          <cell r="AW177">
            <v>0.34477124183006536</v>
          </cell>
        </row>
        <row r="178">
          <cell r="AW178">
            <v>680</v>
          </cell>
        </row>
        <row r="181">
          <cell r="AW181" t="str">
            <v>2011-Q2</v>
          </cell>
        </row>
        <row r="200">
          <cell r="AW200">
            <v>0.11008666789599852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S"/>
      <sheetName val="Rev Model"/>
      <sheetName val="BS"/>
      <sheetName val="CF"/>
      <sheetName val="MW-Cache"/>
      <sheetName val="Q comps"/>
      <sheetName val="One Pager"/>
      <sheetName val="Outlook"/>
      <sheetName val="Roll-Forward"/>
      <sheetName val="Crosswalk"/>
      <sheetName val="What's Changed"/>
      <sheetName val="mwareDates"/>
      <sheetName val="G&amp;A PMPM"/>
      <sheetName val="MWA RR"/>
      <sheetName val="&quot;Legacy ATH&quot; Enrollment"/>
      <sheetName val="mwareSettings"/>
    </sheetNames>
    <sheetDataSet>
      <sheetData sheetId="0"/>
      <sheetData sheetId="1">
        <row r="17">
          <cell r="A17" t="str">
            <v>SG&amp;A expense</v>
          </cell>
          <cell r="B17" t="str">
            <v>_sgaexp</v>
          </cell>
          <cell r="C17">
            <v>505.6</v>
          </cell>
          <cell r="D17">
            <v>544.4</v>
          </cell>
          <cell r="E17">
            <v>683.7</v>
          </cell>
          <cell r="F17">
            <v>772.9</v>
          </cell>
          <cell r="G17">
            <v>2506.6</v>
          </cell>
          <cell r="H17">
            <v>740.9</v>
          </cell>
          <cell r="I17">
            <v>773.9</v>
          </cell>
          <cell r="J17">
            <v>783.5</v>
          </cell>
          <cell r="K17">
            <v>835.8</v>
          </cell>
          <cell r="L17">
            <v>3134.1000000000004</v>
          </cell>
          <cell r="M17">
            <v>765</v>
          </cell>
          <cell r="N17">
            <v>789.7</v>
          </cell>
          <cell r="O17">
            <v>782.6</v>
          </cell>
          <cell r="P17">
            <v>1140.4000000000001</v>
          </cell>
          <cell r="Q17">
            <v>3477.7000000000003</v>
          </cell>
          <cell r="R17">
            <v>1729.1</v>
          </cell>
          <cell r="S17">
            <v>1764.9</v>
          </cell>
          <cell r="T17">
            <v>1847.8000000000002</v>
          </cell>
          <cell r="U17">
            <v>1862.9</v>
          </cell>
          <cell r="V17">
            <v>7204.7</v>
          </cell>
          <cell r="W17">
            <v>2172.6</v>
          </cell>
          <cell r="X17">
            <v>2192.1</v>
          </cell>
          <cell r="Y17">
            <v>2198.6999999999998</v>
          </cell>
          <cell r="Z17">
            <v>2254.2999999999997</v>
          </cell>
          <cell r="AA17">
            <v>8817.7000000000007</v>
          </cell>
          <cell r="AB17">
            <v>2131.6</v>
          </cell>
          <cell r="AC17">
            <v>2260.3000000000002</v>
          </cell>
          <cell r="AD17">
            <v>2189.9</v>
          </cell>
          <cell r="AE17">
            <v>2119.6999999999998</v>
          </cell>
          <cell r="AF17">
            <v>8701.5</v>
          </cell>
          <cell r="AG17">
            <v>2248.6</v>
          </cell>
          <cell r="AH17">
            <v>2218.6</v>
          </cell>
          <cell r="AI17">
            <v>2220.1999999999998</v>
          </cell>
          <cell r="AJ17">
            <v>2333.1</v>
          </cell>
          <cell r="AK17">
            <v>9020.5</v>
          </cell>
          <cell r="AL17">
            <v>2365.1</v>
          </cell>
          <cell r="AM17">
            <v>2343.5</v>
          </cell>
          <cell r="AN17">
            <v>2396.9</v>
          </cell>
          <cell r="AO17">
            <v>2382</v>
          </cell>
          <cell r="AP17">
            <v>9487.5</v>
          </cell>
          <cell r="AQ17">
            <v>2200.6</v>
          </cell>
          <cell r="AR17">
            <v>2181.5</v>
          </cell>
          <cell r="AS17">
            <v>2090</v>
          </cell>
          <cell r="AT17">
            <v>2367.3000000000002</v>
          </cell>
          <cell r="AU17">
            <v>8839.4000000000015</v>
          </cell>
          <cell r="AV17">
            <v>2076.5</v>
          </cell>
          <cell r="AW17">
            <v>2011.1</v>
          </cell>
          <cell r="AX17">
            <v>2119.6</v>
          </cell>
          <cell r="AY17">
            <v>2178.4</v>
          </cell>
          <cell r="AZ17">
            <v>8385.6</v>
          </cell>
          <cell r="BA17">
            <v>2165.7000000000003</v>
          </cell>
          <cell r="BB17">
            <v>2028.4358448033868</v>
          </cell>
          <cell r="BC17">
            <v>2102.9856858157491</v>
          </cell>
          <cell r="BD17">
            <v>2213.1661502177849</v>
          </cell>
          <cell r="BE17">
            <v>8477.2542262972984</v>
          </cell>
          <cell r="BJ17">
            <v>8628.8163517617904</v>
          </cell>
          <cell r="BO17">
            <v>9077.841626976724</v>
          </cell>
          <cell r="BS17" t="str">
            <v>mstag:sellingGeneralAndAdministrativeExpenses</v>
          </cell>
          <cell r="BT17">
            <v>6</v>
          </cell>
          <cell r="BU17" t="str">
            <v>ISO4217:USD</v>
          </cell>
          <cell r="BV17" t="b">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sheetDataSet>
      <sheetData sheetId="0" refreshError="1"/>
      <sheetData sheetId="1" refreshError="1">
        <row r="5">
          <cell r="D5">
            <v>36586</v>
          </cell>
          <cell r="E5">
            <v>36678</v>
          </cell>
          <cell r="F5">
            <v>36770</v>
          </cell>
          <cell r="G5">
            <v>36861</v>
          </cell>
          <cell r="I5">
            <v>36951</v>
          </cell>
          <cell r="J5">
            <v>37043</v>
          </cell>
          <cell r="K5">
            <v>37135</v>
          </cell>
          <cell r="L5">
            <v>37226</v>
          </cell>
          <cell r="N5">
            <v>37316</v>
          </cell>
          <cell r="O5">
            <v>37408</v>
          </cell>
          <cell r="P5">
            <v>37500</v>
          </cell>
          <cell r="Q5">
            <v>37591</v>
          </cell>
          <cell r="S5">
            <v>37681</v>
          </cell>
          <cell r="T5">
            <v>37773</v>
          </cell>
          <cell r="U5">
            <v>37865</v>
          </cell>
          <cell r="V5">
            <v>37956</v>
          </cell>
          <cell r="X5">
            <v>38047</v>
          </cell>
          <cell r="Y5">
            <v>38139</v>
          </cell>
          <cell r="Z5">
            <v>38231</v>
          </cell>
          <cell r="AA5">
            <v>38322</v>
          </cell>
          <cell r="AC5">
            <v>38412</v>
          </cell>
          <cell r="AD5">
            <v>38504</v>
          </cell>
          <cell r="AE5">
            <v>38596</v>
          </cell>
          <cell r="AF5">
            <v>38687</v>
          </cell>
        </row>
        <row r="6">
          <cell r="D6" t="str">
            <v>Fiscal Year End, December 2000</v>
          </cell>
          <cell r="I6" t="str">
            <v>Fiscal Year End, December 2001</v>
          </cell>
          <cell r="N6" t="str">
            <v>Fiscal Year End, December 2002</v>
          </cell>
          <cell r="S6" t="str">
            <v>Fiscal Year End, December 2003</v>
          </cell>
          <cell r="X6" t="str">
            <v>Fiscal Year End, December 2004</v>
          </cell>
          <cell r="AC6" t="str">
            <v>Fiscal Year End, December 2005</v>
          </cell>
        </row>
        <row r="7">
          <cell r="D7" t="str">
            <v>1QA</v>
          </cell>
          <cell r="E7" t="str">
            <v>2QA</v>
          </cell>
          <cell r="F7" t="str">
            <v>3QA</v>
          </cell>
          <cell r="G7" t="str">
            <v>4QA</v>
          </cell>
          <cell r="H7" t="str">
            <v>FY00</v>
          </cell>
          <cell r="I7" t="str">
            <v>1QA</v>
          </cell>
          <cell r="J7" t="str">
            <v>2QA</v>
          </cell>
          <cell r="K7" t="str">
            <v>3QA</v>
          </cell>
          <cell r="L7" t="str">
            <v>4QA</v>
          </cell>
          <cell r="M7" t="str">
            <v>FY01</v>
          </cell>
          <cell r="N7" t="str">
            <v>1QA</v>
          </cell>
          <cell r="O7" t="str">
            <v>2QA</v>
          </cell>
          <cell r="P7" t="str">
            <v>3QA</v>
          </cell>
          <cell r="Q7" t="str">
            <v>4QA</v>
          </cell>
          <cell r="R7" t="str">
            <v>FY02</v>
          </cell>
          <cell r="S7" t="str">
            <v>1QA</v>
          </cell>
          <cell r="T7" t="str">
            <v>2QA</v>
          </cell>
          <cell r="U7" t="str">
            <v>3QA</v>
          </cell>
          <cell r="V7" t="str">
            <v>4QA</v>
          </cell>
          <cell r="W7" t="str">
            <v>FY03</v>
          </cell>
          <cell r="X7" t="str">
            <v>1QA</v>
          </cell>
          <cell r="Y7" t="str">
            <v>2QA</v>
          </cell>
          <cell r="Z7" t="str">
            <v>3QA</v>
          </cell>
          <cell r="AA7" t="str">
            <v>4QA</v>
          </cell>
          <cell r="AB7" t="str">
            <v>FY04</v>
          </cell>
          <cell r="AC7" t="str">
            <v>1QA</v>
          </cell>
          <cell r="AD7" t="str">
            <v>2QE</v>
          </cell>
          <cell r="AE7" t="str">
            <v>3QE</v>
          </cell>
          <cell r="AF7" t="str">
            <v>4QE</v>
          </cell>
          <cell r="AG7" t="str">
            <v>FY 05E</v>
          </cell>
        </row>
        <row r="8">
          <cell r="D8">
            <v>136.553</v>
          </cell>
          <cell r="E8">
            <v>146.18600000000001</v>
          </cell>
          <cell r="F8">
            <v>147.72499999999999</v>
          </cell>
          <cell r="G8">
            <v>154.19299999999998</v>
          </cell>
          <cell r="H8">
            <v>584.65700000000004</v>
          </cell>
          <cell r="I8">
            <v>168.346</v>
          </cell>
          <cell r="J8">
            <v>200.578</v>
          </cell>
          <cell r="K8">
            <v>209.72399999999999</v>
          </cell>
          <cell r="L8">
            <v>226.47200000000009</v>
          </cell>
          <cell r="M8">
            <v>805.12</v>
          </cell>
          <cell r="N8">
            <v>266.45699999999999</v>
          </cell>
          <cell r="O8">
            <v>290.99900000000002</v>
          </cell>
          <cell r="P8">
            <v>306.00900000000001</v>
          </cell>
          <cell r="Q8">
            <v>336.92600000000004</v>
          </cell>
          <cell r="R8">
            <v>1200.3910000000001</v>
          </cell>
          <cell r="S8">
            <v>351.529</v>
          </cell>
          <cell r="T8">
            <v>350.50700000000001</v>
          </cell>
          <cell r="U8">
            <v>362.85500000000002</v>
          </cell>
          <cell r="V8">
            <v>396.91999999999985</v>
          </cell>
          <cell r="W8">
            <v>1461.8109999999999</v>
          </cell>
          <cell r="X8">
            <v>401.24299999999999</v>
          </cell>
          <cell r="Y8">
            <v>438.452</v>
          </cell>
          <cell r="Z8">
            <v>440.15899999999999</v>
          </cell>
          <cell r="AA8">
            <v>459.76400000000001</v>
          </cell>
          <cell r="AB8">
            <v>1739.6179999999999</v>
          </cell>
          <cell r="AC8">
            <v>486.74099999999999</v>
          </cell>
          <cell r="AD8">
            <v>562.25379679909997</v>
          </cell>
          <cell r="AE8">
            <v>593.29297947792497</v>
          </cell>
          <cell r="AF8">
            <v>642.55720016895998</v>
          </cell>
          <cell r="AG8">
            <v>2284.8449764459847</v>
          </cell>
        </row>
        <row r="9">
          <cell r="D9">
            <v>119.661</v>
          </cell>
          <cell r="E9">
            <v>129.005</v>
          </cell>
          <cell r="F9">
            <v>130.328</v>
          </cell>
          <cell r="G9">
            <v>135.36599999999999</v>
          </cell>
          <cell r="H9">
            <v>514.36</v>
          </cell>
          <cell r="I9">
            <v>146.73599999999999</v>
          </cell>
          <cell r="J9">
            <v>178.61199999999999</v>
          </cell>
          <cell r="K9">
            <v>186.542</v>
          </cell>
          <cell r="L9">
            <v>201.08100000000002</v>
          </cell>
          <cell r="M9">
            <v>712.971</v>
          </cell>
          <cell r="N9">
            <v>236.62700000000001</v>
          </cell>
          <cell r="O9">
            <v>258.10300000000001</v>
          </cell>
          <cell r="P9">
            <v>270.67099999999999</v>
          </cell>
          <cell r="Q9">
            <v>297.77999999999992</v>
          </cell>
          <cell r="R9">
            <v>1063.181</v>
          </cell>
          <cell r="S9">
            <v>311.24400000000003</v>
          </cell>
          <cell r="T9">
            <v>312.72300000000001</v>
          </cell>
          <cell r="U9">
            <v>323.483</v>
          </cell>
          <cell r="V9">
            <v>352.49800000000016</v>
          </cell>
          <cell r="W9">
            <v>1299.9480000000001</v>
          </cell>
          <cell r="X9">
            <v>358.23</v>
          </cell>
          <cell r="Y9">
            <v>392.58499999999998</v>
          </cell>
          <cell r="Z9">
            <v>388.33199999999999</v>
          </cell>
          <cell r="AA9">
            <v>407.58</v>
          </cell>
          <cell r="AB9">
            <v>1546.7269999999999</v>
          </cell>
          <cell r="AC9">
            <v>433.39400000000001</v>
          </cell>
          <cell r="AD9">
            <v>502.52960330365795</v>
          </cell>
          <cell r="AE9">
            <v>528.09035196200693</v>
          </cell>
          <cell r="AF9">
            <v>571.30107404447801</v>
          </cell>
          <cell r="AG9">
            <v>2035.315029310143</v>
          </cell>
        </row>
        <row r="10">
          <cell r="D10">
            <v>16.891999999999996</v>
          </cell>
          <cell r="E10">
            <v>17.181000000000012</v>
          </cell>
          <cell r="F10">
            <v>17.396999999999991</v>
          </cell>
          <cell r="G10">
            <v>18.826999999999998</v>
          </cell>
          <cell r="H10">
            <v>70.297000000000025</v>
          </cell>
          <cell r="I10">
            <v>21.610000000000014</v>
          </cell>
          <cell r="J10">
            <v>21.966000000000008</v>
          </cell>
          <cell r="K10">
            <v>23.181999999999988</v>
          </cell>
          <cell r="L10">
            <v>25.391000000000076</v>
          </cell>
          <cell r="M10">
            <v>92.149000000000001</v>
          </cell>
          <cell r="N10">
            <v>29.829999999999984</v>
          </cell>
          <cell r="O10">
            <v>32.896000000000015</v>
          </cell>
          <cell r="P10">
            <v>35.338000000000022</v>
          </cell>
          <cell r="Q10">
            <v>39.146000000000129</v>
          </cell>
          <cell r="R10">
            <v>137.21000000000004</v>
          </cell>
          <cell r="S10">
            <v>40.284999999999968</v>
          </cell>
          <cell r="T10">
            <v>37.783999999999992</v>
          </cell>
          <cell r="U10">
            <v>39.372000000000014</v>
          </cell>
          <cell r="V10">
            <v>44.421999999999684</v>
          </cell>
          <cell r="W10">
            <v>161.86299999999983</v>
          </cell>
          <cell r="X10">
            <v>43.012999999999977</v>
          </cell>
          <cell r="Y10">
            <v>45.867000000000019</v>
          </cell>
          <cell r="Z10">
            <v>51.826999999999998</v>
          </cell>
          <cell r="AA10">
            <v>52.184000000000026</v>
          </cell>
          <cell r="AB10">
            <v>192.89100000000008</v>
          </cell>
          <cell r="AC10">
            <v>53.34699999999998</v>
          </cell>
          <cell r="AD10">
            <v>59.724193495442002</v>
          </cell>
          <cell r="AE10">
            <v>65.202627515917996</v>
          </cell>
          <cell r="AF10">
            <v>71.256126124481995</v>
          </cell>
          <cell r="AG10">
            <v>249.52994713584198</v>
          </cell>
        </row>
        <row r="13">
          <cell r="D13">
            <v>6.7930000000000001</v>
          </cell>
          <cell r="E13">
            <v>6.8730000000000002</v>
          </cell>
          <cell r="F13">
            <v>6.6680000000000001</v>
          </cell>
          <cell r="G13">
            <v>10.978999999999999</v>
          </cell>
          <cell r="H13">
            <v>31.312999999999999</v>
          </cell>
          <cell r="I13">
            <v>8.9809999999999999</v>
          </cell>
          <cell r="J13">
            <v>15.653</v>
          </cell>
          <cell r="K13">
            <v>11.292999999999999</v>
          </cell>
          <cell r="L13">
            <v>12.421999999999997</v>
          </cell>
          <cell r="M13">
            <v>48.348999999999997</v>
          </cell>
          <cell r="N13">
            <v>14.661</v>
          </cell>
          <cell r="O13">
            <v>15.773</v>
          </cell>
          <cell r="P13">
            <v>16.457999999999998</v>
          </cell>
          <cell r="Q13">
            <v>18.067000000000007</v>
          </cell>
          <cell r="R13">
            <v>64.959000000000003</v>
          </cell>
          <cell r="S13">
            <v>18.725000000000001</v>
          </cell>
          <cell r="T13">
            <v>18.8</v>
          </cell>
          <cell r="U13">
            <v>18.981000000000002</v>
          </cell>
          <cell r="V13">
            <v>21.425999999999995</v>
          </cell>
          <cell r="W13">
            <v>77.932000000000002</v>
          </cell>
          <cell r="X13">
            <v>22.158000000000001</v>
          </cell>
          <cell r="Y13">
            <v>23.414000000000001</v>
          </cell>
          <cell r="Z13">
            <v>29.268999999999998</v>
          </cell>
          <cell r="AA13">
            <v>33.356000000000002</v>
          </cell>
          <cell r="AB13">
            <v>108.197</v>
          </cell>
          <cell r="AC13">
            <v>36.195999999999998</v>
          </cell>
          <cell r="AD13">
            <v>38.627697023629985</v>
          </cell>
          <cell r="AE13">
            <v>39.181736722785651</v>
          </cell>
          <cell r="AF13">
            <v>39.583525662887077</v>
          </cell>
          <cell r="AG13">
            <v>153.58613622055771</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D15">
            <v>0</v>
          </cell>
          <cell r="E15">
            <v>0</v>
          </cell>
          <cell r="F15">
            <v>0</v>
          </cell>
          <cell r="G15">
            <v>0</v>
          </cell>
          <cell r="H15">
            <v>0</v>
          </cell>
          <cell r="I15">
            <v>0</v>
          </cell>
          <cell r="J15">
            <v>2.0190000000000001</v>
          </cell>
          <cell r="K15">
            <v>0</v>
          </cell>
          <cell r="L15">
            <v>0</v>
          </cell>
          <cell r="M15">
            <v>2.0190000000000001</v>
          </cell>
          <cell r="N15">
            <v>0</v>
          </cell>
          <cell r="O15">
            <v>0</v>
          </cell>
          <cell r="P15">
            <v>0</v>
          </cell>
          <cell r="Q15">
            <v>2.3860000000000001</v>
          </cell>
          <cell r="R15">
            <v>2.3860000000000001</v>
          </cell>
          <cell r="S15">
            <v>0</v>
          </cell>
          <cell r="T15">
            <v>0</v>
          </cell>
          <cell r="U15">
            <v>0</v>
          </cell>
          <cell r="V15">
            <v>0</v>
          </cell>
          <cell r="W15">
            <v>0</v>
          </cell>
          <cell r="X15">
            <v>0</v>
          </cell>
          <cell r="Y15">
            <v>1.3169999999999999</v>
          </cell>
          <cell r="Z15">
            <v>0</v>
          </cell>
          <cell r="AA15">
            <v>0</v>
          </cell>
          <cell r="AB15">
            <v>1.3169999999999999</v>
          </cell>
          <cell r="AC15">
            <v>0</v>
          </cell>
          <cell r="AD15">
            <v>0</v>
          </cell>
          <cell r="AE15">
            <v>0</v>
          </cell>
          <cell r="AF15">
            <v>0</v>
          </cell>
          <cell r="AG15">
            <v>0</v>
          </cell>
        </row>
        <row r="16">
          <cell r="D16">
            <v>0.34499999999999997</v>
          </cell>
          <cell r="E16">
            <v>0.34499999999999997</v>
          </cell>
          <cell r="F16">
            <v>0.34499999999999997</v>
          </cell>
          <cell r="G16">
            <v>0.30000000000000004</v>
          </cell>
          <cell r="H16">
            <v>1.335</v>
          </cell>
          <cell r="I16">
            <v>0.52900000000000003</v>
          </cell>
          <cell r="J16">
            <v>0.92600000000000005</v>
          </cell>
          <cell r="K16">
            <v>0.95299999999999996</v>
          </cell>
          <cell r="L16">
            <v>0.99199999999999999</v>
          </cell>
          <cell r="M16">
            <v>3.4</v>
          </cell>
          <cell r="N16">
            <v>0.64600000000000002</v>
          </cell>
          <cell r="O16">
            <v>0.65700000000000003</v>
          </cell>
          <cell r="P16">
            <v>0.67700000000000005</v>
          </cell>
          <cell r="Q16">
            <v>0.77999999999999969</v>
          </cell>
          <cell r="R16">
            <v>2.76</v>
          </cell>
          <cell r="S16">
            <v>0.92700000000000005</v>
          </cell>
          <cell r="T16">
            <v>1.083</v>
          </cell>
          <cell r="U16">
            <v>1.127</v>
          </cell>
          <cell r="V16">
            <v>1.1359999999999997</v>
          </cell>
          <cell r="W16">
            <v>4.2729999999999997</v>
          </cell>
          <cell r="X16">
            <v>1.369</v>
          </cell>
          <cell r="Y16">
            <v>1.43</v>
          </cell>
          <cell r="Z16">
            <v>1.778</v>
          </cell>
          <cell r="AA16">
            <v>2.0139999999999998</v>
          </cell>
          <cell r="AB16">
            <v>6.5909999999999993</v>
          </cell>
          <cell r="AC16">
            <v>2.6150000000000002</v>
          </cell>
          <cell r="AD16">
            <v>2.9217499999999998</v>
          </cell>
          <cell r="AE16">
            <v>3.3342499999999999</v>
          </cell>
          <cell r="AF16">
            <v>3.3342499999999999</v>
          </cell>
          <cell r="AG16">
            <v>12.205249999999999</v>
          </cell>
        </row>
        <row r="17">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D18">
            <v>7.1379999999999999</v>
          </cell>
          <cell r="E18">
            <v>7.218</v>
          </cell>
          <cell r="F18">
            <v>7.0129999999999999</v>
          </cell>
          <cell r="G18">
            <v>11.279</v>
          </cell>
          <cell r="H18">
            <v>32.647999999999996</v>
          </cell>
          <cell r="I18">
            <v>9.51</v>
          </cell>
          <cell r="J18">
            <v>18.597999999999999</v>
          </cell>
          <cell r="K18">
            <v>12.245999999999999</v>
          </cell>
          <cell r="L18">
            <v>13.413999999999998</v>
          </cell>
          <cell r="M18">
            <v>53.767999999999994</v>
          </cell>
          <cell r="N18">
            <v>15.307</v>
          </cell>
          <cell r="O18">
            <v>16.43</v>
          </cell>
          <cell r="P18">
            <v>17.134999999999998</v>
          </cell>
          <cell r="Q18">
            <v>21.233000000000008</v>
          </cell>
          <cell r="R18">
            <v>70.105000000000004</v>
          </cell>
          <cell r="S18">
            <v>19.652000000000001</v>
          </cell>
          <cell r="T18">
            <v>19.882999999999999</v>
          </cell>
          <cell r="U18">
            <v>20.108000000000001</v>
          </cell>
          <cell r="V18">
            <v>22.561999999999994</v>
          </cell>
          <cell r="W18">
            <v>82.204999999999998</v>
          </cell>
          <cell r="X18">
            <v>23.527000000000001</v>
          </cell>
          <cell r="Y18">
            <v>26.161000000000001</v>
          </cell>
          <cell r="Z18">
            <v>31.046999999999997</v>
          </cell>
          <cell r="AA18">
            <v>35.370000000000005</v>
          </cell>
          <cell r="AB18">
            <v>116.10499999999999</v>
          </cell>
          <cell r="AC18">
            <v>38.811</v>
          </cell>
          <cell r="AD18">
            <v>41.549447023629988</v>
          </cell>
          <cell r="AE18">
            <v>42.515986722785648</v>
          </cell>
          <cell r="AF18">
            <v>42.917775662887074</v>
          </cell>
          <cell r="AG18">
            <v>165.79138622055771</v>
          </cell>
        </row>
        <row r="19">
          <cell r="D19">
            <v>9.753999999999996</v>
          </cell>
          <cell r="E19">
            <v>9.9630000000000116</v>
          </cell>
          <cell r="F19">
            <v>10.383999999999991</v>
          </cell>
          <cell r="G19">
            <v>7.5479999999999983</v>
          </cell>
          <cell r="H19">
            <v>37.649000000000029</v>
          </cell>
          <cell r="I19">
            <v>12.100000000000014</v>
          </cell>
          <cell r="J19">
            <v>3.3680000000000092</v>
          </cell>
          <cell r="K19">
            <v>10.935999999999989</v>
          </cell>
          <cell r="L19">
            <v>11.977000000000078</v>
          </cell>
          <cell r="M19">
            <v>38.381000000000007</v>
          </cell>
          <cell r="N19">
            <v>14.522999999999984</v>
          </cell>
          <cell r="O19">
            <v>16.466000000000015</v>
          </cell>
          <cell r="P19">
            <v>18.203000000000024</v>
          </cell>
          <cell r="Q19">
            <v>17.913000000000121</v>
          </cell>
          <cell r="R19">
            <v>67.105000000000032</v>
          </cell>
          <cell r="S19">
            <v>20.632999999999967</v>
          </cell>
          <cell r="T19">
            <v>17.900999999999993</v>
          </cell>
          <cell r="U19">
            <v>19.264000000000014</v>
          </cell>
          <cell r="V19">
            <v>21.85999999999969</v>
          </cell>
          <cell r="W19">
            <v>79.657999999999831</v>
          </cell>
          <cell r="X19">
            <v>19.485999999999976</v>
          </cell>
          <cell r="Y19">
            <v>19.706000000000017</v>
          </cell>
          <cell r="Z19">
            <v>20.78</v>
          </cell>
          <cell r="AA19">
            <v>16.814000000000021</v>
          </cell>
          <cell r="AB19">
            <v>76.786000000000087</v>
          </cell>
          <cell r="AC19">
            <v>14.53599999999998</v>
          </cell>
          <cell r="AD19">
            <v>18.174746471812014</v>
          </cell>
          <cell r="AE19">
            <v>22.686640793132348</v>
          </cell>
          <cell r="AF19">
            <v>28.338350461594921</v>
          </cell>
          <cell r="AG19">
            <v>83.738560915284268</v>
          </cell>
        </row>
        <row r="20">
          <cell r="D20">
            <v>1.204</v>
          </cell>
          <cell r="E20">
            <v>1.5389999999999999</v>
          </cell>
          <cell r="F20">
            <v>2.0209999999999999</v>
          </cell>
          <cell r="G20">
            <v>2.1560000000000006</v>
          </cell>
          <cell r="H20">
            <v>6.92</v>
          </cell>
          <cell r="I20">
            <v>1.873</v>
          </cell>
          <cell r="J20">
            <v>1.5389999999999999</v>
          </cell>
          <cell r="K20">
            <v>1.391</v>
          </cell>
          <cell r="L20">
            <v>1.1690000000000005</v>
          </cell>
          <cell r="M20">
            <v>5.9720000000000004</v>
          </cell>
          <cell r="N20">
            <v>0.86699999999999999</v>
          </cell>
          <cell r="O20">
            <v>0.67100000000000004</v>
          </cell>
          <cell r="P20">
            <v>0.50800000000000001</v>
          </cell>
          <cell r="Q20">
            <v>0.58600000000000008</v>
          </cell>
          <cell r="R20">
            <v>2.6320000000000001</v>
          </cell>
          <cell r="S20">
            <v>0.46100000000000002</v>
          </cell>
          <cell r="T20">
            <v>0.35099999999999998</v>
          </cell>
          <cell r="U20">
            <v>0.246</v>
          </cell>
          <cell r="V20">
            <v>0.24400000000000005</v>
          </cell>
          <cell r="W20">
            <v>1.302</v>
          </cell>
          <cell r="X20">
            <v>0.17399999999999999</v>
          </cell>
          <cell r="Y20">
            <v>-1.0000000000000009E-3</v>
          </cell>
          <cell r="Z20">
            <v>-0.3</v>
          </cell>
          <cell r="AA20">
            <v>-0.42499999999999999</v>
          </cell>
          <cell r="AB20">
            <v>-0.55200000000000005</v>
          </cell>
          <cell r="AC20">
            <v>-0.51500000000000001</v>
          </cell>
          <cell r="AD20">
            <v>5.2702125000000044E-2</v>
          </cell>
          <cell r="AE20">
            <v>8.7651375000000031E-2</v>
          </cell>
          <cell r="AF20">
            <v>0.11897287500000009</v>
          </cell>
          <cell r="AG20">
            <v>-0.25567362499999985</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0.19900000000000001</v>
          </cell>
          <cell r="AB21">
            <v>0.19900000000000001</v>
          </cell>
          <cell r="AC21">
            <v>0</v>
          </cell>
          <cell r="AD21">
            <v>0</v>
          </cell>
          <cell r="AE21">
            <v>0</v>
          </cell>
          <cell r="AF21">
            <v>0</v>
          </cell>
          <cell r="AG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-7.8E-2</v>
          </cell>
          <cell r="Y22">
            <v>-8.5000000000000006E-2</v>
          </cell>
          <cell r="Z22">
            <v>-9.1999999999999998E-2</v>
          </cell>
          <cell r="AA22">
            <v>4.2999999999999997E-2</v>
          </cell>
          <cell r="AB22">
            <v>-0.21200000000000002</v>
          </cell>
          <cell r="AC22">
            <v>1.5</v>
          </cell>
          <cell r="AD22">
            <v>0.86357001000000055</v>
          </cell>
          <cell r="AE22">
            <v>0.20375000000000015</v>
          </cell>
          <cell r="AF22">
            <v>-0.33125000000000004</v>
          </cell>
          <cell r="AG22">
            <v>2.2360700100000006</v>
          </cell>
        </row>
        <row r="23">
          <cell r="D23">
            <v>10.957999999999997</v>
          </cell>
          <cell r="E23">
            <v>11.502000000000011</v>
          </cell>
          <cell r="F23">
            <v>12.40499999999999</v>
          </cell>
          <cell r="G23">
            <v>9.7039999999999988</v>
          </cell>
          <cell r="H23">
            <v>44.569000000000031</v>
          </cell>
          <cell r="I23">
            <v>13.973000000000013</v>
          </cell>
          <cell r="J23">
            <v>4.9070000000000089</v>
          </cell>
          <cell r="K23">
            <v>12.326999999999989</v>
          </cell>
          <cell r="L23">
            <v>13.146000000000079</v>
          </cell>
          <cell r="M23">
            <v>44.353000000000009</v>
          </cell>
          <cell r="N23">
            <v>15.389999999999983</v>
          </cell>
          <cell r="O23">
            <v>17.137000000000015</v>
          </cell>
          <cell r="P23">
            <v>18.711000000000023</v>
          </cell>
          <cell r="Q23">
            <v>18.49900000000012</v>
          </cell>
          <cell r="R23">
            <v>69.737000000000037</v>
          </cell>
          <cell r="S23">
            <v>21.093999999999966</v>
          </cell>
          <cell r="T23">
            <v>18.251999999999992</v>
          </cell>
          <cell r="U23">
            <v>19.510000000000012</v>
          </cell>
          <cell r="V23">
            <v>22.10399999999969</v>
          </cell>
          <cell r="W23">
            <v>80.959999999999837</v>
          </cell>
          <cell r="X23">
            <v>19.581999999999976</v>
          </cell>
          <cell r="Y23">
            <v>19.620000000000015</v>
          </cell>
          <cell r="Z23">
            <v>20.388000000000002</v>
          </cell>
          <cell r="AA23">
            <v>16.631000000000022</v>
          </cell>
          <cell r="AB23">
            <v>76.221000000000075</v>
          </cell>
          <cell r="AC23">
            <v>15.520999999999979</v>
          </cell>
          <cell r="AD23">
            <v>19.091018606812014</v>
          </cell>
          <cell r="AE23">
            <v>22.978042168132347</v>
          </cell>
          <cell r="AF23">
            <v>28.126073336594921</v>
          </cell>
          <cell r="AG23">
            <v>85.718957300284274</v>
          </cell>
        </row>
        <row r="24">
          <cell r="D24">
            <v>4.1970000000000001</v>
          </cell>
          <cell r="E24">
            <v>4.4050000000000002</v>
          </cell>
          <cell r="F24">
            <v>4.7510000000000003</v>
          </cell>
          <cell r="G24">
            <v>3.1369999999999969</v>
          </cell>
          <cell r="H24">
            <v>16.489999999999998</v>
          </cell>
          <cell r="I24">
            <v>5.24</v>
          </cell>
          <cell r="J24">
            <v>1.84</v>
          </cell>
          <cell r="K24">
            <v>4.6230000000000002</v>
          </cell>
          <cell r="L24">
            <v>4.93</v>
          </cell>
          <cell r="M24">
            <v>16.632999999999999</v>
          </cell>
          <cell r="N24">
            <v>5.7709999999999999</v>
          </cell>
          <cell r="O24">
            <v>6.4269999999999996</v>
          </cell>
          <cell r="P24">
            <v>7.016</v>
          </cell>
          <cell r="Q24">
            <v>6.9369999999999985</v>
          </cell>
          <cell r="R24">
            <v>26.151</v>
          </cell>
          <cell r="S24">
            <v>7.91</v>
          </cell>
          <cell r="T24">
            <v>6.8449999999999998</v>
          </cell>
          <cell r="U24">
            <v>7.3159999999999998</v>
          </cell>
          <cell r="V24">
            <v>8.2890000000000015</v>
          </cell>
          <cell r="W24">
            <v>30.36</v>
          </cell>
          <cell r="X24">
            <v>7.343</v>
          </cell>
          <cell r="Y24">
            <v>7.4560000000000004</v>
          </cell>
          <cell r="Z24">
            <v>7.7469999999999999</v>
          </cell>
          <cell r="AA24">
            <v>4.6479999999999997</v>
          </cell>
          <cell r="AB24">
            <v>27.193999999999999</v>
          </cell>
          <cell r="AC24">
            <v>5.8979999999999997</v>
          </cell>
          <cell r="AD24">
            <v>7.2545870705885651</v>
          </cell>
          <cell r="AE24">
            <v>8.7316560238902916</v>
          </cell>
          <cell r="AF24">
            <v>10.68790786790607</v>
          </cell>
          <cell r="AG24">
            <v>32.572150962384924</v>
          </cell>
        </row>
        <row r="25">
          <cell r="D25">
            <v>6.7609999999999966</v>
          </cell>
          <cell r="E25">
            <v>7.0970000000000111</v>
          </cell>
          <cell r="F25">
            <v>7.6539999999999901</v>
          </cell>
          <cell r="G25">
            <v>6.5670000000000019</v>
          </cell>
          <cell r="H25">
            <v>28.079000000000033</v>
          </cell>
          <cell r="I25">
            <v>8.733000000000013</v>
          </cell>
          <cell r="J25">
            <v>3.0670000000000091</v>
          </cell>
          <cell r="K25">
            <v>7.7039999999999891</v>
          </cell>
          <cell r="L25">
            <v>8.2160000000000792</v>
          </cell>
          <cell r="M25">
            <v>27.72000000000001</v>
          </cell>
          <cell r="N25">
            <v>9.618999999999982</v>
          </cell>
          <cell r="O25">
            <v>10.710000000000015</v>
          </cell>
          <cell r="P25">
            <v>11.695000000000023</v>
          </cell>
          <cell r="Q25">
            <v>11.562000000000122</v>
          </cell>
          <cell r="R25">
            <v>43.586000000000041</v>
          </cell>
          <cell r="S25">
            <v>13.183999999999966</v>
          </cell>
          <cell r="T25">
            <v>11.406999999999993</v>
          </cell>
          <cell r="U25">
            <v>12.194000000000013</v>
          </cell>
          <cell r="V25">
            <v>13.814999999999689</v>
          </cell>
          <cell r="W25">
            <v>50.599999999999838</v>
          </cell>
          <cell r="X25">
            <v>12.238999999999976</v>
          </cell>
          <cell r="Y25">
            <v>12.164000000000016</v>
          </cell>
          <cell r="Z25">
            <v>12.641000000000002</v>
          </cell>
          <cell r="AA25">
            <v>11.983000000000022</v>
          </cell>
          <cell r="AB25">
            <v>49.027000000000015</v>
          </cell>
          <cell r="AC25">
            <v>9.6229999999999798</v>
          </cell>
          <cell r="AD25">
            <v>11.836431536223449</v>
          </cell>
          <cell r="AE25">
            <v>14.246386144242056</v>
          </cell>
          <cell r="AF25">
            <v>17.438165468688851</v>
          </cell>
          <cell r="AG25">
            <v>53.143983149154337</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-4.4009999999999998</v>
          </cell>
          <cell r="AB26">
            <v>-4.4009999999999998</v>
          </cell>
          <cell r="AC26">
            <v>0</v>
          </cell>
          <cell r="AD26">
            <v>0</v>
          </cell>
          <cell r="AE26">
            <v>0</v>
          </cell>
          <cell r="AF26">
            <v>0</v>
          </cell>
          <cell r="AG26">
            <v>0</v>
          </cell>
        </row>
        <row r="27">
          <cell r="D27">
            <v>6.7609999999999966</v>
          </cell>
          <cell r="E27">
            <v>7.0970000000000111</v>
          </cell>
          <cell r="F27">
            <v>7.6539999999999901</v>
          </cell>
          <cell r="G27">
            <v>6.5670000000000019</v>
          </cell>
          <cell r="H27">
            <v>28.079000000000033</v>
          </cell>
          <cell r="I27">
            <v>8.733000000000013</v>
          </cell>
          <cell r="J27">
            <v>3.0670000000000091</v>
          </cell>
          <cell r="K27">
            <v>7.7039999999999891</v>
          </cell>
          <cell r="L27">
            <v>8.2160000000000792</v>
          </cell>
          <cell r="M27">
            <v>27.72000000000001</v>
          </cell>
          <cell r="N27">
            <v>9.618999999999982</v>
          </cell>
          <cell r="O27">
            <v>10.710000000000015</v>
          </cell>
          <cell r="P27">
            <v>11.695000000000023</v>
          </cell>
          <cell r="Q27">
            <v>11.562000000000122</v>
          </cell>
          <cell r="R27">
            <v>43.586000000000041</v>
          </cell>
          <cell r="S27">
            <v>13.183999999999966</v>
          </cell>
          <cell r="T27">
            <v>11.406999999999993</v>
          </cell>
          <cell r="U27">
            <v>12.194000000000013</v>
          </cell>
          <cell r="V27">
            <v>13.814999999999689</v>
          </cell>
          <cell r="W27">
            <v>50.599999999999838</v>
          </cell>
          <cell r="X27">
            <v>12.238999999999976</v>
          </cell>
          <cell r="Y27">
            <v>12.164000000000016</v>
          </cell>
          <cell r="Z27">
            <v>12.641000000000002</v>
          </cell>
          <cell r="AA27">
            <v>7.5820000000000221</v>
          </cell>
          <cell r="AB27">
            <v>44.626000000000019</v>
          </cell>
          <cell r="AC27">
            <v>9.6229999999999798</v>
          </cell>
          <cell r="AD27">
            <v>11.836431536223449</v>
          </cell>
          <cell r="AE27">
            <v>14.246386144242056</v>
          </cell>
          <cell r="AF27">
            <v>17.438165468688851</v>
          </cell>
          <cell r="AG27">
            <v>53.143983149154337</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0.81651314984709511</v>
          </cell>
          <cell r="Z28">
            <v>0</v>
          </cell>
          <cell r="AA28">
            <v>4.5750000000000002</v>
          </cell>
          <cell r="AB28">
            <v>5.3915131498470954</v>
          </cell>
          <cell r="AC28">
            <v>0</v>
          </cell>
          <cell r="AD28">
            <v>0</v>
          </cell>
          <cell r="AE28">
            <v>0</v>
          </cell>
          <cell r="AF28">
            <v>0</v>
          </cell>
          <cell r="AG28">
            <v>0</v>
          </cell>
        </row>
        <row r="29">
          <cell r="D29">
            <v>6.7609999999999966</v>
          </cell>
          <cell r="E29">
            <v>7.0970000000000111</v>
          </cell>
          <cell r="F29">
            <v>7.6539999999999901</v>
          </cell>
          <cell r="G29">
            <v>6.5670000000000019</v>
          </cell>
          <cell r="H29">
            <v>28.079000000000033</v>
          </cell>
          <cell r="I29">
            <v>8.733000000000013</v>
          </cell>
          <cell r="J29">
            <v>3.0670000000000091</v>
          </cell>
          <cell r="K29">
            <v>7.7039999999999891</v>
          </cell>
          <cell r="L29">
            <v>8.2160000000000792</v>
          </cell>
          <cell r="M29">
            <v>27.72000000000001</v>
          </cell>
          <cell r="N29">
            <v>9.618999999999982</v>
          </cell>
          <cell r="O29">
            <v>10.710000000000015</v>
          </cell>
          <cell r="P29">
            <v>11.695000000000023</v>
          </cell>
          <cell r="Q29">
            <v>11.562000000000122</v>
          </cell>
          <cell r="R29">
            <v>43.586000000000041</v>
          </cell>
          <cell r="S29">
            <v>13.183999999999966</v>
          </cell>
          <cell r="T29">
            <v>11.406999999999993</v>
          </cell>
          <cell r="U29">
            <v>12.194000000000013</v>
          </cell>
          <cell r="V29">
            <v>13.814999999999863</v>
          </cell>
          <cell r="W29">
            <v>50.599999999999838</v>
          </cell>
          <cell r="X29">
            <v>12.238999999999976</v>
          </cell>
          <cell r="Y29">
            <v>12.980513149847111</v>
          </cell>
          <cell r="Z29">
            <v>12.641000000000002</v>
          </cell>
          <cell r="AA29">
            <v>12.157000000000021</v>
          </cell>
          <cell r="AB29">
            <v>50.017513149847112</v>
          </cell>
          <cell r="AC29">
            <v>9.6229999999999798</v>
          </cell>
          <cell r="AD29">
            <v>11.836431536223449</v>
          </cell>
          <cell r="AE29">
            <v>14.246386144242056</v>
          </cell>
          <cell r="AF29">
            <v>17.438165468688851</v>
          </cell>
          <cell r="AG29">
            <v>53.143983149154337</v>
          </cell>
        </row>
        <row r="32">
          <cell r="S32">
            <v>-2.8260000000000001</v>
          </cell>
          <cell r="T32">
            <v>-2.8340000000000001</v>
          </cell>
          <cell r="U32">
            <v>-2.8340000000000001</v>
          </cell>
          <cell r="V32">
            <v>-2.875</v>
          </cell>
          <cell r="W32">
            <v>-11.369</v>
          </cell>
          <cell r="X32">
            <v>-1.72</v>
          </cell>
          <cell r="Y32">
            <v>-1.8029999999999999</v>
          </cell>
          <cell r="Z32">
            <v>-1.8029999999999999</v>
          </cell>
          <cell r="AA32">
            <v>-2.7080000000000011</v>
          </cell>
          <cell r="AB32">
            <v>-8.0340000000000007</v>
          </cell>
          <cell r="AC32">
            <v>-1.1930000000000001</v>
          </cell>
          <cell r="AD32">
            <v>-1.1930000000000001</v>
          </cell>
          <cell r="AE32">
            <v>-1.1930000000000001</v>
          </cell>
          <cell r="AF32">
            <v>-1.1930000000000001</v>
          </cell>
          <cell r="AG32">
            <v>-4.7720000000000002</v>
          </cell>
        </row>
        <row r="33">
          <cell r="S33">
            <v>10.357999999999965</v>
          </cell>
          <cell r="T33">
            <v>8.5729999999999933</v>
          </cell>
          <cell r="U33">
            <v>9.3600000000000136</v>
          </cell>
          <cell r="V33">
            <v>10.939999999999863</v>
          </cell>
          <cell r="W33">
            <v>39.230999999999838</v>
          </cell>
          <cell r="X33">
            <v>10.518999999999975</v>
          </cell>
          <cell r="Y33">
            <v>11.177513149847112</v>
          </cell>
          <cell r="Z33">
            <v>10.838000000000001</v>
          </cell>
          <cell r="AA33">
            <v>9.4490000000000194</v>
          </cell>
          <cell r="AB33">
            <v>41.983513149847113</v>
          </cell>
          <cell r="AC33">
            <v>8.4299999999999802</v>
          </cell>
          <cell r="AD33">
            <v>10.643431536223449</v>
          </cell>
          <cell r="AE33">
            <v>13.053386144242056</v>
          </cell>
          <cell r="AF33">
            <v>16.24516546868885</v>
          </cell>
          <cell r="AG33">
            <v>48.371983149154339</v>
          </cell>
        </row>
        <row r="34">
          <cell r="S34">
            <v>10.357999999999965</v>
          </cell>
          <cell r="T34">
            <v>8.5729999999999933</v>
          </cell>
          <cell r="U34">
            <v>9.3600000000000136</v>
          </cell>
          <cell r="V34">
            <v>10.939999999999689</v>
          </cell>
          <cell r="W34">
            <v>39.230999999999838</v>
          </cell>
          <cell r="X34">
            <v>10.518999999999975</v>
          </cell>
          <cell r="Y34">
            <v>10.361000000000015</v>
          </cell>
          <cell r="Z34">
            <v>10.838000000000001</v>
          </cell>
          <cell r="AA34">
            <v>4.874000000000021</v>
          </cell>
          <cell r="AB34">
            <v>36.59200000000002</v>
          </cell>
          <cell r="AC34">
            <v>8.4299999999999802</v>
          </cell>
          <cell r="AD34">
            <v>10.643431536223449</v>
          </cell>
          <cell r="AE34">
            <v>13.053386144242056</v>
          </cell>
          <cell r="AF34">
            <v>16.24516546868885</v>
          </cell>
          <cell r="AG34">
            <v>48.371983149154339</v>
          </cell>
        </row>
        <row r="37">
          <cell r="D37">
            <v>0.15972019648537131</v>
          </cell>
          <cell r="E37">
            <v>0.16530735125075291</v>
          </cell>
          <cell r="F37">
            <v>0.17524094943687282</v>
          </cell>
          <cell r="G37">
            <v>0.15237735119853946</v>
          </cell>
          <cell r="H37">
            <v>0.65153093411052121</v>
          </cell>
          <cell r="I37">
            <v>0.19581390544208646</v>
          </cell>
          <cell r="J37">
            <v>6.8079598391190724E-2</v>
          </cell>
          <cell r="K37">
            <v>0.17387627660203753</v>
          </cell>
          <cell r="L37">
            <v>0.20078385371322632</v>
          </cell>
          <cell r="M37">
            <v>0.62214421329796921</v>
          </cell>
          <cell r="N37">
            <v>0.21561950471758129</v>
          </cell>
          <cell r="O37">
            <v>0.23960091749030354</v>
          </cell>
          <cell r="P37">
            <v>0.2656000272526754</v>
          </cell>
          <cell r="Q37">
            <v>0.26049537604936573</v>
          </cell>
          <cell r="R37">
            <v>0.98200583467285474</v>
          </cell>
          <cell r="S37">
            <v>0.29956485614354295</v>
          </cell>
          <cell r="T37">
            <v>0.25755587355977716</v>
          </cell>
          <cell r="U37">
            <v>0.27856891695402353</v>
          </cell>
          <cell r="V37">
            <v>0.31447727730375691</v>
          </cell>
          <cell r="W37">
            <v>1.1518313595056393</v>
          </cell>
          <cell r="X37">
            <v>0.27780366006719304</v>
          </cell>
          <cell r="Y37">
            <v>0.2963743784169236</v>
          </cell>
          <cell r="Z37">
            <v>0.28624925256133188</v>
          </cell>
          <cell r="AA37">
            <v>0.27585335565725316</v>
          </cell>
          <cell r="AB37">
            <v>1.1362806467027016</v>
          </cell>
          <cell r="AC37">
            <v>0.21652287084981098</v>
          </cell>
          <cell r="AD37">
            <v>0.26632631578929072</v>
          </cell>
          <cell r="AE37">
            <v>0.32055163952886478</v>
          </cell>
          <cell r="AF37">
            <v>0.39236845574504386</v>
          </cell>
          <cell r="AG37">
            <v>1.1957692819130104</v>
          </cell>
        </row>
        <row r="38">
          <cell r="D38">
            <v>0.15972019648537131</v>
          </cell>
          <cell r="E38">
            <v>0.16530735125075291</v>
          </cell>
          <cell r="F38">
            <v>0.17524094943687282</v>
          </cell>
          <cell r="G38">
            <v>0.15237735119853946</v>
          </cell>
          <cell r="H38">
            <v>0.65153093411052121</v>
          </cell>
          <cell r="I38">
            <v>0.19581390544208646</v>
          </cell>
          <cell r="J38">
            <v>6.8079598391190724E-2</v>
          </cell>
          <cell r="K38">
            <v>0.17387627660203753</v>
          </cell>
          <cell r="L38">
            <v>0.20078385371322632</v>
          </cell>
          <cell r="M38">
            <v>0.62214421329796921</v>
          </cell>
          <cell r="N38">
            <v>0.21561950471758129</v>
          </cell>
          <cell r="O38">
            <v>0.23960091749030354</v>
          </cell>
          <cell r="P38">
            <v>0.2656000272526754</v>
          </cell>
          <cell r="Q38">
            <v>0.26049537604936573</v>
          </cell>
          <cell r="R38">
            <v>0.98200583467285474</v>
          </cell>
          <cell r="S38">
            <v>0.29956485614354295</v>
          </cell>
          <cell r="T38">
            <v>0.25755587355977716</v>
          </cell>
          <cell r="U38">
            <v>0.27856891695402353</v>
          </cell>
          <cell r="V38">
            <v>0.31447727730375691</v>
          </cell>
          <cell r="W38">
            <v>1.1518313595056393</v>
          </cell>
          <cell r="X38">
            <v>0.27780366006719304</v>
          </cell>
          <cell r="Y38">
            <v>0.27773154246262793</v>
          </cell>
          <cell r="Z38">
            <v>0.28624925256133188</v>
          </cell>
          <cell r="AA38">
            <v>0.17204245641139226</v>
          </cell>
          <cell r="AB38">
            <v>1.0138269115025451</v>
          </cell>
          <cell r="AC38">
            <v>0.21652287084981098</v>
          </cell>
          <cell r="AD38">
            <v>0.26632631578929072</v>
          </cell>
          <cell r="AE38">
            <v>0.32055163952886478</v>
          </cell>
          <cell r="AF38">
            <v>0.39236845574504386</v>
          </cell>
          <cell r="AG38">
            <v>1.1957692819130104</v>
          </cell>
        </row>
        <row r="39">
          <cell r="S39">
            <v>0.23535291109942472</v>
          </cell>
          <cell r="T39">
            <v>0.19356767809485134</v>
          </cell>
          <cell r="U39">
            <v>0.21382688721417592</v>
          </cell>
          <cell r="V39">
            <v>0.2490323136954857</v>
          </cell>
          <cell r="W39">
            <v>0.89303351906651574</v>
          </cell>
          <cell r="X39">
            <v>0.23876270122124377</v>
          </cell>
          <cell r="Y39">
            <v>0.25520782374246476</v>
          </cell>
          <cell r="Z39">
            <v>0.24542120079580057</v>
          </cell>
          <cell r="AA39">
            <v>0.21440637966647905</v>
          </cell>
          <cell r="AB39">
            <v>0.95365619086862952</v>
          </cell>
          <cell r="AC39">
            <v>0.18967970500508219</v>
          </cell>
          <cell r="AD39">
            <v>0.23948314994456199</v>
          </cell>
          <cell r="AE39">
            <v>0.293708473684136</v>
          </cell>
          <cell r="AF39">
            <v>0.36552528990031508</v>
          </cell>
          <cell r="AG39">
            <v>1.0883966185340954</v>
          </cell>
        </row>
        <row r="40">
          <cell r="S40">
            <v>0.23535291109942472</v>
          </cell>
          <cell r="T40">
            <v>0.19356767809485134</v>
          </cell>
          <cell r="U40">
            <v>0.21382688721417592</v>
          </cell>
          <cell r="V40">
            <v>0.24903231369548176</v>
          </cell>
          <cell r="W40">
            <v>0.89303351906651574</v>
          </cell>
          <cell r="X40">
            <v>0.23876270122124377</v>
          </cell>
          <cell r="Y40">
            <v>0.23656498778816906</v>
          </cell>
          <cell r="Z40">
            <v>0.24542120079580057</v>
          </cell>
          <cell r="AA40">
            <v>0.11059548042061818</v>
          </cell>
          <cell r="AB40">
            <v>0.83118788110260822</v>
          </cell>
          <cell r="AC40">
            <v>0.18967970500508219</v>
          </cell>
          <cell r="AD40">
            <v>0.23948314994456199</v>
          </cell>
          <cell r="AE40">
            <v>0.293708473684136</v>
          </cell>
          <cell r="AF40">
            <v>0.36552528990031508</v>
          </cell>
          <cell r="AG40">
            <v>1.0883966185340954</v>
          </cell>
        </row>
        <row r="42">
          <cell r="D42">
            <v>42.330275999999998</v>
          </cell>
          <cell r="E42">
            <v>42.93215</v>
          </cell>
          <cell r="F42">
            <v>43.677005999999999</v>
          </cell>
          <cell r="G42">
            <v>43.096955999999999</v>
          </cell>
          <cell r="H42">
            <v>43.096955999999999</v>
          </cell>
          <cell r="I42">
            <v>44.598466999999999</v>
          </cell>
          <cell r="J42">
            <v>45.050207</v>
          </cell>
          <cell r="K42">
            <v>44.307366999999999</v>
          </cell>
          <cell r="L42">
            <v>40.919625000000003</v>
          </cell>
          <cell r="M42">
            <v>44.555585999999998</v>
          </cell>
          <cell r="N42">
            <v>44.610992000000003</v>
          </cell>
          <cell r="O42">
            <v>44.699328000000001</v>
          </cell>
          <cell r="P42">
            <v>44.032375000000002</v>
          </cell>
          <cell r="Q42">
            <v>44.384664999999998</v>
          </cell>
          <cell r="R42">
            <v>44.384664999999998</v>
          </cell>
          <cell r="S42">
            <v>44.010503</v>
          </cell>
          <cell r="T42">
            <v>44.289419000000002</v>
          </cell>
          <cell r="U42">
            <v>43.773727999999998</v>
          </cell>
          <cell r="V42">
            <v>43.930042</v>
          </cell>
          <cell r="W42">
            <v>43.930042</v>
          </cell>
          <cell r="X42">
            <v>44.056294999999999</v>
          </cell>
          <cell r="Y42">
            <v>43.797690000000003</v>
          </cell>
          <cell r="Z42">
            <v>44.160814000000002</v>
          </cell>
          <cell r="AA42">
            <v>44.070517000000002</v>
          </cell>
          <cell r="AB42">
            <v>44.023741000000001</v>
          </cell>
          <cell r="AC42">
            <v>44.443342000000001</v>
          </cell>
          <cell r="AD42">
            <v>44.443342000000001</v>
          </cell>
          <cell r="AE42">
            <v>44.443342000000001</v>
          </cell>
          <cell r="AF42">
            <v>44.443342000000001</v>
          </cell>
          <cell r="AG42">
            <v>44.443342000000001</v>
          </cell>
        </row>
        <row r="44">
          <cell r="AC44">
            <v>0.22</v>
          </cell>
          <cell r="AD44" t="str">
            <v>$0.27 - $0.28</v>
          </cell>
          <cell r="AG44" t="str">
            <v>$1.18 - $1.28</v>
          </cell>
        </row>
        <row r="45">
          <cell r="D45">
            <v>0.16</v>
          </cell>
          <cell r="E45">
            <v>0.17</v>
          </cell>
          <cell r="F45">
            <v>0.18</v>
          </cell>
          <cell r="G45">
            <v>0.2</v>
          </cell>
          <cell r="H45">
            <v>0.7</v>
          </cell>
          <cell r="I45">
            <v>0.2</v>
          </cell>
          <cell r="J45">
            <v>0.16</v>
          </cell>
          <cell r="K45">
            <v>0.17</v>
          </cell>
          <cell r="L45">
            <v>0.19</v>
          </cell>
          <cell r="M45">
            <v>0.72</v>
          </cell>
          <cell r="N45">
            <v>0.22</v>
          </cell>
          <cell r="O45">
            <v>0.24</v>
          </cell>
          <cell r="P45">
            <v>0.27</v>
          </cell>
          <cell r="Q45">
            <v>0.3</v>
          </cell>
          <cell r="R45">
            <v>1.03</v>
          </cell>
          <cell r="S45">
            <v>0.3</v>
          </cell>
          <cell r="T45">
            <v>0.26</v>
          </cell>
          <cell r="U45">
            <v>0.28000000000000003</v>
          </cell>
          <cell r="V45">
            <v>0.32</v>
          </cell>
          <cell r="W45">
            <v>1.1499999999999999</v>
          </cell>
          <cell r="X45">
            <v>0.28000000000000003</v>
          </cell>
          <cell r="Y45">
            <v>0.3</v>
          </cell>
          <cell r="Z45">
            <v>0.28999999999999998</v>
          </cell>
          <cell r="AA45">
            <v>0.28000000000000003</v>
          </cell>
          <cell r="AB45">
            <v>1.1399999999999999</v>
          </cell>
          <cell r="AC45">
            <v>0.22</v>
          </cell>
          <cell r="AD45">
            <v>0.28000000000000003</v>
          </cell>
          <cell r="AE45">
            <v>0.34</v>
          </cell>
          <cell r="AF45">
            <v>0.37</v>
          </cell>
          <cell r="AG45">
            <v>1.2</v>
          </cell>
        </row>
        <row r="47">
          <cell r="D47">
            <v>9.753999999999996</v>
          </cell>
          <cell r="E47">
            <v>9.9630000000000116</v>
          </cell>
          <cell r="F47">
            <v>10.383999999999991</v>
          </cell>
          <cell r="G47">
            <v>7.5479999999999983</v>
          </cell>
          <cell r="H47">
            <v>37.649000000000029</v>
          </cell>
          <cell r="I47">
            <v>12.100000000000014</v>
          </cell>
          <cell r="J47">
            <v>3.3680000000000092</v>
          </cell>
          <cell r="K47">
            <v>10.935999999999989</v>
          </cell>
          <cell r="L47">
            <v>11.977000000000078</v>
          </cell>
          <cell r="M47">
            <v>38.381000000000007</v>
          </cell>
          <cell r="N47">
            <v>14.522999999999984</v>
          </cell>
          <cell r="O47">
            <v>16.466000000000015</v>
          </cell>
          <cell r="P47">
            <v>18.203000000000024</v>
          </cell>
          <cell r="Q47">
            <v>17.913000000000121</v>
          </cell>
          <cell r="R47">
            <v>67.105000000000032</v>
          </cell>
          <cell r="S47">
            <v>20.632999999999967</v>
          </cell>
          <cell r="T47">
            <v>17.900999999999993</v>
          </cell>
          <cell r="U47">
            <v>19.264000000000014</v>
          </cell>
          <cell r="V47">
            <v>21.85999999999969</v>
          </cell>
          <cell r="W47">
            <v>79.657999999999831</v>
          </cell>
          <cell r="X47">
            <v>19.485999999999976</v>
          </cell>
          <cell r="Y47">
            <v>19.706000000000017</v>
          </cell>
          <cell r="Z47">
            <v>20.78</v>
          </cell>
          <cell r="AA47">
            <v>16.814000000000021</v>
          </cell>
          <cell r="AB47">
            <v>76.786000000000087</v>
          </cell>
          <cell r="AC47">
            <v>14.53599999999998</v>
          </cell>
          <cell r="AD47">
            <v>18.174746471812014</v>
          </cell>
          <cell r="AE47">
            <v>22.686640793132348</v>
          </cell>
          <cell r="AF47">
            <v>28.338350461594921</v>
          </cell>
          <cell r="AG47">
            <v>83.738560915284268</v>
          </cell>
        </row>
        <row r="48">
          <cell r="D48">
            <v>0.34499999999999997</v>
          </cell>
          <cell r="E48">
            <v>0.34499999999999997</v>
          </cell>
          <cell r="F48">
            <v>0.34499999999999997</v>
          </cell>
          <cell r="G48">
            <v>0.30000000000000004</v>
          </cell>
          <cell r="H48">
            <v>1.335</v>
          </cell>
          <cell r="I48">
            <v>0.52900000000000003</v>
          </cell>
          <cell r="J48">
            <v>0.92600000000000005</v>
          </cell>
          <cell r="K48">
            <v>0.95299999999999996</v>
          </cell>
          <cell r="L48">
            <v>0.99199999999999999</v>
          </cell>
          <cell r="M48">
            <v>3.4</v>
          </cell>
          <cell r="N48">
            <v>0.64600000000000002</v>
          </cell>
          <cell r="O48">
            <v>0.65700000000000003</v>
          </cell>
          <cell r="P48">
            <v>0.67700000000000005</v>
          </cell>
          <cell r="Q48">
            <v>0.77999999999999969</v>
          </cell>
          <cell r="R48">
            <v>2.76</v>
          </cell>
          <cell r="S48">
            <v>0.92700000000000005</v>
          </cell>
          <cell r="T48">
            <v>1.083</v>
          </cell>
          <cell r="U48">
            <v>1.127</v>
          </cell>
          <cell r="V48">
            <v>1.1359999999999997</v>
          </cell>
          <cell r="W48">
            <v>4.2729999999999997</v>
          </cell>
          <cell r="X48">
            <v>1.369</v>
          </cell>
          <cell r="Y48">
            <v>1.43</v>
          </cell>
          <cell r="Z48">
            <v>1.778</v>
          </cell>
          <cell r="AA48">
            <v>2.0139999999999998</v>
          </cell>
          <cell r="AB48">
            <v>6.5909999999999993</v>
          </cell>
          <cell r="AC48">
            <v>2.6150000000000002</v>
          </cell>
          <cell r="AD48">
            <v>2.9217499999999998</v>
          </cell>
          <cell r="AE48">
            <v>3.3342499999999999</v>
          </cell>
          <cell r="AF48">
            <v>3.3342499999999999</v>
          </cell>
          <cell r="AG48">
            <v>12.205249999999999</v>
          </cell>
        </row>
        <row r="49">
          <cell r="D49">
            <v>10.098999999999997</v>
          </cell>
          <cell r="E49">
            <v>10.308000000000012</v>
          </cell>
          <cell r="F49">
            <v>10.728999999999992</v>
          </cell>
          <cell r="G49">
            <v>7.8479999999999981</v>
          </cell>
          <cell r="H49">
            <v>38.98400000000003</v>
          </cell>
          <cell r="I49">
            <v>12.629000000000014</v>
          </cell>
          <cell r="J49">
            <v>4.2940000000000094</v>
          </cell>
          <cell r="K49">
            <v>11.888999999999989</v>
          </cell>
          <cell r="L49">
            <v>12.969000000000079</v>
          </cell>
          <cell r="M49">
            <v>41.781000000000006</v>
          </cell>
          <cell r="N49">
            <v>15.168999999999984</v>
          </cell>
          <cell r="O49">
            <v>17.123000000000015</v>
          </cell>
          <cell r="P49">
            <v>18.880000000000024</v>
          </cell>
          <cell r="Q49">
            <v>18.693000000000122</v>
          </cell>
          <cell r="R49">
            <v>69.865000000000038</v>
          </cell>
          <cell r="S49">
            <v>21.559999999999967</v>
          </cell>
          <cell r="T49">
            <v>18.983999999999991</v>
          </cell>
          <cell r="U49">
            <v>20.391000000000012</v>
          </cell>
          <cell r="V49">
            <v>22.99599999999969</v>
          </cell>
          <cell r="W49">
            <v>83.930999999999827</v>
          </cell>
          <cell r="X49">
            <v>20.854999999999976</v>
          </cell>
          <cell r="Y49">
            <v>21.136000000000017</v>
          </cell>
          <cell r="Z49">
            <v>22.558</v>
          </cell>
          <cell r="AA49">
            <v>18.828000000000021</v>
          </cell>
          <cell r="AB49">
            <v>83.377000000000081</v>
          </cell>
          <cell r="AC49">
            <v>17.150999999999982</v>
          </cell>
          <cell r="AD49">
            <v>21.096496471812014</v>
          </cell>
          <cell r="AE49">
            <v>26.020890793132349</v>
          </cell>
          <cell r="AF49">
            <v>31.672600461594921</v>
          </cell>
          <cell r="AG49">
            <v>95.943810915284274</v>
          </cell>
        </row>
        <row r="53">
          <cell r="D53">
            <v>0.12370288459426007</v>
          </cell>
          <cell r="E53">
            <v>0.11752835428837242</v>
          </cell>
          <cell r="F53">
            <v>0.11776611947876116</v>
          </cell>
          <cell r="G53">
            <v>0.12210022504264137</v>
          </cell>
          <cell r="H53">
            <v>0.12023630949428472</v>
          </cell>
          <cell r="I53">
            <v>0.12836657835648019</v>
          </cell>
          <cell r="J53">
            <v>0.10951350596775324</v>
          </cell>
          <cell r="K53">
            <v>0.11053575174991889</v>
          </cell>
          <cell r="L53">
            <v>0.11211540499487825</v>
          </cell>
          <cell r="M53">
            <v>0.1144537460254372</v>
          </cell>
          <cell r="N53">
            <v>0.11195052109721262</v>
          </cell>
          <cell r="O53">
            <v>0.11304506201052242</v>
          </cell>
          <cell r="P53">
            <v>0.11548026365237631</v>
          </cell>
          <cell r="Q53">
            <v>0.11618574998664431</v>
          </cell>
          <cell r="R53">
            <v>0.1143044224756767</v>
          </cell>
          <cell r="S53">
            <v>0.11459936449055404</v>
          </cell>
          <cell r="T53">
            <v>0.10779813241960928</v>
          </cell>
          <cell r="U53">
            <v>0.10850615259538937</v>
          </cell>
          <cell r="V53">
            <v>0.111916759044643</v>
          </cell>
          <cell r="W53">
            <v>0.1107277206150452</v>
          </cell>
          <cell r="X53">
            <v>0.10719937793307292</v>
          </cell>
          <cell r="Y53">
            <v>0.10461122312134515</v>
          </cell>
          <cell r="Z53">
            <v>0.11774608720939478</v>
          </cell>
          <cell r="AA53">
            <v>0.11350170957273738</v>
          </cell>
          <cell r="AB53">
            <v>0.11088123944452177</v>
          </cell>
          <cell r="AC53">
            <v>0.10960038295520612</v>
          </cell>
          <cell r="AD53">
            <v>0.10622283715192442</v>
          </cell>
          <cell r="AE53">
            <v>0.10989954334752756</v>
          </cell>
          <cell r="AF53">
            <v>0.11089460378896267</v>
          </cell>
          <cell r="AG53">
            <v>0.10921088726289831</v>
          </cell>
        </row>
        <row r="54">
          <cell r="D54">
            <v>7.3956632223385763E-2</v>
          </cell>
          <cell r="E54">
            <v>7.051290821282484E-2</v>
          </cell>
          <cell r="F54">
            <v>7.2628194279911948E-2</v>
          </cell>
          <cell r="G54">
            <v>5.0897252145039006E-2</v>
          </cell>
          <cell r="H54">
            <v>0</v>
          </cell>
          <cell r="I54">
            <v>7.5018117448588106E-2</v>
          </cell>
          <cell r="J54">
            <v>2.1408130502846821E-2</v>
          </cell>
          <cell r="K54">
            <v>5.6688790982434005E-2</v>
          </cell>
          <cell r="L54">
            <v>5.726535730686387E-2</v>
          </cell>
          <cell r="M54">
            <v>5.1894127583465822E-2</v>
          </cell>
          <cell r="N54">
            <v>5.6928510041019696E-2</v>
          </cell>
          <cell r="O54">
            <v>5.8842126605246112E-2</v>
          </cell>
          <cell r="P54">
            <v>6.169753177194142E-2</v>
          </cell>
          <cell r="Q54">
            <v>5.5481025507084995E-2</v>
          </cell>
          <cell r="R54">
            <v>5.8201869224277787E-2</v>
          </cell>
          <cell r="S54">
            <v>6.1332066486690907E-2</v>
          </cell>
          <cell r="T54">
            <v>5.4161543136085698E-2</v>
          </cell>
          <cell r="U54">
            <v>5.6196001157487185E-2</v>
          </cell>
          <cell r="V54">
            <v>5.7936108031844451E-2</v>
          </cell>
          <cell r="W54">
            <v>5.7415767154577323E-2</v>
          </cell>
          <cell r="X54">
            <v>5.1975984627769145E-2</v>
          </cell>
          <cell r="Y54">
            <v>4.8205960971782584E-2</v>
          </cell>
          <cell r="Z54">
            <v>5.1249662053939597E-2</v>
          </cell>
          <cell r="AA54">
            <v>4.0951444654213943E-2</v>
          </cell>
          <cell r="AB54">
            <v>4.7928338290360348E-2</v>
          </cell>
          <cell r="AC54">
            <v>3.5236398824015198E-2</v>
          </cell>
          <cell r="AD54">
            <v>3.7521305488578224E-2</v>
          </cell>
          <cell r="AE54">
            <v>4.3858416824735957E-2</v>
          </cell>
          <cell r="AF54">
            <v>4.9291487906861262E-2</v>
          </cell>
          <cell r="AG54">
            <v>4.1991387557733705E-2</v>
          </cell>
        </row>
        <row r="55">
          <cell r="D55">
            <v>7.1430140677978482E-2</v>
          </cell>
          <cell r="E55">
            <v>6.8152901098600491E-2</v>
          </cell>
          <cell r="F55">
            <v>7.0292773734980482E-2</v>
          </cell>
          <cell r="G55">
            <v>4.8951638530932005E-2</v>
          </cell>
          <cell r="H55">
            <v>2.2833900902580486E-3</v>
          </cell>
          <cell r="I55">
            <v>7.1875779644304069E-2</v>
          </cell>
          <cell r="J55">
            <v>1.6791472644058718E-2</v>
          </cell>
          <cell r="K55">
            <v>5.2144723541416291E-2</v>
          </cell>
          <cell r="L55">
            <v>5.2885124871949178E-2</v>
          </cell>
          <cell r="M55">
            <v>4.7671154610492858E-2</v>
          </cell>
          <cell r="N55">
            <v>5.4504103851653302E-2</v>
          </cell>
          <cell r="O55">
            <v>5.6584386887927496E-2</v>
          </cell>
          <cell r="P55">
            <v>5.9485178540500519E-2</v>
          </cell>
          <cell r="Q55">
            <v>5.3165977098829177E-2</v>
          </cell>
          <cell r="R55">
            <v>5.5902618396839056E-2</v>
          </cell>
          <cell r="S55">
            <v>5.8695015205004329E-2</v>
          </cell>
          <cell r="T55">
            <v>5.1071733232146553E-2</v>
          </cell>
          <cell r="U55">
            <v>5.309007730360616E-2</v>
          </cell>
          <cell r="V55">
            <v>5.5074070341629797E-2</v>
          </cell>
          <cell r="W55">
            <v>5.4492680654338925E-2</v>
          </cell>
          <cell r="X55">
            <v>4.8564087099338744E-2</v>
          </cell>
          <cell r="Y55">
            <v>4.4944486511636433E-2</v>
          </cell>
          <cell r="Z55">
            <v>4.7210212673147664E-2</v>
          </cell>
          <cell r="AA55">
            <v>3.657093639345408E-2</v>
          </cell>
          <cell r="AB55">
            <v>4.4139575470017033E-2</v>
          </cell>
          <cell r="AC55">
            <v>2.9863931741932529E-2</v>
          </cell>
          <cell r="AD55">
            <v>3.2324808787918366E-2</v>
          </cell>
          <cell r="AE55">
            <v>3.823851213121672E-2</v>
          </cell>
          <cell r="AF55">
            <v>4.4102455710002736E-2</v>
          </cell>
          <cell r="AG55">
            <v>3.664955906353759E-2</v>
          </cell>
        </row>
        <row r="56">
          <cell r="D56">
            <v>8.02472300132549E-2</v>
          </cell>
          <cell r="E56">
            <v>7.8680585008140388E-2</v>
          </cell>
          <cell r="F56">
            <v>8.3973599593839848E-2</v>
          </cell>
          <cell r="G56">
            <v>6.293411503764762E-2</v>
          </cell>
          <cell r="H56">
            <v>7.623102092337905E-2</v>
          </cell>
          <cell r="I56">
            <v>8.300167512147609E-2</v>
          </cell>
          <cell r="J56">
            <v>2.446429817826486E-2</v>
          </cell>
          <cell r="K56">
            <v>5.8777250100131552E-2</v>
          </cell>
          <cell r="L56">
            <v>5.8046910876400057E-2</v>
          </cell>
          <cell r="M56">
            <v>5.5088682432432444E-2</v>
          </cell>
          <cell r="N56">
            <v>5.7757912158434503E-2</v>
          </cell>
          <cell r="O56">
            <v>5.8890236736208759E-2</v>
          </cell>
          <cell r="P56">
            <v>6.1145260433516736E-2</v>
          </cell>
          <cell r="Q56">
            <v>5.4905231415800851E-2</v>
          </cell>
          <cell r="R56">
            <v>5.8095237301845841E-2</v>
          </cell>
          <cell r="S56">
            <v>6.000642905706205E-2</v>
          </cell>
          <cell r="T56">
            <v>5.2073139766110207E-2</v>
          </cell>
          <cell r="U56">
            <v>5.3768034063193318E-2</v>
          </cell>
          <cell r="V56">
            <v>5.56888037891759E-2</v>
          </cell>
          <cell r="W56">
            <v>5.5383356671963639E-2</v>
          </cell>
          <cell r="X56">
            <v>4.8803343609732694E-2</v>
          </cell>
          <cell r="Y56">
            <v>4.4748341893753513E-2</v>
          </cell>
          <cell r="Z56">
            <v>4.6319625408091175E-2</v>
          </cell>
          <cell r="AA56">
            <v>3.6172906099651174E-2</v>
          </cell>
          <cell r="AB56">
            <v>4.381479152319652E-2</v>
          </cell>
          <cell r="AC56">
            <v>3.1887595250862329E-2</v>
          </cell>
          <cell r="AD56">
            <v>3.3954450313180305E-2</v>
          </cell>
          <cell r="AE56">
            <v>3.872967144892249E-2</v>
          </cell>
          <cell r="AF56">
            <v>4.3772092708943562E-2</v>
          </cell>
          <cell r="AG56">
            <v>3.7516312127931682E-2</v>
          </cell>
        </row>
        <row r="57">
          <cell r="D57">
            <v>4.9511911126082886E-2</v>
          </cell>
          <cell r="E57">
            <v>4.8547740549710713E-2</v>
          </cell>
          <cell r="F57">
            <v>5.1812489422914131E-2</v>
          </cell>
          <cell r="G57">
            <v>4.2589482012802153E-2</v>
          </cell>
          <cell r="H57">
            <v>4.8026449696146681E-2</v>
          </cell>
          <cell r="I57">
            <v>5.1875304432537829E-2</v>
          </cell>
          <cell r="J57">
            <v>1.5290809560370574E-2</v>
          </cell>
          <cell r="K57">
            <v>3.6733993248269106E-2</v>
          </cell>
          <cell r="L57">
            <v>3.6278215408527659E-2</v>
          </cell>
          <cell r="M57">
            <v>3.4429650238473782E-2</v>
          </cell>
          <cell r="N57">
            <v>3.6099633336710922E-2</v>
          </cell>
          <cell r="O57">
            <v>3.6804250186426808E-2</v>
          </cell>
          <cell r="P57">
            <v>3.8217830194536839E-2</v>
          </cell>
          <cell r="Q57">
            <v>3.4316140636223146E-2</v>
          </cell>
          <cell r="R57">
            <v>3.6309835711863914E-2</v>
          </cell>
          <cell r="S57">
            <v>3.7504729339542305E-2</v>
          </cell>
          <cell r="T57">
            <v>3.2544285848784743E-2</v>
          </cell>
          <cell r="U57">
            <v>3.3605710269942572E-2</v>
          </cell>
          <cell r="V57">
            <v>3.4805502368234639E-2</v>
          </cell>
          <cell r="W57">
            <v>3.4614597919977237E-2</v>
          </cell>
          <cell r="X57">
            <v>3.0502712819912063E-2</v>
          </cell>
          <cell r="Y57">
            <v>2.7743059673578898E-2</v>
          </cell>
          <cell r="Z57">
            <v>2.8719167391783429E-2</v>
          </cell>
          <cell r="AA57">
            <v>2.6063371642842895E-2</v>
          </cell>
          <cell r="AB57">
            <v>2.8182624001361227E-2</v>
          </cell>
          <cell r="AC57">
            <v>1.9770267965920234E-2</v>
          </cell>
          <cell r="AD57">
            <v>2.1051759194171786E-2</v>
          </cell>
          <cell r="AE57">
            <v>2.4012396298331944E-2</v>
          </cell>
          <cell r="AF57">
            <v>2.7138697479545008E-2</v>
          </cell>
          <cell r="AG57">
            <v>2.3259338684683276E-2</v>
          </cell>
        </row>
        <row r="59">
          <cell r="D59">
            <v>0.87629711540573996</v>
          </cell>
          <cell r="E59">
            <v>0.88247164571162762</v>
          </cell>
          <cell r="F59">
            <v>0.88223388052123886</v>
          </cell>
          <cell r="G59">
            <v>0.8778997749573586</v>
          </cell>
          <cell r="H59">
            <v>0.87976369050571523</v>
          </cell>
          <cell r="I59">
            <v>0.87163342164351987</v>
          </cell>
          <cell r="J59">
            <v>0.89048649403224678</v>
          </cell>
          <cell r="K59">
            <v>0.88946424825008108</v>
          </cell>
          <cell r="L59">
            <v>0.88788459500512174</v>
          </cell>
          <cell r="M59">
            <v>0.88554625397456277</v>
          </cell>
          <cell r="N59">
            <v>0.8880494789027874</v>
          </cell>
          <cell r="O59">
            <v>0.88695493798947755</v>
          </cell>
          <cell r="P59">
            <v>0.88451973634762371</v>
          </cell>
          <cell r="Q59">
            <v>0.88381425001335567</v>
          </cell>
          <cell r="R59">
            <v>0.88569557752432326</v>
          </cell>
          <cell r="S59">
            <v>0.88540063550944592</v>
          </cell>
          <cell r="T59">
            <v>0.89220186758039066</v>
          </cell>
          <cell r="U59">
            <v>0.89149384740461057</v>
          </cell>
          <cell r="V59">
            <v>0.88808324095535696</v>
          </cell>
          <cell r="W59">
            <v>0.88927227938495479</v>
          </cell>
          <cell r="X59">
            <v>0.89280062206692712</v>
          </cell>
          <cell r="Y59">
            <v>0.89538877687865481</v>
          </cell>
          <cell r="Z59">
            <v>0.88225391279060517</v>
          </cell>
          <cell r="AA59">
            <v>0.88649829042726258</v>
          </cell>
          <cell r="AB59">
            <v>0.88911876055547823</v>
          </cell>
          <cell r="AC59">
            <v>0.89039961704479387</v>
          </cell>
          <cell r="AD59">
            <v>0.89377716284807551</v>
          </cell>
          <cell r="AE59">
            <v>0.89010045665247239</v>
          </cell>
          <cell r="AF59">
            <v>0.88910539621103735</v>
          </cell>
          <cell r="AG59">
            <v>0.89078911273710182</v>
          </cell>
        </row>
        <row r="60">
          <cell r="H60">
            <v>5.3557898049625671E-2</v>
          </cell>
          <cell r="I60">
            <v>5.3348460907892074E-2</v>
          </cell>
          <cell r="J60">
            <v>7.8039465943423508E-2</v>
          </cell>
          <cell r="K60">
            <v>5.3846960767484887E-2</v>
          </cell>
          <cell r="L60">
            <v>5.4850047688014374E-2</v>
          </cell>
          <cell r="M60">
            <v>6.0051917726550073E-2</v>
          </cell>
          <cell r="N60">
            <v>5.5022011056192935E-2</v>
          </cell>
          <cell r="O60">
            <v>5.4202935405276299E-2</v>
          </cell>
          <cell r="P60">
            <v>5.3782731880434878E-2</v>
          </cell>
          <cell r="Q60">
            <v>5.3623050758920369E-2</v>
          </cell>
          <cell r="R60">
            <v>5.4114867572316018E-2</v>
          </cell>
          <cell r="S60">
            <v>5.326729800386313E-2</v>
          </cell>
          <cell r="T60">
            <v>5.3636589283523585E-2</v>
          </cell>
          <cell r="U60">
            <v>5.2310151437902193E-2</v>
          </cell>
          <cell r="V60">
            <v>5.3980651012798558E-2</v>
          </cell>
          <cell r="W60">
            <v>5.3311953460467874E-2</v>
          </cell>
          <cell r="X60">
            <v>5.5223393305303771E-2</v>
          </cell>
          <cell r="Y60">
            <v>5.3401512594309072E-2</v>
          </cell>
          <cell r="Z60">
            <v>6.6496425155455188E-2</v>
          </cell>
          <cell r="AA60">
            <v>7.2550264918523413E-2</v>
          </cell>
          <cell r="AB60">
            <v>6.2195838396705484E-2</v>
          </cell>
          <cell r="AC60">
            <v>7.4363984131190913E-2</v>
          </cell>
          <cell r="AD60">
            <v>6.8701531663346194E-2</v>
          </cell>
          <cell r="AE60">
            <v>6.6041126522791607E-2</v>
          </cell>
          <cell r="AF60">
            <v>6.1603115882101413E-2</v>
          </cell>
          <cell r="AG60">
            <v>6.7219499705164609E-2</v>
          </cell>
        </row>
        <row r="61">
          <cell r="D61">
            <v>5.2272743916281589E-2</v>
          </cell>
          <cell r="E61">
            <v>4.9375453189771934E-2</v>
          </cell>
          <cell r="F61">
            <v>4.7473345743780676E-2</v>
          </cell>
          <cell r="G61">
            <v>7.3148586511709357E-2</v>
          </cell>
          <cell r="H61">
            <v>5.5841288139883719E-2</v>
          </cell>
          <cell r="I61">
            <v>5.6490798712176112E-2</v>
          </cell>
          <cell r="J61">
            <v>9.2722033323694511E-2</v>
          </cell>
          <cell r="K61">
            <v>5.8391028208502602E-2</v>
          </cell>
          <cell r="L61">
            <v>5.9230280122929073E-2</v>
          </cell>
          <cell r="M61">
            <v>6.6782591414944345E-2</v>
          </cell>
          <cell r="N61">
            <v>5.7446417245559322E-2</v>
          </cell>
          <cell r="O61">
            <v>5.6460675122594915E-2</v>
          </cell>
          <cell r="P61">
            <v>5.5995085111875786E-2</v>
          </cell>
          <cell r="Q61">
            <v>6.3019772887815143E-2</v>
          </cell>
          <cell r="R61">
            <v>5.8401804078837646E-2</v>
          </cell>
          <cell r="S61">
            <v>5.5904349285549701E-2</v>
          </cell>
          <cell r="T61">
            <v>5.672639918746273E-2</v>
          </cell>
          <cell r="U61">
            <v>5.5416075291783218E-2</v>
          </cell>
          <cell r="V61">
            <v>5.6842688703013206E-2</v>
          </cell>
          <cell r="W61">
            <v>5.6235039960706279E-2</v>
          </cell>
          <cell r="X61">
            <v>5.8635290833734172E-2</v>
          </cell>
          <cell r="Y61">
            <v>5.9666736609708705E-2</v>
          </cell>
          <cell r="Z61">
            <v>7.0535874536247128E-2</v>
          </cell>
          <cell r="AA61">
            <v>7.6930773179283291E-2</v>
          </cell>
          <cell r="AB61">
            <v>6.6741663974504747E-2</v>
          </cell>
          <cell r="AC61">
            <v>7.9736451213273593E-2</v>
          </cell>
          <cell r="AD61">
            <v>7.3898028364006052E-2</v>
          </cell>
          <cell r="AE61">
            <v>7.1661031216310844E-2</v>
          </cell>
          <cell r="AF61">
            <v>6.6792148078959931E-2</v>
          </cell>
          <cell r="AG61">
            <v>7.2561328199360717E-2</v>
          </cell>
        </row>
        <row r="62">
          <cell r="D62">
            <v>0.3830078481474723</v>
          </cell>
          <cell r="E62">
            <v>0.39</v>
          </cell>
          <cell r="F62">
            <v>0.39</v>
          </cell>
          <cell r="G62">
            <v>0.39</v>
          </cell>
          <cell r="H62">
            <v>0.36998810832641493</v>
          </cell>
          <cell r="I62">
            <v>0.36599999999999999</v>
          </cell>
          <cell r="J62">
            <v>0.37497452618707899</v>
          </cell>
          <cell r="K62">
            <v>0.35</v>
          </cell>
          <cell r="L62">
            <v>0.36</v>
          </cell>
          <cell r="M62">
            <v>0.37501409149324727</v>
          </cell>
          <cell r="N62">
            <v>0.37498375568551051</v>
          </cell>
          <cell r="O62">
            <v>0.37503647079418767</v>
          </cell>
          <cell r="P62">
            <v>0.37496659718881892</v>
          </cell>
          <cell r="Q62">
            <v>0.37499324287799091</v>
          </cell>
          <cell r="R62">
            <v>0.37499462265368433</v>
          </cell>
          <cell r="S62">
            <v>0.37498814828861349</v>
          </cell>
          <cell r="T62">
            <v>0.37502739425816367</v>
          </cell>
          <cell r="U62">
            <v>0.37498718605843134</v>
          </cell>
          <cell r="V62">
            <v>0.37500000000000533</v>
          </cell>
          <cell r="W62">
            <v>0.37500000000000072</v>
          </cell>
          <cell r="X62">
            <v>0.37498723317332289</v>
          </cell>
          <cell r="Y62">
            <v>0.38002038735983662</v>
          </cell>
          <cell r="Z62">
            <v>0.37997841867765347</v>
          </cell>
          <cell r="AA62">
            <v>0.27947808309782896</v>
          </cell>
          <cell r="AB62">
            <v>0.35677831568727741</v>
          </cell>
          <cell r="AC62">
            <v>0.38000128857676746</v>
          </cell>
          <cell r="AD62">
            <v>0.38</v>
          </cell>
          <cell r="AE62">
            <v>0.38</v>
          </cell>
          <cell r="AF62">
            <v>0.38</v>
          </cell>
          <cell r="AG62">
            <v>0.37998771786596269</v>
          </cell>
        </row>
        <row r="63">
          <cell r="AD63">
            <v>0.90322580645161299</v>
          </cell>
        </row>
        <row r="64">
          <cell r="I64">
            <v>0.23282534986415526</v>
          </cell>
          <cell r="J64">
            <v>0.37207393320837823</v>
          </cell>
          <cell r="K64">
            <v>0.4196919952614655</v>
          </cell>
          <cell r="L64">
            <v>0.46875668804679926</v>
          </cell>
          <cell r="M64">
            <v>0.37708092095023238</v>
          </cell>
          <cell r="N64">
            <v>0.58279376997374444</v>
          </cell>
          <cell r="O64">
            <v>0.45080218169490194</v>
          </cell>
          <cell r="P64">
            <v>0.45910339303084058</v>
          </cell>
          <cell r="Q64">
            <v>0.48771592073192238</v>
          </cell>
          <cell r="R64">
            <v>0.49094669117647061</v>
          </cell>
          <cell r="S64">
            <v>0.31927102684485686</v>
          </cell>
          <cell r="T64">
            <v>0.20449554809466686</v>
          </cell>
          <cell r="U64">
            <v>0.18576577813070849</v>
          </cell>
          <cell r="V64">
            <v>0.17806283872422957</v>
          </cell>
          <cell r="W64">
            <v>0.21777904032935913</v>
          </cell>
          <cell r="X64">
            <v>0.14142218707418164</v>
          </cell>
          <cell r="Y64">
            <v>0.25090797045422764</v>
          </cell>
          <cell r="Z64">
            <v>0.21304377781758554</v>
          </cell>
          <cell r="AA64">
            <v>0.15832913433437512</v>
          </cell>
          <cell r="AB64">
            <v>0.19004303565919267</v>
          </cell>
          <cell r="AC64">
            <v>0.21308284505897923</v>
          </cell>
          <cell r="AD64">
            <v>0.28236111774857897</v>
          </cell>
          <cell r="AE64">
            <v>0.34790605094505622</v>
          </cell>
          <cell r="AF64">
            <v>0.39758049818811392</v>
          </cell>
          <cell r="AG64">
            <v>0.31341764481971612</v>
          </cell>
        </row>
        <row r="65">
          <cell r="I65">
            <v>0.27930381245560132</v>
          </cell>
          <cell r="J65">
            <v>0.27850532565042752</v>
          </cell>
          <cell r="K65">
            <v>0.33252859688452019</v>
          </cell>
          <cell r="L65">
            <v>0.34864821798481316</v>
          </cell>
          <cell r="M65">
            <v>0.31085252571233424</v>
          </cell>
          <cell r="N65">
            <v>0.38037945395649997</v>
          </cell>
          <cell r="O65">
            <v>0.49758718018756265</v>
          </cell>
          <cell r="P65">
            <v>0.52437235786386172</v>
          </cell>
          <cell r="Q65">
            <v>0.54172738371864093</v>
          </cell>
          <cell r="R65">
            <v>0.48900150842657042</v>
          </cell>
          <cell r="S65">
            <v>0.35048608783104229</v>
          </cell>
          <cell r="T65">
            <v>0.14858949416342337</v>
          </cell>
          <cell r="U65">
            <v>0.1141547342803777</v>
          </cell>
          <cell r="V65">
            <v>0.13477749961680741</v>
          </cell>
          <cell r="W65">
            <v>0.17967349318562631</v>
          </cell>
          <cell r="X65">
            <v>6.7717512721856998E-2</v>
          </cell>
          <cell r="Y65">
            <v>0.21392652974804216</v>
          </cell>
          <cell r="Z65">
            <v>0.31634156253174783</v>
          </cell>
          <cell r="AA65">
            <v>0.17473324028635351</v>
          </cell>
          <cell r="AB65">
            <v>0.19169297492323922</v>
          </cell>
          <cell r="AC65">
            <v>0.24025294678353082</v>
          </cell>
          <cell r="AD65">
            <v>0.30211684861538757</v>
          </cell>
          <cell r="AE65">
            <v>0.25808222578806417</v>
          </cell>
          <cell r="AF65">
            <v>0.36547842489042548</v>
          </cell>
          <cell r="AG65">
            <v>0.29363188088527648</v>
          </cell>
        </row>
        <row r="66">
          <cell r="I66">
            <v>0.2505198534508386</v>
          </cell>
          <cell r="J66">
            <v>-0.58343034536282457</v>
          </cell>
          <cell r="K66">
            <v>0.10811818436014509</v>
          </cell>
          <cell r="L66">
            <v>0.65252293577982701</v>
          </cell>
          <cell r="M66">
            <v>7.1747383541965304E-2</v>
          </cell>
          <cell r="N66">
            <v>0.20112439623089462</v>
          </cell>
          <cell r="O66">
            <v>2.9876571960875591</v>
          </cell>
          <cell r="P66">
            <v>0.58802254184540681</v>
          </cell>
          <cell r="Q66">
            <v>0.44136016655100674</v>
          </cell>
          <cell r="R66">
            <v>0.67217156123596911</v>
          </cell>
          <cell r="S66">
            <v>0.42131979695431387</v>
          </cell>
          <cell r="T66">
            <v>0.1086842258949936</v>
          </cell>
          <cell r="U66">
            <v>8.0031779661016156E-2</v>
          </cell>
          <cell r="V66">
            <v>0.23019312041938367</v>
          </cell>
          <cell r="W66">
            <v>0.20133113862448693</v>
          </cell>
          <cell r="X66">
            <v>-3.2699443413728768E-2</v>
          </cell>
          <cell r="Y66">
            <v>0.11335861778339806</v>
          </cell>
          <cell r="Z66">
            <v>0.10627237506743104</v>
          </cell>
          <cell r="AA66">
            <v>-0.18124891285439748</v>
          </cell>
          <cell r="AB66">
            <v>-6.6006600660035719E-3</v>
          </cell>
          <cell r="AC66">
            <v>-0.17760728842004303</v>
          </cell>
          <cell r="AD66">
            <v>-1.869016284443803E-3</v>
          </cell>
          <cell r="AE66">
            <v>0.15351054141024689</v>
          </cell>
          <cell r="AF66">
            <v>0.68220737527060149</v>
          </cell>
          <cell r="AG66">
            <v>0.15072275226122533</v>
          </cell>
        </row>
        <row r="67">
          <cell r="I67">
            <v>0.24051671109288697</v>
          </cell>
          <cell r="J67">
            <v>-0.66194921208471291</v>
          </cell>
          <cell r="K67">
            <v>5.3158705701078501E-2</v>
          </cell>
          <cell r="L67">
            <v>0.58677795442502401</v>
          </cell>
          <cell r="M67">
            <v>1.9442747483332301E-2</v>
          </cell>
          <cell r="N67">
            <v>0.20024793388429485</v>
          </cell>
          <cell r="O67">
            <v>3.8889548693586606</v>
          </cell>
          <cell r="P67">
            <v>0.66450256035113764</v>
          </cell>
          <cell r="Q67">
            <v>0.49561659848042106</v>
          </cell>
          <cell r="R67">
            <v>0.74839113102837396</v>
          </cell>
          <cell r="S67">
            <v>0.42071197411003181</v>
          </cell>
          <cell r="T67">
            <v>8.714927729867461E-2</v>
          </cell>
          <cell r="U67">
            <v>5.8287095533702482E-2</v>
          </cell>
          <cell r="V67">
            <v>0.2203427678222265</v>
          </cell>
          <cell r="W67">
            <v>0.18706504731390794</v>
          </cell>
          <cell r="X67">
            <v>-5.5590558813550794E-2</v>
          </cell>
          <cell r="Y67">
            <v>0.10083235573431804</v>
          </cell>
          <cell r="Z67">
            <v>7.8696013289035749E-2</v>
          </cell>
          <cell r="AA67">
            <v>-0.23083257090575204</v>
          </cell>
          <cell r="AB67">
            <v>-3.6054131411782264E-2</v>
          </cell>
          <cell r="AC67">
            <v>-0.25402853330596331</v>
          </cell>
          <cell r="AD67">
            <v>-7.7704939012889551E-2</v>
          </cell>
          <cell r="AE67">
            <v>9.1753647407716299E-2</v>
          </cell>
          <cell r="AF67">
            <v>0.68540207336712777</v>
          </cell>
          <cell r="AG67">
            <v>9.0544642451542812E-2</v>
          </cell>
        </row>
        <row r="68">
          <cell r="I68">
            <v>0.27514144916955807</v>
          </cell>
          <cell r="J68">
            <v>-0.57337854286211054</v>
          </cell>
          <cell r="K68">
            <v>-6.2877871825877119E-3</v>
          </cell>
          <cell r="L68">
            <v>0.35469909315746917</v>
          </cell>
          <cell r="M68">
            <v>-4.8464179137970298E-3</v>
          </cell>
          <cell r="N68">
            <v>0.10140986187647383</v>
          </cell>
          <cell r="O68">
            <v>2.4923578561239013</v>
          </cell>
          <cell r="P68">
            <v>0.51788756388416002</v>
          </cell>
          <cell r="Q68">
            <v>0.40719610527917305</v>
          </cell>
          <cell r="R68">
            <v>0.57231754334543372</v>
          </cell>
          <cell r="S68">
            <v>0.3706302794022085</v>
          </cell>
          <cell r="T68">
            <v>6.5063896831416113E-2</v>
          </cell>
          <cell r="U68">
            <v>4.2702153813264365E-2</v>
          </cell>
          <cell r="V68">
            <v>0.19487539867017389</v>
          </cell>
          <cell r="W68">
            <v>0.1609332205285543</v>
          </cell>
          <cell r="X68">
            <v>-7.167915046932738E-2</v>
          </cell>
          <cell r="Y68">
            <v>7.4950690335306991E-2</v>
          </cell>
          <cell r="Z68">
            <v>4.500256278831305E-2</v>
          </cell>
          <cell r="AA68">
            <v>-0.24760224393773733</v>
          </cell>
          <cell r="AB68">
            <v>-5.8535079051380556E-2</v>
          </cell>
          <cell r="AC68">
            <v>-0.20738433255030142</v>
          </cell>
          <cell r="AD68">
            <v>-2.6961335024872635E-2</v>
          </cell>
          <cell r="AE68">
            <v>0.12703757936689941</v>
          </cell>
          <cell r="AF68">
            <v>0.69118353295621926</v>
          </cell>
          <cell r="AG68">
            <v>0.12461076737754939</v>
          </cell>
        </row>
        <row r="69">
          <cell r="I69">
            <v>0.29167282946309969</v>
          </cell>
          <cell r="J69">
            <v>-0.56784556855009094</v>
          </cell>
          <cell r="K69">
            <v>6.532532009406733E-3</v>
          </cell>
          <cell r="L69">
            <v>0.25110400487286078</v>
          </cell>
          <cell r="M69">
            <v>-1.2785355603832871E-2</v>
          </cell>
          <cell r="N69">
            <v>0.10145425397915586</v>
          </cell>
          <cell r="O69">
            <v>2.4920117378545754</v>
          </cell>
          <cell r="P69">
            <v>0.51804257528557107</v>
          </cell>
          <cell r="Q69">
            <v>0.40725413826679779</v>
          </cell>
          <cell r="R69">
            <v>0.5723665223665233</v>
          </cell>
          <cell r="S69">
            <v>0.37062064663686356</v>
          </cell>
          <cell r="T69">
            <v>6.507936507936285E-2</v>
          </cell>
          <cell r="U69">
            <v>4.2667806755022575E-2</v>
          </cell>
          <cell r="V69">
            <v>0.19486248053965949</v>
          </cell>
          <cell r="W69">
            <v>0.16092323223052785</v>
          </cell>
          <cell r="X69">
            <v>-7.167779126213536E-2</v>
          </cell>
          <cell r="Y69">
            <v>6.6362759708952668E-2</v>
          </cell>
          <cell r="Z69">
            <v>3.6657372478267058E-2</v>
          </cell>
          <cell r="AA69">
            <v>-0.13260948244659487</v>
          </cell>
          <cell r="AB69">
            <v>-3.1086956521735765E-2</v>
          </cell>
          <cell r="AC69">
            <v>-0.21374295285562561</v>
          </cell>
          <cell r="AD69">
            <v>-2.6929337699487577E-2</v>
          </cell>
          <cell r="AE69">
            <v>0.12699835014967586</v>
          </cell>
          <cell r="AF69">
            <v>0.45524204862628892</v>
          </cell>
          <cell r="AG69">
            <v>8.3973792994764596E-2</v>
          </cell>
        </row>
        <row r="70">
          <cell r="I70">
            <v>0.22598086998985734</v>
          </cell>
          <cell r="J70">
            <v>-0.58816351556004598</v>
          </cell>
          <cell r="K70">
            <v>-7.7874083610057765E-3</v>
          </cell>
          <cell r="L70">
            <v>0.31767518029379449</v>
          </cell>
          <cell r="M70">
            <v>-4.5104106764586982E-2</v>
          </cell>
          <cell r="N70">
            <v>0.10114500924119763</v>
          </cell>
          <cell r="O70">
            <v>2.5194231921513084</v>
          </cell>
          <cell r="P70">
            <v>0.52752308965398576</v>
          </cell>
          <cell r="Q70">
            <v>0.29739205235807264</v>
          </cell>
          <cell r="R70">
            <v>0.57842155192165023</v>
          </cell>
          <cell r="S70">
            <v>0.3893216967357076</v>
          </cell>
          <cell r="T70">
            <v>7.4936925357141915E-2</v>
          </cell>
          <cell r="U70">
            <v>4.8828645973783447E-2</v>
          </cell>
          <cell r="V70">
            <v>0.20722786743117161</v>
          </cell>
          <cell r="W70">
            <v>0.17293738879806164</v>
          </cell>
          <cell r="X70">
            <v>-7.264268698435894E-2</v>
          </cell>
          <cell r="Y70">
            <v>0.15071877150624124</v>
          </cell>
          <cell r="Z70">
            <v>2.7570684092425024E-2</v>
          </cell>
          <cell r="AA70">
            <v>-0.12281943540612794</v>
          </cell>
          <cell r="AB70">
            <v>-1.3500859022984035E-2</v>
          </cell>
          <cell r="AC70">
            <v>-0.22059028740859621</v>
          </cell>
          <cell r="AD70">
            <v>-0.10138549353737614</v>
          </cell>
          <cell r="AE70">
            <v>0.11983397916535443</v>
          </cell>
          <cell r="AF70">
            <v>0.42238057902242931</v>
          </cell>
          <cell r="AG70">
            <v>5.2353822431927322E-2</v>
          </cell>
        </row>
        <row r="76">
          <cell r="B76" t="str">
            <v>(In millions, except per share data)</v>
          </cell>
        </row>
        <row r="78">
          <cell r="B78" t="str">
            <v>BALANCE SHEET</v>
          </cell>
          <cell r="D78" t="str">
            <v>Fiscal Year End, December 2000</v>
          </cell>
          <cell r="I78" t="str">
            <v>Fiscal Year End, December 2001</v>
          </cell>
          <cell r="N78" t="str">
            <v>Fiscal Year End, December 2002</v>
          </cell>
          <cell r="S78" t="str">
            <v>Fiscal Year End, December 2003</v>
          </cell>
          <cell r="X78" t="str">
            <v>Fiscal Year End, December 2004</v>
          </cell>
          <cell r="AC78" t="str">
            <v>Fiscal Year End, December 2005</v>
          </cell>
        </row>
        <row r="79">
          <cell r="D79" t="str">
            <v>1QA</v>
          </cell>
          <cell r="E79" t="str">
            <v>2QA</v>
          </cell>
          <cell r="F79" t="str">
            <v>3QA</v>
          </cell>
          <cell r="G79" t="str">
            <v>4QA</v>
          </cell>
          <cell r="H79" t="str">
            <v>FY00</v>
          </cell>
          <cell r="I79" t="str">
            <v>1QA</v>
          </cell>
          <cell r="J79" t="str">
            <v>2QA</v>
          </cell>
          <cell r="K79" t="str">
            <v>3QA</v>
          </cell>
          <cell r="L79" t="str">
            <v>4QA</v>
          </cell>
          <cell r="M79" t="str">
            <v>FY01</v>
          </cell>
          <cell r="N79" t="str">
            <v>1QA</v>
          </cell>
          <cell r="O79" t="str">
            <v>2QA</v>
          </cell>
          <cell r="P79" t="str">
            <v>3QA</v>
          </cell>
          <cell r="Q79" t="str">
            <v>4QA</v>
          </cell>
          <cell r="R79" t="str">
            <v>FY02</v>
          </cell>
          <cell r="S79" t="str">
            <v>1QA</v>
          </cell>
          <cell r="T79" t="str">
            <v>2QA</v>
          </cell>
          <cell r="U79" t="str">
            <v>3QA</v>
          </cell>
          <cell r="V79" t="str">
            <v>4QA</v>
          </cell>
          <cell r="W79" t="str">
            <v>FY03</v>
          </cell>
          <cell r="X79" t="str">
            <v>1QA</v>
          </cell>
          <cell r="Y79" t="str">
            <v>2QA</v>
          </cell>
          <cell r="Z79" t="str">
            <v>3QA</v>
          </cell>
          <cell r="AA79" t="str">
            <v>4QA</v>
          </cell>
          <cell r="AB79" t="str">
            <v>FY04</v>
          </cell>
          <cell r="AC79" t="str">
            <v>1QA</v>
          </cell>
          <cell r="AD79" t="str">
            <v>2QE</v>
          </cell>
          <cell r="AE79" t="str">
            <v>3QE</v>
          </cell>
          <cell r="AF79" t="str">
            <v>4QE</v>
          </cell>
          <cell r="AG79" t="str">
            <v>FY 05E</v>
          </cell>
        </row>
        <row r="80">
          <cell r="B80" t="str">
            <v>Assets</v>
          </cell>
        </row>
        <row r="81">
          <cell r="B81" t="str">
            <v>Cash and equivalents / securities</v>
          </cell>
          <cell r="D81">
            <v>99.269000000000005</v>
          </cell>
          <cell r="E81">
            <v>121.38499999999999</v>
          </cell>
          <cell r="F81">
            <v>129.011</v>
          </cell>
          <cell r="G81">
            <v>128.62700000000001</v>
          </cell>
          <cell r="H81">
            <v>128.62700000000001</v>
          </cell>
          <cell r="I81">
            <v>139.63</v>
          </cell>
          <cell r="J81">
            <v>124</v>
          </cell>
          <cell r="K81">
            <v>136.517</v>
          </cell>
          <cell r="L81">
            <v>126.92400000000001</v>
          </cell>
          <cell r="M81">
            <v>126.92400000000001</v>
          </cell>
          <cell r="N81">
            <v>91.347999999999999</v>
          </cell>
          <cell r="O81">
            <v>96.538000000000011</v>
          </cell>
          <cell r="P81">
            <v>76.596999999999994</v>
          </cell>
          <cell r="Q81">
            <v>83.367999999999995</v>
          </cell>
          <cell r="R81">
            <v>83.367999999999995</v>
          </cell>
          <cell r="S81">
            <v>85.671999999999997</v>
          </cell>
          <cell r="T81">
            <v>81.769000000000005</v>
          </cell>
          <cell r="U81">
            <v>75.763000000000005</v>
          </cell>
          <cell r="V81">
            <v>63.036000000000001</v>
          </cell>
          <cell r="W81">
            <v>63.036000000000001</v>
          </cell>
          <cell r="X81">
            <v>65.950999999999993</v>
          </cell>
          <cell r="Y81">
            <v>50.822000000000003</v>
          </cell>
          <cell r="Z81">
            <v>79.265000000000001</v>
          </cell>
          <cell r="AA81">
            <v>62.754000000000005</v>
          </cell>
          <cell r="AB81">
            <v>62.754000000000005</v>
          </cell>
          <cell r="AC81">
            <v>45.331000000000003</v>
          </cell>
          <cell r="AD81">
            <v>22.391821531909585</v>
          </cell>
          <cell r="AE81">
            <v>27.140417600114382</v>
          </cell>
          <cell r="AF81">
            <v>40.898317378188835</v>
          </cell>
          <cell r="AG81">
            <v>40.898317378188835</v>
          </cell>
        </row>
        <row r="82">
          <cell r="B82" t="str">
            <v>Accounts receivable</v>
          </cell>
        </row>
        <row r="83">
          <cell r="B83" t="str">
            <v>Patient accounts</v>
          </cell>
          <cell r="D83">
            <v>91.308999999999997</v>
          </cell>
          <cell r="E83">
            <v>98.385000000000005</v>
          </cell>
          <cell r="F83">
            <v>96.998999999999995</v>
          </cell>
          <cell r="G83">
            <v>99.305000000000007</v>
          </cell>
          <cell r="H83">
            <v>99.305000000000007</v>
          </cell>
          <cell r="I83">
            <v>104.86</v>
          </cell>
          <cell r="J83">
            <v>111.26</v>
          </cell>
          <cell r="K83">
            <v>112.14400000000001</v>
          </cell>
          <cell r="L83">
            <v>118.342</v>
          </cell>
          <cell r="M83">
            <v>118.342</v>
          </cell>
          <cell r="N83">
            <v>138.79300000000001</v>
          </cell>
          <cell r="O83">
            <v>147.262</v>
          </cell>
          <cell r="P83">
            <v>156.27199999999999</v>
          </cell>
          <cell r="Q83">
            <v>163.68799999999999</v>
          </cell>
          <cell r="R83">
            <v>163.68799999999999</v>
          </cell>
          <cell r="S83">
            <v>169.62899999999999</v>
          </cell>
          <cell r="T83">
            <v>171.73699999999999</v>
          </cell>
          <cell r="U83">
            <v>181.97900000000001</v>
          </cell>
          <cell r="V83">
            <v>172.20599999999999</v>
          </cell>
          <cell r="W83">
            <v>172.20599999999999</v>
          </cell>
          <cell r="X83">
            <v>192.17699999999999</v>
          </cell>
          <cell r="Y83">
            <v>213.78899999999999</v>
          </cell>
          <cell r="Z83">
            <v>236.79499999999999</v>
          </cell>
          <cell r="AA83">
            <v>244.73</v>
          </cell>
          <cell r="AB83">
            <v>244.73</v>
          </cell>
          <cell r="AC83">
            <v>287.85500000000002</v>
          </cell>
          <cell r="AD83">
            <v>314.24595766305862</v>
          </cell>
          <cell r="AE83">
            <v>325.09204354954795</v>
          </cell>
          <cell r="AF83">
            <v>338.0026915957269</v>
          </cell>
          <cell r="AG83">
            <v>338.0026915957269</v>
          </cell>
        </row>
        <row r="84">
          <cell r="B84" t="str">
            <v>Allowance for doubtful accounts</v>
          </cell>
          <cell r="D84">
            <v>-1.879</v>
          </cell>
          <cell r="E84">
            <v>-1.909</v>
          </cell>
          <cell r="F84">
            <v>-2.319</v>
          </cell>
          <cell r="G84">
            <v>-2.9540000000000002</v>
          </cell>
          <cell r="H84">
            <v>-2.9540000000000002</v>
          </cell>
          <cell r="I84">
            <v>-2.9870000000000001</v>
          </cell>
          <cell r="J84">
            <v>-3.02</v>
          </cell>
          <cell r="K84">
            <v>-3.153</v>
          </cell>
          <cell r="L84">
            <v>-3.2389999999999999</v>
          </cell>
          <cell r="M84">
            <v>-3.2389999999999999</v>
          </cell>
          <cell r="N84">
            <v>-3.6960000000000002</v>
          </cell>
          <cell r="O84">
            <v>-4.1950000000000003</v>
          </cell>
          <cell r="P84">
            <v>-4.8150000000000004</v>
          </cell>
          <cell r="Q84">
            <v>-5.4370000000000003</v>
          </cell>
          <cell r="R84">
            <v>-5.4370000000000003</v>
          </cell>
          <cell r="S84">
            <v>-5.7489999999999997</v>
          </cell>
          <cell r="T84">
            <v>-5.8840000000000003</v>
          </cell>
          <cell r="U84">
            <v>-6.0730000000000004</v>
          </cell>
          <cell r="V84">
            <v>-5.48</v>
          </cell>
          <cell r="W84">
            <v>-5.48</v>
          </cell>
          <cell r="X84">
            <v>-5.9779999999999998</v>
          </cell>
          <cell r="Y84">
            <v>-6.3150000000000004</v>
          </cell>
          <cell r="Z84">
            <v>-6.8129999999999997</v>
          </cell>
          <cell r="AA84">
            <v>-6.9029999999999996</v>
          </cell>
          <cell r="AB84">
            <v>-6.9029999999999996</v>
          </cell>
          <cell r="AC84">
            <v>-7.6539999999999999</v>
          </cell>
          <cell r="AD84">
            <v>-7.8836200000000005</v>
          </cell>
          <cell r="AE84">
            <v>-8.120128600000001</v>
          </cell>
          <cell r="AF84">
            <v>-8.3637324580000012</v>
          </cell>
          <cell r="AG84">
            <v>-8.3637324580000012</v>
          </cell>
        </row>
        <row r="85">
          <cell r="B85" t="str">
            <v>Due from affiliates</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row>
        <row r="86">
          <cell r="B86" t="str">
            <v>Other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row>
        <row r="87">
          <cell r="B87" t="str">
            <v>Accounts receivable - Total</v>
          </cell>
          <cell r="D87">
            <v>91.308999999999997</v>
          </cell>
          <cell r="E87">
            <v>98.385000000000005</v>
          </cell>
          <cell r="F87">
            <v>96.998999999999995</v>
          </cell>
          <cell r="G87">
            <v>99.305000000000007</v>
          </cell>
          <cell r="H87">
            <v>99.305000000000007</v>
          </cell>
          <cell r="I87">
            <v>104.86</v>
          </cell>
          <cell r="J87">
            <v>111.26</v>
          </cell>
          <cell r="K87">
            <v>112.14400000000001</v>
          </cell>
          <cell r="L87">
            <v>118.342</v>
          </cell>
          <cell r="M87">
            <v>118.342</v>
          </cell>
          <cell r="N87">
            <v>138.79300000000001</v>
          </cell>
          <cell r="O87">
            <v>147.262</v>
          </cell>
          <cell r="P87">
            <v>156.27199999999999</v>
          </cell>
          <cell r="Q87">
            <v>163.68799999999999</v>
          </cell>
          <cell r="R87">
            <v>163.68799999999999</v>
          </cell>
          <cell r="S87">
            <v>169.62899999999999</v>
          </cell>
          <cell r="T87">
            <v>171.73699999999999</v>
          </cell>
          <cell r="U87">
            <v>181.97900000000001</v>
          </cell>
          <cell r="V87">
            <v>172.20599999999999</v>
          </cell>
          <cell r="W87">
            <v>172.20599999999999</v>
          </cell>
          <cell r="X87">
            <v>192.17699999999999</v>
          </cell>
          <cell r="Y87">
            <v>213.78899999999999</v>
          </cell>
          <cell r="Z87">
            <v>236.79499999999999</v>
          </cell>
          <cell r="AA87">
            <v>244.73</v>
          </cell>
          <cell r="AB87">
            <v>244.73</v>
          </cell>
          <cell r="AC87">
            <v>287.85500000000002</v>
          </cell>
          <cell r="AD87">
            <v>314.24595766305862</v>
          </cell>
          <cell r="AE87">
            <v>325.09204354954795</v>
          </cell>
          <cell r="AF87">
            <v>338.0026915957269</v>
          </cell>
          <cell r="AG87">
            <v>338.0026915957269</v>
          </cell>
        </row>
        <row r="88">
          <cell r="B88" t="str">
            <v>Inventory, net</v>
          </cell>
          <cell r="D88">
            <v>31.335999999999999</v>
          </cell>
          <cell r="E88">
            <v>24.806999999999999</v>
          </cell>
          <cell r="F88">
            <v>26.937999999999999</v>
          </cell>
          <cell r="G88">
            <v>48.838999999999999</v>
          </cell>
          <cell r="H88">
            <v>48.838999999999999</v>
          </cell>
          <cell r="I88">
            <v>41.7</v>
          </cell>
          <cell r="J88">
            <v>49.566000000000003</v>
          </cell>
          <cell r="K88">
            <v>50.142000000000003</v>
          </cell>
          <cell r="L88">
            <v>74.058000000000007</v>
          </cell>
          <cell r="M88">
            <v>74.058000000000007</v>
          </cell>
          <cell r="N88">
            <v>71.028000000000006</v>
          </cell>
          <cell r="O88">
            <v>90.835999999999999</v>
          </cell>
          <cell r="P88">
            <v>79.632000000000005</v>
          </cell>
          <cell r="Q88">
            <v>108.604</v>
          </cell>
          <cell r="R88">
            <v>108.604</v>
          </cell>
          <cell r="S88">
            <v>103.998</v>
          </cell>
          <cell r="T88">
            <v>107.188</v>
          </cell>
          <cell r="U88">
            <v>99.552999999999997</v>
          </cell>
          <cell r="V88">
            <v>117.218</v>
          </cell>
          <cell r="W88">
            <v>117.218</v>
          </cell>
          <cell r="X88">
            <v>103.55800000000001</v>
          </cell>
          <cell r="Y88">
            <v>104.759</v>
          </cell>
          <cell r="Z88">
            <v>107.898</v>
          </cell>
          <cell r="AA88">
            <v>112.616</v>
          </cell>
          <cell r="AB88">
            <v>112.616</v>
          </cell>
          <cell r="AC88">
            <v>117.44</v>
          </cell>
          <cell r="AD88">
            <v>134.00789421430878</v>
          </cell>
          <cell r="AE88">
            <v>140.82409385653517</v>
          </cell>
          <cell r="AF88">
            <v>152.34695307852746</v>
          </cell>
          <cell r="AG88">
            <v>152.34695307852746</v>
          </cell>
        </row>
        <row r="89">
          <cell r="B89" t="str">
            <v>Other</v>
          </cell>
          <cell r="D89">
            <v>2.9630000000000001</v>
          </cell>
          <cell r="E89">
            <v>7.423</v>
          </cell>
          <cell r="F89">
            <v>2.742</v>
          </cell>
          <cell r="G89">
            <v>1.7829999999999999</v>
          </cell>
          <cell r="H89">
            <v>1.7829999999999999</v>
          </cell>
          <cell r="I89">
            <v>6.444</v>
          </cell>
          <cell r="J89">
            <v>5.7160000000000002</v>
          </cell>
          <cell r="K89">
            <v>3.1739999999999999</v>
          </cell>
          <cell r="L89">
            <v>8.1449999999999996</v>
          </cell>
          <cell r="M89">
            <v>8.1449999999999996</v>
          </cell>
          <cell r="N89">
            <v>10.393000000000001</v>
          </cell>
          <cell r="O89">
            <v>18.611999999999998</v>
          </cell>
          <cell r="P89">
            <v>13.856999999999999</v>
          </cell>
          <cell r="Q89">
            <v>14.667</v>
          </cell>
          <cell r="R89">
            <v>14.667</v>
          </cell>
          <cell r="S89">
            <v>16.437000000000001</v>
          </cell>
          <cell r="T89">
            <v>16.364000000000001</v>
          </cell>
          <cell r="U89">
            <v>17.878</v>
          </cell>
          <cell r="V89">
            <v>18.317</v>
          </cell>
          <cell r="W89">
            <v>18.317</v>
          </cell>
          <cell r="X89">
            <v>19.305</v>
          </cell>
          <cell r="Y89">
            <v>33.360999999999997</v>
          </cell>
          <cell r="Z89">
            <v>34.226999999999997</v>
          </cell>
          <cell r="AA89">
            <v>33.381999999999998</v>
          </cell>
          <cell r="AB89">
            <v>33.381999999999998</v>
          </cell>
          <cell r="AC89">
            <v>34.323999999999998</v>
          </cell>
          <cell r="AD89">
            <v>34.323999999999998</v>
          </cell>
          <cell r="AE89">
            <v>34.323999999999998</v>
          </cell>
          <cell r="AF89">
            <v>34.323999999999998</v>
          </cell>
          <cell r="AG89">
            <v>34.323999999999998</v>
          </cell>
        </row>
        <row r="90">
          <cell r="B90" t="str">
            <v>Income taxes receivable</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row>
        <row r="91">
          <cell r="B91" t="str">
            <v>Deferred income taxes</v>
          </cell>
          <cell r="D91">
            <v>1.6850000000000001</v>
          </cell>
          <cell r="E91">
            <v>1.917</v>
          </cell>
          <cell r="F91">
            <v>1.9930000000000001</v>
          </cell>
          <cell r="G91">
            <v>2.6680000000000001</v>
          </cell>
          <cell r="H91">
            <v>2.6680000000000001</v>
          </cell>
          <cell r="I91">
            <v>2.6680000000000001</v>
          </cell>
          <cell r="J91">
            <v>2.6680000000000001</v>
          </cell>
          <cell r="K91">
            <v>1.661</v>
          </cell>
          <cell r="L91">
            <v>2.165</v>
          </cell>
          <cell r="M91">
            <v>2.165</v>
          </cell>
          <cell r="N91">
            <v>2.165</v>
          </cell>
          <cell r="O91">
            <v>2.165</v>
          </cell>
          <cell r="P91">
            <v>2.165</v>
          </cell>
          <cell r="Q91">
            <v>3.2210000000000001</v>
          </cell>
          <cell r="R91">
            <v>3.2210000000000001</v>
          </cell>
          <cell r="S91">
            <v>3.2210000000000001</v>
          </cell>
          <cell r="T91">
            <v>3.2210000000000001</v>
          </cell>
          <cell r="U91">
            <v>3.2210000000000001</v>
          </cell>
          <cell r="V91">
            <v>2.3250000000000002</v>
          </cell>
          <cell r="W91">
            <v>2.3250000000000002</v>
          </cell>
          <cell r="X91">
            <v>2.3250000000000002</v>
          </cell>
          <cell r="Y91">
            <v>2.3250000000000002</v>
          </cell>
          <cell r="Z91">
            <v>2.3250000000000002</v>
          </cell>
          <cell r="AA91">
            <v>3.0750000000000002</v>
          </cell>
          <cell r="AB91">
            <v>3.0750000000000002</v>
          </cell>
          <cell r="AC91">
            <v>3.0750000000000002</v>
          </cell>
          <cell r="AD91">
            <v>3.0903749999999999</v>
          </cell>
          <cell r="AE91">
            <v>3.1058268749999995</v>
          </cell>
          <cell r="AF91">
            <v>3.121356009374999</v>
          </cell>
          <cell r="AG91">
            <v>3.121356009374999</v>
          </cell>
        </row>
        <row r="92">
          <cell r="B92" t="str">
            <v>Total current assets</v>
          </cell>
          <cell r="D92">
            <v>226.56199999999998</v>
          </cell>
          <cell r="E92">
            <v>253.91699999999997</v>
          </cell>
          <cell r="F92">
            <v>257.68299999999999</v>
          </cell>
          <cell r="G92">
            <v>281.22200000000004</v>
          </cell>
          <cell r="H92">
            <v>281.22200000000004</v>
          </cell>
          <cell r="I92">
            <v>295.30200000000002</v>
          </cell>
          <cell r="J92">
            <v>293.21000000000004</v>
          </cell>
          <cell r="K92">
            <v>303.63799999999998</v>
          </cell>
          <cell r="L92">
            <v>329.63400000000001</v>
          </cell>
          <cell r="M92">
            <v>329.63400000000001</v>
          </cell>
          <cell r="N92">
            <v>313.72700000000003</v>
          </cell>
          <cell r="O92">
            <v>355.41300000000007</v>
          </cell>
          <cell r="P92">
            <v>328.52299999999997</v>
          </cell>
          <cell r="Q92">
            <v>373.54799999999994</v>
          </cell>
          <cell r="R92">
            <v>373.54799999999994</v>
          </cell>
          <cell r="S92">
            <v>378.95699999999999</v>
          </cell>
          <cell r="T92">
            <v>380.279</v>
          </cell>
          <cell r="U92">
            <v>378.39400000000001</v>
          </cell>
          <cell r="V92">
            <v>373.10199999999998</v>
          </cell>
          <cell r="W92">
            <v>373.10199999999998</v>
          </cell>
          <cell r="X92">
            <v>383.31599999999997</v>
          </cell>
          <cell r="Y92">
            <v>405.05599999999998</v>
          </cell>
          <cell r="Z92">
            <v>460.50999999999993</v>
          </cell>
          <cell r="AA92">
            <v>456.55699999999996</v>
          </cell>
          <cell r="AB92">
            <v>456.55699999999996</v>
          </cell>
          <cell r="AC92">
            <v>488.02500000000003</v>
          </cell>
          <cell r="AD92">
            <v>508.06004840927693</v>
          </cell>
          <cell r="AE92">
            <v>530.48638188119753</v>
          </cell>
          <cell r="AF92">
            <v>568.6933180618181</v>
          </cell>
          <cell r="AG92">
            <v>568.6933180618181</v>
          </cell>
        </row>
        <row r="93">
          <cell r="AB93">
            <v>0</v>
          </cell>
        </row>
        <row r="94">
          <cell r="B94" t="str">
            <v>Fixed assets, net</v>
          </cell>
          <cell r="D94">
            <v>2.7480000000000002</v>
          </cell>
          <cell r="E94">
            <v>3.6549999999999998</v>
          </cell>
          <cell r="F94">
            <v>3.762</v>
          </cell>
          <cell r="G94">
            <v>3.952</v>
          </cell>
          <cell r="H94">
            <v>3.952</v>
          </cell>
          <cell r="I94">
            <v>4.008</v>
          </cell>
          <cell r="J94">
            <v>4.1769999999999996</v>
          </cell>
          <cell r="K94">
            <v>6.6269999999999998</v>
          </cell>
          <cell r="L94">
            <v>9.8279999999999994</v>
          </cell>
          <cell r="M94">
            <v>9.8279999999999994</v>
          </cell>
          <cell r="N94">
            <v>11.090999999999999</v>
          </cell>
          <cell r="O94">
            <v>12.369</v>
          </cell>
          <cell r="P94">
            <v>13.866</v>
          </cell>
          <cell r="Q94">
            <v>13.748999999999999</v>
          </cell>
          <cell r="R94">
            <v>13.748999999999999</v>
          </cell>
          <cell r="S94">
            <v>15.301</v>
          </cell>
          <cell r="T94">
            <v>20.277999999999999</v>
          </cell>
          <cell r="U94">
            <v>23.962</v>
          </cell>
          <cell r="V94">
            <v>29.78</v>
          </cell>
          <cell r="W94">
            <v>29.78</v>
          </cell>
          <cell r="X94">
            <v>31.89</v>
          </cell>
          <cell r="Y94">
            <v>33.417999999999999</v>
          </cell>
          <cell r="Z94">
            <v>37.691000000000003</v>
          </cell>
          <cell r="AA94">
            <v>48.208999999999996</v>
          </cell>
          <cell r="AB94">
            <v>48.208999999999996</v>
          </cell>
          <cell r="AC94">
            <v>60.65</v>
          </cell>
          <cell r="AD94">
            <v>61.309249999999999</v>
          </cell>
          <cell r="AE94">
            <v>61.968499999999999</v>
          </cell>
          <cell r="AF94">
            <v>62.627750000000006</v>
          </cell>
          <cell r="AG94">
            <v>62.627750000000006</v>
          </cell>
        </row>
        <row r="95">
          <cell r="B95" t="str">
            <v>Goodwill, net</v>
          </cell>
          <cell r="D95">
            <v>9.6470000000000002</v>
          </cell>
          <cell r="E95">
            <v>9.5269999999999992</v>
          </cell>
          <cell r="F95">
            <v>9.76</v>
          </cell>
          <cell r="G95">
            <v>9.6349999999999998</v>
          </cell>
          <cell r="H95">
            <v>9.6349999999999998</v>
          </cell>
          <cell r="I95">
            <v>26.300999999999998</v>
          </cell>
          <cell r="J95">
            <v>41.387999999999998</v>
          </cell>
          <cell r="K95">
            <v>40.838999999999999</v>
          </cell>
          <cell r="L95">
            <v>56.554000000000002</v>
          </cell>
          <cell r="M95">
            <v>56.554000000000002</v>
          </cell>
          <cell r="N95">
            <v>83.563000000000002</v>
          </cell>
          <cell r="O95">
            <v>83.64</v>
          </cell>
          <cell r="P95">
            <v>88.417000000000002</v>
          </cell>
          <cell r="Q95">
            <v>92.784999999999997</v>
          </cell>
          <cell r="R95">
            <v>92.784999999999997</v>
          </cell>
          <cell r="S95">
            <v>92.76</v>
          </cell>
          <cell r="T95">
            <v>92.787999999999997</v>
          </cell>
          <cell r="U95">
            <v>105.402</v>
          </cell>
          <cell r="V95">
            <v>107.127</v>
          </cell>
          <cell r="W95">
            <v>107.127</v>
          </cell>
          <cell r="X95">
            <v>112.871</v>
          </cell>
          <cell r="Y95">
            <v>120.56399999999999</v>
          </cell>
          <cell r="Z95">
            <v>157.32499999999999</v>
          </cell>
          <cell r="AA95">
            <v>158.74100000000001</v>
          </cell>
          <cell r="AB95">
            <v>158.74100000000001</v>
          </cell>
          <cell r="AC95">
            <v>159.25899999999999</v>
          </cell>
          <cell r="AD95">
            <v>179.584</v>
          </cell>
          <cell r="AE95">
            <v>182.97149999999999</v>
          </cell>
          <cell r="AF95">
            <v>181.35899999999998</v>
          </cell>
          <cell r="AG95">
            <v>181.35899999999998</v>
          </cell>
        </row>
        <row r="96">
          <cell r="B96" t="str">
            <v>Other</v>
          </cell>
          <cell r="D96">
            <v>3.7999999999999999E-2</v>
          </cell>
          <cell r="E96">
            <v>2.0569999999999999</v>
          </cell>
          <cell r="F96">
            <v>2.0569999999999999</v>
          </cell>
          <cell r="G96">
            <v>2.2920000000000003</v>
          </cell>
          <cell r="H96">
            <v>2.2920000000000003</v>
          </cell>
          <cell r="I96">
            <v>2.2920000000000003</v>
          </cell>
          <cell r="J96">
            <v>0.38600000000000001</v>
          </cell>
          <cell r="K96">
            <v>0.122</v>
          </cell>
          <cell r="L96">
            <v>0</v>
          </cell>
          <cell r="M96">
            <v>0</v>
          </cell>
          <cell r="N96">
            <v>0</v>
          </cell>
          <cell r="O96">
            <v>0.81599999999999995</v>
          </cell>
          <cell r="P96">
            <v>0</v>
          </cell>
          <cell r="Q96">
            <v>4.78</v>
          </cell>
          <cell r="R96">
            <v>4.78</v>
          </cell>
          <cell r="S96">
            <v>1.976</v>
          </cell>
          <cell r="T96">
            <v>0</v>
          </cell>
          <cell r="U96">
            <v>6</v>
          </cell>
          <cell r="V96">
            <v>4</v>
          </cell>
          <cell r="W96">
            <v>4</v>
          </cell>
          <cell r="X96">
            <v>4.5819999999999999</v>
          </cell>
          <cell r="Y96">
            <v>4.5819999999999999</v>
          </cell>
          <cell r="Z96">
            <v>5.1050000000000004</v>
          </cell>
          <cell r="AA96">
            <v>5.8860000000000001</v>
          </cell>
          <cell r="AB96">
            <v>5.8860000000000001</v>
          </cell>
          <cell r="AC96">
            <v>6.0039999999999996</v>
          </cell>
          <cell r="AD96">
            <v>6.0039999999999996</v>
          </cell>
          <cell r="AE96">
            <v>6.0039999999999996</v>
          </cell>
          <cell r="AF96">
            <v>6.0039999999999996</v>
          </cell>
          <cell r="AG96">
            <v>6.0039999999999996</v>
          </cell>
        </row>
        <row r="97">
          <cell r="B97" t="str">
            <v>Total assets</v>
          </cell>
          <cell r="D97">
            <v>238.99499999999998</v>
          </cell>
          <cell r="E97">
            <v>269.15599999999995</v>
          </cell>
          <cell r="F97">
            <v>273.262</v>
          </cell>
          <cell r="G97">
            <v>297.10100000000006</v>
          </cell>
          <cell r="H97">
            <v>297.10100000000006</v>
          </cell>
          <cell r="I97">
            <v>327.90300000000002</v>
          </cell>
          <cell r="J97">
            <v>339.16100000000006</v>
          </cell>
          <cell r="K97">
            <v>351.226</v>
          </cell>
          <cell r="L97">
            <v>396.01600000000002</v>
          </cell>
          <cell r="M97">
            <v>396.01600000000002</v>
          </cell>
          <cell r="N97">
            <v>408.38100000000003</v>
          </cell>
          <cell r="O97">
            <v>452.23800000000006</v>
          </cell>
          <cell r="P97">
            <v>430.80599999999998</v>
          </cell>
          <cell r="Q97">
            <v>484.86199999999997</v>
          </cell>
          <cell r="R97">
            <v>484.86199999999997</v>
          </cell>
          <cell r="S97">
            <v>488.99400000000003</v>
          </cell>
          <cell r="T97">
            <v>493.34500000000003</v>
          </cell>
          <cell r="U97">
            <v>513.75800000000004</v>
          </cell>
          <cell r="V97">
            <v>514.00900000000001</v>
          </cell>
          <cell r="W97">
            <v>514.00900000000001</v>
          </cell>
          <cell r="X97">
            <v>532.65899999999999</v>
          </cell>
          <cell r="Y97">
            <v>563.62</v>
          </cell>
          <cell r="Z97">
            <v>660.63099999999986</v>
          </cell>
          <cell r="AA97">
            <v>669.39300000000003</v>
          </cell>
          <cell r="AB97">
            <v>669.39300000000003</v>
          </cell>
          <cell r="AC97">
            <v>713.93799999999999</v>
          </cell>
          <cell r="AD97">
            <v>754.95729840927697</v>
          </cell>
          <cell r="AE97">
            <v>781.43038188119749</v>
          </cell>
          <cell r="AF97">
            <v>818.68406806181804</v>
          </cell>
          <cell r="AG97">
            <v>818.68406806181804</v>
          </cell>
        </row>
        <row r="99">
          <cell r="B99" t="str">
            <v>Liabilities</v>
          </cell>
        </row>
        <row r="100">
          <cell r="B100" t="str">
            <v>Accounts payable</v>
          </cell>
          <cell r="D100">
            <v>59.317999999999998</v>
          </cell>
          <cell r="E100">
            <v>64.114000000000004</v>
          </cell>
          <cell r="F100">
            <v>65.820999999999998</v>
          </cell>
          <cell r="G100">
            <v>77.257000000000005</v>
          </cell>
          <cell r="H100">
            <v>77.257000000000005</v>
          </cell>
          <cell r="I100">
            <v>81.765000000000001</v>
          </cell>
          <cell r="J100">
            <v>88.866</v>
          </cell>
          <cell r="K100">
            <v>91.637</v>
          </cell>
          <cell r="L100">
            <v>116.148</v>
          </cell>
          <cell r="M100">
            <v>116.148</v>
          </cell>
          <cell r="N100">
            <v>108.21299999999999</v>
          </cell>
          <cell r="O100">
            <v>140.435</v>
          </cell>
          <cell r="P100">
            <v>118.53700000000001</v>
          </cell>
          <cell r="Q100">
            <v>142.666</v>
          </cell>
          <cell r="R100">
            <v>142.666</v>
          </cell>
          <cell r="S100">
            <v>151.37700000000001</v>
          </cell>
          <cell r="T100">
            <v>154.31800000000001</v>
          </cell>
          <cell r="U100">
            <v>157.768</v>
          </cell>
          <cell r="V100">
            <v>151.53899999999999</v>
          </cell>
          <cell r="W100">
            <v>151.53899999999999</v>
          </cell>
          <cell r="X100">
            <v>152.52000000000001</v>
          </cell>
          <cell r="Y100">
            <v>164.19499999999999</v>
          </cell>
          <cell r="Z100">
            <v>163.17599999999999</v>
          </cell>
          <cell r="AA100">
            <v>173.96899999999999</v>
          </cell>
          <cell r="AB100">
            <v>173.96899999999999</v>
          </cell>
          <cell r="AC100">
            <v>199.68600000000001</v>
          </cell>
          <cell r="AD100">
            <v>231.30129686305352</v>
          </cell>
          <cell r="AE100">
            <v>243.06624419073199</v>
          </cell>
          <cell r="AF100">
            <v>262.95501490266383</v>
          </cell>
          <cell r="AG100">
            <v>262.95501490266383</v>
          </cell>
        </row>
        <row r="101">
          <cell r="B101" t="str">
            <v>Accrued expenses</v>
          </cell>
          <cell r="D101">
            <v>0</v>
          </cell>
          <cell r="E101">
            <v>0</v>
          </cell>
          <cell r="F101">
            <v>0</v>
          </cell>
          <cell r="G101">
            <v>0</v>
          </cell>
          <cell r="H101">
            <v>0</v>
          </cell>
          <cell r="I101">
            <v>0</v>
          </cell>
          <cell r="J101">
            <v>0</v>
          </cell>
          <cell r="K101">
            <v>15.83</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row>
        <row r="102">
          <cell r="B102" t="str">
            <v>Income taxes payable</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row>
        <row r="103">
          <cell r="B103" t="str">
            <v>Current portion of long-term debt / Line of Credit</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5.0060000000000002</v>
          </cell>
          <cell r="Z103">
            <v>45.274000000000001</v>
          </cell>
          <cell r="AA103">
            <v>40.29</v>
          </cell>
          <cell r="AB103">
            <v>40.29</v>
          </cell>
          <cell r="AC103">
            <v>45.369</v>
          </cell>
          <cell r="AD103">
            <v>40.29</v>
          </cell>
          <cell r="AE103">
            <v>40.29</v>
          </cell>
          <cell r="AF103">
            <v>40.29</v>
          </cell>
          <cell r="AG103">
            <v>40.29</v>
          </cell>
        </row>
        <row r="104">
          <cell r="B104" t="str">
            <v>Due to affiliates and other</v>
          </cell>
          <cell r="D104">
            <v>5.6539999999999999</v>
          </cell>
          <cell r="E104">
            <v>10.542</v>
          </cell>
          <cell r="F104">
            <v>4.843</v>
          </cell>
          <cell r="G104">
            <v>9.2409999999999997</v>
          </cell>
          <cell r="H104">
            <v>9.2409999999999997</v>
          </cell>
          <cell r="I104">
            <v>11.541</v>
          </cell>
          <cell r="J104">
            <v>11.17</v>
          </cell>
          <cell r="K104">
            <v>0</v>
          </cell>
          <cell r="L104">
            <v>24.806000000000001</v>
          </cell>
          <cell r="M104">
            <v>24.806000000000001</v>
          </cell>
          <cell r="N104">
            <v>29.173999999999999</v>
          </cell>
          <cell r="O104">
            <v>28.463000000000001</v>
          </cell>
          <cell r="P104">
            <v>29.015999999999998</v>
          </cell>
          <cell r="Q104">
            <v>45.448</v>
          </cell>
          <cell r="R104">
            <v>45.448</v>
          </cell>
          <cell r="S104">
            <v>26.474</v>
          </cell>
          <cell r="T104">
            <v>18.393999999999998</v>
          </cell>
          <cell r="U104">
            <v>26.154</v>
          </cell>
          <cell r="V104">
            <v>13.124000000000001</v>
          </cell>
          <cell r="W104">
            <v>13.124000000000001</v>
          </cell>
          <cell r="X104">
            <v>18.696000000000002</v>
          </cell>
          <cell r="Y104">
            <v>20.03</v>
          </cell>
          <cell r="Z104">
            <v>36.249000000000002</v>
          </cell>
          <cell r="AA104">
            <v>26.905999999999999</v>
          </cell>
          <cell r="AB104">
            <v>26.905999999999999</v>
          </cell>
          <cell r="AC104">
            <v>29.716000000000001</v>
          </cell>
          <cell r="AD104">
            <v>29.716000000000001</v>
          </cell>
          <cell r="AE104">
            <v>29.716000000000001</v>
          </cell>
          <cell r="AF104">
            <v>29.716000000000001</v>
          </cell>
          <cell r="AG104">
            <v>29.716000000000001</v>
          </cell>
        </row>
        <row r="105">
          <cell r="B105" t="str">
            <v>Current liabilities</v>
          </cell>
          <cell r="D105">
            <v>64.971999999999994</v>
          </cell>
          <cell r="E105">
            <v>74.656000000000006</v>
          </cell>
          <cell r="F105">
            <v>70.664000000000001</v>
          </cell>
          <cell r="G105">
            <v>86.498000000000005</v>
          </cell>
          <cell r="H105">
            <v>86.498000000000005</v>
          </cell>
          <cell r="I105">
            <v>93.305999999999997</v>
          </cell>
          <cell r="J105">
            <v>100.036</v>
          </cell>
          <cell r="K105">
            <v>107.467</v>
          </cell>
          <cell r="L105">
            <v>140.95400000000001</v>
          </cell>
          <cell r="M105">
            <v>140.95400000000001</v>
          </cell>
          <cell r="N105">
            <v>137.387</v>
          </cell>
          <cell r="O105">
            <v>168.898</v>
          </cell>
          <cell r="P105">
            <v>147.553</v>
          </cell>
          <cell r="Q105">
            <v>188.114</v>
          </cell>
          <cell r="R105">
            <v>188.114</v>
          </cell>
          <cell r="S105">
            <v>177.851</v>
          </cell>
          <cell r="T105">
            <v>172.71200000000002</v>
          </cell>
          <cell r="U105">
            <v>183.922</v>
          </cell>
          <cell r="V105">
            <v>164.66299999999998</v>
          </cell>
          <cell r="W105">
            <v>164.66299999999998</v>
          </cell>
          <cell r="X105">
            <v>171.21600000000001</v>
          </cell>
          <cell r="Y105">
            <v>189.23099999999999</v>
          </cell>
          <cell r="Z105">
            <v>244.69899999999998</v>
          </cell>
          <cell r="AA105">
            <v>241.16499999999999</v>
          </cell>
          <cell r="AB105">
            <v>241.16499999999999</v>
          </cell>
          <cell r="AC105">
            <v>274.77100000000002</v>
          </cell>
          <cell r="AD105">
            <v>301.30729686305352</v>
          </cell>
          <cell r="AE105">
            <v>313.07224419073202</v>
          </cell>
          <cell r="AF105">
            <v>332.96101490266386</v>
          </cell>
          <cell r="AG105">
            <v>332.96101490266386</v>
          </cell>
        </row>
        <row r="107">
          <cell r="B107" t="str">
            <v>Long term debt / LOC</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row>
        <row r="108">
          <cell r="B108" t="str">
            <v>Deferred income taxes</v>
          </cell>
          <cell r="D108">
            <v>0</v>
          </cell>
          <cell r="E108">
            <v>0</v>
          </cell>
          <cell r="F108">
            <v>0</v>
          </cell>
          <cell r="G108">
            <v>0</v>
          </cell>
          <cell r="H108">
            <v>0</v>
          </cell>
          <cell r="I108">
            <v>0</v>
          </cell>
          <cell r="J108">
            <v>0</v>
          </cell>
          <cell r="K108">
            <v>0.16600000000000001</v>
          </cell>
          <cell r="L108">
            <v>0.72199999999999998</v>
          </cell>
          <cell r="M108">
            <v>0.72199999999999998</v>
          </cell>
          <cell r="N108">
            <v>0.72199999999999998</v>
          </cell>
          <cell r="O108">
            <v>0.72199999999999998</v>
          </cell>
          <cell r="P108">
            <v>0.72199999999999998</v>
          </cell>
          <cell r="Q108">
            <v>2.3210000000000002</v>
          </cell>
          <cell r="R108">
            <v>2.3210000000000002</v>
          </cell>
          <cell r="S108">
            <v>2.3210000000000002</v>
          </cell>
          <cell r="T108">
            <v>2.3210000000000002</v>
          </cell>
          <cell r="U108">
            <v>2.3210000000000002</v>
          </cell>
          <cell r="V108">
            <v>6.4370000000000003</v>
          </cell>
          <cell r="W108">
            <v>6.4370000000000003</v>
          </cell>
          <cell r="X108">
            <v>6.4370000000000003</v>
          </cell>
          <cell r="Y108">
            <v>6.49</v>
          </cell>
          <cell r="Z108">
            <v>6.49</v>
          </cell>
          <cell r="AA108">
            <v>9.7140000000000004</v>
          </cell>
          <cell r="AB108">
            <v>9.7140000000000004</v>
          </cell>
          <cell r="AC108">
            <v>9.7140000000000004</v>
          </cell>
          <cell r="AD108">
            <v>9.7140000000000004</v>
          </cell>
          <cell r="AE108">
            <v>9.7140000000000004</v>
          </cell>
          <cell r="AF108">
            <v>9.7140000000000004</v>
          </cell>
          <cell r="AG108">
            <v>9.7140000000000004</v>
          </cell>
        </row>
        <row r="109">
          <cell r="B109" t="str">
            <v xml:space="preserve"> Minority interest in consolidated joint venture</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7.8E-2</v>
          </cell>
          <cell r="Y109">
            <v>0.16300000000000001</v>
          </cell>
          <cell r="Z109">
            <v>23.254999999999999</v>
          </cell>
          <cell r="AA109">
            <v>23.212</v>
          </cell>
          <cell r="AB109">
            <v>23.212</v>
          </cell>
          <cell r="AC109">
            <v>21.712</v>
          </cell>
          <cell r="AD109">
            <v>21.712</v>
          </cell>
          <cell r="AE109">
            <v>21.712</v>
          </cell>
          <cell r="AF109">
            <v>21.712</v>
          </cell>
          <cell r="AG109">
            <v>21.712</v>
          </cell>
        </row>
        <row r="110">
          <cell r="B110" t="str">
            <v>Liabilities - Total</v>
          </cell>
          <cell r="D110">
            <v>64.971999999999994</v>
          </cell>
          <cell r="E110">
            <v>74.656000000000006</v>
          </cell>
          <cell r="F110">
            <v>70.664000000000001</v>
          </cell>
          <cell r="G110">
            <v>86.498000000000005</v>
          </cell>
          <cell r="H110">
            <v>86.498000000000005</v>
          </cell>
          <cell r="I110">
            <v>93.305999999999997</v>
          </cell>
          <cell r="J110">
            <v>100.036</v>
          </cell>
          <cell r="K110">
            <v>107.633</v>
          </cell>
          <cell r="L110">
            <v>141.67600000000002</v>
          </cell>
          <cell r="M110">
            <v>141.67600000000002</v>
          </cell>
          <cell r="N110">
            <v>138.10900000000001</v>
          </cell>
          <cell r="O110">
            <v>169.62</v>
          </cell>
          <cell r="P110">
            <v>148.27500000000001</v>
          </cell>
          <cell r="Q110">
            <v>190.435</v>
          </cell>
          <cell r="R110">
            <v>190.435</v>
          </cell>
          <cell r="S110">
            <v>180.172</v>
          </cell>
          <cell r="T110">
            <v>175.03300000000002</v>
          </cell>
          <cell r="U110">
            <v>186.24299999999999</v>
          </cell>
          <cell r="V110">
            <v>171.1</v>
          </cell>
          <cell r="W110">
            <v>171.1</v>
          </cell>
          <cell r="X110">
            <v>177.73100000000002</v>
          </cell>
          <cell r="Y110">
            <v>195.88400000000001</v>
          </cell>
          <cell r="Z110">
            <v>274.44400000000002</v>
          </cell>
          <cell r="AA110">
            <v>274.09100000000001</v>
          </cell>
          <cell r="AB110">
            <v>274.09100000000001</v>
          </cell>
          <cell r="AC110">
            <v>306.197</v>
          </cell>
          <cell r="AD110">
            <v>332.73329686305351</v>
          </cell>
          <cell r="AE110">
            <v>344.49824419073201</v>
          </cell>
          <cell r="AF110">
            <v>364.38701490266385</v>
          </cell>
          <cell r="AG110">
            <v>364.38701490266385</v>
          </cell>
        </row>
        <row r="112">
          <cell r="B112" t="str">
            <v>Preferred Secuities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row>
        <row r="113">
          <cell r="B113" t="str">
            <v>Common stock</v>
          </cell>
          <cell r="D113">
            <v>0.22299999999999998</v>
          </cell>
          <cell r="E113">
            <v>0.22699999999999998</v>
          </cell>
          <cell r="F113">
            <v>0.22700000000000001</v>
          </cell>
          <cell r="G113">
            <v>0.45400000000000001</v>
          </cell>
          <cell r="H113">
            <v>0.45400000000000001</v>
          </cell>
          <cell r="I113">
            <v>0.45400000000000001</v>
          </cell>
          <cell r="J113">
            <v>0.45400000000000001</v>
          </cell>
          <cell r="K113">
            <v>0.45400000000000001</v>
          </cell>
          <cell r="L113">
            <v>0.45400000000000001</v>
          </cell>
          <cell r="M113">
            <v>0.45400000000000001</v>
          </cell>
          <cell r="N113">
            <v>0.45400000000000001</v>
          </cell>
          <cell r="O113">
            <v>0.45400000000000001</v>
          </cell>
          <cell r="P113">
            <v>0.45400000000000001</v>
          </cell>
          <cell r="Q113">
            <v>0.45400000000000001</v>
          </cell>
          <cell r="R113">
            <v>0.45400000000000001</v>
          </cell>
          <cell r="S113">
            <v>0.45400000000000001</v>
          </cell>
          <cell r="T113">
            <v>0.45400000000000001</v>
          </cell>
          <cell r="U113">
            <v>0.45400000000000001</v>
          </cell>
          <cell r="V113">
            <v>0.45400000000000001</v>
          </cell>
          <cell r="W113">
            <v>0.45400000000000001</v>
          </cell>
          <cell r="X113">
            <v>0.45400000000000001</v>
          </cell>
          <cell r="Y113">
            <v>0.45400000000000001</v>
          </cell>
          <cell r="Z113">
            <v>0.45400000000000001</v>
          </cell>
          <cell r="AA113">
            <v>0.45400000000000001</v>
          </cell>
          <cell r="AB113">
            <v>0.45400000000000001</v>
          </cell>
          <cell r="AC113">
            <v>0.45400000000000001</v>
          </cell>
          <cell r="AD113">
            <v>0.45400000000000001</v>
          </cell>
          <cell r="AE113">
            <v>0.45400000000000001</v>
          </cell>
          <cell r="AF113">
            <v>0.45400000000000001</v>
          </cell>
          <cell r="AG113">
            <v>0.45400000000000001</v>
          </cell>
        </row>
        <row r="114">
          <cell r="B114" t="str">
            <v>Additional paid-in capital</v>
          </cell>
          <cell r="D114">
            <v>160.08500000000001</v>
          </cell>
          <cell r="E114">
            <v>173.834</v>
          </cell>
          <cell r="F114">
            <v>174.291</v>
          </cell>
          <cell r="G114">
            <v>174.279</v>
          </cell>
          <cell r="H114">
            <v>174.279</v>
          </cell>
          <cell r="I114">
            <v>180.65</v>
          </cell>
          <cell r="J114">
            <v>181.316</v>
          </cell>
          <cell r="K114">
            <v>181.47399999999999</v>
          </cell>
          <cell r="L114">
            <v>182.81800000000001</v>
          </cell>
          <cell r="M114">
            <v>182.81800000000001</v>
          </cell>
          <cell r="N114">
            <v>186.26599999999999</v>
          </cell>
          <cell r="O114">
            <v>186.48500000000001</v>
          </cell>
          <cell r="P114">
            <v>186.624</v>
          </cell>
          <cell r="Q114">
            <v>187.15799999999999</v>
          </cell>
          <cell r="R114">
            <v>187.15799999999999</v>
          </cell>
          <cell r="S114">
            <v>187.31100000000001</v>
          </cell>
          <cell r="T114">
            <v>187.762</v>
          </cell>
          <cell r="U114">
            <v>188.90700000000001</v>
          </cell>
          <cell r="V114">
            <v>189.309</v>
          </cell>
          <cell r="W114">
            <v>189.309</v>
          </cell>
          <cell r="X114">
            <v>189.37200000000001</v>
          </cell>
          <cell r="Y114">
            <v>189.50800000000001</v>
          </cell>
          <cell r="Z114">
            <v>190.917</v>
          </cell>
          <cell r="AA114">
            <v>190.524</v>
          </cell>
          <cell r="AB114">
            <v>190.524</v>
          </cell>
          <cell r="AC114">
            <v>190.65199999999999</v>
          </cell>
          <cell r="AD114">
            <v>190.65199999999999</v>
          </cell>
          <cell r="AE114">
            <v>190.65199999999999</v>
          </cell>
          <cell r="AF114">
            <v>190.65199999999999</v>
          </cell>
          <cell r="AG114">
            <v>190.65199999999999</v>
          </cell>
        </row>
        <row r="115">
          <cell r="B115" t="str">
            <v>Accumulated other comprehensive income (loss)</v>
          </cell>
          <cell r="D115">
            <v>-30.734000000000002</v>
          </cell>
          <cell r="E115">
            <v>-31.107000000000003</v>
          </cell>
          <cell r="F115">
            <v>-31.12</v>
          </cell>
          <cell r="G115">
            <v>-29.896999999999998</v>
          </cell>
          <cell r="H115">
            <v>-29.896999999999998</v>
          </cell>
          <cell r="I115">
            <v>-21.007000000000001</v>
          </cell>
          <cell r="J115">
            <v>-20.212</v>
          </cell>
          <cell r="K115">
            <v>-23.606000000000002</v>
          </cell>
          <cell r="L115">
            <v>-22.419</v>
          </cell>
          <cell r="M115">
            <v>-22.419</v>
          </cell>
          <cell r="N115">
            <v>-18.613</v>
          </cell>
          <cell r="O115">
            <v>-18.137</v>
          </cell>
          <cell r="P115">
            <v>-30.058</v>
          </cell>
          <cell r="Q115">
            <v>-30.257999999999999</v>
          </cell>
          <cell r="R115">
            <v>-30.257999999999999</v>
          </cell>
          <cell r="S115">
            <v>-29.2</v>
          </cell>
          <cell r="T115">
            <v>-31.568000000000001</v>
          </cell>
          <cell r="U115">
            <v>-35.704000000000001</v>
          </cell>
          <cell r="V115">
            <v>-34.527000000000001</v>
          </cell>
          <cell r="W115">
            <v>-34.527000000000001</v>
          </cell>
          <cell r="X115">
            <v>-34.81</v>
          </cell>
          <cell r="Y115">
            <v>-34.302</v>
          </cell>
          <cell r="Z115">
            <v>-29.901</v>
          </cell>
          <cell r="AA115">
            <v>-27.975000000000001</v>
          </cell>
          <cell r="AB115">
            <v>-27.975000000000001</v>
          </cell>
          <cell r="AC115">
            <v>-25.286999999999999</v>
          </cell>
          <cell r="AD115">
            <v>-25.286999999999999</v>
          </cell>
          <cell r="AE115">
            <v>-25.286999999999999</v>
          </cell>
          <cell r="AF115">
            <v>-25.286999999999999</v>
          </cell>
          <cell r="AG115">
            <v>-25.286999999999999</v>
          </cell>
        </row>
        <row r="116">
          <cell r="B116" t="str">
            <v>Retained earnings</v>
          </cell>
          <cell r="D116">
            <v>44.448999999999998</v>
          </cell>
          <cell r="E116">
            <v>51.545999999999999</v>
          </cell>
          <cell r="F116">
            <v>59.2</v>
          </cell>
          <cell r="G116">
            <v>65.766999999999996</v>
          </cell>
          <cell r="H116">
            <v>65.766999999999996</v>
          </cell>
          <cell r="I116">
            <v>74.5</v>
          </cell>
          <cell r="J116">
            <v>77.566999999999993</v>
          </cell>
          <cell r="K116">
            <v>85.271000000000001</v>
          </cell>
          <cell r="L116">
            <v>93.486999999999995</v>
          </cell>
          <cell r="M116">
            <v>93.486999999999995</v>
          </cell>
          <cell r="N116">
            <v>103.10599999999999</v>
          </cell>
          <cell r="O116">
            <v>113.816</v>
          </cell>
          <cell r="P116">
            <v>125.511</v>
          </cell>
          <cell r="Q116">
            <v>137.07300000000001</v>
          </cell>
          <cell r="R116">
            <v>137.07300000000001</v>
          </cell>
          <cell r="S116">
            <v>150.25700000000001</v>
          </cell>
          <cell r="T116">
            <v>161.66399999999999</v>
          </cell>
          <cell r="U116">
            <v>173.858</v>
          </cell>
          <cell r="V116">
            <v>187.673</v>
          </cell>
          <cell r="W116">
            <v>187.673</v>
          </cell>
          <cell r="X116">
            <v>199.91200000000001</v>
          </cell>
          <cell r="Y116">
            <v>212.07599999999999</v>
          </cell>
          <cell r="Z116">
            <v>224.71700000000001</v>
          </cell>
          <cell r="AA116">
            <v>232.29900000000001</v>
          </cell>
          <cell r="AB116">
            <v>232.29900000000001</v>
          </cell>
          <cell r="AC116">
            <v>241.922</v>
          </cell>
          <cell r="AD116">
            <v>253.75843153622344</v>
          </cell>
          <cell r="AE116">
            <v>268.00481768046552</v>
          </cell>
          <cell r="AF116">
            <v>285.44298314915437</v>
          </cell>
          <cell r="AG116">
            <v>285.44298314915437</v>
          </cell>
        </row>
        <row r="117">
          <cell r="B117" t="str">
            <v>Equity</v>
          </cell>
          <cell r="D117">
            <v>174.02300000000002</v>
          </cell>
          <cell r="E117">
            <v>194.5</v>
          </cell>
          <cell r="F117">
            <v>202.59800000000001</v>
          </cell>
          <cell r="G117">
            <v>210.60300000000001</v>
          </cell>
          <cell r="H117">
            <v>210.60300000000001</v>
          </cell>
          <cell r="I117">
            <v>234.59700000000001</v>
          </cell>
          <cell r="J117">
            <v>239.125</v>
          </cell>
          <cell r="K117">
            <v>243.59300000000002</v>
          </cell>
          <cell r="L117">
            <v>254.34</v>
          </cell>
          <cell r="M117">
            <v>254.34</v>
          </cell>
          <cell r="N117">
            <v>271.21299999999997</v>
          </cell>
          <cell r="O117">
            <v>282.61800000000005</v>
          </cell>
          <cell r="P117">
            <v>282.53100000000001</v>
          </cell>
          <cell r="Q117">
            <v>294.42700000000002</v>
          </cell>
          <cell r="R117">
            <v>294.42700000000002</v>
          </cell>
          <cell r="S117">
            <v>308.822</v>
          </cell>
          <cell r="T117">
            <v>318.31200000000001</v>
          </cell>
          <cell r="U117">
            <v>327.51499999999999</v>
          </cell>
          <cell r="V117">
            <v>342.90899999999999</v>
          </cell>
          <cell r="W117">
            <v>342.90899999999999</v>
          </cell>
          <cell r="X117">
            <v>354.928</v>
          </cell>
          <cell r="Y117">
            <v>367.73599999999999</v>
          </cell>
          <cell r="Z117">
            <v>386.18700000000001</v>
          </cell>
          <cell r="AA117">
            <v>395.30200000000002</v>
          </cell>
          <cell r="AB117">
            <v>395.30200000000002</v>
          </cell>
          <cell r="AC117">
            <v>407.74099999999999</v>
          </cell>
          <cell r="AD117">
            <v>419.57743153622346</v>
          </cell>
          <cell r="AE117">
            <v>433.82381768046548</v>
          </cell>
          <cell r="AF117">
            <v>451.26198314915439</v>
          </cell>
          <cell r="AG117">
            <v>451.26198314915439</v>
          </cell>
        </row>
        <row r="118">
          <cell r="B118" t="str">
            <v>Total Liabilities and Shareholders Equity</v>
          </cell>
          <cell r="D118">
            <v>238.995</v>
          </cell>
          <cell r="E118">
            <v>269.15600000000001</v>
          </cell>
          <cell r="F118">
            <v>273.262</v>
          </cell>
          <cell r="G118">
            <v>297.101</v>
          </cell>
          <cell r="H118">
            <v>297.101</v>
          </cell>
          <cell r="I118">
            <v>327.90300000000002</v>
          </cell>
          <cell r="J118">
            <v>339.161</v>
          </cell>
          <cell r="K118">
            <v>351.226</v>
          </cell>
          <cell r="L118">
            <v>396.01600000000002</v>
          </cell>
          <cell r="M118">
            <v>396.01600000000002</v>
          </cell>
          <cell r="N118">
            <v>409.322</v>
          </cell>
          <cell r="O118">
            <v>452.23800000000006</v>
          </cell>
          <cell r="P118">
            <v>430.80600000000004</v>
          </cell>
          <cell r="Q118">
            <v>484.86200000000002</v>
          </cell>
          <cell r="R118">
            <v>484.86200000000002</v>
          </cell>
          <cell r="S118">
            <v>488.99400000000003</v>
          </cell>
          <cell r="T118">
            <v>493.34500000000003</v>
          </cell>
          <cell r="U118">
            <v>513.75800000000004</v>
          </cell>
          <cell r="V118">
            <v>514.00900000000001</v>
          </cell>
          <cell r="W118">
            <v>514.00900000000001</v>
          </cell>
          <cell r="X118">
            <v>532.65899999999999</v>
          </cell>
          <cell r="Y118">
            <v>563.62</v>
          </cell>
          <cell r="Z118">
            <v>660.63100000000009</v>
          </cell>
          <cell r="AA118">
            <v>669.39300000000003</v>
          </cell>
          <cell r="AB118">
            <v>669.39300000000003</v>
          </cell>
          <cell r="AC118">
            <v>713.93799999999999</v>
          </cell>
          <cell r="AD118">
            <v>752.31072839927697</v>
          </cell>
          <cell r="AE118">
            <v>778.32206187119755</v>
          </cell>
          <cell r="AF118">
            <v>815.64899805181824</v>
          </cell>
          <cell r="AG118">
            <v>815.64899805181824</v>
          </cell>
        </row>
        <row r="120">
          <cell r="B120" t="str">
            <v>Balance Sheet Check</v>
          </cell>
          <cell r="D120" t="str">
            <v>OK</v>
          </cell>
          <cell r="E120" t="str">
            <v>OK</v>
          </cell>
          <cell r="F120" t="str">
            <v>OK</v>
          </cell>
          <cell r="G120" t="str">
            <v>OK</v>
          </cell>
          <cell r="H120" t="str">
            <v>OK</v>
          </cell>
          <cell r="I120" t="str">
            <v>OK</v>
          </cell>
          <cell r="J120" t="str">
            <v>OK</v>
          </cell>
          <cell r="K120" t="str">
            <v>OK</v>
          </cell>
          <cell r="L120" t="str">
            <v>OK</v>
          </cell>
          <cell r="M120" t="str">
            <v>OK</v>
          </cell>
          <cell r="N120" t="str">
            <v>Balance</v>
          </cell>
          <cell r="O120" t="str">
            <v>OK</v>
          </cell>
          <cell r="P120" t="str">
            <v>OK</v>
          </cell>
          <cell r="Q120" t="str">
            <v>OK</v>
          </cell>
          <cell r="R120" t="str">
            <v>OK</v>
          </cell>
          <cell r="S120" t="str">
            <v>OK</v>
          </cell>
          <cell r="T120" t="str">
            <v>OK</v>
          </cell>
          <cell r="U120" t="str">
            <v>OK</v>
          </cell>
          <cell r="V120" t="str">
            <v>OK</v>
          </cell>
          <cell r="W120" t="str">
            <v>OK</v>
          </cell>
          <cell r="X120" t="str">
            <v>OK</v>
          </cell>
          <cell r="Y120" t="str">
            <v>OK</v>
          </cell>
          <cell r="Z120" t="str">
            <v>OK</v>
          </cell>
          <cell r="AA120" t="str">
            <v>OK</v>
          </cell>
          <cell r="AB120" t="str">
            <v>OK</v>
          </cell>
          <cell r="AC120" t="str">
            <v>OK</v>
          </cell>
          <cell r="AD120" t="str">
            <v>OK</v>
          </cell>
          <cell r="AE120" t="str">
            <v>OK</v>
          </cell>
          <cell r="AF120" t="str">
            <v>OK</v>
          </cell>
          <cell r="AG120" t="str">
            <v>OK</v>
          </cell>
        </row>
        <row r="121">
          <cell r="B121" t="str">
            <v>Balance Sheet Check</v>
          </cell>
          <cell r="D121">
            <v>0</v>
          </cell>
          <cell r="E121">
            <v>0</v>
          </cell>
          <cell r="F121">
            <v>0</v>
          </cell>
          <cell r="G121">
            <v>0</v>
          </cell>
          <cell r="H121">
            <v>0</v>
          </cell>
          <cell r="I121">
            <v>0</v>
          </cell>
          <cell r="J121">
            <v>0</v>
          </cell>
          <cell r="K121">
            <v>0</v>
          </cell>
          <cell r="L121">
            <v>0</v>
          </cell>
          <cell r="M121">
            <v>0</v>
          </cell>
          <cell r="N121">
            <v>0.94099999999997408</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row>
        <row r="123">
          <cell r="B123" t="str">
            <v xml:space="preserve">PHCC DSO without Integrity </v>
          </cell>
        </row>
        <row r="124">
          <cell r="B124" t="str">
            <v>PHCC receivables</v>
          </cell>
          <cell r="X124">
            <v>43.704566185578315</v>
          </cell>
          <cell r="Y124">
            <v>44.493459375256585</v>
          </cell>
          <cell r="Z124">
            <v>44.493459375256585</v>
          </cell>
          <cell r="AA124">
            <v>44.493459375256585</v>
          </cell>
        </row>
        <row r="125">
          <cell r="B125" t="str">
            <v>Integrity receivables</v>
          </cell>
          <cell r="X125">
            <v>192.17699999999999</v>
          </cell>
          <cell r="Y125">
            <v>213.78900000000002</v>
          </cell>
          <cell r="Z125">
            <v>214.62133244003905</v>
          </cell>
          <cell r="AA125">
            <v>224.18072171184076</v>
          </cell>
        </row>
        <row r="126">
          <cell r="B126" t="str">
            <v>Integrity DSOs</v>
          </cell>
          <cell r="X126">
            <v>0</v>
          </cell>
          <cell r="Y126">
            <v>0</v>
          </cell>
          <cell r="Z126">
            <v>22.173667559960933</v>
          </cell>
          <cell r="AA126">
            <v>20.549278288159229</v>
          </cell>
        </row>
        <row r="127">
          <cell r="B127" t="str">
            <v>Bad Debt</v>
          </cell>
        </row>
        <row r="128">
          <cell r="B128" t="str">
            <v>Allowance for Doubtful Accounts as % of Rec</v>
          </cell>
          <cell r="D128">
            <v>2.0578475287211555E-2</v>
          </cell>
          <cell r="E128">
            <v>1.9403364333994002E-2</v>
          </cell>
          <cell r="F128">
            <v>2.3907462963535707E-2</v>
          </cell>
          <cell r="G128">
            <v>2.9746739841901213E-2</v>
          </cell>
          <cell r="H128">
            <v>2.9746739841901213E-2</v>
          </cell>
          <cell r="I128">
            <v>2.8485599847415603E-2</v>
          </cell>
          <cell r="J128">
            <v>2.7143627539097607E-2</v>
          </cell>
          <cell r="K128">
            <v>2.8115637038093878E-2</v>
          </cell>
          <cell r="L128">
            <v>2.7369826435246995E-2</v>
          </cell>
          <cell r="M128">
            <v>2.7369826435246995E-2</v>
          </cell>
          <cell r="N128">
            <v>2.6629585065529243E-2</v>
          </cell>
          <cell r="O128">
            <v>2.8486642854232594E-2</v>
          </cell>
          <cell r="P128">
            <v>3.0811661718030105E-2</v>
          </cell>
          <cell r="Q128">
            <v>3.3215629734617079E-2</v>
          </cell>
          <cell r="R128">
            <v>3.3215629734617079E-2</v>
          </cell>
          <cell r="S128">
            <v>3.3891610514711519E-2</v>
          </cell>
          <cell r="T128">
            <v>3.4261690841228161E-2</v>
          </cell>
          <cell r="U128">
            <v>3.3371982481495116E-2</v>
          </cell>
          <cell r="V128">
            <v>3.1822352298990747E-2</v>
          </cell>
          <cell r="W128">
            <v>3.1822352298990747E-2</v>
          </cell>
          <cell r="X128">
            <v>3.110674014059955E-2</v>
          </cell>
          <cell r="Y128">
            <v>2.9538470173863018E-2</v>
          </cell>
          <cell r="Z128">
            <v>2.8771722375894763E-2</v>
          </cell>
          <cell r="AA128">
            <v>2.8206595023086665E-2</v>
          </cell>
          <cell r="AB128">
            <v>2.8206595023086665E-2</v>
          </cell>
          <cell r="AC128">
            <v>2.6589776102551629E-2</v>
          </cell>
          <cell r="AD128">
            <v>2.5087418971520996E-2</v>
          </cell>
          <cell r="AE128">
            <v>2.4977937052348669E-2</v>
          </cell>
          <cell r="AF128">
            <v>2.474457353731244E-2</v>
          </cell>
          <cell r="AG128">
            <v>2.474457353731244E-2</v>
          </cell>
        </row>
        <row r="129">
          <cell r="B129" t="str">
            <v>Allowance y/y Growth Rate</v>
          </cell>
          <cell r="M129">
            <v>9.6479350033852329E-2</v>
          </cell>
          <cell r="N129">
            <v>0.23736190157348513</v>
          </cell>
          <cell r="O129">
            <v>0.38907284768211925</v>
          </cell>
          <cell r="P129">
            <v>0.52711703139866795</v>
          </cell>
          <cell r="Q129">
            <v>0.67860450756406321</v>
          </cell>
          <cell r="R129">
            <v>0.67860450756406321</v>
          </cell>
          <cell r="S129">
            <v>0.55546536796536783</v>
          </cell>
          <cell r="T129">
            <v>0.4026221692491061</v>
          </cell>
          <cell r="U129">
            <v>0.2612668743509865</v>
          </cell>
          <cell r="V129">
            <v>7.9087732205260775E-3</v>
          </cell>
          <cell r="W129">
            <v>7.9087732205260775E-3</v>
          </cell>
          <cell r="X129">
            <v>3.9833014437293368E-2</v>
          </cell>
          <cell r="Y129">
            <v>7.3249490142760054E-2</v>
          </cell>
          <cell r="Z129">
            <v>0.12185081508315476</v>
          </cell>
          <cell r="AA129">
            <v>0.25967153284671518</v>
          </cell>
          <cell r="AB129">
            <v>0.25967153284671518</v>
          </cell>
          <cell r="AC129">
            <v>0.28036132485781207</v>
          </cell>
        </row>
        <row r="130">
          <cell r="B130" t="str">
            <v>Receivables y/y growth rate</v>
          </cell>
          <cell r="M130">
            <v>0.19170233120185287</v>
          </cell>
          <cell r="N130">
            <v>0.32360289910356665</v>
          </cell>
          <cell r="O130">
            <v>0.32358439690814311</v>
          </cell>
          <cell r="P130">
            <v>0.39349407904123246</v>
          </cell>
          <cell r="Q130">
            <v>0.38317757009345788</v>
          </cell>
          <cell r="R130">
            <v>0.38317757009345788</v>
          </cell>
          <cell r="S130">
            <v>0.22217258795472383</v>
          </cell>
          <cell r="T130">
            <v>0.16620037755836536</v>
          </cell>
          <cell r="U130">
            <v>0.16450163816934582</v>
          </cell>
          <cell r="V130">
            <v>5.2038023557010815E-2</v>
          </cell>
          <cell r="W130">
            <v>5.2038023557010815E-2</v>
          </cell>
          <cell r="X130">
            <v>0.13292538422085842</v>
          </cell>
          <cell r="Y130">
            <v>0.24486278437378073</v>
          </cell>
          <cell r="Z130">
            <v>0.30122156952175794</v>
          </cell>
          <cell r="AA130">
            <v>0.42114676608248258</v>
          </cell>
          <cell r="AB130">
            <v>0.42114676608248258</v>
          </cell>
          <cell r="AC130">
            <v>0.49786394833929148</v>
          </cell>
        </row>
        <row r="133">
          <cell r="B133" t="str">
            <v>Days receivable</v>
          </cell>
          <cell r="D133">
            <v>61.016207992501073</v>
          </cell>
          <cell r="E133">
            <v>61.412387301109547</v>
          </cell>
          <cell r="F133">
            <v>59.916457945506856</v>
          </cell>
          <cell r="G133">
            <v>58.767786151122309</v>
          </cell>
          <cell r="H133">
            <v>15.498969908852541</v>
          </cell>
          <cell r="I133">
            <v>56.838148812564597</v>
          </cell>
          <cell r="J133">
            <v>50.616094486932766</v>
          </cell>
          <cell r="K133">
            <v>48.793366519806995</v>
          </cell>
          <cell r="L133">
            <v>47.682307305097297</v>
          </cell>
          <cell r="M133">
            <v>13.412544092806042</v>
          </cell>
          <cell r="N133">
            <v>47.530600622239241</v>
          </cell>
          <cell r="O133">
            <v>46.177675868301954</v>
          </cell>
          <cell r="P133">
            <v>46.59934838517821</v>
          </cell>
          <cell r="Q133">
            <v>44.331782053032406</v>
          </cell>
          <cell r="R133">
            <v>12.443053971580925</v>
          </cell>
          <cell r="S133">
            <v>44.032345126575613</v>
          </cell>
          <cell r="T133">
            <v>44.709524346161416</v>
          </cell>
          <cell r="U133">
            <v>45.763690041476622</v>
          </cell>
          <cell r="V133">
            <v>39.589331603345777</v>
          </cell>
          <cell r="W133">
            <v>42.998164605410686</v>
          </cell>
          <cell r="X133">
            <v>43.704566185578315</v>
          </cell>
          <cell r="Y133">
            <v>44.493459375256585</v>
          </cell>
          <cell r="Z133">
            <v>49.090314522706564</v>
          </cell>
          <cell r="AA133">
            <v>48.571903193812481</v>
          </cell>
          <cell r="AB133">
            <v>51.348313250380258</v>
          </cell>
          <cell r="AC133">
            <v>53.964569966368153</v>
          </cell>
          <cell r="AD133">
            <v>51</v>
          </cell>
          <cell r="AE133">
            <v>50</v>
          </cell>
          <cell r="AF133">
            <v>48</v>
          </cell>
          <cell r="AG133">
            <v>53.995340473532082</v>
          </cell>
        </row>
        <row r="134">
          <cell r="B134" t="str">
            <v>Inventory turns</v>
          </cell>
          <cell r="D134">
            <v>15.274572376818995</v>
          </cell>
          <cell r="E134">
            <v>20.80138670536542</v>
          </cell>
          <cell r="F134">
            <v>19.352290444724925</v>
          </cell>
          <cell r="G134">
            <v>11.086713487172137</v>
          </cell>
          <cell r="H134">
            <v>42.12698867708184</v>
          </cell>
          <cell r="I134">
            <v>14.075395683453236</v>
          </cell>
          <cell r="J134">
            <v>14.414074163741272</v>
          </cell>
          <cell r="K134">
            <v>14.881097682581467</v>
          </cell>
          <cell r="L134">
            <v>10.860730778578951</v>
          </cell>
          <cell r="M134">
            <v>38.508790407518426</v>
          </cell>
          <cell r="N134">
            <v>13.325843329391226</v>
          </cell>
          <cell r="O134">
            <v>11.365669998678939</v>
          </cell>
          <cell r="P134">
            <v>13.596092023307213</v>
          </cell>
          <cell r="Q134">
            <v>10.967551839711241</v>
          </cell>
          <cell r="R134">
            <v>39.158078892121836</v>
          </cell>
          <cell r="S134">
            <v>11.971153291409451</v>
          </cell>
          <cell r="T134">
            <v>11.670075008396463</v>
          </cell>
          <cell r="U134">
            <v>12.997418460518519</v>
          </cell>
          <cell r="V134">
            <v>12.028801037383342</v>
          </cell>
          <cell r="W134">
            <v>11.090003241822929</v>
          </cell>
          <cell r="X134">
            <v>13.836883678711446</v>
          </cell>
          <cell r="Y134">
            <v>14.990024723412784</v>
          </cell>
          <cell r="Z134">
            <v>14.396263137407551</v>
          </cell>
          <cell r="AA134">
            <v>14.476806137671378</v>
          </cell>
          <cell r="AB134">
            <v>13.734522625559421</v>
          </cell>
          <cell r="AC134">
            <v>14.761376021798366</v>
          </cell>
          <cell r="AD134">
            <v>15</v>
          </cell>
          <cell r="AE134">
            <v>15</v>
          </cell>
          <cell r="AF134">
            <v>15</v>
          </cell>
          <cell r="AG134">
            <v>13.359735709719359</v>
          </cell>
        </row>
        <row r="135">
          <cell r="B135" t="str">
            <v>Days payables</v>
          </cell>
          <cell r="D135">
            <v>45.234182398609406</v>
          </cell>
          <cell r="E135">
            <v>45.350199604666493</v>
          </cell>
          <cell r="F135">
            <v>46.085002838990853</v>
          </cell>
          <cell r="G135">
            <v>52.078817797674468</v>
          </cell>
          <cell r="H135">
            <v>13.705772707831091</v>
          </cell>
          <cell r="I135">
            <v>50.846801398429839</v>
          </cell>
          <cell r="J135">
            <v>45.400211072044435</v>
          </cell>
          <cell r="K135">
            <v>44.82570279079242</v>
          </cell>
          <cell r="L135">
            <v>52.707640204693625</v>
          </cell>
          <cell r="M135">
            <v>14.865268012303446</v>
          </cell>
          <cell r="N135">
            <v>41.729964247528812</v>
          </cell>
          <cell r="O135">
            <v>49.649534294448337</v>
          </cell>
          <cell r="P135">
            <v>39.96180325930743</v>
          </cell>
          <cell r="Q135">
            <v>43.717753039156435</v>
          </cell>
          <cell r="R135">
            <v>12.244643668387603</v>
          </cell>
          <cell r="S135">
            <v>44.380457936538534</v>
          </cell>
          <cell r="T135">
            <v>45.028723502908328</v>
          </cell>
          <cell r="U135">
            <v>44.504131592695757</v>
          </cell>
          <cell r="V135">
            <v>39.228403423565503</v>
          </cell>
          <cell r="W135">
            <v>42.549190429155622</v>
          </cell>
          <cell r="X135">
            <v>38.850598777321835</v>
          </cell>
          <cell r="Y135">
            <v>38.164458015461619</v>
          </cell>
          <cell r="Z135">
            <v>38.342990018849846</v>
          </cell>
          <cell r="AA135">
            <v>38.948602114922224</v>
          </cell>
          <cell r="AB135">
            <v>41.053582823601062</v>
          </cell>
          <cell r="AC135">
            <v>42.043377388704045</v>
          </cell>
          <cell r="AD135">
            <v>42</v>
          </cell>
          <cell r="AE135">
            <v>42</v>
          </cell>
          <cell r="AF135">
            <v>42</v>
          </cell>
          <cell r="AG135">
            <v>47.1566214847849</v>
          </cell>
        </row>
        <row r="136">
          <cell r="B136" t="str">
            <v>EBITDA/Interest Expense</v>
          </cell>
          <cell r="D136">
            <v>8.387873754152821</v>
          </cell>
          <cell r="E136">
            <v>6.6978557504873377</v>
          </cell>
          <cell r="F136">
            <v>5.30875804057397</v>
          </cell>
          <cell r="G136">
            <v>3.6400742115027809</v>
          </cell>
          <cell r="H136">
            <v>5.633526011560698</v>
          </cell>
          <cell r="I136">
            <v>6.7426588360918389</v>
          </cell>
          <cell r="J136">
            <v>2.7901234567901296</v>
          </cell>
          <cell r="K136">
            <v>8.5470884255930901</v>
          </cell>
          <cell r="L136">
            <v>11.094097519247283</v>
          </cell>
          <cell r="M136">
            <v>6.9961486939048898</v>
          </cell>
          <cell r="N136">
            <v>17.495963091118782</v>
          </cell>
          <cell r="O136">
            <v>25.518628912071556</v>
          </cell>
          <cell r="P136">
            <v>37.165354330708709</v>
          </cell>
          <cell r="Q136">
            <v>31.899317406143549</v>
          </cell>
          <cell r="R136">
            <v>26.544452887538007</v>
          </cell>
          <cell r="S136">
            <v>46.767895878524868</v>
          </cell>
          <cell r="T136">
            <v>54.085470085470064</v>
          </cell>
          <cell r="U136">
            <v>82.890243902439082</v>
          </cell>
          <cell r="V136">
            <v>94.245901639342975</v>
          </cell>
          <cell r="W136">
            <v>64.463133640552854</v>
          </cell>
          <cell r="X136" t="str">
            <v>NM</v>
          </cell>
          <cell r="Y136" t="str">
            <v>NM</v>
          </cell>
          <cell r="Z136" t="str">
            <v>NM</v>
          </cell>
          <cell r="AA136">
            <v>44.301176470588288</v>
          </cell>
          <cell r="AB136" t="str">
            <v>NM</v>
          </cell>
          <cell r="AC136">
            <v>33.302912621359191</v>
          </cell>
          <cell r="AD136" t="str">
            <v>NM</v>
          </cell>
          <cell r="AE136" t="str">
            <v>NM</v>
          </cell>
          <cell r="AF136" t="str">
            <v>NM</v>
          </cell>
          <cell r="AG136" t="str">
            <v>NM</v>
          </cell>
        </row>
        <row r="137">
          <cell r="B137" t="str">
            <v>Debt to total capitalization</v>
          </cell>
          <cell r="D137">
            <v>3.1467577931510428E-2</v>
          </cell>
          <cell r="E137">
            <v>5.1413856673266936E-2</v>
          </cell>
          <cell r="F137">
            <v>2.3346397288867678E-2</v>
          </cell>
          <cell r="G137">
            <v>4.2034351631156638E-2</v>
          </cell>
          <cell r="H137">
            <v>4.2034351631156638E-2</v>
          </cell>
          <cell r="I137">
            <v>4.6888330936304026E-2</v>
          </cell>
          <cell r="J137">
            <v>4.4627339739107853E-2</v>
          </cell>
          <cell r="K137">
            <v>0</v>
          </cell>
          <cell r="L137">
            <v>8.8863892013498313E-2</v>
          </cell>
          <cell r="M137">
            <v>8.8863892013498313E-2</v>
          </cell>
          <cell r="N137">
            <v>9.7121380086355291E-2</v>
          </cell>
          <cell r="O137">
            <v>9.1497069894979105E-2</v>
          </cell>
          <cell r="P137">
            <v>9.3135225182717205E-2</v>
          </cell>
          <cell r="Q137">
            <v>0.13371974990805444</v>
          </cell>
          <cell r="R137">
            <v>0.13371974990805444</v>
          </cell>
          <cell r="S137">
            <v>7.8957100591715984E-2</v>
          </cell>
          <cell r="T137">
            <v>5.4629261135827688E-2</v>
          </cell>
          <cell r="U137">
            <v>7.3950501740327829E-2</v>
          </cell>
          <cell r="V137">
            <v>3.6861751579207548E-2</v>
          </cell>
          <cell r="W137">
            <v>3.6861751579207548E-2</v>
          </cell>
          <cell r="X137">
            <v>5.0039612016358696E-2</v>
          </cell>
          <cell r="Y137">
            <v>5.1654864015927136E-2</v>
          </cell>
          <cell r="Z137">
            <v>8.5809448058404111E-2</v>
          </cell>
          <cell r="AA137">
            <v>6.372688343186296E-2</v>
          </cell>
          <cell r="AB137">
            <v>6.372688343186296E-2</v>
          </cell>
          <cell r="AC137">
            <v>6.7928962160852382E-2</v>
          </cell>
          <cell r="AD137">
            <v>6.6139404483157249E-2</v>
          </cell>
          <cell r="AE137">
            <v>6.4106682676577098E-2</v>
          </cell>
          <cell r="AF137">
            <v>6.1782453752742515E-2</v>
          </cell>
          <cell r="AG137">
            <v>6.1782453752742515E-2</v>
          </cell>
        </row>
        <row r="138">
          <cell r="B138" t="str">
            <v>Bad debt allowance (% of receivables)</v>
          </cell>
          <cell r="D138">
            <v>2.0578475287211555E-2</v>
          </cell>
          <cell r="E138">
            <v>1.9403364333994002E-2</v>
          </cell>
          <cell r="F138">
            <v>2.3907462963535707E-2</v>
          </cell>
          <cell r="G138">
            <v>2.9746739841901213E-2</v>
          </cell>
          <cell r="H138">
            <v>2.9746739841901213E-2</v>
          </cell>
          <cell r="I138">
            <v>2.8485599847415603E-2</v>
          </cell>
          <cell r="J138">
            <v>2.7143627539097607E-2</v>
          </cell>
          <cell r="K138">
            <v>2.8115637038093878E-2</v>
          </cell>
          <cell r="L138">
            <v>2.7369826435246995E-2</v>
          </cell>
          <cell r="M138">
            <v>2.7369826435246995E-2</v>
          </cell>
          <cell r="N138">
            <v>2.6629585065529243E-2</v>
          </cell>
          <cell r="O138">
            <v>2.8486642854232594E-2</v>
          </cell>
          <cell r="P138">
            <v>3.0811661718030105E-2</v>
          </cell>
          <cell r="Q138">
            <v>3.3215629734617079E-2</v>
          </cell>
          <cell r="R138">
            <v>3.3215629734617079E-2</v>
          </cell>
          <cell r="S138">
            <v>3.3891610514711519E-2</v>
          </cell>
          <cell r="T138">
            <v>3.4261690841228161E-2</v>
          </cell>
          <cell r="U138">
            <v>3.3371982481495116E-2</v>
          </cell>
          <cell r="V138">
            <v>3.1822352298990747E-2</v>
          </cell>
          <cell r="W138">
            <v>3.1822352298990747E-2</v>
          </cell>
          <cell r="X138">
            <v>3.110674014059955E-2</v>
          </cell>
          <cell r="Y138">
            <v>2.9538470173863018E-2</v>
          </cell>
          <cell r="Z138">
            <v>2.8771722375894763E-2</v>
          </cell>
          <cell r="AA138">
            <v>2.8206595023086665E-2</v>
          </cell>
          <cell r="AB138">
            <v>2.8206595023086665E-2</v>
          </cell>
          <cell r="AC138">
            <v>2.6589776102551629E-2</v>
          </cell>
          <cell r="AD138">
            <v>2.5087418971520996E-2</v>
          </cell>
          <cell r="AE138">
            <v>2.4977937052348669E-2</v>
          </cell>
          <cell r="AF138">
            <v>2.474457353731244E-2</v>
          </cell>
          <cell r="AG138">
            <v>2.474457353731244E-2</v>
          </cell>
        </row>
        <row r="140">
          <cell r="B140" t="str">
            <v>CASH FLOW STATEMENT</v>
          </cell>
          <cell r="D140" t="str">
            <v>Fiscal Year End, December 2000</v>
          </cell>
          <cell r="I140" t="str">
            <v>Fiscal Year End, December 2001</v>
          </cell>
          <cell r="N140" t="str">
            <v>Fiscal Year End, December 2002</v>
          </cell>
          <cell r="S140" t="str">
            <v>Fiscal Year End, December 2003</v>
          </cell>
          <cell r="X140" t="str">
            <v>Fiscal Year End, December 2004</v>
          </cell>
          <cell r="AC140" t="str">
            <v>Fiscal Year End, December 2005</v>
          </cell>
        </row>
        <row r="141">
          <cell r="D141" t="str">
            <v>1QA</v>
          </cell>
          <cell r="E141" t="str">
            <v>2QA</v>
          </cell>
          <cell r="F141" t="str">
            <v>3QA</v>
          </cell>
          <cell r="G141" t="str">
            <v>4QA</v>
          </cell>
          <cell r="H141" t="str">
            <v>FY00</v>
          </cell>
          <cell r="I141" t="str">
            <v>1QA</v>
          </cell>
          <cell r="J141" t="str">
            <v>2QA</v>
          </cell>
          <cell r="K141" t="str">
            <v>3QA</v>
          </cell>
          <cell r="L141" t="str">
            <v>4QA</v>
          </cell>
          <cell r="M141" t="str">
            <v>FY01</v>
          </cell>
          <cell r="N141" t="str">
            <v>1QA</v>
          </cell>
          <cell r="O141" t="str">
            <v>2QA</v>
          </cell>
          <cell r="P141" t="str">
            <v>3QA</v>
          </cell>
          <cell r="Q141" t="str">
            <v>4QA</v>
          </cell>
          <cell r="R141" t="str">
            <v>FY02</v>
          </cell>
          <cell r="S141" t="str">
            <v>1QA</v>
          </cell>
          <cell r="T141" t="str">
            <v>2QA</v>
          </cell>
          <cell r="U141" t="str">
            <v>3QA</v>
          </cell>
          <cell r="V141" t="str">
            <v>4QA</v>
          </cell>
          <cell r="W141" t="str">
            <v>FY03</v>
          </cell>
          <cell r="X141" t="str">
            <v>1QA</v>
          </cell>
          <cell r="Y141" t="str">
            <v>2QA</v>
          </cell>
          <cell r="Z141" t="str">
            <v>3QA</v>
          </cell>
          <cell r="AA141" t="str">
            <v>4QA</v>
          </cell>
          <cell r="AB141" t="str">
            <v>FY04</v>
          </cell>
          <cell r="AC141" t="str">
            <v>1QA</v>
          </cell>
          <cell r="AD141" t="str">
            <v>2QE</v>
          </cell>
          <cell r="AE141" t="str">
            <v>3QE</v>
          </cell>
          <cell r="AF141" t="str">
            <v>4QE</v>
          </cell>
          <cell r="AG141" t="str">
            <v>FY 05E</v>
          </cell>
        </row>
        <row r="143">
          <cell r="B143" t="str">
            <v>Net income</v>
          </cell>
          <cell r="D143">
            <v>6.7609999999999966</v>
          </cell>
          <cell r="E143">
            <v>7.0970000000000111</v>
          </cell>
          <cell r="F143">
            <v>7.6539999999999901</v>
          </cell>
          <cell r="G143">
            <v>6.5670000000000019</v>
          </cell>
          <cell r="H143">
            <v>28.079000000000033</v>
          </cell>
          <cell r="I143">
            <v>8.733000000000013</v>
          </cell>
          <cell r="J143">
            <v>3.0670000000000091</v>
          </cell>
          <cell r="K143">
            <v>7.7039999999999891</v>
          </cell>
          <cell r="L143">
            <v>8.2160000000000792</v>
          </cell>
          <cell r="M143">
            <v>27.72000000000001</v>
          </cell>
          <cell r="N143">
            <v>9.618999999999982</v>
          </cell>
          <cell r="O143">
            <v>10.710000000000015</v>
          </cell>
          <cell r="P143">
            <v>11.695000000000023</v>
          </cell>
          <cell r="Q143">
            <v>11.562000000000122</v>
          </cell>
          <cell r="R143">
            <v>43.586000000000041</v>
          </cell>
          <cell r="S143">
            <v>13.183999999999966</v>
          </cell>
          <cell r="T143">
            <v>11.406999999999993</v>
          </cell>
          <cell r="U143">
            <v>12.194000000000013</v>
          </cell>
          <cell r="V143">
            <v>13.814999999999863</v>
          </cell>
          <cell r="W143">
            <v>50.599999999999838</v>
          </cell>
          <cell r="X143">
            <v>12.238999999999976</v>
          </cell>
          <cell r="Y143">
            <v>12.164000000000023</v>
          </cell>
          <cell r="Z143">
            <v>12.641000000000002</v>
          </cell>
          <cell r="AA143">
            <v>7.5820000000000221</v>
          </cell>
          <cell r="AB143">
            <v>44.626000000000019</v>
          </cell>
          <cell r="AC143">
            <v>9.6229999999999798</v>
          </cell>
          <cell r="AD143">
            <v>11.836431536223449</v>
          </cell>
          <cell r="AE143">
            <v>14.246386144242056</v>
          </cell>
          <cell r="AF143">
            <v>17.438165468688851</v>
          </cell>
          <cell r="AG143">
            <v>53.143983149154337</v>
          </cell>
        </row>
        <row r="144">
          <cell r="B144" t="str">
            <v>Depreciation and amortization</v>
          </cell>
          <cell r="D144">
            <v>0.34499999999999997</v>
          </cell>
          <cell r="E144">
            <v>0.34499999999999997</v>
          </cell>
          <cell r="F144">
            <v>0.34499999999999997</v>
          </cell>
          <cell r="G144">
            <v>0.30000000000000004</v>
          </cell>
          <cell r="H144">
            <v>1.335</v>
          </cell>
          <cell r="I144">
            <v>0.52900000000000003</v>
          </cell>
          <cell r="J144">
            <v>0.92600000000000005</v>
          </cell>
          <cell r="K144">
            <v>0.95299999999999974</v>
          </cell>
          <cell r="L144">
            <v>0.99199999999999988</v>
          </cell>
          <cell r="M144">
            <v>3.4</v>
          </cell>
          <cell r="N144">
            <v>0.64600000000000002</v>
          </cell>
          <cell r="O144">
            <v>0.65699999999999992</v>
          </cell>
          <cell r="P144">
            <v>0.67699999999999994</v>
          </cell>
          <cell r="Q144">
            <v>0.77999999999999969</v>
          </cell>
          <cell r="R144">
            <v>2.76</v>
          </cell>
          <cell r="S144">
            <v>0.92700000000000005</v>
          </cell>
          <cell r="T144">
            <v>1.0829999999999997</v>
          </cell>
          <cell r="U144">
            <v>1.1270000000000002</v>
          </cell>
          <cell r="V144">
            <v>1.1359999999999997</v>
          </cell>
          <cell r="W144">
            <v>4.2729999999999997</v>
          </cell>
          <cell r="X144">
            <v>1.369</v>
          </cell>
          <cell r="Y144">
            <v>1.43</v>
          </cell>
          <cell r="Z144">
            <v>1.7780000000000002</v>
          </cell>
          <cell r="AA144">
            <v>2.0140000000000002</v>
          </cell>
          <cell r="AB144">
            <v>6.5910000000000002</v>
          </cell>
          <cell r="AC144">
            <v>2.6150000000000002</v>
          </cell>
          <cell r="AD144">
            <v>2.9217499999999998</v>
          </cell>
          <cell r="AE144">
            <v>3.3342499999999999</v>
          </cell>
          <cell r="AF144">
            <v>3.3342499999999999</v>
          </cell>
          <cell r="AG144">
            <v>12.205249999999999</v>
          </cell>
        </row>
        <row r="145">
          <cell r="B145" t="str">
            <v>Provision for losses on accounts receivable</v>
          </cell>
          <cell r="D145">
            <v>0.38400000000000001</v>
          </cell>
          <cell r="E145">
            <v>0.124</v>
          </cell>
          <cell r="F145">
            <v>0.67299999999999993</v>
          </cell>
          <cell r="G145">
            <v>4.4290000000000003</v>
          </cell>
          <cell r="H145">
            <v>5.61</v>
          </cell>
          <cell r="I145">
            <v>0.35099999999999998</v>
          </cell>
          <cell r="J145">
            <v>4.3029999999999999</v>
          </cell>
          <cell r="K145">
            <v>0.14900000000000002</v>
          </cell>
          <cell r="L145">
            <v>0.11699999999999999</v>
          </cell>
          <cell r="M145">
            <v>4.92</v>
          </cell>
          <cell r="N145">
            <v>0.46700000000000003</v>
          </cell>
          <cell r="O145">
            <v>0.88300000000000001</v>
          </cell>
          <cell r="P145">
            <v>0.39900000000000008</v>
          </cell>
          <cell r="Q145">
            <v>0.69999999999999973</v>
          </cell>
          <cell r="R145">
            <v>2.4489999999999998</v>
          </cell>
          <cell r="S145">
            <v>0.57599999999999996</v>
          </cell>
          <cell r="T145">
            <v>0.50900000000000001</v>
          </cell>
          <cell r="U145">
            <v>0.75700000000000023</v>
          </cell>
          <cell r="V145">
            <v>0.35499999999999998</v>
          </cell>
          <cell r="W145">
            <v>2.1970000000000001</v>
          </cell>
          <cell r="X145">
            <v>0.70099999999999996</v>
          </cell>
          <cell r="Y145">
            <v>0.77800000000000014</v>
          </cell>
          <cell r="Z145">
            <v>1.0840000000000001</v>
          </cell>
          <cell r="AA145">
            <v>3.5779999999999998</v>
          </cell>
          <cell r="AB145">
            <v>6.141</v>
          </cell>
          <cell r="AC145">
            <v>1.044</v>
          </cell>
          <cell r="AD145">
            <v>0</v>
          </cell>
          <cell r="AE145">
            <v>0</v>
          </cell>
          <cell r="AF145">
            <v>0</v>
          </cell>
          <cell r="AG145">
            <v>1.044</v>
          </cell>
        </row>
        <row r="146">
          <cell r="B146" t="str">
            <v>Deferred income taxes</v>
          </cell>
          <cell r="D146">
            <v>0</v>
          </cell>
          <cell r="E146">
            <v>0</v>
          </cell>
          <cell r="F146">
            <v>0</v>
          </cell>
          <cell r="G146">
            <v>-1.218</v>
          </cell>
          <cell r="H146">
            <v>-1.218</v>
          </cell>
          <cell r="I146">
            <v>0</v>
          </cell>
          <cell r="J146">
            <v>0</v>
          </cell>
          <cell r="K146">
            <v>1.466</v>
          </cell>
          <cell r="L146">
            <v>3.2000000000000028E-2</v>
          </cell>
          <cell r="M146">
            <v>1.498</v>
          </cell>
          <cell r="N146">
            <v>0</v>
          </cell>
          <cell r="O146">
            <v>0</v>
          </cell>
          <cell r="P146">
            <v>0</v>
          </cell>
          <cell r="Q146">
            <v>0.54300000000000004</v>
          </cell>
          <cell r="R146">
            <v>0.54300000000000004</v>
          </cell>
          <cell r="S146">
            <v>0</v>
          </cell>
          <cell r="T146">
            <v>0</v>
          </cell>
          <cell r="U146">
            <v>0</v>
          </cell>
          <cell r="V146">
            <v>5.0119999999999996</v>
          </cell>
          <cell r="W146">
            <v>5.0119999999999996</v>
          </cell>
          <cell r="X146">
            <v>0</v>
          </cell>
          <cell r="Y146">
            <v>0</v>
          </cell>
          <cell r="Z146">
            <v>0</v>
          </cell>
          <cell r="AA146">
            <v>2.5259999999999998</v>
          </cell>
          <cell r="AB146">
            <v>2.5259999999999998</v>
          </cell>
          <cell r="AC146">
            <v>0</v>
          </cell>
          <cell r="AD146">
            <v>-1.5374999999999694E-2</v>
          </cell>
          <cell r="AE146">
            <v>-1.5451874999999671E-2</v>
          </cell>
          <cell r="AF146">
            <v>-1.5529134374999476E-2</v>
          </cell>
          <cell r="AG146">
            <v>-4.6356009374998841E-2</v>
          </cell>
        </row>
        <row r="147">
          <cell r="B147" t="str">
            <v>Tax benefit of exercise of stock options</v>
          </cell>
          <cell r="D147">
            <v>0</v>
          </cell>
          <cell r="E147">
            <v>0</v>
          </cell>
          <cell r="F147">
            <v>12.436999999999999</v>
          </cell>
          <cell r="G147">
            <v>0.22300000000000075</v>
          </cell>
          <cell r="H147">
            <v>12.66</v>
          </cell>
          <cell r="I147">
            <v>8.8070000000000004</v>
          </cell>
          <cell r="J147">
            <v>0.54999999999999893</v>
          </cell>
          <cell r="K147">
            <v>0.10599999999999987</v>
          </cell>
          <cell r="L147">
            <v>0.13800000000000168</v>
          </cell>
          <cell r="M147">
            <v>9.6010000000000009</v>
          </cell>
          <cell r="N147">
            <v>0.35599999999999998</v>
          </cell>
          <cell r="O147">
            <v>0.16500000000000004</v>
          </cell>
          <cell r="P147">
            <v>0.371</v>
          </cell>
          <cell r="Q147">
            <v>5.1999999999999935E-2</v>
          </cell>
          <cell r="R147">
            <v>0.94399999999999995</v>
          </cell>
          <cell r="S147">
            <v>0.20300000000000001</v>
          </cell>
          <cell r="T147">
            <v>4.2999999999999983E-2</v>
          </cell>
          <cell r="U147">
            <v>0.17599999999999999</v>
          </cell>
          <cell r="V147">
            <v>0.25000000000000006</v>
          </cell>
          <cell r="W147">
            <v>0.67200000000000004</v>
          </cell>
          <cell r="X147">
            <v>0.14499999999999999</v>
          </cell>
          <cell r="Y147">
            <v>4.0000000000000036E-3</v>
          </cell>
          <cell r="Z147">
            <v>5.2000000000000018E-2</v>
          </cell>
          <cell r="AA147">
            <v>0.59799999999999998</v>
          </cell>
          <cell r="AB147">
            <v>0.79900000000000004</v>
          </cell>
          <cell r="AC147">
            <v>0.47199999999999998</v>
          </cell>
          <cell r="AD147">
            <v>0</v>
          </cell>
          <cell r="AE147">
            <v>0</v>
          </cell>
          <cell r="AF147">
            <v>0</v>
          </cell>
          <cell r="AG147">
            <v>0.47199999999999998</v>
          </cell>
        </row>
        <row r="148">
          <cell r="B148" t="str">
            <v>Compensation expense on stock grants</v>
          </cell>
          <cell r="D148">
            <v>0</v>
          </cell>
          <cell r="E148">
            <v>0</v>
          </cell>
          <cell r="G148">
            <v>0.03</v>
          </cell>
          <cell r="H148">
            <v>0.03</v>
          </cell>
          <cell r="I148">
            <v>0</v>
          </cell>
          <cell r="J148">
            <v>0</v>
          </cell>
          <cell r="K148">
            <v>0</v>
          </cell>
          <cell r="M148">
            <v>0.03</v>
          </cell>
          <cell r="N148">
            <v>0</v>
          </cell>
          <cell r="O148">
            <v>0</v>
          </cell>
          <cell r="P148">
            <v>0</v>
          </cell>
          <cell r="R148">
            <v>0.03</v>
          </cell>
          <cell r="S148">
            <v>0.26700000000000002</v>
          </cell>
          <cell r="T148">
            <v>0.19700000000000001</v>
          </cell>
          <cell r="U148">
            <v>0.15499999999999997</v>
          </cell>
          <cell r="V148">
            <v>0.31300000000000006</v>
          </cell>
          <cell r="W148">
            <v>0.93200000000000005</v>
          </cell>
          <cell r="X148">
            <v>0.249</v>
          </cell>
          <cell r="Y148">
            <v>0.31200000000000006</v>
          </cell>
          <cell r="Z148">
            <v>0.27399999999999991</v>
          </cell>
          <cell r="AA148">
            <v>0.36899999999999999</v>
          </cell>
          <cell r="AB148">
            <v>1.204</v>
          </cell>
          <cell r="AC148">
            <v>0.25800000000000001</v>
          </cell>
          <cell r="AD148">
            <v>0.25800000000000001</v>
          </cell>
          <cell r="AE148">
            <v>0.25800000000000001</v>
          </cell>
          <cell r="AF148">
            <v>0.25800000000000001</v>
          </cell>
          <cell r="AG148">
            <v>1.032</v>
          </cell>
        </row>
        <row r="149">
          <cell r="B149" t="str">
            <v>Undistributed earnings of joint ventures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8.5000000000000006E-2</v>
          </cell>
          <cell r="Z149">
            <v>23.091999999999999</v>
          </cell>
          <cell r="AA149">
            <v>-23.177</v>
          </cell>
          <cell r="AB149">
            <v>0</v>
          </cell>
          <cell r="AC149">
            <v>0</v>
          </cell>
          <cell r="AD149">
            <v>0</v>
          </cell>
          <cell r="AE149">
            <v>0</v>
          </cell>
          <cell r="AF149">
            <v>0</v>
          </cell>
          <cell r="AG149">
            <v>0</v>
          </cell>
        </row>
        <row r="150">
          <cell r="B150" t="str">
            <v>Minority interest income of consolidated joint venture</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7.8E-2</v>
          </cell>
          <cell r="Y150">
            <v>8.5000000000000006E-2</v>
          </cell>
          <cell r="Z150">
            <v>9.1999999999999985E-2</v>
          </cell>
          <cell r="AA150">
            <v>-4.2999999999999997E-2</v>
          </cell>
          <cell r="AB150">
            <v>0.21199999999999999</v>
          </cell>
          <cell r="AC150">
            <v>-1.5</v>
          </cell>
          <cell r="AD150">
            <v>0.86357001000000055</v>
          </cell>
          <cell r="AE150">
            <v>0.20375000000000015</v>
          </cell>
          <cell r="AF150">
            <v>-0.33125000000000004</v>
          </cell>
          <cell r="AG150">
            <v>-0.76392998999999939</v>
          </cell>
        </row>
        <row r="151">
          <cell r="B151" t="str">
            <v>Changes in working capital</v>
          </cell>
        </row>
        <row r="152">
          <cell r="B152" t="str">
            <v>Patient and other receivables</v>
          </cell>
          <cell r="D152">
            <v>-2.9</v>
          </cell>
          <cell r="E152">
            <v>-7.1999999999999993</v>
          </cell>
          <cell r="F152">
            <v>0.71299999999999875</v>
          </cell>
          <cell r="G152">
            <v>-6.7349999999999977</v>
          </cell>
          <cell r="H152">
            <v>-16.122</v>
          </cell>
          <cell r="I152">
            <v>-1.4330000000000001</v>
          </cell>
          <cell r="J152">
            <v>-7.3460000000000001</v>
          </cell>
          <cell r="K152">
            <v>-1.0329999999999993</v>
          </cell>
          <cell r="L152">
            <v>-5.088000000000001</v>
          </cell>
          <cell r="M152">
            <v>-14.9</v>
          </cell>
          <cell r="N152">
            <v>-18.027999999999999</v>
          </cell>
          <cell r="O152">
            <v>-9.3520000000000003</v>
          </cell>
          <cell r="P152">
            <v>-9.4090000000000025</v>
          </cell>
          <cell r="Q152">
            <v>-8.1159999999999961</v>
          </cell>
          <cell r="R152">
            <v>-44.905000000000001</v>
          </cell>
          <cell r="S152">
            <v>-6.5170000000000003</v>
          </cell>
          <cell r="T152">
            <v>-2.617</v>
          </cell>
          <cell r="U152">
            <v>-10.998999999999999</v>
          </cell>
          <cell r="V152">
            <v>9.4179999999999993</v>
          </cell>
          <cell r="W152">
            <v>-10.715</v>
          </cell>
          <cell r="X152">
            <v>-20.672000000000001</v>
          </cell>
          <cell r="Y152">
            <v>-21.257000000000001</v>
          </cell>
          <cell r="Z152">
            <v>-11.373999999999992</v>
          </cell>
          <cell r="AA152">
            <v>-11.094000000000008</v>
          </cell>
          <cell r="AB152">
            <v>-64.397000000000006</v>
          </cell>
          <cell r="AC152">
            <v>-44.167999999999999</v>
          </cell>
          <cell r="AD152">
            <v>-26.3909576630586</v>
          </cell>
          <cell r="AE152">
            <v>-10.846085886489334</v>
          </cell>
          <cell r="AF152">
            <v>-12.910648046178949</v>
          </cell>
          <cell r="AG152">
            <v>-94.315691595726889</v>
          </cell>
        </row>
        <row r="153">
          <cell r="B153" t="str">
            <v>Due from affiliates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row>
        <row r="154">
          <cell r="B154" t="str">
            <v>Inventories</v>
          </cell>
          <cell r="D154">
            <v>-0.41599999999999998</v>
          </cell>
          <cell r="E154">
            <v>6.5290000000000008</v>
          </cell>
          <cell r="F154">
            <v>-2.1310000000000007</v>
          </cell>
          <cell r="G154">
            <v>-21.901</v>
          </cell>
          <cell r="H154">
            <v>-17.919</v>
          </cell>
          <cell r="I154">
            <v>9.734</v>
          </cell>
          <cell r="J154">
            <v>-7.7669999999999995</v>
          </cell>
          <cell r="K154">
            <v>-0.57600000000000051</v>
          </cell>
          <cell r="L154">
            <v>-23.741</v>
          </cell>
          <cell r="M154">
            <v>-22.35</v>
          </cell>
          <cell r="N154">
            <v>5.3869999999999996</v>
          </cell>
          <cell r="O154">
            <v>-19.808</v>
          </cell>
          <cell r="P154">
            <v>11.204000000000001</v>
          </cell>
          <cell r="Q154">
            <v>-28.972000000000001</v>
          </cell>
          <cell r="R154">
            <v>-32.189</v>
          </cell>
          <cell r="S154">
            <v>4.6059999999999999</v>
          </cell>
          <cell r="T154">
            <v>-3.19</v>
          </cell>
          <cell r="U154">
            <v>7.8919999999999995</v>
          </cell>
          <cell r="V154">
            <v>-17.492000000000001</v>
          </cell>
          <cell r="W154">
            <v>-8.1839999999999993</v>
          </cell>
          <cell r="X154">
            <v>13.904999999999999</v>
          </cell>
          <cell r="Y154">
            <v>-1.2009999999999987</v>
          </cell>
          <cell r="Z154">
            <v>-0.70000000000000107</v>
          </cell>
          <cell r="AA154">
            <v>-4.3539999999999992</v>
          </cell>
          <cell r="AB154">
            <v>7.65</v>
          </cell>
          <cell r="AC154">
            <v>-4.8239999999999998</v>
          </cell>
          <cell r="AD154">
            <v>-16.56789421430878</v>
          </cell>
          <cell r="AE154">
            <v>-6.816199642226394</v>
          </cell>
          <cell r="AF154">
            <v>-11.522859221992292</v>
          </cell>
          <cell r="AG154">
            <v>-39.730953078527463</v>
          </cell>
        </row>
        <row r="155">
          <cell r="B155" t="str">
            <v>Prepaid expenses and other current assets</v>
          </cell>
          <cell r="D155">
            <v>0</v>
          </cell>
          <cell r="E155">
            <v>0</v>
          </cell>
          <cell r="F155">
            <v>0</v>
          </cell>
          <cell r="G155">
            <v>3.7999999999999999E-2</v>
          </cell>
          <cell r="H155">
            <v>3.7999999999999999E-2</v>
          </cell>
          <cell r="I155">
            <v>0</v>
          </cell>
          <cell r="J155">
            <v>0</v>
          </cell>
          <cell r="K155">
            <v>0</v>
          </cell>
          <cell r="L155">
            <v>0</v>
          </cell>
          <cell r="M155">
            <v>0</v>
          </cell>
          <cell r="N155">
            <v>0</v>
          </cell>
          <cell r="O155">
            <v>0</v>
          </cell>
          <cell r="P155">
            <v>0</v>
          </cell>
          <cell r="Q155">
            <v>0</v>
          </cell>
          <cell r="R155">
            <v>0</v>
          </cell>
          <cell r="T155">
            <v>0</v>
          </cell>
          <cell r="U155">
            <v>0</v>
          </cell>
          <cell r="V155">
            <v>0</v>
          </cell>
          <cell r="W155">
            <v>0</v>
          </cell>
          <cell r="X155">
            <v>4.319</v>
          </cell>
          <cell r="Y155">
            <v>2.1790000000000003</v>
          </cell>
          <cell r="Z155">
            <v>5.8790000000000004</v>
          </cell>
          <cell r="AA155">
            <v>-12.376999999999999</v>
          </cell>
          <cell r="AB155">
            <v>0</v>
          </cell>
          <cell r="AC155">
            <v>0</v>
          </cell>
          <cell r="AD155">
            <v>0</v>
          </cell>
          <cell r="AE155">
            <v>0</v>
          </cell>
          <cell r="AF155">
            <v>0</v>
          </cell>
          <cell r="AG155">
            <v>0</v>
          </cell>
        </row>
        <row r="156">
          <cell r="B156" t="str">
            <v>Income taxes payable</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row>
        <row r="157">
          <cell r="B157" t="str">
            <v>Income taxes receivable</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row>
        <row r="158">
          <cell r="B158" t="str">
            <v>Accounts payable and accrued expenses</v>
          </cell>
          <cell r="D158">
            <v>4.7720000000000002</v>
          </cell>
          <cell r="E158">
            <v>5.2240000000000002</v>
          </cell>
          <cell r="F158">
            <v>0.68899999999999828</v>
          </cell>
          <cell r="G158">
            <v>12.674999999999999</v>
          </cell>
          <cell r="H158">
            <v>23.36</v>
          </cell>
          <cell r="I158">
            <v>-3.2480000000000002</v>
          </cell>
          <cell r="J158">
            <v>5.109</v>
          </cell>
          <cell r="K158">
            <v>2.7709999999999999</v>
          </cell>
          <cell r="L158">
            <v>23.044999999999998</v>
          </cell>
          <cell r="M158">
            <v>27.677</v>
          </cell>
          <cell r="N158">
            <v>-8.8109999999999999</v>
          </cell>
          <cell r="O158">
            <v>32.222000000000001</v>
          </cell>
          <cell r="P158">
            <v>-21.898000000000003</v>
          </cell>
          <cell r="Q158">
            <v>24.129000000000005</v>
          </cell>
          <cell r="R158">
            <v>25.641999999999999</v>
          </cell>
          <cell r="S158">
            <v>8.7110000000000003</v>
          </cell>
          <cell r="T158">
            <v>2.9409999999999989</v>
          </cell>
          <cell r="U158">
            <v>0.79800000000000004</v>
          </cell>
          <cell r="V158">
            <v>-5.68</v>
          </cell>
          <cell r="W158">
            <v>6.77</v>
          </cell>
          <cell r="X158">
            <v>0.34200000000000003</v>
          </cell>
          <cell r="Y158">
            <v>12.302999999999999</v>
          </cell>
          <cell r="Z158">
            <v>-3.762</v>
          </cell>
          <cell r="AA158">
            <v>4.8939999999999992</v>
          </cell>
          <cell r="AB158">
            <v>13.776999999999999</v>
          </cell>
          <cell r="AC158">
            <v>30.599</v>
          </cell>
          <cell r="AD158">
            <v>31.615296863053516</v>
          </cell>
          <cell r="AE158">
            <v>11.76494732767847</v>
          </cell>
          <cell r="AF158">
            <v>19.888770711931841</v>
          </cell>
          <cell r="AG158">
            <v>93.86801490266383</v>
          </cell>
        </row>
        <row r="159">
          <cell r="B159" t="str">
            <v>Total change in working capital</v>
          </cell>
          <cell r="D159">
            <v>1.4560000000000004</v>
          </cell>
          <cell r="E159">
            <v>4.5530000000000017</v>
          </cell>
          <cell r="F159">
            <v>-0.72900000000000365</v>
          </cell>
          <cell r="G159">
            <v>-15.922999999999996</v>
          </cell>
          <cell r="H159">
            <v>-10.643000000000001</v>
          </cell>
          <cell r="I159">
            <v>5.0529999999999999</v>
          </cell>
          <cell r="J159">
            <v>-10.004</v>
          </cell>
          <cell r="K159">
            <v>1.1620000000000001</v>
          </cell>
          <cell r="L159">
            <v>-5.7840000000000025</v>
          </cell>
          <cell r="M159">
            <v>-9.5730000000000004</v>
          </cell>
          <cell r="N159">
            <v>-21.451999999999998</v>
          </cell>
          <cell r="O159">
            <v>3.0620000000000012</v>
          </cell>
          <cell r="P159">
            <v>-20.103000000000005</v>
          </cell>
          <cell r="Q159">
            <v>-12.958999999999989</v>
          </cell>
          <cell r="R159">
            <v>-51.451999999999998</v>
          </cell>
          <cell r="S159">
            <v>6.8</v>
          </cell>
          <cell r="T159">
            <v>-2.8660000000000014</v>
          </cell>
          <cell r="U159">
            <v>-2.3089999999999993</v>
          </cell>
          <cell r="V159">
            <v>-13.754000000000001</v>
          </cell>
          <cell r="W159">
            <v>-12.129000000000001</v>
          </cell>
          <cell r="X159">
            <v>-2.1060000000000012</v>
          </cell>
          <cell r="Y159">
            <v>-7.9759999999999973</v>
          </cell>
          <cell r="Z159">
            <v>-9.9569999999999919</v>
          </cell>
          <cell r="AA159">
            <v>-22.931000000000008</v>
          </cell>
          <cell r="AB159">
            <v>-42.970000000000006</v>
          </cell>
          <cell r="AC159">
            <v>-18.392999999999997</v>
          </cell>
          <cell r="AD159">
            <v>-11.343555014313864</v>
          </cell>
          <cell r="AE159">
            <v>-5.8973382010372575</v>
          </cell>
          <cell r="AF159">
            <v>-4.5447365562393998</v>
          </cell>
          <cell r="AG159">
            <v>-40.178629771590522</v>
          </cell>
        </row>
        <row r="160">
          <cell r="B160" t="str">
            <v>Other</v>
          </cell>
          <cell r="D160">
            <v>0</v>
          </cell>
          <cell r="E160">
            <v>0</v>
          </cell>
          <cell r="F160">
            <v>0</v>
          </cell>
          <cell r="G160">
            <v>4.1180000000000003</v>
          </cell>
          <cell r="H160">
            <v>4.1180000000000003</v>
          </cell>
          <cell r="I160">
            <v>-7.29</v>
          </cell>
          <cell r="J160">
            <v>2.8520000000000003</v>
          </cell>
          <cell r="K160">
            <v>3.5369999999999999</v>
          </cell>
          <cell r="L160">
            <v>8.7729999999999997</v>
          </cell>
          <cell r="M160">
            <v>7.8719999999999999</v>
          </cell>
          <cell r="N160">
            <v>-4.8230000000000004</v>
          </cell>
          <cell r="O160">
            <v>-1.7889999999999997</v>
          </cell>
          <cell r="P160">
            <v>15.3</v>
          </cell>
          <cell r="Q160">
            <v>12.115</v>
          </cell>
          <cell r="R160">
            <v>20.803000000000001</v>
          </cell>
          <cell r="S160">
            <v>-20.37</v>
          </cell>
          <cell r="T160">
            <v>0.90900000000000247</v>
          </cell>
          <cell r="U160">
            <v>1.9009999999999998</v>
          </cell>
          <cell r="V160">
            <v>-5.703000000000003</v>
          </cell>
          <cell r="W160">
            <v>-23.263000000000002</v>
          </cell>
          <cell r="X160">
            <v>0</v>
          </cell>
          <cell r="Y160">
            <v>0</v>
          </cell>
          <cell r="Z160">
            <v>0</v>
          </cell>
          <cell r="AA160">
            <v>5.0860000000000003</v>
          </cell>
          <cell r="AB160">
            <v>5.0860000000000003</v>
          </cell>
          <cell r="AC160">
            <v>3.8679999999999999</v>
          </cell>
          <cell r="AD160">
            <v>0</v>
          </cell>
          <cell r="AE160">
            <v>0</v>
          </cell>
          <cell r="AF160">
            <v>0</v>
          </cell>
          <cell r="AG160">
            <v>3.8679999999999999</v>
          </cell>
        </row>
        <row r="161">
          <cell r="B161" t="str">
            <v>Cash from operations</v>
          </cell>
          <cell r="D161">
            <v>8.945999999999998</v>
          </cell>
          <cell r="E161">
            <v>12.119000000000012</v>
          </cell>
          <cell r="F161">
            <v>20.379999999999985</v>
          </cell>
          <cell r="G161">
            <v>-1.4739999999999931</v>
          </cell>
          <cell r="H161">
            <v>39.971000000000039</v>
          </cell>
          <cell r="I161">
            <v>16.183000000000018</v>
          </cell>
          <cell r="J161">
            <v>1.6940000000000097</v>
          </cell>
          <cell r="K161">
            <v>15.076999999999991</v>
          </cell>
          <cell r="L161">
            <v>12.484000000000076</v>
          </cell>
          <cell r="M161">
            <v>45.468000000000004</v>
          </cell>
          <cell r="N161">
            <v>-15.187000000000015</v>
          </cell>
          <cell r="O161">
            <v>13.688000000000015</v>
          </cell>
          <cell r="P161">
            <v>8.33900000000002</v>
          </cell>
          <cell r="Q161">
            <v>12.793000000000131</v>
          </cell>
          <cell r="R161">
            <v>19.663000000000043</v>
          </cell>
          <cell r="S161">
            <v>1.5869999999999642</v>
          </cell>
          <cell r="T161">
            <v>11.281999999999993</v>
          </cell>
          <cell r="U161">
            <v>14.001000000000014</v>
          </cell>
          <cell r="V161">
            <v>1.4239999999998574</v>
          </cell>
          <cell r="W161">
            <v>28.29399999999983</v>
          </cell>
          <cell r="X161">
            <v>12.674999999999974</v>
          </cell>
          <cell r="Y161">
            <v>6.8820000000000263</v>
          </cell>
          <cell r="Z161">
            <v>29.056000000000004</v>
          </cell>
          <cell r="AA161">
            <v>-24.397999999999989</v>
          </cell>
          <cell r="AB161">
            <v>24.215000000000011</v>
          </cell>
          <cell r="AC161">
            <v>-2.0130000000000181</v>
          </cell>
          <cell r="AD161">
            <v>4.5208215319095828</v>
          </cell>
          <cell r="AE161">
            <v>12.129596068204798</v>
          </cell>
          <cell r="AF161">
            <v>16.13889977807445</v>
          </cell>
          <cell r="AG161">
            <v>30.776317378188811</v>
          </cell>
        </row>
        <row r="163">
          <cell r="B163" t="str">
            <v>Sales, net of purchases, of marketable securities</v>
          </cell>
          <cell r="D163">
            <v>7.8719999999999999</v>
          </cell>
          <cell r="E163">
            <v>-44.287999999999997</v>
          </cell>
          <cell r="F163">
            <v>24.544999999999995</v>
          </cell>
          <cell r="G163">
            <v>-9.9039999999999964</v>
          </cell>
          <cell r="H163">
            <v>-21.774999999999999</v>
          </cell>
          <cell r="I163">
            <v>7.3179999999999996</v>
          </cell>
          <cell r="J163">
            <v>-4.302999999999999</v>
          </cell>
          <cell r="K163">
            <v>-17.25</v>
          </cell>
          <cell r="L163">
            <v>-1.3610000000000007</v>
          </cell>
          <cell r="M163">
            <v>-15.596</v>
          </cell>
          <cell r="N163">
            <v>32.923000000000002</v>
          </cell>
          <cell r="O163">
            <v>-0.34700000000000131</v>
          </cell>
          <cell r="P163">
            <v>22.923999999999999</v>
          </cell>
          <cell r="R163">
            <v>47.829000000000001</v>
          </cell>
          <cell r="S163">
            <v>20.52</v>
          </cell>
          <cell r="T163">
            <v>2.2850000000000001</v>
          </cell>
          <cell r="U163">
            <v>-7.1430000000000007</v>
          </cell>
          <cell r="V163">
            <v>15.358000000000001</v>
          </cell>
          <cell r="W163">
            <v>31.02</v>
          </cell>
          <cell r="X163">
            <v>4.7290000000000001</v>
          </cell>
          <cell r="Y163">
            <v>2.2850000000000001</v>
          </cell>
          <cell r="Z163">
            <v>-1.426000000000001</v>
          </cell>
          <cell r="AA163">
            <v>-7.5599999999999987</v>
          </cell>
          <cell r="AB163">
            <v>-1.972</v>
          </cell>
          <cell r="AC163">
            <v>7.55</v>
          </cell>
        </row>
        <row r="164">
          <cell r="B164" t="str">
            <v>PP&amp;E (and capitalized software expenditures)</v>
          </cell>
          <cell r="D164">
            <v>-0.41</v>
          </cell>
          <cell r="E164">
            <v>-1.1320000000000001</v>
          </cell>
          <cell r="F164">
            <v>-0.33099999999999991</v>
          </cell>
          <cell r="G164">
            <v>-0.40299999999999975</v>
          </cell>
          <cell r="H164">
            <v>-2.2759999999999998</v>
          </cell>
          <cell r="I164">
            <v>-0.121</v>
          </cell>
          <cell r="J164">
            <v>-0.74</v>
          </cell>
          <cell r="K164">
            <v>-2.863</v>
          </cell>
          <cell r="L164">
            <v>-3.722</v>
          </cell>
          <cell r="M164">
            <v>-7.4459999999999997</v>
          </cell>
          <cell r="N164">
            <v>-1.849</v>
          </cell>
          <cell r="O164">
            <v>-1.9139999999999999</v>
          </cell>
          <cell r="P164">
            <v>-2.149</v>
          </cell>
          <cell r="Q164">
            <v>-3.0680000000000005</v>
          </cell>
          <cell r="R164">
            <v>-8.98</v>
          </cell>
          <cell r="S164">
            <v>-2.4540000000000002</v>
          </cell>
          <cell r="T164">
            <v>-6.0350000000000001</v>
          </cell>
          <cell r="U164">
            <v>-3.0989999999999989</v>
          </cell>
          <cell r="V164">
            <v>-6.5359999999999996</v>
          </cell>
          <cell r="W164">
            <v>-18.123999999999999</v>
          </cell>
          <cell r="X164">
            <v>-2.7679999999999998</v>
          </cell>
          <cell r="Y164">
            <v>-3.16</v>
          </cell>
          <cell r="Z164">
            <v>-5.319</v>
          </cell>
          <cell r="AA164">
            <v>-6.8690000000000007</v>
          </cell>
          <cell r="AB164">
            <v>-18.116</v>
          </cell>
          <cell r="AC164">
            <v>-19.856999999999999</v>
          </cell>
          <cell r="AD164">
            <v>-2.3810000000000002</v>
          </cell>
          <cell r="AE164">
            <v>-2.3810000000000002</v>
          </cell>
          <cell r="AF164">
            <v>-2.3810000000000002</v>
          </cell>
          <cell r="AG164">
            <v>-27</v>
          </cell>
        </row>
        <row r="165">
          <cell r="B165" t="str">
            <v>Acquisitions</v>
          </cell>
          <cell r="D165">
            <v>0</v>
          </cell>
          <cell r="E165">
            <v>0</v>
          </cell>
          <cell r="F165">
            <v>0</v>
          </cell>
          <cell r="G165">
            <v>0</v>
          </cell>
          <cell r="H165">
            <v>0</v>
          </cell>
          <cell r="I165">
            <v>-11.513</v>
          </cell>
          <cell r="J165">
            <v>-17.381999999999998</v>
          </cell>
          <cell r="K165">
            <v>0</v>
          </cell>
          <cell r="L165">
            <v>-7.7159999999999993</v>
          </cell>
          <cell r="M165">
            <v>-36.610999999999997</v>
          </cell>
          <cell r="N165">
            <v>-19.213000000000001</v>
          </cell>
          <cell r="O165">
            <v>-7.1140000000000008</v>
          </cell>
          <cell r="P165">
            <v>-6.5539999999999985</v>
          </cell>
          <cell r="Q165">
            <v>-1.5000000000000568E-2</v>
          </cell>
          <cell r="R165">
            <v>-32.896000000000001</v>
          </cell>
          <cell r="S165">
            <v>0</v>
          </cell>
          <cell r="T165">
            <v>-8.0280000000000005</v>
          </cell>
          <cell r="U165">
            <v>-7.1980000000000004</v>
          </cell>
          <cell r="V165">
            <v>-8.1059999999999999</v>
          </cell>
          <cell r="W165">
            <v>-23.332000000000001</v>
          </cell>
          <cell r="X165">
            <v>-5.7960000000000003</v>
          </cell>
          <cell r="Y165">
            <v>-8.870000000000001</v>
          </cell>
          <cell r="Z165">
            <v>-35.431000000000004</v>
          </cell>
          <cell r="AA165">
            <v>10.449000000000002</v>
          </cell>
          <cell r="AB165">
            <v>-39.648000000000003</v>
          </cell>
          <cell r="AC165">
            <v>-2.6</v>
          </cell>
          <cell r="AD165">
            <v>-20</v>
          </cell>
          <cell r="AE165">
            <v>-5</v>
          </cell>
          <cell r="AF165">
            <v>0</v>
          </cell>
          <cell r="AG165">
            <v>-27.6</v>
          </cell>
        </row>
        <row r="166">
          <cell r="B166" t="str">
            <v>Other</v>
          </cell>
          <cell r="D166">
            <v>0.46899999999999997</v>
          </cell>
          <cell r="E166">
            <v>-2.0190000000000001</v>
          </cell>
          <cell r="F166">
            <v>0</v>
          </cell>
          <cell r="G166">
            <v>0</v>
          </cell>
          <cell r="H166">
            <v>-1.55</v>
          </cell>
          <cell r="I166">
            <v>0</v>
          </cell>
          <cell r="J166">
            <v>-0.113</v>
          </cell>
          <cell r="K166">
            <v>-8.9999999999999941E-3</v>
          </cell>
          <cell r="L166">
            <v>-7.3779999999999992</v>
          </cell>
          <cell r="M166">
            <v>-7.5</v>
          </cell>
          <cell r="N166">
            <v>-1.2250000000000001</v>
          </cell>
          <cell r="O166">
            <v>0</v>
          </cell>
          <cell r="P166">
            <v>-7.4239999999999995</v>
          </cell>
          <cell r="Q166">
            <v>-3.2209999999999996</v>
          </cell>
          <cell r="R166">
            <v>-11.87</v>
          </cell>
          <cell r="S166">
            <v>0</v>
          </cell>
          <cell r="T166">
            <v>4.4649999999999999</v>
          </cell>
          <cell r="U166">
            <v>-1.3899999999999997</v>
          </cell>
          <cell r="V166">
            <v>-3.101</v>
          </cell>
          <cell r="W166">
            <v>-2.6000000000000023E-2</v>
          </cell>
          <cell r="X166">
            <v>0</v>
          </cell>
          <cell r="Y166">
            <v>-15</v>
          </cell>
          <cell r="Z166">
            <v>0</v>
          </cell>
          <cell r="AA166">
            <v>-2.9170000000000016</v>
          </cell>
          <cell r="AB166">
            <v>-17.917000000000002</v>
          </cell>
          <cell r="AC166">
            <v>-0.11799999999999999</v>
          </cell>
          <cell r="AD166">
            <v>0</v>
          </cell>
          <cell r="AE166">
            <v>0</v>
          </cell>
          <cell r="AF166">
            <v>0</v>
          </cell>
          <cell r="AG166">
            <v>-0.11799999999999999</v>
          </cell>
        </row>
        <row r="167">
          <cell r="B167" t="str">
            <v>Cash from investing</v>
          </cell>
          <cell r="D167">
            <v>7.931</v>
          </cell>
          <cell r="E167">
            <v>-47.438999999999993</v>
          </cell>
          <cell r="F167">
            <v>24.213999999999995</v>
          </cell>
          <cell r="G167">
            <v>-10.306999999999997</v>
          </cell>
          <cell r="H167">
            <v>-25.600999999999999</v>
          </cell>
          <cell r="I167">
            <v>-4.3160000000000007</v>
          </cell>
          <cell r="J167">
            <v>-22.537999999999997</v>
          </cell>
          <cell r="K167">
            <v>-20.122</v>
          </cell>
          <cell r="L167">
            <v>-20.177</v>
          </cell>
          <cell r="M167">
            <v>-67.152999999999992</v>
          </cell>
          <cell r="N167">
            <v>10.636000000000001</v>
          </cell>
          <cell r="O167">
            <v>-9.3750000000000018</v>
          </cell>
          <cell r="P167">
            <v>6.7970000000000006</v>
          </cell>
          <cell r="Q167">
            <v>-6.3040000000000003</v>
          </cell>
          <cell r="R167">
            <v>-5.9169999999999963</v>
          </cell>
          <cell r="S167">
            <v>18.065999999999999</v>
          </cell>
          <cell r="T167">
            <v>-7.3130000000000006</v>
          </cell>
          <cell r="U167">
            <v>-18.829999999999998</v>
          </cell>
          <cell r="V167">
            <v>-2.3849999999999989</v>
          </cell>
          <cell r="W167">
            <v>-10.462</v>
          </cell>
          <cell r="X167">
            <v>-3.835</v>
          </cell>
          <cell r="Y167">
            <v>-24.745000000000001</v>
          </cell>
          <cell r="Z167">
            <v>-42.176000000000002</v>
          </cell>
          <cell r="AA167">
            <v>-6.8969999999999985</v>
          </cell>
          <cell r="AB167">
            <v>-77.653000000000006</v>
          </cell>
          <cell r="AC167">
            <v>-15.024999999999999</v>
          </cell>
          <cell r="AD167">
            <v>-22.381</v>
          </cell>
          <cell r="AE167">
            <v>-7.3810000000000002</v>
          </cell>
          <cell r="AF167">
            <v>-2.3810000000000002</v>
          </cell>
          <cell r="AG167">
            <v>-54.718000000000004</v>
          </cell>
        </row>
        <row r="169">
          <cell r="B169" t="str">
            <v>Proceeds from stock option exercises</v>
          </cell>
          <cell r="D169">
            <v>9.0530000000000008</v>
          </cell>
          <cell r="E169">
            <v>13.753</v>
          </cell>
          <cell r="F169">
            <v>-12.226000000000001</v>
          </cell>
          <cell r="G169">
            <v>0.45899999999999963</v>
          </cell>
          <cell r="H169">
            <v>11.039</v>
          </cell>
          <cell r="I169">
            <v>6.819</v>
          </cell>
          <cell r="J169">
            <v>0.91100000000000048</v>
          </cell>
          <cell r="K169">
            <v>0.33199999999999896</v>
          </cell>
          <cell r="L169">
            <v>0.36300000000000132</v>
          </cell>
          <cell r="M169">
            <v>8.4250000000000007</v>
          </cell>
          <cell r="N169">
            <v>1.8979999999999999</v>
          </cell>
          <cell r="O169">
            <v>0.53</v>
          </cell>
          <cell r="P169">
            <v>1.0369999999999997</v>
          </cell>
          <cell r="Q169">
            <v>0.25100000000000011</v>
          </cell>
          <cell r="R169">
            <v>3.7160000000000002</v>
          </cell>
          <cell r="S169">
            <v>0.74099999999999999</v>
          </cell>
          <cell r="T169">
            <v>0.27700000000000002</v>
          </cell>
          <cell r="U169">
            <v>0.51600000000000013</v>
          </cell>
          <cell r="V169">
            <v>0.67499999999999993</v>
          </cell>
          <cell r="W169">
            <v>2.2090000000000001</v>
          </cell>
          <cell r="X169">
            <v>0.46800000000000003</v>
          </cell>
          <cell r="Y169">
            <v>1.699999999999996E-2</v>
          </cell>
          <cell r="Z169">
            <v>0.38699999999999996</v>
          </cell>
          <cell r="AA169">
            <v>0.51400000000000001</v>
          </cell>
          <cell r="AB169">
            <v>1.3859999999999999</v>
          </cell>
          <cell r="AC169">
            <v>1.9319999999999999</v>
          </cell>
          <cell r="AD169">
            <v>0</v>
          </cell>
          <cell r="AE169">
            <v>0</v>
          </cell>
          <cell r="AF169">
            <v>0</v>
          </cell>
          <cell r="AG169">
            <v>1.9319999999999999</v>
          </cell>
        </row>
        <row r="170">
          <cell r="B170" t="str">
            <v>Joint venture contribution</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23</v>
          </cell>
          <cell r="AA170">
            <v>0</v>
          </cell>
          <cell r="AB170">
            <v>23</v>
          </cell>
          <cell r="AC170">
            <v>0</v>
          </cell>
          <cell r="AD170">
            <v>0</v>
          </cell>
          <cell r="AE170">
            <v>0</v>
          </cell>
          <cell r="AF170">
            <v>0</v>
          </cell>
          <cell r="AG170">
            <v>0</v>
          </cell>
        </row>
        <row r="171">
          <cell r="B171" t="str">
            <v>Proceeds from ESPP</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7.4999999999999997E-2</v>
          </cell>
          <cell r="Y171">
            <v>8.1000000000000003E-2</v>
          </cell>
          <cell r="Z171">
            <v>9.6999999999999989E-2</v>
          </cell>
          <cell r="AA171">
            <v>-9.9999999999997313E-4</v>
          </cell>
          <cell r="AB171">
            <v>0.252</v>
          </cell>
          <cell r="AC171">
            <v>0.154</v>
          </cell>
          <cell r="AD171">
            <v>0</v>
          </cell>
          <cell r="AE171">
            <v>0</v>
          </cell>
          <cell r="AF171">
            <v>0</v>
          </cell>
          <cell r="AG171">
            <v>0.154</v>
          </cell>
        </row>
        <row r="172">
          <cell r="B172" t="str">
            <v>Proceeds from line of credit</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5.0060000000000002</v>
          </cell>
          <cell r="Z172">
            <v>40.268000000000001</v>
          </cell>
          <cell r="AA172">
            <v>20.016000000000005</v>
          </cell>
          <cell r="AB172">
            <v>65.290000000000006</v>
          </cell>
          <cell r="AC172">
            <v>20.079000000000001</v>
          </cell>
          <cell r="AD172">
            <v>0</v>
          </cell>
          <cell r="AE172">
            <v>0</v>
          </cell>
          <cell r="AF172">
            <v>0</v>
          </cell>
          <cell r="AG172">
            <v>20.079000000000001</v>
          </cell>
        </row>
        <row r="173">
          <cell r="B173" t="str">
            <v>Payment of proceeds from notes payable and LOC</v>
          </cell>
          <cell r="D173">
            <v>0</v>
          </cell>
          <cell r="E173">
            <v>0</v>
          </cell>
          <cell r="F173">
            <v>0</v>
          </cell>
          <cell r="G173">
            <v>0</v>
          </cell>
          <cell r="H173">
            <v>0</v>
          </cell>
          <cell r="M173">
            <v>0</v>
          </cell>
          <cell r="R173">
            <v>0</v>
          </cell>
          <cell r="S173">
            <v>0</v>
          </cell>
          <cell r="T173">
            <v>0</v>
          </cell>
          <cell r="U173">
            <v>0</v>
          </cell>
          <cell r="V173">
            <v>0</v>
          </cell>
          <cell r="W173">
            <v>0</v>
          </cell>
          <cell r="X173">
            <v>0</v>
          </cell>
          <cell r="Y173">
            <v>0</v>
          </cell>
          <cell r="Z173">
            <v>0</v>
          </cell>
          <cell r="AA173">
            <v>-37.421999999999997</v>
          </cell>
          <cell r="AB173">
            <v>-37.421999999999997</v>
          </cell>
          <cell r="AC173">
            <v>-15</v>
          </cell>
          <cell r="AD173">
            <v>-5.0790000000000006</v>
          </cell>
          <cell r="AE173">
            <v>0</v>
          </cell>
          <cell r="AF173">
            <v>0</v>
          </cell>
          <cell r="AG173">
            <v>-20.079000000000001</v>
          </cell>
        </row>
        <row r="174">
          <cell r="B174" t="str">
            <v>Payments for purchase of treasury stock</v>
          </cell>
          <cell r="D174">
            <v>-0.39800000000000002</v>
          </cell>
          <cell r="E174">
            <v>0</v>
          </cell>
          <cell r="F174">
            <v>0</v>
          </cell>
          <cell r="G174">
            <v>-3.7999999999999978E-2</v>
          </cell>
          <cell r="H174">
            <v>-0.436</v>
          </cell>
          <cell r="I174">
            <v>-0.36499999999999999</v>
          </cell>
          <cell r="J174">
            <v>0</v>
          </cell>
          <cell r="K174">
            <v>0</v>
          </cell>
          <cell r="L174">
            <v>-3.6739999999999995</v>
          </cell>
          <cell r="M174">
            <v>-4.0389999999999997</v>
          </cell>
          <cell r="N174">
            <v>0</v>
          </cell>
          <cell r="O174">
            <v>0</v>
          </cell>
          <cell r="P174">
            <v>-13.19</v>
          </cell>
          <cell r="Q174">
            <v>9.9999999999944578E-4</v>
          </cell>
          <cell r="R174">
            <v>-13.189</v>
          </cell>
          <cell r="S174">
            <v>0</v>
          </cell>
          <cell r="T174">
            <v>-3.4340000000000002</v>
          </cell>
          <cell r="U174">
            <v>-6.8359999999999994</v>
          </cell>
          <cell r="V174">
            <v>-1.0830000000000002</v>
          </cell>
          <cell r="W174">
            <v>-11.353</v>
          </cell>
          <cell r="X174">
            <v>-1.157</v>
          </cell>
          <cell r="Y174">
            <v>0</v>
          </cell>
          <cell r="Z174">
            <v>0</v>
          </cell>
          <cell r="AA174">
            <v>-0.16500000000000004</v>
          </cell>
          <cell r="AB174">
            <v>-1.3220000000000001</v>
          </cell>
          <cell r="AC174">
            <v>0</v>
          </cell>
          <cell r="AD174">
            <v>0</v>
          </cell>
          <cell r="AE174">
            <v>0</v>
          </cell>
          <cell r="AF174">
            <v>0</v>
          </cell>
          <cell r="AG174">
            <v>0</v>
          </cell>
        </row>
        <row r="175">
          <cell r="B175" t="str">
            <v>Distributions to minority interest partner</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row>
        <row r="176">
          <cell r="B176" t="str">
            <v>Other</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row>
        <row r="177">
          <cell r="B177" t="str">
            <v>Cash from financing</v>
          </cell>
          <cell r="D177">
            <v>8.6550000000000011</v>
          </cell>
          <cell r="E177">
            <v>13.753</v>
          </cell>
          <cell r="F177">
            <v>-12.226000000000001</v>
          </cell>
          <cell r="G177">
            <v>0.42099999999999937</v>
          </cell>
          <cell r="H177">
            <v>10.603</v>
          </cell>
          <cell r="I177">
            <v>6.4539999999999997</v>
          </cell>
          <cell r="J177">
            <v>0.91100000000000048</v>
          </cell>
          <cell r="K177">
            <v>0.33199999999999896</v>
          </cell>
          <cell r="L177">
            <v>-3.3109999999999982</v>
          </cell>
          <cell r="M177">
            <v>4.386000000000001</v>
          </cell>
          <cell r="N177">
            <v>1.8979999999999999</v>
          </cell>
          <cell r="O177">
            <v>0.53</v>
          </cell>
          <cell r="P177">
            <v>-12.153</v>
          </cell>
          <cell r="Q177">
            <v>0.25199999999999956</v>
          </cell>
          <cell r="R177">
            <v>-9.472999999999999</v>
          </cell>
          <cell r="S177">
            <v>0.74099999999999999</v>
          </cell>
          <cell r="T177">
            <v>-3.157</v>
          </cell>
          <cell r="U177">
            <v>-6.3199999999999994</v>
          </cell>
          <cell r="V177">
            <v>-0.40800000000000025</v>
          </cell>
          <cell r="W177">
            <v>-9.1440000000000001</v>
          </cell>
          <cell r="X177">
            <v>-0.61399999999999999</v>
          </cell>
          <cell r="Y177">
            <v>5.1040000000000001</v>
          </cell>
          <cell r="Z177">
            <v>63.752000000000002</v>
          </cell>
          <cell r="AA177">
            <v>-17.057999999999989</v>
          </cell>
          <cell r="AB177">
            <v>51.183999999999997</v>
          </cell>
          <cell r="AC177">
            <v>7.1649999999999991</v>
          </cell>
          <cell r="AD177">
            <v>-5.0790000000000006</v>
          </cell>
          <cell r="AE177">
            <v>0</v>
          </cell>
          <cell r="AF177">
            <v>0</v>
          </cell>
          <cell r="AG177">
            <v>2.0859999999999985</v>
          </cell>
        </row>
        <row r="179">
          <cell r="B179" t="str">
            <v>Net Increase (Decrease) in Cash and Cash Equivalents</v>
          </cell>
          <cell r="D179">
            <v>25.532</v>
          </cell>
          <cell r="E179">
            <v>-21.566999999999979</v>
          </cell>
          <cell r="F179">
            <v>32.367999999999981</v>
          </cell>
          <cell r="G179">
            <v>-11.359999999999991</v>
          </cell>
          <cell r="H179">
            <v>24.973000000000042</v>
          </cell>
          <cell r="I179">
            <v>18.321000000000016</v>
          </cell>
          <cell r="J179">
            <v>-19.932999999999986</v>
          </cell>
          <cell r="K179">
            <v>-4.7130000000000098</v>
          </cell>
          <cell r="L179">
            <v>-11.003999999999921</v>
          </cell>
          <cell r="M179">
            <v>-17.298999999999985</v>
          </cell>
          <cell r="N179">
            <v>-2.6530000000000147</v>
          </cell>
          <cell r="O179">
            <v>4.8430000000000133</v>
          </cell>
          <cell r="P179">
            <v>2.9830000000000201</v>
          </cell>
          <cell r="Q179">
            <v>6.7410000000001302</v>
          </cell>
          <cell r="R179">
            <v>4.2730000000000476</v>
          </cell>
          <cell r="S179">
            <v>20.393999999999963</v>
          </cell>
          <cell r="T179">
            <v>0.81199999999999228</v>
          </cell>
          <cell r="U179">
            <v>-11.148999999999983</v>
          </cell>
          <cell r="V179">
            <v>-1.3690000000001419</v>
          </cell>
          <cell r="W179">
            <v>8.6879999999998301</v>
          </cell>
          <cell r="X179">
            <v>8.2259999999999742</v>
          </cell>
          <cell r="Y179">
            <v>-12.758999999999975</v>
          </cell>
          <cell r="Z179">
            <v>50.632000000000005</v>
          </cell>
          <cell r="AA179">
            <v>-48.35299999999998</v>
          </cell>
          <cell r="AB179">
            <v>-2.2539999999999978</v>
          </cell>
          <cell r="AC179">
            <v>-9.8730000000000189</v>
          </cell>
          <cell r="AD179">
            <v>-22.939178468090418</v>
          </cell>
          <cell r="AE179">
            <v>4.7485960682047974</v>
          </cell>
          <cell r="AF179">
            <v>13.757899778074449</v>
          </cell>
          <cell r="AG179">
            <v>-21.855682621811194</v>
          </cell>
        </row>
        <row r="180">
          <cell r="B180" t="str">
            <v>Source: Company reports and UBS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CircularReferenceAlert"/>
      <sheetName val="Cover"/>
      <sheetName val="Variance"/>
      <sheetName val="Income Statement"/>
      <sheetName val="MW-Cache"/>
      <sheetName val="Balance Sheet &amp; Cash Flow"/>
      <sheetName val="Drivers"/>
      <sheetName val="Revenue Model"/>
      <sheetName val="Expense Assumptions"/>
      <sheetName val="Scenarios"/>
      <sheetName val="Debt"/>
      <sheetName val="One Pager"/>
      <sheetName val="Guidance"/>
      <sheetName val="Valuation"/>
      <sheetName val="IndexInformation"/>
      <sheetName val="ModPubIndex"/>
      <sheetName val="__APW_ACTIVE_FIELD_RESTORE__"/>
      <sheetName val="HCA.N"/>
      <sheetName val="SheetVisibilityStatus"/>
      <sheetName val="#REF"/>
    </sheetNames>
    <sheetDataSet>
      <sheetData sheetId="0"/>
      <sheetData sheetId="1"/>
      <sheetData sheetId="2"/>
      <sheetData sheetId="3"/>
      <sheetData sheetId="4"/>
      <sheetData sheetId="5">
        <row r="11">
          <cell r="BP11">
            <v>6980</v>
          </cell>
        </row>
      </sheetData>
      <sheetData sheetId="6"/>
      <sheetData sheetId="7">
        <row r="19">
          <cell r="B19" t="str">
            <v>Goodwill &amp; other intangible assets</v>
          </cell>
        </row>
      </sheetData>
      <sheetData sheetId="8" refreshError="1">
        <row r="23">
          <cell r="B23">
            <v>0.13002532841906325</v>
          </cell>
        </row>
      </sheetData>
      <sheetData sheetId="9">
        <row r="44">
          <cell r="BP44">
            <v>398900</v>
          </cell>
        </row>
      </sheetData>
      <sheetData sheetId="10"/>
      <sheetData sheetId="11"/>
      <sheetData sheetId="12">
        <row r="112">
          <cell r="B112" t="str">
            <v>Y</v>
          </cell>
        </row>
      </sheetData>
      <sheetData sheetId="13"/>
      <sheetData sheetId="14"/>
      <sheetData sheetId="15"/>
      <sheetData sheetId="16"/>
      <sheetData sheetId="17"/>
      <sheetData sheetId="18"/>
      <sheetData sheetId="19" refreshError="1"/>
      <sheetData sheetId="20" refreshError="1"/>
      <sheetData sheetId="2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Gross Margin"/>
      <sheetName val="Scenarios"/>
      <sheetName val="Per claim analysis"/>
      <sheetName val="PBM"/>
      <sheetName val="EM"/>
      <sheetName val="NextRx"/>
      <sheetName val="Copays"/>
      <sheetName val="Guidance"/>
      <sheetName val="Debt"/>
      <sheetName val="__FDSCACHE__"/>
      <sheetName val="Valuation"/>
      <sheetName val="mwareSettings"/>
      <sheetName val="MWA RR"/>
      <sheetName val="mwareDates"/>
      <sheetName val="MW-Cache"/>
    </sheetNames>
    <sheetDataSet>
      <sheetData sheetId="0"/>
      <sheetData sheetId="1">
        <row r="5">
          <cell r="B5" t="str">
            <v>ESRX</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C0C0C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Zachary.Sopcak@morganstanley.com" TargetMode="External" Type="http://schemas.openxmlformats.org/officeDocument/2006/relationships/hyperlink"/>
<Relationship Id="rId2" Target="mailto:Leigh.Pressman@morganstanley.com" TargetMode="External" Type="http://schemas.openxmlformats.org/officeDocument/2006/relationships/hyperlink"/>
<Relationship Id="rId3" Target="mailto:Moses.Mutoko@morganstanley.com" TargetMode="External" Type="http://schemas.openxmlformats.org/officeDocument/2006/relationships/hyperlink"/>
<Relationship Id="rId4" Target="../printerSettings/printerSettings3.bin" Type="http://schemas.openxmlformats.org/officeDocument/2006/relationships/printerSettings"/>
<Relationship Id="rId5"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7"/>
  <sheetViews>
    <sheetView showGridLines="0" tabSelected="1" workbookViewId="0">
      <selection activeCell="Z1" sqref="Z1"/>
    </sheetView>
  </sheetViews>
  <sheetFormatPr defaultRowHeight="12.75"/>
  <cols>
    <col min="1" max="1" width="25.7109375" style="1590" customWidth="1"/>
    <col min="2" max="5" width="9.140625" style="1590"/>
    <col min="6" max="6" width="18.7109375" style="1590" customWidth="1"/>
    <col min="7" max="256" width="9.140625" style="1590"/>
    <col min="257" max="257" width="100.7109375" style="1590" customWidth="1"/>
    <col min="258" max="512" width="9.140625" style="1590"/>
    <col min="513" max="513" width="100.7109375" style="1590" customWidth="1"/>
    <col min="514" max="768" width="9.140625" style="1590"/>
    <col min="769" max="769" width="100.7109375" style="1590" customWidth="1"/>
    <col min="770" max="1024" width="9.140625" style="1590"/>
    <col min="1025" max="1025" width="100.7109375" style="1590" customWidth="1"/>
    <col min="1026" max="1280" width="9.140625" style="1590"/>
    <col min="1281" max="1281" width="100.7109375" style="1590" customWidth="1"/>
    <col min="1282" max="1536" width="9.140625" style="1590"/>
    <col min="1537" max="1537" width="100.7109375" style="1590" customWidth="1"/>
    <col min="1538" max="1792" width="9.140625" style="1590"/>
    <col min="1793" max="1793" width="100.7109375" style="1590" customWidth="1"/>
    <col min="1794" max="2048" width="9.140625" style="1590"/>
    <col min="2049" max="2049" width="100.7109375" style="1590" customWidth="1"/>
    <col min="2050" max="2304" width="9.140625" style="1590"/>
    <col min="2305" max="2305" width="100.7109375" style="1590" customWidth="1"/>
    <col min="2306" max="2560" width="9.140625" style="1590"/>
    <col min="2561" max="2561" width="100.7109375" style="1590" customWidth="1"/>
    <col min="2562" max="2816" width="9.140625" style="1590"/>
    <col min="2817" max="2817" width="100.7109375" style="1590" customWidth="1"/>
    <col min="2818" max="3072" width="9.140625" style="1590"/>
    <col min="3073" max="3073" width="100.7109375" style="1590" customWidth="1"/>
    <col min="3074" max="3328" width="9.140625" style="1590"/>
    <col min="3329" max="3329" width="100.7109375" style="1590" customWidth="1"/>
    <col min="3330" max="3584" width="9.140625" style="1590"/>
    <col min="3585" max="3585" width="100.7109375" style="1590" customWidth="1"/>
    <col min="3586" max="3840" width="9.140625" style="1590"/>
    <col min="3841" max="3841" width="100.7109375" style="1590" customWidth="1"/>
    <col min="3842" max="4096" width="9.140625" style="1590"/>
    <col min="4097" max="4097" width="100.7109375" style="1590" customWidth="1"/>
    <col min="4098" max="4352" width="9.140625" style="1590"/>
    <col min="4353" max="4353" width="100.7109375" style="1590" customWidth="1"/>
    <col min="4354" max="4608" width="9.140625" style="1590"/>
    <col min="4609" max="4609" width="100.7109375" style="1590" customWidth="1"/>
    <col min="4610" max="4864" width="9.140625" style="1590"/>
    <col min="4865" max="4865" width="100.7109375" style="1590" customWidth="1"/>
    <col min="4866" max="5120" width="9.140625" style="1590"/>
    <col min="5121" max="5121" width="100.7109375" style="1590" customWidth="1"/>
    <col min="5122" max="5376" width="9.140625" style="1590"/>
    <col min="5377" max="5377" width="100.7109375" style="1590" customWidth="1"/>
    <col min="5378" max="5632" width="9.140625" style="1590"/>
    <col min="5633" max="5633" width="100.7109375" style="1590" customWidth="1"/>
    <col min="5634" max="5888" width="9.140625" style="1590"/>
    <col min="5889" max="5889" width="100.7109375" style="1590" customWidth="1"/>
    <col min="5890" max="6144" width="9.140625" style="1590"/>
    <col min="6145" max="6145" width="100.7109375" style="1590" customWidth="1"/>
    <col min="6146" max="6400" width="9.140625" style="1590"/>
    <col min="6401" max="6401" width="100.7109375" style="1590" customWidth="1"/>
    <col min="6402" max="6656" width="9.140625" style="1590"/>
    <col min="6657" max="6657" width="100.7109375" style="1590" customWidth="1"/>
    <col min="6658" max="6912" width="9.140625" style="1590"/>
    <col min="6913" max="6913" width="100.7109375" style="1590" customWidth="1"/>
    <col min="6914" max="7168" width="9.140625" style="1590"/>
    <col min="7169" max="7169" width="100.7109375" style="1590" customWidth="1"/>
    <col min="7170" max="7424" width="9.140625" style="1590"/>
    <col min="7425" max="7425" width="100.7109375" style="1590" customWidth="1"/>
    <col min="7426" max="7680" width="9.140625" style="1590"/>
    <col min="7681" max="7681" width="100.7109375" style="1590" customWidth="1"/>
    <col min="7682" max="7936" width="9.140625" style="1590"/>
    <col min="7937" max="7937" width="100.7109375" style="1590" customWidth="1"/>
    <col min="7938" max="8192" width="9.140625" style="1590"/>
    <col min="8193" max="8193" width="100.7109375" style="1590" customWidth="1"/>
    <col min="8194" max="8448" width="9.140625" style="1590"/>
    <col min="8449" max="8449" width="100.7109375" style="1590" customWidth="1"/>
    <col min="8450" max="8704" width="9.140625" style="1590"/>
    <col min="8705" max="8705" width="100.7109375" style="1590" customWidth="1"/>
    <col min="8706" max="8960" width="9.140625" style="1590"/>
    <col min="8961" max="8961" width="100.7109375" style="1590" customWidth="1"/>
    <col min="8962" max="9216" width="9.140625" style="1590"/>
    <col min="9217" max="9217" width="100.7109375" style="1590" customWidth="1"/>
    <col min="9218" max="9472" width="9.140625" style="1590"/>
    <col min="9473" max="9473" width="100.7109375" style="1590" customWidth="1"/>
    <col min="9474" max="9728" width="9.140625" style="1590"/>
    <col min="9729" max="9729" width="100.7109375" style="1590" customWidth="1"/>
    <col min="9730" max="9984" width="9.140625" style="1590"/>
    <col min="9985" max="9985" width="100.7109375" style="1590" customWidth="1"/>
    <col min="9986" max="10240" width="9.140625" style="1590"/>
    <col min="10241" max="10241" width="100.7109375" style="1590" customWidth="1"/>
    <col min="10242" max="10496" width="9.140625" style="1590"/>
    <col min="10497" max="10497" width="100.7109375" style="1590" customWidth="1"/>
    <col min="10498" max="10752" width="9.140625" style="1590"/>
    <col min="10753" max="10753" width="100.7109375" style="1590" customWidth="1"/>
    <col min="10754" max="11008" width="9.140625" style="1590"/>
    <col min="11009" max="11009" width="100.7109375" style="1590" customWidth="1"/>
    <col min="11010" max="11264" width="9.140625" style="1590"/>
    <col min="11265" max="11265" width="100.7109375" style="1590" customWidth="1"/>
    <col min="11266" max="11520" width="9.140625" style="1590"/>
    <col min="11521" max="11521" width="100.7109375" style="1590" customWidth="1"/>
    <col min="11522" max="11776" width="9.140625" style="1590"/>
    <col min="11777" max="11777" width="100.7109375" style="1590" customWidth="1"/>
    <col min="11778" max="12032" width="9.140625" style="1590"/>
    <col min="12033" max="12033" width="100.7109375" style="1590" customWidth="1"/>
    <col min="12034" max="12288" width="9.140625" style="1590"/>
    <col min="12289" max="12289" width="100.7109375" style="1590" customWidth="1"/>
    <col min="12290" max="12544" width="9.140625" style="1590"/>
    <col min="12545" max="12545" width="100.7109375" style="1590" customWidth="1"/>
    <col min="12546" max="12800" width="9.140625" style="1590"/>
    <col min="12801" max="12801" width="100.7109375" style="1590" customWidth="1"/>
    <col min="12802" max="13056" width="9.140625" style="1590"/>
    <col min="13057" max="13057" width="100.7109375" style="1590" customWidth="1"/>
    <col min="13058" max="13312" width="9.140625" style="1590"/>
    <col min="13313" max="13313" width="100.7109375" style="1590" customWidth="1"/>
    <col min="13314" max="13568" width="9.140625" style="1590"/>
    <col min="13569" max="13569" width="100.7109375" style="1590" customWidth="1"/>
    <col min="13570" max="13824" width="9.140625" style="1590"/>
    <col min="13825" max="13825" width="100.7109375" style="1590" customWidth="1"/>
    <col min="13826" max="14080" width="9.140625" style="1590"/>
    <col min="14081" max="14081" width="100.7109375" style="1590" customWidth="1"/>
    <col min="14082" max="14336" width="9.140625" style="1590"/>
    <col min="14337" max="14337" width="100.7109375" style="1590" customWidth="1"/>
    <col min="14338" max="14592" width="9.140625" style="1590"/>
    <col min="14593" max="14593" width="100.7109375" style="1590" customWidth="1"/>
    <col min="14594" max="14848" width="9.140625" style="1590"/>
    <col min="14849" max="14849" width="100.7109375" style="1590" customWidth="1"/>
    <col min="14850" max="15104" width="9.140625" style="1590"/>
    <col min="15105" max="15105" width="100.7109375" style="1590" customWidth="1"/>
    <col min="15106" max="15360" width="9.140625" style="1590"/>
    <col min="15361" max="15361" width="100.7109375" style="1590" customWidth="1"/>
    <col min="15362" max="15616" width="9.140625" style="1590"/>
    <col min="15617" max="15617" width="100.7109375" style="1590" customWidth="1"/>
    <col min="15618" max="15872" width="9.140625" style="1590"/>
    <col min="15873" max="15873" width="100.7109375" style="1590" customWidth="1"/>
    <col min="15874" max="16128" width="9.140625" style="1590"/>
    <col min="16129" max="16129" width="100.7109375" style="1590" customWidth="1"/>
    <col min="16130" max="16384" width="9.140625" style="1590"/>
  </cols>
  <sheetData>
    <row r="1" spans="1:8" ht="30" customHeight="1">
      <c r="A1" s="1588"/>
      <c r="B1" s="1589"/>
      <c r="C1" s="1589"/>
      <c r="D1" s="1589"/>
      <c r="E1" s="1589"/>
      <c r="F1" s="1589"/>
      <c r="G1" s="1589"/>
      <c r="H1" s="1589"/>
    </row>
    <row r="2" spans="1:8" ht="14.25">
      <c r="A2" s="1591" t="s">
        <v>745</v>
      </c>
      <c r="B2" s="1589"/>
      <c r="C2" s="1589"/>
      <c r="D2" s="1589"/>
      <c r="E2" s="1589"/>
      <c r="F2" s="1589"/>
      <c r="G2" s="1589"/>
      <c r="H2" s="1589"/>
    </row>
    <row r="3" spans="1:8" ht="14.25">
      <c r="A3" s="1591" t="s">
        <v>746</v>
      </c>
      <c r="B3" s="1589"/>
      <c r="C3" s="1589"/>
      <c r="D3" s="1589"/>
      <c r="E3" s="1589"/>
      <c r="F3" s="1589"/>
      <c r="G3" s="1589"/>
      <c r="H3" s="1589"/>
    </row>
    <row r="4" spans="1:8" ht="14.25">
      <c r="A4" s="1591" t="s">
        <v>747</v>
      </c>
      <c r="B4" s="1589"/>
      <c r="C4" s="1589"/>
      <c r="D4" s="1589"/>
      <c r="E4" s="1589"/>
      <c r="F4" s="1589"/>
      <c r="G4" s="1589"/>
      <c r="H4" s="1589"/>
    </row>
    <row r="5" spans="1:8" ht="14.25">
      <c r="A5" s="1591" t="s">
        <v>748</v>
      </c>
      <c r="B5" s="1589"/>
      <c r="C5" s="1589"/>
      <c r="D5" s="1589"/>
      <c r="E5" s="1589"/>
      <c r="F5" s="1589"/>
      <c r="G5" s="1589"/>
      <c r="H5" s="1589"/>
    </row>
    <row r="6" spans="1:8" ht="14.25">
      <c r="A6" s="1591"/>
      <c r="B6" s="1589"/>
      <c r="C6" s="1589"/>
      <c r="D6" s="1589"/>
      <c r="E6" s="1589"/>
      <c r="F6" s="1589"/>
      <c r="G6" s="1589"/>
      <c r="H6" s="1589"/>
    </row>
    <row r="7" spans="1:8">
      <c r="A7" s="1588" t="s">
        <v>749</v>
      </c>
      <c r="B7" s="1589"/>
      <c r="C7" s="1589"/>
      <c r="D7" s="1589"/>
      <c r="E7" s="1589"/>
      <c r="F7" s="1589"/>
      <c r="G7" s="1589"/>
      <c r="H7" s="1589"/>
    </row>
    <row r="8" spans="1:8">
      <c r="A8" s="1588" t="s">
        <v>750</v>
      </c>
      <c r="B8" s="1589"/>
      <c r="C8" s="1589"/>
      <c r="D8" s="1589"/>
      <c r="E8" s="1589"/>
      <c r="F8" s="1589"/>
      <c r="G8" s="1589"/>
      <c r="H8" s="1589"/>
    </row>
    <row r="9" spans="1:8">
      <c r="A9" s="1588"/>
      <c r="B9" s="1589"/>
      <c r="C9" s="1589"/>
      <c r="D9" s="1589"/>
      <c r="E9" s="1589"/>
      <c r="F9" s="1589"/>
      <c r="G9" s="1589"/>
      <c r="H9" s="1589"/>
    </row>
    <row r="10" spans="1:8">
      <c r="A10" s="1592" t="s">
        <v>751</v>
      </c>
      <c r="B10" s="1589"/>
      <c r="C10" s="1589"/>
      <c r="D10" s="1589"/>
      <c r="E10" s="1589"/>
      <c r="F10" s="1589"/>
      <c r="G10" s="1589"/>
      <c r="H10" s="1589"/>
    </row>
    <row r="11" spans="1:8">
      <c r="A11" s="1592" t="s">
        <v>752</v>
      </c>
      <c r="B11" s="1589"/>
      <c r="C11" s="1589"/>
      <c r="D11" s="1589"/>
      <c r="E11" s="1589"/>
      <c r="F11" s="1589"/>
      <c r="G11" s="1589"/>
      <c r="H11" s="1589"/>
    </row>
    <row r="12" spans="1:8">
      <c r="A12" s="1592" t="s">
        <v>753</v>
      </c>
      <c r="B12" s="1589"/>
      <c r="C12" s="1589"/>
      <c r="D12" s="1589"/>
      <c r="E12" s="1589"/>
      <c r="F12" s="1589"/>
      <c r="G12" s="1589"/>
      <c r="H12" s="1589"/>
    </row>
    <row r="13" spans="1:8">
      <c r="A13" s="1592" t="s">
        <v>754</v>
      </c>
      <c r="B13" s="1589"/>
      <c r="C13" s="1589"/>
      <c r="D13" s="1589"/>
      <c r="E13" s="1589"/>
      <c r="F13" s="1589"/>
      <c r="G13" s="1589"/>
      <c r="H13" s="1589"/>
    </row>
    <row r="14" spans="1:8">
      <c r="A14" s="1592" t="s">
        <v>755</v>
      </c>
      <c r="B14" s="1589"/>
      <c r="C14" s="1589"/>
      <c r="D14" s="1589"/>
      <c r="E14" s="1589"/>
      <c r="F14" s="1589"/>
      <c r="G14" s="1589"/>
      <c r="H14" s="1589"/>
    </row>
    <row r="15" spans="1:8">
      <c r="A15" s="1592" t="s">
        <v>756</v>
      </c>
      <c r="B15" s="1589"/>
      <c r="C15" s="1589"/>
      <c r="D15" s="1589"/>
      <c r="E15" s="1589"/>
      <c r="F15" s="1589"/>
      <c r="G15" s="1589"/>
      <c r="H15" s="1589"/>
    </row>
    <row r="16" spans="1:8">
      <c r="A16" s="1592"/>
      <c r="B16" s="1589"/>
      <c r="C16" s="1589"/>
      <c r="D16" s="1589"/>
      <c r="E16" s="1589"/>
      <c r="F16" s="1589"/>
      <c r="G16" s="1589"/>
      <c r="H16" s="1589"/>
    </row>
    <row r="17" spans="1:8">
      <c r="A17" s="1592" t="s">
        <v>742</v>
      </c>
      <c r="B17" s="1589"/>
      <c r="C17" s="1589"/>
      <c r="D17" s="1589"/>
      <c r="E17" s="1589"/>
      <c r="F17" s="1589"/>
      <c r="G17" s="1589"/>
      <c r="H17" s="1589"/>
    </row>
    <row r="18" spans="1:8">
      <c r="A18" s="1592"/>
      <c r="B18" s="1589"/>
      <c r="C18" s="1589"/>
      <c r="D18" s="1589"/>
      <c r="E18" s="1589"/>
      <c r="F18" s="1589"/>
      <c r="G18" s="1589"/>
      <c r="H18" s="1589"/>
    </row>
    <row r="19" spans="1:8">
      <c r="A19" s="1592" t="s">
        <v>743</v>
      </c>
      <c r="B19" s="1589"/>
      <c r="C19" s="1589"/>
      <c r="D19" s="1589"/>
      <c r="E19" s="1589"/>
      <c r="F19" s="1589"/>
      <c r="G19" s="1589"/>
      <c r="H19" s="1589"/>
    </row>
    <row r="20" spans="1:8">
      <c r="A20" s="1588"/>
      <c r="B20" s="1589"/>
      <c r="C20" s="1589"/>
      <c r="D20" s="1589"/>
      <c r="E20" s="1589"/>
      <c r="F20" s="1589"/>
      <c r="G20" s="1589"/>
      <c r="H20" s="1589"/>
    </row>
    <row r="21" spans="1:8">
      <c r="A21" s="1593" t="s">
        <v>744</v>
      </c>
      <c r="B21" s="1589"/>
      <c r="C21" s="1589"/>
      <c r="D21" s="1589"/>
      <c r="E21" s="1589"/>
      <c r="F21" s="1589"/>
      <c r="G21" s="1589"/>
      <c r="H21" s="1589"/>
    </row>
    <row r="22" spans="1:8">
      <c r="A22" s="1594"/>
      <c r="B22" s="1594"/>
      <c r="C22" s="1594"/>
      <c r="D22" s="1594"/>
      <c r="E22" s="1594"/>
      <c r="F22" s="1594"/>
      <c r="G22" s="1594"/>
      <c r="H22" s="1594"/>
    </row>
    <row r="23" spans="1:8">
      <c r="A23" s="1595" t="s">
        <v>1039</v>
      </c>
      <c r="B23" s="1594"/>
      <c r="C23" s="1594"/>
      <c r="D23" s="1594"/>
      <c r="E23" s="1594"/>
      <c r="F23" s="1594"/>
      <c r="G23" s="1594"/>
      <c r="H23" s="1594"/>
    </row>
    <row r="24" spans="1:8">
      <c r="A24" s="1595" t="s">
        <v>1040</v>
      </c>
      <c r="B24" s="1594"/>
      <c r="C24" s="1594"/>
      <c r="D24" s="1594"/>
      <c r="E24" s="1594"/>
      <c r="F24" s="1594"/>
      <c r="G24" s="1594"/>
      <c r="H24" s="1594"/>
    </row>
    <row r="25" spans="1:8">
      <c r="A25" s="1595" t="s">
        <v>1041</v>
      </c>
      <c r="B25" s="1594"/>
      <c r="C25" s="1594"/>
      <c r="D25" s="1594"/>
      <c r="E25" s="1594"/>
      <c r="F25" s="1594"/>
      <c r="G25" s="1594"/>
      <c r="H25" s="1594"/>
    </row>
    <row r="26" spans="1:8">
      <c r="A26" s="1595" t="s">
        <v>1042</v>
      </c>
      <c r="B26" s="1594"/>
      <c r="C26" s="1594"/>
      <c r="D26" s="1594"/>
      <c r="E26" s="1594"/>
      <c r="F26" s="1594"/>
      <c r="G26" s="1594"/>
      <c r="H26" s="1594"/>
    </row>
    <row r="27" spans="1:8">
      <c r="A27" s="1594"/>
      <c r="B27" s="1594"/>
      <c r="C27" s="1594"/>
      <c r="D27" s="1594"/>
      <c r="E27" s="1594"/>
      <c r="F27" s="1594"/>
      <c r="G27" s="1594"/>
      <c r="H27" s="1594"/>
    </row>
    <row r="28" spans="1:8">
      <c r="A28" s="1594"/>
      <c r="B28" s="1594"/>
      <c r="C28" s="1594"/>
      <c r="D28" s="1594"/>
      <c r="E28" s="1594"/>
      <c r="F28" s="1594"/>
      <c r="G28" s="1594"/>
      <c r="H28" s="1594"/>
    </row>
    <row r="29" spans="1:8">
      <c r="A29" s="1595" t="s">
        <v>1034</v>
      </c>
      <c r="B29" s="1594"/>
      <c r="C29" s="1594"/>
      <c r="D29" s="1594"/>
      <c r="E29" s="1594"/>
      <c r="F29" s="1594"/>
      <c r="G29" s="1594"/>
      <c r="H29" s="1594"/>
    </row>
    <row r="30" spans="1:8">
      <c r="A30" s="1595" t="s">
        <v>1035</v>
      </c>
      <c r="B30" s="1594"/>
      <c r="C30" s="1594"/>
      <c r="D30" s="1594"/>
      <c r="E30" s="1594"/>
      <c r="F30" s="1594"/>
      <c r="G30" s="1594"/>
      <c r="H30" s="1594"/>
    </row>
    <row r="31" spans="1:8">
      <c r="A31" s="1595" t="s">
        <v>1036</v>
      </c>
      <c r="B31" s="1594"/>
      <c r="C31" s="1594"/>
      <c r="D31" s="1594"/>
      <c r="E31" s="1594"/>
      <c r="F31" s="1594"/>
      <c r="G31" s="1594"/>
      <c r="H31" s="1594"/>
    </row>
    <row r="32" spans="1:8">
      <c r="A32" s="1595" t="s">
        <v>1037</v>
      </c>
      <c r="B32" s="1594"/>
      <c r="C32" s="1594"/>
      <c r="D32" s="1594"/>
      <c r="E32" s="1594"/>
      <c r="F32" s="1594"/>
      <c r="G32" s="1594"/>
      <c r="H32" s="1594"/>
    </row>
    <row r="33" spans="1:8">
      <c r="A33" s="1595" t="s">
        <v>1038</v>
      </c>
      <c r="B33" s="1594"/>
      <c r="C33" s="1594"/>
      <c r="D33" s="1594"/>
      <c r="E33" s="1594"/>
      <c r="F33" s="1594"/>
      <c r="G33" s="1594"/>
      <c r="H33" s="1594"/>
    </row>
    <row r="34" spans="1:8">
      <c r="A34" s="1594"/>
      <c r="B34" s="1594"/>
      <c r="C34" s="1594"/>
      <c r="D34" s="1594"/>
      <c r="E34" s="1594"/>
      <c r="F34" s="1594"/>
      <c r="G34" s="1594"/>
      <c r="H34" s="1594"/>
    </row>
    <row r="35" spans="1:8">
      <c r="A35" s="1595" t="s">
        <v>1030</v>
      </c>
      <c r="B35" s="1594"/>
      <c r="C35" s="1594"/>
      <c r="D35" s="1594"/>
      <c r="E35" s="1594"/>
      <c r="F35" s="1594"/>
      <c r="G35" s="1594"/>
      <c r="H35" s="1594"/>
    </row>
    <row r="36" spans="1:8">
      <c r="A36" s="1595" t="s">
        <v>1031</v>
      </c>
      <c r="B36" s="1594"/>
      <c r="C36" s="1594"/>
      <c r="D36" s="1594"/>
      <c r="E36" s="1594"/>
      <c r="F36" s="1594"/>
      <c r="G36" s="1594"/>
      <c r="H36" s="1594"/>
    </row>
    <row r="37" spans="1:8">
      <c r="A37" s="1595" t="s">
        <v>1032</v>
      </c>
      <c r="B37" s="1594"/>
      <c r="C37" s="1594"/>
      <c r="D37" s="1594"/>
      <c r="E37" s="1594"/>
      <c r="F37" s="1594"/>
      <c r="G37" s="1594"/>
      <c r="H37" s="1594"/>
    </row>
    <row r="38" spans="1:8">
      <c r="A38" s="1595" t="s">
        <v>1033</v>
      </c>
      <c r="B38" s="1594"/>
      <c r="C38" s="1594"/>
      <c r="D38" s="1594"/>
      <c r="E38" s="1594"/>
      <c r="F38" s="1594"/>
      <c r="G38" s="1594"/>
      <c r="H38" s="1594"/>
    </row>
    <row r="39" spans="1:8">
      <c r="A39" s="1594"/>
      <c r="B39" s="1594"/>
      <c r="C39" s="1594"/>
      <c r="D39" s="1594"/>
      <c r="E39" s="1594"/>
      <c r="F39" s="1594"/>
      <c r="G39" s="1594"/>
      <c r="H39" s="1594"/>
    </row>
    <row r="40" spans="1:8">
      <c r="A40" s="1595" t="s">
        <v>1024</v>
      </c>
      <c r="B40" s="1594"/>
      <c r="C40" s="1594"/>
      <c r="D40" s="1594"/>
      <c r="E40" s="1594"/>
      <c r="F40" s="1594"/>
      <c r="G40" s="1594"/>
      <c r="H40" s="1594"/>
    </row>
    <row r="41" spans="1:8">
      <c r="A41" s="1595" t="s">
        <v>1025</v>
      </c>
      <c r="B41" s="1594"/>
      <c r="C41" s="1594"/>
      <c r="D41" s="1594"/>
      <c r="E41" s="1594"/>
      <c r="F41" s="1594"/>
      <c r="G41" s="1594"/>
      <c r="H41" s="1594"/>
    </row>
    <row r="42" spans="1:8">
      <c r="A42" s="1595" t="s">
        <v>1026</v>
      </c>
      <c r="B42" s="1594"/>
      <c r="C42" s="1594"/>
      <c r="D42" s="1594"/>
      <c r="E42" s="1594"/>
      <c r="F42" s="1594"/>
      <c r="G42" s="1594"/>
      <c r="H42" s="1594"/>
    </row>
    <row r="43" spans="1:8">
      <c r="A43" s="1595" t="s">
        <v>1027</v>
      </c>
      <c r="B43" s="1594"/>
      <c r="C43" s="1594"/>
      <c r="D43" s="1594"/>
      <c r="E43" s="1594"/>
      <c r="F43" s="1594"/>
      <c r="G43" s="1594"/>
      <c r="H43" s="1594"/>
    </row>
    <row r="44" spans="1:8">
      <c r="A44" s="1595" t="s">
        <v>1028</v>
      </c>
      <c r="B44" s="1594"/>
      <c r="C44" s="1594"/>
      <c r="D44" s="1594"/>
      <c r="E44" s="1594"/>
      <c r="F44" s="1594"/>
      <c r="G44" s="1594"/>
      <c r="H44" s="1594"/>
    </row>
    <row r="45" spans="1:8">
      <c r="A45" s="1595" t="s">
        <v>1029</v>
      </c>
      <c r="B45" s="1594"/>
      <c r="C45" s="1594"/>
      <c r="D45" s="1594"/>
      <c r="E45" s="1594"/>
      <c r="F45" s="1594"/>
      <c r="G45" s="1594"/>
      <c r="H45" s="1594"/>
    </row>
    <row r="46" spans="1:8">
      <c r="A46" s="1594"/>
      <c r="B46" s="1594"/>
      <c r="C46" s="1594"/>
      <c r="D46" s="1594"/>
      <c r="E46" s="1594"/>
      <c r="F46" s="1594"/>
      <c r="G46" s="1594"/>
      <c r="H46" s="1594"/>
    </row>
    <row r="47" spans="1:8" ht="15.75">
      <c r="A47" s="1596" t="s">
        <v>757</v>
      </c>
      <c r="B47" s="1594"/>
      <c r="C47" s="1594"/>
      <c r="D47" s="1594"/>
      <c r="E47" s="1594"/>
      <c r="F47" s="1594"/>
      <c r="G47" s="1594"/>
      <c r="H47" s="1594"/>
    </row>
    <row r="48" spans="1:8">
      <c r="A48" s="1594"/>
      <c r="B48" s="1594"/>
      <c r="C48" s="1594"/>
      <c r="D48" s="1594"/>
      <c r="E48" s="1594"/>
      <c r="F48" s="1594"/>
      <c r="G48" s="1594"/>
      <c r="H48" s="1594"/>
    </row>
    <row r="49" spans="1:8">
      <c r="A49" s="1595" t="s">
        <v>1020</v>
      </c>
      <c r="B49" s="1594"/>
      <c r="C49" s="1594"/>
      <c r="D49" s="1594"/>
      <c r="E49" s="1594"/>
      <c r="F49" s="1594"/>
      <c r="G49" s="1594"/>
      <c r="H49" s="1594"/>
    </row>
    <row r="50" spans="1:8">
      <c r="A50" s="1595" t="s">
        <v>1021</v>
      </c>
      <c r="B50" s="1594"/>
      <c r="C50" s="1594"/>
      <c r="D50" s="1594"/>
      <c r="E50" s="1594"/>
      <c r="F50" s="1594"/>
      <c r="G50" s="1594"/>
      <c r="H50" s="1594"/>
    </row>
    <row r="51" spans="1:8">
      <c r="A51" s="1595" t="s">
        <v>1022</v>
      </c>
      <c r="B51" s="1594"/>
      <c r="C51" s="1594"/>
      <c r="D51" s="1594"/>
      <c r="E51" s="1594"/>
      <c r="F51" s="1594"/>
      <c r="G51" s="1594"/>
      <c r="H51" s="1594"/>
    </row>
    <row r="52" spans="1:8">
      <c r="A52" s="1595" t="s">
        <v>1023</v>
      </c>
      <c r="B52" s="1594"/>
      <c r="C52" s="1594"/>
      <c r="D52" s="1594"/>
      <c r="E52" s="1594"/>
      <c r="F52" s="1594"/>
      <c r="G52" s="1594"/>
      <c r="H52" s="1594"/>
    </row>
    <row r="53" spans="1:8">
      <c r="A53" s="1594"/>
      <c r="B53" s="1594"/>
      <c r="C53" s="1594"/>
      <c r="D53" s="1594"/>
      <c r="E53" s="1594"/>
      <c r="F53" s="1594"/>
      <c r="G53" s="1594"/>
      <c r="H53" s="1594"/>
    </row>
    <row r="54" spans="1:8">
      <c r="A54" s="1595" t="s">
        <v>758</v>
      </c>
      <c r="B54" s="1594"/>
      <c r="C54" s="1594"/>
      <c r="D54" s="1594"/>
      <c r="E54" s="1594"/>
      <c r="F54" s="1594"/>
      <c r="G54" s="1594"/>
      <c r="H54" s="1594"/>
    </row>
    <row r="55" spans="1:8">
      <c r="A55" s="1594"/>
      <c r="B55" s="1594"/>
      <c r="C55" s="1594"/>
      <c r="D55" s="1594"/>
      <c r="E55" s="1594"/>
      <c r="F55" s="1594"/>
      <c r="G55" s="1594"/>
      <c r="H55" s="1594"/>
    </row>
    <row r="56" spans="1:8" ht="15.75">
      <c r="A56" s="1596" t="s">
        <v>759</v>
      </c>
      <c r="B56" s="1594"/>
      <c r="C56" s="1594"/>
      <c r="D56" s="1594"/>
      <c r="E56" s="1594"/>
      <c r="F56" s="1594"/>
      <c r="G56" s="1594"/>
      <c r="H56" s="1594"/>
    </row>
    <row r="57" spans="1:8">
      <c r="A57" s="1594"/>
      <c r="B57" s="1594"/>
      <c r="C57" s="1594"/>
      <c r="D57" s="1594"/>
      <c r="E57" s="1594"/>
      <c r="F57" s="1594"/>
      <c r="G57" s="1594"/>
      <c r="H57" s="1594"/>
    </row>
    <row r="58" spans="1:8">
      <c r="A58" s="1595" t="s">
        <v>1018</v>
      </c>
      <c r="B58" s="1594"/>
      <c r="C58" s="1594"/>
      <c r="D58" s="1594"/>
      <c r="E58" s="1594"/>
      <c r="F58" s="1594"/>
      <c r="G58" s="1594"/>
      <c r="H58" s="1594"/>
    </row>
    <row r="59" spans="1:8">
      <c r="A59" s="1595" t="s">
        <v>1019</v>
      </c>
      <c r="B59" s="1594"/>
      <c r="C59" s="1594"/>
      <c r="D59" s="1594"/>
      <c r="E59" s="1594"/>
      <c r="F59" s="1594"/>
      <c r="G59" s="1594"/>
      <c r="H59" s="1594"/>
    </row>
    <row r="60" spans="1:8">
      <c r="A60" s="1594"/>
      <c r="B60" s="1594"/>
      <c r="C60" s="1594"/>
      <c r="D60" s="1594"/>
      <c r="E60" s="1594"/>
      <c r="F60" s="1594"/>
      <c r="G60" s="1594"/>
      <c r="H60" s="1594"/>
    </row>
    <row r="61" spans="1:8" ht="15.75">
      <c r="A61" s="1596" t="s">
        <v>760</v>
      </c>
      <c r="B61" s="1594"/>
      <c r="C61" s="1594"/>
      <c r="D61" s="1594"/>
      <c r="E61" s="1594"/>
      <c r="F61" s="1594"/>
      <c r="G61" s="1594"/>
      <c r="H61" s="1594"/>
    </row>
    <row r="62" spans="1:8">
      <c r="A62" s="1594"/>
      <c r="B62" s="1594"/>
      <c r="C62" s="1594"/>
      <c r="D62" s="1594"/>
      <c r="E62" s="1594"/>
      <c r="F62" s="1594"/>
      <c r="G62" s="1594"/>
      <c r="H62" s="1594"/>
    </row>
    <row r="63" spans="1:8">
      <c r="A63" s="1595" t="s">
        <v>1016</v>
      </c>
      <c r="B63" s="1594"/>
      <c r="C63" s="1594"/>
      <c r="D63" s="1594"/>
      <c r="E63" s="1594"/>
      <c r="F63" s="1594"/>
      <c r="G63" s="1594"/>
      <c r="H63" s="1594"/>
    </row>
    <row r="64" spans="1:8">
      <c r="A64" s="1595" t="s">
        <v>1017</v>
      </c>
      <c r="B64" s="1594"/>
      <c r="C64" s="1594"/>
      <c r="D64" s="1594"/>
      <c r="E64" s="1594"/>
      <c r="F64" s="1594"/>
      <c r="G64" s="1594"/>
      <c r="H64" s="1594"/>
    </row>
    <row r="65" spans="1:8">
      <c r="A65" s="1594"/>
      <c r="B65" s="1594"/>
      <c r="C65" s="1594"/>
      <c r="D65" s="1594"/>
      <c r="E65" s="1594"/>
      <c r="F65" s="1594"/>
      <c r="G65" s="1594"/>
      <c r="H65" s="1594"/>
    </row>
    <row r="66" spans="1:8">
      <c r="A66" s="1595" t="s">
        <v>1014</v>
      </c>
      <c r="B66" s="1594"/>
      <c r="C66" s="1594"/>
      <c r="D66" s="1594"/>
      <c r="E66" s="1594"/>
      <c r="F66" s="1594"/>
      <c r="G66" s="1594"/>
      <c r="H66" s="1594"/>
    </row>
    <row r="67" spans="1:8">
      <c r="A67" s="1595" t="s">
        <v>1015</v>
      </c>
      <c r="B67" s="1594"/>
      <c r="C67" s="1594"/>
      <c r="D67" s="1594"/>
      <c r="E67" s="1594"/>
      <c r="F67" s="1594"/>
      <c r="G67" s="1594"/>
      <c r="H67" s="1594"/>
    </row>
    <row r="68" spans="1:8">
      <c r="A68" s="1594"/>
      <c r="B68" s="1594"/>
      <c r="C68" s="1594"/>
      <c r="D68" s="1594"/>
      <c r="E68" s="1594"/>
      <c r="F68" s="1594"/>
      <c r="G68" s="1594"/>
      <c r="H68" s="1594"/>
    </row>
    <row r="69" spans="1:8">
      <c r="A69" s="1595" t="s">
        <v>1012</v>
      </c>
      <c r="B69" s="1594"/>
      <c r="C69" s="1594"/>
      <c r="D69" s="1594"/>
      <c r="E69" s="1594"/>
      <c r="F69" s="1594"/>
      <c r="G69" s="1594"/>
      <c r="H69" s="1594"/>
    </row>
    <row r="70" spans="1:8">
      <c r="A70" s="1595" t="s">
        <v>1013</v>
      </c>
      <c r="B70" s="1594"/>
      <c r="C70" s="1594"/>
      <c r="D70" s="1594"/>
      <c r="E70" s="1594"/>
      <c r="F70" s="1594"/>
      <c r="G70" s="1594"/>
      <c r="H70" s="1594"/>
    </row>
    <row r="71" spans="1:8">
      <c r="A71" s="1594"/>
      <c r="B71" s="1594"/>
      <c r="C71" s="1594"/>
      <c r="D71" s="1594"/>
      <c r="E71" s="1594"/>
      <c r="F71" s="1594"/>
      <c r="G71" s="1594"/>
      <c r="H71" s="1594"/>
    </row>
    <row r="72" spans="1:8">
      <c r="A72" s="1595" t="s">
        <v>1010</v>
      </c>
      <c r="B72" s="1594"/>
      <c r="C72" s="1594"/>
      <c r="D72" s="1594"/>
      <c r="E72" s="1594"/>
      <c r="F72" s="1594"/>
      <c r="G72" s="1594"/>
      <c r="H72" s="1594"/>
    </row>
    <row r="73" spans="1:8">
      <c r="A73" s="1595" t="s">
        <v>1011</v>
      </c>
      <c r="B73" s="1594"/>
      <c r="C73" s="1594"/>
      <c r="D73" s="1594"/>
      <c r="E73" s="1594"/>
      <c r="F73" s="1594"/>
      <c r="G73" s="1594"/>
      <c r="H73" s="1594"/>
    </row>
    <row r="74" spans="1:8">
      <c r="A74" s="1594"/>
      <c r="B74" s="1594"/>
      <c r="C74" s="1594"/>
      <c r="D74" s="1594"/>
      <c r="E74" s="1594"/>
      <c r="F74" s="1594"/>
      <c r="G74" s="1594"/>
      <c r="H74" s="1594"/>
    </row>
    <row r="75" spans="1:8">
      <c r="A75" s="1595" t="s">
        <v>1008</v>
      </c>
      <c r="B75" s="1594"/>
      <c r="C75" s="1594"/>
      <c r="D75" s="1594"/>
      <c r="E75" s="1594"/>
      <c r="F75" s="1594"/>
      <c r="G75" s="1594"/>
      <c r="H75" s="1594"/>
    </row>
    <row r="76" spans="1:8">
      <c r="A76" s="1595" t="s">
        <v>1009</v>
      </c>
      <c r="B76" s="1594"/>
      <c r="C76" s="1594"/>
      <c r="D76" s="1594"/>
      <c r="E76" s="1594"/>
      <c r="F76" s="1594"/>
      <c r="G76" s="1594"/>
      <c r="H76" s="1594"/>
    </row>
    <row r="77" spans="1:8">
      <c r="A77" s="1594"/>
      <c r="B77" s="1594"/>
      <c r="C77" s="1594"/>
      <c r="D77" s="1594"/>
      <c r="E77" s="1594"/>
      <c r="F77" s="1594"/>
      <c r="G77" s="1594"/>
      <c r="H77" s="1594"/>
    </row>
    <row r="78" spans="1:8">
      <c r="A78" s="1595" t="s">
        <v>1005</v>
      </c>
      <c r="B78" s="1594"/>
      <c r="C78" s="1594"/>
      <c r="D78" s="1594"/>
      <c r="E78" s="1594"/>
      <c r="F78" s="1594"/>
      <c r="G78" s="1594"/>
      <c r="H78" s="1594"/>
    </row>
    <row r="79" spans="1:8">
      <c r="A79" s="1595" t="s">
        <v>1006</v>
      </c>
      <c r="B79" s="1594"/>
      <c r="C79" s="1594"/>
      <c r="D79" s="1594"/>
      <c r="E79" s="1594"/>
      <c r="F79" s="1594"/>
      <c r="G79" s="1594"/>
      <c r="H79" s="1594"/>
    </row>
    <row r="80" spans="1:8">
      <c r="A80" s="1595" t="s">
        <v>1007</v>
      </c>
      <c r="B80" s="1594"/>
      <c r="C80" s="1594"/>
      <c r="D80" s="1594"/>
      <c r="E80" s="1594"/>
      <c r="F80" s="1594"/>
      <c r="G80" s="1594"/>
      <c r="H80" s="1594"/>
    </row>
    <row r="81" spans="1:8">
      <c r="A81" s="1594"/>
      <c r="B81" s="1594"/>
      <c r="C81" s="1594"/>
      <c r="D81" s="1594"/>
      <c r="E81" s="1594"/>
      <c r="F81" s="1594"/>
      <c r="G81" s="1594"/>
      <c r="H81" s="1594"/>
    </row>
    <row r="82" spans="1:8">
      <c r="A82" s="1595" t="s">
        <v>761</v>
      </c>
      <c r="B82" s="1594"/>
      <c r="C82" s="1594"/>
      <c r="D82" s="1594"/>
      <c r="E82" s="1594"/>
      <c r="F82" s="1594"/>
      <c r="G82" s="1594"/>
      <c r="H82" s="1594"/>
    </row>
    <row r="83" spans="1:8">
      <c r="A83" s="1594"/>
      <c r="B83" s="1594"/>
      <c r="C83" s="1594"/>
      <c r="D83" s="1594"/>
      <c r="E83" s="1594"/>
      <c r="F83" s="1594"/>
      <c r="G83" s="1594"/>
      <c r="H83" s="1594"/>
    </row>
    <row r="84" spans="1:8">
      <c r="A84" s="1595" t="s">
        <v>1000</v>
      </c>
      <c r="B84" s="1594"/>
      <c r="C84" s="1594"/>
      <c r="D84" s="1594"/>
      <c r="E84" s="1594"/>
      <c r="F84" s="1594"/>
      <c r="G84" s="1594"/>
      <c r="H84" s="1594"/>
    </row>
    <row r="85" spans="1:8">
      <c r="A85" s="1595" t="s">
        <v>1001</v>
      </c>
      <c r="B85" s="1594"/>
      <c r="C85" s="1594"/>
      <c r="D85" s="1594"/>
      <c r="E85" s="1594"/>
      <c r="F85" s="1594"/>
      <c r="G85" s="1594"/>
      <c r="H85" s="1594"/>
    </row>
    <row r="86" spans="1:8">
      <c r="A86" s="1595" t="s">
        <v>1002</v>
      </c>
      <c r="B86" s="1594"/>
      <c r="C86" s="1594"/>
      <c r="D86" s="1594"/>
      <c r="E86" s="1594"/>
      <c r="F86" s="1594"/>
      <c r="G86" s="1594"/>
      <c r="H86" s="1594"/>
    </row>
    <row r="87" spans="1:8">
      <c r="A87" s="1595" t="s">
        <v>1003</v>
      </c>
      <c r="B87" s="1594"/>
      <c r="C87" s="1594"/>
      <c r="D87" s="1594"/>
      <c r="E87" s="1594"/>
      <c r="F87" s="1594"/>
      <c r="G87" s="1594"/>
      <c r="H87" s="1594"/>
    </row>
    <row r="88" spans="1:8">
      <c r="A88" s="1595" t="s">
        <v>1004</v>
      </c>
      <c r="B88" s="1594"/>
      <c r="C88" s="1594"/>
      <c r="D88" s="1594"/>
      <c r="E88" s="1594"/>
      <c r="F88" s="1594"/>
      <c r="G88" s="1594"/>
      <c r="H88" s="1594"/>
    </row>
    <row r="89" spans="1:8">
      <c r="A89" s="1595" t="s">
        <v>887</v>
      </c>
      <c r="B89" s="1594"/>
      <c r="C89" s="1594"/>
      <c r="D89" s="1594"/>
      <c r="E89" s="1594"/>
      <c r="F89" s="1594"/>
      <c r="G89" s="1594"/>
      <c r="H89" s="1594"/>
    </row>
    <row r="90" spans="1:8">
      <c r="A90" s="1594"/>
      <c r="B90" s="1594"/>
      <c r="C90" s="1594"/>
      <c r="D90" s="1594"/>
      <c r="E90" s="1594"/>
      <c r="F90" s="1594"/>
      <c r="G90" s="1594"/>
      <c r="H90" s="1594"/>
    </row>
    <row r="91" spans="1:8">
      <c r="A91" s="1595" t="s">
        <v>993</v>
      </c>
      <c r="B91" s="1594"/>
      <c r="C91" s="1594"/>
      <c r="D91" s="1594"/>
      <c r="E91" s="1594"/>
      <c r="F91" s="1594"/>
      <c r="G91" s="1594"/>
      <c r="H91" s="1594"/>
    </row>
    <row r="92" spans="1:8">
      <c r="A92" s="1595" t="s">
        <v>994</v>
      </c>
      <c r="B92" s="1594"/>
      <c r="C92" s="1594"/>
      <c r="D92" s="1594"/>
      <c r="E92" s="1594"/>
      <c r="F92" s="1594"/>
      <c r="G92" s="1594"/>
      <c r="H92" s="1594"/>
    </row>
    <row r="93" spans="1:8">
      <c r="A93" s="1595" t="s">
        <v>995</v>
      </c>
      <c r="B93" s="1594"/>
      <c r="C93" s="1594"/>
      <c r="D93" s="1594"/>
      <c r="E93" s="1594"/>
      <c r="F93" s="1594"/>
      <c r="G93" s="1594"/>
      <c r="H93" s="1594"/>
    </row>
    <row r="94" spans="1:8">
      <c r="A94" s="1595" t="s">
        <v>996</v>
      </c>
      <c r="B94" s="1594"/>
      <c r="C94" s="1594"/>
      <c r="D94" s="1594"/>
      <c r="E94" s="1594"/>
      <c r="F94" s="1594"/>
      <c r="G94" s="1594"/>
      <c r="H94" s="1594"/>
    </row>
    <row r="95" spans="1:8">
      <c r="A95" s="1595" t="s">
        <v>997</v>
      </c>
      <c r="B95" s="1594"/>
      <c r="C95" s="1594"/>
      <c r="D95" s="1594"/>
      <c r="E95" s="1594"/>
      <c r="F95" s="1594"/>
      <c r="G95" s="1594"/>
      <c r="H95" s="1594"/>
    </row>
    <row r="96" spans="1:8">
      <c r="A96" s="1595" t="s">
        <v>998</v>
      </c>
      <c r="B96" s="1594"/>
      <c r="C96" s="1594"/>
      <c r="D96" s="1594"/>
      <c r="E96" s="1594"/>
      <c r="F96" s="1594"/>
      <c r="G96" s="1594"/>
      <c r="H96" s="1594"/>
    </row>
    <row r="97" spans="1:8">
      <c r="A97" s="1595" t="s">
        <v>999</v>
      </c>
      <c r="B97" s="1594"/>
      <c r="C97" s="1594"/>
      <c r="D97" s="1594"/>
      <c r="E97" s="1594"/>
      <c r="F97" s="1594"/>
      <c r="G97" s="1594"/>
      <c r="H97" s="1594"/>
    </row>
    <row r="98" spans="1:8">
      <c r="A98" s="1594"/>
      <c r="B98" s="1594"/>
      <c r="C98" s="1594"/>
      <c r="D98" s="1594"/>
      <c r="E98" s="1594"/>
      <c r="F98" s="1594"/>
      <c r="G98" s="1594"/>
      <c r="H98" s="1594"/>
    </row>
    <row r="99" spans="1:8">
      <c r="A99" s="1595" t="s">
        <v>991</v>
      </c>
      <c r="B99" s="1594"/>
      <c r="C99" s="1594"/>
      <c r="D99" s="1594"/>
      <c r="E99" s="1594"/>
      <c r="F99" s="1594"/>
      <c r="G99" s="1594"/>
      <c r="H99" s="1594"/>
    </row>
    <row r="100" spans="1:8">
      <c r="A100" s="1595" t="s">
        <v>992</v>
      </c>
      <c r="B100" s="1594"/>
      <c r="C100" s="1594"/>
      <c r="D100" s="1594"/>
      <c r="E100" s="1594"/>
      <c r="F100" s="1594"/>
      <c r="G100" s="1594"/>
      <c r="H100" s="1594"/>
    </row>
    <row r="101" spans="1:8">
      <c r="A101" s="1594"/>
      <c r="B101" s="1594"/>
      <c r="C101" s="1594"/>
      <c r="D101" s="1594"/>
      <c r="E101" s="1594"/>
      <c r="F101" s="1594"/>
      <c r="G101" s="1594"/>
      <c r="H101" s="1594"/>
    </row>
    <row r="102" spans="1:8" ht="15.75">
      <c r="A102" s="1596" t="s">
        <v>762</v>
      </c>
      <c r="B102" s="1594"/>
      <c r="C102" s="1594"/>
      <c r="D102" s="1594"/>
      <c r="E102" s="1594"/>
      <c r="F102" s="1594"/>
      <c r="G102" s="1594"/>
      <c r="H102" s="1594"/>
    </row>
    <row r="103" spans="1:8">
      <c r="A103" s="1594"/>
      <c r="B103" s="1594"/>
      <c r="C103" s="1594"/>
      <c r="D103" s="1594"/>
      <c r="E103" s="1594"/>
      <c r="F103" s="1594"/>
      <c r="G103" s="1594"/>
      <c r="H103" s="1594"/>
    </row>
    <row r="104" spans="1:8">
      <c r="A104" s="1595" t="s">
        <v>982</v>
      </c>
      <c r="B104" s="1594"/>
      <c r="C104" s="1594"/>
      <c r="D104" s="1594"/>
      <c r="E104" s="1594"/>
      <c r="F104" s="1594"/>
      <c r="G104" s="1594"/>
      <c r="H104" s="1594"/>
    </row>
    <row r="105" spans="1:8">
      <c r="A105" s="1595" t="s">
        <v>983</v>
      </c>
      <c r="B105" s="1594"/>
      <c r="C105" s="1594"/>
      <c r="D105" s="1594"/>
      <c r="E105" s="1594"/>
      <c r="F105" s="1594"/>
      <c r="G105" s="1594"/>
      <c r="H105" s="1594"/>
    </row>
    <row r="106" spans="1:8">
      <c r="A106" s="1595" t="s">
        <v>984</v>
      </c>
      <c r="B106" s="1594"/>
      <c r="C106" s="1594"/>
      <c r="D106" s="1594"/>
      <c r="E106" s="1594"/>
      <c r="F106" s="1594"/>
      <c r="G106" s="1594"/>
      <c r="H106" s="1594"/>
    </row>
    <row r="107" spans="1:8">
      <c r="A107" s="1595" t="s">
        <v>985</v>
      </c>
      <c r="B107" s="1594"/>
      <c r="C107" s="1594"/>
      <c r="D107" s="1594"/>
      <c r="E107" s="1594"/>
      <c r="F107" s="1594"/>
      <c r="G107" s="1594"/>
      <c r="H107" s="1594"/>
    </row>
    <row r="108" spans="1:8">
      <c r="A108" s="1595" t="s">
        <v>986</v>
      </c>
      <c r="B108" s="1594"/>
      <c r="C108" s="1594"/>
      <c r="D108" s="1594"/>
      <c r="E108" s="1594"/>
      <c r="F108" s="1594"/>
      <c r="G108" s="1594"/>
      <c r="H108" s="1594"/>
    </row>
    <row r="109" spans="1:8">
      <c r="A109" s="1595" t="s">
        <v>987</v>
      </c>
      <c r="B109" s="1594"/>
      <c r="C109" s="1594"/>
      <c r="D109" s="1594"/>
      <c r="E109" s="1594"/>
      <c r="F109" s="1594"/>
      <c r="G109" s="1594"/>
      <c r="H109" s="1594"/>
    </row>
    <row r="110" spans="1:8">
      <c r="A110" s="1595" t="s">
        <v>988</v>
      </c>
      <c r="B110" s="1594"/>
      <c r="C110" s="1594"/>
      <c r="D110" s="1594"/>
      <c r="E110" s="1594"/>
      <c r="F110" s="1594"/>
      <c r="G110" s="1594"/>
      <c r="H110" s="1594"/>
    </row>
    <row r="111" spans="1:8">
      <c r="A111" s="1595" t="s">
        <v>989</v>
      </c>
      <c r="B111" s="1594"/>
      <c r="C111" s="1594"/>
      <c r="D111" s="1594"/>
      <c r="E111" s="1594"/>
      <c r="F111" s="1594"/>
      <c r="G111" s="1594"/>
      <c r="H111" s="1594"/>
    </row>
    <row r="112" spans="1:8">
      <c r="A112" s="1595" t="s">
        <v>990</v>
      </c>
      <c r="B112" s="1594"/>
      <c r="C112" s="1594"/>
      <c r="D112" s="1594"/>
      <c r="E112" s="1594"/>
      <c r="F112" s="1594"/>
      <c r="G112" s="1594"/>
      <c r="H112" s="1594"/>
    </row>
    <row r="113" spans="1:8">
      <c r="A113" s="1594"/>
      <c r="B113" s="1594"/>
      <c r="C113" s="1594"/>
      <c r="D113" s="1594"/>
      <c r="E113" s="1594"/>
      <c r="F113" s="1594"/>
      <c r="G113" s="1594"/>
      <c r="H113" s="1594"/>
    </row>
    <row r="114" spans="1:8" ht="15.75">
      <c r="A114" s="1597" t="s">
        <v>763</v>
      </c>
      <c r="B114" s="1597"/>
      <c r="C114" s="1597"/>
      <c r="D114" s="1597"/>
      <c r="E114" s="1597"/>
      <c r="F114" s="1597"/>
      <c r="G114" s="1597"/>
      <c r="H114" s="1597"/>
    </row>
    <row r="115" spans="1:8">
      <c r="A115" s="1598" t="s">
        <v>764</v>
      </c>
      <c r="B115" s="1598"/>
      <c r="C115" s="1598"/>
      <c r="D115" s="1598"/>
      <c r="E115" s="1598"/>
      <c r="F115" s="1598"/>
      <c r="G115" s="1598"/>
      <c r="H115" s="1598"/>
    </row>
    <row r="116" spans="1:8">
      <c r="A116" s="1599"/>
      <c r="B116" s="1599"/>
      <c r="C116" s="1599"/>
      <c r="D116" s="1599"/>
      <c r="E116" s="1599"/>
      <c r="F116" s="1599"/>
      <c r="G116" s="1599"/>
      <c r="H116" s="1599"/>
    </row>
    <row r="117" spans="1:8">
      <c r="A117" s="1598" t="s">
        <v>980</v>
      </c>
      <c r="B117" s="1598"/>
      <c r="C117" s="1598"/>
      <c r="D117" s="1598"/>
      <c r="E117" s="1598"/>
      <c r="F117" s="1598"/>
      <c r="G117" s="1598"/>
      <c r="H117" s="1598"/>
    </row>
    <row r="118" spans="1:8">
      <c r="A118" s="1595" t="s">
        <v>981</v>
      </c>
      <c r="B118" s="1595"/>
      <c r="C118" s="1595"/>
      <c r="D118" s="1595"/>
      <c r="E118" s="1595"/>
      <c r="F118" s="1595"/>
      <c r="G118" s="1595"/>
      <c r="H118" s="1595"/>
    </row>
    <row r="119" spans="1:8">
      <c r="A119" s="1599"/>
      <c r="B119" s="1599"/>
      <c r="C119" s="1599"/>
      <c r="D119" s="1599"/>
      <c r="E119" s="1599"/>
      <c r="F119" s="1599"/>
      <c r="G119" s="1599"/>
      <c r="H119" s="1599"/>
    </row>
    <row r="120" spans="1:8">
      <c r="A120" s="1598" t="s">
        <v>973</v>
      </c>
      <c r="B120" s="1598"/>
      <c r="C120" s="1598"/>
      <c r="D120" s="1598"/>
      <c r="E120" s="1598"/>
      <c r="F120" s="1598"/>
      <c r="G120" s="1598"/>
      <c r="H120" s="1598"/>
    </row>
    <row r="121" spans="1:8">
      <c r="A121" s="1595" t="s">
        <v>974</v>
      </c>
      <c r="B121" s="1595"/>
      <c r="C121" s="1595"/>
      <c r="D121" s="1595"/>
      <c r="E121" s="1595"/>
      <c r="F121" s="1595"/>
      <c r="G121" s="1595"/>
      <c r="H121" s="1595"/>
    </row>
    <row r="122" spans="1:8">
      <c r="A122" s="1595" t="s">
        <v>975</v>
      </c>
      <c r="B122" s="1595"/>
      <c r="C122" s="1595"/>
      <c r="D122" s="1595"/>
      <c r="E122" s="1595"/>
      <c r="F122" s="1595"/>
      <c r="G122" s="1595"/>
      <c r="H122" s="1595"/>
    </row>
    <row r="123" spans="1:8">
      <c r="A123" s="1595" t="s">
        <v>976</v>
      </c>
      <c r="B123" s="1595"/>
      <c r="C123" s="1595"/>
      <c r="D123" s="1595"/>
      <c r="E123" s="1595"/>
      <c r="F123" s="1595"/>
      <c r="G123" s="1595"/>
      <c r="H123" s="1595"/>
    </row>
    <row r="124" spans="1:8">
      <c r="A124" s="1595" t="s">
        <v>977</v>
      </c>
      <c r="B124" s="1595"/>
      <c r="C124" s="1595"/>
      <c r="D124" s="1595"/>
      <c r="E124" s="1595"/>
      <c r="F124" s="1595"/>
      <c r="G124" s="1595"/>
      <c r="H124" s="1595"/>
    </row>
    <row r="125" spans="1:8">
      <c r="A125" s="1595" t="s">
        <v>978</v>
      </c>
      <c r="B125" s="1595"/>
      <c r="C125" s="1595"/>
      <c r="D125" s="1595"/>
      <c r="E125" s="1595"/>
      <c r="F125" s="1595"/>
      <c r="G125" s="1595"/>
      <c r="H125" s="1595"/>
    </row>
    <row r="126" spans="1:8">
      <c r="A126" s="1595" t="s">
        <v>979</v>
      </c>
      <c r="B126" s="1595"/>
      <c r="C126" s="1595"/>
      <c r="D126" s="1595"/>
      <c r="E126" s="1595"/>
      <c r="F126" s="1595"/>
      <c r="G126" s="1595"/>
      <c r="H126" s="1595"/>
    </row>
    <row r="127" spans="1:8">
      <c r="A127" s="1600"/>
      <c r="B127" s="1600"/>
      <c r="C127" s="1600"/>
      <c r="D127" s="1600"/>
      <c r="E127" s="1600"/>
      <c r="F127" s="1600"/>
      <c r="G127" s="1600"/>
      <c r="H127" s="1600"/>
    </row>
    <row r="128" spans="1:8">
      <c r="A128" s="1601"/>
      <c r="B128" s="1602" t="s">
        <v>765</v>
      </c>
      <c r="C128" s="1603"/>
      <c r="D128" s="1602" t="s">
        <v>766</v>
      </c>
      <c r="E128" s="1604"/>
      <c r="F128" s="1603"/>
      <c r="G128" s="1602" t="s">
        <v>767</v>
      </c>
      <c r="H128" s="1603"/>
    </row>
    <row r="129" spans="1:8">
      <c r="A129" s="1601" t="s">
        <v>768</v>
      </c>
      <c r="B129" s="1601" t="s">
        <v>327</v>
      </c>
      <c r="C129" s="1601" t="s">
        <v>769</v>
      </c>
      <c r="D129" s="1601" t="s">
        <v>327</v>
      </c>
      <c r="E129" s="1601" t="s">
        <v>770</v>
      </c>
      <c r="F129" s="1601" t="s">
        <v>771</v>
      </c>
      <c r="G129" s="1601" t="s">
        <v>327</v>
      </c>
      <c r="H129" s="1601" t="s">
        <v>772</v>
      </c>
    </row>
    <row r="130" spans="1:8">
      <c r="A130" s="1601" t="s">
        <v>773</v>
      </c>
      <c r="B130" s="1601">
        <v>1189</v>
      </c>
      <c r="C130" s="1605">
        <v>0.38</v>
      </c>
      <c r="D130" s="1601">
        <v>315</v>
      </c>
      <c r="E130" s="1605">
        <v>0.41</v>
      </c>
      <c r="F130" s="1605">
        <v>0.26</v>
      </c>
      <c r="G130" s="1601">
        <v>555</v>
      </c>
      <c r="H130" s="1605">
        <v>0.39</v>
      </c>
    </row>
    <row r="131" spans="1:8">
      <c r="A131" s="1601" t="s">
        <v>774</v>
      </c>
      <c r="B131" s="1601">
        <v>1355</v>
      </c>
      <c r="C131" s="1605">
        <v>0.43</v>
      </c>
      <c r="D131" s="1601">
        <v>364</v>
      </c>
      <c r="E131" s="1605">
        <v>0.47</v>
      </c>
      <c r="F131" s="1605">
        <v>0.27</v>
      </c>
      <c r="G131" s="1601">
        <v>644</v>
      </c>
      <c r="H131" s="1605">
        <v>0.45</v>
      </c>
    </row>
    <row r="132" spans="1:8">
      <c r="A132" s="1601" t="s">
        <v>775</v>
      </c>
      <c r="B132" s="1601">
        <v>53</v>
      </c>
      <c r="C132" s="1605">
        <v>0.02</v>
      </c>
      <c r="D132" s="1601">
        <v>4</v>
      </c>
      <c r="E132" s="1605">
        <v>0.01</v>
      </c>
      <c r="F132" s="1605">
        <v>0.08</v>
      </c>
      <c r="G132" s="1601">
        <v>7</v>
      </c>
      <c r="H132" s="1605">
        <v>0</v>
      </c>
    </row>
    <row r="133" spans="1:8">
      <c r="A133" s="1601" t="s">
        <v>776</v>
      </c>
      <c r="B133" s="1601">
        <v>545</v>
      </c>
      <c r="C133" s="1605">
        <v>0.17</v>
      </c>
      <c r="D133" s="1601">
        <v>84</v>
      </c>
      <c r="E133" s="1605">
        <v>0.11</v>
      </c>
      <c r="F133" s="1605">
        <v>0.15</v>
      </c>
      <c r="G133" s="1601">
        <v>214</v>
      </c>
      <c r="H133" s="1605">
        <v>0.15</v>
      </c>
    </row>
    <row r="134" spans="1:8">
      <c r="A134" s="1601" t="s">
        <v>101</v>
      </c>
      <c r="B134" s="1606">
        <v>3142</v>
      </c>
      <c r="C134" s="1601"/>
      <c r="D134" s="1601">
        <v>767</v>
      </c>
      <c r="E134" s="1601"/>
      <c r="F134" s="1601"/>
      <c r="G134" s="1601">
        <v>1420</v>
      </c>
      <c r="H134" s="1601"/>
    </row>
    <row r="135" spans="1:8">
      <c r="A135" s="1607"/>
      <c r="B135" s="1607"/>
      <c r="C135" s="1607"/>
      <c r="D135" s="1607"/>
      <c r="E135" s="1607"/>
      <c r="F135" s="1607"/>
      <c r="G135" s="1607"/>
      <c r="H135" s="1607"/>
    </row>
    <row r="136" spans="1:8">
      <c r="A136" s="1598" t="s">
        <v>969</v>
      </c>
      <c r="B136" s="1598"/>
      <c r="C136" s="1598"/>
      <c r="D136" s="1598"/>
      <c r="E136" s="1598"/>
      <c r="F136" s="1598"/>
      <c r="G136" s="1598"/>
      <c r="H136" s="1598"/>
    </row>
    <row r="137" spans="1:8">
      <c r="A137" s="1595" t="s">
        <v>970</v>
      </c>
      <c r="B137" s="1595"/>
      <c r="C137" s="1595"/>
      <c r="D137" s="1595"/>
      <c r="E137" s="1595"/>
      <c r="F137" s="1595"/>
      <c r="G137" s="1595"/>
      <c r="H137" s="1595"/>
    </row>
    <row r="138" spans="1:8">
      <c r="A138" s="1595" t="s">
        <v>971</v>
      </c>
      <c r="B138" s="1595"/>
      <c r="C138" s="1595"/>
      <c r="D138" s="1595"/>
      <c r="E138" s="1595"/>
      <c r="F138" s="1595"/>
      <c r="G138" s="1595"/>
      <c r="H138" s="1595"/>
    </row>
    <row r="139" spans="1:8">
      <c r="A139" s="1595" t="s">
        <v>972</v>
      </c>
      <c r="B139" s="1595"/>
      <c r="C139" s="1595"/>
      <c r="D139" s="1595"/>
      <c r="E139" s="1595"/>
      <c r="F139" s="1595"/>
      <c r="G139" s="1595"/>
      <c r="H139" s="1595"/>
    </row>
    <row r="140" spans="1:8">
      <c r="A140" s="1594"/>
      <c r="B140" s="1594"/>
      <c r="C140" s="1594"/>
      <c r="D140" s="1594"/>
      <c r="E140" s="1594"/>
      <c r="F140" s="1594"/>
      <c r="G140" s="1594"/>
      <c r="H140" s="1594"/>
    </row>
    <row r="141" spans="1:8" ht="15.75">
      <c r="A141" s="1596" t="s">
        <v>777</v>
      </c>
      <c r="B141" s="1594"/>
      <c r="C141" s="1594"/>
      <c r="D141" s="1594"/>
      <c r="E141" s="1594"/>
      <c r="F141" s="1594"/>
      <c r="G141" s="1594"/>
      <c r="H141" s="1594"/>
    </row>
    <row r="142" spans="1:8">
      <c r="A142" s="1594"/>
      <c r="B142" s="1594"/>
      <c r="C142" s="1594"/>
      <c r="D142" s="1594"/>
      <c r="E142" s="1594"/>
      <c r="F142" s="1594"/>
      <c r="G142" s="1594"/>
      <c r="H142" s="1594"/>
    </row>
    <row r="143" spans="1:8">
      <c r="A143" s="1595" t="s">
        <v>967</v>
      </c>
      <c r="B143" s="1594"/>
      <c r="C143" s="1594"/>
      <c r="D143" s="1594"/>
      <c r="E143" s="1594"/>
      <c r="F143" s="1594"/>
      <c r="G143" s="1594"/>
      <c r="H143" s="1594"/>
    </row>
    <row r="144" spans="1:8">
      <c r="A144" s="1595" t="s">
        <v>968</v>
      </c>
      <c r="B144" s="1594"/>
      <c r="C144" s="1594"/>
      <c r="D144" s="1594"/>
      <c r="E144" s="1594"/>
      <c r="F144" s="1594"/>
      <c r="G144" s="1594"/>
      <c r="H144" s="1594"/>
    </row>
    <row r="145" spans="1:8">
      <c r="A145" s="1594"/>
      <c r="B145" s="1594"/>
      <c r="C145" s="1594"/>
      <c r="D145" s="1594"/>
      <c r="E145" s="1594"/>
      <c r="F145" s="1594"/>
      <c r="G145" s="1594"/>
      <c r="H145" s="1594"/>
    </row>
    <row r="146" spans="1:8">
      <c r="A146" s="1595" t="s">
        <v>964</v>
      </c>
      <c r="B146" s="1594"/>
      <c r="C146" s="1594"/>
      <c r="D146" s="1594"/>
      <c r="E146" s="1594"/>
      <c r="F146" s="1594"/>
      <c r="G146" s="1594"/>
      <c r="H146" s="1594"/>
    </row>
    <row r="147" spans="1:8">
      <c r="A147" s="1595" t="s">
        <v>965</v>
      </c>
      <c r="B147" s="1594"/>
      <c r="C147" s="1594"/>
      <c r="D147" s="1594"/>
      <c r="E147" s="1594"/>
      <c r="F147" s="1594"/>
      <c r="G147" s="1594"/>
      <c r="H147" s="1594"/>
    </row>
    <row r="148" spans="1:8">
      <c r="A148" s="1595" t="s">
        <v>966</v>
      </c>
      <c r="B148" s="1594"/>
      <c r="C148" s="1594"/>
      <c r="D148" s="1594"/>
      <c r="E148" s="1594"/>
      <c r="F148" s="1594"/>
      <c r="G148" s="1594"/>
      <c r="H148" s="1594"/>
    </row>
    <row r="149" spans="1:8">
      <c r="A149" s="1594"/>
      <c r="B149" s="1594"/>
      <c r="C149" s="1594"/>
      <c r="D149" s="1594"/>
      <c r="E149" s="1594"/>
      <c r="F149" s="1594"/>
      <c r="G149" s="1594"/>
      <c r="H149" s="1594"/>
    </row>
    <row r="150" spans="1:8">
      <c r="A150" s="1595" t="s">
        <v>961</v>
      </c>
      <c r="B150" s="1594"/>
      <c r="C150" s="1594"/>
      <c r="D150" s="1594"/>
      <c r="E150" s="1594"/>
      <c r="F150" s="1594"/>
      <c r="G150" s="1594"/>
      <c r="H150" s="1594"/>
    </row>
    <row r="151" spans="1:8">
      <c r="A151" s="1595" t="s">
        <v>962</v>
      </c>
      <c r="B151" s="1594"/>
      <c r="C151" s="1594"/>
      <c r="D151" s="1594"/>
      <c r="E151" s="1594"/>
      <c r="F151" s="1594"/>
      <c r="G151" s="1594"/>
      <c r="H151" s="1594"/>
    </row>
    <row r="152" spans="1:8">
      <c r="A152" s="1595" t="s">
        <v>963</v>
      </c>
      <c r="B152" s="1594"/>
      <c r="C152" s="1594"/>
      <c r="D152" s="1594"/>
      <c r="E152" s="1594"/>
      <c r="F152" s="1594"/>
      <c r="G152" s="1594"/>
      <c r="H152" s="1594"/>
    </row>
    <row r="153" spans="1:8">
      <c r="A153" s="1594"/>
      <c r="B153" s="1594"/>
      <c r="C153" s="1594"/>
      <c r="D153" s="1594"/>
      <c r="E153" s="1594"/>
      <c r="F153" s="1594"/>
      <c r="G153" s="1594"/>
      <c r="H153" s="1594"/>
    </row>
    <row r="154" spans="1:8">
      <c r="A154" s="1595" t="s">
        <v>958</v>
      </c>
      <c r="B154" s="1594"/>
      <c r="C154" s="1594"/>
      <c r="D154" s="1594"/>
      <c r="E154" s="1594"/>
      <c r="F154" s="1594"/>
      <c r="G154" s="1594"/>
      <c r="H154" s="1594"/>
    </row>
    <row r="155" spans="1:8">
      <c r="A155" s="1595" t="s">
        <v>959</v>
      </c>
      <c r="B155" s="1594"/>
      <c r="C155" s="1594"/>
      <c r="D155" s="1594"/>
      <c r="E155" s="1594"/>
      <c r="F155" s="1594"/>
      <c r="G155" s="1594"/>
      <c r="H155" s="1594"/>
    </row>
    <row r="156" spans="1:8">
      <c r="A156" s="1595" t="s">
        <v>960</v>
      </c>
      <c r="B156" s="1594"/>
      <c r="C156" s="1594"/>
      <c r="D156" s="1594"/>
      <c r="E156" s="1594"/>
      <c r="F156" s="1594"/>
      <c r="G156" s="1594"/>
      <c r="H156" s="1594"/>
    </row>
    <row r="157" spans="1:8">
      <c r="A157" s="1594"/>
      <c r="B157" s="1594"/>
      <c r="C157" s="1594"/>
      <c r="D157" s="1594"/>
      <c r="E157" s="1594"/>
      <c r="F157" s="1594"/>
      <c r="G157" s="1594"/>
      <c r="H157" s="1594"/>
    </row>
    <row r="158" spans="1:8">
      <c r="A158" s="1595" t="s">
        <v>956</v>
      </c>
      <c r="B158" s="1594"/>
      <c r="C158" s="1594"/>
      <c r="D158" s="1594"/>
      <c r="E158" s="1594"/>
      <c r="F158" s="1594"/>
      <c r="G158" s="1594"/>
      <c r="H158" s="1594"/>
    </row>
    <row r="159" spans="1:8">
      <c r="A159" s="1595" t="s">
        <v>957</v>
      </c>
      <c r="B159" s="1594"/>
      <c r="C159" s="1594"/>
      <c r="D159" s="1594"/>
      <c r="E159" s="1594"/>
      <c r="F159" s="1594"/>
      <c r="G159" s="1594"/>
      <c r="H159" s="1594"/>
    </row>
    <row r="160" spans="1:8">
      <c r="A160" s="1594"/>
      <c r="B160" s="1594"/>
      <c r="C160" s="1594"/>
      <c r="D160" s="1594"/>
      <c r="E160" s="1594"/>
      <c r="F160" s="1594"/>
      <c r="G160" s="1594"/>
      <c r="H160" s="1594"/>
    </row>
    <row r="161" spans="1:8" ht="15.75">
      <c r="A161" s="1596" t="s">
        <v>778</v>
      </c>
      <c r="B161" s="1594"/>
      <c r="C161" s="1594"/>
      <c r="D161" s="1594"/>
      <c r="E161" s="1594"/>
      <c r="F161" s="1594"/>
      <c r="G161" s="1594"/>
      <c r="H161" s="1594"/>
    </row>
    <row r="162" spans="1:8">
      <c r="A162" s="1594"/>
      <c r="B162" s="1594"/>
      <c r="C162" s="1594"/>
      <c r="D162" s="1594"/>
      <c r="E162" s="1594"/>
      <c r="F162" s="1594"/>
      <c r="G162" s="1594"/>
      <c r="H162" s="1594"/>
    </row>
    <row r="163" spans="1:8">
      <c r="A163" s="1595" t="s">
        <v>954</v>
      </c>
      <c r="B163" s="1594"/>
      <c r="C163" s="1594"/>
      <c r="D163" s="1594"/>
      <c r="E163" s="1594"/>
      <c r="F163" s="1594"/>
      <c r="G163" s="1594"/>
      <c r="H163" s="1594"/>
    </row>
    <row r="164" spans="1:8">
      <c r="A164" s="1595" t="s">
        <v>955</v>
      </c>
      <c r="B164" s="1594"/>
      <c r="C164" s="1594"/>
      <c r="D164" s="1594"/>
      <c r="E164" s="1594"/>
      <c r="F164" s="1594"/>
      <c r="G164" s="1594"/>
      <c r="H164" s="1594"/>
    </row>
    <row r="165" spans="1:8">
      <c r="A165" s="1594"/>
      <c r="B165" s="1594"/>
      <c r="C165" s="1594"/>
      <c r="D165" s="1594"/>
      <c r="E165" s="1594"/>
      <c r="F165" s="1594"/>
      <c r="G165" s="1594"/>
      <c r="H165" s="1594"/>
    </row>
    <row r="166" spans="1:8">
      <c r="A166" s="1595" t="s">
        <v>952</v>
      </c>
      <c r="B166" s="1594"/>
      <c r="C166" s="1594"/>
      <c r="D166" s="1594"/>
      <c r="E166" s="1594"/>
      <c r="F166" s="1594"/>
      <c r="G166" s="1594"/>
      <c r="H166" s="1594"/>
    </row>
    <row r="167" spans="1:8">
      <c r="A167" s="1595" t="s">
        <v>953</v>
      </c>
      <c r="B167" s="1594"/>
      <c r="C167" s="1594"/>
      <c r="D167" s="1594"/>
      <c r="E167" s="1594"/>
      <c r="F167" s="1594"/>
      <c r="G167" s="1594"/>
      <c r="H167" s="1594"/>
    </row>
    <row r="168" spans="1:8">
      <c r="A168" s="1594"/>
      <c r="B168" s="1594"/>
      <c r="C168" s="1594"/>
      <c r="D168" s="1594"/>
      <c r="E168" s="1594"/>
      <c r="F168" s="1594"/>
      <c r="G168" s="1594"/>
      <c r="H168" s="1594"/>
    </row>
    <row r="169" spans="1:8">
      <c r="A169" s="1595" t="s">
        <v>950</v>
      </c>
      <c r="B169" s="1594"/>
      <c r="C169" s="1594"/>
      <c r="D169" s="1594"/>
      <c r="E169" s="1594"/>
      <c r="F169" s="1594"/>
      <c r="G169" s="1594"/>
      <c r="H169" s="1594"/>
    </row>
    <row r="170" spans="1:8">
      <c r="A170" s="1595" t="s">
        <v>951</v>
      </c>
      <c r="B170" s="1594"/>
      <c r="C170" s="1594"/>
      <c r="D170" s="1594"/>
      <c r="E170" s="1594"/>
      <c r="F170" s="1594"/>
      <c r="G170" s="1594"/>
      <c r="H170" s="1594"/>
    </row>
    <row r="171" spans="1:8">
      <c r="A171" s="1594"/>
      <c r="B171" s="1594"/>
      <c r="C171" s="1594"/>
      <c r="D171" s="1594"/>
      <c r="E171" s="1594"/>
      <c r="F171" s="1594"/>
      <c r="G171" s="1594"/>
      <c r="H171" s="1594"/>
    </row>
    <row r="172" spans="1:8">
      <c r="A172" s="1595" t="s">
        <v>947</v>
      </c>
      <c r="B172" s="1594"/>
      <c r="C172" s="1594"/>
      <c r="D172" s="1594"/>
      <c r="E172" s="1594"/>
      <c r="F172" s="1594"/>
      <c r="G172" s="1594"/>
      <c r="H172" s="1594"/>
    </row>
    <row r="173" spans="1:8">
      <c r="A173" s="1595" t="s">
        <v>948</v>
      </c>
      <c r="B173" s="1594"/>
      <c r="C173" s="1594"/>
      <c r="D173" s="1594"/>
      <c r="E173" s="1594"/>
      <c r="F173" s="1594"/>
      <c r="G173" s="1594"/>
      <c r="H173" s="1594"/>
    </row>
    <row r="174" spans="1:8">
      <c r="A174" s="1595" t="s">
        <v>949</v>
      </c>
      <c r="B174" s="1594"/>
      <c r="C174" s="1594"/>
      <c r="D174" s="1594"/>
      <c r="E174" s="1594"/>
      <c r="F174" s="1594"/>
      <c r="G174" s="1594"/>
      <c r="H174" s="1594"/>
    </row>
    <row r="175" spans="1:8">
      <c r="A175" s="1594"/>
      <c r="B175" s="1594"/>
      <c r="C175" s="1594"/>
      <c r="D175" s="1594"/>
      <c r="E175" s="1594"/>
      <c r="F175" s="1594"/>
      <c r="G175" s="1594"/>
      <c r="H175" s="1594"/>
    </row>
    <row r="176" spans="1:8">
      <c r="A176" s="1594"/>
      <c r="B176" s="1594"/>
      <c r="C176" s="1594"/>
      <c r="D176" s="1594"/>
      <c r="E176" s="1594"/>
      <c r="F176" s="1594"/>
      <c r="G176" s="1594"/>
      <c r="H176" s="1594"/>
    </row>
    <row r="177" spans="1:8">
      <c r="A177" s="1595" t="s">
        <v>779</v>
      </c>
      <c r="B177" s="1594"/>
      <c r="C177" s="1594"/>
      <c r="D177" s="1594"/>
      <c r="E177" s="1594"/>
      <c r="F177" s="1594"/>
      <c r="G177" s="1594"/>
      <c r="H177" s="1594"/>
    </row>
    <row r="178" spans="1:8">
      <c r="A178" s="1594"/>
      <c r="B178" s="1594"/>
      <c r="C178" s="1594"/>
      <c r="D178" s="1594"/>
      <c r="E178" s="1594"/>
      <c r="F178" s="1594"/>
      <c r="G178" s="1594"/>
      <c r="H178" s="1594"/>
    </row>
    <row r="179" spans="1:8" ht="15.75">
      <c r="A179" s="1596" t="s">
        <v>780</v>
      </c>
      <c r="B179" s="1594"/>
      <c r="C179" s="1594"/>
      <c r="D179" s="1594"/>
      <c r="E179" s="1594"/>
      <c r="F179" s="1594"/>
      <c r="G179" s="1594"/>
      <c r="H179" s="1594"/>
    </row>
    <row r="180" spans="1:8">
      <c r="A180" s="1594"/>
      <c r="B180" s="1594"/>
      <c r="C180" s="1594"/>
      <c r="D180" s="1594"/>
      <c r="E180" s="1594"/>
      <c r="F180" s="1594"/>
      <c r="G180" s="1594"/>
      <c r="H180" s="1594"/>
    </row>
    <row r="181" spans="1:8">
      <c r="A181" s="1594"/>
      <c r="B181" s="1594"/>
      <c r="C181" s="1594"/>
      <c r="D181" s="1594"/>
      <c r="E181" s="1594"/>
      <c r="F181" s="1594"/>
      <c r="G181" s="1594"/>
      <c r="H181" s="1594"/>
    </row>
    <row r="182" spans="1:8">
      <c r="A182" s="1594"/>
      <c r="B182" s="1594"/>
      <c r="C182" s="1594"/>
      <c r="D182" s="1594"/>
      <c r="E182" s="1594"/>
      <c r="F182" s="1594"/>
      <c r="G182" s="1594"/>
      <c r="H182" s="1594"/>
    </row>
    <row r="183" spans="1:8">
      <c r="A183" s="1594"/>
      <c r="B183" s="1594"/>
      <c r="C183" s="1594"/>
      <c r="D183" s="1594"/>
      <c r="E183" s="1594"/>
      <c r="F183" s="1594"/>
      <c r="G183" s="1594"/>
      <c r="H183" s="1594"/>
    </row>
    <row r="184" spans="1:8">
      <c r="A184" s="1594"/>
      <c r="B184" s="1594"/>
      <c r="C184" s="1594"/>
      <c r="D184" s="1594"/>
      <c r="E184" s="1594"/>
      <c r="F184" s="1594"/>
      <c r="G184" s="1594"/>
      <c r="H184" s="1594"/>
    </row>
    <row r="185" spans="1:8">
      <c r="A185" s="1594"/>
      <c r="B185" s="1594"/>
      <c r="C185" s="1594"/>
      <c r="D185" s="1594"/>
      <c r="E185" s="1594"/>
      <c r="F185" s="1594"/>
      <c r="G185" s="1594"/>
      <c r="H185" s="1594"/>
    </row>
    <row r="186" spans="1:8">
      <c r="A186" s="1594"/>
      <c r="B186" s="1594"/>
      <c r="C186" s="1594"/>
      <c r="D186" s="1594"/>
      <c r="E186" s="1594"/>
      <c r="F186" s="1594"/>
      <c r="G186" s="1594"/>
      <c r="H186" s="1594"/>
    </row>
    <row r="187" spans="1:8">
      <c r="A187" s="1594"/>
      <c r="B187" s="1594"/>
      <c r="C187" s="1594"/>
      <c r="D187" s="1594"/>
      <c r="E187" s="1594"/>
      <c r="F187" s="1594"/>
      <c r="G187" s="1594"/>
      <c r="H187" s="1594"/>
    </row>
    <row r="188" spans="1:8">
      <c r="A188" s="1594"/>
      <c r="B188" s="1594"/>
      <c r="C188" s="1594"/>
      <c r="D188" s="1594"/>
      <c r="E188" s="1594"/>
      <c r="F188" s="1594"/>
      <c r="G188" s="1594"/>
      <c r="H188" s="1594"/>
    </row>
    <row r="189" spans="1:8">
      <c r="A189" s="1594"/>
      <c r="B189" s="1594"/>
      <c r="C189" s="1594"/>
      <c r="D189" s="1594"/>
      <c r="E189" s="1594"/>
      <c r="F189" s="1594"/>
      <c r="G189" s="1594"/>
      <c r="H189" s="1594"/>
    </row>
    <row r="190" spans="1:8">
      <c r="A190" s="1594"/>
      <c r="B190" s="1594"/>
      <c r="C190" s="1594"/>
      <c r="D190" s="1594"/>
      <c r="E190" s="1594"/>
      <c r="F190" s="1594"/>
      <c r="G190" s="1594"/>
      <c r="H190" s="1594"/>
    </row>
    <row r="191" spans="1:8">
      <c r="A191" s="1594"/>
      <c r="B191" s="1594"/>
      <c r="C191" s="1594"/>
      <c r="D191" s="1594"/>
      <c r="E191" s="1594"/>
      <c r="F191" s="1594"/>
      <c r="G191" s="1594"/>
      <c r="H191" s="1594"/>
    </row>
    <row r="192" spans="1:8">
      <c r="A192" s="1594"/>
      <c r="B192" s="1594"/>
      <c r="C192" s="1594"/>
      <c r="D192" s="1594"/>
      <c r="E192" s="1594"/>
      <c r="F192" s="1594"/>
      <c r="G192" s="1594"/>
      <c r="H192" s="1594"/>
    </row>
    <row r="193" spans="1:8">
      <c r="A193" s="1594"/>
      <c r="B193" s="1594"/>
      <c r="C193" s="1594"/>
      <c r="D193" s="1594"/>
      <c r="E193" s="1594"/>
      <c r="F193" s="1594"/>
      <c r="G193" s="1594"/>
      <c r="H193" s="1594"/>
    </row>
    <row r="194" spans="1:8">
      <c r="A194" s="1594"/>
      <c r="B194" s="1594"/>
      <c r="C194" s="1594"/>
      <c r="D194" s="1594"/>
      <c r="E194" s="1594"/>
      <c r="F194" s="1594"/>
      <c r="G194" s="1594"/>
      <c r="H194" s="1594"/>
    </row>
    <row r="195" spans="1:8">
      <c r="A195" s="1594"/>
      <c r="B195" s="1594"/>
      <c r="C195" s="1594"/>
      <c r="D195" s="1594"/>
      <c r="E195" s="1594"/>
      <c r="F195" s="1594"/>
      <c r="G195" s="1594"/>
      <c r="H195" s="1594"/>
    </row>
    <row r="196" spans="1:8">
      <c r="A196" s="1594"/>
      <c r="B196" s="1594"/>
      <c r="C196" s="1594"/>
      <c r="D196" s="1594"/>
      <c r="E196" s="1594"/>
      <c r="F196" s="1594"/>
      <c r="G196" s="1594"/>
      <c r="H196" s="1594"/>
    </row>
    <row r="197" spans="1:8">
      <c r="A197" s="1594"/>
      <c r="B197" s="1594"/>
      <c r="C197" s="1594"/>
      <c r="D197" s="1594"/>
      <c r="E197" s="1594"/>
      <c r="F197" s="1594"/>
      <c r="G197" s="1594"/>
      <c r="H197" s="1594"/>
    </row>
    <row r="198" spans="1:8">
      <c r="A198" s="1594"/>
      <c r="B198" s="1594"/>
      <c r="C198" s="1594"/>
      <c r="D198" s="1594"/>
      <c r="E198" s="1594"/>
      <c r="F198" s="1594"/>
      <c r="G198" s="1594"/>
      <c r="H198" s="1594"/>
    </row>
    <row r="199" spans="1:8">
      <c r="A199" s="1594"/>
      <c r="B199" s="1594"/>
      <c r="C199" s="1594"/>
      <c r="D199" s="1594"/>
      <c r="E199" s="1594"/>
      <c r="F199" s="1594"/>
      <c r="G199" s="1594"/>
      <c r="H199" s="1594"/>
    </row>
    <row r="200" spans="1:8">
      <c r="A200" s="1594"/>
      <c r="B200" s="1594"/>
      <c r="C200" s="1594"/>
      <c r="D200" s="1594"/>
      <c r="E200" s="1594"/>
      <c r="F200" s="1594"/>
      <c r="G200" s="1594"/>
      <c r="H200" s="1594"/>
    </row>
    <row r="201" spans="1:8">
      <c r="A201" s="1594"/>
      <c r="B201" s="1594"/>
      <c r="C201" s="1594"/>
      <c r="D201" s="1594"/>
      <c r="E201" s="1594"/>
      <c r="F201" s="1594"/>
      <c r="G201" s="1594"/>
      <c r="H201" s="1594"/>
    </row>
    <row r="202" spans="1:8">
      <c r="A202" s="1594"/>
      <c r="B202" s="1594"/>
      <c r="C202" s="1594"/>
      <c r="D202" s="1594"/>
      <c r="E202" s="1594"/>
      <c r="F202" s="1594"/>
      <c r="G202" s="1594"/>
      <c r="H202" s="1594"/>
    </row>
    <row r="203" spans="1:8">
      <c r="A203" s="1594"/>
      <c r="B203" s="1594"/>
      <c r="C203" s="1594"/>
      <c r="D203" s="1594"/>
      <c r="E203" s="1594"/>
      <c r="F203" s="1594"/>
      <c r="G203" s="1594"/>
      <c r="H203" s="1594"/>
    </row>
    <row r="204" spans="1:8">
      <c r="A204" s="1594"/>
      <c r="B204" s="1594"/>
      <c r="C204" s="1594"/>
      <c r="D204" s="1594"/>
      <c r="E204" s="1594"/>
      <c r="F204" s="1594"/>
      <c r="G204" s="1594"/>
      <c r="H204" s="1594"/>
    </row>
    <row r="205" spans="1:8">
      <c r="A205" s="1594"/>
      <c r="B205" s="1594"/>
      <c r="C205" s="1594"/>
      <c r="D205" s="1594"/>
      <c r="E205" s="1594"/>
      <c r="F205" s="1594"/>
      <c r="G205" s="1594"/>
      <c r="H205" s="1594"/>
    </row>
    <row r="206" spans="1:8" ht="15.75">
      <c r="A206" s="1596" t="s">
        <v>781</v>
      </c>
      <c r="B206" s="1594"/>
      <c r="C206" s="1594"/>
      <c r="D206" s="1594"/>
      <c r="E206" s="1594"/>
      <c r="F206" s="1594"/>
      <c r="G206" s="1594"/>
      <c r="H206" s="1594"/>
    </row>
    <row r="207" spans="1:8">
      <c r="A207" s="1594"/>
      <c r="B207" s="1594"/>
      <c r="C207" s="1594"/>
      <c r="D207" s="1594"/>
      <c r="E207" s="1594"/>
      <c r="F207" s="1594"/>
      <c r="G207" s="1594"/>
      <c r="H207" s="1594"/>
    </row>
    <row r="208" spans="1:8">
      <c r="A208" s="1595" t="s">
        <v>942</v>
      </c>
      <c r="B208" s="1594"/>
      <c r="C208" s="1594"/>
      <c r="D208" s="1594"/>
      <c r="E208" s="1594"/>
      <c r="F208" s="1594"/>
      <c r="G208" s="1594"/>
      <c r="H208" s="1594"/>
    </row>
    <row r="209" spans="1:8">
      <c r="A209" s="1595" t="s">
        <v>943</v>
      </c>
      <c r="B209" s="1594"/>
      <c r="C209" s="1594"/>
      <c r="D209" s="1594"/>
      <c r="E209" s="1594"/>
      <c r="F209" s="1594"/>
      <c r="G209" s="1594"/>
      <c r="H209" s="1594"/>
    </row>
    <row r="210" spans="1:8">
      <c r="A210" s="1595" t="s">
        <v>944</v>
      </c>
      <c r="B210" s="1594"/>
      <c r="C210" s="1594"/>
      <c r="D210" s="1594"/>
      <c r="E210" s="1594"/>
      <c r="F210" s="1594"/>
      <c r="G210" s="1594"/>
      <c r="H210" s="1594"/>
    </row>
    <row r="211" spans="1:8">
      <c r="A211" s="1595" t="s">
        <v>945</v>
      </c>
      <c r="B211" s="1594"/>
      <c r="C211" s="1594"/>
      <c r="D211" s="1594"/>
      <c r="E211" s="1594"/>
      <c r="F211" s="1594"/>
      <c r="G211" s="1594"/>
      <c r="H211" s="1594"/>
    </row>
    <row r="212" spans="1:8">
      <c r="A212" s="1595" t="s">
        <v>946</v>
      </c>
      <c r="B212" s="1594"/>
      <c r="C212" s="1594"/>
      <c r="D212" s="1594"/>
      <c r="E212" s="1594"/>
      <c r="F212" s="1594"/>
      <c r="G212" s="1594"/>
      <c r="H212" s="1594"/>
    </row>
    <row r="213" spans="1:8">
      <c r="A213" s="1594"/>
      <c r="B213" s="1594"/>
      <c r="C213" s="1594"/>
      <c r="D213" s="1594"/>
      <c r="E213" s="1594"/>
      <c r="F213" s="1594"/>
      <c r="G213" s="1594"/>
      <c r="H213" s="1594"/>
    </row>
    <row r="214" spans="1:8">
      <c r="A214" s="1595" t="s">
        <v>939</v>
      </c>
      <c r="B214" s="1594"/>
      <c r="C214" s="1594"/>
      <c r="D214" s="1594"/>
      <c r="E214" s="1594"/>
      <c r="F214" s="1594"/>
      <c r="G214" s="1594"/>
      <c r="H214" s="1594"/>
    </row>
    <row r="215" spans="1:8">
      <c r="A215" s="1595" t="s">
        <v>940</v>
      </c>
      <c r="B215" s="1594"/>
      <c r="C215" s="1594"/>
      <c r="D215" s="1594"/>
      <c r="E215" s="1594"/>
      <c r="F215" s="1594"/>
      <c r="G215" s="1594"/>
      <c r="H215" s="1594"/>
    </row>
    <row r="216" spans="1:8">
      <c r="A216" s="1595" t="s">
        <v>941</v>
      </c>
      <c r="B216" s="1594"/>
      <c r="C216" s="1594"/>
      <c r="D216" s="1594"/>
      <c r="E216" s="1594"/>
      <c r="F216" s="1594"/>
      <c r="G216" s="1594"/>
      <c r="H216" s="1594"/>
    </row>
    <row r="217" spans="1:8" ht="15.75">
      <c r="A217" s="1596" t="s">
        <v>782</v>
      </c>
      <c r="B217" s="1594"/>
      <c r="C217" s="1594"/>
      <c r="D217" s="1594"/>
      <c r="E217" s="1594"/>
      <c r="F217" s="1594"/>
      <c r="G217" s="1594"/>
      <c r="H217" s="1594"/>
    </row>
    <row r="218" spans="1:8">
      <c r="A218" s="1594"/>
      <c r="B218" s="1594"/>
      <c r="C218" s="1594"/>
      <c r="D218" s="1594"/>
      <c r="E218" s="1594"/>
      <c r="F218" s="1594"/>
      <c r="G218" s="1594"/>
      <c r="H218" s="1594"/>
    </row>
    <row r="219" spans="1:8">
      <c r="A219" s="1595" t="s">
        <v>937</v>
      </c>
      <c r="B219" s="1594"/>
      <c r="C219" s="1594"/>
      <c r="D219" s="1594"/>
      <c r="E219" s="1594"/>
      <c r="F219" s="1594"/>
      <c r="G219" s="1594"/>
      <c r="H219" s="1594"/>
    </row>
    <row r="220" spans="1:8">
      <c r="A220" s="1595" t="s">
        <v>938</v>
      </c>
      <c r="B220" s="1594"/>
      <c r="C220" s="1594"/>
      <c r="D220" s="1594"/>
      <c r="E220" s="1594"/>
      <c r="F220" s="1594"/>
      <c r="G220" s="1594"/>
      <c r="H220" s="1594"/>
    </row>
    <row r="221" spans="1:8">
      <c r="A221" s="1594"/>
      <c r="B221" s="1594"/>
      <c r="C221" s="1594"/>
      <c r="D221" s="1594"/>
      <c r="E221" s="1594"/>
      <c r="F221" s="1594"/>
      <c r="G221" s="1594"/>
      <c r="H221" s="1594"/>
    </row>
    <row r="222" spans="1:8">
      <c r="A222" s="1595" t="s">
        <v>930</v>
      </c>
      <c r="B222" s="1594"/>
      <c r="C222" s="1594"/>
      <c r="D222" s="1594"/>
      <c r="E222" s="1594"/>
      <c r="F222" s="1594"/>
      <c r="G222" s="1594"/>
      <c r="H222" s="1594"/>
    </row>
    <row r="223" spans="1:8">
      <c r="A223" s="1595" t="s">
        <v>931</v>
      </c>
      <c r="B223" s="1594"/>
      <c r="C223" s="1594"/>
      <c r="D223" s="1594"/>
      <c r="E223" s="1594"/>
      <c r="F223" s="1594"/>
      <c r="G223" s="1594"/>
      <c r="H223" s="1594"/>
    </row>
    <row r="224" spans="1:8">
      <c r="A224" s="1595" t="s">
        <v>932</v>
      </c>
      <c r="B224" s="1594"/>
      <c r="C224" s="1594"/>
      <c r="D224" s="1594"/>
      <c r="E224" s="1594"/>
      <c r="F224" s="1594"/>
      <c r="G224" s="1594"/>
      <c r="H224" s="1594"/>
    </row>
    <row r="225" spans="1:8">
      <c r="A225" s="1595" t="s">
        <v>933</v>
      </c>
      <c r="B225" s="1594"/>
      <c r="C225" s="1594"/>
      <c r="D225" s="1594"/>
      <c r="E225" s="1594"/>
      <c r="F225" s="1594"/>
      <c r="G225" s="1594"/>
      <c r="H225" s="1594"/>
    </row>
    <row r="226" spans="1:8">
      <c r="A226" s="1595" t="s">
        <v>934</v>
      </c>
      <c r="B226" s="1594"/>
      <c r="C226" s="1594"/>
      <c r="D226" s="1594"/>
      <c r="E226" s="1594"/>
      <c r="F226" s="1594"/>
      <c r="G226" s="1594"/>
      <c r="H226" s="1594"/>
    </row>
    <row r="227" spans="1:8">
      <c r="A227" s="1595" t="s">
        <v>935</v>
      </c>
      <c r="B227" s="1594"/>
      <c r="C227" s="1594"/>
      <c r="D227" s="1594"/>
      <c r="E227" s="1594"/>
      <c r="F227" s="1594"/>
      <c r="G227" s="1594"/>
      <c r="H227" s="1594"/>
    </row>
    <row r="228" spans="1:8">
      <c r="A228" s="1595" t="s">
        <v>936</v>
      </c>
      <c r="B228" s="1594"/>
      <c r="C228" s="1594"/>
      <c r="D228" s="1594"/>
      <c r="E228" s="1594"/>
      <c r="F228" s="1594"/>
      <c r="G228" s="1594"/>
      <c r="H228" s="1594"/>
    </row>
    <row r="229" spans="1:8">
      <c r="A229" s="1594"/>
      <c r="B229" s="1594"/>
      <c r="C229" s="1594"/>
      <c r="D229" s="1594"/>
      <c r="E229" s="1594"/>
      <c r="F229" s="1594"/>
      <c r="G229" s="1594"/>
      <c r="H229" s="1594"/>
    </row>
    <row r="230" spans="1:8">
      <c r="A230" s="1595" t="s">
        <v>927</v>
      </c>
      <c r="B230" s="1594"/>
      <c r="C230" s="1594"/>
      <c r="D230" s="1594"/>
      <c r="E230" s="1594"/>
      <c r="F230" s="1594"/>
      <c r="G230" s="1594"/>
      <c r="H230" s="1594"/>
    </row>
    <row r="231" spans="1:8">
      <c r="A231" s="1595" t="s">
        <v>928</v>
      </c>
      <c r="B231" s="1594"/>
      <c r="C231" s="1594"/>
      <c r="D231" s="1594"/>
      <c r="E231" s="1594"/>
      <c r="F231" s="1594"/>
      <c r="G231" s="1594"/>
      <c r="H231" s="1594"/>
    </row>
    <row r="232" spans="1:8">
      <c r="A232" s="1595" t="s">
        <v>929</v>
      </c>
      <c r="B232" s="1594"/>
      <c r="C232" s="1594"/>
      <c r="D232" s="1594"/>
      <c r="E232" s="1594"/>
      <c r="F232" s="1594"/>
      <c r="G232" s="1594"/>
      <c r="H232" s="1594"/>
    </row>
    <row r="233" spans="1:8">
      <c r="A233" s="1594"/>
      <c r="B233" s="1594"/>
      <c r="C233" s="1594"/>
      <c r="D233" s="1594"/>
      <c r="E233" s="1594"/>
      <c r="F233" s="1594"/>
      <c r="G233" s="1594"/>
      <c r="H233" s="1594"/>
    </row>
    <row r="234" spans="1:8">
      <c r="A234" s="1595" t="s">
        <v>922</v>
      </c>
      <c r="B234" s="1594"/>
      <c r="C234" s="1594"/>
      <c r="D234" s="1594"/>
      <c r="E234" s="1594"/>
      <c r="F234" s="1594"/>
      <c r="G234" s="1594"/>
      <c r="H234" s="1594"/>
    </row>
    <row r="235" spans="1:8">
      <c r="A235" s="1595" t="s">
        <v>923</v>
      </c>
      <c r="B235" s="1594"/>
      <c r="C235" s="1594"/>
      <c r="D235" s="1594"/>
      <c r="E235" s="1594"/>
      <c r="F235" s="1594"/>
      <c r="G235" s="1594"/>
      <c r="H235" s="1594"/>
    </row>
    <row r="236" spans="1:8">
      <c r="A236" s="1595" t="s">
        <v>924</v>
      </c>
      <c r="B236" s="1594"/>
      <c r="C236" s="1594"/>
      <c r="D236" s="1594"/>
      <c r="E236" s="1594"/>
      <c r="F236" s="1594"/>
      <c r="G236" s="1594"/>
      <c r="H236" s="1594"/>
    </row>
    <row r="237" spans="1:8">
      <c r="A237" s="1595" t="s">
        <v>925</v>
      </c>
      <c r="B237" s="1594"/>
      <c r="C237" s="1594"/>
      <c r="D237" s="1594"/>
      <c r="E237" s="1594"/>
      <c r="F237" s="1594"/>
      <c r="G237" s="1594"/>
      <c r="H237" s="1594"/>
    </row>
    <row r="238" spans="1:8">
      <c r="A238" s="1595" t="s">
        <v>926</v>
      </c>
      <c r="B238" s="1594"/>
      <c r="C238" s="1594"/>
      <c r="D238" s="1594"/>
      <c r="E238" s="1594"/>
      <c r="F238" s="1594"/>
      <c r="G238" s="1594"/>
      <c r="H238" s="1594"/>
    </row>
    <row r="239" spans="1:8">
      <c r="A239" s="1594"/>
      <c r="B239" s="1594"/>
      <c r="C239" s="1594"/>
      <c r="D239" s="1594"/>
      <c r="E239" s="1594"/>
      <c r="F239" s="1594"/>
      <c r="G239" s="1594"/>
      <c r="H239" s="1594"/>
    </row>
    <row r="240" spans="1:8">
      <c r="A240" s="1595" t="s">
        <v>916</v>
      </c>
      <c r="B240" s="1594"/>
      <c r="C240" s="1594"/>
      <c r="D240" s="1594"/>
      <c r="E240" s="1594"/>
      <c r="F240" s="1594"/>
      <c r="G240" s="1594"/>
      <c r="H240" s="1594"/>
    </row>
    <row r="241" spans="1:8">
      <c r="A241" s="1595" t="s">
        <v>917</v>
      </c>
      <c r="B241" s="1594"/>
      <c r="C241" s="1594"/>
      <c r="D241" s="1594"/>
      <c r="E241" s="1594"/>
      <c r="F241" s="1594"/>
      <c r="G241" s="1594"/>
      <c r="H241" s="1594"/>
    </row>
    <row r="242" spans="1:8">
      <c r="A242" s="1595" t="s">
        <v>918</v>
      </c>
      <c r="B242" s="1594"/>
      <c r="C242" s="1594"/>
      <c r="D242" s="1594"/>
      <c r="E242" s="1594"/>
      <c r="F242" s="1594"/>
      <c r="G242" s="1594"/>
      <c r="H242" s="1594"/>
    </row>
    <row r="243" spans="1:8">
      <c r="A243" s="1595" t="s">
        <v>919</v>
      </c>
      <c r="B243" s="1594"/>
      <c r="C243" s="1594"/>
      <c r="D243" s="1594"/>
      <c r="E243" s="1594"/>
      <c r="F243" s="1594"/>
      <c r="G243" s="1594"/>
      <c r="H243" s="1594"/>
    </row>
    <row r="244" spans="1:8">
      <c r="A244" s="1595" t="s">
        <v>920</v>
      </c>
      <c r="B244" s="1594"/>
      <c r="C244" s="1594"/>
      <c r="D244" s="1594"/>
      <c r="E244" s="1594"/>
      <c r="F244" s="1594"/>
      <c r="G244" s="1594"/>
      <c r="H244" s="1594"/>
    </row>
    <row r="245" spans="1:8">
      <c r="A245" s="1595" t="s">
        <v>921</v>
      </c>
      <c r="B245" s="1594"/>
      <c r="C245" s="1594"/>
      <c r="D245" s="1594"/>
      <c r="E245" s="1594"/>
      <c r="F245" s="1594"/>
      <c r="G245" s="1594"/>
      <c r="H245" s="1594"/>
    </row>
    <row r="246" spans="1:8">
      <c r="A246" s="1594"/>
      <c r="B246" s="1594"/>
      <c r="C246" s="1594"/>
      <c r="D246" s="1594"/>
      <c r="E246" s="1594"/>
      <c r="F246" s="1594"/>
      <c r="G246" s="1594"/>
      <c r="H246" s="1594"/>
    </row>
    <row r="247" spans="1:8">
      <c r="A247" s="1595" t="s">
        <v>906</v>
      </c>
      <c r="B247" s="1594"/>
      <c r="C247" s="1594"/>
      <c r="D247" s="1594"/>
      <c r="E247" s="1594"/>
      <c r="F247" s="1594"/>
      <c r="G247" s="1594"/>
      <c r="H247" s="1594"/>
    </row>
    <row r="248" spans="1:8">
      <c r="A248" s="1595" t="s">
        <v>907</v>
      </c>
      <c r="B248" s="1594"/>
      <c r="C248" s="1594"/>
      <c r="D248" s="1594"/>
      <c r="E248" s="1594"/>
      <c r="F248" s="1594"/>
      <c r="G248" s="1594"/>
      <c r="H248" s="1594"/>
    </row>
    <row r="249" spans="1:8">
      <c r="A249" s="1595" t="s">
        <v>908</v>
      </c>
      <c r="B249" s="1594"/>
      <c r="C249" s="1594"/>
      <c r="D249" s="1594"/>
      <c r="E249" s="1594"/>
      <c r="F249" s="1594"/>
      <c r="G249" s="1594"/>
      <c r="H249" s="1594"/>
    </row>
    <row r="250" spans="1:8">
      <c r="A250" s="1595" t="s">
        <v>909</v>
      </c>
      <c r="B250" s="1594"/>
      <c r="C250" s="1594"/>
      <c r="D250" s="1594"/>
      <c r="E250" s="1594"/>
      <c r="F250" s="1594"/>
      <c r="G250" s="1594"/>
      <c r="H250" s="1594"/>
    </row>
    <row r="251" spans="1:8">
      <c r="A251" s="1595" t="s">
        <v>910</v>
      </c>
      <c r="B251" s="1594"/>
      <c r="C251" s="1594"/>
      <c r="D251" s="1594"/>
      <c r="E251" s="1594"/>
      <c r="F251" s="1594"/>
      <c r="G251" s="1594"/>
      <c r="H251" s="1594"/>
    </row>
    <row r="252" spans="1:8">
      <c r="A252" s="1595" t="s">
        <v>911</v>
      </c>
      <c r="B252" s="1594"/>
      <c r="C252" s="1594"/>
      <c r="D252" s="1594"/>
      <c r="E252" s="1594"/>
      <c r="F252" s="1594"/>
      <c r="G252" s="1594"/>
      <c r="H252" s="1594"/>
    </row>
    <row r="253" spans="1:8">
      <c r="A253" s="1595" t="s">
        <v>912</v>
      </c>
      <c r="B253" s="1594"/>
      <c r="C253" s="1594"/>
      <c r="D253" s="1594"/>
      <c r="E253" s="1594"/>
      <c r="F253" s="1594"/>
      <c r="G253" s="1594"/>
      <c r="H253" s="1594"/>
    </row>
    <row r="254" spans="1:8">
      <c r="A254" s="1595" t="s">
        <v>913</v>
      </c>
      <c r="B254" s="1594"/>
      <c r="C254" s="1594"/>
      <c r="D254" s="1594"/>
      <c r="E254" s="1594"/>
      <c r="F254" s="1594"/>
      <c r="G254" s="1594"/>
      <c r="H254" s="1594"/>
    </row>
    <row r="255" spans="1:8">
      <c r="A255" s="1595" t="s">
        <v>914</v>
      </c>
      <c r="B255" s="1594"/>
      <c r="C255" s="1594"/>
      <c r="D255" s="1594"/>
      <c r="E255" s="1594"/>
      <c r="F255" s="1594"/>
      <c r="G255" s="1594"/>
      <c r="H255" s="1594"/>
    </row>
    <row r="256" spans="1:8">
      <c r="A256" s="1595" t="s">
        <v>915</v>
      </c>
      <c r="B256" s="1594"/>
      <c r="C256" s="1594"/>
      <c r="D256" s="1594"/>
      <c r="E256" s="1594"/>
      <c r="F256" s="1594"/>
      <c r="G256" s="1594"/>
      <c r="H256" s="1594"/>
    </row>
    <row r="257" spans="1:8">
      <c r="A257" s="1594"/>
      <c r="B257" s="1594"/>
      <c r="C257" s="1594"/>
      <c r="D257" s="1594"/>
      <c r="E257" s="1594"/>
      <c r="F257" s="1594"/>
      <c r="G257" s="1594"/>
      <c r="H257" s="1594"/>
    </row>
    <row r="258" spans="1:8">
      <c r="A258" s="1595" t="s">
        <v>904</v>
      </c>
      <c r="B258" s="1594"/>
      <c r="C258" s="1594"/>
      <c r="D258" s="1594"/>
      <c r="E258" s="1594"/>
      <c r="F258" s="1594"/>
      <c r="G258" s="1594"/>
      <c r="H258" s="1594"/>
    </row>
    <row r="259" spans="1:8">
      <c r="A259" s="1595" t="s">
        <v>905</v>
      </c>
      <c r="B259" s="1594"/>
      <c r="C259" s="1594"/>
      <c r="D259" s="1594"/>
      <c r="E259" s="1594"/>
      <c r="F259" s="1594"/>
      <c r="G259" s="1594"/>
      <c r="H259" s="1594"/>
    </row>
    <row r="260" spans="1:8">
      <c r="A260" s="1594"/>
      <c r="B260" s="1594"/>
      <c r="C260" s="1594"/>
      <c r="D260" s="1594"/>
      <c r="E260" s="1594"/>
      <c r="F260" s="1594"/>
      <c r="G260" s="1594"/>
      <c r="H260" s="1594"/>
    </row>
    <row r="261" spans="1:8">
      <c r="A261" s="1595" t="s">
        <v>888</v>
      </c>
      <c r="B261" s="1594"/>
      <c r="C261" s="1594"/>
      <c r="D261" s="1594"/>
      <c r="E261" s="1594"/>
      <c r="F261" s="1594"/>
      <c r="G261" s="1594"/>
      <c r="H261" s="1594"/>
    </row>
    <row r="262" spans="1:8">
      <c r="A262" s="1595" t="s">
        <v>889</v>
      </c>
      <c r="B262" s="1594"/>
      <c r="C262" s="1594"/>
      <c r="D262" s="1594"/>
      <c r="E262" s="1594"/>
      <c r="F262" s="1594"/>
      <c r="G262" s="1594"/>
      <c r="H262" s="1594"/>
    </row>
    <row r="263" spans="1:8">
      <c r="A263" s="1595" t="s">
        <v>890</v>
      </c>
      <c r="B263" s="1594"/>
      <c r="C263" s="1594"/>
      <c r="D263" s="1594"/>
      <c r="E263" s="1594"/>
      <c r="F263" s="1594"/>
      <c r="G263" s="1594"/>
      <c r="H263" s="1594"/>
    </row>
    <row r="264" spans="1:8">
      <c r="A264" s="1595" t="s">
        <v>891</v>
      </c>
      <c r="B264" s="1594"/>
      <c r="C264" s="1594"/>
      <c r="D264" s="1594"/>
      <c r="E264" s="1594"/>
      <c r="F264" s="1594"/>
      <c r="G264" s="1594"/>
      <c r="H264" s="1594"/>
    </row>
    <row r="265" spans="1:8">
      <c r="A265" s="1595" t="s">
        <v>892</v>
      </c>
      <c r="B265" s="1594"/>
      <c r="C265" s="1594"/>
      <c r="D265" s="1594"/>
      <c r="E265" s="1594"/>
      <c r="F265" s="1594"/>
      <c r="G265" s="1594"/>
      <c r="H265" s="1594"/>
    </row>
    <row r="266" spans="1:8">
      <c r="A266" s="1595" t="s">
        <v>893</v>
      </c>
      <c r="B266" s="1594"/>
      <c r="C266" s="1594"/>
      <c r="D266" s="1594"/>
      <c r="E266" s="1594"/>
      <c r="F266" s="1594"/>
      <c r="G266" s="1594"/>
      <c r="H266" s="1594"/>
    </row>
    <row r="267" spans="1:8">
      <c r="A267" s="1595" t="s">
        <v>894</v>
      </c>
      <c r="B267" s="1594"/>
      <c r="C267" s="1594"/>
      <c r="D267" s="1594"/>
      <c r="E267" s="1594"/>
      <c r="F267" s="1594"/>
      <c r="G267" s="1594"/>
      <c r="H267" s="1594"/>
    </row>
    <row r="268" spans="1:8">
      <c r="A268" s="1595" t="s">
        <v>895</v>
      </c>
      <c r="B268" s="1594"/>
      <c r="C268" s="1594"/>
      <c r="D268" s="1594"/>
      <c r="E268" s="1594"/>
      <c r="F268" s="1594"/>
      <c r="G268" s="1594"/>
      <c r="H268" s="1594"/>
    </row>
    <row r="269" spans="1:8">
      <c r="A269" s="1595" t="s">
        <v>896</v>
      </c>
      <c r="B269" s="1594"/>
      <c r="C269" s="1594"/>
      <c r="D269" s="1594"/>
      <c r="E269" s="1594"/>
      <c r="F269" s="1594"/>
      <c r="G269" s="1594"/>
      <c r="H269" s="1594"/>
    </row>
    <row r="270" spans="1:8">
      <c r="A270" s="1595" t="s">
        <v>897</v>
      </c>
      <c r="B270" s="1594"/>
      <c r="C270" s="1594"/>
      <c r="D270" s="1594"/>
      <c r="E270" s="1594"/>
      <c r="F270" s="1594"/>
      <c r="G270" s="1594"/>
      <c r="H270" s="1594"/>
    </row>
    <row r="271" spans="1:8">
      <c r="A271" s="1595" t="s">
        <v>898</v>
      </c>
      <c r="B271" s="1594"/>
      <c r="C271" s="1594"/>
      <c r="D271" s="1594"/>
      <c r="E271" s="1594"/>
      <c r="F271" s="1594"/>
      <c r="G271" s="1594"/>
      <c r="H271" s="1594"/>
    </row>
    <row r="272" spans="1:8">
      <c r="A272" s="1595" t="s">
        <v>899</v>
      </c>
      <c r="B272" s="1594"/>
      <c r="C272" s="1594"/>
      <c r="D272" s="1594"/>
      <c r="E272" s="1594"/>
      <c r="F272" s="1594"/>
      <c r="G272" s="1594"/>
      <c r="H272" s="1594"/>
    </row>
    <row r="273" spans="1:8">
      <c r="A273" s="1595" t="s">
        <v>900</v>
      </c>
      <c r="B273" s="1594"/>
      <c r="C273" s="1594"/>
      <c r="D273" s="1594"/>
      <c r="E273" s="1594"/>
      <c r="F273" s="1594"/>
      <c r="G273" s="1594"/>
      <c r="H273" s="1594"/>
    </row>
    <row r="274" spans="1:8">
      <c r="A274" s="1595" t="s">
        <v>901</v>
      </c>
      <c r="B274" s="1594"/>
      <c r="C274" s="1594"/>
      <c r="D274" s="1594"/>
      <c r="E274" s="1594"/>
      <c r="F274" s="1594"/>
      <c r="G274" s="1594"/>
      <c r="H274" s="1594"/>
    </row>
    <row r="275" spans="1:8">
      <c r="A275" s="1595" t="s">
        <v>902</v>
      </c>
      <c r="B275" s="1594"/>
      <c r="C275" s="1594"/>
      <c r="D275" s="1594"/>
      <c r="E275" s="1594"/>
      <c r="F275" s="1594"/>
      <c r="G275" s="1594"/>
      <c r="H275" s="1594"/>
    </row>
    <row r="276" spans="1:8">
      <c r="A276" s="1595" t="s">
        <v>903</v>
      </c>
      <c r="B276" s="1594"/>
      <c r="C276" s="1594"/>
      <c r="D276" s="1594"/>
      <c r="E276" s="1594"/>
      <c r="F276" s="1594"/>
      <c r="G276" s="1594"/>
      <c r="H276" s="1594"/>
    </row>
    <row r="277" spans="1:8">
      <c r="A277" s="1594"/>
      <c r="B277" s="1594"/>
      <c r="C277" s="1594"/>
      <c r="D277" s="1594"/>
      <c r="E277" s="1594"/>
      <c r="F277" s="1594"/>
      <c r="G277" s="1594"/>
      <c r="H277" s="1594"/>
    </row>
    <row r="278" spans="1:8">
      <c r="A278" s="1595" t="s">
        <v>881</v>
      </c>
      <c r="B278" s="1594"/>
      <c r="C278" s="1594"/>
      <c r="D278" s="1594"/>
      <c r="E278" s="1594"/>
      <c r="F278" s="1594"/>
      <c r="G278" s="1594"/>
      <c r="H278" s="1594"/>
    </row>
    <row r="279" spans="1:8">
      <c r="A279" s="1595" t="s">
        <v>882</v>
      </c>
      <c r="B279" s="1594"/>
      <c r="C279" s="1594"/>
      <c r="D279" s="1594"/>
      <c r="E279" s="1594"/>
      <c r="F279" s="1594"/>
      <c r="G279" s="1594"/>
      <c r="H279" s="1594"/>
    </row>
    <row r="280" spans="1:8">
      <c r="A280" s="1595" t="s">
        <v>883</v>
      </c>
      <c r="B280" s="1594"/>
      <c r="C280" s="1594"/>
      <c r="D280" s="1594"/>
      <c r="E280" s="1594"/>
      <c r="F280" s="1594"/>
      <c r="G280" s="1594"/>
      <c r="H280" s="1594"/>
    </row>
    <row r="281" spans="1:8">
      <c r="A281" s="1595" t="s">
        <v>884</v>
      </c>
      <c r="B281" s="1594"/>
      <c r="C281" s="1594"/>
      <c r="D281" s="1594"/>
      <c r="E281" s="1594"/>
      <c r="F281" s="1594"/>
      <c r="G281" s="1594"/>
      <c r="H281" s="1594"/>
    </row>
    <row r="282" spans="1:8">
      <c r="A282" s="1595" t="s">
        <v>885</v>
      </c>
      <c r="B282" s="1594"/>
      <c r="C282" s="1594"/>
      <c r="D282" s="1594"/>
      <c r="E282" s="1594"/>
      <c r="F282" s="1594"/>
      <c r="G282" s="1594"/>
      <c r="H282" s="1594"/>
    </row>
    <row r="283" spans="1:8">
      <c r="A283" s="1595" t="s">
        <v>886</v>
      </c>
      <c r="B283" s="1594"/>
      <c r="C283" s="1594"/>
      <c r="D283" s="1594"/>
      <c r="E283" s="1594"/>
      <c r="F283" s="1594"/>
      <c r="G283" s="1594"/>
      <c r="H283" s="1594"/>
    </row>
    <row r="284" spans="1:8">
      <c r="A284" s="1595" t="s">
        <v>887</v>
      </c>
      <c r="B284" s="1594"/>
      <c r="C284" s="1594"/>
      <c r="D284" s="1594"/>
      <c r="E284" s="1594"/>
      <c r="F284" s="1594"/>
      <c r="G284" s="1594"/>
      <c r="H284" s="1594"/>
    </row>
    <row r="285" spans="1:8">
      <c r="A285" s="1594"/>
      <c r="B285" s="1594"/>
      <c r="C285" s="1594"/>
      <c r="D285" s="1594"/>
      <c r="E285" s="1594"/>
      <c r="F285" s="1594"/>
      <c r="G285" s="1594"/>
      <c r="H285" s="1594"/>
    </row>
    <row r="286" spans="1:8">
      <c r="A286" s="1595" t="s">
        <v>872</v>
      </c>
      <c r="B286" s="1594"/>
      <c r="C286" s="1594"/>
      <c r="D286" s="1594"/>
      <c r="E286" s="1594"/>
      <c r="F286" s="1594"/>
      <c r="G286" s="1594"/>
      <c r="H286" s="1594"/>
    </row>
    <row r="287" spans="1:8">
      <c r="A287" s="1595" t="s">
        <v>873</v>
      </c>
      <c r="B287" s="1594"/>
      <c r="C287" s="1594"/>
      <c r="D287" s="1594"/>
      <c r="E287" s="1594"/>
      <c r="F287" s="1594"/>
      <c r="G287" s="1594"/>
      <c r="H287" s="1594"/>
    </row>
    <row r="288" spans="1:8">
      <c r="A288" s="1595" t="s">
        <v>874</v>
      </c>
      <c r="B288" s="1594"/>
      <c r="C288" s="1594"/>
      <c r="D288" s="1594"/>
      <c r="E288" s="1594"/>
      <c r="F288" s="1594"/>
      <c r="G288" s="1594"/>
      <c r="H288" s="1594"/>
    </row>
    <row r="289" spans="1:8">
      <c r="A289" s="1595" t="s">
        <v>875</v>
      </c>
      <c r="B289" s="1594"/>
      <c r="C289" s="1594"/>
      <c r="D289" s="1594"/>
      <c r="E289" s="1594"/>
      <c r="F289" s="1594"/>
      <c r="G289" s="1594"/>
      <c r="H289" s="1594"/>
    </row>
    <row r="290" spans="1:8">
      <c r="A290" s="1595" t="s">
        <v>876</v>
      </c>
      <c r="B290" s="1594"/>
      <c r="C290" s="1594"/>
      <c r="D290" s="1594"/>
      <c r="E290" s="1594"/>
      <c r="F290" s="1594"/>
      <c r="G290" s="1594"/>
      <c r="H290" s="1594"/>
    </row>
    <row r="291" spans="1:8">
      <c r="A291" s="1595" t="s">
        <v>877</v>
      </c>
      <c r="B291" s="1594"/>
      <c r="C291" s="1594"/>
      <c r="D291" s="1594"/>
      <c r="E291" s="1594"/>
      <c r="F291" s="1594"/>
      <c r="G291" s="1594"/>
      <c r="H291" s="1594"/>
    </row>
    <row r="292" spans="1:8">
      <c r="A292" s="1595" t="s">
        <v>878</v>
      </c>
      <c r="B292" s="1594"/>
      <c r="C292" s="1594"/>
      <c r="D292" s="1594"/>
      <c r="E292" s="1594"/>
      <c r="F292" s="1594"/>
      <c r="G292" s="1594"/>
      <c r="H292" s="1594"/>
    </row>
    <row r="293" spans="1:8">
      <c r="A293" s="1595" t="s">
        <v>879</v>
      </c>
      <c r="B293" s="1594"/>
      <c r="C293" s="1594"/>
      <c r="D293" s="1594"/>
      <c r="E293" s="1594"/>
      <c r="F293" s="1594"/>
      <c r="G293" s="1594"/>
      <c r="H293" s="1594"/>
    </row>
    <row r="294" spans="1:8">
      <c r="A294" s="1595" t="s">
        <v>880</v>
      </c>
      <c r="B294" s="1594"/>
      <c r="C294" s="1594"/>
      <c r="D294" s="1594"/>
      <c r="E294" s="1594"/>
      <c r="F294" s="1594"/>
      <c r="G294" s="1594"/>
      <c r="H294" s="1594"/>
    </row>
    <row r="295" spans="1:8">
      <c r="A295" s="1594"/>
      <c r="B295" s="1594"/>
      <c r="C295" s="1594"/>
      <c r="D295" s="1594"/>
      <c r="E295" s="1594"/>
      <c r="F295" s="1594"/>
      <c r="G295" s="1594"/>
      <c r="H295" s="1594"/>
    </row>
    <row r="296" spans="1:8">
      <c r="A296" s="1595" t="s">
        <v>865</v>
      </c>
      <c r="B296" s="1594"/>
      <c r="C296" s="1594"/>
      <c r="D296" s="1594"/>
      <c r="E296" s="1594"/>
      <c r="F296" s="1594"/>
      <c r="G296" s="1594"/>
      <c r="H296" s="1594"/>
    </row>
    <row r="297" spans="1:8">
      <c r="A297" s="1595" t="s">
        <v>866</v>
      </c>
      <c r="B297" s="1594"/>
      <c r="C297" s="1594"/>
      <c r="D297" s="1594"/>
      <c r="E297" s="1594"/>
      <c r="F297" s="1594"/>
      <c r="G297" s="1594"/>
      <c r="H297" s="1594"/>
    </row>
    <row r="298" spans="1:8">
      <c r="A298" s="1595" t="s">
        <v>867</v>
      </c>
      <c r="B298" s="1594"/>
      <c r="C298" s="1594"/>
      <c r="D298" s="1594"/>
      <c r="E298" s="1594"/>
      <c r="F298" s="1594"/>
      <c r="G298" s="1594"/>
      <c r="H298" s="1594"/>
    </row>
    <row r="299" spans="1:8">
      <c r="A299" s="1595" t="s">
        <v>868</v>
      </c>
      <c r="B299" s="1594"/>
      <c r="C299" s="1594"/>
      <c r="D299" s="1594"/>
      <c r="E299" s="1594"/>
      <c r="F299" s="1594"/>
      <c r="G299" s="1594"/>
      <c r="H299" s="1594"/>
    </row>
    <row r="300" spans="1:8">
      <c r="A300" s="1595" t="s">
        <v>869</v>
      </c>
      <c r="B300" s="1594"/>
      <c r="C300" s="1594"/>
      <c r="D300" s="1594"/>
      <c r="E300" s="1594"/>
      <c r="F300" s="1594"/>
      <c r="G300" s="1594"/>
      <c r="H300" s="1594"/>
    </row>
    <row r="301" spans="1:8">
      <c r="A301" s="1595" t="s">
        <v>870</v>
      </c>
      <c r="B301" s="1594"/>
      <c r="C301" s="1594"/>
      <c r="D301" s="1594"/>
      <c r="E301" s="1594"/>
      <c r="F301" s="1594"/>
      <c r="G301" s="1594"/>
      <c r="H301" s="1594"/>
    </row>
    <row r="302" spans="1:8">
      <c r="A302" s="1595" t="s">
        <v>871</v>
      </c>
      <c r="B302" s="1594"/>
      <c r="C302" s="1594"/>
      <c r="D302" s="1594"/>
      <c r="E302" s="1594"/>
      <c r="F302" s="1594"/>
      <c r="G302" s="1594"/>
      <c r="H302" s="1594"/>
    </row>
    <row r="303" spans="1:8">
      <c r="A303" s="1594"/>
      <c r="B303" s="1594"/>
      <c r="C303" s="1594"/>
      <c r="D303" s="1594"/>
      <c r="E303" s="1594"/>
      <c r="F303" s="1594"/>
      <c r="G303" s="1594"/>
      <c r="H303" s="1594"/>
    </row>
    <row r="304" spans="1:8">
      <c r="A304" s="1595" t="s">
        <v>862</v>
      </c>
      <c r="B304" s="1594"/>
      <c r="C304" s="1594"/>
      <c r="D304" s="1594"/>
      <c r="E304" s="1594"/>
      <c r="F304" s="1594"/>
      <c r="G304" s="1594"/>
      <c r="H304" s="1594"/>
    </row>
    <row r="305" spans="1:8">
      <c r="A305" s="1595" t="s">
        <v>863</v>
      </c>
      <c r="B305" s="1594"/>
      <c r="C305" s="1594"/>
      <c r="D305" s="1594"/>
      <c r="E305" s="1594"/>
      <c r="F305" s="1594"/>
      <c r="G305" s="1594"/>
      <c r="H305" s="1594"/>
    </row>
    <row r="306" spans="1:8">
      <c r="A306" s="1595" t="s">
        <v>864</v>
      </c>
      <c r="B306" s="1594"/>
      <c r="C306" s="1594"/>
      <c r="D306" s="1594"/>
      <c r="E306" s="1594"/>
      <c r="F306" s="1594"/>
      <c r="G306" s="1594"/>
      <c r="H306" s="1594"/>
    </row>
    <row r="307" spans="1:8">
      <c r="A307" s="1594"/>
      <c r="B307" s="1594"/>
      <c r="C307" s="1594"/>
      <c r="D307" s="1594"/>
      <c r="E307" s="1594"/>
      <c r="F307" s="1594"/>
      <c r="G307" s="1594"/>
      <c r="H307" s="1594"/>
    </row>
    <row r="308" spans="1:8">
      <c r="A308" s="1595" t="s">
        <v>860</v>
      </c>
      <c r="B308" s="1594"/>
      <c r="C308" s="1594"/>
      <c r="D308" s="1594"/>
      <c r="E308" s="1594"/>
      <c r="F308" s="1594"/>
      <c r="G308" s="1594"/>
      <c r="H308" s="1594"/>
    </row>
    <row r="309" spans="1:8">
      <c r="A309" s="1595" t="s">
        <v>861</v>
      </c>
      <c r="B309" s="1594"/>
      <c r="C309" s="1594"/>
      <c r="D309" s="1594"/>
      <c r="E309" s="1594"/>
      <c r="F309" s="1594"/>
      <c r="G309" s="1594"/>
      <c r="H309" s="1594"/>
    </row>
    <row r="310" spans="1:8">
      <c r="A310" s="1594"/>
      <c r="B310" s="1594"/>
      <c r="C310" s="1594"/>
      <c r="D310" s="1594"/>
      <c r="E310" s="1594"/>
      <c r="F310" s="1594"/>
      <c r="G310" s="1594"/>
      <c r="H310" s="1594"/>
    </row>
    <row r="311" spans="1:8">
      <c r="A311" s="1595" t="s">
        <v>847</v>
      </c>
      <c r="B311" s="1594"/>
      <c r="C311" s="1594"/>
      <c r="D311" s="1594"/>
      <c r="E311" s="1594"/>
      <c r="F311" s="1594"/>
      <c r="G311" s="1594"/>
      <c r="H311" s="1594"/>
    </row>
    <row r="312" spans="1:8">
      <c r="A312" s="1595" t="s">
        <v>848</v>
      </c>
      <c r="B312" s="1594"/>
      <c r="C312" s="1594"/>
      <c r="D312" s="1594"/>
      <c r="E312" s="1594"/>
      <c r="F312" s="1594"/>
      <c r="G312" s="1594"/>
      <c r="H312" s="1594"/>
    </row>
    <row r="313" spans="1:8">
      <c r="A313" s="1595" t="s">
        <v>849</v>
      </c>
      <c r="B313" s="1594"/>
      <c r="C313" s="1594"/>
      <c r="D313" s="1594"/>
      <c r="E313" s="1594"/>
      <c r="F313" s="1594"/>
      <c r="G313" s="1594"/>
      <c r="H313" s="1594"/>
    </row>
    <row r="314" spans="1:8">
      <c r="A314" s="1595" t="s">
        <v>850</v>
      </c>
      <c r="B314" s="1594"/>
      <c r="C314" s="1594"/>
      <c r="D314" s="1594"/>
      <c r="E314" s="1594"/>
      <c r="F314" s="1594"/>
      <c r="G314" s="1594"/>
      <c r="H314" s="1594"/>
    </row>
    <row r="315" spans="1:8">
      <c r="A315" s="1595" t="s">
        <v>851</v>
      </c>
      <c r="B315" s="1594"/>
      <c r="C315" s="1594"/>
      <c r="D315" s="1594"/>
      <c r="E315" s="1594"/>
      <c r="F315" s="1594"/>
      <c r="G315" s="1594"/>
      <c r="H315" s="1594"/>
    </row>
    <row r="316" spans="1:8">
      <c r="A316" s="1595" t="s">
        <v>852</v>
      </c>
      <c r="B316" s="1594"/>
      <c r="C316" s="1594"/>
      <c r="D316" s="1594"/>
      <c r="E316" s="1594"/>
      <c r="F316" s="1594"/>
      <c r="G316" s="1594"/>
      <c r="H316" s="1594"/>
    </row>
    <row r="317" spans="1:8">
      <c r="A317" s="1595" t="s">
        <v>853</v>
      </c>
      <c r="B317" s="1594"/>
      <c r="C317" s="1594"/>
      <c r="D317" s="1594"/>
      <c r="E317" s="1594"/>
      <c r="F317" s="1594"/>
      <c r="G317" s="1594"/>
      <c r="H317" s="1594"/>
    </row>
    <row r="318" spans="1:8">
      <c r="A318" s="1595" t="s">
        <v>854</v>
      </c>
      <c r="B318" s="1594"/>
      <c r="C318" s="1594"/>
      <c r="D318" s="1594"/>
      <c r="E318" s="1594"/>
      <c r="F318" s="1594"/>
      <c r="G318" s="1594"/>
      <c r="H318" s="1594"/>
    </row>
    <row r="319" spans="1:8">
      <c r="A319" s="1595" t="s">
        <v>855</v>
      </c>
      <c r="B319" s="1594"/>
      <c r="C319" s="1594"/>
      <c r="D319" s="1594"/>
      <c r="E319" s="1594"/>
      <c r="F319" s="1594"/>
      <c r="G319" s="1594"/>
      <c r="H319" s="1594"/>
    </row>
    <row r="320" spans="1:8">
      <c r="A320" s="1595" t="s">
        <v>856</v>
      </c>
      <c r="B320" s="1594"/>
      <c r="C320" s="1594"/>
      <c r="D320" s="1594"/>
      <c r="E320" s="1594"/>
      <c r="F320" s="1594"/>
      <c r="G320" s="1594"/>
      <c r="H320" s="1594"/>
    </row>
    <row r="321" spans="1:8">
      <c r="A321" s="1595" t="s">
        <v>857</v>
      </c>
      <c r="B321" s="1594"/>
      <c r="C321" s="1594"/>
      <c r="D321" s="1594"/>
      <c r="E321" s="1594"/>
      <c r="F321" s="1594"/>
      <c r="G321" s="1594"/>
      <c r="H321" s="1594"/>
    </row>
    <row r="322" spans="1:8">
      <c r="A322" s="1595" t="s">
        <v>858</v>
      </c>
      <c r="B322" s="1594"/>
      <c r="C322" s="1594"/>
      <c r="D322" s="1594"/>
      <c r="E322" s="1594"/>
      <c r="F322" s="1594"/>
      <c r="G322" s="1594"/>
      <c r="H322" s="1594"/>
    </row>
    <row r="323" spans="1:8">
      <c r="A323" s="1595" t="s">
        <v>859</v>
      </c>
      <c r="B323" s="1594"/>
      <c r="C323" s="1594"/>
      <c r="D323" s="1594"/>
      <c r="E323" s="1594"/>
      <c r="F323" s="1594"/>
      <c r="G323" s="1594"/>
      <c r="H323" s="1594"/>
    </row>
    <row r="324" spans="1:8">
      <c r="A324" s="1594"/>
      <c r="B324" s="1594"/>
      <c r="C324" s="1594"/>
      <c r="D324" s="1594"/>
      <c r="E324" s="1594"/>
      <c r="F324" s="1594"/>
      <c r="G324" s="1594"/>
      <c r="H324" s="1594"/>
    </row>
    <row r="325" spans="1:8">
      <c r="A325" s="1595" t="s">
        <v>839</v>
      </c>
      <c r="B325" s="1594"/>
      <c r="C325" s="1594"/>
      <c r="D325" s="1594"/>
      <c r="E325" s="1594"/>
      <c r="F325" s="1594"/>
      <c r="G325" s="1594"/>
      <c r="H325" s="1594"/>
    </row>
    <row r="326" spans="1:8">
      <c r="A326" s="1595" t="s">
        <v>840</v>
      </c>
      <c r="B326" s="1594"/>
      <c r="C326" s="1594"/>
      <c r="D326" s="1594"/>
      <c r="E326" s="1594"/>
      <c r="F326" s="1594"/>
      <c r="G326" s="1594"/>
      <c r="H326" s="1594"/>
    </row>
    <row r="327" spans="1:8">
      <c r="A327" s="1595" t="s">
        <v>841</v>
      </c>
      <c r="B327" s="1594"/>
      <c r="C327" s="1594"/>
      <c r="D327" s="1594"/>
      <c r="E327" s="1594"/>
      <c r="F327" s="1594"/>
      <c r="G327" s="1594"/>
      <c r="H327" s="1594"/>
    </row>
    <row r="328" spans="1:8">
      <c r="A328" s="1595" t="s">
        <v>842</v>
      </c>
      <c r="B328" s="1594"/>
      <c r="C328" s="1594"/>
      <c r="D328" s="1594"/>
      <c r="E328" s="1594"/>
      <c r="F328" s="1594"/>
      <c r="G328" s="1594"/>
      <c r="H328" s="1594"/>
    </row>
    <row r="329" spans="1:8">
      <c r="A329" s="1595" t="s">
        <v>843</v>
      </c>
      <c r="B329" s="1594"/>
      <c r="C329" s="1594"/>
      <c r="D329" s="1594"/>
      <c r="E329" s="1594"/>
      <c r="F329" s="1594"/>
      <c r="G329" s="1594"/>
      <c r="H329" s="1594"/>
    </row>
    <row r="330" spans="1:8">
      <c r="A330" s="1595" t="s">
        <v>844</v>
      </c>
      <c r="B330" s="1594"/>
      <c r="C330" s="1594"/>
      <c r="D330" s="1594"/>
      <c r="E330" s="1594"/>
      <c r="F330" s="1594"/>
      <c r="G330" s="1594"/>
      <c r="H330" s="1594"/>
    </row>
    <row r="331" spans="1:8">
      <c r="A331" s="1595" t="s">
        <v>845</v>
      </c>
      <c r="B331" s="1594"/>
      <c r="C331" s="1594"/>
      <c r="D331" s="1594"/>
      <c r="E331" s="1594"/>
      <c r="F331" s="1594"/>
      <c r="G331" s="1594"/>
      <c r="H331" s="1594"/>
    </row>
    <row r="332" spans="1:8">
      <c r="A332" s="1595" t="s">
        <v>846</v>
      </c>
      <c r="B332" s="1594"/>
      <c r="C332" s="1594"/>
      <c r="D332" s="1594"/>
      <c r="E332" s="1594"/>
      <c r="F332" s="1594"/>
      <c r="G332" s="1594"/>
      <c r="H332" s="1594"/>
    </row>
    <row r="333" spans="1:8">
      <c r="A333" s="1594"/>
      <c r="B333" s="1594"/>
      <c r="C333" s="1594"/>
      <c r="D333" s="1594"/>
      <c r="E333" s="1594"/>
      <c r="F333" s="1594"/>
      <c r="G333" s="1594"/>
      <c r="H333" s="1594"/>
    </row>
    <row r="334" spans="1:8">
      <c r="A334" s="1595" t="s">
        <v>804</v>
      </c>
      <c r="B334" s="1594"/>
      <c r="C334" s="1594"/>
      <c r="D334" s="1594"/>
      <c r="E334" s="1594"/>
      <c r="F334" s="1594"/>
      <c r="G334" s="1594"/>
      <c r="H334" s="1594"/>
    </row>
    <row r="335" spans="1:8">
      <c r="A335" s="1595" t="s">
        <v>805</v>
      </c>
      <c r="B335" s="1594"/>
      <c r="C335" s="1594"/>
      <c r="D335" s="1594"/>
      <c r="E335" s="1594"/>
      <c r="F335" s="1594"/>
      <c r="G335" s="1594"/>
      <c r="H335" s="1594"/>
    </row>
    <row r="336" spans="1:8">
      <c r="A336" s="1595" t="s">
        <v>806</v>
      </c>
      <c r="B336" s="1594"/>
      <c r="C336" s="1594"/>
      <c r="D336" s="1594"/>
      <c r="E336" s="1594"/>
      <c r="F336" s="1594"/>
      <c r="G336" s="1594"/>
      <c r="H336" s="1594"/>
    </row>
    <row r="337" spans="1:8">
      <c r="A337" s="1595" t="s">
        <v>807</v>
      </c>
      <c r="B337" s="1594"/>
      <c r="C337" s="1594"/>
      <c r="D337" s="1594"/>
      <c r="E337" s="1594"/>
      <c r="F337" s="1594"/>
      <c r="G337" s="1594"/>
      <c r="H337" s="1594"/>
    </row>
    <row r="338" spans="1:8">
      <c r="A338" s="1595" t="s">
        <v>808</v>
      </c>
      <c r="B338" s="1594"/>
      <c r="C338" s="1594"/>
      <c r="D338" s="1594"/>
      <c r="E338" s="1594"/>
      <c r="F338" s="1594"/>
      <c r="G338" s="1594"/>
      <c r="H338" s="1594"/>
    </row>
    <row r="339" spans="1:8">
      <c r="A339" s="1595" t="s">
        <v>809</v>
      </c>
      <c r="B339" s="1594"/>
      <c r="C339" s="1594"/>
      <c r="D339" s="1594"/>
      <c r="E339" s="1594"/>
      <c r="F339" s="1594"/>
      <c r="G339" s="1594"/>
      <c r="H339" s="1594"/>
    </row>
    <row r="340" spans="1:8">
      <c r="A340" s="1595" t="s">
        <v>810</v>
      </c>
      <c r="B340" s="1594"/>
      <c r="C340" s="1594"/>
      <c r="D340" s="1594"/>
      <c r="E340" s="1594"/>
      <c r="F340" s="1594"/>
      <c r="G340" s="1594"/>
      <c r="H340" s="1594"/>
    </row>
    <row r="341" spans="1:8">
      <c r="A341" s="1595" t="s">
        <v>811</v>
      </c>
      <c r="B341" s="1594"/>
      <c r="C341" s="1594"/>
      <c r="D341" s="1594"/>
      <c r="E341" s="1594"/>
      <c r="F341" s="1594"/>
      <c r="G341" s="1594"/>
      <c r="H341" s="1594"/>
    </row>
    <row r="342" spans="1:8">
      <c r="A342" s="1595" t="s">
        <v>812</v>
      </c>
      <c r="B342" s="1594"/>
      <c r="C342" s="1594"/>
      <c r="D342" s="1594"/>
      <c r="E342" s="1594"/>
      <c r="F342" s="1594"/>
      <c r="G342" s="1594"/>
      <c r="H342" s="1594"/>
    </row>
    <row r="343" spans="1:8">
      <c r="A343" s="1595" t="s">
        <v>813</v>
      </c>
      <c r="B343" s="1594"/>
      <c r="C343" s="1594"/>
      <c r="D343" s="1594"/>
      <c r="E343" s="1594"/>
      <c r="F343" s="1594"/>
      <c r="G343" s="1594"/>
      <c r="H343" s="1594"/>
    </row>
    <row r="344" spans="1:8">
      <c r="A344" s="1595" t="s">
        <v>814</v>
      </c>
      <c r="B344" s="1594"/>
      <c r="C344" s="1594"/>
      <c r="D344" s="1594"/>
      <c r="E344" s="1594"/>
      <c r="F344" s="1594"/>
      <c r="G344" s="1594"/>
      <c r="H344" s="1594"/>
    </row>
    <row r="345" spans="1:8">
      <c r="A345" s="1595" t="s">
        <v>815</v>
      </c>
      <c r="B345" s="1594"/>
      <c r="C345" s="1594"/>
      <c r="D345" s="1594"/>
      <c r="E345" s="1594"/>
      <c r="F345" s="1594"/>
      <c r="G345" s="1594"/>
      <c r="H345" s="1594"/>
    </row>
    <row r="346" spans="1:8">
      <c r="A346" s="1595" t="s">
        <v>816</v>
      </c>
      <c r="B346" s="1594"/>
      <c r="C346" s="1594"/>
      <c r="D346" s="1594"/>
      <c r="E346" s="1594"/>
      <c r="F346" s="1594"/>
      <c r="G346" s="1594"/>
      <c r="H346" s="1594"/>
    </row>
    <row r="347" spans="1:8">
      <c r="A347" s="1595" t="s">
        <v>817</v>
      </c>
      <c r="B347" s="1594"/>
      <c r="C347" s="1594"/>
      <c r="D347" s="1594"/>
      <c r="E347" s="1594"/>
      <c r="F347" s="1594"/>
      <c r="G347" s="1594"/>
      <c r="H347" s="1594"/>
    </row>
    <row r="348" spans="1:8">
      <c r="A348" s="1595" t="s">
        <v>818</v>
      </c>
      <c r="B348" s="1594"/>
      <c r="C348" s="1594"/>
      <c r="D348" s="1594"/>
      <c r="E348" s="1594"/>
      <c r="F348" s="1594"/>
      <c r="G348" s="1594"/>
      <c r="H348" s="1594"/>
    </row>
    <row r="349" spans="1:8">
      <c r="A349" s="1595" t="s">
        <v>819</v>
      </c>
      <c r="B349" s="1594"/>
      <c r="C349" s="1594"/>
      <c r="D349" s="1594"/>
      <c r="E349" s="1594"/>
      <c r="F349" s="1594"/>
      <c r="G349" s="1594"/>
      <c r="H349" s="1594"/>
    </row>
    <row r="350" spans="1:8">
      <c r="A350" s="1595" t="s">
        <v>820</v>
      </c>
      <c r="B350" s="1594"/>
      <c r="C350" s="1594"/>
      <c r="D350" s="1594"/>
      <c r="E350" s="1594"/>
      <c r="F350" s="1594"/>
      <c r="G350" s="1594"/>
      <c r="H350" s="1594"/>
    </row>
    <row r="351" spans="1:8">
      <c r="A351" s="1595" t="s">
        <v>821</v>
      </c>
      <c r="B351" s="1594"/>
      <c r="C351" s="1594"/>
      <c r="D351" s="1594"/>
      <c r="E351" s="1594"/>
      <c r="F351" s="1594"/>
      <c r="G351" s="1594"/>
      <c r="H351" s="1594"/>
    </row>
    <row r="352" spans="1:8">
      <c r="A352" s="1595" t="s">
        <v>822</v>
      </c>
      <c r="B352" s="1594"/>
      <c r="C352" s="1594"/>
      <c r="D352" s="1594"/>
      <c r="E352" s="1594"/>
      <c r="F352" s="1594"/>
      <c r="G352" s="1594"/>
      <c r="H352" s="1594"/>
    </row>
    <row r="353" spans="1:8">
      <c r="A353" s="1595" t="s">
        <v>823</v>
      </c>
      <c r="B353" s="1594"/>
      <c r="C353" s="1594"/>
      <c r="D353" s="1594"/>
      <c r="E353" s="1594"/>
      <c r="F353" s="1594"/>
      <c r="G353" s="1594"/>
      <c r="H353" s="1594"/>
    </row>
    <row r="354" spans="1:8">
      <c r="A354" s="1595" t="s">
        <v>824</v>
      </c>
      <c r="B354" s="1594"/>
      <c r="C354" s="1594"/>
      <c r="D354" s="1594"/>
      <c r="E354" s="1594"/>
      <c r="F354" s="1594"/>
      <c r="G354" s="1594"/>
      <c r="H354" s="1594"/>
    </row>
    <row r="355" spans="1:8">
      <c r="A355" s="1595" t="s">
        <v>825</v>
      </c>
      <c r="B355" s="1594"/>
      <c r="C355" s="1594"/>
      <c r="D355" s="1594"/>
      <c r="E355" s="1594"/>
      <c r="F355" s="1594"/>
      <c r="G355" s="1594"/>
      <c r="H355" s="1594"/>
    </row>
    <row r="356" spans="1:8">
      <c r="A356" s="1595" t="s">
        <v>826</v>
      </c>
      <c r="B356" s="1594"/>
      <c r="C356" s="1594"/>
      <c r="D356" s="1594"/>
      <c r="E356" s="1594"/>
      <c r="F356" s="1594"/>
      <c r="G356" s="1594"/>
      <c r="H356" s="1594"/>
    </row>
    <row r="357" spans="1:8">
      <c r="A357" s="1595" t="s">
        <v>827</v>
      </c>
      <c r="B357" s="1594"/>
      <c r="C357" s="1594"/>
      <c r="D357" s="1594"/>
      <c r="E357" s="1594"/>
      <c r="F357" s="1594"/>
      <c r="G357" s="1594"/>
      <c r="H357" s="1594"/>
    </row>
    <row r="358" spans="1:8">
      <c r="A358" s="1595" t="s">
        <v>828</v>
      </c>
      <c r="B358" s="1594"/>
      <c r="C358" s="1594"/>
      <c r="D358" s="1594"/>
      <c r="E358" s="1594"/>
      <c r="F358" s="1594"/>
      <c r="G358" s="1594"/>
      <c r="H358" s="1594"/>
    </row>
    <row r="359" spans="1:8">
      <c r="A359" s="1595" t="s">
        <v>829</v>
      </c>
      <c r="B359" s="1594"/>
      <c r="C359" s="1594"/>
      <c r="D359" s="1594"/>
      <c r="E359" s="1594"/>
      <c r="F359" s="1594"/>
      <c r="G359" s="1594"/>
      <c r="H359" s="1594"/>
    </row>
    <row r="360" spans="1:8">
      <c r="A360" s="1595" t="s">
        <v>830</v>
      </c>
      <c r="B360" s="1594"/>
      <c r="C360" s="1594"/>
      <c r="D360" s="1594"/>
      <c r="E360" s="1594"/>
      <c r="F360" s="1594"/>
      <c r="G360" s="1594"/>
      <c r="H360" s="1594"/>
    </row>
    <row r="361" spans="1:8">
      <c r="A361" s="1595" t="s">
        <v>831</v>
      </c>
      <c r="B361" s="1594"/>
      <c r="C361" s="1594"/>
      <c r="D361" s="1594"/>
      <c r="E361" s="1594"/>
      <c r="F361" s="1594"/>
      <c r="G361" s="1594"/>
      <c r="H361" s="1594"/>
    </row>
    <row r="362" spans="1:8">
      <c r="A362" s="1595" t="s">
        <v>832</v>
      </c>
      <c r="B362" s="1594"/>
      <c r="C362" s="1594"/>
      <c r="D362" s="1594"/>
      <c r="E362" s="1594"/>
      <c r="F362" s="1594"/>
      <c r="G362" s="1594"/>
      <c r="H362" s="1594"/>
    </row>
    <row r="363" spans="1:8">
      <c r="A363" s="1595" t="s">
        <v>833</v>
      </c>
      <c r="B363" s="1594"/>
      <c r="C363" s="1594"/>
      <c r="D363" s="1594"/>
      <c r="E363" s="1594"/>
      <c r="F363" s="1594"/>
      <c r="G363" s="1594"/>
      <c r="H363" s="1594"/>
    </row>
    <row r="364" spans="1:8">
      <c r="A364" s="1595" t="s">
        <v>834</v>
      </c>
      <c r="B364" s="1594"/>
      <c r="C364" s="1594"/>
      <c r="D364" s="1594"/>
      <c r="E364" s="1594"/>
      <c r="F364" s="1594"/>
      <c r="G364" s="1594"/>
      <c r="H364" s="1594"/>
    </row>
    <row r="365" spans="1:8">
      <c r="A365" s="1595" t="s">
        <v>835</v>
      </c>
      <c r="B365" s="1594"/>
      <c r="C365" s="1594"/>
      <c r="D365" s="1594"/>
      <c r="E365" s="1594"/>
      <c r="F365" s="1594"/>
      <c r="G365" s="1594"/>
      <c r="H365" s="1594"/>
    </row>
    <row r="366" spans="1:8">
      <c r="A366" s="1595" t="s">
        <v>836</v>
      </c>
      <c r="B366" s="1594"/>
      <c r="C366" s="1594"/>
      <c r="D366" s="1594"/>
      <c r="E366" s="1594"/>
      <c r="F366" s="1594"/>
      <c r="G366" s="1594"/>
      <c r="H366" s="1594"/>
    </row>
    <row r="367" spans="1:8">
      <c r="A367" s="1595" t="s">
        <v>837</v>
      </c>
      <c r="B367" s="1594"/>
      <c r="C367" s="1594"/>
      <c r="D367" s="1594"/>
      <c r="E367" s="1594"/>
      <c r="F367" s="1594"/>
      <c r="G367" s="1594"/>
      <c r="H367" s="1594"/>
    </row>
    <row r="368" spans="1:8">
      <c r="A368" s="1595" t="s">
        <v>838</v>
      </c>
      <c r="B368" s="1594"/>
      <c r="C368" s="1594"/>
      <c r="D368" s="1594"/>
      <c r="E368" s="1594"/>
      <c r="F368" s="1594"/>
      <c r="G368" s="1594"/>
      <c r="H368" s="1594"/>
    </row>
    <row r="369" spans="1:8">
      <c r="A369" s="1594"/>
      <c r="B369" s="1594"/>
      <c r="C369" s="1594"/>
      <c r="D369" s="1594"/>
      <c r="E369" s="1594"/>
      <c r="F369" s="1594"/>
      <c r="G369" s="1594"/>
      <c r="H369" s="1594"/>
    </row>
    <row r="370" spans="1:8">
      <c r="A370" s="1595" t="s">
        <v>796</v>
      </c>
      <c r="B370" s="1594"/>
      <c r="C370" s="1594"/>
      <c r="D370" s="1594"/>
      <c r="E370" s="1594"/>
      <c r="F370" s="1594"/>
      <c r="G370" s="1594"/>
      <c r="H370" s="1594"/>
    </row>
    <row r="371" spans="1:8">
      <c r="A371" s="1595" t="s">
        <v>800</v>
      </c>
      <c r="B371" s="1594"/>
      <c r="C371" s="1594"/>
      <c r="D371" s="1594"/>
      <c r="E371" s="1594"/>
      <c r="F371" s="1594"/>
      <c r="G371" s="1594"/>
      <c r="H371" s="1594"/>
    </row>
    <row r="372" spans="1:8">
      <c r="A372" s="1595" t="s">
        <v>801</v>
      </c>
      <c r="B372" s="1594"/>
      <c r="C372" s="1594"/>
      <c r="D372" s="1594"/>
      <c r="E372" s="1594"/>
      <c r="F372" s="1594"/>
      <c r="G372" s="1594"/>
      <c r="H372" s="1594"/>
    </row>
    <row r="373" spans="1:8">
      <c r="A373" s="1595" t="s">
        <v>802</v>
      </c>
      <c r="B373" s="1594"/>
      <c r="C373" s="1594"/>
      <c r="D373" s="1594"/>
      <c r="E373" s="1594"/>
      <c r="F373" s="1594"/>
      <c r="G373" s="1594"/>
      <c r="H373" s="1594"/>
    </row>
    <row r="374" spans="1:8">
      <c r="A374" s="1595" t="s">
        <v>803</v>
      </c>
      <c r="B374" s="1594"/>
      <c r="C374" s="1594"/>
      <c r="D374" s="1594"/>
      <c r="E374" s="1594"/>
      <c r="F374" s="1594"/>
      <c r="G374" s="1594"/>
      <c r="H374" s="1594"/>
    </row>
    <row r="375" spans="1:8">
      <c r="A375" s="1594"/>
      <c r="B375" s="1594"/>
      <c r="C375" s="1594"/>
      <c r="D375" s="1594"/>
      <c r="E375" s="1594"/>
      <c r="F375" s="1594"/>
      <c r="G375" s="1594"/>
      <c r="H375" s="1594"/>
    </row>
    <row r="376" spans="1:8">
      <c r="A376" s="1595" t="s">
        <v>796</v>
      </c>
      <c r="B376" s="1594"/>
      <c r="C376" s="1594"/>
      <c r="D376" s="1594"/>
      <c r="E376" s="1594"/>
      <c r="F376" s="1594"/>
      <c r="G376" s="1594"/>
      <c r="H376" s="1594"/>
    </row>
    <row r="377" spans="1:8">
      <c r="A377" s="1595" t="s">
        <v>797</v>
      </c>
      <c r="B377" s="1594"/>
      <c r="C377" s="1594"/>
      <c r="D377" s="1594"/>
      <c r="E377" s="1594"/>
      <c r="F377" s="1594"/>
      <c r="G377" s="1594"/>
      <c r="H377" s="1594"/>
    </row>
    <row r="378" spans="1:8">
      <c r="A378" s="1595" t="s">
        <v>798</v>
      </c>
      <c r="B378" s="1594"/>
      <c r="C378" s="1594"/>
      <c r="D378" s="1594"/>
      <c r="E378" s="1594"/>
      <c r="F378" s="1594"/>
      <c r="G378" s="1594"/>
      <c r="H378" s="1594"/>
    </row>
    <row r="379" spans="1:8">
      <c r="A379" s="1595" t="s">
        <v>799</v>
      </c>
      <c r="B379" s="1594"/>
      <c r="C379" s="1594"/>
      <c r="D379" s="1594"/>
      <c r="E379" s="1594"/>
      <c r="F379" s="1594"/>
      <c r="G379" s="1594"/>
      <c r="H379" s="1594"/>
    </row>
    <row r="380" spans="1:8">
      <c r="A380" s="1594"/>
      <c r="B380" s="1594"/>
      <c r="C380" s="1594"/>
      <c r="D380" s="1594"/>
      <c r="E380" s="1594"/>
      <c r="F380" s="1594"/>
      <c r="G380" s="1594"/>
      <c r="H380" s="1594"/>
    </row>
    <row r="381" spans="1:8">
      <c r="A381" s="1595" t="s">
        <v>790</v>
      </c>
      <c r="B381" s="1594"/>
      <c r="C381" s="1594"/>
      <c r="D381" s="1594"/>
      <c r="E381" s="1594"/>
      <c r="F381" s="1594"/>
      <c r="G381" s="1594"/>
      <c r="H381" s="1594"/>
    </row>
    <row r="382" spans="1:8">
      <c r="A382" s="1595" t="s">
        <v>791</v>
      </c>
      <c r="B382" s="1594"/>
      <c r="C382" s="1594"/>
      <c r="D382" s="1594"/>
      <c r="E382" s="1594"/>
      <c r="F382" s="1594"/>
      <c r="G382" s="1594"/>
      <c r="H382" s="1594"/>
    </row>
    <row r="383" spans="1:8">
      <c r="A383" s="1595" t="s">
        <v>792</v>
      </c>
      <c r="B383" s="1594"/>
      <c r="C383" s="1594"/>
      <c r="D383" s="1594"/>
      <c r="E383" s="1594"/>
      <c r="F383" s="1594"/>
      <c r="G383" s="1594"/>
      <c r="H383" s="1594"/>
    </row>
    <row r="384" spans="1:8">
      <c r="A384" s="1595" t="s">
        <v>793</v>
      </c>
      <c r="B384" s="1594"/>
      <c r="C384" s="1594"/>
      <c r="D384" s="1594"/>
      <c r="E384" s="1594"/>
      <c r="F384" s="1594"/>
      <c r="G384" s="1594"/>
      <c r="H384" s="1594"/>
    </row>
    <row r="385" spans="1:8">
      <c r="A385" s="1595" t="s">
        <v>794</v>
      </c>
      <c r="B385" s="1594"/>
      <c r="C385" s="1594"/>
      <c r="D385" s="1594"/>
      <c r="E385" s="1594"/>
      <c r="F385" s="1594"/>
      <c r="G385" s="1594"/>
      <c r="H385" s="1594"/>
    </row>
    <row r="386" spans="1:8">
      <c r="A386" s="1595" t="s">
        <v>795</v>
      </c>
      <c r="B386" s="1594"/>
      <c r="C386" s="1594"/>
      <c r="D386" s="1594"/>
      <c r="E386" s="1594"/>
      <c r="F386" s="1594"/>
      <c r="G386" s="1594"/>
      <c r="H386" s="1594"/>
    </row>
    <row r="387" spans="1:8">
      <c r="A387" s="1594"/>
      <c r="B387" s="1594"/>
      <c r="C387" s="1594"/>
      <c r="D387" s="1594"/>
      <c r="E387" s="1594"/>
      <c r="F387" s="1594"/>
      <c r="G387" s="1594"/>
      <c r="H387" s="1594"/>
    </row>
    <row r="388" spans="1:8">
      <c r="A388" s="1595" t="s">
        <v>785</v>
      </c>
      <c r="B388" s="1594"/>
      <c r="C388" s="1594"/>
      <c r="D388" s="1594"/>
      <c r="E388" s="1594"/>
      <c r="F388" s="1594"/>
      <c r="G388" s="1594"/>
      <c r="H388" s="1594"/>
    </row>
    <row r="389" spans="1:8">
      <c r="A389" s="1595" t="s">
        <v>786</v>
      </c>
      <c r="B389" s="1594"/>
      <c r="C389" s="1594"/>
      <c r="D389" s="1594"/>
      <c r="E389" s="1594"/>
      <c r="F389" s="1594"/>
      <c r="G389" s="1594"/>
      <c r="H389" s="1594"/>
    </row>
    <row r="390" spans="1:8">
      <c r="A390" s="1595" t="s">
        <v>787</v>
      </c>
      <c r="B390" s="1594"/>
      <c r="C390" s="1594"/>
      <c r="D390" s="1594"/>
      <c r="E390" s="1594"/>
      <c r="F390" s="1594"/>
      <c r="G390" s="1594"/>
      <c r="H390" s="1594"/>
    </row>
    <row r="391" spans="1:8">
      <c r="A391" s="1595" t="s">
        <v>788</v>
      </c>
      <c r="B391" s="1594"/>
      <c r="C391" s="1594"/>
      <c r="D391" s="1594"/>
      <c r="E391" s="1594"/>
      <c r="F391" s="1594"/>
      <c r="G391" s="1594"/>
      <c r="H391" s="1594"/>
    </row>
    <row r="392" spans="1:8">
      <c r="A392" s="1595" t="s">
        <v>789</v>
      </c>
      <c r="B392" s="1594"/>
      <c r="C392" s="1594"/>
      <c r="D392" s="1594"/>
      <c r="E392" s="1594"/>
      <c r="F392" s="1594"/>
      <c r="G392" s="1594"/>
      <c r="H392" s="1594"/>
    </row>
    <row r="393" spans="1:8">
      <c r="A393" s="1594"/>
      <c r="B393" s="1594"/>
      <c r="C393" s="1594"/>
      <c r="D393" s="1594"/>
      <c r="E393" s="1594"/>
      <c r="F393" s="1594"/>
      <c r="G393" s="1594"/>
      <c r="H393" s="1594"/>
    </row>
    <row r="394" spans="1:8">
      <c r="A394" s="1595" t="s">
        <v>783</v>
      </c>
      <c r="B394" s="1594"/>
      <c r="C394" s="1594"/>
      <c r="D394" s="1594"/>
      <c r="E394" s="1594"/>
      <c r="F394" s="1594"/>
      <c r="G394" s="1594"/>
      <c r="H394" s="1594"/>
    </row>
    <row r="395" spans="1:8">
      <c r="A395" s="1595" t="s">
        <v>784</v>
      </c>
      <c r="B395" s="1594"/>
      <c r="C395" s="1594"/>
      <c r="D395" s="1594"/>
      <c r="E395" s="1594"/>
      <c r="F395" s="1594"/>
      <c r="G395" s="1594"/>
      <c r="H395" s="1594"/>
    </row>
    <row r="397" spans="1:8">
      <c r="A397" s="1590" t="s">
        <v>1043</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4"/>
  <sheetViews>
    <sheetView workbookViewId="0"/>
  </sheetViews>
  <sheetFormatPr defaultRowHeight="12.75"/>
  <sheetData>
    <row r="1" spans="1:2">
      <c r="A1" t="s">
        <v>1117</v>
      </c>
      <c r="B1" t="s">
        <v>1118</v>
      </c>
    </row>
    <row r="2" spans="1:2">
      <c r="A2" s="1618" t="s">
        <v>1119</v>
      </c>
      <c r="B2">
        <v>-1</v>
      </c>
    </row>
    <row r="3" spans="1:2">
      <c r="A3" s="1618" t="s">
        <v>1120</v>
      </c>
      <c r="B3">
        <v>2</v>
      </c>
    </row>
    <row r="4" spans="1:2">
      <c r="A4" s="1618" t="s">
        <v>1121</v>
      </c>
      <c r="B4">
        <v>-1</v>
      </c>
    </row>
    <row r="5" spans="1:2">
      <c r="A5" s="1618" t="s">
        <v>1122</v>
      </c>
      <c r="B5">
        <v>-1</v>
      </c>
    </row>
    <row r="6" spans="1:2">
      <c r="A6" s="1618" t="s">
        <v>235</v>
      </c>
      <c r="B6">
        <v>-1</v>
      </c>
    </row>
    <row r="7" spans="1:2">
      <c r="A7" s="1618" t="s">
        <v>1123</v>
      </c>
      <c r="B7">
        <v>-1</v>
      </c>
    </row>
    <row r="8" spans="1:2">
      <c r="A8" s="1618" t="s">
        <v>1124</v>
      </c>
      <c r="B8">
        <v>-1</v>
      </c>
    </row>
    <row r="9" spans="1:2">
      <c r="A9" s="1618" t="s">
        <v>1125</v>
      </c>
      <c r="B9">
        <v>-1</v>
      </c>
    </row>
    <row r="10" spans="1:2">
      <c r="A10" s="1618" t="s">
        <v>1126</v>
      </c>
      <c r="B10">
        <v>-1</v>
      </c>
    </row>
    <row r="11" spans="1:2">
      <c r="A11" s="1618" t="s">
        <v>256</v>
      </c>
      <c r="B11">
        <v>-1</v>
      </c>
    </row>
    <row r="12" spans="1:2">
      <c r="A12" s="1618" t="s">
        <v>622</v>
      </c>
      <c r="B12">
        <v>-1</v>
      </c>
    </row>
    <row r="13" spans="1:2">
      <c r="A13" s="1618" t="s">
        <v>1127</v>
      </c>
      <c r="B13">
        <v>-1</v>
      </c>
    </row>
    <row r="14" spans="1:2">
      <c r="A14" s="1618" t="s">
        <v>1128</v>
      </c>
      <c r="B14">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11"/>
  <sheetViews>
    <sheetView showGridLines="0" showRowColHeaders="0" workbookViewId="0">
      <selection activeCell="N1" sqref="N1"/>
    </sheetView>
  </sheetViews>
  <sheetFormatPr defaultRowHeight="12.75"/>
  <cols>
    <col min="1" max="1" width="9.140625" style="1476"/>
    <col min="2" max="2" width="88.28515625" style="1476" customWidth="1"/>
    <col min="3" max="257" width="9.140625" style="1476"/>
    <col min="258" max="258" width="88.28515625" style="1476" customWidth="1"/>
    <col min="259" max="513" width="9.140625" style="1476"/>
    <col min="514" max="514" width="88.28515625" style="1476" customWidth="1"/>
    <col min="515" max="769" width="9.140625" style="1476"/>
    <col min="770" max="770" width="88.28515625" style="1476" customWidth="1"/>
    <col min="771" max="1025" width="9.140625" style="1476"/>
    <col min="1026" max="1026" width="88.28515625" style="1476" customWidth="1"/>
    <col min="1027" max="1281" width="9.140625" style="1476"/>
    <col min="1282" max="1282" width="88.28515625" style="1476" customWidth="1"/>
    <col min="1283" max="1537" width="9.140625" style="1476"/>
    <col min="1538" max="1538" width="88.28515625" style="1476" customWidth="1"/>
    <col min="1539" max="1793" width="9.140625" style="1476"/>
    <col min="1794" max="1794" width="88.28515625" style="1476" customWidth="1"/>
    <col min="1795" max="2049" width="9.140625" style="1476"/>
    <col min="2050" max="2050" width="88.28515625" style="1476" customWidth="1"/>
    <col min="2051" max="2305" width="9.140625" style="1476"/>
    <col min="2306" max="2306" width="88.28515625" style="1476" customWidth="1"/>
    <col min="2307" max="2561" width="9.140625" style="1476"/>
    <col min="2562" max="2562" width="88.28515625" style="1476" customWidth="1"/>
    <col min="2563" max="2817" width="9.140625" style="1476"/>
    <col min="2818" max="2818" width="88.28515625" style="1476" customWidth="1"/>
    <col min="2819" max="3073" width="9.140625" style="1476"/>
    <col min="3074" max="3074" width="88.28515625" style="1476" customWidth="1"/>
    <col min="3075" max="3329" width="9.140625" style="1476"/>
    <col min="3330" max="3330" width="88.28515625" style="1476" customWidth="1"/>
    <col min="3331" max="3585" width="9.140625" style="1476"/>
    <col min="3586" max="3586" width="88.28515625" style="1476" customWidth="1"/>
    <col min="3587" max="3841" width="9.140625" style="1476"/>
    <col min="3842" max="3842" width="88.28515625" style="1476" customWidth="1"/>
    <col min="3843" max="4097" width="9.140625" style="1476"/>
    <col min="4098" max="4098" width="88.28515625" style="1476" customWidth="1"/>
    <col min="4099" max="4353" width="9.140625" style="1476"/>
    <col min="4354" max="4354" width="88.28515625" style="1476" customWidth="1"/>
    <col min="4355" max="4609" width="9.140625" style="1476"/>
    <col min="4610" max="4610" width="88.28515625" style="1476" customWidth="1"/>
    <col min="4611" max="4865" width="9.140625" style="1476"/>
    <col min="4866" max="4866" width="88.28515625" style="1476" customWidth="1"/>
    <col min="4867" max="5121" width="9.140625" style="1476"/>
    <col min="5122" max="5122" width="88.28515625" style="1476" customWidth="1"/>
    <col min="5123" max="5377" width="9.140625" style="1476"/>
    <col min="5378" max="5378" width="88.28515625" style="1476" customWidth="1"/>
    <col min="5379" max="5633" width="9.140625" style="1476"/>
    <col min="5634" max="5634" width="88.28515625" style="1476" customWidth="1"/>
    <col min="5635" max="5889" width="9.140625" style="1476"/>
    <col min="5890" max="5890" width="88.28515625" style="1476" customWidth="1"/>
    <col min="5891" max="6145" width="9.140625" style="1476"/>
    <col min="6146" max="6146" width="88.28515625" style="1476" customWidth="1"/>
    <col min="6147" max="6401" width="9.140625" style="1476"/>
    <col min="6402" max="6402" width="88.28515625" style="1476" customWidth="1"/>
    <col min="6403" max="6657" width="9.140625" style="1476"/>
    <col min="6658" max="6658" width="88.28515625" style="1476" customWidth="1"/>
    <col min="6659" max="6913" width="9.140625" style="1476"/>
    <col min="6914" max="6914" width="88.28515625" style="1476" customWidth="1"/>
    <col min="6915" max="7169" width="9.140625" style="1476"/>
    <col min="7170" max="7170" width="88.28515625" style="1476" customWidth="1"/>
    <col min="7171" max="7425" width="9.140625" style="1476"/>
    <col min="7426" max="7426" width="88.28515625" style="1476" customWidth="1"/>
    <col min="7427" max="7681" width="9.140625" style="1476"/>
    <col min="7682" max="7682" width="88.28515625" style="1476" customWidth="1"/>
    <col min="7683" max="7937" width="9.140625" style="1476"/>
    <col min="7938" max="7938" width="88.28515625" style="1476" customWidth="1"/>
    <col min="7939" max="8193" width="9.140625" style="1476"/>
    <col min="8194" max="8194" width="88.28515625" style="1476" customWidth="1"/>
    <col min="8195" max="8449" width="9.140625" style="1476"/>
    <col min="8450" max="8450" width="88.28515625" style="1476" customWidth="1"/>
    <col min="8451" max="8705" width="9.140625" style="1476"/>
    <col min="8706" max="8706" width="88.28515625" style="1476" customWidth="1"/>
    <col min="8707" max="8961" width="9.140625" style="1476"/>
    <col min="8962" max="8962" width="88.28515625" style="1476" customWidth="1"/>
    <col min="8963" max="9217" width="9.140625" style="1476"/>
    <col min="9218" max="9218" width="88.28515625" style="1476" customWidth="1"/>
    <col min="9219" max="9473" width="9.140625" style="1476"/>
    <col min="9474" max="9474" width="88.28515625" style="1476" customWidth="1"/>
    <col min="9475" max="9729" width="9.140625" style="1476"/>
    <col min="9730" max="9730" width="88.28515625" style="1476" customWidth="1"/>
    <col min="9731" max="9985" width="9.140625" style="1476"/>
    <col min="9986" max="9986" width="88.28515625" style="1476" customWidth="1"/>
    <col min="9987" max="10241" width="9.140625" style="1476"/>
    <col min="10242" max="10242" width="88.28515625" style="1476" customWidth="1"/>
    <col min="10243" max="10497" width="9.140625" style="1476"/>
    <col min="10498" max="10498" width="88.28515625" style="1476" customWidth="1"/>
    <col min="10499" max="10753" width="9.140625" style="1476"/>
    <col min="10754" max="10754" width="88.28515625" style="1476" customWidth="1"/>
    <col min="10755" max="11009" width="9.140625" style="1476"/>
    <col min="11010" max="11010" width="88.28515625" style="1476" customWidth="1"/>
    <col min="11011" max="11265" width="9.140625" style="1476"/>
    <col min="11266" max="11266" width="88.28515625" style="1476" customWidth="1"/>
    <col min="11267" max="11521" width="9.140625" style="1476"/>
    <col min="11522" max="11522" width="88.28515625" style="1476" customWidth="1"/>
    <col min="11523" max="11777" width="9.140625" style="1476"/>
    <col min="11778" max="11778" width="88.28515625" style="1476" customWidth="1"/>
    <col min="11779" max="12033" width="9.140625" style="1476"/>
    <col min="12034" max="12034" width="88.28515625" style="1476" customWidth="1"/>
    <col min="12035" max="12289" width="9.140625" style="1476"/>
    <col min="12290" max="12290" width="88.28515625" style="1476" customWidth="1"/>
    <col min="12291" max="12545" width="9.140625" style="1476"/>
    <col min="12546" max="12546" width="88.28515625" style="1476" customWidth="1"/>
    <col min="12547" max="12801" width="9.140625" style="1476"/>
    <col min="12802" max="12802" width="88.28515625" style="1476" customWidth="1"/>
    <col min="12803" max="13057" width="9.140625" style="1476"/>
    <col min="13058" max="13058" width="88.28515625" style="1476" customWidth="1"/>
    <col min="13059" max="13313" width="9.140625" style="1476"/>
    <col min="13314" max="13314" width="88.28515625" style="1476" customWidth="1"/>
    <col min="13315" max="13569" width="9.140625" style="1476"/>
    <col min="13570" max="13570" width="88.28515625" style="1476" customWidth="1"/>
    <col min="13571" max="13825" width="9.140625" style="1476"/>
    <col min="13826" max="13826" width="88.28515625" style="1476" customWidth="1"/>
    <col min="13827" max="14081" width="9.140625" style="1476"/>
    <col min="14082" max="14082" width="88.28515625" style="1476" customWidth="1"/>
    <col min="14083" max="14337" width="9.140625" style="1476"/>
    <col min="14338" max="14338" width="88.28515625" style="1476" customWidth="1"/>
    <col min="14339" max="14593" width="9.140625" style="1476"/>
    <col min="14594" max="14594" width="88.28515625" style="1476" customWidth="1"/>
    <col min="14595" max="14849" width="9.140625" style="1476"/>
    <col min="14850" max="14850" width="88.28515625" style="1476" customWidth="1"/>
    <col min="14851" max="15105" width="9.140625" style="1476"/>
    <col min="15106" max="15106" width="88.28515625" style="1476" customWidth="1"/>
    <col min="15107" max="15361" width="9.140625" style="1476"/>
    <col min="15362" max="15362" width="88.28515625" style="1476" customWidth="1"/>
    <col min="15363" max="15617" width="9.140625" style="1476"/>
    <col min="15618" max="15618" width="88.28515625" style="1476" customWidth="1"/>
    <col min="15619" max="15873" width="9.140625" style="1476"/>
    <col min="15874" max="15874" width="88.28515625" style="1476" customWidth="1"/>
    <col min="15875" max="16129" width="9.140625" style="1476"/>
    <col min="16130" max="16130" width="88.28515625" style="1476" customWidth="1"/>
    <col min="16131" max="16384" width="9.140625" style="1476"/>
  </cols>
  <sheetData>
    <row r="1" spans="2:2" ht="32.25" customHeight="1"/>
    <row r="2" spans="2:2" ht="72">
      <c r="B2" s="1614" t="s">
        <v>1110</v>
      </c>
    </row>
    <row r="3" spans="2:2" ht="72" hidden="1">
      <c r="B3" s="1614" t="s">
        <v>1111</v>
      </c>
    </row>
    <row r="4" spans="2:2" ht="18">
      <c r="B4" s="1614"/>
    </row>
    <row r="5" spans="2:2" ht="54">
      <c r="B5" s="1614" t="s">
        <v>1112</v>
      </c>
    </row>
    <row r="6" spans="2:2" ht="7.5" customHeight="1">
      <c r="B6" s="1614"/>
    </row>
    <row r="7" spans="2:2" ht="18">
      <c r="B7" s="1615" t="s">
        <v>1113</v>
      </c>
    </row>
    <row r="8" spans="2:2" ht="18">
      <c r="B8" s="1615" t="s">
        <v>1115</v>
      </c>
    </row>
    <row r="9" spans="2:2" ht="18">
      <c r="B9" s="1615" t="s">
        <v>1116</v>
      </c>
    </row>
    <row r="10" spans="2:2" ht="18">
      <c r="B10" s="1616"/>
    </row>
    <row r="11" spans="2:2" ht="54">
      <c r="B11" s="1617" t="s">
        <v>1114</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59361"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2959362"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P25"/>
  <sheetViews>
    <sheetView workbookViewId="0">
      <selection activeCell="B1" sqref="B1"/>
    </sheetView>
  </sheetViews>
  <sheetFormatPr defaultRowHeight="12.75"/>
  <cols>
    <col min="1" max="1" width="7.7109375" style="79" customWidth="1"/>
    <col min="2" max="2" width="25.85546875" style="81" customWidth="1"/>
    <col min="3" max="3" width="6.42578125" style="79" customWidth="1"/>
    <col min="4" max="4" width="28.42578125" style="79" customWidth="1"/>
    <col min="5" max="5" width="5.5703125" style="79" customWidth="1"/>
    <col min="6" max="6" width="27.5703125" style="79" customWidth="1"/>
    <col min="7" max="7" width="5.5703125" style="79" customWidth="1"/>
    <col min="8" max="8" width="27.5703125" style="79" customWidth="1"/>
    <col min="9" max="9" width="10.7109375" style="79" customWidth="1"/>
    <col min="10" max="10" width="6.42578125" style="79" customWidth="1"/>
    <col min="11" max="256" width="9.140625" style="79"/>
    <col min="257" max="257" width="7.7109375" style="79" customWidth="1"/>
    <col min="258" max="258" width="25.85546875" style="79" customWidth="1"/>
    <col min="259" max="259" width="6.42578125" style="79" customWidth="1"/>
    <col min="260" max="260" width="28.42578125" style="79" customWidth="1"/>
    <col min="261" max="261" width="5.5703125" style="79" customWidth="1"/>
    <col min="262" max="262" width="27.5703125" style="79" customWidth="1"/>
    <col min="263" max="263" width="5.5703125" style="79" customWidth="1"/>
    <col min="264" max="264" width="27.5703125" style="79" customWidth="1"/>
    <col min="265" max="265" width="10.7109375" style="79" customWidth="1"/>
    <col min="266" max="266" width="6.42578125" style="79" customWidth="1"/>
    <col min="267" max="512" width="9.140625" style="79"/>
    <col min="513" max="513" width="7.7109375" style="79" customWidth="1"/>
    <col min="514" max="514" width="25.85546875" style="79" customWidth="1"/>
    <col min="515" max="515" width="6.42578125" style="79" customWidth="1"/>
    <col min="516" max="516" width="28.42578125" style="79" customWidth="1"/>
    <col min="517" max="517" width="5.5703125" style="79" customWidth="1"/>
    <col min="518" max="518" width="27.5703125" style="79" customWidth="1"/>
    <col min="519" max="519" width="5.5703125" style="79" customWidth="1"/>
    <col min="520" max="520" width="27.5703125" style="79" customWidth="1"/>
    <col min="521" max="521" width="10.7109375" style="79" customWidth="1"/>
    <col min="522" max="522" width="6.42578125" style="79" customWidth="1"/>
    <col min="523" max="768" width="9.140625" style="79"/>
    <col min="769" max="769" width="7.7109375" style="79" customWidth="1"/>
    <col min="770" max="770" width="25.85546875" style="79" customWidth="1"/>
    <col min="771" max="771" width="6.42578125" style="79" customWidth="1"/>
    <col min="772" max="772" width="28.42578125" style="79" customWidth="1"/>
    <col min="773" max="773" width="5.5703125" style="79" customWidth="1"/>
    <col min="774" max="774" width="27.5703125" style="79" customWidth="1"/>
    <col min="775" max="775" width="5.5703125" style="79" customWidth="1"/>
    <col min="776" max="776" width="27.5703125" style="79" customWidth="1"/>
    <col min="777" max="777" width="10.7109375" style="79" customWidth="1"/>
    <col min="778" max="778" width="6.42578125" style="79" customWidth="1"/>
    <col min="779" max="1024" width="9.140625" style="79"/>
    <col min="1025" max="1025" width="7.7109375" style="79" customWidth="1"/>
    <col min="1026" max="1026" width="25.85546875" style="79" customWidth="1"/>
    <col min="1027" max="1027" width="6.42578125" style="79" customWidth="1"/>
    <col min="1028" max="1028" width="28.42578125" style="79" customWidth="1"/>
    <col min="1029" max="1029" width="5.5703125" style="79" customWidth="1"/>
    <col min="1030" max="1030" width="27.5703125" style="79" customWidth="1"/>
    <col min="1031" max="1031" width="5.5703125" style="79" customWidth="1"/>
    <col min="1032" max="1032" width="27.5703125" style="79" customWidth="1"/>
    <col min="1033" max="1033" width="10.7109375" style="79" customWidth="1"/>
    <col min="1034" max="1034" width="6.42578125" style="79" customWidth="1"/>
    <col min="1035" max="1280" width="9.140625" style="79"/>
    <col min="1281" max="1281" width="7.7109375" style="79" customWidth="1"/>
    <col min="1282" max="1282" width="25.85546875" style="79" customWidth="1"/>
    <col min="1283" max="1283" width="6.42578125" style="79" customWidth="1"/>
    <col min="1284" max="1284" width="28.42578125" style="79" customWidth="1"/>
    <col min="1285" max="1285" width="5.5703125" style="79" customWidth="1"/>
    <col min="1286" max="1286" width="27.5703125" style="79" customWidth="1"/>
    <col min="1287" max="1287" width="5.5703125" style="79" customWidth="1"/>
    <col min="1288" max="1288" width="27.5703125" style="79" customWidth="1"/>
    <col min="1289" max="1289" width="10.7109375" style="79" customWidth="1"/>
    <col min="1290" max="1290" width="6.42578125" style="79" customWidth="1"/>
    <col min="1291" max="1536" width="9.140625" style="79"/>
    <col min="1537" max="1537" width="7.7109375" style="79" customWidth="1"/>
    <col min="1538" max="1538" width="25.85546875" style="79" customWidth="1"/>
    <col min="1539" max="1539" width="6.42578125" style="79" customWidth="1"/>
    <col min="1540" max="1540" width="28.42578125" style="79" customWidth="1"/>
    <col min="1541" max="1541" width="5.5703125" style="79" customWidth="1"/>
    <col min="1542" max="1542" width="27.5703125" style="79" customWidth="1"/>
    <col min="1543" max="1543" width="5.5703125" style="79" customWidth="1"/>
    <col min="1544" max="1544" width="27.5703125" style="79" customWidth="1"/>
    <col min="1545" max="1545" width="10.7109375" style="79" customWidth="1"/>
    <col min="1546" max="1546" width="6.42578125" style="79" customWidth="1"/>
    <col min="1547" max="1792" width="9.140625" style="79"/>
    <col min="1793" max="1793" width="7.7109375" style="79" customWidth="1"/>
    <col min="1794" max="1794" width="25.85546875" style="79" customWidth="1"/>
    <col min="1795" max="1795" width="6.42578125" style="79" customWidth="1"/>
    <col min="1796" max="1796" width="28.42578125" style="79" customWidth="1"/>
    <col min="1797" max="1797" width="5.5703125" style="79" customWidth="1"/>
    <col min="1798" max="1798" width="27.5703125" style="79" customWidth="1"/>
    <col min="1799" max="1799" width="5.5703125" style="79" customWidth="1"/>
    <col min="1800" max="1800" width="27.5703125" style="79" customWidth="1"/>
    <col min="1801" max="1801" width="10.7109375" style="79" customWidth="1"/>
    <col min="1802" max="1802" width="6.42578125" style="79" customWidth="1"/>
    <col min="1803" max="2048" width="9.140625" style="79"/>
    <col min="2049" max="2049" width="7.7109375" style="79" customWidth="1"/>
    <col min="2050" max="2050" width="25.85546875" style="79" customWidth="1"/>
    <col min="2051" max="2051" width="6.42578125" style="79" customWidth="1"/>
    <col min="2052" max="2052" width="28.42578125" style="79" customWidth="1"/>
    <col min="2053" max="2053" width="5.5703125" style="79" customWidth="1"/>
    <col min="2054" max="2054" width="27.5703125" style="79" customWidth="1"/>
    <col min="2055" max="2055" width="5.5703125" style="79" customWidth="1"/>
    <col min="2056" max="2056" width="27.5703125" style="79" customWidth="1"/>
    <col min="2057" max="2057" width="10.7109375" style="79" customWidth="1"/>
    <col min="2058" max="2058" width="6.42578125" style="79" customWidth="1"/>
    <col min="2059" max="2304" width="9.140625" style="79"/>
    <col min="2305" max="2305" width="7.7109375" style="79" customWidth="1"/>
    <col min="2306" max="2306" width="25.85546875" style="79" customWidth="1"/>
    <col min="2307" max="2307" width="6.42578125" style="79" customWidth="1"/>
    <col min="2308" max="2308" width="28.42578125" style="79" customWidth="1"/>
    <col min="2309" max="2309" width="5.5703125" style="79" customWidth="1"/>
    <col min="2310" max="2310" width="27.5703125" style="79" customWidth="1"/>
    <col min="2311" max="2311" width="5.5703125" style="79" customWidth="1"/>
    <col min="2312" max="2312" width="27.5703125" style="79" customWidth="1"/>
    <col min="2313" max="2313" width="10.7109375" style="79" customWidth="1"/>
    <col min="2314" max="2314" width="6.42578125" style="79" customWidth="1"/>
    <col min="2315" max="2560" width="9.140625" style="79"/>
    <col min="2561" max="2561" width="7.7109375" style="79" customWidth="1"/>
    <col min="2562" max="2562" width="25.85546875" style="79" customWidth="1"/>
    <col min="2563" max="2563" width="6.42578125" style="79" customWidth="1"/>
    <col min="2564" max="2564" width="28.42578125" style="79" customWidth="1"/>
    <col min="2565" max="2565" width="5.5703125" style="79" customWidth="1"/>
    <col min="2566" max="2566" width="27.5703125" style="79" customWidth="1"/>
    <col min="2567" max="2567" width="5.5703125" style="79" customWidth="1"/>
    <col min="2568" max="2568" width="27.5703125" style="79" customWidth="1"/>
    <col min="2569" max="2569" width="10.7109375" style="79" customWidth="1"/>
    <col min="2570" max="2570" width="6.42578125" style="79" customWidth="1"/>
    <col min="2571" max="2816" width="9.140625" style="79"/>
    <col min="2817" max="2817" width="7.7109375" style="79" customWidth="1"/>
    <col min="2818" max="2818" width="25.85546875" style="79" customWidth="1"/>
    <col min="2819" max="2819" width="6.42578125" style="79" customWidth="1"/>
    <col min="2820" max="2820" width="28.42578125" style="79" customWidth="1"/>
    <col min="2821" max="2821" width="5.5703125" style="79" customWidth="1"/>
    <col min="2822" max="2822" width="27.5703125" style="79" customWidth="1"/>
    <col min="2823" max="2823" width="5.5703125" style="79" customWidth="1"/>
    <col min="2824" max="2824" width="27.5703125" style="79" customWidth="1"/>
    <col min="2825" max="2825" width="10.7109375" style="79" customWidth="1"/>
    <col min="2826" max="2826" width="6.42578125" style="79" customWidth="1"/>
    <col min="2827" max="3072" width="9.140625" style="79"/>
    <col min="3073" max="3073" width="7.7109375" style="79" customWidth="1"/>
    <col min="3074" max="3074" width="25.85546875" style="79" customWidth="1"/>
    <col min="3075" max="3075" width="6.42578125" style="79" customWidth="1"/>
    <col min="3076" max="3076" width="28.42578125" style="79" customWidth="1"/>
    <col min="3077" max="3077" width="5.5703125" style="79" customWidth="1"/>
    <col min="3078" max="3078" width="27.5703125" style="79" customWidth="1"/>
    <col min="3079" max="3079" width="5.5703125" style="79" customWidth="1"/>
    <col min="3080" max="3080" width="27.5703125" style="79" customWidth="1"/>
    <col min="3081" max="3081" width="10.7109375" style="79" customWidth="1"/>
    <col min="3082" max="3082" width="6.42578125" style="79" customWidth="1"/>
    <col min="3083" max="3328" width="9.140625" style="79"/>
    <col min="3329" max="3329" width="7.7109375" style="79" customWidth="1"/>
    <col min="3330" max="3330" width="25.85546875" style="79" customWidth="1"/>
    <col min="3331" max="3331" width="6.42578125" style="79" customWidth="1"/>
    <col min="3332" max="3332" width="28.42578125" style="79" customWidth="1"/>
    <col min="3333" max="3333" width="5.5703125" style="79" customWidth="1"/>
    <col min="3334" max="3334" width="27.5703125" style="79" customWidth="1"/>
    <col min="3335" max="3335" width="5.5703125" style="79" customWidth="1"/>
    <col min="3336" max="3336" width="27.5703125" style="79" customWidth="1"/>
    <col min="3337" max="3337" width="10.7109375" style="79" customWidth="1"/>
    <col min="3338" max="3338" width="6.42578125" style="79" customWidth="1"/>
    <col min="3339" max="3584" width="9.140625" style="79"/>
    <col min="3585" max="3585" width="7.7109375" style="79" customWidth="1"/>
    <col min="3586" max="3586" width="25.85546875" style="79" customWidth="1"/>
    <col min="3587" max="3587" width="6.42578125" style="79" customWidth="1"/>
    <col min="3588" max="3588" width="28.42578125" style="79" customWidth="1"/>
    <col min="3589" max="3589" width="5.5703125" style="79" customWidth="1"/>
    <col min="3590" max="3590" width="27.5703125" style="79" customWidth="1"/>
    <col min="3591" max="3591" width="5.5703125" style="79" customWidth="1"/>
    <col min="3592" max="3592" width="27.5703125" style="79" customWidth="1"/>
    <col min="3593" max="3593" width="10.7109375" style="79" customWidth="1"/>
    <col min="3594" max="3594" width="6.42578125" style="79" customWidth="1"/>
    <col min="3595" max="3840" width="9.140625" style="79"/>
    <col min="3841" max="3841" width="7.7109375" style="79" customWidth="1"/>
    <col min="3842" max="3842" width="25.85546875" style="79" customWidth="1"/>
    <col min="3843" max="3843" width="6.42578125" style="79" customWidth="1"/>
    <col min="3844" max="3844" width="28.42578125" style="79" customWidth="1"/>
    <col min="3845" max="3845" width="5.5703125" style="79" customWidth="1"/>
    <col min="3846" max="3846" width="27.5703125" style="79" customWidth="1"/>
    <col min="3847" max="3847" width="5.5703125" style="79" customWidth="1"/>
    <col min="3848" max="3848" width="27.5703125" style="79" customWidth="1"/>
    <col min="3849" max="3849" width="10.7109375" style="79" customWidth="1"/>
    <col min="3850" max="3850" width="6.42578125" style="79" customWidth="1"/>
    <col min="3851" max="4096" width="9.140625" style="79"/>
    <col min="4097" max="4097" width="7.7109375" style="79" customWidth="1"/>
    <col min="4098" max="4098" width="25.85546875" style="79" customWidth="1"/>
    <col min="4099" max="4099" width="6.42578125" style="79" customWidth="1"/>
    <col min="4100" max="4100" width="28.42578125" style="79" customWidth="1"/>
    <col min="4101" max="4101" width="5.5703125" style="79" customWidth="1"/>
    <col min="4102" max="4102" width="27.5703125" style="79" customWidth="1"/>
    <col min="4103" max="4103" width="5.5703125" style="79" customWidth="1"/>
    <col min="4104" max="4104" width="27.5703125" style="79" customWidth="1"/>
    <col min="4105" max="4105" width="10.7109375" style="79" customWidth="1"/>
    <col min="4106" max="4106" width="6.42578125" style="79" customWidth="1"/>
    <col min="4107" max="4352" width="9.140625" style="79"/>
    <col min="4353" max="4353" width="7.7109375" style="79" customWidth="1"/>
    <col min="4354" max="4354" width="25.85546875" style="79" customWidth="1"/>
    <col min="4355" max="4355" width="6.42578125" style="79" customWidth="1"/>
    <col min="4356" max="4356" width="28.42578125" style="79" customWidth="1"/>
    <col min="4357" max="4357" width="5.5703125" style="79" customWidth="1"/>
    <col min="4358" max="4358" width="27.5703125" style="79" customWidth="1"/>
    <col min="4359" max="4359" width="5.5703125" style="79" customWidth="1"/>
    <col min="4360" max="4360" width="27.5703125" style="79" customWidth="1"/>
    <col min="4361" max="4361" width="10.7109375" style="79" customWidth="1"/>
    <col min="4362" max="4362" width="6.42578125" style="79" customWidth="1"/>
    <col min="4363" max="4608" width="9.140625" style="79"/>
    <col min="4609" max="4609" width="7.7109375" style="79" customWidth="1"/>
    <col min="4610" max="4610" width="25.85546875" style="79" customWidth="1"/>
    <col min="4611" max="4611" width="6.42578125" style="79" customWidth="1"/>
    <col min="4612" max="4612" width="28.42578125" style="79" customWidth="1"/>
    <col min="4613" max="4613" width="5.5703125" style="79" customWidth="1"/>
    <col min="4614" max="4614" width="27.5703125" style="79" customWidth="1"/>
    <col min="4615" max="4615" width="5.5703125" style="79" customWidth="1"/>
    <col min="4616" max="4616" width="27.5703125" style="79" customWidth="1"/>
    <col min="4617" max="4617" width="10.7109375" style="79" customWidth="1"/>
    <col min="4618" max="4618" width="6.42578125" style="79" customWidth="1"/>
    <col min="4619" max="4864" width="9.140625" style="79"/>
    <col min="4865" max="4865" width="7.7109375" style="79" customWidth="1"/>
    <col min="4866" max="4866" width="25.85546875" style="79" customWidth="1"/>
    <col min="4867" max="4867" width="6.42578125" style="79" customWidth="1"/>
    <col min="4868" max="4868" width="28.42578125" style="79" customWidth="1"/>
    <col min="4869" max="4869" width="5.5703125" style="79" customWidth="1"/>
    <col min="4870" max="4870" width="27.5703125" style="79" customWidth="1"/>
    <col min="4871" max="4871" width="5.5703125" style="79" customWidth="1"/>
    <col min="4872" max="4872" width="27.5703125" style="79" customWidth="1"/>
    <col min="4873" max="4873" width="10.7109375" style="79" customWidth="1"/>
    <col min="4874" max="4874" width="6.42578125" style="79" customWidth="1"/>
    <col min="4875" max="5120" width="9.140625" style="79"/>
    <col min="5121" max="5121" width="7.7109375" style="79" customWidth="1"/>
    <col min="5122" max="5122" width="25.85546875" style="79" customWidth="1"/>
    <col min="5123" max="5123" width="6.42578125" style="79" customWidth="1"/>
    <col min="5124" max="5124" width="28.42578125" style="79" customWidth="1"/>
    <col min="5125" max="5125" width="5.5703125" style="79" customWidth="1"/>
    <col min="5126" max="5126" width="27.5703125" style="79" customWidth="1"/>
    <col min="5127" max="5127" width="5.5703125" style="79" customWidth="1"/>
    <col min="5128" max="5128" width="27.5703125" style="79" customWidth="1"/>
    <col min="5129" max="5129" width="10.7109375" style="79" customWidth="1"/>
    <col min="5130" max="5130" width="6.42578125" style="79" customWidth="1"/>
    <col min="5131" max="5376" width="9.140625" style="79"/>
    <col min="5377" max="5377" width="7.7109375" style="79" customWidth="1"/>
    <col min="5378" max="5378" width="25.85546875" style="79" customWidth="1"/>
    <col min="5379" max="5379" width="6.42578125" style="79" customWidth="1"/>
    <col min="5380" max="5380" width="28.42578125" style="79" customWidth="1"/>
    <col min="5381" max="5381" width="5.5703125" style="79" customWidth="1"/>
    <col min="5382" max="5382" width="27.5703125" style="79" customWidth="1"/>
    <col min="5383" max="5383" width="5.5703125" style="79" customWidth="1"/>
    <col min="5384" max="5384" width="27.5703125" style="79" customWidth="1"/>
    <col min="5385" max="5385" width="10.7109375" style="79" customWidth="1"/>
    <col min="5386" max="5386" width="6.42578125" style="79" customWidth="1"/>
    <col min="5387" max="5632" width="9.140625" style="79"/>
    <col min="5633" max="5633" width="7.7109375" style="79" customWidth="1"/>
    <col min="5634" max="5634" width="25.85546875" style="79" customWidth="1"/>
    <col min="5635" max="5635" width="6.42578125" style="79" customWidth="1"/>
    <col min="5636" max="5636" width="28.42578125" style="79" customWidth="1"/>
    <col min="5637" max="5637" width="5.5703125" style="79" customWidth="1"/>
    <col min="5638" max="5638" width="27.5703125" style="79" customWidth="1"/>
    <col min="5639" max="5639" width="5.5703125" style="79" customWidth="1"/>
    <col min="5640" max="5640" width="27.5703125" style="79" customWidth="1"/>
    <col min="5641" max="5641" width="10.7109375" style="79" customWidth="1"/>
    <col min="5642" max="5642" width="6.42578125" style="79" customWidth="1"/>
    <col min="5643" max="5888" width="9.140625" style="79"/>
    <col min="5889" max="5889" width="7.7109375" style="79" customWidth="1"/>
    <col min="5890" max="5890" width="25.85546875" style="79" customWidth="1"/>
    <col min="5891" max="5891" width="6.42578125" style="79" customWidth="1"/>
    <col min="5892" max="5892" width="28.42578125" style="79" customWidth="1"/>
    <col min="5893" max="5893" width="5.5703125" style="79" customWidth="1"/>
    <col min="5894" max="5894" width="27.5703125" style="79" customWidth="1"/>
    <col min="5895" max="5895" width="5.5703125" style="79" customWidth="1"/>
    <col min="5896" max="5896" width="27.5703125" style="79" customWidth="1"/>
    <col min="5897" max="5897" width="10.7109375" style="79" customWidth="1"/>
    <col min="5898" max="5898" width="6.42578125" style="79" customWidth="1"/>
    <col min="5899" max="6144" width="9.140625" style="79"/>
    <col min="6145" max="6145" width="7.7109375" style="79" customWidth="1"/>
    <col min="6146" max="6146" width="25.85546875" style="79" customWidth="1"/>
    <col min="6147" max="6147" width="6.42578125" style="79" customWidth="1"/>
    <col min="6148" max="6148" width="28.42578125" style="79" customWidth="1"/>
    <col min="6149" max="6149" width="5.5703125" style="79" customWidth="1"/>
    <col min="6150" max="6150" width="27.5703125" style="79" customWidth="1"/>
    <col min="6151" max="6151" width="5.5703125" style="79" customWidth="1"/>
    <col min="6152" max="6152" width="27.5703125" style="79" customWidth="1"/>
    <col min="6153" max="6153" width="10.7109375" style="79" customWidth="1"/>
    <col min="6154" max="6154" width="6.42578125" style="79" customWidth="1"/>
    <col min="6155" max="6400" width="9.140625" style="79"/>
    <col min="6401" max="6401" width="7.7109375" style="79" customWidth="1"/>
    <col min="6402" max="6402" width="25.85546875" style="79" customWidth="1"/>
    <col min="6403" max="6403" width="6.42578125" style="79" customWidth="1"/>
    <col min="6404" max="6404" width="28.42578125" style="79" customWidth="1"/>
    <col min="6405" max="6405" width="5.5703125" style="79" customWidth="1"/>
    <col min="6406" max="6406" width="27.5703125" style="79" customWidth="1"/>
    <col min="6407" max="6407" width="5.5703125" style="79" customWidth="1"/>
    <col min="6408" max="6408" width="27.5703125" style="79" customWidth="1"/>
    <col min="6409" max="6409" width="10.7109375" style="79" customWidth="1"/>
    <col min="6410" max="6410" width="6.42578125" style="79" customWidth="1"/>
    <col min="6411" max="6656" width="9.140625" style="79"/>
    <col min="6657" max="6657" width="7.7109375" style="79" customWidth="1"/>
    <col min="6658" max="6658" width="25.85546875" style="79" customWidth="1"/>
    <col min="6659" max="6659" width="6.42578125" style="79" customWidth="1"/>
    <col min="6660" max="6660" width="28.42578125" style="79" customWidth="1"/>
    <col min="6661" max="6661" width="5.5703125" style="79" customWidth="1"/>
    <col min="6662" max="6662" width="27.5703125" style="79" customWidth="1"/>
    <col min="6663" max="6663" width="5.5703125" style="79" customWidth="1"/>
    <col min="6664" max="6664" width="27.5703125" style="79" customWidth="1"/>
    <col min="6665" max="6665" width="10.7109375" style="79" customWidth="1"/>
    <col min="6666" max="6666" width="6.42578125" style="79" customWidth="1"/>
    <col min="6667" max="6912" width="9.140625" style="79"/>
    <col min="6913" max="6913" width="7.7109375" style="79" customWidth="1"/>
    <col min="6914" max="6914" width="25.85546875" style="79" customWidth="1"/>
    <col min="6915" max="6915" width="6.42578125" style="79" customWidth="1"/>
    <col min="6916" max="6916" width="28.42578125" style="79" customWidth="1"/>
    <col min="6917" max="6917" width="5.5703125" style="79" customWidth="1"/>
    <col min="6918" max="6918" width="27.5703125" style="79" customWidth="1"/>
    <col min="6919" max="6919" width="5.5703125" style="79" customWidth="1"/>
    <col min="6920" max="6920" width="27.5703125" style="79" customWidth="1"/>
    <col min="6921" max="6921" width="10.7109375" style="79" customWidth="1"/>
    <col min="6922" max="6922" width="6.42578125" style="79" customWidth="1"/>
    <col min="6923" max="7168" width="9.140625" style="79"/>
    <col min="7169" max="7169" width="7.7109375" style="79" customWidth="1"/>
    <col min="7170" max="7170" width="25.85546875" style="79" customWidth="1"/>
    <col min="7171" max="7171" width="6.42578125" style="79" customWidth="1"/>
    <col min="7172" max="7172" width="28.42578125" style="79" customWidth="1"/>
    <col min="7173" max="7173" width="5.5703125" style="79" customWidth="1"/>
    <col min="7174" max="7174" width="27.5703125" style="79" customWidth="1"/>
    <col min="7175" max="7175" width="5.5703125" style="79" customWidth="1"/>
    <col min="7176" max="7176" width="27.5703125" style="79" customWidth="1"/>
    <col min="7177" max="7177" width="10.7109375" style="79" customWidth="1"/>
    <col min="7178" max="7178" width="6.42578125" style="79" customWidth="1"/>
    <col min="7179" max="7424" width="9.140625" style="79"/>
    <col min="7425" max="7425" width="7.7109375" style="79" customWidth="1"/>
    <col min="7426" max="7426" width="25.85546875" style="79" customWidth="1"/>
    <col min="7427" max="7427" width="6.42578125" style="79" customWidth="1"/>
    <col min="7428" max="7428" width="28.42578125" style="79" customWidth="1"/>
    <col min="7429" max="7429" width="5.5703125" style="79" customWidth="1"/>
    <col min="7430" max="7430" width="27.5703125" style="79" customWidth="1"/>
    <col min="7431" max="7431" width="5.5703125" style="79" customWidth="1"/>
    <col min="7432" max="7432" width="27.5703125" style="79" customWidth="1"/>
    <col min="7433" max="7433" width="10.7109375" style="79" customWidth="1"/>
    <col min="7434" max="7434" width="6.42578125" style="79" customWidth="1"/>
    <col min="7435" max="7680" width="9.140625" style="79"/>
    <col min="7681" max="7681" width="7.7109375" style="79" customWidth="1"/>
    <col min="7682" max="7682" width="25.85546875" style="79" customWidth="1"/>
    <col min="7683" max="7683" width="6.42578125" style="79" customWidth="1"/>
    <col min="7684" max="7684" width="28.42578125" style="79" customWidth="1"/>
    <col min="7685" max="7685" width="5.5703125" style="79" customWidth="1"/>
    <col min="7686" max="7686" width="27.5703125" style="79" customWidth="1"/>
    <col min="7687" max="7687" width="5.5703125" style="79" customWidth="1"/>
    <col min="7688" max="7688" width="27.5703125" style="79" customWidth="1"/>
    <col min="7689" max="7689" width="10.7109375" style="79" customWidth="1"/>
    <col min="7690" max="7690" width="6.42578125" style="79" customWidth="1"/>
    <col min="7691" max="7936" width="9.140625" style="79"/>
    <col min="7937" max="7937" width="7.7109375" style="79" customWidth="1"/>
    <col min="7938" max="7938" width="25.85546875" style="79" customWidth="1"/>
    <col min="7939" max="7939" width="6.42578125" style="79" customWidth="1"/>
    <col min="7940" max="7940" width="28.42578125" style="79" customWidth="1"/>
    <col min="7941" max="7941" width="5.5703125" style="79" customWidth="1"/>
    <col min="7942" max="7942" width="27.5703125" style="79" customWidth="1"/>
    <col min="7943" max="7943" width="5.5703125" style="79" customWidth="1"/>
    <col min="7944" max="7944" width="27.5703125" style="79" customWidth="1"/>
    <col min="7945" max="7945" width="10.7109375" style="79" customWidth="1"/>
    <col min="7946" max="7946" width="6.42578125" style="79" customWidth="1"/>
    <col min="7947" max="8192" width="9.140625" style="79"/>
    <col min="8193" max="8193" width="7.7109375" style="79" customWidth="1"/>
    <col min="8194" max="8194" width="25.85546875" style="79" customWidth="1"/>
    <col min="8195" max="8195" width="6.42578125" style="79" customWidth="1"/>
    <col min="8196" max="8196" width="28.42578125" style="79" customWidth="1"/>
    <col min="8197" max="8197" width="5.5703125" style="79" customWidth="1"/>
    <col min="8198" max="8198" width="27.5703125" style="79" customWidth="1"/>
    <col min="8199" max="8199" width="5.5703125" style="79" customWidth="1"/>
    <col min="8200" max="8200" width="27.5703125" style="79" customWidth="1"/>
    <col min="8201" max="8201" width="10.7109375" style="79" customWidth="1"/>
    <col min="8202" max="8202" width="6.42578125" style="79" customWidth="1"/>
    <col min="8203" max="8448" width="9.140625" style="79"/>
    <col min="8449" max="8449" width="7.7109375" style="79" customWidth="1"/>
    <col min="8450" max="8450" width="25.85546875" style="79" customWidth="1"/>
    <col min="8451" max="8451" width="6.42578125" style="79" customWidth="1"/>
    <col min="8452" max="8452" width="28.42578125" style="79" customWidth="1"/>
    <col min="8453" max="8453" width="5.5703125" style="79" customWidth="1"/>
    <col min="8454" max="8454" width="27.5703125" style="79" customWidth="1"/>
    <col min="8455" max="8455" width="5.5703125" style="79" customWidth="1"/>
    <col min="8456" max="8456" width="27.5703125" style="79" customWidth="1"/>
    <col min="8457" max="8457" width="10.7109375" style="79" customWidth="1"/>
    <col min="8458" max="8458" width="6.42578125" style="79" customWidth="1"/>
    <col min="8459" max="8704" width="9.140625" style="79"/>
    <col min="8705" max="8705" width="7.7109375" style="79" customWidth="1"/>
    <col min="8706" max="8706" width="25.85546875" style="79" customWidth="1"/>
    <col min="8707" max="8707" width="6.42578125" style="79" customWidth="1"/>
    <col min="8708" max="8708" width="28.42578125" style="79" customWidth="1"/>
    <col min="8709" max="8709" width="5.5703125" style="79" customWidth="1"/>
    <col min="8710" max="8710" width="27.5703125" style="79" customWidth="1"/>
    <col min="8711" max="8711" width="5.5703125" style="79" customWidth="1"/>
    <col min="8712" max="8712" width="27.5703125" style="79" customWidth="1"/>
    <col min="8713" max="8713" width="10.7109375" style="79" customWidth="1"/>
    <col min="8714" max="8714" width="6.42578125" style="79" customWidth="1"/>
    <col min="8715" max="8960" width="9.140625" style="79"/>
    <col min="8961" max="8961" width="7.7109375" style="79" customWidth="1"/>
    <col min="8962" max="8962" width="25.85546875" style="79" customWidth="1"/>
    <col min="8963" max="8963" width="6.42578125" style="79" customWidth="1"/>
    <col min="8964" max="8964" width="28.42578125" style="79" customWidth="1"/>
    <col min="8965" max="8965" width="5.5703125" style="79" customWidth="1"/>
    <col min="8966" max="8966" width="27.5703125" style="79" customWidth="1"/>
    <col min="8967" max="8967" width="5.5703125" style="79" customWidth="1"/>
    <col min="8968" max="8968" width="27.5703125" style="79" customWidth="1"/>
    <col min="8969" max="8969" width="10.7109375" style="79" customWidth="1"/>
    <col min="8970" max="8970" width="6.42578125" style="79" customWidth="1"/>
    <col min="8971" max="9216" width="9.140625" style="79"/>
    <col min="9217" max="9217" width="7.7109375" style="79" customWidth="1"/>
    <col min="9218" max="9218" width="25.85546875" style="79" customWidth="1"/>
    <col min="9219" max="9219" width="6.42578125" style="79" customWidth="1"/>
    <col min="9220" max="9220" width="28.42578125" style="79" customWidth="1"/>
    <col min="9221" max="9221" width="5.5703125" style="79" customWidth="1"/>
    <col min="9222" max="9222" width="27.5703125" style="79" customWidth="1"/>
    <col min="9223" max="9223" width="5.5703125" style="79" customWidth="1"/>
    <col min="9224" max="9224" width="27.5703125" style="79" customWidth="1"/>
    <col min="9225" max="9225" width="10.7109375" style="79" customWidth="1"/>
    <col min="9226" max="9226" width="6.42578125" style="79" customWidth="1"/>
    <col min="9227" max="9472" width="9.140625" style="79"/>
    <col min="9473" max="9473" width="7.7109375" style="79" customWidth="1"/>
    <col min="9474" max="9474" width="25.85546875" style="79" customWidth="1"/>
    <col min="9475" max="9475" width="6.42578125" style="79" customWidth="1"/>
    <col min="9476" max="9476" width="28.42578125" style="79" customWidth="1"/>
    <col min="9477" max="9477" width="5.5703125" style="79" customWidth="1"/>
    <col min="9478" max="9478" width="27.5703125" style="79" customWidth="1"/>
    <col min="9479" max="9479" width="5.5703125" style="79" customWidth="1"/>
    <col min="9480" max="9480" width="27.5703125" style="79" customWidth="1"/>
    <col min="9481" max="9481" width="10.7109375" style="79" customWidth="1"/>
    <col min="9482" max="9482" width="6.42578125" style="79" customWidth="1"/>
    <col min="9483" max="9728" width="9.140625" style="79"/>
    <col min="9729" max="9729" width="7.7109375" style="79" customWidth="1"/>
    <col min="9730" max="9730" width="25.85546875" style="79" customWidth="1"/>
    <col min="9731" max="9731" width="6.42578125" style="79" customWidth="1"/>
    <col min="9732" max="9732" width="28.42578125" style="79" customWidth="1"/>
    <col min="9733" max="9733" width="5.5703125" style="79" customWidth="1"/>
    <col min="9734" max="9734" width="27.5703125" style="79" customWidth="1"/>
    <col min="9735" max="9735" width="5.5703125" style="79" customWidth="1"/>
    <col min="9736" max="9736" width="27.5703125" style="79" customWidth="1"/>
    <col min="9737" max="9737" width="10.7109375" style="79" customWidth="1"/>
    <col min="9738" max="9738" width="6.42578125" style="79" customWidth="1"/>
    <col min="9739" max="9984" width="9.140625" style="79"/>
    <col min="9985" max="9985" width="7.7109375" style="79" customWidth="1"/>
    <col min="9986" max="9986" width="25.85546875" style="79" customWidth="1"/>
    <col min="9987" max="9987" width="6.42578125" style="79" customWidth="1"/>
    <col min="9988" max="9988" width="28.42578125" style="79" customWidth="1"/>
    <col min="9989" max="9989" width="5.5703125" style="79" customWidth="1"/>
    <col min="9990" max="9990" width="27.5703125" style="79" customWidth="1"/>
    <col min="9991" max="9991" width="5.5703125" style="79" customWidth="1"/>
    <col min="9992" max="9992" width="27.5703125" style="79" customWidth="1"/>
    <col min="9993" max="9993" width="10.7109375" style="79" customWidth="1"/>
    <col min="9994" max="9994" width="6.42578125" style="79" customWidth="1"/>
    <col min="9995" max="10240" width="9.140625" style="79"/>
    <col min="10241" max="10241" width="7.7109375" style="79" customWidth="1"/>
    <col min="10242" max="10242" width="25.85546875" style="79" customWidth="1"/>
    <col min="10243" max="10243" width="6.42578125" style="79" customWidth="1"/>
    <col min="10244" max="10244" width="28.42578125" style="79" customWidth="1"/>
    <col min="10245" max="10245" width="5.5703125" style="79" customWidth="1"/>
    <col min="10246" max="10246" width="27.5703125" style="79" customWidth="1"/>
    <col min="10247" max="10247" width="5.5703125" style="79" customWidth="1"/>
    <col min="10248" max="10248" width="27.5703125" style="79" customWidth="1"/>
    <col min="10249" max="10249" width="10.7109375" style="79" customWidth="1"/>
    <col min="10250" max="10250" width="6.42578125" style="79" customWidth="1"/>
    <col min="10251" max="10496" width="9.140625" style="79"/>
    <col min="10497" max="10497" width="7.7109375" style="79" customWidth="1"/>
    <col min="10498" max="10498" width="25.85546875" style="79" customWidth="1"/>
    <col min="10499" max="10499" width="6.42578125" style="79" customWidth="1"/>
    <col min="10500" max="10500" width="28.42578125" style="79" customWidth="1"/>
    <col min="10501" max="10501" width="5.5703125" style="79" customWidth="1"/>
    <col min="10502" max="10502" width="27.5703125" style="79" customWidth="1"/>
    <col min="10503" max="10503" width="5.5703125" style="79" customWidth="1"/>
    <col min="10504" max="10504" width="27.5703125" style="79" customWidth="1"/>
    <col min="10505" max="10505" width="10.7109375" style="79" customWidth="1"/>
    <col min="10506" max="10506" width="6.42578125" style="79" customWidth="1"/>
    <col min="10507" max="10752" width="9.140625" style="79"/>
    <col min="10753" max="10753" width="7.7109375" style="79" customWidth="1"/>
    <col min="10754" max="10754" width="25.85546875" style="79" customWidth="1"/>
    <col min="10755" max="10755" width="6.42578125" style="79" customWidth="1"/>
    <col min="10756" max="10756" width="28.42578125" style="79" customWidth="1"/>
    <col min="10757" max="10757" width="5.5703125" style="79" customWidth="1"/>
    <col min="10758" max="10758" width="27.5703125" style="79" customWidth="1"/>
    <col min="10759" max="10759" width="5.5703125" style="79" customWidth="1"/>
    <col min="10760" max="10760" width="27.5703125" style="79" customWidth="1"/>
    <col min="10761" max="10761" width="10.7109375" style="79" customWidth="1"/>
    <col min="10762" max="10762" width="6.42578125" style="79" customWidth="1"/>
    <col min="10763" max="11008" width="9.140625" style="79"/>
    <col min="11009" max="11009" width="7.7109375" style="79" customWidth="1"/>
    <col min="11010" max="11010" width="25.85546875" style="79" customWidth="1"/>
    <col min="11011" max="11011" width="6.42578125" style="79" customWidth="1"/>
    <col min="11012" max="11012" width="28.42578125" style="79" customWidth="1"/>
    <col min="11013" max="11013" width="5.5703125" style="79" customWidth="1"/>
    <col min="11014" max="11014" width="27.5703125" style="79" customWidth="1"/>
    <col min="11015" max="11015" width="5.5703125" style="79" customWidth="1"/>
    <col min="11016" max="11016" width="27.5703125" style="79" customWidth="1"/>
    <col min="11017" max="11017" width="10.7109375" style="79" customWidth="1"/>
    <col min="11018" max="11018" width="6.42578125" style="79" customWidth="1"/>
    <col min="11019" max="11264" width="9.140625" style="79"/>
    <col min="11265" max="11265" width="7.7109375" style="79" customWidth="1"/>
    <col min="11266" max="11266" width="25.85546875" style="79" customWidth="1"/>
    <col min="11267" max="11267" width="6.42578125" style="79" customWidth="1"/>
    <col min="11268" max="11268" width="28.42578125" style="79" customWidth="1"/>
    <col min="11269" max="11269" width="5.5703125" style="79" customWidth="1"/>
    <col min="11270" max="11270" width="27.5703125" style="79" customWidth="1"/>
    <col min="11271" max="11271" width="5.5703125" style="79" customWidth="1"/>
    <col min="11272" max="11272" width="27.5703125" style="79" customWidth="1"/>
    <col min="11273" max="11273" width="10.7109375" style="79" customWidth="1"/>
    <col min="11274" max="11274" width="6.42578125" style="79" customWidth="1"/>
    <col min="11275" max="11520" width="9.140625" style="79"/>
    <col min="11521" max="11521" width="7.7109375" style="79" customWidth="1"/>
    <col min="11522" max="11522" width="25.85546875" style="79" customWidth="1"/>
    <col min="11523" max="11523" width="6.42578125" style="79" customWidth="1"/>
    <col min="11524" max="11524" width="28.42578125" style="79" customWidth="1"/>
    <col min="11525" max="11525" width="5.5703125" style="79" customWidth="1"/>
    <col min="11526" max="11526" width="27.5703125" style="79" customWidth="1"/>
    <col min="11527" max="11527" width="5.5703125" style="79" customWidth="1"/>
    <col min="11528" max="11528" width="27.5703125" style="79" customWidth="1"/>
    <col min="11529" max="11529" width="10.7109375" style="79" customWidth="1"/>
    <col min="11530" max="11530" width="6.42578125" style="79" customWidth="1"/>
    <col min="11531" max="11776" width="9.140625" style="79"/>
    <col min="11777" max="11777" width="7.7109375" style="79" customWidth="1"/>
    <col min="11778" max="11778" width="25.85546875" style="79" customWidth="1"/>
    <col min="11779" max="11779" width="6.42578125" style="79" customWidth="1"/>
    <col min="11780" max="11780" width="28.42578125" style="79" customWidth="1"/>
    <col min="11781" max="11781" width="5.5703125" style="79" customWidth="1"/>
    <col min="11782" max="11782" width="27.5703125" style="79" customWidth="1"/>
    <col min="11783" max="11783" width="5.5703125" style="79" customWidth="1"/>
    <col min="11784" max="11784" width="27.5703125" style="79" customWidth="1"/>
    <col min="11785" max="11785" width="10.7109375" style="79" customWidth="1"/>
    <col min="11786" max="11786" width="6.42578125" style="79" customWidth="1"/>
    <col min="11787" max="12032" width="9.140625" style="79"/>
    <col min="12033" max="12033" width="7.7109375" style="79" customWidth="1"/>
    <col min="12034" max="12034" width="25.85546875" style="79" customWidth="1"/>
    <col min="12035" max="12035" width="6.42578125" style="79" customWidth="1"/>
    <col min="12036" max="12036" width="28.42578125" style="79" customWidth="1"/>
    <col min="12037" max="12037" width="5.5703125" style="79" customWidth="1"/>
    <col min="12038" max="12038" width="27.5703125" style="79" customWidth="1"/>
    <col min="12039" max="12039" width="5.5703125" style="79" customWidth="1"/>
    <col min="12040" max="12040" width="27.5703125" style="79" customWidth="1"/>
    <col min="12041" max="12041" width="10.7109375" style="79" customWidth="1"/>
    <col min="12042" max="12042" width="6.42578125" style="79" customWidth="1"/>
    <col min="12043" max="12288" width="9.140625" style="79"/>
    <col min="12289" max="12289" width="7.7109375" style="79" customWidth="1"/>
    <col min="12290" max="12290" width="25.85546875" style="79" customWidth="1"/>
    <col min="12291" max="12291" width="6.42578125" style="79" customWidth="1"/>
    <col min="12292" max="12292" width="28.42578125" style="79" customWidth="1"/>
    <col min="12293" max="12293" width="5.5703125" style="79" customWidth="1"/>
    <col min="12294" max="12294" width="27.5703125" style="79" customWidth="1"/>
    <col min="12295" max="12295" width="5.5703125" style="79" customWidth="1"/>
    <col min="12296" max="12296" width="27.5703125" style="79" customWidth="1"/>
    <col min="12297" max="12297" width="10.7109375" style="79" customWidth="1"/>
    <col min="12298" max="12298" width="6.42578125" style="79" customWidth="1"/>
    <col min="12299" max="12544" width="9.140625" style="79"/>
    <col min="12545" max="12545" width="7.7109375" style="79" customWidth="1"/>
    <col min="12546" max="12546" width="25.85546875" style="79" customWidth="1"/>
    <col min="12547" max="12547" width="6.42578125" style="79" customWidth="1"/>
    <col min="12548" max="12548" width="28.42578125" style="79" customWidth="1"/>
    <col min="12549" max="12549" width="5.5703125" style="79" customWidth="1"/>
    <col min="12550" max="12550" width="27.5703125" style="79" customWidth="1"/>
    <col min="12551" max="12551" width="5.5703125" style="79" customWidth="1"/>
    <col min="12552" max="12552" width="27.5703125" style="79" customWidth="1"/>
    <col min="12553" max="12553" width="10.7109375" style="79" customWidth="1"/>
    <col min="12554" max="12554" width="6.42578125" style="79" customWidth="1"/>
    <col min="12555" max="12800" width="9.140625" style="79"/>
    <col min="12801" max="12801" width="7.7109375" style="79" customWidth="1"/>
    <col min="12802" max="12802" width="25.85546875" style="79" customWidth="1"/>
    <col min="12803" max="12803" width="6.42578125" style="79" customWidth="1"/>
    <col min="12804" max="12804" width="28.42578125" style="79" customWidth="1"/>
    <col min="12805" max="12805" width="5.5703125" style="79" customWidth="1"/>
    <col min="12806" max="12806" width="27.5703125" style="79" customWidth="1"/>
    <col min="12807" max="12807" width="5.5703125" style="79" customWidth="1"/>
    <col min="12808" max="12808" width="27.5703125" style="79" customWidth="1"/>
    <col min="12809" max="12809" width="10.7109375" style="79" customWidth="1"/>
    <col min="12810" max="12810" width="6.42578125" style="79" customWidth="1"/>
    <col min="12811" max="13056" width="9.140625" style="79"/>
    <col min="13057" max="13057" width="7.7109375" style="79" customWidth="1"/>
    <col min="13058" max="13058" width="25.85546875" style="79" customWidth="1"/>
    <col min="13059" max="13059" width="6.42578125" style="79" customWidth="1"/>
    <col min="13060" max="13060" width="28.42578125" style="79" customWidth="1"/>
    <col min="13061" max="13061" width="5.5703125" style="79" customWidth="1"/>
    <col min="13062" max="13062" width="27.5703125" style="79" customWidth="1"/>
    <col min="13063" max="13063" width="5.5703125" style="79" customWidth="1"/>
    <col min="13064" max="13064" width="27.5703125" style="79" customWidth="1"/>
    <col min="13065" max="13065" width="10.7109375" style="79" customWidth="1"/>
    <col min="13066" max="13066" width="6.42578125" style="79" customWidth="1"/>
    <col min="13067" max="13312" width="9.140625" style="79"/>
    <col min="13313" max="13313" width="7.7109375" style="79" customWidth="1"/>
    <col min="13314" max="13314" width="25.85546875" style="79" customWidth="1"/>
    <col min="13315" max="13315" width="6.42578125" style="79" customWidth="1"/>
    <col min="13316" max="13316" width="28.42578125" style="79" customWidth="1"/>
    <col min="13317" max="13317" width="5.5703125" style="79" customWidth="1"/>
    <col min="13318" max="13318" width="27.5703125" style="79" customWidth="1"/>
    <col min="13319" max="13319" width="5.5703125" style="79" customWidth="1"/>
    <col min="13320" max="13320" width="27.5703125" style="79" customWidth="1"/>
    <col min="13321" max="13321" width="10.7109375" style="79" customWidth="1"/>
    <col min="13322" max="13322" width="6.42578125" style="79" customWidth="1"/>
    <col min="13323" max="13568" width="9.140625" style="79"/>
    <col min="13569" max="13569" width="7.7109375" style="79" customWidth="1"/>
    <col min="13570" max="13570" width="25.85546875" style="79" customWidth="1"/>
    <col min="13571" max="13571" width="6.42578125" style="79" customWidth="1"/>
    <col min="13572" max="13572" width="28.42578125" style="79" customWidth="1"/>
    <col min="13573" max="13573" width="5.5703125" style="79" customWidth="1"/>
    <col min="13574" max="13574" width="27.5703125" style="79" customWidth="1"/>
    <col min="13575" max="13575" width="5.5703125" style="79" customWidth="1"/>
    <col min="13576" max="13576" width="27.5703125" style="79" customWidth="1"/>
    <col min="13577" max="13577" width="10.7109375" style="79" customWidth="1"/>
    <col min="13578" max="13578" width="6.42578125" style="79" customWidth="1"/>
    <col min="13579" max="13824" width="9.140625" style="79"/>
    <col min="13825" max="13825" width="7.7109375" style="79" customWidth="1"/>
    <col min="13826" max="13826" width="25.85546875" style="79" customWidth="1"/>
    <col min="13827" max="13827" width="6.42578125" style="79" customWidth="1"/>
    <col min="13828" max="13828" width="28.42578125" style="79" customWidth="1"/>
    <col min="13829" max="13829" width="5.5703125" style="79" customWidth="1"/>
    <col min="13830" max="13830" width="27.5703125" style="79" customWidth="1"/>
    <col min="13831" max="13831" width="5.5703125" style="79" customWidth="1"/>
    <col min="13832" max="13832" width="27.5703125" style="79" customWidth="1"/>
    <col min="13833" max="13833" width="10.7109375" style="79" customWidth="1"/>
    <col min="13834" max="13834" width="6.42578125" style="79" customWidth="1"/>
    <col min="13835" max="14080" width="9.140625" style="79"/>
    <col min="14081" max="14081" width="7.7109375" style="79" customWidth="1"/>
    <col min="14082" max="14082" width="25.85546875" style="79" customWidth="1"/>
    <col min="14083" max="14083" width="6.42578125" style="79" customWidth="1"/>
    <col min="14084" max="14084" width="28.42578125" style="79" customWidth="1"/>
    <col min="14085" max="14085" width="5.5703125" style="79" customWidth="1"/>
    <col min="14086" max="14086" width="27.5703125" style="79" customWidth="1"/>
    <col min="14087" max="14087" width="5.5703125" style="79" customWidth="1"/>
    <col min="14088" max="14088" width="27.5703125" style="79" customWidth="1"/>
    <col min="14089" max="14089" width="10.7109375" style="79" customWidth="1"/>
    <col min="14090" max="14090" width="6.42578125" style="79" customWidth="1"/>
    <col min="14091" max="14336" width="9.140625" style="79"/>
    <col min="14337" max="14337" width="7.7109375" style="79" customWidth="1"/>
    <col min="14338" max="14338" width="25.85546875" style="79" customWidth="1"/>
    <col min="14339" max="14339" width="6.42578125" style="79" customWidth="1"/>
    <col min="14340" max="14340" width="28.42578125" style="79" customWidth="1"/>
    <col min="14341" max="14341" width="5.5703125" style="79" customWidth="1"/>
    <col min="14342" max="14342" width="27.5703125" style="79" customWidth="1"/>
    <col min="14343" max="14343" width="5.5703125" style="79" customWidth="1"/>
    <col min="14344" max="14344" width="27.5703125" style="79" customWidth="1"/>
    <col min="14345" max="14345" width="10.7109375" style="79" customWidth="1"/>
    <col min="14346" max="14346" width="6.42578125" style="79" customWidth="1"/>
    <col min="14347" max="14592" width="9.140625" style="79"/>
    <col min="14593" max="14593" width="7.7109375" style="79" customWidth="1"/>
    <col min="14594" max="14594" width="25.85546875" style="79" customWidth="1"/>
    <col min="14595" max="14595" width="6.42578125" style="79" customWidth="1"/>
    <col min="14596" max="14596" width="28.42578125" style="79" customWidth="1"/>
    <col min="14597" max="14597" width="5.5703125" style="79" customWidth="1"/>
    <col min="14598" max="14598" width="27.5703125" style="79" customWidth="1"/>
    <col min="14599" max="14599" width="5.5703125" style="79" customWidth="1"/>
    <col min="14600" max="14600" width="27.5703125" style="79" customWidth="1"/>
    <col min="14601" max="14601" width="10.7109375" style="79" customWidth="1"/>
    <col min="14602" max="14602" width="6.42578125" style="79" customWidth="1"/>
    <col min="14603" max="14848" width="9.140625" style="79"/>
    <col min="14849" max="14849" width="7.7109375" style="79" customWidth="1"/>
    <col min="14850" max="14850" width="25.85546875" style="79" customWidth="1"/>
    <col min="14851" max="14851" width="6.42578125" style="79" customWidth="1"/>
    <col min="14852" max="14852" width="28.42578125" style="79" customWidth="1"/>
    <col min="14853" max="14853" width="5.5703125" style="79" customWidth="1"/>
    <col min="14854" max="14854" width="27.5703125" style="79" customWidth="1"/>
    <col min="14855" max="14855" width="5.5703125" style="79" customWidth="1"/>
    <col min="14856" max="14856" width="27.5703125" style="79" customWidth="1"/>
    <col min="14857" max="14857" width="10.7109375" style="79" customWidth="1"/>
    <col min="14858" max="14858" width="6.42578125" style="79" customWidth="1"/>
    <col min="14859" max="15104" width="9.140625" style="79"/>
    <col min="15105" max="15105" width="7.7109375" style="79" customWidth="1"/>
    <col min="15106" max="15106" width="25.85546875" style="79" customWidth="1"/>
    <col min="15107" max="15107" width="6.42578125" style="79" customWidth="1"/>
    <col min="15108" max="15108" width="28.42578125" style="79" customWidth="1"/>
    <col min="15109" max="15109" width="5.5703125" style="79" customWidth="1"/>
    <col min="15110" max="15110" width="27.5703125" style="79" customWidth="1"/>
    <col min="15111" max="15111" width="5.5703125" style="79" customWidth="1"/>
    <col min="15112" max="15112" width="27.5703125" style="79" customWidth="1"/>
    <col min="15113" max="15113" width="10.7109375" style="79" customWidth="1"/>
    <col min="15114" max="15114" width="6.42578125" style="79" customWidth="1"/>
    <col min="15115" max="15360" width="9.140625" style="79"/>
    <col min="15361" max="15361" width="7.7109375" style="79" customWidth="1"/>
    <col min="15362" max="15362" width="25.85546875" style="79" customWidth="1"/>
    <col min="15363" max="15363" width="6.42578125" style="79" customWidth="1"/>
    <col min="15364" max="15364" width="28.42578125" style="79" customWidth="1"/>
    <col min="15365" max="15365" width="5.5703125" style="79" customWidth="1"/>
    <col min="15366" max="15366" width="27.5703125" style="79" customWidth="1"/>
    <col min="15367" max="15367" width="5.5703125" style="79" customWidth="1"/>
    <col min="15368" max="15368" width="27.5703125" style="79" customWidth="1"/>
    <col min="15369" max="15369" width="10.7109375" style="79" customWidth="1"/>
    <col min="15370" max="15370" width="6.42578125" style="79" customWidth="1"/>
    <col min="15371" max="15616" width="9.140625" style="79"/>
    <col min="15617" max="15617" width="7.7109375" style="79" customWidth="1"/>
    <col min="15618" max="15618" width="25.85546875" style="79" customWidth="1"/>
    <col min="15619" max="15619" width="6.42578125" style="79" customWidth="1"/>
    <col min="15620" max="15620" width="28.42578125" style="79" customWidth="1"/>
    <col min="15621" max="15621" width="5.5703125" style="79" customWidth="1"/>
    <col min="15622" max="15622" width="27.5703125" style="79" customWidth="1"/>
    <col min="15623" max="15623" width="5.5703125" style="79" customWidth="1"/>
    <col min="15624" max="15624" width="27.5703125" style="79" customWidth="1"/>
    <col min="15625" max="15625" width="10.7109375" style="79" customWidth="1"/>
    <col min="15626" max="15626" width="6.42578125" style="79" customWidth="1"/>
    <col min="15627" max="15872" width="9.140625" style="79"/>
    <col min="15873" max="15873" width="7.7109375" style="79" customWidth="1"/>
    <col min="15874" max="15874" width="25.85546875" style="79" customWidth="1"/>
    <col min="15875" max="15875" width="6.42578125" style="79" customWidth="1"/>
    <col min="15876" max="15876" width="28.42578125" style="79" customWidth="1"/>
    <col min="15877" max="15877" width="5.5703125" style="79" customWidth="1"/>
    <col min="15878" max="15878" width="27.5703125" style="79" customWidth="1"/>
    <col min="15879" max="15879" width="5.5703125" style="79" customWidth="1"/>
    <col min="15880" max="15880" width="27.5703125" style="79" customWidth="1"/>
    <col min="15881" max="15881" width="10.7109375" style="79" customWidth="1"/>
    <col min="15882" max="15882" width="6.42578125" style="79" customWidth="1"/>
    <col min="15883" max="16128" width="9.140625" style="79"/>
    <col min="16129" max="16129" width="7.7109375" style="79" customWidth="1"/>
    <col min="16130" max="16130" width="25.85546875" style="79" customWidth="1"/>
    <col min="16131" max="16131" width="6.42578125" style="79" customWidth="1"/>
    <col min="16132" max="16132" width="28.42578125" style="79" customWidth="1"/>
    <col min="16133" max="16133" width="5.5703125" style="79" customWidth="1"/>
    <col min="16134" max="16134" width="27.5703125" style="79" customWidth="1"/>
    <col min="16135" max="16135" width="5.5703125" style="79" customWidth="1"/>
    <col min="16136" max="16136" width="27.5703125" style="79" customWidth="1"/>
    <col min="16137" max="16137" width="10.7109375" style="79" customWidth="1"/>
    <col min="16138" max="16138" width="6.42578125" style="79" customWidth="1"/>
    <col min="16139" max="16384" width="9.140625" style="79"/>
  </cols>
  <sheetData>
    <row r="1" spans="1:9" ht="65.25" customHeight="1">
      <c r="A1" s="606"/>
      <c r="B1" s="607"/>
      <c r="C1" s="608"/>
      <c r="D1" s="608"/>
      <c r="E1" s="608"/>
      <c r="F1" s="608"/>
      <c r="G1" s="608"/>
      <c r="H1" s="608"/>
      <c r="I1" s="609"/>
    </row>
    <row r="2" spans="1:9" ht="21.75" customHeight="1">
      <c r="A2" s="610" t="s">
        <v>331</v>
      </c>
      <c r="B2" s="611"/>
      <c r="C2" s="611"/>
      <c r="D2" s="612"/>
      <c r="E2" s="613"/>
      <c r="F2" s="611"/>
      <c r="G2" s="613"/>
      <c r="H2" s="611"/>
      <c r="I2" s="614"/>
    </row>
    <row r="3" spans="1:9" ht="21" customHeight="1">
      <c r="A3" s="615" t="s">
        <v>332</v>
      </c>
      <c r="B3" s="611"/>
      <c r="C3" s="611"/>
      <c r="D3" s="612"/>
      <c r="E3" s="613"/>
      <c r="F3" s="611"/>
      <c r="G3" s="613"/>
      <c r="H3" s="611"/>
      <c r="I3" s="614"/>
    </row>
    <row r="4" spans="1:9" ht="21" customHeight="1">
      <c r="A4" s="616" t="s">
        <v>717</v>
      </c>
      <c r="B4" s="611"/>
      <c r="C4" s="611"/>
      <c r="D4" s="617"/>
      <c r="E4" s="618"/>
      <c r="F4" s="611"/>
      <c r="G4" s="618"/>
      <c r="H4" s="611"/>
      <c r="I4" s="614"/>
    </row>
    <row r="5" spans="1:9" ht="21" customHeight="1">
      <c r="A5" s="616" t="str">
        <f>"Price Target: $16 "</f>
        <v xml:space="preserve">Price Target: $16 </v>
      </c>
      <c r="B5" s="611"/>
      <c r="C5" s="611"/>
      <c r="D5" s="617"/>
      <c r="E5" s="618"/>
      <c r="F5" s="611"/>
      <c r="G5" s="618"/>
      <c r="H5" s="611"/>
      <c r="I5" s="614"/>
    </row>
    <row r="6" spans="1:9">
      <c r="A6" s="115"/>
      <c r="B6" s="116"/>
      <c r="C6" s="117"/>
      <c r="D6" s="117"/>
      <c r="E6" s="117"/>
      <c r="F6" s="117"/>
      <c r="G6" s="117"/>
      <c r="H6" s="117"/>
      <c r="I6" s="118"/>
    </row>
    <row r="7" spans="1:9" ht="15.75">
      <c r="A7" s="119" t="s">
        <v>631</v>
      </c>
      <c r="B7" s="117"/>
      <c r="C7" s="117"/>
      <c r="D7" s="119" t="s">
        <v>648</v>
      </c>
      <c r="E7" s="117"/>
      <c r="F7" s="119" t="s">
        <v>701</v>
      </c>
      <c r="G7" s="117"/>
      <c r="H7" s="119"/>
      <c r="I7" s="118"/>
    </row>
    <row r="8" spans="1:9" ht="15.75">
      <c r="A8" s="119" t="s">
        <v>333</v>
      </c>
      <c r="B8" s="117"/>
      <c r="C8" s="117"/>
      <c r="D8" s="119" t="s">
        <v>649</v>
      </c>
      <c r="E8" s="117"/>
      <c r="F8" s="119" t="s">
        <v>649</v>
      </c>
      <c r="G8" s="117"/>
      <c r="H8" s="119"/>
      <c r="I8" s="118"/>
    </row>
    <row r="9" spans="1:9" ht="15.75">
      <c r="A9" s="119" t="s">
        <v>632</v>
      </c>
      <c r="B9" s="117"/>
      <c r="C9" s="117"/>
      <c r="D9" s="119" t="s">
        <v>650</v>
      </c>
      <c r="E9" s="117"/>
      <c r="F9" s="119" t="s">
        <v>699</v>
      </c>
      <c r="G9" s="117"/>
      <c r="H9" s="119"/>
      <c r="I9" s="118"/>
    </row>
    <row r="10" spans="1:9">
      <c r="A10" s="120" t="s">
        <v>633</v>
      </c>
      <c r="B10" s="117"/>
      <c r="C10" s="117"/>
      <c r="D10" s="120" t="s">
        <v>651</v>
      </c>
      <c r="E10" s="117"/>
      <c r="F10" s="120" t="s">
        <v>700</v>
      </c>
      <c r="G10" s="117"/>
      <c r="H10" s="120"/>
      <c r="I10" s="118"/>
    </row>
    <row r="11" spans="1:9" ht="15.75">
      <c r="A11" s="115"/>
      <c r="B11" s="117"/>
      <c r="C11" s="122"/>
      <c r="D11" s="123"/>
      <c r="E11" s="117"/>
      <c r="F11" s="117"/>
      <c r="G11" s="117"/>
      <c r="H11" s="117"/>
      <c r="I11" s="118"/>
    </row>
    <row r="12" spans="1:9" ht="15.75">
      <c r="A12" s="115"/>
      <c r="B12" s="117"/>
      <c r="C12" s="122"/>
      <c r="D12" s="123"/>
      <c r="E12" s="117"/>
      <c r="F12" s="117"/>
      <c r="G12" s="117"/>
      <c r="H12" s="117"/>
      <c r="I12" s="118"/>
    </row>
    <row r="13" spans="1:9">
      <c r="A13" s="124" t="s">
        <v>634</v>
      </c>
      <c r="B13" s="125"/>
      <c r="C13" s="125"/>
      <c r="D13" s="126" t="s">
        <v>637</v>
      </c>
      <c r="E13" s="117"/>
      <c r="F13" s="126"/>
      <c r="G13" s="117"/>
      <c r="H13" s="126"/>
      <c r="I13" s="118"/>
    </row>
    <row r="14" spans="1:9">
      <c r="A14" s="124" t="s">
        <v>635</v>
      </c>
      <c r="B14" s="125"/>
      <c r="C14" s="125"/>
      <c r="D14" s="126" t="s">
        <v>638</v>
      </c>
      <c r="E14" s="117"/>
      <c r="F14" s="117"/>
      <c r="G14" s="117"/>
      <c r="H14" s="126"/>
      <c r="I14" s="118"/>
    </row>
    <row r="15" spans="1:9">
      <c r="A15" s="124" t="s">
        <v>636</v>
      </c>
      <c r="B15" s="125"/>
      <c r="C15" s="125"/>
      <c r="D15" s="121"/>
      <c r="E15" s="117"/>
      <c r="F15" s="117"/>
      <c r="G15" s="117"/>
      <c r="H15" s="117"/>
      <c r="I15" s="118"/>
    </row>
    <row r="16" spans="1:9">
      <c r="A16" s="115"/>
      <c r="B16" s="117"/>
      <c r="C16" s="117"/>
      <c r="D16" s="121"/>
      <c r="E16" s="117"/>
      <c r="F16" s="117"/>
      <c r="G16" s="117"/>
      <c r="H16" s="117"/>
      <c r="I16" s="118"/>
    </row>
    <row r="17" spans="1:16" ht="16.5" thickBot="1">
      <c r="A17" s="127"/>
      <c r="B17" s="128"/>
      <c r="C17" s="128"/>
      <c r="D17" s="129"/>
      <c r="E17" s="128"/>
      <c r="F17" s="128"/>
      <c r="G17" s="128"/>
      <c r="H17" s="128"/>
      <c r="I17" s="130"/>
      <c r="J17" s="131"/>
      <c r="K17" s="131"/>
    </row>
    <row r="18" spans="1:16" ht="15.75">
      <c r="A18" s="132"/>
      <c r="C18" s="80"/>
      <c r="E18" s="133"/>
      <c r="F18" s="133"/>
      <c r="G18" s="133"/>
      <c r="H18" s="133"/>
      <c r="J18" s="80"/>
      <c r="K18" s="80"/>
    </row>
    <row r="19" spans="1:16" ht="15.75">
      <c r="A19" s="132"/>
      <c r="B19" s="79"/>
      <c r="I19" s="131"/>
    </row>
    <row r="25" spans="1:16">
      <c r="L25" s="134"/>
      <c r="M25" s="134"/>
      <c r="N25" s="134"/>
      <c r="O25" s="134"/>
      <c r="P25" s="134"/>
    </row>
  </sheetData>
  <phoneticPr fontId="35" type="noConversion"/>
  <hyperlinks>
    <hyperlink ref="A14" location="'Balance Sheet &amp; Cash Flow'!A1" display="Go to Balance Sheet"/>
    <hyperlink ref="A15" location="'Balance Sheet &amp; Cash Flow'!A1" display="Go to Cash Flow Statement"/>
    <hyperlink ref="A10" r:id="rId1"/>
    <hyperlink ref="A13" location="'Income Statement'!A1" display="Go to Income Statement"/>
    <hyperlink ref="D13" location="'Revenue Assumptions'!A1" display="Go to Revenue Assumptions"/>
    <hyperlink ref="D14" location="'Expense Assumptions'!A1" display="Go to Expense Assumptions"/>
    <hyperlink ref="D10" r:id="rId2"/>
    <hyperlink ref="F10" r:id="rId3"/>
  </hyperlinks>
  <pageMargins left="0.75" right="0.75" top="1" bottom="1" header="0.5" footer="0.5"/>
  <pageSetup orientation="portrait" r:id="rId4"/>
  <headerFooter alignWithMargins="0"/>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L79"/>
  <sheetViews>
    <sheetView showGridLines="0" zoomScaleNormal="100" workbookViewId="0">
      <pane xSplit="4" ySplit="6" topLeftCell="AX7" activePane="bottomRight" state="frozen"/>
      <selection pane="topRight" activeCell="E1" sqref="E1"/>
      <selection pane="bottomLeft" activeCell="A7" sqref="A7"/>
      <selection pane="bottomRight" activeCell="AX7" sqref="AX7"/>
    </sheetView>
  </sheetViews>
  <sheetFormatPr defaultRowHeight="12.75" outlineLevelRow="1" outlineLevelCol="1"/>
  <cols>
    <col min="1" max="1" width="2.5703125" style="680" customWidth="1"/>
    <col min="2" max="2" width="13.28515625" style="89" customWidth="1"/>
    <col min="3" max="3" width="10.85546875" style="89" customWidth="1"/>
    <col min="4" max="4" width="11.140625" style="89" customWidth="1"/>
    <col min="5" max="8" width="9.42578125" style="89" hidden="1" customWidth="1" outlineLevel="1"/>
    <col min="9" max="9" width="10.5703125" style="89" hidden="1" customWidth="1" collapsed="1"/>
    <col min="10" max="13" width="9.42578125" style="89" hidden="1" customWidth="1" outlineLevel="1"/>
    <col min="14" max="14" width="10.5703125" style="89" hidden="1" customWidth="1" collapsed="1"/>
    <col min="15" max="18" width="9.42578125" style="89" hidden="1" customWidth="1" outlineLevel="1"/>
    <col min="19" max="19" width="10.5703125" style="89" hidden="1" customWidth="1" collapsed="1"/>
    <col min="20" max="23" width="9.42578125" style="89" hidden="1" customWidth="1" outlineLevel="1"/>
    <col min="24" max="24" width="10.5703125" style="89" hidden="1" customWidth="1" collapsed="1"/>
    <col min="25" max="28" width="9.42578125" style="89" hidden="1" customWidth="1" outlineLevel="1"/>
    <col min="29" max="29" width="10.5703125" style="89" hidden="1" customWidth="1" collapsed="1"/>
    <col min="30" max="33" width="9.42578125" style="89" hidden="1" customWidth="1" outlineLevel="1"/>
    <col min="34" max="34" width="10.5703125" style="89" hidden="1" customWidth="1" collapsed="1"/>
    <col min="35" max="38" width="9.42578125" style="89" hidden="1" customWidth="1" outlineLevel="1"/>
    <col min="39" max="39" width="10.5703125" style="89" hidden="1" customWidth="1" collapsed="1"/>
    <col min="40" max="43" width="9.42578125" style="89" hidden="1" customWidth="1" outlineLevel="1"/>
    <col min="44" max="44" width="10.5703125" style="89" hidden="1" customWidth="1" collapsed="1"/>
    <col min="45" max="48" width="9.42578125" style="89" hidden="1" customWidth="1" outlineLevel="1"/>
    <col min="49" max="49" width="10.5703125" style="89" hidden="1" customWidth="1" collapsed="1"/>
    <col min="50" max="53" width="9.42578125" style="89" customWidth="1" outlineLevel="1"/>
    <col min="54" max="54" width="10.5703125" style="89" customWidth="1"/>
    <col min="55" max="58" width="9.42578125" style="89" customWidth="1" outlineLevel="1"/>
    <col min="59" max="59" width="10.5703125" style="89" customWidth="1"/>
    <col min="60" max="63" width="9.42578125" style="89" hidden="1" customWidth="1" outlineLevel="1"/>
    <col min="64" max="64" width="10.5703125" style="89" customWidth="1" collapsed="1"/>
    <col min="65" max="16384" width="9.140625" style="89"/>
  </cols>
  <sheetData>
    <row r="1" spans="1:64" hidden="1" outlineLevel="1">
      <c r="A1" s="141"/>
      <c r="B1" s="383"/>
      <c r="C1" s="76" t="s">
        <v>345</v>
      </c>
      <c r="D1" s="1472"/>
      <c r="E1" s="1473"/>
      <c r="F1" s="1473"/>
      <c r="G1" s="1473"/>
      <c r="H1" s="1473"/>
      <c r="I1" s="1472"/>
      <c r="J1" s="1473"/>
      <c r="K1" s="1473"/>
      <c r="L1" s="1473"/>
      <c r="M1" s="1473"/>
      <c r="N1" s="1472"/>
      <c r="O1" s="1473"/>
      <c r="P1" s="1473"/>
      <c r="Q1" s="1473"/>
      <c r="R1" s="1473"/>
      <c r="S1" s="1472"/>
      <c r="T1" s="1473"/>
      <c r="U1" s="1473"/>
      <c r="V1" s="1473"/>
      <c r="W1" s="1473"/>
      <c r="X1" s="1472"/>
      <c r="Y1" s="1473"/>
      <c r="Z1" s="1473"/>
      <c r="AA1" s="1473"/>
      <c r="AB1" s="1473"/>
      <c r="AC1" s="1472"/>
      <c r="AD1" s="1473"/>
      <c r="AE1" s="1473"/>
      <c r="AF1" s="1473"/>
      <c r="AG1" s="1473"/>
      <c r="AH1" s="1472"/>
      <c r="AI1" s="1473"/>
      <c r="AJ1" s="1473"/>
      <c r="AK1" s="1473"/>
      <c r="AL1" s="1473"/>
      <c r="AM1" s="1472"/>
      <c r="AN1" s="1473"/>
      <c r="AO1" s="1473"/>
      <c r="AP1" s="1473"/>
      <c r="AQ1" s="1473"/>
      <c r="AR1" s="1472"/>
      <c r="AS1" s="1473"/>
      <c r="AT1" s="1473"/>
      <c r="AU1" s="1473">
        <f>IS!DU85</f>
        <v>507</v>
      </c>
      <c r="AV1" s="1473">
        <f>IS!DV85</f>
        <v>840</v>
      </c>
      <c r="AW1" s="1472">
        <f>IS!DW85</f>
        <v>2444</v>
      </c>
      <c r="AX1" s="1473">
        <f>IS!DX85</f>
        <v>603.8870011527481</v>
      </c>
      <c r="AY1" s="1473">
        <f>IS!DY85</f>
        <v>651.3748828090902</v>
      </c>
      <c r="AZ1" s="1473">
        <f>IS!DZ85</f>
        <v>643.61551170618429</v>
      </c>
      <c r="BA1" s="1473">
        <f>IS!EA85</f>
        <v>637.87194053608118</v>
      </c>
      <c r="BB1" s="1472">
        <f>IS!EB85</f>
        <v>2536.7493362041041</v>
      </c>
      <c r="BC1" s="1473">
        <f>IS!EC85</f>
        <v>640.19223711558016</v>
      </c>
      <c r="BD1" s="1473">
        <f>IS!ED85</f>
        <v>653.61631801113595</v>
      </c>
      <c r="BE1" s="1473">
        <f>IS!EE85</f>
        <v>655.60078571256599</v>
      </c>
      <c r="BF1" s="1473">
        <f>IS!EF85</f>
        <v>677.4163864003956</v>
      </c>
      <c r="BG1" s="1472">
        <f>IS!EG85</f>
        <v>2626.8257272396777</v>
      </c>
      <c r="BH1" s="1473">
        <f>IS!EH85</f>
        <v>676.1162129593497</v>
      </c>
      <c r="BI1" s="1473">
        <f>IS!EI85</f>
        <v>682.7016308900113</v>
      </c>
      <c r="BJ1" s="1473">
        <f>IS!EJ85</f>
        <v>672.99143834607821</v>
      </c>
      <c r="BK1" s="1473">
        <f>IS!EK85</f>
        <v>677.95315726080412</v>
      </c>
      <c r="BL1" s="1472">
        <f>IS!EL85</f>
        <v>2709.7624394562436</v>
      </c>
    </row>
    <row r="2" spans="1:64" hidden="1" outlineLevel="1">
      <c r="A2" s="141"/>
      <c r="B2" s="384"/>
      <c r="C2" s="76" t="s">
        <v>705</v>
      </c>
      <c r="D2" s="1474"/>
      <c r="E2" s="1475"/>
      <c r="F2" s="1475"/>
      <c r="G2" s="1475"/>
      <c r="H2" s="1475"/>
      <c r="I2" s="1474"/>
      <c r="J2" s="1475"/>
      <c r="K2" s="1475"/>
      <c r="L2" s="1475"/>
      <c r="M2" s="1475"/>
      <c r="N2" s="1474"/>
      <c r="O2" s="1475"/>
      <c r="P2" s="1475"/>
      <c r="Q2" s="1475"/>
      <c r="R2" s="1475"/>
      <c r="S2" s="1474"/>
      <c r="T2" s="1475"/>
      <c r="U2" s="1475"/>
      <c r="V2" s="1475"/>
      <c r="W2" s="1475"/>
      <c r="X2" s="1474"/>
      <c r="Y2" s="1475"/>
      <c r="Z2" s="1475"/>
      <c r="AA2" s="1475"/>
      <c r="AB2" s="1475"/>
      <c r="AC2" s="1474"/>
      <c r="AD2" s="1475"/>
      <c r="AE2" s="1475"/>
      <c r="AF2" s="1475"/>
      <c r="AG2" s="1475"/>
      <c r="AH2" s="1474"/>
      <c r="AI2" s="1475"/>
      <c r="AJ2" s="1475"/>
      <c r="AK2" s="1475"/>
      <c r="AL2" s="1475"/>
      <c r="AM2" s="1474"/>
      <c r="AN2" s="1475"/>
      <c r="AO2" s="1475"/>
      <c r="AP2" s="1475"/>
      <c r="AQ2" s="1475"/>
      <c r="AR2" s="1474"/>
      <c r="AS2" s="1475"/>
      <c r="AT2" s="1475"/>
      <c r="AU2" s="1475"/>
      <c r="AV2" s="1475">
        <v>606</v>
      </c>
      <c r="AW2" s="1474">
        <v>0</v>
      </c>
      <c r="AX2" s="1576">
        <v>606</v>
      </c>
      <c r="AY2" s="1475"/>
      <c r="AZ2" s="1475"/>
      <c r="BA2" s="1475"/>
      <c r="BB2" s="1474">
        <v>2541</v>
      </c>
      <c r="BC2" s="1475"/>
      <c r="BD2" s="1475"/>
      <c r="BE2" s="1475"/>
      <c r="BF2" s="1475"/>
      <c r="BG2" s="1474">
        <v>2633</v>
      </c>
      <c r="BH2" s="1475"/>
      <c r="BI2" s="1475"/>
      <c r="BJ2" s="1475"/>
      <c r="BK2" s="1475"/>
      <c r="BL2" s="1474">
        <v>2713</v>
      </c>
    </row>
    <row r="3" spans="1:64" ht="18" collapsed="1">
      <c r="A3" s="678"/>
      <c r="B3" s="619" t="s">
        <v>334</v>
      </c>
      <c r="C3" s="620"/>
      <c r="D3" s="621"/>
      <c r="E3" s="621"/>
      <c r="F3" s="621"/>
      <c r="G3" s="621"/>
      <c r="H3" s="621"/>
      <c r="I3" s="621"/>
      <c r="J3" s="621"/>
      <c r="K3" s="621"/>
      <c r="L3" s="621"/>
      <c r="M3" s="621"/>
      <c r="N3" s="621"/>
      <c r="O3" s="621"/>
      <c r="P3" s="621"/>
      <c r="Q3" s="621"/>
      <c r="R3" s="621"/>
      <c r="S3" s="621"/>
      <c r="T3" s="621"/>
      <c r="U3" s="621"/>
      <c r="V3" s="621"/>
      <c r="W3" s="621"/>
      <c r="X3" s="621"/>
      <c r="Y3" s="621"/>
      <c r="Z3" s="621"/>
      <c r="AA3" s="621"/>
      <c r="AB3" s="621"/>
      <c r="AC3" s="621"/>
      <c r="AD3" s="621"/>
      <c r="AE3" s="621"/>
      <c r="AF3" s="621"/>
      <c r="AG3" s="621"/>
      <c r="AH3" s="621"/>
      <c r="AI3" s="621"/>
      <c r="AJ3" s="621"/>
      <c r="AK3" s="621"/>
      <c r="AL3" s="621"/>
      <c r="AM3" s="621"/>
      <c r="AN3" s="621"/>
      <c r="AO3" s="621"/>
      <c r="AP3" s="621"/>
      <c r="AQ3" s="621"/>
      <c r="AR3" s="621"/>
      <c r="AS3" s="621"/>
      <c r="AT3" s="621"/>
      <c r="AU3" s="621"/>
      <c r="AV3" s="621"/>
      <c r="AW3" s="621"/>
      <c r="AX3" s="621"/>
      <c r="AY3" s="621"/>
      <c r="AZ3" s="621"/>
      <c r="BA3" s="621"/>
      <c r="BB3" s="621"/>
      <c r="BC3" s="621"/>
      <c r="BD3" s="621"/>
      <c r="BE3" s="621"/>
      <c r="BF3" s="621"/>
      <c r="BG3" s="621"/>
      <c r="BH3" s="621"/>
      <c r="BI3" s="621"/>
      <c r="BJ3" s="621"/>
      <c r="BK3" s="621"/>
      <c r="BL3" s="621"/>
    </row>
    <row r="4" spans="1:64" ht="13.5" thickBot="1">
      <c r="A4" s="141"/>
      <c r="B4" s="622" t="s">
        <v>235</v>
      </c>
      <c r="C4" s="623"/>
      <c r="D4" s="624"/>
      <c r="E4" s="625"/>
      <c r="F4" s="625"/>
      <c r="G4" s="625"/>
      <c r="H4" s="625"/>
      <c r="I4" s="625"/>
      <c r="J4" s="625"/>
      <c r="K4" s="625"/>
      <c r="L4" s="625"/>
      <c r="M4" s="625"/>
      <c r="N4" s="625"/>
      <c r="O4" s="625"/>
      <c r="P4" s="625"/>
      <c r="Q4" s="625"/>
      <c r="R4" s="625"/>
      <c r="S4" s="625"/>
      <c r="T4" s="625"/>
      <c r="U4" s="625"/>
      <c r="V4" s="625"/>
      <c r="W4" s="625"/>
      <c r="X4" s="625"/>
      <c r="Y4" s="625"/>
      <c r="Z4" s="625"/>
      <c r="AA4" s="625"/>
      <c r="AB4" s="625"/>
      <c r="AC4" s="625"/>
      <c r="AD4" s="625"/>
      <c r="AE4" s="625"/>
      <c r="AF4" s="625"/>
      <c r="AG4" s="625"/>
      <c r="AH4" s="625"/>
      <c r="AI4" s="625"/>
      <c r="AJ4" s="625"/>
      <c r="AK4" s="625"/>
      <c r="AL4" s="625"/>
      <c r="AM4" s="625"/>
      <c r="AN4" s="625"/>
      <c r="AO4" s="625"/>
      <c r="AP4" s="625"/>
      <c r="AQ4" s="625"/>
      <c r="AR4" s="625"/>
      <c r="AS4" s="625"/>
      <c r="AT4" s="625"/>
      <c r="AU4" s="625"/>
      <c r="AV4" s="625"/>
      <c r="AW4" s="625"/>
      <c r="AX4" s="625"/>
      <c r="AY4" s="625"/>
      <c r="AZ4" s="625"/>
      <c r="BA4" s="625"/>
      <c r="BB4" s="625"/>
      <c r="BC4" s="625"/>
      <c r="BD4" s="625"/>
      <c r="BE4" s="625"/>
      <c r="BF4" s="625"/>
      <c r="BG4" s="625"/>
      <c r="BH4" s="625"/>
      <c r="BI4" s="625"/>
      <c r="BJ4" s="625"/>
      <c r="BK4" s="625"/>
      <c r="BL4" s="625"/>
    </row>
    <row r="5" spans="1:64" ht="13.5" thickBot="1">
      <c r="A5" s="141"/>
      <c r="B5" s="385"/>
      <c r="C5" s="77"/>
      <c r="D5" s="386"/>
      <c r="E5" s="387" t="s">
        <v>236</v>
      </c>
      <c r="F5" s="387"/>
      <c r="G5" s="387"/>
      <c r="H5" s="387"/>
      <c r="I5" s="388"/>
      <c r="J5" s="387" t="s">
        <v>237</v>
      </c>
      <c r="K5" s="387"/>
      <c r="L5" s="387"/>
      <c r="M5" s="387"/>
      <c r="N5" s="388"/>
      <c r="O5" s="387" t="s">
        <v>238</v>
      </c>
      <c r="P5" s="387"/>
      <c r="Q5" s="387"/>
      <c r="R5" s="387"/>
      <c r="S5" s="388"/>
      <c r="T5" s="387" t="s">
        <v>239</v>
      </c>
      <c r="U5" s="387"/>
      <c r="V5" s="387"/>
      <c r="W5" s="387"/>
      <c r="X5" s="388"/>
      <c r="Y5" s="387" t="s">
        <v>240</v>
      </c>
      <c r="Z5" s="387"/>
      <c r="AA5" s="387"/>
      <c r="AB5" s="387"/>
      <c r="AC5" s="388"/>
      <c r="AD5" s="387" t="s">
        <v>241</v>
      </c>
      <c r="AE5" s="387"/>
      <c r="AF5" s="387"/>
      <c r="AG5" s="387"/>
      <c r="AH5" s="388"/>
      <c r="AI5" s="387" t="s">
        <v>242</v>
      </c>
      <c r="AJ5" s="387"/>
      <c r="AK5" s="387"/>
      <c r="AL5" s="387"/>
      <c r="AM5" s="388"/>
      <c r="AN5" s="387" t="s">
        <v>243</v>
      </c>
      <c r="AO5" s="387"/>
      <c r="AP5" s="387"/>
      <c r="AQ5" s="387"/>
      <c r="AR5" s="388"/>
      <c r="AS5" s="387" t="s">
        <v>585</v>
      </c>
      <c r="AT5" s="387"/>
      <c r="AU5" s="387"/>
      <c r="AV5" s="387"/>
      <c r="AW5" s="388"/>
      <c r="AX5" s="387" t="s">
        <v>608</v>
      </c>
      <c r="AY5" s="387"/>
      <c r="AZ5" s="387"/>
      <c r="BA5" s="573"/>
      <c r="BB5" s="572"/>
      <c r="BC5" s="387" t="s">
        <v>659</v>
      </c>
      <c r="BD5" s="387"/>
      <c r="BE5" s="387"/>
      <c r="BF5" s="573"/>
      <c r="BG5" s="572"/>
      <c r="BH5" s="387" t="s">
        <v>659</v>
      </c>
      <c r="BI5" s="387"/>
      <c r="BJ5" s="387"/>
      <c r="BK5" s="573"/>
      <c r="BL5" s="572"/>
    </row>
    <row r="6" spans="1:64" ht="13.5" thickBot="1">
      <c r="A6" s="141"/>
      <c r="B6" s="389"/>
      <c r="C6" s="390" t="s">
        <v>138</v>
      </c>
      <c r="D6" s="391"/>
      <c r="E6" s="392" t="str">
        <f>IS!CE5</f>
        <v>1Q09A</v>
      </c>
      <c r="F6" s="392" t="str">
        <f>IS!CF5</f>
        <v>2Q09A</v>
      </c>
      <c r="G6" s="392" t="str">
        <f>IS!CG5</f>
        <v>3Q09A</v>
      </c>
      <c r="H6" s="392" t="str">
        <f>IS!CH5</f>
        <v>4Q09A</v>
      </c>
      <c r="I6" s="393" t="str">
        <f>IS!CI5</f>
        <v>2009A</v>
      </c>
      <c r="J6" s="392" t="str">
        <f>IS!CJ5</f>
        <v>1Q10A</v>
      </c>
      <c r="K6" s="392" t="str">
        <f>IS!CK5</f>
        <v>2Q10A</v>
      </c>
      <c r="L6" s="392" t="str">
        <f>IS!CL5</f>
        <v>3Q10A</v>
      </c>
      <c r="M6" s="392" t="str">
        <f>IS!CM5</f>
        <v>4Q10A</v>
      </c>
      <c r="N6" s="393" t="str">
        <f>IS!CN5</f>
        <v>2010A</v>
      </c>
      <c r="O6" s="392" t="str">
        <f>IS!CO5</f>
        <v>1Q11A</v>
      </c>
      <c r="P6" s="392" t="str">
        <f>IS!CP5</f>
        <v>2Q11A</v>
      </c>
      <c r="Q6" s="392" t="str">
        <f>IS!CQ5</f>
        <v>3Q11A</v>
      </c>
      <c r="R6" s="392" t="str">
        <f>IS!CR5</f>
        <v>4Q11A</v>
      </c>
      <c r="S6" s="393" t="str">
        <f>IS!CS5</f>
        <v>2011A</v>
      </c>
      <c r="T6" s="392" t="str">
        <f>IS!CT5</f>
        <v>1Q12A</v>
      </c>
      <c r="U6" s="392" t="str">
        <f>IS!CU5</f>
        <v>2Q12A</v>
      </c>
      <c r="V6" s="392" t="str">
        <f>IS!CV5</f>
        <v>3Q12A</v>
      </c>
      <c r="W6" s="392" t="str">
        <f>IS!CW5</f>
        <v>4Q12A</v>
      </c>
      <c r="X6" s="393" t="str">
        <f>IS!CX5</f>
        <v>2012A</v>
      </c>
      <c r="Y6" s="392" t="str">
        <f>IS!CY5</f>
        <v>1Q13A</v>
      </c>
      <c r="Z6" s="392" t="str">
        <f>IS!CZ5</f>
        <v>2Q13A</v>
      </c>
      <c r="AA6" s="392" t="str">
        <f>IS!DA5</f>
        <v>3Q13A</v>
      </c>
      <c r="AB6" s="392" t="str">
        <f>IS!DB5</f>
        <v>4Q13A</v>
      </c>
      <c r="AC6" s="393" t="str">
        <f>IS!DC5</f>
        <v>2013A</v>
      </c>
      <c r="AD6" s="392" t="str">
        <f>IS!DD5</f>
        <v>1Q14A</v>
      </c>
      <c r="AE6" s="392" t="str">
        <f>IS!DE5</f>
        <v>2Q14A</v>
      </c>
      <c r="AF6" s="392" t="str">
        <f>IS!DF5</f>
        <v>3Q14A</v>
      </c>
      <c r="AG6" s="392" t="str">
        <f>IS!DG5</f>
        <v>4Q14A</v>
      </c>
      <c r="AH6" s="393" t="str">
        <f>IS!DH5</f>
        <v>2014A</v>
      </c>
      <c r="AI6" s="392" t="str">
        <f>IS!DI5</f>
        <v>1Q15A</v>
      </c>
      <c r="AJ6" s="392" t="str">
        <f>IS!DJ5</f>
        <v>2Q15A</v>
      </c>
      <c r="AK6" s="392" t="str">
        <f>IS!DK5</f>
        <v>3Q15A</v>
      </c>
      <c r="AL6" s="392" t="str">
        <f>IS!DL5</f>
        <v>4Q15A</v>
      </c>
      <c r="AM6" s="393" t="str">
        <f>IS!DM5</f>
        <v>2015A</v>
      </c>
      <c r="AN6" s="392" t="str">
        <f>IS!DN5</f>
        <v>1Q16A</v>
      </c>
      <c r="AO6" s="392" t="str">
        <f>IS!DO5</f>
        <v>2Q16A</v>
      </c>
      <c r="AP6" s="392" t="str">
        <f>IS!DP5</f>
        <v>3Q16A</v>
      </c>
      <c r="AQ6" s="392" t="str">
        <f>IS!DQ5</f>
        <v>4Q16A</v>
      </c>
      <c r="AR6" s="393" t="str">
        <f>IS!DR5</f>
        <v>2016A</v>
      </c>
      <c r="AS6" s="392" t="str">
        <f>IS!DS5</f>
        <v>1Q17A</v>
      </c>
      <c r="AT6" s="392" t="str">
        <f>IS!DT5</f>
        <v>2Q17A</v>
      </c>
      <c r="AU6" s="392" t="str">
        <f>IS!DU5</f>
        <v>3Q17A</v>
      </c>
      <c r="AV6" s="392" t="str">
        <f>IS!DV5</f>
        <v>4Q17A</v>
      </c>
      <c r="AW6" s="393" t="str">
        <f>IS!DW5</f>
        <v>2017A</v>
      </c>
      <c r="AX6" s="392" t="str">
        <f>IS!DX5</f>
        <v>1Q18E</v>
      </c>
      <c r="AY6" s="392" t="str">
        <f>IS!DY5</f>
        <v>2Q18E</v>
      </c>
      <c r="AZ6" s="392" t="str">
        <f>IS!DZ5</f>
        <v>3Q18E</v>
      </c>
      <c r="BA6" s="574" t="str">
        <f>IS!EA5</f>
        <v>4Q18E</v>
      </c>
      <c r="BB6" s="391" t="str">
        <f>IS!EB5</f>
        <v>2018E</v>
      </c>
      <c r="BC6" s="392" t="str">
        <f>IS!EC5</f>
        <v>1Q19E</v>
      </c>
      <c r="BD6" s="392" t="str">
        <f>IS!ED5</f>
        <v>2Q19E</v>
      </c>
      <c r="BE6" s="392" t="str">
        <f>IS!EE5</f>
        <v>3Q19E</v>
      </c>
      <c r="BF6" s="574" t="str">
        <f>IS!EF5</f>
        <v>4Q19E</v>
      </c>
      <c r="BG6" s="391" t="str">
        <f>IS!EG5</f>
        <v>2019E</v>
      </c>
      <c r="BH6" s="392" t="str">
        <f>IS!EH5</f>
        <v>1Q20E</v>
      </c>
      <c r="BI6" s="392" t="str">
        <f>IS!EI5</f>
        <v>2Q20E</v>
      </c>
      <c r="BJ6" s="392" t="str">
        <f>IS!EJ5</f>
        <v>3Q20E</v>
      </c>
      <c r="BK6" s="574" t="str">
        <f>IS!EK5</f>
        <v>4Q20E</v>
      </c>
      <c r="BL6" s="391" t="str">
        <f>IS!EL5</f>
        <v>2020E</v>
      </c>
    </row>
    <row r="7" spans="1:64" ht="13.5" thickBot="1">
      <c r="A7" s="141"/>
      <c r="B7" s="681"/>
      <c r="C7" s="682"/>
      <c r="D7" s="557"/>
      <c r="E7" s="557"/>
      <c r="F7" s="557"/>
      <c r="G7" s="557"/>
      <c r="H7" s="557"/>
      <c r="I7" s="683"/>
      <c r="J7" s="557"/>
      <c r="K7" s="557"/>
      <c r="L7" s="557"/>
      <c r="M7" s="557"/>
      <c r="N7" s="683"/>
      <c r="O7" s="557"/>
      <c r="P7" s="557"/>
      <c r="Q7" s="557"/>
      <c r="R7" s="557"/>
      <c r="S7" s="683"/>
      <c r="T7" s="557"/>
      <c r="U7" s="557"/>
      <c r="V7" s="557"/>
      <c r="W7" s="557"/>
      <c r="X7" s="683"/>
      <c r="Y7" s="557"/>
      <c r="Z7" s="557"/>
      <c r="AA7" s="557"/>
      <c r="AB7" s="557"/>
      <c r="AC7" s="683"/>
      <c r="AD7" s="557"/>
      <c r="AE7" s="557"/>
      <c r="AF7" s="557"/>
      <c r="AG7" s="557"/>
      <c r="AH7" s="683"/>
      <c r="AI7" s="557"/>
      <c r="AJ7" s="557"/>
      <c r="AK7" s="557"/>
      <c r="AL7" s="557"/>
      <c r="AM7" s="683"/>
      <c r="AN7" s="557"/>
      <c r="AO7" s="557"/>
      <c r="AP7" s="557"/>
      <c r="AQ7" s="557"/>
      <c r="AR7" s="683"/>
      <c r="AS7" s="557"/>
      <c r="AT7" s="557"/>
      <c r="AU7" s="557"/>
      <c r="AV7" s="686"/>
      <c r="AW7" s="684"/>
      <c r="AX7" s="557"/>
      <c r="AY7" s="557"/>
      <c r="AZ7" s="557"/>
      <c r="BA7" s="685"/>
      <c r="BB7" s="686"/>
      <c r="BC7" s="557"/>
      <c r="BD7" s="557"/>
      <c r="BE7" s="557"/>
      <c r="BF7" s="685"/>
      <c r="BG7" s="685"/>
      <c r="BH7" s="557"/>
      <c r="BI7" s="557"/>
      <c r="BJ7" s="557"/>
      <c r="BK7" s="685"/>
      <c r="BL7" s="685"/>
    </row>
    <row r="8" spans="1:64" ht="13.5" thickBot="1">
      <c r="A8" s="141"/>
      <c r="B8" s="681"/>
      <c r="C8" s="1556">
        <v>2</v>
      </c>
      <c r="D8" s="557"/>
      <c r="E8" s="688"/>
      <c r="F8" s="688"/>
      <c r="G8" s="688"/>
      <c r="H8" s="688"/>
      <c r="I8" s="689"/>
      <c r="J8" s="688"/>
      <c r="K8" s="688"/>
      <c r="L8" s="688"/>
      <c r="M8" s="688"/>
      <c r="N8" s="689"/>
      <c r="O8" s="688"/>
      <c r="P8" s="688"/>
      <c r="Q8" s="688"/>
      <c r="R8" s="688"/>
      <c r="S8" s="689"/>
      <c r="T8" s="688"/>
      <c r="U8" s="688"/>
      <c r="V8" s="688"/>
      <c r="W8" s="688"/>
      <c r="X8" s="689"/>
      <c r="Y8" s="688"/>
      <c r="Z8" s="688"/>
      <c r="AA8" s="688"/>
      <c r="AB8" s="688"/>
      <c r="AC8" s="689"/>
      <c r="AD8" s="688"/>
      <c r="AE8" s="688"/>
      <c r="AF8" s="688"/>
      <c r="AG8" s="688"/>
      <c r="AH8" s="689"/>
      <c r="AI8" s="688"/>
      <c r="AJ8" s="688"/>
      <c r="AK8" s="688"/>
      <c r="AL8" s="688"/>
      <c r="AM8" s="689"/>
      <c r="AN8" s="688"/>
      <c r="AO8" s="688"/>
      <c r="AP8" s="688"/>
      <c r="AQ8" s="688"/>
      <c r="AR8" s="689"/>
      <c r="AS8" s="688"/>
      <c r="AT8" s="688"/>
      <c r="AU8" s="688"/>
      <c r="AV8" s="690"/>
      <c r="AW8" s="689"/>
      <c r="AX8" s="688"/>
      <c r="AY8" s="688"/>
      <c r="AZ8" s="688"/>
      <c r="BA8" s="690"/>
      <c r="BB8" s="691"/>
      <c r="BC8" s="688"/>
      <c r="BD8" s="688"/>
      <c r="BE8" s="688"/>
      <c r="BF8" s="690"/>
      <c r="BG8" s="691"/>
      <c r="BH8" s="688"/>
      <c r="BI8" s="688"/>
      <c r="BJ8" s="688"/>
      <c r="BK8" s="690"/>
      <c r="BL8" s="691"/>
    </row>
    <row r="9" spans="1:64">
      <c r="A9" s="141"/>
      <c r="B9" s="681"/>
      <c r="C9" s="692"/>
      <c r="D9" s="557"/>
      <c r="E9" s="693"/>
      <c r="F9" s="693"/>
      <c r="G9" s="693"/>
      <c r="H9" s="693"/>
      <c r="I9" s="694"/>
      <c r="J9" s="693"/>
      <c r="K9" s="693"/>
      <c r="L9" s="693"/>
      <c r="M9" s="693"/>
      <c r="N9" s="694"/>
      <c r="O9" s="693"/>
      <c r="P9" s="693"/>
      <c r="Q9" s="693"/>
      <c r="R9" s="693"/>
      <c r="S9" s="694"/>
      <c r="T9" s="693"/>
      <c r="U9" s="693"/>
      <c r="V9" s="693"/>
      <c r="W9" s="693"/>
      <c r="X9" s="694"/>
      <c r="Y9" s="693"/>
      <c r="Z9" s="693"/>
      <c r="AA9" s="693"/>
      <c r="AB9" s="693"/>
      <c r="AC9" s="694"/>
      <c r="AD9" s="693"/>
      <c r="AE9" s="693"/>
      <c r="AF9" s="693"/>
      <c r="AG9" s="693"/>
      <c r="AH9" s="694"/>
      <c r="AI9" s="693"/>
      <c r="AJ9" s="693"/>
      <c r="AK9" s="693"/>
      <c r="AL9" s="693"/>
      <c r="AM9" s="694"/>
      <c r="AN9" s="693"/>
      <c r="AO9" s="693"/>
      <c r="AP9" s="693"/>
      <c r="AQ9" s="693"/>
      <c r="AR9" s="694"/>
      <c r="AS9" s="693"/>
      <c r="AT9" s="693"/>
      <c r="AU9" s="693"/>
      <c r="AV9" s="695"/>
      <c r="AW9" s="694"/>
      <c r="AX9" s="693"/>
      <c r="AY9" s="693"/>
      <c r="AZ9" s="693"/>
      <c r="BA9" s="695"/>
      <c r="BB9" s="695"/>
      <c r="BC9" s="693"/>
      <c r="BD9" s="693"/>
      <c r="BE9" s="693"/>
      <c r="BF9" s="695"/>
      <c r="BG9" s="695"/>
      <c r="BH9" s="693"/>
      <c r="BI9" s="693"/>
      <c r="BJ9" s="693"/>
      <c r="BK9" s="695"/>
      <c r="BL9" s="695"/>
    </row>
    <row r="10" spans="1:64" ht="23.25" customHeight="1">
      <c r="A10" s="141"/>
      <c r="B10" s="1584" t="s">
        <v>738</v>
      </c>
      <c r="C10" s="1585"/>
      <c r="D10" s="1585"/>
      <c r="E10" s="696"/>
      <c r="F10" s="696"/>
      <c r="G10" s="696"/>
      <c r="H10" s="696"/>
      <c r="I10" s="697"/>
      <c r="J10" s="696"/>
      <c r="K10" s="696"/>
      <c r="L10" s="696"/>
      <c r="M10" s="696"/>
      <c r="N10" s="697"/>
      <c r="O10" s="696"/>
      <c r="P10" s="696"/>
      <c r="Q10" s="696"/>
      <c r="R10" s="696"/>
      <c r="S10" s="697"/>
      <c r="T10" s="696"/>
      <c r="U10" s="696"/>
      <c r="V10" s="696"/>
      <c r="W10" s="696"/>
      <c r="X10" s="697"/>
      <c r="Y10" s="696"/>
      <c r="Z10" s="696"/>
      <c r="AA10" s="696"/>
      <c r="AB10" s="696"/>
      <c r="AC10" s="697"/>
      <c r="AD10" s="696"/>
      <c r="AE10" s="696"/>
      <c r="AF10" s="696"/>
      <c r="AG10" s="696"/>
      <c r="AH10" s="697"/>
      <c r="AI10" s="696"/>
      <c r="AJ10" s="696"/>
      <c r="AK10" s="696"/>
      <c r="AL10" s="696"/>
      <c r="AM10" s="697"/>
      <c r="AN10" s="696"/>
      <c r="AO10" s="696"/>
      <c r="AP10" s="696"/>
      <c r="AQ10" s="696"/>
      <c r="AR10" s="697"/>
      <c r="AS10" s="696"/>
      <c r="AT10" s="696"/>
      <c r="AU10" s="696"/>
      <c r="AV10" s="698"/>
      <c r="AW10" s="697"/>
      <c r="AX10" s="696"/>
      <c r="AY10" s="696"/>
      <c r="AZ10" s="696"/>
      <c r="BA10" s="698"/>
      <c r="BB10" s="699"/>
      <c r="BC10" s="696"/>
      <c r="BD10" s="696"/>
      <c r="BE10" s="696"/>
      <c r="BF10" s="698"/>
      <c r="BG10" s="699"/>
      <c r="BH10" s="696"/>
      <c r="BI10" s="696"/>
      <c r="BJ10" s="696"/>
      <c r="BK10" s="698"/>
      <c r="BL10" s="699"/>
    </row>
    <row r="11" spans="1:64">
      <c r="A11" s="141"/>
      <c r="B11" s="681"/>
      <c r="C11" s="692" t="s">
        <v>244</v>
      </c>
      <c r="D11" s="557"/>
      <c r="E11" s="700"/>
      <c r="F11" s="700"/>
      <c r="G11" s="700"/>
      <c r="H11" s="700"/>
      <c r="I11" s="701"/>
      <c r="J11" s="700"/>
      <c r="K11" s="700"/>
      <c r="L11" s="700"/>
      <c r="M11" s="700"/>
      <c r="N11" s="701"/>
      <c r="O11" s="700"/>
      <c r="P11" s="700"/>
      <c r="Q11" s="700"/>
      <c r="R11" s="700"/>
      <c r="S11" s="701"/>
      <c r="T11" s="700"/>
      <c r="U11" s="700"/>
      <c r="V11" s="700"/>
      <c r="W11" s="700"/>
      <c r="X11" s="701"/>
      <c r="Y11" s="700"/>
      <c r="Z11" s="700"/>
      <c r="AA11" s="700"/>
      <c r="AB11" s="700"/>
      <c r="AC11" s="701"/>
      <c r="AD11" s="700"/>
      <c r="AE11" s="700"/>
      <c r="AF11" s="700"/>
      <c r="AG11" s="700"/>
      <c r="AH11" s="701"/>
      <c r="AI11" s="700"/>
      <c r="AJ11" s="700"/>
      <c r="AK11" s="700"/>
      <c r="AL11" s="700"/>
      <c r="AM11" s="701"/>
      <c r="AN11" s="700"/>
      <c r="AO11" s="700"/>
      <c r="AP11" s="700"/>
      <c r="AQ11" s="700"/>
      <c r="AR11" s="701"/>
      <c r="AS11" s="700"/>
      <c r="AT11" s="702"/>
      <c r="AU11" s="702"/>
      <c r="AV11" s="703"/>
      <c r="AW11" s="701"/>
      <c r="AX11" s="702">
        <f>AX12+0.05%</f>
        <v>5.4999999999999997E-3</v>
      </c>
      <c r="AY11" s="702">
        <f>AY12+0.05%</f>
        <v>5.4999999999999997E-3</v>
      </c>
      <c r="AZ11" s="702">
        <f>AZ12+0.05%</f>
        <v>5.4999999999999997E-3</v>
      </c>
      <c r="BA11" s="703">
        <f>BA12+0.05%</f>
        <v>5.4999999999999997E-3</v>
      </c>
      <c r="BB11" s="704"/>
      <c r="BC11" s="702">
        <f>BC12+0.05%</f>
        <v>1.55E-2</v>
      </c>
      <c r="BD11" s="702">
        <f>BD12+0.05%</f>
        <v>1.55E-2</v>
      </c>
      <c r="BE11" s="702">
        <f>BE12+0.05%</f>
        <v>1.55E-2</v>
      </c>
      <c r="BF11" s="703">
        <f>BF12+0.05%</f>
        <v>1.55E-2</v>
      </c>
      <c r="BG11" s="701"/>
      <c r="BH11" s="702">
        <f>BH12+0.05%</f>
        <v>1.55E-2</v>
      </c>
      <c r="BI11" s="702">
        <f>BI12+0.05%</f>
        <v>1.55E-2</v>
      </c>
      <c r="BJ11" s="702">
        <f>BJ12+0.05%</f>
        <v>1.55E-2</v>
      </c>
      <c r="BK11" s="703">
        <f>BK12+0.05%</f>
        <v>1.55E-2</v>
      </c>
      <c r="BL11" s="701"/>
    </row>
    <row r="12" spans="1:64">
      <c r="A12" s="141"/>
      <c r="B12" s="681"/>
      <c r="C12" s="692" t="s">
        <v>245</v>
      </c>
      <c r="D12" s="557"/>
      <c r="E12" s="700">
        <f>'Revenue Model'!CE144</f>
        <v>-1.3177159590043952E-2</v>
      </c>
      <c r="F12" s="700">
        <f>'Revenue Model'!CF144</f>
        <v>4.7761194029850795E-2</v>
      </c>
      <c r="G12" s="700">
        <f>'Revenue Model'!CG144</f>
        <v>6.7771084337349352E-2</v>
      </c>
      <c r="H12" s="700">
        <f>'Revenue Model'!CH144</f>
        <v>5.657492354740068E-2</v>
      </c>
      <c r="I12" s="701">
        <f>'Revenue Model'!CI144</f>
        <v>3.9311119430924801E-2</v>
      </c>
      <c r="J12" s="700">
        <f>'Revenue Model'!CJ144</f>
        <v>4.7477744807121747E-2</v>
      </c>
      <c r="K12" s="700">
        <f>'Revenue Model'!CK144</f>
        <v>4.4159544159544151E-2</v>
      </c>
      <c r="L12" s="700">
        <f>'Revenue Model'!CL144</f>
        <v>3.5260930888575404E-2</v>
      </c>
      <c r="M12" s="700">
        <f>'Revenue Model'!CM144</f>
        <v>5.6439942112879837E-2</v>
      </c>
      <c r="N12" s="701">
        <f>'Revenue Model'!CN144</f>
        <v>4.5749279538904952E-2</v>
      </c>
      <c r="O12" s="700">
        <f>'Revenue Model'!CO144</f>
        <v>1.9830028328611915E-2</v>
      </c>
      <c r="P12" s="700">
        <f>'Revenue Model'!CP144</f>
        <v>6.8212824010913664E-3</v>
      </c>
      <c r="Q12" s="700">
        <f>'Revenue Model'!CQ144</f>
        <v>0</v>
      </c>
      <c r="R12" s="700">
        <f>'Revenue Model'!CR144</f>
        <v>8.2191780821918581E-3</v>
      </c>
      <c r="S12" s="701">
        <f>'Revenue Model'!CS144</f>
        <v>8.6117809162935544E-3</v>
      </c>
      <c r="T12" s="700">
        <f>'Revenue Model'!CT144</f>
        <v>6.3888888888888884E-2</v>
      </c>
      <c r="U12" s="700">
        <f>'Revenue Model'!CU144</f>
        <v>7.1815718157181463E-2</v>
      </c>
      <c r="V12" s="700">
        <f>'Revenue Model'!CV144</f>
        <v>7.4931880108991766E-2</v>
      </c>
      <c r="W12" s="700">
        <f>'Revenue Model'!CW144</f>
        <v>0.11548913043478271</v>
      </c>
      <c r="X12" s="701">
        <f>'Revenue Model'!CX144</f>
        <v>8.16256830601092E-2</v>
      </c>
      <c r="Y12" s="700">
        <f>'Revenue Model'!CY144</f>
        <v>6.1357702349869481E-2</v>
      </c>
      <c r="Z12" s="700">
        <f>'Revenue Model'!CZ144</f>
        <v>6.7003792667509554E-2</v>
      </c>
      <c r="AA12" s="700">
        <f>'Revenue Model'!DA144</f>
        <v>7.0975918884664146E-2</v>
      </c>
      <c r="AB12" s="700">
        <f>'Revenue Model'!DB144</f>
        <v>0.65286236297198541</v>
      </c>
      <c r="AC12" s="701">
        <f>'Revenue Model'!DC144</f>
        <v>0.21850331544047985</v>
      </c>
      <c r="AD12" s="700">
        <f>'Revenue Model'!DD144</f>
        <v>0.65559655596555966</v>
      </c>
      <c r="AE12" s="700">
        <f>'Revenue Model'!DE144</f>
        <v>0.71563981042654023</v>
      </c>
      <c r="AF12" s="700">
        <f>'Revenue Model'!DF144</f>
        <v>0.70532544378698225</v>
      </c>
      <c r="AG12" s="700">
        <f>'Revenue Model'!DG144</f>
        <v>0.13411938098747234</v>
      </c>
      <c r="AH12" s="701">
        <f>'Revenue Model'!DH144</f>
        <v>0.49624254988338956</v>
      </c>
      <c r="AI12" s="700">
        <f>'Revenue Model'!DI144</f>
        <v>4.9034175334323971E-2</v>
      </c>
      <c r="AJ12" s="700">
        <f>'Revenue Model'!DJ144</f>
        <v>2.4861878453038777E-2</v>
      </c>
      <c r="AK12" s="700">
        <f>'Revenue Model'!DK144</f>
        <v>5.1353226925745954E-2</v>
      </c>
      <c r="AL12" s="700">
        <f>'Revenue Model'!DL144</f>
        <v>5.0032488628979799E-2</v>
      </c>
      <c r="AM12" s="701">
        <f>'Revenue Model'!DM144</f>
        <v>4.3817111188084512E-2</v>
      </c>
      <c r="AN12" s="700">
        <f>'Revenue Model'!DN144</f>
        <v>-8.4985835694051381E-3</v>
      </c>
      <c r="AO12" s="700">
        <f>'Revenue Model'!DO144</f>
        <v>-2.2237196765498624E-2</v>
      </c>
      <c r="AP12" s="700">
        <f>'Revenue Model'!DP144</f>
        <v>-0.12013201320132016</v>
      </c>
      <c r="AQ12" s="700">
        <f>'Revenue Model'!DQ144</f>
        <v>-0.17079207920792083</v>
      </c>
      <c r="AR12" s="701">
        <f>'Revenue Model'!DR144</f>
        <v>-8.345777335324378E-2</v>
      </c>
      <c r="AS12" s="700">
        <f>'Revenue Model'!DS144</f>
        <v>4.4999999999999929E-2</v>
      </c>
      <c r="AT12" s="700">
        <f>'Revenue Model'!DT144</f>
        <v>2.7567195037904835E-2</v>
      </c>
      <c r="AU12" s="700">
        <f>'Revenue Model'!DU144</f>
        <v>3.9759939984996162E-2</v>
      </c>
      <c r="AV12" s="704">
        <f>'Revenue Model'!DV144</f>
        <v>6.7910447761194037E-2</v>
      </c>
      <c r="AW12" s="701"/>
      <c r="AX12" s="702">
        <v>5.0000000000000001E-3</v>
      </c>
      <c r="AY12" s="702">
        <v>5.0000000000000001E-3</v>
      </c>
      <c r="AZ12" s="702">
        <v>5.0000000000000001E-3</v>
      </c>
      <c r="BA12" s="702">
        <v>5.0000000000000001E-3</v>
      </c>
      <c r="BB12" s="701">
        <f>'Revenue Model'!EB144</f>
        <v>4.9999999999996714E-3</v>
      </c>
      <c r="BC12" s="702">
        <v>1.4999999999999999E-2</v>
      </c>
      <c r="BD12" s="702">
        <v>1.4999999999999999E-2</v>
      </c>
      <c r="BE12" s="702">
        <v>1.4999999999999999E-2</v>
      </c>
      <c r="BF12" s="702">
        <v>1.4999999999999999E-2</v>
      </c>
      <c r="BG12" s="701">
        <f>'Revenue Model'!EG144</f>
        <v>1.5000000000000124E-2</v>
      </c>
      <c r="BH12" s="702">
        <v>1.4999999999999999E-2</v>
      </c>
      <c r="BI12" s="702">
        <v>1.4999999999999999E-2</v>
      </c>
      <c r="BJ12" s="702">
        <v>1.4999999999999999E-2</v>
      </c>
      <c r="BK12" s="702">
        <v>1.4999999999999999E-2</v>
      </c>
      <c r="BL12" s="701">
        <f>'Revenue Model'!EL144</f>
        <v>1.5000000000000124E-2</v>
      </c>
    </row>
    <row r="13" spans="1:64">
      <c r="A13" s="141"/>
      <c r="B13" s="681"/>
      <c r="C13" s="692" t="s">
        <v>246</v>
      </c>
      <c r="D13" s="557"/>
      <c r="E13" s="557"/>
      <c r="F13" s="557"/>
      <c r="G13" s="557"/>
      <c r="H13" s="557"/>
      <c r="I13" s="683"/>
      <c r="J13" s="557"/>
      <c r="K13" s="557"/>
      <c r="L13" s="557"/>
      <c r="M13" s="557"/>
      <c r="N13" s="683"/>
      <c r="O13" s="557"/>
      <c r="P13" s="557"/>
      <c r="Q13" s="557"/>
      <c r="R13" s="557"/>
      <c r="S13" s="683"/>
      <c r="T13" s="557"/>
      <c r="U13" s="557"/>
      <c r="V13" s="557"/>
      <c r="W13" s="557"/>
      <c r="X13" s="683"/>
      <c r="Y13" s="557"/>
      <c r="Z13" s="557"/>
      <c r="AA13" s="557"/>
      <c r="AB13" s="557"/>
      <c r="AC13" s="683"/>
      <c r="AD13" s="557"/>
      <c r="AE13" s="557"/>
      <c r="AF13" s="557"/>
      <c r="AG13" s="557"/>
      <c r="AH13" s="683"/>
      <c r="AI13" s="557"/>
      <c r="AJ13" s="557"/>
      <c r="AK13" s="557"/>
      <c r="AL13" s="557"/>
      <c r="AM13" s="683"/>
      <c r="AN13" s="557"/>
      <c r="AO13" s="557"/>
      <c r="AP13" s="557"/>
      <c r="AQ13" s="557"/>
      <c r="AR13" s="683"/>
      <c r="AS13" s="557"/>
      <c r="AT13" s="702"/>
      <c r="AU13" s="702"/>
      <c r="AV13" s="703"/>
      <c r="AW13" s="683"/>
      <c r="AX13" s="702">
        <f>AX12-0.05%</f>
        <v>4.5000000000000005E-3</v>
      </c>
      <c r="AY13" s="702">
        <f t="shared" ref="AY13:BA13" si="0">AY12-0.05%</f>
        <v>4.5000000000000005E-3</v>
      </c>
      <c r="AZ13" s="702">
        <f t="shared" si="0"/>
        <v>4.5000000000000005E-3</v>
      </c>
      <c r="BA13" s="703">
        <f t="shared" si="0"/>
        <v>4.5000000000000005E-3</v>
      </c>
      <c r="BB13" s="685"/>
      <c r="BC13" s="702">
        <f>BC12-0.05%</f>
        <v>1.4499999999999999E-2</v>
      </c>
      <c r="BD13" s="702">
        <f t="shared" ref="BD13" si="1">BD12-0.05%</f>
        <v>1.4499999999999999E-2</v>
      </c>
      <c r="BE13" s="702">
        <f t="shared" ref="BE13" si="2">BE12-0.05%</f>
        <v>1.4499999999999999E-2</v>
      </c>
      <c r="BF13" s="703">
        <f t="shared" ref="BF13" si="3">BF12-0.05%</f>
        <v>1.4499999999999999E-2</v>
      </c>
      <c r="BG13" s="701"/>
      <c r="BH13" s="702">
        <f>BH12-0.05%</f>
        <v>1.4499999999999999E-2</v>
      </c>
      <c r="BI13" s="702">
        <f t="shared" ref="BI13" si="4">BI12-0.05%</f>
        <v>1.4499999999999999E-2</v>
      </c>
      <c r="BJ13" s="702">
        <f t="shared" ref="BJ13" si="5">BJ12-0.05%</f>
        <v>1.4499999999999999E-2</v>
      </c>
      <c r="BK13" s="703">
        <f t="shared" ref="BK13" si="6">BK12-0.05%</f>
        <v>1.4499999999999999E-2</v>
      </c>
      <c r="BL13" s="701"/>
    </row>
    <row r="14" spans="1:64" ht="23.25" customHeight="1">
      <c r="A14" s="141"/>
      <c r="B14" s="1584" t="s">
        <v>383</v>
      </c>
      <c r="C14" s="1585"/>
      <c r="D14" s="1585"/>
      <c r="E14" s="152"/>
      <c r="F14" s="152"/>
      <c r="G14" s="152"/>
      <c r="H14" s="152"/>
      <c r="I14" s="705"/>
      <c r="J14" s="152"/>
      <c r="K14" s="152"/>
      <c r="L14" s="152"/>
      <c r="M14" s="152"/>
      <c r="N14" s="705"/>
      <c r="O14" s="152"/>
      <c r="P14" s="152"/>
      <c r="Q14" s="152"/>
      <c r="R14" s="152"/>
      <c r="S14" s="705"/>
      <c r="T14" s="152"/>
      <c r="U14" s="152"/>
      <c r="V14" s="152"/>
      <c r="W14" s="152"/>
      <c r="X14" s="705"/>
      <c r="Y14" s="152"/>
      <c r="Z14" s="152"/>
      <c r="AA14" s="152"/>
      <c r="AB14" s="152"/>
      <c r="AC14" s="705"/>
      <c r="AD14" s="152"/>
      <c r="AE14" s="152"/>
      <c r="AF14" s="152"/>
      <c r="AG14" s="152"/>
      <c r="AH14" s="705"/>
      <c r="AI14" s="152"/>
      <c r="AJ14" s="152"/>
      <c r="AK14" s="152"/>
      <c r="AL14" s="152"/>
      <c r="AM14" s="705"/>
      <c r="AN14" s="152"/>
      <c r="AO14" s="152"/>
      <c r="AP14" s="152"/>
      <c r="AQ14" s="152"/>
      <c r="AR14" s="705"/>
      <c r="AS14" s="152"/>
      <c r="AT14" s="152"/>
      <c r="AU14" s="152"/>
      <c r="AV14" s="657"/>
      <c r="AW14" s="705"/>
      <c r="AX14" s="152"/>
      <c r="AY14" s="152"/>
      <c r="AZ14" s="152"/>
      <c r="BA14" s="657"/>
      <c r="BB14" s="657"/>
      <c r="BC14" s="152"/>
      <c r="BD14" s="152"/>
      <c r="BE14" s="152"/>
      <c r="BF14" s="657"/>
      <c r="BG14" s="657"/>
      <c r="BH14" s="152"/>
      <c r="BI14" s="152"/>
      <c r="BJ14" s="152"/>
      <c r="BK14" s="657"/>
      <c r="BL14" s="657"/>
    </row>
    <row r="15" spans="1:64">
      <c r="A15" s="141"/>
      <c r="B15" s="681"/>
      <c r="C15" s="692" t="s">
        <v>244</v>
      </c>
      <c r="D15" s="557"/>
      <c r="E15" s="700"/>
      <c r="F15" s="700"/>
      <c r="G15" s="700"/>
      <c r="H15" s="700"/>
      <c r="I15" s="701"/>
      <c r="J15" s="700"/>
      <c r="K15" s="700"/>
      <c r="L15" s="700"/>
      <c r="M15" s="700"/>
      <c r="N15" s="701"/>
      <c r="O15" s="700"/>
      <c r="P15" s="700"/>
      <c r="Q15" s="700"/>
      <c r="R15" s="700"/>
      <c r="S15" s="701"/>
      <c r="T15" s="700"/>
      <c r="U15" s="700"/>
      <c r="V15" s="700"/>
      <c r="W15" s="700"/>
      <c r="X15" s="701"/>
      <c r="Y15" s="700"/>
      <c r="Z15" s="700"/>
      <c r="AA15" s="700"/>
      <c r="AB15" s="700"/>
      <c r="AC15" s="701"/>
      <c r="AD15" s="700"/>
      <c r="AE15" s="700"/>
      <c r="AF15" s="700"/>
      <c r="AG15" s="700"/>
      <c r="AH15" s="701"/>
      <c r="AI15" s="700"/>
      <c r="AJ15" s="700"/>
      <c r="AK15" s="700"/>
      <c r="AL15" s="700"/>
      <c r="AM15" s="701"/>
      <c r="AN15" s="700"/>
      <c r="AO15" s="700"/>
      <c r="AP15" s="700"/>
      <c r="AQ15" s="700"/>
      <c r="AR15" s="701"/>
      <c r="AS15" s="700"/>
      <c r="AT15" s="702"/>
      <c r="AU15" s="702"/>
      <c r="AV15" s="703"/>
      <c r="AW15" s="701"/>
      <c r="AX15" s="702">
        <f>AX16+0.05%</f>
        <v>2E-3</v>
      </c>
      <c r="AY15" s="702">
        <f>AY16+0.05%</f>
        <v>2.5000000000000001E-3</v>
      </c>
      <c r="AZ15" s="702">
        <f>AZ16+0.05%</f>
        <v>2.5000000000000001E-3</v>
      </c>
      <c r="BA15" s="703">
        <f>BA16+0.05%</f>
        <v>2.5000000000000001E-3</v>
      </c>
      <c r="BB15" s="704"/>
      <c r="BC15" s="702">
        <f>BC16+0.05%</f>
        <v>8.0000000000000002E-3</v>
      </c>
      <c r="BD15" s="702">
        <f>BD16+0.05%</f>
        <v>8.0000000000000002E-3</v>
      </c>
      <c r="BE15" s="702">
        <f>BE16+0.05%</f>
        <v>8.0000000000000002E-3</v>
      </c>
      <c r="BF15" s="703">
        <f>BF16+0.05%</f>
        <v>8.0000000000000002E-3</v>
      </c>
      <c r="BG15" s="701"/>
      <c r="BH15" s="702">
        <f>BH16+0.05%</f>
        <v>5.4999999999999997E-3</v>
      </c>
      <c r="BI15" s="702">
        <f>BI16+0.05%</f>
        <v>5.4999999999999997E-3</v>
      </c>
      <c r="BJ15" s="702">
        <f>BJ16+0.05%</f>
        <v>5.4999999999999997E-3</v>
      </c>
      <c r="BK15" s="703">
        <f>BK16+0.05%</f>
        <v>5.4999999999999997E-3</v>
      </c>
      <c r="BL15" s="701"/>
    </row>
    <row r="16" spans="1:64">
      <c r="A16" s="141"/>
      <c r="B16" s="681"/>
      <c r="C16" s="692" t="s">
        <v>245</v>
      </c>
      <c r="D16" s="557"/>
      <c r="E16" s="706">
        <f>'Revenue Model'!CE161</f>
        <v>-6.3612151420335938E-2</v>
      </c>
      <c r="F16" s="706">
        <f>'Revenue Model'!CF161</f>
        <v>-2.7428852914175628E-2</v>
      </c>
      <c r="G16" s="706">
        <f>'Revenue Model'!CG161</f>
        <v>-2.1984756214332712E-3</v>
      </c>
      <c r="H16" s="706">
        <f>'Revenue Model'!CH161</f>
        <v>-1.5657627968077237E-2</v>
      </c>
      <c r="I16" s="707">
        <f>'Revenue Model'!CI161</f>
        <v>-2.8241971829947032E-2</v>
      </c>
      <c r="J16" s="706">
        <f>'Revenue Model'!CJ161</f>
        <v>-3.0468098796484488E-2</v>
      </c>
      <c r="K16" s="706">
        <f>'Revenue Model'!CK161</f>
        <v>-1.962273996991748E-2</v>
      </c>
      <c r="L16" s="706">
        <f>'Revenue Model'!CL161</f>
        <v>-3.5414331557370726E-2</v>
      </c>
      <c r="M16" s="706">
        <f>'Revenue Model'!CM161</f>
        <v>-2.0473497851594136E-2</v>
      </c>
      <c r="N16" s="707">
        <f>'Revenue Model'!CN161</f>
        <v>-2.6550251156153282E-2</v>
      </c>
      <c r="O16" s="706">
        <f>'Revenue Model'!CO161</f>
        <v>-8.7632636746883819E-3</v>
      </c>
      <c r="P16" s="706">
        <f>'Revenue Model'!CP161</f>
        <v>-1.6900063404591714E-2</v>
      </c>
      <c r="Q16" s="706">
        <f>'Revenue Model'!CQ161</f>
        <v>-1.4883202674200735E-3</v>
      </c>
      <c r="R16" s="706">
        <f>'Revenue Model'!CR161</f>
        <v>-1.2836970474967901E-2</v>
      </c>
      <c r="S16" s="707">
        <f>'Revenue Model'!CS161</f>
        <v>-1.0016141231880105E-2</v>
      </c>
      <c r="T16" s="706">
        <f>'Revenue Model'!CT161</f>
        <v>-1.8792273104224488E-3</v>
      </c>
      <c r="U16" s="706">
        <f>'Revenue Model'!CU161</f>
        <v>-3.6308045098414343E-3</v>
      </c>
      <c r="V16" s="706">
        <f>'Revenue Model'!CV161</f>
        <v>-4.694798259178401E-3</v>
      </c>
      <c r="W16" s="706">
        <f>'Revenue Model'!CW161</f>
        <v>-4.5473764828840579E-4</v>
      </c>
      <c r="X16" s="707">
        <f>'Revenue Model'!CX161</f>
        <v>-2.6563798406565864E-3</v>
      </c>
      <c r="Y16" s="706">
        <f>'Revenue Model'!CY161</f>
        <v>-4.0102141931549706E-2</v>
      </c>
      <c r="Z16" s="706">
        <f>'Revenue Model'!CZ161</f>
        <v>-3.5273622298938712E-2</v>
      </c>
      <c r="AA16" s="706">
        <f>'Revenue Model'!DA161</f>
        <v>-2.6427696225644448E-2</v>
      </c>
      <c r="AB16" s="706">
        <f>'Revenue Model'!DB161</f>
        <v>0.52052039268896166</v>
      </c>
      <c r="AC16" s="707">
        <f>'Revenue Model'!DC161</f>
        <v>0.10314421947342955</v>
      </c>
      <c r="AD16" s="706">
        <f>'Revenue Model'!DD161</f>
        <v>0.54271851598916854</v>
      </c>
      <c r="AE16" s="706">
        <f>'Revenue Model'!DE161</f>
        <v>0.61230761584466786</v>
      </c>
      <c r="AF16" s="706">
        <f>'Revenue Model'!DF161</f>
        <v>0.64444883152777432</v>
      </c>
      <c r="AG16" s="706">
        <f>'Revenue Model'!DG161</f>
        <v>6.2103030875668042E-2</v>
      </c>
      <c r="AH16" s="707" t="e">
        <f>'Revenue Model'!DH161</f>
        <v>#REF!</v>
      </c>
      <c r="AI16" s="706">
        <f>'Revenue Model'!DI161</f>
        <v>7.2372383192723655E-2</v>
      </c>
      <c r="AJ16" s="706">
        <f>'Revenue Model'!DJ161</f>
        <v>3.7335402099249348E-2</v>
      </c>
      <c r="AK16" s="706">
        <f>'Revenue Model'!DK161</f>
        <v>9.7842072090998933E-3</v>
      </c>
      <c r="AL16" s="706">
        <f>'Revenue Model'!DL161</f>
        <v>4.7712479674997699E-2</v>
      </c>
      <c r="AM16" s="707">
        <f>'Revenue Model'!DM161</f>
        <v>4.1631012494233177E-2</v>
      </c>
      <c r="AN16" s="706">
        <f>'Revenue Model'!DN161</f>
        <v>-6.8894510231216399E-2</v>
      </c>
      <c r="AO16" s="706">
        <f>'Revenue Model'!DO161</f>
        <v>-4.0260910909919345E-2</v>
      </c>
      <c r="AP16" s="706">
        <f>'Revenue Model'!DP161</f>
        <v>-0.12009709218804177</v>
      </c>
      <c r="AQ16" s="706">
        <f>'Revenue Model'!DQ161</f>
        <v>-0.17132331089527386</v>
      </c>
      <c r="AR16" s="707">
        <v>-4.4812523403908289E-2</v>
      </c>
      <c r="AS16" s="706">
        <f>'Revenue Model'!DS162</f>
        <v>-3.2981224707082757E-2</v>
      </c>
      <c r="AT16" s="706">
        <f>'Revenue Model'!DT162</f>
        <v>-2.2221190118640322E-2</v>
      </c>
      <c r="AU16" s="706">
        <f>'Revenue Model'!DU162</f>
        <v>-2.5673975316574338E-2</v>
      </c>
      <c r="AV16" s="1577">
        <f>'Revenue Model'!DV162</f>
        <v>1.7121710437200122E-3</v>
      </c>
      <c r="AW16" s="701"/>
      <c r="AX16" s="708">
        <v>1.5E-3</v>
      </c>
      <c r="AY16" s="708">
        <v>2E-3</v>
      </c>
      <c r="AZ16" s="708">
        <v>2E-3</v>
      </c>
      <c r="BA16" s="708">
        <v>2E-3</v>
      </c>
      <c r="BB16" s="701">
        <f>'Revenue Model'!EB162</f>
        <v>0</v>
      </c>
      <c r="BC16" s="708">
        <v>7.4999999999999997E-3</v>
      </c>
      <c r="BD16" s="708">
        <v>7.4999999999999997E-3</v>
      </c>
      <c r="BE16" s="708">
        <v>7.4999999999999997E-3</v>
      </c>
      <c r="BF16" s="708">
        <v>7.4999999999999997E-3</v>
      </c>
      <c r="BG16" s="701">
        <f>'Revenue Model'!EG162</f>
        <v>0</v>
      </c>
      <c r="BH16" s="708">
        <v>5.0000000000000001E-3</v>
      </c>
      <c r="BI16" s="708">
        <v>5.0000000000000001E-3</v>
      </c>
      <c r="BJ16" s="708">
        <v>5.0000000000000001E-3</v>
      </c>
      <c r="BK16" s="708">
        <v>5.0000000000000001E-3</v>
      </c>
      <c r="BL16" s="701">
        <f>'Revenue Model'!EL162</f>
        <v>0</v>
      </c>
    </row>
    <row r="17" spans="1:64">
      <c r="A17" s="141"/>
      <c r="B17" s="681"/>
      <c r="C17" s="692" t="s">
        <v>246</v>
      </c>
      <c r="D17" s="557"/>
      <c r="E17" s="557"/>
      <c r="F17" s="557"/>
      <c r="G17" s="557"/>
      <c r="H17" s="557"/>
      <c r="I17" s="683"/>
      <c r="J17" s="557"/>
      <c r="K17" s="557"/>
      <c r="L17" s="557"/>
      <c r="M17" s="557"/>
      <c r="N17" s="683"/>
      <c r="O17" s="557"/>
      <c r="P17" s="557"/>
      <c r="Q17" s="557"/>
      <c r="R17" s="557"/>
      <c r="S17" s="683"/>
      <c r="T17" s="557"/>
      <c r="U17" s="557"/>
      <c r="V17" s="557"/>
      <c r="W17" s="557"/>
      <c r="X17" s="683"/>
      <c r="Y17" s="557"/>
      <c r="Z17" s="557"/>
      <c r="AA17" s="557"/>
      <c r="AB17" s="557"/>
      <c r="AC17" s="683"/>
      <c r="AD17" s="557"/>
      <c r="AE17" s="557"/>
      <c r="AF17" s="557"/>
      <c r="AG17" s="557"/>
      <c r="AH17" s="683"/>
      <c r="AI17" s="557"/>
      <c r="AJ17" s="557"/>
      <c r="AK17" s="557"/>
      <c r="AL17" s="557"/>
      <c r="AM17" s="683"/>
      <c r="AN17" s="557"/>
      <c r="AO17" s="557"/>
      <c r="AP17" s="557"/>
      <c r="AQ17" s="557"/>
      <c r="AR17" s="683"/>
      <c r="AS17" s="557"/>
      <c r="AT17" s="702"/>
      <c r="AU17" s="702"/>
      <c r="AV17" s="703"/>
      <c r="AW17" s="683"/>
      <c r="AX17" s="702">
        <f>AX16-0.05%</f>
        <v>1E-3</v>
      </c>
      <c r="AY17" s="702">
        <f t="shared" ref="AY17" si="7">AY16-0.05%</f>
        <v>1.5E-3</v>
      </c>
      <c r="AZ17" s="702">
        <f t="shared" ref="AZ17" si="8">AZ16-0.05%</f>
        <v>1.5E-3</v>
      </c>
      <c r="BA17" s="703">
        <f t="shared" ref="BA17" si="9">BA16-0.05%</f>
        <v>1.5E-3</v>
      </c>
      <c r="BB17" s="685"/>
      <c r="BC17" s="702">
        <f>BC16-0.05%</f>
        <v>6.9999999999999993E-3</v>
      </c>
      <c r="BD17" s="702">
        <f t="shared" ref="BD17" si="10">BD16-0.05%</f>
        <v>6.9999999999999993E-3</v>
      </c>
      <c r="BE17" s="702">
        <f t="shared" ref="BE17" si="11">BE16-0.05%</f>
        <v>6.9999999999999993E-3</v>
      </c>
      <c r="BF17" s="703">
        <f t="shared" ref="BF17" si="12">BF16-0.05%</f>
        <v>6.9999999999999993E-3</v>
      </c>
      <c r="BG17" s="701"/>
      <c r="BH17" s="702">
        <f>BH16-0.05%</f>
        <v>4.5000000000000005E-3</v>
      </c>
      <c r="BI17" s="702">
        <f t="shared" ref="BI17" si="13">BI16-0.05%</f>
        <v>4.5000000000000005E-3</v>
      </c>
      <c r="BJ17" s="702">
        <f t="shared" ref="BJ17" si="14">BJ16-0.05%</f>
        <v>4.5000000000000005E-3</v>
      </c>
      <c r="BK17" s="703">
        <f t="shared" ref="BK17" si="15">BK16-0.05%</f>
        <v>4.5000000000000005E-3</v>
      </c>
      <c r="BL17" s="701"/>
    </row>
    <row r="18" spans="1:64" ht="23.25" customHeight="1">
      <c r="A18" s="141"/>
      <c r="B18" s="1586" t="s">
        <v>739</v>
      </c>
      <c r="C18" s="1587"/>
      <c r="D18" s="1587"/>
      <c r="E18" s="709"/>
      <c r="F18" s="709"/>
      <c r="G18" s="709"/>
      <c r="H18" s="709"/>
      <c r="I18" s="710"/>
      <c r="J18" s="709"/>
      <c r="K18" s="709"/>
      <c r="L18" s="709"/>
      <c r="M18" s="709"/>
      <c r="N18" s="710"/>
      <c r="O18" s="709"/>
      <c r="P18" s="709"/>
      <c r="Q18" s="709"/>
      <c r="R18" s="709"/>
      <c r="S18" s="710"/>
      <c r="T18" s="709"/>
      <c r="U18" s="709"/>
      <c r="V18" s="709"/>
      <c r="W18" s="709"/>
      <c r="X18" s="710"/>
      <c r="Y18" s="709"/>
      <c r="Z18" s="709"/>
      <c r="AA18" s="709"/>
      <c r="AB18" s="709"/>
      <c r="AC18" s="710"/>
      <c r="AD18" s="709"/>
      <c r="AE18" s="709"/>
      <c r="AF18" s="709"/>
      <c r="AG18" s="709"/>
      <c r="AH18" s="710"/>
      <c r="AI18" s="709"/>
      <c r="AJ18" s="709"/>
      <c r="AK18" s="709"/>
      <c r="AL18" s="709"/>
      <c r="AM18" s="710"/>
      <c r="AN18" s="709"/>
      <c r="AO18" s="709"/>
      <c r="AP18" s="709"/>
      <c r="AQ18" s="709"/>
      <c r="AR18" s="710"/>
      <c r="AS18" s="709"/>
      <c r="AT18" s="711"/>
      <c r="AU18" s="711"/>
      <c r="AV18" s="712"/>
      <c r="AW18" s="710"/>
      <c r="AX18" s="711"/>
      <c r="AY18" s="711"/>
      <c r="AZ18" s="711"/>
      <c r="BA18" s="712"/>
      <c r="BB18" s="713"/>
      <c r="BC18" s="711"/>
      <c r="BD18" s="711"/>
      <c r="BE18" s="711"/>
      <c r="BF18" s="712"/>
      <c r="BG18" s="713"/>
      <c r="BH18" s="711"/>
      <c r="BI18" s="711"/>
      <c r="BJ18" s="711"/>
      <c r="BK18" s="712"/>
      <c r="BL18" s="713"/>
    </row>
    <row r="19" spans="1:64">
      <c r="A19" s="141"/>
      <c r="B19" s="681"/>
      <c r="C19" s="692" t="s">
        <v>244</v>
      </c>
      <c r="D19" s="557"/>
      <c r="E19" s="700"/>
      <c r="F19" s="700"/>
      <c r="G19" s="700"/>
      <c r="H19" s="700"/>
      <c r="I19" s="701"/>
      <c r="J19" s="700"/>
      <c r="K19" s="700"/>
      <c r="L19" s="700"/>
      <c r="M19" s="700"/>
      <c r="N19" s="701"/>
      <c r="O19" s="700"/>
      <c r="P19" s="700"/>
      <c r="Q19" s="700"/>
      <c r="R19" s="700"/>
      <c r="S19" s="701"/>
      <c r="T19" s="700"/>
      <c r="U19" s="700"/>
      <c r="V19" s="700"/>
      <c r="W19" s="700"/>
      <c r="X19" s="701"/>
      <c r="Y19" s="700"/>
      <c r="Z19" s="700"/>
      <c r="AA19" s="700"/>
      <c r="AB19" s="700"/>
      <c r="AC19" s="701"/>
      <c r="AD19" s="700"/>
      <c r="AE19" s="700"/>
      <c r="AF19" s="700"/>
      <c r="AG19" s="700"/>
      <c r="AH19" s="701"/>
      <c r="AI19" s="700"/>
      <c r="AJ19" s="700"/>
      <c r="AK19" s="700"/>
      <c r="AL19" s="700"/>
      <c r="AM19" s="701"/>
      <c r="AN19" s="700"/>
      <c r="AO19" s="700"/>
      <c r="AP19" s="700"/>
      <c r="AQ19" s="700"/>
      <c r="AR19" s="701"/>
      <c r="AS19" s="700"/>
      <c r="AT19" s="702"/>
      <c r="AU19" s="702"/>
      <c r="AV19" s="703"/>
      <c r="AW19" s="701"/>
      <c r="AX19" s="702">
        <f>AX20+0.05%</f>
        <v>1.5E-3</v>
      </c>
      <c r="AY19" s="702">
        <f>AY20+0.05%</f>
        <v>1.5E-3</v>
      </c>
      <c r="AZ19" s="702">
        <f>AZ20+0.05%</f>
        <v>1.5E-3</v>
      </c>
      <c r="BA19" s="703">
        <f>BA20+0.05%</f>
        <v>1.5E-3</v>
      </c>
      <c r="BB19" s="704"/>
      <c r="BC19" s="702">
        <f>BC20+0.05%</f>
        <v>5.4999999999999997E-3</v>
      </c>
      <c r="BD19" s="702">
        <f>BD20+0.05%</f>
        <v>5.4999999999999997E-3</v>
      </c>
      <c r="BE19" s="702">
        <f>BE20+0.05%</f>
        <v>5.4999999999999997E-3</v>
      </c>
      <c r="BF19" s="703">
        <f>BF20+0.05%</f>
        <v>5.4999999999999997E-3</v>
      </c>
      <c r="BG19" s="701"/>
      <c r="BH19" s="702">
        <f>BH20+0.05%</f>
        <v>5.4999999999999997E-3</v>
      </c>
      <c r="BI19" s="702">
        <f>BI20+0.05%</f>
        <v>5.4999999999999997E-3</v>
      </c>
      <c r="BJ19" s="702">
        <f>BJ20+0.05%</f>
        <v>5.4999999999999997E-3</v>
      </c>
      <c r="BK19" s="703">
        <f>BK20+0.05%</f>
        <v>5.4999999999999997E-3</v>
      </c>
      <c r="BL19" s="701"/>
    </row>
    <row r="20" spans="1:64">
      <c r="A20" s="141"/>
      <c r="B20" s="681"/>
      <c r="C20" s="692" t="s">
        <v>245</v>
      </c>
      <c r="D20" s="557"/>
      <c r="E20" s="700">
        <f>'Revenue Model'!CE207</f>
        <v>8.4162895927601955E-3</v>
      </c>
      <c r="F20" s="700">
        <f>'Revenue Model'!CF207</f>
        <v>2.960893854748603E-2</v>
      </c>
      <c r="G20" s="700">
        <f>'Revenue Model'!CG207</f>
        <v>3.9050960118168332E-2</v>
      </c>
      <c r="H20" s="700">
        <f>'Revenue Model'!CH207</f>
        <v>3.6187193905314663E-2</v>
      </c>
      <c r="I20" s="701">
        <f>'Revenue Model'!CI207</f>
        <v>3.5974541093995116E-2</v>
      </c>
      <c r="J20" s="700">
        <f>'Revenue Model'!CJ207</f>
        <v>4.4960962038948171E-2</v>
      </c>
      <c r="K20" s="700">
        <f>'Revenue Model'!CK207</f>
        <v>4.6210888044854403E-2</v>
      </c>
      <c r="L20" s="700">
        <f>'Revenue Model'!CL207</f>
        <v>1.1195024433584999E-2</v>
      </c>
      <c r="M20" s="700">
        <f>'Revenue Model'!CM207</f>
        <v>1.8118161925601672E-2</v>
      </c>
      <c r="N20" s="701">
        <f>'Revenue Model'!CN207</f>
        <v>2.9115840085477629E-2</v>
      </c>
      <c r="O20" s="700">
        <f>'Revenue Model'!CO207</f>
        <v>5.7883888698041952E-2</v>
      </c>
      <c r="P20" s="700">
        <f>'Revenue Model'!CP207</f>
        <v>8.9895410147808885E-3</v>
      </c>
      <c r="Q20" s="700">
        <f>'Revenue Model'!CQ207</f>
        <v>1.1334680608031E-2</v>
      </c>
      <c r="R20" s="700">
        <f>'Revenue Model'!CR207</f>
        <v>2.8112104539202099E-2</v>
      </c>
      <c r="S20" s="701">
        <f>'Revenue Model'!CS207</f>
        <v>2.6994289669493021E-2</v>
      </c>
      <c r="T20" s="700">
        <f>'Revenue Model'!CT207</f>
        <v>-5.6015586945932228E-3</v>
      </c>
      <c r="U20" s="700">
        <f>'Revenue Model'!CU207</f>
        <v>5.9796110682772241E-2</v>
      </c>
      <c r="V20" s="700">
        <f>'Revenue Model'!CV207</f>
        <v>4.4396177237185031E-2</v>
      </c>
      <c r="W20" s="700">
        <f>'Revenue Model'!CW207</f>
        <v>3.0437327535747238E-2</v>
      </c>
      <c r="X20" s="701">
        <f>'Revenue Model'!CX207</f>
        <v>3.1255265374894758E-2</v>
      </c>
      <c r="Y20" s="700">
        <f>'Revenue Model'!CY207</f>
        <v>-4.245244509755941E-3</v>
      </c>
      <c r="Z20" s="700">
        <f>'Revenue Model'!CZ207</f>
        <v>3.2495352032980263E-2</v>
      </c>
      <c r="AA20" s="700">
        <f>'Revenue Model'!DA207</f>
        <v>2.7784710090674736E-2</v>
      </c>
      <c r="AB20" s="700">
        <f>'Revenue Model'!DB207</f>
        <v>1.0387081067921855E-2</v>
      </c>
      <c r="AC20" s="701">
        <f>'Revenue Model'!DC207</f>
        <v>0</v>
      </c>
      <c r="AD20" s="700">
        <f>'Revenue Model'!DD207</f>
        <v>0</v>
      </c>
      <c r="AE20" s="700">
        <f>'Revenue Model'!DE207</f>
        <v>0</v>
      </c>
      <c r="AF20" s="700">
        <f>'Revenue Model'!DF207</f>
        <v>0</v>
      </c>
      <c r="AG20" s="700">
        <f>'Revenue Model'!DG207</f>
        <v>0</v>
      </c>
      <c r="AH20" s="701">
        <f>'Revenue Model'!DH207</f>
        <v>0</v>
      </c>
      <c r="AI20" s="700">
        <f>'Revenue Model'!DI207</f>
        <v>3.0871561605192888E-2</v>
      </c>
      <c r="AJ20" s="700">
        <f>'Revenue Model'!DJ207</f>
        <v>5.669962889482516E-2</v>
      </c>
      <c r="AK20" s="700">
        <f>'Revenue Model'!DK207</f>
        <v>4.6626380999987838E-2</v>
      </c>
      <c r="AL20" s="700">
        <f>'Revenue Model'!DL207</f>
        <v>-3.9573725076121113E-2</v>
      </c>
      <c r="AM20" s="701">
        <f>'Revenue Model'!DM207</f>
        <v>2.1154743374429685E-2</v>
      </c>
      <c r="AN20" s="700">
        <f>'Revenue Model'!DN207</f>
        <v>4.6881414699838198E-2</v>
      </c>
      <c r="AO20" s="700">
        <f>'Revenue Model'!DO207</f>
        <v>2.9937824807241498E-2</v>
      </c>
      <c r="AP20" s="700">
        <f>'Revenue Model'!DP207</f>
        <v>2.2335611702936964E-2</v>
      </c>
      <c r="AQ20" s="700">
        <f>'Revenue Model'!DQ207</f>
        <v>3.7845769325505874E-2</v>
      </c>
      <c r="AR20" s="701">
        <v>6.8469861630218842E-2</v>
      </c>
      <c r="AS20" s="700">
        <f>'Revenue Model'!DS207</f>
        <v>1.161711896499118E-2</v>
      </c>
      <c r="AT20" s="700">
        <f>'Revenue Model'!DT207</f>
        <v>1.3582323337113511E-2</v>
      </c>
      <c r="AU20" s="700">
        <f>'Revenue Model'!DU207</f>
        <v>-3.1151121242607771E-2</v>
      </c>
      <c r="AV20" s="704">
        <f>'Revenue Model'!DV207</f>
        <v>6.8479035052309456E-2</v>
      </c>
      <c r="AW20" s="701"/>
      <c r="AX20" s="708">
        <v>1E-3</v>
      </c>
      <c r="AY20" s="708">
        <v>1E-3</v>
      </c>
      <c r="AZ20" s="708">
        <v>1E-3</v>
      </c>
      <c r="BA20" s="708">
        <v>1E-3</v>
      </c>
      <c r="BB20" s="701">
        <f>'Revenue Model'!EB169</f>
        <v>0</v>
      </c>
      <c r="BC20" s="708">
        <v>5.0000000000000001E-3</v>
      </c>
      <c r="BD20" s="708">
        <v>5.0000000000000001E-3</v>
      </c>
      <c r="BE20" s="708">
        <v>5.0000000000000001E-3</v>
      </c>
      <c r="BF20" s="708">
        <v>5.0000000000000001E-3</v>
      </c>
      <c r="BG20" s="701">
        <f>'Revenue Model'!EG169</f>
        <v>0</v>
      </c>
      <c r="BH20" s="702">
        <v>5.0000000000000001E-3</v>
      </c>
      <c r="BI20" s="702">
        <v>5.0000000000000001E-3</v>
      </c>
      <c r="BJ20" s="702">
        <v>5.0000000000000001E-3</v>
      </c>
      <c r="BK20" s="702">
        <v>5.0000000000000001E-3</v>
      </c>
      <c r="BL20" s="701">
        <f>'Revenue Model'!EL169</f>
        <v>0</v>
      </c>
    </row>
    <row r="21" spans="1:64">
      <c r="A21" s="141"/>
      <c r="B21" s="681"/>
      <c r="C21" s="692" t="s">
        <v>246</v>
      </c>
      <c r="D21" s="557"/>
      <c r="E21" s="557"/>
      <c r="F21" s="557"/>
      <c r="G21" s="557"/>
      <c r="H21" s="557"/>
      <c r="I21" s="683"/>
      <c r="J21" s="557"/>
      <c r="K21" s="557"/>
      <c r="L21" s="557"/>
      <c r="M21" s="557"/>
      <c r="N21" s="683"/>
      <c r="O21" s="557"/>
      <c r="P21" s="557"/>
      <c r="Q21" s="557"/>
      <c r="R21" s="557"/>
      <c r="S21" s="683"/>
      <c r="T21" s="557"/>
      <c r="U21" s="557"/>
      <c r="V21" s="557"/>
      <c r="W21" s="557"/>
      <c r="X21" s="683"/>
      <c r="Y21" s="557"/>
      <c r="Z21" s="557"/>
      <c r="AA21" s="557"/>
      <c r="AB21" s="557"/>
      <c r="AC21" s="683"/>
      <c r="AD21" s="557"/>
      <c r="AE21" s="557"/>
      <c r="AF21" s="557"/>
      <c r="AG21" s="557"/>
      <c r="AH21" s="683"/>
      <c r="AI21" s="557"/>
      <c r="AJ21" s="557"/>
      <c r="AK21" s="557"/>
      <c r="AL21" s="557"/>
      <c r="AM21" s="683"/>
      <c r="AN21" s="557"/>
      <c r="AO21" s="557"/>
      <c r="AP21" s="557"/>
      <c r="AQ21" s="557"/>
      <c r="AR21" s="683"/>
      <c r="AS21" s="557"/>
      <c r="AT21" s="702"/>
      <c r="AU21" s="702"/>
      <c r="AV21" s="703"/>
      <c r="AW21" s="683"/>
      <c r="AX21" s="702">
        <f>AX20-0.05%</f>
        <v>5.0000000000000001E-4</v>
      </c>
      <c r="AY21" s="702">
        <f t="shared" ref="AY21" si="16">AY20-0.05%</f>
        <v>5.0000000000000001E-4</v>
      </c>
      <c r="AZ21" s="702">
        <f t="shared" ref="AZ21" si="17">AZ20-0.05%</f>
        <v>5.0000000000000001E-4</v>
      </c>
      <c r="BA21" s="703">
        <f t="shared" ref="BA21" si="18">BA20-0.05%</f>
        <v>5.0000000000000001E-4</v>
      </c>
      <c r="BB21" s="685"/>
      <c r="BC21" s="702">
        <f>BC20-0.05%</f>
        <v>4.5000000000000005E-3</v>
      </c>
      <c r="BD21" s="702">
        <f t="shared" ref="BD21" si="19">BD20-0.05%</f>
        <v>4.5000000000000005E-3</v>
      </c>
      <c r="BE21" s="702">
        <f t="shared" ref="BE21" si="20">BE20-0.05%</f>
        <v>4.5000000000000005E-3</v>
      </c>
      <c r="BF21" s="703">
        <f t="shared" ref="BF21" si="21">BF20-0.05%</f>
        <v>4.5000000000000005E-3</v>
      </c>
      <c r="BG21" s="701"/>
      <c r="BH21" s="702">
        <f>BH20-0.05%</f>
        <v>4.5000000000000005E-3</v>
      </c>
      <c r="BI21" s="702">
        <f t="shared" ref="BI21" si="22">BI20-0.05%</f>
        <v>4.5000000000000005E-3</v>
      </c>
      <c r="BJ21" s="702">
        <f t="shared" ref="BJ21" si="23">BJ20-0.05%</f>
        <v>4.5000000000000005E-3</v>
      </c>
      <c r="BK21" s="703">
        <f t="shared" ref="BK21" si="24">BK20-0.05%</f>
        <v>4.5000000000000005E-3</v>
      </c>
      <c r="BL21" s="701"/>
    </row>
    <row r="22" spans="1:64" ht="13.5" thickBot="1">
      <c r="A22" s="141"/>
      <c r="B22" s="714"/>
      <c r="C22" s="715"/>
      <c r="D22" s="716"/>
      <c r="E22" s="716"/>
      <c r="F22" s="716"/>
      <c r="G22" s="716"/>
      <c r="H22" s="716"/>
      <c r="I22" s="717"/>
      <c r="J22" s="716"/>
      <c r="K22" s="716"/>
      <c r="L22" s="716"/>
      <c r="M22" s="716"/>
      <c r="N22" s="717"/>
      <c r="O22" s="716"/>
      <c r="P22" s="716"/>
      <c r="Q22" s="716"/>
      <c r="R22" s="716"/>
      <c r="S22" s="717"/>
      <c r="T22" s="716"/>
      <c r="U22" s="716"/>
      <c r="V22" s="716"/>
      <c r="W22" s="716"/>
      <c r="X22" s="717"/>
      <c r="Y22" s="716"/>
      <c r="Z22" s="716"/>
      <c r="AA22" s="716"/>
      <c r="AB22" s="716"/>
      <c r="AC22" s="717"/>
      <c r="AD22" s="716"/>
      <c r="AE22" s="716"/>
      <c r="AF22" s="716"/>
      <c r="AG22" s="716"/>
      <c r="AH22" s="717"/>
      <c r="AI22" s="716"/>
      <c r="AJ22" s="716"/>
      <c r="AK22" s="716"/>
      <c r="AL22" s="716"/>
      <c r="AM22" s="717"/>
      <c r="AN22" s="716"/>
      <c r="AO22" s="716"/>
      <c r="AP22" s="716"/>
      <c r="AQ22" s="716"/>
      <c r="AR22" s="717"/>
      <c r="AS22" s="716"/>
      <c r="AT22" s="716"/>
      <c r="AU22" s="716"/>
      <c r="AV22" s="718"/>
      <c r="AW22" s="717"/>
      <c r="AX22" s="716"/>
      <c r="AY22" s="716"/>
      <c r="AZ22" s="716"/>
      <c r="BA22" s="718"/>
      <c r="BB22" s="718"/>
      <c r="BC22" s="716"/>
      <c r="BD22" s="716"/>
      <c r="BE22" s="716"/>
      <c r="BF22" s="718"/>
      <c r="BG22" s="718"/>
      <c r="BH22" s="716"/>
      <c r="BI22" s="716"/>
      <c r="BJ22" s="716"/>
      <c r="BK22" s="718"/>
      <c r="BL22" s="718"/>
    </row>
    <row r="23" spans="1:64">
      <c r="A23" s="141"/>
      <c r="B23" s="152"/>
      <c r="C23" s="152"/>
      <c r="D23" s="152"/>
      <c r="E23" s="719"/>
      <c r="F23" s="152"/>
      <c r="G23" s="152"/>
      <c r="H23" s="152"/>
      <c r="I23" s="152"/>
      <c r="J23" s="719"/>
      <c r="K23" s="152"/>
      <c r="L23" s="152"/>
      <c r="M23" s="152"/>
      <c r="N23" s="152"/>
      <c r="O23" s="719"/>
      <c r="P23" s="152"/>
      <c r="Q23" s="152"/>
      <c r="R23" s="152"/>
      <c r="S23" s="152"/>
      <c r="T23" s="719"/>
      <c r="U23" s="152"/>
      <c r="V23" s="152"/>
      <c r="W23" s="152"/>
      <c r="X23" s="152"/>
      <c r="Y23" s="719"/>
      <c r="Z23" s="152"/>
      <c r="AA23" s="152"/>
      <c r="AB23" s="152"/>
      <c r="AC23" s="152"/>
      <c r="AD23" s="719"/>
      <c r="AE23" s="152"/>
      <c r="AF23" s="152"/>
      <c r="AG23" s="152"/>
      <c r="AH23" s="152"/>
      <c r="AI23" s="719"/>
      <c r="AJ23" s="152"/>
      <c r="AK23" s="152"/>
      <c r="AL23" s="152"/>
      <c r="AM23" s="152"/>
      <c r="AN23" s="719"/>
      <c r="AO23" s="152"/>
      <c r="AP23" s="152"/>
      <c r="AQ23" s="152"/>
      <c r="AR23" s="152"/>
      <c r="AS23" s="719"/>
      <c r="AT23" s="152"/>
      <c r="AU23" s="152"/>
      <c r="AV23" s="152"/>
      <c r="AW23" s="152"/>
      <c r="AX23" s="719"/>
      <c r="AY23" s="152"/>
      <c r="AZ23" s="152"/>
      <c r="BA23" s="152"/>
      <c r="BB23" s="720"/>
      <c r="BC23" s="719"/>
      <c r="BD23" s="152"/>
      <c r="BE23" s="152"/>
      <c r="BF23" s="152"/>
      <c r="BG23" s="152"/>
      <c r="BH23" s="719"/>
      <c r="BI23" s="152"/>
      <c r="BJ23" s="152"/>
      <c r="BK23" s="152"/>
      <c r="BL23" s="152"/>
    </row>
    <row r="24" spans="1:64" ht="13.5" thickBot="1">
      <c r="A24" s="152"/>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721"/>
      <c r="BC24" s="152"/>
      <c r="BD24" s="152"/>
      <c r="BE24" s="152"/>
      <c r="BF24" s="152"/>
      <c r="BG24" s="152"/>
      <c r="BH24" s="152"/>
      <c r="BI24" s="152"/>
      <c r="BJ24" s="152"/>
      <c r="BK24" s="152"/>
      <c r="BL24" s="152"/>
    </row>
    <row r="25" spans="1:64" ht="13.5" hidden="1" thickBot="1">
      <c r="A25" s="141"/>
      <c r="B25" s="722"/>
      <c r="C25" s="723" t="s">
        <v>495</v>
      </c>
      <c r="D25" s="724"/>
      <c r="E25" s="725">
        <f>E16</f>
        <v>-6.3612151420335938E-2</v>
      </c>
      <c r="F25" s="725">
        <f>F16</f>
        <v>-2.7428852914175628E-2</v>
      </c>
      <c r="G25" s="725">
        <f>G16</f>
        <v>-2.1984756214332712E-3</v>
      </c>
      <c r="H25" s="725">
        <f>H16</f>
        <v>-1.5657627968077237E-2</v>
      </c>
      <c r="I25" s="725" t="str">
        <f t="shared" ref="I25:AG25" si="25">I35</f>
        <v>2009A</v>
      </c>
      <c r="J25" s="725" t="str">
        <f t="shared" si="25"/>
        <v>1Q10A</v>
      </c>
      <c r="K25" s="725" t="str">
        <f t="shared" si="25"/>
        <v>2Q10A</v>
      </c>
      <c r="L25" s="725" t="str">
        <f t="shared" si="25"/>
        <v>3Q10A</v>
      </c>
      <c r="M25" s="725" t="str">
        <f t="shared" si="25"/>
        <v>4Q10A</v>
      </c>
      <c r="N25" s="725" t="str">
        <f t="shared" si="25"/>
        <v>2010A</v>
      </c>
      <c r="O25" s="725" t="str">
        <f t="shared" si="25"/>
        <v>1Q11A</v>
      </c>
      <c r="P25" s="725" t="str">
        <f t="shared" si="25"/>
        <v>2Q11A</v>
      </c>
      <c r="Q25" s="725" t="str">
        <f t="shared" si="25"/>
        <v>3Q11A</v>
      </c>
      <c r="R25" s="725" t="str">
        <f t="shared" si="25"/>
        <v>4Q11A</v>
      </c>
      <c r="S25" s="725" t="str">
        <f t="shared" si="25"/>
        <v>2011A</v>
      </c>
      <c r="T25" s="725" t="str">
        <f t="shared" si="25"/>
        <v>1Q12A</v>
      </c>
      <c r="U25" s="725" t="str">
        <f t="shared" si="25"/>
        <v>2Q12A</v>
      </c>
      <c r="V25" s="725" t="str">
        <f t="shared" si="25"/>
        <v>3Q12A</v>
      </c>
      <c r="W25" s="725" t="str">
        <f t="shared" si="25"/>
        <v>4Q12A</v>
      </c>
      <c r="X25" s="725" t="str">
        <f t="shared" si="25"/>
        <v>2012A</v>
      </c>
      <c r="Y25" s="725" t="str">
        <f t="shared" si="25"/>
        <v>1Q13A</v>
      </c>
      <c r="Z25" s="725" t="str">
        <f t="shared" si="25"/>
        <v>2Q13A</v>
      </c>
      <c r="AA25" s="725" t="str">
        <f t="shared" si="25"/>
        <v>3Q13A</v>
      </c>
      <c r="AB25" s="725" t="str">
        <f t="shared" si="25"/>
        <v>4Q13A</v>
      </c>
      <c r="AC25" s="725" t="str">
        <f t="shared" si="25"/>
        <v>2013A</v>
      </c>
      <c r="AD25" s="725" t="str">
        <f t="shared" si="25"/>
        <v>1Q14A</v>
      </c>
      <c r="AE25" s="725" t="str">
        <f t="shared" si="25"/>
        <v>2Q14A</v>
      </c>
      <c r="AF25" s="725" t="str">
        <f t="shared" si="25"/>
        <v>3Q14A</v>
      </c>
      <c r="AG25" s="725" t="str">
        <f t="shared" si="25"/>
        <v>4Q14A</v>
      </c>
      <c r="AH25" s="725" t="str">
        <f>AH35</f>
        <v>2014A</v>
      </c>
      <c r="AI25" s="725" t="str">
        <f t="shared" ref="AI25:BG25" si="26">AI35</f>
        <v>1Q15A</v>
      </c>
      <c r="AJ25" s="725" t="str">
        <f t="shared" si="26"/>
        <v>2Q15A</v>
      </c>
      <c r="AK25" s="725" t="str">
        <f t="shared" si="26"/>
        <v>3Q15A</v>
      </c>
      <c r="AL25" s="725" t="str">
        <f t="shared" si="26"/>
        <v>4Q15A</v>
      </c>
      <c r="AM25" s="725" t="str">
        <f t="shared" si="26"/>
        <v>2015A</v>
      </c>
      <c r="AN25" s="725" t="str">
        <f t="shared" si="26"/>
        <v>1Q16A</v>
      </c>
      <c r="AO25" s="725" t="str">
        <f t="shared" si="26"/>
        <v>2Q16A</v>
      </c>
      <c r="AP25" s="725" t="str">
        <f t="shared" si="26"/>
        <v>3Q16A</v>
      </c>
      <c r="AQ25" s="725" t="str">
        <f t="shared" si="26"/>
        <v>4Q16A</v>
      </c>
      <c r="AR25" s="725" t="str">
        <f t="shared" si="26"/>
        <v>2016A</v>
      </c>
      <c r="AS25" s="725" t="str">
        <f t="shared" si="26"/>
        <v>1Q17A</v>
      </c>
      <c r="AT25" s="725" t="str">
        <f t="shared" si="26"/>
        <v>2Q17A</v>
      </c>
      <c r="AU25" s="725" t="str">
        <f t="shared" si="26"/>
        <v>3Q17A</v>
      </c>
      <c r="AV25" s="725" t="str">
        <f t="shared" si="26"/>
        <v>4Q17A</v>
      </c>
      <c r="AW25" s="725" t="str">
        <f t="shared" si="26"/>
        <v>2017A</v>
      </c>
      <c r="AX25" s="725" t="str">
        <f t="shared" si="26"/>
        <v>1Q18E</v>
      </c>
      <c r="AY25" s="725" t="str">
        <f t="shared" si="26"/>
        <v>2Q18E</v>
      </c>
      <c r="AZ25" s="725" t="str">
        <f t="shared" si="26"/>
        <v>3Q18E</v>
      </c>
      <c r="BA25" s="725" t="str">
        <f t="shared" si="26"/>
        <v>4Q18E</v>
      </c>
      <c r="BB25" s="726" t="str">
        <f t="shared" si="26"/>
        <v>2018E</v>
      </c>
      <c r="BC25" s="725" t="str">
        <f t="shared" si="26"/>
        <v>1Q19E</v>
      </c>
      <c r="BD25" s="725" t="str">
        <f t="shared" si="26"/>
        <v>2Q19E</v>
      </c>
      <c r="BE25" s="725" t="str">
        <f t="shared" si="26"/>
        <v>3Q19E</v>
      </c>
      <c r="BF25" s="725" t="str">
        <f t="shared" si="26"/>
        <v>4Q19E</v>
      </c>
      <c r="BG25" s="726" t="str">
        <f t="shared" si="26"/>
        <v>2019E</v>
      </c>
      <c r="BH25" s="725" t="str">
        <f t="shared" ref="BH25:BL25" si="27">BH35</f>
        <v>1Q20E</v>
      </c>
      <c r="BI25" s="725" t="str">
        <f t="shared" si="27"/>
        <v>2Q20E</v>
      </c>
      <c r="BJ25" s="725" t="str">
        <f t="shared" si="27"/>
        <v>3Q20E</v>
      </c>
      <c r="BK25" s="725" t="str">
        <f t="shared" si="27"/>
        <v>4Q20E</v>
      </c>
      <c r="BL25" s="726" t="str">
        <f t="shared" si="27"/>
        <v>2020E</v>
      </c>
    </row>
    <row r="26" spans="1:64" ht="13.5" hidden="1" thickBot="1">
      <c r="A26" s="141"/>
      <c r="B26" s="727"/>
      <c r="C26" s="728"/>
      <c r="D26" s="729"/>
      <c r="E26" s="730"/>
      <c r="F26" s="730"/>
      <c r="G26" s="730"/>
      <c r="H26" s="730"/>
      <c r="I26" s="731"/>
      <c r="J26" s="730"/>
      <c r="K26" s="730"/>
      <c r="L26" s="730"/>
      <c r="M26" s="730"/>
      <c r="N26" s="731"/>
      <c r="O26" s="730"/>
      <c r="P26" s="730"/>
      <c r="Q26" s="730"/>
      <c r="R26" s="730"/>
      <c r="S26" s="731"/>
      <c r="T26" s="730"/>
      <c r="U26" s="730"/>
      <c r="V26" s="730"/>
      <c r="W26" s="730"/>
      <c r="X26" s="731"/>
      <c r="Y26" s="730"/>
      <c r="Z26" s="730"/>
      <c r="AA26" s="730"/>
      <c r="AB26" s="730"/>
      <c r="AC26" s="731"/>
      <c r="AD26" s="730"/>
      <c r="AE26" s="730"/>
      <c r="AF26" s="730"/>
      <c r="AG26" s="730"/>
      <c r="AH26" s="731"/>
      <c r="AI26" s="730"/>
      <c r="AJ26" s="730"/>
      <c r="AK26" s="730"/>
      <c r="AL26" s="730"/>
      <c r="AM26" s="731"/>
      <c r="AN26" s="730"/>
      <c r="AO26" s="730"/>
      <c r="AP26" s="730"/>
      <c r="AQ26" s="730"/>
      <c r="AR26" s="731"/>
      <c r="AS26" s="730"/>
      <c r="AT26" s="730"/>
      <c r="AU26" s="730"/>
      <c r="AV26" s="730"/>
      <c r="AW26" s="731"/>
      <c r="AX26" s="730"/>
      <c r="AY26" s="730"/>
      <c r="AZ26" s="730"/>
      <c r="BA26" s="730"/>
      <c r="BB26" s="732"/>
      <c r="BC26" s="730"/>
      <c r="BD26" s="730"/>
      <c r="BE26" s="730"/>
      <c r="BF26" s="730"/>
      <c r="BG26" s="732"/>
      <c r="BH26" s="730"/>
      <c r="BI26" s="730"/>
      <c r="BJ26" s="730"/>
      <c r="BK26" s="730"/>
      <c r="BL26" s="732"/>
    </row>
    <row r="27" spans="1:64" ht="13.5" hidden="1" thickBot="1">
      <c r="A27" s="141"/>
      <c r="B27" s="727"/>
      <c r="C27" s="687">
        <f>C8</f>
        <v>2</v>
      </c>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2"/>
      <c r="AB27" s="152"/>
      <c r="AC27" s="152"/>
      <c r="AD27" s="152"/>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657"/>
      <c r="BC27" s="152"/>
      <c r="BD27" s="152"/>
      <c r="BE27" s="152"/>
      <c r="BF27" s="152"/>
      <c r="BG27" s="657"/>
      <c r="BH27" s="152"/>
      <c r="BI27" s="152"/>
      <c r="BJ27" s="152"/>
      <c r="BK27" s="152"/>
      <c r="BL27" s="657"/>
    </row>
    <row r="28" spans="1:64" ht="13.5" hidden="1" thickBot="1">
      <c r="A28" s="141"/>
      <c r="B28" s="727"/>
      <c r="C28" s="733"/>
      <c r="D28" s="141"/>
      <c r="E28" s="734"/>
      <c r="F28" s="734"/>
      <c r="G28" s="734"/>
      <c r="H28" s="734"/>
      <c r="I28" s="557"/>
      <c r="J28" s="734"/>
      <c r="K28" s="734"/>
      <c r="L28" s="734"/>
      <c r="M28" s="734"/>
      <c r="N28" s="557"/>
      <c r="O28" s="734"/>
      <c r="P28" s="734"/>
      <c r="Q28" s="734"/>
      <c r="R28" s="734"/>
      <c r="S28" s="557"/>
      <c r="T28" s="734"/>
      <c r="U28" s="734"/>
      <c r="V28" s="734"/>
      <c r="W28" s="734"/>
      <c r="X28" s="557"/>
      <c r="Y28" s="734"/>
      <c r="Z28" s="734"/>
      <c r="AA28" s="734"/>
      <c r="AB28" s="734"/>
      <c r="AC28" s="557"/>
      <c r="AD28" s="734"/>
      <c r="AE28" s="734"/>
      <c r="AF28" s="734"/>
      <c r="AG28" s="734"/>
      <c r="AH28" s="557"/>
      <c r="AI28" s="734"/>
      <c r="AJ28" s="734"/>
      <c r="AK28" s="734"/>
      <c r="AL28" s="734"/>
      <c r="AM28" s="557"/>
      <c r="AN28" s="734"/>
      <c r="AO28" s="734"/>
      <c r="AP28" s="734"/>
      <c r="AQ28" s="734"/>
      <c r="AR28" s="557"/>
      <c r="AS28" s="734"/>
      <c r="AT28" s="734"/>
      <c r="AU28" s="734"/>
      <c r="AV28" s="734"/>
      <c r="AW28" s="557"/>
      <c r="AX28" s="734"/>
      <c r="AY28" s="734"/>
      <c r="AZ28" s="734"/>
      <c r="BA28" s="734"/>
      <c r="BB28" s="685"/>
      <c r="BC28" s="734"/>
      <c r="BD28" s="734"/>
      <c r="BE28" s="734"/>
      <c r="BF28" s="734"/>
      <c r="BG28" s="685"/>
      <c r="BH28" s="734"/>
      <c r="BI28" s="734"/>
      <c r="BJ28" s="734"/>
      <c r="BK28" s="734"/>
      <c r="BL28" s="685"/>
    </row>
    <row r="29" spans="1:64" ht="13.5" hidden="1" thickBot="1">
      <c r="A29" s="141"/>
      <c r="B29" s="727"/>
      <c r="C29" s="692" t="s">
        <v>495</v>
      </c>
      <c r="D29" s="141"/>
      <c r="E29" s="735"/>
      <c r="F29" s="735"/>
      <c r="G29" s="735"/>
      <c r="H29" s="735"/>
      <c r="I29" s="161"/>
      <c r="J29" s="735"/>
      <c r="K29" s="735"/>
      <c r="L29" s="735"/>
      <c r="M29" s="735"/>
      <c r="N29" s="161"/>
      <c r="O29" s="735"/>
      <c r="P29" s="735"/>
      <c r="Q29" s="735"/>
      <c r="R29" s="735"/>
      <c r="S29" s="161"/>
      <c r="T29" s="735"/>
      <c r="U29" s="735"/>
      <c r="V29" s="735"/>
      <c r="W29" s="735"/>
      <c r="X29" s="161"/>
      <c r="Y29" s="735"/>
      <c r="Z29" s="735"/>
      <c r="AA29" s="735"/>
      <c r="AB29" s="735"/>
      <c r="AC29" s="161"/>
      <c r="AD29" s="735"/>
      <c r="AE29" s="735"/>
      <c r="AF29" s="735"/>
      <c r="AG29" s="735"/>
      <c r="AH29" s="161"/>
      <c r="AI29" s="735"/>
      <c r="AJ29" s="735"/>
      <c r="AK29" s="735"/>
      <c r="AL29" s="735"/>
      <c r="AM29" s="161"/>
      <c r="AN29" s="735"/>
      <c r="AO29" s="735"/>
      <c r="AP29" s="735"/>
      <c r="AQ29" s="735"/>
      <c r="AR29" s="161"/>
      <c r="AS29" s="735"/>
      <c r="AT29" s="735"/>
      <c r="AU29" s="735"/>
      <c r="AV29" s="735"/>
      <c r="AW29" s="161"/>
      <c r="AX29" s="735"/>
      <c r="AY29" s="735"/>
      <c r="AZ29" s="735"/>
      <c r="BA29" s="735"/>
      <c r="BB29" s="736"/>
      <c r="BC29" s="735"/>
      <c r="BD29" s="735"/>
      <c r="BE29" s="735"/>
      <c r="BF29" s="735"/>
      <c r="BG29" s="736"/>
      <c r="BH29" s="735"/>
      <c r="BI29" s="735"/>
      <c r="BJ29" s="735"/>
      <c r="BK29" s="735"/>
      <c r="BL29" s="736"/>
    </row>
    <row r="30" spans="1:64" ht="13.5" hidden="1" thickBot="1">
      <c r="A30" s="141"/>
      <c r="B30" s="727"/>
      <c r="C30" s="692" t="s">
        <v>244</v>
      </c>
      <c r="D30" s="141"/>
      <c r="E30" s="737"/>
      <c r="F30" s="737"/>
      <c r="G30" s="737"/>
      <c r="H30" s="737"/>
      <c r="I30" s="737"/>
      <c r="J30" s="737"/>
      <c r="K30" s="737"/>
      <c r="L30" s="737"/>
      <c r="M30" s="737"/>
      <c r="N30" s="737"/>
      <c r="O30" s="737"/>
      <c r="P30" s="737"/>
      <c r="Q30" s="737"/>
      <c r="R30" s="737"/>
      <c r="S30" s="737"/>
      <c r="T30" s="737"/>
      <c r="U30" s="737"/>
      <c r="V30" s="737"/>
      <c r="W30" s="737"/>
      <c r="X30" s="737"/>
      <c r="Y30" s="737"/>
      <c r="Z30" s="737"/>
      <c r="AA30" s="737"/>
      <c r="AB30" s="737"/>
      <c r="AC30" s="737"/>
      <c r="AD30" s="737"/>
      <c r="AE30" s="737"/>
      <c r="AF30" s="737"/>
      <c r="AG30" s="737"/>
      <c r="AH30" s="737"/>
      <c r="AI30" s="737"/>
      <c r="AJ30" s="737"/>
      <c r="AK30" s="737"/>
      <c r="AL30" s="737"/>
      <c r="AM30" s="737"/>
      <c r="AN30" s="737"/>
      <c r="AO30" s="737"/>
      <c r="AP30" s="737"/>
      <c r="AQ30" s="737"/>
      <c r="AR30" s="737"/>
      <c r="AS30" s="737"/>
      <c r="AT30" s="737"/>
      <c r="AU30" s="737"/>
      <c r="AV30" s="737"/>
      <c r="AW30" s="737"/>
      <c r="AX30" s="737"/>
      <c r="AY30" s="737"/>
      <c r="AZ30" s="737"/>
      <c r="BA30" s="737"/>
      <c r="BB30" s="738"/>
      <c r="BC30" s="737"/>
      <c r="BD30" s="737"/>
      <c r="BE30" s="737"/>
      <c r="BF30" s="737"/>
      <c r="BG30" s="738"/>
      <c r="BH30" s="737"/>
      <c r="BI30" s="737"/>
      <c r="BJ30" s="737"/>
      <c r="BK30" s="737"/>
      <c r="BL30" s="738"/>
    </row>
    <row r="31" spans="1:64" ht="13.5" hidden="1" thickBot="1">
      <c r="A31" s="141"/>
      <c r="B31" s="727"/>
      <c r="C31" s="692" t="s">
        <v>245</v>
      </c>
      <c r="D31" s="141"/>
      <c r="E31" s="739"/>
      <c r="F31" s="739"/>
      <c r="G31" s="739"/>
      <c r="H31" s="739"/>
      <c r="I31" s="739"/>
      <c r="J31" s="739"/>
      <c r="K31" s="739"/>
      <c r="L31" s="739"/>
      <c r="M31" s="739"/>
      <c r="N31" s="739"/>
      <c r="O31" s="739"/>
      <c r="P31" s="739"/>
      <c r="Q31" s="739"/>
      <c r="R31" s="739"/>
      <c r="S31" s="739"/>
      <c r="T31" s="739"/>
      <c r="U31" s="739"/>
      <c r="V31" s="739"/>
      <c r="W31" s="739"/>
      <c r="X31" s="739"/>
      <c r="Y31" s="739"/>
      <c r="Z31" s="739"/>
      <c r="AA31" s="739"/>
      <c r="AB31" s="739"/>
      <c r="AC31" s="739"/>
      <c r="AD31" s="739"/>
      <c r="AE31" s="739"/>
      <c r="AF31" s="739"/>
      <c r="AG31" s="739"/>
      <c r="AH31" s="739"/>
      <c r="AI31" s="739"/>
      <c r="AJ31" s="739"/>
      <c r="AK31" s="739"/>
      <c r="AL31" s="739"/>
      <c r="AM31" s="739">
        <f>IS!DM19</f>
        <v>0</v>
      </c>
      <c r="AN31" s="739">
        <f>IS!DN19</f>
        <v>0</v>
      </c>
      <c r="AO31" s="739">
        <f>IS!DO19</f>
        <v>0</v>
      </c>
      <c r="AP31" s="739">
        <f>IS!DP19</f>
        <v>0</v>
      </c>
      <c r="AQ31" s="739">
        <f>IS!DQ19</f>
        <v>0</v>
      </c>
      <c r="AR31" s="739">
        <f>IS!DR19</f>
        <v>0</v>
      </c>
      <c r="AS31" s="739">
        <f>IS!DS19</f>
        <v>0</v>
      </c>
      <c r="AT31" s="735">
        <f>AO31</f>
        <v>0</v>
      </c>
      <c r="AU31" s="735">
        <f>AP31</f>
        <v>0</v>
      </c>
      <c r="AV31" s="735">
        <f>AQ31</f>
        <v>0</v>
      </c>
      <c r="AW31" s="739">
        <f>IS!DW19</f>
        <v>0</v>
      </c>
      <c r="AX31" s="735">
        <f>AS31</f>
        <v>0</v>
      </c>
      <c r="AY31" s="735">
        <f>AT31</f>
        <v>0</v>
      </c>
      <c r="AZ31" s="735">
        <f>AU31</f>
        <v>0</v>
      </c>
      <c r="BA31" s="735">
        <f>AV31</f>
        <v>0</v>
      </c>
      <c r="BB31" s="736">
        <f>IS!EB19</f>
        <v>0</v>
      </c>
      <c r="BC31" s="737">
        <f>AX31</f>
        <v>0</v>
      </c>
      <c r="BD31" s="737">
        <f>AY31</f>
        <v>0</v>
      </c>
      <c r="BE31" s="737">
        <f>AZ31</f>
        <v>0</v>
      </c>
      <c r="BF31" s="737">
        <f>BA31</f>
        <v>0</v>
      </c>
      <c r="BG31" s="161">
        <f>IS!EG19</f>
        <v>0</v>
      </c>
      <c r="BH31" s="737">
        <f>BC31</f>
        <v>0</v>
      </c>
      <c r="BI31" s="737">
        <f>BD31</f>
        <v>0</v>
      </c>
      <c r="BJ31" s="737">
        <f>BE31</f>
        <v>0</v>
      </c>
      <c r="BK31" s="737">
        <f>BF31</f>
        <v>0</v>
      </c>
      <c r="BL31" s="161">
        <f>IS!EQ19</f>
        <v>0</v>
      </c>
    </row>
    <row r="32" spans="1:64" ht="13.5" hidden="1" thickBot="1">
      <c r="A32" s="141"/>
      <c r="B32" s="727"/>
      <c r="C32" s="692" t="s">
        <v>246</v>
      </c>
      <c r="D32" s="141"/>
      <c r="E32" s="737"/>
      <c r="F32" s="737"/>
      <c r="G32" s="737"/>
      <c r="H32" s="737"/>
      <c r="I32" s="737"/>
      <c r="J32" s="737"/>
      <c r="K32" s="737"/>
      <c r="L32" s="737"/>
      <c r="M32" s="737"/>
      <c r="N32" s="737"/>
      <c r="O32" s="737"/>
      <c r="P32" s="737"/>
      <c r="Q32" s="737"/>
      <c r="R32" s="737"/>
      <c r="S32" s="737"/>
      <c r="T32" s="737"/>
      <c r="U32" s="737"/>
      <c r="V32" s="737"/>
      <c r="W32" s="737"/>
      <c r="X32" s="737"/>
      <c r="Y32" s="737"/>
      <c r="Z32" s="737"/>
      <c r="AA32" s="737"/>
      <c r="AB32" s="737"/>
      <c r="AC32" s="737"/>
      <c r="AD32" s="737"/>
      <c r="AE32" s="737"/>
      <c r="AF32" s="737"/>
      <c r="AG32" s="737"/>
      <c r="AH32" s="737"/>
      <c r="AI32" s="737"/>
      <c r="AJ32" s="737"/>
      <c r="AK32" s="737"/>
      <c r="AL32" s="737"/>
      <c r="AM32" s="737"/>
      <c r="AN32" s="737"/>
      <c r="AO32" s="737"/>
      <c r="AP32" s="737"/>
      <c r="AQ32" s="737"/>
      <c r="AR32" s="737"/>
      <c r="AS32" s="737"/>
      <c r="AT32" s="737"/>
      <c r="AU32" s="737"/>
      <c r="AV32" s="737"/>
      <c r="AW32" s="737"/>
      <c r="AX32" s="737"/>
      <c r="AY32" s="737"/>
      <c r="AZ32" s="737"/>
      <c r="BA32" s="737"/>
      <c r="BB32" s="738"/>
      <c r="BC32" s="737"/>
      <c r="BD32" s="737"/>
      <c r="BE32" s="737"/>
      <c r="BF32" s="737"/>
      <c r="BG32" s="738"/>
      <c r="BH32" s="737"/>
      <c r="BI32" s="737"/>
      <c r="BJ32" s="737"/>
      <c r="BK32" s="737"/>
      <c r="BL32" s="738"/>
    </row>
    <row r="33" spans="1:64" ht="13.5" hidden="1" thickBot="1">
      <c r="A33" s="141"/>
      <c r="B33" s="740"/>
      <c r="C33" s="721"/>
      <c r="D33" s="721"/>
      <c r="E33" s="721"/>
      <c r="F33" s="721"/>
      <c r="G33" s="721"/>
      <c r="H33" s="721"/>
      <c r="I33" s="721"/>
      <c r="J33" s="721"/>
      <c r="K33" s="721"/>
      <c r="L33" s="721"/>
      <c r="M33" s="721"/>
      <c r="N33" s="721"/>
      <c r="O33" s="721"/>
      <c r="P33" s="721"/>
      <c r="Q33" s="721"/>
      <c r="R33" s="721"/>
      <c r="S33" s="721"/>
      <c r="T33" s="721"/>
      <c r="U33" s="721"/>
      <c r="V33" s="721"/>
      <c r="W33" s="721"/>
      <c r="X33" s="721"/>
      <c r="Y33" s="721"/>
      <c r="Z33" s="721"/>
      <c r="AA33" s="721"/>
      <c r="AB33" s="721"/>
      <c r="AC33" s="721"/>
      <c r="AD33" s="721"/>
      <c r="AE33" s="721"/>
      <c r="AF33" s="721"/>
      <c r="AG33" s="721"/>
      <c r="AH33" s="721"/>
      <c r="AI33" s="721"/>
      <c r="AJ33" s="721"/>
      <c r="AK33" s="721"/>
      <c r="AL33" s="721"/>
      <c r="AM33" s="721"/>
      <c r="AN33" s="721"/>
      <c r="AO33" s="721"/>
      <c r="AP33" s="721"/>
      <c r="AQ33" s="721"/>
      <c r="AR33" s="721"/>
      <c r="AS33" s="721"/>
      <c r="AT33" s="721"/>
      <c r="AU33" s="721"/>
      <c r="AV33" s="721"/>
      <c r="AW33" s="721"/>
      <c r="AX33" s="721"/>
      <c r="AY33" s="721"/>
      <c r="AZ33" s="721"/>
      <c r="BA33" s="721"/>
      <c r="BB33" s="741"/>
      <c r="BC33" s="721"/>
      <c r="BD33" s="721"/>
      <c r="BE33" s="721"/>
      <c r="BF33" s="721"/>
      <c r="BG33" s="741"/>
      <c r="BH33" s="721"/>
      <c r="BI33" s="721"/>
      <c r="BJ33" s="721"/>
      <c r="BK33" s="721"/>
      <c r="BL33" s="741"/>
    </row>
    <row r="34" spans="1:64" ht="13.5" hidden="1" thickBot="1">
      <c r="A34" s="152"/>
      <c r="B34" s="152"/>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c r="AB34" s="152"/>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657"/>
      <c r="BC34" s="152"/>
      <c r="BD34" s="152"/>
      <c r="BE34" s="152"/>
      <c r="BF34" s="152"/>
      <c r="BG34" s="152"/>
      <c r="BH34" s="152"/>
      <c r="BI34" s="152"/>
      <c r="BJ34" s="152"/>
      <c r="BK34" s="152"/>
      <c r="BL34" s="152"/>
    </row>
    <row r="35" spans="1:64">
      <c r="A35" s="141"/>
      <c r="B35" s="742"/>
      <c r="C35" s="723" t="s">
        <v>516</v>
      </c>
      <c r="D35" s="724"/>
      <c r="E35" s="725" t="str">
        <f t="shared" ref="E35:AR35" si="28">E6</f>
        <v>1Q09A</v>
      </c>
      <c r="F35" s="725" t="str">
        <f t="shared" si="28"/>
        <v>2Q09A</v>
      </c>
      <c r="G35" s="725" t="str">
        <f t="shared" si="28"/>
        <v>3Q09A</v>
      </c>
      <c r="H35" s="725" t="str">
        <f t="shared" si="28"/>
        <v>4Q09A</v>
      </c>
      <c r="I35" s="743" t="str">
        <f t="shared" si="28"/>
        <v>2009A</v>
      </c>
      <c r="J35" s="725" t="str">
        <f t="shared" si="28"/>
        <v>1Q10A</v>
      </c>
      <c r="K35" s="725" t="str">
        <f t="shared" si="28"/>
        <v>2Q10A</v>
      </c>
      <c r="L35" s="725" t="str">
        <f t="shared" si="28"/>
        <v>3Q10A</v>
      </c>
      <c r="M35" s="725" t="str">
        <f t="shared" si="28"/>
        <v>4Q10A</v>
      </c>
      <c r="N35" s="743" t="str">
        <f t="shared" si="28"/>
        <v>2010A</v>
      </c>
      <c r="O35" s="725" t="str">
        <f t="shared" si="28"/>
        <v>1Q11A</v>
      </c>
      <c r="P35" s="725" t="str">
        <f t="shared" si="28"/>
        <v>2Q11A</v>
      </c>
      <c r="Q35" s="725" t="str">
        <f t="shared" si="28"/>
        <v>3Q11A</v>
      </c>
      <c r="R35" s="725" t="str">
        <f t="shared" si="28"/>
        <v>4Q11A</v>
      </c>
      <c r="S35" s="743" t="str">
        <f t="shared" si="28"/>
        <v>2011A</v>
      </c>
      <c r="T35" s="725" t="str">
        <f t="shared" si="28"/>
        <v>1Q12A</v>
      </c>
      <c r="U35" s="725" t="str">
        <f t="shared" si="28"/>
        <v>2Q12A</v>
      </c>
      <c r="V35" s="725" t="str">
        <f t="shared" si="28"/>
        <v>3Q12A</v>
      </c>
      <c r="W35" s="725" t="str">
        <f t="shared" si="28"/>
        <v>4Q12A</v>
      </c>
      <c r="X35" s="743" t="str">
        <f t="shared" si="28"/>
        <v>2012A</v>
      </c>
      <c r="Y35" s="725" t="str">
        <f t="shared" si="28"/>
        <v>1Q13A</v>
      </c>
      <c r="Z35" s="725" t="str">
        <f t="shared" si="28"/>
        <v>2Q13A</v>
      </c>
      <c r="AA35" s="725" t="str">
        <f t="shared" si="28"/>
        <v>3Q13A</v>
      </c>
      <c r="AB35" s="725" t="str">
        <f t="shared" si="28"/>
        <v>4Q13A</v>
      </c>
      <c r="AC35" s="743" t="str">
        <f t="shared" si="28"/>
        <v>2013A</v>
      </c>
      <c r="AD35" s="725" t="str">
        <f t="shared" si="28"/>
        <v>1Q14A</v>
      </c>
      <c r="AE35" s="725" t="str">
        <f t="shared" si="28"/>
        <v>2Q14A</v>
      </c>
      <c r="AF35" s="725" t="str">
        <f t="shared" si="28"/>
        <v>3Q14A</v>
      </c>
      <c r="AG35" s="725" t="str">
        <f t="shared" si="28"/>
        <v>4Q14A</v>
      </c>
      <c r="AH35" s="743" t="str">
        <f t="shared" si="28"/>
        <v>2014A</v>
      </c>
      <c r="AI35" s="725" t="str">
        <f t="shared" si="28"/>
        <v>1Q15A</v>
      </c>
      <c r="AJ35" s="725" t="str">
        <f t="shared" si="28"/>
        <v>2Q15A</v>
      </c>
      <c r="AK35" s="725" t="str">
        <f t="shared" si="28"/>
        <v>3Q15A</v>
      </c>
      <c r="AL35" s="725" t="str">
        <f t="shared" si="28"/>
        <v>4Q15A</v>
      </c>
      <c r="AM35" s="743" t="str">
        <f t="shared" si="28"/>
        <v>2015A</v>
      </c>
      <c r="AN35" s="725" t="str">
        <f t="shared" si="28"/>
        <v>1Q16A</v>
      </c>
      <c r="AO35" s="725" t="str">
        <f t="shared" si="28"/>
        <v>2Q16A</v>
      </c>
      <c r="AP35" s="725" t="str">
        <f t="shared" si="28"/>
        <v>3Q16A</v>
      </c>
      <c r="AQ35" s="725" t="str">
        <f t="shared" si="28"/>
        <v>4Q16A</v>
      </c>
      <c r="AR35" s="743" t="str">
        <f t="shared" si="28"/>
        <v>2016A</v>
      </c>
      <c r="AS35" s="725" t="str">
        <f t="shared" ref="AS35:BB35" si="29">AS6</f>
        <v>1Q17A</v>
      </c>
      <c r="AT35" s="725" t="str">
        <f t="shared" si="29"/>
        <v>2Q17A</v>
      </c>
      <c r="AU35" s="725" t="str">
        <f t="shared" si="29"/>
        <v>3Q17A</v>
      </c>
      <c r="AV35" s="726" t="str">
        <f t="shared" si="29"/>
        <v>4Q17A</v>
      </c>
      <c r="AW35" s="743" t="str">
        <f t="shared" si="29"/>
        <v>2017A</v>
      </c>
      <c r="AX35" s="725" t="str">
        <f t="shared" si="29"/>
        <v>1Q18E</v>
      </c>
      <c r="AY35" s="725" t="str">
        <f t="shared" si="29"/>
        <v>2Q18E</v>
      </c>
      <c r="AZ35" s="725" t="str">
        <f t="shared" si="29"/>
        <v>3Q18E</v>
      </c>
      <c r="BA35" s="726" t="str">
        <f t="shared" si="29"/>
        <v>4Q18E</v>
      </c>
      <c r="BB35" s="726" t="str">
        <f t="shared" si="29"/>
        <v>2018E</v>
      </c>
      <c r="BC35" s="725" t="str">
        <f t="shared" ref="BC35:BL35" si="30">BC6</f>
        <v>1Q19E</v>
      </c>
      <c r="BD35" s="725" t="str">
        <f t="shared" si="30"/>
        <v>2Q19E</v>
      </c>
      <c r="BE35" s="725" t="str">
        <f t="shared" si="30"/>
        <v>3Q19E</v>
      </c>
      <c r="BF35" s="726" t="str">
        <f t="shared" si="30"/>
        <v>4Q19E</v>
      </c>
      <c r="BG35" s="726" t="str">
        <f t="shared" si="30"/>
        <v>2019E</v>
      </c>
      <c r="BH35" s="725" t="str">
        <f t="shared" si="30"/>
        <v>1Q20E</v>
      </c>
      <c r="BI35" s="725" t="str">
        <f t="shared" si="30"/>
        <v>2Q20E</v>
      </c>
      <c r="BJ35" s="725" t="str">
        <f t="shared" si="30"/>
        <v>3Q20E</v>
      </c>
      <c r="BK35" s="726" t="str">
        <f t="shared" si="30"/>
        <v>4Q20E</v>
      </c>
      <c r="BL35" s="726" t="str">
        <f t="shared" si="30"/>
        <v>2020E</v>
      </c>
    </row>
    <row r="36" spans="1:64" ht="13.5" thickBot="1">
      <c r="A36" s="141"/>
      <c r="B36" s="727"/>
      <c r="C36" s="728"/>
      <c r="D36" s="729"/>
      <c r="E36" s="730"/>
      <c r="F36" s="730"/>
      <c r="G36" s="730"/>
      <c r="H36" s="730"/>
      <c r="I36" s="744"/>
      <c r="J36" s="730"/>
      <c r="K36" s="730"/>
      <c r="L36" s="730"/>
      <c r="M36" s="730"/>
      <c r="N36" s="744"/>
      <c r="O36" s="730"/>
      <c r="P36" s="730"/>
      <c r="Q36" s="730"/>
      <c r="R36" s="730"/>
      <c r="S36" s="744"/>
      <c r="T36" s="730"/>
      <c r="U36" s="730"/>
      <c r="V36" s="730"/>
      <c r="W36" s="730"/>
      <c r="X36" s="744"/>
      <c r="Y36" s="730"/>
      <c r="Z36" s="730"/>
      <c r="AA36" s="730"/>
      <c r="AB36" s="730"/>
      <c r="AC36" s="744"/>
      <c r="AD36" s="730"/>
      <c r="AE36" s="730"/>
      <c r="AF36" s="730"/>
      <c r="AG36" s="730"/>
      <c r="AH36" s="744"/>
      <c r="AI36" s="730"/>
      <c r="AJ36" s="730"/>
      <c r="AK36" s="730"/>
      <c r="AL36" s="730"/>
      <c r="AM36" s="744"/>
      <c r="AN36" s="730"/>
      <c r="AO36" s="730"/>
      <c r="AP36" s="730"/>
      <c r="AQ36" s="730"/>
      <c r="AR36" s="744"/>
      <c r="AS36" s="730"/>
      <c r="AT36" s="730"/>
      <c r="AU36" s="730"/>
      <c r="AV36" s="713"/>
      <c r="AW36" s="744"/>
      <c r="AX36" s="730"/>
      <c r="AY36" s="730"/>
      <c r="AZ36" s="730"/>
      <c r="BA36" s="713"/>
      <c r="BB36" s="732"/>
      <c r="BC36" s="730"/>
      <c r="BD36" s="730"/>
      <c r="BE36" s="730"/>
      <c r="BF36" s="713"/>
      <c r="BG36" s="732"/>
      <c r="BH36" s="730"/>
      <c r="BI36" s="730"/>
      <c r="BJ36" s="730"/>
      <c r="BK36" s="713"/>
      <c r="BL36" s="732"/>
    </row>
    <row r="37" spans="1:64" ht="13.5" thickBot="1">
      <c r="A37" s="141"/>
      <c r="B37" s="727"/>
      <c r="C37" s="687">
        <f>C8</f>
        <v>2</v>
      </c>
      <c r="D37" s="152"/>
      <c r="E37" s="152"/>
      <c r="F37" s="152"/>
      <c r="G37" s="152"/>
      <c r="H37" s="152"/>
      <c r="I37" s="705"/>
      <c r="J37" s="152"/>
      <c r="K37" s="152"/>
      <c r="L37" s="152"/>
      <c r="M37" s="152"/>
      <c r="N37" s="705"/>
      <c r="O37" s="152"/>
      <c r="P37" s="152"/>
      <c r="Q37" s="152"/>
      <c r="R37" s="152"/>
      <c r="S37" s="705"/>
      <c r="T37" s="152"/>
      <c r="U37" s="152"/>
      <c r="V37" s="152"/>
      <c r="W37" s="152"/>
      <c r="X37" s="705"/>
      <c r="Y37" s="152"/>
      <c r="Z37" s="152"/>
      <c r="AA37" s="152"/>
      <c r="AB37" s="152"/>
      <c r="AC37" s="705"/>
      <c r="AD37" s="152"/>
      <c r="AE37" s="152"/>
      <c r="AF37" s="152"/>
      <c r="AG37" s="152"/>
      <c r="AH37" s="705"/>
      <c r="AI37" s="152"/>
      <c r="AJ37" s="152"/>
      <c r="AK37" s="152"/>
      <c r="AL37" s="152"/>
      <c r="AM37" s="705"/>
      <c r="AN37" s="152"/>
      <c r="AO37" s="152"/>
      <c r="AP37" s="152"/>
      <c r="AQ37" s="152"/>
      <c r="AR37" s="705"/>
      <c r="AS37" s="152"/>
      <c r="AT37" s="152"/>
      <c r="AU37" s="152"/>
      <c r="AV37" s="657"/>
      <c r="AW37" s="705"/>
      <c r="AX37" s="152"/>
      <c r="AY37" s="152"/>
      <c r="AZ37" s="152"/>
      <c r="BA37" s="657"/>
      <c r="BB37" s="657"/>
      <c r="BC37" s="152"/>
      <c r="BD37" s="152"/>
      <c r="BE37" s="152"/>
      <c r="BF37" s="657"/>
      <c r="BG37" s="657"/>
      <c r="BH37" s="152"/>
      <c r="BI37" s="152"/>
      <c r="BJ37" s="152"/>
      <c r="BK37" s="657"/>
      <c r="BL37" s="657"/>
    </row>
    <row r="38" spans="1:64">
      <c r="A38" s="141"/>
      <c r="B38" s="727"/>
      <c r="C38" s="733"/>
      <c r="D38" s="141"/>
      <c r="E38" s="734"/>
      <c r="F38" s="734"/>
      <c r="G38" s="734"/>
      <c r="H38" s="734"/>
      <c r="I38" s="683"/>
      <c r="J38" s="734"/>
      <c r="K38" s="734"/>
      <c r="L38" s="734"/>
      <c r="M38" s="734"/>
      <c r="N38" s="683"/>
      <c r="O38" s="734"/>
      <c r="P38" s="734"/>
      <c r="Q38" s="734"/>
      <c r="R38" s="734"/>
      <c r="S38" s="683"/>
      <c r="T38" s="734"/>
      <c r="U38" s="734"/>
      <c r="V38" s="734"/>
      <c r="W38" s="734"/>
      <c r="X38" s="683"/>
      <c r="Y38" s="734"/>
      <c r="Z38" s="734"/>
      <c r="AA38" s="734"/>
      <c r="AB38" s="734"/>
      <c r="AC38" s="683"/>
      <c r="AD38" s="734"/>
      <c r="AE38" s="734"/>
      <c r="AF38" s="734"/>
      <c r="AG38" s="734"/>
      <c r="AH38" s="683"/>
      <c r="AI38" s="734"/>
      <c r="AJ38" s="734"/>
      <c r="AK38" s="734"/>
      <c r="AL38" s="734"/>
      <c r="AM38" s="683"/>
      <c r="AN38" s="734"/>
      <c r="AO38" s="734"/>
      <c r="AP38" s="734"/>
      <c r="AQ38" s="734"/>
      <c r="AR38" s="683"/>
      <c r="AS38" s="734"/>
      <c r="AT38" s="734"/>
      <c r="AU38" s="734"/>
      <c r="AV38" s="745"/>
      <c r="AW38" s="683"/>
      <c r="AX38" s="734"/>
      <c r="AY38" s="734"/>
      <c r="AZ38" s="734"/>
      <c r="BA38" s="745"/>
      <c r="BB38" s="685"/>
      <c r="BC38" s="734"/>
      <c r="BD38" s="734"/>
      <c r="BE38" s="734"/>
      <c r="BF38" s="745"/>
      <c r="BG38" s="685"/>
      <c r="BH38" s="734"/>
      <c r="BI38" s="734"/>
      <c r="BJ38" s="734"/>
      <c r="BK38" s="745"/>
      <c r="BL38" s="685"/>
    </row>
    <row r="39" spans="1:64">
      <c r="A39" s="141"/>
      <c r="B39" s="727"/>
      <c r="C39" s="692" t="s">
        <v>336</v>
      </c>
      <c r="D39" s="141"/>
      <c r="E39" s="734"/>
      <c r="F39" s="734"/>
      <c r="G39" s="734"/>
      <c r="H39" s="734"/>
      <c r="I39" s="683"/>
      <c r="J39" s="734"/>
      <c r="K39" s="734"/>
      <c r="L39" s="734"/>
      <c r="M39" s="734"/>
      <c r="N39" s="683"/>
      <c r="O39" s="734"/>
      <c r="P39" s="734"/>
      <c r="Q39" s="734"/>
      <c r="R39" s="734"/>
      <c r="S39" s="683"/>
      <c r="T39" s="734"/>
      <c r="U39" s="734"/>
      <c r="V39" s="734"/>
      <c r="W39" s="734"/>
      <c r="X39" s="683"/>
      <c r="Y39" s="734"/>
      <c r="Z39" s="734"/>
      <c r="AA39" s="734"/>
      <c r="AB39" s="734"/>
      <c r="AC39" s="683"/>
      <c r="AD39" s="734"/>
      <c r="AE39" s="734"/>
      <c r="AF39" s="734"/>
      <c r="AG39" s="734"/>
      <c r="AH39" s="683"/>
      <c r="AI39" s="734"/>
      <c r="AJ39" s="734"/>
      <c r="AK39" s="734"/>
      <c r="AL39" s="734"/>
      <c r="AM39" s="683"/>
      <c r="AN39" s="734"/>
      <c r="AO39" s="734"/>
      <c r="AP39" s="734"/>
      <c r="AQ39" s="734"/>
      <c r="AR39" s="683"/>
      <c r="AS39" s="734"/>
      <c r="AT39" s="734"/>
      <c r="AU39" s="734"/>
      <c r="AV39" s="745"/>
      <c r="AW39" s="683"/>
      <c r="AX39" s="734"/>
      <c r="AY39" s="734"/>
      <c r="AZ39" s="734"/>
      <c r="BA39" s="745"/>
      <c r="BB39" s="685"/>
      <c r="BC39" s="734"/>
      <c r="BD39" s="734"/>
      <c r="BE39" s="734"/>
      <c r="BF39" s="745"/>
      <c r="BG39" s="685"/>
      <c r="BH39" s="734"/>
      <c r="BI39" s="734"/>
      <c r="BJ39" s="734"/>
      <c r="BK39" s="745"/>
      <c r="BL39" s="685"/>
    </row>
    <row r="40" spans="1:64">
      <c r="A40" s="141"/>
      <c r="B40" s="727"/>
      <c r="C40" s="692" t="s">
        <v>244</v>
      </c>
      <c r="D40" s="141"/>
      <c r="E40" s="700"/>
      <c r="F40" s="700"/>
      <c r="G40" s="700"/>
      <c r="H40" s="700"/>
      <c r="I40" s="701"/>
      <c r="J40" s="700"/>
      <c r="K40" s="700"/>
      <c r="L40" s="700"/>
      <c r="M40" s="700"/>
      <c r="N40" s="701"/>
      <c r="O40" s="700"/>
      <c r="P40" s="700"/>
      <c r="Q40" s="700"/>
      <c r="R40" s="700"/>
      <c r="S40" s="701"/>
      <c r="T40" s="700"/>
      <c r="U40" s="700"/>
      <c r="V40" s="700"/>
      <c r="W40" s="700"/>
      <c r="X40" s="701"/>
      <c r="Y40" s="700"/>
      <c r="Z40" s="700"/>
      <c r="AA40" s="700"/>
      <c r="AB40" s="700"/>
      <c r="AC40" s="701"/>
      <c r="AD40" s="700"/>
      <c r="AE40" s="700"/>
      <c r="AF40" s="700"/>
      <c r="AG40" s="700"/>
      <c r="AH40" s="701"/>
      <c r="AI40" s="700"/>
      <c r="AJ40" s="700"/>
      <c r="AK40" s="700"/>
      <c r="AL40" s="700"/>
      <c r="AM40" s="701"/>
      <c r="AN40" s="700"/>
      <c r="AO40" s="700"/>
      <c r="AP40" s="700"/>
      <c r="AQ40" s="700"/>
      <c r="AR40" s="701"/>
      <c r="AS40" s="700"/>
      <c r="AT40" s="702"/>
      <c r="AU40" s="702"/>
      <c r="AV40" s="703"/>
      <c r="AW40" s="701"/>
      <c r="AX40" s="702">
        <f>AX41-0.05%</f>
        <v>7.3899999999999993E-2</v>
      </c>
      <c r="AY40" s="702">
        <f t="shared" ref="AY40:BA40" si="31">AY41-0.05%</f>
        <v>7.3899999999999993E-2</v>
      </c>
      <c r="AZ40" s="702">
        <f t="shared" si="31"/>
        <v>7.3899999999999993E-2</v>
      </c>
      <c r="BA40" s="703">
        <f t="shared" si="31"/>
        <v>7.3899999999999993E-2</v>
      </c>
      <c r="BB40" s="704"/>
      <c r="BC40" s="702">
        <f>BC41-0.05%</f>
        <v>7.2499999999999995E-2</v>
      </c>
      <c r="BD40" s="702">
        <f t="shared" ref="BD40" si="32">BD41-0.05%</f>
        <v>7.2499999999999995E-2</v>
      </c>
      <c r="BE40" s="702">
        <f t="shared" ref="BE40" si="33">BE41-0.05%</f>
        <v>7.2499999999999995E-2</v>
      </c>
      <c r="BF40" s="703">
        <f t="shared" ref="BF40" si="34">BF41-0.05%</f>
        <v>7.2499999999999995E-2</v>
      </c>
      <c r="BG40" s="701"/>
      <c r="BH40" s="702">
        <f>BH41-0.05%</f>
        <v>7.0999999999999994E-2</v>
      </c>
      <c r="BI40" s="702">
        <f t="shared" ref="BI40" si="35">BI41-0.05%</f>
        <v>7.0999999999999994E-2</v>
      </c>
      <c r="BJ40" s="702">
        <f t="shared" ref="BJ40" si="36">BJ41-0.05%</f>
        <v>7.0999999999999994E-2</v>
      </c>
      <c r="BK40" s="703">
        <f t="shared" ref="BK40" si="37">BK41-0.05%</f>
        <v>7.0999999999999994E-2</v>
      </c>
      <c r="BL40" s="701"/>
    </row>
    <row r="41" spans="1:64">
      <c r="A41" s="141"/>
      <c r="B41" s="727"/>
      <c r="C41" s="692" t="s">
        <v>245</v>
      </c>
      <c r="D41" s="141"/>
      <c r="E41" s="700">
        <f>'Expense Assumptions'!CE74</f>
        <v>7.0973612374886266E-2</v>
      </c>
      <c r="F41" s="700">
        <f>'Expense Assumptions'!CF74</f>
        <v>7.7928138124125051E-2</v>
      </c>
      <c r="G41" s="700">
        <f>'Expense Assumptions'!CG74</f>
        <v>8.873563218390805E-2</v>
      </c>
      <c r="H41" s="700">
        <f>'Expense Assumptions'!CH74</f>
        <v>8.3333333333333329E-2</v>
      </c>
      <c r="I41" s="701">
        <f>'Expense Assumptions'!CI74</f>
        <v>8.0225598526703495E-2</v>
      </c>
      <c r="J41" s="700">
        <f>'Expense Assumptions'!CJ74</f>
        <v>8.4000000000000005E-2</v>
      </c>
      <c r="K41" s="700">
        <f>'Expense Assumptions'!CK74</f>
        <v>7.8245137946630489E-2</v>
      </c>
      <c r="L41" s="700">
        <f>'Expense Assumptions'!CL74</f>
        <v>8.641404805914972E-2</v>
      </c>
      <c r="M41" s="700">
        <f>'Expense Assumptions'!CM74</f>
        <v>8.6542818305391941E-2</v>
      </c>
      <c r="N41" s="701">
        <f>'Expense Assumptions'!CN74</f>
        <v>8.3786231884057968E-2</v>
      </c>
      <c r="O41" s="700">
        <f>'Expense Assumptions'!CO74</f>
        <v>7.6528430953398882E-2</v>
      </c>
      <c r="P41" s="700">
        <f>'Expense Assumptions'!CP74</f>
        <v>7.6225045372050812E-2</v>
      </c>
      <c r="Q41" s="700">
        <f>'Expense Assumptions'!CQ74</f>
        <v>8.6776859504132234E-2</v>
      </c>
      <c r="R41" s="700">
        <f>'Expense Assumptions'!CR74</f>
        <v>8.0984340044742725E-2</v>
      </c>
      <c r="S41" s="701">
        <f>'Expense Assumptions'!CS74</f>
        <v>8.0058061634658326E-2</v>
      </c>
      <c r="T41" s="700">
        <f>'Expense Assumptions'!CT74</f>
        <v>7.9646017699115043E-2</v>
      </c>
      <c r="U41" s="700">
        <f>'Expense Assumptions'!CU74</f>
        <v>8.1231295425395464E-2</v>
      </c>
      <c r="V41" s="700">
        <f>'Expense Assumptions'!CV74</f>
        <v>8.9956331877729251E-2</v>
      </c>
      <c r="W41" s="700">
        <f>'Expense Assumptions'!CW74</f>
        <v>8.4566596194503171E-2</v>
      </c>
      <c r="X41" s="701">
        <f>'Expense Assumptions'!CX74</f>
        <v>7.9260904684975764E-2</v>
      </c>
      <c r="Y41" s="700">
        <f>'Expense Assumptions'!CY74</f>
        <v>8.8122605363984668E-2</v>
      </c>
      <c r="Z41" s="700">
        <f>'Expense Assumptions'!CZ74</f>
        <v>8.6756077116512995E-2</v>
      </c>
      <c r="AA41" s="700">
        <f>'Expense Assumptions'!DA74</f>
        <v>8.9475926714955259E-2</v>
      </c>
      <c r="AB41" s="700">
        <f>'Expense Assumptions'!DB74</f>
        <v>9.3322606596942886E-2</v>
      </c>
      <c r="AC41" s="701">
        <f>'Expense Assumptions'!DC74</f>
        <v>8.0503561371542159E-2</v>
      </c>
      <c r="AD41" s="700">
        <f>'Expense Assumptions'!DD74</f>
        <v>0.10036978341257263</v>
      </c>
      <c r="AE41" s="700">
        <f>'Expense Assumptions'!DE74</f>
        <v>8.3311637594376459E-2</v>
      </c>
      <c r="AF41" s="700">
        <f>'Expense Assumptions'!DF74</f>
        <v>6.3780737704918031E-2</v>
      </c>
      <c r="AG41" s="700">
        <f>'Expense Assumptions'!DG74</f>
        <v>8.3607327383748237E-2</v>
      </c>
      <c r="AH41" s="701">
        <f>'Expense Assumptions'!DH74</f>
        <v>8.2652479574387233E-2</v>
      </c>
      <c r="AI41" s="700">
        <f>'Expense Assumptions'!DI74</f>
        <v>8.8471849865951746E-2</v>
      </c>
      <c r="AJ41" s="700">
        <f>'Expense Assumptions'!DJ74</f>
        <v>8.570732895057219E-2</v>
      </c>
      <c r="AK41" s="700">
        <f>'Expense Assumptions'!DK74</f>
        <v>9.0092277804759591E-2</v>
      </c>
      <c r="AL41" s="700">
        <f>'Expense Assumptions'!DL74</f>
        <v>8.984375E-2</v>
      </c>
      <c r="AM41" s="701">
        <f>'Expense Assumptions'!DM74</f>
        <v>7.3442394709363035E-2</v>
      </c>
      <c r="AN41" s="700">
        <f>'Expense Assumptions'!DN74</f>
        <v>6.9372693726937273E-2</v>
      </c>
      <c r="AO41" s="700">
        <f>'Expense Assumptions'!DO74</f>
        <v>6.7432950191570876E-2</v>
      </c>
      <c r="AP41" s="700">
        <f>'Expense Assumptions'!DP74</f>
        <v>7.0360429447852757E-2</v>
      </c>
      <c r="AQ41" s="700">
        <f>'Expense Assumptions'!DQ74</f>
        <v>6.789413118527042E-2</v>
      </c>
      <c r="AR41" s="701">
        <f>'Expense Assumptions'!DR74</f>
        <v>6.8770764119601327E-2</v>
      </c>
      <c r="AS41" s="700">
        <f>'Expense Assumptions'!DS74</f>
        <v>7.3710546574287911E-2</v>
      </c>
      <c r="AT41" s="700">
        <f>'Expense Assumptions'!DT74</f>
        <v>7.1718538565629222E-2</v>
      </c>
      <c r="AU41" s="700">
        <f>'Expense Assumptions'!DU74</f>
        <v>7.1847804088241249E-2</v>
      </c>
      <c r="AV41" s="704">
        <f>'Expense Assumptions'!DV74</f>
        <v>6.1286064491797097E-2</v>
      </c>
      <c r="AW41" s="701"/>
      <c r="AX41" s="702">
        <v>7.4399999999999994E-2</v>
      </c>
      <c r="AY41" s="702">
        <v>7.4399999999999994E-2</v>
      </c>
      <c r="AZ41" s="702">
        <v>7.4399999999999994E-2</v>
      </c>
      <c r="BA41" s="702">
        <v>7.4399999999999994E-2</v>
      </c>
      <c r="BB41" s="701">
        <f>'Expense Assumptions'!EB74</f>
        <v>7.6397003321911419E-2</v>
      </c>
      <c r="BC41" s="702">
        <v>7.2999999999999995E-2</v>
      </c>
      <c r="BD41" s="702">
        <v>7.2999999999999995E-2</v>
      </c>
      <c r="BE41" s="702">
        <v>7.2999999999999995E-2</v>
      </c>
      <c r="BF41" s="702">
        <v>7.2999999999999995E-2</v>
      </c>
      <c r="BG41" s="701">
        <f>'Expense Assumptions'!EG74</f>
        <v>7.5311854849944182E-2</v>
      </c>
      <c r="BH41" s="702">
        <v>7.1499999999999994E-2</v>
      </c>
      <c r="BI41" s="702">
        <v>7.1499999999999994E-2</v>
      </c>
      <c r="BJ41" s="702">
        <v>7.1499999999999994E-2</v>
      </c>
      <c r="BK41" s="702">
        <v>7.1499999999999994E-2</v>
      </c>
      <c r="BL41" s="701">
        <f>'Expense Assumptions'!EL74</f>
        <v>7.4129270674275188E-2</v>
      </c>
    </row>
    <row r="42" spans="1:64">
      <c r="A42" s="141"/>
      <c r="B42" s="727"/>
      <c r="C42" s="692" t="s">
        <v>246</v>
      </c>
      <c r="D42" s="141"/>
      <c r="E42" s="700"/>
      <c r="F42" s="700"/>
      <c r="G42" s="700"/>
      <c r="H42" s="700"/>
      <c r="I42" s="701"/>
      <c r="J42" s="700"/>
      <c r="K42" s="700"/>
      <c r="L42" s="700"/>
      <c r="M42" s="700"/>
      <c r="N42" s="701"/>
      <c r="O42" s="700"/>
      <c r="P42" s="700"/>
      <c r="Q42" s="700"/>
      <c r="R42" s="700"/>
      <c r="S42" s="701"/>
      <c r="T42" s="700"/>
      <c r="U42" s="700"/>
      <c r="V42" s="700"/>
      <c r="W42" s="700"/>
      <c r="X42" s="701"/>
      <c r="Y42" s="700"/>
      <c r="Z42" s="700"/>
      <c r="AA42" s="700"/>
      <c r="AB42" s="700"/>
      <c r="AC42" s="701"/>
      <c r="AD42" s="700"/>
      <c r="AE42" s="700"/>
      <c r="AF42" s="700"/>
      <c r="AG42" s="700"/>
      <c r="AH42" s="701"/>
      <c r="AI42" s="700"/>
      <c r="AJ42" s="700"/>
      <c r="AK42" s="700"/>
      <c r="AL42" s="700"/>
      <c r="AM42" s="701"/>
      <c r="AN42" s="700"/>
      <c r="AO42" s="700"/>
      <c r="AP42" s="700"/>
      <c r="AQ42" s="700"/>
      <c r="AR42" s="701"/>
      <c r="AS42" s="700"/>
      <c r="AT42" s="702"/>
      <c r="AU42" s="702"/>
      <c r="AV42" s="703"/>
      <c r="AW42" s="701"/>
      <c r="AX42" s="702">
        <f>AX41+0.05%</f>
        <v>7.4899999999999994E-2</v>
      </c>
      <c r="AY42" s="702">
        <f t="shared" ref="AY42:BA42" si="38">AY41+0.05%</f>
        <v>7.4899999999999994E-2</v>
      </c>
      <c r="AZ42" s="702">
        <f t="shared" si="38"/>
        <v>7.4899999999999994E-2</v>
      </c>
      <c r="BA42" s="703">
        <f t="shared" si="38"/>
        <v>7.4899999999999994E-2</v>
      </c>
      <c r="BB42" s="704"/>
      <c r="BC42" s="702">
        <f>BC41+0.05%</f>
        <v>7.3499999999999996E-2</v>
      </c>
      <c r="BD42" s="702">
        <f t="shared" ref="BD42" si="39">BD41+0.05%</f>
        <v>7.3499999999999996E-2</v>
      </c>
      <c r="BE42" s="702">
        <f t="shared" ref="BE42" si="40">BE41+0.05%</f>
        <v>7.3499999999999996E-2</v>
      </c>
      <c r="BF42" s="703">
        <f t="shared" ref="BF42" si="41">BF41+0.05%</f>
        <v>7.3499999999999996E-2</v>
      </c>
      <c r="BG42" s="701"/>
      <c r="BH42" s="702">
        <f>BH41+0.05%</f>
        <v>7.1999999999999995E-2</v>
      </c>
      <c r="BI42" s="702">
        <f t="shared" ref="BI42" si="42">BI41+0.05%</f>
        <v>7.1999999999999995E-2</v>
      </c>
      <c r="BJ42" s="702">
        <f t="shared" ref="BJ42" si="43">BJ41+0.05%</f>
        <v>7.1999999999999995E-2</v>
      </c>
      <c r="BK42" s="703">
        <f t="shared" ref="BK42" si="44">BK41+0.05%</f>
        <v>7.1999999999999995E-2</v>
      </c>
      <c r="BL42" s="701"/>
    </row>
    <row r="43" spans="1:64">
      <c r="A43" s="141"/>
      <c r="B43" s="727"/>
      <c r="C43" s="692"/>
      <c r="D43" s="141"/>
      <c r="E43" s="700"/>
      <c r="F43" s="700"/>
      <c r="G43" s="700"/>
      <c r="H43" s="700"/>
      <c r="I43" s="701"/>
      <c r="J43" s="700"/>
      <c r="K43" s="700"/>
      <c r="L43" s="700"/>
      <c r="M43" s="700"/>
      <c r="N43" s="701"/>
      <c r="O43" s="700"/>
      <c r="P43" s="700"/>
      <c r="Q43" s="700"/>
      <c r="R43" s="700"/>
      <c r="S43" s="701"/>
      <c r="T43" s="700"/>
      <c r="U43" s="700"/>
      <c r="V43" s="700"/>
      <c r="W43" s="700"/>
      <c r="X43" s="701"/>
      <c r="Y43" s="700"/>
      <c r="Z43" s="700"/>
      <c r="AA43" s="700"/>
      <c r="AB43" s="700"/>
      <c r="AC43" s="701"/>
      <c r="AD43" s="700"/>
      <c r="AE43" s="700"/>
      <c r="AF43" s="700"/>
      <c r="AG43" s="700"/>
      <c r="AH43" s="701"/>
      <c r="AI43" s="700"/>
      <c r="AJ43" s="700"/>
      <c r="AK43" s="700"/>
      <c r="AL43" s="700"/>
      <c r="AM43" s="701"/>
      <c r="AN43" s="700"/>
      <c r="AO43" s="700"/>
      <c r="AP43" s="700"/>
      <c r="AQ43" s="700"/>
      <c r="AR43" s="701"/>
      <c r="AS43" s="700"/>
      <c r="AT43" s="746"/>
      <c r="AU43" s="746"/>
      <c r="AV43" s="703"/>
      <c r="AW43" s="701"/>
      <c r="AX43" s="746"/>
      <c r="AY43" s="746"/>
      <c r="AZ43" s="746"/>
      <c r="BA43" s="703"/>
      <c r="BB43" s="704"/>
      <c r="BC43" s="746"/>
      <c r="BD43" s="746"/>
      <c r="BE43" s="746"/>
      <c r="BF43" s="703"/>
      <c r="BG43" s="704"/>
      <c r="BH43" s="746"/>
      <c r="BI43" s="746"/>
      <c r="BJ43" s="746"/>
      <c r="BK43" s="703"/>
      <c r="BL43" s="704"/>
    </row>
    <row r="44" spans="1:64">
      <c r="A44" s="141"/>
      <c r="B44" s="727"/>
      <c r="C44" s="692" t="s">
        <v>378</v>
      </c>
      <c r="D44" s="141"/>
      <c r="E44" s="700"/>
      <c r="F44" s="700"/>
      <c r="G44" s="700"/>
      <c r="H44" s="700"/>
      <c r="I44" s="701"/>
      <c r="J44" s="700"/>
      <c r="K44" s="700"/>
      <c r="L44" s="700"/>
      <c r="M44" s="700"/>
      <c r="N44" s="701"/>
      <c r="O44" s="700"/>
      <c r="P44" s="700"/>
      <c r="Q44" s="700"/>
      <c r="R44" s="700"/>
      <c r="S44" s="701"/>
      <c r="T44" s="700"/>
      <c r="U44" s="700"/>
      <c r="V44" s="700"/>
      <c r="W44" s="700"/>
      <c r="X44" s="701"/>
      <c r="Y44" s="700"/>
      <c r="Z44" s="700"/>
      <c r="AA44" s="700"/>
      <c r="AB44" s="700"/>
      <c r="AC44" s="701"/>
      <c r="AD44" s="700"/>
      <c r="AE44" s="700"/>
      <c r="AF44" s="700"/>
      <c r="AG44" s="700"/>
      <c r="AH44" s="701"/>
      <c r="AI44" s="700"/>
      <c r="AJ44" s="700"/>
      <c r="AK44" s="700"/>
      <c r="AL44" s="700"/>
      <c r="AM44" s="701"/>
      <c r="AN44" s="700"/>
      <c r="AO44" s="700"/>
      <c r="AP44" s="700"/>
      <c r="AQ44" s="700"/>
      <c r="AR44" s="701"/>
      <c r="AS44" s="700"/>
      <c r="AT44" s="746"/>
      <c r="AU44" s="746"/>
      <c r="AV44" s="703"/>
      <c r="AW44" s="701"/>
      <c r="AX44" s="746"/>
      <c r="AY44" s="746"/>
      <c r="AZ44" s="746"/>
      <c r="BA44" s="703"/>
      <c r="BB44" s="704"/>
      <c r="BC44" s="746"/>
      <c r="BD44" s="746"/>
      <c r="BE44" s="746"/>
      <c r="BF44" s="703"/>
      <c r="BG44" s="704"/>
      <c r="BH44" s="746"/>
      <c r="BI44" s="746"/>
      <c r="BJ44" s="746"/>
      <c r="BK44" s="703"/>
      <c r="BL44" s="704"/>
    </row>
    <row r="45" spans="1:64">
      <c r="A45" s="141"/>
      <c r="B45" s="727"/>
      <c r="C45" s="692" t="s">
        <v>244</v>
      </c>
      <c r="D45" s="141"/>
      <c r="E45" s="700"/>
      <c r="F45" s="700"/>
      <c r="G45" s="700"/>
      <c r="H45" s="700"/>
      <c r="I45" s="701"/>
      <c r="J45" s="700"/>
      <c r="K45" s="700"/>
      <c r="L45" s="700"/>
      <c r="M45" s="700"/>
      <c r="N45" s="701"/>
      <c r="O45" s="700"/>
      <c r="P45" s="700"/>
      <c r="Q45" s="700"/>
      <c r="R45" s="700"/>
      <c r="S45" s="701"/>
      <c r="T45" s="700"/>
      <c r="U45" s="700"/>
      <c r="V45" s="700"/>
      <c r="W45" s="700"/>
      <c r="X45" s="701"/>
      <c r="Y45" s="700"/>
      <c r="Z45" s="700"/>
      <c r="AA45" s="700"/>
      <c r="AB45" s="700"/>
      <c r="AC45" s="701"/>
      <c r="AD45" s="700"/>
      <c r="AE45" s="700"/>
      <c r="AF45" s="700"/>
      <c r="AG45" s="700"/>
      <c r="AH45" s="701"/>
      <c r="AI45" s="700"/>
      <c r="AJ45" s="700"/>
      <c r="AK45" s="700"/>
      <c r="AL45" s="700"/>
      <c r="AM45" s="701"/>
      <c r="AN45" s="700"/>
      <c r="AO45" s="700"/>
      <c r="AP45" s="700"/>
      <c r="AQ45" s="700"/>
      <c r="AR45" s="701"/>
      <c r="AS45" s="700"/>
      <c r="AT45" s="702"/>
      <c r="AU45" s="702"/>
      <c r="AV45" s="703"/>
      <c r="AW45" s="701"/>
      <c r="AX45" s="702">
        <f>AX46-0.05%</f>
        <v>0.41489999999999999</v>
      </c>
      <c r="AY45" s="702">
        <f t="shared" ref="AY45:BA45" si="45">AY46-0.05%</f>
        <v>0.41299999999999998</v>
      </c>
      <c r="AZ45" s="702">
        <f t="shared" si="45"/>
        <v>0.41049999999999998</v>
      </c>
      <c r="BA45" s="703">
        <f t="shared" si="45"/>
        <v>0.41449999999999998</v>
      </c>
      <c r="BB45" s="704"/>
      <c r="BC45" s="702">
        <f>BC46-0.05%</f>
        <v>0.40450000000000003</v>
      </c>
      <c r="BD45" s="702">
        <f t="shared" ref="BD45" si="46">BD46-0.05%</f>
        <v>0.40450000000000003</v>
      </c>
      <c r="BE45" s="702">
        <f t="shared" ref="BE45" si="47">BE46-0.05%</f>
        <v>0.40150000000000002</v>
      </c>
      <c r="BF45" s="703">
        <f t="shared" ref="BF45" si="48">BF46-0.05%</f>
        <v>0.39950000000000002</v>
      </c>
      <c r="BG45" s="701"/>
      <c r="BH45" s="702">
        <f>BH46-0.05%</f>
        <v>0.39950000000000002</v>
      </c>
      <c r="BI45" s="702">
        <f t="shared" ref="BI45" si="49">BI46-0.05%</f>
        <v>0.39950000000000002</v>
      </c>
      <c r="BJ45" s="702">
        <f t="shared" ref="BJ45" si="50">BJ46-0.05%</f>
        <v>0.39950000000000002</v>
      </c>
      <c r="BK45" s="703">
        <f t="shared" ref="BK45" si="51">BK46-0.05%</f>
        <v>0.39950000000000002</v>
      </c>
      <c r="BL45" s="701"/>
    </row>
    <row r="46" spans="1:64">
      <c r="A46" s="141"/>
      <c r="B46" s="727"/>
      <c r="C46" s="692" t="s">
        <v>245</v>
      </c>
      <c r="D46" s="141"/>
      <c r="E46" s="700">
        <f>'Expense Assumptions'!CE32</f>
        <v>-5.8667593212330393E-3</v>
      </c>
      <c r="F46" s="700">
        <f>'Expense Assumptions'!CF32</f>
        <v>-2.8928487253991886E-3</v>
      </c>
      <c r="G46" s="700">
        <f>'Expense Assumptions'!CG32</f>
        <v>-3.2494112705887535E-3</v>
      </c>
      <c r="H46" s="700">
        <f>'Expense Assumptions'!CH32</f>
        <v>2.7462580730741148E-2</v>
      </c>
      <c r="I46" s="701">
        <f>'Expense Assumptions'!CI32</f>
        <v>4.1787915668143327E-3</v>
      </c>
      <c r="J46" s="700">
        <f>'Expense Assumptions'!CJ32</f>
        <v>4.4725903620260743E-2</v>
      </c>
      <c r="K46" s="700">
        <f>'Expense Assumptions'!CK32</f>
        <v>3.3476907715573434E-2</v>
      </c>
      <c r="L46" s="700">
        <f>'Expense Assumptions'!CL32</f>
        <v>4.9150669462074026E-2</v>
      </c>
      <c r="M46" s="700">
        <f>'Expense Assumptions'!CM32</f>
        <v>-1.4489108020954933E-2</v>
      </c>
      <c r="N46" s="701">
        <f>'Expense Assumptions'!CN32</f>
        <v>2.7931970695700636E-2</v>
      </c>
      <c r="O46" s="700">
        <f>'Expense Assumptions'!CO32</f>
        <v>4.1142860937617876E-2</v>
      </c>
      <c r="P46" s="700">
        <f>'Expense Assumptions'!CP32</f>
        <v>3.2095412765145159E-2</v>
      </c>
      <c r="Q46" s="700">
        <f>'Expense Assumptions'!CQ32</f>
        <v>2.9070055291215091E-2</v>
      </c>
      <c r="R46" s="700">
        <f>'Expense Assumptions'!CR32</f>
        <v>7.2365774539364214E-2</v>
      </c>
      <c r="S46" s="701">
        <f>'Expense Assumptions'!CS32</f>
        <v>4.3571193277259557E-2</v>
      </c>
      <c r="T46" s="700">
        <f>'Expense Assumptions'!CT32</f>
        <v>4.5614956211548208E-2</v>
      </c>
      <c r="U46" s="700">
        <f>'Expense Assumptions'!CU32</f>
        <v>6.4538531134270327E-2</v>
      </c>
      <c r="V46" s="700">
        <f>'Expense Assumptions'!CV32</f>
        <v>4.6440260837341318E-2</v>
      </c>
      <c r="W46" s="700">
        <f>'Expense Assumptions'!CW32</f>
        <v>6.086927353345617E-2</v>
      </c>
      <c r="X46" s="701">
        <f>'Expense Assumptions'!CX32</f>
        <v>5.4423823696072571E-2</v>
      </c>
      <c r="Y46" s="700">
        <f>'Expense Assumptions'!CY32</f>
        <v>0.10168377019095942</v>
      </c>
      <c r="Z46" s="700">
        <f>'Expense Assumptions'!CZ32</f>
        <v>0.11863513314061813</v>
      </c>
      <c r="AA46" s="700">
        <f>'Expense Assumptions'!DA32</f>
        <v>0.11466141965436738</v>
      </c>
      <c r="AB46" s="700">
        <f>'Expense Assumptions'!DB32</f>
        <v>6.0568940470036026E-2</v>
      </c>
      <c r="AC46" s="701">
        <f>'Expense Assumptions'!DC32</f>
        <v>9.8299925266557731E-2</v>
      </c>
      <c r="AD46" s="700">
        <f>'Expense Assumptions'!DD32</f>
        <v>1.9462621017473536E-2</v>
      </c>
      <c r="AE46" s="700">
        <f>'Expense Assumptions'!DE32</f>
        <v>-2.4044797369721427E-2</v>
      </c>
      <c r="AF46" s="700">
        <f>'Expense Assumptions'!DF32</f>
        <v>2.9168685978535613E-3</v>
      </c>
      <c r="AG46" s="700">
        <f>'Expense Assumptions'!DG32</f>
        <v>5.2621290825331846E-2</v>
      </c>
      <c r="AH46" s="701">
        <f>'Expense Assumptions'!DH32</f>
        <v>1.3262173007241307E-2</v>
      </c>
      <c r="AI46" s="700">
        <f>'Expense Assumptions'!DI32</f>
        <v>3.418071401361833E-2</v>
      </c>
      <c r="AJ46" s="700">
        <f>'Expense Assumptions'!DJ32</f>
        <v>4.6580288382813695E-2</v>
      </c>
      <c r="AK46" s="700">
        <f>'Expense Assumptions'!DK32</f>
        <v>4.3213794750390333E-2</v>
      </c>
      <c r="AL46" s="700">
        <f>'Expense Assumptions'!DL32</f>
        <v>1.6446388588031713E-2</v>
      </c>
      <c r="AM46" s="701">
        <f>'Expense Assumptions'!DM32</f>
        <v>7.5419736116261848E-2</v>
      </c>
      <c r="AN46" s="700">
        <f>'Expense Assumptions'!DN32</f>
        <v>1.0389336388662018E-2</v>
      </c>
      <c r="AO46" s="700">
        <f>'Expense Assumptions'!DO32</f>
        <v>5.5767002091603679E-2</v>
      </c>
      <c r="AP46" s="700">
        <f>'Expense Assumptions'!DP32</f>
        <v>2.9916340956077869E-2</v>
      </c>
      <c r="AQ46" s="700">
        <f>'Expense Assumptions'!DQ32</f>
        <v>3.8324266102952365E-2</v>
      </c>
      <c r="AR46" s="701">
        <f>'Expense Assumptions'!DR32</f>
        <v>6.0718635708113089E-2</v>
      </c>
      <c r="AS46" s="700">
        <f>'Expense Assumptions'!DS29</f>
        <v>0.42917628945342573</v>
      </c>
      <c r="AT46" s="700">
        <f>'Expense Assumptions'!DT29</f>
        <v>0.42393195437850378</v>
      </c>
      <c r="AU46" s="700">
        <f>'Expense Assumptions'!DU29</f>
        <v>0.42683667273831211</v>
      </c>
      <c r="AV46" s="704">
        <f>'Expense Assumptions'!DV29</f>
        <v>0.39958514048651705</v>
      </c>
      <c r="AW46" s="701"/>
      <c r="AX46" s="702">
        <v>0.41539999999999999</v>
      </c>
      <c r="AY46" s="702">
        <v>0.41349999999999998</v>
      </c>
      <c r="AZ46" s="702">
        <v>0.41099999999999998</v>
      </c>
      <c r="BA46" s="702">
        <v>0.41499999999999998</v>
      </c>
      <c r="BB46" s="701">
        <f>'Expense Assumptions'!EB29</f>
        <v>0.44599731892153027</v>
      </c>
      <c r="BC46" s="702">
        <v>0.40500000000000003</v>
      </c>
      <c r="BD46" s="702">
        <v>0.40500000000000003</v>
      </c>
      <c r="BE46" s="702">
        <v>0.40200000000000002</v>
      </c>
      <c r="BF46" s="702">
        <v>0.4</v>
      </c>
      <c r="BG46" s="701">
        <f>'Expense Assumptions'!EG29</f>
        <v>0.43897796138786604</v>
      </c>
      <c r="BH46" s="702">
        <v>0.4</v>
      </c>
      <c r="BI46" s="702">
        <v>0.4</v>
      </c>
      <c r="BJ46" s="702">
        <v>0.4</v>
      </c>
      <c r="BK46" s="702">
        <v>0.4</v>
      </c>
      <c r="BL46" s="701">
        <f>'Expense Assumptions'!EL29</f>
        <v>0.44179870867314985</v>
      </c>
    </row>
    <row r="47" spans="1:64">
      <c r="A47" s="141"/>
      <c r="B47" s="727"/>
      <c r="C47" s="692" t="s">
        <v>246</v>
      </c>
      <c r="D47" s="141"/>
      <c r="E47" s="700"/>
      <c r="F47" s="700"/>
      <c r="G47" s="700"/>
      <c r="H47" s="700"/>
      <c r="I47" s="701"/>
      <c r="J47" s="700"/>
      <c r="K47" s="700"/>
      <c r="L47" s="700"/>
      <c r="M47" s="700"/>
      <c r="N47" s="701"/>
      <c r="O47" s="700"/>
      <c r="P47" s="700"/>
      <c r="Q47" s="700"/>
      <c r="R47" s="700"/>
      <c r="S47" s="701"/>
      <c r="T47" s="700"/>
      <c r="U47" s="700"/>
      <c r="V47" s="700"/>
      <c r="W47" s="700"/>
      <c r="X47" s="701"/>
      <c r="Y47" s="700"/>
      <c r="Z47" s="700"/>
      <c r="AA47" s="700"/>
      <c r="AB47" s="700"/>
      <c r="AC47" s="701"/>
      <c r="AD47" s="700"/>
      <c r="AE47" s="700"/>
      <c r="AF47" s="700"/>
      <c r="AG47" s="700"/>
      <c r="AH47" s="701"/>
      <c r="AI47" s="700"/>
      <c r="AJ47" s="700"/>
      <c r="AK47" s="700"/>
      <c r="AL47" s="700"/>
      <c r="AM47" s="701"/>
      <c r="AN47" s="700"/>
      <c r="AO47" s="700"/>
      <c r="AP47" s="700"/>
      <c r="AQ47" s="700"/>
      <c r="AR47" s="701"/>
      <c r="AS47" s="700"/>
      <c r="AT47" s="702"/>
      <c r="AU47" s="702"/>
      <c r="AV47" s="703"/>
      <c r="AW47" s="701"/>
      <c r="AX47" s="702">
        <f>AX46+0.05%</f>
        <v>0.41589999999999999</v>
      </c>
      <c r="AY47" s="702">
        <f t="shared" ref="AY47" si="52">AY46+0.05%</f>
        <v>0.41399999999999998</v>
      </c>
      <c r="AZ47" s="702">
        <f t="shared" ref="AZ47" si="53">AZ46+0.05%</f>
        <v>0.41149999999999998</v>
      </c>
      <c r="BA47" s="703">
        <f t="shared" ref="BA47" si="54">BA46+0.05%</f>
        <v>0.41549999999999998</v>
      </c>
      <c r="BB47" s="704"/>
      <c r="BC47" s="702">
        <f>BC46+0.05%</f>
        <v>0.40550000000000003</v>
      </c>
      <c r="BD47" s="702">
        <f t="shared" ref="BD47" si="55">BD46+0.05%</f>
        <v>0.40550000000000003</v>
      </c>
      <c r="BE47" s="702">
        <f t="shared" ref="BE47" si="56">BE46+0.05%</f>
        <v>0.40250000000000002</v>
      </c>
      <c r="BF47" s="703">
        <f t="shared" ref="BF47" si="57">BF46+0.05%</f>
        <v>0.40050000000000002</v>
      </c>
      <c r="BG47" s="701"/>
      <c r="BH47" s="702">
        <f>BH46+0.05%</f>
        <v>0.40050000000000002</v>
      </c>
      <c r="BI47" s="702">
        <f t="shared" ref="BI47" si="58">BI46+0.05%</f>
        <v>0.40050000000000002</v>
      </c>
      <c r="BJ47" s="702">
        <f t="shared" ref="BJ47" si="59">BJ46+0.05%</f>
        <v>0.40050000000000002</v>
      </c>
      <c r="BK47" s="703">
        <f t="shared" ref="BK47" si="60">BK46+0.05%</f>
        <v>0.40050000000000002</v>
      </c>
      <c r="BL47" s="701"/>
    </row>
    <row r="48" spans="1:64">
      <c r="A48" s="141"/>
      <c r="B48" s="727"/>
      <c r="C48" s="733"/>
      <c r="D48" s="141"/>
      <c r="E48" s="734"/>
      <c r="F48" s="734"/>
      <c r="G48" s="734"/>
      <c r="H48" s="734"/>
      <c r="I48" s="747"/>
      <c r="J48" s="734"/>
      <c r="K48" s="734"/>
      <c r="L48" s="734"/>
      <c r="M48" s="734"/>
      <c r="N48" s="747"/>
      <c r="O48" s="734"/>
      <c r="P48" s="734"/>
      <c r="Q48" s="734"/>
      <c r="R48" s="734"/>
      <c r="S48" s="747"/>
      <c r="T48" s="734"/>
      <c r="U48" s="734"/>
      <c r="V48" s="734"/>
      <c r="W48" s="734"/>
      <c r="X48" s="747"/>
      <c r="Y48" s="734"/>
      <c r="Z48" s="734"/>
      <c r="AA48" s="734"/>
      <c r="AB48" s="734"/>
      <c r="AC48" s="747"/>
      <c r="AD48" s="734"/>
      <c r="AE48" s="734"/>
      <c r="AF48" s="734"/>
      <c r="AG48" s="734"/>
      <c r="AH48" s="747"/>
      <c r="AI48" s="734"/>
      <c r="AJ48" s="734"/>
      <c r="AK48" s="734"/>
      <c r="AL48" s="734"/>
      <c r="AM48" s="747"/>
      <c r="AN48" s="734"/>
      <c r="AO48" s="734"/>
      <c r="AP48" s="734"/>
      <c r="AQ48" s="734"/>
      <c r="AR48" s="747"/>
      <c r="AS48" s="734"/>
      <c r="AT48" s="748"/>
      <c r="AU48" s="748"/>
      <c r="AV48" s="749"/>
      <c r="AW48" s="750"/>
      <c r="AX48" s="734"/>
      <c r="AY48" s="734"/>
      <c r="AZ48" s="734"/>
      <c r="BA48" s="745"/>
      <c r="BB48" s="745"/>
      <c r="BC48" s="734"/>
      <c r="BD48" s="734"/>
      <c r="BE48" s="734"/>
      <c r="BF48" s="745"/>
      <c r="BG48" s="685"/>
      <c r="BH48" s="734"/>
      <c r="BI48" s="734"/>
      <c r="BJ48" s="734"/>
      <c r="BK48" s="745"/>
      <c r="BL48" s="685"/>
    </row>
    <row r="49" spans="1:64">
      <c r="A49" s="141"/>
      <c r="B49" s="727"/>
      <c r="C49" s="692" t="s">
        <v>247</v>
      </c>
      <c r="D49" s="141"/>
      <c r="E49" s="702"/>
      <c r="F49" s="702"/>
      <c r="G49" s="702"/>
      <c r="H49" s="702"/>
      <c r="I49" s="751"/>
      <c r="J49" s="702"/>
      <c r="K49" s="702"/>
      <c r="L49" s="702"/>
      <c r="M49" s="702"/>
      <c r="N49" s="751"/>
      <c r="O49" s="702"/>
      <c r="P49" s="702"/>
      <c r="Q49" s="702"/>
      <c r="R49" s="702"/>
      <c r="S49" s="751"/>
      <c r="T49" s="702"/>
      <c r="U49" s="702"/>
      <c r="V49" s="702"/>
      <c r="W49" s="702"/>
      <c r="X49" s="751"/>
      <c r="Y49" s="702"/>
      <c r="Z49" s="702"/>
      <c r="AA49" s="702"/>
      <c r="AB49" s="702"/>
      <c r="AC49" s="751"/>
      <c r="AD49" s="702"/>
      <c r="AE49" s="702"/>
      <c r="AF49" s="702"/>
      <c r="AG49" s="702"/>
      <c r="AH49" s="751"/>
      <c r="AI49" s="702"/>
      <c r="AJ49" s="702"/>
      <c r="AK49" s="702"/>
      <c r="AL49" s="702"/>
      <c r="AM49" s="751"/>
      <c r="AN49" s="702"/>
      <c r="AO49" s="702"/>
      <c r="AP49" s="702"/>
      <c r="AQ49" s="702"/>
      <c r="AR49" s="751"/>
      <c r="AS49" s="702"/>
      <c r="AT49" s="748"/>
      <c r="AU49" s="748"/>
      <c r="AV49" s="749"/>
      <c r="AW49" s="751"/>
      <c r="AX49" s="734"/>
      <c r="AY49" s="734"/>
      <c r="AZ49" s="734"/>
      <c r="BA49" s="745"/>
      <c r="BB49" s="703"/>
      <c r="BC49" s="734"/>
      <c r="BD49" s="734"/>
      <c r="BE49" s="734"/>
      <c r="BF49" s="745"/>
      <c r="BG49" s="685"/>
      <c r="BH49" s="734"/>
      <c r="BI49" s="734"/>
      <c r="BJ49" s="734"/>
      <c r="BK49" s="745"/>
      <c r="BL49" s="685"/>
    </row>
    <row r="50" spans="1:64">
      <c r="A50" s="141"/>
      <c r="B50" s="727"/>
      <c r="C50" s="692" t="s">
        <v>244</v>
      </c>
      <c r="D50" s="141"/>
      <c r="E50" s="700"/>
      <c r="F50" s="700"/>
      <c r="G50" s="700"/>
      <c r="H50" s="700"/>
      <c r="I50" s="701"/>
      <c r="J50" s="700"/>
      <c r="K50" s="700"/>
      <c r="L50" s="700"/>
      <c r="M50" s="700"/>
      <c r="N50" s="701"/>
      <c r="O50" s="700"/>
      <c r="P50" s="700"/>
      <c r="Q50" s="700"/>
      <c r="R50" s="700"/>
      <c r="S50" s="701"/>
      <c r="T50" s="700"/>
      <c r="U50" s="700"/>
      <c r="V50" s="700"/>
      <c r="W50" s="700"/>
      <c r="X50" s="701"/>
      <c r="Y50" s="700"/>
      <c r="Z50" s="700"/>
      <c r="AA50" s="700"/>
      <c r="AB50" s="700"/>
      <c r="AC50" s="701"/>
      <c r="AD50" s="700"/>
      <c r="AE50" s="700"/>
      <c r="AF50" s="700"/>
      <c r="AG50" s="700"/>
      <c r="AH50" s="701"/>
      <c r="AI50" s="700"/>
      <c r="AJ50" s="700"/>
      <c r="AK50" s="700"/>
      <c r="AL50" s="700"/>
      <c r="AM50" s="701"/>
      <c r="AN50" s="700"/>
      <c r="AO50" s="700"/>
      <c r="AP50" s="700"/>
      <c r="AQ50" s="700"/>
      <c r="AR50" s="701"/>
      <c r="AS50" s="700"/>
      <c r="AT50" s="702"/>
      <c r="AU50" s="702"/>
      <c r="AV50" s="703"/>
      <c r="AW50" s="701"/>
      <c r="AX50" s="702">
        <f>AX51-0.05%</f>
        <v>0.1245</v>
      </c>
      <c r="AY50" s="702">
        <f t="shared" ref="AY50:BA50" si="61">AY51-0.05%</f>
        <v>0.122</v>
      </c>
      <c r="AZ50" s="702">
        <f t="shared" si="61"/>
        <v>0.1195</v>
      </c>
      <c r="BA50" s="703">
        <f t="shared" si="61"/>
        <v>0.1195</v>
      </c>
      <c r="BB50" s="704"/>
      <c r="BC50" s="702">
        <f>BC51-0.05%</f>
        <v>0.1195</v>
      </c>
      <c r="BD50" s="702">
        <f t="shared" ref="BD50" si="62">BD51-0.05%</f>
        <v>0.1195</v>
      </c>
      <c r="BE50" s="702">
        <f t="shared" ref="BE50" si="63">BE51-0.05%</f>
        <v>0.1195</v>
      </c>
      <c r="BF50" s="703">
        <f t="shared" ref="BF50" si="64">BF51-0.05%</f>
        <v>0.1195</v>
      </c>
      <c r="BG50" s="701"/>
      <c r="BH50" s="702">
        <f>BH51-0.05%</f>
        <v>0.1195</v>
      </c>
      <c r="BI50" s="702">
        <f t="shared" ref="BI50" si="65">BI51-0.05%</f>
        <v>0.1195</v>
      </c>
      <c r="BJ50" s="702">
        <f t="shared" ref="BJ50" si="66">BJ51-0.05%</f>
        <v>0.1195</v>
      </c>
      <c r="BK50" s="703">
        <f t="shared" ref="BK50" si="67">BK51-0.05%</f>
        <v>0.1195</v>
      </c>
      <c r="BL50" s="701"/>
    </row>
    <row r="51" spans="1:64">
      <c r="A51" s="141"/>
      <c r="B51" s="727"/>
      <c r="C51" s="692" t="s">
        <v>245</v>
      </c>
      <c r="D51" s="141"/>
      <c r="E51" s="700">
        <f>'Expense Assumptions'!CE41</f>
        <v>-6.5465085456287708E-3</v>
      </c>
      <c r="F51" s="700">
        <f>'Expense Assumptions'!CF41</f>
        <v>2.3795276006437938E-2</v>
      </c>
      <c r="G51" s="700">
        <f>'Expense Assumptions'!CG41</f>
        <v>1.8218724547570897E-2</v>
      </c>
      <c r="H51" s="700">
        <f>'Expense Assumptions'!CH41</f>
        <v>2.014215216153703E-2</v>
      </c>
      <c r="I51" s="701">
        <f>'Expense Assumptions'!CI41</f>
        <v>1.3948968370125936E-2</v>
      </c>
      <c r="J51" s="700">
        <f>'Expense Assumptions'!CJ41</f>
        <v>3.9862226411301771E-2</v>
      </c>
      <c r="K51" s="700">
        <f>'Expense Assumptions'!CK41</f>
        <v>1.2146114986665735E-2</v>
      </c>
      <c r="L51" s="700">
        <f>'Expense Assumptions'!CL41</f>
        <v>2.7085690890636949E-2</v>
      </c>
      <c r="M51" s="700">
        <f>'Expense Assumptions'!CM41</f>
        <v>7.9320291285165379E-3</v>
      </c>
      <c r="N51" s="701">
        <f>'Expense Assumptions'!CN41</f>
        <v>2.1825907001612688E-2</v>
      </c>
      <c r="O51" s="700">
        <f>'Expense Assumptions'!CO41</f>
        <v>5.3531410325715623E-3</v>
      </c>
      <c r="P51" s="700">
        <f>'Expense Assumptions'!CP41</f>
        <v>1.0697306834450249E-2</v>
      </c>
      <c r="Q51" s="700">
        <f>'Expense Assumptions'!CQ41</f>
        <v>-2.4906220166341364E-2</v>
      </c>
      <c r="R51" s="700">
        <f>'Expense Assumptions'!CR41</f>
        <v>-1.10821463565558E-2</v>
      </c>
      <c r="S51" s="701">
        <f>'Expense Assumptions'!CS41</f>
        <v>-4.9603132114002246E-3</v>
      </c>
      <c r="T51" s="700">
        <f>'Expense Assumptions'!CT41</f>
        <v>8.8949137714020576E-3</v>
      </c>
      <c r="U51" s="700">
        <f>'Expense Assumptions'!CU41</f>
        <v>-1.5771817236017838E-2</v>
      </c>
      <c r="V51" s="700">
        <f>'Expense Assumptions'!CV41</f>
        <v>-9.3015173991961575E-3</v>
      </c>
      <c r="W51" s="700">
        <f>'Expense Assumptions'!CW41</f>
        <v>4.1112322601644102E-3</v>
      </c>
      <c r="X51" s="701">
        <f>'Expense Assumptions'!CX41</f>
        <v>-2.9478602925985253E-3</v>
      </c>
      <c r="Y51" s="700">
        <f>'Expense Assumptions'!CY41</f>
        <v>-3.0143284667235037E-2</v>
      </c>
      <c r="Z51" s="700">
        <f>'Expense Assumptions'!CZ41</f>
        <v>5.9858667776193641E-3</v>
      </c>
      <c r="AA51" s="700">
        <f>'Expense Assumptions'!DA41</f>
        <v>2.7845354087739249E-2</v>
      </c>
      <c r="AB51" s="700">
        <f>'Expense Assumptions'!DB41</f>
        <v>-2.7583281056445808E-3</v>
      </c>
      <c r="AC51" s="701">
        <f>'Expense Assumptions'!DC41</f>
        <v>6.2784710052365966E-4</v>
      </c>
      <c r="AD51" s="700">
        <f>'Expense Assumptions'!DD41</f>
        <v>7.6381017438944543E-3</v>
      </c>
      <c r="AE51" s="700">
        <f>'Expense Assumptions'!DE41</f>
        <v>-2.4351648003861137E-2</v>
      </c>
      <c r="AF51" s="700">
        <f>'Expense Assumptions'!DF41</f>
        <v>-4.055179619952276E-3</v>
      </c>
      <c r="AG51" s="700">
        <f>'Expense Assumptions'!DG41</f>
        <v>2.2506655881591842E-2</v>
      </c>
      <c r="AH51" s="701">
        <f>'Expense Assumptions'!DH41</f>
        <v>2.5064649880057743E-6</v>
      </c>
      <c r="AI51" s="700">
        <f>'Expense Assumptions'!DI41</f>
        <v>2.2732267638104764E-2</v>
      </c>
      <c r="AJ51" s="700">
        <f>'Expense Assumptions'!DJ41</f>
        <v>-1.780067766863036E-2</v>
      </c>
      <c r="AK51" s="700">
        <f>'Expense Assumptions'!DK41</f>
        <v>1.7105020067786691E-2</v>
      </c>
      <c r="AL51" s="700">
        <f>'Expense Assumptions'!DL41</f>
        <v>-1.6042497035618775E-3</v>
      </c>
      <c r="AM51" s="701">
        <f>'Expense Assumptions'!DM41</f>
        <v>7.8742297837769648E-2</v>
      </c>
      <c r="AN51" s="700">
        <f>'Expense Assumptions'!DN41</f>
        <v>4.3610513473257839E-3</v>
      </c>
      <c r="AO51" s="700">
        <f>'Expense Assumptions'!DO41</f>
        <v>6.6080454370003094E-2</v>
      </c>
      <c r="AP51" s="700">
        <f>'Expense Assumptions'!DP41</f>
        <v>6.5277145871365239E-3</v>
      </c>
      <c r="AQ51" s="700">
        <f>'Expense Assumptions'!DQ41</f>
        <v>1.2169531474451656E-2</v>
      </c>
      <c r="AR51" s="701">
        <f>'Expense Assumptions'!DR41</f>
        <v>7.7115682875125824E-2</v>
      </c>
      <c r="AS51" s="700">
        <f>'Expense Assumptions'!DS38</f>
        <v>0.12913779830638952</v>
      </c>
      <c r="AT51" s="700">
        <f>'Expense Assumptions'!DT38</f>
        <v>0.13222501449835686</v>
      </c>
      <c r="AU51" s="700">
        <f>'Expense Assumptions'!DU38</f>
        <v>0.1305403764420158</v>
      </c>
      <c r="AV51" s="704">
        <f>'Expense Assumptions'!DV38</f>
        <v>0.12954931171035264</v>
      </c>
      <c r="AW51" s="701"/>
      <c r="AX51" s="702">
        <v>0.125</v>
      </c>
      <c r="AY51" s="702">
        <v>0.1225</v>
      </c>
      <c r="AZ51" s="702">
        <v>0.12</v>
      </c>
      <c r="BA51" s="702">
        <v>0.12</v>
      </c>
      <c r="BB51" s="701">
        <f>'Expense Assumptions'!EB38</f>
        <v>0.14131313285215966</v>
      </c>
      <c r="BC51" s="702">
        <v>0.12</v>
      </c>
      <c r="BD51" s="702">
        <v>0.12</v>
      </c>
      <c r="BE51" s="702">
        <v>0.12</v>
      </c>
      <c r="BF51" s="702">
        <v>0.12</v>
      </c>
      <c r="BG51" s="701">
        <f>'Expense Assumptions'!EG38</f>
        <v>0.14175430875822237</v>
      </c>
      <c r="BH51" s="702">
        <v>0.12</v>
      </c>
      <c r="BI51" s="702">
        <v>0.12</v>
      </c>
      <c r="BJ51" s="702">
        <v>0.12</v>
      </c>
      <c r="BK51" s="702">
        <v>0.12</v>
      </c>
      <c r="BL51" s="701">
        <f>'Expense Assumptions'!EL38</f>
        <v>0.14525057748958656</v>
      </c>
    </row>
    <row r="52" spans="1:64">
      <c r="A52" s="141"/>
      <c r="B52" s="727"/>
      <c r="C52" s="692" t="s">
        <v>246</v>
      </c>
      <c r="D52" s="141"/>
      <c r="E52" s="700"/>
      <c r="F52" s="700"/>
      <c r="G52" s="700"/>
      <c r="H52" s="700"/>
      <c r="I52" s="701"/>
      <c r="J52" s="700"/>
      <c r="K52" s="700"/>
      <c r="L52" s="700"/>
      <c r="M52" s="700"/>
      <c r="N52" s="701"/>
      <c r="O52" s="700"/>
      <c r="P52" s="700"/>
      <c r="Q52" s="700"/>
      <c r="R52" s="700"/>
      <c r="S52" s="701"/>
      <c r="T52" s="700"/>
      <c r="U52" s="700"/>
      <c r="V52" s="700"/>
      <c r="W52" s="700"/>
      <c r="X52" s="701"/>
      <c r="Y52" s="700"/>
      <c r="Z52" s="700"/>
      <c r="AA52" s="700"/>
      <c r="AB52" s="700"/>
      <c r="AC52" s="701"/>
      <c r="AD52" s="700"/>
      <c r="AE52" s="700"/>
      <c r="AF52" s="700"/>
      <c r="AG52" s="700"/>
      <c r="AH52" s="701"/>
      <c r="AI52" s="700"/>
      <c r="AJ52" s="700"/>
      <c r="AK52" s="700"/>
      <c r="AL52" s="700"/>
      <c r="AM52" s="701"/>
      <c r="AN52" s="700"/>
      <c r="AO52" s="700"/>
      <c r="AP52" s="700"/>
      <c r="AQ52" s="700"/>
      <c r="AR52" s="701"/>
      <c r="AS52" s="700"/>
      <c r="AT52" s="702"/>
      <c r="AU52" s="702"/>
      <c r="AV52" s="703"/>
      <c r="AW52" s="701"/>
      <c r="AX52" s="702">
        <f>AX51+0.05%</f>
        <v>0.1255</v>
      </c>
      <c r="AY52" s="702">
        <f t="shared" ref="AY52" si="68">AY51+0.05%</f>
        <v>0.123</v>
      </c>
      <c r="AZ52" s="702">
        <f t="shared" ref="AZ52" si="69">AZ51+0.05%</f>
        <v>0.1205</v>
      </c>
      <c r="BA52" s="703">
        <f t="shared" ref="BA52" si="70">BA51+0.05%</f>
        <v>0.1205</v>
      </c>
      <c r="BB52" s="704"/>
      <c r="BC52" s="702">
        <f>BC51+0.05%</f>
        <v>0.1205</v>
      </c>
      <c r="BD52" s="702">
        <f t="shared" ref="BD52" si="71">BD51+0.05%</f>
        <v>0.1205</v>
      </c>
      <c r="BE52" s="702">
        <f t="shared" ref="BE52" si="72">BE51+0.05%</f>
        <v>0.1205</v>
      </c>
      <c r="BF52" s="703">
        <f t="shared" ref="BF52" si="73">BF51+0.05%</f>
        <v>0.1205</v>
      </c>
      <c r="BG52" s="701"/>
      <c r="BH52" s="702">
        <f>BH51+0.05%</f>
        <v>0.1205</v>
      </c>
      <c r="BI52" s="702">
        <f t="shared" ref="BI52" si="74">BI51+0.05%</f>
        <v>0.1205</v>
      </c>
      <c r="BJ52" s="702">
        <f t="shared" ref="BJ52" si="75">BJ51+0.05%</f>
        <v>0.1205</v>
      </c>
      <c r="BK52" s="703">
        <f t="shared" ref="BK52" si="76">BK51+0.05%</f>
        <v>0.1205</v>
      </c>
      <c r="BL52" s="701"/>
    </row>
    <row r="53" spans="1:64">
      <c r="A53" s="141"/>
      <c r="B53" s="727"/>
      <c r="C53" s="692"/>
      <c r="D53" s="141"/>
      <c r="E53" s="700"/>
      <c r="F53" s="700"/>
      <c r="G53" s="700"/>
      <c r="H53" s="700"/>
      <c r="I53" s="701"/>
      <c r="J53" s="700"/>
      <c r="K53" s="700"/>
      <c r="L53" s="700"/>
      <c r="M53" s="700"/>
      <c r="N53" s="701"/>
      <c r="O53" s="700"/>
      <c r="P53" s="700"/>
      <c r="Q53" s="700"/>
      <c r="R53" s="700"/>
      <c r="S53" s="701"/>
      <c r="T53" s="700"/>
      <c r="U53" s="700"/>
      <c r="V53" s="700"/>
      <c r="W53" s="700"/>
      <c r="X53" s="701"/>
      <c r="Y53" s="700"/>
      <c r="Z53" s="700"/>
      <c r="AA53" s="700"/>
      <c r="AB53" s="700"/>
      <c r="AC53" s="701"/>
      <c r="AD53" s="700"/>
      <c r="AE53" s="700"/>
      <c r="AF53" s="700"/>
      <c r="AG53" s="700"/>
      <c r="AH53" s="701"/>
      <c r="AI53" s="700"/>
      <c r="AJ53" s="700"/>
      <c r="AK53" s="700"/>
      <c r="AL53" s="700"/>
      <c r="AM53" s="701"/>
      <c r="AN53" s="700"/>
      <c r="AO53" s="700"/>
      <c r="AP53" s="700"/>
      <c r="AQ53" s="700"/>
      <c r="AR53" s="701"/>
      <c r="AS53" s="700"/>
      <c r="AT53" s="746"/>
      <c r="AU53" s="746"/>
      <c r="AV53" s="703"/>
      <c r="AW53" s="701"/>
      <c r="AX53" s="746"/>
      <c r="AY53" s="746"/>
      <c r="AZ53" s="746"/>
      <c r="BA53" s="703"/>
      <c r="BB53" s="704"/>
      <c r="BC53" s="746"/>
      <c r="BD53" s="746"/>
      <c r="BE53" s="746"/>
      <c r="BF53" s="703"/>
      <c r="BG53" s="704"/>
      <c r="BH53" s="746"/>
      <c r="BI53" s="746"/>
      <c r="BJ53" s="746"/>
      <c r="BK53" s="703"/>
      <c r="BL53" s="704"/>
    </row>
    <row r="54" spans="1:64">
      <c r="A54" s="141"/>
      <c r="B54" s="727"/>
      <c r="C54" s="692" t="s">
        <v>379</v>
      </c>
      <c r="D54" s="141"/>
      <c r="E54" s="752"/>
      <c r="F54" s="752"/>
      <c r="G54" s="752"/>
      <c r="H54" s="752"/>
      <c r="I54" s="753"/>
      <c r="J54" s="752"/>
      <c r="K54" s="752"/>
      <c r="L54" s="752"/>
      <c r="M54" s="752"/>
      <c r="N54" s="753"/>
      <c r="O54" s="752"/>
      <c r="P54" s="752"/>
      <c r="Q54" s="752"/>
      <c r="R54" s="752"/>
      <c r="S54" s="753"/>
      <c r="T54" s="752"/>
      <c r="U54" s="752"/>
      <c r="V54" s="752"/>
      <c r="W54" s="752"/>
      <c r="X54" s="753"/>
      <c r="Y54" s="752"/>
      <c r="Z54" s="752"/>
      <c r="AA54" s="752"/>
      <c r="AB54" s="752"/>
      <c r="AC54" s="753"/>
      <c r="AD54" s="752"/>
      <c r="AE54" s="752"/>
      <c r="AF54" s="752"/>
      <c r="AG54" s="752"/>
      <c r="AH54" s="753"/>
      <c r="AI54" s="752"/>
      <c r="AJ54" s="752"/>
      <c r="AK54" s="752"/>
      <c r="AL54" s="752"/>
      <c r="AM54" s="753"/>
      <c r="AN54" s="752"/>
      <c r="AO54" s="752"/>
      <c r="AP54" s="752"/>
      <c r="AQ54" s="752"/>
      <c r="AR54" s="753"/>
      <c r="AS54" s="752"/>
      <c r="AT54" s="746"/>
      <c r="AU54" s="746"/>
      <c r="AV54" s="703"/>
      <c r="AW54" s="753"/>
      <c r="AX54" s="746"/>
      <c r="AY54" s="746"/>
      <c r="AZ54" s="746"/>
      <c r="BA54" s="703"/>
      <c r="BB54" s="754"/>
      <c r="BC54" s="746"/>
      <c r="BD54" s="746"/>
      <c r="BE54" s="746"/>
      <c r="BF54" s="703"/>
      <c r="BG54" s="704"/>
      <c r="BH54" s="746"/>
      <c r="BI54" s="746"/>
      <c r="BJ54" s="746"/>
      <c r="BK54" s="703"/>
      <c r="BL54" s="704"/>
    </row>
    <row r="55" spans="1:64">
      <c r="A55" s="141"/>
      <c r="B55" s="727"/>
      <c r="C55" s="692" t="s">
        <v>244</v>
      </c>
      <c r="D55" s="141"/>
      <c r="E55" s="700"/>
      <c r="F55" s="700"/>
      <c r="G55" s="700"/>
      <c r="H55" s="700"/>
      <c r="I55" s="701"/>
      <c r="J55" s="700"/>
      <c r="K55" s="700"/>
      <c r="L55" s="700"/>
      <c r="M55" s="700"/>
      <c r="N55" s="701"/>
      <c r="O55" s="700"/>
      <c r="P55" s="700"/>
      <c r="Q55" s="700"/>
      <c r="R55" s="700"/>
      <c r="S55" s="701"/>
      <c r="T55" s="700"/>
      <c r="U55" s="700"/>
      <c r="V55" s="700"/>
      <c r="W55" s="700"/>
      <c r="X55" s="701"/>
      <c r="Y55" s="700"/>
      <c r="Z55" s="700"/>
      <c r="AA55" s="700"/>
      <c r="AB55" s="700"/>
      <c r="AC55" s="701"/>
      <c r="AD55" s="700"/>
      <c r="AE55" s="700"/>
      <c r="AF55" s="700"/>
      <c r="AG55" s="700"/>
      <c r="AH55" s="701"/>
      <c r="AI55" s="700"/>
      <c r="AJ55" s="700"/>
      <c r="AK55" s="700"/>
      <c r="AL55" s="700"/>
      <c r="AM55" s="701"/>
      <c r="AN55" s="700"/>
      <c r="AO55" s="700"/>
      <c r="AP55" s="700"/>
      <c r="AQ55" s="700"/>
      <c r="AR55" s="701"/>
      <c r="AS55" s="700"/>
      <c r="AT55" s="702"/>
      <c r="AU55" s="702"/>
      <c r="AV55" s="703"/>
      <c r="AW55" s="701"/>
      <c r="AX55" s="702">
        <f>AX56-0.05%</f>
        <v>0.20050000000000001</v>
      </c>
      <c r="AY55" s="702">
        <f t="shared" ref="AY55" si="77">AY56-0.05%</f>
        <v>0.19400000000000001</v>
      </c>
      <c r="AZ55" s="702">
        <f t="shared" ref="AZ55" si="78">AZ56-0.05%</f>
        <v>0.19350000000000001</v>
      </c>
      <c r="BA55" s="703">
        <f t="shared" ref="BA55" si="79">BA56-0.05%</f>
        <v>0.19350000000000001</v>
      </c>
      <c r="BB55" s="704"/>
      <c r="BC55" s="702">
        <f>BC56-0.05%</f>
        <v>0.19950000000000001</v>
      </c>
      <c r="BD55" s="702">
        <f t="shared" ref="BD55" si="80">BD56-0.05%</f>
        <v>0.19850000000000001</v>
      </c>
      <c r="BE55" s="702">
        <f t="shared" ref="BE55" si="81">BE56-0.05%</f>
        <v>0.19850000000000001</v>
      </c>
      <c r="BF55" s="703">
        <f t="shared" ref="BF55" si="82">BF56-0.05%</f>
        <v>0.19850000000000001</v>
      </c>
      <c r="BG55" s="701"/>
      <c r="BH55" s="702">
        <f>BH56-0.05%</f>
        <v>0.1905</v>
      </c>
      <c r="BI55" s="702">
        <f t="shared" ref="BI55" si="83">BI56-0.05%</f>
        <v>0.1905</v>
      </c>
      <c r="BJ55" s="702">
        <f t="shared" ref="BJ55" si="84">BJ56-0.05%</f>
        <v>0.1895</v>
      </c>
      <c r="BK55" s="703">
        <f t="shared" ref="BK55" si="85">BK56-0.05%</f>
        <v>0.1895</v>
      </c>
      <c r="BL55" s="701"/>
    </row>
    <row r="56" spans="1:64">
      <c r="A56" s="141"/>
      <c r="B56" s="727"/>
      <c r="C56" s="692" t="s">
        <v>245</v>
      </c>
      <c r="D56" s="141"/>
      <c r="E56" s="700" t="e">
        <f>'Expense Assumptions'!CE59</f>
        <v>#REF!</v>
      </c>
      <c r="F56" s="700" t="e">
        <f>'Expense Assumptions'!CF59</f>
        <v>#REF!</v>
      </c>
      <c r="G56" s="700" t="e">
        <f>'Expense Assumptions'!CG59</f>
        <v>#REF!</v>
      </c>
      <c r="H56" s="700" t="e">
        <f>'Expense Assumptions'!CH59</f>
        <v>#REF!</v>
      </c>
      <c r="I56" s="701">
        <f>'Expense Assumptions'!CI59</f>
        <v>-3.4504894466501734E-2</v>
      </c>
      <c r="J56" s="700" t="e">
        <f>'Expense Assumptions'!CJ59</f>
        <v>#REF!</v>
      </c>
      <c r="K56" s="700" t="e">
        <f>'Expense Assumptions'!CK59</f>
        <v>#REF!</v>
      </c>
      <c r="L56" s="700" t="e">
        <f>'Expense Assumptions'!CL59</f>
        <v>#REF!</v>
      </c>
      <c r="M56" s="700" t="e">
        <f>'Expense Assumptions'!CM59</f>
        <v>#REF!</v>
      </c>
      <c r="N56" s="701">
        <f>'Expense Assumptions'!CN59</f>
        <v>3.201444948937282E-2</v>
      </c>
      <c r="O56" s="700">
        <f>'Expense Assumptions'!CO59</f>
        <v>6.2358597291453544E-2</v>
      </c>
      <c r="P56" s="700">
        <f>'Expense Assumptions'!CP59</f>
        <v>3.8882681693102938E-2</v>
      </c>
      <c r="Q56" s="700">
        <f>'Expense Assumptions'!CQ59</f>
        <v>4.7106897093507349E-2</v>
      </c>
      <c r="R56" s="700">
        <f>'Expense Assumptions'!CR59</f>
        <v>7.9474927438731857E-2</v>
      </c>
      <c r="S56" s="701">
        <f>'Expense Assumptions'!CS59</f>
        <v>5.6571122048542311E-2</v>
      </c>
      <c r="T56" s="700">
        <f>'Expense Assumptions'!CT59</f>
        <v>8.2882291718069601E-2</v>
      </c>
      <c r="U56" s="700">
        <f>'Expense Assumptions'!CU59</f>
        <v>4.2581002376469446E-2</v>
      </c>
      <c r="V56" s="700">
        <f>'Expense Assumptions'!CV59</f>
        <v>2.1341579818396017E-2</v>
      </c>
      <c r="W56" s="700">
        <f>'Expense Assumptions'!CW59</f>
        <v>8.3797028588837197E-2</v>
      </c>
      <c r="X56" s="701">
        <f>'Expense Assumptions'!CX59</f>
        <v>5.700680732538399E-2</v>
      </c>
      <c r="Y56" s="700">
        <f>'Expense Assumptions'!CY59</f>
        <v>7.7961036121386496E-2</v>
      </c>
      <c r="Z56" s="700">
        <f>'Expense Assumptions'!CZ59</f>
        <v>7.3673705997696626E-2</v>
      </c>
      <c r="AA56" s="700">
        <f>'Expense Assumptions'!DA59</f>
        <v>6.5328968631589879E-2</v>
      </c>
      <c r="AB56" s="700">
        <f>'Expense Assumptions'!DB59</f>
        <v>0.12805853404866729</v>
      </c>
      <c r="AC56" s="701">
        <f>'Expense Assumptions'!DC59</f>
        <v>9.5120708870217952E-2</v>
      </c>
      <c r="AD56" s="700">
        <f>'Expense Assumptions'!DD59</f>
        <v>8.3660676747627782E-2</v>
      </c>
      <c r="AE56" s="700">
        <f>'Expense Assumptions'!DE59</f>
        <v>6.198131204510382E-2</v>
      </c>
      <c r="AF56" s="700">
        <f>'Expense Assumptions'!DF59</f>
        <v>4.0246946433906361E-2</v>
      </c>
      <c r="AG56" s="700">
        <f>'Expense Assumptions'!DG59</f>
        <v>-1.6125585827965527E-2</v>
      </c>
      <c r="AH56" s="701">
        <f>'Expense Assumptions'!DH59</f>
        <v>3.3189284336174074E-2</v>
      </c>
      <c r="AI56" s="700">
        <f>'Expense Assumptions'!DI59</f>
        <v>2.2867874331195193E-2</v>
      </c>
      <c r="AJ56" s="700">
        <f>'Expense Assumptions'!DJ59</f>
        <v>-4.0996620691244212E-2</v>
      </c>
      <c r="AK56" s="700">
        <f>'Expense Assumptions'!DK59</f>
        <v>3.2639158506378552E-2</v>
      </c>
      <c r="AL56" s="700">
        <f>'Expense Assumptions'!DL59</f>
        <v>2.4006762737067477E-2</v>
      </c>
      <c r="AM56" s="701">
        <f>'Expense Assumptions'!DM59</f>
        <v>9.8739455501795081E-3</v>
      </c>
      <c r="AN56" s="700">
        <f>'Expense Assumptions'!DN59</f>
        <v>6.5752908737208848E-3</v>
      </c>
      <c r="AO56" s="700">
        <f>'Expense Assumptions'!DO59</f>
        <v>0.12637318507688433</v>
      </c>
      <c r="AP56" s="700">
        <f>'Expense Assumptions'!DP59</f>
        <v>7.8849057412133883E-2</v>
      </c>
      <c r="AQ56" s="700">
        <f>'Expense Assumptions'!DQ59</f>
        <v>7.848292824547376E-2</v>
      </c>
      <c r="AR56" s="701">
        <f>'Expense Assumptions'!DR59</f>
        <v>7.0107019796306291E-2</v>
      </c>
      <c r="AS56" s="700">
        <f>'Expense Assumptions'!DS56</f>
        <v>0.21247113163972287</v>
      </c>
      <c r="AT56" s="700">
        <f>'Expense Assumptions'!DT56</f>
        <v>0.20684322443456407</v>
      </c>
      <c r="AU56" s="700">
        <f>'Expense Assumptions'!DU56</f>
        <v>0.20785266140457398</v>
      </c>
      <c r="AV56" s="704">
        <f>'Expense Assumptions'!DV56</f>
        <v>0.19064680369602113</v>
      </c>
      <c r="AW56" s="701"/>
      <c r="AX56" s="702">
        <v>0.20100000000000001</v>
      </c>
      <c r="AY56" s="702">
        <v>0.19450000000000001</v>
      </c>
      <c r="AZ56" s="702">
        <v>0.19400000000000001</v>
      </c>
      <c r="BA56" s="702">
        <v>0.19400000000000001</v>
      </c>
      <c r="BB56" s="701">
        <f>'Expense Assumptions'!EB56</f>
        <v>0.19589532297401352</v>
      </c>
      <c r="BC56" s="702">
        <v>0.2</v>
      </c>
      <c r="BD56" s="702">
        <v>0.19900000000000001</v>
      </c>
      <c r="BE56" s="702">
        <v>0.19900000000000001</v>
      </c>
      <c r="BF56" s="702">
        <v>0.19900000000000001</v>
      </c>
      <c r="BG56" s="701">
        <f>'Expense Assumptions'!EG56</f>
        <v>0.19924624986767006</v>
      </c>
      <c r="BH56" s="702">
        <v>0.191</v>
      </c>
      <c r="BI56" s="702">
        <v>0.191</v>
      </c>
      <c r="BJ56" s="702">
        <v>0.19</v>
      </c>
      <c r="BK56" s="702">
        <v>0.19</v>
      </c>
      <c r="BL56" s="701">
        <f>'Expense Assumptions'!EL56</f>
        <v>0.19049611207456996</v>
      </c>
    </row>
    <row r="57" spans="1:64">
      <c r="A57" s="141"/>
      <c r="B57" s="727"/>
      <c r="C57" s="692" t="s">
        <v>246</v>
      </c>
      <c r="D57" s="141"/>
      <c r="E57" s="700"/>
      <c r="F57" s="700"/>
      <c r="G57" s="700"/>
      <c r="H57" s="700"/>
      <c r="I57" s="701"/>
      <c r="J57" s="700"/>
      <c r="K57" s="700"/>
      <c r="L57" s="700"/>
      <c r="M57" s="700"/>
      <c r="N57" s="701"/>
      <c r="O57" s="700"/>
      <c r="P57" s="700"/>
      <c r="Q57" s="700"/>
      <c r="R57" s="700"/>
      <c r="S57" s="701"/>
      <c r="T57" s="700"/>
      <c r="U57" s="700"/>
      <c r="V57" s="700"/>
      <c r="W57" s="700"/>
      <c r="X57" s="701"/>
      <c r="Y57" s="700"/>
      <c r="Z57" s="700"/>
      <c r="AA57" s="700"/>
      <c r="AB57" s="700"/>
      <c r="AC57" s="701"/>
      <c r="AD57" s="700"/>
      <c r="AE57" s="700"/>
      <c r="AF57" s="700"/>
      <c r="AG57" s="700"/>
      <c r="AH57" s="701"/>
      <c r="AI57" s="700"/>
      <c r="AJ57" s="700"/>
      <c r="AK57" s="700"/>
      <c r="AL57" s="700"/>
      <c r="AM57" s="701"/>
      <c r="AN57" s="700"/>
      <c r="AO57" s="700"/>
      <c r="AP57" s="700"/>
      <c r="AQ57" s="700"/>
      <c r="AR57" s="701"/>
      <c r="AS57" s="700"/>
      <c r="AT57" s="702"/>
      <c r="AU57" s="702"/>
      <c r="AV57" s="703"/>
      <c r="AW57" s="701"/>
      <c r="AX57" s="702">
        <f>AX56+0.05%</f>
        <v>0.20150000000000001</v>
      </c>
      <c r="AY57" s="702">
        <f t="shared" ref="AY57" si="86">AY56+0.05%</f>
        <v>0.19500000000000001</v>
      </c>
      <c r="AZ57" s="702">
        <f t="shared" ref="AZ57" si="87">AZ56+0.05%</f>
        <v>0.19450000000000001</v>
      </c>
      <c r="BA57" s="703">
        <f t="shared" ref="BA57" si="88">BA56+0.05%</f>
        <v>0.19450000000000001</v>
      </c>
      <c r="BB57" s="704"/>
      <c r="BC57" s="702">
        <f>BC56+0.05%</f>
        <v>0.20050000000000001</v>
      </c>
      <c r="BD57" s="702">
        <f t="shared" ref="BD57" si="89">BD56+0.05%</f>
        <v>0.19950000000000001</v>
      </c>
      <c r="BE57" s="702">
        <f t="shared" ref="BE57" si="90">BE56+0.05%</f>
        <v>0.19950000000000001</v>
      </c>
      <c r="BF57" s="703">
        <f t="shared" ref="BF57" si="91">BF56+0.05%</f>
        <v>0.19950000000000001</v>
      </c>
      <c r="BG57" s="701"/>
      <c r="BH57" s="702">
        <f>BH56+0.05%</f>
        <v>0.1915</v>
      </c>
      <c r="BI57" s="702">
        <f t="shared" ref="BI57" si="92">BI56+0.05%</f>
        <v>0.1915</v>
      </c>
      <c r="BJ57" s="702">
        <f t="shared" ref="BJ57" si="93">BJ56+0.05%</f>
        <v>0.1905</v>
      </c>
      <c r="BK57" s="703">
        <f t="shared" ref="BK57" si="94">BK56+0.05%</f>
        <v>0.1905</v>
      </c>
      <c r="BL57" s="701"/>
    </row>
    <row r="58" spans="1:64" ht="13.5" thickBot="1">
      <c r="A58" s="141"/>
      <c r="B58" s="740"/>
      <c r="C58" s="721"/>
      <c r="D58" s="721"/>
      <c r="E58" s="721"/>
      <c r="F58" s="721"/>
      <c r="G58" s="721"/>
      <c r="H58" s="721"/>
      <c r="I58" s="755"/>
      <c r="J58" s="721"/>
      <c r="K58" s="721"/>
      <c r="L58" s="721"/>
      <c r="M58" s="721"/>
      <c r="N58" s="755"/>
      <c r="O58" s="721"/>
      <c r="P58" s="721"/>
      <c r="Q58" s="721"/>
      <c r="R58" s="721"/>
      <c r="S58" s="755"/>
      <c r="T58" s="721"/>
      <c r="U58" s="721"/>
      <c r="V58" s="721"/>
      <c r="W58" s="721"/>
      <c r="X58" s="755"/>
      <c r="Y58" s="721"/>
      <c r="Z58" s="721"/>
      <c r="AA58" s="721"/>
      <c r="AB58" s="721"/>
      <c r="AC58" s="755"/>
      <c r="AD58" s="721"/>
      <c r="AE58" s="721"/>
      <c r="AF58" s="721"/>
      <c r="AG58" s="721"/>
      <c r="AH58" s="755"/>
      <c r="AI58" s="721"/>
      <c r="AJ58" s="721"/>
      <c r="AK58" s="721"/>
      <c r="AL58" s="721"/>
      <c r="AM58" s="755"/>
      <c r="AN58" s="721"/>
      <c r="AO58" s="721"/>
      <c r="AP58" s="721"/>
      <c r="AQ58" s="721"/>
      <c r="AR58" s="755"/>
      <c r="AS58" s="721"/>
      <c r="AT58" s="721"/>
      <c r="AU58" s="721"/>
      <c r="AV58" s="741"/>
      <c r="AW58" s="755"/>
      <c r="AX58" s="721"/>
      <c r="AY58" s="721"/>
      <c r="AZ58" s="721"/>
      <c r="BA58" s="741"/>
      <c r="BB58" s="741"/>
      <c r="BC58" s="721"/>
      <c r="BD58" s="721"/>
      <c r="BE58" s="721"/>
      <c r="BF58" s="741"/>
      <c r="BG58" s="741"/>
      <c r="BH58" s="721"/>
      <c r="BI58" s="721"/>
      <c r="BJ58" s="721"/>
      <c r="BK58" s="741"/>
      <c r="BL58" s="741"/>
    </row>
    <row r="59" spans="1:64" ht="13.5" thickBot="1">
      <c r="A59" s="152"/>
      <c r="B59" s="756" t="s">
        <v>102</v>
      </c>
      <c r="C59" s="757"/>
      <c r="D59" s="152"/>
      <c r="E59" s="758"/>
      <c r="F59" s="758"/>
      <c r="G59" s="758"/>
      <c r="H59" s="758"/>
      <c r="I59" s="758"/>
      <c r="J59" s="758"/>
      <c r="K59" s="758"/>
      <c r="L59" s="758"/>
      <c r="M59" s="758"/>
      <c r="N59" s="758"/>
      <c r="O59" s="758"/>
      <c r="P59" s="758"/>
      <c r="Q59" s="758"/>
      <c r="R59" s="758"/>
      <c r="S59" s="758"/>
      <c r="T59" s="758"/>
      <c r="U59" s="758"/>
      <c r="V59" s="758"/>
      <c r="W59" s="758"/>
      <c r="X59" s="758"/>
      <c r="Y59" s="758"/>
      <c r="Z59" s="758"/>
      <c r="AA59" s="758"/>
      <c r="AB59" s="758"/>
      <c r="AC59" s="758"/>
      <c r="AD59" s="758"/>
      <c r="AE59" s="758"/>
      <c r="AF59" s="758"/>
      <c r="AG59" s="758"/>
      <c r="AH59" s="758"/>
      <c r="AI59" s="758"/>
      <c r="AJ59" s="758"/>
      <c r="AK59" s="758"/>
      <c r="AL59" s="758"/>
      <c r="AM59" s="758"/>
      <c r="AN59" s="758"/>
      <c r="AO59" s="758"/>
      <c r="AP59" s="758"/>
      <c r="AQ59" s="758"/>
      <c r="AR59" s="758"/>
      <c r="AS59" s="758"/>
      <c r="AT59" s="758"/>
      <c r="AU59" s="758"/>
      <c r="AV59" s="758"/>
      <c r="AW59" s="758"/>
      <c r="AX59" s="758"/>
      <c r="AY59" s="758"/>
      <c r="AZ59" s="758"/>
      <c r="BA59" s="758"/>
      <c r="BB59" s="758"/>
      <c r="BC59" s="758"/>
      <c r="BD59" s="758"/>
      <c r="BE59" s="758"/>
      <c r="BF59" s="758"/>
      <c r="BG59" s="758"/>
      <c r="BH59" s="758"/>
      <c r="BI59" s="758"/>
      <c r="BJ59" s="758"/>
      <c r="BK59" s="758"/>
      <c r="BL59" s="758"/>
    </row>
    <row r="60" spans="1:64">
      <c r="A60" s="152"/>
      <c r="B60" s="681" t="s">
        <v>103</v>
      </c>
      <c r="C60" s="759">
        <v>0.7</v>
      </c>
      <c r="D60" s="152"/>
      <c r="E60" s="758"/>
      <c r="F60" s="758"/>
      <c r="G60" s="758"/>
      <c r="H60" s="758"/>
      <c r="I60" s="758"/>
      <c r="J60" s="758"/>
      <c r="K60" s="758"/>
      <c r="L60" s="758"/>
      <c r="M60" s="758"/>
      <c r="N60" s="758"/>
      <c r="O60" s="758"/>
      <c r="P60" s="758"/>
      <c r="Q60" s="758"/>
      <c r="R60" s="758"/>
      <c r="S60" s="758"/>
      <c r="T60" s="758"/>
      <c r="U60" s="758"/>
      <c r="V60" s="758"/>
      <c r="W60" s="758"/>
      <c r="X60" s="758"/>
      <c r="Y60" s="758"/>
      <c r="Z60" s="758"/>
      <c r="AA60" s="758"/>
      <c r="AB60" s="758"/>
      <c r="AC60" s="758"/>
      <c r="AD60" s="758"/>
      <c r="AE60" s="758"/>
      <c r="AF60" s="758"/>
      <c r="AG60" s="758"/>
      <c r="AH60" s="758"/>
      <c r="AI60" s="758"/>
      <c r="AJ60" s="758"/>
      <c r="AK60" s="758"/>
      <c r="AL60" s="758"/>
      <c r="AM60" s="758"/>
      <c r="AN60" s="758"/>
      <c r="AO60" s="758"/>
      <c r="AP60" s="758"/>
      <c r="AQ60" s="758"/>
      <c r="AR60" s="758"/>
      <c r="AS60" s="758"/>
      <c r="AT60" s="758"/>
      <c r="AU60" s="758"/>
      <c r="AV60" s="758"/>
      <c r="AW60" s="758"/>
      <c r="AX60" s="758"/>
      <c r="AY60" s="758"/>
      <c r="AZ60" s="758"/>
      <c r="BA60" s="758"/>
      <c r="BB60" s="758"/>
      <c r="BC60" s="758"/>
      <c r="BD60" s="758"/>
      <c r="BE60" s="758"/>
      <c r="BF60" s="758"/>
      <c r="BG60" s="758"/>
      <c r="BH60" s="758"/>
      <c r="BI60" s="758"/>
      <c r="BJ60" s="758"/>
      <c r="BK60" s="758"/>
      <c r="BL60" s="758"/>
    </row>
    <row r="61" spans="1:64">
      <c r="A61" s="152"/>
      <c r="B61" s="681" t="s">
        <v>339</v>
      </c>
      <c r="C61" s="759">
        <v>0.1</v>
      </c>
      <c r="D61" s="152"/>
      <c r="E61" s="558"/>
      <c r="F61" s="558"/>
      <c r="G61" s="558"/>
      <c r="H61" s="558"/>
      <c r="I61" s="760"/>
      <c r="J61" s="558"/>
      <c r="K61" s="558"/>
      <c r="L61" s="558"/>
      <c r="M61" s="558"/>
      <c r="N61" s="760"/>
      <c r="O61" s="558"/>
      <c r="P61" s="558"/>
      <c r="Q61" s="558"/>
      <c r="R61" s="558"/>
      <c r="S61" s="760"/>
      <c r="T61" s="558"/>
      <c r="U61" s="558"/>
      <c r="V61" s="558"/>
      <c r="W61" s="558"/>
      <c r="X61" s="760"/>
      <c r="Y61" s="558"/>
      <c r="Z61" s="558"/>
      <c r="AA61" s="558"/>
      <c r="AB61" s="558"/>
      <c r="AC61" s="760"/>
      <c r="AD61" s="558"/>
      <c r="AE61" s="558"/>
      <c r="AF61" s="558"/>
      <c r="AG61" s="558"/>
      <c r="AH61" s="760"/>
      <c r="AI61" s="558"/>
      <c r="AJ61" s="558"/>
      <c r="AK61" s="558"/>
      <c r="AL61" s="558"/>
      <c r="AM61" s="760"/>
      <c r="AN61" s="558"/>
      <c r="AO61" s="558"/>
      <c r="AP61" s="558"/>
      <c r="AQ61" s="558"/>
      <c r="AR61" s="760"/>
      <c r="AS61" s="558"/>
      <c r="AT61" s="558"/>
      <c r="AU61" s="558"/>
      <c r="AV61" s="558"/>
      <c r="AW61" s="760"/>
      <c r="AX61" s="558"/>
      <c r="AY61" s="558"/>
      <c r="AZ61" s="558"/>
      <c r="BA61" s="558"/>
      <c r="BB61" s="760"/>
      <c r="BC61" s="558"/>
      <c r="BD61" s="558"/>
      <c r="BE61" s="558"/>
      <c r="BF61" s="558"/>
      <c r="BG61" s="760"/>
      <c r="BH61" s="558"/>
      <c r="BI61" s="558"/>
      <c r="BJ61" s="558"/>
      <c r="BK61" s="558"/>
      <c r="BL61" s="760"/>
    </row>
    <row r="62" spans="1:64" ht="13.5" thickBot="1">
      <c r="A62" s="152"/>
      <c r="B62" s="714" t="s">
        <v>44</v>
      </c>
      <c r="C62" s="761">
        <v>0.75</v>
      </c>
      <c r="D62" s="152"/>
      <c r="E62" s="758"/>
      <c r="F62" s="758"/>
      <c r="G62" s="758"/>
      <c r="H62" s="758"/>
      <c r="I62" s="758"/>
      <c r="J62" s="758"/>
      <c r="K62" s="758"/>
      <c r="L62" s="758"/>
      <c r="M62" s="758"/>
      <c r="N62" s="758"/>
      <c r="O62" s="758"/>
      <c r="P62" s="758"/>
      <c r="Q62" s="758"/>
      <c r="R62" s="758"/>
      <c r="S62" s="758"/>
      <c r="T62" s="758"/>
      <c r="U62" s="758"/>
      <c r="V62" s="758"/>
      <c r="W62" s="758"/>
      <c r="X62" s="758"/>
      <c r="Y62" s="758"/>
      <c r="Z62" s="758"/>
      <c r="AA62" s="758"/>
      <c r="AB62" s="758"/>
      <c r="AC62" s="758"/>
      <c r="AD62" s="758"/>
      <c r="AE62" s="758"/>
      <c r="AF62" s="758"/>
      <c r="AG62" s="758"/>
      <c r="AH62" s="758"/>
      <c r="AI62" s="758"/>
      <c r="AJ62" s="758"/>
      <c r="AK62" s="758"/>
      <c r="AL62" s="758"/>
      <c r="AM62" s="758"/>
      <c r="AN62" s="758"/>
      <c r="AO62" s="758"/>
      <c r="AP62" s="758"/>
      <c r="AQ62" s="758"/>
      <c r="AR62" s="758"/>
      <c r="AS62" s="758"/>
      <c r="AT62" s="758"/>
      <c r="AU62" s="758"/>
      <c r="AV62" s="758"/>
      <c r="AW62" s="758"/>
      <c r="AX62" s="758"/>
      <c r="AY62" s="758"/>
      <c r="AZ62" s="758"/>
      <c r="BA62" s="758"/>
      <c r="BB62" s="758"/>
      <c r="BC62" s="758"/>
      <c r="BD62" s="758"/>
      <c r="BE62" s="758"/>
      <c r="BF62" s="758"/>
      <c r="BG62" s="758"/>
      <c r="BH62" s="758"/>
      <c r="BI62" s="758"/>
      <c r="BJ62" s="758"/>
      <c r="BK62" s="758"/>
      <c r="BL62" s="758"/>
    </row>
    <row r="63" spans="1:64">
      <c r="A63" s="152"/>
      <c r="B63" s="152"/>
      <c r="C63" s="152"/>
      <c r="D63" s="152"/>
      <c r="E63" s="762"/>
      <c r="F63" s="762"/>
      <c r="G63" s="762"/>
      <c r="H63" s="762"/>
      <c r="I63" s="762"/>
      <c r="J63" s="762"/>
      <c r="K63" s="762"/>
      <c r="L63" s="762"/>
      <c r="M63" s="762"/>
      <c r="N63" s="762"/>
      <c r="O63" s="762"/>
      <c r="P63" s="762"/>
      <c r="Q63" s="762"/>
      <c r="R63" s="762"/>
      <c r="S63" s="762"/>
      <c r="T63" s="762"/>
      <c r="U63" s="762"/>
      <c r="V63" s="762"/>
      <c r="W63" s="762"/>
      <c r="X63" s="762"/>
      <c r="Y63" s="762"/>
      <c r="Z63" s="762"/>
      <c r="AA63" s="762"/>
      <c r="AB63" s="762"/>
      <c r="AC63" s="762"/>
      <c r="AD63" s="762"/>
      <c r="AE63" s="762"/>
      <c r="AF63" s="762"/>
      <c r="AG63" s="762"/>
      <c r="AH63" s="762"/>
      <c r="AI63" s="762"/>
      <c r="AJ63" s="762"/>
      <c r="AK63" s="762"/>
      <c r="AL63" s="762"/>
      <c r="AM63" s="762"/>
      <c r="AN63" s="762"/>
      <c r="AO63" s="762"/>
      <c r="AP63" s="762"/>
      <c r="AQ63" s="762"/>
      <c r="AR63" s="762"/>
      <c r="AS63" s="762"/>
      <c r="AT63" s="762"/>
      <c r="AU63" s="762"/>
      <c r="AV63" s="762"/>
      <c r="AW63" s="762"/>
      <c r="AX63" s="762"/>
      <c r="AY63" s="762"/>
      <c r="AZ63" s="762"/>
      <c r="BA63" s="762"/>
      <c r="BB63" s="762"/>
      <c r="BC63" s="762"/>
      <c r="BD63" s="762"/>
      <c r="BE63" s="762"/>
      <c r="BF63" s="762"/>
      <c r="BG63" s="762"/>
      <c r="BH63" s="762"/>
      <c r="BI63" s="762"/>
      <c r="BJ63" s="762"/>
      <c r="BK63" s="762"/>
      <c r="BL63" s="762"/>
    </row>
    <row r="64" spans="1:64">
      <c r="A64" s="152"/>
      <c r="B64" s="152"/>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row>
    <row r="65" spans="1:64">
      <c r="A65" s="141"/>
      <c r="B65" s="763" t="s">
        <v>248</v>
      </c>
      <c r="C65" s="152"/>
      <c r="D65" s="152"/>
      <c r="E65" s="758"/>
      <c r="F65" s="758"/>
      <c r="G65" s="758"/>
      <c r="H65" s="758"/>
      <c r="I65" s="758"/>
      <c r="J65" s="758"/>
      <c r="K65" s="758"/>
      <c r="L65" s="758"/>
      <c r="M65" s="758"/>
      <c r="N65" s="758"/>
      <c r="O65" s="758"/>
      <c r="P65" s="758"/>
      <c r="Q65" s="758"/>
      <c r="R65" s="758"/>
      <c r="S65" s="758"/>
      <c r="T65" s="758"/>
      <c r="U65" s="758"/>
      <c r="V65" s="758"/>
      <c r="W65" s="758"/>
      <c r="X65" s="758"/>
      <c r="Y65" s="758"/>
      <c r="Z65" s="758"/>
      <c r="AA65" s="758"/>
      <c r="AB65" s="758"/>
      <c r="AC65" s="758"/>
      <c r="AD65" s="758"/>
      <c r="AE65" s="758"/>
      <c r="AF65" s="758"/>
      <c r="AG65" s="758"/>
      <c r="AH65" s="758"/>
      <c r="AI65" s="758"/>
      <c r="AJ65" s="758"/>
      <c r="AK65" s="758"/>
      <c r="AL65" s="758"/>
      <c r="AM65" s="758"/>
      <c r="AN65" s="758"/>
      <c r="AO65" s="758"/>
      <c r="AP65" s="758"/>
      <c r="AQ65" s="758"/>
      <c r="AR65" s="758"/>
      <c r="AS65" s="758"/>
      <c r="AT65" s="758"/>
      <c r="AU65" s="758"/>
      <c r="AV65" s="758"/>
      <c r="AW65" s="758"/>
      <c r="AX65" s="758"/>
      <c r="AY65" s="758"/>
      <c r="AZ65" s="758"/>
      <c r="BA65" s="758"/>
      <c r="BB65" s="758"/>
      <c r="BC65" s="758"/>
      <c r="BD65" s="758"/>
      <c r="BE65" s="758"/>
      <c r="BF65" s="758"/>
      <c r="BG65" s="758"/>
      <c r="BH65" s="758"/>
      <c r="BI65" s="758"/>
      <c r="BJ65" s="758"/>
      <c r="BK65" s="758"/>
      <c r="BL65" s="758"/>
    </row>
    <row r="66" spans="1:64">
      <c r="A66" s="141"/>
      <c r="B66" s="152" t="s">
        <v>249</v>
      </c>
      <c r="C66" s="152"/>
      <c r="D66" s="152"/>
      <c r="E66" s="558"/>
      <c r="F66" s="558"/>
      <c r="G66" s="558"/>
      <c r="H66" s="558"/>
      <c r="I66" s="558"/>
      <c r="J66" s="558"/>
      <c r="K66" s="558"/>
      <c r="L66" s="558"/>
      <c r="M66" s="558"/>
      <c r="N66" s="558"/>
      <c r="O66" s="558"/>
      <c r="P66" s="558"/>
      <c r="Q66" s="558"/>
      <c r="R66" s="558"/>
      <c r="S66" s="558"/>
      <c r="T66" s="558"/>
      <c r="U66" s="558"/>
      <c r="V66" s="558"/>
      <c r="W66" s="558"/>
      <c r="X66" s="558"/>
      <c r="Y66" s="558"/>
      <c r="Z66" s="558"/>
      <c r="AA66" s="558"/>
      <c r="AB66" s="558"/>
      <c r="AC66" s="558"/>
      <c r="AD66" s="558"/>
      <c r="AE66" s="558"/>
      <c r="AF66" s="558"/>
      <c r="AG66" s="558"/>
      <c r="AH66" s="558"/>
      <c r="AI66" s="558"/>
      <c r="AJ66" s="558"/>
      <c r="AK66" s="558"/>
      <c r="AL66" s="558"/>
      <c r="AM66" s="558"/>
      <c r="AN66" s="558"/>
      <c r="AO66" s="558"/>
      <c r="AP66" s="558"/>
      <c r="AQ66" s="558"/>
      <c r="AR66" s="558"/>
      <c r="AS66" s="558"/>
      <c r="AT66" s="558"/>
      <c r="AU66" s="558"/>
      <c r="AV66" s="558"/>
      <c r="AW66" s="558"/>
      <c r="AX66" s="558"/>
      <c r="AY66" s="558"/>
      <c r="AZ66" s="558"/>
      <c r="BA66" s="558"/>
      <c r="BB66" s="558"/>
      <c r="BC66" s="558"/>
      <c r="BD66" s="558"/>
      <c r="BE66" s="558"/>
      <c r="BF66" s="558"/>
      <c r="BG66" s="558"/>
      <c r="BH66" s="558"/>
      <c r="BI66" s="558"/>
      <c r="BJ66" s="558"/>
      <c r="BK66" s="558"/>
      <c r="BL66" s="558"/>
    </row>
    <row r="67" spans="1:64">
      <c r="A67" s="141"/>
      <c r="B67" s="152" t="s">
        <v>250</v>
      </c>
      <c r="C67" s="152"/>
      <c r="D67" s="152"/>
      <c r="E67" s="152"/>
      <c r="F67" s="152"/>
      <c r="G67" s="152"/>
      <c r="H67" s="152"/>
      <c r="I67" s="152"/>
      <c r="J67" s="152"/>
      <c r="K67" s="152"/>
      <c r="L67" s="152"/>
      <c r="M67" s="152"/>
      <c r="N67" s="152"/>
      <c r="O67" s="152"/>
      <c r="P67" s="152"/>
      <c r="Q67" s="152"/>
      <c r="R67" s="152"/>
      <c r="S67" s="152"/>
      <c r="T67" s="152"/>
      <c r="U67" s="152"/>
      <c r="V67" s="152"/>
      <c r="W67" s="152"/>
      <c r="X67" s="152"/>
      <c r="Y67" s="152"/>
      <c r="Z67" s="152"/>
      <c r="AA67" s="152"/>
      <c r="AB67" s="152"/>
      <c r="AC67" s="152"/>
      <c r="AD67" s="152"/>
      <c r="AE67" s="152"/>
      <c r="AF67" s="152"/>
      <c r="AG67" s="152"/>
      <c r="AH67" s="152"/>
      <c r="AI67" s="152"/>
      <c r="AJ67" s="152"/>
      <c r="AK67" s="152"/>
      <c r="AL67" s="152"/>
      <c r="AM67" s="152"/>
      <c r="AN67" s="152"/>
      <c r="AO67" s="152"/>
      <c r="AP67" s="152"/>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row>
    <row r="68" spans="1:64">
      <c r="A68" s="141"/>
      <c r="B68" s="152" t="s">
        <v>251</v>
      </c>
      <c r="C68" s="152"/>
      <c r="D68" s="152"/>
      <c r="E68" s="152"/>
      <c r="F68" s="152"/>
      <c r="G68" s="152"/>
      <c r="H68" s="152"/>
      <c r="I68" s="763"/>
      <c r="J68" s="152"/>
      <c r="K68" s="152"/>
      <c r="L68" s="152"/>
      <c r="M68" s="152"/>
      <c r="N68" s="763"/>
      <c r="O68" s="152"/>
      <c r="P68" s="152"/>
      <c r="Q68" s="152"/>
      <c r="R68" s="152"/>
      <c r="S68" s="763"/>
      <c r="T68" s="152"/>
      <c r="U68" s="152"/>
      <c r="V68" s="152"/>
      <c r="W68" s="152"/>
      <c r="X68" s="763"/>
      <c r="Y68" s="152"/>
      <c r="Z68" s="152"/>
      <c r="AA68" s="152"/>
      <c r="AB68" s="152"/>
      <c r="AC68" s="763"/>
      <c r="AD68" s="152"/>
      <c r="AE68" s="152"/>
      <c r="AF68" s="152"/>
      <c r="AG68" s="152"/>
      <c r="AH68" s="763"/>
      <c r="AI68" s="152"/>
      <c r="AJ68" s="152"/>
      <c r="AK68" s="152"/>
      <c r="AL68" s="152"/>
      <c r="AM68" s="763"/>
      <c r="AN68" s="152"/>
      <c r="AO68" s="152"/>
      <c r="AP68" s="152"/>
      <c r="AQ68" s="152"/>
      <c r="AR68" s="763"/>
      <c r="AS68" s="152"/>
      <c r="AT68" s="152"/>
      <c r="AU68" s="152"/>
      <c r="AV68" s="152"/>
      <c r="AW68" s="763"/>
      <c r="AX68" s="152"/>
      <c r="AY68" s="152"/>
      <c r="AZ68" s="152"/>
      <c r="BA68" s="152"/>
      <c r="BB68" s="763"/>
      <c r="BC68" s="152"/>
      <c r="BD68" s="152"/>
      <c r="BE68" s="152"/>
      <c r="BF68" s="152"/>
      <c r="BG68" s="763"/>
      <c r="BH68" s="152"/>
      <c r="BI68" s="152"/>
      <c r="BJ68" s="152"/>
      <c r="BK68" s="152"/>
      <c r="BL68" s="763"/>
    </row>
    <row r="69" spans="1:64">
      <c r="A69" s="141"/>
      <c r="B69" s="152" t="s">
        <v>254</v>
      </c>
      <c r="C69" s="152"/>
      <c r="D69" s="152"/>
      <c r="E69" s="758"/>
      <c r="F69" s="758"/>
      <c r="G69" s="758"/>
      <c r="H69" s="758"/>
      <c r="I69" s="758"/>
      <c r="J69" s="758"/>
      <c r="K69" s="758"/>
      <c r="L69" s="758"/>
      <c r="M69" s="758"/>
      <c r="N69" s="758"/>
      <c r="O69" s="758"/>
      <c r="P69" s="758"/>
      <c r="Q69" s="758"/>
      <c r="R69" s="758"/>
      <c r="S69" s="758"/>
      <c r="T69" s="758"/>
      <c r="U69" s="758"/>
      <c r="V69" s="758"/>
      <c r="W69" s="758"/>
      <c r="X69" s="758"/>
      <c r="Y69" s="758"/>
      <c r="Z69" s="758"/>
      <c r="AA69" s="758"/>
      <c r="AB69" s="758"/>
      <c r="AC69" s="758"/>
      <c r="AD69" s="758"/>
      <c r="AE69" s="758"/>
      <c r="AF69" s="758"/>
      <c r="AG69" s="758"/>
      <c r="AH69" s="758"/>
      <c r="AI69" s="758"/>
      <c r="AJ69" s="758"/>
      <c r="AK69" s="758"/>
      <c r="AL69" s="758"/>
      <c r="AM69" s="758"/>
      <c r="AN69" s="758"/>
      <c r="AO69" s="758"/>
      <c r="AP69" s="758"/>
      <c r="AQ69" s="758"/>
      <c r="AR69" s="758"/>
      <c r="AS69" s="758"/>
      <c r="AT69" s="758"/>
      <c r="AU69" s="758"/>
      <c r="AV69" s="758"/>
      <c r="AW69" s="758"/>
      <c r="AX69" s="758"/>
      <c r="AY69" s="758"/>
      <c r="AZ69" s="758"/>
      <c r="BA69" s="758"/>
      <c r="BB69" s="758"/>
      <c r="BC69" s="758"/>
      <c r="BD69" s="758"/>
      <c r="BE69" s="758"/>
      <c r="BF69" s="758"/>
      <c r="BG69" s="758"/>
      <c r="BH69" s="758"/>
      <c r="BI69" s="758"/>
      <c r="BJ69" s="758"/>
      <c r="BK69" s="758"/>
      <c r="BL69" s="758"/>
    </row>
    <row r="70" spans="1:64" ht="13.5" hidden="1" outlineLevel="1" thickBot="1">
      <c r="A70" s="141"/>
      <c r="B70" s="692" t="s">
        <v>255</v>
      </c>
      <c r="C70" s="141"/>
      <c r="D70" s="758"/>
      <c r="E70" s="758"/>
      <c r="F70" s="758"/>
      <c r="G70" s="758"/>
      <c r="H70" s="758"/>
      <c r="I70" s="758"/>
      <c r="J70" s="758"/>
      <c r="K70" s="758"/>
      <c r="L70" s="758"/>
      <c r="M70" s="758"/>
      <c r="N70" s="758"/>
      <c r="O70" s="758"/>
      <c r="P70" s="758"/>
      <c r="Q70" s="758"/>
      <c r="R70" s="758"/>
      <c r="S70" s="758"/>
      <c r="T70" s="758"/>
      <c r="U70" s="758"/>
      <c r="V70" s="758"/>
      <c r="W70" s="758"/>
      <c r="X70" s="758"/>
      <c r="Y70" s="758"/>
      <c r="Z70" s="758"/>
      <c r="AA70" s="758"/>
      <c r="AB70" s="758"/>
      <c r="AC70" s="758"/>
      <c r="AD70" s="758"/>
      <c r="AE70" s="758"/>
      <c r="AF70" s="758"/>
      <c r="AG70" s="758"/>
      <c r="AH70" s="758"/>
      <c r="AI70" s="758"/>
      <c r="AJ70" s="758"/>
      <c r="AK70" s="758"/>
      <c r="AL70" s="758"/>
      <c r="AM70" s="758"/>
      <c r="AN70" s="758"/>
      <c r="AO70" s="758"/>
      <c r="AP70" s="758"/>
      <c r="AQ70" s="758"/>
      <c r="AR70" s="758"/>
      <c r="AS70" s="758"/>
      <c r="AT70" s="758"/>
      <c r="AU70" s="758"/>
      <c r="AV70" s="758"/>
      <c r="AW70" s="758"/>
      <c r="AX70" s="758"/>
      <c r="AY70" s="758"/>
      <c r="AZ70" s="758"/>
      <c r="BA70" s="758"/>
      <c r="BB70" s="758"/>
      <c r="BC70" s="758"/>
      <c r="BD70" s="758"/>
      <c r="BE70" s="758"/>
      <c r="BF70" s="758"/>
      <c r="BG70" s="758"/>
      <c r="BH70" s="758"/>
      <c r="BI70" s="758"/>
      <c r="BJ70" s="758"/>
      <c r="BK70" s="758"/>
      <c r="BL70" s="758"/>
    </row>
    <row r="71" spans="1:64" ht="13.5" hidden="1" outlineLevel="1" thickBot="1">
      <c r="A71" s="679"/>
      <c r="B71" s="764" t="s">
        <v>596</v>
      </c>
      <c r="C71" s="679"/>
      <c r="D71" s="558"/>
      <c r="E71" s="765"/>
      <c r="F71" s="765"/>
      <c r="G71" s="765"/>
      <c r="H71" s="765"/>
      <c r="I71" s="765"/>
      <c r="J71" s="765"/>
      <c r="K71" s="765"/>
      <c r="L71" s="765"/>
      <c r="M71" s="765"/>
      <c r="N71" s="765"/>
      <c r="O71" s="765"/>
      <c r="P71" s="765"/>
      <c r="Q71" s="765"/>
      <c r="R71" s="765"/>
      <c r="S71" s="765"/>
      <c r="T71" s="765"/>
      <c r="U71" s="765"/>
      <c r="V71" s="765"/>
      <c r="W71" s="765"/>
      <c r="X71" s="765"/>
      <c r="Y71" s="765"/>
      <c r="Z71" s="765"/>
      <c r="AA71" s="765"/>
      <c r="AB71" s="765"/>
      <c r="AC71" s="765"/>
      <c r="AD71" s="765"/>
      <c r="AE71" s="765"/>
      <c r="AF71" s="765"/>
      <c r="AG71" s="765"/>
      <c r="AH71" s="765"/>
      <c r="AI71" s="765"/>
      <c r="AJ71" s="765"/>
      <c r="AK71" s="765"/>
      <c r="AL71" s="765"/>
      <c r="AM71" s="765"/>
      <c r="AN71" s="765"/>
      <c r="AO71" s="765"/>
      <c r="AP71" s="765"/>
      <c r="AQ71" s="765"/>
      <c r="AR71" s="765"/>
      <c r="AS71" s="765"/>
      <c r="AT71" s="765"/>
      <c r="AU71" s="765"/>
      <c r="AV71" s="765"/>
      <c r="AW71" s="765"/>
      <c r="AX71" s="765"/>
      <c r="AY71" s="765"/>
      <c r="AZ71" s="765"/>
      <c r="BA71" s="765"/>
      <c r="BB71" s="765"/>
      <c r="BC71" s="765"/>
      <c r="BD71" s="765"/>
      <c r="BE71" s="765"/>
      <c r="BF71" s="765"/>
      <c r="BG71" s="765"/>
      <c r="BH71" s="765"/>
      <c r="BI71" s="765"/>
      <c r="BJ71" s="765"/>
      <c r="BK71" s="765"/>
      <c r="BL71" s="765"/>
    </row>
    <row r="72" spans="1:64" collapsed="1">
      <c r="B72" s="680"/>
      <c r="C72" s="680"/>
      <c r="D72" s="680"/>
      <c r="E72" s="680"/>
      <c r="F72" s="680"/>
      <c r="G72" s="680"/>
      <c r="H72" s="680"/>
      <c r="I72" s="680"/>
      <c r="J72" s="680"/>
      <c r="K72" s="680"/>
      <c r="L72" s="680"/>
      <c r="M72" s="680"/>
      <c r="N72" s="680"/>
      <c r="O72" s="680"/>
      <c r="P72" s="680"/>
      <c r="Q72" s="680"/>
      <c r="R72" s="680"/>
      <c r="S72" s="680"/>
      <c r="T72" s="680"/>
      <c r="U72" s="680"/>
      <c r="V72" s="680"/>
      <c r="W72" s="680"/>
      <c r="X72" s="680"/>
      <c r="Y72" s="680"/>
      <c r="Z72" s="680"/>
      <c r="AA72" s="680"/>
      <c r="AB72" s="680"/>
      <c r="AC72" s="680"/>
      <c r="AD72" s="680"/>
      <c r="AE72" s="680"/>
      <c r="AF72" s="680"/>
      <c r="AG72" s="680"/>
      <c r="AH72" s="680"/>
      <c r="AI72" s="680"/>
      <c r="AJ72" s="680"/>
      <c r="AK72" s="680"/>
      <c r="AL72" s="680"/>
      <c r="AM72" s="680"/>
      <c r="AN72" s="680"/>
      <c r="AO72" s="680"/>
      <c r="AP72" s="680"/>
      <c r="AQ72" s="680"/>
      <c r="AR72" s="680"/>
      <c r="AS72" s="680"/>
      <c r="AT72" s="680"/>
      <c r="AU72" s="680"/>
      <c r="AV72" s="680"/>
      <c r="AW72" s="680"/>
      <c r="AX72" s="680"/>
      <c r="AY72" s="680"/>
      <c r="AZ72" s="680"/>
      <c r="BA72" s="680"/>
      <c r="BB72" s="680"/>
      <c r="BC72" s="680"/>
      <c r="BD72" s="680"/>
      <c r="BE72" s="680"/>
      <c r="BF72" s="680"/>
      <c r="BG72" s="680"/>
      <c r="BH72" s="680"/>
      <c r="BI72" s="680"/>
      <c r="BJ72" s="680"/>
      <c r="BK72" s="680"/>
      <c r="BL72" s="680"/>
    </row>
    <row r="73" spans="1:64">
      <c r="B73" s="680"/>
      <c r="C73" s="680"/>
      <c r="D73" s="680"/>
      <c r="E73" s="680"/>
      <c r="F73" s="680"/>
      <c r="G73" s="680"/>
      <c r="H73" s="680"/>
      <c r="I73" s="680"/>
      <c r="J73" s="680"/>
      <c r="K73" s="680"/>
      <c r="L73" s="680"/>
      <c r="M73" s="680"/>
      <c r="N73" s="680"/>
      <c r="O73" s="680"/>
      <c r="P73" s="680"/>
      <c r="Q73" s="680"/>
      <c r="R73" s="680"/>
      <c r="S73" s="680"/>
      <c r="T73" s="680"/>
      <c r="U73" s="680"/>
      <c r="V73" s="680"/>
      <c r="W73" s="680"/>
      <c r="X73" s="680"/>
      <c r="Y73" s="680"/>
      <c r="Z73" s="680"/>
      <c r="AA73" s="680"/>
      <c r="AB73" s="680"/>
      <c r="AC73" s="680"/>
      <c r="AD73" s="680"/>
      <c r="AE73" s="680"/>
      <c r="AF73" s="680"/>
      <c r="AG73" s="680"/>
      <c r="AH73" s="680"/>
      <c r="AI73" s="680"/>
      <c r="AJ73" s="680"/>
      <c r="AK73" s="680"/>
      <c r="AL73" s="680"/>
      <c r="AM73" s="680"/>
      <c r="AN73" s="680"/>
      <c r="AO73" s="680"/>
      <c r="AP73" s="680"/>
      <c r="AQ73" s="680"/>
      <c r="AR73" s="680"/>
      <c r="AS73" s="680"/>
      <c r="AT73" s="680"/>
      <c r="AU73" s="680"/>
      <c r="AV73" s="680"/>
      <c r="AW73" s="680"/>
      <c r="AX73" s="680"/>
      <c r="AY73" s="680"/>
      <c r="AZ73" s="680"/>
      <c r="BA73" s="680"/>
      <c r="BB73" s="680"/>
      <c r="BC73" s="680"/>
      <c r="BD73" s="680"/>
      <c r="BE73" s="680"/>
      <c r="BF73" s="680"/>
      <c r="BG73" s="680"/>
      <c r="BH73" s="680"/>
      <c r="BI73" s="680"/>
      <c r="BJ73" s="680"/>
      <c r="BK73" s="680"/>
      <c r="BL73" s="680"/>
    </row>
    <row r="74" spans="1:64">
      <c r="B74" s="680"/>
      <c r="C74" s="680"/>
      <c r="D74" s="680"/>
      <c r="E74" s="680"/>
      <c r="F74" s="680"/>
      <c r="G74" s="680"/>
      <c r="H74" s="680"/>
      <c r="I74" s="680"/>
      <c r="J74" s="680"/>
      <c r="K74" s="680"/>
      <c r="L74" s="680"/>
      <c r="M74" s="680"/>
      <c r="N74" s="680"/>
      <c r="O74" s="680"/>
      <c r="P74" s="680"/>
      <c r="Q74" s="680"/>
      <c r="R74" s="680"/>
      <c r="S74" s="680"/>
      <c r="T74" s="680"/>
      <c r="U74" s="680"/>
      <c r="V74" s="680"/>
      <c r="W74" s="680"/>
      <c r="X74" s="680"/>
      <c r="Y74" s="680"/>
      <c r="Z74" s="680"/>
      <c r="AA74" s="680"/>
      <c r="AB74" s="680"/>
      <c r="AC74" s="680"/>
      <c r="AD74" s="680"/>
      <c r="AE74" s="680"/>
      <c r="AF74" s="680"/>
      <c r="AG74" s="680"/>
      <c r="AH74" s="680"/>
      <c r="AI74" s="680"/>
      <c r="AJ74" s="680"/>
      <c r="AK74" s="680"/>
      <c r="AL74" s="680"/>
      <c r="AM74" s="680"/>
      <c r="AN74" s="680"/>
      <c r="AO74" s="680"/>
      <c r="AP74" s="680"/>
      <c r="AQ74" s="680"/>
      <c r="AR74" s="680"/>
      <c r="AS74" s="680"/>
      <c r="AT74" s="680"/>
      <c r="AU74" s="680"/>
      <c r="AV74" s="680"/>
      <c r="AW74" s="680"/>
      <c r="AX74" s="680"/>
      <c r="AY74" s="680"/>
      <c r="AZ74" s="680"/>
      <c r="BA74" s="680"/>
      <c r="BB74" s="680"/>
      <c r="BC74" s="680"/>
      <c r="BD74" s="680"/>
      <c r="BE74" s="680"/>
      <c r="BF74" s="680"/>
      <c r="BG74" s="680"/>
      <c r="BH74" s="680"/>
      <c r="BI74" s="680"/>
      <c r="BJ74" s="680"/>
      <c r="BK74" s="680"/>
      <c r="BL74" s="680"/>
    </row>
    <row r="75" spans="1:64">
      <c r="B75" s="680"/>
      <c r="C75" s="680"/>
      <c r="D75" s="680"/>
      <c r="E75" s="680"/>
      <c r="F75" s="680"/>
      <c r="G75" s="680"/>
      <c r="H75" s="680"/>
      <c r="I75" s="680"/>
      <c r="J75" s="680"/>
      <c r="K75" s="680"/>
      <c r="L75" s="680"/>
      <c r="M75" s="680"/>
      <c r="N75" s="680"/>
      <c r="O75" s="680"/>
      <c r="P75" s="680"/>
      <c r="Q75" s="680"/>
      <c r="R75" s="680"/>
      <c r="S75" s="680"/>
      <c r="T75" s="680"/>
      <c r="U75" s="680"/>
      <c r="V75" s="680"/>
      <c r="W75" s="680"/>
      <c r="X75" s="680"/>
      <c r="Y75" s="680"/>
      <c r="Z75" s="680"/>
      <c r="AA75" s="680"/>
      <c r="AB75" s="680"/>
      <c r="AC75" s="680"/>
      <c r="AD75" s="680"/>
      <c r="AE75" s="680"/>
      <c r="AF75" s="680"/>
      <c r="AG75" s="680"/>
      <c r="AH75" s="680"/>
      <c r="AI75" s="680"/>
      <c r="AJ75" s="680"/>
      <c r="AK75" s="680"/>
      <c r="AL75" s="680"/>
      <c r="AM75" s="680"/>
      <c r="AN75" s="680"/>
      <c r="AO75" s="680"/>
      <c r="AP75" s="680"/>
      <c r="AQ75" s="680"/>
      <c r="AR75" s="680"/>
      <c r="AS75" s="680"/>
      <c r="AT75" s="680"/>
      <c r="AU75" s="680"/>
      <c r="AV75" s="680"/>
      <c r="AW75" s="680"/>
      <c r="AX75" s="680"/>
      <c r="AY75" s="680"/>
      <c r="AZ75" s="680"/>
      <c r="BA75" s="680"/>
      <c r="BB75" s="680"/>
      <c r="BC75" s="680"/>
      <c r="BD75" s="680"/>
      <c r="BE75" s="680"/>
      <c r="BF75" s="680"/>
      <c r="BG75" s="680"/>
      <c r="BH75" s="680"/>
      <c r="BI75" s="680"/>
      <c r="BJ75" s="680"/>
      <c r="BK75" s="680"/>
      <c r="BL75" s="680"/>
    </row>
    <row r="76" spans="1:64">
      <c r="B76" s="680"/>
      <c r="C76" s="680"/>
      <c r="D76" s="680"/>
      <c r="E76" s="680"/>
      <c r="F76" s="680"/>
      <c r="G76" s="680"/>
      <c r="H76" s="680"/>
      <c r="I76" s="680"/>
      <c r="J76" s="680"/>
      <c r="K76" s="680"/>
      <c r="L76" s="680"/>
      <c r="M76" s="680"/>
      <c r="N76" s="680"/>
      <c r="O76" s="680"/>
      <c r="P76" s="680"/>
      <c r="Q76" s="680"/>
      <c r="R76" s="680"/>
      <c r="S76" s="680"/>
      <c r="T76" s="680"/>
      <c r="U76" s="680"/>
      <c r="V76" s="680"/>
      <c r="W76" s="680"/>
      <c r="X76" s="680"/>
      <c r="Y76" s="680"/>
      <c r="Z76" s="680"/>
      <c r="AA76" s="680"/>
      <c r="AB76" s="680"/>
      <c r="AC76" s="680"/>
      <c r="AD76" s="680"/>
      <c r="AE76" s="680"/>
      <c r="AF76" s="680"/>
      <c r="AG76" s="680"/>
      <c r="AH76" s="680"/>
      <c r="AI76" s="680"/>
      <c r="AJ76" s="680"/>
      <c r="AK76" s="680"/>
      <c r="AL76" s="680"/>
      <c r="AM76" s="680"/>
      <c r="AN76" s="680"/>
      <c r="AO76" s="680"/>
      <c r="AP76" s="680"/>
      <c r="AQ76" s="680"/>
      <c r="AR76" s="680"/>
      <c r="AS76" s="680"/>
      <c r="AT76" s="680"/>
      <c r="AU76" s="680"/>
      <c r="AV76" s="680"/>
      <c r="AW76" s="680"/>
      <c r="AX76" s="680"/>
      <c r="AY76" s="680"/>
      <c r="AZ76" s="680"/>
      <c r="BA76" s="680"/>
      <c r="BB76" s="680"/>
      <c r="BC76" s="680"/>
      <c r="BD76" s="680"/>
      <c r="BE76" s="680"/>
      <c r="BF76" s="680"/>
      <c r="BG76" s="680"/>
      <c r="BH76" s="680"/>
      <c r="BI76" s="680"/>
      <c r="BJ76" s="680"/>
      <c r="BK76" s="680"/>
      <c r="BL76" s="680"/>
    </row>
    <row r="77" spans="1:64">
      <c r="B77" s="680"/>
      <c r="C77" s="680"/>
      <c r="D77" s="680"/>
      <c r="E77" s="680"/>
      <c r="F77" s="680"/>
      <c r="G77" s="680"/>
      <c r="H77" s="680"/>
      <c r="I77" s="680"/>
      <c r="J77" s="680"/>
      <c r="K77" s="680"/>
      <c r="L77" s="680"/>
      <c r="M77" s="680"/>
      <c r="N77" s="680"/>
      <c r="O77" s="680"/>
      <c r="P77" s="680"/>
      <c r="Q77" s="680"/>
      <c r="R77" s="680"/>
      <c r="S77" s="680"/>
      <c r="T77" s="680"/>
      <c r="U77" s="680"/>
      <c r="V77" s="680"/>
      <c r="W77" s="680"/>
      <c r="X77" s="680"/>
      <c r="Y77" s="680"/>
      <c r="Z77" s="680"/>
      <c r="AA77" s="680"/>
      <c r="AB77" s="680"/>
      <c r="AC77" s="680"/>
      <c r="AD77" s="680"/>
      <c r="AE77" s="680"/>
      <c r="AF77" s="680"/>
      <c r="AG77" s="680"/>
      <c r="AH77" s="680"/>
      <c r="AI77" s="680"/>
      <c r="AJ77" s="680"/>
      <c r="AK77" s="680"/>
      <c r="AL77" s="680"/>
      <c r="AM77" s="680"/>
      <c r="AN77" s="680"/>
      <c r="AO77" s="680"/>
      <c r="AP77" s="680"/>
      <c r="AQ77" s="680"/>
      <c r="AR77" s="680"/>
      <c r="AS77" s="680"/>
      <c r="AT77" s="680"/>
      <c r="AU77" s="680"/>
      <c r="AV77" s="680"/>
      <c r="AW77" s="680"/>
      <c r="AX77" s="680"/>
      <c r="AY77" s="680"/>
      <c r="AZ77" s="680"/>
      <c r="BA77" s="680"/>
      <c r="BB77" s="680"/>
      <c r="BC77" s="680"/>
      <c r="BD77" s="680"/>
      <c r="BE77" s="680"/>
      <c r="BF77" s="680"/>
      <c r="BG77" s="680"/>
      <c r="BH77" s="680"/>
      <c r="BI77" s="680"/>
      <c r="BJ77" s="680"/>
      <c r="BK77" s="680"/>
      <c r="BL77" s="680"/>
    </row>
    <row r="78" spans="1:64">
      <c r="B78" s="680"/>
      <c r="C78" s="680"/>
      <c r="D78" s="680"/>
      <c r="E78" s="680"/>
      <c r="F78" s="680"/>
      <c r="G78" s="680"/>
      <c r="H78" s="680"/>
      <c r="I78" s="680"/>
      <c r="J78" s="680"/>
      <c r="K78" s="680"/>
      <c r="L78" s="680"/>
      <c r="M78" s="680"/>
      <c r="N78" s="680"/>
      <c r="O78" s="680"/>
      <c r="P78" s="680"/>
      <c r="Q78" s="680"/>
      <c r="R78" s="680"/>
      <c r="S78" s="680"/>
      <c r="T78" s="680"/>
      <c r="U78" s="680"/>
      <c r="V78" s="680"/>
      <c r="W78" s="680"/>
      <c r="X78" s="680"/>
      <c r="Y78" s="680"/>
      <c r="Z78" s="680"/>
      <c r="AA78" s="680"/>
      <c r="AB78" s="680"/>
      <c r="AC78" s="680"/>
      <c r="AD78" s="680"/>
      <c r="AE78" s="680"/>
      <c r="AF78" s="680"/>
      <c r="AG78" s="680"/>
      <c r="AH78" s="680"/>
      <c r="AI78" s="680"/>
      <c r="AJ78" s="680"/>
      <c r="AK78" s="680"/>
      <c r="AL78" s="680"/>
      <c r="AM78" s="680"/>
      <c r="AN78" s="680"/>
      <c r="AO78" s="680"/>
      <c r="AP78" s="680"/>
      <c r="AQ78" s="680"/>
      <c r="AR78" s="680"/>
      <c r="AS78" s="680"/>
      <c r="AT78" s="680"/>
      <c r="AU78" s="680"/>
      <c r="AV78" s="680"/>
      <c r="AW78" s="680"/>
      <c r="AX78" s="680"/>
      <c r="AY78" s="680"/>
      <c r="AZ78" s="680"/>
      <c r="BA78" s="680"/>
      <c r="BB78" s="680"/>
      <c r="BC78" s="680"/>
      <c r="BD78" s="680"/>
      <c r="BE78" s="680"/>
      <c r="BF78" s="680"/>
      <c r="BG78" s="680"/>
      <c r="BH78" s="680"/>
      <c r="BI78" s="680"/>
      <c r="BJ78" s="680"/>
      <c r="BK78" s="680"/>
      <c r="BL78" s="680"/>
    </row>
    <row r="79" spans="1:64">
      <c r="B79" s="680"/>
      <c r="C79" s="680"/>
      <c r="D79" s="680"/>
      <c r="E79" s="680"/>
      <c r="F79" s="680"/>
      <c r="G79" s="680"/>
      <c r="H79" s="680"/>
      <c r="I79" s="680"/>
      <c r="J79" s="680"/>
      <c r="K79" s="680"/>
      <c r="L79" s="680"/>
      <c r="M79" s="680"/>
      <c r="N79" s="680"/>
      <c r="O79" s="680"/>
      <c r="P79" s="680"/>
      <c r="Q79" s="680"/>
      <c r="R79" s="680"/>
      <c r="S79" s="680"/>
      <c r="T79" s="680"/>
      <c r="U79" s="680"/>
      <c r="V79" s="680"/>
      <c r="W79" s="680"/>
      <c r="X79" s="680"/>
      <c r="Y79" s="680"/>
      <c r="Z79" s="680"/>
      <c r="AA79" s="680"/>
      <c r="AB79" s="680"/>
      <c r="AC79" s="680"/>
      <c r="AD79" s="680"/>
      <c r="AE79" s="680"/>
      <c r="AF79" s="680"/>
      <c r="AG79" s="680"/>
      <c r="AH79" s="680"/>
      <c r="AI79" s="680"/>
      <c r="AJ79" s="680"/>
      <c r="AK79" s="680"/>
      <c r="AL79" s="680"/>
      <c r="AM79" s="680"/>
      <c r="AN79" s="680"/>
      <c r="AO79" s="680"/>
      <c r="AP79" s="680"/>
      <c r="AQ79" s="680"/>
      <c r="AR79" s="680"/>
      <c r="AS79" s="680"/>
      <c r="AT79" s="680"/>
      <c r="AU79" s="680"/>
      <c r="AV79" s="680"/>
      <c r="AW79" s="680"/>
      <c r="AX79" s="680"/>
      <c r="AY79" s="680"/>
      <c r="AZ79" s="680"/>
      <c r="BA79" s="680"/>
      <c r="BB79" s="680"/>
      <c r="BC79" s="680"/>
      <c r="BD79" s="680"/>
      <c r="BE79" s="680"/>
      <c r="BF79" s="680"/>
      <c r="BG79" s="680"/>
      <c r="BH79" s="680"/>
      <c r="BI79" s="680"/>
      <c r="BJ79" s="680"/>
      <c r="BK79" s="680"/>
      <c r="BL79" s="680"/>
    </row>
  </sheetData>
  <mergeCells count="3">
    <mergeCell ref="B10:D10"/>
    <mergeCell ref="B14:D14"/>
    <mergeCell ref="B18:D18"/>
  </mergeCells>
  <phoneticPr fontId="35" type="noConversion"/>
  <dataValidations disablePrompts="1" count="1">
    <dataValidation type="list" allowBlank="1" showInputMessage="1" showErrorMessage="1" sqref="C37 C8 C27">
      <formula1>"1, 2, 3"</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JK149"/>
  <sheetViews>
    <sheetView showGridLines="0" zoomScaleNormal="100" zoomScaleSheetLayoutView="100" workbookViewId="0">
      <pane xSplit="3" ySplit="6" topLeftCell="DR7" activePane="bottomRight" state="frozen"/>
      <selection pane="topRight" activeCell="C1" sqref="C1"/>
      <selection pane="bottomLeft" activeCell="A9" sqref="A9"/>
      <selection pane="bottomRight" activeCell="DR12" sqref="DR12"/>
    </sheetView>
  </sheetViews>
  <sheetFormatPr defaultRowHeight="12.75" outlineLevelRow="1" outlineLevelCol="1"/>
  <cols>
    <col min="1" max="1" width="2.140625" customWidth="1"/>
    <col min="2" max="2" width="35.85546875" customWidth="1"/>
    <col min="3" max="3" width="8.7109375" hidden="1" customWidth="1"/>
    <col min="4" max="7" width="8.7109375" hidden="1" customWidth="1" outlineLevel="1"/>
    <col min="8" max="8" width="8.7109375" hidden="1" customWidth="1" collapsed="1"/>
    <col min="9" max="12" width="8.7109375" hidden="1" customWidth="1" outlineLevel="1"/>
    <col min="13" max="13" width="8.7109375" hidden="1" customWidth="1" collapsed="1"/>
    <col min="14" max="17" width="8.7109375" hidden="1" customWidth="1" outlineLevel="1"/>
    <col min="18" max="18" width="8.7109375" hidden="1" customWidth="1" collapsed="1"/>
    <col min="19" max="22" width="8.7109375" hidden="1" customWidth="1" outlineLevel="1"/>
    <col min="23" max="23" width="8.7109375" hidden="1" customWidth="1" collapsed="1"/>
    <col min="24" max="27" width="8.7109375" hidden="1" customWidth="1" outlineLevel="1"/>
    <col min="28" max="28" width="8.7109375" hidden="1" customWidth="1" collapsed="1"/>
    <col min="29" max="32" width="8.7109375" hidden="1" customWidth="1" outlineLevel="1"/>
    <col min="33" max="33" width="8.7109375" hidden="1" customWidth="1" collapsed="1"/>
    <col min="34" max="37" width="8.7109375" hidden="1" customWidth="1" outlineLevel="1"/>
    <col min="38" max="38" width="8.7109375" hidden="1" customWidth="1" collapsed="1"/>
    <col min="39" max="42" width="8.7109375" hidden="1" customWidth="1" outlineLevel="1"/>
    <col min="43" max="43" width="8.7109375" hidden="1" customWidth="1" collapsed="1"/>
    <col min="44" max="47" width="8.7109375" hidden="1" customWidth="1" outlineLevel="1"/>
    <col min="48" max="48" width="8.7109375" hidden="1" customWidth="1" collapsed="1"/>
    <col min="49" max="56" width="8.7109375" hidden="1" customWidth="1" outlineLevel="1"/>
    <col min="57" max="57" width="8.7109375" hidden="1" customWidth="1" collapsed="1"/>
    <col min="58" max="61" width="8.7109375" hidden="1" customWidth="1" outlineLevel="1"/>
    <col min="62" max="62" width="8.7109375" hidden="1" customWidth="1" collapsed="1"/>
    <col min="63" max="66" width="8.7109375" hidden="1" customWidth="1" outlineLevel="1"/>
    <col min="67" max="67" width="8.7109375" hidden="1" customWidth="1" collapsed="1"/>
    <col min="68" max="71" width="8.7109375" hidden="1" customWidth="1" outlineLevel="1"/>
    <col min="72" max="72" width="8.7109375" hidden="1" customWidth="1" collapsed="1"/>
    <col min="73" max="76" width="8.7109375" hidden="1" customWidth="1" outlineLevel="1"/>
    <col min="77" max="77" width="8.7109375" hidden="1" customWidth="1" collapsed="1"/>
    <col min="78" max="81" width="8.7109375" hidden="1" customWidth="1" outlineLevel="1"/>
    <col min="82" max="82" width="8.7109375" hidden="1" customWidth="1" collapsed="1"/>
    <col min="83" max="86" width="8.7109375" hidden="1" customWidth="1" outlineLevel="1"/>
    <col min="87" max="87" width="8.7109375" hidden="1" customWidth="1" collapsed="1"/>
    <col min="88" max="91" width="8.7109375" hidden="1" customWidth="1" outlineLevel="1"/>
    <col min="92" max="92" width="8.7109375" hidden="1" customWidth="1" collapsed="1"/>
    <col min="93" max="96" width="8.7109375" hidden="1" customWidth="1" outlineLevel="1"/>
    <col min="97" max="97" width="8.7109375" hidden="1" customWidth="1" collapsed="1"/>
    <col min="98" max="101" width="8.7109375" hidden="1" customWidth="1" outlineLevel="1"/>
    <col min="102" max="102" width="8.7109375" hidden="1" customWidth="1" collapsed="1"/>
    <col min="103" max="106" width="8.7109375" hidden="1" customWidth="1" outlineLevel="1"/>
    <col min="107" max="107" width="8.7109375" hidden="1" customWidth="1" collapsed="1"/>
    <col min="108" max="111" width="8.7109375" hidden="1" customWidth="1" outlineLevel="1"/>
    <col min="112" max="112" width="8.7109375" hidden="1" customWidth="1" collapsed="1"/>
    <col min="113" max="116" width="8.7109375" hidden="1" customWidth="1" outlineLevel="1"/>
    <col min="117" max="117" width="8.7109375" hidden="1" customWidth="1" collapsed="1"/>
    <col min="118" max="121" width="8.7109375" hidden="1" customWidth="1" outlineLevel="1"/>
    <col min="122" max="122" width="8.7109375" customWidth="1" collapsed="1"/>
    <col min="123" max="126" width="8.7109375" hidden="1" customWidth="1" outlineLevel="1"/>
    <col min="127" max="127" width="8.7109375" customWidth="1" collapsed="1"/>
    <col min="128" max="131" width="8.7109375" customWidth="1" outlineLevel="1"/>
    <col min="132" max="132" width="8.7109375" customWidth="1"/>
    <col min="133" max="136" width="8.7109375" customWidth="1" outlineLevel="1"/>
    <col min="137" max="137" width="8.7109375" customWidth="1"/>
    <col min="138" max="141" width="8.7109375" hidden="1" customWidth="1" outlineLevel="1"/>
    <col min="142" max="142" width="8.7109375" customWidth="1" collapsed="1"/>
    <col min="143" max="143" width="6.7109375" hidden="1" customWidth="1" outlineLevel="1"/>
    <col min="144" max="144" width="18.85546875" hidden="1" customWidth="1" outlineLevel="1"/>
    <col min="145" max="145" width="9.140625" hidden="1" customWidth="1" outlineLevel="1"/>
    <col min="146" max="146" width="4.5703125" hidden="1" customWidth="1" outlineLevel="1"/>
    <col min="147" max="150" width="9.140625" hidden="1" customWidth="1" outlineLevel="1"/>
    <col min="151" max="151" width="9.140625" collapsed="1"/>
    <col min="160" max="163" width="9.140625" hidden="1" customWidth="1" outlineLevel="1"/>
    <col min="164" max="164" width="9.140625" collapsed="1"/>
  </cols>
  <sheetData>
    <row r="1" spans="1:271" s="2" customFormat="1" ht="15.75">
      <c r="A1" s="626" t="s">
        <v>331</v>
      </c>
      <c r="B1" s="627"/>
      <c r="C1" s="628"/>
      <c r="D1" s="629"/>
      <c r="E1" s="628"/>
      <c r="F1" s="630"/>
      <c r="G1" s="629"/>
      <c r="H1" s="629"/>
      <c r="I1" s="629"/>
      <c r="J1" s="628"/>
      <c r="K1" s="630"/>
      <c r="L1" s="629"/>
      <c r="M1" s="629"/>
      <c r="N1" s="629"/>
      <c r="O1" s="628"/>
      <c r="P1" s="630"/>
      <c r="Q1" s="629"/>
      <c r="R1" s="629"/>
      <c r="S1" s="629"/>
      <c r="T1" s="628"/>
      <c r="U1" s="630"/>
      <c r="V1" s="629"/>
      <c r="W1" s="629"/>
      <c r="X1" s="629"/>
      <c r="Y1" s="628"/>
      <c r="Z1" s="630"/>
      <c r="AA1" s="629"/>
      <c r="AB1" s="629"/>
      <c r="AC1" s="629"/>
      <c r="AD1" s="628"/>
      <c r="AE1" s="630"/>
      <c r="AF1" s="629"/>
      <c r="AG1" s="629"/>
      <c r="AH1" s="629"/>
      <c r="AI1" s="628"/>
      <c r="AJ1" s="630"/>
      <c r="AK1" s="629"/>
      <c r="AL1" s="629"/>
      <c r="AM1" s="629"/>
      <c r="AN1" s="628"/>
      <c r="AO1" s="630"/>
      <c r="AP1" s="629"/>
      <c r="AQ1" s="629"/>
      <c r="AR1" s="629"/>
      <c r="AS1" s="628"/>
      <c r="AT1" s="630"/>
      <c r="AU1" s="629"/>
      <c r="AV1" s="629"/>
      <c r="AW1" s="629"/>
      <c r="AX1" s="628"/>
      <c r="AY1" s="630"/>
      <c r="AZ1" s="629"/>
      <c r="BA1" s="629"/>
      <c r="BB1" s="628"/>
      <c r="BC1" s="630"/>
      <c r="BD1" s="629"/>
      <c r="BE1" s="629"/>
      <c r="BF1" s="629"/>
      <c r="BG1" s="628"/>
      <c r="BH1" s="630"/>
      <c r="BI1" s="629"/>
      <c r="BJ1" s="629"/>
      <c r="BK1" s="629"/>
      <c r="BL1" s="628"/>
      <c r="BM1" s="630"/>
      <c r="BN1" s="629"/>
      <c r="BO1" s="629"/>
      <c r="BP1" s="629"/>
      <c r="BQ1" s="628"/>
      <c r="BR1" s="630"/>
      <c r="BS1" s="629"/>
      <c r="BT1" s="629"/>
      <c r="BU1" s="629"/>
      <c r="BV1" s="628"/>
      <c r="BW1" s="630"/>
      <c r="BX1" s="629"/>
      <c r="BY1" s="629"/>
      <c r="BZ1" s="629"/>
      <c r="CA1" s="628"/>
      <c r="CB1" s="630"/>
      <c r="CC1" s="629"/>
      <c r="CD1" s="629"/>
      <c r="CE1" s="629"/>
      <c r="CF1" s="628"/>
      <c r="CG1" s="630"/>
      <c r="CH1" s="629"/>
      <c r="CI1" s="629"/>
      <c r="CJ1" s="629"/>
      <c r="CK1" s="628"/>
      <c r="CL1" s="630"/>
      <c r="CM1" s="629"/>
      <c r="CN1" s="629"/>
      <c r="CO1" s="629"/>
      <c r="CP1" s="628"/>
      <c r="CQ1" s="630"/>
      <c r="CR1" s="629"/>
      <c r="CS1" s="629"/>
      <c r="CT1" s="629"/>
      <c r="CU1" s="628"/>
      <c r="CV1" s="630"/>
      <c r="CW1" s="629"/>
      <c r="CX1" s="629"/>
      <c r="CY1" s="629"/>
      <c r="CZ1" s="628"/>
      <c r="DA1" s="630"/>
      <c r="DB1" s="629"/>
      <c r="DC1" s="629"/>
      <c r="DD1" s="629"/>
      <c r="DE1" s="628"/>
      <c r="DF1" s="630"/>
      <c r="DG1" s="629"/>
      <c r="DH1" s="629"/>
      <c r="DI1" s="629"/>
      <c r="DJ1" s="628"/>
      <c r="DK1" s="630"/>
      <c r="DL1" s="629"/>
      <c r="DM1" s="629"/>
      <c r="DN1" s="629"/>
      <c r="DO1" s="628"/>
      <c r="DP1" s="630"/>
      <c r="DQ1" s="629"/>
      <c r="DR1" s="629"/>
      <c r="DS1" s="631"/>
      <c r="DT1" s="629"/>
      <c r="DU1" s="629"/>
      <c r="DV1" s="629"/>
      <c r="DW1" s="629"/>
      <c r="DX1" s="629"/>
      <c r="DY1" s="629"/>
      <c r="DZ1" s="629"/>
      <c r="EA1" s="629"/>
      <c r="EB1" s="629"/>
      <c r="EC1" s="628"/>
      <c r="ED1" s="628"/>
      <c r="EE1" s="628"/>
      <c r="EF1" s="628"/>
      <c r="EG1" s="632"/>
      <c r="EH1" s="628"/>
      <c r="EI1" s="628"/>
      <c r="EJ1" s="628"/>
      <c r="EK1" s="628"/>
      <c r="EL1" s="632"/>
      <c r="EN1"/>
      <c r="EO1"/>
      <c r="EP1"/>
      <c r="EQ1"/>
      <c r="ER1"/>
      <c r="ES1" s="10"/>
      <c r="ET1"/>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row>
    <row r="2" spans="1:271" s="2" customFormat="1" ht="13.5" customHeight="1" thickBot="1">
      <c r="A2" s="633" t="s">
        <v>661</v>
      </c>
      <c r="B2" s="634"/>
      <c r="C2" s="635"/>
      <c r="D2" s="636"/>
      <c r="E2" s="637"/>
      <c r="F2" s="638"/>
      <c r="G2" s="635"/>
      <c r="H2" s="636"/>
      <c r="I2" s="636"/>
      <c r="J2" s="637"/>
      <c r="K2" s="638"/>
      <c r="L2" s="635"/>
      <c r="M2" s="636"/>
      <c r="N2" s="636"/>
      <c r="O2" s="637"/>
      <c r="P2" s="638"/>
      <c r="Q2" s="635"/>
      <c r="R2" s="636"/>
      <c r="S2" s="636"/>
      <c r="T2" s="637"/>
      <c r="U2" s="638"/>
      <c r="V2" s="635"/>
      <c r="W2" s="636"/>
      <c r="X2" s="636"/>
      <c r="Y2" s="637"/>
      <c r="Z2" s="638"/>
      <c r="AA2" s="635"/>
      <c r="AB2" s="636"/>
      <c r="AC2" s="636"/>
      <c r="AD2" s="637"/>
      <c r="AE2" s="638"/>
      <c r="AF2" s="635"/>
      <c r="AG2" s="636"/>
      <c r="AH2" s="636"/>
      <c r="AI2" s="637"/>
      <c r="AJ2" s="638"/>
      <c r="AK2" s="635"/>
      <c r="AL2" s="636"/>
      <c r="AM2" s="636"/>
      <c r="AN2" s="637"/>
      <c r="AO2" s="638"/>
      <c r="AP2" s="635"/>
      <c r="AQ2" s="636"/>
      <c r="AR2" s="636"/>
      <c r="AS2" s="637"/>
      <c r="AT2" s="638"/>
      <c r="AU2" s="635"/>
      <c r="AV2" s="636"/>
      <c r="AW2" s="636"/>
      <c r="AX2" s="637"/>
      <c r="AY2" s="638"/>
      <c r="AZ2" s="635"/>
      <c r="BA2" s="636"/>
      <c r="BB2" s="637"/>
      <c r="BC2" s="638"/>
      <c r="BD2" s="635"/>
      <c r="BE2" s="636"/>
      <c r="BF2" s="636"/>
      <c r="BG2" s="637"/>
      <c r="BH2" s="638"/>
      <c r="BI2" s="635"/>
      <c r="BJ2" s="636"/>
      <c r="BK2" s="636"/>
      <c r="BL2" s="637"/>
      <c r="BM2" s="638"/>
      <c r="BN2" s="635"/>
      <c r="BO2" s="636"/>
      <c r="BP2" s="636"/>
      <c r="BQ2" s="637"/>
      <c r="BR2" s="638"/>
      <c r="BS2" s="635"/>
      <c r="BT2" s="636"/>
      <c r="BU2" s="636"/>
      <c r="BV2" s="637"/>
      <c r="BW2" s="638"/>
      <c r="BX2" s="635"/>
      <c r="BY2" s="636"/>
      <c r="BZ2" s="636"/>
      <c r="CA2" s="637"/>
      <c r="CB2" s="638"/>
      <c r="CC2" s="635"/>
      <c r="CD2" s="636"/>
      <c r="CE2" s="636"/>
      <c r="CF2" s="637"/>
      <c r="CG2" s="638"/>
      <c r="CH2" s="635"/>
      <c r="CI2" s="636"/>
      <c r="CJ2" s="636"/>
      <c r="CK2" s="637"/>
      <c r="CL2" s="638"/>
      <c r="CM2" s="635"/>
      <c r="CN2" s="636"/>
      <c r="CO2" s="636"/>
      <c r="CP2" s="637"/>
      <c r="CQ2" s="638"/>
      <c r="CR2" s="635"/>
      <c r="CS2" s="636"/>
      <c r="CT2" s="636"/>
      <c r="CU2" s="637"/>
      <c r="CV2" s="638"/>
      <c r="CW2" s="635"/>
      <c r="CX2" s="636"/>
      <c r="CY2" s="636"/>
      <c r="CZ2" s="637"/>
      <c r="DA2" s="638"/>
      <c r="DB2" s="635"/>
      <c r="DC2" s="636"/>
      <c r="DD2" s="636"/>
      <c r="DE2" s="637"/>
      <c r="DF2" s="638"/>
      <c r="DG2" s="635"/>
      <c r="DH2" s="636"/>
      <c r="DI2" s="636"/>
      <c r="DJ2" s="637"/>
      <c r="DK2" s="638"/>
      <c r="DL2" s="635"/>
      <c r="DM2" s="636"/>
      <c r="DN2" s="636"/>
      <c r="DO2" s="637"/>
      <c r="DP2" s="638"/>
      <c r="DQ2" s="635"/>
      <c r="DR2" s="636"/>
      <c r="DS2" s="635"/>
      <c r="DT2" s="635"/>
      <c r="DU2" s="639"/>
      <c r="DV2" s="635"/>
      <c r="DW2" s="636"/>
      <c r="DX2" s="635"/>
      <c r="DY2" s="635"/>
      <c r="DZ2" s="635"/>
      <c r="EA2" s="635"/>
      <c r="EB2" s="636"/>
      <c r="EC2" s="635"/>
      <c r="ED2" s="635"/>
      <c r="EE2" s="635"/>
      <c r="EF2" s="635"/>
      <c r="EG2" s="636"/>
      <c r="EH2" s="635"/>
      <c r="EI2" s="635"/>
      <c r="EJ2" s="635"/>
      <c r="EK2" s="635"/>
      <c r="EL2" s="636"/>
      <c r="EN2"/>
      <c r="EO2"/>
      <c r="EP2"/>
      <c r="EQ2"/>
      <c r="ER2"/>
      <c r="ES2" s="6"/>
      <c r="ET2"/>
      <c r="EU2" s="6"/>
      <c r="EV2" s="6"/>
      <c r="EW2" s="6"/>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c r="IW2" s="3"/>
      <c r="IX2" s="3"/>
      <c r="IY2" s="3"/>
      <c r="IZ2" s="3"/>
      <c r="JA2" s="3"/>
      <c r="JB2" s="3"/>
      <c r="JC2" s="3"/>
      <c r="JD2" s="3"/>
      <c r="JE2" s="3"/>
      <c r="JF2" s="3"/>
      <c r="JG2" s="3"/>
      <c r="JH2" s="3"/>
      <c r="JI2" s="3"/>
      <c r="JJ2" s="3"/>
      <c r="JK2" s="3"/>
    </row>
    <row r="3" spans="1:271" s="11" customFormat="1" ht="13.5" hidden="1" customHeight="1" outlineLevel="1" thickBot="1">
      <c r="A3" s="12"/>
      <c r="B3" s="13" t="s">
        <v>385</v>
      </c>
      <c r="C3" s="14" t="s">
        <v>334</v>
      </c>
      <c r="D3" s="566">
        <v>34577</v>
      </c>
      <c r="E3" s="566">
        <v>34668</v>
      </c>
      <c r="F3" s="566">
        <v>34758</v>
      </c>
      <c r="G3" s="566">
        <v>34850</v>
      </c>
      <c r="H3" s="565">
        <f>G3</f>
        <v>34850</v>
      </c>
      <c r="I3" s="566">
        <v>34942</v>
      </c>
      <c r="J3" s="566">
        <v>35033</v>
      </c>
      <c r="K3" s="566">
        <v>35123</v>
      </c>
      <c r="L3" s="566">
        <v>35216</v>
      </c>
      <c r="M3" s="565">
        <f>L3</f>
        <v>35216</v>
      </c>
      <c r="N3" s="566">
        <v>35308</v>
      </c>
      <c r="O3" s="566">
        <v>35399</v>
      </c>
      <c r="P3" s="566">
        <v>35489</v>
      </c>
      <c r="Q3" s="566">
        <v>35581</v>
      </c>
      <c r="R3" s="565">
        <f>Q3</f>
        <v>35581</v>
      </c>
      <c r="S3" s="566">
        <v>35673</v>
      </c>
      <c r="T3" s="566">
        <v>35764</v>
      </c>
      <c r="U3" s="566">
        <v>35854</v>
      </c>
      <c r="V3" s="566">
        <v>35946</v>
      </c>
      <c r="W3" s="565">
        <f>V3</f>
        <v>35946</v>
      </c>
      <c r="X3" s="566">
        <v>36038</v>
      </c>
      <c r="Y3" s="566">
        <v>36129</v>
      </c>
      <c r="Z3" s="566">
        <v>36219</v>
      </c>
      <c r="AA3" s="566">
        <v>36311</v>
      </c>
      <c r="AB3" s="565">
        <f>AA3</f>
        <v>36311</v>
      </c>
      <c r="AC3" s="566">
        <v>36403</v>
      </c>
      <c r="AD3" s="566">
        <v>36494</v>
      </c>
      <c r="AE3" s="566">
        <v>36584</v>
      </c>
      <c r="AF3" s="566">
        <v>36677</v>
      </c>
      <c r="AG3" s="565">
        <f>AF3</f>
        <v>36677</v>
      </c>
      <c r="AH3" s="566">
        <v>36769</v>
      </c>
      <c r="AI3" s="566">
        <v>36860</v>
      </c>
      <c r="AJ3" s="566">
        <v>36950</v>
      </c>
      <c r="AK3" s="566">
        <v>37042</v>
      </c>
      <c r="AL3" s="565">
        <f>AK3</f>
        <v>37042</v>
      </c>
      <c r="AM3" s="566">
        <v>37134</v>
      </c>
      <c r="AN3" s="566">
        <v>37225</v>
      </c>
      <c r="AO3" s="566">
        <v>37315</v>
      </c>
      <c r="AP3" s="566">
        <v>37407</v>
      </c>
      <c r="AQ3" s="565">
        <f>AP3</f>
        <v>37407</v>
      </c>
      <c r="AR3" s="566">
        <v>37499</v>
      </c>
      <c r="AS3" s="566">
        <v>37590</v>
      </c>
      <c r="AT3" s="566">
        <v>37680</v>
      </c>
      <c r="AU3" s="566"/>
      <c r="AV3" s="565">
        <v>37346</v>
      </c>
      <c r="AW3" s="566">
        <v>37437</v>
      </c>
      <c r="AX3" s="566">
        <v>37529</v>
      </c>
      <c r="AY3" s="566">
        <v>37621</v>
      </c>
      <c r="AZ3" s="566">
        <f>AY3</f>
        <v>37621</v>
      </c>
      <c r="BA3" s="566">
        <v>37711</v>
      </c>
      <c r="BB3" s="566">
        <v>37802</v>
      </c>
      <c r="BC3" s="566">
        <v>37894</v>
      </c>
      <c r="BD3" s="566">
        <v>37986</v>
      </c>
      <c r="BE3" s="565">
        <f>BD3</f>
        <v>37986</v>
      </c>
      <c r="BF3" s="566">
        <v>38077</v>
      </c>
      <c r="BG3" s="566">
        <v>38168</v>
      </c>
      <c r="BH3" s="566">
        <v>38260</v>
      </c>
      <c r="BI3" s="566">
        <v>38352</v>
      </c>
      <c r="BJ3" s="565">
        <f>BI3</f>
        <v>38352</v>
      </c>
      <c r="BK3" s="566">
        <v>38442</v>
      </c>
      <c r="BL3" s="566">
        <v>38533</v>
      </c>
      <c r="BM3" s="566">
        <v>38625</v>
      </c>
      <c r="BN3" s="566">
        <v>38717</v>
      </c>
      <c r="BO3" s="565">
        <f>BN3</f>
        <v>38717</v>
      </c>
      <c r="BP3" s="566">
        <v>38807</v>
      </c>
      <c r="BQ3" s="566">
        <v>38898</v>
      </c>
      <c r="BR3" s="566">
        <v>38990</v>
      </c>
      <c r="BS3" s="566">
        <v>39082</v>
      </c>
      <c r="BT3" s="565">
        <f>BS3</f>
        <v>39082</v>
      </c>
      <c r="BU3" s="566">
        <v>39172</v>
      </c>
      <c r="BV3" s="566">
        <v>39263</v>
      </c>
      <c r="BW3" s="566">
        <v>39355</v>
      </c>
      <c r="BX3" s="566">
        <v>39447</v>
      </c>
      <c r="BY3" s="565">
        <f>BX3</f>
        <v>39447</v>
      </c>
      <c r="BZ3" s="566">
        <v>39538</v>
      </c>
      <c r="CA3" s="566">
        <v>39629</v>
      </c>
      <c r="CB3" s="566">
        <v>39721</v>
      </c>
      <c r="CC3" s="566">
        <v>39813</v>
      </c>
      <c r="CD3" s="565">
        <f>CC3</f>
        <v>39813</v>
      </c>
      <c r="CE3" s="566">
        <v>39903</v>
      </c>
      <c r="CF3" s="566">
        <v>39994</v>
      </c>
      <c r="CG3" s="566">
        <v>40086</v>
      </c>
      <c r="CH3" s="566">
        <v>40178</v>
      </c>
      <c r="CI3" s="565">
        <f>CH3</f>
        <v>40178</v>
      </c>
      <c r="CJ3" s="566">
        <v>40268</v>
      </c>
      <c r="CK3" s="566">
        <v>40359</v>
      </c>
      <c r="CL3" s="566">
        <v>40451</v>
      </c>
      <c r="CM3" s="566">
        <v>40543</v>
      </c>
      <c r="CN3" s="565">
        <f>CM3</f>
        <v>40543</v>
      </c>
      <c r="CO3" s="566">
        <v>40633</v>
      </c>
      <c r="CP3" s="566">
        <v>40724</v>
      </c>
      <c r="CQ3" s="566">
        <v>40816</v>
      </c>
      <c r="CR3" s="566">
        <v>40908</v>
      </c>
      <c r="CS3" s="565">
        <f>CR3</f>
        <v>40908</v>
      </c>
      <c r="CT3" s="566">
        <v>40999</v>
      </c>
      <c r="CU3" s="566">
        <v>41090</v>
      </c>
      <c r="CV3" s="566">
        <v>41182</v>
      </c>
      <c r="CW3" s="566">
        <v>41274</v>
      </c>
      <c r="CX3" s="565">
        <f>CW3</f>
        <v>41274</v>
      </c>
      <c r="CY3" s="566">
        <v>41364</v>
      </c>
      <c r="CZ3" s="566">
        <v>41455</v>
      </c>
      <c r="DA3" s="566">
        <v>41547</v>
      </c>
      <c r="DB3" s="566">
        <v>41639</v>
      </c>
      <c r="DC3" s="565">
        <f>DB3</f>
        <v>41639</v>
      </c>
      <c r="DD3" s="566">
        <v>41729</v>
      </c>
      <c r="DE3" s="566">
        <v>41820</v>
      </c>
      <c r="DF3" s="566">
        <v>41912</v>
      </c>
      <c r="DG3" s="566">
        <v>42004</v>
      </c>
      <c r="DH3" s="565">
        <f>DG3</f>
        <v>42004</v>
      </c>
      <c r="DI3" s="566">
        <v>42094</v>
      </c>
      <c r="DJ3" s="566">
        <v>42185</v>
      </c>
      <c r="DK3" s="566">
        <v>42277</v>
      </c>
      <c r="DL3" s="566">
        <v>42369</v>
      </c>
      <c r="DM3" s="565">
        <f>DL3</f>
        <v>42369</v>
      </c>
      <c r="DN3" s="566">
        <v>42460</v>
      </c>
      <c r="DO3" s="566">
        <v>42551</v>
      </c>
      <c r="DP3" s="566">
        <v>42643</v>
      </c>
      <c r="DQ3" s="566">
        <v>42735</v>
      </c>
      <c r="DR3" s="565">
        <f>DQ3</f>
        <v>42735</v>
      </c>
      <c r="DS3" s="566">
        <v>42825</v>
      </c>
      <c r="DT3" s="566">
        <v>42916</v>
      </c>
      <c r="DU3" s="566">
        <v>43008</v>
      </c>
      <c r="DV3" s="566">
        <v>43100</v>
      </c>
      <c r="DW3" s="565">
        <f>DV3</f>
        <v>43100</v>
      </c>
      <c r="DX3" s="566">
        <v>43190</v>
      </c>
      <c r="DY3" s="566">
        <v>43281</v>
      </c>
      <c r="DZ3" s="566">
        <v>43373</v>
      </c>
      <c r="EA3" s="566">
        <v>43465</v>
      </c>
      <c r="EB3" s="565">
        <f>EA3</f>
        <v>43465</v>
      </c>
      <c r="EC3" s="566">
        <v>43555</v>
      </c>
      <c r="ED3" s="566">
        <v>43646</v>
      </c>
      <c r="EE3" s="566">
        <v>43738</v>
      </c>
      <c r="EF3" s="566">
        <v>43830</v>
      </c>
      <c r="EG3" s="565">
        <f>EF3</f>
        <v>43830</v>
      </c>
      <c r="EH3" s="566">
        <v>43921</v>
      </c>
      <c r="EI3" s="566">
        <v>44012</v>
      </c>
      <c r="EJ3" s="566">
        <v>44104</v>
      </c>
      <c r="EK3" s="566">
        <v>44196</v>
      </c>
      <c r="EL3" s="565">
        <f>EK3</f>
        <v>44196</v>
      </c>
      <c r="EM3" s="1"/>
      <c r="EN3"/>
      <c r="EO3"/>
      <c r="EP3"/>
      <c r="EQ3"/>
      <c r="ER3"/>
      <c r="ES3" s="7"/>
      <c r="ET3"/>
      <c r="EU3" s="7"/>
      <c r="EV3" s="7"/>
      <c r="EW3" s="7"/>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row>
    <row r="4" spans="1:271" s="11" customFormat="1" ht="13.5" customHeight="1" collapsed="1">
      <c r="A4" s="12"/>
      <c r="B4" s="578" t="str">
        <f>+B3</f>
        <v>Fiscal Year ends December 31</v>
      </c>
      <c r="C4" s="579"/>
      <c r="D4" s="580"/>
      <c r="E4" s="581"/>
      <c r="F4" s="581"/>
      <c r="G4" s="581"/>
      <c r="H4" s="581"/>
      <c r="I4" s="580"/>
      <c r="J4" s="581"/>
      <c r="K4" s="581"/>
      <c r="L4" s="581"/>
      <c r="M4" s="581"/>
      <c r="N4" s="580"/>
      <c r="O4" s="581"/>
      <c r="P4" s="581"/>
      <c r="Q4" s="581"/>
      <c r="R4" s="581"/>
      <c r="S4" s="580"/>
      <c r="T4" s="581"/>
      <c r="U4" s="581"/>
      <c r="V4" s="581"/>
      <c r="W4" s="581"/>
      <c r="X4" s="580"/>
      <c r="Y4" s="581"/>
      <c r="Z4" s="581"/>
      <c r="AA4" s="581"/>
      <c r="AB4" s="581"/>
      <c r="AC4" s="580"/>
      <c r="AD4" s="581"/>
      <c r="AE4" s="581"/>
      <c r="AF4" s="581"/>
      <c r="AG4" s="581"/>
      <c r="AH4" s="580"/>
      <c r="AI4" s="581"/>
      <c r="AJ4" s="581"/>
      <c r="AK4" s="581"/>
      <c r="AL4" s="581"/>
      <c r="AM4" s="580"/>
      <c r="AN4" s="581"/>
      <c r="AO4" s="581"/>
      <c r="AP4" s="581"/>
      <c r="AQ4" s="581"/>
      <c r="AR4" s="580"/>
      <c r="AS4" s="581"/>
      <c r="AT4" s="581"/>
      <c r="AU4" s="581"/>
      <c r="AV4" s="581"/>
      <c r="AW4" s="580"/>
      <c r="AX4" s="581"/>
      <c r="AY4" s="581"/>
      <c r="AZ4" s="581"/>
      <c r="BA4" s="580"/>
      <c r="BB4" s="581"/>
      <c r="BC4" s="581"/>
      <c r="BD4" s="581"/>
      <c r="BE4" s="581"/>
      <c r="BF4" s="580"/>
      <c r="BG4" s="581"/>
      <c r="BH4" s="581"/>
      <c r="BI4" s="581"/>
      <c r="BJ4" s="581"/>
      <c r="BK4" s="580"/>
      <c r="BL4" s="581"/>
      <c r="BM4" s="581"/>
      <c r="BN4" s="581"/>
      <c r="BO4" s="581"/>
      <c r="BP4" s="580"/>
      <c r="BQ4" s="581"/>
      <c r="BR4" s="581"/>
      <c r="BS4" s="581"/>
      <c r="BT4" s="581"/>
      <c r="BU4" s="580"/>
      <c r="BV4" s="581"/>
      <c r="BW4" s="581"/>
      <c r="BX4" s="581"/>
      <c r="BY4" s="581"/>
      <c r="BZ4" s="580"/>
      <c r="CA4" s="581"/>
      <c r="CB4" s="581"/>
      <c r="CC4" s="581"/>
      <c r="CD4" s="581"/>
      <c r="CE4" s="580"/>
      <c r="CF4" s="581"/>
      <c r="CG4" s="581"/>
      <c r="CH4" s="581"/>
      <c r="CI4" s="581"/>
      <c r="CJ4" s="580"/>
      <c r="CK4" s="581"/>
      <c r="CL4" s="581"/>
      <c r="CM4" s="581"/>
      <c r="CN4" s="581"/>
      <c r="CO4" s="580"/>
      <c r="CP4" s="581"/>
      <c r="CQ4" s="581"/>
      <c r="CR4" s="581"/>
      <c r="CS4" s="581"/>
      <c r="CT4" s="580"/>
      <c r="CU4" s="581"/>
      <c r="CV4" s="581"/>
      <c r="CW4" s="581"/>
      <c r="CX4" s="581"/>
      <c r="CY4" s="580"/>
      <c r="CZ4" s="581"/>
      <c r="DA4" s="581"/>
      <c r="DB4" s="581"/>
      <c r="DC4" s="581"/>
      <c r="DD4" s="580"/>
      <c r="DE4" s="581"/>
      <c r="DF4" s="581"/>
      <c r="DG4" s="581"/>
      <c r="DH4" s="581"/>
      <c r="DI4" s="580"/>
      <c r="DJ4" s="581"/>
      <c r="DK4" s="581"/>
      <c r="DL4" s="581"/>
      <c r="DM4" s="581"/>
      <c r="DN4" s="580"/>
      <c r="DO4" s="581"/>
      <c r="DP4" s="581"/>
      <c r="DQ4" s="581"/>
      <c r="DR4" s="581"/>
      <c r="DS4" s="580"/>
      <c r="DT4" s="581"/>
      <c r="DU4" s="581"/>
      <c r="DV4" s="581"/>
      <c r="DW4" s="581"/>
      <c r="DX4" s="580"/>
      <c r="DY4" s="581"/>
      <c r="DZ4" s="581"/>
      <c r="EA4" s="581"/>
      <c r="EB4" s="581"/>
      <c r="EC4" s="580"/>
      <c r="ED4" s="581"/>
      <c r="EE4" s="581"/>
      <c r="EF4" s="581"/>
      <c r="EG4" s="581"/>
      <c r="EH4" s="580"/>
      <c r="EI4" s="581"/>
      <c r="EJ4" s="581"/>
      <c r="EK4" s="581"/>
      <c r="EL4" s="581"/>
      <c r="EM4" s="1"/>
      <c r="EN4"/>
      <c r="EO4"/>
      <c r="EP4"/>
      <c r="EQ4"/>
      <c r="ER4"/>
      <c r="ES4" s="7"/>
      <c r="ET4"/>
      <c r="EU4" s="7"/>
      <c r="EV4" s="7"/>
      <c r="EW4" s="7"/>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c r="IW4" s="3"/>
      <c r="IX4" s="3"/>
      <c r="IY4" s="3"/>
      <c r="IZ4" s="3"/>
      <c r="JA4" s="3"/>
      <c r="JB4" s="3"/>
      <c r="JC4" s="3"/>
      <c r="JD4" s="3"/>
      <c r="JE4" s="3"/>
      <c r="JF4" s="3"/>
      <c r="JG4" s="3"/>
      <c r="JH4" s="3"/>
      <c r="JI4" s="3"/>
      <c r="JJ4" s="3"/>
      <c r="JK4" s="3"/>
    </row>
    <row r="5" spans="1:271" s="11" customFormat="1" ht="13.5" customHeight="1" thickBot="1">
      <c r="A5" s="16"/>
      <c r="B5" s="583" t="s">
        <v>386</v>
      </c>
      <c r="C5" s="584"/>
      <c r="D5" s="584" t="s">
        <v>388</v>
      </c>
      <c r="E5" s="584" t="s">
        <v>389</v>
      </c>
      <c r="F5" s="584" t="s">
        <v>390</v>
      </c>
      <c r="G5" s="584" t="s">
        <v>391</v>
      </c>
      <c r="H5" s="584" t="s">
        <v>392</v>
      </c>
      <c r="I5" s="584" t="s">
        <v>393</v>
      </c>
      <c r="J5" s="584" t="s">
        <v>394</v>
      </c>
      <c r="K5" s="584" t="s">
        <v>395</v>
      </c>
      <c r="L5" s="584" t="s">
        <v>396</v>
      </c>
      <c r="M5" s="584" t="s">
        <v>397</v>
      </c>
      <c r="N5" s="584" t="s">
        <v>398</v>
      </c>
      <c r="O5" s="584" t="s">
        <v>399</v>
      </c>
      <c r="P5" s="584" t="s">
        <v>400</v>
      </c>
      <c r="Q5" s="584" t="s">
        <v>401</v>
      </c>
      <c r="R5" s="584" t="s">
        <v>402</v>
      </c>
      <c r="S5" s="584" t="s">
        <v>403</v>
      </c>
      <c r="T5" s="584" t="s">
        <v>404</v>
      </c>
      <c r="U5" s="584" t="s">
        <v>405</v>
      </c>
      <c r="V5" s="584" t="s">
        <v>406</v>
      </c>
      <c r="W5" s="584" t="s">
        <v>407</v>
      </c>
      <c r="X5" s="584" t="s">
        <v>408</v>
      </c>
      <c r="Y5" s="584" t="s">
        <v>409</v>
      </c>
      <c r="Z5" s="584" t="s">
        <v>410</v>
      </c>
      <c r="AA5" s="584" t="s">
        <v>411</v>
      </c>
      <c r="AB5" s="584" t="s">
        <v>412</v>
      </c>
      <c r="AC5" s="584" t="s">
        <v>413</v>
      </c>
      <c r="AD5" s="584" t="s">
        <v>414</v>
      </c>
      <c r="AE5" s="584" t="s">
        <v>415</v>
      </c>
      <c r="AF5" s="584" t="s">
        <v>416</v>
      </c>
      <c r="AG5" s="584" t="s">
        <v>417</v>
      </c>
      <c r="AH5" s="584" t="s">
        <v>418</v>
      </c>
      <c r="AI5" s="584" t="s">
        <v>419</v>
      </c>
      <c r="AJ5" s="584" t="s">
        <v>420</v>
      </c>
      <c r="AK5" s="584" t="s">
        <v>421</v>
      </c>
      <c r="AL5" s="584" t="s">
        <v>422</v>
      </c>
      <c r="AM5" s="584" t="s">
        <v>423</v>
      </c>
      <c r="AN5" s="584" t="s">
        <v>424</v>
      </c>
      <c r="AO5" s="584" t="s">
        <v>425</v>
      </c>
      <c r="AP5" s="584" t="s">
        <v>426</v>
      </c>
      <c r="AQ5" s="584" t="s">
        <v>427</v>
      </c>
      <c r="AR5" s="584" t="s">
        <v>428</v>
      </c>
      <c r="AS5" s="584" t="s">
        <v>429</v>
      </c>
      <c r="AT5" s="584" t="s">
        <v>430</v>
      </c>
      <c r="AU5" s="584"/>
      <c r="AV5" s="584" t="s">
        <v>431</v>
      </c>
      <c r="AW5" s="584" t="s">
        <v>432</v>
      </c>
      <c r="AX5" s="584" t="s">
        <v>433</v>
      </c>
      <c r="AY5" s="584" t="s">
        <v>434</v>
      </c>
      <c r="AZ5" s="584" t="s">
        <v>435</v>
      </c>
      <c r="BA5" s="584" t="s">
        <v>436</v>
      </c>
      <c r="BB5" s="584" t="s">
        <v>437</v>
      </c>
      <c r="BC5" s="584" t="s">
        <v>438</v>
      </c>
      <c r="BD5" s="584" t="s">
        <v>439</v>
      </c>
      <c r="BE5" s="584" t="s">
        <v>440</v>
      </c>
      <c r="BF5" s="584" t="s">
        <v>441</v>
      </c>
      <c r="BG5" s="584" t="s">
        <v>442</v>
      </c>
      <c r="BH5" s="584" t="s">
        <v>443</v>
      </c>
      <c r="BI5" s="584" t="s">
        <v>444</v>
      </c>
      <c r="BJ5" s="584" t="s">
        <v>445</v>
      </c>
      <c r="BK5" s="584" t="s">
        <v>446</v>
      </c>
      <c r="BL5" s="584" t="s">
        <v>447</v>
      </c>
      <c r="BM5" s="584" t="s">
        <v>448</v>
      </c>
      <c r="BN5" s="584" t="s">
        <v>449</v>
      </c>
      <c r="BO5" s="584" t="s">
        <v>450</v>
      </c>
      <c r="BP5" s="584" t="s">
        <v>451</v>
      </c>
      <c r="BQ5" s="584" t="s">
        <v>452</v>
      </c>
      <c r="BR5" s="584" t="s">
        <v>453</v>
      </c>
      <c r="BS5" s="584" t="s">
        <v>454</v>
      </c>
      <c r="BT5" s="584" t="s">
        <v>455</v>
      </c>
      <c r="BU5" s="584" t="s">
        <v>456</v>
      </c>
      <c r="BV5" s="584" t="s">
        <v>457</v>
      </c>
      <c r="BW5" s="584" t="s">
        <v>458</v>
      </c>
      <c r="BX5" s="584" t="s">
        <v>459</v>
      </c>
      <c r="BY5" s="584" t="s">
        <v>460</v>
      </c>
      <c r="BZ5" s="584" t="s">
        <v>461</v>
      </c>
      <c r="CA5" s="584" t="s">
        <v>462</v>
      </c>
      <c r="CB5" s="584" t="s">
        <v>463</v>
      </c>
      <c r="CC5" s="584" t="s">
        <v>464</v>
      </c>
      <c r="CD5" s="584" t="s">
        <v>465</v>
      </c>
      <c r="CE5" s="584" t="s">
        <v>466</v>
      </c>
      <c r="CF5" s="584" t="s">
        <v>467</v>
      </c>
      <c r="CG5" s="584" t="s">
        <v>468</v>
      </c>
      <c r="CH5" s="584" t="s">
        <v>469</v>
      </c>
      <c r="CI5" s="584" t="s">
        <v>470</v>
      </c>
      <c r="CJ5" s="584" t="s">
        <v>471</v>
      </c>
      <c r="CK5" s="584" t="s">
        <v>472</v>
      </c>
      <c r="CL5" s="584" t="s">
        <v>473</v>
      </c>
      <c r="CM5" s="584" t="s">
        <v>474</v>
      </c>
      <c r="CN5" s="584" t="s">
        <v>475</v>
      </c>
      <c r="CO5" s="584" t="s">
        <v>476</v>
      </c>
      <c r="CP5" s="584" t="s">
        <v>477</v>
      </c>
      <c r="CQ5" s="584" t="s">
        <v>478</v>
      </c>
      <c r="CR5" s="584" t="s">
        <v>479</v>
      </c>
      <c r="CS5" s="584" t="s">
        <v>480</v>
      </c>
      <c r="CT5" s="584" t="s">
        <v>481</v>
      </c>
      <c r="CU5" s="584" t="s">
        <v>482</v>
      </c>
      <c r="CV5" s="584" t="s">
        <v>483</v>
      </c>
      <c r="CW5" s="584" t="s">
        <v>484</v>
      </c>
      <c r="CX5" s="584" t="s">
        <v>485</v>
      </c>
      <c r="CY5" s="584" t="s">
        <v>486</v>
      </c>
      <c r="CZ5" s="584" t="s">
        <v>487</v>
      </c>
      <c r="DA5" s="584" t="s">
        <v>488</v>
      </c>
      <c r="DB5" s="584" t="s">
        <v>489</v>
      </c>
      <c r="DC5" s="584" t="s">
        <v>490</v>
      </c>
      <c r="DD5" s="584" t="s">
        <v>253</v>
      </c>
      <c r="DE5" s="584" t="s">
        <v>111</v>
      </c>
      <c r="DF5" s="584" t="s">
        <v>580</v>
      </c>
      <c r="DG5" s="584" t="s">
        <v>581</v>
      </c>
      <c r="DH5" s="584" t="s">
        <v>582</v>
      </c>
      <c r="DI5" s="584" t="s">
        <v>584</v>
      </c>
      <c r="DJ5" s="584" t="s">
        <v>595</v>
      </c>
      <c r="DK5" s="584" t="s">
        <v>597</v>
      </c>
      <c r="DL5" s="584" t="s">
        <v>602</v>
      </c>
      <c r="DM5" s="584" t="s">
        <v>607</v>
      </c>
      <c r="DN5" s="584" t="s">
        <v>619</v>
      </c>
      <c r="DO5" s="584" t="s">
        <v>620</v>
      </c>
      <c r="DP5" s="584" t="s">
        <v>621</v>
      </c>
      <c r="DQ5" s="584" t="s">
        <v>627</v>
      </c>
      <c r="DR5" s="584" t="s">
        <v>628</v>
      </c>
      <c r="DS5" s="584" t="s">
        <v>640</v>
      </c>
      <c r="DT5" s="584" t="s">
        <v>683</v>
      </c>
      <c r="DU5" s="584" t="s">
        <v>707</v>
      </c>
      <c r="DV5" s="584" t="s">
        <v>720</v>
      </c>
      <c r="DW5" s="584" t="s">
        <v>728</v>
      </c>
      <c r="DX5" s="584" t="s">
        <v>610</v>
      </c>
      <c r="DY5" s="584" t="s">
        <v>611</v>
      </c>
      <c r="DZ5" s="584" t="s">
        <v>612</v>
      </c>
      <c r="EA5" s="584" t="s">
        <v>613</v>
      </c>
      <c r="EB5" s="584" t="s">
        <v>609</v>
      </c>
      <c r="EC5" s="584" t="s">
        <v>614</v>
      </c>
      <c r="ED5" s="584" t="s">
        <v>615</v>
      </c>
      <c r="EE5" s="584" t="s">
        <v>616</v>
      </c>
      <c r="EF5" s="584" t="s">
        <v>617</v>
      </c>
      <c r="EG5" s="584" t="s">
        <v>618</v>
      </c>
      <c r="EH5" s="584" t="s">
        <v>721</v>
      </c>
      <c r="EI5" s="584" t="s">
        <v>722</v>
      </c>
      <c r="EJ5" s="584" t="s">
        <v>723</v>
      </c>
      <c r="EK5" s="584" t="s">
        <v>724</v>
      </c>
      <c r="EL5" s="584" t="s">
        <v>725</v>
      </c>
      <c r="EM5" s="1"/>
      <c r="EN5"/>
      <c r="EO5"/>
      <c r="EP5"/>
      <c r="EQ5"/>
      <c r="ER5"/>
      <c r="ES5" s="7"/>
      <c r="ET5"/>
      <c r="EU5" s="7"/>
      <c r="EV5" s="7"/>
      <c r="EW5" s="7"/>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c r="IS5" s="3"/>
      <c r="IT5" s="3"/>
      <c r="IU5" s="3"/>
      <c r="IV5" s="3"/>
      <c r="IW5" s="3"/>
      <c r="IX5" s="3"/>
      <c r="IY5" s="3"/>
      <c r="IZ5" s="3"/>
      <c r="JA5" s="3"/>
      <c r="JB5" s="3"/>
      <c r="JC5" s="3"/>
      <c r="JD5" s="3"/>
      <c r="JE5" s="3"/>
      <c r="JF5" s="3"/>
      <c r="JG5" s="3"/>
      <c r="JH5" s="3"/>
      <c r="JI5" s="3"/>
      <c r="JJ5" s="3"/>
      <c r="JK5" s="3"/>
    </row>
    <row r="6" spans="1:271" s="660" customFormat="1" hidden="1" outlineLevel="1">
      <c r="A6" s="801"/>
      <c r="B6" s="557" t="s">
        <v>491</v>
      </c>
      <c r="C6" s="1236"/>
      <c r="D6" s="1236">
        <v>91</v>
      </c>
      <c r="E6" s="1236">
        <f>E3-D3</f>
        <v>91</v>
      </c>
      <c r="F6" s="1236">
        <f>F3-E3</f>
        <v>90</v>
      </c>
      <c r="G6" s="1236">
        <f>G3-F3</f>
        <v>92</v>
      </c>
      <c r="H6" s="1238">
        <f>SUM(D6:G6)</f>
        <v>364</v>
      </c>
      <c r="I6" s="1236">
        <f>I3-G3</f>
        <v>92</v>
      </c>
      <c r="J6" s="1236">
        <f>J3-I3</f>
        <v>91</v>
      </c>
      <c r="K6" s="1236">
        <f>K3-J3</f>
        <v>90</v>
      </c>
      <c r="L6" s="1236">
        <f>L3-K3</f>
        <v>93</v>
      </c>
      <c r="M6" s="1238">
        <f>SUM(I6:L6)</f>
        <v>366</v>
      </c>
      <c r="N6" s="1236">
        <f>N3-L3</f>
        <v>92</v>
      </c>
      <c r="O6" s="1236">
        <f>O3-N3</f>
        <v>91</v>
      </c>
      <c r="P6" s="1236">
        <f>P3-O3</f>
        <v>90</v>
      </c>
      <c r="Q6" s="1236">
        <f>Q3-P3</f>
        <v>92</v>
      </c>
      <c r="R6" s="1238">
        <f>SUM(N6:Q6)</f>
        <v>365</v>
      </c>
      <c r="S6" s="1236">
        <f>S3-Q3</f>
        <v>92</v>
      </c>
      <c r="T6" s="1236">
        <f>T3-S3</f>
        <v>91</v>
      </c>
      <c r="U6" s="1236">
        <f>U3-T3</f>
        <v>90</v>
      </c>
      <c r="V6" s="1236">
        <f>V3-U3</f>
        <v>92</v>
      </c>
      <c r="W6" s="1238">
        <f>SUM(S6:V6)</f>
        <v>365</v>
      </c>
      <c r="X6" s="1236">
        <f>X3-V3</f>
        <v>92</v>
      </c>
      <c r="Y6" s="1236">
        <f>Y3-X3</f>
        <v>91</v>
      </c>
      <c r="Z6" s="1236">
        <f>Z3-Y3</f>
        <v>90</v>
      </c>
      <c r="AA6" s="1236">
        <f>AA3-Z3</f>
        <v>92</v>
      </c>
      <c r="AB6" s="1238">
        <f>SUM(X6:AA6)</f>
        <v>365</v>
      </c>
      <c r="AC6" s="1236">
        <v>91</v>
      </c>
      <c r="AD6" s="1236">
        <f>AD3-AC3</f>
        <v>91</v>
      </c>
      <c r="AE6" s="1236">
        <f>AE3-AD3</f>
        <v>90</v>
      </c>
      <c r="AF6" s="1236">
        <f>AF3-AE3</f>
        <v>93</v>
      </c>
      <c r="AG6" s="1238">
        <f>SUM(AC6:AF6)</f>
        <v>365</v>
      </c>
      <c r="AH6" s="1236">
        <f>AH3-AF3</f>
        <v>92</v>
      </c>
      <c r="AI6" s="1236">
        <f>AI3-AH3</f>
        <v>91</v>
      </c>
      <c r="AJ6" s="1236">
        <f>AJ3-AI3</f>
        <v>90</v>
      </c>
      <c r="AK6" s="1236">
        <f>AK3-AJ3</f>
        <v>92</v>
      </c>
      <c r="AL6" s="1238">
        <f>SUM(AH6:AK6)</f>
        <v>365</v>
      </c>
      <c r="AM6" s="1236">
        <f>AM3-AK3</f>
        <v>92</v>
      </c>
      <c r="AN6" s="1236">
        <f>AN3-AM3</f>
        <v>91</v>
      </c>
      <c r="AO6" s="1236">
        <f>AO3-AN3</f>
        <v>90</v>
      </c>
      <c r="AP6" s="1236">
        <f>AP3-AO3</f>
        <v>92</v>
      </c>
      <c r="AQ6" s="1238">
        <f>SUM(AM6:AP6)</f>
        <v>365</v>
      </c>
      <c r="AR6" s="1236">
        <f>AR3-AP3</f>
        <v>92</v>
      </c>
      <c r="AS6" s="1236">
        <f>AS3-AR3</f>
        <v>91</v>
      </c>
      <c r="AT6" s="1236">
        <f>AT3-AS3</f>
        <v>90</v>
      </c>
      <c r="AU6" s="1236"/>
      <c r="AV6" s="1238">
        <v>91</v>
      </c>
      <c r="AW6" s="1236">
        <f>AW3-AV3</f>
        <v>91</v>
      </c>
      <c r="AX6" s="1236">
        <f>AX3-AW3</f>
        <v>92</v>
      </c>
      <c r="AY6" s="1236">
        <f>AY3-AX3</f>
        <v>92</v>
      </c>
      <c r="AZ6" s="1236">
        <f>SUM(AV6:AY6)</f>
        <v>366</v>
      </c>
      <c r="BA6" s="1236">
        <f>BA3-AY3</f>
        <v>90</v>
      </c>
      <c r="BB6" s="1236">
        <f>BB3-BA3</f>
        <v>91</v>
      </c>
      <c r="BC6" s="1236">
        <f>BC3-BB3</f>
        <v>92</v>
      </c>
      <c r="BD6" s="1236">
        <f>BD3-BC3</f>
        <v>92</v>
      </c>
      <c r="BE6" s="1238">
        <f>SUM(BA6:BD6)</f>
        <v>365</v>
      </c>
      <c r="BF6" s="1236">
        <f>BF3-BD3</f>
        <v>91</v>
      </c>
      <c r="BG6" s="1236">
        <f>BG3-BF3</f>
        <v>91</v>
      </c>
      <c r="BH6" s="1236">
        <f>BH3-BG3</f>
        <v>92</v>
      </c>
      <c r="BI6" s="1236">
        <f>BI3-BH3</f>
        <v>92</v>
      </c>
      <c r="BJ6" s="1238">
        <f>SUM(BF6:BI6)</f>
        <v>366</v>
      </c>
      <c r="BK6" s="1236">
        <f>BK3-BI3</f>
        <v>90</v>
      </c>
      <c r="BL6" s="1236">
        <f>BL3-BK3</f>
        <v>91</v>
      </c>
      <c r="BM6" s="1236">
        <f>BM3-BL3</f>
        <v>92</v>
      </c>
      <c r="BN6" s="1236">
        <f>BN3-BM3</f>
        <v>92</v>
      </c>
      <c r="BO6" s="1238">
        <f>SUM(BK6:BN6)</f>
        <v>365</v>
      </c>
      <c r="BP6" s="1236">
        <f>BP3-BN3</f>
        <v>90</v>
      </c>
      <c r="BQ6" s="1236">
        <f>BQ3-BP3</f>
        <v>91</v>
      </c>
      <c r="BR6" s="1236">
        <f>BR3-BQ3</f>
        <v>92</v>
      </c>
      <c r="BS6" s="1236">
        <f>BS3-BR3</f>
        <v>92</v>
      </c>
      <c r="BT6" s="1238">
        <f>SUM(BP6:BS6)</f>
        <v>365</v>
      </c>
      <c r="BU6" s="1236">
        <f>BU3-BS3</f>
        <v>90</v>
      </c>
      <c r="BV6" s="1236">
        <f>BV3-BU3</f>
        <v>91</v>
      </c>
      <c r="BW6" s="1236">
        <f>BW3-BV3</f>
        <v>92</v>
      </c>
      <c r="BX6" s="1236">
        <f>BX3-BW3</f>
        <v>92</v>
      </c>
      <c r="BY6" s="1238">
        <f>SUM(BU6:BX6)</f>
        <v>365</v>
      </c>
      <c r="BZ6" s="1236">
        <f>BZ3-BX3</f>
        <v>91</v>
      </c>
      <c r="CA6" s="1236">
        <f>CA3-BZ3</f>
        <v>91</v>
      </c>
      <c r="CB6" s="1236">
        <f>CB3-CA3</f>
        <v>92</v>
      </c>
      <c r="CC6" s="1236">
        <f>CC3-CB3</f>
        <v>92</v>
      </c>
      <c r="CD6" s="1238">
        <f>SUM(BZ6:CC6)</f>
        <v>366</v>
      </c>
      <c r="CE6" s="1236">
        <f>CE3-CC3</f>
        <v>90</v>
      </c>
      <c r="CF6" s="1236">
        <f>CF3-CE3</f>
        <v>91</v>
      </c>
      <c r="CG6" s="1236">
        <f>CG3-CF3</f>
        <v>92</v>
      </c>
      <c r="CH6" s="1236">
        <f>CH3-CG3</f>
        <v>92</v>
      </c>
      <c r="CI6" s="1238">
        <f>SUM(CE6:CH6)</f>
        <v>365</v>
      </c>
      <c r="CJ6" s="1236">
        <f>CJ3-CH3</f>
        <v>90</v>
      </c>
      <c r="CK6" s="1236">
        <f>CK3-CJ3</f>
        <v>91</v>
      </c>
      <c r="CL6" s="1236">
        <f>CL3-CK3</f>
        <v>92</v>
      </c>
      <c r="CM6" s="1236">
        <f>CM3-CL3</f>
        <v>92</v>
      </c>
      <c r="CN6" s="1238">
        <f>SUM(CJ6:CM6)</f>
        <v>365</v>
      </c>
      <c r="CO6" s="1236">
        <f>CO3-CM3</f>
        <v>90</v>
      </c>
      <c r="CP6" s="1236">
        <f>CP3-CO3</f>
        <v>91</v>
      </c>
      <c r="CQ6" s="1236">
        <f>CQ3-CP3</f>
        <v>92</v>
      </c>
      <c r="CR6" s="1236">
        <f>CR3-CQ3</f>
        <v>92</v>
      </c>
      <c r="CS6" s="1238">
        <f>SUM(CO6:CR6)</f>
        <v>365</v>
      </c>
      <c r="CT6" s="1236">
        <f>CT3-CR3</f>
        <v>91</v>
      </c>
      <c r="CU6" s="1236">
        <f>CU3-CT3</f>
        <v>91</v>
      </c>
      <c r="CV6" s="1236">
        <f>CV3-CU3</f>
        <v>92</v>
      </c>
      <c r="CW6" s="1236">
        <f>CW3-CV3</f>
        <v>92</v>
      </c>
      <c r="CX6" s="1238">
        <f>SUM(CT6:CW6)</f>
        <v>366</v>
      </c>
      <c r="CY6" s="1236">
        <f>CY3-CW3</f>
        <v>90</v>
      </c>
      <c r="CZ6" s="1236">
        <f>CZ3-CY3</f>
        <v>91</v>
      </c>
      <c r="DA6" s="1236">
        <f>DA3-CZ3</f>
        <v>92</v>
      </c>
      <c r="DB6" s="1236">
        <f>DB3-DA3</f>
        <v>92</v>
      </c>
      <c r="DC6" s="1238">
        <f>SUM(CY6:DB6)</f>
        <v>365</v>
      </c>
      <c r="DD6" s="1236">
        <f>DD3-DB3</f>
        <v>90</v>
      </c>
      <c r="DE6" s="1236">
        <f>DE3-DD3</f>
        <v>91</v>
      </c>
      <c r="DF6" s="1236">
        <f>DF3-DE3</f>
        <v>92</v>
      </c>
      <c r="DG6" s="1236">
        <f>DG3-DF3</f>
        <v>92</v>
      </c>
      <c r="DH6" s="1238">
        <f>SUM(DD6:DG6)</f>
        <v>365</v>
      </c>
      <c r="DI6" s="1236">
        <f>DI3-DG3</f>
        <v>90</v>
      </c>
      <c r="DJ6" s="1236">
        <f>DJ3-DI3</f>
        <v>91</v>
      </c>
      <c r="DK6" s="1236">
        <f>DK3-DJ3</f>
        <v>92</v>
      </c>
      <c r="DL6" s="1236">
        <f>DL3-DK3</f>
        <v>92</v>
      </c>
      <c r="DM6" s="1238">
        <f>SUM(DI6:DL6)</f>
        <v>365</v>
      </c>
      <c r="DN6" s="1236">
        <f>DN3-DL3</f>
        <v>91</v>
      </c>
      <c r="DO6" s="1236">
        <f>DO3-DN3</f>
        <v>91</v>
      </c>
      <c r="DP6" s="1236">
        <f>DP3-DO3</f>
        <v>92</v>
      </c>
      <c r="DQ6" s="1236">
        <f>DQ3-DP3</f>
        <v>92</v>
      </c>
      <c r="DR6" s="1238">
        <f>SUM(DN6:DQ6)</f>
        <v>366</v>
      </c>
      <c r="DS6" s="1236">
        <f>DS3-DQ3</f>
        <v>90</v>
      </c>
      <c r="DT6" s="1236">
        <f>DT3-DS3</f>
        <v>91</v>
      </c>
      <c r="DU6" s="1236">
        <f>DU3-DT3</f>
        <v>92</v>
      </c>
      <c r="DV6" s="1236">
        <f>DV3-DU3</f>
        <v>92</v>
      </c>
      <c r="DW6" s="1238">
        <f>SUM(DS6:DV6)</f>
        <v>365</v>
      </c>
      <c r="DX6" s="1236">
        <f>DX3-DV3</f>
        <v>90</v>
      </c>
      <c r="DY6" s="1236">
        <f>DY3-DX3</f>
        <v>91</v>
      </c>
      <c r="DZ6" s="1236">
        <f>DZ3-DY3</f>
        <v>92</v>
      </c>
      <c r="EA6" s="1236">
        <f>EA3-DZ3</f>
        <v>92</v>
      </c>
      <c r="EB6" s="1238">
        <f>SUM(DX6:EA6)</f>
        <v>365</v>
      </c>
      <c r="EC6" s="1236">
        <f>EC3-EA3</f>
        <v>90</v>
      </c>
      <c r="ED6" s="1236">
        <f>ED3-EC3</f>
        <v>91</v>
      </c>
      <c r="EE6" s="1236">
        <f>EE3-ED3</f>
        <v>92</v>
      </c>
      <c r="EF6" s="1236">
        <f>EF3-EE3</f>
        <v>92</v>
      </c>
      <c r="EG6" s="1238">
        <f>SUM(EC6:EF6)</f>
        <v>365</v>
      </c>
      <c r="EH6" s="1236">
        <f>EH3-EF3</f>
        <v>91</v>
      </c>
      <c r="EI6" s="1236">
        <f>EI3-EH3</f>
        <v>91</v>
      </c>
      <c r="EJ6" s="1236">
        <f>EJ3-EI3</f>
        <v>92</v>
      </c>
      <c r="EK6" s="1236">
        <f>EK3-EJ3</f>
        <v>92</v>
      </c>
      <c r="EL6" s="1238">
        <f>SUM(EH6:EK6)</f>
        <v>366</v>
      </c>
      <c r="EM6" s="658"/>
      <c r="EN6"/>
      <c r="EO6"/>
      <c r="EP6"/>
      <c r="EQ6"/>
      <c r="ER6"/>
      <c r="ES6" s="659"/>
      <c r="ET6"/>
      <c r="EU6" s="659"/>
      <c r="EV6" s="659"/>
      <c r="EW6" s="659"/>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row>
    <row r="7" spans="1:271" s="660" customFormat="1" ht="11.25" hidden="1" customHeight="1" outlineLevel="1">
      <c r="A7" s="801"/>
      <c r="B7" s="555"/>
      <c r="C7" s="555"/>
      <c r="D7" s="555"/>
      <c r="E7" s="555"/>
      <c r="F7" s="555"/>
      <c r="G7" s="555"/>
      <c r="H7" s="802"/>
      <c r="I7" s="555"/>
      <c r="J7" s="555"/>
      <c r="K7" s="555"/>
      <c r="L7" s="555"/>
      <c r="M7" s="802"/>
      <c r="N7" s="555"/>
      <c r="O7" s="555"/>
      <c r="P7" s="555"/>
      <c r="Q7" s="555"/>
      <c r="R7" s="802"/>
      <c r="S7" s="555"/>
      <c r="T7" s="555"/>
      <c r="U7" s="555"/>
      <c r="V7" s="555"/>
      <c r="W7" s="802"/>
      <c r="X7" s="555"/>
      <c r="Y7" s="555"/>
      <c r="Z7" s="555"/>
      <c r="AA7" s="555"/>
      <c r="AB7" s="802"/>
      <c r="AC7" s="555"/>
      <c r="AD7" s="555"/>
      <c r="AE7" s="555"/>
      <c r="AF7" s="555"/>
      <c r="AG7" s="802"/>
      <c r="AH7" s="555"/>
      <c r="AI7" s="555"/>
      <c r="AJ7" s="555"/>
      <c r="AK7" s="555"/>
      <c r="AL7" s="802"/>
      <c r="AM7" s="555"/>
      <c r="AN7" s="555"/>
      <c r="AO7" s="555"/>
      <c r="AP7" s="555"/>
      <c r="AQ7" s="802"/>
      <c r="AR7" s="555"/>
      <c r="AS7" s="555"/>
      <c r="AT7" s="555"/>
      <c r="AU7" s="555"/>
      <c r="AV7" s="802"/>
      <c r="AW7" s="555"/>
      <c r="AX7" s="555"/>
      <c r="AY7" s="555"/>
      <c r="AZ7" s="555"/>
      <c r="BA7" s="555"/>
      <c r="BB7" s="555"/>
      <c r="BC7" s="555"/>
      <c r="BD7" s="555"/>
      <c r="BE7" s="802"/>
      <c r="BF7" s="555"/>
      <c r="BG7" s="555"/>
      <c r="BH7" s="555"/>
      <c r="BI7" s="555"/>
      <c r="BJ7" s="802"/>
      <c r="BK7" s="555"/>
      <c r="BL7" s="555"/>
      <c r="BM7" s="555"/>
      <c r="BN7" s="555"/>
      <c r="BO7" s="802"/>
      <c r="BP7" s="555"/>
      <c r="BQ7" s="555"/>
      <c r="BR7" s="555"/>
      <c r="BS7" s="555"/>
      <c r="BT7" s="802"/>
      <c r="BU7" s="555"/>
      <c r="BV7" s="555"/>
      <c r="BW7" s="555"/>
      <c r="BX7" s="555"/>
      <c r="BY7" s="802"/>
      <c r="BZ7" s="555"/>
      <c r="CA7" s="555"/>
      <c r="CB7" s="555"/>
      <c r="CC7" s="555"/>
      <c r="CD7" s="802"/>
      <c r="CE7" s="555"/>
      <c r="CF7" s="555"/>
      <c r="CG7" s="555"/>
      <c r="CH7" s="555"/>
      <c r="CI7" s="802"/>
      <c r="CJ7" s="555"/>
      <c r="CK7" s="555"/>
      <c r="CL7" s="555"/>
      <c r="CM7" s="555"/>
      <c r="CN7" s="802"/>
      <c r="CO7" s="555"/>
      <c r="CP7" s="555"/>
      <c r="CQ7" s="555"/>
      <c r="CR7" s="555"/>
      <c r="CS7" s="802"/>
      <c r="CT7" s="555"/>
      <c r="CU7" s="555"/>
      <c r="CV7" s="555"/>
      <c r="CW7" s="555"/>
      <c r="CX7" s="802"/>
      <c r="CY7" s="555"/>
      <c r="CZ7" s="555"/>
      <c r="DA7" s="555"/>
      <c r="DB7" s="555"/>
      <c r="DC7" s="802"/>
      <c r="DD7" s="555"/>
      <c r="DE7" s="555"/>
      <c r="DF7" s="555"/>
      <c r="DG7" s="555"/>
      <c r="DH7" s="802"/>
      <c r="DI7" s="555"/>
      <c r="DJ7" s="555"/>
      <c r="DK7" s="555"/>
      <c r="DL7" s="555"/>
      <c r="DM7" s="802"/>
      <c r="DN7" s="555"/>
      <c r="DO7" s="555"/>
      <c r="DP7" s="555"/>
      <c r="DQ7" s="555"/>
      <c r="DR7" s="802"/>
      <c r="DS7" s="555"/>
      <c r="DT7" s="555"/>
      <c r="DU7" s="555"/>
      <c r="DV7" s="555"/>
      <c r="DW7" s="802"/>
      <c r="DX7" s="555"/>
      <c r="DY7" s="555"/>
      <c r="DZ7" s="555"/>
      <c r="EA7" s="555"/>
      <c r="EB7" s="802"/>
      <c r="EC7" s="555"/>
      <c r="ED7" s="555"/>
      <c r="EE7" s="555"/>
      <c r="EF7" s="555"/>
      <c r="EG7" s="802"/>
      <c r="EH7" s="555"/>
      <c r="EI7" s="555"/>
      <c r="EJ7" s="555"/>
      <c r="EK7" s="555"/>
      <c r="EL7" s="802"/>
      <c r="EM7" s="658"/>
      <c r="EN7"/>
      <c r="EO7"/>
      <c r="EP7"/>
      <c r="EQ7"/>
      <c r="ER7"/>
      <c r="ES7" s="659"/>
      <c r="ET7"/>
      <c r="EU7" s="659"/>
      <c r="EV7" s="659"/>
      <c r="EW7" s="659"/>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row>
    <row r="8" spans="1:271" s="1421" customFormat="1" ht="12" hidden="1" customHeight="1" outlineLevel="1">
      <c r="A8" s="766"/>
      <c r="B8" s="767" t="s">
        <v>492</v>
      </c>
      <c r="C8" s="737"/>
      <c r="D8" s="768">
        <v>373.37799999999999</v>
      </c>
      <c r="E8" s="768">
        <v>366.77499999999998</v>
      </c>
      <c r="F8" s="782">
        <v>385.7</v>
      </c>
      <c r="G8" s="782">
        <f>1937.9-SUM(D8:F8)</f>
        <v>812.04700000000003</v>
      </c>
      <c r="H8" s="769">
        <f>SUM(D8:G8)</f>
        <v>1937.9</v>
      </c>
      <c r="I8" s="768">
        <v>787.3</v>
      </c>
      <c r="J8" s="768">
        <v>839.4</v>
      </c>
      <c r="K8" s="782">
        <v>906.7</v>
      </c>
      <c r="L8" s="782">
        <f>3440-SUM(I8:K8)</f>
        <v>906.60000000000036</v>
      </c>
      <c r="M8" s="769">
        <f>SUM(I8:L8)</f>
        <v>3440</v>
      </c>
      <c r="N8" s="768">
        <v>858.2</v>
      </c>
      <c r="O8" s="768">
        <v>884.5</v>
      </c>
      <c r="P8" s="782">
        <v>1377</v>
      </c>
      <c r="Q8" s="782">
        <f>5227-SUM(N8:P8)</f>
        <v>2107.3000000000002</v>
      </c>
      <c r="R8" s="769">
        <f>SUM(N8:Q8)</f>
        <v>5227</v>
      </c>
      <c r="S8" s="768">
        <v>1341</v>
      </c>
      <c r="T8" s="768">
        <v>1390</v>
      </c>
      <c r="U8" s="782">
        <v>1564</v>
      </c>
      <c r="V8" s="782">
        <f>5843-SUM(S8:U8)</f>
        <v>1548</v>
      </c>
      <c r="W8" s="769">
        <f>SUM(S8:V8)</f>
        <v>5843</v>
      </c>
      <c r="X8" s="768">
        <v>1474</v>
      </c>
      <c r="Y8" s="768">
        <v>1538</v>
      </c>
      <c r="Z8" s="782">
        <v>1725</v>
      </c>
      <c r="AA8" s="782">
        <f>6516-SUM(X8:Z8)</f>
        <v>1779</v>
      </c>
      <c r="AB8" s="769">
        <f>SUM(X8:AA8)</f>
        <v>6516</v>
      </c>
      <c r="AC8" s="768">
        <v>1703</v>
      </c>
      <c r="AD8" s="768">
        <v>1700</v>
      </c>
      <c r="AE8" s="782">
        <v>1831</v>
      </c>
      <c r="AF8" s="782">
        <f>7029-SUM(AC8:AE8)</f>
        <v>1795</v>
      </c>
      <c r="AG8" s="769">
        <f>SUM(AC8:AF8)</f>
        <v>7029</v>
      </c>
      <c r="AH8" s="768">
        <v>1777</v>
      </c>
      <c r="AI8" s="768">
        <v>1842</v>
      </c>
      <c r="AJ8" s="782">
        <v>1987</v>
      </c>
      <c r="AK8" s="782">
        <f>7677-SUM(AH8:AJ8)</f>
        <v>2071</v>
      </c>
      <c r="AL8" s="769">
        <f>SUM(AH8:AK8)</f>
        <v>7677</v>
      </c>
      <c r="AM8" s="768">
        <v>2121</v>
      </c>
      <c r="AN8" s="768">
        <v>2210</v>
      </c>
      <c r="AO8" s="782">
        <v>2335</v>
      </c>
      <c r="AP8" s="782">
        <f>9140-SUM(AM8:AO8)</f>
        <v>2474</v>
      </c>
      <c r="AQ8" s="769">
        <f>SUM(AM8:AP8)</f>
        <v>9140</v>
      </c>
      <c r="AR8" s="768">
        <v>2424</v>
      </c>
      <c r="AS8" s="768">
        <v>2470</v>
      </c>
      <c r="AT8" s="782">
        <v>2390</v>
      </c>
      <c r="AU8" s="782"/>
      <c r="AV8" s="769">
        <v>2295</v>
      </c>
      <c r="AW8" s="768">
        <v>2277</v>
      </c>
      <c r="AX8" s="768">
        <v>2328</v>
      </c>
      <c r="AY8" s="782">
        <v>2316</v>
      </c>
      <c r="AZ8" s="782">
        <f>SUM(AV8:AY8)</f>
        <v>9216</v>
      </c>
      <c r="BA8" s="768">
        <v>2266</v>
      </c>
      <c r="BB8" s="768">
        <v>2181</v>
      </c>
      <c r="BC8" s="782">
        <v>2139</v>
      </c>
      <c r="BD8" s="782">
        <v>2049</v>
      </c>
      <c r="BE8" s="769">
        <f>SUM(BA8:BD8)</f>
        <v>8635</v>
      </c>
      <c r="BF8" s="768">
        <v>1765</v>
      </c>
      <c r="BG8" s="768">
        <v>1690</v>
      </c>
      <c r="BH8" s="782">
        <v>1597</v>
      </c>
      <c r="BI8" s="782">
        <v>1605</v>
      </c>
      <c r="BJ8" s="769">
        <f>SUM(BF8:BI8)</f>
        <v>6657</v>
      </c>
      <c r="BK8" s="768">
        <v>1701</v>
      </c>
      <c r="BL8" s="768">
        <v>1598</v>
      </c>
      <c r="BM8" s="782">
        <v>1603</v>
      </c>
      <c r="BN8" s="782">
        <v>1590</v>
      </c>
      <c r="BO8" s="769">
        <f>SUM(BK8:BN8)</f>
        <v>6492</v>
      </c>
      <c r="BP8" s="768">
        <v>1677</v>
      </c>
      <c r="BQ8" s="768">
        <v>1480</v>
      </c>
      <c r="BR8" s="782">
        <v>1418</v>
      </c>
      <c r="BS8" s="782">
        <v>1494</v>
      </c>
      <c r="BT8" s="769">
        <f>SUM(BP8:BS8)</f>
        <v>6069</v>
      </c>
      <c r="BU8" s="768">
        <v>1540</v>
      </c>
      <c r="BV8" s="768">
        <v>1491</v>
      </c>
      <c r="BW8" s="782">
        <v>1484</v>
      </c>
      <c r="BX8" s="782">
        <v>1517</v>
      </c>
      <c r="BY8" s="769">
        <f>SUM(BU8:BX8)</f>
        <v>6032</v>
      </c>
      <c r="BZ8" s="768">
        <v>1614</v>
      </c>
      <c r="CA8" s="768">
        <v>1439</v>
      </c>
      <c r="CB8" s="782">
        <v>1414</v>
      </c>
      <c r="CC8" s="782">
        <v>1452</v>
      </c>
      <c r="CD8" s="769">
        <f>SUM(BZ8:CC8)</f>
        <v>5919</v>
      </c>
      <c r="CE8" s="768">
        <v>1524</v>
      </c>
      <c r="CF8" s="768">
        <v>1441</v>
      </c>
      <c r="CG8" s="782">
        <v>1466</v>
      </c>
      <c r="CH8" s="782">
        <v>1481</v>
      </c>
      <c r="CI8" s="769">
        <f>SUM(CE8:CH8)</f>
        <v>5912</v>
      </c>
      <c r="CJ8" s="768">
        <v>1544</v>
      </c>
      <c r="CK8" s="768">
        <v>1478</v>
      </c>
      <c r="CL8" s="782">
        <v>1430</v>
      </c>
      <c r="CM8" s="782">
        <v>1477</v>
      </c>
      <c r="CN8" s="769">
        <f>SUM(CJ8:CM8)</f>
        <v>5929</v>
      </c>
      <c r="CO8" s="768">
        <v>1619</v>
      </c>
      <c r="CP8" s="768">
        <v>1466</v>
      </c>
      <c r="CQ8" s="782">
        <v>1444</v>
      </c>
      <c r="CR8" s="782">
        <v>1499</v>
      </c>
      <c r="CS8" s="769">
        <f>SUM(CO8:CR8)</f>
        <v>6028</v>
      </c>
      <c r="CT8" s="768">
        <v>1607</v>
      </c>
      <c r="CU8" s="768">
        <v>1548</v>
      </c>
      <c r="CV8" s="782">
        <v>1501</v>
      </c>
      <c r="CW8" s="782">
        <f>'Revenue Model'!CW8</f>
        <v>1544</v>
      </c>
      <c r="CX8" s="769">
        <f>SUM(CT8:CW8)</f>
        <v>6200</v>
      </c>
      <c r="CY8" s="768">
        <f>'Revenue Model'!CY8</f>
        <v>1536</v>
      </c>
      <c r="CZ8" s="768">
        <f>'Revenue Model'!CZ8</f>
        <v>1542</v>
      </c>
      <c r="DA8" s="782">
        <f>'Revenue Model'!DA8</f>
        <v>1502</v>
      </c>
      <c r="DB8" s="782">
        <f>'Revenue Model'!DB8</f>
        <v>2372</v>
      </c>
      <c r="DC8" s="769">
        <f>SUM(CY8:DB8)</f>
        <v>6952</v>
      </c>
      <c r="DD8" s="768">
        <f>'Revenue Model'!DD8</f>
        <v>2440</v>
      </c>
      <c r="DE8" s="768">
        <f>'Revenue Model'!DE8</f>
        <v>2393</v>
      </c>
      <c r="DF8" s="782">
        <f>'Revenue Model'!DF8</f>
        <v>2463</v>
      </c>
      <c r="DG8" s="782">
        <f>'Revenue Model'!DG8</f>
        <v>2719</v>
      </c>
      <c r="DH8" s="769">
        <f>SUM(DD8:DG8)</f>
        <v>10015</v>
      </c>
      <c r="DI8" s="768">
        <f>'Revenue Model'!DI8</f>
        <v>2691</v>
      </c>
      <c r="DJ8" s="768">
        <f>'Revenue Model'!DJ8</f>
        <v>2623</v>
      </c>
      <c r="DK8" s="782">
        <f>'Revenue Model'!DK8</f>
        <v>2603</v>
      </c>
      <c r="DL8" s="782">
        <f>'Revenue Model'!DL8</f>
        <v>2736</v>
      </c>
      <c r="DM8" s="769">
        <f t="shared" ref="DM8:DM13" si="0">SUM(DI8:DL8)</f>
        <v>10653</v>
      </c>
      <c r="DN8" s="1568">
        <f>'Revenue Model'!DN8</f>
        <v>2781</v>
      </c>
      <c r="DO8" s="1568">
        <f>'Revenue Model'!DO8</f>
        <v>2588</v>
      </c>
      <c r="DP8" s="1568">
        <f>'Revenue Model'!DP8</f>
        <v>2644</v>
      </c>
      <c r="DQ8" s="1568">
        <f>'Revenue Model'!DQ8</f>
        <v>2606</v>
      </c>
      <c r="DR8" s="769">
        <f t="shared" ref="DR8:DR13" si="1">SUM(DN8:DQ8)</f>
        <v>10619</v>
      </c>
      <c r="DS8" s="1568">
        <f>'Revenue Model'!DS8</f>
        <v>2605</v>
      </c>
      <c r="DT8" s="1568">
        <f>'Revenue Model'!DT8</f>
        <v>2545</v>
      </c>
      <c r="DU8" s="1568">
        <f>'Revenue Model'!DU8</f>
        <v>2391</v>
      </c>
      <c r="DV8" s="1568">
        <f>'Revenue Model'!DV8</f>
        <v>2695</v>
      </c>
      <c r="DW8" s="769">
        <f t="shared" ref="DW8:DW13" si="2">SUM(DS8:DV8)</f>
        <v>10236</v>
      </c>
      <c r="DX8" s="770">
        <f>'Revenue Model'!DX8</f>
        <v>2381.0276114494573</v>
      </c>
      <c r="DY8" s="770">
        <f>'Revenue Model'!DY8</f>
        <v>2338.3707146788502</v>
      </c>
      <c r="DZ8" s="770">
        <f>'Revenue Model'!DZ8</f>
        <v>2217.0305965652201</v>
      </c>
      <c r="EA8" s="770">
        <f>'Revenue Model'!EA8</f>
        <v>2389.5379586245249</v>
      </c>
      <c r="EB8" s="769">
        <f t="shared" ref="EB8:EB13" si="3">SUM(DX8:EA8)</f>
        <v>9325.9668813180524</v>
      </c>
      <c r="EC8" s="770">
        <f>'Revenue Model'!EC8</f>
        <v>2203.9296928510144</v>
      </c>
      <c r="ED8" s="770">
        <f>'Revenue Model'!ED8</f>
        <v>2246.1289015249372</v>
      </c>
      <c r="EE8" s="770">
        <f>'Revenue Model'!EE8</f>
        <v>2213.7014868601013</v>
      </c>
      <c r="EF8" s="770">
        <f>'Revenue Model'!EF8</f>
        <v>2474.3447793820005</v>
      </c>
      <c r="EG8" s="769">
        <f t="shared" ref="EG8:EG13" si="4">SUM(EC8:EF8)</f>
        <v>9138.104860618052</v>
      </c>
      <c r="EH8" s="770">
        <f>'Revenue Model'!EH8</f>
        <v>2276.486210671103</v>
      </c>
      <c r="EI8" s="770">
        <f>'Revenue Model'!EI8</f>
        <v>2314.317668527382</v>
      </c>
      <c r="EJ8" s="770">
        <f>'Revenue Model'!EJ8</f>
        <v>2275.2459951550481</v>
      </c>
      <c r="EK8" s="770">
        <f>'Revenue Model'!EK8</f>
        <v>2536.8250857324288</v>
      </c>
      <c r="EL8" s="769">
        <f t="shared" ref="EL8:EL13" si="5">SUM(EH8:EK8)</f>
        <v>9402.8749600859628</v>
      </c>
      <c r="EM8" s="1418"/>
      <c r="EN8"/>
      <c r="EO8"/>
      <c r="EP8"/>
      <c r="EQ8"/>
      <c r="ER8"/>
      <c r="ES8" s="1419"/>
      <c r="ET8"/>
      <c r="EU8" s="1419"/>
      <c r="EV8" s="1419"/>
      <c r="EW8" s="1419"/>
      <c r="EX8" s="1420"/>
      <c r="EY8" s="1420"/>
      <c r="EZ8" s="1420"/>
      <c r="FA8" s="1420"/>
      <c r="FB8" s="1420"/>
      <c r="FC8" s="1420"/>
      <c r="FD8" s="1420"/>
      <c r="FE8" s="1420"/>
      <c r="FF8" s="1420"/>
      <c r="FG8" s="1420"/>
      <c r="FH8" s="1420"/>
      <c r="FI8" s="1420"/>
      <c r="FJ8" s="1420"/>
      <c r="FK8" s="1420"/>
      <c r="FL8" s="1420"/>
      <c r="FM8" s="1420"/>
      <c r="FN8" s="1420"/>
      <c r="FO8" s="1420"/>
      <c r="FP8" s="1420"/>
      <c r="FQ8" s="1420"/>
      <c r="FR8" s="1420"/>
      <c r="FS8" s="1420"/>
      <c r="FT8" s="1420"/>
      <c r="FU8" s="1420"/>
      <c r="FV8" s="1420"/>
      <c r="FW8" s="1420"/>
      <c r="FX8" s="1420"/>
      <c r="FY8" s="1420"/>
      <c r="FZ8" s="1420"/>
      <c r="GA8" s="1420"/>
      <c r="GB8" s="1420"/>
      <c r="GC8" s="1420"/>
      <c r="GD8" s="1420"/>
      <c r="GE8" s="1420"/>
      <c r="GF8" s="1420"/>
      <c r="GG8" s="1420"/>
      <c r="GH8" s="1420"/>
      <c r="GI8" s="1420"/>
      <c r="GJ8" s="1420"/>
      <c r="GK8" s="1420"/>
      <c r="GL8" s="1420"/>
      <c r="GM8" s="1420"/>
      <c r="GN8" s="1420"/>
      <c r="GO8" s="1420"/>
      <c r="GP8" s="1420"/>
      <c r="GQ8" s="1420"/>
      <c r="GR8" s="1420"/>
      <c r="GS8" s="1420"/>
      <c r="GT8" s="1420"/>
      <c r="GU8" s="1420"/>
      <c r="GV8" s="1420"/>
      <c r="GW8" s="1420"/>
      <c r="GX8" s="1420"/>
      <c r="GY8" s="1420"/>
      <c r="GZ8" s="1420"/>
      <c r="HA8" s="1420"/>
      <c r="HB8" s="1420"/>
      <c r="HC8" s="1420"/>
      <c r="HD8" s="1420"/>
      <c r="HE8" s="1420"/>
      <c r="HF8" s="1420"/>
      <c r="HG8" s="1420"/>
      <c r="HH8" s="1420"/>
      <c r="HI8" s="1420"/>
      <c r="HJ8" s="1420"/>
      <c r="HK8" s="1420"/>
      <c r="HL8" s="1420"/>
      <c r="HM8" s="1420"/>
      <c r="HN8" s="1420"/>
      <c r="HO8" s="1420"/>
      <c r="HP8" s="1420"/>
      <c r="HQ8" s="1420"/>
      <c r="HR8" s="1420"/>
      <c r="HS8" s="1420"/>
      <c r="HT8" s="1420"/>
      <c r="HU8" s="1420"/>
      <c r="HV8" s="1420"/>
      <c r="HW8" s="1420"/>
      <c r="HX8" s="1420"/>
      <c r="HY8" s="1420"/>
      <c r="HZ8" s="1420"/>
      <c r="IA8" s="1420"/>
      <c r="IB8" s="1420"/>
      <c r="IC8" s="1420"/>
      <c r="ID8" s="1420"/>
      <c r="IE8" s="1420"/>
      <c r="IF8" s="1420"/>
      <c r="IG8" s="1420"/>
      <c r="IH8" s="1420"/>
      <c r="II8" s="1420"/>
      <c r="IJ8" s="1420"/>
      <c r="IK8" s="1420"/>
      <c r="IL8" s="1420"/>
      <c r="IM8" s="1420"/>
      <c r="IN8" s="1420"/>
      <c r="IO8" s="1420"/>
      <c r="IP8" s="1420"/>
      <c r="IQ8" s="1420"/>
      <c r="IR8" s="1420"/>
      <c r="IS8" s="1420"/>
      <c r="IT8" s="1420"/>
      <c r="IU8" s="1420"/>
      <c r="IV8" s="1420"/>
      <c r="IW8" s="1420"/>
      <c r="IX8" s="1420"/>
      <c r="IY8" s="1420"/>
      <c r="IZ8" s="1420"/>
      <c r="JA8" s="1420"/>
      <c r="JB8" s="1420"/>
      <c r="JC8" s="1420"/>
      <c r="JD8" s="1420"/>
      <c r="JE8" s="1420"/>
      <c r="JF8" s="1420"/>
      <c r="JG8" s="1420"/>
      <c r="JH8" s="1420"/>
      <c r="JI8" s="1420"/>
      <c r="JJ8" s="1420"/>
      <c r="JK8" s="1420"/>
    </row>
    <row r="9" spans="1:271" s="1421" customFormat="1" ht="12" hidden="1" customHeight="1" outlineLevel="1">
      <c r="A9" s="766"/>
      <c r="B9" s="767" t="s">
        <v>493</v>
      </c>
      <c r="C9" s="737"/>
      <c r="D9" s="768">
        <v>144.14400000000001</v>
      </c>
      <c r="E9" s="768">
        <v>138.39599999999999</v>
      </c>
      <c r="F9" s="782">
        <v>144.19999999999999</v>
      </c>
      <c r="G9" s="782">
        <f>786.3-SUM(D9:F9)</f>
        <v>359.56</v>
      </c>
      <c r="H9" s="769">
        <f>SUM(D9:G9)</f>
        <v>786.3</v>
      </c>
      <c r="I9" s="768">
        <v>365.3</v>
      </c>
      <c r="J9" s="768">
        <v>390</v>
      </c>
      <c r="K9" s="782">
        <v>402.6</v>
      </c>
      <c r="L9" s="782">
        <f>1572-SUM(I9:K9)</f>
        <v>414.09999999999991</v>
      </c>
      <c r="M9" s="769">
        <f>SUM(I9:L9)</f>
        <v>1572</v>
      </c>
      <c r="N9" s="768">
        <v>410.5</v>
      </c>
      <c r="O9" s="768">
        <v>425.7</v>
      </c>
      <c r="P9" s="782">
        <v>639.79999999999995</v>
      </c>
      <c r="Q9" s="782">
        <f>2515-SUM(N9:P9)</f>
        <v>1039</v>
      </c>
      <c r="R9" s="769">
        <f>SUM(N9:Q9)</f>
        <v>2515</v>
      </c>
      <c r="S9" s="768">
        <v>735</v>
      </c>
      <c r="T9" s="768">
        <v>759</v>
      </c>
      <c r="U9" s="782">
        <v>724</v>
      </c>
      <c r="V9" s="782">
        <f>2978-SUM(S9:U9)</f>
        <v>760</v>
      </c>
      <c r="W9" s="769">
        <f>SUM(S9:V9)</f>
        <v>2978</v>
      </c>
      <c r="X9" s="768">
        <v>786</v>
      </c>
      <c r="Y9" s="768">
        <v>755</v>
      </c>
      <c r="Z9" s="782">
        <v>807</v>
      </c>
      <c r="AA9" s="782">
        <f>3185-SUM(X9:Z9)</f>
        <v>837</v>
      </c>
      <c r="AB9" s="769">
        <f>SUM(X9:AA9)</f>
        <v>3185</v>
      </c>
      <c r="AC9" s="768">
        <v>902</v>
      </c>
      <c r="AD9" s="768">
        <v>823</v>
      </c>
      <c r="AE9" s="782">
        <v>795</v>
      </c>
      <c r="AF9" s="782">
        <f>3394-SUM(AC9:AE9)</f>
        <v>874</v>
      </c>
      <c r="AG9" s="769">
        <f>SUM(AC9:AF9)</f>
        <v>3394</v>
      </c>
      <c r="AH9" s="768">
        <v>912</v>
      </c>
      <c r="AI9" s="768">
        <v>879</v>
      </c>
      <c r="AJ9" s="782">
        <v>864</v>
      </c>
      <c r="AK9" s="782">
        <f>3603-SUM(AH9:AJ9)</f>
        <v>948</v>
      </c>
      <c r="AL9" s="769">
        <f>SUM(AH9:AK9)</f>
        <v>3603</v>
      </c>
      <c r="AM9" s="768">
        <v>997</v>
      </c>
      <c r="AN9" s="768">
        <v>1014</v>
      </c>
      <c r="AO9" s="782">
        <v>982</v>
      </c>
      <c r="AP9" s="782">
        <f>4108-SUM(AM9:AO9)</f>
        <v>1115</v>
      </c>
      <c r="AQ9" s="769">
        <f>SUM(AM9:AP9)</f>
        <v>4108</v>
      </c>
      <c r="AR9" s="768">
        <v>1122</v>
      </c>
      <c r="AS9" s="768">
        <v>1138</v>
      </c>
      <c r="AT9" s="782">
        <v>1103</v>
      </c>
      <c r="AU9" s="782"/>
      <c r="AV9" s="769">
        <v>934</v>
      </c>
      <c r="AW9" s="768">
        <v>1018</v>
      </c>
      <c r="AX9" s="768">
        <v>1044</v>
      </c>
      <c r="AY9" s="782">
        <v>1054</v>
      </c>
      <c r="AZ9" s="782">
        <f>SUM(AV9:AY9)</f>
        <v>4050</v>
      </c>
      <c r="BA9" s="768">
        <v>1012</v>
      </c>
      <c r="BB9" s="768">
        <v>1014</v>
      </c>
      <c r="BC9" s="782">
        <v>1006</v>
      </c>
      <c r="BD9" s="782">
        <v>963</v>
      </c>
      <c r="BE9" s="769">
        <f>SUM(BA9:BD9)</f>
        <v>3995</v>
      </c>
      <c r="BF9" s="768">
        <v>808</v>
      </c>
      <c r="BG9" s="768">
        <v>781</v>
      </c>
      <c r="BH9" s="782">
        <v>751</v>
      </c>
      <c r="BI9" s="782">
        <v>714</v>
      </c>
      <c r="BJ9" s="769">
        <f>SUM(BF9:BI9)</f>
        <v>3054</v>
      </c>
      <c r="BK9" s="768">
        <v>709</v>
      </c>
      <c r="BL9" s="768">
        <v>727</v>
      </c>
      <c r="BM9" s="782">
        <v>708</v>
      </c>
      <c r="BN9" s="782">
        <v>641</v>
      </c>
      <c r="BO9" s="769">
        <f>SUM(BK9:BN9)</f>
        <v>2785</v>
      </c>
      <c r="BP9" s="768">
        <v>664</v>
      </c>
      <c r="BQ9" s="768">
        <v>632</v>
      </c>
      <c r="BR9" s="782">
        <v>623</v>
      </c>
      <c r="BS9" s="782">
        <v>622</v>
      </c>
      <c r="BT9" s="769">
        <f>SUM(BP9:BS9)</f>
        <v>2541</v>
      </c>
      <c r="BU9" s="768">
        <v>657</v>
      </c>
      <c r="BV9" s="768">
        <v>667</v>
      </c>
      <c r="BW9" s="782">
        <v>654</v>
      </c>
      <c r="BX9" s="782">
        <v>660</v>
      </c>
      <c r="BY9" s="769">
        <f>SUM(BU9:BX9)</f>
        <v>2638</v>
      </c>
      <c r="BZ9" s="768">
        <v>683</v>
      </c>
      <c r="CA9" s="768">
        <v>670</v>
      </c>
      <c r="CB9" s="782">
        <v>664</v>
      </c>
      <c r="CC9" s="782">
        <v>654</v>
      </c>
      <c r="CD9" s="769">
        <f>SUM(BZ9:CC9)</f>
        <v>2671</v>
      </c>
      <c r="CE9" s="768">
        <v>674</v>
      </c>
      <c r="CF9" s="768">
        <v>702</v>
      </c>
      <c r="CG9" s="782">
        <v>709</v>
      </c>
      <c r="CH9" s="782">
        <v>691</v>
      </c>
      <c r="CI9" s="769">
        <f>SUM(CE9:CH9)</f>
        <v>2776</v>
      </c>
      <c r="CJ9" s="768">
        <v>706</v>
      </c>
      <c r="CK9" s="768">
        <v>733</v>
      </c>
      <c r="CL9" s="782">
        <v>734</v>
      </c>
      <c r="CM9" s="782">
        <v>730</v>
      </c>
      <c r="CN9" s="769">
        <f>SUM(CJ9:CM9)</f>
        <v>2903</v>
      </c>
      <c r="CO9" s="768">
        <v>720</v>
      </c>
      <c r="CP9" s="768">
        <v>738</v>
      </c>
      <c r="CQ9" s="782">
        <v>734</v>
      </c>
      <c r="CR9" s="782">
        <v>736</v>
      </c>
      <c r="CS9" s="769">
        <f>SUM(CO9:CR9)</f>
        <v>2928</v>
      </c>
      <c r="CT9" s="768">
        <v>766</v>
      </c>
      <c r="CU9" s="768">
        <v>791</v>
      </c>
      <c r="CV9" s="782">
        <v>789</v>
      </c>
      <c r="CW9" s="782">
        <f>'Revenue Model'!CW9</f>
        <v>821</v>
      </c>
      <c r="CX9" s="769">
        <f>SUM(CT9:CW9)</f>
        <v>3167</v>
      </c>
      <c r="CY9" s="768">
        <f>'Revenue Model'!CY9</f>
        <v>813</v>
      </c>
      <c r="CZ9" s="768">
        <f>'Revenue Model'!CZ9</f>
        <v>844</v>
      </c>
      <c r="DA9" s="782">
        <f>'Revenue Model'!DA9</f>
        <v>845</v>
      </c>
      <c r="DB9" s="782">
        <f>'Revenue Model'!DB9</f>
        <v>1357</v>
      </c>
      <c r="DC9" s="769">
        <f>SUM(CY9:DB9)</f>
        <v>3859</v>
      </c>
      <c r="DD9" s="768">
        <f>'Revenue Model'!DD9</f>
        <v>1346</v>
      </c>
      <c r="DE9" s="768">
        <f>'Revenue Model'!DE9</f>
        <v>1448</v>
      </c>
      <c r="DF9" s="782">
        <f>'Revenue Model'!DF9</f>
        <v>1441</v>
      </c>
      <c r="DG9" s="782">
        <f>'Revenue Model'!DG9</f>
        <v>1539</v>
      </c>
      <c r="DH9" s="769">
        <f>SUM(DD9:DG9)</f>
        <v>5774</v>
      </c>
      <c r="DI9" s="768">
        <f>'Revenue Model'!DI9</f>
        <v>1412</v>
      </c>
      <c r="DJ9" s="768">
        <f>'Revenue Model'!DJ9</f>
        <v>1484</v>
      </c>
      <c r="DK9" s="782">
        <f>'Revenue Model'!DK9</f>
        <v>1515</v>
      </c>
      <c r="DL9" s="782">
        <f>'Revenue Model'!DL9</f>
        <v>1616</v>
      </c>
      <c r="DM9" s="769">
        <f t="shared" si="0"/>
        <v>6027</v>
      </c>
      <c r="DN9" s="1568">
        <f>'Revenue Model'!DN9</f>
        <v>1514</v>
      </c>
      <c r="DO9" s="1568">
        <f>'Revenue Model'!DO9</f>
        <v>1460</v>
      </c>
      <c r="DP9" s="1568">
        <f>'Revenue Model'!DP9</f>
        <v>1417</v>
      </c>
      <c r="DQ9" s="1568">
        <f>'Revenue Model'!DQ9</f>
        <v>1457</v>
      </c>
      <c r="DR9" s="769">
        <f t="shared" si="1"/>
        <v>5848</v>
      </c>
      <c r="DS9" s="1568">
        <f>'Revenue Model'!DS9</f>
        <v>1463</v>
      </c>
      <c r="DT9" s="1568">
        <f>'Revenue Model'!DT9</f>
        <v>1491</v>
      </c>
      <c r="DU9" s="1568">
        <f>'Revenue Model'!DU9</f>
        <v>1386</v>
      </c>
      <c r="DV9" s="1568">
        <f>'Revenue Model'!DV9</f>
        <v>1431</v>
      </c>
      <c r="DW9" s="769">
        <f t="shared" si="2"/>
        <v>5771</v>
      </c>
      <c r="DX9" s="770">
        <f>'Revenue Model'!DX9</f>
        <v>1470.3149999999998</v>
      </c>
      <c r="DY9" s="770">
        <f>'Revenue Model'!DY9</f>
        <v>1498.4549999999999</v>
      </c>
      <c r="DZ9" s="770">
        <f>'Revenue Model'!DZ9</f>
        <v>1392.9299999999998</v>
      </c>
      <c r="EA9" s="770">
        <f>'Revenue Model'!EA9</f>
        <v>1438.1549999999997</v>
      </c>
      <c r="EB9" s="769">
        <f t="shared" si="3"/>
        <v>5799.8549999999987</v>
      </c>
      <c r="EC9" s="770">
        <f>'Revenue Model'!EC9</f>
        <v>1492.3697249999998</v>
      </c>
      <c r="ED9" s="770">
        <f>'Revenue Model'!ED9</f>
        <v>1520.9318249999999</v>
      </c>
      <c r="EE9" s="770">
        <f>'Revenue Model'!EE9</f>
        <v>1413.8239499999997</v>
      </c>
      <c r="EF9" s="770">
        <f>'Revenue Model'!EF9</f>
        <v>1459.7273249999996</v>
      </c>
      <c r="EG9" s="769">
        <f t="shared" si="4"/>
        <v>5886.852824999999</v>
      </c>
      <c r="EH9" s="770">
        <f>'Revenue Model'!EH9</f>
        <v>1514.7552708749997</v>
      </c>
      <c r="EI9" s="770">
        <f>'Revenue Model'!EI9</f>
        <v>1543.7458023749998</v>
      </c>
      <c r="EJ9" s="770">
        <f>'Revenue Model'!EJ9</f>
        <v>1435.0313092499996</v>
      </c>
      <c r="EK9" s="770">
        <f>'Revenue Model'!EK9</f>
        <v>1481.6232348749995</v>
      </c>
      <c r="EL9" s="769">
        <f t="shared" si="5"/>
        <v>5975.1556173749996</v>
      </c>
      <c r="EM9" s="1418"/>
      <c r="EN9"/>
      <c r="EO9"/>
      <c r="EP9"/>
      <c r="EQ9"/>
      <c r="ER9"/>
      <c r="ES9" s="1419"/>
      <c r="ET9"/>
      <c r="EU9" s="1419"/>
      <c r="EV9" s="1419"/>
      <c r="EW9" s="1419"/>
      <c r="EX9" s="1420"/>
      <c r="EY9" s="1420"/>
      <c r="EZ9" s="1420"/>
      <c r="FA9" s="1420"/>
      <c r="FB9" s="1420"/>
      <c r="FC9" s="1420"/>
      <c r="FD9" s="1420"/>
      <c r="FE9" s="1420"/>
      <c r="FF9" s="1420"/>
      <c r="FG9" s="1420"/>
      <c r="FH9" s="1420"/>
      <c r="FI9" s="1420"/>
      <c r="FJ9" s="1420"/>
      <c r="FK9" s="1420"/>
      <c r="FL9" s="1420"/>
      <c r="FM9" s="1420"/>
      <c r="FN9" s="1420"/>
      <c r="FO9" s="1420"/>
      <c r="FP9" s="1420"/>
      <c r="FQ9" s="1420"/>
      <c r="FR9" s="1420"/>
      <c r="FS9" s="1420"/>
      <c r="FT9" s="1420"/>
      <c r="FU9" s="1420"/>
      <c r="FV9" s="1420"/>
      <c r="FW9" s="1420"/>
      <c r="FX9" s="1420"/>
      <c r="FY9" s="1420"/>
      <c r="FZ9" s="1420"/>
      <c r="GA9" s="1420"/>
      <c r="GB9" s="1420"/>
      <c r="GC9" s="1420"/>
      <c r="GD9" s="1420"/>
      <c r="GE9" s="1420"/>
      <c r="GF9" s="1420"/>
      <c r="GG9" s="1420"/>
      <c r="GH9" s="1420"/>
      <c r="GI9" s="1420"/>
      <c r="GJ9" s="1420"/>
      <c r="GK9" s="1420"/>
      <c r="GL9" s="1420"/>
      <c r="GM9" s="1420"/>
      <c r="GN9" s="1420"/>
      <c r="GO9" s="1420"/>
      <c r="GP9" s="1420"/>
      <c r="GQ9" s="1420"/>
      <c r="GR9" s="1420"/>
      <c r="GS9" s="1420"/>
      <c r="GT9" s="1420"/>
      <c r="GU9" s="1420"/>
      <c r="GV9" s="1420"/>
      <c r="GW9" s="1420"/>
      <c r="GX9" s="1420"/>
      <c r="GY9" s="1420"/>
      <c r="GZ9" s="1420"/>
      <c r="HA9" s="1420"/>
      <c r="HB9" s="1420"/>
      <c r="HC9" s="1420"/>
      <c r="HD9" s="1420"/>
      <c r="HE9" s="1420"/>
      <c r="HF9" s="1420"/>
      <c r="HG9" s="1420"/>
      <c r="HH9" s="1420"/>
      <c r="HI9" s="1420"/>
      <c r="HJ9" s="1420"/>
      <c r="HK9" s="1420"/>
      <c r="HL9" s="1420"/>
      <c r="HM9" s="1420"/>
      <c r="HN9" s="1420"/>
      <c r="HO9" s="1420"/>
      <c r="HP9" s="1420"/>
      <c r="HQ9" s="1420"/>
      <c r="HR9" s="1420"/>
      <c r="HS9" s="1420"/>
      <c r="HT9" s="1420"/>
      <c r="HU9" s="1420"/>
      <c r="HV9" s="1420"/>
      <c r="HW9" s="1420"/>
      <c r="HX9" s="1420"/>
      <c r="HY9" s="1420"/>
      <c r="HZ9" s="1420"/>
      <c r="IA9" s="1420"/>
      <c r="IB9" s="1420"/>
      <c r="IC9" s="1420"/>
      <c r="ID9" s="1420"/>
      <c r="IE9" s="1420"/>
      <c r="IF9" s="1420"/>
      <c r="IG9" s="1420"/>
      <c r="IH9" s="1420"/>
      <c r="II9" s="1420"/>
      <c r="IJ9" s="1420"/>
      <c r="IK9" s="1420"/>
      <c r="IL9" s="1420"/>
      <c r="IM9" s="1420"/>
      <c r="IN9" s="1420"/>
      <c r="IO9" s="1420"/>
      <c r="IP9" s="1420"/>
      <c r="IQ9" s="1420"/>
      <c r="IR9" s="1420"/>
      <c r="IS9" s="1420"/>
      <c r="IT9" s="1420"/>
      <c r="IU9" s="1420"/>
      <c r="IV9" s="1420"/>
      <c r="IW9" s="1420"/>
      <c r="IX9" s="1420"/>
      <c r="IY9" s="1420"/>
      <c r="IZ9" s="1420"/>
      <c r="JA9" s="1420"/>
      <c r="JB9" s="1420"/>
      <c r="JC9" s="1420"/>
      <c r="JD9" s="1420"/>
      <c r="JE9" s="1420"/>
      <c r="JF9" s="1420"/>
      <c r="JG9" s="1420"/>
      <c r="JH9" s="1420"/>
      <c r="JI9" s="1420"/>
      <c r="JJ9" s="1420"/>
      <c r="JK9" s="1420"/>
    </row>
    <row r="10" spans="1:271" s="1421" customFormat="1" ht="12" hidden="1" customHeight="1" outlineLevel="1">
      <c r="A10" s="766"/>
      <c r="B10" s="767" t="s">
        <v>594</v>
      </c>
      <c r="C10" s="737"/>
      <c r="D10" s="768"/>
      <c r="E10" s="768"/>
      <c r="F10" s="782"/>
      <c r="G10" s="782"/>
      <c r="H10" s="769"/>
      <c r="I10" s="768"/>
      <c r="J10" s="768"/>
      <c r="K10" s="782"/>
      <c r="L10" s="782"/>
      <c r="M10" s="769"/>
      <c r="N10" s="768"/>
      <c r="O10" s="768"/>
      <c r="P10" s="782"/>
      <c r="Q10" s="782"/>
      <c r="R10" s="769"/>
      <c r="S10" s="768"/>
      <c r="T10" s="768"/>
      <c r="U10" s="782"/>
      <c r="V10" s="782"/>
      <c r="W10" s="769"/>
      <c r="X10" s="768"/>
      <c r="Y10" s="768"/>
      <c r="Z10" s="782"/>
      <c r="AA10" s="782"/>
      <c r="AB10" s="769"/>
      <c r="AC10" s="768"/>
      <c r="AD10" s="768"/>
      <c r="AE10" s="782"/>
      <c r="AF10" s="782"/>
      <c r="AG10" s="769"/>
      <c r="AH10" s="768"/>
      <c r="AI10" s="768"/>
      <c r="AJ10" s="782"/>
      <c r="AK10" s="782"/>
      <c r="AL10" s="769"/>
      <c r="AM10" s="768"/>
      <c r="AN10" s="768"/>
      <c r="AO10" s="782"/>
      <c r="AP10" s="782"/>
      <c r="AQ10" s="769"/>
      <c r="AR10" s="768"/>
      <c r="AS10" s="768"/>
      <c r="AT10" s="782"/>
      <c r="AU10" s="782"/>
      <c r="AV10" s="769"/>
      <c r="AW10" s="768"/>
      <c r="AX10" s="768"/>
      <c r="AY10" s="782"/>
      <c r="AZ10" s="782"/>
      <c r="BA10" s="768"/>
      <c r="BB10" s="768"/>
      <c r="BC10" s="782"/>
      <c r="BD10" s="782"/>
      <c r="BE10" s="769"/>
      <c r="BF10" s="768"/>
      <c r="BG10" s="768"/>
      <c r="BH10" s="782"/>
      <c r="BI10" s="782"/>
      <c r="BJ10" s="769"/>
      <c r="BK10" s="768"/>
      <c r="BL10" s="768"/>
      <c r="BM10" s="782"/>
      <c r="BN10" s="782"/>
      <c r="BO10" s="769"/>
      <c r="BP10" s="768"/>
      <c r="BQ10" s="768"/>
      <c r="BR10" s="782"/>
      <c r="BS10" s="782"/>
      <c r="BT10" s="769"/>
      <c r="BU10" s="768"/>
      <c r="BV10" s="768"/>
      <c r="BW10" s="782"/>
      <c r="BX10" s="782"/>
      <c r="BY10" s="769"/>
      <c r="BZ10" s="768"/>
      <c r="CA10" s="768"/>
      <c r="CB10" s="782"/>
      <c r="CC10" s="782"/>
      <c r="CD10" s="769"/>
      <c r="CE10" s="768"/>
      <c r="CF10" s="768"/>
      <c r="CG10" s="782"/>
      <c r="CH10" s="782"/>
      <c r="CI10" s="769"/>
      <c r="CJ10" s="768"/>
      <c r="CK10" s="768"/>
      <c r="CL10" s="782"/>
      <c r="CM10" s="782"/>
      <c r="CN10" s="769"/>
      <c r="CO10" s="768"/>
      <c r="CP10" s="768"/>
      <c r="CQ10" s="782"/>
      <c r="CR10" s="782"/>
      <c r="CS10" s="769"/>
      <c r="CT10" s="768"/>
      <c r="CU10" s="768"/>
      <c r="CV10" s="782"/>
      <c r="CW10" s="782"/>
      <c r="CX10" s="769"/>
      <c r="CY10" s="768"/>
      <c r="CZ10" s="768"/>
      <c r="DA10" s="782"/>
      <c r="DB10" s="782"/>
      <c r="DC10" s="769"/>
      <c r="DD10" s="768"/>
      <c r="DE10" s="768"/>
      <c r="DF10" s="782"/>
      <c r="DG10" s="782"/>
      <c r="DH10" s="769"/>
      <c r="DI10" s="768"/>
      <c r="DJ10" s="782">
        <v>332</v>
      </c>
      <c r="DK10" s="782">
        <v>341</v>
      </c>
      <c r="DL10" s="782">
        <v>411</v>
      </c>
      <c r="DM10" s="769">
        <f t="shared" si="0"/>
        <v>1084</v>
      </c>
      <c r="DN10" s="1568">
        <f>'Revenue Model'!DN10</f>
        <v>437</v>
      </c>
      <c r="DO10" s="1568">
        <f>'Revenue Model'!DO10</f>
        <v>452</v>
      </c>
      <c r="DP10" s="1568">
        <f>'Revenue Model'!DP10</f>
        <v>457</v>
      </c>
      <c r="DQ10" s="1568">
        <f>'Revenue Model'!DQ10</f>
        <v>487</v>
      </c>
      <c r="DR10" s="769">
        <f t="shared" si="1"/>
        <v>1833</v>
      </c>
      <c r="DS10" s="1568">
        <f>'Revenue Model'!DS10</f>
        <v>462</v>
      </c>
      <c r="DT10" s="1568">
        <f>'Revenue Model'!DT10</f>
        <v>483</v>
      </c>
      <c r="DU10" s="1568">
        <f>'Revenue Model'!DU10</f>
        <v>477</v>
      </c>
      <c r="DV10" s="1568">
        <f>'Revenue Model'!DV10</f>
        <v>556</v>
      </c>
      <c r="DW10" s="769">
        <f t="shared" si="2"/>
        <v>1978</v>
      </c>
      <c r="DX10" s="770">
        <f>'Revenue Model'!DX10</f>
        <v>485.7125905499999</v>
      </c>
      <c r="DY10" s="770">
        <f>'Revenue Model'!DY10</f>
        <v>496.78272585000002</v>
      </c>
      <c r="DZ10" s="770">
        <f>'Revenue Model'!DZ10</f>
        <v>487.00018147499986</v>
      </c>
      <c r="EA10" s="770">
        <f>'Revenue Model'!EA10</f>
        <v>567.79133249999984</v>
      </c>
      <c r="EB10" s="769">
        <f t="shared" si="3"/>
        <v>2037.2868303749997</v>
      </c>
      <c r="EC10" s="770">
        <f>'Revenue Model'!EC10</f>
        <v>542.32482154155514</v>
      </c>
      <c r="ED10" s="770">
        <f>'Revenue Model'!ED10</f>
        <v>554.68523646144683</v>
      </c>
      <c r="EE10" s="770">
        <f>'Revenue Model'!EE10</f>
        <v>543.76248762681848</v>
      </c>
      <c r="EF10" s="770">
        <f>'Revenue Model'!EF10</f>
        <v>633.97025125953735</v>
      </c>
      <c r="EG10" s="769">
        <f t="shared" si="4"/>
        <v>2274.742796889358</v>
      </c>
      <c r="EH10" s="770">
        <f>'Revenue Model'!EH10</f>
        <v>657.0487073130206</v>
      </c>
      <c r="EI10" s="770">
        <f>'Revenue Model'!EI10</f>
        <v>672.02385564180713</v>
      </c>
      <c r="EJ10" s="770">
        <f>'Revenue Model'!EJ10</f>
        <v>658.79049858892972</v>
      </c>
      <c r="EK10" s="770">
        <f>'Revenue Model'!EK10</f>
        <v>768.08089454757169</v>
      </c>
      <c r="EL10" s="769">
        <f t="shared" si="5"/>
        <v>2755.9439560913293</v>
      </c>
      <c r="EM10" s="1418"/>
      <c r="EN10"/>
      <c r="EO10"/>
      <c r="EP10"/>
      <c r="EQ10"/>
      <c r="ER10"/>
      <c r="ES10" s="1419"/>
      <c r="ET10"/>
      <c r="EU10" s="1419"/>
      <c r="EV10" s="1419"/>
      <c r="EW10" s="1419"/>
      <c r="EX10" s="1420"/>
      <c r="EY10" s="1420"/>
      <c r="EZ10" s="1420"/>
      <c r="FA10" s="1420"/>
      <c r="FB10" s="1420"/>
      <c r="FC10" s="1420"/>
      <c r="FD10" s="1420"/>
      <c r="FE10" s="1420"/>
      <c r="FF10" s="1420"/>
      <c r="FG10" s="1420"/>
      <c r="FH10" s="1420"/>
      <c r="FI10" s="1420"/>
      <c r="FJ10" s="1420"/>
      <c r="FK10" s="1420"/>
      <c r="FL10" s="1420"/>
      <c r="FM10" s="1420"/>
      <c r="FN10" s="1420"/>
      <c r="FO10" s="1420"/>
      <c r="FP10" s="1420"/>
      <c r="FQ10" s="1420"/>
      <c r="FR10" s="1420"/>
      <c r="FS10" s="1420"/>
      <c r="FT10" s="1420"/>
      <c r="FU10" s="1420"/>
      <c r="FV10" s="1420"/>
      <c r="FW10" s="1420"/>
      <c r="FX10" s="1420"/>
      <c r="FY10" s="1420"/>
      <c r="FZ10" s="1420"/>
      <c r="GA10" s="1420"/>
      <c r="GB10" s="1420"/>
      <c r="GC10" s="1420"/>
      <c r="GD10" s="1420"/>
      <c r="GE10" s="1420"/>
      <c r="GF10" s="1420"/>
      <c r="GG10" s="1420"/>
      <c r="GH10" s="1420"/>
      <c r="GI10" s="1420"/>
      <c r="GJ10" s="1420"/>
      <c r="GK10" s="1420"/>
      <c r="GL10" s="1420"/>
      <c r="GM10" s="1420"/>
      <c r="GN10" s="1420"/>
      <c r="GO10" s="1420"/>
      <c r="GP10" s="1420"/>
      <c r="GQ10" s="1420"/>
      <c r="GR10" s="1420"/>
      <c r="GS10" s="1420"/>
      <c r="GT10" s="1420"/>
      <c r="GU10" s="1420"/>
      <c r="GV10" s="1420"/>
      <c r="GW10" s="1420"/>
      <c r="GX10" s="1420"/>
      <c r="GY10" s="1420"/>
      <c r="GZ10" s="1420"/>
      <c r="HA10" s="1420"/>
      <c r="HB10" s="1420"/>
      <c r="HC10" s="1420"/>
      <c r="HD10" s="1420"/>
      <c r="HE10" s="1420"/>
      <c r="HF10" s="1420"/>
      <c r="HG10" s="1420"/>
      <c r="HH10" s="1420"/>
      <c r="HI10" s="1420"/>
      <c r="HJ10" s="1420"/>
      <c r="HK10" s="1420"/>
      <c r="HL10" s="1420"/>
      <c r="HM10" s="1420"/>
      <c r="HN10" s="1420"/>
      <c r="HO10" s="1420"/>
      <c r="HP10" s="1420"/>
      <c r="HQ10" s="1420"/>
      <c r="HR10" s="1420"/>
      <c r="HS10" s="1420"/>
      <c r="HT10" s="1420"/>
      <c r="HU10" s="1420"/>
      <c r="HV10" s="1420"/>
      <c r="HW10" s="1420"/>
      <c r="HX10" s="1420"/>
      <c r="HY10" s="1420"/>
      <c r="HZ10" s="1420"/>
      <c r="IA10" s="1420"/>
      <c r="IB10" s="1420"/>
      <c r="IC10" s="1420"/>
      <c r="ID10" s="1420"/>
      <c r="IE10" s="1420"/>
      <c r="IF10" s="1420"/>
      <c r="IG10" s="1420"/>
      <c r="IH10" s="1420"/>
      <c r="II10" s="1420"/>
      <c r="IJ10" s="1420"/>
      <c r="IK10" s="1420"/>
      <c r="IL10" s="1420"/>
      <c r="IM10" s="1420"/>
      <c r="IN10" s="1420"/>
      <c r="IO10" s="1420"/>
      <c r="IP10" s="1420"/>
      <c r="IQ10" s="1420"/>
      <c r="IR10" s="1420"/>
      <c r="IS10" s="1420"/>
      <c r="IT10" s="1420"/>
      <c r="IU10" s="1420"/>
      <c r="IV10" s="1420"/>
      <c r="IW10" s="1420"/>
      <c r="IX10" s="1420"/>
      <c r="IY10" s="1420"/>
      <c r="IZ10" s="1420"/>
      <c r="JA10" s="1420"/>
      <c r="JB10" s="1420"/>
      <c r="JC10" s="1420"/>
      <c r="JD10" s="1420"/>
      <c r="JE10" s="1420"/>
      <c r="JF10" s="1420"/>
      <c r="JG10" s="1420"/>
      <c r="JH10" s="1420"/>
      <c r="JI10" s="1420"/>
      <c r="JJ10" s="1420"/>
      <c r="JK10" s="1420"/>
    </row>
    <row r="11" spans="1:271" s="1421" customFormat="1" ht="11.25" hidden="1" customHeight="1" outlineLevel="1">
      <c r="A11" s="1422"/>
      <c r="B11" s="1423" t="s">
        <v>494</v>
      </c>
      <c r="C11" s="822"/>
      <c r="D11" s="1424">
        <f>D12-SUM(D8:D9)</f>
        <v>145.3130000000001</v>
      </c>
      <c r="E11" s="1424">
        <f>E12-SUM(E8:E9)</f>
        <v>133.62900000000002</v>
      </c>
      <c r="F11" s="1424">
        <f>F12-SUM(F8:F9)</f>
        <v>130.60000000000002</v>
      </c>
      <c r="G11" s="1424">
        <f>G12-SUM(G8:G9)</f>
        <v>184.25800000000004</v>
      </c>
      <c r="H11" s="1425">
        <f>SUM(D11:G11)</f>
        <v>593.80000000000018</v>
      </c>
      <c r="I11" s="1424">
        <f>I12-SUM(I8:I9)</f>
        <v>131.30000000000018</v>
      </c>
      <c r="J11" s="1424">
        <f>J12-SUM(J8:J9)</f>
        <v>141.5</v>
      </c>
      <c r="K11" s="1424">
        <f>K12-SUM(K8:K9)</f>
        <v>122.59999999999991</v>
      </c>
      <c r="L11" s="1424">
        <f>L12-SUM(L8:L9)</f>
        <v>151.59999999999945</v>
      </c>
      <c r="M11" s="1425">
        <f>SUM(I11:L11)</f>
        <v>546.99999999999955</v>
      </c>
      <c r="N11" s="1424">
        <f>N12-SUM(N8:N9)</f>
        <v>169.89999999999986</v>
      </c>
      <c r="O11" s="1424">
        <f>O12-SUM(O8:O9)</f>
        <v>165.89999999999986</v>
      </c>
      <c r="P11" s="1424">
        <f>P12-SUM(P8:P9)</f>
        <v>220.10000000000014</v>
      </c>
      <c r="Q11" s="1424">
        <f>Q12-SUM(Q8:Q9)</f>
        <v>393.09999999999945</v>
      </c>
      <c r="R11" s="1425">
        <f>SUM(N11:Q11)</f>
        <v>948.99999999999932</v>
      </c>
      <c r="S11" s="1424">
        <f>S12-SUM(S8:S9)</f>
        <v>255</v>
      </c>
      <c r="T11" s="1424">
        <f>T12-SUM(T8:T9)</f>
        <v>280</v>
      </c>
      <c r="U11" s="1424">
        <f>U12-SUM(U8:U9)</f>
        <v>276</v>
      </c>
      <c r="V11" s="1424">
        <f>V12-SUM(V8:V9)</f>
        <v>263</v>
      </c>
      <c r="W11" s="1425">
        <f>SUM(S11:V11)</f>
        <v>1074</v>
      </c>
      <c r="X11" s="1424">
        <f>X12-SUM(X8:X9)</f>
        <v>293</v>
      </c>
      <c r="Y11" s="1424">
        <f>Y12-SUM(Y8:Y9)</f>
        <v>270</v>
      </c>
      <c r="Z11" s="1424">
        <f>Z12-SUM(Z8:Z9)</f>
        <v>290</v>
      </c>
      <c r="AA11" s="1424">
        <f>AA12-SUM(AA8:AA9)</f>
        <v>326</v>
      </c>
      <c r="AB11" s="1425">
        <f>SUM(X11:AA11)</f>
        <v>1179</v>
      </c>
      <c r="AC11" s="1424">
        <f>AC12-SUM(AC8:AC9)</f>
        <v>268</v>
      </c>
      <c r="AD11" s="1424">
        <f>AD12-SUM(AD8:AD9)</f>
        <v>257</v>
      </c>
      <c r="AE11" s="1424">
        <f>AE12-SUM(AE8:AE9)</f>
        <v>224</v>
      </c>
      <c r="AF11" s="1424">
        <f>AF12-SUM(AF8:AF9)</f>
        <v>242</v>
      </c>
      <c r="AG11" s="1425">
        <f>SUM(AC11:AF11)</f>
        <v>991</v>
      </c>
      <c r="AH11" s="1424">
        <f>AH12-SUM(AH8:AH9)</f>
        <v>204</v>
      </c>
      <c r="AI11" s="1424">
        <f>AI12-SUM(AI8:AI9)</f>
        <v>194</v>
      </c>
      <c r="AJ11" s="1424">
        <f>AJ12-SUM(AJ8:AJ9)</f>
        <v>185</v>
      </c>
      <c r="AK11" s="1424">
        <f>AK12-SUM(AK8:AK9)</f>
        <v>190</v>
      </c>
      <c r="AL11" s="1425">
        <f>SUM(AH11:AK11)</f>
        <v>773</v>
      </c>
      <c r="AM11" s="1424">
        <f>AM12-SUM(AM8:AM9)</f>
        <v>179</v>
      </c>
      <c r="AN11" s="1424">
        <f>AN12-SUM(AN8:AN9)</f>
        <v>170</v>
      </c>
      <c r="AO11" s="1424">
        <f>AO12-SUM(AO8:AO9)</f>
        <v>167</v>
      </c>
      <c r="AP11" s="1424">
        <f>AP12-SUM(AP8:AP9)</f>
        <v>149</v>
      </c>
      <c r="AQ11" s="1425">
        <f>SUM(AM11:AP11)</f>
        <v>665</v>
      </c>
      <c r="AR11" s="1424">
        <f>AR12-SUM(AR8:AR9)</f>
        <v>157</v>
      </c>
      <c r="AS11" s="1424">
        <f>AS12-SUM(AS8:AS9)</f>
        <v>170</v>
      </c>
      <c r="AT11" s="1424">
        <f>AT12-SUM(AT8:AT9)</f>
        <v>193</v>
      </c>
      <c r="AU11" s="1424"/>
      <c r="AV11" s="1425">
        <f>AV12-SUM(AV8:AV9)</f>
        <v>146</v>
      </c>
      <c r="AW11" s="1424">
        <f>AW12-SUM(AW8:AW9)</f>
        <v>135</v>
      </c>
      <c r="AX11" s="1424">
        <f>AX12-SUM(AX8:AX9)</f>
        <v>149</v>
      </c>
      <c r="AY11" s="1424">
        <f>AY12-SUM(AY8:AY9)</f>
        <v>123</v>
      </c>
      <c r="AZ11" s="1424">
        <f>SUM(AV11:AY11)</f>
        <v>553</v>
      </c>
      <c r="BA11" s="1424">
        <f>BA12-SUM(BA8:BA9)</f>
        <v>174</v>
      </c>
      <c r="BB11" s="1424">
        <f>BB12-SUM(BB8:BB9)</f>
        <v>184</v>
      </c>
      <c r="BC11" s="1424">
        <f>BC12-SUM(BC8:BC9)</f>
        <v>152</v>
      </c>
      <c r="BD11" s="1424">
        <f>BD12-SUM(BD8:BD9)</f>
        <v>169</v>
      </c>
      <c r="BE11" s="1425">
        <f>SUM(BA11:BD11)</f>
        <v>679</v>
      </c>
      <c r="BF11" s="1424">
        <f>BF12-SUM(BF8:BF9)</f>
        <v>96</v>
      </c>
      <c r="BG11" s="1424">
        <f>BG12-SUM(BG8:BG9)</f>
        <v>99</v>
      </c>
      <c r="BH11" s="1424">
        <f>BH12-SUM(BH8:BH9)</f>
        <v>92</v>
      </c>
      <c r="BI11" s="1424">
        <f>BI12-SUM(BI8:BI9)</f>
        <v>93</v>
      </c>
      <c r="BJ11" s="1425">
        <f>SUM(BF11:BI11)</f>
        <v>380</v>
      </c>
      <c r="BK11" s="1424">
        <f>BK12-SUM(BK8:BK9)</f>
        <v>91</v>
      </c>
      <c r="BL11" s="1424">
        <f>BL12-SUM(BL8:BL9)</f>
        <v>95</v>
      </c>
      <c r="BM11" s="1424">
        <f>BM12-SUM(BM8:BM9)</f>
        <v>83</v>
      </c>
      <c r="BN11" s="1424">
        <f>BN12-SUM(BN8:BN9)</f>
        <v>68</v>
      </c>
      <c r="BO11" s="1425">
        <f>SUM(BK11:BN11)</f>
        <v>337</v>
      </c>
      <c r="BP11" s="1424">
        <f>BP12-SUM(BP8:BP9)</f>
        <v>73</v>
      </c>
      <c r="BQ11" s="1424">
        <f>BQ12-SUM(BQ8:BQ9)</f>
        <v>83</v>
      </c>
      <c r="BR11" s="1424">
        <f>BR12-SUM(BR8:BR9)</f>
        <v>76</v>
      </c>
      <c r="BS11" s="1424">
        <f>BS12-SUM(BS8:BS9)</f>
        <v>63</v>
      </c>
      <c r="BT11" s="1425">
        <f>SUM(BP11:BS11)</f>
        <v>295</v>
      </c>
      <c r="BU11" s="1424">
        <f>BU12-SUM(BU8:BU9)</f>
        <v>82</v>
      </c>
      <c r="BV11" s="1424">
        <f>BV12-SUM(BV8:BV9)</f>
        <v>70</v>
      </c>
      <c r="BW11" s="1424">
        <f>BW12-SUM(BW8:BW9)</f>
        <v>74</v>
      </c>
      <c r="BX11" s="1424">
        <f>BX12-SUM(BX8:BX9)</f>
        <v>74</v>
      </c>
      <c r="BY11" s="1425">
        <f>SUM(BU11:BX11)</f>
        <v>300</v>
      </c>
      <c r="BZ11" s="1424">
        <f>BZ12-SUM(BZ8:BZ9)</f>
        <v>74</v>
      </c>
      <c r="CA11" s="1424">
        <f>CA12-SUM(CA8:CA9)</f>
        <v>75</v>
      </c>
      <c r="CB11" s="1424">
        <f>CB12-SUM(CB8:CB9)</f>
        <v>80</v>
      </c>
      <c r="CC11" s="1424">
        <f>CC12-SUM(CC8:CC9)</f>
        <v>89</v>
      </c>
      <c r="CD11" s="1425">
        <f>SUM(BZ11:CC11)</f>
        <v>318</v>
      </c>
      <c r="CE11" s="1424">
        <f>CE12-SUM(CE8:CE9)</f>
        <v>81</v>
      </c>
      <c r="CF11" s="1424">
        <f>CF12-SUM(CF8:CF9)</f>
        <v>86</v>
      </c>
      <c r="CG11" s="1424">
        <f>CG12-SUM(CG8:CG9)</f>
        <v>87</v>
      </c>
      <c r="CH11" s="1424">
        <f>CH12-SUM(CH8:CH9)</f>
        <v>89</v>
      </c>
      <c r="CI11" s="1425">
        <f>SUM(CE11:CH11)</f>
        <v>343</v>
      </c>
      <c r="CJ11" s="1424">
        <f>CJ12-SUM(CJ8:CJ9)</f>
        <v>89</v>
      </c>
      <c r="CK11" s="1424">
        <f>CK12-SUM(CK8:CK9)</f>
        <v>92</v>
      </c>
      <c r="CL11" s="1424">
        <f>CL12-SUM(CL8:CL9)</f>
        <v>98</v>
      </c>
      <c r="CM11" s="1424">
        <f>CM12-SUM(CM8:CM9)</f>
        <v>94</v>
      </c>
      <c r="CN11" s="1425">
        <f>SUM(CJ11:CM11)</f>
        <v>373</v>
      </c>
      <c r="CO11" s="1424">
        <f>CO12-SUM(CO8:CO9)</f>
        <v>90</v>
      </c>
      <c r="CP11" s="1424">
        <f>CP12-SUM(CP8:CP9)</f>
        <v>96</v>
      </c>
      <c r="CQ11" s="1424">
        <f>CQ12-SUM(CQ8:CQ9)</f>
        <v>111</v>
      </c>
      <c r="CR11" s="1424">
        <f>CR12-SUM(CR8:CR9)</f>
        <v>118</v>
      </c>
      <c r="CS11" s="1425">
        <f>SUM(CO11:CR11)</f>
        <v>415</v>
      </c>
      <c r="CT11" s="1424">
        <f>CT12-SUM(CT8:CT9)</f>
        <v>118</v>
      </c>
      <c r="CU11" s="1424">
        <f>CU12-SUM(CU8:CU9)</f>
        <v>116</v>
      </c>
      <c r="CV11" s="1424">
        <f>CV12-SUM(CV8:CV9)</f>
        <v>137</v>
      </c>
      <c r="CW11" s="1424">
        <f>CW12-SUM(CW8:CW9)</f>
        <v>166</v>
      </c>
      <c r="CX11" s="1425">
        <f>SUM(CT11:CW11)</f>
        <v>537</v>
      </c>
      <c r="CY11" s="1424">
        <f>CY12-SUM(CY8:CY9)</f>
        <v>245</v>
      </c>
      <c r="CZ11" s="1424">
        <f>CZ12-SUM(CZ8:CZ9)</f>
        <v>243</v>
      </c>
      <c r="DA11" s="1424">
        <f>DA12-SUM(DA8:DA9)</f>
        <v>271</v>
      </c>
      <c r="DB11" s="1424">
        <f>DB12-SUM(DB8:DB9)</f>
        <v>504</v>
      </c>
      <c r="DC11" s="1425">
        <f>SUM(CY11:DB11)</f>
        <v>1263</v>
      </c>
      <c r="DD11" s="1424">
        <f>DD12-DD9-DD8</f>
        <v>520</v>
      </c>
      <c r="DE11" s="1424">
        <f>DE12-DE9-DE8</f>
        <v>521</v>
      </c>
      <c r="DF11" s="1424">
        <f>DF12-DF9-DF8</f>
        <v>524</v>
      </c>
      <c r="DG11" s="1424">
        <f>DG12-DG9-DG8</f>
        <v>566</v>
      </c>
      <c r="DH11" s="1425">
        <f>SUM(DD11:DG11)</f>
        <v>2131</v>
      </c>
      <c r="DI11" s="1424">
        <f>DI12-SUM(DI8:DI10)</f>
        <v>688</v>
      </c>
      <c r="DJ11" s="1424">
        <v>675</v>
      </c>
      <c r="DK11" s="1424">
        <f>DK12-SUM(DK8:DK10)</f>
        <v>604</v>
      </c>
      <c r="DL11" s="1424">
        <f>DL12-SUM(DL8:DL10)</f>
        <v>654</v>
      </c>
      <c r="DM11" s="1425">
        <f t="shared" si="0"/>
        <v>2621</v>
      </c>
      <c r="DN11" s="1424">
        <f>DN12-SUM(DN8:DN10)</f>
        <v>688</v>
      </c>
      <c r="DO11" s="1424">
        <f>DO12-SUM(DO8:DO10)</f>
        <v>720</v>
      </c>
      <c r="DP11" s="1424">
        <f>DP12-SUM(DP8:DP10)</f>
        <v>698</v>
      </c>
      <c r="DQ11" s="1424">
        <f>DQ12-SUM(DQ8:DQ10)</f>
        <v>664</v>
      </c>
      <c r="DR11" s="1425">
        <f t="shared" si="1"/>
        <v>2770</v>
      </c>
      <c r="DS11" s="1424">
        <f>DS12-SUM(DS8:DS10)</f>
        <v>666</v>
      </c>
      <c r="DT11" s="1424">
        <f>DT12-SUM(DT8:DT10)</f>
        <v>654</v>
      </c>
      <c r="DU11" s="1424">
        <f>DU12-SUM(DU8:DU10)</f>
        <v>687</v>
      </c>
      <c r="DV11" s="1424">
        <f>DV12-SUM(DV8:DV10)</f>
        <v>621</v>
      </c>
      <c r="DW11" s="1425">
        <f t="shared" si="2"/>
        <v>2628</v>
      </c>
      <c r="DX11" s="1426">
        <f>'Revenue Model'!DX11</f>
        <v>644.76</v>
      </c>
      <c r="DY11" s="1426">
        <f>'Revenue Model'!DY11</f>
        <v>629.29999999999995</v>
      </c>
      <c r="DZ11" s="1426">
        <f>'Revenue Model'!DZ11</f>
        <v>660.67</v>
      </c>
      <c r="EA11" s="1426">
        <f>'Revenue Model'!EA11</f>
        <v>597.82999999999993</v>
      </c>
      <c r="EB11" s="1425">
        <f t="shared" si="3"/>
        <v>2532.56</v>
      </c>
      <c r="EC11" s="1426">
        <f>'Revenue Model'!EC11</f>
        <v>653.71559999999999</v>
      </c>
      <c r="ED11" s="1426">
        <f>'Revenue Model'!ED11</f>
        <v>638.00599999999997</v>
      </c>
      <c r="EE11" s="1426">
        <f>'Revenue Model'!EE11</f>
        <v>669.99369999999999</v>
      </c>
      <c r="EF11" s="1426">
        <f>'Revenue Model'!EF11</f>
        <v>605.96479999999997</v>
      </c>
      <c r="EG11" s="1425">
        <f t="shared" si="4"/>
        <v>2567.6800999999996</v>
      </c>
      <c r="EH11" s="1426">
        <f>'Revenue Model'!EH11</f>
        <v>662.81091599999991</v>
      </c>
      <c r="EI11" s="1426">
        <f>'Revenue Model'!EI11</f>
        <v>646.84731999999997</v>
      </c>
      <c r="EJ11" s="1426">
        <f>'Revenue Model'!EJ11</f>
        <v>679.46497700000009</v>
      </c>
      <c r="EK11" s="1426">
        <f>'Revenue Model'!EK11</f>
        <v>614.22407799999996</v>
      </c>
      <c r="EL11" s="1425">
        <f t="shared" si="5"/>
        <v>2603.347291</v>
      </c>
      <c r="EM11" s="1418"/>
      <c r="EN11"/>
      <c r="EO11"/>
      <c r="EP11"/>
      <c r="EQ11"/>
      <c r="ER11"/>
      <c r="ES11" s="1419"/>
      <c r="ET11"/>
      <c r="EU11" s="1419"/>
      <c r="EV11" s="1419"/>
      <c r="EW11" s="1419"/>
      <c r="EX11" s="1420"/>
      <c r="EY11" s="1420"/>
      <c r="EZ11" s="1420"/>
      <c r="FA11" s="1420"/>
      <c r="FB11" s="1420"/>
      <c r="FC11" s="1420"/>
      <c r="FD11" s="1420"/>
      <c r="FE11" s="1420"/>
      <c r="FF11" s="1420"/>
      <c r="FG11" s="1420"/>
      <c r="FH11" s="1420"/>
      <c r="FI11" s="1420"/>
      <c r="FJ11" s="1420"/>
      <c r="FK11" s="1420"/>
      <c r="FL11" s="1420"/>
      <c r="FM11" s="1420"/>
      <c r="FN11" s="1420"/>
      <c r="FO11" s="1420"/>
      <c r="FP11" s="1420"/>
      <c r="FQ11" s="1420"/>
      <c r="FR11" s="1420"/>
      <c r="FS11" s="1420"/>
      <c r="FT11" s="1420"/>
      <c r="FU11" s="1420"/>
      <c r="FV11" s="1420"/>
      <c r="FW11" s="1420"/>
      <c r="FX11" s="1420"/>
      <c r="FY11" s="1420"/>
      <c r="FZ11" s="1420"/>
      <c r="GA11" s="1420"/>
      <c r="GB11" s="1420"/>
      <c r="GC11" s="1420"/>
      <c r="GD11" s="1420"/>
      <c r="GE11" s="1420"/>
      <c r="GF11" s="1420"/>
      <c r="GG11" s="1420"/>
      <c r="GH11" s="1420"/>
      <c r="GI11" s="1420"/>
      <c r="GJ11" s="1420"/>
      <c r="GK11" s="1420"/>
      <c r="GL11" s="1420"/>
      <c r="GM11" s="1420"/>
      <c r="GN11" s="1420"/>
      <c r="GO11" s="1420"/>
      <c r="GP11" s="1420"/>
      <c r="GQ11" s="1420"/>
      <c r="GR11" s="1420"/>
      <c r="GS11" s="1420"/>
      <c r="GT11" s="1420"/>
      <c r="GU11" s="1420"/>
      <c r="GV11" s="1420"/>
      <c r="GW11" s="1420"/>
      <c r="GX11" s="1420"/>
      <c r="GY11" s="1420"/>
      <c r="GZ11" s="1420"/>
      <c r="HA11" s="1420"/>
      <c r="HB11" s="1420"/>
      <c r="HC11" s="1420"/>
      <c r="HD11" s="1420"/>
      <c r="HE11" s="1420"/>
      <c r="HF11" s="1420"/>
      <c r="HG11" s="1420"/>
      <c r="HH11" s="1420"/>
      <c r="HI11" s="1420"/>
      <c r="HJ11" s="1420"/>
      <c r="HK11" s="1420"/>
      <c r="HL11" s="1420"/>
      <c r="HM11" s="1420"/>
      <c r="HN11" s="1420"/>
      <c r="HO11" s="1420"/>
      <c r="HP11" s="1420"/>
      <c r="HQ11" s="1420"/>
      <c r="HR11" s="1420"/>
      <c r="HS11" s="1420"/>
      <c r="HT11" s="1420"/>
      <c r="HU11" s="1420"/>
      <c r="HV11" s="1420"/>
      <c r="HW11" s="1420"/>
      <c r="HX11" s="1420"/>
      <c r="HY11" s="1420"/>
      <c r="HZ11" s="1420"/>
      <c r="IA11" s="1420"/>
      <c r="IB11" s="1420"/>
      <c r="IC11" s="1420"/>
      <c r="ID11" s="1420"/>
      <c r="IE11" s="1420"/>
      <c r="IF11" s="1420"/>
      <c r="IG11" s="1420"/>
      <c r="IH11" s="1420"/>
      <c r="II11" s="1420"/>
      <c r="IJ11" s="1420"/>
      <c r="IK11" s="1420"/>
      <c r="IL11" s="1420"/>
      <c r="IM11" s="1420"/>
      <c r="IN11" s="1420"/>
      <c r="IO11" s="1420"/>
      <c r="IP11" s="1420"/>
      <c r="IQ11" s="1420"/>
      <c r="IR11" s="1420"/>
      <c r="IS11" s="1420"/>
      <c r="IT11" s="1420"/>
      <c r="IU11" s="1420"/>
      <c r="IV11" s="1420"/>
      <c r="IW11" s="1420"/>
      <c r="IX11" s="1420"/>
      <c r="IY11" s="1420"/>
      <c r="IZ11" s="1420"/>
      <c r="JA11" s="1420"/>
      <c r="JB11" s="1420"/>
      <c r="JC11" s="1420"/>
      <c r="JD11" s="1420"/>
      <c r="JE11" s="1420"/>
      <c r="JF11" s="1420"/>
      <c r="JG11" s="1420"/>
      <c r="JH11" s="1420"/>
      <c r="JI11" s="1420"/>
      <c r="JJ11" s="1420"/>
      <c r="JK11" s="1420"/>
    </row>
    <row r="12" spans="1:271" s="18" customFormat="1" collapsed="1">
      <c r="A12" s="25"/>
      <c r="B12" s="26" t="s">
        <v>335</v>
      </c>
      <c r="C12" s="27"/>
      <c r="D12" s="20">
        <v>662.83500000000004</v>
      </c>
      <c r="E12" s="20">
        <v>638.79999999999995</v>
      </c>
      <c r="F12" s="20">
        <v>660.5</v>
      </c>
      <c r="G12" s="20">
        <f>3318-SUM(D12:F12)</f>
        <v>1355.865</v>
      </c>
      <c r="H12" s="29">
        <f>SUM(H8:H11)</f>
        <v>3318</v>
      </c>
      <c r="I12" s="20">
        <v>1283.9000000000001</v>
      </c>
      <c r="J12" s="20">
        <v>1370.9</v>
      </c>
      <c r="K12" s="20">
        <v>1431.9</v>
      </c>
      <c r="L12" s="20">
        <f>5559-SUM(I12:K12)</f>
        <v>1472.2999999999997</v>
      </c>
      <c r="M12" s="29">
        <f>SUM(M8:M11)</f>
        <v>5559</v>
      </c>
      <c r="N12" s="20">
        <v>1438.6</v>
      </c>
      <c r="O12" s="20">
        <v>1476.1</v>
      </c>
      <c r="P12" s="20">
        <v>2236.9</v>
      </c>
      <c r="Q12" s="20">
        <f>8691-SUM(N12:P12)</f>
        <v>3539.3999999999996</v>
      </c>
      <c r="R12" s="29">
        <f>SUM(R8:R11)</f>
        <v>8691</v>
      </c>
      <c r="S12" s="20">
        <v>2331</v>
      </c>
      <c r="T12" s="20">
        <v>2429</v>
      </c>
      <c r="U12" s="20">
        <v>2564</v>
      </c>
      <c r="V12" s="20">
        <f>9895-SUM(S12:U12)</f>
        <v>2571</v>
      </c>
      <c r="W12" s="29">
        <f>SUM(W8:W11)</f>
        <v>9895</v>
      </c>
      <c r="X12" s="20">
        <v>2553</v>
      </c>
      <c r="Y12" s="20">
        <v>2563</v>
      </c>
      <c r="Z12" s="20">
        <v>2822</v>
      </c>
      <c r="AA12" s="20">
        <f>10880-SUM(X12:Z12)</f>
        <v>2942</v>
      </c>
      <c r="AB12" s="29">
        <f>SUM(AB8:AB11)</f>
        <v>10880</v>
      </c>
      <c r="AC12" s="20">
        <v>2873</v>
      </c>
      <c r="AD12" s="20">
        <v>2780</v>
      </c>
      <c r="AE12" s="20">
        <v>2850</v>
      </c>
      <c r="AF12" s="20">
        <f>11414-SUM(AC12:AE12)</f>
        <v>2911</v>
      </c>
      <c r="AG12" s="29">
        <f>SUM(AG8:AG11)</f>
        <v>11414</v>
      </c>
      <c r="AH12" s="20">
        <v>2893</v>
      </c>
      <c r="AI12" s="20">
        <v>2915</v>
      </c>
      <c r="AJ12" s="20">
        <v>3036</v>
      </c>
      <c r="AK12" s="20">
        <f>12053-SUM(AH12:AJ12)</f>
        <v>3209</v>
      </c>
      <c r="AL12" s="29">
        <f>SUM(AL8:AL11)</f>
        <v>12053</v>
      </c>
      <c r="AM12" s="20">
        <v>3297</v>
      </c>
      <c r="AN12" s="20">
        <v>3394</v>
      </c>
      <c r="AO12" s="20">
        <v>3484</v>
      </c>
      <c r="AP12" s="20">
        <f>13913-SUM(AM12:AO12)</f>
        <v>3738</v>
      </c>
      <c r="AQ12" s="29">
        <f>SUM(AQ8:AQ11)</f>
        <v>13913</v>
      </c>
      <c r="AR12" s="20">
        <v>3703</v>
      </c>
      <c r="AS12" s="20">
        <v>3778</v>
      </c>
      <c r="AT12" s="20">
        <v>3686</v>
      </c>
      <c r="AU12" s="20"/>
      <c r="AV12" s="29">
        <v>3375</v>
      </c>
      <c r="AW12" s="20">
        <v>3430</v>
      </c>
      <c r="AX12" s="20">
        <v>3521</v>
      </c>
      <c r="AY12" s="20">
        <v>3493</v>
      </c>
      <c r="AZ12" s="20">
        <f>SUM(AZ8:AZ11)</f>
        <v>13819</v>
      </c>
      <c r="BA12" s="20">
        <v>3452</v>
      </c>
      <c r="BB12" s="20">
        <v>3379</v>
      </c>
      <c r="BC12" s="20">
        <v>3297</v>
      </c>
      <c r="BD12" s="20">
        <v>3181</v>
      </c>
      <c r="BE12" s="29">
        <f>SUM(BE8:BE11)</f>
        <v>13309</v>
      </c>
      <c r="BF12" s="20">
        <v>2669</v>
      </c>
      <c r="BG12" s="20">
        <v>2570</v>
      </c>
      <c r="BH12" s="20">
        <v>2440</v>
      </c>
      <c r="BI12" s="20">
        <v>2412</v>
      </c>
      <c r="BJ12" s="29">
        <f>SUM(BJ8:BJ11)</f>
        <v>10091</v>
      </c>
      <c r="BK12" s="20">
        <v>2501</v>
      </c>
      <c r="BL12" s="20">
        <v>2420</v>
      </c>
      <c r="BM12" s="20">
        <v>2394</v>
      </c>
      <c r="BN12" s="20">
        <v>2299</v>
      </c>
      <c r="BO12" s="29">
        <f>SUM(BO8:BO11)</f>
        <v>9614</v>
      </c>
      <c r="BP12" s="20">
        <v>2414</v>
      </c>
      <c r="BQ12" s="20">
        <v>2195</v>
      </c>
      <c r="BR12" s="20">
        <v>2117</v>
      </c>
      <c r="BS12" s="20">
        <v>2179</v>
      </c>
      <c r="BT12" s="29">
        <f>SUM(BT8:BT11)</f>
        <v>8905</v>
      </c>
      <c r="BU12" s="20">
        <v>2279</v>
      </c>
      <c r="BV12" s="20">
        <v>2228</v>
      </c>
      <c r="BW12" s="20">
        <v>2212</v>
      </c>
      <c r="BX12" s="20">
        <v>2251</v>
      </c>
      <c r="BY12" s="29">
        <f>SUM(BY8:BY11)</f>
        <v>8970</v>
      </c>
      <c r="BZ12" s="20">
        <v>2371</v>
      </c>
      <c r="CA12" s="20">
        <v>2184</v>
      </c>
      <c r="CB12" s="20">
        <v>2158</v>
      </c>
      <c r="CC12" s="20">
        <v>2195</v>
      </c>
      <c r="CD12" s="29">
        <f>SUM(CD8:CD11)</f>
        <v>8908</v>
      </c>
      <c r="CE12" s="20">
        <v>2279</v>
      </c>
      <c r="CF12" s="20">
        <v>2229</v>
      </c>
      <c r="CG12" s="20">
        <v>2262</v>
      </c>
      <c r="CH12" s="20">
        <v>2261</v>
      </c>
      <c r="CI12" s="29">
        <f>SUM(CI8:CI11)</f>
        <v>9031</v>
      </c>
      <c r="CJ12" s="20">
        <v>2339</v>
      </c>
      <c r="CK12" s="20">
        <v>2303</v>
      </c>
      <c r="CL12" s="20">
        <v>2262</v>
      </c>
      <c r="CM12" s="20">
        <v>2301</v>
      </c>
      <c r="CN12" s="29">
        <f>SUM(CJ12:CM12)</f>
        <v>9205</v>
      </c>
      <c r="CO12" s="20">
        <v>2429</v>
      </c>
      <c r="CP12" s="20">
        <v>2300</v>
      </c>
      <c r="CQ12" s="20">
        <v>2289</v>
      </c>
      <c r="CR12" s="20">
        <v>2353</v>
      </c>
      <c r="CS12" s="29">
        <f>SUM(CO12:CR12)</f>
        <v>9371</v>
      </c>
      <c r="CT12" s="20">
        <v>2491</v>
      </c>
      <c r="CU12" s="20">
        <v>2455</v>
      </c>
      <c r="CV12" s="20">
        <v>2427</v>
      </c>
      <c r="CW12" s="20">
        <v>2531</v>
      </c>
      <c r="CX12" s="29">
        <f>SUM(CT12:CW12)</f>
        <v>9904</v>
      </c>
      <c r="CY12" s="20">
        <v>2594</v>
      </c>
      <c r="CZ12" s="20">
        <v>2629</v>
      </c>
      <c r="DA12" s="20">
        <v>2618</v>
      </c>
      <c r="DB12" s="20">
        <v>4233</v>
      </c>
      <c r="DC12" s="29">
        <f>SUM(CY12:DB12)</f>
        <v>12074</v>
      </c>
      <c r="DD12" s="20">
        <v>4306</v>
      </c>
      <c r="DE12" s="20">
        <v>4362</v>
      </c>
      <c r="DF12" s="20">
        <v>4428</v>
      </c>
      <c r="DG12" s="20">
        <v>4824</v>
      </c>
      <c r="DH12" s="29">
        <f>SUM(DD12:DG12)</f>
        <v>17920</v>
      </c>
      <c r="DI12" s="20">
        <v>4791</v>
      </c>
      <c r="DJ12" s="20">
        <v>4844</v>
      </c>
      <c r="DK12" s="20">
        <v>5063</v>
      </c>
      <c r="DL12" s="20">
        <v>5417</v>
      </c>
      <c r="DM12" s="29">
        <f>SUM(DI12:DL12)-4</f>
        <v>20111</v>
      </c>
      <c r="DN12" s="20">
        <v>5420</v>
      </c>
      <c r="DO12" s="20">
        <v>5220</v>
      </c>
      <c r="DP12" s="20">
        <v>5216</v>
      </c>
      <c r="DQ12" s="20">
        <v>5214</v>
      </c>
      <c r="DR12" s="29">
        <f t="shared" si="1"/>
        <v>21070</v>
      </c>
      <c r="DS12" s="20">
        <v>5196</v>
      </c>
      <c r="DT12" s="20">
        <v>5173</v>
      </c>
      <c r="DU12" s="20">
        <v>4941</v>
      </c>
      <c r="DV12" s="20">
        <v>5303</v>
      </c>
      <c r="DW12" s="29">
        <f t="shared" si="2"/>
        <v>20613</v>
      </c>
      <c r="DX12" s="1384">
        <f>'Revenue Model'!DX12</f>
        <v>4964.3152019994568</v>
      </c>
      <c r="DY12" s="1384">
        <f>'Revenue Model'!DY12</f>
        <v>4950.4084405288504</v>
      </c>
      <c r="DZ12" s="1384">
        <f>'Revenue Model'!DZ12</f>
        <v>4745.1307780402203</v>
      </c>
      <c r="EA12" s="1384">
        <f>'Revenue Model'!EA12</f>
        <v>4980.8142911245241</v>
      </c>
      <c r="EB12" s="29">
        <f t="shared" si="3"/>
        <v>19640.668711693052</v>
      </c>
      <c r="EC12" s="1384">
        <f>'Revenue Model'!EC12</f>
        <v>4892.339839392569</v>
      </c>
      <c r="ED12" s="1384">
        <f>'Revenue Model'!ED12</f>
        <v>4959.7519629863846</v>
      </c>
      <c r="EE12" s="1384">
        <f>'Revenue Model'!EE12</f>
        <v>4841.2816244869191</v>
      </c>
      <c r="EF12" s="1384">
        <f>'Revenue Model'!EF12</f>
        <v>5174.0071556415378</v>
      </c>
      <c r="EG12" s="29">
        <f t="shared" si="4"/>
        <v>19867.380582507409</v>
      </c>
      <c r="EH12" s="30">
        <f>'Revenue Model'!EH12</f>
        <v>5111.1011048591226</v>
      </c>
      <c r="EI12" s="30">
        <f>'Revenue Model'!EI12</f>
        <v>5176.9346465441886</v>
      </c>
      <c r="EJ12" s="30">
        <f>'Revenue Model'!EJ12</f>
        <v>5048.5327799939778</v>
      </c>
      <c r="EK12" s="30">
        <f>'Revenue Model'!EK12</f>
        <v>5400.7532931550004</v>
      </c>
      <c r="EL12" s="29">
        <f t="shared" si="5"/>
        <v>20737.321824552291</v>
      </c>
      <c r="EM12" s="21"/>
      <c r="EN12"/>
      <c r="EO12"/>
      <c r="EP12"/>
      <c r="EQ12"/>
      <c r="ER12"/>
      <c r="ES12" s="23"/>
      <c r="ET12"/>
      <c r="EU12" s="23"/>
      <c r="EV12" s="23"/>
      <c r="EW12" s="23"/>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row>
    <row r="13" spans="1:271" s="18" customFormat="1" ht="12" customHeight="1" thickBot="1">
      <c r="A13" s="766"/>
      <c r="B13" s="767" t="s">
        <v>336</v>
      </c>
      <c r="C13" s="737"/>
      <c r="D13" s="768">
        <v>26.117000000000001</v>
      </c>
      <c r="E13" s="768">
        <v>20.7</v>
      </c>
      <c r="F13" s="768">
        <v>22.1</v>
      </c>
      <c r="G13" s="768">
        <f>137-SUM(D13:F13)</f>
        <v>68.082999999999998</v>
      </c>
      <c r="H13" s="769">
        <f>SUM(D13:G13)</f>
        <v>137</v>
      </c>
      <c r="I13" s="768">
        <v>67.3</v>
      </c>
      <c r="J13" s="768">
        <v>69.7</v>
      </c>
      <c r="K13" s="768">
        <v>71.900000000000006</v>
      </c>
      <c r="L13" s="768">
        <f>290-SUM(I13:K13)</f>
        <v>81.099999999999994</v>
      </c>
      <c r="M13" s="769">
        <f>SUM(I13:L13)</f>
        <v>290</v>
      </c>
      <c r="N13" s="768">
        <v>74.5</v>
      </c>
      <c r="O13" s="768">
        <v>78.7</v>
      </c>
      <c r="P13" s="768">
        <v>128.1</v>
      </c>
      <c r="Q13" s="768">
        <f>494-SUM(N13:P13)</f>
        <v>212.70000000000005</v>
      </c>
      <c r="R13" s="769">
        <f>SUM(N13:Q13)</f>
        <v>494</v>
      </c>
      <c r="S13" s="768">
        <v>148</v>
      </c>
      <c r="T13" s="768">
        <v>136</v>
      </c>
      <c r="U13" s="768">
        <v>163</v>
      </c>
      <c r="V13" s="768">
        <f>588-SUM(S13:U13)</f>
        <v>141</v>
      </c>
      <c r="W13" s="769">
        <f>SUM(S13:V13)</f>
        <v>588</v>
      </c>
      <c r="X13" s="768">
        <v>159</v>
      </c>
      <c r="Y13" s="768">
        <v>184</v>
      </c>
      <c r="Z13" s="768">
        <v>190</v>
      </c>
      <c r="AA13" s="768">
        <f>743-SUM(X13:Z13)</f>
        <v>210</v>
      </c>
      <c r="AB13" s="769">
        <f>SUM(X13:AA13)</f>
        <v>743</v>
      </c>
      <c r="AC13" s="768">
        <v>223</v>
      </c>
      <c r="AD13" s="768">
        <v>210</v>
      </c>
      <c r="AE13" s="768">
        <v>214</v>
      </c>
      <c r="AF13" s="768">
        <f>851-SUM(AC13:AE13)</f>
        <v>204</v>
      </c>
      <c r="AG13" s="769">
        <f>SUM(AC13:AF13)</f>
        <v>851</v>
      </c>
      <c r="AH13" s="768">
        <v>213</v>
      </c>
      <c r="AI13" s="768">
        <v>206</v>
      </c>
      <c r="AJ13" s="768">
        <v>219</v>
      </c>
      <c r="AK13" s="768">
        <f>849-SUM(AH13:AJ13)</f>
        <v>211</v>
      </c>
      <c r="AL13" s="769">
        <f>SUM(AH13:AK13)</f>
        <v>849</v>
      </c>
      <c r="AM13" s="768">
        <v>246</v>
      </c>
      <c r="AN13" s="768">
        <v>258</v>
      </c>
      <c r="AO13" s="768">
        <v>236</v>
      </c>
      <c r="AP13" s="768">
        <f>986-SUM(AM13:AO13)</f>
        <v>246</v>
      </c>
      <c r="AQ13" s="769">
        <f>SUM(AM13:AP13)</f>
        <v>986</v>
      </c>
      <c r="AR13" s="768">
        <v>277</v>
      </c>
      <c r="AS13" s="768">
        <v>291</v>
      </c>
      <c r="AT13" s="768">
        <v>304</v>
      </c>
      <c r="AU13" s="768"/>
      <c r="AV13" s="769">
        <v>225</v>
      </c>
      <c r="AW13" s="768">
        <v>219</v>
      </c>
      <c r="AX13" s="768">
        <v>260</v>
      </c>
      <c r="AY13" s="768">
        <v>271</v>
      </c>
      <c r="AZ13" s="768">
        <f>SUM(AV13:AY13)</f>
        <v>975</v>
      </c>
      <c r="BA13" s="768">
        <v>274</v>
      </c>
      <c r="BB13" s="768">
        <v>288</v>
      </c>
      <c r="BC13" s="768">
        <v>522</v>
      </c>
      <c r="BD13" s="768">
        <v>364</v>
      </c>
      <c r="BE13" s="769">
        <f>SUM(BA13:BD13)</f>
        <v>1448</v>
      </c>
      <c r="BF13" s="768">
        <v>293</v>
      </c>
      <c r="BG13" s="768">
        <v>499</v>
      </c>
      <c r="BH13" s="768">
        <v>253</v>
      </c>
      <c r="BI13" s="768">
        <v>195</v>
      </c>
      <c r="BJ13" s="769">
        <f>SUM(BF13:BI13)</f>
        <v>1240</v>
      </c>
      <c r="BK13" s="768">
        <v>167</v>
      </c>
      <c r="BL13" s="768">
        <v>153</v>
      </c>
      <c r="BM13" s="768">
        <v>206</v>
      </c>
      <c r="BN13" s="768">
        <v>172</v>
      </c>
      <c r="BO13" s="769">
        <f>SUM(BK13:BN13)</f>
        <v>698</v>
      </c>
      <c r="BP13" s="768">
        <v>138</v>
      </c>
      <c r="BQ13" s="768">
        <v>128</v>
      </c>
      <c r="BR13" s="768">
        <v>157</v>
      </c>
      <c r="BS13" s="768">
        <v>124</v>
      </c>
      <c r="BT13" s="769">
        <f>SUM(BP13:BS13)</f>
        <v>547</v>
      </c>
      <c r="BU13" s="768">
        <v>141</v>
      </c>
      <c r="BV13" s="768">
        <v>151</v>
      </c>
      <c r="BW13" s="768">
        <v>159</v>
      </c>
      <c r="BX13" s="768">
        <v>134</v>
      </c>
      <c r="BY13" s="769">
        <f>SUM(BU13:BX13)</f>
        <v>585</v>
      </c>
      <c r="BZ13" s="768">
        <v>149</v>
      </c>
      <c r="CA13" s="768">
        <v>154</v>
      </c>
      <c r="CB13" s="768">
        <v>166</v>
      </c>
      <c r="CC13" s="768">
        <v>166</v>
      </c>
      <c r="CD13" s="769">
        <f>SUM(BZ13:CC13)</f>
        <v>635</v>
      </c>
      <c r="CE13" s="768">
        <v>156</v>
      </c>
      <c r="CF13" s="768">
        <v>167</v>
      </c>
      <c r="CG13" s="768">
        <v>193</v>
      </c>
      <c r="CH13" s="768">
        <v>181</v>
      </c>
      <c r="CI13" s="769">
        <f>SUM(CE13:CH13)</f>
        <v>697</v>
      </c>
      <c r="CJ13" s="768">
        <v>189</v>
      </c>
      <c r="CK13" s="768">
        <v>173</v>
      </c>
      <c r="CL13" s="768">
        <v>187</v>
      </c>
      <c r="CM13" s="768">
        <v>191</v>
      </c>
      <c r="CN13" s="769">
        <f>SUM(CJ13:CM13)</f>
        <v>740</v>
      </c>
      <c r="CO13" s="768">
        <v>179</v>
      </c>
      <c r="CP13" s="768">
        <v>168</v>
      </c>
      <c r="CQ13" s="768">
        <v>189</v>
      </c>
      <c r="CR13" s="768">
        <v>181</v>
      </c>
      <c r="CS13" s="769">
        <f>SUM(CO13:CR13)</f>
        <v>717</v>
      </c>
      <c r="CT13" s="768">
        <v>189</v>
      </c>
      <c r="CU13" s="768">
        <v>190</v>
      </c>
      <c r="CV13" s="768">
        <v>206</v>
      </c>
      <c r="CW13" s="768">
        <v>200</v>
      </c>
      <c r="CX13" s="769">
        <f>SUM(CT13:CW13)</f>
        <v>785</v>
      </c>
      <c r="CY13" s="768">
        <v>207</v>
      </c>
      <c r="CZ13" s="768">
        <v>207</v>
      </c>
      <c r="DA13" s="768">
        <v>210</v>
      </c>
      <c r="DB13" s="768">
        <v>348</v>
      </c>
      <c r="DC13" s="769">
        <f>SUM(CY13:DB13)</f>
        <v>972</v>
      </c>
      <c r="DD13" s="768">
        <v>380</v>
      </c>
      <c r="DE13" s="768">
        <v>320</v>
      </c>
      <c r="DF13" s="768">
        <v>249</v>
      </c>
      <c r="DG13" s="768">
        <v>356</v>
      </c>
      <c r="DH13" s="769">
        <f>SUM(DD13:DG13)</f>
        <v>1305</v>
      </c>
      <c r="DI13" s="768">
        <v>363</v>
      </c>
      <c r="DJ13" s="768">
        <v>352</v>
      </c>
      <c r="DK13" s="768">
        <v>371</v>
      </c>
      <c r="DL13" s="768">
        <v>391</v>
      </c>
      <c r="DM13" s="769">
        <f t="shared" si="0"/>
        <v>1477</v>
      </c>
      <c r="DN13" s="768">
        <v>376</v>
      </c>
      <c r="DO13" s="768">
        <v>352</v>
      </c>
      <c r="DP13" s="768">
        <v>367</v>
      </c>
      <c r="DQ13" s="768">
        <v>354</v>
      </c>
      <c r="DR13" s="769">
        <f t="shared" si="1"/>
        <v>1449</v>
      </c>
      <c r="DS13" s="768">
        <v>383</v>
      </c>
      <c r="DT13" s="768">
        <v>371</v>
      </c>
      <c r="DU13" s="768">
        <v>355</v>
      </c>
      <c r="DV13" s="768">
        <v>325</v>
      </c>
      <c r="DW13" s="769">
        <f t="shared" si="2"/>
        <v>1434</v>
      </c>
      <c r="DX13" s="781">
        <v>379.2288165338615</v>
      </c>
      <c r="DY13" s="781">
        <v>378.48077233031057</v>
      </c>
      <c r="DZ13" s="781">
        <v>363.00784110143934</v>
      </c>
      <c r="EA13" s="781">
        <v>379.77080284616454</v>
      </c>
      <c r="EB13" s="769">
        <f t="shared" si="3"/>
        <v>1500.4882328117758</v>
      </c>
      <c r="EC13" s="781">
        <v>368.0435585811594</v>
      </c>
      <c r="ED13" s="781">
        <v>373.26918243588312</v>
      </c>
      <c r="EE13" s="781">
        <v>364.40015606766138</v>
      </c>
      <c r="EF13" s="781">
        <v>390.53638559369347</v>
      </c>
      <c r="EG13" s="769">
        <f t="shared" si="4"/>
        <v>1496.2492826783973</v>
      </c>
      <c r="EH13" s="770">
        <v>378.40492450892515</v>
      </c>
      <c r="EI13" s="770">
        <v>383.45211786141363</v>
      </c>
      <c r="EJ13" s="770">
        <v>374.00945809385172</v>
      </c>
      <c r="EK13" s="770">
        <v>401.37604212760067</v>
      </c>
      <c r="EL13" s="769">
        <f t="shared" si="5"/>
        <v>1537.2425425917911</v>
      </c>
      <c r="EM13" s="21"/>
      <c r="EN13"/>
      <c r="EO13"/>
      <c r="EP13"/>
      <c r="EQ13"/>
      <c r="ER13"/>
      <c r="ES13" s="23"/>
      <c r="ET13"/>
      <c r="EU13" s="23"/>
      <c r="EV13" s="23"/>
      <c r="EW13" s="23"/>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row>
    <row r="14" spans="1:271" s="18" customFormat="1" ht="12" customHeight="1" thickBot="1">
      <c r="A14" s="771"/>
      <c r="B14" s="772" t="s">
        <v>337</v>
      </c>
      <c r="C14" s="772"/>
      <c r="D14" s="773">
        <f t="shared" ref="D14:AT14" si="6">D12-D13</f>
        <v>636.71800000000007</v>
      </c>
      <c r="E14" s="773">
        <f t="shared" si="6"/>
        <v>618.09999999999991</v>
      </c>
      <c r="F14" s="773">
        <f t="shared" si="6"/>
        <v>638.4</v>
      </c>
      <c r="G14" s="773">
        <f t="shared" si="6"/>
        <v>1287.7819999999999</v>
      </c>
      <c r="H14" s="774">
        <f t="shared" si="6"/>
        <v>3181</v>
      </c>
      <c r="I14" s="773">
        <f t="shared" si="6"/>
        <v>1216.6000000000001</v>
      </c>
      <c r="J14" s="773">
        <f t="shared" si="6"/>
        <v>1301.2</v>
      </c>
      <c r="K14" s="773">
        <f t="shared" si="6"/>
        <v>1360</v>
      </c>
      <c r="L14" s="773">
        <f t="shared" si="6"/>
        <v>1391.1999999999998</v>
      </c>
      <c r="M14" s="774">
        <f t="shared" si="6"/>
        <v>5269</v>
      </c>
      <c r="N14" s="773">
        <f t="shared" si="6"/>
        <v>1364.1</v>
      </c>
      <c r="O14" s="773">
        <f t="shared" si="6"/>
        <v>1397.3999999999999</v>
      </c>
      <c r="P14" s="773">
        <f t="shared" si="6"/>
        <v>2108.8000000000002</v>
      </c>
      <c r="Q14" s="773">
        <f t="shared" si="6"/>
        <v>3326.7</v>
      </c>
      <c r="R14" s="774">
        <f t="shared" si="6"/>
        <v>8197</v>
      </c>
      <c r="S14" s="773">
        <f t="shared" si="6"/>
        <v>2183</v>
      </c>
      <c r="T14" s="773">
        <f t="shared" si="6"/>
        <v>2293</v>
      </c>
      <c r="U14" s="773">
        <f t="shared" si="6"/>
        <v>2401</v>
      </c>
      <c r="V14" s="773">
        <f t="shared" si="6"/>
        <v>2430</v>
      </c>
      <c r="W14" s="774">
        <f t="shared" si="6"/>
        <v>9307</v>
      </c>
      <c r="X14" s="773">
        <f t="shared" si="6"/>
        <v>2394</v>
      </c>
      <c r="Y14" s="773">
        <f t="shared" si="6"/>
        <v>2379</v>
      </c>
      <c r="Z14" s="773">
        <f t="shared" si="6"/>
        <v>2632</v>
      </c>
      <c r="AA14" s="773">
        <f t="shared" si="6"/>
        <v>2732</v>
      </c>
      <c r="AB14" s="774">
        <f t="shared" si="6"/>
        <v>10137</v>
      </c>
      <c r="AC14" s="773">
        <f t="shared" si="6"/>
        <v>2650</v>
      </c>
      <c r="AD14" s="773">
        <f t="shared" si="6"/>
        <v>2570</v>
      </c>
      <c r="AE14" s="773">
        <f t="shared" si="6"/>
        <v>2636</v>
      </c>
      <c r="AF14" s="773">
        <f t="shared" si="6"/>
        <v>2707</v>
      </c>
      <c r="AG14" s="774">
        <f t="shared" si="6"/>
        <v>10563</v>
      </c>
      <c r="AH14" s="773">
        <f t="shared" si="6"/>
        <v>2680</v>
      </c>
      <c r="AI14" s="773">
        <f t="shared" si="6"/>
        <v>2709</v>
      </c>
      <c r="AJ14" s="773">
        <f t="shared" si="6"/>
        <v>2817</v>
      </c>
      <c r="AK14" s="773">
        <f t="shared" si="6"/>
        <v>2998</v>
      </c>
      <c r="AL14" s="774">
        <f t="shared" si="6"/>
        <v>11204</v>
      </c>
      <c r="AM14" s="773">
        <f t="shared" si="6"/>
        <v>3051</v>
      </c>
      <c r="AN14" s="773">
        <f t="shared" si="6"/>
        <v>3136</v>
      </c>
      <c r="AO14" s="773">
        <f t="shared" si="6"/>
        <v>3248</v>
      </c>
      <c r="AP14" s="773">
        <f t="shared" si="6"/>
        <v>3492</v>
      </c>
      <c r="AQ14" s="774">
        <f t="shared" si="6"/>
        <v>12927</v>
      </c>
      <c r="AR14" s="773">
        <f t="shared" si="6"/>
        <v>3426</v>
      </c>
      <c r="AS14" s="773">
        <f t="shared" si="6"/>
        <v>3487</v>
      </c>
      <c r="AT14" s="773">
        <f t="shared" si="6"/>
        <v>3382</v>
      </c>
      <c r="AU14" s="773"/>
      <c r="AV14" s="774">
        <f t="shared" ref="AV14:CA14" si="7">AV12-AV13</f>
        <v>3150</v>
      </c>
      <c r="AW14" s="773">
        <f t="shared" si="7"/>
        <v>3211</v>
      </c>
      <c r="AX14" s="773">
        <f t="shared" si="7"/>
        <v>3261</v>
      </c>
      <c r="AY14" s="773">
        <f t="shared" si="7"/>
        <v>3222</v>
      </c>
      <c r="AZ14" s="773">
        <f t="shared" si="7"/>
        <v>12844</v>
      </c>
      <c r="BA14" s="773">
        <f t="shared" si="7"/>
        <v>3178</v>
      </c>
      <c r="BB14" s="773">
        <f t="shared" si="7"/>
        <v>3091</v>
      </c>
      <c r="BC14" s="773">
        <f t="shared" si="7"/>
        <v>2775</v>
      </c>
      <c r="BD14" s="773">
        <f t="shared" si="7"/>
        <v>2817</v>
      </c>
      <c r="BE14" s="774">
        <f t="shared" si="7"/>
        <v>11861</v>
      </c>
      <c r="BF14" s="773">
        <f t="shared" si="7"/>
        <v>2376</v>
      </c>
      <c r="BG14" s="773">
        <f t="shared" si="7"/>
        <v>2071</v>
      </c>
      <c r="BH14" s="773">
        <f t="shared" si="7"/>
        <v>2187</v>
      </c>
      <c r="BI14" s="773">
        <f t="shared" si="7"/>
        <v>2217</v>
      </c>
      <c r="BJ14" s="774">
        <f t="shared" si="7"/>
        <v>8851</v>
      </c>
      <c r="BK14" s="773">
        <f t="shared" si="7"/>
        <v>2334</v>
      </c>
      <c r="BL14" s="773">
        <f t="shared" si="7"/>
        <v>2267</v>
      </c>
      <c r="BM14" s="773">
        <f t="shared" si="7"/>
        <v>2188</v>
      </c>
      <c r="BN14" s="773">
        <f t="shared" si="7"/>
        <v>2127</v>
      </c>
      <c r="BO14" s="774">
        <f t="shared" si="7"/>
        <v>8916</v>
      </c>
      <c r="BP14" s="773">
        <f t="shared" si="7"/>
        <v>2276</v>
      </c>
      <c r="BQ14" s="773">
        <f t="shared" si="7"/>
        <v>2067</v>
      </c>
      <c r="BR14" s="773">
        <f t="shared" si="7"/>
        <v>1960</v>
      </c>
      <c r="BS14" s="773">
        <f t="shared" si="7"/>
        <v>2055</v>
      </c>
      <c r="BT14" s="774">
        <f t="shared" si="7"/>
        <v>8358</v>
      </c>
      <c r="BU14" s="773">
        <f t="shared" si="7"/>
        <v>2138</v>
      </c>
      <c r="BV14" s="773">
        <f t="shared" si="7"/>
        <v>2077</v>
      </c>
      <c r="BW14" s="773">
        <f t="shared" si="7"/>
        <v>2053</v>
      </c>
      <c r="BX14" s="773">
        <f t="shared" si="7"/>
        <v>2117</v>
      </c>
      <c r="BY14" s="774">
        <f t="shared" si="7"/>
        <v>8385</v>
      </c>
      <c r="BZ14" s="773">
        <f t="shared" si="7"/>
        <v>2222</v>
      </c>
      <c r="CA14" s="773">
        <f t="shared" si="7"/>
        <v>2030</v>
      </c>
      <c r="CB14" s="773">
        <f t="shared" ref="CB14:DG14" si="8">CB12-CB13</f>
        <v>1992</v>
      </c>
      <c r="CC14" s="773">
        <f t="shared" si="8"/>
        <v>2029</v>
      </c>
      <c r="CD14" s="774">
        <f t="shared" si="8"/>
        <v>8273</v>
      </c>
      <c r="CE14" s="773">
        <f t="shared" si="8"/>
        <v>2123</v>
      </c>
      <c r="CF14" s="773">
        <f t="shared" si="8"/>
        <v>2062</v>
      </c>
      <c r="CG14" s="773">
        <f t="shared" si="8"/>
        <v>2069</v>
      </c>
      <c r="CH14" s="773">
        <f t="shared" si="8"/>
        <v>2080</v>
      </c>
      <c r="CI14" s="774">
        <f t="shared" si="8"/>
        <v>8334</v>
      </c>
      <c r="CJ14" s="773">
        <f t="shared" si="8"/>
        <v>2150</v>
      </c>
      <c r="CK14" s="773">
        <f t="shared" si="8"/>
        <v>2130</v>
      </c>
      <c r="CL14" s="773">
        <f t="shared" si="8"/>
        <v>2075</v>
      </c>
      <c r="CM14" s="773">
        <f t="shared" si="8"/>
        <v>2110</v>
      </c>
      <c r="CN14" s="774">
        <f t="shared" si="8"/>
        <v>8465</v>
      </c>
      <c r="CO14" s="773">
        <f t="shared" si="8"/>
        <v>2250</v>
      </c>
      <c r="CP14" s="773">
        <f t="shared" si="8"/>
        <v>2132</v>
      </c>
      <c r="CQ14" s="773">
        <f t="shared" si="8"/>
        <v>2100</v>
      </c>
      <c r="CR14" s="773">
        <f t="shared" si="8"/>
        <v>2172</v>
      </c>
      <c r="CS14" s="774">
        <f t="shared" si="8"/>
        <v>8654</v>
      </c>
      <c r="CT14" s="773">
        <f t="shared" si="8"/>
        <v>2302</v>
      </c>
      <c r="CU14" s="773">
        <f t="shared" si="8"/>
        <v>2265</v>
      </c>
      <c r="CV14" s="773">
        <f t="shared" si="8"/>
        <v>2221</v>
      </c>
      <c r="CW14" s="773">
        <f t="shared" si="8"/>
        <v>2331</v>
      </c>
      <c r="CX14" s="774">
        <f t="shared" si="8"/>
        <v>9119</v>
      </c>
      <c r="CY14" s="773">
        <f t="shared" si="8"/>
        <v>2387</v>
      </c>
      <c r="CZ14" s="773">
        <f t="shared" si="8"/>
        <v>2422</v>
      </c>
      <c r="DA14" s="773">
        <f t="shared" si="8"/>
        <v>2408</v>
      </c>
      <c r="DB14" s="773">
        <f t="shared" si="8"/>
        <v>3885</v>
      </c>
      <c r="DC14" s="774">
        <f t="shared" si="8"/>
        <v>11102</v>
      </c>
      <c r="DD14" s="773">
        <f t="shared" si="8"/>
        <v>3926</v>
      </c>
      <c r="DE14" s="773">
        <f t="shared" si="8"/>
        <v>4042</v>
      </c>
      <c r="DF14" s="773">
        <f t="shared" si="8"/>
        <v>4179</v>
      </c>
      <c r="DG14" s="773">
        <f t="shared" si="8"/>
        <v>4468</v>
      </c>
      <c r="DH14" s="774">
        <f t="shared" ref="DH14:DR14" si="9">DH12-DH13</f>
        <v>16615</v>
      </c>
      <c r="DI14" s="773">
        <f>DI12-DI13-DI15</f>
        <v>4424</v>
      </c>
      <c r="DJ14" s="773">
        <f t="shared" si="9"/>
        <v>4492</v>
      </c>
      <c r="DK14" s="773">
        <f>DK12-DK13</f>
        <v>4692</v>
      </c>
      <c r="DL14" s="773">
        <f t="shared" si="9"/>
        <v>5026</v>
      </c>
      <c r="DM14" s="774">
        <f t="shared" si="9"/>
        <v>18634</v>
      </c>
      <c r="DN14" s="773">
        <f t="shared" si="9"/>
        <v>5044</v>
      </c>
      <c r="DO14" s="773">
        <f t="shared" si="9"/>
        <v>4868</v>
      </c>
      <c r="DP14" s="773">
        <f t="shared" si="9"/>
        <v>4849</v>
      </c>
      <c r="DQ14" s="773">
        <f t="shared" si="9"/>
        <v>4860</v>
      </c>
      <c r="DR14" s="774">
        <f t="shared" si="9"/>
        <v>19621</v>
      </c>
      <c r="DS14" s="773">
        <f t="shared" ref="DS14:EG14" si="10">DS12-DS13</f>
        <v>4813</v>
      </c>
      <c r="DT14" s="773">
        <f t="shared" si="10"/>
        <v>4802</v>
      </c>
      <c r="DU14" s="773">
        <f t="shared" si="10"/>
        <v>4586</v>
      </c>
      <c r="DV14" s="773">
        <f t="shared" si="10"/>
        <v>4978</v>
      </c>
      <c r="DW14" s="774">
        <f t="shared" si="10"/>
        <v>19179</v>
      </c>
      <c r="DX14" s="773">
        <f t="shared" si="10"/>
        <v>4585.0863854655954</v>
      </c>
      <c r="DY14" s="773">
        <f t="shared" si="10"/>
        <v>4571.9276681985402</v>
      </c>
      <c r="DZ14" s="773">
        <f t="shared" si="10"/>
        <v>4382.1229369387811</v>
      </c>
      <c r="EA14" s="773">
        <f t="shared" si="10"/>
        <v>4601.0434882783593</v>
      </c>
      <c r="EB14" s="774">
        <f t="shared" si="10"/>
        <v>18140.180478881277</v>
      </c>
      <c r="EC14" s="773">
        <f t="shared" si="10"/>
        <v>4524.2962808114098</v>
      </c>
      <c r="ED14" s="773">
        <f t="shared" si="10"/>
        <v>4586.482780550501</v>
      </c>
      <c r="EE14" s="773">
        <f t="shared" si="10"/>
        <v>4476.8814684192575</v>
      </c>
      <c r="EF14" s="773">
        <f t="shared" si="10"/>
        <v>4783.4707700478448</v>
      </c>
      <c r="EG14" s="774">
        <f t="shared" si="10"/>
        <v>18371.131299829012</v>
      </c>
      <c r="EH14" s="773">
        <f t="shared" ref="EH14" si="11">EH12-EH13</f>
        <v>4732.6961803501972</v>
      </c>
      <c r="EI14" s="773">
        <f t="shared" ref="EI14" si="12">EI12-EI13</f>
        <v>4793.4825286827745</v>
      </c>
      <c r="EJ14" s="773">
        <f t="shared" ref="EJ14" si="13">EJ12-EJ13</f>
        <v>4674.5233219001257</v>
      </c>
      <c r="EK14" s="773">
        <f t="shared" ref="EK14" si="14">EK12-EK13</f>
        <v>4999.3772510273993</v>
      </c>
      <c r="EL14" s="774">
        <f t="shared" ref="EL14" si="15">EL12-EL13</f>
        <v>19200.079281960501</v>
      </c>
      <c r="EM14" s="21"/>
      <c r="EN14"/>
      <c r="EO14"/>
      <c r="EP14"/>
      <c r="EQ14"/>
      <c r="ER14"/>
      <c r="ES14" s="23"/>
      <c r="ET14"/>
      <c r="EU14" s="23"/>
      <c r="EV14" s="23"/>
      <c r="EW14" s="23"/>
      <c r="EX14" s="24"/>
      <c r="EY14" s="24"/>
      <c r="EZ14" s="24"/>
      <c r="FA14" s="24"/>
      <c r="FB14" s="24"/>
      <c r="FC14" s="24"/>
      <c r="FD14" s="24"/>
      <c r="FE14" s="24"/>
      <c r="FF14" s="24"/>
      <c r="FG14" s="24"/>
      <c r="FH14" s="24"/>
      <c r="FI14" s="24"/>
      <c r="FJ14" s="24"/>
      <c r="FK14" s="24"/>
      <c r="FL14" s="24"/>
      <c r="FM14" s="24"/>
      <c r="FN14" s="24"/>
      <c r="FO14" s="24"/>
      <c r="FP14" s="24"/>
      <c r="FQ14" s="24"/>
      <c r="FR14" s="24"/>
      <c r="FS14" s="24"/>
      <c r="FT14" s="24"/>
      <c r="FU14" s="24"/>
      <c r="FV14" s="24"/>
      <c r="FW14" s="24"/>
      <c r="FX14" s="24"/>
      <c r="FY14" s="24"/>
      <c r="FZ14" s="24"/>
      <c r="GA14" s="24"/>
      <c r="GB14" s="24"/>
      <c r="GC14" s="24"/>
      <c r="GD14" s="24"/>
      <c r="GE14" s="24"/>
      <c r="GF14" s="24"/>
      <c r="GG14" s="24"/>
      <c r="GH14" s="24"/>
      <c r="GI14" s="24"/>
      <c r="GJ14" s="24"/>
      <c r="GK14" s="24"/>
      <c r="GL14" s="24"/>
      <c r="GM14" s="24"/>
      <c r="GN14" s="24"/>
      <c r="GO14" s="24"/>
      <c r="GP14" s="24"/>
      <c r="GQ14" s="24"/>
      <c r="GR14" s="24"/>
      <c r="GS14" s="24"/>
      <c r="GT14" s="24"/>
      <c r="GU14" s="24"/>
      <c r="GV14" s="24"/>
      <c r="GW14" s="24"/>
      <c r="GX14" s="24"/>
      <c r="GY14" s="24"/>
      <c r="GZ14" s="24"/>
      <c r="HA14" s="24"/>
      <c r="HB14" s="24"/>
      <c r="HC14" s="24"/>
      <c r="HD14" s="24"/>
      <c r="HE14" s="24"/>
      <c r="HF14" s="24"/>
      <c r="HG14" s="24"/>
      <c r="HH14" s="24"/>
      <c r="HI14" s="24"/>
      <c r="HJ14" s="24"/>
      <c r="HK14" s="24"/>
      <c r="HL14" s="24"/>
      <c r="HM14" s="24"/>
      <c r="HN14" s="24"/>
      <c r="HO14" s="24"/>
      <c r="HP14" s="24"/>
      <c r="HQ14" s="24"/>
      <c r="HR14" s="24"/>
      <c r="HS14" s="24"/>
      <c r="HT14" s="24"/>
      <c r="HU14" s="24"/>
      <c r="HV14" s="24"/>
      <c r="HW14" s="24"/>
      <c r="HX14" s="24"/>
      <c r="HY14" s="24"/>
      <c r="HZ14" s="24"/>
      <c r="IA14" s="24"/>
      <c r="IB14" s="24"/>
      <c r="IC14" s="24"/>
      <c r="ID14" s="24"/>
      <c r="IE14" s="24"/>
      <c r="IF14" s="24"/>
      <c r="IG14" s="24"/>
      <c r="IH14" s="24"/>
      <c r="II14" s="24"/>
      <c r="IJ14" s="24"/>
      <c r="IK14" s="24"/>
      <c r="IL14" s="24"/>
      <c r="IM14" s="24"/>
      <c r="IN14" s="24"/>
      <c r="IO14" s="24"/>
      <c r="IP14" s="24"/>
      <c r="IQ14" s="24"/>
      <c r="IR14" s="24"/>
      <c r="IS14" s="24"/>
      <c r="IT14" s="24"/>
      <c r="IU14" s="24"/>
      <c r="IV14" s="24"/>
      <c r="IW14" s="24"/>
      <c r="IX14" s="24"/>
      <c r="IY14" s="24"/>
      <c r="IZ14" s="24"/>
      <c r="JA14" s="24"/>
      <c r="JB14" s="24"/>
      <c r="JC14" s="24"/>
      <c r="JD14" s="24"/>
      <c r="JE14" s="24"/>
      <c r="JF14" s="24"/>
      <c r="JG14" s="24"/>
      <c r="JH14" s="24"/>
      <c r="JI14" s="24"/>
      <c r="JJ14" s="24"/>
      <c r="JK14" s="24"/>
    </row>
    <row r="15" spans="1:271" s="18" customFormat="1" ht="12" customHeight="1">
      <c r="A15" s="775"/>
      <c r="B15" s="776" t="s">
        <v>588</v>
      </c>
      <c r="C15" s="776"/>
      <c r="D15" s="777"/>
      <c r="E15" s="777"/>
      <c r="F15" s="777"/>
      <c r="G15" s="777"/>
      <c r="H15" s="778"/>
      <c r="I15" s="777"/>
      <c r="J15" s="777"/>
      <c r="K15" s="777"/>
      <c r="L15" s="777"/>
      <c r="M15" s="778"/>
      <c r="N15" s="777"/>
      <c r="O15" s="777"/>
      <c r="P15" s="777"/>
      <c r="Q15" s="777"/>
      <c r="R15" s="778"/>
      <c r="S15" s="777"/>
      <c r="T15" s="777"/>
      <c r="U15" s="777"/>
      <c r="V15" s="777"/>
      <c r="W15" s="778"/>
      <c r="X15" s="777"/>
      <c r="Y15" s="777"/>
      <c r="Z15" s="777"/>
      <c r="AA15" s="777"/>
      <c r="AB15" s="778"/>
      <c r="AC15" s="777"/>
      <c r="AD15" s="777"/>
      <c r="AE15" s="777"/>
      <c r="AF15" s="777"/>
      <c r="AG15" s="778"/>
      <c r="AH15" s="777"/>
      <c r="AI15" s="777"/>
      <c r="AJ15" s="777"/>
      <c r="AK15" s="777"/>
      <c r="AL15" s="778"/>
      <c r="AM15" s="777"/>
      <c r="AN15" s="777"/>
      <c r="AO15" s="777"/>
      <c r="AP15" s="777"/>
      <c r="AQ15" s="778"/>
      <c r="AR15" s="777"/>
      <c r="AS15" s="777"/>
      <c r="AT15" s="777"/>
      <c r="AU15" s="777"/>
      <c r="AV15" s="778"/>
      <c r="AW15" s="777"/>
      <c r="AX15" s="777"/>
      <c r="AY15" s="777"/>
      <c r="AZ15" s="777"/>
      <c r="BA15" s="777"/>
      <c r="BB15" s="777"/>
      <c r="BC15" s="777"/>
      <c r="BD15" s="777"/>
      <c r="BE15" s="778"/>
      <c r="BF15" s="777"/>
      <c r="BG15" s="777"/>
      <c r="BH15" s="777"/>
      <c r="BI15" s="777"/>
      <c r="BJ15" s="778"/>
      <c r="BK15" s="777"/>
      <c r="BL15" s="777"/>
      <c r="BM15" s="777"/>
      <c r="BN15" s="777"/>
      <c r="BO15" s="778"/>
      <c r="BP15" s="777"/>
      <c r="BQ15" s="777"/>
      <c r="BR15" s="777"/>
      <c r="BS15" s="777"/>
      <c r="BT15" s="778"/>
      <c r="BU15" s="777"/>
      <c r="BV15" s="777"/>
      <c r="BW15" s="777"/>
      <c r="BX15" s="777"/>
      <c r="BY15" s="778"/>
      <c r="BZ15" s="777"/>
      <c r="CA15" s="777"/>
      <c r="CB15" s="777"/>
      <c r="CC15" s="777"/>
      <c r="CD15" s="778"/>
      <c r="CE15" s="777"/>
      <c r="CF15" s="777"/>
      <c r="CG15" s="777"/>
      <c r="CH15" s="777"/>
      <c r="CI15" s="778"/>
      <c r="CJ15" s="777"/>
      <c r="CK15" s="777"/>
      <c r="CL15" s="777"/>
      <c r="CM15" s="777"/>
      <c r="CN15" s="778"/>
      <c r="CO15" s="777"/>
      <c r="CP15" s="777"/>
      <c r="CQ15" s="777"/>
      <c r="CR15" s="777"/>
      <c r="CS15" s="778"/>
      <c r="CT15" s="777"/>
      <c r="CU15" s="777"/>
      <c r="CV15" s="777"/>
      <c r="CW15" s="777"/>
      <c r="CX15" s="778"/>
      <c r="CY15" s="777"/>
      <c r="CZ15" s="777"/>
      <c r="DA15" s="777"/>
      <c r="DB15" s="777"/>
      <c r="DC15" s="778"/>
      <c r="DD15" s="777"/>
      <c r="DE15" s="777"/>
      <c r="DF15" s="777"/>
      <c r="DG15" s="777"/>
      <c r="DH15" s="778"/>
      <c r="DI15" s="777">
        <v>4</v>
      </c>
      <c r="DJ15" s="777">
        <v>16</v>
      </c>
      <c r="DK15" s="777">
        <v>28</v>
      </c>
      <c r="DL15" s="777">
        <v>51</v>
      </c>
      <c r="DM15" s="778">
        <f>SUM(DJ15:DL15)+4</f>
        <v>99</v>
      </c>
      <c r="DN15" s="777">
        <v>24</v>
      </c>
      <c r="DO15" s="777">
        <v>30</v>
      </c>
      <c r="DP15" s="777">
        <v>31</v>
      </c>
      <c r="DQ15" s="777">
        <v>46</v>
      </c>
      <c r="DR15" s="778">
        <f>SUM(DN15:DQ15)</f>
        <v>131</v>
      </c>
      <c r="DS15" s="777">
        <v>29</v>
      </c>
      <c r="DT15" s="777">
        <v>28</v>
      </c>
      <c r="DU15" s="777">
        <v>38</v>
      </c>
      <c r="DV15" s="777">
        <v>49</v>
      </c>
      <c r="DW15" s="778">
        <f>SUM(DS15:DV15)</f>
        <v>144</v>
      </c>
      <c r="DX15" s="779">
        <v>34.48559392904999</v>
      </c>
      <c r="DY15" s="779">
        <v>38.500661253375</v>
      </c>
      <c r="DZ15" s="779">
        <v>37.742514064312488</v>
      </c>
      <c r="EA15" s="779">
        <v>45.423306599999989</v>
      </c>
      <c r="EB15" s="778">
        <f>SUM(DX15:EA15)</f>
        <v>156.15207584673749</v>
      </c>
      <c r="EC15" s="779">
        <v>36.504141905913961</v>
      </c>
      <c r="ED15" s="779">
        <v>40.172086584714471</v>
      </c>
      <c r="EE15" s="779">
        <v>44.479485010882343</v>
      </c>
      <c r="EF15" s="779">
        <v>51.496234627896982</v>
      </c>
      <c r="EG15" s="778">
        <f>SUM(EC15:EF15)</f>
        <v>172.65194812940774</v>
      </c>
      <c r="EH15" s="779">
        <v>30.119477502659322</v>
      </c>
      <c r="EI15" s="779">
        <v>33.044072437360022</v>
      </c>
      <c r="EJ15" s="779">
        <v>37.491834268038033</v>
      </c>
      <c r="EK15" s="779">
        <v>43.086561611280011</v>
      </c>
      <c r="EL15" s="778">
        <f>SUM(EH15:EK15)</f>
        <v>143.74194581933739</v>
      </c>
      <c r="EM15" s="21"/>
      <c r="EN15"/>
      <c r="EO15"/>
      <c r="EP15"/>
      <c r="EQ15"/>
      <c r="ER15"/>
      <c r="ES15" s="23"/>
      <c r="ET15"/>
      <c r="EU15" s="23"/>
      <c r="EV15" s="23"/>
      <c r="EW15" s="23"/>
      <c r="EX15" s="24"/>
      <c r="EY15" s="24"/>
      <c r="EZ15" s="24"/>
      <c r="FA15" s="24"/>
      <c r="FB15" s="24"/>
      <c r="FC15" s="24"/>
      <c r="FD15" s="24"/>
      <c r="FE15" s="24"/>
      <c r="FF15" s="24"/>
      <c r="FG15" s="24"/>
      <c r="FH15" s="24"/>
      <c r="FI15" s="24"/>
      <c r="FJ15" s="24"/>
      <c r="FK15" s="24"/>
      <c r="FL15" s="24"/>
      <c r="FM15" s="24"/>
      <c r="FN15" s="24"/>
      <c r="FO15" s="24"/>
      <c r="FP15" s="24"/>
      <c r="FQ15" s="24"/>
      <c r="FR15" s="24"/>
      <c r="FS15" s="24"/>
      <c r="FT15" s="24"/>
      <c r="FU15" s="24"/>
      <c r="FV15" s="24"/>
      <c r="FW15" s="24"/>
      <c r="FX15" s="24"/>
      <c r="FY15" s="24"/>
      <c r="FZ15" s="24"/>
      <c r="GA15" s="24"/>
      <c r="GB15" s="24"/>
      <c r="GC15" s="24"/>
      <c r="GD15" s="24"/>
      <c r="GE15" s="24"/>
      <c r="GF15" s="24"/>
      <c r="GG15" s="24"/>
      <c r="GH15" s="24"/>
      <c r="GI15" s="24"/>
      <c r="GJ15" s="24"/>
      <c r="GK15" s="24"/>
      <c r="GL15" s="24"/>
      <c r="GM15" s="24"/>
      <c r="GN15" s="24"/>
      <c r="GO15" s="24"/>
      <c r="GP15" s="24"/>
      <c r="GQ15" s="24"/>
      <c r="GR15" s="24"/>
      <c r="GS15" s="24"/>
      <c r="GT15" s="24"/>
      <c r="GU15" s="24"/>
      <c r="GV15" s="24"/>
      <c r="GW15" s="24"/>
      <c r="GX15" s="24"/>
      <c r="GY15" s="24"/>
      <c r="GZ15" s="24"/>
      <c r="HA15" s="24"/>
      <c r="HB15" s="24"/>
      <c r="HC15" s="24"/>
      <c r="HD15" s="24"/>
      <c r="HE15" s="24"/>
      <c r="HF15" s="24"/>
      <c r="HG15" s="24"/>
      <c r="HH15" s="24"/>
      <c r="HI15" s="24"/>
      <c r="HJ15" s="24"/>
      <c r="HK15" s="24"/>
      <c r="HL15" s="24"/>
      <c r="HM15" s="24"/>
      <c r="HN15" s="24"/>
      <c r="HO15" s="24"/>
      <c r="HP15" s="24"/>
      <c r="HQ15" s="24"/>
      <c r="HR15" s="24"/>
      <c r="HS15" s="24"/>
      <c r="HT15" s="24"/>
      <c r="HU15" s="24"/>
      <c r="HV15" s="24"/>
      <c r="HW15" s="24"/>
      <c r="HX15" s="24"/>
      <c r="HY15" s="24"/>
      <c r="HZ15" s="24"/>
      <c r="IA15" s="24"/>
      <c r="IB15" s="24"/>
      <c r="IC15" s="24"/>
      <c r="ID15" s="24"/>
      <c r="IE15" s="24"/>
      <c r="IF15" s="24"/>
      <c r="IG15" s="24"/>
      <c r="IH15" s="24"/>
      <c r="II15" s="24"/>
      <c r="IJ15" s="24"/>
      <c r="IK15" s="24"/>
      <c r="IL15" s="24"/>
      <c r="IM15" s="24"/>
      <c r="IN15" s="24"/>
      <c r="IO15" s="24"/>
      <c r="IP15" s="24"/>
      <c r="IQ15" s="24"/>
      <c r="IR15" s="24"/>
      <c r="IS15" s="24"/>
      <c r="IT15" s="24"/>
      <c r="IU15" s="24"/>
      <c r="IV15" s="24"/>
      <c r="IW15" s="24"/>
      <c r="IX15" s="24"/>
      <c r="IY15" s="24"/>
      <c r="IZ15" s="24"/>
      <c r="JA15" s="24"/>
      <c r="JB15" s="24"/>
      <c r="JC15" s="24"/>
      <c r="JD15" s="24"/>
      <c r="JE15" s="24"/>
      <c r="JF15" s="24"/>
      <c r="JG15" s="24"/>
      <c r="JH15" s="24"/>
      <c r="JI15" s="24"/>
      <c r="JJ15" s="24"/>
      <c r="JK15" s="24"/>
    </row>
    <row r="16" spans="1:271" s="18" customFormat="1" ht="12" customHeight="1">
      <c r="A16" s="766"/>
      <c r="B16" s="767" t="s">
        <v>338</v>
      </c>
      <c r="C16" s="737"/>
      <c r="D16" s="768">
        <f>540.145-D13</f>
        <v>514.02800000000002</v>
      </c>
      <c r="E16" s="768">
        <v>273</v>
      </c>
      <c r="F16" s="768">
        <v>275.3</v>
      </c>
      <c r="G16" s="768">
        <f>1367-SUM(D16:F16)</f>
        <v>304.67200000000003</v>
      </c>
      <c r="H16" s="769">
        <f>SUM(D16:G16)</f>
        <v>1367</v>
      </c>
      <c r="I16" s="768">
        <v>502.2</v>
      </c>
      <c r="J16" s="768">
        <v>544.70000000000005</v>
      </c>
      <c r="K16" s="768">
        <v>569.79999999999995</v>
      </c>
      <c r="L16" s="768">
        <f>2194-SUM(I16:K16)</f>
        <v>577.29999999999995</v>
      </c>
      <c r="M16" s="769">
        <f>SUM(I16:L16)</f>
        <v>2194</v>
      </c>
      <c r="N16" s="768">
        <v>568.70000000000005</v>
      </c>
      <c r="O16" s="768">
        <v>581.4</v>
      </c>
      <c r="P16" s="768">
        <v>911</v>
      </c>
      <c r="Q16" s="768">
        <f>3574-SUM(N16:P16)</f>
        <v>1512.9</v>
      </c>
      <c r="R16" s="769">
        <f>SUM(N16:Q16)</f>
        <v>3574</v>
      </c>
      <c r="S16" s="768">
        <v>966</v>
      </c>
      <c r="T16" s="768">
        <v>1007</v>
      </c>
      <c r="U16" s="768">
        <v>1040</v>
      </c>
      <c r="V16" s="768">
        <f>4052-SUM(S16:U16)</f>
        <v>1039</v>
      </c>
      <c r="W16" s="769">
        <f>SUM(S16:V16)</f>
        <v>4052</v>
      </c>
      <c r="X16" s="768">
        <v>1018</v>
      </c>
      <c r="Y16" s="768">
        <v>1039</v>
      </c>
      <c r="Z16" s="768">
        <v>1160</v>
      </c>
      <c r="AA16" s="768">
        <f>4412-SUM(X16:Z16)</f>
        <v>1195</v>
      </c>
      <c r="AB16" s="769">
        <f>SUM(X16:AA16)</f>
        <v>4412</v>
      </c>
      <c r="AC16" s="768">
        <v>1161</v>
      </c>
      <c r="AD16" s="768">
        <v>1110</v>
      </c>
      <c r="AE16" s="768">
        <v>1121</v>
      </c>
      <c r="AF16" s="768">
        <f>4508-SUM(AC16:AE16)</f>
        <v>1116</v>
      </c>
      <c r="AG16" s="769">
        <f>SUM(AC16:AF16)</f>
        <v>4508</v>
      </c>
      <c r="AH16" s="768">
        <v>1123</v>
      </c>
      <c r="AI16" s="768">
        <v>1130</v>
      </c>
      <c r="AJ16" s="768">
        <v>1178</v>
      </c>
      <c r="AK16" s="768">
        <f>4680-SUM(AH16:AJ16)</f>
        <v>1249</v>
      </c>
      <c r="AL16" s="769">
        <f>SUM(AH16:AK16)</f>
        <v>4680</v>
      </c>
      <c r="AM16" s="768">
        <v>1270</v>
      </c>
      <c r="AN16" s="768">
        <v>1300</v>
      </c>
      <c r="AO16" s="768">
        <v>1351</v>
      </c>
      <c r="AP16" s="768">
        <f>5346-SUM(AM16:AO16)</f>
        <v>1425</v>
      </c>
      <c r="AQ16" s="769">
        <f>SUM(AM16:AP16)</f>
        <v>5346</v>
      </c>
      <c r="AR16" s="768">
        <v>1423</v>
      </c>
      <c r="AS16" s="768">
        <v>1447</v>
      </c>
      <c r="AT16" s="768">
        <v>1451</v>
      </c>
      <c r="AU16" s="768"/>
      <c r="AV16" s="769">
        <v>1339</v>
      </c>
      <c r="AW16" s="768">
        <v>1353</v>
      </c>
      <c r="AX16" s="768">
        <v>1376</v>
      </c>
      <c r="AY16" s="768">
        <v>1354</v>
      </c>
      <c r="AZ16" s="768">
        <f>SUM(AV16:AY16)</f>
        <v>5422</v>
      </c>
      <c r="BA16" s="768">
        <v>1462</v>
      </c>
      <c r="BB16" s="768">
        <v>1474</v>
      </c>
      <c r="BC16" s="768">
        <v>1420</v>
      </c>
      <c r="BD16" s="768">
        <v>1407</v>
      </c>
      <c r="BE16" s="769">
        <f>SUM(BA16:BD16)</f>
        <v>5763</v>
      </c>
      <c r="BF16" s="768">
        <v>1146</v>
      </c>
      <c r="BG16" s="768">
        <v>1131</v>
      </c>
      <c r="BH16" s="768">
        <v>1078</v>
      </c>
      <c r="BI16" s="768">
        <v>1076</v>
      </c>
      <c r="BJ16" s="769">
        <f>SUM(BF16:BI16)</f>
        <v>4431</v>
      </c>
      <c r="BK16" s="768">
        <v>1124</v>
      </c>
      <c r="BL16" s="768">
        <v>1114</v>
      </c>
      <c r="BM16" s="768">
        <v>1099</v>
      </c>
      <c r="BN16" s="768">
        <v>1051</v>
      </c>
      <c r="BO16" s="769">
        <f>SUM(BK16:BN16)</f>
        <v>4388</v>
      </c>
      <c r="BP16" s="768">
        <v>1075</v>
      </c>
      <c r="BQ16" s="768">
        <v>963</v>
      </c>
      <c r="BR16" s="768">
        <v>953</v>
      </c>
      <c r="BS16" s="768">
        <v>986</v>
      </c>
      <c r="BT16" s="769">
        <f>SUM(BP16:BS16)</f>
        <v>3977</v>
      </c>
      <c r="BU16" s="768">
        <v>1019</v>
      </c>
      <c r="BV16" s="768">
        <v>993</v>
      </c>
      <c r="BW16" s="768">
        <v>983</v>
      </c>
      <c r="BX16" s="768">
        <v>1023</v>
      </c>
      <c r="BY16" s="769">
        <f>SUM(BU16:BX16)</f>
        <v>4018</v>
      </c>
      <c r="BZ16" s="768">
        <v>1036</v>
      </c>
      <c r="CA16" s="768">
        <v>967</v>
      </c>
      <c r="CB16" s="768">
        <v>952</v>
      </c>
      <c r="CC16" s="768">
        <v>967</v>
      </c>
      <c r="CD16" s="769">
        <f>SUM(BZ16:CC16)</f>
        <v>3922</v>
      </c>
      <c r="CE16" s="768">
        <v>975</v>
      </c>
      <c r="CF16" s="768">
        <v>949</v>
      </c>
      <c r="CG16" s="768">
        <v>954</v>
      </c>
      <c r="CH16" s="768">
        <v>989</v>
      </c>
      <c r="CI16" s="769">
        <f>SUM(CE16:CH16)</f>
        <v>3867</v>
      </c>
      <c r="CJ16" s="768">
        <v>987</v>
      </c>
      <c r="CK16" s="768">
        <v>969</v>
      </c>
      <c r="CL16" s="768">
        <v>977</v>
      </c>
      <c r="CM16" s="768">
        <v>967</v>
      </c>
      <c r="CN16" s="769">
        <f>SUM(CJ16:CM16)</f>
        <v>3900</v>
      </c>
      <c r="CO16" s="768">
        <v>1017</v>
      </c>
      <c r="CP16" s="768">
        <v>982</v>
      </c>
      <c r="CQ16" s="768">
        <v>1002</v>
      </c>
      <c r="CR16" s="768">
        <v>1014</v>
      </c>
      <c r="CS16" s="769">
        <f>SUM(CO16:CR16)</f>
        <v>4015</v>
      </c>
      <c r="CT16" s="768">
        <v>1062</v>
      </c>
      <c r="CU16" s="768">
        <v>1054</v>
      </c>
      <c r="CV16" s="768">
        <v>1050</v>
      </c>
      <c r="CW16" s="768">
        <v>1091</v>
      </c>
      <c r="CX16" s="769">
        <f>SUM(CT16:CW16)</f>
        <v>4257</v>
      </c>
      <c r="CY16" s="768">
        <v>1161</v>
      </c>
      <c r="CZ16" s="768">
        <v>1166</v>
      </c>
      <c r="DA16" s="768">
        <v>1172</v>
      </c>
      <c r="DB16" s="768">
        <v>1872</v>
      </c>
      <c r="DC16" s="769">
        <f>SUM(CY16:DB16)</f>
        <v>5371</v>
      </c>
      <c r="DD16" s="768">
        <v>1921</v>
      </c>
      <c r="DE16" s="768">
        <v>1956</v>
      </c>
      <c r="DF16" s="768">
        <v>2028</v>
      </c>
      <c r="DG16" s="768">
        <v>2118</v>
      </c>
      <c r="DH16" s="769">
        <f t="shared" ref="DH16:DH23" si="16">SUM(DD16:DG16)</f>
        <v>8023</v>
      </c>
      <c r="DI16" s="768">
        <v>2125</v>
      </c>
      <c r="DJ16" s="768">
        <v>2185</v>
      </c>
      <c r="DK16" s="768">
        <v>2258</v>
      </c>
      <c r="DL16" s="768">
        <v>2443</v>
      </c>
      <c r="DM16" s="769">
        <f t="shared" ref="DM16:DM24" si="17">SUM(DI16:DL16)</f>
        <v>9011</v>
      </c>
      <c r="DN16" s="768">
        <v>2402</v>
      </c>
      <c r="DO16" s="768">
        <v>2316</v>
      </c>
      <c r="DP16" s="768">
        <v>2314</v>
      </c>
      <c r="DQ16" s="768">
        <v>2324</v>
      </c>
      <c r="DR16" s="769">
        <v>9356</v>
      </c>
      <c r="DS16" s="768">
        <v>2380</v>
      </c>
      <c r="DT16" s="768">
        <v>2346</v>
      </c>
      <c r="DU16" s="768">
        <v>2264</v>
      </c>
      <c r="DV16" s="768">
        <v>2284</v>
      </c>
      <c r="DW16" s="769">
        <f t="shared" ref="DW16:DW24" si="18">SUM(DS16:DV16)</f>
        <v>9274</v>
      </c>
      <c r="DX16" s="781">
        <v>2215.1760009338245</v>
      </c>
      <c r="DY16" s="781">
        <v>2203.4804488014297</v>
      </c>
      <c r="DZ16" s="781">
        <v>2103.6538069391554</v>
      </c>
      <c r="EA16" s="781">
        <v>2237.3753305666773</v>
      </c>
      <c r="EB16" s="769">
        <f t="shared" ref="EB16:EB24" si="19">SUM(DX16:EA16)</f>
        <v>8759.685587241087</v>
      </c>
      <c r="EC16" s="781">
        <v>2151.6876289180386</v>
      </c>
      <c r="ED16" s="781">
        <v>2182.8707092583804</v>
      </c>
      <c r="EE16" s="781">
        <v>2117.4803966461895</v>
      </c>
      <c r="EF16" s="781">
        <v>2269.3034914033692</v>
      </c>
      <c r="EG16" s="769">
        <f t="shared" ref="EG16:EG24" si="20">SUM(EC16:EF16)</f>
        <v>8721.3422262259774</v>
      </c>
      <c r="EH16" s="770">
        <v>2250.7537360399374</v>
      </c>
      <c r="EI16" s="770">
        <v>2281.7893492892031</v>
      </c>
      <c r="EJ16" s="770">
        <v>2226.9321190531041</v>
      </c>
      <c r="EK16" s="770">
        <v>2402.2467990444852</v>
      </c>
      <c r="EL16" s="769">
        <f t="shared" ref="EL16:EL18" si="21">SUM(EH16:EK16)</f>
        <v>9161.7220034267302</v>
      </c>
      <c r="EM16" s="21"/>
      <c r="EN16"/>
      <c r="EO16"/>
      <c r="EP16"/>
      <c r="EQ16"/>
      <c r="ER16"/>
      <c r="ES16" s="23"/>
      <c r="ET16"/>
      <c r="EU16" s="23"/>
      <c r="EV16" s="23"/>
      <c r="EW16" s="23"/>
      <c r="EX16" s="24"/>
      <c r="EY16" s="24"/>
      <c r="EZ16" s="24"/>
      <c r="FA16" s="24"/>
      <c r="FB16" s="24"/>
      <c r="FC16" s="24"/>
      <c r="FD16" s="24"/>
      <c r="FE16" s="24"/>
      <c r="FF16" s="24"/>
      <c r="FG16" s="24"/>
      <c r="FH16" s="24"/>
      <c r="FI16" s="24"/>
      <c r="FJ16" s="24"/>
      <c r="FK16" s="24"/>
      <c r="FL16" s="24"/>
      <c r="FM16" s="24"/>
      <c r="FN16" s="24"/>
      <c r="FO16" s="24"/>
      <c r="FP16" s="24"/>
      <c r="FQ16" s="24"/>
      <c r="FR16" s="24"/>
      <c r="FS16" s="24"/>
      <c r="FT16" s="24"/>
      <c r="FU16" s="24"/>
      <c r="FV16" s="24"/>
      <c r="FW16" s="24"/>
      <c r="FX16" s="24"/>
      <c r="FY16" s="24"/>
      <c r="FZ16" s="24"/>
      <c r="GA16" s="24"/>
      <c r="GB16" s="24"/>
      <c r="GC16" s="24"/>
      <c r="GD16" s="24"/>
      <c r="GE16" s="24"/>
      <c r="GF16" s="24"/>
      <c r="GG16" s="24"/>
      <c r="GH16" s="24"/>
      <c r="GI16" s="24"/>
      <c r="GJ16" s="24"/>
      <c r="GK16" s="24"/>
      <c r="GL16" s="24"/>
      <c r="GM16" s="24"/>
      <c r="GN16" s="24"/>
      <c r="GO16" s="24"/>
      <c r="GP16" s="24"/>
      <c r="GQ16" s="24"/>
      <c r="GR16" s="24"/>
      <c r="GS16" s="24"/>
      <c r="GT16" s="24"/>
      <c r="GU16" s="24"/>
      <c r="GV16" s="24"/>
      <c r="GW16" s="24"/>
      <c r="GX16" s="24"/>
      <c r="GY16" s="24"/>
      <c r="GZ16" s="24"/>
      <c r="HA16" s="24"/>
      <c r="HB16" s="24"/>
      <c r="HC16" s="24"/>
      <c r="HD16" s="24"/>
      <c r="HE16" s="24"/>
      <c r="HF16" s="24"/>
      <c r="HG16" s="24"/>
      <c r="HH16" s="24"/>
      <c r="HI16" s="24"/>
      <c r="HJ16" s="24"/>
      <c r="HK16" s="24"/>
      <c r="HL16" s="24"/>
      <c r="HM16" s="24"/>
      <c r="HN16" s="24"/>
      <c r="HO16" s="24"/>
      <c r="HP16" s="24"/>
      <c r="HQ16" s="24"/>
      <c r="HR16" s="24"/>
      <c r="HS16" s="24"/>
      <c r="HT16" s="24"/>
      <c r="HU16" s="24"/>
      <c r="HV16" s="24"/>
      <c r="HW16" s="24"/>
      <c r="HX16" s="24"/>
      <c r="HY16" s="24"/>
      <c r="HZ16" s="24"/>
      <c r="IA16" s="24"/>
      <c r="IB16" s="24"/>
      <c r="IC16" s="24"/>
      <c r="ID16" s="24"/>
      <c r="IE16" s="24"/>
      <c r="IF16" s="24"/>
      <c r="IG16" s="24"/>
      <c r="IH16" s="24"/>
      <c r="II16" s="24"/>
      <c r="IJ16" s="24"/>
      <c r="IK16" s="24"/>
      <c r="IL16" s="24"/>
      <c r="IM16" s="24"/>
      <c r="IN16" s="24"/>
      <c r="IO16" s="24"/>
      <c r="IP16" s="24"/>
      <c r="IQ16" s="24"/>
      <c r="IR16" s="24"/>
      <c r="IS16" s="24"/>
      <c r="IT16" s="24"/>
      <c r="IU16" s="24"/>
      <c r="IV16" s="24"/>
      <c r="IW16" s="24"/>
      <c r="IX16" s="24"/>
      <c r="IY16" s="24"/>
      <c r="IZ16" s="24"/>
      <c r="JA16" s="24"/>
      <c r="JB16" s="24"/>
      <c r="JC16" s="24"/>
      <c r="JD16" s="24"/>
      <c r="JE16" s="24"/>
      <c r="JF16" s="24"/>
      <c r="JG16" s="24"/>
      <c r="JH16" s="24"/>
      <c r="JI16" s="24"/>
      <c r="JJ16" s="24"/>
      <c r="JK16" s="24"/>
    </row>
    <row r="17" spans="1:271" s="18" customFormat="1" ht="12" customHeight="1">
      <c r="A17" s="766"/>
      <c r="B17" s="767" t="s">
        <v>339</v>
      </c>
      <c r="C17" s="737"/>
      <c r="D17" s="768">
        <v>0</v>
      </c>
      <c r="E17" s="768">
        <v>78.5</v>
      </c>
      <c r="F17" s="768">
        <v>84</v>
      </c>
      <c r="G17" s="768">
        <f>432-SUM(D17:F17)</f>
        <v>269.5</v>
      </c>
      <c r="H17" s="769">
        <f>SUM(D17:G17)</f>
        <v>432</v>
      </c>
      <c r="I17" s="768">
        <v>178.7</v>
      </c>
      <c r="J17" s="768">
        <v>186</v>
      </c>
      <c r="K17" s="768">
        <v>200</v>
      </c>
      <c r="L17" s="768">
        <f>764-SUM(I17:K17)</f>
        <v>199.29999999999995</v>
      </c>
      <c r="M17" s="769">
        <f>SUM(I17:L17)</f>
        <v>764</v>
      </c>
      <c r="N17" s="768">
        <v>191</v>
      </c>
      <c r="O17" s="768">
        <v>204.1</v>
      </c>
      <c r="P17" s="768">
        <v>315.5</v>
      </c>
      <c r="Q17" s="768">
        <f>1197-SUM(N17:P17)</f>
        <v>486.4</v>
      </c>
      <c r="R17" s="769">
        <f>SUM(N17:Q17)</f>
        <v>1197</v>
      </c>
      <c r="S17" s="768">
        <v>321</v>
      </c>
      <c r="T17" s="768">
        <v>330</v>
      </c>
      <c r="U17" s="768">
        <v>365</v>
      </c>
      <c r="V17" s="768">
        <f>1375-SUM(S17:U17)</f>
        <v>359</v>
      </c>
      <c r="W17" s="769">
        <f>SUM(S17:V17)</f>
        <v>1375</v>
      </c>
      <c r="X17" s="768">
        <v>350</v>
      </c>
      <c r="Y17" s="768">
        <v>351</v>
      </c>
      <c r="Z17" s="768">
        <v>403</v>
      </c>
      <c r="AA17" s="768">
        <f>1525-SUM(X17:Z17)</f>
        <v>421</v>
      </c>
      <c r="AB17" s="769">
        <f>SUM(X17:AA17)</f>
        <v>1525</v>
      </c>
      <c r="AC17" s="768">
        <v>407</v>
      </c>
      <c r="AD17" s="768">
        <v>387</v>
      </c>
      <c r="AE17" s="768">
        <v>401</v>
      </c>
      <c r="AF17" s="768">
        <f>1595-SUM(AC17:AE17)</f>
        <v>400</v>
      </c>
      <c r="AG17" s="769">
        <f>SUM(AC17:AF17)</f>
        <v>1595</v>
      </c>
      <c r="AH17" s="768">
        <v>404</v>
      </c>
      <c r="AI17" s="768">
        <v>405</v>
      </c>
      <c r="AJ17" s="768">
        <v>420</v>
      </c>
      <c r="AK17" s="768">
        <f>1677-SUM(AH17:AJ17)</f>
        <v>448</v>
      </c>
      <c r="AL17" s="769">
        <f>SUM(AH17:AK17)</f>
        <v>1677</v>
      </c>
      <c r="AM17" s="768">
        <v>466</v>
      </c>
      <c r="AN17" s="768">
        <v>473</v>
      </c>
      <c r="AO17" s="768">
        <v>496</v>
      </c>
      <c r="AP17" s="768">
        <f>1960-SUM(AM17:AO17)</f>
        <v>525</v>
      </c>
      <c r="AQ17" s="769">
        <f>SUM(AM17:AP17)</f>
        <v>1960</v>
      </c>
      <c r="AR17" s="768">
        <v>529</v>
      </c>
      <c r="AS17" s="768">
        <v>536</v>
      </c>
      <c r="AT17" s="768">
        <v>558</v>
      </c>
      <c r="AU17" s="768"/>
      <c r="AV17" s="769">
        <v>489</v>
      </c>
      <c r="AW17" s="768">
        <v>475</v>
      </c>
      <c r="AX17" s="768">
        <v>501</v>
      </c>
      <c r="AY17" s="768">
        <v>498</v>
      </c>
      <c r="AZ17" s="768">
        <f>SUM(AV17:AY17)</f>
        <v>1963</v>
      </c>
      <c r="BA17" s="768">
        <v>527</v>
      </c>
      <c r="BB17" s="768">
        <v>525</v>
      </c>
      <c r="BC17" s="768">
        <v>521</v>
      </c>
      <c r="BD17" s="768">
        <v>533</v>
      </c>
      <c r="BE17" s="769">
        <f>SUM(BA17:BD17)</f>
        <v>2106</v>
      </c>
      <c r="BF17" s="768">
        <v>449</v>
      </c>
      <c r="BG17" s="768">
        <v>437</v>
      </c>
      <c r="BH17" s="768">
        <v>423</v>
      </c>
      <c r="BI17" s="768">
        <v>444</v>
      </c>
      <c r="BJ17" s="769">
        <f>SUM(BF17:BI17)</f>
        <v>1753</v>
      </c>
      <c r="BK17" s="768">
        <v>457</v>
      </c>
      <c r="BL17" s="768">
        <v>447</v>
      </c>
      <c r="BM17" s="768">
        <v>446</v>
      </c>
      <c r="BN17" s="768">
        <v>424</v>
      </c>
      <c r="BO17" s="769">
        <f>SUM(BK17:BN17)</f>
        <v>1774</v>
      </c>
      <c r="BP17" s="768">
        <v>449</v>
      </c>
      <c r="BQ17" s="768">
        <v>398</v>
      </c>
      <c r="BR17" s="768">
        <v>386</v>
      </c>
      <c r="BS17" s="768">
        <v>392</v>
      </c>
      <c r="BT17" s="769">
        <f>SUM(BP17:BS17)</f>
        <v>1625</v>
      </c>
      <c r="BU17" s="768">
        <v>408</v>
      </c>
      <c r="BV17" s="768">
        <v>399</v>
      </c>
      <c r="BW17" s="768">
        <v>383</v>
      </c>
      <c r="BX17" s="768">
        <v>406</v>
      </c>
      <c r="BY17" s="769">
        <f>SUM(BU17:BX17)</f>
        <v>1596</v>
      </c>
      <c r="BZ17" s="768">
        <v>420</v>
      </c>
      <c r="CA17" s="768">
        <v>392</v>
      </c>
      <c r="CB17" s="768">
        <v>380</v>
      </c>
      <c r="CC17" s="768">
        <v>388</v>
      </c>
      <c r="CD17" s="769">
        <f>SUM(BZ17:CC17)</f>
        <v>1580</v>
      </c>
      <c r="CE17" s="768">
        <v>395</v>
      </c>
      <c r="CF17" s="768">
        <v>395</v>
      </c>
      <c r="CG17" s="768">
        <v>389</v>
      </c>
      <c r="CH17" s="768">
        <v>394</v>
      </c>
      <c r="CI17" s="769">
        <f>SUM(CE17:CH17)</f>
        <v>1573</v>
      </c>
      <c r="CJ17" s="768">
        <v>398</v>
      </c>
      <c r="CK17" s="768">
        <v>395</v>
      </c>
      <c r="CL17" s="768">
        <v>390</v>
      </c>
      <c r="CM17" s="768">
        <v>394</v>
      </c>
      <c r="CN17" s="769">
        <f>SUM(CJ17:CM17)</f>
        <v>1577</v>
      </c>
      <c r="CO17" s="768">
        <v>396</v>
      </c>
      <c r="CP17" s="768">
        <v>392</v>
      </c>
      <c r="CQ17" s="768">
        <v>379</v>
      </c>
      <c r="CR17" s="768">
        <v>381</v>
      </c>
      <c r="CS17" s="769">
        <f>SUM(CO17:CR17)</f>
        <v>1548</v>
      </c>
      <c r="CT17" s="768">
        <v>399</v>
      </c>
      <c r="CU17" s="768">
        <v>389</v>
      </c>
      <c r="CV17" s="768">
        <v>376</v>
      </c>
      <c r="CW17" s="768">
        <v>388</v>
      </c>
      <c r="CX17" s="769">
        <f>SUM(CT17:CW17)</f>
        <v>1552</v>
      </c>
      <c r="CY17" s="768">
        <v>384</v>
      </c>
      <c r="CZ17" s="768">
        <v>387</v>
      </c>
      <c r="DA17" s="768">
        <v>387</v>
      </c>
      <c r="DB17" s="768">
        <v>626</v>
      </c>
      <c r="DC17" s="769">
        <f>SUM(CY17:DB17)</f>
        <v>1784</v>
      </c>
      <c r="DD17" s="768">
        <v>628</v>
      </c>
      <c r="DE17" s="768">
        <v>649</v>
      </c>
      <c r="DF17" s="768">
        <v>665</v>
      </c>
      <c r="DG17" s="768">
        <v>688</v>
      </c>
      <c r="DH17" s="769">
        <f t="shared" si="16"/>
        <v>2630</v>
      </c>
      <c r="DI17" s="768">
        <v>687</v>
      </c>
      <c r="DJ17" s="768">
        <v>707</v>
      </c>
      <c r="DK17" s="768">
        <v>752</v>
      </c>
      <c r="DL17" s="768">
        <v>817</v>
      </c>
      <c r="DM17" s="769">
        <f t="shared" si="17"/>
        <v>2963</v>
      </c>
      <c r="DN17" s="768">
        <v>811</v>
      </c>
      <c r="DO17" s="768">
        <v>773</v>
      </c>
      <c r="DP17" s="768">
        <v>767</v>
      </c>
      <c r="DQ17" s="768">
        <v>773</v>
      </c>
      <c r="DR17" s="769">
        <f t="shared" ref="DR17:DR24" si="22">SUM(DN17:DQ17)</f>
        <v>3124</v>
      </c>
      <c r="DS17" s="768">
        <v>765</v>
      </c>
      <c r="DT17" s="768">
        <v>780</v>
      </c>
      <c r="DU17" s="768">
        <v>740</v>
      </c>
      <c r="DV17" s="768">
        <v>800</v>
      </c>
      <c r="DW17" s="769">
        <f t="shared" si="18"/>
        <v>3085</v>
      </c>
      <c r="DX17" s="781">
        <v>712.8247924544321</v>
      </c>
      <c r="DY17" s="781">
        <v>700.81375187628419</v>
      </c>
      <c r="DZ17" s="781">
        <v>661.94572784507636</v>
      </c>
      <c r="EA17" s="781">
        <v>699.90015478494274</v>
      </c>
      <c r="EB17" s="769">
        <f t="shared" si="19"/>
        <v>2775.4844269607356</v>
      </c>
      <c r="EC17" s="781">
        <v>690.12249682000379</v>
      </c>
      <c r="ED17" s="781">
        <v>700.56043048604101</v>
      </c>
      <c r="EE17" s="781">
        <v>684.26866758752578</v>
      </c>
      <c r="EF17" s="781">
        <v>741.33520641629661</v>
      </c>
      <c r="EG17" s="769">
        <f t="shared" si="20"/>
        <v>2816.2868013098669</v>
      </c>
      <c r="EH17" s="770">
        <v>738.1713869725686</v>
      </c>
      <c r="EI17" s="770">
        <v>748.91669015724597</v>
      </c>
      <c r="EJ17" s="770">
        <v>730.99412833117401</v>
      </c>
      <c r="EK17" s="770">
        <v>794.02576514263865</v>
      </c>
      <c r="EL17" s="769">
        <f t="shared" si="21"/>
        <v>3012.1079706036271</v>
      </c>
      <c r="EM17" s="21"/>
      <c r="EN17"/>
      <c r="EO17"/>
      <c r="EP17"/>
      <c r="EQ17"/>
      <c r="ER17"/>
      <c r="ES17" s="23"/>
      <c r="ET17"/>
      <c r="EU17" s="23"/>
      <c r="EV17" s="23"/>
      <c r="EW17" s="23"/>
      <c r="EX17" s="24"/>
      <c r="EY17" s="24"/>
      <c r="EZ17" s="24"/>
      <c r="FA17" s="24"/>
      <c r="FB17" s="24"/>
      <c r="FC17" s="24"/>
      <c r="FD17" s="24"/>
      <c r="FE17" s="24"/>
      <c r="FF17" s="24"/>
      <c r="FG17" s="24"/>
      <c r="FH17" s="24"/>
      <c r="FI17" s="24"/>
      <c r="FJ17" s="24"/>
      <c r="FK17" s="24"/>
      <c r="FL17" s="24"/>
      <c r="FM17" s="24"/>
      <c r="FN17" s="24"/>
      <c r="FO17" s="24"/>
      <c r="FP17" s="24"/>
      <c r="FQ17" s="24"/>
      <c r="FR17" s="24"/>
      <c r="FS17" s="24"/>
      <c r="FT17" s="24"/>
      <c r="FU17" s="24"/>
      <c r="FV17" s="24"/>
      <c r="FW17" s="24"/>
      <c r="FX17" s="24"/>
      <c r="FY17" s="24"/>
      <c r="FZ17" s="24"/>
      <c r="GA17" s="24"/>
      <c r="GB17" s="24"/>
      <c r="GC17" s="24"/>
      <c r="GD17" s="24"/>
      <c r="GE17" s="24"/>
      <c r="GF17" s="24"/>
      <c r="GG17" s="24"/>
      <c r="GH17" s="24"/>
      <c r="GI17" s="24"/>
      <c r="GJ17" s="24"/>
      <c r="GK17" s="24"/>
      <c r="GL17" s="24"/>
      <c r="GM17" s="24"/>
      <c r="GN17" s="24"/>
      <c r="GO17" s="24"/>
      <c r="GP17" s="24"/>
      <c r="GQ17" s="24"/>
      <c r="GR17" s="24"/>
      <c r="GS17" s="24"/>
      <c r="GT17" s="24"/>
      <c r="GU17" s="24"/>
      <c r="GV17" s="24"/>
      <c r="GW17" s="24"/>
      <c r="GX17" s="24"/>
      <c r="GY17" s="24"/>
      <c r="GZ17" s="24"/>
      <c r="HA17" s="24"/>
      <c r="HB17" s="24"/>
      <c r="HC17" s="24"/>
      <c r="HD17" s="24"/>
      <c r="HE17" s="24"/>
      <c r="HF17" s="24"/>
      <c r="HG17" s="24"/>
      <c r="HH17" s="24"/>
      <c r="HI17" s="24"/>
      <c r="HJ17" s="24"/>
      <c r="HK17" s="24"/>
      <c r="HL17" s="24"/>
      <c r="HM17" s="24"/>
      <c r="HN17" s="24"/>
      <c r="HO17" s="24"/>
      <c r="HP17" s="24"/>
      <c r="HQ17" s="24"/>
      <c r="HR17" s="24"/>
      <c r="HS17" s="24"/>
      <c r="HT17" s="24"/>
      <c r="HU17" s="24"/>
      <c r="HV17" s="24"/>
      <c r="HW17" s="24"/>
      <c r="HX17" s="24"/>
      <c r="HY17" s="24"/>
      <c r="HZ17" s="24"/>
      <c r="IA17" s="24"/>
      <c r="IB17" s="24"/>
      <c r="IC17" s="24"/>
      <c r="ID17" s="24"/>
      <c r="IE17" s="24"/>
      <c r="IF17" s="24"/>
      <c r="IG17" s="24"/>
      <c r="IH17" s="24"/>
      <c r="II17" s="24"/>
      <c r="IJ17" s="24"/>
      <c r="IK17" s="24"/>
      <c r="IL17" s="24"/>
      <c r="IM17" s="24"/>
      <c r="IN17" s="24"/>
      <c r="IO17" s="24"/>
      <c r="IP17" s="24"/>
      <c r="IQ17" s="24"/>
      <c r="IR17" s="24"/>
      <c r="IS17" s="24"/>
      <c r="IT17" s="24"/>
      <c r="IU17" s="24"/>
      <c r="IV17" s="24"/>
      <c r="IW17" s="24"/>
      <c r="IX17" s="24"/>
      <c r="IY17" s="24"/>
      <c r="IZ17" s="24"/>
      <c r="JA17" s="24"/>
      <c r="JB17" s="24"/>
      <c r="JC17" s="24"/>
      <c r="JD17" s="24"/>
      <c r="JE17" s="24"/>
      <c r="JF17" s="24"/>
      <c r="JG17" s="24"/>
      <c r="JH17" s="24"/>
      <c r="JI17" s="24"/>
      <c r="JJ17" s="24"/>
      <c r="JK17" s="24"/>
    </row>
    <row r="18" spans="1:271" s="18" customFormat="1" ht="12" customHeight="1">
      <c r="A18" s="766"/>
      <c r="B18" s="767" t="s">
        <v>340</v>
      </c>
      <c r="C18" s="737"/>
      <c r="D18" s="768">
        <v>0</v>
      </c>
      <c r="E18" s="768">
        <v>144.6</v>
      </c>
      <c r="F18" s="768">
        <v>152.80000000000001</v>
      </c>
      <c r="G18" s="768">
        <f>759-SUM(D18:F18)</f>
        <v>461.6</v>
      </c>
      <c r="H18" s="769">
        <f>SUM(D18:G18)</f>
        <v>759</v>
      </c>
      <c r="I18" s="768">
        <v>281.60000000000002</v>
      </c>
      <c r="J18" s="768">
        <v>296.7</v>
      </c>
      <c r="K18" s="768">
        <v>310.60000000000002</v>
      </c>
      <c r="L18" s="768">
        <f>1212-SUM(I18:K18)</f>
        <v>323.10000000000002</v>
      </c>
      <c r="M18" s="769">
        <f>SUM(I18:L18)</f>
        <v>1212</v>
      </c>
      <c r="N18" s="768">
        <v>321.7</v>
      </c>
      <c r="O18" s="768">
        <v>320.2</v>
      </c>
      <c r="P18" s="768">
        <v>470.7</v>
      </c>
      <c r="Q18" s="768">
        <f>1829-SUM(N18:P18)</f>
        <v>716.40000000000009</v>
      </c>
      <c r="R18" s="769">
        <f>SUM(N18:Q18)</f>
        <v>1829</v>
      </c>
      <c r="S18" s="768">
        <v>486</v>
      </c>
      <c r="T18" s="768">
        <v>512</v>
      </c>
      <c r="U18" s="768">
        <v>518</v>
      </c>
      <c r="V18" s="768">
        <f>2071-SUM(S18:U18)</f>
        <v>555</v>
      </c>
      <c r="W18" s="769">
        <f>SUM(S18:V18)</f>
        <v>2071</v>
      </c>
      <c r="X18" s="768">
        <v>561</v>
      </c>
      <c r="Y18" s="768">
        <v>538</v>
      </c>
      <c r="Z18" s="768">
        <v>611</v>
      </c>
      <c r="AA18" s="768">
        <f>2342-SUM(X18:Z18)</f>
        <v>632</v>
      </c>
      <c r="AB18" s="769">
        <f>SUM(X18:AA18)</f>
        <v>2342</v>
      </c>
      <c r="AC18" s="768">
        <v>625</v>
      </c>
      <c r="AD18" s="768">
        <v>604</v>
      </c>
      <c r="AE18" s="768">
        <v>614</v>
      </c>
      <c r="AF18" s="768">
        <f>2525-SUM(AC18:AE18)</f>
        <v>682</v>
      </c>
      <c r="AG18" s="769">
        <f>SUM(AC18:AF18)</f>
        <v>2525</v>
      </c>
      <c r="AH18" s="768">
        <v>636</v>
      </c>
      <c r="AI18" s="768">
        <v>637</v>
      </c>
      <c r="AJ18" s="768">
        <v>641</v>
      </c>
      <c r="AK18" s="768">
        <f>2603-SUM(AH18:AJ18)</f>
        <v>689</v>
      </c>
      <c r="AL18" s="769">
        <f>SUM(AH18:AK18)</f>
        <v>2603</v>
      </c>
      <c r="AM18" s="768">
        <v>689</v>
      </c>
      <c r="AN18" s="768">
        <v>685</v>
      </c>
      <c r="AO18" s="768">
        <v>680</v>
      </c>
      <c r="AP18" s="768">
        <f>2824-SUM(AM18:AO18)</f>
        <v>770</v>
      </c>
      <c r="AQ18" s="769">
        <f>SUM(AM18:AP18)</f>
        <v>2824</v>
      </c>
      <c r="AR18" s="768">
        <v>718</v>
      </c>
      <c r="AS18" s="768">
        <v>729</v>
      </c>
      <c r="AT18" s="768">
        <v>858</v>
      </c>
      <c r="AU18" s="768"/>
      <c r="AV18" s="769">
        <v>648</v>
      </c>
      <c r="AW18" s="768">
        <v>691</v>
      </c>
      <c r="AX18" s="768">
        <v>679</v>
      </c>
      <c r="AY18" s="768">
        <v>802</v>
      </c>
      <c r="AZ18" s="768">
        <f>SUM(AV18:AY18)</f>
        <v>2820</v>
      </c>
      <c r="BA18" s="768">
        <v>722</v>
      </c>
      <c r="BB18" s="768">
        <v>753</v>
      </c>
      <c r="BC18" s="768">
        <v>754</v>
      </c>
      <c r="BD18" s="768">
        <v>706</v>
      </c>
      <c r="BE18" s="769">
        <f>SUM(BA18:BD18)</f>
        <v>2935</v>
      </c>
      <c r="BF18" s="768">
        <v>559</v>
      </c>
      <c r="BG18" s="768">
        <v>610</v>
      </c>
      <c r="BH18" s="768">
        <v>557</v>
      </c>
      <c r="BI18" s="768">
        <v>556</v>
      </c>
      <c r="BJ18" s="769">
        <f>SUM(BF18:BI18)</f>
        <v>2282</v>
      </c>
      <c r="BK18" s="768">
        <v>527</v>
      </c>
      <c r="BL18" s="768">
        <v>547</v>
      </c>
      <c r="BM18" s="768">
        <v>554</v>
      </c>
      <c r="BN18" s="768">
        <v>555</v>
      </c>
      <c r="BO18" s="769">
        <f>SUM(BK18:BN18)</f>
        <v>2183</v>
      </c>
      <c r="BP18" s="768">
        <v>536</v>
      </c>
      <c r="BQ18" s="768">
        <v>497</v>
      </c>
      <c r="BR18" s="768">
        <v>513</v>
      </c>
      <c r="BS18" s="768">
        <v>524</v>
      </c>
      <c r="BT18" s="769">
        <f>SUM(BP18:BS18)</f>
        <v>2070</v>
      </c>
      <c r="BU18" s="768">
        <v>522</v>
      </c>
      <c r="BV18" s="768">
        <v>529</v>
      </c>
      <c r="BW18" s="768">
        <v>510</v>
      </c>
      <c r="BX18" s="768">
        <v>522</v>
      </c>
      <c r="BY18" s="769">
        <f>SUM(BU18:BX18)</f>
        <v>2083</v>
      </c>
      <c r="BZ18" s="768">
        <v>532</v>
      </c>
      <c r="CA18" s="768">
        <v>508</v>
      </c>
      <c r="CB18" s="768">
        <v>504</v>
      </c>
      <c r="CC18" s="768">
        <v>475</v>
      </c>
      <c r="CD18" s="769">
        <f>SUM(BZ18:CC18)</f>
        <v>2019</v>
      </c>
      <c r="CE18" s="768">
        <v>477</v>
      </c>
      <c r="CF18" s="768">
        <v>472</v>
      </c>
      <c r="CG18" s="768">
        <v>486</v>
      </c>
      <c r="CH18" s="768">
        <v>479</v>
      </c>
      <c r="CI18" s="769">
        <f>SUM(CE18:CH18)</f>
        <v>1914</v>
      </c>
      <c r="CJ18" s="768">
        <v>467</v>
      </c>
      <c r="CK18" s="768">
        <v>498</v>
      </c>
      <c r="CL18" s="768">
        <v>505</v>
      </c>
      <c r="CM18" s="768">
        <v>468</v>
      </c>
      <c r="CN18" s="769">
        <f>SUM(CJ18:CM18)</f>
        <v>1938</v>
      </c>
      <c r="CO18" s="768">
        <v>491</v>
      </c>
      <c r="CP18" s="768">
        <v>508</v>
      </c>
      <c r="CQ18" s="768">
        <v>527</v>
      </c>
      <c r="CR18" s="768">
        <v>494</v>
      </c>
      <c r="CS18" s="769">
        <f>SUM(CO18:CR18)</f>
        <v>2020</v>
      </c>
      <c r="CT18" s="768">
        <v>531</v>
      </c>
      <c r="CU18" s="768">
        <v>534</v>
      </c>
      <c r="CV18" s="768">
        <v>539</v>
      </c>
      <c r="CW18" s="768">
        <v>543</v>
      </c>
      <c r="CX18" s="769">
        <f>SUM(CT18:CW18)</f>
        <v>2147</v>
      </c>
      <c r="CY18" s="768">
        <v>568</v>
      </c>
      <c r="CZ18" s="768">
        <v>567</v>
      </c>
      <c r="DA18" s="768">
        <v>575</v>
      </c>
      <c r="DB18" s="768">
        <v>991</v>
      </c>
      <c r="DC18" s="769">
        <f>SUM(CY18:DB18)</f>
        <v>2701</v>
      </c>
      <c r="DD18" s="768">
        <v>999</v>
      </c>
      <c r="DE18" s="768">
        <v>1035</v>
      </c>
      <c r="DF18" s="768">
        <v>1032</v>
      </c>
      <c r="DG18" s="768">
        <v>1048</v>
      </c>
      <c r="DH18" s="769">
        <f t="shared" si="16"/>
        <v>4114</v>
      </c>
      <c r="DI18" s="768">
        <v>1093</v>
      </c>
      <c r="DJ18" s="768">
        <v>1081</v>
      </c>
      <c r="DK18" s="768">
        <v>1151</v>
      </c>
      <c r="DL18" s="768">
        <v>1230</v>
      </c>
      <c r="DM18" s="769">
        <f t="shared" si="17"/>
        <v>4555</v>
      </c>
      <c r="DN18" s="768">
        <v>1242</v>
      </c>
      <c r="DO18" s="768">
        <v>1213</v>
      </c>
      <c r="DP18" s="768">
        <v>1231</v>
      </c>
      <c r="DQ18" s="768">
        <v>1205</v>
      </c>
      <c r="DR18" s="769">
        <f t="shared" si="22"/>
        <v>4891</v>
      </c>
      <c r="DS18" s="768">
        <v>1187</v>
      </c>
      <c r="DT18" s="768">
        <v>1159</v>
      </c>
      <c r="DU18" s="768">
        <v>1120</v>
      </c>
      <c r="DV18" s="768">
        <v>1104</v>
      </c>
      <c r="DW18" s="769">
        <f t="shared" si="18"/>
        <v>4570</v>
      </c>
      <c r="DX18" s="781">
        <v>1087.6841848536408</v>
      </c>
      <c r="DY18" s="781">
        <v>1054.7592459651114</v>
      </c>
      <c r="DZ18" s="781">
        <v>1010.6504045126777</v>
      </c>
      <c r="EA18" s="781">
        <v>1071.3193689906577</v>
      </c>
      <c r="EB18" s="769">
        <f t="shared" si="19"/>
        <v>4224.413204322087</v>
      </c>
      <c r="EC18" s="781">
        <v>1078.7980598637016</v>
      </c>
      <c r="ED18" s="781">
        <v>1089.6074093796583</v>
      </c>
      <c r="EE18" s="781">
        <v>1064.0111034838583</v>
      </c>
      <c r="EF18" s="781">
        <v>1146.9119204556805</v>
      </c>
      <c r="EG18" s="769">
        <f t="shared" si="20"/>
        <v>4379.3284931828985</v>
      </c>
      <c r="EH18" s="770">
        <v>1097.7743218810012</v>
      </c>
      <c r="EI18" s="770">
        <v>1113.1189307836744</v>
      </c>
      <c r="EJ18" s="770">
        <v>1081.0974704378077</v>
      </c>
      <c r="EK18" s="770">
        <v>1168.238091190751</v>
      </c>
      <c r="EL18" s="769">
        <f t="shared" si="21"/>
        <v>4460.2288142932348</v>
      </c>
      <c r="EM18" s="21"/>
      <c r="EN18"/>
      <c r="EO18"/>
      <c r="EP18"/>
      <c r="EQ18"/>
      <c r="ER18"/>
      <c r="ES18" s="23"/>
      <c r="ET18"/>
      <c r="EU18" s="23"/>
      <c r="EV18" s="23"/>
      <c r="EW18" s="23"/>
      <c r="EX18" s="24"/>
      <c r="EY18" s="24"/>
      <c r="EZ18" s="24"/>
      <c r="FA18" s="24"/>
      <c r="FB18" s="24"/>
      <c r="FC18" s="24"/>
      <c r="FD18" s="24"/>
      <c r="FE18" s="24"/>
      <c r="FF18" s="24"/>
      <c r="FG18" s="24"/>
      <c r="FH18" s="24"/>
      <c r="FI18" s="24"/>
      <c r="FJ18" s="24"/>
      <c r="FK18" s="24"/>
      <c r="FL18" s="24"/>
      <c r="FM18" s="24"/>
      <c r="FN18" s="24"/>
      <c r="FO18" s="24"/>
      <c r="FP18" s="24"/>
      <c r="FQ18" s="24"/>
      <c r="FR18" s="24"/>
      <c r="FS18" s="24"/>
      <c r="FT18" s="24"/>
      <c r="FU18" s="24"/>
      <c r="FV18" s="24"/>
      <c r="FW18" s="24"/>
      <c r="FX18" s="24"/>
      <c r="FY18" s="24"/>
      <c r="FZ18" s="24"/>
      <c r="GA18" s="24"/>
      <c r="GB18" s="24"/>
      <c r="GC18" s="24"/>
      <c r="GD18" s="24"/>
      <c r="GE18" s="24"/>
      <c r="GF18" s="24"/>
      <c r="GG18" s="24"/>
      <c r="GH18" s="24"/>
      <c r="GI18" s="24"/>
      <c r="GJ18" s="24"/>
      <c r="GK18" s="24"/>
      <c r="GL18" s="24"/>
      <c r="GM18" s="24"/>
      <c r="GN18" s="24"/>
      <c r="GO18" s="24"/>
      <c r="GP18" s="24"/>
      <c r="GQ18" s="24"/>
      <c r="GR18" s="24"/>
      <c r="GS18" s="24"/>
      <c r="GT18" s="24"/>
      <c r="GU18" s="24"/>
      <c r="GV18" s="24"/>
      <c r="GW18" s="24"/>
      <c r="GX18" s="24"/>
      <c r="GY18" s="24"/>
      <c r="GZ18" s="24"/>
      <c r="HA18" s="24"/>
      <c r="HB18" s="24"/>
      <c r="HC18" s="24"/>
      <c r="HD18" s="24"/>
      <c r="HE18" s="24"/>
      <c r="HF18" s="24"/>
      <c r="HG18" s="24"/>
      <c r="HH18" s="24"/>
      <c r="HI18" s="24"/>
      <c r="HJ18" s="24"/>
      <c r="HK18" s="24"/>
      <c r="HL18" s="24"/>
      <c r="HM18" s="24"/>
      <c r="HN18" s="24"/>
      <c r="HO18" s="24"/>
      <c r="HP18" s="24"/>
      <c r="HQ18" s="24"/>
      <c r="HR18" s="24"/>
      <c r="HS18" s="24"/>
      <c r="HT18" s="24"/>
      <c r="HU18" s="24"/>
      <c r="HV18" s="24"/>
      <c r="HW18" s="24"/>
      <c r="HX18" s="24"/>
      <c r="HY18" s="24"/>
      <c r="HZ18" s="24"/>
      <c r="IA18" s="24"/>
      <c r="IB18" s="24"/>
      <c r="IC18" s="24"/>
      <c r="ID18" s="24"/>
      <c r="IE18" s="24"/>
      <c r="IF18" s="24"/>
      <c r="IG18" s="24"/>
      <c r="IH18" s="24"/>
      <c r="II18" s="24"/>
      <c r="IJ18" s="24"/>
      <c r="IK18" s="24"/>
      <c r="IL18" s="24"/>
      <c r="IM18" s="24"/>
      <c r="IN18" s="24"/>
      <c r="IO18" s="24"/>
      <c r="IP18" s="24"/>
      <c r="IQ18" s="24"/>
      <c r="IR18" s="24"/>
      <c r="IS18" s="24"/>
      <c r="IT18" s="24"/>
      <c r="IU18" s="24"/>
      <c r="IV18" s="24"/>
      <c r="IW18" s="24"/>
      <c r="IX18" s="24"/>
      <c r="IY18" s="24"/>
      <c r="IZ18" s="24"/>
      <c r="JA18" s="24"/>
      <c r="JB18" s="24"/>
      <c r="JC18" s="24"/>
      <c r="JD18" s="24"/>
      <c r="JE18" s="24"/>
      <c r="JF18" s="24"/>
      <c r="JG18" s="24"/>
      <c r="JH18" s="24"/>
      <c r="JI18" s="24"/>
      <c r="JJ18" s="24"/>
      <c r="JK18" s="24"/>
    </row>
    <row r="19" spans="1:271" s="18" customFormat="1" ht="12" hidden="1" customHeight="1" outlineLevel="1">
      <c r="A19" s="766"/>
      <c r="B19" s="767" t="s">
        <v>495</v>
      </c>
      <c r="C19" s="735"/>
      <c r="D19" s="780"/>
      <c r="E19" s="780"/>
      <c r="F19" s="780"/>
      <c r="G19" s="768"/>
      <c r="H19" s="769"/>
      <c r="I19" s="780"/>
      <c r="J19" s="780"/>
      <c r="K19" s="780"/>
      <c r="L19" s="768"/>
      <c r="M19" s="769"/>
      <c r="N19" s="780"/>
      <c r="O19" s="780"/>
      <c r="P19" s="780"/>
      <c r="Q19" s="768"/>
      <c r="R19" s="769"/>
      <c r="S19" s="780"/>
      <c r="T19" s="780"/>
      <c r="U19" s="780"/>
      <c r="V19" s="768"/>
      <c r="W19" s="769"/>
      <c r="X19" s="780"/>
      <c r="Y19" s="780"/>
      <c r="Z19" s="780"/>
      <c r="AA19" s="768"/>
      <c r="AB19" s="769"/>
      <c r="AC19" s="780"/>
      <c r="AD19" s="780"/>
      <c r="AE19" s="780"/>
      <c r="AF19" s="768"/>
      <c r="AG19" s="769"/>
      <c r="AH19" s="780"/>
      <c r="AI19" s="780"/>
      <c r="AJ19" s="780"/>
      <c r="AK19" s="768"/>
      <c r="AL19" s="769"/>
      <c r="AM19" s="780"/>
      <c r="AN19" s="780"/>
      <c r="AO19" s="780"/>
      <c r="AP19" s="768"/>
      <c r="AQ19" s="769"/>
      <c r="AR19" s="780"/>
      <c r="AS19" s="780"/>
      <c r="AT19" s="780"/>
      <c r="AU19" s="768"/>
      <c r="AV19" s="769"/>
      <c r="AW19" s="780"/>
      <c r="AX19" s="780"/>
      <c r="AY19" s="780"/>
      <c r="AZ19" s="768"/>
      <c r="BA19" s="780"/>
      <c r="BB19" s="780"/>
      <c r="BC19" s="780"/>
      <c r="BD19" s="768"/>
      <c r="BE19" s="769"/>
      <c r="BF19" s="780"/>
      <c r="BG19" s="780"/>
      <c r="BH19" s="780"/>
      <c r="BI19" s="768"/>
      <c r="BJ19" s="769"/>
      <c r="BK19" s="780"/>
      <c r="BL19" s="780"/>
      <c r="BM19" s="780"/>
      <c r="BN19" s="768"/>
      <c r="BO19" s="769"/>
      <c r="BP19" s="780"/>
      <c r="BQ19" s="780"/>
      <c r="BR19" s="780"/>
      <c r="BS19" s="768"/>
      <c r="BT19" s="769"/>
      <c r="BU19" s="780"/>
      <c r="BV19" s="780"/>
      <c r="BW19" s="780"/>
      <c r="BX19" s="768"/>
      <c r="BY19" s="769"/>
      <c r="BZ19" s="780"/>
      <c r="CA19" s="780"/>
      <c r="CB19" s="780"/>
      <c r="CC19" s="768"/>
      <c r="CD19" s="769"/>
      <c r="CE19" s="780"/>
      <c r="CF19" s="780"/>
      <c r="CG19" s="780"/>
      <c r="CH19" s="768"/>
      <c r="CI19" s="769"/>
      <c r="CJ19" s="780"/>
      <c r="CK19" s="780"/>
      <c r="CL19" s="780"/>
      <c r="CM19" s="768"/>
      <c r="CN19" s="769"/>
      <c r="CO19" s="780"/>
      <c r="CP19" s="780"/>
      <c r="CQ19" s="780"/>
      <c r="CR19" s="768"/>
      <c r="CS19" s="769"/>
      <c r="CT19" s="780"/>
      <c r="CU19" s="780"/>
      <c r="CV19" s="780"/>
      <c r="CW19" s="768"/>
      <c r="CX19" s="769"/>
      <c r="CY19" s="780"/>
      <c r="CZ19" s="780"/>
      <c r="DA19" s="780"/>
      <c r="DB19" s="768">
        <f>CHOOSE(Scenarios!$C$27,Scenarios!AB30,Scenarios!AB31,Scenarios!AB32)</f>
        <v>0</v>
      </c>
      <c r="DC19" s="769"/>
      <c r="DD19" s="780">
        <v>0</v>
      </c>
      <c r="DE19" s="780">
        <v>0</v>
      </c>
      <c r="DF19" s="780">
        <v>0</v>
      </c>
      <c r="DG19" s="768">
        <v>0</v>
      </c>
      <c r="DH19" s="769">
        <f t="shared" si="16"/>
        <v>0</v>
      </c>
      <c r="DI19" s="780">
        <v>0</v>
      </c>
      <c r="DJ19" s="780">
        <v>0</v>
      </c>
      <c r="DK19" s="780">
        <v>0</v>
      </c>
      <c r="DL19" s="768">
        <v>0</v>
      </c>
      <c r="DM19" s="769">
        <f t="shared" si="17"/>
        <v>0</v>
      </c>
      <c r="DN19" s="780">
        <v>0</v>
      </c>
      <c r="DO19" s="780"/>
      <c r="DP19" s="780"/>
      <c r="DQ19" s="768"/>
      <c r="DR19" s="769"/>
      <c r="DS19" s="780"/>
      <c r="DT19" s="780"/>
      <c r="DU19" s="780"/>
      <c r="DV19" s="768"/>
      <c r="DW19" s="769"/>
      <c r="DX19" s="770"/>
      <c r="DY19" s="770"/>
      <c r="DZ19" s="770"/>
      <c r="EA19" s="770"/>
      <c r="EB19" s="769"/>
      <c r="EC19" s="770"/>
      <c r="ED19" s="770"/>
      <c r="EE19" s="770"/>
      <c r="EF19" s="770"/>
      <c r="EG19" s="769"/>
      <c r="EH19" s="770"/>
      <c r="EI19" s="770"/>
      <c r="EJ19" s="770"/>
      <c r="EK19" s="770"/>
      <c r="EL19" s="769"/>
      <c r="EM19" s="21"/>
      <c r="EN19"/>
      <c r="EO19"/>
      <c r="EP19"/>
      <c r="EQ19"/>
      <c r="ER19"/>
      <c r="ES19" s="23"/>
      <c r="ET19"/>
      <c r="EU19" s="23"/>
      <c r="EV19" s="23"/>
      <c r="EW19" s="23"/>
      <c r="EX19" s="24"/>
      <c r="EY19" s="24"/>
      <c r="EZ19" s="24"/>
      <c r="FA19" s="24"/>
      <c r="FB19" s="24"/>
      <c r="FC19" s="24"/>
      <c r="FD19" s="24"/>
      <c r="FE19" s="24"/>
      <c r="FF19" s="24"/>
      <c r="FG19" s="24"/>
      <c r="FH19" s="24"/>
      <c r="FI19" s="24"/>
      <c r="FJ19" s="24"/>
      <c r="FK19" s="24"/>
      <c r="FL19" s="24"/>
      <c r="FM19" s="24"/>
      <c r="FN19" s="24"/>
      <c r="FO19" s="24"/>
      <c r="FP19" s="24"/>
      <c r="FQ19" s="24"/>
      <c r="FR19" s="24"/>
      <c r="FS19" s="24"/>
      <c r="FT19" s="24"/>
      <c r="FU19" s="24"/>
      <c r="FV19" s="24"/>
      <c r="FW19" s="24"/>
      <c r="FX19" s="24"/>
      <c r="FY19" s="24"/>
      <c r="FZ19" s="24"/>
      <c r="GA19" s="24"/>
      <c r="GB19" s="24"/>
      <c r="GC19" s="24"/>
      <c r="GD19" s="24"/>
      <c r="GE19" s="24"/>
      <c r="GF19" s="24"/>
      <c r="GG19" s="24"/>
      <c r="GH19" s="24"/>
      <c r="GI19" s="24"/>
      <c r="GJ19" s="24"/>
      <c r="GK19" s="24"/>
      <c r="GL19" s="24"/>
      <c r="GM19" s="24"/>
      <c r="GN19" s="24"/>
      <c r="GO19" s="24"/>
      <c r="GP19" s="24"/>
      <c r="GQ19" s="24"/>
      <c r="GR19" s="24"/>
      <c r="GS19" s="24"/>
      <c r="GT19" s="24"/>
      <c r="GU19" s="24"/>
      <c r="GV19" s="24"/>
      <c r="GW19" s="24"/>
      <c r="GX19" s="24"/>
      <c r="GY19" s="24"/>
      <c r="GZ19" s="24"/>
      <c r="HA19" s="24"/>
      <c r="HB19" s="24"/>
      <c r="HC19" s="24"/>
      <c r="HD19" s="24"/>
      <c r="HE19" s="24"/>
      <c r="HF19" s="24"/>
      <c r="HG19" s="24"/>
      <c r="HH19" s="24"/>
      <c r="HI19" s="24"/>
      <c r="HJ19" s="24"/>
      <c r="HK19" s="24"/>
      <c r="HL19" s="24"/>
      <c r="HM19" s="24"/>
      <c r="HN19" s="24"/>
      <c r="HO19" s="24"/>
      <c r="HP19" s="24"/>
      <c r="HQ19" s="24"/>
      <c r="HR19" s="24"/>
      <c r="HS19" s="24"/>
      <c r="HT19" s="24"/>
      <c r="HU19" s="24"/>
      <c r="HV19" s="24"/>
      <c r="HW19" s="24"/>
      <c r="HX19" s="24"/>
      <c r="HY19" s="24"/>
      <c r="HZ19" s="24"/>
      <c r="IA19" s="24"/>
      <c r="IB19" s="24"/>
      <c r="IC19" s="24"/>
      <c r="ID19" s="24"/>
      <c r="IE19" s="24"/>
      <c r="IF19" s="24"/>
      <c r="IG19" s="24"/>
      <c r="IH19" s="24"/>
      <c r="II19" s="24"/>
      <c r="IJ19" s="24"/>
      <c r="IK19" s="24"/>
      <c r="IL19" s="24"/>
      <c r="IM19" s="24"/>
      <c r="IN19" s="24"/>
      <c r="IO19" s="24"/>
      <c r="IP19" s="24"/>
      <c r="IQ19" s="24"/>
      <c r="IR19" s="24"/>
      <c r="IS19" s="24"/>
      <c r="IT19" s="24"/>
      <c r="IU19" s="24"/>
      <c r="IV19" s="24"/>
      <c r="IW19" s="24"/>
      <c r="IX19" s="24"/>
      <c r="IY19" s="24"/>
      <c r="IZ19" s="24"/>
      <c r="JA19" s="24"/>
      <c r="JB19" s="24"/>
      <c r="JC19" s="24"/>
      <c r="JD19" s="24"/>
      <c r="JE19" s="24"/>
      <c r="JF19" s="24"/>
      <c r="JG19" s="24"/>
      <c r="JH19" s="24"/>
      <c r="JI19" s="24"/>
      <c r="JJ19" s="24"/>
      <c r="JK19" s="24"/>
    </row>
    <row r="20" spans="1:271" s="18" customFormat="1" ht="12" customHeight="1" collapsed="1">
      <c r="A20" s="766"/>
      <c r="B20" s="767" t="s">
        <v>341</v>
      </c>
      <c r="C20" s="737"/>
      <c r="D20" s="768">
        <v>0</v>
      </c>
      <c r="E20" s="768">
        <v>0</v>
      </c>
      <c r="F20" s="768">
        <v>0</v>
      </c>
      <c r="G20" s="768">
        <f>37-SUM(D20:F20)</f>
        <v>37</v>
      </c>
      <c r="H20" s="769">
        <f>SUM(D20:G20)</f>
        <v>37</v>
      </c>
      <c r="I20" s="768">
        <v>0</v>
      </c>
      <c r="J20" s="768">
        <v>0</v>
      </c>
      <c r="K20" s="768">
        <v>0</v>
      </c>
      <c r="L20" s="768">
        <f>86-SUM(I20:K20)</f>
        <v>86</v>
      </c>
      <c r="M20" s="769">
        <f>SUM(I20:L20)</f>
        <v>86</v>
      </c>
      <c r="N20" s="768">
        <v>0</v>
      </c>
      <c r="O20" s="768">
        <v>0</v>
      </c>
      <c r="P20" s="768">
        <v>272.2</v>
      </c>
      <c r="Q20" s="768">
        <f>740-SUM(N20:P20)</f>
        <v>467.8</v>
      </c>
      <c r="R20" s="769">
        <f>SUM(N20:Q20)</f>
        <v>740</v>
      </c>
      <c r="S20" s="768">
        <v>0</v>
      </c>
      <c r="T20" s="768">
        <v>0</v>
      </c>
      <c r="U20" s="768">
        <v>0</v>
      </c>
      <c r="V20" s="768">
        <f>221-SUM(S20:U20)</f>
        <v>221</v>
      </c>
      <c r="W20" s="769">
        <f>SUM(S20:V20)</f>
        <v>221</v>
      </c>
      <c r="X20" s="768">
        <v>0</v>
      </c>
      <c r="Y20" s="768">
        <v>0</v>
      </c>
      <c r="Z20" s="768">
        <v>0</v>
      </c>
      <c r="AA20" s="768">
        <f>363-SUM(X20:Z20)</f>
        <v>363</v>
      </c>
      <c r="AB20" s="769">
        <f>SUM(X20:AA20)</f>
        <v>363</v>
      </c>
      <c r="AC20" s="768">
        <v>0</v>
      </c>
      <c r="AD20" s="768">
        <v>0</v>
      </c>
      <c r="AE20" s="768">
        <v>232</v>
      </c>
      <c r="AF20" s="768">
        <f>355-SUM(AC20:AE20)</f>
        <v>123</v>
      </c>
      <c r="AG20" s="769">
        <f>SUM(AC20:AF20)</f>
        <v>355</v>
      </c>
      <c r="AH20" s="768">
        <v>0</v>
      </c>
      <c r="AI20" s="768">
        <v>0</v>
      </c>
      <c r="AJ20" s="768">
        <v>0</v>
      </c>
      <c r="AK20" s="768">
        <f>143-SUM(AH20:AJ20)</f>
        <v>143</v>
      </c>
      <c r="AL20" s="769">
        <f>SUM(AH20:AK20)</f>
        <v>143</v>
      </c>
      <c r="AM20" s="768">
        <v>0</v>
      </c>
      <c r="AN20" s="768">
        <v>99</v>
      </c>
      <c r="AO20" s="768">
        <v>0</v>
      </c>
      <c r="AP20" s="768">
        <f>99-SUM(AM20:AO20)</f>
        <v>0</v>
      </c>
      <c r="AQ20" s="769">
        <f>SUM(AM20:AP20)</f>
        <v>99</v>
      </c>
      <c r="AR20" s="768">
        <v>0</v>
      </c>
      <c r="AS20" s="768">
        <v>64</v>
      </c>
      <c r="AT20" s="768">
        <f>383+15</f>
        <v>398</v>
      </c>
      <c r="AU20" s="768"/>
      <c r="AV20" s="769">
        <v>0</v>
      </c>
      <c r="AW20" s="768">
        <v>0</v>
      </c>
      <c r="AX20" s="768">
        <v>0</v>
      </c>
      <c r="AY20" s="768">
        <v>316</v>
      </c>
      <c r="AZ20" s="768">
        <f>SUM(AV20:AY20)</f>
        <v>316</v>
      </c>
      <c r="BA20" s="768">
        <f>187+9</f>
        <v>196</v>
      </c>
      <c r="BB20" s="768">
        <f>198+77</f>
        <v>275</v>
      </c>
      <c r="BC20" s="768">
        <f>1+8</f>
        <v>9</v>
      </c>
      <c r="BD20" s="768">
        <v>1447</v>
      </c>
      <c r="BE20" s="769">
        <f>SUM(BA20:BD20)</f>
        <v>1927</v>
      </c>
      <c r="BF20" s="768">
        <f>3+57</f>
        <v>60</v>
      </c>
      <c r="BG20" s="768">
        <f>21+22</f>
        <v>43</v>
      </c>
      <c r="BH20" s="768">
        <v>2</v>
      </c>
      <c r="BI20" s="768">
        <v>1240</v>
      </c>
      <c r="BJ20" s="769">
        <f>SUM(BF20:BI20)</f>
        <v>1345</v>
      </c>
      <c r="BK20" s="768">
        <f>9+15</f>
        <v>24</v>
      </c>
      <c r="BL20" s="768">
        <v>-4</v>
      </c>
      <c r="BM20" s="768">
        <v>205</v>
      </c>
      <c r="BN20" s="768">
        <v>56</v>
      </c>
      <c r="BO20" s="769">
        <f>SUM(BK20:BN20)</f>
        <v>281</v>
      </c>
      <c r="BP20" s="768">
        <v>1</v>
      </c>
      <c r="BQ20" s="768">
        <v>27</v>
      </c>
      <c r="BR20" s="768">
        <v>1</v>
      </c>
      <c r="BS20" s="768">
        <v>323</v>
      </c>
      <c r="BT20" s="769">
        <f>SUM(BP20:BS20)</f>
        <v>352</v>
      </c>
      <c r="BU20" s="768">
        <v>3</v>
      </c>
      <c r="BV20" s="768">
        <v>10</v>
      </c>
      <c r="BW20" s="768">
        <v>13</v>
      </c>
      <c r="BX20" s="768">
        <v>36</v>
      </c>
      <c r="BY20" s="769">
        <f>SUM(BU20:BX20)</f>
        <v>62</v>
      </c>
      <c r="BZ20" s="768">
        <v>1</v>
      </c>
      <c r="CA20" s="768">
        <v>2</v>
      </c>
      <c r="CB20" s="768">
        <v>1</v>
      </c>
      <c r="CC20" s="768">
        <v>14</v>
      </c>
      <c r="CD20" s="769">
        <f>SUM(BZ20:CC20)</f>
        <v>18</v>
      </c>
      <c r="CE20" s="768">
        <v>5</v>
      </c>
      <c r="CF20" s="768">
        <v>1</v>
      </c>
      <c r="CG20" s="768">
        <v>7</v>
      </c>
      <c r="CH20" s="768">
        <v>14</v>
      </c>
      <c r="CI20" s="769">
        <f>SUM(CE20:CH20)</f>
        <v>27</v>
      </c>
      <c r="CJ20" s="768">
        <v>0</v>
      </c>
      <c r="CK20" s="768">
        <v>-2</v>
      </c>
      <c r="CL20" s="768">
        <v>3</v>
      </c>
      <c r="CM20" s="768">
        <v>9</v>
      </c>
      <c r="CN20" s="769">
        <f>SUM(CJ20:CM20)</f>
        <v>10</v>
      </c>
      <c r="CO20" s="768">
        <v>8</v>
      </c>
      <c r="CP20" s="768">
        <v>2</v>
      </c>
      <c r="CQ20" s="768">
        <v>8</v>
      </c>
      <c r="CR20" s="768">
        <v>2</v>
      </c>
      <c r="CS20" s="769">
        <f>SUM(CO20:CR20)</f>
        <v>20</v>
      </c>
      <c r="CT20" s="768">
        <v>3</v>
      </c>
      <c r="CU20" s="768">
        <v>3</v>
      </c>
      <c r="CV20" s="768">
        <v>6</v>
      </c>
      <c r="CW20" s="768">
        <v>7</v>
      </c>
      <c r="CX20" s="769">
        <f>SUM(CT20:CW20)</f>
        <v>19</v>
      </c>
      <c r="CY20" s="768">
        <v>14</v>
      </c>
      <c r="CZ20" s="768">
        <v>11</v>
      </c>
      <c r="DA20" s="768">
        <v>21</v>
      </c>
      <c r="DB20" s="768">
        <v>58</v>
      </c>
      <c r="DC20" s="769">
        <f>SUM(CY20:DB20)</f>
        <v>104</v>
      </c>
      <c r="DD20" s="768">
        <v>21</v>
      </c>
      <c r="DE20" s="768">
        <v>32</v>
      </c>
      <c r="DF20" s="768">
        <v>37</v>
      </c>
      <c r="DG20" s="768">
        <v>63</v>
      </c>
      <c r="DH20" s="769">
        <f t="shared" si="16"/>
        <v>153</v>
      </c>
      <c r="DI20" s="768">
        <v>29</v>
      </c>
      <c r="DJ20" s="768">
        <v>193</v>
      </c>
      <c r="DK20" s="768">
        <v>44</v>
      </c>
      <c r="DL20" s="768">
        <v>52</v>
      </c>
      <c r="DM20" s="769">
        <f t="shared" si="17"/>
        <v>318</v>
      </c>
      <c r="DN20" s="768">
        <v>28</v>
      </c>
      <c r="DO20" s="768">
        <v>22</v>
      </c>
      <c r="DP20" s="768">
        <v>31</v>
      </c>
      <c r="DQ20" s="768">
        <v>121</v>
      </c>
      <c r="DR20" s="769">
        <f t="shared" si="22"/>
        <v>202</v>
      </c>
      <c r="DS20" s="768">
        <v>33</v>
      </c>
      <c r="DT20" s="768">
        <v>41</v>
      </c>
      <c r="DU20" s="768">
        <v>329</v>
      </c>
      <c r="DV20" s="768">
        <v>138</v>
      </c>
      <c r="DW20" s="769">
        <f t="shared" si="18"/>
        <v>541</v>
      </c>
      <c r="DX20" s="768">
        <v>0</v>
      </c>
      <c r="DY20" s="768">
        <v>0</v>
      </c>
      <c r="DZ20" s="768">
        <v>0</v>
      </c>
      <c r="EA20" s="768">
        <v>0</v>
      </c>
      <c r="EB20" s="769">
        <f t="shared" si="19"/>
        <v>0</v>
      </c>
      <c r="EC20" s="768">
        <v>0</v>
      </c>
      <c r="ED20" s="768">
        <v>0</v>
      </c>
      <c r="EE20" s="768">
        <v>0</v>
      </c>
      <c r="EF20" s="768">
        <v>0</v>
      </c>
      <c r="EG20" s="769">
        <f t="shared" si="20"/>
        <v>0</v>
      </c>
      <c r="EH20" s="768">
        <v>0</v>
      </c>
      <c r="EI20" s="768">
        <v>0</v>
      </c>
      <c r="EJ20" s="768">
        <v>0</v>
      </c>
      <c r="EK20" s="768">
        <v>0</v>
      </c>
      <c r="EL20" s="769">
        <f t="shared" ref="EL20:EL24" si="23">SUM(EH20:EK20)</f>
        <v>0</v>
      </c>
      <c r="EM20" s="21"/>
      <c r="EN20"/>
      <c r="EO20"/>
      <c r="EP20"/>
      <c r="EQ20"/>
      <c r="ER20"/>
      <c r="ES20" s="23"/>
      <c r="ET20"/>
      <c r="EU20" s="23"/>
      <c r="EV20" s="23"/>
      <c r="EW20" s="23"/>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row>
    <row r="21" spans="1:271" s="18" customFormat="1">
      <c r="A21" s="766"/>
      <c r="B21" s="767" t="s">
        <v>342</v>
      </c>
      <c r="C21" s="737"/>
      <c r="D21" s="768">
        <v>0</v>
      </c>
      <c r="E21" s="768">
        <v>0</v>
      </c>
      <c r="F21" s="768">
        <v>0</v>
      </c>
      <c r="G21" s="768">
        <v>0</v>
      </c>
      <c r="H21" s="769">
        <f>SUM(D21:G21)</f>
        <v>0</v>
      </c>
      <c r="I21" s="768">
        <v>0</v>
      </c>
      <c r="J21" s="768">
        <v>0</v>
      </c>
      <c r="K21" s="768">
        <v>0</v>
      </c>
      <c r="L21" s="768">
        <v>0</v>
      </c>
      <c r="M21" s="769">
        <f>SUM(I21:L21)</f>
        <v>0</v>
      </c>
      <c r="N21" s="768">
        <v>0</v>
      </c>
      <c r="O21" s="768">
        <v>0</v>
      </c>
      <c r="P21" s="768">
        <v>0</v>
      </c>
      <c r="Q21" s="768">
        <v>0</v>
      </c>
      <c r="R21" s="769">
        <f>SUM(N21:Q21)</f>
        <v>0</v>
      </c>
      <c r="S21" s="768">
        <v>0</v>
      </c>
      <c r="T21" s="768">
        <v>0</v>
      </c>
      <c r="U21" s="768">
        <v>0</v>
      </c>
      <c r="V21" s="768">
        <v>0</v>
      </c>
      <c r="W21" s="769">
        <f>SUM(S21:V21)</f>
        <v>0</v>
      </c>
      <c r="X21" s="768">
        <v>0</v>
      </c>
      <c r="Y21" s="768">
        <v>0</v>
      </c>
      <c r="Z21" s="768">
        <v>0</v>
      </c>
      <c r="AA21" s="768">
        <v>0</v>
      </c>
      <c r="AB21" s="769">
        <f>SUM(X21:AA21)</f>
        <v>0</v>
      </c>
      <c r="AC21" s="768">
        <v>0</v>
      </c>
      <c r="AD21" s="768">
        <v>0</v>
      </c>
      <c r="AE21" s="768">
        <v>0</v>
      </c>
      <c r="AF21" s="768">
        <v>0</v>
      </c>
      <c r="AG21" s="769">
        <f>SUM(AC21:AF21)</f>
        <v>0</v>
      </c>
      <c r="AH21" s="768">
        <v>0</v>
      </c>
      <c r="AI21" s="768">
        <v>0</v>
      </c>
      <c r="AJ21" s="768">
        <v>0</v>
      </c>
      <c r="AK21" s="768">
        <v>0</v>
      </c>
      <c r="AL21" s="769">
        <f>SUM(AH21:AK21)</f>
        <v>0</v>
      </c>
      <c r="AM21" s="768">
        <v>0</v>
      </c>
      <c r="AN21" s="768">
        <v>0</v>
      </c>
      <c r="AO21" s="768">
        <v>0</v>
      </c>
      <c r="AP21" s="768">
        <v>0</v>
      </c>
      <c r="AQ21" s="769">
        <f>SUM(AM21:AP21)</f>
        <v>0</v>
      </c>
      <c r="AR21" s="768">
        <v>0</v>
      </c>
      <c r="AS21" s="768">
        <v>0</v>
      </c>
      <c r="AT21" s="768">
        <v>4</v>
      </c>
      <c r="AU21" s="768"/>
      <c r="AV21" s="769">
        <v>0</v>
      </c>
      <c r="AW21" s="768">
        <v>0</v>
      </c>
      <c r="AX21" s="768">
        <v>0</v>
      </c>
      <c r="AY21" s="768">
        <v>0</v>
      </c>
      <c r="AZ21" s="768">
        <f>SUM(AV21:AY21)</f>
        <v>0</v>
      </c>
      <c r="BA21" s="768">
        <v>6</v>
      </c>
      <c r="BB21" s="768">
        <v>68</v>
      </c>
      <c r="BC21" s="768">
        <v>253</v>
      </c>
      <c r="BD21" s="768">
        <v>-45</v>
      </c>
      <c r="BE21" s="769">
        <f>SUM(BA21:BD21)</f>
        <v>282</v>
      </c>
      <c r="BF21" s="768">
        <v>10</v>
      </c>
      <c r="BG21" s="768">
        <v>9</v>
      </c>
      <c r="BH21" s="768">
        <v>10</v>
      </c>
      <c r="BI21" s="768">
        <v>45</v>
      </c>
      <c r="BJ21" s="769">
        <f>SUM(BF21:BI21)</f>
        <v>74</v>
      </c>
      <c r="BK21" s="768">
        <v>8</v>
      </c>
      <c r="BL21" s="768">
        <v>11</v>
      </c>
      <c r="BM21" s="768">
        <v>28</v>
      </c>
      <c r="BN21" s="768">
        <v>165</v>
      </c>
      <c r="BO21" s="769">
        <f>SUM(BK21:BN21)</f>
        <v>212</v>
      </c>
      <c r="BP21" s="768">
        <v>16</v>
      </c>
      <c r="BQ21" s="768">
        <v>728</v>
      </c>
      <c r="BR21" s="768">
        <v>7</v>
      </c>
      <c r="BS21" s="768">
        <v>15</v>
      </c>
      <c r="BT21" s="769">
        <f>SUM(BP21:BS21)</f>
        <v>766</v>
      </c>
      <c r="BU21" s="768">
        <v>-1</v>
      </c>
      <c r="BV21" s="768">
        <v>-1</v>
      </c>
      <c r="BW21" s="768">
        <v>3</v>
      </c>
      <c r="BX21" s="768">
        <v>12</v>
      </c>
      <c r="BY21" s="769">
        <f>SUM(BU21:BX21)</f>
        <v>13</v>
      </c>
      <c r="BZ21" s="768">
        <v>47</v>
      </c>
      <c r="CA21" s="768">
        <v>3</v>
      </c>
      <c r="CB21" s="768">
        <v>-5</v>
      </c>
      <c r="CC21" s="768">
        <v>-4</v>
      </c>
      <c r="CD21" s="769">
        <f>SUM(BZ21:CC21)</f>
        <v>41</v>
      </c>
      <c r="CE21" s="768">
        <v>1</v>
      </c>
      <c r="CF21" s="768">
        <v>9</v>
      </c>
      <c r="CG21" s="768">
        <v>3</v>
      </c>
      <c r="CH21" s="768">
        <v>18</v>
      </c>
      <c r="CI21" s="769">
        <f>SUM(CE21:CH21)</f>
        <v>31</v>
      </c>
      <c r="CJ21" s="768">
        <v>2</v>
      </c>
      <c r="CK21" s="768">
        <v>2</v>
      </c>
      <c r="CL21" s="768">
        <v>2</v>
      </c>
      <c r="CM21" s="768">
        <v>6</v>
      </c>
      <c r="CN21" s="769">
        <f>SUM(CJ21:CM21)</f>
        <v>12</v>
      </c>
      <c r="CO21" s="768">
        <v>11</v>
      </c>
      <c r="CP21" s="768">
        <v>8</v>
      </c>
      <c r="CQ21" s="768">
        <v>5</v>
      </c>
      <c r="CR21" s="768">
        <v>31</v>
      </c>
      <c r="CS21" s="769">
        <f>SUM(CO21:CR21)</f>
        <v>55</v>
      </c>
      <c r="CT21" s="768">
        <v>2</v>
      </c>
      <c r="CU21" s="768">
        <v>1</v>
      </c>
      <c r="CV21" s="768">
        <v>0</v>
      </c>
      <c r="CW21" s="768">
        <v>2</v>
      </c>
      <c r="CX21" s="769">
        <f>SUM(CT21:CW21)</f>
        <v>5</v>
      </c>
      <c r="CY21" s="768">
        <v>0</v>
      </c>
      <c r="CZ21" s="768">
        <v>2</v>
      </c>
      <c r="DA21" s="768">
        <v>0</v>
      </c>
      <c r="DB21" s="768">
        <v>28</v>
      </c>
      <c r="DC21" s="769">
        <f>SUM(CY21:DB21)</f>
        <v>30</v>
      </c>
      <c r="DD21" s="768">
        <v>3</v>
      </c>
      <c r="DE21" s="768">
        <v>12</v>
      </c>
      <c r="DF21" s="768">
        <v>4</v>
      </c>
      <c r="DG21" s="768">
        <v>6</v>
      </c>
      <c r="DH21" s="769">
        <f t="shared" si="16"/>
        <v>25</v>
      </c>
      <c r="DI21" s="768">
        <v>3</v>
      </c>
      <c r="DJ21" s="768">
        <v>14</v>
      </c>
      <c r="DK21" s="768">
        <v>50</v>
      </c>
      <c r="DL21" s="768">
        <v>224</v>
      </c>
      <c r="DM21" s="769">
        <f t="shared" si="17"/>
        <v>291</v>
      </c>
      <c r="DN21" s="768">
        <v>173</v>
      </c>
      <c r="DO21" s="768">
        <v>114</v>
      </c>
      <c r="DP21" s="768">
        <v>4</v>
      </c>
      <c r="DQ21" s="768">
        <v>2</v>
      </c>
      <c r="DR21" s="769">
        <f t="shared" si="22"/>
        <v>293</v>
      </c>
      <c r="DS21" s="768">
        <v>5</v>
      </c>
      <c r="DT21" s="768">
        <v>1</v>
      </c>
      <c r="DU21" s="768">
        <v>6</v>
      </c>
      <c r="DV21" s="768">
        <v>11</v>
      </c>
      <c r="DW21" s="769">
        <f t="shared" si="18"/>
        <v>23</v>
      </c>
      <c r="DX21" s="768">
        <v>0</v>
      </c>
      <c r="DY21" s="768">
        <v>0</v>
      </c>
      <c r="DZ21" s="768">
        <v>0</v>
      </c>
      <c r="EA21" s="768">
        <v>0</v>
      </c>
      <c r="EB21" s="769">
        <f t="shared" si="19"/>
        <v>0</v>
      </c>
      <c r="EC21" s="768">
        <v>0</v>
      </c>
      <c r="ED21" s="768">
        <v>0</v>
      </c>
      <c r="EE21" s="768">
        <v>0</v>
      </c>
      <c r="EF21" s="768">
        <v>0</v>
      </c>
      <c r="EG21" s="769">
        <f t="shared" si="20"/>
        <v>0</v>
      </c>
      <c r="EH21" s="768">
        <v>0</v>
      </c>
      <c r="EI21" s="768">
        <v>0</v>
      </c>
      <c r="EJ21" s="768">
        <v>0</v>
      </c>
      <c r="EK21" s="768">
        <v>0</v>
      </c>
      <c r="EL21" s="769">
        <f t="shared" si="23"/>
        <v>0</v>
      </c>
      <c r="EM21" s="21"/>
      <c r="EN21"/>
      <c r="EO21"/>
      <c r="EP21"/>
      <c r="EQ21"/>
      <c r="ER21"/>
      <c r="ES21" s="23"/>
      <c r="ET21"/>
      <c r="EU21" s="23"/>
      <c r="EV21" s="23"/>
      <c r="EW21" s="23"/>
      <c r="EX21" s="24"/>
      <c r="EY21" s="24"/>
      <c r="EZ21" s="24"/>
      <c r="FA21" s="24"/>
      <c r="FB21" s="24"/>
      <c r="FC21" s="24"/>
      <c r="FD21" s="24"/>
      <c r="FE21" s="24"/>
      <c r="FF21" s="24"/>
      <c r="FG21" s="24"/>
      <c r="FH21" s="24"/>
      <c r="FI21" s="24"/>
      <c r="FJ21" s="24"/>
      <c r="FK21" s="24"/>
      <c r="FL21" s="24"/>
      <c r="FM21" s="24"/>
      <c r="FN21" s="24"/>
      <c r="FO21" s="24"/>
      <c r="FP21" s="24"/>
      <c r="FQ21" s="24"/>
      <c r="FR21" s="24"/>
      <c r="FS21" s="24"/>
      <c r="FT21" s="24"/>
      <c r="FU21" s="24"/>
      <c r="FV21" s="24"/>
      <c r="FW21" s="24"/>
      <c r="FX21" s="24"/>
      <c r="FY21" s="24"/>
      <c r="FZ21" s="24"/>
      <c r="GA21" s="24"/>
      <c r="GB21" s="24"/>
      <c r="GC21" s="24"/>
      <c r="GD21" s="24"/>
      <c r="GE21" s="24"/>
      <c r="GF21" s="24"/>
      <c r="GG21" s="24"/>
      <c r="GH21" s="24"/>
      <c r="GI21" s="24"/>
      <c r="GJ21" s="24"/>
      <c r="GK21" s="24"/>
      <c r="GL21" s="24"/>
      <c r="GM21" s="24"/>
      <c r="GN21" s="24"/>
      <c r="GO21" s="24"/>
      <c r="GP21" s="24"/>
      <c r="GQ21" s="24"/>
      <c r="GR21" s="24"/>
      <c r="GS21" s="24"/>
      <c r="GT21" s="24"/>
      <c r="GU21" s="24"/>
      <c r="GV21" s="24"/>
      <c r="GW21" s="24"/>
      <c r="GX21" s="24"/>
      <c r="GY21" s="24"/>
      <c r="GZ21" s="24"/>
      <c r="HA21" s="24"/>
      <c r="HB21" s="24"/>
      <c r="HC21" s="24"/>
      <c r="HD21" s="24"/>
      <c r="HE21" s="24"/>
      <c r="HF21" s="24"/>
      <c r="HG21" s="24"/>
      <c r="HH21" s="24"/>
      <c r="HI21" s="24"/>
      <c r="HJ21" s="24"/>
      <c r="HK21" s="24"/>
      <c r="HL21" s="24"/>
      <c r="HM21" s="24"/>
      <c r="HN21" s="24"/>
      <c r="HO21" s="24"/>
      <c r="HP21" s="24"/>
      <c r="HQ21" s="24"/>
      <c r="HR21" s="24"/>
      <c r="HS21" s="24"/>
      <c r="HT21" s="24"/>
      <c r="HU21" s="24"/>
      <c r="HV21" s="24"/>
      <c r="HW21" s="24"/>
      <c r="HX21" s="24"/>
      <c r="HY21" s="24"/>
      <c r="HZ21" s="24"/>
      <c r="IA21" s="24"/>
      <c r="IB21" s="24"/>
      <c r="IC21" s="24"/>
      <c r="ID21" s="24"/>
      <c r="IE21" s="24"/>
      <c r="IF21" s="24"/>
      <c r="IG21" s="24"/>
      <c r="IH21" s="24"/>
      <c r="II21" s="24"/>
      <c r="IJ21" s="24"/>
      <c r="IK21" s="24"/>
      <c r="IL21" s="24"/>
      <c r="IM21" s="24"/>
      <c r="IN21" s="24"/>
      <c r="IO21" s="24"/>
      <c r="IP21" s="24"/>
      <c r="IQ21" s="24"/>
      <c r="IR21" s="24"/>
      <c r="IS21" s="24"/>
      <c r="IT21" s="24"/>
      <c r="IU21" s="24"/>
      <c r="IV21" s="24"/>
      <c r="IW21" s="24"/>
      <c r="IX21" s="24"/>
      <c r="IY21" s="24"/>
      <c r="IZ21" s="24"/>
      <c r="JA21" s="24"/>
      <c r="JB21" s="24"/>
      <c r="JC21" s="24"/>
      <c r="JD21" s="24"/>
      <c r="JE21" s="24"/>
      <c r="JF21" s="24"/>
      <c r="JG21" s="24"/>
      <c r="JH21" s="24"/>
      <c r="JI21" s="24"/>
      <c r="JJ21" s="24"/>
      <c r="JK21" s="24"/>
    </row>
    <row r="22" spans="1:271" s="18" customFormat="1" hidden="1" outlineLevel="1">
      <c r="A22" s="766"/>
      <c r="B22" s="767" t="s">
        <v>343</v>
      </c>
      <c r="C22" s="737"/>
      <c r="D22" s="768">
        <v>0</v>
      </c>
      <c r="E22" s="768">
        <v>0</v>
      </c>
      <c r="F22" s="768">
        <v>0</v>
      </c>
      <c r="G22" s="768">
        <v>0</v>
      </c>
      <c r="H22" s="769">
        <f>SUM(D22:G22)</f>
        <v>0</v>
      </c>
      <c r="I22" s="768">
        <v>0</v>
      </c>
      <c r="J22" s="768">
        <v>0</v>
      </c>
      <c r="K22" s="768">
        <v>0</v>
      </c>
      <c r="L22" s="768">
        <v>0</v>
      </c>
      <c r="M22" s="769">
        <f>SUM(I22:L22)</f>
        <v>0</v>
      </c>
      <c r="N22" s="768">
        <v>0</v>
      </c>
      <c r="O22" s="768">
        <v>0</v>
      </c>
      <c r="P22" s="768">
        <v>0</v>
      </c>
      <c r="Q22" s="768">
        <v>0</v>
      </c>
      <c r="R22" s="769">
        <f>SUM(N22:Q22)</f>
        <v>0</v>
      </c>
      <c r="S22" s="768">
        <v>0</v>
      </c>
      <c r="T22" s="768">
        <v>0</v>
      </c>
      <c r="U22" s="768">
        <v>0</v>
      </c>
      <c r="V22" s="768">
        <v>0</v>
      </c>
      <c r="W22" s="769">
        <f>SUM(S22:V22)</f>
        <v>0</v>
      </c>
      <c r="X22" s="768">
        <v>0</v>
      </c>
      <c r="Y22" s="768">
        <v>0</v>
      </c>
      <c r="Z22" s="768">
        <v>0</v>
      </c>
      <c r="AA22" s="768">
        <v>0</v>
      </c>
      <c r="AB22" s="769">
        <f>SUM(X22:AA22)</f>
        <v>0</v>
      </c>
      <c r="AC22" s="768">
        <v>0</v>
      </c>
      <c r="AD22" s="768">
        <v>0</v>
      </c>
      <c r="AE22" s="768">
        <v>0</v>
      </c>
      <c r="AF22" s="768">
        <v>0</v>
      </c>
      <c r="AG22" s="769">
        <f>SUM(AC22:AF22)</f>
        <v>0</v>
      </c>
      <c r="AH22" s="768">
        <v>0</v>
      </c>
      <c r="AI22" s="768">
        <v>0</v>
      </c>
      <c r="AJ22" s="768">
        <v>0</v>
      </c>
      <c r="AK22" s="768">
        <v>0</v>
      </c>
      <c r="AL22" s="769">
        <f>SUM(AH22:AK22)</f>
        <v>0</v>
      </c>
      <c r="AM22" s="768">
        <v>0</v>
      </c>
      <c r="AN22" s="768">
        <v>0</v>
      </c>
      <c r="AO22" s="768">
        <v>0</v>
      </c>
      <c r="AP22" s="768">
        <v>0</v>
      </c>
      <c r="AQ22" s="769">
        <f>SUM(AM22:AP22)</f>
        <v>0</v>
      </c>
      <c r="AR22" s="768">
        <v>0</v>
      </c>
      <c r="AS22" s="768">
        <v>0</v>
      </c>
      <c r="AT22" s="768">
        <v>0</v>
      </c>
      <c r="AU22" s="768"/>
      <c r="AV22" s="769">
        <v>0</v>
      </c>
      <c r="AW22" s="768">
        <v>0</v>
      </c>
      <c r="AX22" s="768">
        <v>0</v>
      </c>
      <c r="AY22" s="768">
        <v>0</v>
      </c>
      <c r="AZ22" s="768">
        <f>SUM(AV22:AY22)</f>
        <v>0</v>
      </c>
      <c r="BA22" s="768">
        <v>0</v>
      </c>
      <c r="BB22" s="768">
        <v>0</v>
      </c>
      <c r="BC22" s="768">
        <v>0</v>
      </c>
      <c r="BD22" s="768">
        <v>0</v>
      </c>
      <c r="BE22" s="769">
        <f>SUM(BA22:BD22)</f>
        <v>0</v>
      </c>
      <c r="BF22" s="768">
        <v>0</v>
      </c>
      <c r="BG22" s="768">
        <v>0</v>
      </c>
      <c r="BH22" s="768">
        <v>0</v>
      </c>
      <c r="BI22" s="768">
        <v>0</v>
      </c>
      <c r="BJ22" s="769">
        <f>SUM(BF22:BI22)</f>
        <v>0</v>
      </c>
      <c r="BK22" s="768">
        <v>0</v>
      </c>
      <c r="BL22" s="768">
        <v>0</v>
      </c>
      <c r="BM22" s="768">
        <v>40</v>
      </c>
      <c r="BN22" s="768">
        <v>15</v>
      </c>
      <c r="BO22" s="769">
        <f>SUM(BK22:BN22)</f>
        <v>55</v>
      </c>
      <c r="BP22" s="768">
        <v>5</v>
      </c>
      <c r="BQ22" s="768">
        <v>-13</v>
      </c>
      <c r="BR22" s="768">
        <v>-4</v>
      </c>
      <c r="BS22" s="768">
        <v>0</v>
      </c>
      <c r="BT22" s="769">
        <f>SUM(BP22:BS22)</f>
        <v>-12</v>
      </c>
      <c r="BU22" s="768">
        <v>0</v>
      </c>
      <c r="BV22" s="768">
        <v>0</v>
      </c>
      <c r="BW22" s="768">
        <v>0</v>
      </c>
      <c r="BX22" s="768">
        <v>-3</v>
      </c>
      <c r="BY22" s="769">
        <f>SUM(BU22:BX22)</f>
        <v>-3</v>
      </c>
      <c r="BZ22" s="768">
        <v>0</v>
      </c>
      <c r="CA22" s="768">
        <v>0</v>
      </c>
      <c r="CB22" s="768">
        <v>0</v>
      </c>
      <c r="CC22" s="768">
        <v>0</v>
      </c>
      <c r="CD22" s="769">
        <f>SUM(BZ22:CC22)</f>
        <v>0</v>
      </c>
      <c r="CE22" s="768">
        <v>0</v>
      </c>
      <c r="CF22" s="768">
        <v>0</v>
      </c>
      <c r="CG22" s="768">
        <v>0</v>
      </c>
      <c r="CH22" s="768">
        <v>0</v>
      </c>
      <c r="CI22" s="769">
        <f>SUM(CE22:CH22)</f>
        <v>0</v>
      </c>
      <c r="CJ22" s="768">
        <v>0</v>
      </c>
      <c r="CK22" s="768">
        <v>0</v>
      </c>
      <c r="CL22" s="768">
        <v>0</v>
      </c>
      <c r="CM22" s="768">
        <v>0</v>
      </c>
      <c r="CN22" s="769">
        <f>SUM(CJ22:CM22)</f>
        <v>0</v>
      </c>
      <c r="CO22" s="768">
        <v>0</v>
      </c>
      <c r="CP22" s="768">
        <v>0</v>
      </c>
      <c r="CQ22" s="768">
        <v>0</v>
      </c>
      <c r="CR22" s="768">
        <v>0</v>
      </c>
      <c r="CS22" s="769">
        <f>SUM(CO22:CR22)</f>
        <v>0</v>
      </c>
      <c r="CT22" s="768">
        <v>0</v>
      </c>
      <c r="CU22" s="768">
        <v>0</v>
      </c>
      <c r="CV22" s="768">
        <v>0</v>
      </c>
      <c r="CW22" s="768">
        <v>0</v>
      </c>
      <c r="CX22" s="769">
        <f>SUM(CT22:CW22)</f>
        <v>0</v>
      </c>
      <c r="CY22" s="768">
        <v>0</v>
      </c>
      <c r="CZ22" s="768">
        <v>0</v>
      </c>
      <c r="DA22" s="768">
        <v>0</v>
      </c>
      <c r="DB22" s="768">
        <v>0</v>
      </c>
      <c r="DC22" s="769">
        <f>SUM(CY22:DB22)</f>
        <v>0</v>
      </c>
      <c r="DD22" s="768">
        <v>0</v>
      </c>
      <c r="DE22" s="768">
        <v>0</v>
      </c>
      <c r="DF22" s="768">
        <v>0</v>
      </c>
      <c r="DG22" s="768">
        <v>0</v>
      </c>
      <c r="DH22" s="769">
        <f t="shared" si="16"/>
        <v>0</v>
      </c>
      <c r="DI22" s="768">
        <v>0</v>
      </c>
      <c r="DJ22" s="768">
        <v>0</v>
      </c>
      <c r="DK22" s="768">
        <v>0</v>
      </c>
      <c r="DL22" s="768">
        <v>0</v>
      </c>
      <c r="DM22" s="769">
        <f t="shared" si="17"/>
        <v>0</v>
      </c>
      <c r="DN22" s="768">
        <v>0</v>
      </c>
      <c r="DO22" s="768">
        <v>0</v>
      </c>
      <c r="DP22" s="768">
        <v>0</v>
      </c>
      <c r="DQ22" s="768">
        <v>0</v>
      </c>
      <c r="DR22" s="769">
        <f t="shared" si="22"/>
        <v>0</v>
      </c>
      <c r="DS22" s="768">
        <v>0</v>
      </c>
      <c r="DT22" s="768">
        <v>0</v>
      </c>
      <c r="DU22" s="768">
        <v>0</v>
      </c>
      <c r="DV22" s="768">
        <v>0</v>
      </c>
      <c r="DW22" s="769">
        <f t="shared" si="18"/>
        <v>0</v>
      </c>
      <c r="DX22" s="768">
        <v>0</v>
      </c>
      <c r="DY22" s="768">
        <v>0</v>
      </c>
      <c r="DZ22" s="768">
        <v>0</v>
      </c>
      <c r="EA22" s="768">
        <v>0</v>
      </c>
      <c r="EB22" s="769">
        <f t="shared" si="19"/>
        <v>0</v>
      </c>
      <c r="EC22" s="768">
        <v>0</v>
      </c>
      <c r="ED22" s="768">
        <v>0</v>
      </c>
      <c r="EE22" s="768">
        <v>0</v>
      </c>
      <c r="EF22" s="768">
        <v>0</v>
      </c>
      <c r="EG22" s="769">
        <f t="shared" si="20"/>
        <v>0</v>
      </c>
      <c r="EH22" s="768">
        <v>0</v>
      </c>
      <c r="EI22" s="768">
        <v>0</v>
      </c>
      <c r="EJ22" s="768">
        <v>0</v>
      </c>
      <c r="EK22" s="768">
        <v>0</v>
      </c>
      <c r="EL22" s="769">
        <f t="shared" si="23"/>
        <v>0</v>
      </c>
      <c r="EM22" s="21"/>
      <c r="EN22"/>
      <c r="EO22"/>
      <c r="EP22"/>
      <c r="EQ22"/>
      <c r="ER22"/>
      <c r="ES22" s="23"/>
      <c r="ET22"/>
      <c r="EU22" s="23"/>
      <c r="EV22" s="23"/>
      <c r="EW22" s="23"/>
      <c r="EX22" s="24"/>
      <c r="EY22" s="24"/>
      <c r="EZ22" s="24"/>
      <c r="FA22" s="24"/>
      <c r="FB22" s="24"/>
      <c r="FC22" s="24"/>
      <c r="FD22" s="24"/>
      <c r="FE22" s="24"/>
      <c r="FF22" s="24"/>
      <c r="FG22" s="24"/>
      <c r="FH22" s="24"/>
      <c r="FI22" s="24"/>
      <c r="FJ22" s="24"/>
      <c r="FK22" s="24"/>
      <c r="FL22" s="24"/>
      <c r="FM22" s="24"/>
      <c r="FN22" s="24"/>
      <c r="FO22" s="24"/>
      <c r="FP22" s="24"/>
      <c r="FQ22" s="24"/>
      <c r="FR22" s="24"/>
      <c r="FS22" s="24"/>
      <c r="FT22" s="24"/>
      <c r="FU22" s="24"/>
      <c r="FV22" s="24"/>
      <c r="FW22" s="24"/>
      <c r="FX22" s="24"/>
      <c r="FY22" s="24"/>
      <c r="FZ22" s="24"/>
      <c r="GA22" s="24"/>
      <c r="GB22" s="24"/>
      <c r="GC22" s="24"/>
      <c r="GD22" s="24"/>
      <c r="GE22" s="24"/>
      <c r="GF22" s="24"/>
      <c r="GG22" s="24"/>
      <c r="GH22" s="24"/>
      <c r="GI22" s="24"/>
      <c r="GJ22" s="24"/>
      <c r="GK22" s="24"/>
      <c r="GL22" s="24"/>
      <c r="GM22" s="24"/>
      <c r="GN22" s="24"/>
      <c r="GO22" s="24"/>
      <c r="GP22" s="24"/>
      <c r="GQ22" s="24"/>
      <c r="GR22" s="24"/>
      <c r="GS22" s="24"/>
      <c r="GT22" s="24"/>
      <c r="GU22" s="24"/>
      <c r="GV22" s="24"/>
      <c r="GW22" s="24"/>
      <c r="GX22" s="24"/>
      <c r="GY22" s="24"/>
      <c r="GZ22" s="24"/>
      <c r="HA22" s="24"/>
      <c r="HB22" s="24"/>
      <c r="HC22" s="24"/>
      <c r="HD22" s="24"/>
      <c r="HE22" s="24"/>
      <c r="HF22" s="24"/>
      <c r="HG22" s="24"/>
      <c r="HH22" s="24"/>
      <c r="HI22" s="24"/>
      <c r="HJ22" s="24"/>
      <c r="HK22" s="24"/>
      <c r="HL22" s="24"/>
      <c r="HM22" s="24"/>
      <c r="HN22" s="24"/>
      <c r="HO22" s="24"/>
      <c r="HP22" s="24"/>
      <c r="HQ22" s="24"/>
      <c r="HR22" s="24"/>
      <c r="HS22" s="24"/>
      <c r="HT22" s="24"/>
      <c r="HU22" s="24"/>
      <c r="HV22" s="24"/>
      <c r="HW22" s="24"/>
      <c r="HX22" s="24"/>
      <c r="HY22" s="24"/>
      <c r="HZ22" s="24"/>
      <c r="IA22" s="24"/>
      <c r="IB22" s="24"/>
      <c r="IC22" s="24"/>
      <c r="ID22" s="24"/>
      <c r="IE22" s="24"/>
      <c r="IF22" s="24"/>
      <c r="IG22" s="24"/>
      <c r="IH22" s="24"/>
      <c r="II22" s="24"/>
      <c r="IJ22" s="24"/>
      <c r="IK22" s="24"/>
      <c r="IL22" s="24"/>
      <c r="IM22" s="24"/>
      <c r="IN22" s="24"/>
      <c r="IO22" s="24"/>
      <c r="IP22" s="24"/>
      <c r="IQ22" s="24"/>
      <c r="IR22" s="24"/>
      <c r="IS22" s="24"/>
      <c r="IT22" s="24"/>
      <c r="IU22" s="24"/>
      <c r="IV22" s="24"/>
      <c r="IW22" s="24"/>
      <c r="IX22" s="24"/>
      <c r="IY22" s="24"/>
      <c r="IZ22" s="24"/>
      <c r="JA22" s="24"/>
      <c r="JB22" s="24"/>
      <c r="JC22" s="24"/>
      <c r="JD22" s="24"/>
      <c r="JE22" s="24"/>
      <c r="JF22" s="24"/>
      <c r="JG22" s="24"/>
      <c r="JH22" s="24"/>
      <c r="JI22" s="24"/>
      <c r="JJ22" s="24"/>
      <c r="JK22" s="24"/>
    </row>
    <row r="23" spans="1:271" s="18" customFormat="1" ht="12" customHeight="1" collapsed="1">
      <c r="A23" s="766"/>
      <c r="B23" s="767" t="s">
        <v>344</v>
      </c>
      <c r="C23" s="737"/>
      <c r="D23" s="768">
        <v>0</v>
      </c>
      <c r="E23" s="768">
        <v>0</v>
      </c>
      <c r="F23" s="768">
        <v>0</v>
      </c>
      <c r="G23" s="768">
        <v>0</v>
      </c>
      <c r="H23" s="769">
        <f>SUM(D23:G23)</f>
        <v>0</v>
      </c>
      <c r="I23" s="768">
        <v>0</v>
      </c>
      <c r="J23" s="768">
        <v>0</v>
      </c>
      <c r="K23" s="768">
        <v>0</v>
      </c>
      <c r="L23" s="768">
        <v>0</v>
      </c>
      <c r="M23" s="769">
        <f>SUM(I23:L23)</f>
        <v>0</v>
      </c>
      <c r="N23" s="768">
        <v>0</v>
      </c>
      <c r="O23" s="768">
        <v>0</v>
      </c>
      <c r="P23" s="768">
        <v>0</v>
      </c>
      <c r="Q23" s="768">
        <v>0</v>
      </c>
      <c r="R23" s="769">
        <f>SUM(N23:Q23)</f>
        <v>0</v>
      </c>
      <c r="S23" s="768">
        <v>0</v>
      </c>
      <c r="T23" s="768">
        <v>0</v>
      </c>
      <c r="U23" s="768">
        <v>0</v>
      </c>
      <c r="V23" s="768">
        <v>0</v>
      </c>
      <c r="W23" s="769">
        <f>SUM(S23:V23)</f>
        <v>0</v>
      </c>
      <c r="X23" s="768">
        <v>0</v>
      </c>
      <c r="Y23" s="768">
        <v>0</v>
      </c>
      <c r="Z23" s="768">
        <v>0</v>
      </c>
      <c r="AA23" s="768">
        <v>0</v>
      </c>
      <c r="AB23" s="769">
        <f>SUM(X23:AA23)</f>
        <v>0</v>
      </c>
      <c r="AC23" s="768">
        <v>0</v>
      </c>
      <c r="AD23" s="768">
        <v>0</v>
      </c>
      <c r="AE23" s="768">
        <v>0</v>
      </c>
      <c r="AF23" s="768">
        <v>0</v>
      </c>
      <c r="AG23" s="769">
        <f>SUM(AC23:AF23)</f>
        <v>0</v>
      </c>
      <c r="AH23" s="768">
        <v>0</v>
      </c>
      <c r="AI23" s="768">
        <v>0</v>
      </c>
      <c r="AJ23" s="768">
        <v>0</v>
      </c>
      <c r="AK23" s="768">
        <v>0</v>
      </c>
      <c r="AL23" s="769">
        <f>SUM(AH23:AK23)</f>
        <v>0</v>
      </c>
      <c r="AM23" s="768">
        <v>0</v>
      </c>
      <c r="AN23" s="768">
        <v>0</v>
      </c>
      <c r="AO23" s="768">
        <v>0</v>
      </c>
      <c r="AP23" s="768">
        <v>0</v>
      </c>
      <c r="AQ23" s="769">
        <f>SUM(AM23:AP23)</f>
        <v>0</v>
      </c>
      <c r="AR23" s="768">
        <v>0</v>
      </c>
      <c r="AS23" s="768">
        <v>0</v>
      </c>
      <c r="AT23" s="768">
        <v>0</v>
      </c>
      <c r="AU23" s="768"/>
      <c r="AV23" s="769">
        <v>0</v>
      </c>
      <c r="AW23" s="768">
        <v>0</v>
      </c>
      <c r="AX23" s="768">
        <v>0</v>
      </c>
      <c r="AY23" s="768">
        <v>0</v>
      </c>
      <c r="AZ23" s="768">
        <f>SUM(AV23:AY23)</f>
        <v>0</v>
      </c>
      <c r="BA23" s="768">
        <v>0</v>
      </c>
      <c r="BB23" s="768">
        <v>0</v>
      </c>
      <c r="BC23" s="768">
        <v>0</v>
      </c>
      <c r="BD23" s="768">
        <v>0</v>
      </c>
      <c r="BE23" s="769">
        <f>SUM(BA23:BD23)</f>
        <v>0</v>
      </c>
      <c r="BF23" s="768">
        <v>0</v>
      </c>
      <c r="BG23" s="768">
        <v>0</v>
      </c>
      <c r="BH23" s="768">
        <v>0</v>
      </c>
      <c r="BI23" s="768">
        <v>0</v>
      </c>
      <c r="BJ23" s="769">
        <f>SUM(BF23:BI23)</f>
        <v>0</v>
      </c>
      <c r="BK23" s="768">
        <v>0</v>
      </c>
      <c r="BL23" s="768">
        <v>0</v>
      </c>
      <c r="BM23" s="768">
        <v>0</v>
      </c>
      <c r="BN23" s="768">
        <v>0</v>
      </c>
      <c r="BO23" s="769">
        <f>SUM(BK23:BN23)</f>
        <v>0</v>
      </c>
      <c r="BP23" s="768">
        <v>0</v>
      </c>
      <c r="BQ23" s="768">
        <v>0</v>
      </c>
      <c r="BR23" s="768">
        <v>0</v>
      </c>
      <c r="BS23" s="768">
        <v>0</v>
      </c>
      <c r="BT23" s="769">
        <f>SUM(BP23:BS23)</f>
        <v>0</v>
      </c>
      <c r="BU23" s="768">
        <v>0</v>
      </c>
      <c r="BV23" s="768">
        <v>0</v>
      </c>
      <c r="BW23" s="768">
        <v>0</v>
      </c>
      <c r="BX23" s="768">
        <v>0</v>
      </c>
      <c r="BY23" s="769">
        <f>SUM(BU23:BX23)</f>
        <v>0</v>
      </c>
      <c r="BZ23" s="768">
        <v>0</v>
      </c>
      <c r="CA23" s="768">
        <v>0</v>
      </c>
      <c r="CB23" s="768">
        <v>0</v>
      </c>
      <c r="CC23" s="768">
        <v>0</v>
      </c>
      <c r="CD23" s="769">
        <f>SUM(BZ23:CC23)</f>
        <v>0</v>
      </c>
      <c r="CE23" s="768">
        <v>0</v>
      </c>
      <c r="CF23" s="768">
        <v>0</v>
      </c>
      <c r="CG23" s="768">
        <v>0</v>
      </c>
      <c r="CH23" s="768">
        <v>0</v>
      </c>
      <c r="CI23" s="769">
        <f>SUM(CE23:CH23)</f>
        <v>0</v>
      </c>
      <c r="CJ23" s="768">
        <v>0</v>
      </c>
      <c r="CK23" s="768">
        <v>0</v>
      </c>
      <c r="CL23" s="768">
        <v>0</v>
      </c>
      <c r="CM23" s="768">
        <v>0</v>
      </c>
      <c r="CN23" s="769">
        <f>SUM(CJ23:CM23)</f>
        <v>0</v>
      </c>
      <c r="CO23" s="768">
        <v>25</v>
      </c>
      <c r="CP23" s="768">
        <v>25</v>
      </c>
      <c r="CQ23" s="768">
        <v>0</v>
      </c>
      <c r="CR23" s="768">
        <v>5</v>
      </c>
      <c r="CS23" s="769">
        <f>SUM(CO23:CR23)</f>
        <v>55</v>
      </c>
      <c r="CT23" s="768">
        <v>0</v>
      </c>
      <c r="CU23" s="768">
        <v>0</v>
      </c>
      <c r="CV23" s="768">
        <v>13</v>
      </c>
      <c r="CW23" s="768">
        <v>27</v>
      </c>
      <c r="CX23" s="769">
        <f>SUM(CT23:CW23)</f>
        <v>40</v>
      </c>
      <c r="CY23" s="768">
        <v>0</v>
      </c>
      <c r="CZ23" s="768">
        <v>34</v>
      </c>
      <c r="DA23" s="768">
        <v>14</v>
      </c>
      <c r="DB23" s="768">
        <v>48</v>
      </c>
      <c r="DC23" s="769">
        <f>SUM(CY23:DB23)</f>
        <v>96</v>
      </c>
      <c r="DD23" s="768">
        <v>9</v>
      </c>
      <c r="DE23" s="768">
        <v>58</v>
      </c>
      <c r="DF23" s="768">
        <v>5</v>
      </c>
      <c r="DG23" s="768">
        <v>32</v>
      </c>
      <c r="DH23" s="769">
        <f t="shared" si="16"/>
        <v>104</v>
      </c>
      <c r="DI23" s="768">
        <v>6</v>
      </c>
      <c r="DJ23" s="768">
        <v>33</v>
      </c>
      <c r="DK23" s="768">
        <v>7</v>
      </c>
      <c r="DL23" s="768">
        <v>26</v>
      </c>
      <c r="DM23" s="769">
        <f t="shared" si="17"/>
        <v>72</v>
      </c>
      <c r="DN23" s="768">
        <v>0</v>
      </c>
      <c r="DO23" s="768">
        <v>21</v>
      </c>
      <c r="DP23" s="768">
        <v>2</v>
      </c>
      <c r="DQ23" s="768">
        <v>9</v>
      </c>
      <c r="DR23" s="769">
        <f t="shared" si="22"/>
        <v>32</v>
      </c>
      <c r="DS23" s="768">
        <v>1</v>
      </c>
      <c r="DT23" s="768">
        <v>6</v>
      </c>
      <c r="DU23" s="768">
        <v>1</v>
      </c>
      <c r="DV23" s="768">
        <v>1</v>
      </c>
      <c r="DW23" s="769">
        <f t="shared" si="18"/>
        <v>9</v>
      </c>
      <c r="DX23" s="768">
        <v>0</v>
      </c>
      <c r="DY23" s="768">
        <v>0</v>
      </c>
      <c r="DZ23" s="768">
        <v>0</v>
      </c>
      <c r="EA23" s="768">
        <v>0</v>
      </c>
      <c r="EB23" s="769">
        <f t="shared" si="19"/>
        <v>0</v>
      </c>
      <c r="EC23" s="768">
        <v>0</v>
      </c>
      <c r="ED23" s="768">
        <v>0</v>
      </c>
      <c r="EE23" s="768">
        <v>0</v>
      </c>
      <c r="EF23" s="768">
        <v>0</v>
      </c>
      <c r="EG23" s="769">
        <f t="shared" si="20"/>
        <v>0</v>
      </c>
      <c r="EH23" s="768">
        <v>0</v>
      </c>
      <c r="EI23" s="768">
        <v>0</v>
      </c>
      <c r="EJ23" s="768">
        <v>0</v>
      </c>
      <c r="EK23" s="768">
        <v>0</v>
      </c>
      <c r="EL23" s="769">
        <f t="shared" si="23"/>
        <v>0</v>
      </c>
      <c r="EM23" s="21"/>
      <c r="EN23"/>
      <c r="EO23"/>
      <c r="EP23"/>
      <c r="EQ23"/>
      <c r="ER23"/>
      <c r="ES23" s="23"/>
      <c r="ET23"/>
      <c r="EU23" s="23"/>
      <c r="EV23" s="23"/>
      <c r="EW23" s="23"/>
      <c r="EX23" s="24"/>
      <c r="EY23" s="24"/>
      <c r="EZ23" s="24"/>
      <c r="FA23" s="24"/>
      <c r="FB23" s="24"/>
      <c r="FC23" s="24"/>
      <c r="FD23" s="24"/>
      <c r="FE23" s="24"/>
      <c r="FF23" s="24"/>
      <c r="FG23" s="24"/>
      <c r="FH23" s="24"/>
      <c r="FI23" s="24"/>
      <c r="FJ23" s="24"/>
      <c r="FK23" s="24"/>
      <c r="FL23" s="24"/>
      <c r="FM23" s="24"/>
      <c r="FN23" s="24"/>
      <c r="FO23" s="24"/>
      <c r="FP23" s="24"/>
      <c r="FQ23" s="24"/>
      <c r="FR23" s="24"/>
      <c r="FS23" s="24"/>
      <c r="FT23" s="24"/>
      <c r="FU23" s="24"/>
      <c r="FV23" s="24"/>
      <c r="FW23" s="24"/>
      <c r="FX23" s="24"/>
      <c r="FY23" s="24"/>
      <c r="FZ23" s="24"/>
      <c r="GA23" s="24"/>
      <c r="GB23" s="24"/>
      <c r="GC23" s="24"/>
      <c r="GD23" s="24"/>
      <c r="GE23" s="24"/>
      <c r="GF23" s="24"/>
      <c r="GG23" s="24"/>
      <c r="GH23" s="24"/>
      <c r="GI23" s="24"/>
      <c r="GJ23" s="24"/>
      <c r="GK23" s="24"/>
      <c r="GL23" s="24"/>
      <c r="GM23" s="24"/>
      <c r="GN23" s="24"/>
      <c r="GO23" s="24"/>
      <c r="GP23" s="24"/>
      <c r="GQ23" s="24"/>
      <c r="GR23" s="24"/>
      <c r="GS23" s="24"/>
      <c r="GT23" s="24"/>
      <c r="GU23" s="24"/>
      <c r="GV23" s="24"/>
      <c r="GW23" s="24"/>
      <c r="GX23" s="24"/>
      <c r="GY23" s="24"/>
      <c r="GZ23" s="24"/>
      <c r="HA23" s="24"/>
      <c r="HB23" s="24"/>
      <c r="HC23" s="24"/>
      <c r="HD23" s="24"/>
      <c r="HE23" s="24"/>
      <c r="HF23" s="24"/>
      <c r="HG23" s="24"/>
      <c r="HH23" s="24"/>
      <c r="HI23" s="24"/>
      <c r="HJ23" s="24"/>
      <c r="HK23" s="24"/>
      <c r="HL23" s="24"/>
      <c r="HM23" s="24"/>
      <c r="HN23" s="24"/>
      <c r="HO23" s="24"/>
      <c r="HP23" s="24"/>
      <c r="HQ23" s="24"/>
      <c r="HR23" s="24"/>
      <c r="HS23" s="24"/>
      <c r="HT23" s="24"/>
      <c r="HU23" s="24"/>
      <c r="HV23" s="24"/>
      <c r="HW23" s="24"/>
      <c r="HX23" s="24"/>
      <c r="HY23" s="24"/>
      <c r="HZ23" s="24"/>
      <c r="IA23" s="24"/>
      <c r="IB23" s="24"/>
      <c r="IC23" s="24"/>
      <c r="ID23" s="24"/>
      <c r="IE23" s="24"/>
      <c r="IF23" s="24"/>
      <c r="IG23" s="24"/>
      <c r="IH23" s="24"/>
      <c r="II23" s="24"/>
      <c r="IJ23" s="24"/>
      <c r="IK23" s="24"/>
      <c r="IL23" s="24"/>
      <c r="IM23" s="24"/>
      <c r="IN23" s="24"/>
      <c r="IO23" s="24"/>
      <c r="IP23" s="24"/>
      <c r="IQ23" s="24"/>
      <c r="IR23" s="24"/>
      <c r="IS23" s="24"/>
      <c r="IT23" s="24"/>
      <c r="IU23" s="24"/>
      <c r="IV23" s="24"/>
      <c r="IW23" s="24"/>
      <c r="IX23" s="24"/>
      <c r="IY23" s="24"/>
      <c r="IZ23" s="24"/>
      <c r="JA23" s="24"/>
      <c r="JB23" s="24"/>
      <c r="JC23" s="24"/>
      <c r="JD23" s="24"/>
      <c r="JE23" s="24"/>
      <c r="JF23" s="24"/>
      <c r="JG23" s="24"/>
      <c r="JH23" s="24"/>
      <c r="JI23" s="24"/>
      <c r="JJ23" s="24"/>
      <c r="JK23" s="24"/>
    </row>
    <row r="24" spans="1:271" s="18" customFormat="1" ht="12" customHeight="1">
      <c r="A24" s="766"/>
      <c r="B24" s="767" t="s">
        <v>654</v>
      </c>
      <c r="C24" s="737"/>
      <c r="D24" s="768"/>
      <c r="E24" s="768"/>
      <c r="F24" s="768"/>
      <c r="G24" s="768"/>
      <c r="H24" s="769"/>
      <c r="I24" s="768"/>
      <c r="J24" s="768"/>
      <c r="K24" s="768"/>
      <c r="L24" s="768"/>
      <c r="M24" s="769"/>
      <c r="N24" s="768"/>
      <c r="O24" s="768"/>
      <c r="P24" s="768"/>
      <c r="Q24" s="768"/>
      <c r="R24" s="769"/>
      <c r="S24" s="768"/>
      <c r="T24" s="768"/>
      <c r="U24" s="768"/>
      <c r="V24" s="768"/>
      <c r="W24" s="769"/>
      <c r="X24" s="768"/>
      <c r="Y24" s="768"/>
      <c r="Z24" s="768"/>
      <c r="AA24" s="768"/>
      <c r="AB24" s="769"/>
      <c r="AC24" s="768"/>
      <c r="AD24" s="768"/>
      <c r="AE24" s="768"/>
      <c r="AF24" s="768"/>
      <c r="AG24" s="769"/>
      <c r="AH24" s="768"/>
      <c r="AI24" s="768"/>
      <c r="AJ24" s="768"/>
      <c r="AK24" s="768"/>
      <c r="AL24" s="769"/>
      <c r="AM24" s="768"/>
      <c r="AN24" s="768"/>
      <c r="AO24" s="768"/>
      <c r="AP24" s="768"/>
      <c r="AQ24" s="769"/>
      <c r="AR24" s="768"/>
      <c r="AS24" s="768"/>
      <c r="AT24" s="768"/>
      <c r="AU24" s="768"/>
      <c r="AV24" s="769"/>
      <c r="AW24" s="768"/>
      <c r="AX24" s="768"/>
      <c r="AY24" s="768"/>
      <c r="AZ24" s="768"/>
      <c r="BA24" s="768"/>
      <c r="BB24" s="768"/>
      <c r="BC24" s="768"/>
      <c r="BD24" s="768"/>
      <c r="BE24" s="769"/>
      <c r="BF24" s="768"/>
      <c r="BG24" s="768"/>
      <c r="BH24" s="768"/>
      <c r="BI24" s="768"/>
      <c r="BJ24" s="769"/>
      <c r="BK24" s="768"/>
      <c r="BL24" s="768"/>
      <c r="BM24" s="768"/>
      <c r="BN24" s="768"/>
      <c r="BO24" s="769"/>
      <c r="BP24" s="768"/>
      <c r="BQ24" s="768"/>
      <c r="BR24" s="768"/>
      <c r="BS24" s="768"/>
      <c r="BT24" s="769"/>
      <c r="BU24" s="768"/>
      <c r="BV24" s="768"/>
      <c r="BW24" s="768"/>
      <c r="BX24" s="768"/>
      <c r="BY24" s="769"/>
      <c r="BZ24" s="768"/>
      <c r="CA24" s="768"/>
      <c r="CB24" s="768"/>
      <c r="CC24" s="768"/>
      <c r="CD24" s="769"/>
      <c r="CE24" s="768"/>
      <c r="CF24" s="768"/>
      <c r="CG24" s="768"/>
      <c r="CH24" s="768"/>
      <c r="CI24" s="769"/>
      <c r="CJ24" s="768"/>
      <c r="CK24" s="768"/>
      <c r="CL24" s="768"/>
      <c r="CM24" s="768"/>
      <c r="CN24" s="769"/>
      <c r="CO24" s="768"/>
      <c r="CP24" s="768"/>
      <c r="CQ24" s="768"/>
      <c r="CR24" s="768"/>
      <c r="CS24" s="769"/>
      <c r="CT24" s="768"/>
      <c r="CU24" s="768"/>
      <c r="CV24" s="768"/>
      <c r="CW24" s="768"/>
      <c r="CX24" s="769"/>
      <c r="CY24" s="768"/>
      <c r="CZ24" s="768"/>
      <c r="DA24" s="768"/>
      <c r="DB24" s="768"/>
      <c r="DC24" s="769"/>
      <c r="DD24" s="768"/>
      <c r="DE24" s="768"/>
      <c r="DF24" s="768"/>
      <c r="DG24" s="768"/>
      <c r="DH24" s="769"/>
      <c r="DI24" s="768"/>
      <c r="DJ24" s="768"/>
      <c r="DK24" s="768">
        <v>0</v>
      </c>
      <c r="DL24" s="768">
        <v>186</v>
      </c>
      <c r="DM24" s="769">
        <f t="shared" si="17"/>
        <v>186</v>
      </c>
      <c r="DN24" s="768">
        <v>147</v>
      </c>
      <c r="DO24" s="768">
        <v>1</v>
      </c>
      <c r="DP24" s="768">
        <v>3</v>
      </c>
      <c r="DQ24" s="768">
        <v>0</v>
      </c>
      <c r="DR24" s="769">
        <f t="shared" si="22"/>
        <v>151</v>
      </c>
      <c r="DS24" s="768">
        <v>15</v>
      </c>
      <c r="DT24" s="768">
        <v>23</v>
      </c>
      <c r="DU24" s="768">
        <v>104</v>
      </c>
      <c r="DV24" s="768">
        <v>2</v>
      </c>
      <c r="DW24" s="769">
        <f t="shared" si="18"/>
        <v>144</v>
      </c>
      <c r="DX24" s="768">
        <v>0</v>
      </c>
      <c r="DY24" s="768">
        <v>0</v>
      </c>
      <c r="DZ24" s="768">
        <v>0</v>
      </c>
      <c r="EA24" s="768">
        <v>0</v>
      </c>
      <c r="EB24" s="769">
        <f t="shared" si="19"/>
        <v>0</v>
      </c>
      <c r="EC24" s="768">
        <v>0</v>
      </c>
      <c r="ED24" s="768">
        <v>0</v>
      </c>
      <c r="EE24" s="768">
        <v>0</v>
      </c>
      <c r="EF24" s="768">
        <v>0</v>
      </c>
      <c r="EG24" s="769">
        <f t="shared" si="20"/>
        <v>0</v>
      </c>
      <c r="EH24" s="768">
        <v>0</v>
      </c>
      <c r="EI24" s="768">
        <v>0</v>
      </c>
      <c r="EJ24" s="768">
        <v>0</v>
      </c>
      <c r="EK24" s="768">
        <v>0</v>
      </c>
      <c r="EL24" s="769">
        <f t="shared" si="23"/>
        <v>0</v>
      </c>
      <c r="EM24" s="21"/>
      <c r="EN24"/>
      <c r="EO24"/>
      <c r="EP24"/>
      <c r="EQ24"/>
      <c r="ER24"/>
      <c r="ES24" s="23"/>
      <c r="ET24"/>
      <c r="EU24" s="23"/>
      <c r="EV24" s="23"/>
      <c r="EW24" s="23"/>
      <c r="EX24" s="24"/>
      <c r="EY24" s="24"/>
      <c r="EZ24" s="24"/>
      <c r="FA24" s="24"/>
      <c r="FB24" s="24"/>
      <c r="FC24" s="24"/>
      <c r="FD24" s="24"/>
      <c r="FE24" s="24"/>
      <c r="FF24" s="24"/>
      <c r="FG24" s="24"/>
      <c r="FH24" s="24"/>
      <c r="FI24" s="24"/>
      <c r="FJ24" s="24"/>
      <c r="FK24" s="24"/>
      <c r="FL24" s="24"/>
      <c r="FM24" s="24"/>
      <c r="FN24" s="24"/>
      <c r="FO24" s="24"/>
      <c r="FP24" s="24"/>
      <c r="FQ24" s="24"/>
      <c r="FR24" s="24"/>
      <c r="FS24" s="24"/>
      <c r="FT24" s="24"/>
      <c r="FU24" s="24"/>
      <c r="FV24" s="24"/>
      <c r="FW24" s="24"/>
      <c r="FX24" s="24"/>
      <c r="FY24" s="24"/>
      <c r="FZ24" s="24"/>
      <c r="GA24" s="24"/>
      <c r="GB24" s="24"/>
      <c r="GC24" s="24"/>
      <c r="GD24" s="24"/>
      <c r="GE24" s="24"/>
      <c r="GF24" s="24"/>
      <c r="GG24" s="24"/>
      <c r="GH24" s="24"/>
      <c r="GI24" s="24"/>
      <c r="GJ24" s="24"/>
      <c r="GK24" s="24"/>
      <c r="GL24" s="24"/>
      <c r="GM24" s="24"/>
      <c r="GN24" s="24"/>
      <c r="GO24" s="24"/>
      <c r="GP24" s="24"/>
      <c r="GQ24" s="24"/>
      <c r="GR24" s="24"/>
      <c r="GS24" s="24"/>
      <c r="GT24" s="24"/>
      <c r="GU24" s="24"/>
      <c r="GV24" s="24"/>
      <c r="GW24" s="24"/>
      <c r="GX24" s="24"/>
      <c r="GY24" s="24"/>
      <c r="GZ24" s="24"/>
      <c r="HA24" s="24"/>
      <c r="HB24" s="24"/>
      <c r="HC24" s="24"/>
      <c r="HD24" s="24"/>
      <c r="HE24" s="24"/>
      <c r="HF24" s="24"/>
      <c r="HG24" s="24"/>
      <c r="HH24" s="24"/>
      <c r="HI24" s="24"/>
      <c r="HJ24" s="24"/>
      <c r="HK24" s="24"/>
      <c r="HL24" s="24"/>
      <c r="HM24" s="24"/>
      <c r="HN24" s="24"/>
      <c r="HO24" s="24"/>
      <c r="HP24" s="24"/>
      <c r="HQ24" s="24"/>
      <c r="HR24" s="24"/>
      <c r="HS24" s="24"/>
      <c r="HT24" s="24"/>
      <c r="HU24" s="24"/>
      <c r="HV24" s="24"/>
      <c r="HW24" s="24"/>
      <c r="HX24" s="24"/>
      <c r="HY24" s="24"/>
      <c r="HZ24" s="24"/>
      <c r="IA24" s="24"/>
      <c r="IB24" s="24"/>
      <c r="IC24" s="24"/>
      <c r="ID24" s="24"/>
      <c r="IE24" s="24"/>
      <c r="IF24" s="24"/>
      <c r="IG24" s="24"/>
      <c r="IH24" s="24"/>
      <c r="II24" s="24"/>
      <c r="IJ24" s="24"/>
      <c r="IK24" s="24"/>
      <c r="IL24" s="24"/>
      <c r="IM24" s="24"/>
      <c r="IN24" s="24"/>
      <c r="IO24" s="24"/>
      <c r="IP24" s="24"/>
      <c r="IQ24" s="24"/>
      <c r="IR24" s="24"/>
      <c r="IS24" s="24"/>
      <c r="IT24" s="24"/>
      <c r="IU24" s="24"/>
      <c r="IV24" s="24"/>
      <c r="IW24" s="24"/>
      <c r="IX24" s="24"/>
      <c r="IY24" s="24"/>
      <c r="IZ24" s="24"/>
      <c r="JA24" s="24"/>
      <c r="JB24" s="24"/>
      <c r="JC24" s="24"/>
      <c r="JD24" s="24"/>
      <c r="JE24" s="24"/>
      <c r="JF24" s="24"/>
      <c r="JG24" s="24"/>
      <c r="JH24" s="24"/>
      <c r="JI24" s="24"/>
      <c r="JJ24" s="24"/>
      <c r="JK24" s="24"/>
    </row>
    <row r="25" spans="1:271" s="18" customFormat="1" ht="12" customHeight="1">
      <c r="A25" s="1534"/>
      <c r="B25" s="1535" t="s">
        <v>345</v>
      </c>
      <c r="C25" s="1535"/>
      <c r="D25" s="1536">
        <f t="shared" ref="D25:AT25" si="24">D12-D16-D17-D13-D18-SUM(D20:D22)+D23</f>
        <v>122.69000000000001</v>
      </c>
      <c r="E25" s="1536">
        <f t="shared" si="24"/>
        <v>121.99999999999997</v>
      </c>
      <c r="F25" s="1536">
        <f t="shared" si="24"/>
        <v>126.29999999999995</v>
      </c>
      <c r="G25" s="1536">
        <f t="shared" si="24"/>
        <v>215.01</v>
      </c>
      <c r="H25" s="1537">
        <f t="shared" si="24"/>
        <v>586</v>
      </c>
      <c r="I25" s="1536">
        <f t="shared" si="24"/>
        <v>254.10000000000002</v>
      </c>
      <c r="J25" s="1536">
        <f t="shared" si="24"/>
        <v>273.8</v>
      </c>
      <c r="K25" s="1536">
        <f t="shared" si="24"/>
        <v>279.60000000000014</v>
      </c>
      <c r="L25" s="1536">
        <f t="shared" si="24"/>
        <v>205.49999999999977</v>
      </c>
      <c r="M25" s="1537">
        <f t="shared" si="24"/>
        <v>1013</v>
      </c>
      <c r="N25" s="1536">
        <f t="shared" si="24"/>
        <v>282.69999999999987</v>
      </c>
      <c r="O25" s="1536">
        <f t="shared" si="24"/>
        <v>291.69999999999987</v>
      </c>
      <c r="P25" s="1536">
        <f t="shared" si="24"/>
        <v>139.40000000000009</v>
      </c>
      <c r="Q25" s="1536">
        <f t="shared" si="24"/>
        <v>143.19999999999931</v>
      </c>
      <c r="R25" s="1537">
        <f t="shared" si="24"/>
        <v>857</v>
      </c>
      <c r="S25" s="1536">
        <f t="shared" si="24"/>
        <v>410</v>
      </c>
      <c r="T25" s="1536">
        <f t="shared" si="24"/>
        <v>444</v>
      </c>
      <c r="U25" s="1536">
        <f t="shared" si="24"/>
        <v>478</v>
      </c>
      <c r="V25" s="1536">
        <f t="shared" si="24"/>
        <v>256</v>
      </c>
      <c r="W25" s="1537">
        <f t="shared" si="24"/>
        <v>1588</v>
      </c>
      <c r="X25" s="1536">
        <f t="shared" si="24"/>
        <v>465</v>
      </c>
      <c r="Y25" s="1536">
        <f t="shared" si="24"/>
        <v>451</v>
      </c>
      <c r="Z25" s="1536">
        <f t="shared" si="24"/>
        <v>458</v>
      </c>
      <c r="AA25" s="1536">
        <f t="shared" si="24"/>
        <v>121</v>
      </c>
      <c r="AB25" s="1537">
        <f t="shared" si="24"/>
        <v>1495</v>
      </c>
      <c r="AC25" s="1536">
        <f t="shared" si="24"/>
        <v>457</v>
      </c>
      <c r="AD25" s="1536">
        <f t="shared" si="24"/>
        <v>469</v>
      </c>
      <c r="AE25" s="1536">
        <f t="shared" si="24"/>
        <v>268</v>
      </c>
      <c r="AF25" s="1536">
        <f t="shared" si="24"/>
        <v>386</v>
      </c>
      <c r="AG25" s="1537">
        <f t="shared" si="24"/>
        <v>1580</v>
      </c>
      <c r="AH25" s="1536">
        <f t="shared" si="24"/>
        <v>517</v>
      </c>
      <c r="AI25" s="1536">
        <f t="shared" si="24"/>
        <v>537</v>
      </c>
      <c r="AJ25" s="1536">
        <f t="shared" si="24"/>
        <v>578</v>
      </c>
      <c r="AK25" s="1536">
        <f t="shared" si="24"/>
        <v>469</v>
      </c>
      <c r="AL25" s="1537">
        <f t="shared" si="24"/>
        <v>2101</v>
      </c>
      <c r="AM25" s="1536">
        <f t="shared" si="24"/>
        <v>626</v>
      </c>
      <c r="AN25" s="1536">
        <f t="shared" si="24"/>
        <v>579</v>
      </c>
      <c r="AO25" s="1536">
        <f t="shared" si="24"/>
        <v>721</v>
      </c>
      <c r="AP25" s="1536">
        <f t="shared" si="24"/>
        <v>772</v>
      </c>
      <c r="AQ25" s="1537">
        <f t="shared" si="24"/>
        <v>2698</v>
      </c>
      <c r="AR25" s="1536">
        <f t="shared" si="24"/>
        <v>756</v>
      </c>
      <c r="AS25" s="1536">
        <f t="shared" si="24"/>
        <v>711</v>
      </c>
      <c r="AT25" s="1536">
        <f t="shared" si="24"/>
        <v>113</v>
      </c>
      <c r="AU25" s="1536"/>
      <c r="AV25" s="1537">
        <f t="shared" ref="AV25:CA25" si="25">AV12-AV16-AV17-AV13-AV18-SUM(AV20:AV22)+AV23</f>
        <v>674</v>
      </c>
      <c r="AW25" s="1536">
        <f t="shared" si="25"/>
        <v>692</v>
      </c>
      <c r="AX25" s="1536">
        <f t="shared" si="25"/>
        <v>705</v>
      </c>
      <c r="AY25" s="1536">
        <f t="shared" si="25"/>
        <v>252</v>
      </c>
      <c r="AZ25" s="1536">
        <f t="shared" si="25"/>
        <v>2323</v>
      </c>
      <c r="BA25" s="1536">
        <f t="shared" si="25"/>
        <v>265</v>
      </c>
      <c r="BB25" s="1536">
        <f t="shared" si="25"/>
        <v>-4</v>
      </c>
      <c r="BC25" s="1536">
        <f t="shared" si="25"/>
        <v>-182</v>
      </c>
      <c r="BD25" s="1536">
        <f t="shared" si="25"/>
        <v>-1231</v>
      </c>
      <c r="BE25" s="1537">
        <f t="shared" si="25"/>
        <v>-1152</v>
      </c>
      <c r="BF25" s="1536">
        <f t="shared" si="25"/>
        <v>152</v>
      </c>
      <c r="BG25" s="1536">
        <f t="shared" si="25"/>
        <v>-159</v>
      </c>
      <c r="BH25" s="1536">
        <f t="shared" si="25"/>
        <v>117</v>
      </c>
      <c r="BI25" s="1536">
        <f t="shared" si="25"/>
        <v>-1144</v>
      </c>
      <c r="BJ25" s="1537">
        <f t="shared" si="25"/>
        <v>-1034</v>
      </c>
      <c r="BK25" s="1536">
        <f t="shared" si="25"/>
        <v>194</v>
      </c>
      <c r="BL25" s="1536">
        <f t="shared" si="25"/>
        <v>152</v>
      </c>
      <c r="BM25" s="1536">
        <f t="shared" si="25"/>
        <v>-184</v>
      </c>
      <c r="BN25" s="1536">
        <f t="shared" si="25"/>
        <v>-139</v>
      </c>
      <c r="BO25" s="1537">
        <f t="shared" si="25"/>
        <v>23</v>
      </c>
      <c r="BP25" s="1536">
        <f t="shared" si="25"/>
        <v>194</v>
      </c>
      <c r="BQ25" s="1536">
        <f t="shared" si="25"/>
        <v>-533</v>
      </c>
      <c r="BR25" s="1536">
        <f t="shared" si="25"/>
        <v>104</v>
      </c>
      <c r="BS25" s="1536">
        <f t="shared" si="25"/>
        <v>-185</v>
      </c>
      <c r="BT25" s="1537">
        <f t="shared" si="25"/>
        <v>-420</v>
      </c>
      <c r="BU25" s="1536">
        <f t="shared" si="25"/>
        <v>187</v>
      </c>
      <c r="BV25" s="1536">
        <f t="shared" si="25"/>
        <v>147</v>
      </c>
      <c r="BW25" s="1536">
        <f t="shared" si="25"/>
        <v>161</v>
      </c>
      <c r="BX25" s="1536">
        <f t="shared" si="25"/>
        <v>121</v>
      </c>
      <c r="BY25" s="1537">
        <f t="shared" si="25"/>
        <v>616</v>
      </c>
      <c r="BZ25" s="1536">
        <f t="shared" si="25"/>
        <v>186</v>
      </c>
      <c r="CA25" s="1536">
        <f t="shared" si="25"/>
        <v>158</v>
      </c>
      <c r="CB25" s="1536">
        <f t="shared" ref="CB25:DC25" si="26">CB12-CB16-CB17-CB13-CB18-SUM(CB20:CB22)+CB23</f>
        <v>160</v>
      </c>
      <c r="CC25" s="1536">
        <f t="shared" si="26"/>
        <v>189</v>
      </c>
      <c r="CD25" s="1537">
        <f t="shared" si="26"/>
        <v>693</v>
      </c>
      <c r="CE25" s="1536">
        <f t="shared" si="26"/>
        <v>270</v>
      </c>
      <c r="CF25" s="1536">
        <f t="shared" si="26"/>
        <v>236</v>
      </c>
      <c r="CG25" s="1536">
        <f t="shared" si="26"/>
        <v>230</v>
      </c>
      <c r="CH25" s="1536">
        <f t="shared" si="26"/>
        <v>186</v>
      </c>
      <c r="CI25" s="1537">
        <f t="shared" si="26"/>
        <v>922</v>
      </c>
      <c r="CJ25" s="1536">
        <f t="shared" si="26"/>
        <v>296</v>
      </c>
      <c r="CK25" s="1536">
        <f t="shared" si="26"/>
        <v>268</v>
      </c>
      <c r="CL25" s="1536">
        <f t="shared" si="26"/>
        <v>198</v>
      </c>
      <c r="CM25" s="1536">
        <f t="shared" si="26"/>
        <v>266</v>
      </c>
      <c r="CN25" s="1537">
        <f t="shared" si="26"/>
        <v>1028</v>
      </c>
      <c r="CO25" s="1536">
        <f t="shared" si="26"/>
        <v>352</v>
      </c>
      <c r="CP25" s="1536">
        <f t="shared" si="26"/>
        <v>265</v>
      </c>
      <c r="CQ25" s="1536">
        <f t="shared" si="26"/>
        <v>179</v>
      </c>
      <c r="CR25" s="1536">
        <f t="shared" si="26"/>
        <v>255</v>
      </c>
      <c r="CS25" s="1537">
        <f t="shared" si="26"/>
        <v>1051</v>
      </c>
      <c r="CT25" s="1536">
        <f t="shared" si="26"/>
        <v>305</v>
      </c>
      <c r="CU25" s="1536">
        <f t="shared" si="26"/>
        <v>284</v>
      </c>
      <c r="CV25" s="1536">
        <f t="shared" si="26"/>
        <v>263</v>
      </c>
      <c r="CW25" s="1536">
        <f t="shared" si="26"/>
        <v>327</v>
      </c>
      <c r="CX25" s="1537">
        <f t="shared" si="26"/>
        <v>1179</v>
      </c>
      <c r="CY25" s="1536">
        <f t="shared" si="26"/>
        <v>260</v>
      </c>
      <c r="CZ25" s="1536">
        <f t="shared" si="26"/>
        <v>323</v>
      </c>
      <c r="DA25" s="1536">
        <f t="shared" si="26"/>
        <v>267</v>
      </c>
      <c r="DB25" s="1536">
        <f t="shared" si="26"/>
        <v>358</v>
      </c>
      <c r="DC25" s="1537">
        <f t="shared" si="26"/>
        <v>1208</v>
      </c>
      <c r="DD25" s="1536">
        <f>DD14-SUM(DD16:DD22)+DD23</f>
        <v>363</v>
      </c>
      <c r="DE25" s="1536">
        <f>DE14-SUM(DE16:DE22)+DE23</f>
        <v>416</v>
      </c>
      <c r="DF25" s="1536">
        <f>DF14-SUM(DF16:DF22)+DF23</f>
        <v>418</v>
      </c>
      <c r="DG25" s="1536">
        <f>DG14-SUM(DG16:DG22)+DG23</f>
        <v>577</v>
      </c>
      <c r="DH25" s="1537">
        <f>DH12-DH16-DH17-DH13-DH18-SUM(DH20:DH22)+DH23-DH19</f>
        <v>1774</v>
      </c>
      <c r="DI25" s="1536">
        <f>DI14+DI15-DI16-DI17-DI18-DI19-DI20-DI21-DI22+DI23+DI24</f>
        <v>497</v>
      </c>
      <c r="DJ25" s="1536">
        <f>DJ14+DJ15-DJ16-DJ17-DJ18-DJ19-DJ20-DJ21-DJ22+DJ23+DJ24</f>
        <v>361</v>
      </c>
      <c r="DK25" s="1536">
        <f>DK14+DK15-DK16-DK17-DK18-DK19-DK20-DK21-DK22+DK23+DK24</f>
        <v>472</v>
      </c>
      <c r="DL25" s="1536">
        <f>DL14+DL15-DL16-DL17-DL18-DL19-DL20-DL21-DL22+DL23+DL24</f>
        <v>523</v>
      </c>
      <c r="DM25" s="1537">
        <f>DM12-DM13+DM15-DM16-DM17-DM18-SUM(DM20:DM22)+DM23-DM19+DM24</f>
        <v>1853</v>
      </c>
      <c r="DN25" s="1536">
        <f t="shared" ref="DN25:EG25" si="27">DN14+DN15-DN16-DN17-DN18-DN19-DN20-DN21-DN22+DN23+DN24</f>
        <v>559</v>
      </c>
      <c r="DO25" s="1536">
        <f t="shared" si="27"/>
        <v>482</v>
      </c>
      <c r="DP25" s="1536">
        <f t="shared" si="27"/>
        <v>538</v>
      </c>
      <c r="DQ25" s="1536">
        <f t="shared" si="27"/>
        <v>490</v>
      </c>
      <c r="DR25" s="1537">
        <f t="shared" si="27"/>
        <v>2069</v>
      </c>
      <c r="DS25" s="1536">
        <f t="shared" si="27"/>
        <v>488</v>
      </c>
      <c r="DT25" s="1536">
        <f t="shared" si="27"/>
        <v>532</v>
      </c>
      <c r="DU25" s="1536">
        <f t="shared" si="27"/>
        <v>270</v>
      </c>
      <c r="DV25" s="1536">
        <f t="shared" ref="DV25" si="28">DV14+DV15-DV16-DV17-DV18-DV19-DV20-DV21-DV22+DV23+DV24</f>
        <v>693</v>
      </c>
      <c r="DW25" s="1537">
        <f t="shared" si="27"/>
        <v>1983</v>
      </c>
      <c r="DX25" s="1536">
        <f t="shared" si="27"/>
        <v>603.8870011527481</v>
      </c>
      <c r="DY25" s="1536">
        <f t="shared" si="27"/>
        <v>651.3748828090902</v>
      </c>
      <c r="DZ25" s="1536">
        <f t="shared" si="27"/>
        <v>643.61551170618429</v>
      </c>
      <c r="EA25" s="1536">
        <f t="shared" si="27"/>
        <v>637.87194053608118</v>
      </c>
      <c r="EB25" s="1537">
        <f t="shared" si="27"/>
        <v>2536.749336204105</v>
      </c>
      <c r="EC25" s="1536">
        <f t="shared" si="27"/>
        <v>640.19223711558016</v>
      </c>
      <c r="ED25" s="1536">
        <f t="shared" si="27"/>
        <v>653.61631801113595</v>
      </c>
      <c r="EE25" s="1536">
        <f t="shared" si="27"/>
        <v>655.60078571256599</v>
      </c>
      <c r="EF25" s="1536">
        <f t="shared" si="27"/>
        <v>677.4163864003956</v>
      </c>
      <c r="EG25" s="1537">
        <f t="shared" si="27"/>
        <v>2626.8257272396786</v>
      </c>
      <c r="EH25" s="1536">
        <f t="shared" ref="EH25:EL25" si="29">EH14+EH15-EH16-EH17-EH18-EH19-EH20-EH21-EH22+EH23+EH24</f>
        <v>676.1162129593497</v>
      </c>
      <c r="EI25" s="1536">
        <f t="shared" si="29"/>
        <v>682.7016308900113</v>
      </c>
      <c r="EJ25" s="1536">
        <f t="shared" si="29"/>
        <v>672.99143834607821</v>
      </c>
      <c r="EK25" s="1536">
        <f t="shared" si="29"/>
        <v>677.95315726080412</v>
      </c>
      <c r="EL25" s="1537">
        <f t="shared" si="29"/>
        <v>2709.7624394562454</v>
      </c>
      <c r="EM25" s="21"/>
      <c r="EN25"/>
      <c r="EO25"/>
      <c r="EP25"/>
      <c r="EQ25"/>
      <c r="ER25"/>
      <c r="ES25" s="23"/>
      <c r="ET25"/>
      <c r="EU25" s="23"/>
      <c r="EV25" s="23"/>
      <c r="EW25" s="23"/>
      <c r="EX25" s="24"/>
      <c r="EY25" s="24"/>
      <c r="EZ25" s="24"/>
      <c r="FA25" s="24"/>
      <c r="FB25" s="24"/>
      <c r="FC25" s="24"/>
      <c r="FD25" s="24"/>
      <c r="FE25" s="24"/>
      <c r="FF25" s="24"/>
      <c r="FG25" s="24"/>
      <c r="FH25" s="24"/>
      <c r="FI25" s="24"/>
      <c r="FJ25" s="24"/>
      <c r="FK25" s="24"/>
      <c r="FL25" s="24"/>
      <c r="FM25" s="24"/>
      <c r="FN25" s="24"/>
      <c r="FO25" s="24"/>
      <c r="FP25" s="24"/>
      <c r="FQ25" s="24"/>
      <c r="FR25" s="24"/>
      <c r="FS25" s="24"/>
      <c r="FT25" s="24"/>
      <c r="FU25" s="24"/>
      <c r="FV25" s="24"/>
      <c r="FW25" s="24"/>
      <c r="FX25" s="24"/>
      <c r="FY25" s="24"/>
      <c r="FZ25" s="24"/>
      <c r="GA25" s="24"/>
      <c r="GB25" s="24"/>
      <c r="GC25" s="24"/>
      <c r="GD25" s="24"/>
      <c r="GE25" s="24"/>
      <c r="GF25" s="24"/>
      <c r="GG25" s="24"/>
      <c r="GH25" s="24"/>
      <c r="GI25" s="24"/>
      <c r="GJ25" s="24"/>
      <c r="GK25" s="24"/>
      <c r="GL25" s="24"/>
      <c r="GM25" s="24"/>
      <c r="GN25" s="24"/>
      <c r="GO25" s="24"/>
      <c r="GP25" s="24"/>
      <c r="GQ25" s="24"/>
      <c r="GR25" s="24"/>
      <c r="GS25" s="24"/>
      <c r="GT25" s="24"/>
      <c r="GU25" s="24"/>
      <c r="GV25" s="24"/>
      <c r="GW25" s="24"/>
      <c r="GX25" s="24"/>
      <c r="GY25" s="24"/>
      <c r="GZ25" s="24"/>
      <c r="HA25" s="24"/>
      <c r="HB25" s="24"/>
      <c r="HC25" s="24"/>
      <c r="HD25" s="24"/>
      <c r="HE25" s="24"/>
      <c r="HF25" s="24"/>
      <c r="HG25" s="24"/>
      <c r="HH25" s="24"/>
      <c r="HI25" s="24"/>
      <c r="HJ25" s="24"/>
      <c r="HK25" s="24"/>
      <c r="HL25" s="24"/>
      <c r="HM25" s="24"/>
      <c r="HN25" s="24"/>
      <c r="HO25" s="24"/>
      <c r="HP25" s="24"/>
      <c r="HQ25" s="24"/>
      <c r="HR25" s="24"/>
      <c r="HS25" s="24"/>
      <c r="HT25" s="24"/>
      <c r="HU25" s="24"/>
      <c r="HV25" s="24"/>
      <c r="HW25" s="24"/>
      <c r="HX25" s="24"/>
      <c r="HY25" s="24"/>
      <c r="HZ25" s="24"/>
      <c r="IA25" s="24"/>
      <c r="IB25" s="24"/>
      <c r="IC25" s="24"/>
      <c r="ID25" s="24"/>
      <c r="IE25" s="24"/>
      <c r="IF25" s="24"/>
      <c r="IG25" s="24"/>
      <c r="IH25" s="24"/>
      <c r="II25" s="24"/>
      <c r="IJ25" s="24"/>
      <c r="IK25" s="24"/>
      <c r="IL25" s="24"/>
      <c r="IM25" s="24"/>
      <c r="IN25" s="24"/>
      <c r="IO25" s="24"/>
      <c r="IP25" s="24"/>
      <c r="IQ25" s="24"/>
      <c r="IR25" s="24"/>
      <c r="IS25" s="24"/>
      <c r="IT25" s="24"/>
      <c r="IU25" s="24"/>
      <c r="IV25" s="24"/>
      <c r="IW25" s="24"/>
      <c r="IX25" s="24"/>
      <c r="IY25" s="24"/>
      <c r="IZ25" s="24"/>
      <c r="JA25" s="24"/>
      <c r="JB25" s="24"/>
      <c r="JC25" s="24"/>
      <c r="JD25" s="24"/>
      <c r="JE25" s="24"/>
      <c r="JF25" s="24"/>
      <c r="JG25" s="24"/>
      <c r="JH25" s="24"/>
      <c r="JI25" s="24"/>
      <c r="JJ25" s="24"/>
      <c r="JK25" s="24"/>
    </row>
    <row r="26" spans="1:271" s="18" customFormat="1" ht="12" customHeight="1">
      <c r="A26" s="766"/>
      <c r="B26" s="767" t="s">
        <v>347</v>
      </c>
      <c r="C26" s="737"/>
      <c r="D26" s="768">
        <f>37.822</f>
        <v>37.822000000000003</v>
      </c>
      <c r="E26" s="768">
        <f>33.1+4.1</f>
        <v>37.200000000000003</v>
      </c>
      <c r="F26" s="768">
        <f>34+3.6</f>
        <v>37.6</v>
      </c>
      <c r="G26" s="768">
        <f>(164+31)-SUM(D26:F26)</f>
        <v>82.377999999999986</v>
      </c>
      <c r="H26" s="769">
        <f>SUM(D26:G26)</f>
        <v>195</v>
      </c>
      <c r="I26" s="768">
        <f>61.4+18.8</f>
        <v>80.2</v>
      </c>
      <c r="J26" s="768">
        <f>61.3+21.2</f>
        <v>82.5</v>
      </c>
      <c r="K26" s="768">
        <f>58.4+19.4</f>
        <v>77.8</v>
      </c>
      <c r="L26" s="768">
        <f>(240+81)-SUM(I26:K26)</f>
        <v>80.5</v>
      </c>
      <c r="M26" s="769">
        <f>SUM(I26:L26)</f>
        <v>321</v>
      </c>
      <c r="N26" s="768">
        <f>63.2+20.9</f>
        <v>84.1</v>
      </c>
      <c r="O26" s="768">
        <f>63.8+21.7</f>
        <v>85.5</v>
      </c>
      <c r="P26" s="768">
        <f>81.7+26.5</f>
        <v>108.2</v>
      </c>
      <c r="Q26" s="768">
        <f>(335+108)-SUM(N26:P26)</f>
        <v>165.2</v>
      </c>
      <c r="R26" s="769">
        <f>SUM(N26:Q26)</f>
        <v>443</v>
      </c>
      <c r="S26" s="768">
        <f>81+24</f>
        <v>105</v>
      </c>
      <c r="T26" s="768">
        <f>87+27</f>
        <v>114</v>
      </c>
      <c r="U26" s="768">
        <f>89+32</f>
        <v>121</v>
      </c>
      <c r="V26" s="768">
        <f>(347+113)-SUM(S26:U26)</f>
        <v>120</v>
      </c>
      <c r="W26" s="769">
        <f>SUM(S26:V26)</f>
        <v>460</v>
      </c>
      <c r="X26" s="768">
        <f>96+31</f>
        <v>127</v>
      </c>
      <c r="Y26" s="768">
        <f>102+32</f>
        <v>134</v>
      </c>
      <c r="Z26" s="768">
        <f>109+33</f>
        <v>142</v>
      </c>
      <c r="AA26" s="768">
        <f>(421+135)-SUM(X26:Z26)</f>
        <v>153</v>
      </c>
      <c r="AB26" s="769">
        <f>SUM(X26:AA26)</f>
        <v>556</v>
      </c>
      <c r="AC26" s="768">
        <f>102+32</f>
        <v>134</v>
      </c>
      <c r="AD26" s="768">
        <f>102+30</f>
        <v>132</v>
      </c>
      <c r="AE26" s="768">
        <f>103+30</f>
        <v>133</v>
      </c>
      <c r="AF26" s="768">
        <f>(411+122)-SUM(AC26:AE26)</f>
        <v>134</v>
      </c>
      <c r="AG26" s="769">
        <f>SUM(AC26:AF26)</f>
        <v>533</v>
      </c>
      <c r="AH26" s="768">
        <f>107+30</f>
        <v>137</v>
      </c>
      <c r="AI26" s="768">
        <f>105+31</f>
        <v>136</v>
      </c>
      <c r="AJ26" s="768">
        <f>108+31</f>
        <v>139</v>
      </c>
      <c r="AK26" s="768">
        <f>(428+126)-SUM(AH26:AJ26)</f>
        <v>142</v>
      </c>
      <c r="AL26" s="769">
        <f>SUM(AH26:AK26)</f>
        <v>554</v>
      </c>
      <c r="AM26" s="768">
        <f>115+34</f>
        <v>149</v>
      </c>
      <c r="AN26" s="768">
        <f>118+33</f>
        <v>151</v>
      </c>
      <c r="AO26" s="768">
        <f>121+33</f>
        <v>154</v>
      </c>
      <c r="AP26" s="768">
        <f>(472+132)-SUM(AM26:AO26)</f>
        <v>150</v>
      </c>
      <c r="AQ26" s="769">
        <f>SUM(AM26:AP26)</f>
        <v>604</v>
      </c>
      <c r="AR26" s="768">
        <f>120+8</f>
        <v>128</v>
      </c>
      <c r="AS26" s="768">
        <f>122+8</f>
        <v>130</v>
      </c>
      <c r="AT26" s="768">
        <f>125+7</f>
        <v>132</v>
      </c>
      <c r="AU26" s="768"/>
      <c r="AV26" s="769">
        <f>113+24+7</f>
        <v>144</v>
      </c>
      <c r="AW26" s="768">
        <f>109+16+8</f>
        <v>133</v>
      </c>
      <c r="AX26" s="768">
        <f>113+7</f>
        <v>120</v>
      </c>
      <c r="AY26" s="768">
        <f>114+7</f>
        <v>121</v>
      </c>
      <c r="AZ26" s="768">
        <f>SUM(AV26:AY26)</f>
        <v>518</v>
      </c>
      <c r="BA26" s="768">
        <f>112+7</f>
        <v>119</v>
      </c>
      <c r="BB26" s="768">
        <f>113+7</f>
        <v>120</v>
      </c>
      <c r="BC26" s="768">
        <f>107+5</f>
        <v>112</v>
      </c>
      <c r="BD26" s="768">
        <f>108+6</f>
        <v>114</v>
      </c>
      <c r="BE26" s="769">
        <f>SUM(BA26:BD26)</f>
        <v>465</v>
      </c>
      <c r="BF26" s="768">
        <f>96</f>
        <v>96</v>
      </c>
      <c r="BG26" s="768">
        <f>95</f>
        <v>95</v>
      </c>
      <c r="BH26" s="768">
        <f>93+6</f>
        <v>99</v>
      </c>
      <c r="BI26" s="768">
        <f>96+4</f>
        <v>100</v>
      </c>
      <c r="BJ26" s="769">
        <f>SUM(BF26:BI26)</f>
        <v>390</v>
      </c>
      <c r="BK26" s="768">
        <f>90+6</f>
        <v>96</v>
      </c>
      <c r="BL26" s="768">
        <f>86+6</f>
        <v>92</v>
      </c>
      <c r="BM26" s="768">
        <f>95+10</f>
        <v>105</v>
      </c>
      <c r="BN26" s="768">
        <f>81+8</f>
        <v>89</v>
      </c>
      <c r="BO26" s="769">
        <f>SUM(BK26:BN26)</f>
        <v>382</v>
      </c>
      <c r="BP26" s="768">
        <f>83+7</f>
        <v>90</v>
      </c>
      <c r="BQ26" s="768">
        <f>76+6</f>
        <v>82</v>
      </c>
      <c r="BR26" s="768">
        <f>77+6</f>
        <v>83</v>
      </c>
      <c r="BS26" s="768">
        <f>84+11</f>
        <v>95</v>
      </c>
      <c r="BT26" s="769">
        <f>SUM(BP26:BS26)</f>
        <v>350</v>
      </c>
      <c r="BU26" s="768">
        <f>81+8</f>
        <v>89</v>
      </c>
      <c r="BV26" s="768">
        <f>81+8</f>
        <v>89</v>
      </c>
      <c r="BW26" s="768">
        <f>83+8</f>
        <v>91</v>
      </c>
      <c r="BX26" s="768">
        <v>93</v>
      </c>
      <c r="BY26" s="769">
        <v>362</v>
      </c>
      <c r="BZ26" s="768">
        <f>86+9</f>
        <v>95</v>
      </c>
      <c r="CA26" s="768">
        <v>95</v>
      </c>
      <c r="CB26" s="768">
        <v>94</v>
      </c>
      <c r="CC26" s="768">
        <f>85+11</f>
        <v>96</v>
      </c>
      <c r="CD26" s="769">
        <v>380</v>
      </c>
      <c r="CE26" s="768">
        <f>86+11</f>
        <v>97</v>
      </c>
      <c r="CF26" s="768">
        <f>87+11</f>
        <v>98</v>
      </c>
      <c r="CG26" s="768">
        <f>85+12</f>
        <v>97</v>
      </c>
      <c r="CH26" s="768">
        <f>85+10</f>
        <v>95</v>
      </c>
      <c r="CI26" s="769">
        <f>SUM(CE26:CH26)</f>
        <v>387</v>
      </c>
      <c r="CJ26" s="768">
        <v>95</v>
      </c>
      <c r="CK26" s="768">
        <v>97</v>
      </c>
      <c r="CL26" s="768">
        <v>101</v>
      </c>
      <c r="CM26" s="768">
        <v>101</v>
      </c>
      <c r="CN26" s="769">
        <f>SUM(CJ26:CM26)</f>
        <v>394</v>
      </c>
      <c r="CO26" s="768">
        <v>98</v>
      </c>
      <c r="CP26" s="768">
        <v>100</v>
      </c>
      <c r="CQ26" s="768">
        <v>100</v>
      </c>
      <c r="CR26" s="768">
        <v>100</v>
      </c>
      <c r="CS26" s="769">
        <f>SUM(CO26:CR26)</f>
        <v>398</v>
      </c>
      <c r="CT26" s="768">
        <v>100</v>
      </c>
      <c r="CU26" s="768">
        <v>104</v>
      </c>
      <c r="CV26" s="768">
        <v>110</v>
      </c>
      <c r="CW26" s="768">
        <v>116</v>
      </c>
      <c r="CX26" s="769">
        <f>SUM(CT26:CW26)</f>
        <v>430</v>
      </c>
      <c r="CY26" s="768">
        <v>114</v>
      </c>
      <c r="CZ26" s="768">
        <v>121</v>
      </c>
      <c r="DA26" s="768">
        <v>119</v>
      </c>
      <c r="DB26" s="768">
        <v>191</v>
      </c>
      <c r="DC26" s="769">
        <f>SUM(CY26:DB26)</f>
        <v>545</v>
      </c>
      <c r="DD26" s="768">
        <v>193</v>
      </c>
      <c r="DE26" s="768">
        <v>209</v>
      </c>
      <c r="DF26" s="768">
        <v>207</v>
      </c>
      <c r="DG26" s="768">
        <v>240</v>
      </c>
      <c r="DH26" s="769">
        <f>SUM(DD26:DG26)</f>
        <v>849</v>
      </c>
      <c r="DI26" s="768">
        <v>207</v>
      </c>
      <c r="DJ26" s="768">
        <v>197</v>
      </c>
      <c r="DK26" s="768">
        <v>185</v>
      </c>
      <c r="DL26" s="768">
        <v>208</v>
      </c>
      <c r="DM26" s="769">
        <f>SUM(DI26:DL26)</f>
        <v>797</v>
      </c>
      <c r="DN26" s="768">
        <v>212</v>
      </c>
      <c r="DO26" s="768">
        <v>215</v>
      </c>
      <c r="DP26" s="768">
        <v>205</v>
      </c>
      <c r="DQ26" s="768">
        <v>218</v>
      </c>
      <c r="DR26" s="769">
        <f>SUM(DN26:DQ26)</f>
        <v>850</v>
      </c>
      <c r="DS26" s="768">
        <v>221</v>
      </c>
      <c r="DT26" s="768">
        <v>222</v>
      </c>
      <c r="DU26" s="768">
        <v>219</v>
      </c>
      <c r="DV26" s="768">
        <v>208</v>
      </c>
      <c r="DW26" s="769">
        <f>SUM(DS26:DV26)</f>
        <v>870</v>
      </c>
      <c r="DX26" s="781">
        <f>DX14*DX99</f>
        <v>201.7438009604862</v>
      </c>
      <c r="DY26" s="781">
        <f t="shared" ref="DY26:DZ26" si="30">DY14*DY99</f>
        <v>201.16481740073576</v>
      </c>
      <c r="DZ26" s="781">
        <f t="shared" si="30"/>
        <v>192.81340922530634</v>
      </c>
      <c r="EA26" s="781">
        <f>EA14*EA99</f>
        <v>202.4459134842478</v>
      </c>
      <c r="EB26" s="769">
        <f>SUM(DX26:EA26)</f>
        <v>798.16794107077612</v>
      </c>
      <c r="EC26" s="781">
        <f t="shared" ref="EC26:EF26" si="31">EC14*EC99</f>
        <v>194.5447400748906</v>
      </c>
      <c r="ED26" s="781">
        <f t="shared" si="31"/>
        <v>215.56469068587356</v>
      </c>
      <c r="EE26" s="781">
        <f t="shared" si="31"/>
        <v>210.41342901570511</v>
      </c>
      <c r="EF26" s="781">
        <f t="shared" si="31"/>
        <v>205.68924311205731</v>
      </c>
      <c r="EG26" s="769">
        <f>SUM(EC26:EF26)</f>
        <v>826.21210288852649</v>
      </c>
      <c r="EH26" s="781">
        <f t="shared" ref="EH26:EK26" si="32">EH14*EH99</f>
        <v>212.97132811575887</v>
      </c>
      <c r="EI26" s="781">
        <f t="shared" si="32"/>
        <v>215.70671379072485</v>
      </c>
      <c r="EJ26" s="781">
        <f t="shared" si="32"/>
        <v>210.35354948550565</v>
      </c>
      <c r="EK26" s="781">
        <f t="shared" si="32"/>
        <v>224.97197629623295</v>
      </c>
      <c r="EL26" s="769">
        <f>SUM(EH26:EK26)</f>
        <v>864.00356768822235</v>
      </c>
      <c r="EM26" s="21"/>
      <c r="EN26"/>
      <c r="EO26"/>
      <c r="EP26"/>
      <c r="EQ26"/>
      <c r="ER26"/>
      <c r="ES26" s="23"/>
      <c r="ET26"/>
      <c r="EU26" s="32"/>
      <c r="EV26" s="23"/>
      <c r="EW26" s="23"/>
      <c r="EX26" s="24"/>
      <c r="EY26" s="24"/>
      <c r="EZ26" s="24"/>
      <c r="FA26" s="24"/>
      <c r="FB26" s="24"/>
      <c r="FC26" s="24"/>
      <c r="FD26" s="24"/>
      <c r="FE26" s="24"/>
      <c r="FF26" s="24"/>
      <c r="FG26" s="24"/>
      <c r="FH26" s="24"/>
      <c r="FI26" s="24"/>
      <c r="FJ26" s="24"/>
      <c r="FK26" s="24"/>
      <c r="FL26" s="24"/>
      <c r="FM26" s="24"/>
      <c r="FN26" s="24"/>
      <c r="FO26" s="24"/>
      <c r="FP26" s="24"/>
      <c r="FQ26" s="24"/>
      <c r="FR26" s="24"/>
      <c r="FS26" s="24"/>
      <c r="FT26" s="24"/>
      <c r="FU26" s="24"/>
      <c r="FV26" s="24"/>
      <c r="FW26" s="24"/>
      <c r="FX26" s="24"/>
      <c r="FY26" s="24"/>
      <c r="FZ26" s="24"/>
      <c r="GA26" s="24"/>
      <c r="GB26" s="24"/>
      <c r="GC26" s="24"/>
      <c r="GD26" s="24"/>
      <c r="GE26" s="24"/>
      <c r="GF26" s="24"/>
      <c r="GG26" s="24"/>
      <c r="GH26" s="24"/>
      <c r="GI26" s="24"/>
      <c r="GJ26" s="24"/>
      <c r="GK26" s="24"/>
      <c r="GL26" s="24"/>
      <c r="GM26" s="24"/>
      <c r="GN26" s="24"/>
      <c r="GO26" s="24"/>
      <c r="GP26" s="24"/>
      <c r="GQ26" s="24"/>
      <c r="GR26" s="24"/>
      <c r="GS26" s="24"/>
      <c r="GT26" s="24"/>
      <c r="GU26" s="24"/>
      <c r="GV26" s="24"/>
      <c r="GW26" s="24"/>
      <c r="GX26" s="24"/>
      <c r="GY26" s="24"/>
      <c r="GZ26" s="24"/>
      <c r="HA26" s="24"/>
      <c r="HB26" s="24"/>
      <c r="HC26" s="24"/>
      <c r="HD26" s="24"/>
      <c r="HE26" s="24"/>
      <c r="HF26" s="24"/>
      <c r="HG26" s="24"/>
      <c r="HH26" s="24"/>
      <c r="HI26" s="24"/>
      <c r="HJ26" s="24"/>
      <c r="HK26" s="24"/>
      <c r="HL26" s="24"/>
      <c r="HM26" s="24"/>
      <c r="HN26" s="24"/>
      <c r="HO26" s="24"/>
      <c r="HP26" s="24"/>
      <c r="HQ26" s="24"/>
      <c r="HR26" s="24"/>
      <c r="HS26" s="24"/>
      <c r="HT26" s="24"/>
      <c r="HU26" s="24"/>
      <c r="HV26" s="24"/>
      <c r="HW26" s="24"/>
      <c r="HX26" s="24"/>
      <c r="HY26" s="24"/>
      <c r="HZ26" s="24"/>
      <c r="IA26" s="24"/>
      <c r="IB26" s="24"/>
      <c r="IC26" s="24"/>
      <c r="ID26" s="24"/>
      <c r="IE26" s="24"/>
      <c r="IF26" s="24"/>
      <c r="IG26" s="24"/>
      <c r="IH26" s="24"/>
      <c r="II26" s="24"/>
      <c r="IJ26" s="24"/>
      <c r="IK26" s="24"/>
      <c r="IL26" s="24"/>
      <c r="IM26" s="24"/>
      <c r="IN26" s="24"/>
      <c r="IO26" s="24"/>
      <c r="IP26" s="24"/>
      <c r="IQ26" s="24"/>
      <c r="IR26" s="24"/>
      <c r="IS26" s="24"/>
      <c r="IT26" s="24"/>
      <c r="IU26" s="24"/>
      <c r="IV26" s="24"/>
      <c r="IW26" s="24"/>
      <c r="IX26" s="24"/>
      <c r="IY26" s="24"/>
      <c r="IZ26" s="24"/>
      <c r="JA26" s="24"/>
      <c r="JB26" s="24"/>
      <c r="JC26" s="24"/>
      <c r="JD26" s="24"/>
      <c r="JE26" s="24"/>
      <c r="JF26" s="24"/>
      <c r="JG26" s="24"/>
      <c r="JH26" s="24"/>
      <c r="JI26" s="24"/>
      <c r="JJ26" s="24"/>
      <c r="JK26" s="24"/>
    </row>
    <row r="27" spans="1:271" s="18" customFormat="1" ht="12" customHeight="1">
      <c r="A27" s="1538"/>
      <c r="B27" s="1539" t="s">
        <v>348</v>
      </c>
      <c r="C27" s="1539"/>
      <c r="D27" s="1540">
        <f t="shared" ref="D27:AT27" si="33">D25-D26</f>
        <v>84.868000000000009</v>
      </c>
      <c r="E27" s="1540">
        <f t="shared" si="33"/>
        <v>84.799999999999969</v>
      </c>
      <c r="F27" s="1540">
        <f t="shared" si="33"/>
        <v>88.69999999999996</v>
      </c>
      <c r="G27" s="1540">
        <f t="shared" si="33"/>
        <v>132.63200000000001</v>
      </c>
      <c r="H27" s="1541">
        <f t="shared" si="33"/>
        <v>391</v>
      </c>
      <c r="I27" s="1540">
        <f t="shared" si="33"/>
        <v>173.90000000000003</v>
      </c>
      <c r="J27" s="1540">
        <f t="shared" si="33"/>
        <v>191.3</v>
      </c>
      <c r="K27" s="1540">
        <f t="shared" si="33"/>
        <v>201.80000000000013</v>
      </c>
      <c r="L27" s="1540">
        <f t="shared" si="33"/>
        <v>124.99999999999977</v>
      </c>
      <c r="M27" s="1541">
        <f t="shared" si="33"/>
        <v>692</v>
      </c>
      <c r="N27" s="1540">
        <f t="shared" si="33"/>
        <v>198.59999999999988</v>
      </c>
      <c r="O27" s="1540">
        <f t="shared" si="33"/>
        <v>206.19999999999987</v>
      </c>
      <c r="P27" s="1540">
        <f t="shared" si="33"/>
        <v>31.200000000000088</v>
      </c>
      <c r="Q27" s="1540">
        <f t="shared" si="33"/>
        <v>-22.000000000000682</v>
      </c>
      <c r="R27" s="1541">
        <f t="shared" si="33"/>
        <v>414</v>
      </c>
      <c r="S27" s="1540">
        <f t="shared" si="33"/>
        <v>305</v>
      </c>
      <c r="T27" s="1540">
        <f t="shared" si="33"/>
        <v>330</v>
      </c>
      <c r="U27" s="1540">
        <f t="shared" si="33"/>
        <v>357</v>
      </c>
      <c r="V27" s="1540">
        <f t="shared" si="33"/>
        <v>136</v>
      </c>
      <c r="W27" s="1541">
        <f t="shared" si="33"/>
        <v>1128</v>
      </c>
      <c r="X27" s="1540">
        <f t="shared" si="33"/>
        <v>338</v>
      </c>
      <c r="Y27" s="1540">
        <f t="shared" si="33"/>
        <v>317</v>
      </c>
      <c r="Z27" s="1540">
        <f t="shared" si="33"/>
        <v>316</v>
      </c>
      <c r="AA27" s="1540">
        <f t="shared" si="33"/>
        <v>-32</v>
      </c>
      <c r="AB27" s="1541">
        <f t="shared" si="33"/>
        <v>939</v>
      </c>
      <c r="AC27" s="1540">
        <f t="shared" si="33"/>
        <v>323</v>
      </c>
      <c r="AD27" s="1540">
        <f t="shared" si="33"/>
        <v>337</v>
      </c>
      <c r="AE27" s="1540">
        <f t="shared" si="33"/>
        <v>135</v>
      </c>
      <c r="AF27" s="1540">
        <f t="shared" si="33"/>
        <v>252</v>
      </c>
      <c r="AG27" s="1541">
        <f t="shared" si="33"/>
        <v>1047</v>
      </c>
      <c r="AH27" s="1540">
        <f t="shared" si="33"/>
        <v>380</v>
      </c>
      <c r="AI27" s="1540">
        <f t="shared" si="33"/>
        <v>401</v>
      </c>
      <c r="AJ27" s="1540">
        <f t="shared" si="33"/>
        <v>439</v>
      </c>
      <c r="AK27" s="1540">
        <f t="shared" si="33"/>
        <v>327</v>
      </c>
      <c r="AL27" s="1541">
        <f t="shared" si="33"/>
        <v>1547</v>
      </c>
      <c r="AM27" s="1540">
        <f t="shared" si="33"/>
        <v>477</v>
      </c>
      <c r="AN27" s="1540">
        <f t="shared" si="33"/>
        <v>428</v>
      </c>
      <c r="AO27" s="1540">
        <f t="shared" si="33"/>
        <v>567</v>
      </c>
      <c r="AP27" s="1540">
        <f t="shared" si="33"/>
        <v>622</v>
      </c>
      <c r="AQ27" s="1541">
        <f t="shared" si="33"/>
        <v>2094</v>
      </c>
      <c r="AR27" s="1540">
        <f t="shared" si="33"/>
        <v>628</v>
      </c>
      <c r="AS27" s="1540">
        <f t="shared" si="33"/>
        <v>581</v>
      </c>
      <c r="AT27" s="1540">
        <f t="shared" si="33"/>
        <v>-19</v>
      </c>
      <c r="AU27" s="1540"/>
      <c r="AV27" s="1541">
        <f t="shared" ref="AV27:CA27" si="34">AV25-AV26</f>
        <v>530</v>
      </c>
      <c r="AW27" s="1540">
        <f t="shared" si="34"/>
        <v>559</v>
      </c>
      <c r="AX27" s="1540">
        <f t="shared" si="34"/>
        <v>585</v>
      </c>
      <c r="AY27" s="1540">
        <f t="shared" si="34"/>
        <v>131</v>
      </c>
      <c r="AZ27" s="1540">
        <f t="shared" si="34"/>
        <v>1805</v>
      </c>
      <c r="BA27" s="1540">
        <f t="shared" si="34"/>
        <v>146</v>
      </c>
      <c r="BB27" s="1540">
        <f t="shared" si="34"/>
        <v>-124</v>
      </c>
      <c r="BC27" s="1540">
        <f t="shared" si="34"/>
        <v>-294</v>
      </c>
      <c r="BD27" s="1540">
        <f t="shared" si="34"/>
        <v>-1345</v>
      </c>
      <c r="BE27" s="1541">
        <f t="shared" si="34"/>
        <v>-1617</v>
      </c>
      <c r="BF27" s="1540">
        <f t="shared" si="34"/>
        <v>56</v>
      </c>
      <c r="BG27" s="1540">
        <f t="shared" si="34"/>
        <v>-254</v>
      </c>
      <c r="BH27" s="1540">
        <f t="shared" si="34"/>
        <v>18</v>
      </c>
      <c r="BI27" s="1540">
        <f t="shared" si="34"/>
        <v>-1244</v>
      </c>
      <c r="BJ27" s="1541">
        <f t="shared" si="34"/>
        <v>-1424</v>
      </c>
      <c r="BK27" s="1540">
        <f t="shared" si="34"/>
        <v>98</v>
      </c>
      <c r="BL27" s="1540">
        <f t="shared" si="34"/>
        <v>60</v>
      </c>
      <c r="BM27" s="1540">
        <f t="shared" si="34"/>
        <v>-289</v>
      </c>
      <c r="BN27" s="1540">
        <f t="shared" si="34"/>
        <v>-228</v>
      </c>
      <c r="BO27" s="1541">
        <f t="shared" si="34"/>
        <v>-359</v>
      </c>
      <c r="BP27" s="1540">
        <f t="shared" si="34"/>
        <v>104</v>
      </c>
      <c r="BQ27" s="1540">
        <f t="shared" si="34"/>
        <v>-615</v>
      </c>
      <c r="BR27" s="1540">
        <f t="shared" si="34"/>
        <v>21</v>
      </c>
      <c r="BS27" s="1540">
        <f t="shared" si="34"/>
        <v>-280</v>
      </c>
      <c r="BT27" s="1541">
        <f t="shared" si="34"/>
        <v>-770</v>
      </c>
      <c r="BU27" s="1540">
        <f t="shared" si="34"/>
        <v>98</v>
      </c>
      <c r="BV27" s="1540">
        <f t="shared" si="34"/>
        <v>58</v>
      </c>
      <c r="BW27" s="1540">
        <f t="shared" si="34"/>
        <v>70</v>
      </c>
      <c r="BX27" s="1540">
        <f t="shared" si="34"/>
        <v>28</v>
      </c>
      <c r="BY27" s="1541">
        <f t="shared" si="34"/>
        <v>254</v>
      </c>
      <c r="BZ27" s="1540">
        <f t="shared" si="34"/>
        <v>91</v>
      </c>
      <c r="CA27" s="1540">
        <f t="shared" si="34"/>
        <v>63</v>
      </c>
      <c r="CB27" s="1540">
        <f t="shared" ref="CB27:DG27" si="35">CB25-CB26</f>
        <v>66</v>
      </c>
      <c r="CC27" s="1540">
        <f t="shared" si="35"/>
        <v>93</v>
      </c>
      <c r="CD27" s="1541">
        <f t="shared" si="35"/>
        <v>313</v>
      </c>
      <c r="CE27" s="1540">
        <f t="shared" si="35"/>
        <v>173</v>
      </c>
      <c r="CF27" s="1540">
        <f t="shared" si="35"/>
        <v>138</v>
      </c>
      <c r="CG27" s="1540">
        <f t="shared" si="35"/>
        <v>133</v>
      </c>
      <c r="CH27" s="1540">
        <f t="shared" si="35"/>
        <v>91</v>
      </c>
      <c r="CI27" s="1541">
        <f t="shared" si="35"/>
        <v>535</v>
      </c>
      <c r="CJ27" s="1540">
        <f t="shared" si="35"/>
        <v>201</v>
      </c>
      <c r="CK27" s="1540">
        <f t="shared" si="35"/>
        <v>171</v>
      </c>
      <c r="CL27" s="1540">
        <f t="shared" si="35"/>
        <v>97</v>
      </c>
      <c r="CM27" s="1540">
        <f t="shared" si="35"/>
        <v>165</v>
      </c>
      <c r="CN27" s="1541">
        <f t="shared" si="35"/>
        <v>634</v>
      </c>
      <c r="CO27" s="1540">
        <f t="shared" si="35"/>
        <v>254</v>
      </c>
      <c r="CP27" s="1540">
        <f t="shared" si="35"/>
        <v>165</v>
      </c>
      <c r="CQ27" s="1540">
        <f t="shared" si="35"/>
        <v>79</v>
      </c>
      <c r="CR27" s="1540">
        <f t="shared" si="35"/>
        <v>155</v>
      </c>
      <c r="CS27" s="1541">
        <f t="shared" si="35"/>
        <v>653</v>
      </c>
      <c r="CT27" s="1540">
        <f t="shared" si="35"/>
        <v>205</v>
      </c>
      <c r="CU27" s="1540">
        <f t="shared" si="35"/>
        <v>180</v>
      </c>
      <c r="CV27" s="1540">
        <f t="shared" si="35"/>
        <v>153</v>
      </c>
      <c r="CW27" s="1540">
        <f t="shared" si="35"/>
        <v>211</v>
      </c>
      <c r="CX27" s="1541">
        <f t="shared" si="35"/>
        <v>749</v>
      </c>
      <c r="CY27" s="1540">
        <f t="shared" si="35"/>
        <v>146</v>
      </c>
      <c r="CZ27" s="1540">
        <f t="shared" si="35"/>
        <v>202</v>
      </c>
      <c r="DA27" s="1540">
        <f t="shared" si="35"/>
        <v>148</v>
      </c>
      <c r="DB27" s="1540">
        <f t="shared" si="35"/>
        <v>167</v>
      </c>
      <c r="DC27" s="1541">
        <f t="shared" si="35"/>
        <v>663</v>
      </c>
      <c r="DD27" s="1540">
        <f t="shared" si="35"/>
        <v>170</v>
      </c>
      <c r="DE27" s="1540">
        <f t="shared" si="35"/>
        <v>207</v>
      </c>
      <c r="DF27" s="1540">
        <f t="shared" si="35"/>
        <v>211</v>
      </c>
      <c r="DG27" s="1540">
        <f t="shared" si="35"/>
        <v>337</v>
      </c>
      <c r="DH27" s="1541">
        <f t="shared" ref="DH27:DR27" si="36">DH25-DH26</f>
        <v>925</v>
      </c>
      <c r="DI27" s="1540">
        <f t="shared" si="36"/>
        <v>290</v>
      </c>
      <c r="DJ27" s="1540">
        <f t="shared" si="36"/>
        <v>164</v>
      </c>
      <c r="DK27" s="1540">
        <f>DK25-DK26</f>
        <v>287</v>
      </c>
      <c r="DL27" s="1540">
        <f t="shared" si="36"/>
        <v>315</v>
      </c>
      <c r="DM27" s="1541">
        <f t="shared" si="36"/>
        <v>1056</v>
      </c>
      <c r="DN27" s="1540">
        <f t="shared" si="36"/>
        <v>347</v>
      </c>
      <c r="DO27" s="1540">
        <f t="shared" si="36"/>
        <v>267</v>
      </c>
      <c r="DP27" s="1540">
        <f t="shared" si="36"/>
        <v>333</v>
      </c>
      <c r="DQ27" s="1540">
        <f t="shared" si="36"/>
        <v>272</v>
      </c>
      <c r="DR27" s="1541">
        <f t="shared" si="36"/>
        <v>1219</v>
      </c>
      <c r="DS27" s="1540">
        <f t="shared" ref="DS27:EA27" si="37">DS25-DS26</f>
        <v>267</v>
      </c>
      <c r="DT27" s="1540">
        <f t="shared" si="37"/>
        <v>310</v>
      </c>
      <c r="DU27" s="1540">
        <f t="shared" si="37"/>
        <v>51</v>
      </c>
      <c r="DV27" s="1540">
        <f t="shared" si="37"/>
        <v>485</v>
      </c>
      <c r="DW27" s="1541">
        <f t="shared" si="37"/>
        <v>1113</v>
      </c>
      <c r="DX27" s="1540">
        <f t="shared" si="37"/>
        <v>402.14320019226193</v>
      </c>
      <c r="DY27" s="1540">
        <f t="shared" si="37"/>
        <v>450.21006540835447</v>
      </c>
      <c r="DZ27" s="1540">
        <f t="shared" si="37"/>
        <v>450.80210248087792</v>
      </c>
      <c r="EA27" s="1540">
        <f t="shared" si="37"/>
        <v>435.42602705183339</v>
      </c>
      <c r="EB27" s="1541">
        <f t="shared" ref="EB27:EG27" si="38">EB25-EB26</f>
        <v>1738.5813951333289</v>
      </c>
      <c r="EC27" s="1540">
        <f t="shared" si="38"/>
        <v>445.64749704068959</v>
      </c>
      <c r="ED27" s="1540">
        <f t="shared" si="38"/>
        <v>438.05162732526242</v>
      </c>
      <c r="EE27" s="1540">
        <f t="shared" si="38"/>
        <v>445.18735669686089</v>
      </c>
      <c r="EF27" s="1540">
        <f t="shared" si="38"/>
        <v>471.72714328833831</v>
      </c>
      <c r="EG27" s="1541">
        <f t="shared" si="38"/>
        <v>1800.6136243511521</v>
      </c>
      <c r="EH27" s="1540">
        <f t="shared" ref="EH27" si="39">EH25-EH26</f>
        <v>463.14488484359083</v>
      </c>
      <c r="EI27" s="1540">
        <f t="shared" ref="EI27" si="40">EI25-EI26</f>
        <v>466.99491709928645</v>
      </c>
      <c r="EJ27" s="1540">
        <f t="shared" ref="EJ27" si="41">EJ25-EJ26</f>
        <v>462.63788886057256</v>
      </c>
      <c r="EK27" s="1540">
        <f t="shared" ref="EK27" si="42">EK25-EK26</f>
        <v>452.98118096457119</v>
      </c>
      <c r="EL27" s="1541">
        <f t="shared" ref="EL27" si="43">EL25-EL26</f>
        <v>1845.758871768023</v>
      </c>
      <c r="EM27" s="21"/>
      <c r="EN27"/>
      <c r="EO27"/>
      <c r="EP27"/>
      <c r="EQ27"/>
      <c r="ER27"/>
      <c r="ES27" s="23"/>
      <c r="ET27"/>
      <c r="EU27" s="23"/>
      <c r="EV27" s="23"/>
      <c r="EW27" s="23"/>
      <c r="EX27" s="24"/>
      <c r="EY27" s="24"/>
      <c r="EZ27" s="24"/>
      <c r="FA27" s="24"/>
      <c r="FB27" s="24"/>
      <c r="FC27" s="24"/>
      <c r="FD27" s="24"/>
      <c r="FE27" s="24"/>
      <c r="FF27" s="24"/>
      <c r="FG27" s="24"/>
      <c r="FH27" s="24"/>
      <c r="FI27" s="24"/>
      <c r="FJ27" s="24"/>
      <c r="FK27" s="24"/>
      <c r="FL27" s="24"/>
      <c r="FM27" s="24"/>
      <c r="FN27" s="24"/>
      <c r="FO27" s="24"/>
      <c r="FP27" s="24"/>
      <c r="FQ27" s="24"/>
      <c r="FR27" s="24"/>
      <c r="FS27" s="24"/>
      <c r="FT27" s="24"/>
      <c r="FU27" s="24"/>
      <c r="FV27" s="24"/>
      <c r="FW27" s="24"/>
      <c r="FX27" s="24"/>
      <c r="FY27" s="24"/>
      <c r="FZ27" s="24"/>
      <c r="GA27" s="24"/>
      <c r="GB27" s="24"/>
      <c r="GC27" s="24"/>
      <c r="GD27" s="24"/>
      <c r="GE27" s="24"/>
      <c r="GF27" s="24"/>
      <c r="GG27" s="24"/>
      <c r="GH27" s="24"/>
      <c r="GI27" s="24"/>
      <c r="GJ27" s="24"/>
      <c r="GK27" s="24"/>
      <c r="GL27" s="24"/>
      <c r="GM27" s="24"/>
      <c r="GN27" s="24"/>
      <c r="GO27" s="24"/>
      <c r="GP27" s="24"/>
      <c r="GQ27" s="24"/>
      <c r="GR27" s="24"/>
      <c r="GS27" s="24"/>
      <c r="GT27" s="24"/>
      <c r="GU27" s="24"/>
      <c r="GV27" s="24"/>
      <c r="GW27" s="24"/>
      <c r="GX27" s="24"/>
      <c r="GY27" s="24"/>
      <c r="GZ27" s="24"/>
      <c r="HA27" s="24"/>
      <c r="HB27" s="24"/>
      <c r="HC27" s="24"/>
      <c r="HD27" s="24"/>
      <c r="HE27" s="24"/>
      <c r="HF27" s="24"/>
      <c r="HG27" s="24"/>
      <c r="HH27" s="24"/>
      <c r="HI27" s="24"/>
      <c r="HJ27" s="24"/>
      <c r="HK27" s="24"/>
      <c r="HL27" s="24"/>
      <c r="HM27" s="24"/>
      <c r="HN27" s="24"/>
      <c r="HO27" s="24"/>
      <c r="HP27" s="24"/>
      <c r="HQ27" s="24"/>
      <c r="HR27" s="24"/>
      <c r="HS27" s="24"/>
      <c r="HT27" s="24"/>
      <c r="HU27" s="24"/>
      <c r="HV27" s="24"/>
      <c r="HW27" s="24"/>
      <c r="HX27" s="24"/>
      <c r="HY27" s="24"/>
      <c r="HZ27" s="24"/>
      <c r="IA27" s="24"/>
      <c r="IB27" s="24"/>
      <c r="IC27" s="24"/>
      <c r="ID27" s="24"/>
      <c r="IE27" s="24"/>
      <c r="IF27" s="24"/>
      <c r="IG27" s="24"/>
      <c r="IH27" s="24"/>
      <c r="II27" s="24"/>
      <c r="IJ27" s="24"/>
      <c r="IK27" s="24"/>
      <c r="IL27" s="24"/>
      <c r="IM27" s="24"/>
      <c r="IN27" s="24"/>
      <c r="IO27" s="24"/>
      <c r="IP27" s="24"/>
      <c r="IQ27" s="24"/>
      <c r="IR27" s="24"/>
      <c r="IS27" s="24"/>
      <c r="IT27" s="24"/>
      <c r="IU27" s="24"/>
      <c r="IV27" s="24"/>
      <c r="IW27" s="24"/>
      <c r="IX27" s="24"/>
      <c r="IY27" s="24"/>
      <c r="IZ27" s="24"/>
      <c r="JA27" s="24"/>
      <c r="JB27" s="24"/>
      <c r="JC27" s="24"/>
      <c r="JD27" s="24"/>
      <c r="JE27" s="24"/>
      <c r="JF27" s="24"/>
      <c r="JG27" s="24"/>
      <c r="JH27" s="24"/>
      <c r="JI27" s="24"/>
      <c r="JJ27" s="24"/>
      <c r="JK27" s="24"/>
    </row>
    <row r="28" spans="1:271" s="18" customFormat="1" ht="12" customHeight="1">
      <c r="A28" s="766"/>
      <c r="B28" s="767" t="s">
        <v>349</v>
      </c>
      <c r="C28" s="737"/>
      <c r="D28" s="768">
        <v>17.66</v>
      </c>
      <c r="E28" s="768">
        <v>17.3</v>
      </c>
      <c r="F28" s="768">
        <v>17.899999999999999</v>
      </c>
      <c r="G28" s="768">
        <f>138-SUM(D28:F28)</f>
        <v>85.14</v>
      </c>
      <c r="H28" s="769">
        <f>SUM(D28:G28)</f>
        <v>138</v>
      </c>
      <c r="I28" s="768">
        <v>77.099999999999994</v>
      </c>
      <c r="J28" s="768">
        <v>81.3</v>
      </c>
      <c r="K28" s="768">
        <v>79.5</v>
      </c>
      <c r="L28" s="768">
        <f>312-SUM(I28:K28)</f>
        <v>74.100000000000023</v>
      </c>
      <c r="M28" s="769">
        <f>SUM(I28:L28)</f>
        <v>312</v>
      </c>
      <c r="N28" s="768">
        <v>71</v>
      </c>
      <c r="O28" s="768">
        <v>70.099999999999994</v>
      </c>
      <c r="P28" s="768">
        <v>106</v>
      </c>
      <c r="Q28" s="768">
        <f>417-SUM(N28:P28)</f>
        <v>169.9</v>
      </c>
      <c r="R28" s="769">
        <f>SUM(N28:Q28)</f>
        <v>417</v>
      </c>
      <c r="S28" s="768">
        <v>112</v>
      </c>
      <c r="T28" s="768">
        <v>118</v>
      </c>
      <c r="U28" s="768">
        <v>114</v>
      </c>
      <c r="V28" s="768">
        <f>464-SUM(S28:U28)</f>
        <v>120</v>
      </c>
      <c r="W28" s="769">
        <f>SUM(S28:V28)</f>
        <v>464</v>
      </c>
      <c r="X28" s="768">
        <v>119</v>
      </c>
      <c r="Y28" s="768">
        <v>119</v>
      </c>
      <c r="Z28" s="768">
        <v>122</v>
      </c>
      <c r="AA28" s="768">
        <f>485-SUM(X28:Z28)</f>
        <v>125</v>
      </c>
      <c r="AB28" s="769">
        <f>SUM(X28:AA28)</f>
        <v>485</v>
      </c>
      <c r="AC28" s="768">
        <v>124</v>
      </c>
      <c r="AD28" s="768">
        <v>120</v>
      </c>
      <c r="AE28" s="768">
        <v>117</v>
      </c>
      <c r="AF28" s="768">
        <f>479-SUM(AC28:AE28)</f>
        <v>118</v>
      </c>
      <c r="AG28" s="769">
        <f>SUM(AC28:AF28)</f>
        <v>479</v>
      </c>
      <c r="AH28" s="768">
        <v>123</v>
      </c>
      <c r="AI28" s="768">
        <v>118</v>
      </c>
      <c r="AJ28" s="768">
        <v>113</v>
      </c>
      <c r="AK28" s="768">
        <f>456-SUM(AH28:AJ28)</f>
        <v>102</v>
      </c>
      <c r="AL28" s="769">
        <f>SUM(AH28:AK28)</f>
        <v>456</v>
      </c>
      <c r="AM28" s="768">
        <v>97</v>
      </c>
      <c r="AN28" s="768">
        <v>86</v>
      </c>
      <c r="AO28" s="768">
        <v>75</v>
      </c>
      <c r="AP28" s="768">
        <f>327-SUM(AM28:AO28)</f>
        <v>69</v>
      </c>
      <c r="AQ28" s="769">
        <f>SUM(AM28:AP28)</f>
        <v>327</v>
      </c>
      <c r="AR28" s="768">
        <v>64</v>
      </c>
      <c r="AS28" s="768">
        <v>62</v>
      </c>
      <c r="AT28" s="768">
        <v>67</v>
      </c>
      <c r="AU28" s="768"/>
      <c r="AV28" s="769">
        <v>73</v>
      </c>
      <c r="AW28" s="768">
        <v>68</v>
      </c>
      <c r="AX28" s="768">
        <v>62</v>
      </c>
      <c r="AY28" s="768">
        <v>62</v>
      </c>
      <c r="AZ28" s="768">
        <f>SUM(AV28:AY28)</f>
        <v>265</v>
      </c>
      <c r="BA28" s="768">
        <v>73</v>
      </c>
      <c r="BB28" s="768">
        <v>73</v>
      </c>
      <c r="BC28" s="768">
        <v>74</v>
      </c>
      <c r="BD28" s="768">
        <v>76</v>
      </c>
      <c r="BE28" s="769">
        <f>SUM(BA28:BD28)</f>
        <v>296</v>
      </c>
      <c r="BF28" s="768">
        <v>77</v>
      </c>
      <c r="BG28" s="768">
        <v>73</v>
      </c>
      <c r="BH28" s="768">
        <v>91</v>
      </c>
      <c r="BI28" s="768">
        <v>91</v>
      </c>
      <c r="BJ28" s="769">
        <f>SUM(BF28:BI28)</f>
        <v>332</v>
      </c>
      <c r="BK28" s="768">
        <v>101</v>
      </c>
      <c r="BL28" s="768">
        <v>102</v>
      </c>
      <c r="BM28" s="768">
        <v>102</v>
      </c>
      <c r="BN28" s="768">
        <v>100</v>
      </c>
      <c r="BO28" s="769">
        <f>SUM(BK28:BN28)</f>
        <v>405</v>
      </c>
      <c r="BP28" s="768">
        <v>102</v>
      </c>
      <c r="BQ28" s="768">
        <v>101</v>
      </c>
      <c r="BR28" s="768">
        <v>104</v>
      </c>
      <c r="BS28" s="768">
        <v>102</v>
      </c>
      <c r="BT28" s="769">
        <f>SUM(BP28:BS28)</f>
        <v>409</v>
      </c>
      <c r="BU28" s="768">
        <v>106</v>
      </c>
      <c r="BV28" s="768">
        <v>105</v>
      </c>
      <c r="BW28" s="768">
        <v>105</v>
      </c>
      <c r="BX28" s="768">
        <v>104</v>
      </c>
      <c r="BY28" s="769">
        <f>SUM(BU28:BX28)</f>
        <v>420</v>
      </c>
      <c r="BZ28" s="768">
        <v>104</v>
      </c>
      <c r="CA28" s="768">
        <v>102</v>
      </c>
      <c r="CB28" s="768">
        <v>106</v>
      </c>
      <c r="CC28" s="768">
        <v>106</v>
      </c>
      <c r="CD28" s="769">
        <f>SUM(BZ28:CC28)</f>
        <v>418</v>
      </c>
      <c r="CE28" s="768">
        <v>110</v>
      </c>
      <c r="CF28" s="768">
        <v>120</v>
      </c>
      <c r="CG28" s="768">
        <v>112</v>
      </c>
      <c r="CH28" s="768">
        <v>103</v>
      </c>
      <c r="CI28" s="769">
        <f>SUM(CE28:CH28)</f>
        <v>445</v>
      </c>
      <c r="CJ28" s="768">
        <v>109</v>
      </c>
      <c r="CK28" s="768">
        <v>107</v>
      </c>
      <c r="CL28" s="768">
        <v>107</v>
      </c>
      <c r="CM28" s="768">
        <v>101</v>
      </c>
      <c r="CN28" s="769">
        <f>SUM(CJ28:CM28)</f>
        <v>424</v>
      </c>
      <c r="CO28" s="768">
        <v>118</v>
      </c>
      <c r="CP28" s="768">
        <v>98</v>
      </c>
      <c r="CQ28" s="768">
        <v>59</v>
      </c>
      <c r="CR28" s="768">
        <v>100</v>
      </c>
      <c r="CS28" s="769">
        <f>SUM(CO28:CR28)</f>
        <v>375</v>
      </c>
      <c r="CT28" s="768">
        <v>98</v>
      </c>
      <c r="CU28" s="768">
        <v>102</v>
      </c>
      <c r="CV28" s="768">
        <v>103</v>
      </c>
      <c r="CW28" s="768">
        <v>109</v>
      </c>
      <c r="CX28" s="769">
        <f>SUM(CT28:CW28)</f>
        <v>412</v>
      </c>
      <c r="CY28" s="768">
        <v>103</v>
      </c>
      <c r="CZ28" s="768">
        <v>98</v>
      </c>
      <c r="DA28" s="768">
        <v>91</v>
      </c>
      <c r="DB28" s="768">
        <v>182</v>
      </c>
      <c r="DC28" s="769">
        <f>SUM(CY28:DB28)</f>
        <v>474</v>
      </c>
      <c r="DD28" s="768">
        <v>182</v>
      </c>
      <c r="DE28" s="768">
        <v>190</v>
      </c>
      <c r="DF28" s="768">
        <v>186</v>
      </c>
      <c r="DG28" s="768">
        <v>196</v>
      </c>
      <c r="DH28" s="769">
        <f>SUM(DD28:DG28)</f>
        <v>754</v>
      </c>
      <c r="DI28" s="768">
        <v>199</v>
      </c>
      <c r="DJ28" s="768">
        <v>217</v>
      </c>
      <c r="DK28" s="768">
        <v>248</v>
      </c>
      <c r="DL28" s="768">
        <v>248</v>
      </c>
      <c r="DM28" s="769">
        <f>SUM(DI28:DL28)</f>
        <v>912</v>
      </c>
      <c r="DN28" s="768">
        <v>243</v>
      </c>
      <c r="DO28" s="768">
        <v>244</v>
      </c>
      <c r="DP28" s="768">
        <v>243</v>
      </c>
      <c r="DQ28" s="768">
        <v>249</v>
      </c>
      <c r="DR28" s="769">
        <f>SUM(DN28:DQ28)</f>
        <v>979</v>
      </c>
      <c r="DS28" s="768">
        <v>258</v>
      </c>
      <c r="DT28" s="768">
        <v>260</v>
      </c>
      <c r="DU28" s="768">
        <v>257</v>
      </c>
      <c r="DV28" s="768">
        <v>253</v>
      </c>
      <c r="DW28" s="769">
        <f>SUM(DS28:DV28)</f>
        <v>1028</v>
      </c>
      <c r="DX28" s="781">
        <f>Debt!DX16</f>
        <v>245.79974999999999</v>
      </c>
      <c r="DY28" s="781">
        <f>Debt!DY16</f>
        <v>238.26474999999999</v>
      </c>
      <c r="DZ28" s="781">
        <f>Debt!DZ16</f>
        <v>234.51474999999999</v>
      </c>
      <c r="EA28" s="781">
        <f>Debt!EA16</f>
        <v>230.76474999999999</v>
      </c>
      <c r="EB28" s="769">
        <f>SUM(DX28:EA28)</f>
        <v>949.34400000000005</v>
      </c>
      <c r="EC28" s="781">
        <f>Debt!EC16</f>
        <v>227.01474999999999</v>
      </c>
      <c r="ED28" s="781">
        <f>Debt!ED16</f>
        <v>227.01474999999999</v>
      </c>
      <c r="EE28" s="781">
        <f>Debt!EE16</f>
        <v>227.01474999999999</v>
      </c>
      <c r="EF28" s="781">
        <f>Debt!EF16</f>
        <v>227.01474999999999</v>
      </c>
      <c r="EG28" s="769">
        <f>SUM(EC28:EF28)</f>
        <v>908.05899999999997</v>
      </c>
      <c r="EH28" s="781">
        <f>Debt!EH16</f>
        <v>225.88974999999999</v>
      </c>
      <c r="EI28" s="781">
        <f>Debt!EI16</f>
        <v>223.63974999999999</v>
      </c>
      <c r="EJ28" s="781">
        <f>Debt!EJ16</f>
        <v>221.38974999999999</v>
      </c>
      <c r="EK28" s="781">
        <f>Debt!EK16</f>
        <v>219.13974999999999</v>
      </c>
      <c r="EL28" s="769">
        <f>SUM(EH28:EK28)</f>
        <v>890.05899999999997</v>
      </c>
      <c r="EM28" s="21"/>
      <c r="EN28"/>
      <c r="EO28"/>
      <c r="EP28"/>
      <c r="EQ28"/>
      <c r="ER28"/>
      <c r="ES28" s="23"/>
      <c r="ET28"/>
      <c r="EU28" s="23"/>
      <c r="EV28" s="23"/>
      <c r="EW28" s="23"/>
      <c r="EX28" s="24"/>
      <c r="EY28" s="24"/>
      <c r="EZ28" s="24"/>
      <c r="FA28" s="24"/>
      <c r="FB28" s="24"/>
      <c r="FC28" s="24"/>
      <c r="FD28" s="24"/>
      <c r="FE28" s="24"/>
      <c r="FF28" s="24"/>
      <c r="FG28" s="24"/>
      <c r="FH28" s="24"/>
      <c r="FI28" s="24"/>
      <c r="FJ28" s="24"/>
      <c r="FK28" s="24"/>
      <c r="FL28" s="24"/>
      <c r="FM28" s="24"/>
      <c r="FN28" s="24"/>
      <c r="FO28" s="24"/>
      <c r="FP28" s="24"/>
      <c r="FQ28" s="24"/>
      <c r="FR28" s="24"/>
      <c r="FS28" s="24"/>
      <c r="FT28" s="24"/>
      <c r="FU28" s="24"/>
      <c r="FV28" s="24"/>
      <c r="FW28" s="24"/>
      <c r="FX28" s="24"/>
      <c r="FY28" s="24"/>
      <c r="FZ28" s="24"/>
      <c r="GA28" s="24"/>
      <c r="GB28" s="24"/>
      <c r="GC28" s="24"/>
      <c r="GD28" s="24"/>
      <c r="GE28" s="24"/>
      <c r="GF28" s="24"/>
      <c r="GG28" s="24"/>
      <c r="GH28" s="24"/>
      <c r="GI28" s="24"/>
      <c r="GJ28" s="24"/>
      <c r="GK28" s="24"/>
      <c r="GL28" s="24"/>
      <c r="GM28" s="24"/>
      <c r="GN28" s="24"/>
      <c r="GO28" s="24"/>
      <c r="GP28" s="24"/>
      <c r="GQ28" s="24"/>
      <c r="GR28" s="24"/>
      <c r="GS28" s="24"/>
      <c r="GT28" s="24"/>
      <c r="GU28" s="24"/>
      <c r="GV28" s="24"/>
      <c r="GW28" s="24"/>
      <c r="GX28" s="24"/>
      <c r="GY28" s="24"/>
      <c r="GZ28" s="24"/>
      <c r="HA28" s="24"/>
      <c r="HB28" s="24"/>
      <c r="HC28" s="24"/>
      <c r="HD28" s="24"/>
      <c r="HE28" s="24"/>
      <c r="HF28" s="24"/>
      <c r="HG28" s="24"/>
      <c r="HH28" s="24"/>
      <c r="HI28" s="24"/>
      <c r="HJ28" s="24"/>
      <c r="HK28" s="24"/>
      <c r="HL28" s="24"/>
      <c r="HM28" s="24"/>
      <c r="HN28" s="24"/>
      <c r="HO28" s="24"/>
      <c r="HP28" s="24"/>
      <c r="HQ28" s="24"/>
      <c r="HR28" s="24"/>
      <c r="HS28" s="24"/>
      <c r="HT28" s="24"/>
      <c r="HU28" s="24"/>
      <c r="HV28" s="24"/>
      <c r="HW28" s="24"/>
      <c r="HX28" s="24"/>
      <c r="HY28" s="24"/>
      <c r="HZ28" s="24"/>
      <c r="IA28" s="24"/>
      <c r="IB28" s="24"/>
      <c r="IC28" s="24"/>
      <c r="ID28" s="24"/>
      <c r="IE28" s="24"/>
      <c r="IF28" s="24"/>
      <c r="IG28" s="24"/>
      <c r="IH28" s="24"/>
      <c r="II28" s="24"/>
      <c r="IJ28" s="24"/>
      <c r="IK28" s="24"/>
      <c r="IL28" s="24"/>
      <c r="IM28" s="24"/>
      <c r="IN28" s="24"/>
      <c r="IO28" s="24"/>
      <c r="IP28" s="24"/>
      <c r="IQ28" s="24"/>
      <c r="IR28" s="24"/>
      <c r="IS28" s="24"/>
      <c r="IT28" s="24"/>
      <c r="IU28" s="24"/>
      <c r="IV28" s="24"/>
      <c r="IW28" s="24"/>
      <c r="IX28" s="24"/>
      <c r="IY28" s="24"/>
      <c r="IZ28" s="24"/>
      <c r="JA28" s="24"/>
      <c r="JB28" s="24"/>
      <c r="JC28" s="24"/>
      <c r="JD28" s="24"/>
      <c r="JE28" s="24"/>
      <c r="JF28" s="24"/>
      <c r="JG28" s="24"/>
      <c r="JH28" s="24"/>
      <c r="JI28" s="24"/>
      <c r="JJ28" s="24"/>
      <c r="JK28" s="24"/>
    </row>
    <row r="29" spans="1:271" s="18" customFormat="1" ht="12" customHeight="1">
      <c r="A29" s="766"/>
      <c r="B29" s="767" t="s">
        <v>350</v>
      </c>
      <c r="C29" s="737"/>
      <c r="D29" s="768">
        <v>5.9790000000000001</v>
      </c>
      <c r="E29" s="768">
        <v>4.4000000000000004</v>
      </c>
      <c r="F29" s="768">
        <v>5.2</v>
      </c>
      <c r="G29" s="768">
        <f>27-SUM(D29:F29)</f>
        <v>11.420999999999999</v>
      </c>
      <c r="H29" s="769">
        <f>SUM(D29:G29)</f>
        <v>27</v>
      </c>
      <c r="I29" s="768">
        <v>7.3</v>
      </c>
      <c r="J29" s="768">
        <f>5.4</f>
        <v>5.4</v>
      </c>
      <c r="K29" s="768">
        <f>5.3</f>
        <v>5.3</v>
      </c>
      <c r="L29" s="768">
        <f>22-SUM(I29:K29)</f>
        <v>4</v>
      </c>
      <c r="M29" s="769">
        <f>SUM(I29:L29)</f>
        <v>22</v>
      </c>
      <c r="N29" s="768">
        <f>4.8</f>
        <v>4.8</v>
      </c>
      <c r="O29" s="768">
        <f>5.5</f>
        <v>5.5</v>
      </c>
      <c r="P29" s="768">
        <f>6.9</f>
        <v>6.9</v>
      </c>
      <c r="Q29" s="768">
        <f>26-SUM(N29:P29)</f>
        <v>8.7999999999999972</v>
      </c>
      <c r="R29" s="769">
        <f>SUM(N29:Q29)</f>
        <v>26</v>
      </c>
      <c r="S29" s="768">
        <v>6</v>
      </c>
      <c r="T29" s="768">
        <v>6</v>
      </c>
      <c r="U29" s="768">
        <v>5</v>
      </c>
      <c r="V29" s="768">
        <f>22-SUM(S29:U29)</f>
        <v>5</v>
      </c>
      <c r="W29" s="769">
        <f>SUM(S29:V29)</f>
        <v>22</v>
      </c>
      <c r="X29" s="768">
        <v>7</v>
      </c>
      <c r="Y29" s="768">
        <v>6</v>
      </c>
      <c r="Z29" s="768">
        <v>8</v>
      </c>
      <c r="AA29" s="768">
        <f>27-SUM(X29:Z29)</f>
        <v>6</v>
      </c>
      <c r="AB29" s="769">
        <f>SUM(X29:AA29)</f>
        <v>27</v>
      </c>
      <c r="AC29" s="768">
        <v>5</v>
      </c>
      <c r="AD29" s="768">
        <v>6</v>
      </c>
      <c r="AE29" s="768">
        <v>5</v>
      </c>
      <c r="AF29" s="768">
        <f>22-SUM(AC29:AE29)</f>
        <v>6</v>
      </c>
      <c r="AG29" s="769">
        <f>SUM(AC29:AF29)</f>
        <v>22</v>
      </c>
      <c r="AH29" s="768">
        <v>6</v>
      </c>
      <c r="AI29" s="768">
        <v>13</v>
      </c>
      <c r="AJ29" s="768">
        <v>9</v>
      </c>
      <c r="AK29" s="768">
        <f>37-SUM(AH29:AJ29)</f>
        <v>9</v>
      </c>
      <c r="AL29" s="769">
        <f>SUM(AH29:AK29)</f>
        <v>37</v>
      </c>
      <c r="AM29" s="768">
        <v>9</v>
      </c>
      <c r="AN29" s="768">
        <v>10</v>
      </c>
      <c r="AO29" s="768">
        <v>7</v>
      </c>
      <c r="AP29" s="768">
        <f>32-SUM(AM29:AO29)</f>
        <v>6</v>
      </c>
      <c r="AQ29" s="769">
        <f>SUM(AM29:AP29)</f>
        <v>32</v>
      </c>
      <c r="AR29" s="768">
        <v>7</v>
      </c>
      <c r="AS29" s="768">
        <v>6</v>
      </c>
      <c r="AT29" s="768">
        <v>5</v>
      </c>
      <c r="AU29" s="768"/>
      <c r="AV29" s="769">
        <v>9</v>
      </c>
      <c r="AW29" s="768">
        <v>7</v>
      </c>
      <c r="AX29" s="768">
        <v>7</v>
      </c>
      <c r="AY29" s="768">
        <v>3</v>
      </c>
      <c r="AZ29" s="768">
        <f>SUM(AV29:AY29)</f>
        <v>26</v>
      </c>
      <c r="BA29" s="768">
        <v>6</v>
      </c>
      <c r="BB29" s="768">
        <v>4</v>
      </c>
      <c r="BC29" s="768">
        <v>3</v>
      </c>
      <c r="BD29" s="768">
        <v>5</v>
      </c>
      <c r="BE29" s="769">
        <f>SUM(BA29:BD29)</f>
        <v>18</v>
      </c>
      <c r="BF29" s="768">
        <v>3</v>
      </c>
      <c r="BG29" s="768">
        <v>3</v>
      </c>
      <c r="BH29" s="768">
        <v>6</v>
      </c>
      <c r="BI29" s="768">
        <v>7</v>
      </c>
      <c r="BJ29" s="769">
        <f>SUM(BF29:BI29)</f>
        <v>19</v>
      </c>
      <c r="BK29" s="768">
        <v>9</v>
      </c>
      <c r="BL29" s="768">
        <v>15</v>
      </c>
      <c r="BM29" s="768">
        <v>17</v>
      </c>
      <c r="BN29" s="768">
        <v>18</v>
      </c>
      <c r="BO29" s="769">
        <f>SUM(BK29:BN29)</f>
        <v>59</v>
      </c>
      <c r="BP29" s="768">
        <v>17</v>
      </c>
      <c r="BQ29" s="768">
        <v>17</v>
      </c>
      <c r="BR29" s="768">
        <v>15</v>
      </c>
      <c r="BS29" s="768">
        <v>13</v>
      </c>
      <c r="BT29" s="769">
        <f>SUM(BP29:BS29)</f>
        <v>62</v>
      </c>
      <c r="BU29" s="768">
        <v>11</v>
      </c>
      <c r="BV29" s="768">
        <v>15</v>
      </c>
      <c r="BW29" s="768">
        <v>10</v>
      </c>
      <c r="BX29" s="768">
        <v>11</v>
      </c>
      <c r="BY29" s="769">
        <f>SUM(BU29:BX29)</f>
        <v>47</v>
      </c>
      <c r="BZ29" s="768">
        <v>5</v>
      </c>
      <c r="CA29" s="768">
        <v>4</v>
      </c>
      <c r="CB29" s="768">
        <v>12</v>
      </c>
      <c r="CC29" s="768">
        <v>1</v>
      </c>
      <c r="CD29" s="769">
        <f>SUM(BZ29:CC29)</f>
        <v>22</v>
      </c>
      <c r="CE29" s="768">
        <v>2</v>
      </c>
      <c r="CF29" s="768">
        <v>-5</v>
      </c>
      <c r="CG29" s="768">
        <v>2</v>
      </c>
      <c r="CH29" s="768">
        <v>1</v>
      </c>
      <c r="CI29" s="769">
        <f>SUM(CE29:CH29)</f>
        <v>0</v>
      </c>
      <c r="CJ29" s="768">
        <v>1</v>
      </c>
      <c r="CK29" s="768">
        <v>1</v>
      </c>
      <c r="CL29" s="768">
        <v>3</v>
      </c>
      <c r="CM29" s="768">
        <v>0</v>
      </c>
      <c r="CN29" s="769">
        <f>SUM(CJ29:CM29)</f>
        <v>5</v>
      </c>
      <c r="CO29" s="768">
        <v>1</v>
      </c>
      <c r="CP29" s="768">
        <v>1</v>
      </c>
      <c r="CQ29" s="768">
        <v>1</v>
      </c>
      <c r="CR29" s="768">
        <v>0</v>
      </c>
      <c r="CS29" s="769">
        <f>SUM(CO29:CR29)</f>
        <v>3</v>
      </c>
      <c r="CT29" s="768">
        <v>1</v>
      </c>
      <c r="CU29" s="768">
        <v>0</v>
      </c>
      <c r="CV29" s="768">
        <v>1</v>
      </c>
      <c r="CW29" s="768">
        <v>-1</v>
      </c>
      <c r="CX29" s="769">
        <f>SUM(CT29:CW29)</f>
        <v>1</v>
      </c>
      <c r="CY29" s="768">
        <v>0</v>
      </c>
      <c r="CZ29" s="768">
        <v>1</v>
      </c>
      <c r="DA29" s="768">
        <v>0</v>
      </c>
      <c r="DB29" s="768">
        <v>0</v>
      </c>
      <c r="DC29" s="769">
        <f>SUM(CY29:DB29)</f>
        <v>1</v>
      </c>
      <c r="DD29" s="768">
        <v>0</v>
      </c>
      <c r="DE29" s="768">
        <v>0</v>
      </c>
      <c r="DF29" s="768">
        <v>0</v>
      </c>
      <c r="DG29" s="768">
        <v>0</v>
      </c>
      <c r="DH29" s="769">
        <f>SUM(DD29:DG29)</f>
        <v>0</v>
      </c>
      <c r="DI29" s="768">
        <v>0</v>
      </c>
      <c r="DJ29" s="768">
        <v>-1</v>
      </c>
      <c r="DK29" s="768">
        <v>1</v>
      </c>
      <c r="DL29" s="768">
        <v>1</v>
      </c>
      <c r="DM29" s="769">
        <f>SUM(DI29:DL29)</f>
        <v>1</v>
      </c>
      <c r="DN29" s="768">
        <v>1</v>
      </c>
      <c r="DO29" s="768">
        <v>2</v>
      </c>
      <c r="DP29" s="768">
        <v>-1</v>
      </c>
      <c r="DQ29" s="768">
        <v>6</v>
      </c>
      <c r="DR29" s="769">
        <v>8</v>
      </c>
      <c r="DS29" s="768">
        <v>0</v>
      </c>
      <c r="DT29" s="768">
        <v>0</v>
      </c>
      <c r="DU29" s="768">
        <v>0</v>
      </c>
      <c r="DV29" s="768">
        <v>0</v>
      </c>
      <c r="DW29" s="769">
        <f>SUM(DS29:DV29)</f>
        <v>0</v>
      </c>
      <c r="DX29" s="781">
        <v>0</v>
      </c>
      <c r="DY29" s="781">
        <v>0</v>
      </c>
      <c r="DZ29" s="781">
        <v>0</v>
      </c>
      <c r="EA29" s="781">
        <v>0</v>
      </c>
      <c r="EB29" s="769">
        <f>SUM(DX29:EA29)</f>
        <v>0</v>
      </c>
      <c r="EC29" s="781">
        <v>0</v>
      </c>
      <c r="ED29" s="781">
        <v>0</v>
      </c>
      <c r="EE29" s="781">
        <v>0</v>
      </c>
      <c r="EF29" s="781">
        <v>0</v>
      </c>
      <c r="EG29" s="769">
        <f>SUM(EC29:EF29)</f>
        <v>0</v>
      </c>
      <c r="EH29" s="781">
        <v>0</v>
      </c>
      <c r="EI29" s="781">
        <v>0</v>
      </c>
      <c r="EJ29" s="781">
        <v>0</v>
      </c>
      <c r="EK29" s="781">
        <v>0</v>
      </c>
      <c r="EL29" s="769">
        <f>SUM(EH29:EK29)</f>
        <v>0</v>
      </c>
      <c r="EM29" s="21"/>
      <c r="EN29"/>
      <c r="EO29"/>
      <c r="EP29"/>
      <c r="EQ29"/>
      <c r="ER29"/>
      <c r="ES29" s="23"/>
      <c r="ET29"/>
      <c r="EU29" s="23"/>
      <c r="EV29" s="23"/>
      <c r="EW29" s="23"/>
      <c r="EX29" s="24"/>
      <c r="EY29" s="24"/>
      <c r="EZ29" s="24"/>
      <c r="FA29" s="24"/>
      <c r="FB29" s="24"/>
      <c r="FC29" s="24"/>
      <c r="FD29" s="24"/>
      <c r="FE29" s="24"/>
      <c r="FF29" s="24"/>
      <c r="FG29" s="24"/>
      <c r="FH29" s="24"/>
      <c r="FI29" s="24"/>
      <c r="FJ29" s="24"/>
      <c r="FK29" s="24"/>
      <c r="FL29" s="24"/>
      <c r="FM29" s="24"/>
      <c r="FN29" s="24"/>
      <c r="FO29" s="24"/>
      <c r="FP29" s="24"/>
      <c r="FQ29" s="24"/>
      <c r="FR29" s="24"/>
      <c r="FS29" s="24"/>
      <c r="FT29" s="24"/>
      <c r="FU29" s="24"/>
      <c r="FV29" s="24"/>
      <c r="FW29" s="24"/>
      <c r="FX29" s="24"/>
      <c r="FY29" s="24"/>
      <c r="FZ29" s="24"/>
      <c r="GA29" s="24"/>
      <c r="GB29" s="24"/>
      <c r="GC29" s="24"/>
      <c r="GD29" s="24"/>
      <c r="GE29" s="24"/>
      <c r="GF29" s="24"/>
      <c r="GG29" s="24"/>
      <c r="GH29" s="24"/>
      <c r="GI29" s="24"/>
      <c r="GJ29" s="24"/>
      <c r="GK29" s="24"/>
      <c r="GL29" s="24"/>
      <c r="GM29" s="24"/>
      <c r="GN29" s="24"/>
      <c r="GO29" s="24"/>
      <c r="GP29" s="24"/>
      <c r="GQ29" s="24"/>
      <c r="GR29" s="24"/>
      <c r="GS29" s="24"/>
      <c r="GT29" s="24"/>
      <c r="GU29" s="24"/>
      <c r="GV29" s="24"/>
      <c r="GW29" s="24"/>
      <c r="GX29" s="24"/>
      <c r="GY29" s="24"/>
      <c r="GZ29" s="24"/>
      <c r="HA29" s="24"/>
      <c r="HB29" s="24"/>
      <c r="HC29" s="24"/>
      <c r="HD29" s="24"/>
      <c r="HE29" s="24"/>
      <c r="HF29" s="24"/>
      <c r="HG29" s="24"/>
      <c r="HH29" s="24"/>
      <c r="HI29" s="24"/>
      <c r="HJ29" s="24"/>
      <c r="HK29" s="24"/>
      <c r="HL29" s="24"/>
      <c r="HM29" s="24"/>
      <c r="HN29" s="24"/>
      <c r="HO29" s="24"/>
      <c r="HP29" s="24"/>
      <c r="HQ29" s="24"/>
      <c r="HR29" s="24"/>
      <c r="HS29" s="24"/>
      <c r="HT29" s="24"/>
      <c r="HU29" s="24"/>
      <c r="HV29" s="24"/>
      <c r="HW29" s="24"/>
      <c r="HX29" s="24"/>
      <c r="HY29" s="24"/>
      <c r="HZ29" s="24"/>
      <c r="IA29" s="24"/>
      <c r="IB29" s="24"/>
      <c r="IC29" s="24"/>
      <c r="ID29" s="24"/>
      <c r="IE29" s="24"/>
      <c r="IF29" s="24"/>
      <c r="IG29" s="24"/>
      <c r="IH29" s="24"/>
      <c r="II29" s="24"/>
      <c r="IJ29" s="24"/>
      <c r="IK29" s="24"/>
      <c r="IL29" s="24"/>
      <c r="IM29" s="24"/>
      <c r="IN29" s="24"/>
      <c r="IO29" s="24"/>
      <c r="IP29" s="24"/>
      <c r="IQ29" s="24"/>
      <c r="IR29" s="24"/>
      <c r="IS29" s="24"/>
      <c r="IT29" s="24"/>
      <c r="IU29" s="24"/>
      <c r="IV29" s="24"/>
      <c r="IW29" s="24"/>
      <c r="IX29" s="24"/>
      <c r="IY29" s="24"/>
      <c r="IZ29" s="24"/>
      <c r="JA29" s="24"/>
      <c r="JB29" s="24"/>
      <c r="JC29" s="24"/>
      <c r="JD29" s="24"/>
      <c r="JE29" s="24"/>
      <c r="JF29" s="24"/>
      <c r="JG29" s="24"/>
      <c r="JH29" s="24"/>
      <c r="JI29" s="24"/>
      <c r="JJ29" s="24"/>
      <c r="JK29" s="24"/>
    </row>
    <row r="30" spans="1:271" s="18" customFormat="1" ht="12" hidden="1" customHeight="1" outlineLevel="1">
      <c r="A30" s="766"/>
      <c r="B30" s="767" t="s">
        <v>351</v>
      </c>
      <c r="C30" s="737"/>
      <c r="D30" s="768">
        <v>-2.5</v>
      </c>
      <c r="E30" s="768">
        <v>0</v>
      </c>
      <c r="F30" s="768">
        <v>0</v>
      </c>
      <c r="G30" s="768">
        <f>-2-SUM(D30:F30)</f>
        <v>0.5</v>
      </c>
      <c r="H30" s="769">
        <f>SUM(D30:G30)</f>
        <v>-2</v>
      </c>
      <c r="I30" s="768">
        <v>123.5</v>
      </c>
      <c r="J30" s="768">
        <v>171.1</v>
      </c>
      <c r="K30" s="768">
        <v>0</v>
      </c>
      <c r="L30" s="768">
        <f>329-SUM(I30:K30)</f>
        <v>34.399999999999977</v>
      </c>
      <c r="M30" s="769">
        <f>SUM(I30:L30)</f>
        <v>329</v>
      </c>
      <c r="N30" s="768">
        <v>0</v>
      </c>
      <c r="O30" s="768">
        <v>0</v>
      </c>
      <c r="P30" s="768">
        <v>0</v>
      </c>
      <c r="Q30" s="768">
        <f>-18-SUM(N30:P30)</f>
        <v>-18</v>
      </c>
      <c r="R30" s="769">
        <f>SUM(N30:Q30)</f>
        <v>-18</v>
      </c>
      <c r="S30" s="768">
        <v>0</v>
      </c>
      <c r="T30" s="768">
        <v>0</v>
      </c>
      <c r="U30" s="768">
        <v>0</v>
      </c>
      <c r="V30" s="768">
        <f>-17-SUM(S30:U30)</f>
        <v>-17</v>
      </c>
      <c r="W30" s="769">
        <f>SUM(S30:V30)</f>
        <v>-17</v>
      </c>
      <c r="X30" s="768">
        <v>0</v>
      </c>
      <c r="Y30" s="768">
        <v>0</v>
      </c>
      <c r="Z30" s="768">
        <v>0</v>
      </c>
      <c r="AA30" s="768">
        <v>0</v>
      </c>
      <c r="AB30" s="769">
        <f>SUM(X30:AA30)</f>
        <v>0</v>
      </c>
      <c r="AC30" s="768">
        <v>10</v>
      </c>
      <c r="AD30" s="768">
        <v>58</v>
      </c>
      <c r="AE30" s="768">
        <v>51</v>
      </c>
      <c r="AF30" s="768">
        <f>49-SUM(AC30:AE30)</f>
        <v>-70</v>
      </c>
      <c r="AG30" s="769">
        <f>SUM(AC30:AF30)</f>
        <v>49</v>
      </c>
      <c r="AH30" s="768">
        <v>0</v>
      </c>
      <c r="AI30" s="768">
        <v>0</v>
      </c>
      <c r="AJ30" s="768">
        <v>0</v>
      </c>
      <c r="AK30" s="768">
        <f>28-SUM(AH30:AJ30)</f>
        <v>28</v>
      </c>
      <c r="AL30" s="769">
        <f>SUM(AH30:AK30)</f>
        <v>28</v>
      </c>
      <c r="AM30" s="768">
        <v>0</v>
      </c>
      <c r="AN30" s="768">
        <v>0</v>
      </c>
      <c r="AO30" s="768">
        <v>0</v>
      </c>
      <c r="AP30" s="768">
        <v>0</v>
      </c>
      <c r="AQ30" s="769">
        <f>SUM(AM30:AP30)</f>
        <v>0</v>
      </c>
      <c r="AR30" s="768">
        <v>0</v>
      </c>
      <c r="AS30" s="768">
        <v>0</v>
      </c>
      <c r="AT30" s="768">
        <v>0</v>
      </c>
      <c r="AU30" s="768"/>
      <c r="AV30" s="769">
        <v>0</v>
      </c>
      <c r="AW30" s="768">
        <v>0</v>
      </c>
      <c r="AX30" s="768">
        <v>0</v>
      </c>
      <c r="AY30" s="768">
        <v>-64</v>
      </c>
      <c r="AZ30" s="768">
        <f>SUM(AV30:AY30)</f>
        <v>-64</v>
      </c>
      <c r="BA30" s="768">
        <v>0</v>
      </c>
      <c r="BB30" s="768">
        <f>-5+9</f>
        <v>4</v>
      </c>
      <c r="BC30" s="768">
        <v>0</v>
      </c>
      <c r="BD30" s="768">
        <v>7</v>
      </c>
      <c r="BE30" s="769">
        <f>SUM(BA30:BD30)</f>
        <v>11</v>
      </c>
      <c r="BF30" s="768">
        <v>0</v>
      </c>
      <c r="BG30" s="768">
        <v>6</v>
      </c>
      <c r="BH30" s="768">
        <v>0</v>
      </c>
      <c r="BI30" s="768">
        <v>4</v>
      </c>
      <c r="BJ30" s="769">
        <f>SUM(BF30:BI30)</f>
        <v>10</v>
      </c>
      <c r="BK30" s="768">
        <v>0</v>
      </c>
      <c r="BL30" s="768">
        <v>0</v>
      </c>
      <c r="BM30" s="768">
        <v>0</v>
      </c>
      <c r="BN30" s="768">
        <v>4</v>
      </c>
      <c r="BO30" s="769">
        <f>SUM(BK30:BN30)</f>
        <v>4</v>
      </c>
      <c r="BP30" s="768">
        <v>2</v>
      </c>
      <c r="BQ30" s="768">
        <v>0</v>
      </c>
      <c r="BR30" s="768">
        <v>0</v>
      </c>
      <c r="BS30" s="768">
        <v>3</v>
      </c>
      <c r="BT30" s="769">
        <f>SUM(BP30:BS30)</f>
        <v>5</v>
      </c>
      <c r="BU30" s="768">
        <v>0</v>
      </c>
      <c r="BV30" s="768">
        <v>0</v>
      </c>
      <c r="BW30" s="768">
        <v>0</v>
      </c>
      <c r="BX30" s="768">
        <v>0</v>
      </c>
      <c r="BY30" s="769">
        <f>SUM(BU30:BX30)</f>
        <v>0</v>
      </c>
      <c r="BZ30" s="768">
        <v>0</v>
      </c>
      <c r="CA30" s="768">
        <v>0</v>
      </c>
      <c r="CB30" s="768">
        <v>140</v>
      </c>
      <c r="CC30" s="768">
        <v>-1</v>
      </c>
      <c r="CD30" s="769">
        <f>SUM(BZ30:CC30)</f>
        <v>139</v>
      </c>
      <c r="CE30" s="768">
        <v>0</v>
      </c>
      <c r="CF30" s="768">
        <v>15</v>
      </c>
      <c r="CG30" s="768">
        <v>0</v>
      </c>
      <c r="CH30" s="768">
        <v>0</v>
      </c>
      <c r="CI30" s="769">
        <f>SUM(CE30:CH30)</f>
        <v>15</v>
      </c>
      <c r="CJ30" s="768">
        <v>0</v>
      </c>
      <c r="CK30" s="768">
        <v>0</v>
      </c>
      <c r="CL30" s="768">
        <v>0</v>
      </c>
      <c r="CM30" s="768">
        <v>0</v>
      </c>
      <c r="CN30" s="769">
        <f>SUM(CJ30:CM30)</f>
        <v>0</v>
      </c>
      <c r="CO30" s="768">
        <v>0</v>
      </c>
      <c r="CP30" s="768">
        <v>0</v>
      </c>
      <c r="CQ30" s="768">
        <v>0</v>
      </c>
      <c r="CR30" s="768">
        <v>0</v>
      </c>
      <c r="CS30" s="769">
        <f>SUM(CO30:CR30)</f>
        <v>0</v>
      </c>
      <c r="CT30" s="768">
        <v>0</v>
      </c>
      <c r="CU30" s="768">
        <v>0</v>
      </c>
      <c r="CV30" s="768">
        <v>0</v>
      </c>
      <c r="CW30" s="768">
        <v>0</v>
      </c>
      <c r="CX30" s="769">
        <f>SUM(CT30:CW30)</f>
        <v>0</v>
      </c>
      <c r="CY30" s="768">
        <v>0</v>
      </c>
      <c r="CZ30" s="768">
        <v>0</v>
      </c>
      <c r="DA30" s="768">
        <v>0</v>
      </c>
      <c r="DB30" s="768">
        <v>0</v>
      </c>
      <c r="DC30" s="769">
        <f>SUM(CY30:DB30)</f>
        <v>0</v>
      </c>
      <c r="DD30" s="768">
        <v>0</v>
      </c>
      <c r="DE30" s="768">
        <v>0</v>
      </c>
      <c r="DF30" s="768">
        <v>0</v>
      </c>
      <c r="DG30" s="768">
        <v>0</v>
      </c>
      <c r="DH30" s="769">
        <f>SUM(DD30:DG30)</f>
        <v>0</v>
      </c>
      <c r="DI30" s="768">
        <v>0</v>
      </c>
      <c r="DJ30" s="768">
        <v>0</v>
      </c>
      <c r="DK30" s="768">
        <v>0</v>
      </c>
      <c r="DL30" s="768">
        <v>0</v>
      </c>
      <c r="DM30" s="769">
        <f>SUM(DI30:DL30)</f>
        <v>0</v>
      </c>
      <c r="DN30" s="768">
        <v>0</v>
      </c>
      <c r="DO30" s="768">
        <v>0</v>
      </c>
      <c r="DP30" s="768">
        <v>0</v>
      </c>
      <c r="DQ30" s="768">
        <v>0</v>
      </c>
      <c r="DR30" s="769">
        <f>SUM(DN30:DQ30)</f>
        <v>0</v>
      </c>
      <c r="DS30" s="768">
        <v>0</v>
      </c>
      <c r="DT30" s="768">
        <v>0</v>
      </c>
      <c r="DU30" s="768">
        <v>0</v>
      </c>
      <c r="DV30" s="768">
        <v>0</v>
      </c>
      <c r="DW30" s="769">
        <f>SUM(DS30:DV30)</f>
        <v>0</v>
      </c>
      <c r="DX30" s="781">
        <v>0</v>
      </c>
      <c r="DY30" s="781">
        <v>0</v>
      </c>
      <c r="DZ30" s="781">
        <v>0</v>
      </c>
      <c r="EA30" s="781">
        <v>0</v>
      </c>
      <c r="EB30" s="769">
        <f>SUM(DX30:EA30)</f>
        <v>0</v>
      </c>
      <c r="EC30" s="781">
        <v>0</v>
      </c>
      <c r="ED30" s="781">
        <v>0</v>
      </c>
      <c r="EE30" s="781">
        <v>0</v>
      </c>
      <c r="EF30" s="781">
        <v>0</v>
      </c>
      <c r="EG30" s="769">
        <f>SUM(EC30:EF30)</f>
        <v>0</v>
      </c>
      <c r="EH30" s="781">
        <v>0</v>
      </c>
      <c r="EI30" s="781">
        <v>0</v>
      </c>
      <c r="EJ30" s="781">
        <v>0</v>
      </c>
      <c r="EK30" s="781">
        <v>0</v>
      </c>
      <c r="EL30" s="769">
        <f>SUM(EH30:EK30)</f>
        <v>0</v>
      </c>
      <c r="EM30" s="21"/>
      <c r="EN30"/>
      <c r="EO30"/>
      <c r="EP30"/>
      <c r="EQ30"/>
      <c r="ER30"/>
      <c r="ES30" s="23"/>
      <c r="ET30"/>
      <c r="EU30" s="23"/>
      <c r="EV30" s="23"/>
      <c r="EW30" s="23"/>
      <c r="EX30" s="24"/>
      <c r="EY30" s="24"/>
      <c r="EZ30" s="24"/>
      <c r="FA30" s="24"/>
      <c r="FB30" s="24"/>
      <c r="FC30" s="24"/>
      <c r="FD30" s="24"/>
      <c r="FE30" s="24"/>
      <c r="FF30" s="24"/>
      <c r="FG30" s="24"/>
      <c r="FH30" s="24"/>
      <c r="FI30" s="24"/>
      <c r="FJ30" s="24"/>
      <c r="FK30" s="24"/>
      <c r="FL30" s="24"/>
      <c r="FM30" s="24"/>
      <c r="FN30" s="24"/>
      <c r="FO30" s="24"/>
      <c r="FP30" s="24"/>
      <c r="FQ30" s="24"/>
      <c r="FR30" s="24"/>
      <c r="FS30" s="24"/>
      <c r="FT30" s="24"/>
      <c r="FU30" s="24"/>
      <c r="FV30" s="24"/>
      <c r="FW30" s="24"/>
      <c r="FX30" s="24"/>
      <c r="FY30" s="24"/>
      <c r="FZ30" s="24"/>
      <c r="GA30" s="24"/>
      <c r="GB30" s="24"/>
      <c r="GC30" s="24"/>
      <c r="GD30" s="24"/>
      <c r="GE30" s="24"/>
      <c r="GF30" s="24"/>
      <c r="GG30" s="24"/>
      <c r="GH30" s="24"/>
      <c r="GI30" s="24"/>
      <c r="GJ30" s="24"/>
      <c r="GK30" s="24"/>
      <c r="GL30" s="24"/>
      <c r="GM30" s="24"/>
      <c r="GN30" s="24"/>
      <c r="GO30" s="24"/>
      <c r="GP30" s="24"/>
      <c r="GQ30" s="24"/>
      <c r="GR30" s="24"/>
      <c r="GS30" s="24"/>
      <c r="GT30" s="24"/>
      <c r="GU30" s="24"/>
      <c r="GV30" s="24"/>
      <c r="GW30" s="24"/>
      <c r="GX30" s="24"/>
      <c r="GY30" s="24"/>
      <c r="GZ30" s="24"/>
      <c r="HA30" s="24"/>
      <c r="HB30" s="24"/>
      <c r="HC30" s="24"/>
      <c r="HD30" s="24"/>
      <c r="HE30" s="24"/>
      <c r="HF30" s="24"/>
      <c r="HG30" s="24"/>
      <c r="HH30" s="24"/>
      <c r="HI30" s="24"/>
      <c r="HJ30" s="24"/>
      <c r="HK30" s="24"/>
      <c r="HL30" s="24"/>
      <c r="HM30" s="24"/>
      <c r="HN30" s="24"/>
      <c r="HO30" s="24"/>
      <c r="HP30" s="24"/>
      <c r="HQ30" s="24"/>
      <c r="HR30" s="24"/>
      <c r="HS30" s="24"/>
      <c r="HT30" s="24"/>
      <c r="HU30" s="24"/>
      <c r="HV30" s="24"/>
      <c r="HW30" s="24"/>
      <c r="HX30" s="24"/>
      <c r="HY30" s="24"/>
      <c r="HZ30" s="24"/>
      <c r="IA30" s="24"/>
      <c r="IB30" s="24"/>
      <c r="IC30" s="24"/>
      <c r="ID30" s="24"/>
      <c r="IE30" s="24"/>
      <c r="IF30" s="24"/>
      <c r="IG30" s="24"/>
      <c r="IH30" s="24"/>
      <c r="II30" s="24"/>
      <c r="IJ30" s="24"/>
      <c r="IK30" s="24"/>
      <c r="IL30" s="24"/>
      <c r="IM30" s="24"/>
      <c r="IN30" s="24"/>
      <c r="IO30" s="24"/>
      <c r="IP30" s="24"/>
      <c r="IQ30" s="24"/>
      <c r="IR30" s="24"/>
      <c r="IS30" s="24"/>
      <c r="IT30" s="24"/>
      <c r="IU30" s="24"/>
      <c r="IV30" s="24"/>
      <c r="IW30" s="24"/>
      <c r="IX30" s="24"/>
      <c r="IY30" s="24"/>
      <c r="IZ30" s="24"/>
      <c r="JA30" s="24"/>
      <c r="JB30" s="24"/>
      <c r="JC30" s="24"/>
      <c r="JD30" s="24"/>
      <c r="JE30" s="24"/>
      <c r="JF30" s="24"/>
      <c r="JG30" s="24"/>
      <c r="JH30" s="24"/>
      <c r="JI30" s="24"/>
      <c r="JJ30" s="24"/>
      <c r="JK30" s="24"/>
    </row>
    <row r="31" spans="1:271" s="18" customFormat="1" ht="12" customHeight="1" collapsed="1">
      <c r="A31" s="766"/>
      <c r="B31" s="767" t="s">
        <v>352</v>
      </c>
      <c r="C31" s="737"/>
      <c r="D31" s="768">
        <v>0</v>
      </c>
      <c r="E31" s="768">
        <v>0</v>
      </c>
      <c r="F31" s="768">
        <v>0</v>
      </c>
      <c r="G31" s="768">
        <f>-(20+12.1)-SUM(D31:F31)</f>
        <v>-32.1</v>
      </c>
      <c r="H31" s="769">
        <f>SUM(D31:G31)</f>
        <v>-32.1</v>
      </c>
      <c r="I31" s="768">
        <v>0</v>
      </c>
      <c r="J31" s="768">
        <v>0</v>
      </c>
      <c r="K31" s="768">
        <v>0</v>
      </c>
      <c r="L31" s="768">
        <f>-(23+13)-SUM(I31:K31)</f>
        <v>-36</v>
      </c>
      <c r="M31" s="769">
        <f>SUM(I31:L31)</f>
        <v>-36</v>
      </c>
      <c r="N31" s="768">
        <v>0</v>
      </c>
      <c r="O31" s="768">
        <v>0</v>
      </c>
      <c r="P31" s="768">
        <f>-47.4-29.1</f>
        <v>-76.5</v>
      </c>
      <c r="Q31" s="768">
        <f>-(47+29)-SUM(N31:P31)</f>
        <v>0.5</v>
      </c>
      <c r="R31" s="769">
        <f>SUM(N31:Q31)</f>
        <v>-76</v>
      </c>
      <c r="S31" s="768">
        <v>0</v>
      </c>
      <c r="T31" s="768">
        <v>0</v>
      </c>
      <c r="U31" s="768">
        <v>0</v>
      </c>
      <c r="V31" s="768">
        <f>-(117+72)-SUM(S31:U31)</f>
        <v>-189</v>
      </c>
      <c r="W31" s="769">
        <f>SUM(S31:V31)</f>
        <v>-189</v>
      </c>
      <c r="X31" s="768">
        <v>0</v>
      </c>
      <c r="Y31" s="768">
        <v>0</v>
      </c>
      <c r="Z31" s="768">
        <v>0</v>
      </c>
      <c r="AA31" s="768">
        <v>0</v>
      </c>
      <c r="AB31" s="769">
        <f>SUM(X31:AA31)</f>
        <v>0</v>
      </c>
      <c r="AC31" s="768">
        <v>0</v>
      </c>
      <c r="AD31" s="768">
        <v>0</v>
      </c>
      <c r="AE31" s="768">
        <v>0</v>
      </c>
      <c r="AF31" s="768">
        <v>0</v>
      </c>
      <c r="AG31" s="769">
        <f>SUM(AC31:AF31)</f>
        <v>0</v>
      </c>
      <c r="AH31" s="768">
        <v>0</v>
      </c>
      <c r="AI31" s="768">
        <v>0</v>
      </c>
      <c r="AJ31" s="768">
        <v>0</v>
      </c>
      <c r="AK31" s="768">
        <f>-(35+21)-SUM(AH31:AJ31)</f>
        <v>-56</v>
      </c>
      <c r="AL31" s="769">
        <f>SUM(AH31:AK31)</f>
        <v>-56</v>
      </c>
      <c r="AM31" s="768">
        <f>-69-41</f>
        <v>-110</v>
      </c>
      <c r="AN31" s="768">
        <f>-103-62</f>
        <v>-165</v>
      </c>
      <c r="AO31" s="768">
        <f>-8-4</f>
        <v>-12</v>
      </c>
      <c r="AP31" s="768">
        <f>-(240+143)-SUM(AM31:AO31)</f>
        <v>-96</v>
      </c>
      <c r="AQ31" s="769">
        <f>SUM(AM31:AP31)</f>
        <v>-383</v>
      </c>
      <c r="AR31" s="768">
        <v>-4</v>
      </c>
      <c r="AS31" s="768">
        <v>0</v>
      </c>
      <c r="AT31" s="768">
        <v>0</v>
      </c>
      <c r="AU31" s="768"/>
      <c r="AV31" s="769">
        <v>-6</v>
      </c>
      <c r="AW31" s="768">
        <v>-96</v>
      </c>
      <c r="AX31" s="768">
        <v>-3</v>
      </c>
      <c r="AY31" s="768">
        <v>0</v>
      </c>
      <c r="AZ31" s="768">
        <f>SUM(AV31:AY31)</f>
        <v>-105</v>
      </c>
      <c r="BA31" s="768">
        <v>0</v>
      </c>
      <c r="BB31" s="768">
        <v>0</v>
      </c>
      <c r="BC31" s="768">
        <v>0</v>
      </c>
      <c r="BD31" s="768">
        <v>0</v>
      </c>
      <c r="BE31" s="769">
        <f>SUM(BA31:BD31)</f>
        <v>0</v>
      </c>
      <c r="BF31" s="768">
        <v>0</v>
      </c>
      <c r="BG31" s="768">
        <v>-5</v>
      </c>
      <c r="BH31" s="768">
        <v>0</v>
      </c>
      <c r="BI31" s="768">
        <v>-8</v>
      </c>
      <c r="BJ31" s="769">
        <f>SUM(BF31:BI31)</f>
        <v>-13</v>
      </c>
      <c r="BK31" s="768">
        <v>0</v>
      </c>
      <c r="BL31" s="768">
        <v>0</v>
      </c>
      <c r="BM31" s="768">
        <v>0</v>
      </c>
      <c r="BN31" s="768">
        <v>0</v>
      </c>
      <c r="BO31" s="769">
        <f>SUM(BK31:BN31)</f>
        <v>0</v>
      </c>
      <c r="BP31" s="768">
        <v>0</v>
      </c>
      <c r="BQ31" s="768">
        <v>0</v>
      </c>
      <c r="BR31" s="768">
        <v>0</v>
      </c>
      <c r="BS31" s="768">
        <v>0</v>
      </c>
      <c r="BT31" s="769">
        <f>SUM(BP31:BS31)</f>
        <v>0</v>
      </c>
      <c r="BU31" s="768">
        <v>0</v>
      </c>
      <c r="BV31" s="768">
        <v>0</v>
      </c>
      <c r="BW31" s="768">
        <v>0</v>
      </c>
      <c r="BX31" s="768">
        <v>0</v>
      </c>
      <c r="BY31" s="769">
        <f>SUM(BU31:BX31)</f>
        <v>0</v>
      </c>
      <c r="BZ31" s="768">
        <v>0</v>
      </c>
      <c r="CA31" s="768">
        <v>0</v>
      </c>
      <c r="CB31" s="768">
        <v>0</v>
      </c>
      <c r="CC31" s="768">
        <v>0</v>
      </c>
      <c r="CD31" s="769">
        <f>SUM(BZ31:CC31)</f>
        <v>0</v>
      </c>
      <c r="CE31" s="768">
        <v>134</v>
      </c>
      <c r="CF31" s="768">
        <v>-21</v>
      </c>
      <c r="CG31" s="768">
        <v>-16</v>
      </c>
      <c r="CH31" s="768">
        <v>0</v>
      </c>
      <c r="CI31" s="769">
        <f>SUM(CE31:CH31)</f>
        <v>97</v>
      </c>
      <c r="CJ31" s="768">
        <v>0</v>
      </c>
      <c r="CK31" s="768">
        <v>0</v>
      </c>
      <c r="CL31" s="768">
        <v>-55</v>
      </c>
      <c r="CM31" s="768">
        <v>-2</v>
      </c>
      <c r="CN31" s="769">
        <f>SUM(CJ31:CM31)</f>
        <v>-57</v>
      </c>
      <c r="CO31" s="768">
        <v>0</v>
      </c>
      <c r="CP31" s="768">
        <v>0</v>
      </c>
      <c r="CQ31" s="768">
        <v>0</v>
      </c>
      <c r="CR31" s="768">
        <v>-117</v>
      </c>
      <c r="CS31" s="769">
        <f>SUM(CO31:CR31)</f>
        <v>-117</v>
      </c>
      <c r="CT31" s="768">
        <v>0</v>
      </c>
      <c r="CU31" s="768">
        <v>0</v>
      </c>
      <c r="CV31" s="768">
        <v>0</v>
      </c>
      <c r="CW31" s="768">
        <v>-4</v>
      </c>
      <c r="CX31" s="769">
        <f>SUM(CT31:CW31)</f>
        <v>-4</v>
      </c>
      <c r="CY31" s="768">
        <v>-177</v>
      </c>
      <c r="CZ31" s="768">
        <v>-171</v>
      </c>
      <c r="DA31" s="768">
        <v>0</v>
      </c>
      <c r="DB31" s="768">
        <v>0</v>
      </c>
      <c r="DC31" s="769">
        <f>SUM(CY31:DB31)</f>
        <v>-348</v>
      </c>
      <c r="DD31" s="768">
        <v>0</v>
      </c>
      <c r="DE31" s="768">
        <v>0</v>
      </c>
      <c r="DF31" s="768">
        <v>-24</v>
      </c>
      <c r="DG31" s="768">
        <v>0</v>
      </c>
      <c r="DH31" s="769">
        <f>SUM(DD31:DG31)</f>
        <v>-24</v>
      </c>
      <c r="DI31" s="768">
        <v>0</v>
      </c>
      <c r="DJ31" s="768">
        <v>0</v>
      </c>
      <c r="DK31" s="768">
        <v>0</v>
      </c>
      <c r="DL31" s="768">
        <v>-1</v>
      </c>
      <c r="DM31" s="769">
        <f>SUM(DI31:DL31)</f>
        <v>-1</v>
      </c>
      <c r="DN31" s="768">
        <v>0</v>
      </c>
      <c r="DO31" s="768">
        <v>0</v>
      </c>
      <c r="DP31" s="768">
        <v>0</v>
      </c>
      <c r="DQ31" s="768">
        <v>0</v>
      </c>
      <c r="DR31" s="769">
        <f>SUM(DN31:DQ31)</f>
        <v>0</v>
      </c>
      <c r="DS31" s="768">
        <v>0</v>
      </c>
      <c r="DT31" s="768">
        <v>-26</v>
      </c>
      <c r="DU31" s="768">
        <v>-138</v>
      </c>
      <c r="DV31" s="768">
        <v>0</v>
      </c>
      <c r="DW31" s="769">
        <f>SUM(DS31:DV31)</f>
        <v>-164</v>
      </c>
      <c r="DX31" s="781">
        <v>0</v>
      </c>
      <c r="DY31" s="781">
        <v>0</v>
      </c>
      <c r="DZ31" s="781">
        <v>0</v>
      </c>
      <c r="EA31" s="781">
        <v>0</v>
      </c>
      <c r="EB31" s="769">
        <f>SUM(DX31:EA31)</f>
        <v>0</v>
      </c>
      <c r="EC31" s="781">
        <v>0</v>
      </c>
      <c r="ED31" s="781">
        <v>0</v>
      </c>
      <c r="EE31" s="781">
        <v>0</v>
      </c>
      <c r="EF31" s="781">
        <v>0</v>
      </c>
      <c r="EG31" s="769">
        <f>SUM(EC31:EF31)</f>
        <v>0</v>
      </c>
      <c r="EH31" s="781">
        <v>0</v>
      </c>
      <c r="EI31" s="781">
        <v>0</v>
      </c>
      <c r="EJ31" s="781">
        <v>0</v>
      </c>
      <c r="EK31" s="781">
        <v>0</v>
      </c>
      <c r="EL31" s="769">
        <f>SUM(EH31:EK31)</f>
        <v>0</v>
      </c>
      <c r="EM31" s="21"/>
      <c r="EN31"/>
      <c r="EO31"/>
      <c r="EP31"/>
      <c r="EQ31"/>
      <c r="ER31"/>
      <c r="ES31" s="23"/>
      <c r="ET31"/>
      <c r="EU31" s="23"/>
      <c r="EV31" s="23"/>
      <c r="EW31" s="23"/>
      <c r="EX31" s="24"/>
      <c r="EY31" s="24"/>
      <c r="EZ31" s="24"/>
      <c r="FA31" s="24"/>
      <c r="FB31" s="24"/>
      <c r="FC31" s="24"/>
      <c r="FD31" s="24"/>
      <c r="FE31" s="24"/>
      <c r="FF31" s="24"/>
      <c r="FG31" s="24"/>
      <c r="FH31" s="24"/>
      <c r="FI31" s="24"/>
      <c r="FJ31" s="24"/>
      <c r="FK31" s="24"/>
      <c r="FL31" s="24"/>
      <c r="FM31" s="24"/>
      <c r="FN31" s="24"/>
      <c r="FO31" s="24"/>
      <c r="FP31" s="24"/>
      <c r="FQ31" s="24"/>
      <c r="FR31" s="24"/>
      <c r="FS31" s="24"/>
      <c r="FT31" s="24"/>
      <c r="FU31" s="24"/>
      <c r="FV31" s="24"/>
      <c r="FW31" s="24"/>
      <c r="FX31" s="24"/>
      <c r="FY31" s="24"/>
      <c r="FZ31" s="24"/>
      <c r="GA31" s="24"/>
      <c r="GB31" s="24"/>
      <c r="GC31" s="24"/>
      <c r="GD31" s="24"/>
      <c r="GE31" s="24"/>
      <c r="GF31" s="24"/>
      <c r="GG31" s="24"/>
      <c r="GH31" s="24"/>
      <c r="GI31" s="24"/>
      <c r="GJ31" s="24"/>
      <c r="GK31" s="24"/>
      <c r="GL31" s="24"/>
      <c r="GM31" s="24"/>
      <c r="GN31" s="24"/>
      <c r="GO31" s="24"/>
      <c r="GP31" s="24"/>
      <c r="GQ31" s="24"/>
      <c r="GR31" s="24"/>
      <c r="GS31" s="24"/>
      <c r="GT31" s="24"/>
      <c r="GU31" s="24"/>
      <c r="GV31" s="24"/>
      <c r="GW31" s="24"/>
      <c r="GX31" s="24"/>
      <c r="GY31" s="24"/>
      <c r="GZ31" s="24"/>
      <c r="HA31" s="24"/>
      <c r="HB31" s="24"/>
      <c r="HC31" s="24"/>
      <c r="HD31" s="24"/>
      <c r="HE31" s="24"/>
      <c r="HF31" s="24"/>
      <c r="HG31" s="24"/>
      <c r="HH31" s="24"/>
      <c r="HI31" s="24"/>
      <c r="HJ31" s="24"/>
      <c r="HK31" s="24"/>
      <c r="HL31" s="24"/>
      <c r="HM31" s="24"/>
      <c r="HN31" s="24"/>
      <c r="HO31" s="24"/>
      <c r="HP31" s="24"/>
      <c r="HQ31" s="24"/>
      <c r="HR31" s="24"/>
      <c r="HS31" s="24"/>
      <c r="HT31" s="24"/>
      <c r="HU31" s="24"/>
      <c r="HV31" s="24"/>
      <c r="HW31" s="24"/>
      <c r="HX31" s="24"/>
      <c r="HY31" s="24"/>
      <c r="HZ31" s="24"/>
      <c r="IA31" s="24"/>
      <c r="IB31" s="24"/>
      <c r="IC31" s="24"/>
      <c r="ID31" s="24"/>
      <c r="IE31" s="24"/>
      <c r="IF31" s="24"/>
      <c r="IG31" s="24"/>
      <c r="IH31" s="24"/>
      <c r="II31" s="24"/>
      <c r="IJ31" s="24"/>
      <c r="IK31" s="24"/>
      <c r="IL31" s="24"/>
      <c r="IM31" s="24"/>
      <c r="IN31" s="24"/>
      <c r="IO31" s="24"/>
      <c r="IP31" s="24"/>
      <c r="IQ31" s="24"/>
      <c r="IR31" s="24"/>
      <c r="IS31" s="24"/>
      <c r="IT31" s="24"/>
      <c r="IU31" s="24"/>
      <c r="IV31" s="24"/>
      <c r="IW31" s="24"/>
      <c r="IX31" s="24"/>
      <c r="IY31" s="24"/>
      <c r="IZ31" s="24"/>
      <c r="JA31" s="24"/>
      <c r="JB31" s="24"/>
      <c r="JC31" s="24"/>
      <c r="JD31" s="24"/>
      <c r="JE31" s="24"/>
      <c r="JF31" s="24"/>
      <c r="JG31" s="24"/>
      <c r="JH31" s="24"/>
      <c r="JI31" s="24"/>
      <c r="JJ31" s="24"/>
      <c r="JK31" s="24"/>
    </row>
    <row r="32" spans="1:271" s="18" customFormat="1" ht="12" customHeight="1">
      <c r="A32" s="766"/>
      <c r="B32" s="767" t="s">
        <v>44</v>
      </c>
      <c r="C32" s="737"/>
      <c r="D32" s="780">
        <f>6.329+32</f>
        <v>38.329000000000001</v>
      </c>
      <c r="E32" s="780">
        <v>6.1</v>
      </c>
      <c r="F32" s="780">
        <v>6.1</v>
      </c>
      <c r="G32" s="768">
        <f>(28+32)-SUM(D32:F32)</f>
        <v>9.4709999999999965</v>
      </c>
      <c r="H32" s="769">
        <f>SUM(D32:G32)</f>
        <v>60</v>
      </c>
      <c r="I32" s="780">
        <v>6.9</v>
      </c>
      <c r="J32" s="780">
        <f>17.3+7.1</f>
        <v>24.4</v>
      </c>
      <c r="K32" s="780">
        <v>2.9</v>
      </c>
      <c r="L32" s="768">
        <f>(20+17)-SUM(I32:K32)</f>
        <v>2.8000000000000043</v>
      </c>
      <c r="M32" s="769">
        <f>SUM(I32:L32)</f>
        <v>37</v>
      </c>
      <c r="N32" s="780">
        <v>0.6</v>
      </c>
      <c r="O32" s="780">
        <v>0.7</v>
      </c>
      <c r="P32" s="780">
        <v>0.4</v>
      </c>
      <c r="Q32" s="768">
        <f>1-SUM(N32:P32)</f>
        <v>-0.69999999999999973</v>
      </c>
      <c r="R32" s="769">
        <f>SUM(N32:Q32)</f>
        <v>1</v>
      </c>
      <c r="S32" s="780">
        <v>0</v>
      </c>
      <c r="T32" s="780">
        <v>18</v>
      </c>
      <c r="U32" s="780">
        <v>0</v>
      </c>
      <c r="V32" s="768">
        <f>0-SUM(S32:U32)</f>
        <v>-18</v>
      </c>
      <c r="W32" s="769">
        <f>SUM(S32:V32)</f>
        <v>0</v>
      </c>
      <c r="X32" s="780">
        <v>0</v>
      </c>
      <c r="Y32" s="780">
        <v>0</v>
      </c>
      <c r="Z32" s="780">
        <v>0</v>
      </c>
      <c r="AA32" s="768">
        <v>0</v>
      </c>
      <c r="AB32" s="769">
        <f>SUM(X32:AA32)</f>
        <v>0</v>
      </c>
      <c r="AC32" s="780">
        <v>0</v>
      </c>
      <c r="AD32" s="780">
        <v>0</v>
      </c>
      <c r="AE32" s="780">
        <v>0</v>
      </c>
      <c r="AF32" s="768">
        <v>0</v>
      </c>
      <c r="AG32" s="769">
        <f>SUM(AC32:AF32)</f>
        <v>0</v>
      </c>
      <c r="AH32" s="780">
        <v>0</v>
      </c>
      <c r="AI32" s="780">
        <v>0</v>
      </c>
      <c r="AJ32" s="780">
        <v>0</v>
      </c>
      <c r="AK32" s="768">
        <v>0</v>
      </c>
      <c r="AL32" s="769">
        <f>SUM(AH32:AK32)</f>
        <v>0</v>
      </c>
      <c r="AM32" s="780">
        <v>0</v>
      </c>
      <c r="AN32" s="780">
        <v>0</v>
      </c>
      <c r="AO32" s="780">
        <v>0</v>
      </c>
      <c r="AP32" s="768">
        <v>0</v>
      </c>
      <c r="AQ32" s="769">
        <f>SUM(AM32:AP32)</f>
        <v>0</v>
      </c>
      <c r="AR32" s="780">
        <v>0</v>
      </c>
      <c r="AS32" s="780">
        <v>0</v>
      </c>
      <c r="AT32" s="780">
        <v>0</v>
      </c>
      <c r="AU32" s="768"/>
      <c r="AV32" s="769">
        <v>0</v>
      </c>
      <c r="AW32" s="780">
        <v>0</v>
      </c>
      <c r="AX32" s="780">
        <v>0</v>
      </c>
      <c r="AY32" s="780">
        <v>0</v>
      </c>
      <c r="AZ32" s="768">
        <f>SUM(AV32:AY32)</f>
        <v>0</v>
      </c>
      <c r="BA32" s="780">
        <v>0</v>
      </c>
      <c r="BB32" s="780">
        <v>0</v>
      </c>
      <c r="BC32" s="780">
        <v>0</v>
      </c>
      <c r="BD32" s="768">
        <v>0</v>
      </c>
      <c r="BE32" s="769">
        <f>SUM(BA32:BD32)</f>
        <v>0</v>
      </c>
      <c r="BF32" s="780">
        <v>0</v>
      </c>
      <c r="BG32" s="780">
        <v>0</v>
      </c>
      <c r="BH32" s="780">
        <v>0</v>
      </c>
      <c r="BI32" s="768">
        <v>0</v>
      </c>
      <c r="BJ32" s="769">
        <f>SUM(BF32:BI32)</f>
        <v>0</v>
      </c>
      <c r="BK32" s="780">
        <v>0</v>
      </c>
      <c r="BL32" s="780">
        <v>0</v>
      </c>
      <c r="BM32" s="780">
        <v>0</v>
      </c>
      <c r="BN32" s="768">
        <v>0</v>
      </c>
      <c r="BO32" s="769"/>
      <c r="BP32" s="780"/>
      <c r="BQ32" s="780"/>
      <c r="BR32" s="780"/>
      <c r="BS32" s="768"/>
      <c r="BT32" s="769"/>
      <c r="BU32" s="780"/>
      <c r="BV32" s="780"/>
      <c r="BW32" s="780"/>
      <c r="BX32" s="768"/>
      <c r="BY32" s="769"/>
      <c r="BZ32" s="780"/>
      <c r="CA32" s="780"/>
      <c r="CB32" s="780"/>
      <c r="CC32" s="768"/>
      <c r="CD32" s="769"/>
      <c r="CE32" s="780"/>
      <c r="CF32" s="780"/>
      <c r="CG32" s="780"/>
      <c r="CH32" s="768"/>
      <c r="CI32" s="769"/>
      <c r="CJ32" s="780"/>
      <c r="CK32" s="780"/>
      <c r="CL32" s="780"/>
      <c r="CM32" s="768"/>
      <c r="CN32" s="769"/>
      <c r="CO32" s="780"/>
      <c r="CP32" s="780"/>
      <c r="CQ32" s="780"/>
      <c r="CR32" s="768"/>
      <c r="CS32" s="769"/>
      <c r="CT32" s="780"/>
      <c r="CU32" s="780"/>
      <c r="CV32" s="780"/>
      <c r="CW32" s="768"/>
      <c r="CX32" s="769"/>
      <c r="CY32" s="780"/>
      <c r="CZ32" s="780"/>
      <c r="DA32" s="780"/>
      <c r="DB32" s="768"/>
      <c r="DC32" s="769"/>
      <c r="DD32" s="780"/>
      <c r="DE32" s="780"/>
      <c r="DF32" s="780"/>
      <c r="DG32" s="768"/>
      <c r="DH32" s="769"/>
      <c r="DI32" s="780"/>
      <c r="DJ32" s="780"/>
      <c r="DK32" s="780"/>
      <c r="DL32" s="768"/>
      <c r="DM32" s="769"/>
      <c r="DN32" s="780">
        <v>0</v>
      </c>
      <c r="DO32" s="780">
        <v>0</v>
      </c>
      <c r="DP32" s="780"/>
      <c r="DQ32" s="768"/>
      <c r="DR32" s="769">
        <v>0</v>
      </c>
      <c r="DS32" s="780">
        <v>5</v>
      </c>
      <c r="DT32" s="780">
        <v>5</v>
      </c>
      <c r="DU32" s="780">
        <v>4</v>
      </c>
      <c r="DV32" s="768">
        <v>8</v>
      </c>
      <c r="DW32" s="769">
        <f>SUM(DS32:DV32)</f>
        <v>22</v>
      </c>
      <c r="DX32" s="781">
        <v>0</v>
      </c>
      <c r="DY32" s="781">
        <v>0</v>
      </c>
      <c r="DZ32" s="781">
        <v>0</v>
      </c>
      <c r="EA32" s="781">
        <v>0</v>
      </c>
      <c r="EB32" s="769">
        <f>SUM(DX32:EA32)</f>
        <v>0</v>
      </c>
      <c r="EC32" s="781">
        <v>0</v>
      </c>
      <c r="ED32" s="781">
        <v>0</v>
      </c>
      <c r="EE32" s="781">
        <v>0</v>
      </c>
      <c r="EF32" s="781">
        <v>0</v>
      </c>
      <c r="EG32" s="769">
        <f>SUM(EC32:EF32)</f>
        <v>0</v>
      </c>
      <c r="EH32" s="781">
        <v>0</v>
      </c>
      <c r="EI32" s="781">
        <v>0</v>
      </c>
      <c r="EJ32" s="781">
        <v>0</v>
      </c>
      <c r="EK32" s="781">
        <v>0</v>
      </c>
      <c r="EL32" s="769">
        <f>SUM(EH32:EK32)</f>
        <v>0</v>
      </c>
      <c r="EM32" s="21"/>
      <c r="EN32"/>
      <c r="EO32"/>
      <c r="EP32"/>
      <c r="EQ32"/>
      <c r="ER32"/>
      <c r="ES32" s="23"/>
      <c r="ET32"/>
      <c r="EU32" s="23"/>
      <c r="EV32" s="23"/>
      <c r="EW32" s="23"/>
      <c r="EX32" s="24"/>
      <c r="EY32" s="24"/>
      <c r="EZ32" s="24"/>
      <c r="FA32" s="24"/>
      <c r="FB32" s="24"/>
      <c r="FC32" s="24"/>
      <c r="FD32" s="24"/>
      <c r="FE32" s="24"/>
      <c r="FF32" s="24"/>
      <c r="FG32" s="24"/>
      <c r="FH32" s="24"/>
      <c r="FI32" s="24"/>
      <c r="FJ32" s="24"/>
      <c r="FK32" s="24"/>
      <c r="FL32" s="24"/>
      <c r="FM32" s="24"/>
      <c r="FN32" s="24"/>
      <c r="FO32" s="24"/>
      <c r="FP32" s="24"/>
      <c r="FQ32" s="24"/>
      <c r="FR32" s="24"/>
      <c r="FS32" s="24"/>
      <c r="FT32" s="24"/>
      <c r="FU32" s="24"/>
      <c r="FV32" s="24"/>
      <c r="FW32" s="24"/>
      <c r="FX32" s="24"/>
      <c r="FY32" s="24"/>
      <c r="FZ32" s="24"/>
      <c r="GA32" s="24"/>
      <c r="GB32" s="24"/>
      <c r="GC32" s="24"/>
      <c r="GD32" s="24"/>
      <c r="GE32" s="24"/>
      <c r="GF32" s="24"/>
      <c r="GG32" s="24"/>
      <c r="GH32" s="24"/>
      <c r="GI32" s="24"/>
      <c r="GJ32" s="24"/>
      <c r="GK32" s="24"/>
      <c r="GL32" s="24"/>
      <c r="GM32" s="24"/>
      <c r="GN32" s="24"/>
      <c r="GO32" s="24"/>
      <c r="GP32" s="24"/>
      <c r="GQ32" s="24"/>
      <c r="GR32" s="24"/>
      <c r="GS32" s="24"/>
      <c r="GT32" s="24"/>
      <c r="GU32" s="24"/>
      <c r="GV32" s="24"/>
      <c r="GW32" s="24"/>
      <c r="GX32" s="24"/>
      <c r="GY32" s="24"/>
      <c r="GZ32" s="24"/>
      <c r="HA32" s="24"/>
      <c r="HB32" s="24"/>
      <c r="HC32" s="24"/>
      <c r="HD32" s="24"/>
      <c r="HE32" s="24"/>
      <c r="HF32" s="24"/>
      <c r="HG32" s="24"/>
      <c r="HH32" s="24"/>
      <c r="HI32" s="24"/>
      <c r="HJ32" s="24"/>
      <c r="HK32" s="24"/>
      <c r="HL32" s="24"/>
      <c r="HM32" s="24"/>
      <c r="HN32" s="24"/>
      <c r="HO32" s="24"/>
      <c r="HP32" s="24"/>
      <c r="HQ32" s="24"/>
      <c r="HR32" s="24"/>
      <c r="HS32" s="24"/>
      <c r="HT32" s="24"/>
      <c r="HU32" s="24"/>
      <c r="HV32" s="24"/>
      <c r="HW32" s="24"/>
      <c r="HX32" s="24"/>
      <c r="HY32" s="24"/>
      <c r="HZ32" s="24"/>
      <c r="IA32" s="24"/>
      <c r="IB32" s="24"/>
      <c r="IC32" s="24"/>
      <c r="ID32" s="24"/>
      <c r="IE32" s="24"/>
      <c r="IF32" s="24"/>
      <c r="IG32" s="24"/>
      <c r="IH32" s="24"/>
      <c r="II32" s="24"/>
      <c r="IJ32" s="24"/>
      <c r="IK32" s="24"/>
      <c r="IL32" s="24"/>
      <c r="IM32" s="24"/>
      <c r="IN32" s="24"/>
      <c r="IO32" s="24"/>
      <c r="IP32" s="24"/>
      <c r="IQ32" s="24"/>
      <c r="IR32" s="24"/>
      <c r="IS32" s="24"/>
      <c r="IT32" s="24"/>
      <c r="IU32" s="24"/>
      <c r="IV32" s="24"/>
      <c r="IW32" s="24"/>
      <c r="IX32" s="24"/>
      <c r="IY32" s="24"/>
      <c r="IZ32" s="24"/>
      <c r="JA32" s="24"/>
      <c r="JB32" s="24"/>
      <c r="JC32" s="24"/>
      <c r="JD32" s="24"/>
      <c r="JE32" s="24"/>
      <c r="JF32" s="24"/>
      <c r="JG32" s="24"/>
      <c r="JH32" s="24"/>
      <c r="JI32" s="24"/>
      <c r="JJ32" s="24"/>
      <c r="JK32" s="24"/>
    </row>
    <row r="33" spans="1:271" s="18" customFormat="1" ht="12" customHeight="1">
      <c r="A33" s="1538"/>
      <c r="B33" s="1539" t="s">
        <v>353</v>
      </c>
      <c r="C33" s="1539"/>
      <c r="D33" s="1540">
        <f t="shared" ref="D33:AT33" si="44">D27-D28+D29+D30+D31+D32</f>
        <v>109.01600000000002</v>
      </c>
      <c r="E33" s="1540">
        <f t="shared" si="44"/>
        <v>77.999999999999972</v>
      </c>
      <c r="F33" s="1540">
        <f t="shared" si="44"/>
        <v>82.099999999999952</v>
      </c>
      <c r="G33" s="1540">
        <f t="shared" si="44"/>
        <v>36.783999999999999</v>
      </c>
      <c r="H33" s="1541">
        <f t="shared" si="44"/>
        <v>305.89999999999998</v>
      </c>
      <c r="I33" s="1540">
        <f t="shared" si="44"/>
        <v>234.50000000000003</v>
      </c>
      <c r="J33" s="1540">
        <f t="shared" si="44"/>
        <v>310.89999999999998</v>
      </c>
      <c r="K33" s="1540">
        <f t="shared" si="44"/>
        <v>130.50000000000011</v>
      </c>
      <c r="L33" s="1540">
        <f t="shared" si="44"/>
        <v>56.099999999999731</v>
      </c>
      <c r="M33" s="1541">
        <f t="shared" si="44"/>
        <v>732</v>
      </c>
      <c r="N33" s="1540">
        <f t="shared" si="44"/>
        <v>132.99999999999989</v>
      </c>
      <c r="O33" s="1540">
        <f t="shared" si="44"/>
        <v>142.29999999999987</v>
      </c>
      <c r="P33" s="1540">
        <f t="shared" si="44"/>
        <v>-143.99999999999991</v>
      </c>
      <c r="Q33" s="1540">
        <f t="shared" si="44"/>
        <v>-201.30000000000069</v>
      </c>
      <c r="R33" s="1541">
        <f t="shared" si="44"/>
        <v>-70</v>
      </c>
      <c r="S33" s="1540">
        <f t="shared" si="44"/>
        <v>199</v>
      </c>
      <c r="T33" s="1540">
        <f t="shared" si="44"/>
        <v>236</v>
      </c>
      <c r="U33" s="1540">
        <f t="shared" si="44"/>
        <v>248</v>
      </c>
      <c r="V33" s="1540">
        <f t="shared" si="44"/>
        <v>-203</v>
      </c>
      <c r="W33" s="1541">
        <f t="shared" si="44"/>
        <v>480</v>
      </c>
      <c r="X33" s="1540">
        <f t="shared" si="44"/>
        <v>226</v>
      </c>
      <c r="Y33" s="1540">
        <f t="shared" si="44"/>
        <v>204</v>
      </c>
      <c r="Z33" s="1540">
        <f t="shared" si="44"/>
        <v>202</v>
      </c>
      <c r="AA33" s="1540">
        <f t="shared" si="44"/>
        <v>-151</v>
      </c>
      <c r="AB33" s="1541">
        <f t="shared" si="44"/>
        <v>481</v>
      </c>
      <c r="AC33" s="1540">
        <f t="shared" si="44"/>
        <v>214</v>
      </c>
      <c r="AD33" s="1540">
        <f t="shared" si="44"/>
        <v>281</v>
      </c>
      <c r="AE33" s="1540">
        <f t="shared" si="44"/>
        <v>74</v>
      </c>
      <c r="AF33" s="1540">
        <f t="shared" si="44"/>
        <v>70</v>
      </c>
      <c r="AG33" s="1541">
        <f t="shared" si="44"/>
        <v>639</v>
      </c>
      <c r="AH33" s="1540">
        <f t="shared" si="44"/>
        <v>263</v>
      </c>
      <c r="AI33" s="1540">
        <f t="shared" si="44"/>
        <v>296</v>
      </c>
      <c r="AJ33" s="1540">
        <f t="shared" si="44"/>
        <v>335</v>
      </c>
      <c r="AK33" s="1540">
        <f t="shared" si="44"/>
        <v>206</v>
      </c>
      <c r="AL33" s="1541">
        <f t="shared" si="44"/>
        <v>1100</v>
      </c>
      <c r="AM33" s="1540">
        <f t="shared" si="44"/>
        <v>279</v>
      </c>
      <c r="AN33" s="1540">
        <f t="shared" si="44"/>
        <v>187</v>
      </c>
      <c r="AO33" s="1540">
        <f t="shared" si="44"/>
        <v>487</v>
      </c>
      <c r="AP33" s="1540">
        <f t="shared" si="44"/>
        <v>463</v>
      </c>
      <c r="AQ33" s="1541">
        <f t="shared" si="44"/>
        <v>1416</v>
      </c>
      <c r="AR33" s="1540">
        <f t="shared" si="44"/>
        <v>567</v>
      </c>
      <c r="AS33" s="1540">
        <f t="shared" si="44"/>
        <v>525</v>
      </c>
      <c r="AT33" s="1540">
        <f t="shared" si="44"/>
        <v>-81</v>
      </c>
      <c r="AU33" s="1540"/>
      <c r="AV33" s="1541">
        <f t="shared" ref="AV33:BN33" si="45">AV27-AV28+AV29+AV30+AV31+AV32</f>
        <v>460</v>
      </c>
      <c r="AW33" s="1540">
        <f t="shared" si="45"/>
        <v>402</v>
      </c>
      <c r="AX33" s="1540">
        <f t="shared" si="45"/>
        <v>527</v>
      </c>
      <c r="AY33" s="1540">
        <f t="shared" si="45"/>
        <v>8</v>
      </c>
      <c r="AZ33" s="1540">
        <f t="shared" si="45"/>
        <v>1397</v>
      </c>
      <c r="BA33" s="1540">
        <f t="shared" si="45"/>
        <v>79</v>
      </c>
      <c r="BB33" s="1540">
        <f t="shared" si="45"/>
        <v>-189</v>
      </c>
      <c r="BC33" s="1540">
        <f t="shared" si="45"/>
        <v>-365</v>
      </c>
      <c r="BD33" s="1540">
        <f t="shared" si="45"/>
        <v>-1409</v>
      </c>
      <c r="BE33" s="1541">
        <f t="shared" si="45"/>
        <v>-1884</v>
      </c>
      <c r="BF33" s="1540">
        <f t="shared" si="45"/>
        <v>-18</v>
      </c>
      <c r="BG33" s="1540">
        <f t="shared" si="45"/>
        <v>-323</v>
      </c>
      <c r="BH33" s="1540">
        <f t="shared" si="45"/>
        <v>-67</v>
      </c>
      <c r="BI33" s="1540">
        <f t="shared" si="45"/>
        <v>-1332</v>
      </c>
      <c r="BJ33" s="1541">
        <f t="shared" si="45"/>
        <v>-1740</v>
      </c>
      <c r="BK33" s="1540">
        <f t="shared" si="45"/>
        <v>6</v>
      </c>
      <c r="BL33" s="1540">
        <f t="shared" si="45"/>
        <v>-27</v>
      </c>
      <c r="BM33" s="1540">
        <f t="shared" si="45"/>
        <v>-374</v>
      </c>
      <c r="BN33" s="1540">
        <f t="shared" si="45"/>
        <v>-306</v>
      </c>
      <c r="BO33" s="1541">
        <f t="shared" ref="BO33:CT33" si="46">BO27-BO28+BO29+BO30+BO31</f>
        <v>-701</v>
      </c>
      <c r="BP33" s="1540">
        <f t="shared" si="46"/>
        <v>21</v>
      </c>
      <c r="BQ33" s="1540">
        <f t="shared" si="46"/>
        <v>-699</v>
      </c>
      <c r="BR33" s="1540">
        <f t="shared" si="46"/>
        <v>-68</v>
      </c>
      <c r="BS33" s="1540">
        <f t="shared" si="46"/>
        <v>-366</v>
      </c>
      <c r="BT33" s="1541">
        <f t="shared" si="46"/>
        <v>-1112</v>
      </c>
      <c r="BU33" s="1540">
        <f t="shared" si="46"/>
        <v>3</v>
      </c>
      <c r="BV33" s="1540">
        <f t="shared" si="46"/>
        <v>-32</v>
      </c>
      <c r="BW33" s="1540">
        <f t="shared" si="46"/>
        <v>-25</v>
      </c>
      <c r="BX33" s="1540">
        <f t="shared" si="46"/>
        <v>-65</v>
      </c>
      <c r="BY33" s="1541">
        <f t="shared" si="46"/>
        <v>-119</v>
      </c>
      <c r="BZ33" s="1540">
        <f t="shared" si="46"/>
        <v>-8</v>
      </c>
      <c r="CA33" s="1540">
        <f t="shared" si="46"/>
        <v>-35</v>
      </c>
      <c r="CB33" s="1540">
        <f t="shared" si="46"/>
        <v>112</v>
      </c>
      <c r="CC33" s="1540">
        <f t="shared" si="46"/>
        <v>-13</v>
      </c>
      <c r="CD33" s="1541">
        <f t="shared" si="46"/>
        <v>56</v>
      </c>
      <c r="CE33" s="1540">
        <f t="shared" si="46"/>
        <v>199</v>
      </c>
      <c r="CF33" s="1540">
        <f t="shared" si="46"/>
        <v>7</v>
      </c>
      <c r="CG33" s="1540">
        <f t="shared" si="46"/>
        <v>7</v>
      </c>
      <c r="CH33" s="1540">
        <f t="shared" si="46"/>
        <v>-11</v>
      </c>
      <c r="CI33" s="1541">
        <f t="shared" si="46"/>
        <v>202</v>
      </c>
      <c r="CJ33" s="1540">
        <f t="shared" si="46"/>
        <v>93</v>
      </c>
      <c r="CK33" s="1540">
        <f t="shared" si="46"/>
        <v>65</v>
      </c>
      <c r="CL33" s="1540">
        <f t="shared" si="46"/>
        <v>-62</v>
      </c>
      <c r="CM33" s="1540">
        <f t="shared" si="46"/>
        <v>62</v>
      </c>
      <c r="CN33" s="1541">
        <f t="shared" si="46"/>
        <v>158</v>
      </c>
      <c r="CO33" s="1540">
        <f t="shared" si="46"/>
        <v>137</v>
      </c>
      <c r="CP33" s="1540">
        <f t="shared" si="46"/>
        <v>68</v>
      </c>
      <c r="CQ33" s="1540">
        <f t="shared" si="46"/>
        <v>21</v>
      </c>
      <c r="CR33" s="1540">
        <f t="shared" si="46"/>
        <v>-62</v>
      </c>
      <c r="CS33" s="1541">
        <f t="shared" si="46"/>
        <v>164</v>
      </c>
      <c r="CT33" s="1540">
        <f t="shared" si="46"/>
        <v>108</v>
      </c>
      <c r="CU33" s="1540">
        <f t="shared" ref="CU33:DM33" si="47">CU27-CU28+CU29+CU30+CU31</f>
        <v>78</v>
      </c>
      <c r="CV33" s="1540">
        <f t="shared" si="47"/>
        <v>51</v>
      </c>
      <c r="CW33" s="1540">
        <f t="shared" si="47"/>
        <v>97</v>
      </c>
      <c r="CX33" s="1541">
        <f t="shared" si="47"/>
        <v>334</v>
      </c>
      <c r="CY33" s="1540">
        <f t="shared" si="47"/>
        <v>-134</v>
      </c>
      <c r="CZ33" s="1540">
        <f t="shared" si="47"/>
        <v>-66</v>
      </c>
      <c r="DA33" s="1540">
        <f t="shared" si="47"/>
        <v>57</v>
      </c>
      <c r="DB33" s="1540">
        <f t="shared" si="47"/>
        <v>-15</v>
      </c>
      <c r="DC33" s="1541">
        <f t="shared" si="47"/>
        <v>-158</v>
      </c>
      <c r="DD33" s="1540">
        <f>DD27-DD28+DD29+DD30+DD31-DD32</f>
        <v>-12</v>
      </c>
      <c r="DE33" s="1540">
        <f t="shared" si="47"/>
        <v>17</v>
      </c>
      <c r="DF33" s="1540">
        <f t="shared" si="47"/>
        <v>1</v>
      </c>
      <c r="DG33" s="1540">
        <f t="shared" si="47"/>
        <v>141</v>
      </c>
      <c r="DH33" s="1541">
        <f t="shared" si="47"/>
        <v>147</v>
      </c>
      <c r="DI33" s="1540">
        <f t="shared" si="47"/>
        <v>91</v>
      </c>
      <c r="DJ33" s="1540">
        <f t="shared" si="47"/>
        <v>-54</v>
      </c>
      <c r="DK33" s="1540">
        <f>DK27-DK28+DK29+DK30+DK31</f>
        <v>40</v>
      </c>
      <c r="DL33" s="1540">
        <f t="shared" ref="DL33:DQ33" si="48">DL27-DL28+DL29+DL30+DL31-DL32</f>
        <v>67</v>
      </c>
      <c r="DM33" s="1541">
        <f t="shared" si="47"/>
        <v>144</v>
      </c>
      <c r="DN33" s="1540">
        <f t="shared" si="48"/>
        <v>105</v>
      </c>
      <c r="DO33" s="1540">
        <f t="shared" si="48"/>
        <v>25</v>
      </c>
      <c r="DP33" s="1540">
        <f t="shared" si="48"/>
        <v>89</v>
      </c>
      <c r="DQ33" s="1540">
        <f t="shared" si="48"/>
        <v>29</v>
      </c>
      <c r="DR33" s="1541">
        <f t="shared" ref="DR33:EG33" si="49">DR27-DR28+DR29+DR30+DR31-DR32</f>
        <v>248</v>
      </c>
      <c r="DS33" s="1540">
        <f t="shared" si="49"/>
        <v>4</v>
      </c>
      <c r="DT33" s="1540">
        <f t="shared" si="49"/>
        <v>19</v>
      </c>
      <c r="DU33" s="1540">
        <f t="shared" si="49"/>
        <v>-348</v>
      </c>
      <c r="DV33" s="1540">
        <f t="shared" si="49"/>
        <v>224</v>
      </c>
      <c r="DW33" s="1541">
        <f t="shared" si="49"/>
        <v>-101</v>
      </c>
      <c r="DX33" s="1540">
        <f t="shared" si="49"/>
        <v>156.34345019226194</v>
      </c>
      <c r="DY33" s="1540">
        <f t="shared" si="49"/>
        <v>211.94531540835447</v>
      </c>
      <c r="DZ33" s="1540">
        <f t="shared" si="49"/>
        <v>216.28735248087793</v>
      </c>
      <c r="EA33" s="1540">
        <f t="shared" si="49"/>
        <v>204.66127705183339</v>
      </c>
      <c r="EB33" s="1541">
        <f t="shared" si="49"/>
        <v>789.23739513332885</v>
      </c>
      <c r="EC33" s="1540">
        <f t="shared" si="49"/>
        <v>218.63274704068959</v>
      </c>
      <c r="ED33" s="1540">
        <f t="shared" si="49"/>
        <v>211.03687732526242</v>
      </c>
      <c r="EE33" s="1540">
        <f t="shared" si="49"/>
        <v>218.1726066968609</v>
      </c>
      <c r="EF33" s="1540">
        <f t="shared" si="49"/>
        <v>244.71239328833832</v>
      </c>
      <c r="EG33" s="1541">
        <f t="shared" si="49"/>
        <v>892.55462435115214</v>
      </c>
      <c r="EH33" s="1540">
        <f t="shared" ref="EH33:EL33" si="50">EH27-EH28+EH29+EH30+EH31-EH32</f>
        <v>237.25513484359084</v>
      </c>
      <c r="EI33" s="1540">
        <f t="shared" si="50"/>
        <v>243.35516709928646</v>
      </c>
      <c r="EJ33" s="1540">
        <f t="shared" si="50"/>
        <v>241.24813886057257</v>
      </c>
      <c r="EK33" s="1540">
        <f t="shared" si="50"/>
        <v>233.8414309645712</v>
      </c>
      <c r="EL33" s="1541">
        <f t="shared" si="50"/>
        <v>955.69987176802306</v>
      </c>
      <c r="EM33" s="21"/>
      <c r="EN33"/>
      <c r="EO33"/>
      <c r="EP33"/>
      <c r="EQ33"/>
      <c r="ER33"/>
      <c r="ES33" s="34"/>
      <c r="ET33"/>
      <c r="EU33" s="35"/>
      <c r="EV33" s="35"/>
      <c r="EW33" s="21"/>
      <c r="EX33" s="24"/>
      <c r="EY33" s="24"/>
      <c r="EZ33" s="24"/>
      <c r="FA33" s="24"/>
      <c r="FB33" s="24"/>
      <c r="FC33" s="24"/>
      <c r="FD33" s="24"/>
      <c r="FE33" s="24"/>
      <c r="FF33" s="24"/>
      <c r="FG33" s="24"/>
      <c r="FH33" s="24"/>
      <c r="FI33" s="24"/>
      <c r="FJ33" s="24"/>
      <c r="FK33" s="24"/>
      <c r="FL33" s="24"/>
      <c r="FM33" s="24"/>
      <c r="FN33" s="24"/>
      <c r="FO33" s="24"/>
      <c r="FP33" s="24"/>
      <c r="FQ33" s="24"/>
      <c r="FR33" s="24"/>
      <c r="FS33" s="24"/>
      <c r="FT33" s="24"/>
      <c r="FU33" s="24"/>
      <c r="FV33" s="24"/>
      <c r="FW33" s="24"/>
      <c r="FX33" s="24"/>
      <c r="FY33" s="24"/>
      <c r="FZ33" s="24"/>
      <c r="GA33" s="24"/>
      <c r="GB33" s="24"/>
      <c r="GC33" s="24"/>
      <c r="GD33" s="24"/>
      <c r="GE33" s="24"/>
      <c r="GF33" s="24"/>
      <c r="GG33" s="24"/>
      <c r="GH33" s="24"/>
      <c r="GI33" s="24"/>
      <c r="GJ33" s="24"/>
      <c r="GK33" s="24"/>
      <c r="GL33" s="24"/>
      <c r="GM33" s="24"/>
      <c r="GN33" s="24"/>
      <c r="GO33" s="24"/>
      <c r="GP33" s="24"/>
      <c r="GQ33" s="24"/>
      <c r="GR33" s="24"/>
      <c r="GS33" s="24"/>
      <c r="GT33" s="24"/>
      <c r="GU33" s="24"/>
      <c r="GV33" s="24"/>
      <c r="GW33" s="24"/>
      <c r="GX33" s="24"/>
      <c r="GY33" s="24"/>
      <c r="GZ33" s="24"/>
      <c r="HA33" s="24"/>
      <c r="HB33" s="24"/>
      <c r="HC33" s="24"/>
      <c r="HD33" s="24"/>
      <c r="HE33" s="24"/>
      <c r="HF33" s="24"/>
      <c r="HG33" s="24"/>
      <c r="HH33" s="24"/>
      <c r="HI33" s="24"/>
      <c r="HJ33" s="24"/>
      <c r="HK33" s="24"/>
      <c r="HL33" s="24"/>
      <c r="HM33" s="24"/>
      <c r="HN33" s="24"/>
      <c r="HO33" s="24"/>
      <c r="HP33" s="24"/>
      <c r="HQ33" s="24"/>
      <c r="HR33" s="24"/>
      <c r="HS33" s="24"/>
      <c r="HT33" s="24"/>
      <c r="HU33" s="24"/>
      <c r="HV33" s="24"/>
      <c r="HW33" s="24"/>
      <c r="HX33" s="24"/>
      <c r="HY33" s="24"/>
      <c r="HZ33" s="24"/>
      <c r="IA33" s="24"/>
      <c r="IB33" s="24"/>
      <c r="IC33" s="24"/>
      <c r="ID33" s="24"/>
      <c r="IE33" s="24"/>
      <c r="IF33" s="24"/>
      <c r="IG33" s="24"/>
      <c r="IH33" s="24"/>
      <c r="II33" s="24"/>
      <c r="IJ33" s="24"/>
      <c r="IK33" s="24"/>
      <c r="IL33" s="24"/>
      <c r="IM33" s="24"/>
      <c r="IN33" s="24"/>
      <c r="IO33" s="24"/>
      <c r="IP33" s="24"/>
      <c r="IQ33" s="24"/>
      <c r="IR33" s="24"/>
      <c r="IS33" s="24"/>
      <c r="IT33" s="24"/>
      <c r="IU33" s="24"/>
      <c r="IV33" s="24"/>
      <c r="IW33" s="24"/>
      <c r="IX33" s="24"/>
      <c r="IY33" s="24"/>
      <c r="IZ33" s="24"/>
      <c r="JA33" s="24"/>
      <c r="JB33" s="24"/>
      <c r="JC33" s="24"/>
      <c r="JD33" s="24"/>
      <c r="JE33" s="24"/>
      <c r="JF33" s="24"/>
      <c r="JG33" s="24"/>
      <c r="JH33" s="24"/>
      <c r="JI33" s="24"/>
      <c r="JJ33" s="24"/>
      <c r="JK33" s="24"/>
    </row>
    <row r="34" spans="1:271" s="18" customFormat="1" ht="12" customHeight="1">
      <c r="A34" s="766"/>
      <c r="B34" s="767" t="s">
        <v>354</v>
      </c>
      <c r="C34" s="737"/>
      <c r="D34" s="768">
        <v>43</v>
      </c>
      <c r="E34" s="782">
        <v>30</v>
      </c>
      <c r="F34" s="782">
        <v>32</v>
      </c>
      <c r="G34" s="782">
        <f>(135-12.1)-SUM(D34:F34)</f>
        <v>17.900000000000006</v>
      </c>
      <c r="H34" s="769">
        <f>SUM(D34:G34)</f>
        <v>122.9</v>
      </c>
      <c r="I34" s="768">
        <v>110.6</v>
      </c>
      <c r="J34" s="782">
        <v>123.1</v>
      </c>
      <c r="K34" s="782">
        <v>55.6</v>
      </c>
      <c r="L34" s="782">
        <f>(348-13)-SUM(I34:K34)</f>
        <v>45.699999999999989</v>
      </c>
      <c r="M34" s="769">
        <f>SUM(I34:L34)</f>
        <v>335</v>
      </c>
      <c r="N34" s="768">
        <v>56</v>
      </c>
      <c r="O34" s="782">
        <v>60</v>
      </c>
      <c r="P34" s="782">
        <f>-10.5-29.1</f>
        <v>-39.6</v>
      </c>
      <c r="Q34" s="782">
        <f>(52-29)-SUM(N34:P34)</f>
        <v>-53.400000000000006</v>
      </c>
      <c r="R34" s="769">
        <f>SUM(N34:Q34)</f>
        <v>23</v>
      </c>
      <c r="S34" s="768">
        <v>77</v>
      </c>
      <c r="T34" s="782">
        <v>91</v>
      </c>
      <c r="U34" s="782">
        <v>94</v>
      </c>
      <c r="V34" s="782">
        <f>(269-72)-SUM(S34:U34)</f>
        <v>-65</v>
      </c>
      <c r="W34" s="769">
        <f>SUM(S34:V34)</f>
        <v>197</v>
      </c>
      <c r="X34" s="768">
        <v>85</v>
      </c>
      <c r="Y34" s="782">
        <v>78</v>
      </c>
      <c r="Z34" s="782">
        <v>78</v>
      </c>
      <c r="AA34" s="782">
        <f>225-SUM(X34:Z34)</f>
        <v>-16</v>
      </c>
      <c r="AB34" s="769">
        <f>SUM(X34:AA34)</f>
        <v>225</v>
      </c>
      <c r="AC34" s="768">
        <v>81</v>
      </c>
      <c r="AD34" s="782">
        <v>141</v>
      </c>
      <c r="AE34" s="782">
        <v>30</v>
      </c>
      <c r="AF34" s="782">
        <f>278-SUM(AC34:AE34)</f>
        <v>26</v>
      </c>
      <c r="AG34" s="769">
        <f>SUM(AC34:AF34)</f>
        <v>278</v>
      </c>
      <c r="AH34" s="768">
        <v>103</v>
      </c>
      <c r="AI34" s="782">
        <v>117</v>
      </c>
      <c r="AJ34" s="782">
        <v>134</v>
      </c>
      <c r="AK34" s="782">
        <f>(464-21)-SUM(AH34:AJ34)</f>
        <v>89</v>
      </c>
      <c r="AL34" s="769">
        <f>SUM(AH34:AK34)</f>
        <v>443</v>
      </c>
      <c r="AM34" s="768">
        <f>158-41</f>
        <v>117</v>
      </c>
      <c r="AN34" s="782">
        <f>148-62</f>
        <v>86</v>
      </c>
      <c r="AO34" s="782">
        <f>202-4</f>
        <v>198</v>
      </c>
      <c r="AP34" s="782">
        <f>(736-143)-SUM(AM34:AO34)</f>
        <v>192</v>
      </c>
      <c r="AQ34" s="769">
        <f>SUM(AM34:AP34)</f>
        <v>593</v>
      </c>
      <c r="AR34" s="768">
        <v>218</v>
      </c>
      <c r="AS34" s="782">
        <v>201</v>
      </c>
      <c r="AT34" s="782">
        <v>-31</v>
      </c>
      <c r="AU34" s="782"/>
      <c r="AV34" s="769">
        <v>188</v>
      </c>
      <c r="AW34" s="768">
        <v>168</v>
      </c>
      <c r="AX34" s="782">
        <v>205</v>
      </c>
      <c r="AY34" s="782">
        <v>6</v>
      </c>
      <c r="AZ34" s="782">
        <f>SUM(AV34:AY34)</f>
        <v>567</v>
      </c>
      <c r="BA34" s="768">
        <v>56</v>
      </c>
      <c r="BB34" s="782">
        <v>-69</v>
      </c>
      <c r="BC34" s="782">
        <v>-136</v>
      </c>
      <c r="BD34" s="782">
        <v>-310</v>
      </c>
      <c r="BE34" s="769">
        <f>SUM(BA34:BD34)</f>
        <v>-459</v>
      </c>
      <c r="BF34" s="768">
        <v>-4</v>
      </c>
      <c r="BG34" s="782">
        <v>-110</v>
      </c>
      <c r="BH34" s="782">
        <v>-16</v>
      </c>
      <c r="BI34" s="782">
        <v>279</v>
      </c>
      <c r="BJ34" s="769">
        <f>SUM(BF34:BI34)</f>
        <v>149</v>
      </c>
      <c r="BK34" s="768">
        <v>-17</v>
      </c>
      <c r="BL34" s="782">
        <v>-18</v>
      </c>
      <c r="BM34" s="782">
        <v>4</v>
      </c>
      <c r="BN34" s="782">
        <v>-56</v>
      </c>
      <c r="BO34" s="769">
        <f>SUM(BK34:BN34)</f>
        <v>-87</v>
      </c>
      <c r="BP34" s="768">
        <v>5</v>
      </c>
      <c r="BQ34" s="782">
        <v>-252</v>
      </c>
      <c r="BR34" s="782">
        <v>-39</v>
      </c>
      <c r="BS34" s="782">
        <v>25</v>
      </c>
      <c r="BT34" s="769">
        <f>SUM(BP34:BS34)</f>
        <v>-261</v>
      </c>
      <c r="BU34" s="768">
        <v>-92</v>
      </c>
      <c r="BV34" s="782">
        <v>-4</v>
      </c>
      <c r="BW34" s="782">
        <v>10</v>
      </c>
      <c r="BX34" s="782">
        <v>20</v>
      </c>
      <c r="BY34" s="769">
        <f>SUM(BU34:BX34)</f>
        <v>-66</v>
      </c>
      <c r="BZ34" s="768">
        <v>1</v>
      </c>
      <c r="CA34" s="782">
        <v>-16</v>
      </c>
      <c r="CB34" s="782">
        <v>-4</v>
      </c>
      <c r="CC34" s="782">
        <v>-6</v>
      </c>
      <c r="CD34" s="769">
        <f>SUM(BZ34:CC34)</f>
        <v>-25</v>
      </c>
      <c r="CE34" s="768">
        <v>5</v>
      </c>
      <c r="CF34" s="782">
        <v>4</v>
      </c>
      <c r="CG34" s="782">
        <v>3</v>
      </c>
      <c r="CH34" s="782">
        <v>-35</v>
      </c>
      <c r="CI34" s="769">
        <f>SUM(CE34:CH34)</f>
        <v>-23</v>
      </c>
      <c r="CJ34" s="768">
        <v>3</v>
      </c>
      <c r="CK34" s="782">
        <v>20</v>
      </c>
      <c r="CL34" s="782">
        <v>-1002</v>
      </c>
      <c r="CM34" s="782">
        <v>2</v>
      </c>
      <c r="CN34" s="769">
        <f>SUM(CJ34:CM34)</f>
        <v>-977</v>
      </c>
      <c r="CO34" s="768">
        <v>50</v>
      </c>
      <c r="CP34" s="782">
        <v>19</v>
      </c>
      <c r="CQ34" s="782">
        <v>4</v>
      </c>
      <c r="CR34" s="782">
        <v>-12</v>
      </c>
      <c r="CS34" s="769">
        <f>SUM(CO34:CR34)</f>
        <v>61</v>
      </c>
      <c r="CT34" s="768">
        <v>42</v>
      </c>
      <c r="CU34" s="782">
        <v>30</v>
      </c>
      <c r="CV34" s="782">
        <v>18</v>
      </c>
      <c r="CW34" s="782">
        <v>35</v>
      </c>
      <c r="CX34" s="769">
        <f>SUM(CT34:CW34)</f>
        <v>125</v>
      </c>
      <c r="CY34" s="768">
        <v>-53</v>
      </c>
      <c r="CZ34" s="782">
        <v>-20</v>
      </c>
      <c r="DA34" s="782">
        <v>16</v>
      </c>
      <c r="DB34" s="782">
        <v>-8</v>
      </c>
      <c r="DC34" s="769">
        <f>SUM(CY34:DB34)</f>
        <v>-65</v>
      </c>
      <c r="DD34" s="768">
        <v>-1</v>
      </c>
      <c r="DE34" s="782">
        <v>8</v>
      </c>
      <c r="DF34" s="782">
        <v>-18</v>
      </c>
      <c r="DG34" s="782">
        <v>60</v>
      </c>
      <c r="DH34" s="769">
        <f>SUM(DD34:DG34)</f>
        <v>49</v>
      </c>
      <c r="DI34" s="768">
        <v>16</v>
      </c>
      <c r="DJ34" s="782">
        <v>-27</v>
      </c>
      <c r="DK34" s="782">
        <v>11</v>
      </c>
      <c r="DL34" s="782">
        <v>68</v>
      </c>
      <c r="DM34" s="769">
        <f>SUM(DI34:DL34)</f>
        <v>68</v>
      </c>
      <c r="DN34" s="768">
        <v>67</v>
      </c>
      <c r="DO34" s="782">
        <v>-16</v>
      </c>
      <c r="DP34" s="782">
        <v>10</v>
      </c>
      <c r="DQ34" s="782">
        <v>6</v>
      </c>
      <c r="DR34" s="769">
        <f>SUM(DN34:DQ34)</f>
        <v>67</v>
      </c>
      <c r="DS34" s="768">
        <v>-33</v>
      </c>
      <c r="DT34" s="768">
        <v>-12</v>
      </c>
      <c r="DU34" s="782">
        <v>-60</v>
      </c>
      <c r="DV34" s="782">
        <v>324</v>
      </c>
      <c r="DW34" s="769">
        <f>SUM(DS34:DV34)</f>
        <v>219</v>
      </c>
      <c r="DX34" s="781">
        <f>+DX33*DX100</f>
        <v>40.33661014960358</v>
      </c>
      <c r="DY34" s="781">
        <f>+DY33*DY100</f>
        <v>54.681891375355455</v>
      </c>
      <c r="DZ34" s="781">
        <f>+DZ33*DZ100</f>
        <v>55.802136940066504</v>
      </c>
      <c r="EA34" s="781">
        <f>+EA33*EA100</f>
        <v>52.802609479373018</v>
      </c>
      <c r="EB34" s="769">
        <f>SUM(DX34:EA34)</f>
        <v>203.62324794439854</v>
      </c>
      <c r="EC34" s="781">
        <f>+EC33*EC100</f>
        <v>54.658186760172399</v>
      </c>
      <c r="ED34" s="781">
        <f>+ED33*ED100</f>
        <v>52.759219331315606</v>
      </c>
      <c r="EE34" s="781">
        <f>+EE33*EE100</f>
        <v>54.543151674215224</v>
      </c>
      <c r="EF34" s="781">
        <f>+EF33*EF100</f>
        <v>61.17809832208458</v>
      </c>
      <c r="EG34" s="769">
        <f>SUM(EC34:EF34)</f>
        <v>223.13865608778781</v>
      </c>
      <c r="EH34" s="781">
        <f>+EH33*EH100</f>
        <v>59.31378371089771</v>
      </c>
      <c r="EI34" s="781">
        <f>+EI33*EI100</f>
        <v>60.838791774821615</v>
      </c>
      <c r="EJ34" s="781">
        <f>+EJ33*EJ100</f>
        <v>60.312034715143142</v>
      </c>
      <c r="EK34" s="781">
        <f>+EK33*EK100</f>
        <v>58.460357741142801</v>
      </c>
      <c r="EL34" s="769">
        <f>SUM(EH34:EK34)</f>
        <v>238.92496794200525</v>
      </c>
      <c r="EM34" s="21"/>
      <c r="EN34"/>
      <c r="EO34"/>
      <c r="EP34"/>
      <c r="EQ34"/>
      <c r="ER34"/>
      <c r="ES34" s="23"/>
      <c r="ET34"/>
      <c r="EU34" s="23"/>
      <c r="EV34" s="23"/>
      <c r="EW34" s="1565"/>
      <c r="EX34" s="24"/>
      <c r="EY34" s="24"/>
      <c r="EZ34" s="24"/>
      <c r="FA34" s="24"/>
      <c r="FB34" s="24"/>
      <c r="FC34" s="24"/>
      <c r="FD34" s="24"/>
      <c r="FE34" s="24"/>
      <c r="FF34" s="24"/>
      <c r="FG34" s="24"/>
      <c r="FH34" s="24"/>
      <c r="FI34" s="24"/>
      <c r="FJ34" s="24"/>
      <c r="FK34" s="24"/>
      <c r="FL34" s="24"/>
      <c r="FM34" s="24"/>
      <c r="FN34" s="24"/>
      <c r="FO34" s="24"/>
      <c r="FP34" s="24"/>
      <c r="FQ34" s="24"/>
      <c r="FR34" s="24"/>
      <c r="FS34" s="24"/>
      <c r="FT34" s="24"/>
      <c r="FU34" s="24"/>
      <c r="FV34" s="24"/>
      <c r="FW34" s="24"/>
      <c r="FX34" s="24"/>
      <c r="FY34" s="24"/>
      <c r="FZ34" s="24"/>
      <c r="GA34" s="24"/>
      <c r="GB34" s="24"/>
      <c r="GC34" s="24"/>
      <c r="GD34" s="24"/>
      <c r="GE34" s="24"/>
      <c r="GF34" s="24"/>
      <c r="GG34" s="24"/>
      <c r="GH34" s="24"/>
      <c r="GI34" s="24"/>
      <c r="GJ34" s="24"/>
      <c r="GK34" s="24"/>
      <c r="GL34" s="24"/>
      <c r="GM34" s="24"/>
      <c r="GN34" s="24"/>
      <c r="GO34" s="24"/>
      <c r="GP34" s="24"/>
      <c r="GQ34" s="24"/>
      <c r="GR34" s="24"/>
      <c r="GS34" s="24"/>
      <c r="GT34" s="24"/>
      <c r="GU34" s="24"/>
      <c r="GV34" s="24"/>
      <c r="GW34" s="24"/>
      <c r="GX34" s="24"/>
      <c r="GY34" s="24"/>
      <c r="GZ34" s="24"/>
      <c r="HA34" s="24"/>
      <c r="HB34" s="24"/>
      <c r="HC34" s="24"/>
      <c r="HD34" s="24"/>
      <c r="HE34" s="24"/>
      <c r="HF34" s="24"/>
      <c r="HG34" s="24"/>
      <c r="HH34" s="24"/>
      <c r="HI34" s="24"/>
      <c r="HJ34" s="24"/>
      <c r="HK34" s="24"/>
      <c r="HL34" s="24"/>
      <c r="HM34" s="24"/>
      <c r="HN34" s="24"/>
      <c r="HO34" s="24"/>
      <c r="HP34" s="24"/>
      <c r="HQ34" s="24"/>
      <c r="HR34" s="24"/>
      <c r="HS34" s="24"/>
      <c r="HT34" s="24"/>
      <c r="HU34" s="24"/>
      <c r="HV34" s="24"/>
      <c r="HW34" s="24"/>
      <c r="HX34" s="24"/>
      <c r="HY34" s="24"/>
      <c r="HZ34" s="24"/>
      <c r="IA34" s="24"/>
      <c r="IB34" s="24"/>
      <c r="IC34" s="24"/>
      <c r="ID34" s="24"/>
      <c r="IE34" s="24"/>
      <c r="IF34" s="24"/>
      <c r="IG34" s="24"/>
      <c r="IH34" s="24"/>
      <c r="II34" s="24"/>
      <c r="IJ34" s="24"/>
      <c r="IK34" s="24"/>
      <c r="IL34" s="24"/>
      <c r="IM34" s="24"/>
      <c r="IN34" s="24"/>
      <c r="IO34" s="24"/>
      <c r="IP34" s="24"/>
      <c r="IQ34" s="24"/>
      <c r="IR34" s="24"/>
      <c r="IS34" s="24"/>
      <c r="IT34" s="24"/>
      <c r="IU34" s="24"/>
      <c r="IV34" s="24"/>
      <c r="IW34" s="24"/>
      <c r="IX34" s="24"/>
      <c r="IY34" s="24"/>
      <c r="IZ34" s="24"/>
      <c r="JA34" s="24"/>
      <c r="JB34" s="24"/>
      <c r="JC34" s="24"/>
      <c r="JD34" s="24"/>
      <c r="JE34" s="24"/>
      <c r="JF34" s="24"/>
      <c r="JG34" s="24"/>
      <c r="JH34" s="24"/>
      <c r="JI34" s="24"/>
      <c r="JJ34" s="24"/>
      <c r="JK34" s="24"/>
    </row>
    <row r="35" spans="1:271" s="18" customFormat="1" ht="12" customHeight="1">
      <c r="A35" s="1538"/>
      <c r="B35" s="1539" t="s">
        <v>355</v>
      </c>
      <c r="C35" s="1539"/>
      <c r="D35" s="1540">
        <f t="shared" ref="D35:AT35" si="51">D33-D34</f>
        <v>66.01600000000002</v>
      </c>
      <c r="E35" s="1540">
        <f t="shared" si="51"/>
        <v>47.999999999999972</v>
      </c>
      <c r="F35" s="1540">
        <f t="shared" si="51"/>
        <v>50.099999999999952</v>
      </c>
      <c r="G35" s="1540">
        <f t="shared" si="51"/>
        <v>18.883999999999993</v>
      </c>
      <c r="H35" s="1541">
        <f t="shared" si="51"/>
        <v>182.99999999999997</v>
      </c>
      <c r="I35" s="1540">
        <f t="shared" si="51"/>
        <v>123.90000000000003</v>
      </c>
      <c r="J35" s="1540">
        <f t="shared" si="51"/>
        <v>187.79999999999998</v>
      </c>
      <c r="K35" s="1540">
        <f t="shared" si="51"/>
        <v>74.900000000000119</v>
      </c>
      <c r="L35" s="1540">
        <f t="shared" si="51"/>
        <v>10.399999999999743</v>
      </c>
      <c r="M35" s="1541">
        <f t="shared" si="51"/>
        <v>397</v>
      </c>
      <c r="N35" s="1540">
        <f t="shared" si="51"/>
        <v>76.999999999999886</v>
      </c>
      <c r="O35" s="1540">
        <f t="shared" si="51"/>
        <v>82.299999999999869</v>
      </c>
      <c r="P35" s="1540">
        <f t="shared" si="51"/>
        <v>-104.39999999999992</v>
      </c>
      <c r="Q35" s="1540">
        <f t="shared" si="51"/>
        <v>-147.90000000000069</v>
      </c>
      <c r="R35" s="1541">
        <f t="shared" si="51"/>
        <v>-93</v>
      </c>
      <c r="S35" s="1540">
        <f t="shared" si="51"/>
        <v>122</v>
      </c>
      <c r="T35" s="1540">
        <f t="shared" si="51"/>
        <v>145</v>
      </c>
      <c r="U35" s="1540">
        <f t="shared" si="51"/>
        <v>154</v>
      </c>
      <c r="V35" s="1540">
        <f t="shared" si="51"/>
        <v>-138</v>
      </c>
      <c r="W35" s="1541">
        <f t="shared" si="51"/>
        <v>283</v>
      </c>
      <c r="X35" s="1540">
        <f t="shared" si="51"/>
        <v>141</v>
      </c>
      <c r="Y35" s="1540">
        <f t="shared" si="51"/>
        <v>126</v>
      </c>
      <c r="Z35" s="1540">
        <f t="shared" si="51"/>
        <v>124</v>
      </c>
      <c r="AA35" s="1540">
        <f t="shared" si="51"/>
        <v>-135</v>
      </c>
      <c r="AB35" s="1541">
        <f t="shared" si="51"/>
        <v>256</v>
      </c>
      <c r="AC35" s="1540">
        <f t="shared" si="51"/>
        <v>133</v>
      </c>
      <c r="AD35" s="1540">
        <f t="shared" si="51"/>
        <v>140</v>
      </c>
      <c r="AE35" s="1540">
        <f t="shared" si="51"/>
        <v>44</v>
      </c>
      <c r="AF35" s="1540">
        <f t="shared" si="51"/>
        <v>44</v>
      </c>
      <c r="AG35" s="1541">
        <f t="shared" si="51"/>
        <v>361</v>
      </c>
      <c r="AH35" s="1540">
        <f t="shared" si="51"/>
        <v>160</v>
      </c>
      <c r="AI35" s="1540">
        <f t="shared" si="51"/>
        <v>179</v>
      </c>
      <c r="AJ35" s="1540">
        <f t="shared" si="51"/>
        <v>201</v>
      </c>
      <c r="AK35" s="1540">
        <f t="shared" si="51"/>
        <v>117</v>
      </c>
      <c r="AL35" s="1541">
        <f t="shared" si="51"/>
        <v>657</v>
      </c>
      <c r="AM35" s="1540">
        <f t="shared" si="51"/>
        <v>162</v>
      </c>
      <c r="AN35" s="1540">
        <f t="shared" si="51"/>
        <v>101</v>
      </c>
      <c r="AO35" s="1540">
        <f t="shared" si="51"/>
        <v>289</v>
      </c>
      <c r="AP35" s="1540">
        <f t="shared" si="51"/>
        <v>271</v>
      </c>
      <c r="AQ35" s="1541">
        <f t="shared" si="51"/>
        <v>823</v>
      </c>
      <c r="AR35" s="1540">
        <f t="shared" si="51"/>
        <v>349</v>
      </c>
      <c r="AS35" s="1540">
        <f t="shared" si="51"/>
        <v>324</v>
      </c>
      <c r="AT35" s="1540">
        <f t="shared" si="51"/>
        <v>-50</v>
      </c>
      <c r="AU35" s="1540"/>
      <c r="AV35" s="1541">
        <f t="shared" ref="AV35:CA35" si="52">AV33-AV34</f>
        <v>272</v>
      </c>
      <c r="AW35" s="1540">
        <f t="shared" si="52"/>
        <v>234</v>
      </c>
      <c r="AX35" s="1540">
        <f t="shared" si="52"/>
        <v>322</v>
      </c>
      <c r="AY35" s="1540">
        <f t="shared" si="52"/>
        <v>2</v>
      </c>
      <c r="AZ35" s="1540">
        <f t="shared" si="52"/>
        <v>830</v>
      </c>
      <c r="BA35" s="1540">
        <f t="shared" si="52"/>
        <v>23</v>
      </c>
      <c r="BB35" s="1540">
        <f t="shared" si="52"/>
        <v>-120</v>
      </c>
      <c r="BC35" s="1540">
        <f t="shared" si="52"/>
        <v>-229</v>
      </c>
      <c r="BD35" s="1540">
        <f t="shared" si="52"/>
        <v>-1099</v>
      </c>
      <c r="BE35" s="1541">
        <f t="shared" si="52"/>
        <v>-1425</v>
      </c>
      <c r="BF35" s="1540">
        <f t="shared" si="52"/>
        <v>-14</v>
      </c>
      <c r="BG35" s="1540">
        <f t="shared" si="52"/>
        <v>-213</v>
      </c>
      <c r="BH35" s="1540">
        <f t="shared" si="52"/>
        <v>-51</v>
      </c>
      <c r="BI35" s="1540">
        <f t="shared" si="52"/>
        <v>-1611</v>
      </c>
      <c r="BJ35" s="1541">
        <f t="shared" si="52"/>
        <v>-1889</v>
      </c>
      <c r="BK35" s="1540">
        <f t="shared" si="52"/>
        <v>23</v>
      </c>
      <c r="BL35" s="1540">
        <f t="shared" si="52"/>
        <v>-9</v>
      </c>
      <c r="BM35" s="1540">
        <f t="shared" si="52"/>
        <v>-378</v>
      </c>
      <c r="BN35" s="1540">
        <f t="shared" si="52"/>
        <v>-250</v>
      </c>
      <c r="BO35" s="1541">
        <f t="shared" si="52"/>
        <v>-614</v>
      </c>
      <c r="BP35" s="1540">
        <f t="shared" si="52"/>
        <v>16</v>
      </c>
      <c r="BQ35" s="1540">
        <f t="shared" si="52"/>
        <v>-447</v>
      </c>
      <c r="BR35" s="1540">
        <f t="shared" si="52"/>
        <v>-29</v>
      </c>
      <c r="BS35" s="1540">
        <f t="shared" si="52"/>
        <v>-391</v>
      </c>
      <c r="BT35" s="1541">
        <f t="shared" si="52"/>
        <v>-851</v>
      </c>
      <c r="BU35" s="1540">
        <f t="shared" si="52"/>
        <v>95</v>
      </c>
      <c r="BV35" s="1540">
        <f t="shared" si="52"/>
        <v>-28</v>
      </c>
      <c r="BW35" s="1540">
        <f t="shared" si="52"/>
        <v>-35</v>
      </c>
      <c r="BX35" s="1540">
        <f t="shared" si="52"/>
        <v>-85</v>
      </c>
      <c r="BY35" s="1541">
        <f t="shared" si="52"/>
        <v>-53</v>
      </c>
      <c r="BZ35" s="1540">
        <f t="shared" si="52"/>
        <v>-9</v>
      </c>
      <c r="CA35" s="1540">
        <f t="shared" si="52"/>
        <v>-19</v>
      </c>
      <c r="CB35" s="1540">
        <f t="shared" ref="CB35:DG35" si="53">CB33-CB34</f>
        <v>116</v>
      </c>
      <c r="CC35" s="1540">
        <f t="shared" si="53"/>
        <v>-7</v>
      </c>
      <c r="CD35" s="1541">
        <f t="shared" si="53"/>
        <v>81</v>
      </c>
      <c r="CE35" s="1540">
        <f t="shared" si="53"/>
        <v>194</v>
      </c>
      <c r="CF35" s="1540">
        <f t="shared" si="53"/>
        <v>3</v>
      </c>
      <c r="CG35" s="1540">
        <f t="shared" si="53"/>
        <v>4</v>
      </c>
      <c r="CH35" s="1540">
        <f t="shared" si="53"/>
        <v>24</v>
      </c>
      <c r="CI35" s="1541">
        <f t="shared" si="53"/>
        <v>225</v>
      </c>
      <c r="CJ35" s="1540">
        <f t="shared" si="53"/>
        <v>90</v>
      </c>
      <c r="CK35" s="1540">
        <f t="shared" si="53"/>
        <v>45</v>
      </c>
      <c r="CL35" s="1540">
        <f t="shared" si="53"/>
        <v>940</v>
      </c>
      <c r="CM35" s="1540">
        <f t="shared" si="53"/>
        <v>60</v>
      </c>
      <c r="CN35" s="1541">
        <f t="shared" si="53"/>
        <v>1135</v>
      </c>
      <c r="CO35" s="1540">
        <f t="shared" si="53"/>
        <v>87</v>
      </c>
      <c r="CP35" s="1540">
        <f t="shared" si="53"/>
        <v>49</v>
      </c>
      <c r="CQ35" s="1540">
        <f t="shared" si="53"/>
        <v>17</v>
      </c>
      <c r="CR35" s="1540">
        <f t="shared" si="53"/>
        <v>-50</v>
      </c>
      <c r="CS35" s="1541">
        <f t="shared" si="53"/>
        <v>103</v>
      </c>
      <c r="CT35" s="1540">
        <f t="shared" si="53"/>
        <v>66</v>
      </c>
      <c r="CU35" s="1540">
        <f t="shared" si="53"/>
        <v>48</v>
      </c>
      <c r="CV35" s="1540">
        <f t="shared" si="53"/>
        <v>33</v>
      </c>
      <c r="CW35" s="1540">
        <f t="shared" si="53"/>
        <v>62</v>
      </c>
      <c r="CX35" s="1541">
        <f t="shared" si="53"/>
        <v>209</v>
      </c>
      <c r="CY35" s="1540">
        <f t="shared" si="53"/>
        <v>-81</v>
      </c>
      <c r="CZ35" s="1540">
        <f t="shared" si="53"/>
        <v>-46</v>
      </c>
      <c r="DA35" s="1540">
        <f t="shared" si="53"/>
        <v>41</v>
      </c>
      <c r="DB35" s="1540">
        <f t="shared" si="53"/>
        <v>-7</v>
      </c>
      <c r="DC35" s="1541">
        <f t="shared" si="53"/>
        <v>-93</v>
      </c>
      <c r="DD35" s="1540">
        <f t="shared" si="53"/>
        <v>-11</v>
      </c>
      <c r="DE35" s="1540">
        <f t="shared" si="53"/>
        <v>9</v>
      </c>
      <c r="DF35" s="1540">
        <f t="shared" si="53"/>
        <v>19</v>
      </c>
      <c r="DG35" s="1540">
        <f t="shared" si="53"/>
        <v>81</v>
      </c>
      <c r="DH35" s="1541">
        <f t="shared" ref="DH35:DR35" si="54">DH33-DH34</f>
        <v>98</v>
      </c>
      <c r="DI35" s="1540">
        <f t="shared" si="54"/>
        <v>75</v>
      </c>
      <c r="DJ35" s="1540">
        <f t="shared" si="54"/>
        <v>-27</v>
      </c>
      <c r="DK35" s="1540">
        <f>DK33-DK34</f>
        <v>29</v>
      </c>
      <c r="DL35" s="1540">
        <f t="shared" si="54"/>
        <v>-1</v>
      </c>
      <c r="DM35" s="1541">
        <f t="shared" si="54"/>
        <v>76</v>
      </c>
      <c r="DN35" s="1540">
        <f t="shared" si="54"/>
        <v>38</v>
      </c>
      <c r="DO35" s="1540">
        <f t="shared" si="54"/>
        <v>41</v>
      </c>
      <c r="DP35" s="1540">
        <f>DP33-DP34</f>
        <v>79</v>
      </c>
      <c r="DQ35" s="1540">
        <f t="shared" si="54"/>
        <v>23</v>
      </c>
      <c r="DR35" s="1541">
        <f t="shared" si="54"/>
        <v>181</v>
      </c>
      <c r="DS35" s="1540">
        <f t="shared" ref="DS35:EA35" si="55">DS33-DS34</f>
        <v>37</v>
      </c>
      <c r="DT35" s="1540">
        <f>+DT33-DT34</f>
        <v>31</v>
      </c>
      <c r="DU35" s="1540">
        <f>+DU33-DU34</f>
        <v>-288</v>
      </c>
      <c r="DV35" s="1540">
        <f t="shared" ref="DV35" si="56">DV33-DV34</f>
        <v>-100</v>
      </c>
      <c r="DW35" s="1541">
        <f>DW33-DW34</f>
        <v>-320</v>
      </c>
      <c r="DX35" s="1540">
        <f t="shared" si="55"/>
        <v>116.00684004265835</v>
      </c>
      <c r="DY35" s="1540">
        <f t="shared" si="55"/>
        <v>157.26342403299901</v>
      </c>
      <c r="DZ35" s="1540">
        <f t="shared" si="55"/>
        <v>160.48521554081142</v>
      </c>
      <c r="EA35" s="1540">
        <f t="shared" si="55"/>
        <v>151.85866757246038</v>
      </c>
      <c r="EB35" s="1541">
        <f t="shared" ref="EB35:EG35" si="57">EB33-EB34</f>
        <v>585.61414718893025</v>
      </c>
      <c r="EC35" s="1540">
        <f t="shared" si="57"/>
        <v>163.97456028051721</v>
      </c>
      <c r="ED35" s="1540">
        <f t="shared" si="57"/>
        <v>158.27765799394683</v>
      </c>
      <c r="EE35" s="1540">
        <f t="shared" si="57"/>
        <v>163.62945502264569</v>
      </c>
      <c r="EF35" s="1540">
        <f t="shared" si="57"/>
        <v>183.53429496625375</v>
      </c>
      <c r="EG35" s="1541">
        <f t="shared" si="57"/>
        <v>669.41596826336433</v>
      </c>
      <c r="EH35" s="1540">
        <f t="shared" ref="EH35" si="58">EH33-EH34</f>
        <v>177.94135113269311</v>
      </c>
      <c r="EI35" s="1540">
        <f t="shared" ref="EI35" si="59">EI33-EI34</f>
        <v>182.51637532446483</v>
      </c>
      <c r="EJ35" s="1540">
        <f t="shared" ref="EJ35" si="60">EJ33-EJ34</f>
        <v>180.93610414542943</v>
      </c>
      <c r="EK35" s="1540">
        <f t="shared" ref="EK35" si="61">EK33-EK34</f>
        <v>175.38107322342842</v>
      </c>
      <c r="EL35" s="1541">
        <f t="shared" ref="EL35" si="62">EL33-EL34</f>
        <v>716.77490382601786</v>
      </c>
      <c r="EM35" s="21"/>
      <c r="EN35"/>
      <c r="EO35"/>
      <c r="EP35"/>
      <c r="EQ35"/>
      <c r="ER35"/>
      <c r="ES35" s="23"/>
      <c r="ET35"/>
      <c r="EU35" s="23"/>
      <c r="EV35" s="23"/>
      <c r="EW35" s="23"/>
      <c r="EX35" s="24"/>
      <c r="EY35" s="24"/>
      <c r="EZ35" s="24"/>
      <c r="FA35" s="24"/>
      <c r="FB35" s="24"/>
      <c r="FC35" s="24"/>
      <c r="FD35" s="24"/>
      <c r="FE35" s="24"/>
      <c r="FF35" s="24"/>
      <c r="FG35" s="24"/>
      <c r="FH35" s="24"/>
      <c r="FI35" s="24"/>
      <c r="FJ35" s="24"/>
      <c r="FK35" s="24"/>
      <c r="FL35" s="24"/>
      <c r="FM35" s="24"/>
      <c r="FN35" s="24"/>
      <c r="FO35" s="24"/>
      <c r="FP35" s="24"/>
      <c r="FQ35" s="24"/>
      <c r="FR35" s="24"/>
      <c r="FS35" s="24"/>
      <c r="FT35" s="24"/>
      <c r="FU35" s="24"/>
      <c r="FV35" s="24"/>
      <c r="FW35" s="24"/>
      <c r="FX35" s="24"/>
      <c r="FY35" s="24"/>
      <c r="FZ35" s="24"/>
      <c r="GA35" s="24"/>
      <c r="GB35" s="24"/>
      <c r="GC35" s="24"/>
      <c r="GD35" s="24"/>
      <c r="GE35" s="24"/>
      <c r="GF35" s="24"/>
      <c r="GG35" s="24"/>
      <c r="GH35" s="24"/>
      <c r="GI35" s="24"/>
      <c r="GJ35" s="24"/>
      <c r="GK35" s="24"/>
      <c r="GL35" s="24"/>
      <c r="GM35" s="24"/>
      <c r="GN35" s="24"/>
      <c r="GO35" s="24"/>
      <c r="GP35" s="24"/>
      <c r="GQ35" s="24"/>
      <c r="GR35" s="24"/>
      <c r="GS35" s="24"/>
      <c r="GT35" s="24"/>
      <c r="GU35" s="24"/>
      <c r="GV35" s="24"/>
      <c r="GW35" s="24"/>
      <c r="GX35" s="24"/>
      <c r="GY35" s="24"/>
      <c r="GZ35" s="24"/>
      <c r="HA35" s="24"/>
      <c r="HB35" s="24"/>
      <c r="HC35" s="24"/>
      <c r="HD35" s="24"/>
      <c r="HE35" s="24"/>
      <c r="HF35" s="24"/>
      <c r="HG35" s="24"/>
      <c r="HH35" s="24"/>
      <c r="HI35" s="24"/>
      <c r="HJ35" s="24"/>
      <c r="HK35" s="24"/>
      <c r="HL35" s="24"/>
      <c r="HM35" s="24"/>
      <c r="HN35" s="24"/>
      <c r="HO35" s="24"/>
      <c r="HP35" s="24"/>
      <c r="HQ35" s="24"/>
      <c r="HR35" s="24"/>
      <c r="HS35" s="24"/>
      <c r="HT35" s="24"/>
      <c r="HU35" s="24"/>
      <c r="HV35" s="24"/>
      <c r="HW35" s="24"/>
      <c r="HX35" s="24"/>
      <c r="HY35" s="24"/>
      <c r="HZ35" s="24"/>
      <c r="IA35" s="24"/>
      <c r="IB35" s="24"/>
      <c r="IC35" s="24"/>
      <c r="ID35" s="24"/>
      <c r="IE35" s="24"/>
      <c r="IF35" s="24"/>
      <c r="IG35" s="24"/>
      <c r="IH35" s="24"/>
      <c r="II35" s="24"/>
      <c r="IJ35" s="24"/>
      <c r="IK35" s="24"/>
      <c r="IL35" s="24"/>
      <c r="IM35" s="24"/>
      <c r="IN35" s="24"/>
      <c r="IO35" s="24"/>
      <c r="IP35" s="24"/>
      <c r="IQ35" s="24"/>
      <c r="IR35" s="24"/>
      <c r="IS35" s="24"/>
      <c r="IT35" s="24"/>
      <c r="IU35" s="24"/>
      <c r="IV35" s="24"/>
      <c r="IW35" s="24"/>
      <c r="IX35" s="24"/>
      <c r="IY35" s="24"/>
      <c r="IZ35" s="24"/>
      <c r="JA35" s="24"/>
      <c r="JB35" s="24"/>
      <c r="JC35" s="24"/>
      <c r="JD35" s="24"/>
      <c r="JE35" s="24"/>
      <c r="JF35" s="24"/>
      <c r="JG35" s="24"/>
      <c r="JH35" s="24"/>
      <c r="JI35" s="24"/>
      <c r="JJ35" s="24"/>
      <c r="JK35" s="24"/>
    </row>
    <row r="36" spans="1:271" s="18" customFormat="1" ht="12" customHeight="1">
      <c r="A36" s="783"/>
      <c r="B36" s="784" t="s">
        <v>356</v>
      </c>
      <c r="C36" s="563"/>
      <c r="D36" s="785"/>
      <c r="E36" s="785"/>
      <c r="F36" s="785"/>
      <c r="G36" s="785"/>
      <c r="H36" s="786"/>
      <c r="I36" s="785"/>
      <c r="J36" s="785"/>
      <c r="K36" s="785"/>
      <c r="L36" s="785"/>
      <c r="M36" s="786"/>
      <c r="N36" s="785"/>
      <c r="O36" s="785"/>
      <c r="P36" s="785"/>
      <c r="Q36" s="785"/>
      <c r="R36" s="786"/>
      <c r="S36" s="785"/>
      <c r="T36" s="785"/>
      <c r="U36" s="785"/>
      <c r="V36" s="785"/>
      <c r="W36" s="786"/>
      <c r="X36" s="785"/>
      <c r="Y36" s="785"/>
      <c r="Z36" s="785"/>
      <c r="AA36" s="785"/>
      <c r="AB36" s="786"/>
      <c r="AC36" s="785"/>
      <c r="AD36" s="785"/>
      <c r="AE36" s="785"/>
      <c r="AF36" s="785"/>
      <c r="AG36" s="786"/>
      <c r="AH36" s="785"/>
      <c r="AI36" s="785"/>
      <c r="AJ36" s="785"/>
      <c r="AK36" s="785"/>
      <c r="AL36" s="786"/>
      <c r="AM36" s="785"/>
      <c r="AN36" s="785"/>
      <c r="AO36" s="785"/>
      <c r="AP36" s="785"/>
      <c r="AQ36" s="786"/>
      <c r="AR36" s="785"/>
      <c r="AS36" s="785"/>
      <c r="AT36" s="785"/>
      <c r="AU36" s="785"/>
      <c r="AV36" s="786"/>
      <c r="AW36" s="785"/>
      <c r="AX36" s="785"/>
      <c r="AY36" s="785"/>
      <c r="AZ36" s="785"/>
      <c r="BA36" s="785"/>
      <c r="BB36" s="785"/>
      <c r="BC36" s="785"/>
      <c r="BD36" s="785"/>
      <c r="BE36" s="786"/>
      <c r="BF36" s="785"/>
      <c r="BG36" s="785"/>
      <c r="BH36" s="785"/>
      <c r="BI36" s="785"/>
      <c r="BJ36" s="786"/>
      <c r="BK36" s="785"/>
      <c r="BL36" s="785"/>
      <c r="BM36" s="785"/>
      <c r="BN36" s="785"/>
      <c r="BO36" s="786"/>
      <c r="BP36" s="785"/>
      <c r="BQ36" s="785"/>
      <c r="BR36" s="785"/>
      <c r="BS36" s="785"/>
      <c r="BT36" s="786"/>
      <c r="BU36" s="785"/>
      <c r="BV36" s="785"/>
      <c r="BW36" s="785"/>
      <c r="BX36" s="785"/>
      <c r="BY36" s="786"/>
      <c r="BZ36" s="785"/>
      <c r="CA36" s="785"/>
      <c r="CB36" s="785"/>
      <c r="CC36" s="785"/>
      <c r="CD36" s="786"/>
      <c r="CE36" s="785"/>
      <c r="CF36" s="785"/>
      <c r="CG36" s="785"/>
      <c r="CH36" s="785"/>
      <c r="CI36" s="786"/>
      <c r="CJ36" s="785"/>
      <c r="CK36" s="785"/>
      <c r="CL36" s="785"/>
      <c r="CM36" s="785"/>
      <c r="CN36" s="786"/>
      <c r="CO36" s="785"/>
      <c r="CP36" s="785"/>
      <c r="CQ36" s="785"/>
      <c r="CR36" s="785"/>
      <c r="CS36" s="786"/>
      <c r="CT36" s="785"/>
      <c r="CU36" s="785"/>
      <c r="CV36" s="785"/>
      <c r="CW36" s="785"/>
      <c r="CX36" s="786"/>
      <c r="CY36" s="785"/>
      <c r="CZ36" s="785"/>
      <c r="DA36" s="785"/>
      <c r="DB36" s="785"/>
      <c r="DC36" s="786"/>
      <c r="DD36" s="785"/>
      <c r="DE36" s="785"/>
      <c r="DF36" s="785"/>
      <c r="DG36" s="785"/>
      <c r="DH36" s="786"/>
      <c r="DI36" s="785"/>
      <c r="DJ36" s="785"/>
      <c r="DK36" s="785"/>
      <c r="DL36" s="785"/>
      <c r="DM36" s="786"/>
      <c r="DN36" s="785"/>
      <c r="DO36" s="785"/>
      <c r="DP36" s="785"/>
      <c r="DQ36" s="785"/>
      <c r="DR36" s="786"/>
      <c r="DS36" s="785"/>
      <c r="DT36" s="785"/>
      <c r="DU36" s="785"/>
      <c r="DV36" s="785"/>
      <c r="DW36" s="786"/>
      <c r="DX36" s="785"/>
      <c r="DY36" s="785"/>
      <c r="DZ36" s="785"/>
      <c r="EA36" s="785"/>
      <c r="EB36" s="786"/>
      <c r="EC36" s="785"/>
      <c r="ED36" s="785"/>
      <c r="EE36" s="785"/>
      <c r="EF36" s="785"/>
      <c r="EG36" s="786"/>
      <c r="EH36" s="785"/>
      <c r="EI36" s="785"/>
      <c r="EJ36" s="785"/>
      <c r="EK36" s="785"/>
      <c r="EL36" s="786"/>
      <c r="EM36" s="21"/>
      <c r="EN36"/>
      <c r="EO36"/>
      <c r="EP36"/>
      <c r="EQ36"/>
      <c r="ER36"/>
      <c r="ES36" s="23"/>
      <c r="ET36"/>
      <c r="EU36" s="23"/>
      <c r="EV36" s="23"/>
      <c r="EW36" s="23"/>
      <c r="EX36" s="24"/>
      <c r="EY36" s="24"/>
      <c r="EZ36" s="24"/>
      <c r="FA36" s="24"/>
      <c r="FB36" s="24"/>
      <c r="FC36" s="24"/>
      <c r="FD36" s="24"/>
      <c r="FE36" s="24"/>
      <c r="FF36" s="24"/>
      <c r="FG36" s="24"/>
      <c r="FH36" s="24"/>
      <c r="FI36" s="24"/>
      <c r="FJ36" s="24"/>
      <c r="FK36" s="24"/>
      <c r="FL36" s="24"/>
      <c r="FM36" s="24"/>
      <c r="FN36" s="24"/>
      <c r="FO36" s="24"/>
      <c r="FP36" s="24"/>
      <c r="FQ36" s="24"/>
      <c r="FR36" s="24"/>
      <c r="FS36" s="24"/>
      <c r="FT36" s="24"/>
      <c r="FU36" s="24"/>
      <c r="FV36" s="24"/>
      <c r="FW36" s="24"/>
      <c r="FX36" s="24"/>
      <c r="FY36" s="24"/>
      <c r="FZ36" s="24"/>
      <c r="GA36" s="24"/>
      <c r="GB36" s="24"/>
      <c r="GC36" s="24"/>
      <c r="GD36" s="24"/>
      <c r="GE36" s="24"/>
      <c r="GF36" s="24"/>
      <c r="GG36" s="24"/>
      <c r="GH36" s="24"/>
      <c r="GI36" s="24"/>
      <c r="GJ36" s="24"/>
      <c r="GK36" s="24"/>
      <c r="GL36" s="24"/>
      <c r="GM36" s="24"/>
      <c r="GN36" s="24"/>
      <c r="GO36" s="24"/>
      <c r="GP36" s="24"/>
      <c r="GQ36" s="24"/>
      <c r="GR36" s="24"/>
      <c r="GS36" s="24"/>
      <c r="GT36" s="24"/>
      <c r="GU36" s="24"/>
      <c r="GV36" s="24"/>
      <c r="GW36" s="24"/>
      <c r="GX36" s="24"/>
      <c r="GY36" s="24"/>
      <c r="GZ36" s="24"/>
      <c r="HA36" s="24"/>
      <c r="HB36" s="24"/>
      <c r="HC36" s="24"/>
      <c r="HD36" s="24"/>
      <c r="HE36" s="24"/>
      <c r="HF36" s="24"/>
      <c r="HG36" s="24"/>
      <c r="HH36" s="24"/>
      <c r="HI36" s="24"/>
      <c r="HJ36" s="24"/>
      <c r="HK36" s="24"/>
      <c r="HL36" s="24"/>
      <c r="HM36" s="24"/>
      <c r="HN36" s="24"/>
      <c r="HO36" s="24"/>
      <c r="HP36" s="24"/>
      <c r="HQ36" s="24"/>
      <c r="HR36" s="24"/>
      <c r="HS36" s="24"/>
      <c r="HT36" s="24"/>
      <c r="HU36" s="24"/>
      <c r="HV36" s="24"/>
      <c r="HW36" s="24"/>
      <c r="HX36" s="24"/>
      <c r="HY36" s="24"/>
      <c r="HZ36" s="24"/>
      <c r="IA36" s="24"/>
      <c r="IB36" s="24"/>
      <c r="IC36" s="24"/>
      <c r="ID36" s="24"/>
      <c r="IE36" s="24"/>
      <c r="IF36" s="24"/>
      <c r="IG36" s="24"/>
      <c r="IH36" s="24"/>
      <c r="II36" s="24"/>
      <c r="IJ36" s="24"/>
      <c r="IK36" s="24"/>
      <c r="IL36" s="24"/>
      <c r="IM36" s="24"/>
      <c r="IN36" s="24"/>
      <c r="IO36" s="24"/>
      <c r="IP36" s="24"/>
      <c r="IQ36" s="24"/>
      <c r="IR36" s="24"/>
      <c r="IS36" s="24"/>
      <c r="IT36" s="24"/>
      <c r="IU36" s="24"/>
      <c r="IV36" s="24"/>
      <c r="IW36" s="24"/>
      <c r="IX36" s="24"/>
      <c r="IY36" s="24"/>
      <c r="IZ36" s="24"/>
      <c r="JA36" s="24"/>
      <c r="JB36" s="24"/>
      <c r="JC36" s="24"/>
      <c r="JD36" s="24"/>
      <c r="JE36" s="24"/>
      <c r="JF36" s="24"/>
      <c r="JG36" s="24"/>
      <c r="JH36" s="24"/>
      <c r="JI36" s="24"/>
      <c r="JJ36" s="24"/>
      <c r="JK36" s="24"/>
    </row>
    <row r="37" spans="1:271" s="18" customFormat="1" ht="12" hidden="1" customHeight="1" outlineLevel="1">
      <c r="A37" s="787"/>
      <c r="B37" s="788" t="s">
        <v>357</v>
      </c>
      <c r="C37" s="789"/>
      <c r="D37" s="768">
        <v>0</v>
      </c>
      <c r="E37" s="768">
        <v>0</v>
      </c>
      <c r="F37" s="768">
        <v>0</v>
      </c>
      <c r="G37" s="768">
        <v>0</v>
      </c>
      <c r="H37" s="769">
        <f t="shared" ref="H37:H46" si="63">SUM(D37:G37)</f>
        <v>0</v>
      </c>
      <c r="I37" s="768">
        <v>0</v>
      </c>
      <c r="J37" s="768">
        <v>0</v>
      </c>
      <c r="K37" s="768">
        <v>0</v>
      </c>
      <c r="L37" s="768">
        <v>0</v>
      </c>
      <c r="M37" s="769">
        <f t="shared" ref="M37:M46" si="64">SUM(I37:L37)</f>
        <v>0</v>
      </c>
      <c r="N37" s="768">
        <v>0</v>
      </c>
      <c r="O37" s="768">
        <v>0</v>
      </c>
      <c r="P37" s="768">
        <v>0</v>
      </c>
      <c r="Q37" s="768">
        <v>0</v>
      </c>
      <c r="R37" s="769">
        <f t="shared" ref="R37:R46" si="65">SUM(N37:Q37)</f>
        <v>0</v>
      </c>
      <c r="S37" s="768">
        <v>0</v>
      </c>
      <c r="T37" s="768">
        <v>0</v>
      </c>
      <c r="U37" s="768">
        <v>0</v>
      </c>
      <c r="V37" s="768">
        <v>0</v>
      </c>
      <c r="W37" s="769">
        <f t="shared" ref="W37:W42" si="66">SUM(S37:V37)</f>
        <v>0</v>
      </c>
      <c r="X37" s="768">
        <v>0</v>
      </c>
      <c r="Y37" s="768">
        <v>0</v>
      </c>
      <c r="Z37" s="768">
        <v>0</v>
      </c>
      <c r="AA37" s="768">
        <v>0</v>
      </c>
      <c r="AB37" s="769">
        <f t="shared" ref="AB37:AB42" si="67">SUM(X37:AA37)</f>
        <v>0</v>
      </c>
      <c r="AC37" s="768">
        <v>0</v>
      </c>
      <c r="AD37" s="768">
        <v>0</v>
      </c>
      <c r="AE37" s="768">
        <v>0</v>
      </c>
      <c r="AF37" s="768">
        <v>0</v>
      </c>
      <c r="AG37" s="769">
        <f t="shared" ref="AG37:AG46" si="68">SUM(AC37:AF37)</f>
        <v>0</v>
      </c>
      <c r="AH37" s="768">
        <v>0</v>
      </c>
      <c r="AI37" s="768">
        <v>0</v>
      </c>
      <c r="AJ37" s="768">
        <v>0</v>
      </c>
      <c r="AK37" s="768">
        <v>0</v>
      </c>
      <c r="AL37" s="769">
        <f t="shared" ref="AL37:AL42" si="69">SUM(AH37:AK37)</f>
        <v>0</v>
      </c>
      <c r="AM37" s="768">
        <v>0</v>
      </c>
      <c r="AN37" s="768">
        <v>0</v>
      </c>
      <c r="AO37" s="768">
        <v>0</v>
      </c>
      <c r="AP37" s="768">
        <v>0</v>
      </c>
      <c r="AQ37" s="769">
        <f t="shared" ref="AQ37:AQ42" si="70">SUM(AM37:AP37)</f>
        <v>0</v>
      </c>
      <c r="AR37" s="768">
        <v>0</v>
      </c>
      <c r="AS37" s="768">
        <v>0</v>
      </c>
      <c r="AT37" s="768">
        <v>0</v>
      </c>
      <c r="AU37" s="768"/>
      <c r="AV37" s="769">
        <v>29</v>
      </c>
      <c r="AW37" s="768">
        <v>26</v>
      </c>
      <c r="AX37" s="768">
        <v>26</v>
      </c>
      <c r="AY37" s="768">
        <v>34</v>
      </c>
      <c r="AZ37" s="768">
        <f t="shared" ref="AZ37:AZ42" si="71">SUM(AV37:AY37)</f>
        <v>115</v>
      </c>
      <c r="BA37" s="768">
        <v>12</v>
      </c>
      <c r="BB37" s="768">
        <v>11</v>
      </c>
      <c r="BC37" s="768">
        <v>-12</v>
      </c>
      <c r="BD37" s="768">
        <v>-32</v>
      </c>
      <c r="BE37" s="769">
        <f t="shared" ref="BE37:BE42" si="72">SUM(BA37:BD37)</f>
        <v>-21</v>
      </c>
      <c r="BF37" s="768">
        <v>-61</v>
      </c>
      <c r="BG37" s="768">
        <v>-96</v>
      </c>
      <c r="BH37" s="768">
        <v>-32</v>
      </c>
      <c r="BI37" s="768">
        <v>-53</v>
      </c>
      <c r="BJ37" s="769">
        <f t="shared" ref="BJ37:BJ42" si="73">SUM(BF37:BI37)</f>
        <v>-242</v>
      </c>
      <c r="BK37" s="768">
        <v>-39</v>
      </c>
      <c r="BL37" s="768">
        <v>-20</v>
      </c>
      <c r="BM37" s="768">
        <v>7</v>
      </c>
      <c r="BN37" s="768">
        <v>5</v>
      </c>
      <c r="BO37" s="769">
        <f t="shared" ref="BO37:BO42" si="74">SUM(BK37:BN37)</f>
        <v>-47</v>
      </c>
      <c r="BP37" s="768">
        <v>13</v>
      </c>
      <c r="BQ37" s="768">
        <v>-21</v>
      </c>
      <c r="BR37" s="768">
        <v>-17</v>
      </c>
      <c r="BS37" s="768">
        <v>-23</v>
      </c>
      <c r="BT37" s="769">
        <f t="shared" ref="BT37:BT42" si="75">SUM(BP37:BS37)</f>
        <v>-48</v>
      </c>
      <c r="BU37" s="768">
        <v>-21</v>
      </c>
      <c r="BV37" s="768">
        <v>0</v>
      </c>
      <c r="BW37" s="768">
        <v>-11</v>
      </c>
      <c r="BX37" s="768">
        <v>23</v>
      </c>
      <c r="BY37" s="769">
        <f t="shared" ref="BY37:BY42" si="76">SUM(BU37:BX37)</f>
        <v>-9</v>
      </c>
      <c r="BZ37" s="768">
        <v>-9</v>
      </c>
      <c r="CA37" s="768">
        <v>6</v>
      </c>
      <c r="CB37" s="768">
        <v>-29</v>
      </c>
      <c r="CC37" s="768">
        <v>25</v>
      </c>
      <c r="CD37" s="769">
        <f t="shared" ref="CD37:CD42" si="77">SUM(BZ37:CC37)</f>
        <v>-7</v>
      </c>
      <c r="CE37" s="768">
        <v>2</v>
      </c>
      <c r="CF37" s="768">
        <v>-11</v>
      </c>
      <c r="CG37" s="768">
        <v>-2</v>
      </c>
      <c r="CH37" s="768">
        <v>4</v>
      </c>
      <c r="CI37" s="769">
        <f t="shared" ref="CI37:CI42" si="78">SUM(CE37:CH37)</f>
        <v>-7</v>
      </c>
      <c r="CJ37" s="768">
        <v>5</v>
      </c>
      <c r="CK37" s="768">
        <v>-5</v>
      </c>
      <c r="CL37" s="768">
        <v>-4</v>
      </c>
      <c r="CM37" s="768">
        <v>15</v>
      </c>
      <c r="CN37" s="769">
        <f t="shared" ref="CN37:CN42" si="79">SUM(CJ37:CM37)</f>
        <v>11</v>
      </c>
      <c r="CO37" s="768">
        <v>-10</v>
      </c>
      <c r="CP37" s="768">
        <v>-5</v>
      </c>
      <c r="CQ37" s="768">
        <v>-2</v>
      </c>
      <c r="CR37" s="768">
        <v>-1</v>
      </c>
      <c r="CS37" s="769">
        <f t="shared" ref="CS37:CS42" si="80">SUM(CO37:CR37)</f>
        <v>-18</v>
      </c>
      <c r="CT37" s="768">
        <v>2</v>
      </c>
      <c r="CU37" s="768">
        <v>1</v>
      </c>
      <c r="CV37" s="768">
        <v>4</v>
      </c>
      <c r="CW37" s="768">
        <v>-9</v>
      </c>
      <c r="CX37" s="769">
        <f t="shared" ref="CX37:CX42" si="81">SUM(CT37:CW37)</f>
        <v>-2</v>
      </c>
      <c r="CY37" s="768">
        <v>-3</v>
      </c>
      <c r="CZ37" s="768">
        <v>3</v>
      </c>
      <c r="DA37" s="768">
        <v>-8</v>
      </c>
      <c r="DB37" s="768">
        <v>0</v>
      </c>
      <c r="DC37" s="769">
        <f t="shared" ref="DC37:DC42" si="82">SUM(CY37:DB37)</f>
        <v>-8</v>
      </c>
      <c r="DD37" s="768">
        <v>-8</v>
      </c>
      <c r="DE37" s="768">
        <v>-7</v>
      </c>
      <c r="DF37" s="768">
        <v>-2</v>
      </c>
      <c r="DG37" s="768">
        <v>0</v>
      </c>
      <c r="DH37" s="769">
        <f t="shared" ref="DH37:DH42" si="83">SUM(DD37:DG37)</f>
        <v>-17</v>
      </c>
      <c r="DI37" s="768">
        <v>-1</v>
      </c>
      <c r="DJ37" s="768">
        <v>-2</v>
      </c>
      <c r="DK37" s="768">
        <v>-1</v>
      </c>
      <c r="DL37" s="768">
        <v>-1</v>
      </c>
      <c r="DM37" s="769">
        <f t="shared" ref="DM37:DM42" si="84">SUM(DI37:DL37)</f>
        <v>-5</v>
      </c>
      <c r="DN37" s="768">
        <v>-5</v>
      </c>
      <c r="DO37" s="768">
        <v>-2</v>
      </c>
      <c r="DP37" s="768">
        <v>2</v>
      </c>
      <c r="DQ37" s="768">
        <v>0</v>
      </c>
      <c r="DR37" s="769">
        <f t="shared" ref="DR37:DR42" si="85">SUM(DN37:DQ37)</f>
        <v>-5</v>
      </c>
      <c r="DS37" s="768">
        <v>0</v>
      </c>
      <c r="DT37" s="768">
        <v>2</v>
      </c>
      <c r="DU37" s="768">
        <v>-1</v>
      </c>
      <c r="DV37" s="768">
        <v>1</v>
      </c>
      <c r="DW37" s="769">
        <f t="shared" ref="DW37:DW42" si="86">SUM(DS37:DV37)</f>
        <v>2</v>
      </c>
      <c r="DX37" s="768">
        <v>0</v>
      </c>
      <c r="DY37" s="768">
        <v>0</v>
      </c>
      <c r="DZ37" s="768">
        <v>0</v>
      </c>
      <c r="EA37" s="768">
        <v>0</v>
      </c>
      <c r="EB37" s="769">
        <f t="shared" ref="EB37:EB42" si="87">SUM(DX37:EA37)</f>
        <v>0</v>
      </c>
      <c r="EC37" s="768">
        <v>0</v>
      </c>
      <c r="ED37" s="768">
        <v>0</v>
      </c>
      <c r="EE37" s="768">
        <v>0</v>
      </c>
      <c r="EF37" s="768">
        <v>0</v>
      </c>
      <c r="EG37" s="769">
        <f t="shared" ref="EG37:EG42" si="88">SUM(EC37:EF37)</f>
        <v>0</v>
      </c>
      <c r="EH37" s="768">
        <v>0</v>
      </c>
      <c r="EI37" s="768">
        <v>0</v>
      </c>
      <c r="EJ37" s="768">
        <v>0</v>
      </c>
      <c r="EK37" s="768">
        <v>0</v>
      </c>
      <c r="EL37" s="769">
        <f t="shared" ref="EL37:EL42" si="89">SUM(EH37:EK37)</f>
        <v>0</v>
      </c>
      <c r="EM37" s="21"/>
      <c r="EN37"/>
      <c r="EO37"/>
      <c r="EP37"/>
      <c r="EQ37"/>
      <c r="ER37"/>
      <c r="ES37" s="23"/>
      <c r="ET37"/>
      <c r="EU37" s="23"/>
      <c r="EV37" s="23"/>
      <c r="EW37" s="23"/>
      <c r="EX37" s="24"/>
      <c r="EY37" s="24"/>
      <c r="EZ37" s="24"/>
      <c r="FA37" s="24"/>
      <c r="FB37" s="24"/>
      <c r="FC37" s="24"/>
      <c r="FD37" s="24"/>
      <c r="FE37" s="24"/>
      <c r="FF37" s="24"/>
      <c r="FG37" s="24"/>
      <c r="FH37" s="24"/>
      <c r="FI37" s="24"/>
      <c r="FJ37" s="24"/>
      <c r="FK37" s="24"/>
      <c r="FL37" s="24"/>
      <c r="FM37" s="24"/>
      <c r="FN37" s="24"/>
      <c r="FO37" s="24"/>
      <c r="FP37" s="24"/>
      <c r="FQ37" s="24"/>
      <c r="FR37" s="24"/>
      <c r="FS37" s="24"/>
      <c r="FT37" s="24"/>
      <c r="FU37" s="24"/>
      <c r="FV37" s="24"/>
      <c r="FW37" s="24"/>
      <c r="FX37" s="24"/>
      <c r="FY37" s="24"/>
      <c r="FZ37" s="24"/>
      <c r="GA37" s="24"/>
      <c r="GB37" s="24"/>
      <c r="GC37" s="24"/>
      <c r="GD37" s="24"/>
      <c r="GE37" s="24"/>
      <c r="GF37" s="24"/>
      <c r="GG37" s="24"/>
      <c r="GH37" s="24"/>
      <c r="GI37" s="24"/>
      <c r="GJ37" s="24"/>
      <c r="GK37" s="24"/>
      <c r="GL37" s="24"/>
      <c r="GM37" s="24"/>
      <c r="GN37" s="24"/>
      <c r="GO37" s="24"/>
      <c r="GP37" s="24"/>
      <c r="GQ37" s="24"/>
      <c r="GR37" s="24"/>
      <c r="GS37" s="24"/>
      <c r="GT37" s="24"/>
      <c r="GU37" s="24"/>
      <c r="GV37" s="24"/>
      <c r="GW37" s="24"/>
      <c r="GX37" s="24"/>
      <c r="GY37" s="24"/>
      <c r="GZ37" s="24"/>
      <c r="HA37" s="24"/>
      <c r="HB37" s="24"/>
      <c r="HC37" s="24"/>
      <c r="HD37" s="24"/>
      <c r="HE37" s="24"/>
      <c r="HF37" s="24"/>
      <c r="HG37" s="24"/>
      <c r="HH37" s="24"/>
      <c r="HI37" s="24"/>
      <c r="HJ37" s="24"/>
      <c r="HK37" s="24"/>
      <c r="HL37" s="24"/>
      <c r="HM37" s="24"/>
      <c r="HN37" s="24"/>
      <c r="HO37" s="24"/>
      <c r="HP37" s="24"/>
      <c r="HQ37" s="24"/>
      <c r="HR37" s="24"/>
      <c r="HS37" s="24"/>
      <c r="HT37" s="24"/>
      <c r="HU37" s="24"/>
      <c r="HV37" s="24"/>
      <c r="HW37" s="24"/>
      <c r="HX37" s="24"/>
      <c r="HY37" s="24"/>
      <c r="HZ37" s="24"/>
      <c r="IA37" s="24"/>
      <c r="IB37" s="24"/>
      <c r="IC37" s="24"/>
      <c r="ID37" s="24"/>
      <c r="IE37" s="24"/>
      <c r="IF37" s="24"/>
      <c r="IG37" s="24"/>
      <c r="IH37" s="24"/>
      <c r="II37" s="24"/>
      <c r="IJ37" s="24"/>
      <c r="IK37" s="24"/>
      <c r="IL37" s="24"/>
      <c r="IM37" s="24"/>
      <c r="IN37" s="24"/>
      <c r="IO37" s="24"/>
      <c r="IP37" s="24"/>
      <c r="IQ37" s="24"/>
      <c r="IR37" s="24"/>
      <c r="IS37" s="24"/>
      <c r="IT37" s="24"/>
      <c r="IU37" s="24"/>
      <c r="IV37" s="24"/>
      <c r="IW37" s="24"/>
      <c r="IX37" s="24"/>
      <c r="IY37" s="24"/>
      <c r="IZ37" s="24"/>
      <c r="JA37" s="24"/>
      <c r="JB37" s="24"/>
      <c r="JC37" s="24"/>
      <c r="JD37" s="24"/>
      <c r="JE37" s="24"/>
      <c r="JF37" s="24"/>
      <c r="JG37" s="24"/>
      <c r="JH37" s="24"/>
      <c r="JI37" s="24"/>
      <c r="JJ37" s="24"/>
      <c r="JK37" s="24"/>
    </row>
    <row r="38" spans="1:271" s="18" customFormat="1" ht="12" hidden="1" customHeight="1" outlineLevel="1">
      <c r="A38" s="787"/>
      <c r="B38" s="788" t="s">
        <v>358</v>
      </c>
      <c r="C38" s="789"/>
      <c r="D38" s="768">
        <v>0</v>
      </c>
      <c r="E38" s="768">
        <v>0</v>
      </c>
      <c r="F38" s="768">
        <v>0</v>
      </c>
      <c r="G38" s="768">
        <v>0</v>
      </c>
      <c r="H38" s="769">
        <f t="shared" si="63"/>
        <v>0</v>
      </c>
      <c r="I38" s="768">
        <v>0</v>
      </c>
      <c r="J38" s="768">
        <v>0</v>
      </c>
      <c r="K38" s="768">
        <v>0</v>
      </c>
      <c r="L38" s="768">
        <v>0</v>
      </c>
      <c r="M38" s="769">
        <f t="shared" si="64"/>
        <v>0</v>
      </c>
      <c r="N38" s="768">
        <v>0</v>
      </c>
      <c r="O38" s="768">
        <v>0</v>
      </c>
      <c r="P38" s="768">
        <v>0</v>
      </c>
      <c r="Q38" s="768">
        <v>0</v>
      </c>
      <c r="R38" s="769">
        <f t="shared" si="65"/>
        <v>0</v>
      </c>
      <c r="S38" s="768">
        <v>0</v>
      </c>
      <c r="T38" s="768">
        <v>0</v>
      </c>
      <c r="U38" s="768">
        <v>0</v>
      </c>
      <c r="V38" s="768">
        <v>0</v>
      </c>
      <c r="W38" s="769">
        <f t="shared" si="66"/>
        <v>0</v>
      </c>
      <c r="X38" s="768">
        <v>0</v>
      </c>
      <c r="Y38" s="768">
        <v>0</v>
      </c>
      <c r="Z38" s="768">
        <v>0</v>
      </c>
      <c r="AA38" s="768">
        <v>0</v>
      </c>
      <c r="AB38" s="769">
        <f t="shared" si="67"/>
        <v>0</v>
      </c>
      <c r="AC38" s="768">
        <v>0</v>
      </c>
      <c r="AD38" s="768">
        <v>0</v>
      </c>
      <c r="AE38" s="768">
        <v>0</v>
      </c>
      <c r="AF38" s="768">
        <v>0</v>
      </c>
      <c r="AG38" s="769">
        <f t="shared" si="68"/>
        <v>0</v>
      </c>
      <c r="AH38" s="768">
        <v>0</v>
      </c>
      <c r="AI38" s="768">
        <v>0</v>
      </c>
      <c r="AJ38" s="768">
        <v>0</v>
      </c>
      <c r="AK38" s="768">
        <v>0</v>
      </c>
      <c r="AL38" s="769">
        <f t="shared" si="69"/>
        <v>0</v>
      </c>
      <c r="AM38" s="768">
        <v>0</v>
      </c>
      <c r="AN38" s="768">
        <v>0</v>
      </c>
      <c r="AO38" s="768">
        <v>0</v>
      </c>
      <c r="AP38" s="768">
        <v>0</v>
      </c>
      <c r="AQ38" s="769">
        <f t="shared" si="70"/>
        <v>0</v>
      </c>
      <c r="AR38" s="768">
        <v>0</v>
      </c>
      <c r="AS38" s="768">
        <v>0</v>
      </c>
      <c r="AT38" s="768">
        <v>0</v>
      </c>
      <c r="AU38" s="768"/>
      <c r="AV38" s="769">
        <v>0</v>
      </c>
      <c r="AW38" s="768">
        <v>0</v>
      </c>
      <c r="AX38" s="768">
        <v>0</v>
      </c>
      <c r="AY38" s="768">
        <v>-80</v>
      </c>
      <c r="AZ38" s="768">
        <f t="shared" si="71"/>
        <v>-80</v>
      </c>
      <c r="BA38" s="768">
        <v>-61</v>
      </c>
      <c r="BB38" s="768">
        <v>-4</v>
      </c>
      <c r="BC38" s="768">
        <v>-99</v>
      </c>
      <c r="BD38" s="768">
        <v>8</v>
      </c>
      <c r="BE38" s="769">
        <f t="shared" si="72"/>
        <v>-156</v>
      </c>
      <c r="BF38" s="768">
        <v>-86</v>
      </c>
      <c r="BG38" s="768">
        <v>-247</v>
      </c>
      <c r="BH38" s="768">
        <v>-9</v>
      </c>
      <c r="BI38" s="768">
        <v>-24</v>
      </c>
      <c r="BJ38" s="769">
        <f t="shared" si="73"/>
        <v>-366</v>
      </c>
      <c r="BK38" s="768">
        <v>-7</v>
      </c>
      <c r="BL38" s="768">
        <v>-1</v>
      </c>
      <c r="BM38" s="768">
        <v>-27</v>
      </c>
      <c r="BN38" s="768">
        <v>-21</v>
      </c>
      <c r="BO38" s="769">
        <f t="shared" si="74"/>
        <v>-56</v>
      </c>
      <c r="BP38" s="768">
        <v>-3</v>
      </c>
      <c r="BQ38" s="768">
        <v>-101</v>
      </c>
      <c r="BR38" s="768">
        <v>0</v>
      </c>
      <c r="BS38" s="768">
        <v>-23</v>
      </c>
      <c r="BT38" s="769">
        <f t="shared" si="75"/>
        <v>-127</v>
      </c>
      <c r="BU38" s="768">
        <v>-9</v>
      </c>
      <c r="BV38" s="768">
        <v>-1</v>
      </c>
      <c r="BW38" s="768">
        <v>-6</v>
      </c>
      <c r="BX38" s="768">
        <v>-11</v>
      </c>
      <c r="BY38" s="769">
        <f t="shared" si="76"/>
        <v>-27</v>
      </c>
      <c r="BZ38" s="768">
        <v>-10</v>
      </c>
      <c r="CA38" s="768">
        <v>-7</v>
      </c>
      <c r="CB38" s="768">
        <v>-21</v>
      </c>
      <c r="CC38" s="768">
        <v>-55</v>
      </c>
      <c r="CD38" s="769">
        <f t="shared" si="77"/>
        <v>-93</v>
      </c>
      <c r="CE38" s="768">
        <v>-9</v>
      </c>
      <c r="CF38" s="768">
        <v>-6</v>
      </c>
      <c r="CG38" s="768">
        <v>-1</v>
      </c>
      <c r="CH38" s="768">
        <v>4</v>
      </c>
      <c r="CI38" s="769">
        <f t="shared" si="78"/>
        <v>-12</v>
      </c>
      <c r="CJ38" s="768">
        <v>1</v>
      </c>
      <c r="CK38" s="768">
        <v>-3</v>
      </c>
      <c r="CL38" s="768">
        <v>1</v>
      </c>
      <c r="CM38" s="768">
        <v>0</v>
      </c>
      <c r="CN38" s="769">
        <f t="shared" si="79"/>
        <v>-1</v>
      </c>
      <c r="CO38" s="768">
        <v>0</v>
      </c>
      <c r="CP38" s="768">
        <v>0</v>
      </c>
      <c r="CQ38" s="768">
        <v>0</v>
      </c>
      <c r="CR38" s="768">
        <v>-6</v>
      </c>
      <c r="CS38" s="769">
        <f t="shared" si="80"/>
        <v>-6</v>
      </c>
      <c r="CT38" s="768">
        <v>0</v>
      </c>
      <c r="CU38" s="768">
        <v>-100</v>
      </c>
      <c r="CV38" s="768">
        <v>0</v>
      </c>
      <c r="CW38" s="768">
        <v>0</v>
      </c>
      <c r="CX38" s="769">
        <f t="shared" si="81"/>
        <v>-100</v>
      </c>
      <c r="CY38" s="768">
        <v>0</v>
      </c>
      <c r="CZ38" s="768">
        <v>0</v>
      </c>
      <c r="DA38" s="768">
        <v>0</v>
      </c>
      <c r="DB38" s="768">
        <v>0</v>
      </c>
      <c r="DC38" s="769">
        <f t="shared" si="82"/>
        <v>0</v>
      </c>
      <c r="DD38" s="768">
        <v>0</v>
      </c>
      <c r="DE38" s="768">
        <v>-18</v>
      </c>
      <c r="DF38" s="768">
        <v>0</v>
      </c>
      <c r="DG38" s="768">
        <v>0</v>
      </c>
      <c r="DH38" s="769">
        <f t="shared" si="83"/>
        <v>-18</v>
      </c>
      <c r="DI38" s="768">
        <v>0</v>
      </c>
      <c r="DJ38" s="768">
        <v>0</v>
      </c>
      <c r="DK38" s="768">
        <v>0</v>
      </c>
      <c r="DL38" s="768">
        <v>0</v>
      </c>
      <c r="DM38" s="769">
        <f t="shared" si="84"/>
        <v>0</v>
      </c>
      <c r="DN38" s="768">
        <v>0</v>
      </c>
      <c r="DO38" s="768">
        <v>0</v>
      </c>
      <c r="DP38" s="768">
        <v>0</v>
      </c>
      <c r="DQ38" s="768">
        <v>0</v>
      </c>
      <c r="DR38" s="769">
        <f t="shared" si="85"/>
        <v>0</v>
      </c>
      <c r="DS38" s="768">
        <v>0</v>
      </c>
      <c r="DT38" s="768">
        <v>0</v>
      </c>
      <c r="DU38" s="768">
        <v>0</v>
      </c>
      <c r="DV38" s="768">
        <v>0</v>
      </c>
      <c r="DW38" s="769">
        <f t="shared" si="86"/>
        <v>0</v>
      </c>
      <c r="DX38" s="768">
        <v>0</v>
      </c>
      <c r="DY38" s="768">
        <v>0</v>
      </c>
      <c r="DZ38" s="768">
        <v>0</v>
      </c>
      <c r="EA38" s="768">
        <v>0</v>
      </c>
      <c r="EB38" s="769">
        <f t="shared" si="87"/>
        <v>0</v>
      </c>
      <c r="EC38" s="768">
        <v>0</v>
      </c>
      <c r="ED38" s="768">
        <v>0</v>
      </c>
      <c r="EE38" s="768">
        <v>0</v>
      </c>
      <c r="EF38" s="768">
        <v>0</v>
      </c>
      <c r="EG38" s="769">
        <f t="shared" si="88"/>
        <v>0</v>
      </c>
      <c r="EH38" s="768">
        <v>0</v>
      </c>
      <c r="EI38" s="768">
        <v>0</v>
      </c>
      <c r="EJ38" s="768">
        <v>0</v>
      </c>
      <c r="EK38" s="768">
        <v>0</v>
      </c>
      <c r="EL38" s="769">
        <f t="shared" si="89"/>
        <v>0</v>
      </c>
      <c r="EM38" s="21"/>
      <c r="EN38"/>
      <c r="EO38"/>
      <c r="EP38"/>
      <c r="EQ38"/>
      <c r="ER38"/>
      <c r="ES38" s="23"/>
      <c r="ET38"/>
      <c r="EU38" s="23"/>
      <c r="EV38" s="23"/>
      <c r="EW38" s="23"/>
      <c r="EX38" s="24"/>
      <c r="EY38" s="24"/>
      <c r="EZ38" s="24"/>
      <c r="FA38" s="24"/>
      <c r="FB38" s="24"/>
      <c r="FC38" s="24"/>
      <c r="FD38" s="24"/>
      <c r="FE38" s="24"/>
      <c r="FF38" s="24"/>
      <c r="FG38" s="24"/>
      <c r="FH38" s="24"/>
      <c r="FI38" s="24"/>
      <c r="FJ38" s="24"/>
      <c r="FK38" s="24"/>
      <c r="FL38" s="24"/>
      <c r="FM38" s="24"/>
      <c r="FN38" s="24"/>
      <c r="FO38" s="24"/>
      <c r="FP38" s="24"/>
      <c r="FQ38" s="24"/>
      <c r="FR38" s="24"/>
      <c r="FS38" s="24"/>
      <c r="FT38" s="24"/>
      <c r="FU38" s="24"/>
      <c r="FV38" s="24"/>
      <c r="FW38" s="24"/>
      <c r="FX38" s="24"/>
      <c r="FY38" s="24"/>
      <c r="FZ38" s="24"/>
      <c r="GA38" s="24"/>
      <c r="GB38" s="24"/>
      <c r="GC38" s="24"/>
      <c r="GD38" s="24"/>
      <c r="GE38" s="24"/>
      <c r="GF38" s="24"/>
      <c r="GG38" s="24"/>
      <c r="GH38" s="24"/>
      <c r="GI38" s="24"/>
      <c r="GJ38" s="24"/>
      <c r="GK38" s="24"/>
      <c r="GL38" s="24"/>
      <c r="GM38" s="24"/>
      <c r="GN38" s="24"/>
      <c r="GO38" s="24"/>
      <c r="GP38" s="24"/>
      <c r="GQ38" s="24"/>
      <c r="GR38" s="24"/>
      <c r="GS38" s="24"/>
      <c r="GT38" s="24"/>
      <c r="GU38" s="24"/>
      <c r="GV38" s="24"/>
      <c r="GW38" s="24"/>
      <c r="GX38" s="24"/>
      <c r="GY38" s="24"/>
      <c r="GZ38" s="24"/>
      <c r="HA38" s="24"/>
      <c r="HB38" s="24"/>
      <c r="HC38" s="24"/>
      <c r="HD38" s="24"/>
      <c r="HE38" s="24"/>
      <c r="HF38" s="24"/>
      <c r="HG38" s="24"/>
      <c r="HH38" s="24"/>
      <c r="HI38" s="24"/>
      <c r="HJ38" s="24"/>
      <c r="HK38" s="24"/>
      <c r="HL38" s="24"/>
      <c r="HM38" s="24"/>
      <c r="HN38" s="24"/>
      <c r="HO38" s="24"/>
      <c r="HP38" s="24"/>
      <c r="HQ38" s="24"/>
      <c r="HR38" s="24"/>
      <c r="HS38" s="24"/>
      <c r="HT38" s="24"/>
      <c r="HU38" s="24"/>
      <c r="HV38" s="24"/>
      <c r="HW38" s="24"/>
      <c r="HX38" s="24"/>
      <c r="HY38" s="24"/>
      <c r="HZ38" s="24"/>
      <c r="IA38" s="24"/>
      <c r="IB38" s="24"/>
      <c r="IC38" s="24"/>
      <c r="ID38" s="24"/>
      <c r="IE38" s="24"/>
      <c r="IF38" s="24"/>
      <c r="IG38" s="24"/>
      <c r="IH38" s="24"/>
      <c r="II38" s="24"/>
      <c r="IJ38" s="24"/>
      <c r="IK38" s="24"/>
      <c r="IL38" s="24"/>
      <c r="IM38" s="24"/>
      <c r="IN38" s="24"/>
      <c r="IO38" s="24"/>
      <c r="IP38" s="24"/>
      <c r="IQ38" s="24"/>
      <c r="IR38" s="24"/>
      <c r="IS38" s="24"/>
      <c r="IT38" s="24"/>
      <c r="IU38" s="24"/>
      <c r="IV38" s="24"/>
      <c r="IW38" s="24"/>
      <c r="IX38" s="24"/>
      <c r="IY38" s="24"/>
      <c r="IZ38" s="24"/>
      <c r="JA38" s="24"/>
      <c r="JB38" s="24"/>
      <c r="JC38" s="24"/>
      <c r="JD38" s="24"/>
      <c r="JE38" s="24"/>
      <c r="JF38" s="24"/>
      <c r="JG38" s="24"/>
      <c r="JH38" s="24"/>
      <c r="JI38" s="24"/>
      <c r="JJ38" s="24"/>
      <c r="JK38" s="24"/>
    </row>
    <row r="39" spans="1:271" s="18" customFormat="1" ht="12" hidden="1" customHeight="1" outlineLevel="1">
      <c r="A39" s="787"/>
      <c r="B39" s="788" t="s">
        <v>359</v>
      </c>
      <c r="C39" s="789"/>
      <c r="D39" s="768">
        <v>0</v>
      </c>
      <c r="E39" s="768">
        <v>0</v>
      </c>
      <c r="F39" s="768">
        <v>0</v>
      </c>
      <c r="G39" s="768">
        <v>0</v>
      </c>
      <c r="H39" s="769">
        <f t="shared" si="63"/>
        <v>0</v>
      </c>
      <c r="I39" s="768">
        <v>0</v>
      </c>
      <c r="J39" s="768">
        <v>0</v>
      </c>
      <c r="K39" s="768">
        <v>0</v>
      </c>
      <c r="L39" s="768">
        <v>0</v>
      </c>
      <c r="M39" s="769">
        <f t="shared" si="64"/>
        <v>0</v>
      </c>
      <c r="N39" s="768">
        <v>0</v>
      </c>
      <c r="O39" s="768">
        <v>0</v>
      </c>
      <c r="P39" s="768">
        <v>0</v>
      </c>
      <c r="Q39" s="768">
        <v>0</v>
      </c>
      <c r="R39" s="769">
        <f t="shared" si="65"/>
        <v>0</v>
      </c>
      <c r="S39" s="768">
        <v>0</v>
      </c>
      <c r="T39" s="768">
        <v>0</v>
      </c>
      <c r="U39" s="768">
        <v>0</v>
      </c>
      <c r="V39" s="768">
        <v>0</v>
      </c>
      <c r="W39" s="769">
        <f t="shared" si="66"/>
        <v>0</v>
      </c>
      <c r="X39" s="768">
        <v>0</v>
      </c>
      <c r="Y39" s="768">
        <v>0</v>
      </c>
      <c r="Z39" s="768">
        <v>0</v>
      </c>
      <c r="AA39" s="768">
        <v>0</v>
      </c>
      <c r="AB39" s="769">
        <f t="shared" si="67"/>
        <v>0</v>
      </c>
      <c r="AC39" s="768">
        <v>0</v>
      </c>
      <c r="AD39" s="768">
        <v>0</v>
      </c>
      <c r="AE39" s="768">
        <v>0</v>
      </c>
      <c r="AF39" s="768">
        <v>0</v>
      </c>
      <c r="AG39" s="769">
        <f t="shared" si="68"/>
        <v>0</v>
      </c>
      <c r="AH39" s="768">
        <v>0</v>
      </c>
      <c r="AI39" s="768">
        <v>0</v>
      </c>
      <c r="AJ39" s="768">
        <v>0</v>
      </c>
      <c r="AK39" s="768">
        <v>0</v>
      </c>
      <c r="AL39" s="769">
        <f t="shared" si="69"/>
        <v>0</v>
      </c>
      <c r="AM39" s="768">
        <v>0</v>
      </c>
      <c r="AN39" s="768">
        <v>0</v>
      </c>
      <c r="AO39" s="768">
        <v>0</v>
      </c>
      <c r="AP39" s="768">
        <v>0</v>
      </c>
      <c r="AQ39" s="769">
        <f t="shared" si="70"/>
        <v>0</v>
      </c>
      <c r="AR39" s="768">
        <v>0</v>
      </c>
      <c r="AS39" s="768">
        <v>0</v>
      </c>
      <c r="AT39" s="768">
        <v>0</v>
      </c>
      <c r="AU39" s="768"/>
      <c r="AV39" s="769">
        <v>0</v>
      </c>
      <c r="AW39" s="768">
        <v>0</v>
      </c>
      <c r="AX39" s="768">
        <v>0</v>
      </c>
      <c r="AY39" s="768">
        <v>0</v>
      </c>
      <c r="AZ39" s="768">
        <f t="shared" si="71"/>
        <v>0</v>
      </c>
      <c r="BA39" s="768">
        <v>0</v>
      </c>
      <c r="BB39" s="768">
        <v>0</v>
      </c>
      <c r="BC39" s="768">
        <v>0</v>
      </c>
      <c r="BD39" s="768">
        <v>0</v>
      </c>
      <c r="BE39" s="769">
        <f t="shared" si="72"/>
        <v>0</v>
      </c>
      <c r="BF39" s="768">
        <v>0</v>
      </c>
      <c r="BG39" s="768">
        <v>0</v>
      </c>
      <c r="BH39" s="768">
        <v>0</v>
      </c>
      <c r="BI39" s="768">
        <v>-395</v>
      </c>
      <c r="BJ39" s="769">
        <f t="shared" si="73"/>
        <v>-395</v>
      </c>
      <c r="BK39" s="768">
        <v>0</v>
      </c>
      <c r="BL39" s="768">
        <v>0</v>
      </c>
      <c r="BM39" s="768">
        <v>0</v>
      </c>
      <c r="BN39" s="768">
        <v>0</v>
      </c>
      <c r="BO39" s="769">
        <f t="shared" si="74"/>
        <v>0</v>
      </c>
      <c r="BP39" s="768">
        <v>45</v>
      </c>
      <c r="BQ39" s="768">
        <f>194</f>
        <v>194</v>
      </c>
      <c r="BR39" s="768">
        <v>-6</v>
      </c>
      <c r="BS39" s="768">
        <v>-1</v>
      </c>
      <c r="BT39" s="769">
        <f t="shared" si="75"/>
        <v>232</v>
      </c>
      <c r="BU39" s="768">
        <v>0</v>
      </c>
      <c r="BV39" s="768">
        <v>0</v>
      </c>
      <c r="BW39" s="768">
        <v>0</v>
      </c>
      <c r="BX39" s="768">
        <v>0</v>
      </c>
      <c r="BY39" s="769">
        <f t="shared" si="76"/>
        <v>0</v>
      </c>
      <c r="BZ39" s="768">
        <v>0</v>
      </c>
      <c r="CA39" s="768">
        <v>0</v>
      </c>
      <c r="CB39" s="768">
        <v>0</v>
      </c>
      <c r="CC39" s="768">
        <v>0</v>
      </c>
      <c r="CD39" s="769">
        <f t="shared" si="77"/>
        <v>0</v>
      </c>
      <c r="CE39" s="768">
        <v>0</v>
      </c>
      <c r="CF39" s="768">
        <v>0</v>
      </c>
      <c r="CG39" s="768">
        <v>0</v>
      </c>
      <c r="CH39" s="768">
        <v>0</v>
      </c>
      <c r="CI39" s="769">
        <f t="shared" si="78"/>
        <v>0</v>
      </c>
      <c r="CJ39" s="768">
        <v>0</v>
      </c>
      <c r="CK39" s="768">
        <v>0</v>
      </c>
      <c r="CL39" s="768">
        <v>0</v>
      </c>
      <c r="CM39" s="768">
        <v>0</v>
      </c>
      <c r="CN39" s="769">
        <f t="shared" si="79"/>
        <v>0</v>
      </c>
      <c r="CO39" s="768">
        <v>0</v>
      </c>
      <c r="CP39" s="768">
        <v>0</v>
      </c>
      <c r="CQ39" s="768">
        <v>0</v>
      </c>
      <c r="CR39" s="768">
        <v>0</v>
      </c>
      <c r="CS39" s="769">
        <f t="shared" si="80"/>
        <v>0</v>
      </c>
      <c r="CT39" s="768">
        <v>0</v>
      </c>
      <c r="CU39" s="768">
        <v>0</v>
      </c>
      <c r="CV39" s="768">
        <v>0</v>
      </c>
      <c r="CW39" s="768">
        <v>0</v>
      </c>
      <c r="CX39" s="769">
        <f t="shared" si="81"/>
        <v>0</v>
      </c>
      <c r="CY39" s="768">
        <v>0</v>
      </c>
      <c r="CZ39" s="768">
        <v>0</v>
      </c>
      <c r="DA39" s="768">
        <v>0</v>
      </c>
      <c r="DB39" s="768">
        <v>0</v>
      </c>
      <c r="DC39" s="769">
        <f t="shared" si="82"/>
        <v>0</v>
      </c>
      <c r="DD39" s="768">
        <v>0</v>
      </c>
      <c r="DE39" s="768">
        <v>0</v>
      </c>
      <c r="DF39" s="768">
        <v>0</v>
      </c>
      <c r="DG39" s="768">
        <v>0</v>
      </c>
      <c r="DH39" s="769">
        <f t="shared" si="83"/>
        <v>0</v>
      </c>
      <c r="DI39" s="768">
        <v>0</v>
      </c>
      <c r="DJ39" s="768">
        <v>0</v>
      </c>
      <c r="DK39" s="768">
        <v>0</v>
      </c>
      <c r="DL39" s="768">
        <v>0</v>
      </c>
      <c r="DM39" s="769">
        <f t="shared" si="84"/>
        <v>0</v>
      </c>
      <c r="DN39" s="768">
        <v>0</v>
      </c>
      <c r="DO39" s="768">
        <v>0</v>
      </c>
      <c r="DP39" s="768">
        <v>0</v>
      </c>
      <c r="DQ39" s="768">
        <v>0</v>
      </c>
      <c r="DR39" s="769">
        <f t="shared" si="85"/>
        <v>0</v>
      </c>
      <c r="DS39" s="768">
        <v>0</v>
      </c>
      <c r="DT39" s="768">
        <v>0</v>
      </c>
      <c r="DU39" s="768">
        <v>0</v>
      </c>
      <c r="DV39" s="768">
        <v>0</v>
      </c>
      <c r="DW39" s="769">
        <f t="shared" si="86"/>
        <v>0</v>
      </c>
      <c r="DX39" s="768">
        <v>0</v>
      </c>
      <c r="DY39" s="768">
        <v>0</v>
      </c>
      <c r="DZ39" s="768">
        <v>0</v>
      </c>
      <c r="EA39" s="768">
        <v>0</v>
      </c>
      <c r="EB39" s="769">
        <f t="shared" si="87"/>
        <v>0</v>
      </c>
      <c r="EC39" s="768">
        <v>0</v>
      </c>
      <c r="ED39" s="768">
        <v>0</v>
      </c>
      <c r="EE39" s="768">
        <v>0</v>
      </c>
      <c r="EF39" s="768">
        <v>0</v>
      </c>
      <c r="EG39" s="769">
        <f t="shared" si="88"/>
        <v>0</v>
      </c>
      <c r="EH39" s="768">
        <v>0</v>
      </c>
      <c r="EI39" s="768">
        <v>0</v>
      </c>
      <c r="EJ39" s="768">
        <v>0</v>
      </c>
      <c r="EK39" s="768">
        <v>0</v>
      </c>
      <c r="EL39" s="769">
        <f t="shared" si="89"/>
        <v>0</v>
      </c>
      <c r="EM39" s="21"/>
      <c r="EN39"/>
      <c r="EO39"/>
      <c r="EP39"/>
      <c r="EQ39"/>
      <c r="ER39"/>
      <c r="ES39" s="23"/>
      <c r="ET39"/>
      <c r="EU39" s="23"/>
      <c r="EV39" s="23"/>
      <c r="EW39" s="23"/>
      <c r="EX39" s="24"/>
      <c r="EY39" s="24"/>
      <c r="EZ39" s="24"/>
      <c r="FA39" s="24"/>
      <c r="FB39" s="24"/>
      <c r="FC39" s="24"/>
      <c r="FD39" s="24"/>
      <c r="FE39" s="24"/>
      <c r="FF39" s="24"/>
      <c r="FG39" s="24"/>
      <c r="FH39" s="24"/>
      <c r="FI39" s="24"/>
      <c r="FJ39" s="24"/>
      <c r="FK39" s="24"/>
      <c r="FL39" s="24"/>
      <c r="FM39" s="24"/>
      <c r="FN39" s="24"/>
      <c r="FO39" s="24"/>
      <c r="FP39" s="24"/>
      <c r="FQ39" s="24"/>
      <c r="FR39" s="24"/>
      <c r="FS39" s="24"/>
      <c r="FT39" s="24"/>
      <c r="FU39" s="24"/>
      <c r="FV39" s="24"/>
      <c r="FW39" s="24"/>
      <c r="FX39" s="24"/>
      <c r="FY39" s="24"/>
      <c r="FZ39" s="24"/>
      <c r="GA39" s="24"/>
      <c r="GB39" s="24"/>
      <c r="GC39" s="24"/>
      <c r="GD39" s="24"/>
      <c r="GE39" s="24"/>
      <c r="GF39" s="24"/>
      <c r="GG39" s="24"/>
      <c r="GH39" s="24"/>
      <c r="GI39" s="24"/>
      <c r="GJ39" s="24"/>
      <c r="GK39" s="24"/>
      <c r="GL39" s="24"/>
      <c r="GM39" s="24"/>
      <c r="GN39" s="24"/>
      <c r="GO39" s="24"/>
      <c r="GP39" s="24"/>
      <c r="GQ39" s="24"/>
      <c r="GR39" s="24"/>
      <c r="GS39" s="24"/>
      <c r="GT39" s="24"/>
      <c r="GU39" s="24"/>
      <c r="GV39" s="24"/>
      <c r="GW39" s="24"/>
      <c r="GX39" s="24"/>
      <c r="GY39" s="24"/>
      <c r="GZ39" s="24"/>
      <c r="HA39" s="24"/>
      <c r="HB39" s="24"/>
      <c r="HC39" s="24"/>
      <c r="HD39" s="24"/>
      <c r="HE39" s="24"/>
      <c r="HF39" s="24"/>
      <c r="HG39" s="24"/>
      <c r="HH39" s="24"/>
      <c r="HI39" s="24"/>
      <c r="HJ39" s="24"/>
      <c r="HK39" s="24"/>
      <c r="HL39" s="24"/>
      <c r="HM39" s="24"/>
      <c r="HN39" s="24"/>
      <c r="HO39" s="24"/>
      <c r="HP39" s="24"/>
      <c r="HQ39" s="24"/>
      <c r="HR39" s="24"/>
      <c r="HS39" s="24"/>
      <c r="HT39" s="24"/>
      <c r="HU39" s="24"/>
      <c r="HV39" s="24"/>
      <c r="HW39" s="24"/>
      <c r="HX39" s="24"/>
      <c r="HY39" s="24"/>
      <c r="HZ39" s="24"/>
      <c r="IA39" s="24"/>
      <c r="IB39" s="24"/>
      <c r="IC39" s="24"/>
      <c r="ID39" s="24"/>
      <c r="IE39" s="24"/>
      <c r="IF39" s="24"/>
      <c r="IG39" s="24"/>
      <c r="IH39" s="24"/>
      <c r="II39" s="24"/>
      <c r="IJ39" s="24"/>
      <c r="IK39" s="24"/>
      <c r="IL39" s="24"/>
      <c r="IM39" s="24"/>
      <c r="IN39" s="24"/>
      <c r="IO39" s="24"/>
      <c r="IP39" s="24"/>
      <c r="IQ39" s="24"/>
      <c r="IR39" s="24"/>
      <c r="IS39" s="24"/>
      <c r="IT39" s="24"/>
      <c r="IU39" s="24"/>
      <c r="IV39" s="24"/>
      <c r="IW39" s="24"/>
      <c r="IX39" s="24"/>
      <c r="IY39" s="24"/>
      <c r="IZ39" s="24"/>
      <c r="JA39" s="24"/>
      <c r="JB39" s="24"/>
      <c r="JC39" s="24"/>
      <c r="JD39" s="24"/>
      <c r="JE39" s="24"/>
      <c r="JF39" s="24"/>
      <c r="JG39" s="24"/>
      <c r="JH39" s="24"/>
      <c r="JI39" s="24"/>
      <c r="JJ39" s="24"/>
      <c r="JK39" s="24"/>
    </row>
    <row r="40" spans="1:271" s="18" customFormat="1" ht="12" hidden="1" customHeight="1" outlineLevel="1">
      <c r="A40" s="787"/>
      <c r="B40" s="788" t="s">
        <v>342</v>
      </c>
      <c r="C40" s="789"/>
      <c r="D40" s="768">
        <v>0</v>
      </c>
      <c r="E40" s="768">
        <v>0</v>
      </c>
      <c r="F40" s="768">
        <v>0</v>
      </c>
      <c r="G40" s="768">
        <v>0</v>
      </c>
      <c r="H40" s="769">
        <f t="shared" si="63"/>
        <v>0</v>
      </c>
      <c r="I40" s="768">
        <v>0</v>
      </c>
      <c r="J40" s="768">
        <v>0</v>
      </c>
      <c r="K40" s="768">
        <v>0</v>
      </c>
      <c r="L40" s="768">
        <v>0</v>
      </c>
      <c r="M40" s="769">
        <f t="shared" si="64"/>
        <v>0</v>
      </c>
      <c r="N40" s="768">
        <v>0</v>
      </c>
      <c r="O40" s="768">
        <v>0</v>
      </c>
      <c r="P40" s="768">
        <v>0</v>
      </c>
      <c r="Q40" s="768">
        <v>0</v>
      </c>
      <c r="R40" s="769">
        <f t="shared" si="65"/>
        <v>0</v>
      </c>
      <c r="S40" s="768">
        <v>0</v>
      </c>
      <c r="T40" s="768">
        <v>0</v>
      </c>
      <c r="U40" s="768">
        <v>0</v>
      </c>
      <c r="V40" s="768">
        <v>0</v>
      </c>
      <c r="W40" s="769">
        <f t="shared" si="66"/>
        <v>0</v>
      </c>
      <c r="X40" s="768">
        <v>0</v>
      </c>
      <c r="Y40" s="768">
        <v>0</v>
      </c>
      <c r="Z40" s="768">
        <v>0</v>
      </c>
      <c r="AA40" s="768">
        <v>0</v>
      </c>
      <c r="AB40" s="769">
        <f t="shared" si="67"/>
        <v>0</v>
      </c>
      <c r="AC40" s="768">
        <v>0</v>
      </c>
      <c r="AD40" s="768">
        <v>0</v>
      </c>
      <c r="AE40" s="768">
        <v>0</v>
      </c>
      <c r="AF40" s="768">
        <v>0</v>
      </c>
      <c r="AG40" s="769">
        <f t="shared" si="68"/>
        <v>0</v>
      </c>
      <c r="AH40" s="768">
        <v>0</v>
      </c>
      <c r="AI40" s="768">
        <v>0</v>
      </c>
      <c r="AJ40" s="768">
        <v>0</v>
      </c>
      <c r="AK40" s="768">
        <v>0</v>
      </c>
      <c r="AL40" s="769">
        <f t="shared" si="69"/>
        <v>0</v>
      </c>
      <c r="AM40" s="768">
        <v>0</v>
      </c>
      <c r="AN40" s="768">
        <v>0</v>
      </c>
      <c r="AO40" s="768">
        <v>0</v>
      </c>
      <c r="AP40" s="768">
        <v>0</v>
      </c>
      <c r="AQ40" s="769">
        <f t="shared" si="70"/>
        <v>0</v>
      </c>
      <c r="AR40" s="768">
        <v>0</v>
      </c>
      <c r="AS40" s="768">
        <v>0</v>
      </c>
      <c r="AT40" s="768">
        <v>0</v>
      </c>
      <c r="AU40" s="768"/>
      <c r="AV40" s="769">
        <v>0</v>
      </c>
      <c r="AW40" s="768">
        <v>0</v>
      </c>
      <c r="AX40" s="768">
        <v>0</v>
      </c>
      <c r="AY40" s="768">
        <v>0</v>
      </c>
      <c r="AZ40" s="768">
        <f t="shared" si="71"/>
        <v>0</v>
      </c>
      <c r="BA40" s="768">
        <v>0</v>
      </c>
      <c r="BB40" s="768">
        <v>0</v>
      </c>
      <c r="BC40" s="768">
        <v>0</v>
      </c>
      <c r="BD40" s="768">
        <v>0</v>
      </c>
      <c r="BE40" s="769">
        <f t="shared" si="72"/>
        <v>0</v>
      </c>
      <c r="BF40" s="768">
        <v>0</v>
      </c>
      <c r="BG40" s="768">
        <v>0</v>
      </c>
      <c r="BH40" s="768">
        <v>0</v>
      </c>
      <c r="BI40" s="768">
        <v>0</v>
      </c>
      <c r="BJ40" s="769">
        <f t="shared" si="73"/>
        <v>0</v>
      </c>
      <c r="BK40" s="768">
        <v>0</v>
      </c>
      <c r="BL40" s="768">
        <v>0</v>
      </c>
      <c r="BM40" s="768">
        <v>0</v>
      </c>
      <c r="BN40" s="768">
        <v>0</v>
      </c>
      <c r="BO40" s="769">
        <f t="shared" si="74"/>
        <v>0</v>
      </c>
      <c r="BP40" s="768"/>
      <c r="BQ40" s="768">
        <v>-21</v>
      </c>
      <c r="BR40" s="768">
        <v>0</v>
      </c>
      <c r="BS40" s="768">
        <v>11</v>
      </c>
      <c r="BT40" s="769">
        <f t="shared" si="75"/>
        <v>-10</v>
      </c>
      <c r="BU40" s="768">
        <v>0</v>
      </c>
      <c r="BV40" s="768">
        <v>0</v>
      </c>
      <c r="BW40" s="768">
        <v>0</v>
      </c>
      <c r="BX40" s="768">
        <v>0</v>
      </c>
      <c r="BY40" s="769">
        <f t="shared" si="76"/>
        <v>0</v>
      </c>
      <c r="BZ40" s="768">
        <v>0</v>
      </c>
      <c r="CA40" s="768">
        <v>0</v>
      </c>
      <c r="CB40" s="768">
        <v>39</v>
      </c>
      <c r="CC40" s="768">
        <v>0</v>
      </c>
      <c r="CD40" s="769">
        <f t="shared" si="77"/>
        <v>39</v>
      </c>
      <c r="CE40" s="768">
        <v>0</v>
      </c>
      <c r="CF40" s="768">
        <v>0</v>
      </c>
      <c r="CG40" s="768">
        <v>0</v>
      </c>
      <c r="CH40" s="768">
        <v>0</v>
      </c>
      <c r="CI40" s="769">
        <f t="shared" si="78"/>
        <v>0</v>
      </c>
      <c r="CJ40" s="768">
        <v>0</v>
      </c>
      <c r="CK40" s="768">
        <v>0</v>
      </c>
      <c r="CL40" s="768">
        <v>0</v>
      </c>
      <c r="CM40" s="768">
        <v>0</v>
      </c>
      <c r="CN40" s="769">
        <f t="shared" si="79"/>
        <v>0</v>
      </c>
      <c r="CO40" s="768">
        <v>0</v>
      </c>
      <c r="CP40" s="768">
        <v>0</v>
      </c>
      <c r="CQ40" s="768">
        <v>0</v>
      </c>
      <c r="CR40" s="768">
        <v>-17</v>
      </c>
      <c r="CS40" s="769">
        <f t="shared" si="80"/>
        <v>-17</v>
      </c>
      <c r="CT40" s="768">
        <v>0</v>
      </c>
      <c r="CU40" s="768">
        <v>0</v>
      </c>
      <c r="CV40" s="768">
        <v>0</v>
      </c>
      <c r="CW40" s="768">
        <v>0</v>
      </c>
      <c r="CX40" s="769">
        <f t="shared" si="81"/>
        <v>0</v>
      </c>
      <c r="CY40" s="768">
        <v>0</v>
      </c>
      <c r="CZ40" s="768">
        <v>0</v>
      </c>
      <c r="DA40" s="768">
        <v>-2</v>
      </c>
      <c r="DB40" s="768">
        <v>0</v>
      </c>
      <c r="DC40" s="769">
        <f t="shared" si="82"/>
        <v>-2</v>
      </c>
      <c r="DD40" s="768">
        <v>0</v>
      </c>
      <c r="DE40" s="768">
        <v>0</v>
      </c>
      <c r="DF40" s="768">
        <v>0</v>
      </c>
      <c r="DG40" s="768">
        <v>0</v>
      </c>
      <c r="DH40" s="769">
        <f t="shared" si="83"/>
        <v>0</v>
      </c>
      <c r="DI40" s="768">
        <v>3</v>
      </c>
      <c r="DJ40" s="768">
        <v>0</v>
      </c>
      <c r="DK40" s="768">
        <v>0</v>
      </c>
      <c r="DL40" s="768">
        <v>5</v>
      </c>
      <c r="DM40" s="769">
        <f t="shared" si="84"/>
        <v>8</v>
      </c>
      <c r="DN40" s="768">
        <v>0</v>
      </c>
      <c r="DO40" s="768">
        <v>0</v>
      </c>
      <c r="DP40" s="768">
        <v>0</v>
      </c>
      <c r="DQ40" s="768">
        <v>0</v>
      </c>
      <c r="DR40" s="769">
        <f t="shared" si="85"/>
        <v>0</v>
      </c>
      <c r="DS40" s="768">
        <v>0</v>
      </c>
      <c r="DT40" s="768">
        <v>0</v>
      </c>
      <c r="DU40" s="768">
        <v>0</v>
      </c>
      <c r="DV40" s="768">
        <v>0</v>
      </c>
      <c r="DW40" s="769">
        <f t="shared" si="86"/>
        <v>0</v>
      </c>
      <c r="DX40" s="768">
        <v>0</v>
      </c>
      <c r="DY40" s="768">
        <v>0</v>
      </c>
      <c r="DZ40" s="768">
        <v>0</v>
      </c>
      <c r="EA40" s="768">
        <v>0</v>
      </c>
      <c r="EB40" s="769">
        <f t="shared" si="87"/>
        <v>0</v>
      </c>
      <c r="EC40" s="768">
        <v>0</v>
      </c>
      <c r="ED40" s="768">
        <v>0</v>
      </c>
      <c r="EE40" s="768">
        <v>0</v>
      </c>
      <c r="EF40" s="768">
        <v>0</v>
      </c>
      <c r="EG40" s="769">
        <f t="shared" si="88"/>
        <v>0</v>
      </c>
      <c r="EH40" s="768">
        <v>0</v>
      </c>
      <c r="EI40" s="768">
        <v>0</v>
      </c>
      <c r="EJ40" s="768">
        <v>0</v>
      </c>
      <c r="EK40" s="768">
        <v>0</v>
      </c>
      <c r="EL40" s="769">
        <f t="shared" si="89"/>
        <v>0</v>
      </c>
      <c r="EM40" s="21"/>
      <c r="EN40"/>
      <c r="EO40"/>
      <c r="EP40"/>
      <c r="EQ40"/>
      <c r="ER40"/>
      <c r="ES40" s="23"/>
      <c r="ET40"/>
      <c r="EU40" s="23"/>
      <c r="EV40" s="23"/>
      <c r="EW40" s="23"/>
      <c r="EX40" s="24"/>
      <c r="EY40" s="24"/>
      <c r="EZ40" s="24"/>
      <c r="FA40" s="24"/>
      <c r="FB40" s="24"/>
      <c r="FC40" s="24"/>
      <c r="FD40" s="24"/>
      <c r="FE40" s="24"/>
      <c r="FF40" s="24"/>
      <c r="FG40" s="24"/>
      <c r="FH40" s="24"/>
      <c r="FI40" s="24"/>
      <c r="FJ40" s="24"/>
      <c r="FK40" s="24"/>
      <c r="FL40" s="24"/>
      <c r="FM40" s="24"/>
      <c r="FN40" s="24"/>
      <c r="FO40" s="24"/>
      <c r="FP40" s="24"/>
      <c r="FQ40" s="24"/>
      <c r="FR40" s="24"/>
      <c r="FS40" s="24"/>
      <c r="FT40" s="24"/>
      <c r="FU40" s="24"/>
      <c r="FV40" s="24"/>
      <c r="FW40" s="24"/>
      <c r="FX40" s="24"/>
      <c r="FY40" s="24"/>
      <c r="FZ40" s="24"/>
      <c r="GA40" s="24"/>
      <c r="GB40" s="24"/>
      <c r="GC40" s="24"/>
      <c r="GD40" s="24"/>
      <c r="GE40" s="24"/>
      <c r="GF40" s="24"/>
      <c r="GG40" s="24"/>
      <c r="GH40" s="24"/>
      <c r="GI40" s="24"/>
      <c r="GJ40" s="24"/>
      <c r="GK40" s="24"/>
      <c r="GL40" s="24"/>
      <c r="GM40" s="24"/>
      <c r="GN40" s="24"/>
      <c r="GO40" s="24"/>
      <c r="GP40" s="24"/>
      <c r="GQ40" s="24"/>
      <c r="GR40" s="24"/>
      <c r="GS40" s="24"/>
      <c r="GT40" s="24"/>
      <c r="GU40" s="24"/>
      <c r="GV40" s="24"/>
      <c r="GW40" s="24"/>
      <c r="GX40" s="24"/>
      <c r="GY40" s="24"/>
      <c r="GZ40" s="24"/>
      <c r="HA40" s="24"/>
      <c r="HB40" s="24"/>
      <c r="HC40" s="24"/>
      <c r="HD40" s="24"/>
      <c r="HE40" s="24"/>
      <c r="HF40" s="24"/>
      <c r="HG40" s="24"/>
      <c r="HH40" s="24"/>
      <c r="HI40" s="24"/>
      <c r="HJ40" s="24"/>
      <c r="HK40" s="24"/>
      <c r="HL40" s="24"/>
      <c r="HM40" s="24"/>
      <c r="HN40" s="24"/>
      <c r="HO40" s="24"/>
      <c r="HP40" s="24"/>
      <c r="HQ40" s="24"/>
      <c r="HR40" s="24"/>
      <c r="HS40" s="24"/>
      <c r="HT40" s="24"/>
      <c r="HU40" s="24"/>
      <c r="HV40" s="24"/>
      <c r="HW40" s="24"/>
      <c r="HX40" s="24"/>
      <c r="HY40" s="24"/>
      <c r="HZ40" s="24"/>
      <c r="IA40" s="24"/>
      <c r="IB40" s="24"/>
      <c r="IC40" s="24"/>
      <c r="ID40" s="24"/>
      <c r="IE40" s="24"/>
      <c r="IF40" s="24"/>
      <c r="IG40" s="24"/>
      <c r="IH40" s="24"/>
      <c r="II40" s="24"/>
      <c r="IJ40" s="24"/>
      <c r="IK40" s="24"/>
      <c r="IL40" s="24"/>
      <c r="IM40" s="24"/>
      <c r="IN40" s="24"/>
      <c r="IO40" s="24"/>
      <c r="IP40" s="24"/>
      <c r="IQ40" s="24"/>
      <c r="IR40" s="24"/>
      <c r="IS40" s="24"/>
      <c r="IT40" s="24"/>
      <c r="IU40" s="24"/>
      <c r="IV40" s="24"/>
      <c r="IW40" s="24"/>
      <c r="IX40" s="24"/>
      <c r="IY40" s="24"/>
      <c r="IZ40" s="24"/>
      <c r="JA40" s="24"/>
      <c r="JB40" s="24"/>
      <c r="JC40" s="24"/>
      <c r="JD40" s="24"/>
      <c r="JE40" s="24"/>
      <c r="JF40" s="24"/>
      <c r="JG40" s="24"/>
      <c r="JH40" s="24"/>
      <c r="JI40" s="24"/>
      <c r="JJ40" s="24"/>
      <c r="JK40" s="24"/>
    </row>
    <row r="41" spans="1:271" s="18" customFormat="1" ht="12" hidden="1" customHeight="1" outlineLevel="1">
      <c r="A41" s="787"/>
      <c r="B41" s="788" t="s">
        <v>360</v>
      </c>
      <c r="C41" s="789"/>
      <c r="D41" s="768">
        <v>0</v>
      </c>
      <c r="E41" s="768">
        <v>0</v>
      </c>
      <c r="F41" s="768">
        <v>0</v>
      </c>
      <c r="G41" s="768">
        <v>0</v>
      </c>
      <c r="H41" s="769">
        <f t="shared" si="63"/>
        <v>0</v>
      </c>
      <c r="I41" s="768">
        <v>0</v>
      </c>
      <c r="J41" s="768">
        <v>0</v>
      </c>
      <c r="K41" s="768">
        <v>0</v>
      </c>
      <c r="L41" s="768">
        <v>0</v>
      </c>
      <c r="M41" s="769">
        <f t="shared" si="64"/>
        <v>0</v>
      </c>
      <c r="N41" s="768">
        <v>0</v>
      </c>
      <c r="O41" s="768">
        <v>0</v>
      </c>
      <c r="P41" s="768">
        <v>0</v>
      </c>
      <c r="Q41" s="768">
        <v>0</v>
      </c>
      <c r="R41" s="769">
        <f t="shared" si="65"/>
        <v>0</v>
      </c>
      <c r="S41" s="768">
        <v>0</v>
      </c>
      <c r="T41" s="768">
        <v>0</v>
      </c>
      <c r="U41" s="768">
        <v>0</v>
      </c>
      <c r="V41" s="768">
        <v>0</v>
      </c>
      <c r="W41" s="769">
        <f t="shared" si="66"/>
        <v>0</v>
      </c>
      <c r="X41" s="768">
        <v>0</v>
      </c>
      <c r="Y41" s="768">
        <v>0</v>
      </c>
      <c r="Z41" s="768">
        <v>0</v>
      </c>
      <c r="AA41" s="768">
        <v>0</v>
      </c>
      <c r="AB41" s="769">
        <f t="shared" si="67"/>
        <v>0</v>
      </c>
      <c r="AC41" s="768">
        <v>0</v>
      </c>
      <c r="AD41" s="768">
        <v>0</v>
      </c>
      <c r="AE41" s="768">
        <v>0</v>
      </c>
      <c r="AF41" s="768">
        <v>0</v>
      </c>
      <c r="AG41" s="769">
        <f t="shared" si="68"/>
        <v>0</v>
      </c>
      <c r="AH41" s="768">
        <v>0</v>
      </c>
      <c r="AI41" s="768">
        <v>0</v>
      </c>
      <c r="AJ41" s="768">
        <v>0</v>
      </c>
      <c r="AK41" s="768">
        <v>0</v>
      </c>
      <c r="AL41" s="769">
        <f t="shared" si="69"/>
        <v>0</v>
      </c>
      <c r="AM41" s="768">
        <v>0</v>
      </c>
      <c r="AN41" s="768">
        <v>0</v>
      </c>
      <c r="AO41" s="768">
        <v>0</v>
      </c>
      <c r="AP41" s="768">
        <v>0</v>
      </c>
      <c r="AQ41" s="769">
        <f t="shared" si="70"/>
        <v>0</v>
      </c>
      <c r="AR41" s="768">
        <v>0</v>
      </c>
      <c r="AS41" s="768">
        <v>0</v>
      </c>
      <c r="AT41" s="768">
        <v>0</v>
      </c>
      <c r="AU41" s="768"/>
      <c r="AV41" s="769">
        <v>0</v>
      </c>
      <c r="AW41" s="768">
        <v>0</v>
      </c>
      <c r="AX41" s="768">
        <v>0</v>
      </c>
      <c r="AY41" s="768">
        <v>0</v>
      </c>
      <c r="AZ41" s="768">
        <f t="shared" si="71"/>
        <v>0</v>
      </c>
      <c r="BA41" s="768">
        <v>0</v>
      </c>
      <c r="BB41" s="768">
        <v>0</v>
      </c>
      <c r="BC41" s="768">
        <v>0</v>
      </c>
      <c r="BD41" s="768">
        <v>274</v>
      </c>
      <c r="BE41" s="769">
        <f t="shared" si="72"/>
        <v>274</v>
      </c>
      <c r="BF41" s="768">
        <v>-2</v>
      </c>
      <c r="BG41" s="768">
        <v>31</v>
      </c>
      <c r="BH41" s="768">
        <v>4</v>
      </c>
      <c r="BI41" s="768">
        <v>38</v>
      </c>
      <c r="BJ41" s="769">
        <f t="shared" si="73"/>
        <v>71</v>
      </c>
      <c r="BK41" s="768">
        <v>22</v>
      </c>
      <c r="BL41" s="768">
        <v>0</v>
      </c>
      <c r="BM41" s="768">
        <v>-2</v>
      </c>
      <c r="BN41" s="768">
        <v>-1</v>
      </c>
      <c r="BO41" s="769">
        <f t="shared" si="74"/>
        <v>19</v>
      </c>
      <c r="BP41" s="768">
        <v>0</v>
      </c>
      <c r="BQ41" s="768">
        <v>-1</v>
      </c>
      <c r="BR41" s="768">
        <v>3</v>
      </c>
      <c r="BS41" s="768">
        <v>13</v>
      </c>
      <c r="BT41" s="769">
        <f t="shared" si="75"/>
        <v>15</v>
      </c>
      <c r="BU41" s="768">
        <v>-1</v>
      </c>
      <c r="BV41" s="768">
        <v>2</v>
      </c>
      <c r="BW41" s="768">
        <v>-5</v>
      </c>
      <c r="BX41" s="768">
        <v>-4</v>
      </c>
      <c r="BY41" s="769">
        <f t="shared" si="76"/>
        <v>-8</v>
      </c>
      <c r="BZ41" s="768">
        <v>0</v>
      </c>
      <c r="CA41" s="768">
        <v>8</v>
      </c>
      <c r="CB41" s="768">
        <v>-3</v>
      </c>
      <c r="CC41" s="768">
        <v>1</v>
      </c>
      <c r="CD41" s="769">
        <f t="shared" si="77"/>
        <v>6</v>
      </c>
      <c r="CE41" s="768">
        <v>-2</v>
      </c>
      <c r="CF41" s="768">
        <v>0</v>
      </c>
      <c r="CG41" s="768">
        <v>0</v>
      </c>
      <c r="CH41" s="768">
        <v>1</v>
      </c>
      <c r="CI41" s="769">
        <f t="shared" si="78"/>
        <v>-1</v>
      </c>
      <c r="CJ41" s="768">
        <v>0</v>
      </c>
      <c r="CK41" s="768">
        <v>0</v>
      </c>
      <c r="CL41" s="768">
        <v>0</v>
      </c>
      <c r="CM41" s="768">
        <v>0</v>
      </c>
      <c r="CN41" s="769">
        <f t="shared" si="79"/>
        <v>0</v>
      </c>
      <c r="CO41" s="768">
        <v>0</v>
      </c>
      <c r="CP41" s="768">
        <v>0</v>
      </c>
      <c r="CQ41" s="768">
        <v>0</v>
      </c>
      <c r="CR41" s="768">
        <v>0</v>
      </c>
      <c r="CS41" s="769">
        <f t="shared" si="80"/>
        <v>0</v>
      </c>
      <c r="CT41" s="768">
        <v>0</v>
      </c>
      <c r="CU41" s="768">
        <v>2</v>
      </c>
      <c r="CV41" s="768">
        <v>-1</v>
      </c>
      <c r="CW41" s="768">
        <v>0</v>
      </c>
      <c r="CX41" s="769">
        <f t="shared" si="81"/>
        <v>1</v>
      </c>
      <c r="CY41" s="768">
        <v>0</v>
      </c>
      <c r="CZ41" s="768">
        <v>0</v>
      </c>
      <c r="DA41" s="768">
        <v>0</v>
      </c>
      <c r="DB41" s="768">
        <v>0</v>
      </c>
      <c r="DC41" s="769">
        <f t="shared" si="82"/>
        <v>0</v>
      </c>
      <c r="DD41" s="768">
        <v>0</v>
      </c>
      <c r="DE41" s="768">
        <v>0</v>
      </c>
      <c r="DF41" s="768">
        <v>0</v>
      </c>
      <c r="DG41" s="768">
        <v>0</v>
      </c>
      <c r="DH41" s="769">
        <f t="shared" si="83"/>
        <v>0</v>
      </c>
      <c r="DI41" s="768">
        <v>0</v>
      </c>
      <c r="DJ41" s="768">
        <v>0</v>
      </c>
      <c r="DK41" s="768">
        <v>0</v>
      </c>
      <c r="DL41" s="768">
        <v>0</v>
      </c>
      <c r="DM41" s="769">
        <f t="shared" si="84"/>
        <v>0</v>
      </c>
      <c r="DN41" s="768">
        <v>0</v>
      </c>
      <c r="DO41" s="768">
        <v>0</v>
      </c>
      <c r="DP41" s="768">
        <v>0</v>
      </c>
      <c r="DQ41" s="768">
        <v>0</v>
      </c>
      <c r="DR41" s="769">
        <f t="shared" si="85"/>
        <v>0</v>
      </c>
      <c r="DS41" s="768">
        <v>0</v>
      </c>
      <c r="DT41" s="768">
        <v>0</v>
      </c>
      <c r="DU41" s="768">
        <v>0</v>
      </c>
      <c r="DV41" s="768">
        <v>0</v>
      </c>
      <c r="DW41" s="769">
        <f t="shared" si="86"/>
        <v>0</v>
      </c>
      <c r="DX41" s="768">
        <v>0</v>
      </c>
      <c r="DY41" s="768">
        <v>0</v>
      </c>
      <c r="DZ41" s="768">
        <v>0</v>
      </c>
      <c r="EA41" s="768">
        <v>0</v>
      </c>
      <c r="EB41" s="769">
        <f t="shared" si="87"/>
        <v>0</v>
      </c>
      <c r="EC41" s="768">
        <v>0</v>
      </c>
      <c r="ED41" s="768">
        <v>0</v>
      </c>
      <c r="EE41" s="768">
        <v>0</v>
      </c>
      <c r="EF41" s="768">
        <v>0</v>
      </c>
      <c r="EG41" s="769">
        <f t="shared" si="88"/>
        <v>0</v>
      </c>
      <c r="EH41" s="768">
        <v>0</v>
      </c>
      <c r="EI41" s="768">
        <v>0</v>
      </c>
      <c r="EJ41" s="768">
        <v>0</v>
      </c>
      <c r="EK41" s="768">
        <v>0</v>
      </c>
      <c r="EL41" s="769">
        <f t="shared" si="89"/>
        <v>0</v>
      </c>
      <c r="EM41" s="21"/>
      <c r="EN41"/>
      <c r="EO41"/>
      <c r="EP41"/>
      <c r="EQ41"/>
      <c r="ER41"/>
      <c r="ES41" s="23"/>
      <c r="ET41"/>
      <c r="EU41" s="23"/>
      <c r="EV41" s="23"/>
      <c r="EW41" s="23"/>
      <c r="EX41" s="24"/>
      <c r="EY41" s="24"/>
      <c r="EZ41" s="24"/>
      <c r="FA41" s="24"/>
      <c r="FB41" s="24"/>
      <c r="FC41" s="24"/>
      <c r="FD41" s="24"/>
      <c r="FE41" s="24"/>
      <c r="FF41" s="24"/>
      <c r="FG41" s="24"/>
      <c r="FH41" s="24"/>
      <c r="FI41" s="24"/>
      <c r="FJ41" s="24"/>
      <c r="FK41" s="24"/>
      <c r="FL41" s="24"/>
      <c r="FM41" s="24"/>
      <c r="FN41" s="24"/>
      <c r="FO41" s="24"/>
      <c r="FP41" s="24"/>
      <c r="FQ41" s="24"/>
      <c r="FR41" s="24"/>
      <c r="FS41" s="24"/>
      <c r="FT41" s="24"/>
      <c r="FU41" s="24"/>
      <c r="FV41" s="24"/>
      <c r="FW41" s="24"/>
      <c r="FX41" s="24"/>
      <c r="FY41" s="24"/>
      <c r="FZ41" s="24"/>
      <c r="GA41" s="24"/>
      <c r="GB41" s="24"/>
      <c r="GC41" s="24"/>
      <c r="GD41" s="24"/>
      <c r="GE41" s="24"/>
      <c r="GF41" s="24"/>
      <c r="GG41" s="24"/>
      <c r="GH41" s="24"/>
      <c r="GI41" s="24"/>
      <c r="GJ41" s="24"/>
      <c r="GK41" s="24"/>
      <c r="GL41" s="24"/>
      <c r="GM41" s="24"/>
      <c r="GN41" s="24"/>
      <c r="GO41" s="24"/>
      <c r="GP41" s="24"/>
      <c r="GQ41" s="24"/>
      <c r="GR41" s="24"/>
      <c r="GS41" s="24"/>
      <c r="GT41" s="24"/>
      <c r="GU41" s="24"/>
      <c r="GV41" s="24"/>
      <c r="GW41" s="24"/>
      <c r="GX41" s="24"/>
      <c r="GY41" s="24"/>
      <c r="GZ41" s="24"/>
      <c r="HA41" s="24"/>
      <c r="HB41" s="24"/>
      <c r="HC41" s="24"/>
      <c r="HD41" s="24"/>
      <c r="HE41" s="24"/>
      <c r="HF41" s="24"/>
      <c r="HG41" s="24"/>
      <c r="HH41" s="24"/>
      <c r="HI41" s="24"/>
      <c r="HJ41" s="24"/>
      <c r="HK41" s="24"/>
      <c r="HL41" s="24"/>
      <c r="HM41" s="24"/>
      <c r="HN41" s="24"/>
      <c r="HO41" s="24"/>
      <c r="HP41" s="24"/>
      <c r="HQ41" s="24"/>
      <c r="HR41" s="24"/>
      <c r="HS41" s="24"/>
      <c r="HT41" s="24"/>
      <c r="HU41" s="24"/>
      <c r="HV41" s="24"/>
      <c r="HW41" s="24"/>
      <c r="HX41" s="24"/>
      <c r="HY41" s="24"/>
      <c r="HZ41" s="24"/>
      <c r="IA41" s="24"/>
      <c r="IB41" s="24"/>
      <c r="IC41" s="24"/>
      <c r="ID41" s="24"/>
      <c r="IE41" s="24"/>
      <c r="IF41" s="24"/>
      <c r="IG41" s="24"/>
      <c r="IH41" s="24"/>
      <c r="II41" s="24"/>
      <c r="IJ41" s="24"/>
      <c r="IK41" s="24"/>
      <c r="IL41" s="24"/>
      <c r="IM41" s="24"/>
      <c r="IN41" s="24"/>
      <c r="IO41" s="24"/>
      <c r="IP41" s="24"/>
      <c r="IQ41" s="24"/>
      <c r="IR41" s="24"/>
      <c r="IS41" s="24"/>
      <c r="IT41" s="24"/>
      <c r="IU41" s="24"/>
      <c r="IV41" s="24"/>
      <c r="IW41" s="24"/>
      <c r="IX41" s="24"/>
      <c r="IY41" s="24"/>
      <c r="IZ41" s="24"/>
      <c r="JA41" s="24"/>
      <c r="JB41" s="24"/>
      <c r="JC41" s="24"/>
      <c r="JD41" s="24"/>
      <c r="JE41" s="24"/>
      <c r="JF41" s="24"/>
      <c r="JG41" s="24"/>
      <c r="JH41" s="24"/>
      <c r="JI41" s="24"/>
      <c r="JJ41" s="24"/>
      <c r="JK41" s="24"/>
    </row>
    <row r="42" spans="1:271" s="18" customFormat="1" ht="12" hidden="1" customHeight="1" outlineLevel="1">
      <c r="A42" s="787"/>
      <c r="B42" s="788" t="s">
        <v>361</v>
      </c>
      <c r="C42" s="735"/>
      <c r="D42" s="780">
        <v>0</v>
      </c>
      <c r="E42" s="780">
        <v>0</v>
      </c>
      <c r="F42" s="780">
        <v>0</v>
      </c>
      <c r="G42" s="780">
        <v>0</v>
      </c>
      <c r="H42" s="769">
        <f t="shared" si="63"/>
        <v>0</v>
      </c>
      <c r="I42" s="780">
        <v>0</v>
      </c>
      <c r="J42" s="780">
        <v>0</v>
      </c>
      <c r="K42" s="780">
        <v>0</v>
      </c>
      <c r="L42" s="780">
        <v>0</v>
      </c>
      <c r="M42" s="769">
        <f t="shared" si="64"/>
        <v>0</v>
      </c>
      <c r="N42" s="780">
        <v>0</v>
      </c>
      <c r="O42" s="780">
        <v>0</v>
      </c>
      <c r="P42" s="780">
        <v>0</v>
      </c>
      <c r="Q42" s="780">
        <v>0</v>
      </c>
      <c r="R42" s="769">
        <f t="shared" si="65"/>
        <v>0</v>
      </c>
      <c r="S42" s="780">
        <v>0</v>
      </c>
      <c r="T42" s="780">
        <v>0</v>
      </c>
      <c r="U42" s="780">
        <v>0</v>
      </c>
      <c r="V42" s="780">
        <v>0</v>
      </c>
      <c r="W42" s="769">
        <f t="shared" si="66"/>
        <v>0</v>
      </c>
      <c r="X42" s="780">
        <v>0</v>
      </c>
      <c r="Y42" s="780">
        <v>0</v>
      </c>
      <c r="Z42" s="780">
        <v>0</v>
      </c>
      <c r="AA42" s="780">
        <v>0</v>
      </c>
      <c r="AB42" s="769">
        <f t="shared" si="67"/>
        <v>0</v>
      </c>
      <c r="AC42" s="780">
        <v>0</v>
      </c>
      <c r="AD42" s="780">
        <v>0</v>
      </c>
      <c r="AE42" s="780">
        <v>0</v>
      </c>
      <c r="AF42" s="780">
        <v>0</v>
      </c>
      <c r="AG42" s="769">
        <f t="shared" si="68"/>
        <v>0</v>
      </c>
      <c r="AH42" s="780">
        <v>0</v>
      </c>
      <c r="AI42" s="780">
        <v>0</v>
      </c>
      <c r="AJ42" s="780">
        <v>0</v>
      </c>
      <c r="AK42" s="780">
        <v>0</v>
      </c>
      <c r="AL42" s="769">
        <f t="shared" si="69"/>
        <v>0</v>
      </c>
      <c r="AM42" s="780">
        <v>0</v>
      </c>
      <c r="AN42" s="780">
        <v>0</v>
      </c>
      <c r="AO42" s="780">
        <v>0</v>
      </c>
      <c r="AP42" s="780">
        <v>0</v>
      </c>
      <c r="AQ42" s="769">
        <f t="shared" si="70"/>
        <v>0</v>
      </c>
      <c r="AR42" s="780">
        <v>0</v>
      </c>
      <c r="AS42" s="780">
        <v>0</v>
      </c>
      <c r="AT42" s="780">
        <v>0</v>
      </c>
      <c r="AU42" s="780"/>
      <c r="AV42" s="769">
        <v>-12</v>
      </c>
      <c r="AW42" s="780">
        <v>-10</v>
      </c>
      <c r="AX42" s="780">
        <v>-9</v>
      </c>
      <c r="AY42" s="780">
        <v>18</v>
      </c>
      <c r="AZ42" s="780">
        <f t="shared" si="71"/>
        <v>-13</v>
      </c>
      <c r="BA42" s="780">
        <v>14</v>
      </c>
      <c r="BB42" s="780">
        <v>-73</v>
      </c>
      <c r="BC42" s="780">
        <v>38</v>
      </c>
      <c r="BD42" s="780">
        <v>-116</v>
      </c>
      <c r="BE42" s="769">
        <f t="shared" si="72"/>
        <v>-137</v>
      </c>
      <c r="BF42" s="780">
        <v>46</v>
      </c>
      <c r="BG42" s="780">
        <v>99</v>
      </c>
      <c r="BH42" s="780">
        <v>19</v>
      </c>
      <c r="BI42" s="780">
        <v>14</v>
      </c>
      <c r="BJ42" s="769">
        <f t="shared" si="73"/>
        <v>178</v>
      </c>
      <c r="BK42" s="780">
        <v>0</v>
      </c>
      <c r="BL42" s="780">
        <v>0</v>
      </c>
      <c r="BM42" s="780">
        <v>-1</v>
      </c>
      <c r="BN42" s="780">
        <v>-2</v>
      </c>
      <c r="BO42" s="769">
        <f t="shared" si="74"/>
        <v>-3</v>
      </c>
      <c r="BP42" s="780">
        <v>-2</v>
      </c>
      <c r="BQ42" s="780">
        <v>-1</v>
      </c>
      <c r="BR42" s="780">
        <v>-39</v>
      </c>
      <c r="BS42" s="780">
        <v>30</v>
      </c>
      <c r="BT42" s="769">
        <f t="shared" si="75"/>
        <v>-12</v>
      </c>
      <c r="BU42" s="780">
        <v>13</v>
      </c>
      <c r="BV42" s="780">
        <v>-2</v>
      </c>
      <c r="BW42" s="780">
        <v>-2</v>
      </c>
      <c r="BX42" s="780">
        <v>3</v>
      </c>
      <c r="BY42" s="769">
        <f t="shared" si="76"/>
        <v>12</v>
      </c>
      <c r="BZ42" s="780">
        <v>-2</v>
      </c>
      <c r="CA42" s="780">
        <v>-3</v>
      </c>
      <c r="CB42" s="780">
        <v>4</v>
      </c>
      <c r="CC42" s="780">
        <v>6</v>
      </c>
      <c r="CD42" s="769">
        <f t="shared" si="77"/>
        <v>5</v>
      </c>
      <c r="CE42" s="780">
        <v>-2</v>
      </c>
      <c r="CF42" s="780">
        <v>0</v>
      </c>
      <c r="CG42" s="780">
        <v>-2</v>
      </c>
      <c r="CH42" s="780">
        <v>-4</v>
      </c>
      <c r="CI42" s="769">
        <f t="shared" si="78"/>
        <v>-8</v>
      </c>
      <c r="CJ42" s="780">
        <v>-1</v>
      </c>
      <c r="CK42" s="780">
        <v>-2</v>
      </c>
      <c r="CL42" s="780">
        <v>3</v>
      </c>
      <c r="CM42" s="780">
        <v>7</v>
      </c>
      <c r="CN42" s="769">
        <f t="shared" si="79"/>
        <v>7</v>
      </c>
      <c r="CO42" s="780">
        <v>5</v>
      </c>
      <c r="CP42" s="780">
        <v>19</v>
      </c>
      <c r="CQ42" s="780">
        <v>0</v>
      </c>
      <c r="CR42" s="780">
        <v>8</v>
      </c>
      <c r="CS42" s="769">
        <f t="shared" si="80"/>
        <v>32</v>
      </c>
      <c r="CT42" s="780">
        <v>-1</v>
      </c>
      <c r="CU42" s="780">
        <v>29</v>
      </c>
      <c r="CV42" s="780">
        <v>-4</v>
      </c>
      <c r="CW42" s="780">
        <v>1</v>
      </c>
      <c r="CX42" s="769">
        <f t="shared" si="81"/>
        <v>25</v>
      </c>
      <c r="CY42" s="780">
        <v>1</v>
      </c>
      <c r="CZ42" s="780">
        <v>0</v>
      </c>
      <c r="DA42" s="780">
        <v>5</v>
      </c>
      <c r="DB42" s="780">
        <v>-7</v>
      </c>
      <c r="DC42" s="769">
        <f t="shared" si="82"/>
        <v>-1</v>
      </c>
      <c r="DD42" s="780">
        <v>3</v>
      </c>
      <c r="DE42" s="780">
        <v>9</v>
      </c>
      <c r="DF42" s="780">
        <v>1</v>
      </c>
      <c r="DG42" s="780">
        <v>0</v>
      </c>
      <c r="DH42" s="769">
        <f t="shared" si="83"/>
        <v>13</v>
      </c>
      <c r="DI42" s="780">
        <v>-1</v>
      </c>
      <c r="DJ42" s="780">
        <v>1</v>
      </c>
      <c r="DK42" s="780">
        <v>0</v>
      </c>
      <c r="DL42" s="780">
        <v>-1</v>
      </c>
      <c r="DM42" s="769">
        <f t="shared" si="84"/>
        <v>-1</v>
      </c>
      <c r="DN42" s="780">
        <v>1</v>
      </c>
      <c r="DO42" s="780">
        <v>0</v>
      </c>
      <c r="DP42" s="780">
        <v>-1</v>
      </c>
      <c r="DQ42" s="780">
        <v>0</v>
      </c>
      <c r="DR42" s="769">
        <f t="shared" si="85"/>
        <v>0</v>
      </c>
      <c r="DS42" s="780">
        <v>0</v>
      </c>
      <c r="DT42" s="780">
        <v>-1</v>
      </c>
      <c r="DU42" s="780">
        <v>0</v>
      </c>
      <c r="DV42" s="780">
        <v>0</v>
      </c>
      <c r="DW42" s="769">
        <f t="shared" si="86"/>
        <v>-1</v>
      </c>
      <c r="DX42" s="780">
        <v>0</v>
      </c>
      <c r="DY42" s="780">
        <v>0</v>
      </c>
      <c r="DZ42" s="780">
        <v>0</v>
      </c>
      <c r="EA42" s="780">
        <v>0</v>
      </c>
      <c r="EB42" s="769">
        <f t="shared" si="87"/>
        <v>0</v>
      </c>
      <c r="EC42" s="780">
        <v>0</v>
      </c>
      <c r="ED42" s="780">
        <v>0</v>
      </c>
      <c r="EE42" s="780">
        <v>0</v>
      </c>
      <c r="EF42" s="780">
        <v>0</v>
      </c>
      <c r="EG42" s="769">
        <f t="shared" si="88"/>
        <v>0</v>
      </c>
      <c r="EH42" s="780">
        <v>0</v>
      </c>
      <c r="EI42" s="780">
        <v>0</v>
      </c>
      <c r="EJ42" s="780">
        <v>0</v>
      </c>
      <c r="EK42" s="780">
        <v>0</v>
      </c>
      <c r="EL42" s="769">
        <f t="shared" si="89"/>
        <v>0</v>
      </c>
      <c r="EM42" s="21"/>
      <c r="EN42"/>
      <c r="EO42"/>
      <c r="EP42"/>
      <c r="EQ42"/>
      <c r="ER42"/>
      <c r="ES42" s="23"/>
      <c r="ET42"/>
      <c r="EU42" s="23"/>
      <c r="EV42" s="23"/>
      <c r="EW42" s="23"/>
      <c r="EX42" s="24"/>
      <c r="EY42" s="24"/>
      <c r="EZ42" s="24"/>
      <c r="FA42" s="24"/>
      <c r="FB42" s="24"/>
      <c r="FC42" s="24"/>
      <c r="FD42" s="24"/>
      <c r="FE42" s="24"/>
      <c r="FF42" s="24"/>
      <c r="FG42" s="24"/>
      <c r="FH42" s="24"/>
      <c r="FI42" s="24"/>
      <c r="FJ42" s="24"/>
      <c r="FK42" s="24"/>
      <c r="FL42" s="24"/>
      <c r="FM42" s="24"/>
      <c r="FN42" s="24"/>
      <c r="FO42" s="24"/>
      <c r="FP42" s="24"/>
      <c r="FQ42" s="24"/>
      <c r="FR42" s="24"/>
      <c r="FS42" s="24"/>
      <c r="FT42" s="24"/>
      <c r="FU42" s="24"/>
      <c r="FV42" s="24"/>
      <c r="FW42" s="24"/>
      <c r="FX42" s="24"/>
      <c r="FY42" s="24"/>
      <c r="FZ42" s="24"/>
      <c r="GA42" s="24"/>
      <c r="GB42" s="24"/>
      <c r="GC42" s="24"/>
      <c r="GD42" s="24"/>
      <c r="GE42" s="24"/>
      <c r="GF42" s="24"/>
      <c r="GG42" s="24"/>
      <c r="GH42" s="24"/>
      <c r="GI42" s="24"/>
      <c r="GJ42" s="24"/>
      <c r="GK42" s="24"/>
      <c r="GL42" s="24"/>
      <c r="GM42" s="24"/>
      <c r="GN42" s="24"/>
      <c r="GO42" s="24"/>
      <c r="GP42" s="24"/>
      <c r="GQ42" s="24"/>
      <c r="GR42" s="24"/>
      <c r="GS42" s="24"/>
      <c r="GT42" s="24"/>
      <c r="GU42" s="24"/>
      <c r="GV42" s="24"/>
      <c r="GW42" s="24"/>
      <c r="GX42" s="24"/>
      <c r="GY42" s="24"/>
      <c r="GZ42" s="24"/>
      <c r="HA42" s="24"/>
      <c r="HB42" s="24"/>
      <c r="HC42" s="24"/>
      <c r="HD42" s="24"/>
      <c r="HE42" s="24"/>
      <c r="HF42" s="24"/>
      <c r="HG42" s="24"/>
      <c r="HH42" s="24"/>
      <c r="HI42" s="24"/>
      <c r="HJ42" s="24"/>
      <c r="HK42" s="24"/>
      <c r="HL42" s="24"/>
      <c r="HM42" s="24"/>
      <c r="HN42" s="24"/>
      <c r="HO42" s="24"/>
      <c r="HP42" s="24"/>
      <c r="HQ42" s="24"/>
      <c r="HR42" s="24"/>
      <c r="HS42" s="24"/>
      <c r="HT42" s="24"/>
      <c r="HU42" s="24"/>
      <c r="HV42" s="24"/>
      <c r="HW42" s="24"/>
      <c r="HX42" s="24"/>
      <c r="HY42" s="24"/>
      <c r="HZ42" s="24"/>
      <c r="IA42" s="24"/>
      <c r="IB42" s="24"/>
      <c r="IC42" s="24"/>
      <c r="ID42" s="24"/>
      <c r="IE42" s="24"/>
      <c r="IF42" s="24"/>
      <c r="IG42" s="24"/>
      <c r="IH42" s="24"/>
      <c r="II42" s="24"/>
      <c r="IJ42" s="24"/>
      <c r="IK42" s="24"/>
      <c r="IL42" s="24"/>
      <c r="IM42" s="24"/>
      <c r="IN42" s="24"/>
      <c r="IO42" s="24"/>
      <c r="IP42" s="24"/>
      <c r="IQ42" s="24"/>
      <c r="IR42" s="24"/>
      <c r="IS42" s="24"/>
      <c r="IT42" s="24"/>
      <c r="IU42" s="24"/>
      <c r="IV42" s="24"/>
      <c r="IW42" s="24"/>
      <c r="IX42" s="24"/>
      <c r="IY42" s="24"/>
      <c r="IZ42" s="24"/>
      <c r="JA42" s="24"/>
      <c r="JB42" s="24"/>
      <c r="JC42" s="24"/>
      <c r="JD42" s="24"/>
      <c r="JE42" s="24"/>
      <c r="JF42" s="24"/>
      <c r="JG42" s="24"/>
      <c r="JH42" s="24"/>
      <c r="JI42" s="24"/>
      <c r="JJ42" s="24"/>
      <c r="JK42" s="24"/>
    </row>
    <row r="43" spans="1:271" s="18" customFormat="1" ht="12" hidden="1" customHeight="1" outlineLevel="1">
      <c r="A43" s="787"/>
      <c r="B43" s="788" t="s">
        <v>362</v>
      </c>
      <c r="C43" s="161"/>
      <c r="D43" s="781">
        <f>SUM(D37:D42)</f>
        <v>0</v>
      </c>
      <c r="E43" s="781">
        <f>SUM(E37:E42)</f>
        <v>0</v>
      </c>
      <c r="F43" s="781">
        <f>SUM(F37:F42)</f>
        <v>0</v>
      </c>
      <c r="G43" s="781">
        <f>-9-SUM(D43:F43)</f>
        <v>-9</v>
      </c>
      <c r="H43" s="769">
        <f t="shared" si="63"/>
        <v>-9</v>
      </c>
      <c r="I43" s="781">
        <f>SUM(I37:I42)</f>
        <v>0</v>
      </c>
      <c r="J43" s="781">
        <f>SUM(J37:J42)</f>
        <v>0</v>
      </c>
      <c r="K43" s="781">
        <f>SUM(K37:K42)</f>
        <v>0</v>
      </c>
      <c r="L43" s="781">
        <f>-25-SUM(I43:K43)</f>
        <v>-25</v>
      </c>
      <c r="M43" s="769">
        <f t="shared" si="64"/>
        <v>-25</v>
      </c>
      <c r="N43" s="781">
        <f>SUM(N37:N42)</f>
        <v>0</v>
      </c>
      <c r="O43" s="781">
        <f>SUM(O37:O42)</f>
        <v>0</v>
      </c>
      <c r="P43" s="781">
        <f>SUM(P37:P42)</f>
        <v>0</v>
      </c>
      <c r="Q43" s="781">
        <f>-134-SUM(N43:P43)</f>
        <v>-134</v>
      </c>
      <c r="R43" s="769">
        <f t="shared" si="65"/>
        <v>-134</v>
      </c>
      <c r="S43" s="781">
        <f t="shared" ref="S43:AE43" si="90">SUM(S37:S42)</f>
        <v>0</v>
      </c>
      <c r="T43" s="781">
        <f t="shared" si="90"/>
        <v>0</v>
      </c>
      <c r="U43" s="781">
        <f t="shared" si="90"/>
        <v>0</v>
      </c>
      <c r="V43" s="781">
        <f t="shared" si="90"/>
        <v>0</v>
      </c>
      <c r="W43" s="769">
        <f t="shared" si="90"/>
        <v>0</v>
      </c>
      <c r="X43" s="781">
        <f t="shared" si="90"/>
        <v>0</v>
      </c>
      <c r="Y43" s="781">
        <f t="shared" si="90"/>
        <v>0</v>
      </c>
      <c r="Z43" s="781">
        <f t="shared" si="90"/>
        <v>0</v>
      </c>
      <c r="AA43" s="781">
        <f t="shared" si="90"/>
        <v>0</v>
      </c>
      <c r="AB43" s="769">
        <f t="shared" si="90"/>
        <v>0</v>
      </c>
      <c r="AC43" s="781">
        <f t="shared" si="90"/>
        <v>0</v>
      </c>
      <c r="AD43" s="781">
        <f t="shared" si="90"/>
        <v>0</v>
      </c>
      <c r="AE43" s="781">
        <f t="shared" si="90"/>
        <v>0</v>
      </c>
      <c r="AF43" s="781">
        <f>-19-SUM(AC43:AE43)</f>
        <v>-19</v>
      </c>
      <c r="AG43" s="769">
        <f t="shared" si="68"/>
        <v>-19</v>
      </c>
      <c r="AH43" s="781">
        <f t="shared" ref="AH43:AT43" si="91">SUM(AH37:AH42)</f>
        <v>0</v>
      </c>
      <c r="AI43" s="781">
        <f t="shared" si="91"/>
        <v>0</v>
      </c>
      <c r="AJ43" s="781">
        <f t="shared" si="91"/>
        <v>0</v>
      </c>
      <c r="AK43" s="781">
        <f t="shared" si="91"/>
        <v>0</v>
      </c>
      <c r="AL43" s="769">
        <f t="shared" si="91"/>
        <v>0</v>
      </c>
      <c r="AM43" s="781">
        <f t="shared" si="91"/>
        <v>0</v>
      </c>
      <c r="AN43" s="781">
        <f t="shared" si="91"/>
        <v>0</v>
      </c>
      <c r="AO43" s="781">
        <f t="shared" si="91"/>
        <v>0</v>
      </c>
      <c r="AP43" s="781">
        <f t="shared" si="91"/>
        <v>0</v>
      </c>
      <c r="AQ43" s="769">
        <f t="shared" si="91"/>
        <v>0</v>
      </c>
      <c r="AR43" s="781">
        <f t="shared" si="91"/>
        <v>0</v>
      </c>
      <c r="AS43" s="781">
        <f t="shared" si="91"/>
        <v>0</v>
      </c>
      <c r="AT43" s="781">
        <f t="shared" si="91"/>
        <v>0</v>
      </c>
      <c r="AU43" s="781"/>
      <c r="AV43" s="769">
        <f t="shared" ref="AV43:CA43" si="92">SUM(AV37:AV42)</f>
        <v>17</v>
      </c>
      <c r="AW43" s="781">
        <f t="shared" si="92"/>
        <v>16</v>
      </c>
      <c r="AX43" s="781">
        <f t="shared" si="92"/>
        <v>17</v>
      </c>
      <c r="AY43" s="781">
        <f t="shared" si="92"/>
        <v>-28</v>
      </c>
      <c r="AZ43" s="781">
        <f t="shared" si="92"/>
        <v>22</v>
      </c>
      <c r="BA43" s="781">
        <f t="shared" si="92"/>
        <v>-35</v>
      </c>
      <c r="BB43" s="781">
        <f t="shared" si="92"/>
        <v>-66</v>
      </c>
      <c r="BC43" s="781">
        <f t="shared" si="92"/>
        <v>-73</v>
      </c>
      <c r="BD43" s="781">
        <f t="shared" si="92"/>
        <v>134</v>
      </c>
      <c r="BE43" s="769">
        <f t="shared" si="92"/>
        <v>-40</v>
      </c>
      <c r="BF43" s="781">
        <f t="shared" si="92"/>
        <v>-103</v>
      </c>
      <c r="BG43" s="781">
        <f t="shared" si="92"/>
        <v>-213</v>
      </c>
      <c r="BH43" s="781">
        <f t="shared" si="92"/>
        <v>-18</v>
      </c>
      <c r="BI43" s="781">
        <f t="shared" si="92"/>
        <v>-420</v>
      </c>
      <c r="BJ43" s="769">
        <f t="shared" si="92"/>
        <v>-754</v>
      </c>
      <c r="BK43" s="781">
        <f t="shared" si="92"/>
        <v>-24</v>
      </c>
      <c r="BL43" s="781">
        <f t="shared" si="92"/>
        <v>-21</v>
      </c>
      <c r="BM43" s="781">
        <f t="shared" si="92"/>
        <v>-23</v>
      </c>
      <c r="BN43" s="781">
        <f t="shared" si="92"/>
        <v>-19</v>
      </c>
      <c r="BO43" s="769">
        <f t="shared" si="92"/>
        <v>-87</v>
      </c>
      <c r="BP43" s="781">
        <f t="shared" si="92"/>
        <v>53</v>
      </c>
      <c r="BQ43" s="781">
        <f t="shared" si="92"/>
        <v>49</v>
      </c>
      <c r="BR43" s="781">
        <f t="shared" si="92"/>
        <v>-59</v>
      </c>
      <c r="BS43" s="781">
        <f t="shared" si="92"/>
        <v>7</v>
      </c>
      <c r="BT43" s="769">
        <f t="shared" si="92"/>
        <v>50</v>
      </c>
      <c r="BU43" s="781">
        <f t="shared" si="92"/>
        <v>-18</v>
      </c>
      <c r="BV43" s="781">
        <f t="shared" si="92"/>
        <v>-1</v>
      </c>
      <c r="BW43" s="781">
        <f t="shared" si="92"/>
        <v>-24</v>
      </c>
      <c r="BX43" s="781">
        <f t="shared" si="92"/>
        <v>11</v>
      </c>
      <c r="BY43" s="769">
        <f t="shared" si="92"/>
        <v>-32</v>
      </c>
      <c r="BZ43" s="781">
        <f t="shared" si="92"/>
        <v>-21</v>
      </c>
      <c r="CA43" s="781">
        <f t="shared" si="92"/>
        <v>4</v>
      </c>
      <c r="CB43" s="781">
        <f t="shared" ref="CB43:DG43" si="93">SUM(CB37:CB42)</f>
        <v>-10</v>
      </c>
      <c r="CC43" s="781">
        <f t="shared" si="93"/>
        <v>-23</v>
      </c>
      <c r="CD43" s="769">
        <f t="shared" si="93"/>
        <v>-50</v>
      </c>
      <c r="CE43" s="781">
        <f t="shared" si="93"/>
        <v>-11</v>
      </c>
      <c r="CF43" s="781">
        <f t="shared" si="93"/>
        <v>-17</v>
      </c>
      <c r="CG43" s="781">
        <f t="shared" si="93"/>
        <v>-5</v>
      </c>
      <c r="CH43" s="781">
        <f t="shared" si="93"/>
        <v>5</v>
      </c>
      <c r="CI43" s="769">
        <f t="shared" si="93"/>
        <v>-28</v>
      </c>
      <c r="CJ43" s="781">
        <f t="shared" si="93"/>
        <v>5</v>
      </c>
      <c r="CK43" s="781">
        <f t="shared" si="93"/>
        <v>-10</v>
      </c>
      <c r="CL43" s="781">
        <f t="shared" si="93"/>
        <v>0</v>
      </c>
      <c r="CM43" s="781">
        <f t="shared" si="93"/>
        <v>22</v>
      </c>
      <c r="CN43" s="769">
        <f t="shared" si="93"/>
        <v>17</v>
      </c>
      <c r="CO43" s="781">
        <f t="shared" si="93"/>
        <v>-5</v>
      </c>
      <c r="CP43" s="781">
        <f t="shared" si="93"/>
        <v>14</v>
      </c>
      <c r="CQ43" s="781">
        <f t="shared" si="93"/>
        <v>-2</v>
      </c>
      <c r="CR43" s="781">
        <f t="shared" si="93"/>
        <v>-16</v>
      </c>
      <c r="CS43" s="769">
        <f t="shared" si="93"/>
        <v>-9</v>
      </c>
      <c r="CT43" s="781">
        <f t="shared" si="93"/>
        <v>1</v>
      </c>
      <c r="CU43" s="781">
        <f t="shared" si="93"/>
        <v>-68</v>
      </c>
      <c r="CV43" s="781">
        <f t="shared" si="93"/>
        <v>-1</v>
      </c>
      <c r="CW43" s="781">
        <f t="shared" si="93"/>
        <v>-8</v>
      </c>
      <c r="CX43" s="769">
        <f t="shared" si="93"/>
        <v>-76</v>
      </c>
      <c r="CY43" s="781">
        <f t="shared" si="93"/>
        <v>-2</v>
      </c>
      <c r="CZ43" s="781">
        <f t="shared" si="93"/>
        <v>3</v>
      </c>
      <c r="DA43" s="781">
        <f t="shared" si="93"/>
        <v>-5</v>
      </c>
      <c r="DB43" s="781">
        <f t="shared" si="93"/>
        <v>-7</v>
      </c>
      <c r="DC43" s="769">
        <f t="shared" si="93"/>
        <v>-11</v>
      </c>
      <c r="DD43" s="781">
        <f t="shared" si="93"/>
        <v>-5</v>
      </c>
      <c r="DE43" s="781">
        <f t="shared" si="93"/>
        <v>-16</v>
      </c>
      <c r="DF43" s="781">
        <f t="shared" si="93"/>
        <v>-1</v>
      </c>
      <c r="DG43" s="781">
        <f t="shared" si="93"/>
        <v>0</v>
      </c>
      <c r="DH43" s="769">
        <f t="shared" ref="DH43:DR43" si="94">SUM(DH37:DH42)</f>
        <v>-22</v>
      </c>
      <c r="DI43" s="781">
        <f t="shared" si="94"/>
        <v>1</v>
      </c>
      <c r="DJ43" s="781">
        <f t="shared" si="94"/>
        <v>-1</v>
      </c>
      <c r="DK43" s="781">
        <f>SUM(DK37:DK42)</f>
        <v>-1</v>
      </c>
      <c r="DL43" s="781">
        <f t="shared" si="94"/>
        <v>3</v>
      </c>
      <c r="DM43" s="769">
        <f t="shared" si="94"/>
        <v>2</v>
      </c>
      <c r="DN43" s="781">
        <f t="shared" si="94"/>
        <v>-4</v>
      </c>
      <c r="DO43" s="781">
        <f t="shared" si="94"/>
        <v>-2</v>
      </c>
      <c r="DP43" s="781">
        <f t="shared" si="94"/>
        <v>1</v>
      </c>
      <c r="DQ43" s="781">
        <f t="shared" si="94"/>
        <v>0</v>
      </c>
      <c r="DR43" s="769">
        <f t="shared" si="94"/>
        <v>-5</v>
      </c>
      <c r="DS43" s="768">
        <v>-1</v>
      </c>
      <c r="DT43" s="781">
        <f>SUM(DT37:DT42)</f>
        <v>1</v>
      </c>
      <c r="DU43" s="781">
        <f>SUM(DU37:DU42)</f>
        <v>-1</v>
      </c>
      <c r="DV43" s="781">
        <f t="shared" ref="DV43" si="95">SUM(DV37:DV42)</f>
        <v>1</v>
      </c>
      <c r="DW43" s="769">
        <f>SUM(DS43:DV43)</f>
        <v>0</v>
      </c>
      <c r="DX43" s="781">
        <f t="shared" ref="DX43:EB43" si="96">SUM(DX37:DX42)</f>
        <v>0</v>
      </c>
      <c r="DY43" s="781">
        <f t="shared" si="96"/>
        <v>0</v>
      </c>
      <c r="DZ43" s="781">
        <f t="shared" si="96"/>
        <v>0</v>
      </c>
      <c r="EA43" s="781">
        <f t="shared" si="96"/>
        <v>0</v>
      </c>
      <c r="EB43" s="769">
        <f t="shared" si="96"/>
        <v>0</v>
      </c>
      <c r="EC43" s="781">
        <f t="shared" ref="EC43:EL43" si="97">SUM(EC37:EC42)</f>
        <v>0</v>
      </c>
      <c r="ED43" s="781">
        <f t="shared" si="97"/>
        <v>0</v>
      </c>
      <c r="EE43" s="781">
        <f t="shared" si="97"/>
        <v>0</v>
      </c>
      <c r="EF43" s="781">
        <f t="shared" si="97"/>
        <v>0</v>
      </c>
      <c r="EG43" s="769">
        <f t="shared" si="97"/>
        <v>0</v>
      </c>
      <c r="EH43" s="781">
        <f t="shared" si="97"/>
        <v>0</v>
      </c>
      <c r="EI43" s="781">
        <f t="shared" si="97"/>
        <v>0</v>
      </c>
      <c r="EJ43" s="781">
        <f t="shared" si="97"/>
        <v>0</v>
      </c>
      <c r="EK43" s="781">
        <f t="shared" si="97"/>
        <v>0</v>
      </c>
      <c r="EL43" s="769">
        <f t="shared" si="97"/>
        <v>0</v>
      </c>
      <c r="EM43" s="21"/>
      <c r="EN43"/>
      <c r="EO43"/>
      <c r="EP43"/>
      <c r="EQ43"/>
      <c r="ER43"/>
      <c r="ES43" s="34"/>
      <c r="ET43"/>
      <c r="EU43" s="23"/>
      <c r="EV43" s="23"/>
      <c r="EW43" s="23"/>
      <c r="EX43" s="24"/>
      <c r="EY43" s="24"/>
      <c r="EZ43" s="24"/>
      <c r="FA43" s="24"/>
      <c r="FB43" s="24"/>
      <c r="FC43" s="24"/>
      <c r="FD43" s="24"/>
      <c r="FE43" s="24"/>
      <c r="FF43" s="24"/>
      <c r="FG43" s="24"/>
      <c r="FH43" s="24"/>
      <c r="FI43" s="24"/>
      <c r="FJ43" s="24"/>
      <c r="FK43" s="24"/>
      <c r="FL43" s="24"/>
      <c r="FM43" s="24"/>
      <c r="FN43" s="24"/>
      <c r="FO43" s="24"/>
      <c r="FP43" s="24"/>
      <c r="FQ43" s="24"/>
      <c r="FR43" s="24"/>
      <c r="FS43" s="24"/>
      <c r="FT43" s="24"/>
      <c r="FU43" s="24"/>
      <c r="FV43" s="24"/>
      <c r="FW43" s="24"/>
      <c r="FX43" s="24"/>
      <c r="FY43" s="24"/>
      <c r="FZ43" s="24"/>
      <c r="GA43" s="24"/>
      <c r="GB43" s="24"/>
      <c r="GC43" s="24"/>
      <c r="GD43" s="24"/>
      <c r="GE43" s="24"/>
      <c r="GF43" s="24"/>
      <c r="GG43" s="24"/>
      <c r="GH43" s="24"/>
      <c r="GI43" s="24"/>
      <c r="GJ43" s="24"/>
      <c r="GK43" s="24"/>
      <c r="GL43" s="24"/>
      <c r="GM43" s="24"/>
      <c r="GN43" s="24"/>
      <c r="GO43" s="24"/>
      <c r="GP43" s="24"/>
      <c r="GQ43" s="24"/>
      <c r="GR43" s="24"/>
      <c r="GS43" s="24"/>
      <c r="GT43" s="24"/>
      <c r="GU43" s="24"/>
      <c r="GV43" s="24"/>
      <c r="GW43" s="24"/>
      <c r="GX43" s="24"/>
      <c r="GY43" s="24"/>
      <c r="GZ43" s="24"/>
      <c r="HA43" s="24"/>
      <c r="HB43" s="24"/>
      <c r="HC43" s="24"/>
      <c r="HD43" s="24"/>
      <c r="HE43" s="24"/>
      <c r="HF43" s="24"/>
      <c r="HG43" s="24"/>
      <c r="HH43" s="24"/>
      <c r="HI43" s="24"/>
      <c r="HJ43" s="24"/>
      <c r="HK43" s="24"/>
      <c r="HL43" s="24"/>
      <c r="HM43" s="24"/>
      <c r="HN43" s="24"/>
      <c r="HO43" s="24"/>
      <c r="HP43" s="24"/>
      <c r="HQ43" s="24"/>
      <c r="HR43" s="24"/>
      <c r="HS43" s="24"/>
      <c r="HT43" s="24"/>
      <c r="HU43" s="24"/>
      <c r="HV43" s="24"/>
      <c r="HW43" s="24"/>
      <c r="HX43" s="24"/>
      <c r="HY43" s="24"/>
      <c r="HZ43" s="24"/>
      <c r="IA43" s="24"/>
      <c r="IB43" s="24"/>
      <c r="IC43" s="24"/>
      <c r="ID43" s="24"/>
      <c r="IE43" s="24"/>
      <c r="IF43" s="24"/>
      <c r="IG43" s="24"/>
      <c r="IH43" s="24"/>
      <c r="II43" s="24"/>
      <c r="IJ43" s="24"/>
      <c r="IK43" s="24"/>
      <c r="IL43" s="24"/>
      <c r="IM43" s="24"/>
      <c r="IN43" s="24"/>
      <c r="IO43" s="24"/>
      <c r="IP43" s="24"/>
      <c r="IQ43" s="24"/>
      <c r="IR43" s="24"/>
      <c r="IS43" s="24"/>
      <c r="IT43" s="24"/>
      <c r="IU43" s="24"/>
      <c r="IV43" s="24"/>
      <c r="IW43" s="24"/>
      <c r="IX43" s="24"/>
      <c r="IY43" s="24"/>
      <c r="IZ43" s="24"/>
      <c r="JA43" s="24"/>
      <c r="JB43" s="24"/>
      <c r="JC43" s="24"/>
      <c r="JD43" s="24"/>
      <c r="JE43" s="24"/>
      <c r="JF43" s="24"/>
      <c r="JG43" s="24"/>
      <c r="JH43" s="24"/>
      <c r="JI43" s="24"/>
      <c r="JJ43" s="24"/>
      <c r="JK43" s="24"/>
    </row>
    <row r="44" spans="1:271" s="18" customFormat="1" ht="11.25" hidden="1" customHeight="1" outlineLevel="1">
      <c r="A44" s="766"/>
      <c r="B44" s="563" t="s">
        <v>363</v>
      </c>
      <c r="C44" s="563"/>
      <c r="D44" s="791">
        <v>0</v>
      </c>
      <c r="E44" s="791">
        <v>0</v>
      </c>
      <c r="F44" s="791">
        <v>0</v>
      </c>
      <c r="G44" s="791">
        <v>0</v>
      </c>
      <c r="H44" s="769">
        <f t="shared" si="63"/>
        <v>0</v>
      </c>
      <c r="I44" s="791">
        <v>0</v>
      </c>
      <c r="J44" s="791">
        <v>0</v>
      </c>
      <c r="K44" s="791">
        <v>0</v>
      </c>
      <c r="L44" s="791">
        <v>0</v>
      </c>
      <c r="M44" s="769">
        <f t="shared" si="64"/>
        <v>0</v>
      </c>
      <c r="N44" s="791">
        <v>0</v>
      </c>
      <c r="O44" s="791">
        <v>0</v>
      </c>
      <c r="P44" s="791">
        <v>0</v>
      </c>
      <c r="Q44" s="791">
        <v>0</v>
      </c>
      <c r="R44" s="769">
        <f t="shared" si="65"/>
        <v>0</v>
      </c>
      <c r="S44" s="791">
        <v>0</v>
      </c>
      <c r="T44" s="791">
        <v>0</v>
      </c>
      <c r="U44" s="791">
        <v>0</v>
      </c>
      <c r="V44" s="791">
        <v>0</v>
      </c>
      <c r="W44" s="769">
        <f>SUM(S44:V44)</f>
        <v>0</v>
      </c>
      <c r="X44" s="791">
        <v>0</v>
      </c>
      <c r="Y44" s="791">
        <v>0</v>
      </c>
      <c r="Z44" s="791">
        <v>0</v>
      </c>
      <c r="AA44" s="791">
        <v>0</v>
      </c>
      <c r="AB44" s="769">
        <f>SUM(X44:AA44)</f>
        <v>0</v>
      </c>
      <c r="AC44" s="791">
        <v>-19</v>
      </c>
      <c r="AD44" s="791">
        <v>0</v>
      </c>
      <c r="AE44" s="791">
        <v>0</v>
      </c>
      <c r="AF44" s="791">
        <f>-19-SUM(AC44:AE44)</f>
        <v>0</v>
      </c>
      <c r="AG44" s="769">
        <f t="shared" si="68"/>
        <v>-19</v>
      </c>
      <c r="AH44" s="791">
        <v>0</v>
      </c>
      <c r="AI44" s="791">
        <v>0</v>
      </c>
      <c r="AJ44" s="791">
        <v>0</v>
      </c>
      <c r="AK44" s="791">
        <v>0</v>
      </c>
      <c r="AL44" s="769">
        <f>SUM(AH44:AK44)</f>
        <v>0</v>
      </c>
      <c r="AM44" s="791">
        <v>0</v>
      </c>
      <c r="AN44" s="791">
        <v>0</v>
      </c>
      <c r="AO44" s="791">
        <v>0</v>
      </c>
      <c r="AP44" s="791">
        <v>0</v>
      </c>
      <c r="AQ44" s="769">
        <f>SUM(AM44:AP44)</f>
        <v>0</v>
      </c>
      <c r="AR44" s="791">
        <v>0</v>
      </c>
      <c r="AS44" s="791">
        <v>0</v>
      </c>
      <c r="AT44" s="791">
        <v>0</v>
      </c>
      <c r="AU44" s="791"/>
      <c r="AV44" s="769">
        <v>0</v>
      </c>
      <c r="AW44" s="791">
        <v>0</v>
      </c>
      <c r="AX44" s="791">
        <v>0</v>
      </c>
      <c r="AY44" s="791">
        <v>0</v>
      </c>
      <c r="AZ44" s="791">
        <f>SUM(AV44:AY44)</f>
        <v>0</v>
      </c>
      <c r="BA44" s="791">
        <v>0</v>
      </c>
      <c r="BB44" s="791">
        <v>0</v>
      </c>
      <c r="BC44" s="791">
        <v>0</v>
      </c>
      <c r="BD44" s="791">
        <v>0</v>
      </c>
      <c r="BE44" s="769">
        <f>SUM(BA44:BD44)</f>
        <v>0</v>
      </c>
      <c r="BF44" s="791">
        <v>0</v>
      </c>
      <c r="BG44" s="791">
        <v>0</v>
      </c>
      <c r="BH44" s="791">
        <v>0</v>
      </c>
      <c r="BI44" s="791">
        <v>0</v>
      </c>
      <c r="BJ44" s="769">
        <f>SUM(BF44:BI44)</f>
        <v>0</v>
      </c>
      <c r="BK44" s="791">
        <v>0</v>
      </c>
      <c r="BL44" s="791">
        <v>0</v>
      </c>
      <c r="BM44" s="791">
        <v>0</v>
      </c>
      <c r="BN44" s="791">
        <v>-16</v>
      </c>
      <c r="BO44" s="769">
        <f>SUM(BK44:BN44)</f>
        <v>-16</v>
      </c>
      <c r="BP44" s="791">
        <v>2</v>
      </c>
      <c r="BQ44" s="791">
        <v>0</v>
      </c>
      <c r="BR44" s="791">
        <v>0</v>
      </c>
      <c r="BS44" s="791">
        <v>0</v>
      </c>
      <c r="BT44" s="769">
        <f>SUM(BP44:BS44)</f>
        <v>2</v>
      </c>
      <c r="BU44" s="791">
        <v>0</v>
      </c>
      <c r="BV44" s="791">
        <v>0</v>
      </c>
      <c r="BW44" s="791">
        <v>0</v>
      </c>
      <c r="BX44" s="791">
        <v>0</v>
      </c>
      <c r="BY44" s="769">
        <f>SUM(BU44:BX44)</f>
        <v>0</v>
      </c>
      <c r="BZ44" s="791">
        <v>0</v>
      </c>
      <c r="CA44" s="791">
        <v>0</v>
      </c>
      <c r="CB44" s="791">
        <v>0</v>
      </c>
      <c r="CC44" s="791">
        <v>0</v>
      </c>
      <c r="CD44" s="769">
        <f>SUM(BZ44:CC44)</f>
        <v>0</v>
      </c>
      <c r="CE44" s="791">
        <v>0</v>
      </c>
      <c r="CF44" s="791">
        <v>0</v>
      </c>
      <c r="CG44" s="791">
        <v>0</v>
      </c>
      <c r="CH44" s="791">
        <v>0</v>
      </c>
      <c r="CI44" s="769">
        <f>+SUM(CE44:CH44)</f>
        <v>0</v>
      </c>
      <c r="CJ44" s="791">
        <v>0</v>
      </c>
      <c r="CK44" s="791">
        <v>0</v>
      </c>
      <c r="CL44" s="791">
        <v>0</v>
      </c>
      <c r="CM44" s="791">
        <v>0</v>
      </c>
      <c r="CN44" s="769">
        <f>+SUM(CJ44:CM44)</f>
        <v>0</v>
      </c>
      <c r="CO44" s="791">
        <v>0</v>
      </c>
      <c r="CP44" s="791">
        <v>0</v>
      </c>
      <c r="CQ44" s="791">
        <v>0</v>
      </c>
      <c r="CR44" s="791">
        <v>0</v>
      </c>
      <c r="CS44" s="769">
        <f>+SUM(CO44:CR44)</f>
        <v>0</v>
      </c>
      <c r="CT44" s="791">
        <v>0</v>
      </c>
      <c r="CU44" s="791">
        <v>0</v>
      </c>
      <c r="CV44" s="791">
        <v>0</v>
      </c>
      <c r="CW44" s="791">
        <v>0</v>
      </c>
      <c r="CX44" s="769">
        <f>+SUM(CT44:CW44)</f>
        <v>0</v>
      </c>
      <c r="CY44" s="791">
        <v>0</v>
      </c>
      <c r="CZ44" s="791">
        <v>0</v>
      </c>
      <c r="DA44" s="791">
        <v>0</v>
      </c>
      <c r="DB44" s="791">
        <v>0</v>
      </c>
      <c r="DC44" s="769">
        <f>+SUM(CY44:DB44)</f>
        <v>0</v>
      </c>
      <c r="DD44" s="791">
        <v>0</v>
      </c>
      <c r="DE44" s="791">
        <v>0</v>
      </c>
      <c r="DF44" s="791">
        <v>0</v>
      </c>
      <c r="DG44" s="791">
        <v>0</v>
      </c>
      <c r="DH44" s="769">
        <f>+SUM(DD44:DG44)</f>
        <v>0</v>
      </c>
      <c r="DI44" s="791">
        <v>0</v>
      </c>
      <c r="DJ44" s="791">
        <v>0</v>
      </c>
      <c r="DK44" s="791">
        <v>0</v>
      </c>
      <c r="DL44" s="791">
        <v>0</v>
      </c>
      <c r="DM44" s="769">
        <f>SUM(DI44:DL44)</f>
        <v>0</v>
      </c>
      <c r="DN44" s="791">
        <v>0</v>
      </c>
      <c r="DO44" s="791">
        <v>0</v>
      </c>
      <c r="DP44" s="791">
        <v>0</v>
      </c>
      <c r="DQ44" s="791">
        <v>0</v>
      </c>
      <c r="DR44" s="769">
        <f>SUM(DN44:DQ44)</f>
        <v>0</v>
      </c>
      <c r="DS44" s="791">
        <v>0</v>
      </c>
      <c r="DT44" s="791">
        <v>0</v>
      </c>
      <c r="DU44" s="791">
        <v>0</v>
      </c>
      <c r="DV44" s="791">
        <v>0</v>
      </c>
      <c r="DW44" s="769">
        <f>SUM(DS44:DV44)</f>
        <v>0</v>
      </c>
      <c r="DX44" s="768">
        <v>0</v>
      </c>
      <c r="DY44" s="768">
        <v>0</v>
      </c>
      <c r="DZ44" s="768">
        <v>0</v>
      </c>
      <c r="EA44" s="768">
        <v>0</v>
      </c>
      <c r="EB44" s="769">
        <f>SUM(DX44:EA44)</f>
        <v>0</v>
      </c>
      <c r="EC44" s="768">
        <v>0</v>
      </c>
      <c r="ED44" s="768">
        <v>0</v>
      </c>
      <c r="EE44" s="768">
        <v>0</v>
      </c>
      <c r="EF44" s="768">
        <v>0</v>
      </c>
      <c r="EG44" s="769">
        <f>SUM(EC44:EF44)</f>
        <v>0</v>
      </c>
      <c r="EH44" s="768">
        <v>0</v>
      </c>
      <c r="EI44" s="768">
        <v>0</v>
      </c>
      <c r="EJ44" s="768">
        <v>0</v>
      </c>
      <c r="EK44" s="768">
        <v>0</v>
      </c>
      <c r="EL44" s="769">
        <f>SUM(EH44:EK44)</f>
        <v>0</v>
      </c>
      <c r="EM44" s="21"/>
      <c r="EN44"/>
      <c r="EO44"/>
      <c r="EP44"/>
      <c r="EQ44"/>
      <c r="ER44"/>
      <c r="ES44" s="23"/>
      <c r="ET44"/>
      <c r="EU44" s="23"/>
      <c r="EV44" s="23"/>
      <c r="EW44" s="23"/>
      <c r="EX44" s="24"/>
      <c r="EY44" s="24"/>
      <c r="EZ44" s="24"/>
      <c r="FA44" s="24"/>
      <c r="FB44" s="24"/>
      <c r="FC44" s="24"/>
      <c r="FD44" s="24"/>
      <c r="FE44" s="24"/>
      <c r="FF44" s="24"/>
      <c r="FG44" s="24"/>
      <c r="FH44" s="24"/>
      <c r="FI44" s="24"/>
      <c r="FJ44" s="24"/>
      <c r="FK44" s="24"/>
      <c r="FL44" s="24"/>
      <c r="FM44" s="24"/>
      <c r="FN44" s="24"/>
      <c r="FO44" s="24"/>
      <c r="FP44" s="24"/>
      <c r="FQ44" s="24"/>
      <c r="FR44" s="24"/>
      <c r="FS44" s="24"/>
      <c r="FT44" s="24"/>
      <c r="FU44" s="24"/>
      <c r="FV44" s="24"/>
      <c r="FW44" s="24"/>
      <c r="FX44" s="24"/>
      <c r="FY44" s="24"/>
      <c r="FZ44" s="24"/>
      <c r="GA44" s="24"/>
      <c r="GB44" s="24"/>
      <c r="GC44" s="24"/>
      <c r="GD44" s="24"/>
      <c r="GE44" s="24"/>
      <c r="GF44" s="24"/>
      <c r="GG44" s="24"/>
      <c r="GH44" s="24"/>
      <c r="GI44" s="24"/>
      <c r="GJ44" s="24"/>
      <c r="GK44" s="24"/>
      <c r="GL44" s="24"/>
      <c r="GM44" s="24"/>
      <c r="GN44" s="24"/>
      <c r="GO44" s="24"/>
      <c r="GP44" s="24"/>
      <c r="GQ44" s="24"/>
      <c r="GR44" s="24"/>
      <c r="GS44" s="24"/>
      <c r="GT44" s="24"/>
      <c r="GU44" s="24"/>
      <c r="GV44" s="24"/>
      <c r="GW44" s="24"/>
      <c r="GX44" s="24"/>
      <c r="GY44" s="24"/>
      <c r="GZ44" s="24"/>
      <c r="HA44" s="24"/>
      <c r="HB44" s="24"/>
      <c r="HC44" s="24"/>
      <c r="HD44" s="24"/>
      <c r="HE44" s="24"/>
      <c r="HF44" s="24"/>
      <c r="HG44" s="24"/>
      <c r="HH44" s="24"/>
      <c r="HI44" s="24"/>
      <c r="HJ44" s="24"/>
      <c r="HK44" s="24"/>
      <c r="HL44" s="24"/>
      <c r="HM44" s="24"/>
      <c r="HN44" s="24"/>
      <c r="HO44" s="24"/>
      <c r="HP44" s="24"/>
      <c r="HQ44" s="24"/>
      <c r="HR44" s="24"/>
      <c r="HS44" s="24"/>
      <c r="HT44" s="24"/>
      <c r="HU44" s="24"/>
      <c r="HV44" s="24"/>
      <c r="HW44" s="24"/>
      <c r="HX44" s="24"/>
      <c r="HY44" s="24"/>
      <c r="HZ44" s="24"/>
      <c r="IA44" s="24"/>
      <c r="IB44" s="24"/>
      <c r="IC44" s="24"/>
      <c r="ID44" s="24"/>
      <c r="IE44" s="24"/>
      <c r="IF44" s="24"/>
      <c r="IG44" s="24"/>
      <c r="IH44" s="24"/>
      <c r="II44" s="24"/>
      <c r="IJ44" s="24"/>
      <c r="IK44" s="24"/>
      <c r="IL44" s="24"/>
      <c r="IM44" s="24"/>
      <c r="IN44" s="24"/>
      <c r="IO44" s="24"/>
      <c r="IP44" s="24"/>
      <c r="IQ44" s="24"/>
      <c r="IR44" s="24"/>
      <c r="IS44" s="24"/>
      <c r="IT44" s="24"/>
      <c r="IU44" s="24"/>
      <c r="IV44" s="24"/>
      <c r="IW44" s="24"/>
      <c r="IX44" s="24"/>
      <c r="IY44" s="24"/>
      <c r="IZ44" s="24"/>
      <c r="JA44" s="24"/>
      <c r="JB44" s="24"/>
      <c r="JC44" s="24"/>
      <c r="JD44" s="24"/>
      <c r="JE44" s="24"/>
      <c r="JF44" s="24"/>
      <c r="JG44" s="24"/>
      <c r="JH44" s="24"/>
      <c r="JI44" s="24"/>
      <c r="JJ44" s="24"/>
      <c r="JK44" s="24"/>
    </row>
    <row r="45" spans="1:271" s="18" customFormat="1" hidden="1" outlineLevel="1" collapsed="1">
      <c r="A45" s="766"/>
      <c r="B45" s="767" t="s">
        <v>364</v>
      </c>
      <c r="C45" s="789"/>
      <c r="D45" s="768">
        <v>0</v>
      </c>
      <c r="E45" s="768">
        <v>0</v>
      </c>
      <c r="F45" s="768">
        <v>0</v>
      </c>
      <c r="G45" s="768">
        <v>0</v>
      </c>
      <c r="H45" s="769">
        <f t="shared" si="63"/>
        <v>0</v>
      </c>
      <c r="I45" s="768">
        <v>0</v>
      </c>
      <c r="J45" s="768">
        <v>0</v>
      </c>
      <c r="K45" s="768">
        <v>0</v>
      </c>
      <c r="L45" s="768">
        <v>0</v>
      </c>
      <c r="M45" s="769">
        <f t="shared" si="64"/>
        <v>0</v>
      </c>
      <c r="N45" s="768">
        <v>0</v>
      </c>
      <c r="O45" s="768">
        <v>0</v>
      </c>
      <c r="P45" s="768">
        <v>0</v>
      </c>
      <c r="Q45" s="768">
        <v>0</v>
      </c>
      <c r="R45" s="769">
        <f t="shared" si="65"/>
        <v>0</v>
      </c>
      <c r="S45" s="768">
        <v>0</v>
      </c>
      <c r="T45" s="768">
        <v>0</v>
      </c>
      <c r="U45" s="768">
        <v>0</v>
      </c>
      <c r="V45" s="768">
        <v>0</v>
      </c>
      <c r="W45" s="769">
        <f>SUM(S45:V45)</f>
        <v>0</v>
      </c>
      <c r="X45" s="768">
        <v>0</v>
      </c>
      <c r="Y45" s="768">
        <v>0</v>
      </c>
      <c r="Z45" s="768">
        <v>0</v>
      </c>
      <c r="AA45" s="768">
        <v>0</v>
      </c>
      <c r="AB45" s="769">
        <f>SUM(X45:AA45)</f>
        <v>0</v>
      </c>
      <c r="AC45" s="768">
        <v>0</v>
      </c>
      <c r="AD45" s="768">
        <v>0</v>
      </c>
      <c r="AE45" s="768">
        <v>0</v>
      </c>
      <c r="AF45" s="768">
        <v>0</v>
      </c>
      <c r="AG45" s="769">
        <f t="shared" si="68"/>
        <v>0</v>
      </c>
      <c r="AH45" s="768">
        <v>0</v>
      </c>
      <c r="AI45" s="768">
        <v>0</v>
      </c>
      <c r="AJ45" s="768">
        <v>0</v>
      </c>
      <c r="AK45" s="768">
        <v>0</v>
      </c>
      <c r="AL45" s="769">
        <f>SUM(AH45:AK45)</f>
        <v>0</v>
      </c>
      <c r="AM45" s="768">
        <v>0</v>
      </c>
      <c r="AN45" s="768">
        <v>0</v>
      </c>
      <c r="AO45" s="768">
        <v>0</v>
      </c>
      <c r="AP45" s="768">
        <v>0</v>
      </c>
      <c r="AQ45" s="769">
        <f>SUM(AM45:AP45)</f>
        <v>0</v>
      </c>
      <c r="AR45" s="768">
        <v>0</v>
      </c>
      <c r="AS45" s="768">
        <v>0</v>
      </c>
      <c r="AT45" s="768">
        <v>0</v>
      </c>
      <c r="AU45" s="768"/>
      <c r="AV45" s="769">
        <v>0</v>
      </c>
      <c r="AW45" s="768">
        <v>0</v>
      </c>
      <c r="AX45" s="768">
        <v>0</v>
      </c>
      <c r="AY45" s="768">
        <v>0</v>
      </c>
      <c r="AZ45" s="768">
        <f>SUM(AV45:AY45)</f>
        <v>0</v>
      </c>
      <c r="BA45" s="768">
        <v>0</v>
      </c>
      <c r="BB45" s="768">
        <v>0</v>
      </c>
      <c r="BC45" s="768">
        <v>0</v>
      </c>
      <c r="BD45" s="768">
        <v>0</v>
      </c>
      <c r="BE45" s="769">
        <f>SUM(BA45:BD45)</f>
        <v>0</v>
      </c>
      <c r="BF45" s="768">
        <v>0</v>
      </c>
      <c r="BG45" s="768">
        <v>0</v>
      </c>
      <c r="BH45" s="768">
        <v>0</v>
      </c>
      <c r="BI45" s="768">
        <v>0</v>
      </c>
      <c r="BJ45" s="769">
        <f>SUM(BF45:BI45)</f>
        <v>0</v>
      </c>
      <c r="BK45" s="768">
        <v>0</v>
      </c>
      <c r="BL45" s="768">
        <v>0</v>
      </c>
      <c r="BM45" s="768">
        <v>0</v>
      </c>
      <c r="BN45" s="768">
        <v>0</v>
      </c>
      <c r="BO45" s="769">
        <f>SUM(BK45:BN45)</f>
        <v>0</v>
      </c>
      <c r="BP45" s="768">
        <v>0</v>
      </c>
      <c r="BQ45" s="768">
        <v>0</v>
      </c>
      <c r="BR45" s="768">
        <v>0</v>
      </c>
      <c r="BS45" s="768">
        <v>0</v>
      </c>
      <c r="BT45" s="769">
        <f>SUM(BP45:BS45)</f>
        <v>0</v>
      </c>
      <c r="BU45" s="768">
        <v>0</v>
      </c>
      <c r="BV45" s="768">
        <v>0</v>
      </c>
      <c r="BW45" s="768">
        <v>0</v>
      </c>
      <c r="BX45" s="768">
        <v>0</v>
      </c>
      <c r="BY45" s="769">
        <f>SUM(BU45:BX45)</f>
        <v>0</v>
      </c>
      <c r="BZ45" s="768">
        <v>0</v>
      </c>
      <c r="CA45" s="768">
        <v>0</v>
      </c>
      <c r="CB45" s="768">
        <v>0</v>
      </c>
      <c r="CC45" s="768">
        <v>0</v>
      </c>
      <c r="CD45" s="769">
        <f>SUM(BZ45:CC45)</f>
        <v>0</v>
      </c>
      <c r="CE45" s="768">
        <v>0</v>
      </c>
      <c r="CF45" s="768">
        <v>0</v>
      </c>
      <c r="CG45" s="768">
        <v>0</v>
      </c>
      <c r="CH45" s="768">
        <v>6</v>
      </c>
      <c r="CI45" s="769">
        <f>+SUM(CE45:CH45)</f>
        <v>6</v>
      </c>
      <c r="CJ45" s="768">
        <v>6</v>
      </c>
      <c r="CK45" s="768">
        <v>6</v>
      </c>
      <c r="CL45" s="768">
        <v>6</v>
      </c>
      <c r="CM45" s="768">
        <v>6</v>
      </c>
      <c r="CN45" s="769">
        <f>+SUM(CJ45:CM45)</f>
        <v>24</v>
      </c>
      <c r="CO45" s="768">
        <v>6</v>
      </c>
      <c r="CP45" s="768">
        <v>6</v>
      </c>
      <c r="CQ45" s="768">
        <v>6</v>
      </c>
      <c r="CR45" s="768">
        <v>6</v>
      </c>
      <c r="CS45" s="769">
        <f>+SUM(CO45:CR45)</f>
        <v>24</v>
      </c>
      <c r="CT45" s="768">
        <f>+CR45</f>
        <v>6</v>
      </c>
      <c r="CU45" s="768">
        <v>4</v>
      </c>
      <c r="CV45" s="768">
        <v>1</v>
      </c>
      <c r="CW45" s="768">
        <v>0</v>
      </c>
      <c r="CX45" s="769">
        <f>+SUM(CT45:CW45)</f>
        <v>11</v>
      </c>
      <c r="CY45" s="768">
        <v>0</v>
      </c>
      <c r="CZ45" s="768">
        <v>0</v>
      </c>
      <c r="DA45" s="768">
        <v>0</v>
      </c>
      <c r="DB45" s="768">
        <v>0</v>
      </c>
      <c r="DC45" s="769">
        <f>+SUM(CY45:DB45)</f>
        <v>0</v>
      </c>
      <c r="DD45" s="768">
        <f>+DB45</f>
        <v>0</v>
      </c>
      <c r="DE45" s="768">
        <f>DD45</f>
        <v>0</v>
      </c>
      <c r="DF45" s="768">
        <f>DE45</f>
        <v>0</v>
      </c>
      <c r="DG45" s="768">
        <f>DF45</f>
        <v>0</v>
      </c>
      <c r="DH45" s="769">
        <f>+SUM(DD45:DG45)</f>
        <v>0</v>
      </c>
      <c r="DI45" s="768">
        <f>+DG45</f>
        <v>0</v>
      </c>
      <c r="DJ45" s="768">
        <f>DI45</f>
        <v>0</v>
      </c>
      <c r="DK45" s="768">
        <f>DJ45</f>
        <v>0</v>
      </c>
      <c r="DL45" s="768">
        <f>DK45</f>
        <v>0</v>
      </c>
      <c r="DM45" s="769">
        <f>+SUM(DI45:DL45)</f>
        <v>0</v>
      </c>
      <c r="DN45" s="768">
        <f>+DL45</f>
        <v>0</v>
      </c>
      <c r="DO45" s="768">
        <f>DN45</f>
        <v>0</v>
      </c>
      <c r="DP45" s="768">
        <f>DO45</f>
        <v>0</v>
      </c>
      <c r="DQ45" s="768">
        <f>DP45</f>
        <v>0</v>
      </c>
      <c r="DR45" s="769">
        <f>+SUM(DN45:DQ45)</f>
        <v>0</v>
      </c>
      <c r="DS45" s="768">
        <f>+DQ45</f>
        <v>0</v>
      </c>
      <c r="DT45" s="768">
        <f>+DR45</f>
        <v>0</v>
      </c>
      <c r="DU45" s="768">
        <f>DT45</f>
        <v>0</v>
      </c>
      <c r="DV45" s="768">
        <f>DU45</f>
        <v>0</v>
      </c>
      <c r="DW45" s="769">
        <f>+SUM(DS45:DV45)</f>
        <v>0</v>
      </c>
      <c r="DX45" s="768">
        <f>+DV45</f>
        <v>0</v>
      </c>
      <c r="DY45" s="768">
        <f>DX45</f>
        <v>0</v>
      </c>
      <c r="DZ45" s="768">
        <f>DY45</f>
        <v>0</v>
      </c>
      <c r="EA45" s="768">
        <f>DZ45</f>
        <v>0</v>
      </c>
      <c r="EB45" s="769">
        <f>+SUM(DX45:EA45)</f>
        <v>0</v>
      </c>
      <c r="EC45" s="768">
        <f>+EA45</f>
        <v>0</v>
      </c>
      <c r="ED45" s="768">
        <f>EC45</f>
        <v>0</v>
      </c>
      <c r="EE45" s="768">
        <f>ED45</f>
        <v>0</v>
      </c>
      <c r="EF45" s="768">
        <f>EE45</f>
        <v>0</v>
      </c>
      <c r="EG45" s="769">
        <f>+SUM(EC45:EF45)</f>
        <v>0</v>
      </c>
      <c r="EH45" s="768">
        <f>+EF45</f>
        <v>0</v>
      </c>
      <c r="EI45" s="768">
        <f>EH45</f>
        <v>0</v>
      </c>
      <c r="EJ45" s="768">
        <f>EI45</f>
        <v>0</v>
      </c>
      <c r="EK45" s="768">
        <f>EJ45</f>
        <v>0</v>
      </c>
      <c r="EL45" s="769">
        <f>+SUM(EH45:EK45)</f>
        <v>0</v>
      </c>
      <c r="EM45" s="21"/>
      <c r="EN45"/>
      <c r="EO45"/>
      <c r="EP45"/>
      <c r="EQ45"/>
      <c r="ER45"/>
      <c r="ES45" s="23"/>
      <c r="ET45"/>
      <c r="EU45" s="23"/>
      <c r="EV45" s="23"/>
      <c r="EW45" s="23"/>
      <c r="EX45" s="24"/>
      <c r="EY45" s="24"/>
      <c r="EZ45" s="24"/>
      <c r="FA45" s="24"/>
      <c r="FB45" s="24"/>
      <c r="FC45" s="24"/>
      <c r="FD45" s="24"/>
      <c r="FE45" s="24"/>
      <c r="FF45" s="24"/>
      <c r="FG45" s="24"/>
      <c r="FH45" s="24"/>
      <c r="FI45" s="24"/>
      <c r="FJ45" s="24"/>
      <c r="FK45" s="24"/>
      <c r="FL45" s="24"/>
      <c r="FM45" s="24"/>
      <c r="FN45" s="24"/>
      <c r="FO45" s="24"/>
      <c r="FP45" s="24"/>
      <c r="FQ45" s="24"/>
      <c r="FR45" s="24"/>
      <c r="FS45" s="24"/>
      <c r="FT45" s="24"/>
      <c r="FU45" s="24"/>
      <c r="FV45" s="24"/>
      <c r="FW45" s="24"/>
      <c r="FX45" s="24"/>
      <c r="FY45" s="24"/>
      <c r="FZ45" s="24"/>
      <c r="GA45" s="24"/>
      <c r="GB45" s="24"/>
      <c r="GC45" s="24"/>
      <c r="GD45" s="24"/>
      <c r="GE45" s="24"/>
      <c r="GF45" s="24"/>
      <c r="GG45" s="24"/>
      <c r="GH45" s="24"/>
      <c r="GI45" s="24"/>
      <c r="GJ45" s="24"/>
      <c r="GK45" s="24"/>
      <c r="GL45" s="24"/>
      <c r="GM45" s="24"/>
      <c r="GN45" s="24"/>
      <c r="GO45" s="24"/>
      <c r="GP45" s="24"/>
      <c r="GQ45" s="24"/>
      <c r="GR45" s="24"/>
      <c r="GS45" s="24"/>
      <c r="GT45" s="24"/>
      <c r="GU45" s="24"/>
      <c r="GV45" s="24"/>
      <c r="GW45" s="24"/>
      <c r="GX45" s="24"/>
      <c r="GY45" s="24"/>
      <c r="GZ45" s="24"/>
      <c r="HA45" s="24"/>
      <c r="HB45" s="24"/>
      <c r="HC45" s="24"/>
      <c r="HD45" s="24"/>
      <c r="HE45" s="24"/>
      <c r="HF45" s="24"/>
      <c r="HG45" s="24"/>
      <c r="HH45" s="24"/>
      <c r="HI45" s="24"/>
      <c r="HJ45" s="24"/>
      <c r="HK45" s="24"/>
      <c r="HL45" s="24"/>
      <c r="HM45" s="24"/>
      <c r="HN45" s="24"/>
      <c r="HO45" s="24"/>
      <c r="HP45" s="24"/>
      <c r="HQ45" s="24"/>
      <c r="HR45" s="24"/>
      <c r="HS45" s="24"/>
      <c r="HT45" s="24"/>
      <c r="HU45" s="24"/>
      <c r="HV45" s="24"/>
      <c r="HW45" s="24"/>
      <c r="HX45" s="24"/>
      <c r="HY45" s="24"/>
      <c r="HZ45" s="24"/>
      <c r="IA45" s="24"/>
      <c r="IB45" s="24"/>
      <c r="IC45" s="24"/>
      <c r="ID45" s="24"/>
      <c r="IE45" s="24"/>
      <c r="IF45" s="24"/>
      <c r="IG45" s="24"/>
      <c r="IH45" s="24"/>
      <c r="II45" s="24"/>
      <c r="IJ45" s="24"/>
      <c r="IK45" s="24"/>
      <c r="IL45" s="24"/>
      <c r="IM45" s="24"/>
      <c r="IN45" s="24"/>
      <c r="IO45" s="24"/>
      <c r="IP45" s="24"/>
      <c r="IQ45" s="24"/>
      <c r="IR45" s="24"/>
      <c r="IS45" s="24"/>
      <c r="IT45" s="24"/>
      <c r="IU45" s="24"/>
      <c r="IV45" s="24"/>
      <c r="IW45" s="24"/>
      <c r="IX45" s="24"/>
      <c r="IY45" s="24"/>
      <c r="IZ45" s="24"/>
      <c r="JA45" s="24"/>
      <c r="JB45" s="24"/>
      <c r="JC45" s="24"/>
      <c r="JD45" s="24"/>
      <c r="JE45" s="24"/>
      <c r="JF45" s="24"/>
      <c r="JG45" s="24"/>
      <c r="JH45" s="24"/>
      <c r="JI45" s="24"/>
      <c r="JJ45" s="24"/>
      <c r="JK45" s="24"/>
    </row>
    <row r="46" spans="1:271" s="18" customFormat="1" collapsed="1">
      <c r="A46" s="766"/>
      <c r="B46" s="767" t="s">
        <v>365</v>
      </c>
      <c r="C46" s="789"/>
      <c r="D46" s="768">
        <v>1.988</v>
      </c>
      <c r="E46" s="768">
        <v>1.8</v>
      </c>
      <c r="F46" s="768">
        <v>1.2</v>
      </c>
      <c r="G46" s="768">
        <f>9-SUM(D46:F46)</f>
        <v>4.0119999999999996</v>
      </c>
      <c r="H46" s="769">
        <f t="shared" si="63"/>
        <v>9</v>
      </c>
      <c r="I46" s="768">
        <v>5.6</v>
      </c>
      <c r="J46" s="768">
        <v>5</v>
      </c>
      <c r="K46" s="768">
        <v>4.2</v>
      </c>
      <c r="L46" s="768">
        <f>22-SUM(I46:K46)</f>
        <v>7.1999999999999993</v>
      </c>
      <c r="M46" s="769">
        <f t="shared" si="64"/>
        <v>22</v>
      </c>
      <c r="N46" s="768">
        <v>4.5999999999999996</v>
      </c>
      <c r="O46" s="768">
        <v>5.5</v>
      </c>
      <c r="P46" s="768">
        <v>8.9</v>
      </c>
      <c r="Q46" s="768">
        <f>27-SUM(N46:P46)</f>
        <v>8</v>
      </c>
      <c r="R46" s="769">
        <f t="shared" si="65"/>
        <v>27</v>
      </c>
      <c r="S46" s="768">
        <v>6</v>
      </c>
      <c r="T46" s="768">
        <v>7</v>
      </c>
      <c r="U46" s="768">
        <v>6</v>
      </c>
      <c r="V46" s="768">
        <f>22-SUM(S46:U46)</f>
        <v>3</v>
      </c>
      <c r="W46" s="769">
        <f>SUM(S46:V46)</f>
        <v>22</v>
      </c>
      <c r="X46" s="768">
        <v>4</v>
      </c>
      <c r="Y46" s="768">
        <v>1</v>
      </c>
      <c r="Z46" s="768">
        <v>0</v>
      </c>
      <c r="AA46" s="768">
        <f>7-SUM(X46:Z46)</f>
        <v>2</v>
      </c>
      <c r="AB46" s="769">
        <f>SUM(X46:AA46)</f>
        <v>7</v>
      </c>
      <c r="AC46" s="768">
        <v>5</v>
      </c>
      <c r="AD46" s="768">
        <v>5</v>
      </c>
      <c r="AE46" s="768">
        <v>6</v>
      </c>
      <c r="AF46" s="768">
        <f>21-SUM(AC46:AE46)</f>
        <v>5</v>
      </c>
      <c r="AG46" s="769">
        <f t="shared" si="68"/>
        <v>21</v>
      </c>
      <c r="AH46" s="768">
        <v>6</v>
      </c>
      <c r="AI46" s="768">
        <v>4</v>
      </c>
      <c r="AJ46" s="768">
        <v>3</v>
      </c>
      <c r="AK46" s="768">
        <f>14-SUM(AH46:AJ46)</f>
        <v>1</v>
      </c>
      <c r="AL46" s="769">
        <f>SUM(AH46:AK46)</f>
        <v>14</v>
      </c>
      <c r="AM46" s="768">
        <v>7</v>
      </c>
      <c r="AN46" s="768">
        <v>12</v>
      </c>
      <c r="AO46" s="768">
        <v>9</v>
      </c>
      <c r="AP46" s="768">
        <f>38-SUM(AM46:AO46)</f>
        <v>10</v>
      </c>
      <c r="AQ46" s="769">
        <f>SUM(AM46:AP46)</f>
        <v>38</v>
      </c>
      <c r="AR46" s="768">
        <v>11</v>
      </c>
      <c r="AS46" s="768">
        <v>9</v>
      </c>
      <c r="AT46" s="768">
        <v>5</v>
      </c>
      <c r="AU46" s="768"/>
      <c r="AV46" s="769">
        <v>11</v>
      </c>
      <c r="AW46" s="768">
        <v>8</v>
      </c>
      <c r="AX46" s="768">
        <v>11</v>
      </c>
      <c r="AY46" s="768">
        <v>5</v>
      </c>
      <c r="AZ46" s="768">
        <f>SUM(AV46:AY46)</f>
        <v>35</v>
      </c>
      <c r="BA46" s="768">
        <v>8</v>
      </c>
      <c r="BB46" s="768">
        <v>9</v>
      </c>
      <c r="BC46" s="768">
        <v>6</v>
      </c>
      <c r="BD46" s="768">
        <v>-11</v>
      </c>
      <c r="BE46" s="769">
        <f>SUM(BA46:BD46)</f>
        <v>12</v>
      </c>
      <c r="BF46" s="768">
        <v>5</v>
      </c>
      <c r="BG46" s="768">
        <v>0</v>
      </c>
      <c r="BH46" s="768">
        <v>1</v>
      </c>
      <c r="BI46" s="768">
        <v>-9</v>
      </c>
      <c r="BJ46" s="769">
        <f>SUM(BF46:BI46)</f>
        <v>-3</v>
      </c>
      <c r="BK46" s="768">
        <v>3</v>
      </c>
      <c r="BL46" s="768">
        <v>3</v>
      </c>
      <c r="BM46" s="768">
        <v>0</v>
      </c>
      <c r="BN46" s="768">
        <v>1</v>
      </c>
      <c r="BO46" s="769">
        <f>SUM(BK46:BN46)</f>
        <v>7</v>
      </c>
      <c r="BP46" s="768">
        <v>1</v>
      </c>
      <c r="BQ46" s="768">
        <v>0</v>
      </c>
      <c r="BR46" s="768">
        <v>1</v>
      </c>
      <c r="BS46" s="768">
        <v>2</v>
      </c>
      <c r="BT46" s="769">
        <f>SUM(BP46:BS46)</f>
        <v>4</v>
      </c>
      <c r="BU46" s="768">
        <v>2</v>
      </c>
      <c r="BV46" s="768">
        <v>1</v>
      </c>
      <c r="BW46" s="768">
        <v>0</v>
      </c>
      <c r="BX46" s="768">
        <v>1</v>
      </c>
      <c r="BY46" s="769">
        <f>SUM(BU46:BX46)</f>
        <v>4</v>
      </c>
      <c r="BZ46" s="768">
        <v>1</v>
      </c>
      <c r="CA46" s="768">
        <v>0</v>
      </c>
      <c r="CB46" s="768">
        <v>2</v>
      </c>
      <c r="CC46" s="768">
        <v>3</v>
      </c>
      <c r="CD46" s="769">
        <f>SUM(BZ46:CC46)</f>
        <v>6</v>
      </c>
      <c r="CE46" s="768">
        <v>5</v>
      </c>
      <c r="CF46" s="768">
        <v>1</v>
      </c>
      <c r="CG46" s="768">
        <v>2</v>
      </c>
      <c r="CH46" s="768">
        <v>2</v>
      </c>
      <c r="CI46" s="769">
        <f>SUM(CE46:CH46)</f>
        <v>10</v>
      </c>
      <c r="CJ46" s="768">
        <v>1</v>
      </c>
      <c r="CK46" s="768">
        <v>4</v>
      </c>
      <c r="CL46" s="768">
        <v>2</v>
      </c>
      <c r="CM46" s="768">
        <v>2</v>
      </c>
      <c r="CN46" s="769">
        <f>+SUM(CJ46:CM46)</f>
        <v>9</v>
      </c>
      <c r="CO46" s="768">
        <v>3</v>
      </c>
      <c r="CP46" s="768">
        <v>2</v>
      </c>
      <c r="CQ46" s="768">
        <v>3</v>
      </c>
      <c r="CR46" s="768">
        <v>4</v>
      </c>
      <c r="CS46" s="769">
        <f>+SUM(CO46:CR46)</f>
        <v>12</v>
      </c>
      <c r="CT46" s="768">
        <v>3</v>
      </c>
      <c r="CU46" s="768">
        <v>-18</v>
      </c>
      <c r="CV46" s="768">
        <v>-9</v>
      </c>
      <c r="CW46" s="768">
        <v>5</v>
      </c>
      <c r="CX46" s="769">
        <f>+SUM(CT46:CW46)</f>
        <v>-19</v>
      </c>
      <c r="CY46" s="768">
        <v>5</v>
      </c>
      <c r="CZ46" s="768">
        <v>7</v>
      </c>
      <c r="DA46" s="768">
        <v>8</v>
      </c>
      <c r="DB46" s="768">
        <v>10</v>
      </c>
      <c r="DC46" s="769">
        <f>+SUM(CY46:DB46)</f>
        <v>30</v>
      </c>
      <c r="DD46" s="768">
        <v>16</v>
      </c>
      <c r="DE46" s="768">
        <v>19</v>
      </c>
      <c r="DF46" s="768">
        <v>9</v>
      </c>
      <c r="DG46" s="768">
        <v>20</v>
      </c>
      <c r="DH46" s="769">
        <f>+SUM(DD46:DG46)</f>
        <v>64</v>
      </c>
      <c r="DI46" s="768">
        <v>29</v>
      </c>
      <c r="DJ46" s="768">
        <v>33</v>
      </c>
      <c r="DK46" s="768">
        <v>57</v>
      </c>
      <c r="DL46" s="768">
        <v>99</v>
      </c>
      <c r="DM46" s="769">
        <f>+SUM(DI46:DL46)</f>
        <v>218</v>
      </c>
      <c r="DN46" s="768">
        <v>93</v>
      </c>
      <c r="DO46" s="768">
        <v>85</v>
      </c>
      <c r="DP46" s="768">
        <v>88</v>
      </c>
      <c r="DQ46" s="768">
        <v>102</v>
      </c>
      <c r="DR46" s="769">
        <f>+SUM(DN46:DQ46)</f>
        <v>368</v>
      </c>
      <c r="DS46" s="768">
        <v>89</v>
      </c>
      <c r="DT46" s="768">
        <v>87</v>
      </c>
      <c r="DU46" s="768">
        <v>78</v>
      </c>
      <c r="DV46" s="768">
        <v>130</v>
      </c>
      <c r="DW46" s="769">
        <f>+SUM(DS46:DV46)</f>
        <v>384</v>
      </c>
      <c r="DX46" s="792">
        <v>89.936610484377979</v>
      </c>
      <c r="DY46" s="792">
        <v>93.015642270220923</v>
      </c>
      <c r="DZ46" s="792">
        <v>94.761317006065426</v>
      </c>
      <c r="EA46" s="792">
        <v>135.34049913131511</v>
      </c>
      <c r="EB46" s="769">
        <f>+SUM(DX46:EA46)</f>
        <v>413.05406889197945</v>
      </c>
      <c r="EC46" s="792">
        <v>105.18673133851398</v>
      </c>
      <c r="ED46" s="792">
        <v>110.63696564455832</v>
      </c>
      <c r="EE46" s="792">
        <v>107.40572631292706</v>
      </c>
      <c r="EF46" s="792">
        <v>131.4951538522219</v>
      </c>
      <c r="EG46" s="769">
        <f>+SUM(EC46:EF46)</f>
        <v>454.72457714822127</v>
      </c>
      <c r="EH46" s="791">
        <v>114.02760889284593</v>
      </c>
      <c r="EI46" s="791">
        <v>119.27641564026187</v>
      </c>
      <c r="EJ46" s="791">
        <v>115.69772150499462</v>
      </c>
      <c r="EK46" s="791">
        <v>141.76882388592313</v>
      </c>
      <c r="EL46" s="769">
        <f>+SUM(EH46:EK46)</f>
        <v>490.77056992402549</v>
      </c>
      <c r="EM46" s="21"/>
      <c r="EN46"/>
      <c r="EO46"/>
      <c r="EP46"/>
      <c r="EQ46"/>
      <c r="ER46"/>
      <c r="ES46" s="23"/>
      <c r="ET46"/>
      <c r="EU46" s="23"/>
      <c r="EV46" s="23"/>
      <c r="EW46" s="23"/>
      <c r="EX46" s="24"/>
      <c r="EY46" s="24"/>
      <c r="EZ46" s="24"/>
      <c r="FA46" s="24"/>
      <c r="FB46" s="24"/>
      <c r="FC46" s="24"/>
      <c r="FD46" s="24"/>
      <c r="FE46" s="24"/>
      <c r="FF46" s="24"/>
      <c r="FG46" s="24"/>
      <c r="FH46" s="24"/>
      <c r="FI46" s="24"/>
      <c r="FJ46" s="24"/>
      <c r="FK46" s="24"/>
      <c r="FL46" s="24"/>
      <c r="FM46" s="24"/>
      <c r="FN46" s="24"/>
      <c r="FO46" s="24"/>
      <c r="FP46" s="24"/>
      <c r="FQ46" s="24"/>
      <c r="FR46" s="24"/>
      <c r="FS46" s="24"/>
      <c r="FT46" s="24"/>
      <c r="FU46" s="24"/>
      <c r="FV46" s="24"/>
      <c r="FW46" s="24"/>
      <c r="FX46" s="24"/>
      <c r="FY46" s="24"/>
      <c r="FZ46" s="24"/>
      <c r="GA46" s="24"/>
      <c r="GB46" s="24"/>
      <c r="GC46" s="24"/>
      <c r="GD46" s="24"/>
      <c r="GE46" s="24"/>
      <c r="GF46" s="24"/>
      <c r="GG46" s="24"/>
      <c r="GH46" s="24"/>
      <c r="GI46" s="24"/>
      <c r="GJ46" s="24"/>
      <c r="GK46" s="24"/>
      <c r="GL46" s="24"/>
      <c r="GM46" s="24"/>
      <c r="GN46" s="24"/>
      <c r="GO46" s="24"/>
      <c r="GP46" s="24"/>
      <c r="GQ46" s="24"/>
      <c r="GR46" s="24"/>
      <c r="GS46" s="24"/>
      <c r="GT46" s="24"/>
      <c r="GU46" s="24"/>
      <c r="GV46" s="24"/>
      <c r="GW46" s="24"/>
      <c r="GX46" s="24"/>
      <c r="GY46" s="24"/>
      <c r="GZ46" s="24"/>
      <c r="HA46" s="24"/>
      <c r="HB46" s="24"/>
      <c r="HC46" s="24"/>
      <c r="HD46" s="24"/>
      <c r="HE46" s="24"/>
      <c r="HF46" s="24"/>
      <c r="HG46" s="24"/>
      <c r="HH46" s="24"/>
      <c r="HI46" s="24"/>
      <c r="HJ46" s="24"/>
      <c r="HK46" s="24"/>
      <c r="HL46" s="24"/>
      <c r="HM46" s="24"/>
      <c r="HN46" s="24"/>
      <c r="HO46" s="24"/>
      <c r="HP46" s="24"/>
      <c r="HQ46" s="24"/>
      <c r="HR46" s="24"/>
      <c r="HS46" s="24"/>
      <c r="HT46" s="24"/>
      <c r="HU46" s="24"/>
      <c r="HV46" s="24"/>
      <c r="HW46" s="24"/>
      <c r="HX46" s="24"/>
      <c r="HY46" s="24"/>
      <c r="HZ46" s="24"/>
      <c r="IA46" s="24"/>
      <c r="IB46" s="24"/>
      <c r="IC46" s="24"/>
      <c r="ID46" s="24"/>
      <c r="IE46" s="24"/>
      <c r="IF46" s="24"/>
      <c r="IG46" s="24"/>
      <c r="IH46" s="24"/>
      <c r="II46" s="24"/>
      <c r="IJ46" s="24"/>
      <c r="IK46" s="24"/>
      <c r="IL46" s="24"/>
      <c r="IM46" s="24"/>
      <c r="IN46" s="24"/>
      <c r="IO46" s="24"/>
      <c r="IP46" s="24"/>
      <c r="IQ46" s="24"/>
      <c r="IR46" s="24"/>
      <c r="IS46" s="24"/>
      <c r="IT46" s="24"/>
      <c r="IU46" s="24"/>
      <c r="IV46" s="24"/>
      <c r="IW46" s="24"/>
      <c r="IX46" s="24"/>
      <c r="IY46" s="24"/>
      <c r="IZ46" s="24"/>
      <c r="JA46" s="24"/>
      <c r="JB46" s="24"/>
      <c r="JC46" s="24"/>
      <c r="JD46" s="24"/>
      <c r="JE46" s="24"/>
      <c r="JF46" s="24"/>
      <c r="JG46" s="24"/>
      <c r="JH46" s="24"/>
      <c r="JI46" s="24"/>
      <c r="JJ46" s="24"/>
      <c r="JK46" s="24"/>
    </row>
    <row r="47" spans="1:271" s="1479" customFormat="1">
      <c r="A47" s="1542"/>
      <c r="B47" s="1543" t="s">
        <v>366</v>
      </c>
      <c r="C47" s="1544"/>
      <c r="D47" s="1545">
        <f t="shared" ref="D47:AT47" si="98">+D35+D43+D44-D45-D46</f>
        <v>64.02800000000002</v>
      </c>
      <c r="E47" s="1545">
        <f t="shared" si="98"/>
        <v>46.199999999999974</v>
      </c>
      <c r="F47" s="1545">
        <f t="shared" si="98"/>
        <v>48.899999999999949</v>
      </c>
      <c r="G47" s="1545">
        <f t="shared" si="98"/>
        <v>5.8719999999999937</v>
      </c>
      <c r="H47" s="1546">
        <f t="shared" si="98"/>
        <v>164.99999999999997</v>
      </c>
      <c r="I47" s="1545">
        <f t="shared" si="98"/>
        <v>118.30000000000004</v>
      </c>
      <c r="J47" s="1545">
        <f t="shared" si="98"/>
        <v>182.79999999999998</v>
      </c>
      <c r="K47" s="1545">
        <f t="shared" si="98"/>
        <v>70.700000000000117</v>
      </c>
      <c r="L47" s="1545">
        <f t="shared" si="98"/>
        <v>-21.800000000000257</v>
      </c>
      <c r="M47" s="1546">
        <f t="shared" si="98"/>
        <v>350</v>
      </c>
      <c r="N47" s="1545">
        <f t="shared" si="98"/>
        <v>72.399999999999892</v>
      </c>
      <c r="O47" s="1545">
        <f t="shared" si="98"/>
        <v>76.799999999999869</v>
      </c>
      <c r="P47" s="1545">
        <f t="shared" si="98"/>
        <v>-113.29999999999993</v>
      </c>
      <c r="Q47" s="1545">
        <f t="shared" si="98"/>
        <v>-289.90000000000066</v>
      </c>
      <c r="R47" s="1546">
        <f t="shared" si="98"/>
        <v>-254</v>
      </c>
      <c r="S47" s="1545">
        <f t="shared" si="98"/>
        <v>116</v>
      </c>
      <c r="T47" s="1545">
        <f t="shared" si="98"/>
        <v>138</v>
      </c>
      <c r="U47" s="1545">
        <f t="shared" si="98"/>
        <v>148</v>
      </c>
      <c r="V47" s="1545">
        <f t="shared" si="98"/>
        <v>-141</v>
      </c>
      <c r="W47" s="1546">
        <f t="shared" si="98"/>
        <v>261</v>
      </c>
      <c r="X47" s="1545">
        <f t="shared" si="98"/>
        <v>137</v>
      </c>
      <c r="Y47" s="1545">
        <f t="shared" si="98"/>
        <v>125</v>
      </c>
      <c r="Z47" s="1545">
        <f t="shared" si="98"/>
        <v>124</v>
      </c>
      <c r="AA47" s="1545">
        <f t="shared" si="98"/>
        <v>-137</v>
      </c>
      <c r="AB47" s="1546">
        <f t="shared" si="98"/>
        <v>249</v>
      </c>
      <c r="AC47" s="1545">
        <f t="shared" si="98"/>
        <v>109</v>
      </c>
      <c r="AD47" s="1545">
        <f t="shared" si="98"/>
        <v>135</v>
      </c>
      <c r="AE47" s="1545">
        <f t="shared" si="98"/>
        <v>38</v>
      </c>
      <c r="AF47" s="1545">
        <f t="shared" si="98"/>
        <v>20</v>
      </c>
      <c r="AG47" s="1546">
        <f t="shared" si="98"/>
        <v>302</v>
      </c>
      <c r="AH47" s="1545">
        <f t="shared" si="98"/>
        <v>154</v>
      </c>
      <c r="AI47" s="1545">
        <f t="shared" si="98"/>
        <v>175</v>
      </c>
      <c r="AJ47" s="1545">
        <f t="shared" si="98"/>
        <v>198</v>
      </c>
      <c r="AK47" s="1545">
        <f t="shared" si="98"/>
        <v>116</v>
      </c>
      <c r="AL47" s="1546">
        <f t="shared" si="98"/>
        <v>643</v>
      </c>
      <c r="AM47" s="1545">
        <f t="shared" si="98"/>
        <v>155</v>
      </c>
      <c r="AN47" s="1545">
        <f t="shared" si="98"/>
        <v>89</v>
      </c>
      <c r="AO47" s="1545">
        <f t="shared" si="98"/>
        <v>280</v>
      </c>
      <c r="AP47" s="1545">
        <f t="shared" si="98"/>
        <v>261</v>
      </c>
      <c r="AQ47" s="1546">
        <f t="shared" si="98"/>
        <v>785</v>
      </c>
      <c r="AR47" s="1545">
        <f t="shared" si="98"/>
        <v>338</v>
      </c>
      <c r="AS47" s="1545">
        <f t="shared" si="98"/>
        <v>315</v>
      </c>
      <c r="AT47" s="1545">
        <f t="shared" si="98"/>
        <v>-55</v>
      </c>
      <c r="AU47" s="1545"/>
      <c r="AV47" s="1546">
        <f t="shared" ref="AV47:CA47" si="99">+AV35+AV43+AV44-AV45-AV46</f>
        <v>278</v>
      </c>
      <c r="AW47" s="1545">
        <f t="shared" si="99"/>
        <v>242</v>
      </c>
      <c r="AX47" s="1545">
        <f t="shared" si="99"/>
        <v>328</v>
      </c>
      <c r="AY47" s="1545">
        <f t="shared" si="99"/>
        <v>-31</v>
      </c>
      <c r="AZ47" s="1545">
        <f t="shared" si="99"/>
        <v>817</v>
      </c>
      <c r="BA47" s="1545">
        <f t="shared" si="99"/>
        <v>-20</v>
      </c>
      <c r="BB47" s="1545">
        <f t="shared" si="99"/>
        <v>-195</v>
      </c>
      <c r="BC47" s="1545">
        <f t="shared" si="99"/>
        <v>-308</v>
      </c>
      <c r="BD47" s="1545">
        <f t="shared" si="99"/>
        <v>-954</v>
      </c>
      <c r="BE47" s="1546">
        <f t="shared" si="99"/>
        <v>-1477</v>
      </c>
      <c r="BF47" s="1545">
        <f t="shared" si="99"/>
        <v>-122</v>
      </c>
      <c r="BG47" s="1545">
        <f t="shared" si="99"/>
        <v>-426</v>
      </c>
      <c r="BH47" s="1545">
        <f t="shared" si="99"/>
        <v>-70</v>
      </c>
      <c r="BI47" s="1545">
        <f t="shared" si="99"/>
        <v>-2022</v>
      </c>
      <c r="BJ47" s="1546">
        <f t="shared" si="99"/>
        <v>-2640</v>
      </c>
      <c r="BK47" s="1545">
        <f t="shared" si="99"/>
        <v>-4</v>
      </c>
      <c r="BL47" s="1545">
        <f t="shared" si="99"/>
        <v>-33</v>
      </c>
      <c r="BM47" s="1545">
        <f t="shared" si="99"/>
        <v>-401</v>
      </c>
      <c r="BN47" s="1545">
        <f t="shared" si="99"/>
        <v>-286</v>
      </c>
      <c r="BO47" s="1546">
        <f t="shared" si="99"/>
        <v>-724</v>
      </c>
      <c r="BP47" s="1545">
        <f t="shared" si="99"/>
        <v>70</v>
      </c>
      <c r="BQ47" s="1545">
        <f t="shared" si="99"/>
        <v>-398</v>
      </c>
      <c r="BR47" s="1545">
        <f t="shared" si="99"/>
        <v>-89</v>
      </c>
      <c r="BS47" s="1545">
        <f t="shared" si="99"/>
        <v>-386</v>
      </c>
      <c r="BT47" s="1546">
        <f t="shared" si="99"/>
        <v>-803</v>
      </c>
      <c r="BU47" s="1545">
        <f t="shared" si="99"/>
        <v>75</v>
      </c>
      <c r="BV47" s="1545">
        <f t="shared" si="99"/>
        <v>-30</v>
      </c>
      <c r="BW47" s="1545">
        <f t="shared" si="99"/>
        <v>-59</v>
      </c>
      <c r="BX47" s="1545">
        <f t="shared" si="99"/>
        <v>-75</v>
      </c>
      <c r="BY47" s="1546">
        <f t="shared" si="99"/>
        <v>-89</v>
      </c>
      <c r="BZ47" s="1545">
        <f t="shared" si="99"/>
        <v>-31</v>
      </c>
      <c r="CA47" s="1545">
        <f t="shared" si="99"/>
        <v>-15</v>
      </c>
      <c r="CB47" s="1545">
        <f t="shared" ref="CB47:DG47" si="100">+CB35+CB43+CB44-CB45-CB46</f>
        <v>104</v>
      </c>
      <c r="CC47" s="1545">
        <f t="shared" si="100"/>
        <v>-33</v>
      </c>
      <c r="CD47" s="1546">
        <f t="shared" si="100"/>
        <v>25</v>
      </c>
      <c r="CE47" s="1545">
        <f t="shared" si="100"/>
        <v>178</v>
      </c>
      <c r="CF47" s="1545">
        <f t="shared" si="100"/>
        <v>-15</v>
      </c>
      <c r="CG47" s="1545">
        <f t="shared" si="100"/>
        <v>-3</v>
      </c>
      <c r="CH47" s="1545">
        <f t="shared" si="100"/>
        <v>21</v>
      </c>
      <c r="CI47" s="1546">
        <f t="shared" si="100"/>
        <v>181</v>
      </c>
      <c r="CJ47" s="1545">
        <f t="shared" si="100"/>
        <v>88</v>
      </c>
      <c r="CK47" s="1545">
        <f t="shared" si="100"/>
        <v>25</v>
      </c>
      <c r="CL47" s="1545">
        <f t="shared" si="100"/>
        <v>932</v>
      </c>
      <c r="CM47" s="1545">
        <f t="shared" si="100"/>
        <v>74</v>
      </c>
      <c r="CN47" s="1546">
        <f t="shared" si="100"/>
        <v>1119</v>
      </c>
      <c r="CO47" s="1545">
        <f t="shared" si="100"/>
        <v>73</v>
      </c>
      <c r="CP47" s="1545">
        <f t="shared" si="100"/>
        <v>55</v>
      </c>
      <c r="CQ47" s="1545">
        <f t="shared" si="100"/>
        <v>6</v>
      </c>
      <c r="CR47" s="1545">
        <f t="shared" si="100"/>
        <v>-76</v>
      </c>
      <c r="CS47" s="1546">
        <f t="shared" si="100"/>
        <v>58</v>
      </c>
      <c r="CT47" s="1545">
        <f t="shared" si="100"/>
        <v>58</v>
      </c>
      <c r="CU47" s="1545">
        <f t="shared" si="100"/>
        <v>-6</v>
      </c>
      <c r="CV47" s="1545">
        <f t="shared" si="100"/>
        <v>40</v>
      </c>
      <c r="CW47" s="1545">
        <f t="shared" si="100"/>
        <v>49</v>
      </c>
      <c r="CX47" s="1546">
        <f t="shared" si="100"/>
        <v>141</v>
      </c>
      <c r="CY47" s="1545">
        <f t="shared" si="100"/>
        <v>-88</v>
      </c>
      <c r="CZ47" s="1545">
        <f t="shared" si="100"/>
        <v>-50</v>
      </c>
      <c r="DA47" s="1545">
        <f t="shared" si="100"/>
        <v>28</v>
      </c>
      <c r="DB47" s="1545">
        <f t="shared" si="100"/>
        <v>-24</v>
      </c>
      <c r="DC47" s="1546">
        <f t="shared" si="100"/>
        <v>-134</v>
      </c>
      <c r="DD47" s="1545">
        <f t="shared" si="100"/>
        <v>-32</v>
      </c>
      <c r="DE47" s="1545">
        <f t="shared" si="100"/>
        <v>-26</v>
      </c>
      <c r="DF47" s="1545">
        <f t="shared" si="100"/>
        <v>9</v>
      </c>
      <c r="DG47" s="1545">
        <f t="shared" si="100"/>
        <v>61</v>
      </c>
      <c r="DH47" s="1546">
        <f t="shared" ref="DH47:DQ47" si="101">+DH35+DH43+DH44-DH45-DH46</f>
        <v>12</v>
      </c>
      <c r="DI47" s="1545">
        <f>+DI35+DI43+DI44-DI45-DI46</f>
        <v>47</v>
      </c>
      <c r="DJ47" s="1545">
        <f t="shared" si="101"/>
        <v>-61</v>
      </c>
      <c r="DK47" s="1545">
        <f>+DK35+DK43+DK44-DK45-DK46</f>
        <v>-29</v>
      </c>
      <c r="DL47" s="1545">
        <f t="shared" si="101"/>
        <v>-97</v>
      </c>
      <c r="DM47" s="1546">
        <f t="shared" si="101"/>
        <v>-140</v>
      </c>
      <c r="DN47" s="1545">
        <f t="shared" si="101"/>
        <v>-59</v>
      </c>
      <c r="DO47" s="1545">
        <f t="shared" si="101"/>
        <v>-46</v>
      </c>
      <c r="DP47" s="1545">
        <f t="shared" si="101"/>
        <v>-8</v>
      </c>
      <c r="DQ47" s="1545">
        <f t="shared" si="101"/>
        <v>-79</v>
      </c>
      <c r="DR47" s="1546">
        <f>+DR35+DR43+DR44-DR45-DR46</f>
        <v>-192</v>
      </c>
      <c r="DS47" s="1545">
        <f>+DS35+DS43+DS44-DS45-DS46</f>
        <v>-53</v>
      </c>
      <c r="DT47" s="1545">
        <f t="shared" ref="DT47:EB47" si="102">+DT35+DT43+DT44-DT45-DT46</f>
        <v>-55</v>
      </c>
      <c r="DU47" s="1545">
        <f>+DU35+DU43+DU44-DU45-DU46</f>
        <v>-367</v>
      </c>
      <c r="DV47" s="1545">
        <f t="shared" ref="DV47" si="103">+DV35+DV43+DV44-DV45-DV46</f>
        <v>-229</v>
      </c>
      <c r="DW47" s="1546">
        <f t="shared" si="102"/>
        <v>-704</v>
      </c>
      <c r="DX47" s="1545">
        <f t="shared" si="102"/>
        <v>26.070229558280374</v>
      </c>
      <c r="DY47" s="1545">
        <f t="shared" si="102"/>
        <v>64.247781762778089</v>
      </c>
      <c r="DZ47" s="1545">
        <f t="shared" si="102"/>
        <v>65.723898534745999</v>
      </c>
      <c r="EA47" s="1545">
        <f t="shared" si="102"/>
        <v>16.518168441145264</v>
      </c>
      <c r="EB47" s="1546">
        <f t="shared" si="102"/>
        <v>172.56007829695079</v>
      </c>
      <c r="EC47" s="1545">
        <f t="shared" ref="EC47:EL47" si="104">+EC35+EC43+EC44-EC45-EC46</f>
        <v>58.78782894200323</v>
      </c>
      <c r="ED47" s="1545">
        <f t="shared" si="104"/>
        <v>47.640692349388516</v>
      </c>
      <c r="EE47" s="1545">
        <f t="shared" si="104"/>
        <v>56.223728709718628</v>
      </c>
      <c r="EF47" s="1545">
        <f t="shared" si="104"/>
        <v>52.03914111403185</v>
      </c>
      <c r="EG47" s="1546">
        <f t="shared" si="104"/>
        <v>214.69139111514306</v>
      </c>
      <c r="EH47" s="1545">
        <f t="shared" si="104"/>
        <v>63.913742239847181</v>
      </c>
      <c r="EI47" s="1545">
        <f t="shared" si="104"/>
        <v>63.239959684202958</v>
      </c>
      <c r="EJ47" s="1545">
        <f t="shared" si="104"/>
        <v>65.238382640434807</v>
      </c>
      <c r="EK47" s="1545">
        <f t="shared" si="104"/>
        <v>33.61224933750529</v>
      </c>
      <c r="EL47" s="1546">
        <f t="shared" si="104"/>
        <v>226.00433390199237</v>
      </c>
      <c r="EM47" s="604"/>
      <c r="EN47"/>
      <c r="EO47"/>
      <c r="EP47"/>
      <c r="EQ47"/>
      <c r="ER47"/>
      <c r="ES47" s="1477"/>
      <c r="ET47"/>
      <c r="EU47" s="1477"/>
      <c r="EV47" s="1477"/>
      <c r="EW47" s="1477"/>
      <c r="EX47" s="1478"/>
      <c r="EY47" s="1478"/>
      <c r="EZ47" s="1478"/>
      <c r="FA47" s="1478"/>
      <c r="FB47" s="1478"/>
      <c r="FC47" s="1478"/>
      <c r="FD47" s="1478"/>
      <c r="FE47" s="1478"/>
      <c r="FF47" s="1478"/>
      <c r="FG47" s="1478"/>
      <c r="FH47" s="1478"/>
      <c r="FI47" s="1478"/>
      <c r="FJ47" s="1478"/>
      <c r="FK47" s="1478"/>
      <c r="FL47" s="1478"/>
      <c r="FM47" s="1478"/>
      <c r="FN47" s="1478"/>
      <c r="FO47" s="1478"/>
      <c r="FP47" s="1478"/>
      <c r="FQ47" s="1478"/>
      <c r="FR47" s="1478"/>
      <c r="FS47" s="1478"/>
      <c r="FT47" s="1478"/>
      <c r="FU47" s="1478"/>
      <c r="FV47" s="1478"/>
      <c r="FW47" s="1478"/>
      <c r="FX47" s="1478"/>
      <c r="FY47" s="1478"/>
      <c r="FZ47" s="1478"/>
      <c r="GA47" s="1478"/>
      <c r="GB47" s="1478"/>
      <c r="GC47" s="1478"/>
      <c r="GD47" s="1478"/>
      <c r="GE47" s="1478"/>
      <c r="GF47" s="1478"/>
      <c r="GG47" s="1478"/>
      <c r="GH47" s="1478"/>
      <c r="GI47" s="1478"/>
      <c r="GJ47" s="1478"/>
      <c r="GK47" s="1478"/>
      <c r="GL47" s="1478"/>
      <c r="GM47" s="1478"/>
      <c r="GN47" s="1478"/>
      <c r="GO47" s="1478"/>
      <c r="GP47" s="1478"/>
      <c r="GQ47" s="1478"/>
      <c r="GR47" s="1478"/>
      <c r="GS47" s="1478"/>
      <c r="GT47" s="1478"/>
      <c r="GU47" s="1478"/>
      <c r="GV47" s="1478"/>
      <c r="GW47" s="1478"/>
      <c r="GX47" s="1478"/>
      <c r="GY47" s="1478"/>
      <c r="GZ47" s="1478"/>
      <c r="HA47" s="1478"/>
      <c r="HB47" s="1478"/>
      <c r="HC47" s="1478"/>
      <c r="HD47" s="1478"/>
      <c r="HE47" s="1478"/>
      <c r="HF47" s="1478"/>
      <c r="HG47" s="1478"/>
      <c r="HH47" s="1478"/>
      <c r="HI47" s="1478"/>
      <c r="HJ47" s="1478"/>
      <c r="HK47" s="1478"/>
      <c r="HL47" s="1478"/>
      <c r="HM47" s="1478"/>
      <c r="HN47" s="1478"/>
      <c r="HO47" s="1478"/>
      <c r="HP47" s="1478"/>
      <c r="HQ47" s="1478"/>
      <c r="HR47" s="1478"/>
      <c r="HS47" s="1478"/>
      <c r="HT47" s="1478"/>
      <c r="HU47" s="1478"/>
      <c r="HV47" s="1478"/>
      <c r="HW47" s="1478"/>
      <c r="HX47" s="1478"/>
      <c r="HY47" s="1478"/>
      <c r="HZ47" s="1478"/>
      <c r="IA47" s="1478"/>
      <c r="IB47" s="1478"/>
      <c r="IC47" s="1478"/>
      <c r="ID47" s="1478"/>
      <c r="IE47" s="1478"/>
      <c r="IF47" s="1478"/>
      <c r="IG47" s="1478"/>
      <c r="IH47" s="1478"/>
      <c r="II47" s="1478"/>
      <c r="IJ47" s="1478"/>
      <c r="IK47" s="1478"/>
      <c r="IL47" s="1478"/>
      <c r="IM47" s="1478"/>
      <c r="IN47" s="1478"/>
      <c r="IO47" s="1478"/>
      <c r="IP47" s="1478"/>
      <c r="IQ47" s="1478"/>
      <c r="IR47" s="1478"/>
      <c r="IS47" s="1478"/>
      <c r="IT47" s="1478"/>
      <c r="IU47" s="1478"/>
      <c r="IV47" s="1478"/>
      <c r="IW47" s="1478"/>
      <c r="IX47" s="1478"/>
      <c r="IY47" s="1478"/>
      <c r="IZ47" s="1478"/>
      <c r="JA47" s="1478"/>
      <c r="JB47" s="1478"/>
      <c r="JC47" s="1478"/>
      <c r="JD47" s="1478"/>
      <c r="JE47" s="1478"/>
      <c r="JF47" s="1478"/>
      <c r="JG47" s="1478"/>
      <c r="JH47" s="1478"/>
      <c r="JI47" s="1478"/>
      <c r="JJ47" s="1478"/>
      <c r="JK47" s="1478"/>
    </row>
    <row r="48" spans="1:271" s="36" customFormat="1" hidden="1" outlineLevel="1">
      <c r="A48" s="766"/>
      <c r="B48" s="767" t="s">
        <v>367</v>
      </c>
      <c r="C48" s="737"/>
      <c r="D48" s="792">
        <v>1.47</v>
      </c>
      <c r="E48" s="792">
        <v>2.258</v>
      </c>
      <c r="F48" s="792">
        <v>1.7749999999999999</v>
      </c>
      <c r="G48" s="792">
        <v>0</v>
      </c>
      <c r="H48" s="769">
        <f>SUM(D48:G48)</f>
        <v>5.5030000000000001</v>
      </c>
      <c r="I48" s="792">
        <v>1.7869999999999999</v>
      </c>
      <c r="J48" s="792">
        <v>0</v>
      </c>
      <c r="K48" s="792">
        <v>0</v>
      </c>
      <c r="L48" s="792">
        <v>0</v>
      </c>
      <c r="M48" s="769">
        <f>SUM(I48:L48)</f>
        <v>1.7869999999999999</v>
      </c>
      <c r="N48" s="792">
        <v>0</v>
      </c>
      <c r="O48" s="792">
        <v>0</v>
      </c>
      <c r="P48" s="792">
        <v>0</v>
      </c>
      <c r="Q48" s="792">
        <v>0</v>
      </c>
      <c r="R48" s="769">
        <f>SUM(N48:Q48)</f>
        <v>0</v>
      </c>
      <c r="S48" s="792">
        <v>0</v>
      </c>
      <c r="T48" s="792">
        <v>0</v>
      </c>
      <c r="U48" s="792">
        <v>0</v>
      </c>
      <c r="V48" s="792">
        <v>0</v>
      </c>
      <c r="W48" s="769">
        <f>SUM(S48:V48)</f>
        <v>0</v>
      </c>
      <c r="X48" s="792">
        <v>0</v>
      </c>
      <c r="Y48" s="792">
        <v>0</v>
      </c>
      <c r="Z48" s="792">
        <v>0</v>
      </c>
      <c r="AA48" s="792">
        <v>0</v>
      </c>
      <c r="AB48" s="769">
        <f>SUM(X48:AA48)</f>
        <v>0</v>
      </c>
      <c r="AC48" s="792">
        <v>0</v>
      </c>
      <c r="AD48" s="792">
        <v>0</v>
      </c>
      <c r="AE48" s="792">
        <v>0</v>
      </c>
      <c r="AF48" s="792">
        <v>0</v>
      </c>
      <c r="AG48" s="769">
        <f>SUM(AC48:AF48)</f>
        <v>0</v>
      </c>
      <c r="AH48" s="792">
        <v>0</v>
      </c>
      <c r="AI48" s="792">
        <v>0</v>
      </c>
      <c r="AJ48" s="792">
        <v>0</v>
      </c>
      <c r="AK48" s="792">
        <v>0</v>
      </c>
      <c r="AL48" s="769">
        <f>SUM(AH48:AK48)</f>
        <v>0</v>
      </c>
      <c r="AM48" s="792">
        <v>0</v>
      </c>
      <c r="AN48" s="792">
        <v>0</v>
      </c>
      <c r="AO48" s="792">
        <v>0</v>
      </c>
      <c r="AP48" s="792">
        <v>0</v>
      </c>
      <c r="AQ48" s="769">
        <f>SUM(AM48:AP48)</f>
        <v>0</v>
      </c>
      <c r="AR48" s="792">
        <v>0</v>
      </c>
      <c r="AS48" s="792">
        <v>0</v>
      </c>
      <c r="AT48" s="792">
        <v>0</v>
      </c>
      <c r="AU48" s="792"/>
      <c r="AV48" s="769">
        <v>0</v>
      </c>
      <c r="AW48" s="792">
        <v>0</v>
      </c>
      <c r="AX48" s="792">
        <v>0</v>
      </c>
      <c r="AY48" s="792">
        <v>0</v>
      </c>
      <c r="AZ48" s="792">
        <f>SUM(AV48:AY48)</f>
        <v>0</v>
      </c>
      <c r="BA48" s="792">
        <v>0</v>
      </c>
      <c r="BB48" s="792">
        <v>0</v>
      </c>
      <c r="BC48" s="792">
        <v>0</v>
      </c>
      <c r="BD48" s="792">
        <v>0</v>
      </c>
      <c r="BE48" s="769">
        <f>SUM(BA48:BD48)</f>
        <v>0</v>
      </c>
      <c r="BF48" s="792">
        <v>0</v>
      </c>
      <c r="BG48" s="792">
        <v>0</v>
      </c>
      <c r="BH48" s="792">
        <v>0</v>
      </c>
      <c r="BI48" s="792">
        <v>0</v>
      </c>
      <c r="BJ48" s="769">
        <f>SUM(BF48:BI48)</f>
        <v>0</v>
      </c>
      <c r="BK48" s="792">
        <v>0</v>
      </c>
      <c r="BL48" s="792">
        <v>0</v>
      </c>
      <c r="BM48" s="792">
        <v>0</v>
      </c>
      <c r="BN48" s="792">
        <v>0</v>
      </c>
      <c r="BO48" s="769">
        <v>0</v>
      </c>
      <c r="BP48" s="792">
        <v>0</v>
      </c>
      <c r="BQ48" s="792">
        <v>0</v>
      </c>
      <c r="BR48" s="792">
        <v>0</v>
      </c>
      <c r="BS48" s="792">
        <v>0</v>
      </c>
      <c r="BT48" s="769">
        <v>0</v>
      </c>
      <c r="BU48" s="792">
        <v>0</v>
      </c>
      <c r="BV48" s="792">
        <v>0</v>
      </c>
      <c r="BW48" s="792">
        <v>0</v>
      </c>
      <c r="BX48" s="792">
        <v>0</v>
      </c>
      <c r="BY48" s="769">
        <v>0</v>
      </c>
      <c r="BZ48" s="792">
        <v>0</v>
      </c>
      <c r="CA48" s="792">
        <v>0</v>
      </c>
      <c r="CB48" s="792">
        <v>0</v>
      </c>
      <c r="CC48" s="792">
        <v>0</v>
      </c>
      <c r="CD48" s="769">
        <v>0</v>
      </c>
      <c r="CE48" s="792">
        <v>0</v>
      </c>
      <c r="CF48" s="792">
        <v>0</v>
      </c>
      <c r="CG48" s="792">
        <v>0</v>
      </c>
      <c r="CH48" s="792">
        <v>0</v>
      </c>
      <c r="CI48" s="769">
        <v>6</v>
      </c>
      <c r="CJ48" s="792">
        <v>6</v>
      </c>
      <c r="CK48" s="792">
        <f>CK45</f>
        <v>6</v>
      </c>
      <c r="CL48" s="792">
        <f>CL45</f>
        <v>6</v>
      </c>
      <c r="CM48" s="792">
        <f>CM45</f>
        <v>6</v>
      </c>
      <c r="CN48" s="769">
        <v>24</v>
      </c>
      <c r="CO48" s="792">
        <f>CO35-CO49</f>
        <v>7</v>
      </c>
      <c r="CP48" s="792">
        <f>CP35-CP49</f>
        <v>9</v>
      </c>
      <c r="CQ48" s="792">
        <f>CQ35-CQ49</f>
        <v>9</v>
      </c>
      <c r="CR48" s="792">
        <f>CR35-CR49</f>
        <v>10</v>
      </c>
      <c r="CS48" s="769">
        <f>+SUM(CO48:CR48)</f>
        <v>35</v>
      </c>
      <c r="CT48" s="792">
        <f>CT35-CT49</f>
        <v>9</v>
      </c>
      <c r="CU48" s="792">
        <f>CU35-CU49</f>
        <v>6</v>
      </c>
      <c r="CV48" s="792">
        <f>CV35-CV49</f>
        <v>3</v>
      </c>
      <c r="CW48" s="792">
        <f>CW35-CW49</f>
        <v>5</v>
      </c>
      <c r="CX48" s="769">
        <f>+SUM(CT48:CW48)</f>
        <v>23</v>
      </c>
      <c r="CY48" s="792">
        <f>CY35-CY49</f>
        <v>-115</v>
      </c>
      <c r="CZ48" s="792">
        <f>CZ35-CZ49</f>
        <v>-114.5</v>
      </c>
      <c r="DA48" s="792">
        <f>DA35-DA49</f>
        <v>-5</v>
      </c>
      <c r="DB48" s="792">
        <f>DB35-DB49</f>
        <v>-50</v>
      </c>
      <c r="DC48" s="769">
        <f>+SUM(CY48:DB48)</f>
        <v>-284.5</v>
      </c>
      <c r="DD48" s="792">
        <f>DD35-DD49</f>
        <v>1</v>
      </c>
      <c r="DE48" s="792">
        <f>DE35-DE49</f>
        <v>-8</v>
      </c>
      <c r="DF48" s="792">
        <f>DF35-DF49</f>
        <v>10</v>
      </c>
      <c r="DG48" s="792">
        <f ca="1">DG35-DG49</f>
        <v>20</v>
      </c>
      <c r="DH48" s="769">
        <f ca="1">+SUM(DD48:DG48)</f>
        <v>23</v>
      </c>
      <c r="DI48" s="792">
        <f>DI45+DI46</f>
        <v>29</v>
      </c>
      <c r="DJ48" s="792">
        <f>DJ45+DJ46</f>
        <v>33</v>
      </c>
      <c r="DK48" s="792">
        <f>DK45+DK46</f>
        <v>57</v>
      </c>
      <c r="DL48" s="792">
        <f>DL45+DL46</f>
        <v>99</v>
      </c>
      <c r="DM48" s="769">
        <f>SUM(DI48:DL48)</f>
        <v>218</v>
      </c>
      <c r="DN48" s="792">
        <f t="shared" ref="DN48:DT48" si="105">DN45+DN46</f>
        <v>93</v>
      </c>
      <c r="DO48" s="792">
        <f t="shared" si="105"/>
        <v>85</v>
      </c>
      <c r="DP48" s="792">
        <f t="shared" si="105"/>
        <v>88</v>
      </c>
      <c r="DQ48" s="792">
        <f t="shared" si="105"/>
        <v>102</v>
      </c>
      <c r="DR48" s="769">
        <f t="shared" si="105"/>
        <v>368</v>
      </c>
      <c r="DS48" s="792">
        <f t="shared" si="105"/>
        <v>89</v>
      </c>
      <c r="DT48" s="792">
        <f t="shared" si="105"/>
        <v>87</v>
      </c>
      <c r="DU48" s="792">
        <f>DU45+DU46</f>
        <v>78</v>
      </c>
      <c r="DV48" s="792">
        <f t="shared" ref="DV48" si="106">DV45+DV46</f>
        <v>130</v>
      </c>
      <c r="DW48" s="769">
        <f>SUM(DS48:DV48)</f>
        <v>384</v>
      </c>
      <c r="DX48" s="792">
        <f>DX45+DX46</f>
        <v>89.936610484377979</v>
      </c>
      <c r="DY48" s="792">
        <f>DY45+DY46</f>
        <v>93.015642270220923</v>
      </c>
      <c r="DZ48" s="792">
        <f>DZ45+DZ46</f>
        <v>94.761317006065426</v>
      </c>
      <c r="EA48" s="792">
        <f>EA45+EA46</f>
        <v>135.34049913131511</v>
      </c>
      <c r="EB48" s="769">
        <f>SUM(DX48:EA48)</f>
        <v>413.05406889197945</v>
      </c>
      <c r="EC48" s="792">
        <f>EC45+EC46</f>
        <v>105.18673133851398</v>
      </c>
      <c r="ED48" s="792">
        <f>ED45+ED46</f>
        <v>110.63696564455832</v>
      </c>
      <c r="EE48" s="792">
        <f>EE45+EE46</f>
        <v>107.40572631292706</v>
      </c>
      <c r="EF48" s="792">
        <f>EF45+EF46</f>
        <v>131.4951538522219</v>
      </c>
      <c r="EG48" s="769">
        <f>SUM(EC48:EF48)</f>
        <v>454.72457714822127</v>
      </c>
      <c r="EH48" s="792">
        <f>EH45+EH46</f>
        <v>114.02760889284593</v>
      </c>
      <c r="EI48" s="792">
        <f>EI45+EI46</f>
        <v>119.27641564026187</v>
      </c>
      <c r="EJ48" s="792">
        <f>EJ45+EJ46</f>
        <v>115.69772150499462</v>
      </c>
      <c r="EK48" s="792">
        <f>EK45+EK46</f>
        <v>141.76882388592313</v>
      </c>
      <c r="EL48" s="769">
        <f>SUM(EH48:EK48)</f>
        <v>490.77056992402549</v>
      </c>
      <c r="EN48"/>
      <c r="EO48"/>
      <c r="EP48"/>
      <c r="EQ48"/>
      <c r="ER48"/>
      <c r="ES48" s="37"/>
      <c r="ET48"/>
      <c r="EX48" s="24"/>
      <c r="EY48" s="24"/>
      <c r="EZ48" s="24"/>
      <c r="FA48" s="24"/>
      <c r="FB48" s="24"/>
      <c r="FC48" s="24"/>
      <c r="FD48" s="24"/>
      <c r="FE48" s="24"/>
      <c r="FF48" s="24"/>
      <c r="FG48" s="24"/>
      <c r="FH48" s="24"/>
      <c r="FI48" s="24"/>
      <c r="FJ48" s="24"/>
      <c r="FK48" s="24"/>
      <c r="FL48" s="24"/>
      <c r="FM48" s="24"/>
      <c r="FN48" s="24"/>
      <c r="FO48" s="24"/>
      <c r="FP48" s="24"/>
      <c r="FQ48" s="24"/>
      <c r="FR48" s="24"/>
      <c r="FS48" s="24"/>
      <c r="FT48" s="24"/>
      <c r="FU48" s="24"/>
      <c r="FV48" s="24"/>
      <c r="FW48" s="24"/>
      <c r="FX48" s="24"/>
      <c r="FY48" s="24"/>
      <c r="FZ48" s="24"/>
      <c r="GA48" s="24"/>
      <c r="GB48" s="24"/>
      <c r="GC48" s="24"/>
      <c r="GD48" s="24"/>
      <c r="GE48" s="24"/>
      <c r="GF48" s="24"/>
      <c r="GG48" s="24"/>
      <c r="GH48" s="24"/>
      <c r="GI48" s="24"/>
      <c r="GJ48" s="24"/>
      <c r="GK48" s="24"/>
      <c r="GL48" s="24"/>
      <c r="GM48" s="24"/>
      <c r="GN48" s="24"/>
      <c r="GO48" s="24"/>
      <c r="GP48" s="24"/>
      <c r="GQ48" s="24"/>
      <c r="GR48" s="24"/>
      <c r="GS48" s="24"/>
      <c r="GT48" s="24"/>
      <c r="GU48" s="24"/>
      <c r="GV48" s="24"/>
      <c r="GW48" s="24"/>
      <c r="GX48" s="24"/>
      <c r="GY48" s="24"/>
      <c r="GZ48" s="24"/>
      <c r="HA48" s="24"/>
      <c r="HB48" s="24"/>
      <c r="HC48" s="24"/>
      <c r="HD48" s="24"/>
      <c r="HE48" s="24"/>
      <c r="HF48" s="24"/>
      <c r="HG48" s="24"/>
      <c r="HH48" s="24"/>
      <c r="HI48" s="24"/>
      <c r="HJ48" s="24"/>
      <c r="HK48" s="24"/>
      <c r="HL48" s="24"/>
      <c r="HM48" s="24"/>
      <c r="HN48" s="24"/>
      <c r="HO48" s="24"/>
      <c r="HP48" s="24"/>
      <c r="HQ48" s="24"/>
      <c r="HR48" s="24"/>
      <c r="HS48" s="24"/>
      <c r="HT48" s="24"/>
      <c r="HU48" s="24"/>
      <c r="HV48" s="24"/>
      <c r="HW48" s="24"/>
      <c r="HX48" s="24"/>
      <c r="HY48" s="24"/>
      <c r="HZ48" s="24"/>
      <c r="IA48" s="24"/>
      <c r="IB48" s="24"/>
      <c r="IC48" s="24"/>
      <c r="ID48" s="24"/>
      <c r="IE48" s="24"/>
      <c r="IF48" s="24"/>
      <c r="IG48" s="24"/>
      <c r="IH48" s="24"/>
      <c r="II48" s="24"/>
      <c r="IJ48" s="24"/>
      <c r="IK48" s="24"/>
      <c r="IL48" s="24"/>
      <c r="IM48" s="24"/>
      <c r="IN48" s="24"/>
      <c r="IO48" s="24"/>
      <c r="IP48" s="24"/>
      <c r="IQ48" s="24"/>
      <c r="IR48" s="24"/>
      <c r="IS48" s="24"/>
      <c r="IT48" s="24"/>
      <c r="IU48" s="24"/>
      <c r="IV48" s="24"/>
      <c r="IW48" s="24"/>
      <c r="IX48" s="24"/>
      <c r="IY48" s="24"/>
      <c r="IZ48" s="24"/>
      <c r="JA48" s="24"/>
      <c r="JB48" s="24"/>
      <c r="JC48" s="24"/>
      <c r="JD48" s="24"/>
      <c r="JE48" s="24"/>
      <c r="JF48" s="24"/>
      <c r="JG48" s="24"/>
      <c r="JH48" s="24"/>
      <c r="JI48" s="24"/>
      <c r="JJ48" s="24"/>
      <c r="JK48" s="24"/>
    </row>
    <row r="49" spans="1:271" s="1479" customFormat="1" hidden="1" outlineLevel="1" collapsed="1">
      <c r="A49" s="1480"/>
      <c r="B49" s="1481" t="s">
        <v>368</v>
      </c>
      <c r="C49" s="1481"/>
      <c r="D49" s="1482">
        <f t="shared" ref="D49:AT49" si="107">D47+D48</f>
        <v>65.498000000000019</v>
      </c>
      <c r="E49" s="1482">
        <f t="shared" si="107"/>
        <v>48.457999999999977</v>
      </c>
      <c r="F49" s="1482">
        <f t="shared" si="107"/>
        <v>50.674999999999947</v>
      </c>
      <c r="G49" s="1482">
        <f t="shared" si="107"/>
        <v>5.8719999999999937</v>
      </c>
      <c r="H49" s="1483">
        <f t="shared" si="107"/>
        <v>170.50299999999999</v>
      </c>
      <c r="I49" s="1482">
        <f t="shared" si="107"/>
        <v>120.08700000000005</v>
      </c>
      <c r="J49" s="1482">
        <f t="shared" si="107"/>
        <v>182.79999999999998</v>
      </c>
      <c r="K49" s="1482">
        <f t="shared" si="107"/>
        <v>70.700000000000117</v>
      </c>
      <c r="L49" s="1482">
        <f t="shared" si="107"/>
        <v>-21.800000000000257</v>
      </c>
      <c r="M49" s="1483">
        <f t="shared" si="107"/>
        <v>351.78699999999998</v>
      </c>
      <c r="N49" s="1482">
        <f t="shared" si="107"/>
        <v>72.399999999999892</v>
      </c>
      <c r="O49" s="1482">
        <f t="shared" si="107"/>
        <v>76.799999999999869</v>
      </c>
      <c r="P49" s="1482">
        <f t="shared" si="107"/>
        <v>-113.29999999999993</v>
      </c>
      <c r="Q49" s="1482">
        <f t="shared" si="107"/>
        <v>-289.90000000000066</v>
      </c>
      <c r="R49" s="1483">
        <f t="shared" si="107"/>
        <v>-254</v>
      </c>
      <c r="S49" s="1482">
        <f t="shared" si="107"/>
        <v>116</v>
      </c>
      <c r="T49" s="1482">
        <f t="shared" si="107"/>
        <v>138</v>
      </c>
      <c r="U49" s="1482">
        <f t="shared" si="107"/>
        <v>148</v>
      </c>
      <c r="V49" s="1482">
        <f t="shared" si="107"/>
        <v>-141</v>
      </c>
      <c r="W49" s="1483">
        <f t="shared" si="107"/>
        <v>261</v>
      </c>
      <c r="X49" s="1482">
        <f t="shared" si="107"/>
        <v>137</v>
      </c>
      <c r="Y49" s="1482">
        <f t="shared" si="107"/>
        <v>125</v>
      </c>
      <c r="Z49" s="1482">
        <f t="shared" si="107"/>
        <v>124</v>
      </c>
      <c r="AA49" s="1482">
        <f t="shared" si="107"/>
        <v>-137</v>
      </c>
      <c r="AB49" s="1483">
        <f t="shared" si="107"/>
        <v>249</v>
      </c>
      <c r="AC49" s="1482">
        <f t="shared" si="107"/>
        <v>109</v>
      </c>
      <c r="AD49" s="1482">
        <f t="shared" si="107"/>
        <v>135</v>
      </c>
      <c r="AE49" s="1482">
        <f t="shared" si="107"/>
        <v>38</v>
      </c>
      <c r="AF49" s="1482">
        <f t="shared" si="107"/>
        <v>20</v>
      </c>
      <c r="AG49" s="1483">
        <f t="shared" si="107"/>
        <v>302</v>
      </c>
      <c r="AH49" s="1482">
        <f t="shared" si="107"/>
        <v>154</v>
      </c>
      <c r="AI49" s="1482">
        <f t="shared" si="107"/>
        <v>175</v>
      </c>
      <c r="AJ49" s="1482">
        <f t="shared" si="107"/>
        <v>198</v>
      </c>
      <c r="AK49" s="1482">
        <f t="shared" si="107"/>
        <v>116</v>
      </c>
      <c r="AL49" s="1483">
        <f t="shared" si="107"/>
        <v>643</v>
      </c>
      <c r="AM49" s="1482">
        <f t="shared" si="107"/>
        <v>155</v>
      </c>
      <c r="AN49" s="1482">
        <f t="shared" si="107"/>
        <v>89</v>
      </c>
      <c r="AO49" s="1482">
        <f t="shared" si="107"/>
        <v>280</v>
      </c>
      <c r="AP49" s="1482">
        <f t="shared" si="107"/>
        <v>261</v>
      </c>
      <c r="AQ49" s="1483">
        <f t="shared" si="107"/>
        <v>785</v>
      </c>
      <c r="AR49" s="1482">
        <f t="shared" si="107"/>
        <v>338</v>
      </c>
      <c r="AS49" s="1482">
        <f t="shared" si="107"/>
        <v>315</v>
      </c>
      <c r="AT49" s="1482">
        <f t="shared" si="107"/>
        <v>-55</v>
      </c>
      <c r="AU49" s="1482"/>
      <c r="AV49" s="1483">
        <f t="shared" ref="AV49:CN49" si="108">AV47+AV48</f>
        <v>278</v>
      </c>
      <c r="AW49" s="1482">
        <f t="shared" si="108"/>
        <v>242</v>
      </c>
      <c r="AX49" s="1482">
        <f t="shared" si="108"/>
        <v>328</v>
      </c>
      <c r="AY49" s="1482">
        <f t="shared" si="108"/>
        <v>-31</v>
      </c>
      <c r="AZ49" s="1482">
        <f t="shared" si="108"/>
        <v>817</v>
      </c>
      <c r="BA49" s="1482">
        <f t="shared" si="108"/>
        <v>-20</v>
      </c>
      <c r="BB49" s="1482">
        <f t="shared" si="108"/>
        <v>-195</v>
      </c>
      <c r="BC49" s="1482">
        <f t="shared" si="108"/>
        <v>-308</v>
      </c>
      <c r="BD49" s="1482">
        <f t="shared" si="108"/>
        <v>-954</v>
      </c>
      <c r="BE49" s="1483">
        <f t="shared" si="108"/>
        <v>-1477</v>
      </c>
      <c r="BF49" s="1482">
        <f t="shared" si="108"/>
        <v>-122</v>
      </c>
      <c r="BG49" s="1482">
        <f t="shared" si="108"/>
        <v>-426</v>
      </c>
      <c r="BH49" s="1482">
        <f t="shared" si="108"/>
        <v>-70</v>
      </c>
      <c r="BI49" s="1482">
        <f t="shared" si="108"/>
        <v>-2022</v>
      </c>
      <c r="BJ49" s="1483">
        <f t="shared" si="108"/>
        <v>-2640</v>
      </c>
      <c r="BK49" s="1482">
        <f t="shared" si="108"/>
        <v>-4</v>
      </c>
      <c r="BL49" s="1482">
        <f t="shared" si="108"/>
        <v>-33</v>
      </c>
      <c r="BM49" s="1482">
        <f t="shared" si="108"/>
        <v>-401</v>
      </c>
      <c r="BN49" s="1482">
        <f t="shared" si="108"/>
        <v>-286</v>
      </c>
      <c r="BO49" s="1483">
        <f t="shared" si="108"/>
        <v>-724</v>
      </c>
      <c r="BP49" s="1482">
        <f t="shared" si="108"/>
        <v>70</v>
      </c>
      <c r="BQ49" s="1482">
        <f t="shared" si="108"/>
        <v>-398</v>
      </c>
      <c r="BR49" s="1482">
        <f t="shared" si="108"/>
        <v>-89</v>
      </c>
      <c r="BS49" s="1482">
        <f t="shared" si="108"/>
        <v>-386</v>
      </c>
      <c r="BT49" s="1483">
        <f t="shared" si="108"/>
        <v>-803</v>
      </c>
      <c r="BU49" s="1482">
        <f t="shared" si="108"/>
        <v>75</v>
      </c>
      <c r="BV49" s="1482">
        <f t="shared" si="108"/>
        <v>-30</v>
      </c>
      <c r="BW49" s="1482">
        <f t="shared" si="108"/>
        <v>-59</v>
      </c>
      <c r="BX49" s="1482">
        <f t="shared" si="108"/>
        <v>-75</v>
      </c>
      <c r="BY49" s="1483">
        <f t="shared" si="108"/>
        <v>-89</v>
      </c>
      <c r="BZ49" s="1482">
        <f t="shared" si="108"/>
        <v>-31</v>
      </c>
      <c r="CA49" s="1482">
        <f t="shared" si="108"/>
        <v>-15</v>
      </c>
      <c r="CB49" s="1482">
        <f t="shared" si="108"/>
        <v>104</v>
      </c>
      <c r="CC49" s="1482">
        <f t="shared" si="108"/>
        <v>-33</v>
      </c>
      <c r="CD49" s="1483">
        <f t="shared" si="108"/>
        <v>25</v>
      </c>
      <c r="CE49" s="1482">
        <f t="shared" si="108"/>
        <v>178</v>
      </c>
      <c r="CF49" s="1482">
        <f t="shared" si="108"/>
        <v>-15</v>
      </c>
      <c r="CG49" s="1482">
        <f t="shared" si="108"/>
        <v>-3</v>
      </c>
      <c r="CH49" s="1482">
        <f t="shared" si="108"/>
        <v>21</v>
      </c>
      <c r="CI49" s="1483">
        <f t="shared" si="108"/>
        <v>187</v>
      </c>
      <c r="CJ49" s="1482">
        <f t="shared" si="108"/>
        <v>94</v>
      </c>
      <c r="CK49" s="1482">
        <f t="shared" si="108"/>
        <v>31</v>
      </c>
      <c r="CL49" s="1482">
        <f t="shared" si="108"/>
        <v>938</v>
      </c>
      <c r="CM49" s="1482">
        <f t="shared" si="108"/>
        <v>80</v>
      </c>
      <c r="CN49" s="1483">
        <f t="shared" si="108"/>
        <v>1143</v>
      </c>
      <c r="CO49" s="1482">
        <v>80</v>
      </c>
      <c r="CP49" s="1482">
        <v>40</v>
      </c>
      <c r="CQ49" s="1482">
        <v>8</v>
      </c>
      <c r="CR49" s="1482">
        <v>-60</v>
      </c>
      <c r="CS49" s="1483">
        <f>CS35-CS48</f>
        <v>68</v>
      </c>
      <c r="CT49" s="1482">
        <v>57</v>
      </c>
      <c r="CU49" s="1482">
        <v>42</v>
      </c>
      <c r="CV49" s="1482">
        <v>30</v>
      </c>
      <c r="CW49" s="1482">
        <v>57</v>
      </c>
      <c r="CX49" s="1483">
        <f>CX35-CX48</f>
        <v>186</v>
      </c>
      <c r="CY49" s="1482">
        <v>34</v>
      </c>
      <c r="CZ49" s="1482">
        <v>68.5</v>
      </c>
      <c r="DA49" s="1482">
        <v>46</v>
      </c>
      <c r="DB49" s="1482">
        <v>43</v>
      </c>
      <c r="DC49" s="1483">
        <f t="shared" ref="DC49:DQ49" si="109">DC35-DC48</f>
        <v>191.5</v>
      </c>
      <c r="DD49" s="1482">
        <v>-12</v>
      </c>
      <c r="DE49" s="1482">
        <v>17</v>
      </c>
      <c r="DF49" s="1482">
        <v>9</v>
      </c>
      <c r="DG49" s="1482">
        <f t="shared" ca="1" si="109"/>
        <v>61</v>
      </c>
      <c r="DH49" s="1483">
        <f t="shared" ca="1" si="109"/>
        <v>75</v>
      </c>
      <c r="DI49" s="1482">
        <f>DI35-DI48</f>
        <v>46</v>
      </c>
      <c r="DJ49" s="1482">
        <f>DJ35-DJ48</f>
        <v>-60</v>
      </c>
      <c r="DK49" s="1482">
        <f>DK35-DK48</f>
        <v>-28</v>
      </c>
      <c r="DL49" s="1482">
        <f>DL35-DL48</f>
        <v>-100</v>
      </c>
      <c r="DM49" s="1483">
        <f t="shared" si="109"/>
        <v>-142</v>
      </c>
      <c r="DN49" s="1482">
        <f t="shared" si="109"/>
        <v>-55</v>
      </c>
      <c r="DO49" s="1482">
        <f t="shared" si="109"/>
        <v>-44</v>
      </c>
      <c r="DP49" s="1482">
        <f>DP35-DP48</f>
        <v>-9</v>
      </c>
      <c r="DQ49" s="1482">
        <f t="shared" si="109"/>
        <v>-79</v>
      </c>
      <c r="DR49" s="1483">
        <f>DR35-DR48</f>
        <v>-187</v>
      </c>
      <c r="DS49" s="1482">
        <f t="shared" ref="DS49:EB49" si="110">DS35-DS48</f>
        <v>-52</v>
      </c>
      <c r="DT49" s="1482">
        <f t="shared" si="110"/>
        <v>-56</v>
      </c>
      <c r="DU49" s="1482">
        <f>DU35-DU48</f>
        <v>-366</v>
      </c>
      <c r="DV49" s="1482">
        <f t="shared" ref="DV49" si="111">DV35-DV48</f>
        <v>-230</v>
      </c>
      <c r="DW49" s="1483">
        <f t="shared" si="110"/>
        <v>-704</v>
      </c>
      <c r="DX49" s="1482">
        <f t="shared" si="110"/>
        <v>26.070229558280374</v>
      </c>
      <c r="DY49" s="1482">
        <f t="shared" si="110"/>
        <v>64.247781762778089</v>
      </c>
      <c r="DZ49" s="1482">
        <f t="shared" si="110"/>
        <v>65.723898534745999</v>
      </c>
      <c r="EA49" s="1482">
        <f t="shared" si="110"/>
        <v>16.518168441145264</v>
      </c>
      <c r="EB49" s="1582">
        <f t="shared" si="110"/>
        <v>172.56007829695079</v>
      </c>
      <c r="EC49" s="1482">
        <f t="shared" ref="EC49:EL49" si="112">EC35-EC48</f>
        <v>58.78782894200323</v>
      </c>
      <c r="ED49" s="1482">
        <f t="shared" si="112"/>
        <v>47.640692349388516</v>
      </c>
      <c r="EE49" s="1482">
        <f t="shared" si="112"/>
        <v>56.223728709718628</v>
      </c>
      <c r="EF49" s="1482">
        <f t="shared" si="112"/>
        <v>52.03914111403185</v>
      </c>
      <c r="EG49" s="1582">
        <f t="shared" si="112"/>
        <v>214.69139111514306</v>
      </c>
      <c r="EH49" s="1482">
        <f t="shared" si="112"/>
        <v>63.913742239847181</v>
      </c>
      <c r="EI49" s="1482">
        <f t="shared" si="112"/>
        <v>63.239959684202958</v>
      </c>
      <c r="EJ49" s="1482">
        <f t="shared" si="112"/>
        <v>65.238382640434807</v>
      </c>
      <c r="EK49" s="1482">
        <f t="shared" si="112"/>
        <v>33.61224933750529</v>
      </c>
      <c r="EL49" s="1582">
        <f t="shared" si="112"/>
        <v>226.00433390199237</v>
      </c>
      <c r="EM49" s="1477"/>
      <c r="EN49"/>
      <c r="EO49"/>
      <c r="EP49"/>
      <c r="EQ49"/>
      <c r="ER49"/>
      <c r="ES49" s="1477"/>
      <c r="ET49"/>
      <c r="EU49" s="1477"/>
      <c r="EV49" s="1477"/>
      <c r="EW49" s="1477"/>
      <c r="EX49" s="1478"/>
      <c r="EY49" s="1478"/>
      <c r="EZ49" s="1478"/>
      <c r="FA49" s="1478"/>
      <c r="FB49" s="1478"/>
      <c r="FC49" s="1478"/>
      <c r="FD49" s="1478"/>
      <c r="FE49" s="1478"/>
      <c r="FF49" s="1478"/>
      <c r="FG49" s="1478"/>
      <c r="FH49" s="1478"/>
      <c r="FI49" s="1478"/>
      <c r="FJ49" s="1478"/>
      <c r="FK49" s="1478"/>
      <c r="FL49" s="1478"/>
      <c r="FM49" s="1478"/>
      <c r="FN49" s="1478"/>
      <c r="FO49" s="1478"/>
      <c r="FP49" s="1478"/>
      <c r="FQ49" s="1478"/>
      <c r="FR49" s="1478"/>
      <c r="FS49" s="1478"/>
      <c r="FT49" s="1478"/>
      <c r="FU49" s="1478"/>
      <c r="FV49" s="1478"/>
      <c r="FW49" s="1478"/>
      <c r="FX49" s="1478"/>
      <c r="FY49" s="1478"/>
      <c r="FZ49" s="1478"/>
      <c r="GA49" s="1478"/>
      <c r="GB49" s="1478"/>
      <c r="GC49" s="1478"/>
      <c r="GD49" s="1478"/>
      <c r="GE49" s="1478"/>
      <c r="GF49" s="1478"/>
      <c r="GG49" s="1478"/>
      <c r="GH49" s="1478"/>
      <c r="GI49" s="1478"/>
      <c r="GJ49" s="1478"/>
      <c r="GK49" s="1478"/>
      <c r="GL49" s="1478"/>
      <c r="GM49" s="1478"/>
      <c r="GN49" s="1478"/>
      <c r="GO49" s="1478"/>
      <c r="GP49" s="1478"/>
      <c r="GQ49" s="1478"/>
      <c r="GR49" s="1478"/>
      <c r="GS49" s="1478"/>
      <c r="GT49" s="1478"/>
      <c r="GU49" s="1478"/>
      <c r="GV49" s="1478"/>
      <c r="GW49" s="1478"/>
      <c r="GX49" s="1478"/>
      <c r="GY49" s="1478"/>
      <c r="GZ49" s="1478"/>
      <c r="HA49" s="1478"/>
      <c r="HB49" s="1478"/>
      <c r="HC49" s="1478"/>
      <c r="HD49" s="1478"/>
      <c r="HE49" s="1478"/>
      <c r="HF49" s="1478"/>
      <c r="HG49" s="1478"/>
      <c r="HH49" s="1478"/>
      <c r="HI49" s="1478"/>
      <c r="HJ49" s="1478"/>
      <c r="HK49" s="1478"/>
      <c r="HL49" s="1478"/>
      <c r="HM49" s="1478"/>
      <c r="HN49" s="1478"/>
      <c r="HO49" s="1478"/>
      <c r="HP49" s="1478"/>
      <c r="HQ49" s="1478"/>
      <c r="HR49" s="1478"/>
      <c r="HS49" s="1478"/>
      <c r="HT49" s="1478"/>
      <c r="HU49" s="1478"/>
      <c r="HV49" s="1478"/>
      <c r="HW49" s="1478"/>
      <c r="HX49" s="1478"/>
      <c r="HY49" s="1478"/>
      <c r="HZ49" s="1478"/>
      <c r="IA49" s="1478"/>
      <c r="IB49" s="1478"/>
      <c r="IC49" s="1478"/>
      <c r="ID49" s="1478"/>
      <c r="IE49" s="1478"/>
      <c r="IF49" s="1478"/>
      <c r="IG49" s="1478"/>
      <c r="IH49" s="1478"/>
      <c r="II49" s="1478"/>
      <c r="IJ49" s="1478"/>
      <c r="IK49" s="1478"/>
      <c r="IL49" s="1478"/>
      <c r="IM49" s="1478"/>
      <c r="IN49" s="1478"/>
      <c r="IO49" s="1478"/>
      <c r="IP49" s="1478"/>
      <c r="IQ49" s="1478"/>
      <c r="IR49" s="1478"/>
      <c r="IS49" s="1478"/>
      <c r="IT49" s="1478"/>
      <c r="IU49" s="1478"/>
      <c r="IV49" s="1478"/>
      <c r="IW49" s="1478"/>
      <c r="IX49" s="1478"/>
      <c r="IY49" s="1478"/>
      <c r="IZ49" s="1478"/>
      <c r="JA49" s="1478"/>
      <c r="JB49" s="1478"/>
      <c r="JC49" s="1478"/>
      <c r="JD49" s="1478"/>
      <c r="JE49" s="1478"/>
      <c r="JF49" s="1478"/>
      <c r="JG49" s="1478"/>
      <c r="JH49" s="1478"/>
      <c r="JI49" s="1478"/>
      <c r="JJ49" s="1478"/>
      <c r="JK49" s="1478"/>
    </row>
    <row r="50" spans="1:271" s="18" customFormat="1" ht="12" hidden="1" customHeight="1" outlineLevel="1">
      <c r="A50" s="783"/>
      <c r="B50" s="784" t="s">
        <v>369</v>
      </c>
      <c r="C50" s="785"/>
      <c r="D50" s="785"/>
      <c r="E50" s="785"/>
      <c r="F50" s="785"/>
      <c r="G50" s="785"/>
      <c r="H50" s="786"/>
      <c r="I50" s="785"/>
      <c r="J50" s="785"/>
      <c r="K50" s="785"/>
      <c r="L50" s="785"/>
      <c r="M50" s="786"/>
      <c r="N50" s="785"/>
      <c r="O50" s="785"/>
      <c r="P50" s="785"/>
      <c r="Q50" s="785"/>
      <c r="R50" s="786"/>
      <c r="S50" s="785"/>
      <c r="T50" s="785"/>
      <c r="U50" s="785"/>
      <c r="V50" s="785"/>
      <c r="W50" s="786"/>
      <c r="X50" s="785"/>
      <c r="Y50" s="785"/>
      <c r="Z50" s="785"/>
      <c r="AA50" s="785"/>
      <c r="AB50" s="786"/>
      <c r="AC50" s="785"/>
      <c r="AD50" s="785"/>
      <c r="AE50" s="785"/>
      <c r="AF50" s="785"/>
      <c r="AG50" s="786"/>
      <c r="AH50" s="785"/>
      <c r="AI50" s="785"/>
      <c r="AJ50" s="785"/>
      <c r="AK50" s="785"/>
      <c r="AL50" s="786"/>
      <c r="AM50" s="785"/>
      <c r="AN50" s="785"/>
      <c r="AO50" s="785"/>
      <c r="AP50" s="785"/>
      <c r="AQ50" s="786"/>
      <c r="AR50" s="785"/>
      <c r="AS50" s="785"/>
      <c r="AT50" s="785"/>
      <c r="AU50" s="785"/>
      <c r="AV50" s="786"/>
      <c r="AW50" s="785"/>
      <c r="AX50" s="785"/>
      <c r="AY50" s="785"/>
      <c r="AZ50" s="785"/>
      <c r="BA50" s="785"/>
      <c r="BB50" s="785"/>
      <c r="BC50" s="785"/>
      <c r="BD50" s="785"/>
      <c r="BE50" s="786"/>
      <c r="BF50" s="785"/>
      <c r="BG50" s="785"/>
      <c r="BH50" s="785"/>
      <c r="BI50" s="785"/>
      <c r="BJ50" s="786"/>
      <c r="BK50" s="785"/>
      <c r="BL50" s="785"/>
      <c r="BM50" s="785"/>
      <c r="BN50" s="785"/>
      <c r="BO50" s="786"/>
      <c r="BP50" s="785"/>
      <c r="BQ50" s="785"/>
      <c r="BR50" s="785"/>
      <c r="BS50" s="785"/>
      <c r="BT50" s="786"/>
      <c r="BU50" s="785"/>
      <c r="BV50" s="785"/>
      <c r="BW50" s="785"/>
      <c r="BX50" s="785"/>
      <c r="BY50" s="786"/>
      <c r="BZ50" s="785"/>
      <c r="CA50" s="785"/>
      <c r="CB50" s="785"/>
      <c r="CC50" s="785"/>
      <c r="CD50" s="786"/>
      <c r="CE50" s="785"/>
      <c r="CF50" s="785"/>
      <c r="CG50" s="785"/>
      <c r="CH50" s="785"/>
      <c r="CI50" s="786"/>
      <c r="CJ50" s="785"/>
      <c r="CK50" s="785"/>
      <c r="CL50" s="785"/>
      <c r="CM50" s="785"/>
      <c r="CN50" s="786"/>
      <c r="CO50" s="785"/>
      <c r="CP50" s="785"/>
      <c r="CQ50" s="785"/>
      <c r="CR50" s="785"/>
      <c r="CS50" s="786"/>
      <c r="CT50" s="785"/>
      <c r="CU50" s="785"/>
      <c r="CV50" s="785"/>
      <c r="CW50" s="785"/>
      <c r="CX50" s="786"/>
      <c r="CY50" s="785"/>
      <c r="CZ50" s="785"/>
      <c r="DA50" s="785"/>
      <c r="DB50" s="785"/>
      <c r="DC50" s="786"/>
      <c r="DD50" s="785"/>
      <c r="DE50" s="785"/>
      <c r="DF50" s="785"/>
      <c r="DG50" s="785"/>
      <c r="DH50" s="786"/>
      <c r="DI50" s="785"/>
      <c r="DJ50" s="785"/>
      <c r="DK50" s="785"/>
      <c r="DL50" s="785"/>
      <c r="DM50" s="786"/>
      <c r="DN50" s="785"/>
      <c r="DO50" s="785"/>
      <c r="DP50" s="785"/>
      <c r="DQ50" s="785"/>
      <c r="DR50" s="786"/>
      <c r="DS50" s="785"/>
      <c r="DT50" s="785"/>
      <c r="DU50" s="785"/>
      <c r="DV50" s="785"/>
      <c r="DW50" s="786"/>
      <c r="DX50" s="785"/>
      <c r="DY50" s="785"/>
      <c r="DZ50" s="785"/>
      <c r="EA50" s="785"/>
      <c r="EB50" s="786"/>
      <c r="EC50" s="785"/>
      <c r="ED50" s="785"/>
      <c r="EE50" s="785"/>
      <c r="EF50" s="785"/>
      <c r="EG50" s="786"/>
      <c r="EH50" s="785"/>
      <c r="EI50" s="785"/>
      <c r="EJ50" s="785"/>
      <c r="EK50" s="785"/>
      <c r="EL50" s="786"/>
      <c r="EM50" s="21"/>
      <c r="EN50"/>
      <c r="EO50"/>
      <c r="EP50"/>
      <c r="EQ50"/>
      <c r="ER50"/>
      <c r="ES50" s="23"/>
      <c r="ET50"/>
      <c r="EU50" s="23"/>
      <c r="EV50" s="23"/>
      <c r="EW50" s="23"/>
      <c r="EX50" s="24"/>
      <c r="EY50" s="24"/>
      <c r="EZ50" s="24"/>
      <c r="FA50" s="24"/>
      <c r="FB50" s="24"/>
      <c r="FC50" s="24"/>
      <c r="FD50" s="24"/>
      <c r="FE50" s="24"/>
      <c r="FF50" s="24"/>
      <c r="FG50" s="24"/>
      <c r="FH50" s="24"/>
      <c r="FI50" s="24"/>
      <c r="FJ50" s="24"/>
      <c r="FK50" s="24"/>
      <c r="FL50" s="24"/>
      <c r="FM50" s="24"/>
      <c r="FN50" s="24"/>
      <c r="FO50" s="24"/>
      <c r="FP50" s="24"/>
      <c r="FQ50" s="24"/>
      <c r="FR50" s="24"/>
      <c r="FS50" s="24"/>
      <c r="FT50" s="24"/>
      <c r="FU50" s="24"/>
      <c r="FV50" s="24"/>
      <c r="FW50" s="24"/>
      <c r="FX50" s="24"/>
      <c r="FY50" s="24"/>
      <c r="FZ50" s="24"/>
      <c r="GA50" s="24"/>
      <c r="GB50" s="24"/>
      <c r="GC50" s="24"/>
      <c r="GD50" s="24"/>
      <c r="GE50" s="24"/>
      <c r="GF50" s="24"/>
      <c r="GG50" s="24"/>
      <c r="GH50" s="24"/>
      <c r="GI50" s="24"/>
      <c r="GJ50" s="24"/>
      <c r="GK50" s="24"/>
      <c r="GL50" s="24"/>
      <c r="GM50" s="24"/>
      <c r="GN50" s="24"/>
      <c r="GO50" s="24"/>
      <c r="GP50" s="24"/>
      <c r="GQ50" s="24"/>
      <c r="GR50" s="24"/>
      <c r="GS50" s="24"/>
      <c r="GT50" s="24"/>
      <c r="GU50" s="24"/>
      <c r="GV50" s="24"/>
      <c r="GW50" s="24"/>
      <c r="GX50" s="24"/>
      <c r="GY50" s="24"/>
      <c r="GZ50" s="24"/>
      <c r="HA50" s="24"/>
      <c r="HB50" s="24"/>
      <c r="HC50" s="24"/>
      <c r="HD50" s="24"/>
      <c r="HE50" s="24"/>
      <c r="HF50" s="24"/>
      <c r="HG50" s="24"/>
      <c r="HH50" s="24"/>
      <c r="HI50" s="24"/>
      <c r="HJ50" s="24"/>
      <c r="HK50" s="24"/>
      <c r="HL50" s="24"/>
      <c r="HM50" s="24"/>
      <c r="HN50" s="24"/>
      <c r="HO50" s="24"/>
      <c r="HP50" s="24"/>
      <c r="HQ50" s="24"/>
      <c r="HR50" s="24"/>
      <c r="HS50" s="24"/>
      <c r="HT50" s="24"/>
      <c r="HU50" s="24"/>
      <c r="HV50" s="24"/>
      <c r="HW50" s="24"/>
      <c r="HX50" s="24"/>
      <c r="HY50" s="24"/>
      <c r="HZ50" s="24"/>
      <c r="IA50" s="24"/>
      <c r="IB50" s="24"/>
      <c r="IC50" s="24"/>
      <c r="ID50" s="24"/>
      <c r="IE50" s="24"/>
      <c r="IF50" s="24"/>
      <c r="IG50" s="24"/>
      <c r="IH50" s="24"/>
      <c r="II50" s="24"/>
      <c r="IJ50" s="24"/>
      <c r="IK50" s="24"/>
      <c r="IL50" s="24"/>
      <c r="IM50" s="24"/>
      <c r="IN50" s="24"/>
      <c r="IO50" s="24"/>
      <c r="IP50" s="24"/>
      <c r="IQ50" s="24"/>
      <c r="IR50" s="24"/>
      <c r="IS50" s="24"/>
      <c r="IT50" s="24"/>
      <c r="IU50" s="24"/>
      <c r="IV50" s="24"/>
      <c r="IW50" s="24"/>
      <c r="IX50" s="24"/>
      <c r="IY50" s="24"/>
      <c r="IZ50" s="24"/>
      <c r="JA50" s="24"/>
      <c r="JB50" s="24"/>
      <c r="JC50" s="24"/>
      <c r="JD50" s="24"/>
      <c r="JE50" s="24"/>
      <c r="JF50" s="24"/>
      <c r="JG50" s="24"/>
      <c r="JH50" s="24"/>
      <c r="JI50" s="24"/>
      <c r="JJ50" s="24"/>
      <c r="JK50" s="24"/>
    </row>
    <row r="51" spans="1:271" s="18" customFormat="1" ht="12" hidden="1" customHeight="1" outlineLevel="1">
      <c r="A51" s="787"/>
      <c r="B51" s="788" t="s">
        <v>370</v>
      </c>
      <c r="C51" s="789"/>
      <c r="D51" s="793">
        <v>0</v>
      </c>
      <c r="E51" s="793">
        <v>0</v>
      </c>
      <c r="F51" s="793">
        <v>0</v>
      </c>
      <c r="G51" s="793">
        <v>0</v>
      </c>
      <c r="H51" s="786">
        <f t="shared" ref="H51:H57" si="113">SUM(D51:G51)</f>
        <v>0</v>
      </c>
      <c r="I51" s="793">
        <v>0</v>
      </c>
      <c r="J51" s="793">
        <v>0</v>
      </c>
      <c r="K51" s="793">
        <v>0</v>
      </c>
      <c r="L51" s="793">
        <v>0</v>
      </c>
      <c r="M51" s="786">
        <f t="shared" ref="M51:M57" si="114">SUM(I51:L51)</f>
        <v>0</v>
      </c>
      <c r="N51" s="793">
        <v>0</v>
      </c>
      <c r="O51" s="793">
        <v>0</v>
      </c>
      <c r="P51" s="793">
        <v>0</v>
      </c>
      <c r="Q51" s="793">
        <v>0</v>
      </c>
      <c r="R51" s="786">
        <f t="shared" ref="R51:R57" si="115">SUM(N51:Q51)</f>
        <v>0</v>
      </c>
      <c r="S51" s="793">
        <v>0</v>
      </c>
      <c r="T51" s="793">
        <v>0</v>
      </c>
      <c r="U51" s="793">
        <v>0</v>
      </c>
      <c r="V51" s="793">
        <v>0</v>
      </c>
      <c r="W51" s="786">
        <f t="shared" ref="W51:W57" si="116">SUM(S51:V51)</f>
        <v>0</v>
      </c>
      <c r="X51" s="793">
        <v>0</v>
      </c>
      <c r="Y51" s="793">
        <v>0</v>
      </c>
      <c r="Z51" s="793">
        <v>0</v>
      </c>
      <c r="AA51" s="793">
        <v>0</v>
      </c>
      <c r="AB51" s="786">
        <f t="shared" ref="AB51:AB57" si="117">SUM(X51:AA51)</f>
        <v>0</v>
      </c>
      <c r="AC51" s="793">
        <v>0</v>
      </c>
      <c r="AD51" s="793">
        <v>0</v>
      </c>
      <c r="AE51" s="793">
        <v>0</v>
      </c>
      <c r="AF51" s="793">
        <v>0</v>
      </c>
      <c r="AG51" s="786">
        <f t="shared" ref="AG51:AG57" si="118">SUM(AC51:AF51)</f>
        <v>0</v>
      </c>
      <c r="AH51" s="793">
        <v>0</v>
      </c>
      <c r="AI51" s="793">
        <v>0</v>
      </c>
      <c r="AJ51" s="793">
        <v>0</v>
      </c>
      <c r="AK51" s="793">
        <v>0</v>
      </c>
      <c r="AL51" s="786">
        <f t="shared" ref="AL51:AL57" si="119">SUM(AH51:AK51)</f>
        <v>0</v>
      </c>
      <c r="AM51" s="793">
        <v>0</v>
      </c>
      <c r="AN51" s="793">
        <v>0</v>
      </c>
      <c r="AO51" s="793">
        <v>0</v>
      </c>
      <c r="AP51" s="793">
        <v>0</v>
      </c>
      <c r="AQ51" s="786">
        <f t="shared" ref="AQ51:AQ57" si="120">SUM(AM51:AP51)</f>
        <v>0</v>
      </c>
      <c r="AR51" s="793">
        <v>0</v>
      </c>
      <c r="AS51" s="793">
        <v>0</v>
      </c>
      <c r="AT51" s="793">
        <v>0</v>
      </c>
      <c r="AU51" s="793"/>
      <c r="AV51" s="786">
        <v>0</v>
      </c>
      <c r="AW51" s="793">
        <v>0</v>
      </c>
      <c r="AX51" s="793">
        <v>0</v>
      </c>
      <c r="AY51" s="793">
        <v>0</v>
      </c>
      <c r="AZ51" s="793">
        <f t="shared" ref="AZ51:AZ57" si="121">SUM(AV51:AY51)</f>
        <v>0</v>
      </c>
      <c r="BA51" s="793">
        <v>0</v>
      </c>
      <c r="BB51" s="793">
        <v>45</v>
      </c>
      <c r="BC51" s="793">
        <v>155</v>
      </c>
      <c r="BD51" s="793">
        <v>-21</v>
      </c>
      <c r="BE51" s="786">
        <f>SUM(BA51:BD51)</f>
        <v>179</v>
      </c>
      <c r="BF51" s="793">
        <f>BF21*(1-BF127)</f>
        <v>6.3822070675759459</v>
      </c>
      <c r="BG51" s="793">
        <v>6</v>
      </c>
      <c r="BH51" s="793">
        <f>6</f>
        <v>6</v>
      </c>
      <c r="BI51" s="793">
        <v>28</v>
      </c>
      <c r="BJ51" s="786">
        <f t="shared" ref="BJ51:BJ57" si="122">SUM(BF51:BI51)</f>
        <v>46.382207067575948</v>
      </c>
      <c r="BK51" s="793">
        <f>BK21</f>
        <v>8</v>
      </c>
      <c r="BL51" s="793">
        <f>BL21</f>
        <v>11</v>
      </c>
      <c r="BM51" s="793">
        <f>BM21</f>
        <v>28</v>
      </c>
      <c r="BN51" s="793">
        <f>BN21</f>
        <v>165</v>
      </c>
      <c r="BO51" s="786">
        <f t="shared" ref="BO51:BO57" si="123">SUM(BK51:BN51)</f>
        <v>212</v>
      </c>
      <c r="BP51" s="793">
        <f>BP21</f>
        <v>16</v>
      </c>
      <c r="BQ51" s="793">
        <f>BQ21</f>
        <v>728</v>
      </c>
      <c r="BR51" s="793">
        <f>BR21</f>
        <v>7</v>
      </c>
      <c r="BS51" s="793">
        <f>BS21</f>
        <v>15</v>
      </c>
      <c r="BT51" s="786">
        <f t="shared" ref="BT51:BT57" si="124">SUM(BP51:BS51)</f>
        <v>766</v>
      </c>
      <c r="BU51" s="793">
        <f>BU21</f>
        <v>-1</v>
      </c>
      <c r="BV51" s="793">
        <f>BV21</f>
        <v>-1</v>
      </c>
      <c r="BW51" s="793">
        <f>BW21</f>
        <v>3</v>
      </c>
      <c r="BX51" s="793">
        <f>BX21</f>
        <v>12</v>
      </c>
      <c r="BY51" s="786">
        <f t="shared" ref="BY51:BY57" si="125">SUM(BU51:BX51)</f>
        <v>13</v>
      </c>
      <c r="BZ51" s="793">
        <f>BZ21</f>
        <v>47</v>
      </c>
      <c r="CA51" s="793">
        <f>CA21</f>
        <v>3</v>
      </c>
      <c r="CB51" s="793">
        <f>CB21</f>
        <v>-5</v>
      </c>
      <c r="CC51" s="793">
        <f>CC21</f>
        <v>-4</v>
      </c>
      <c r="CD51" s="786">
        <f t="shared" ref="CD51:CD57" si="126">SUM(BZ51:CC51)</f>
        <v>41</v>
      </c>
      <c r="CE51" s="793">
        <f>CE21</f>
        <v>1</v>
      </c>
      <c r="CF51" s="793">
        <f>CF21</f>
        <v>9</v>
      </c>
      <c r="CG51" s="793">
        <f>CG21</f>
        <v>3</v>
      </c>
      <c r="CH51" s="793">
        <f>CH21</f>
        <v>18</v>
      </c>
      <c r="CI51" s="786">
        <f t="shared" ref="CI51:CI57" si="127">SUM(CE51:CH51)</f>
        <v>31</v>
      </c>
      <c r="CJ51" s="793">
        <f>CJ21</f>
        <v>2</v>
      </c>
      <c r="CK51" s="793">
        <f>CK21</f>
        <v>2</v>
      </c>
      <c r="CL51" s="793">
        <f>CL21</f>
        <v>2</v>
      </c>
      <c r="CM51" s="793">
        <f>CM21</f>
        <v>6</v>
      </c>
      <c r="CN51" s="786">
        <f t="shared" ref="CN51:CN57" si="128">SUM(CJ51:CM51)</f>
        <v>12</v>
      </c>
      <c r="CO51" s="793">
        <f>CO21</f>
        <v>11</v>
      </c>
      <c r="CP51" s="793">
        <f>CP21</f>
        <v>8</v>
      </c>
      <c r="CQ51" s="793">
        <f>CQ21</f>
        <v>5</v>
      </c>
      <c r="CR51" s="793">
        <f>CR21</f>
        <v>31</v>
      </c>
      <c r="CS51" s="786">
        <f t="shared" ref="CS51:CS57" si="129">SUM(CO51:CR51)</f>
        <v>55</v>
      </c>
      <c r="CT51" s="793">
        <f>CT21</f>
        <v>2</v>
      </c>
      <c r="CU51" s="793">
        <f>CU21</f>
        <v>1</v>
      </c>
      <c r="CV51" s="793">
        <f>CV21</f>
        <v>0</v>
      </c>
      <c r="CW51" s="793">
        <f>CW21</f>
        <v>2</v>
      </c>
      <c r="CX51" s="786">
        <f>SUM(CT51:CW51)</f>
        <v>5</v>
      </c>
      <c r="CY51" s="793">
        <f>CY21</f>
        <v>0</v>
      </c>
      <c r="CZ51" s="793">
        <f>CZ21</f>
        <v>2</v>
      </c>
      <c r="DA51" s="793">
        <f>DA21</f>
        <v>0</v>
      </c>
      <c r="DB51" s="793">
        <f>DB21</f>
        <v>28</v>
      </c>
      <c r="DC51" s="786">
        <f>SUM(CY51:DB51)</f>
        <v>30</v>
      </c>
      <c r="DD51" s="793">
        <f>DD21</f>
        <v>3</v>
      </c>
      <c r="DE51" s="793">
        <f>DE21</f>
        <v>12</v>
      </c>
      <c r="DF51" s="793">
        <f>DF21</f>
        <v>4</v>
      </c>
      <c r="DG51" s="793">
        <v>6</v>
      </c>
      <c r="DH51" s="786">
        <f>SUM(DD51:DG51)</f>
        <v>25</v>
      </c>
      <c r="DI51" s="793">
        <f>DI21</f>
        <v>3</v>
      </c>
      <c r="DJ51" s="793">
        <f>DJ21</f>
        <v>14</v>
      </c>
      <c r="DK51" s="793">
        <f>DK21</f>
        <v>50</v>
      </c>
      <c r="DL51" s="793">
        <f>DL21</f>
        <v>224</v>
      </c>
      <c r="DM51" s="786">
        <f t="shared" ref="DM51:DM57" si="130">SUM(DI51:DL51)</f>
        <v>291</v>
      </c>
      <c r="DN51" s="792">
        <f>DN21</f>
        <v>173</v>
      </c>
      <c r="DO51" s="792">
        <f>DO21</f>
        <v>114</v>
      </c>
      <c r="DP51" s="792">
        <f>DP21</f>
        <v>4</v>
      </c>
      <c r="DQ51" s="792">
        <f>DQ21</f>
        <v>2</v>
      </c>
      <c r="DR51" s="786">
        <f>SUM(DN51:DQ51)</f>
        <v>293</v>
      </c>
      <c r="DS51" s="792">
        <f>DS21</f>
        <v>5</v>
      </c>
      <c r="DT51" s="792">
        <f>DT21</f>
        <v>1</v>
      </c>
      <c r="DU51" s="792">
        <f>DU21</f>
        <v>6</v>
      </c>
      <c r="DV51" s="792">
        <f>DV21</f>
        <v>11</v>
      </c>
      <c r="DW51" s="786">
        <f t="shared" ref="DW51:DW57" si="131">SUM(DS51:DV51)</f>
        <v>23</v>
      </c>
      <c r="DX51" s="792">
        <f>DX21</f>
        <v>0</v>
      </c>
      <c r="DY51" s="792">
        <f>DY21</f>
        <v>0</v>
      </c>
      <c r="DZ51" s="792">
        <f>DZ21</f>
        <v>0</v>
      </c>
      <c r="EA51" s="792">
        <f>EA21</f>
        <v>0</v>
      </c>
      <c r="EB51" s="786">
        <f t="shared" ref="EB51:EB57" si="132">SUM(DX51:EA51)</f>
        <v>0</v>
      </c>
      <c r="EC51" s="792">
        <f>EC21</f>
        <v>0</v>
      </c>
      <c r="ED51" s="792">
        <f>ED21</f>
        <v>0</v>
      </c>
      <c r="EE51" s="792">
        <f>EE21</f>
        <v>0</v>
      </c>
      <c r="EF51" s="792">
        <f>EF21</f>
        <v>0</v>
      </c>
      <c r="EG51" s="786">
        <f t="shared" ref="EG51:EG57" si="133">SUM(EC51:EF51)</f>
        <v>0</v>
      </c>
      <c r="EH51" s="792">
        <f>EH21</f>
        <v>0</v>
      </c>
      <c r="EI51" s="792">
        <f>EI21</f>
        <v>0</v>
      </c>
      <c r="EJ51" s="792">
        <f>EJ21</f>
        <v>0</v>
      </c>
      <c r="EK51" s="792">
        <f>EK21</f>
        <v>0</v>
      </c>
      <c r="EL51" s="786">
        <f t="shared" ref="EL51:EL57" si="134">SUM(EH51:EK51)</f>
        <v>0</v>
      </c>
      <c r="EM51" s="21"/>
      <c r="EN51"/>
      <c r="EO51"/>
      <c r="EP51"/>
      <c r="EQ51"/>
      <c r="ER51"/>
      <c r="ES51" s="23"/>
      <c r="ET51"/>
      <c r="EU51" s="23"/>
      <c r="EV51" s="23"/>
      <c r="EW51" s="23"/>
      <c r="EX51" s="24"/>
      <c r="EY51" s="24"/>
      <c r="EZ51" s="24"/>
      <c r="FA51" s="24"/>
      <c r="FB51" s="24"/>
      <c r="FC51" s="24"/>
      <c r="FD51" s="24"/>
      <c r="FE51" s="24"/>
      <c r="FF51" s="24"/>
      <c r="FG51" s="24"/>
      <c r="FH51" s="24"/>
      <c r="FI51" s="24"/>
      <c r="FJ51" s="24"/>
      <c r="FK51" s="24"/>
      <c r="FL51" s="24"/>
      <c r="FM51" s="24"/>
      <c r="FN51" s="24"/>
      <c r="FO51" s="24"/>
      <c r="FP51" s="24"/>
      <c r="FQ51" s="24"/>
      <c r="FR51" s="24"/>
      <c r="FS51" s="24"/>
      <c r="FT51" s="24"/>
      <c r="FU51" s="24"/>
      <c r="FV51" s="24"/>
      <c r="FW51" s="24"/>
      <c r="FX51" s="24"/>
      <c r="FY51" s="24"/>
      <c r="FZ51" s="24"/>
      <c r="GA51" s="24"/>
      <c r="GB51" s="24"/>
      <c r="GC51" s="24"/>
      <c r="GD51" s="24"/>
      <c r="GE51" s="24"/>
      <c r="GF51" s="24"/>
      <c r="GG51" s="24"/>
      <c r="GH51" s="24"/>
      <c r="GI51" s="24"/>
      <c r="GJ51" s="24"/>
      <c r="GK51" s="24"/>
      <c r="GL51" s="24"/>
      <c r="GM51" s="24"/>
      <c r="GN51" s="24"/>
      <c r="GO51" s="24"/>
      <c r="GP51" s="24"/>
      <c r="GQ51" s="24"/>
      <c r="GR51" s="24"/>
      <c r="GS51" s="24"/>
      <c r="GT51" s="24"/>
      <c r="GU51" s="24"/>
      <c r="GV51" s="24"/>
      <c r="GW51" s="24"/>
      <c r="GX51" s="24"/>
      <c r="GY51" s="24"/>
      <c r="GZ51" s="24"/>
      <c r="HA51" s="24"/>
      <c r="HB51" s="24"/>
      <c r="HC51" s="24"/>
      <c r="HD51" s="24"/>
      <c r="HE51" s="24"/>
      <c r="HF51" s="24"/>
      <c r="HG51" s="24"/>
      <c r="HH51" s="24"/>
      <c r="HI51" s="24"/>
      <c r="HJ51" s="24"/>
      <c r="HK51" s="24"/>
      <c r="HL51" s="24"/>
      <c r="HM51" s="24"/>
      <c r="HN51" s="24"/>
      <c r="HO51" s="24"/>
      <c r="HP51" s="24"/>
      <c r="HQ51" s="24"/>
      <c r="HR51" s="24"/>
      <c r="HS51" s="24"/>
      <c r="HT51" s="24"/>
      <c r="HU51" s="24"/>
      <c r="HV51" s="24"/>
      <c r="HW51" s="24"/>
      <c r="HX51" s="24"/>
      <c r="HY51" s="24"/>
      <c r="HZ51" s="24"/>
      <c r="IA51" s="24"/>
      <c r="IB51" s="24"/>
      <c r="IC51" s="24"/>
      <c r="ID51" s="24"/>
      <c r="IE51" s="24"/>
      <c r="IF51" s="24"/>
      <c r="IG51" s="24"/>
      <c r="IH51" s="24"/>
      <c r="II51" s="24"/>
      <c r="IJ51" s="24"/>
      <c r="IK51" s="24"/>
      <c r="IL51" s="24"/>
      <c r="IM51" s="24"/>
      <c r="IN51" s="24"/>
      <c r="IO51" s="24"/>
      <c r="IP51" s="24"/>
      <c r="IQ51" s="24"/>
      <c r="IR51" s="24"/>
      <c r="IS51" s="24"/>
      <c r="IT51" s="24"/>
      <c r="IU51" s="24"/>
      <c r="IV51" s="24"/>
      <c r="IW51" s="24"/>
      <c r="IX51" s="24"/>
      <c r="IY51" s="24"/>
      <c r="IZ51" s="24"/>
      <c r="JA51" s="24"/>
      <c r="JB51" s="24"/>
      <c r="JC51" s="24"/>
      <c r="JD51" s="24"/>
      <c r="JE51" s="24"/>
      <c r="JF51" s="24"/>
      <c r="JG51" s="24"/>
      <c r="JH51" s="24"/>
      <c r="JI51" s="24"/>
      <c r="JJ51" s="24"/>
      <c r="JK51" s="24"/>
    </row>
    <row r="52" spans="1:271" s="18" customFormat="1" ht="12" hidden="1" customHeight="1" outlineLevel="1">
      <c r="A52" s="787"/>
      <c r="B52" s="788" t="s">
        <v>341</v>
      </c>
      <c r="C52" s="789"/>
      <c r="D52" s="793">
        <f>((0.03*190.139)/7)*(2.5-32)</f>
        <v>-24.039002142857147</v>
      </c>
      <c r="E52" s="793">
        <v>0</v>
      </c>
      <c r="F52" s="793">
        <v>0</v>
      </c>
      <c r="G52" s="793">
        <f>0.03*190.139-D52-E52-F52</f>
        <v>29.743172142857148</v>
      </c>
      <c r="H52" s="786">
        <f t="shared" si="113"/>
        <v>5.7041700000000013</v>
      </c>
      <c r="I52" s="793">
        <v>0</v>
      </c>
      <c r="J52" s="793">
        <v>0</v>
      </c>
      <c r="K52" s="793">
        <v>0</v>
      </c>
      <c r="L52" s="793">
        <v>0</v>
      </c>
      <c r="M52" s="786">
        <f t="shared" si="114"/>
        <v>0</v>
      </c>
      <c r="N52" s="793">
        <v>0</v>
      </c>
      <c r="O52" s="793">
        <v>0</v>
      </c>
      <c r="P52" s="793">
        <f>506/740*272.2</f>
        <v>186.12594594594594</v>
      </c>
      <c r="Q52" s="793">
        <f>506-N52-O52-P52</f>
        <v>319.87405405405406</v>
      </c>
      <c r="R52" s="786">
        <f t="shared" si="115"/>
        <v>506</v>
      </c>
      <c r="S52" s="793">
        <v>0</v>
      </c>
      <c r="T52" s="793">
        <f>-18*(1-T127)</f>
        <v>-10.948840803709428</v>
      </c>
      <c r="U52" s="793">
        <v>0</v>
      </c>
      <c r="V52" s="793">
        <f>0.51*312.113-S52-T52-U52</f>
        <v>170.12647080370942</v>
      </c>
      <c r="W52" s="786">
        <f t="shared" si="116"/>
        <v>159.17762999999999</v>
      </c>
      <c r="X52" s="793">
        <v>0</v>
      </c>
      <c r="Y52" s="793">
        <v>0</v>
      </c>
      <c r="Z52" s="793">
        <v>0</v>
      </c>
      <c r="AA52" s="793">
        <f>0.86*313.386</f>
        <v>269.51196000000004</v>
      </c>
      <c r="AB52" s="786">
        <f t="shared" si="117"/>
        <v>269.51196000000004</v>
      </c>
      <c r="AC52" s="793">
        <f>-((229)/306*10)</f>
        <v>-7.4836601307189543</v>
      </c>
      <c r="AD52" s="793">
        <f>-((229)/306*58)</f>
        <v>-43.405228758169933</v>
      </c>
      <c r="AE52" s="793">
        <f>((229)/306)*(232-51)</f>
        <v>135.45424836601308</v>
      </c>
      <c r="AF52" s="793">
        <f>229-AC52-AD52-AE52</f>
        <v>144.43464052287584</v>
      </c>
      <c r="AG52" s="786">
        <f t="shared" si="118"/>
        <v>229.00000000000003</v>
      </c>
      <c r="AH52" s="793">
        <v>0</v>
      </c>
      <c r="AI52" s="793">
        <v>0</v>
      </c>
      <c r="AJ52" s="793">
        <v>0</v>
      </c>
      <c r="AK52" s="793">
        <v>74</v>
      </c>
      <c r="AL52" s="786">
        <f t="shared" si="119"/>
        <v>74</v>
      </c>
      <c r="AM52" s="793">
        <v>0</v>
      </c>
      <c r="AN52" s="793">
        <v>66</v>
      </c>
      <c r="AO52" s="793">
        <v>0</v>
      </c>
      <c r="AP52" s="793">
        <v>0</v>
      </c>
      <c r="AQ52" s="786">
        <f t="shared" si="120"/>
        <v>66</v>
      </c>
      <c r="AR52" s="793">
        <v>0</v>
      </c>
      <c r="AS52" s="793">
        <v>40</v>
      </c>
      <c r="AT52" s="793">
        <v>245</v>
      </c>
      <c r="AU52" s="793"/>
      <c r="AV52" s="786">
        <v>0</v>
      </c>
      <c r="AW52" s="793">
        <v>0</v>
      </c>
      <c r="AX52" s="793">
        <v>0</v>
      </c>
      <c r="AY52" s="793">
        <f>AY20*(1-AY127)</f>
        <v>205.4</v>
      </c>
      <c r="AZ52" s="793">
        <f t="shared" si="121"/>
        <v>205.4</v>
      </c>
      <c r="BA52" s="793">
        <v>-147</v>
      </c>
      <c r="BB52" s="793">
        <f>124+48</f>
        <v>172</v>
      </c>
      <c r="BC52" s="793">
        <v>6</v>
      </c>
      <c r="BD52" s="793">
        <v>1126</v>
      </c>
      <c r="BE52" s="786">
        <f>SUM(BA52:BD52)</f>
        <v>1157</v>
      </c>
      <c r="BF52" s="793">
        <f>BF20*(1-BF127)</f>
        <v>38.293242405455672</v>
      </c>
      <c r="BG52" s="793">
        <f>24+14</f>
        <v>38</v>
      </c>
      <c r="BH52" s="793">
        <v>0</v>
      </c>
      <c r="BI52" s="793">
        <v>1062</v>
      </c>
      <c r="BJ52" s="786">
        <f t="shared" si="122"/>
        <v>1138.2932424054557</v>
      </c>
      <c r="BK52" s="793">
        <f>BK20</f>
        <v>24</v>
      </c>
      <c r="BL52" s="793">
        <f>BL20</f>
        <v>-4</v>
      </c>
      <c r="BM52" s="793">
        <f>BM20</f>
        <v>205</v>
      </c>
      <c r="BN52" s="793">
        <f>BN20</f>
        <v>56</v>
      </c>
      <c r="BO52" s="786">
        <f t="shared" si="123"/>
        <v>281</v>
      </c>
      <c r="BP52" s="793">
        <f>BP20</f>
        <v>1</v>
      </c>
      <c r="BQ52" s="793">
        <f>BQ20</f>
        <v>27</v>
      </c>
      <c r="BR52" s="793">
        <f>BR20</f>
        <v>1</v>
      </c>
      <c r="BS52" s="793">
        <f>BS20</f>
        <v>323</v>
      </c>
      <c r="BT52" s="786">
        <f t="shared" si="124"/>
        <v>352</v>
      </c>
      <c r="BU52" s="793">
        <f>BU20</f>
        <v>3</v>
      </c>
      <c r="BV52" s="793">
        <f>BV20</f>
        <v>10</v>
      </c>
      <c r="BW52" s="793">
        <f>BW20</f>
        <v>13</v>
      </c>
      <c r="BX52" s="793">
        <f>BX20</f>
        <v>36</v>
      </c>
      <c r="BY52" s="786">
        <f t="shared" si="125"/>
        <v>62</v>
      </c>
      <c r="BZ52" s="793">
        <f>BZ20</f>
        <v>1</v>
      </c>
      <c r="CA52" s="793">
        <f>CA20</f>
        <v>2</v>
      </c>
      <c r="CB52" s="793">
        <f>CB20</f>
        <v>1</v>
      </c>
      <c r="CC52" s="793">
        <f>CC20</f>
        <v>14</v>
      </c>
      <c r="CD52" s="786">
        <f t="shared" si="126"/>
        <v>18</v>
      </c>
      <c r="CE52" s="793">
        <f>CE20</f>
        <v>5</v>
      </c>
      <c r="CF52" s="793">
        <f>CF20</f>
        <v>1</v>
      </c>
      <c r="CG52" s="793">
        <f>CG20</f>
        <v>7</v>
      </c>
      <c r="CH52" s="793">
        <f>CH20</f>
        <v>14</v>
      </c>
      <c r="CI52" s="786">
        <f t="shared" si="127"/>
        <v>27</v>
      </c>
      <c r="CJ52" s="793">
        <f>CJ20</f>
        <v>0</v>
      </c>
      <c r="CK52" s="793">
        <f>CK20</f>
        <v>-2</v>
      </c>
      <c r="CL52" s="793">
        <f>CL20</f>
        <v>3</v>
      </c>
      <c r="CM52" s="793">
        <f>CM20</f>
        <v>9</v>
      </c>
      <c r="CN52" s="786">
        <f t="shared" si="128"/>
        <v>10</v>
      </c>
      <c r="CO52" s="793">
        <f>CO20</f>
        <v>8</v>
      </c>
      <c r="CP52" s="793">
        <f>CP20</f>
        <v>2</v>
      </c>
      <c r="CQ52" s="793">
        <f>CQ20</f>
        <v>8</v>
      </c>
      <c r="CR52" s="793">
        <f>CR20</f>
        <v>2</v>
      </c>
      <c r="CS52" s="786">
        <f t="shared" si="129"/>
        <v>20</v>
      </c>
      <c r="CT52" s="793">
        <f>CT20</f>
        <v>3</v>
      </c>
      <c r="CU52" s="793">
        <f>CU20</f>
        <v>3</v>
      </c>
      <c r="CV52" s="793">
        <f>CV20</f>
        <v>6</v>
      </c>
      <c r="CW52" s="793">
        <f>CW20</f>
        <v>7</v>
      </c>
      <c r="CX52" s="786">
        <f>SUM(CT52:CW52)</f>
        <v>19</v>
      </c>
      <c r="CY52" s="793">
        <f>CY20</f>
        <v>14</v>
      </c>
      <c r="CZ52" s="793">
        <f>CZ20</f>
        <v>11</v>
      </c>
      <c r="DA52" s="793">
        <f>DA20</f>
        <v>21</v>
      </c>
      <c r="DB52" s="793">
        <f>DB20</f>
        <v>58</v>
      </c>
      <c r="DC52" s="786">
        <f>SUM(CY52:DB52)</f>
        <v>104</v>
      </c>
      <c r="DD52" s="793">
        <f>DD20</f>
        <v>21</v>
      </c>
      <c r="DE52" s="793">
        <f>DE20</f>
        <v>32</v>
      </c>
      <c r="DF52" s="793">
        <f>DF20</f>
        <v>37</v>
      </c>
      <c r="DG52" s="793">
        <f>DG20</f>
        <v>63</v>
      </c>
      <c r="DH52" s="786">
        <f>SUM(DD52:DG52)</f>
        <v>153</v>
      </c>
      <c r="DI52" s="793">
        <f>DI20</f>
        <v>29</v>
      </c>
      <c r="DJ52" s="793">
        <f>DJ20</f>
        <v>193</v>
      </c>
      <c r="DK52" s="793">
        <f>DK20</f>
        <v>44</v>
      </c>
      <c r="DL52" s="793">
        <f>DL20</f>
        <v>52</v>
      </c>
      <c r="DM52" s="786">
        <f t="shared" si="130"/>
        <v>318</v>
      </c>
      <c r="DN52" s="792">
        <f>DN20</f>
        <v>28</v>
      </c>
      <c r="DO52" s="792">
        <f>DO20</f>
        <v>22</v>
      </c>
      <c r="DP52" s="792">
        <f>DP20</f>
        <v>31</v>
      </c>
      <c r="DQ52" s="792">
        <f>DQ20</f>
        <v>121</v>
      </c>
      <c r="DR52" s="786">
        <f>SUM(DN52:DQ52)</f>
        <v>202</v>
      </c>
      <c r="DS52" s="792">
        <f>DS20</f>
        <v>33</v>
      </c>
      <c r="DT52" s="792">
        <f>DT20</f>
        <v>41</v>
      </c>
      <c r="DU52" s="792">
        <f>DU20</f>
        <v>329</v>
      </c>
      <c r="DV52" s="792">
        <f>DV20</f>
        <v>138</v>
      </c>
      <c r="DW52" s="786">
        <f t="shared" si="131"/>
        <v>541</v>
      </c>
      <c r="DX52" s="792">
        <v>0</v>
      </c>
      <c r="DY52" s="792">
        <v>0</v>
      </c>
      <c r="DZ52" s="792">
        <v>0</v>
      </c>
      <c r="EA52" s="792">
        <v>0</v>
      </c>
      <c r="EB52" s="786">
        <f t="shared" si="132"/>
        <v>0</v>
      </c>
      <c r="EC52" s="792">
        <v>0</v>
      </c>
      <c r="ED52" s="792">
        <v>0</v>
      </c>
      <c r="EE52" s="792">
        <v>0</v>
      </c>
      <c r="EF52" s="792">
        <v>0</v>
      </c>
      <c r="EG52" s="786">
        <f t="shared" si="133"/>
        <v>0</v>
      </c>
      <c r="EH52" s="792">
        <v>0</v>
      </c>
      <c r="EI52" s="792">
        <v>0</v>
      </c>
      <c r="EJ52" s="792">
        <v>0</v>
      </c>
      <c r="EK52" s="792">
        <v>0</v>
      </c>
      <c r="EL52" s="786">
        <f t="shared" si="134"/>
        <v>0</v>
      </c>
      <c r="EM52" s="21"/>
      <c r="EN52"/>
      <c r="EO52"/>
      <c r="EP52"/>
      <c r="EQ52"/>
      <c r="ER52"/>
      <c r="ES52" s="23"/>
      <c r="ET52"/>
      <c r="EU52" s="23"/>
      <c r="EV52" s="23"/>
      <c r="EW52" s="23"/>
      <c r="EX52" s="24"/>
      <c r="EY52" s="24"/>
      <c r="EZ52" s="24"/>
      <c r="FA52" s="24"/>
      <c r="FB52" s="24"/>
      <c r="FC52" s="24"/>
      <c r="FD52" s="24"/>
      <c r="FE52" s="24"/>
      <c r="FF52" s="24"/>
      <c r="FG52" s="24"/>
      <c r="FH52" s="24"/>
      <c r="FI52" s="24"/>
      <c r="FJ52" s="24"/>
      <c r="FK52" s="24"/>
      <c r="FL52" s="24"/>
      <c r="FM52" s="24"/>
      <c r="FN52" s="24"/>
      <c r="FO52" s="24"/>
      <c r="FP52" s="24"/>
      <c r="FQ52" s="24"/>
      <c r="FR52" s="24"/>
      <c r="FS52" s="24"/>
      <c r="FT52" s="24"/>
      <c r="FU52" s="24"/>
      <c r="FV52" s="24"/>
      <c r="FW52" s="24"/>
      <c r="FX52" s="24"/>
      <c r="FY52" s="24"/>
      <c r="FZ52" s="24"/>
      <c r="GA52" s="24"/>
      <c r="GB52" s="24"/>
      <c r="GC52" s="24"/>
      <c r="GD52" s="24"/>
      <c r="GE52" s="24"/>
      <c r="GF52" s="24"/>
      <c r="GG52" s="24"/>
      <c r="GH52" s="24"/>
      <c r="GI52" s="24"/>
      <c r="GJ52" s="24"/>
      <c r="GK52" s="24"/>
      <c r="GL52" s="24"/>
      <c r="GM52" s="24"/>
      <c r="GN52" s="24"/>
      <c r="GO52" s="24"/>
      <c r="GP52" s="24"/>
      <c r="GQ52" s="24"/>
      <c r="GR52" s="24"/>
      <c r="GS52" s="24"/>
      <c r="GT52" s="24"/>
      <c r="GU52" s="24"/>
      <c r="GV52" s="24"/>
      <c r="GW52" s="24"/>
      <c r="GX52" s="24"/>
      <c r="GY52" s="24"/>
      <c r="GZ52" s="24"/>
      <c r="HA52" s="24"/>
      <c r="HB52" s="24"/>
      <c r="HC52" s="24"/>
      <c r="HD52" s="24"/>
      <c r="HE52" s="24"/>
      <c r="HF52" s="24"/>
      <c r="HG52" s="24"/>
      <c r="HH52" s="24"/>
      <c r="HI52" s="24"/>
      <c r="HJ52" s="24"/>
      <c r="HK52" s="24"/>
      <c r="HL52" s="24"/>
      <c r="HM52" s="24"/>
      <c r="HN52" s="24"/>
      <c r="HO52" s="24"/>
      <c r="HP52" s="24"/>
      <c r="HQ52" s="24"/>
      <c r="HR52" s="24"/>
      <c r="HS52" s="24"/>
      <c r="HT52" s="24"/>
      <c r="HU52" s="24"/>
      <c r="HV52" s="24"/>
      <c r="HW52" s="24"/>
      <c r="HX52" s="24"/>
      <c r="HY52" s="24"/>
      <c r="HZ52" s="24"/>
      <c r="IA52" s="24"/>
      <c r="IB52" s="24"/>
      <c r="IC52" s="24"/>
      <c r="ID52" s="24"/>
      <c r="IE52" s="24"/>
      <c r="IF52" s="24"/>
      <c r="IG52" s="24"/>
      <c r="IH52" s="24"/>
      <c r="II52" s="24"/>
      <c r="IJ52" s="24"/>
      <c r="IK52" s="24"/>
      <c r="IL52" s="24"/>
      <c r="IM52" s="24"/>
      <c r="IN52" s="24"/>
      <c r="IO52" s="24"/>
      <c r="IP52" s="24"/>
      <c r="IQ52" s="24"/>
      <c r="IR52" s="24"/>
      <c r="IS52" s="24"/>
      <c r="IT52" s="24"/>
      <c r="IU52" s="24"/>
      <c r="IV52" s="24"/>
      <c r="IW52" s="24"/>
      <c r="IX52" s="24"/>
      <c r="IY52" s="24"/>
      <c r="IZ52" s="24"/>
      <c r="JA52" s="24"/>
      <c r="JB52" s="24"/>
      <c r="JC52" s="24"/>
      <c r="JD52" s="24"/>
      <c r="JE52" s="24"/>
      <c r="JF52" s="24"/>
      <c r="JG52" s="24"/>
      <c r="JH52" s="24"/>
      <c r="JI52" s="24"/>
      <c r="JJ52" s="24"/>
      <c r="JK52" s="24"/>
    </row>
    <row r="53" spans="1:271" s="18" customFormat="1" ht="12" hidden="1" customHeight="1" outlineLevel="1">
      <c r="A53" s="787"/>
      <c r="B53" s="794" t="s">
        <v>371</v>
      </c>
      <c r="C53" s="794"/>
      <c r="D53" s="795">
        <v>0</v>
      </c>
      <c r="E53" s="795">
        <v>0</v>
      </c>
      <c r="F53" s="795">
        <v>0</v>
      </c>
      <c r="G53" s="795">
        <v>0</v>
      </c>
      <c r="H53" s="786">
        <f t="shared" si="113"/>
        <v>0</v>
      </c>
      <c r="I53" s="795">
        <v>0</v>
      </c>
      <c r="J53" s="795">
        <v>0</v>
      </c>
      <c r="K53" s="795">
        <v>0</v>
      </c>
      <c r="L53" s="795">
        <v>0</v>
      </c>
      <c r="M53" s="786">
        <f t="shared" si="114"/>
        <v>0</v>
      </c>
      <c r="N53" s="795">
        <v>0</v>
      </c>
      <c r="O53" s="795">
        <v>0</v>
      </c>
      <c r="P53" s="795">
        <v>0</v>
      </c>
      <c r="Q53" s="795">
        <v>0</v>
      </c>
      <c r="R53" s="786">
        <f t="shared" si="115"/>
        <v>0</v>
      </c>
      <c r="S53" s="795">
        <v>0</v>
      </c>
      <c r="T53" s="795">
        <v>0</v>
      </c>
      <c r="U53" s="795">
        <v>0</v>
      </c>
      <c r="V53" s="795">
        <v>0</v>
      </c>
      <c r="W53" s="786">
        <f t="shared" si="116"/>
        <v>0</v>
      </c>
      <c r="X53" s="795">
        <v>0</v>
      </c>
      <c r="Y53" s="795">
        <v>0</v>
      </c>
      <c r="Z53" s="795">
        <v>0</v>
      </c>
      <c r="AA53" s="795">
        <v>0</v>
      </c>
      <c r="AB53" s="786">
        <f t="shared" si="117"/>
        <v>0</v>
      </c>
      <c r="AC53" s="795">
        <v>0</v>
      </c>
      <c r="AD53" s="795">
        <v>0</v>
      </c>
      <c r="AE53" s="795">
        <v>0</v>
      </c>
      <c r="AF53" s="795">
        <v>0</v>
      </c>
      <c r="AG53" s="786">
        <f t="shared" si="118"/>
        <v>0</v>
      </c>
      <c r="AH53" s="795">
        <v>0</v>
      </c>
      <c r="AI53" s="795">
        <v>0</v>
      </c>
      <c r="AJ53" s="795">
        <v>0</v>
      </c>
      <c r="AK53" s="795">
        <v>0</v>
      </c>
      <c r="AL53" s="786">
        <f t="shared" si="119"/>
        <v>0</v>
      </c>
      <c r="AM53" s="795">
        <v>0</v>
      </c>
      <c r="AN53" s="795">
        <v>0</v>
      </c>
      <c r="AO53" s="795">
        <v>0</v>
      </c>
      <c r="AP53" s="795">
        <v>0</v>
      </c>
      <c r="AQ53" s="786">
        <f t="shared" si="120"/>
        <v>0</v>
      </c>
      <c r="AR53" s="795">
        <v>0</v>
      </c>
      <c r="AS53" s="795">
        <v>0</v>
      </c>
      <c r="AT53" s="795">
        <v>0</v>
      </c>
      <c r="AU53" s="795"/>
      <c r="AV53" s="786">
        <v>0</v>
      </c>
      <c r="AW53" s="795">
        <v>0</v>
      </c>
      <c r="AX53" s="795">
        <v>0</v>
      </c>
      <c r="AY53" s="795">
        <v>0</v>
      </c>
      <c r="AZ53" s="795">
        <f t="shared" si="121"/>
        <v>0</v>
      </c>
      <c r="BA53" s="795">
        <v>0</v>
      </c>
      <c r="BB53" s="795">
        <v>0</v>
      </c>
      <c r="BC53" s="795"/>
      <c r="BD53" s="795"/>
      <c r="BE53" s="786"/>
      <c r="BF53" s="795">
        <v>0</v>
      </c>
      <c r="BG53" s="795">
        <v>0</v>
      </c>
      <c r="BH53" s="795">
        <v>0</v>
      </c>
      <c r="BI53" s="795">
        <v>480</v>
      </c>
      <c r="BJ53" s="786">
        <f t="shared" si="122"/>
        <v>480</v>
      </c>
      <c r="BK53" s="795">
        <v>-22</v>
      </c>
      <c r="BL53" s="795">
        <f>13</f>
        <v>13</v>
      </c>
      <c r="BM53" s="795">
        <v>139</v>
      </c>
      <c r="BN53" s="795">
        <f>218-BK53-BL53-BM53</f>
        <v>88</v>
      </c>
      <c r="BO53" s="786">
        <f t="shared" si="123"/>
        <v>218</v>
      </c>
      <c r="BP53" s="795">
        <v>-7</v>
      </c>
      <c r="BQ53" s="795">
        <v>2</v>
      </c>
      <c r="BR53" s="795">
        <v>19</v>
      </c>
      <c r="BS53" s="795">
        <f>140-BP53-BQ53-BR53</f>
        <v>126</v>
      </c>
      <c r="BT53" s="786">
        <f t="shared" si="124"/>
        <v>140</v>
      </c>
      <c r="BU53" s="795">
        <v>-2</v>
      </c>
      <c r="BV53" s="795">
        <v>16</v>
      </c>
      <c r="BW53" s="795">
        <v>11</v>
      </c>
      <c r="BX53" s="795">
        <f>-37-BU53-BV53-BW53</f>
        <v>-62</v>
      </c>
      <c r="BY53" s="786">
        <f t="shared" si="125"/>
        <v>-37</v>
      </c>
      <c r="BZ53" s="795">
        <v>-2</v>
      </c>
      <c r="CA53" s="795">
        <v>1</v>
      </c>
      <c r="CB53" s="795">
        <v>-47</v>
      </c>
      <c r="CC53" s="795">
        <v>0</v>
      </c>
      <c r="CD53" s="786">
        <f t="shared" si="126"/>
        <v>-48</v>
      </c>
      <c r="CE53" s="795">
        <v>-72</v>
      </c>
      <c r="CF53" s="795">
        <v>-1</v>
      </c>
      <c r="CG53" s="795">
        <v>-3</v>
      </c>
      <c r="CH53" s="795">
        <v>-33</v>
      </c>
      <c r="CI53" s="786">
        <f t="shared" si="127"/>
        <v>-109</v>
      </c>
      <c r="CJ53" s="795">
        <v>-33</v>
      </c>
      <c r="CK53" s="795">
        <v>-6</v>
      </c>
      <c r="CL53" s="795">
        <v>-981</v>
      </c>
      <c r="CM53" s="795">
        <v>-23</v>
      </c>
      <c r="CN53" s="786">
        <f t="shared" si="128"/>
        <v>-1043</v>
      </c>
      <c r="CO53" s="795">
        <v>-5</v>
      </c>
      <c r="CP53" s="795">
        <v>-7</v>
      </c>
      <c r="CQ53" s="795">
        <v>-4</v>
      </c>
      <c r="CR53" s="795">
        <v>8</v>
      </c>
      <c r="CS53" s="786">
        <f t="shared" si="129"/>
        <v>-8</v>
      </c>
      <c r="CT53" s="795">
        <v>0</v>
      </c>
      <c r="CU53" s="795">
        <v>-1</v>
      </c>
      <c r="CV53" s="795">
        <v>0</v>
      </c>
      <c r="CW53" s="795">
        <v>0</v>
      </c>
      <c r="CX53" s="786"/>
      <c r="CY53" s="795"/>
      <c r="CZ53" s="795"/>
      <c r="DA53" s="795"/>
      <c r="DB53" s="795"/>
      <c r="DC53" s="786"/>
      <c r="DD53" s="795"/>
      <c r="DE53" s="795"/>
      <c r="DF53" s="795"/>
      <c r="DG53" s="795"/>
      <c r="DH53" s="786"/>
      <c r="DI53" s="795"/>
      <c r="DJ53" s="795"/>
      <c r="DK53" s="795"/>
      <c r="DL53" s="795"/>
      <c r="DM53" s="786">
        <f t="shared" si="130"/>
        <v>0</v>
      </c>
      <c r="DN53" s="795"/>
      <c r="DO53" s="795"/>
      <c r="DP53" s="795"/>
      <c r="DQ53" s="795"/>
      <c r="DR53" s="786">
        <f>SUM(DN53:DQ53)</f>
        <v>0</v>
      </c>
      <c r="DS53" s="782">
        <v>0</v>
      </c>
      <c r="DT53" s="782">
        <v>0</v>
      </c>
      <c r="DU53" s="795"/>
      <c r="DV53" s="795"/>
      <c r="DW53" s="786">
        <f t="shared" si="131"/>
        <v>0</v>
      </c>
      <c r="DX53" s="782">
        <v>0</v>
      </c>
      <c r="DY53" s="768">
        <v>0</v>
      </c>
      <c r="DZ53" s="768">
        <v>0</v>
      </c>
      <c r="EA53" s="768">
        <v>0</v>
      </c>
      <c r="EB53" s="786">
        <f t="shared" si="132"/>
        <v>0</v>
      </c>
      <c r="EC53" s="782">
        <v>0</v>
      </c>
      <c r="ED53" s="768">
        <v>0</v>
      </c>
      <c r="EE53" s="768">
        <v>0</v>
      </c>
      <c r="EF53" s="768">
        <v>0</v>
      </c>
      <c r="EG53" s="786">
        <f t="shared" si="133"/>
        <v>0</v>
      </c>
      <c r="EH53" s="782">
        <v>0</v>
      </c>
      <c r="EI53" s="768">
        <v>0</v>
      </c>
      <c r="EJ53" s="768">
        <v>0</v>
      </c>
      <c r="EK53" s="768">
        <v>0</v>
      </c>
      <c r="EL53" s="786">
        <f t="shared" si="134"/>
        <v>0</v>
      </c>
      <c r="EM53" s="21"/>
      <c r="EN53"/>
      <c r="EO53"/>
      <c r="EP53"/>
      <c r="EQ53"/>
      <c r="ER53"/>
      <c r="ES53" s="23"/>
      <c r="ET53"/>
      <c r="EU53" s="23"/>
      <c r="EV53" s="23"/>
      <c r="EW53" s="23"/>
      <c r="EX53" s="24"/>
      <c r="EY53" s="24"/>
      <c r="EZ53" s="24"/>
      <c r="FA53" s="24"/>
      <c r="FB53" s="24"/>
      <c r="FC53" s="24"/>
      <c r="FD53" s="24"/>
      <c r="FE53" s="24"/>
      <c r="FF53" s="24"/>
      <c r="FG53" s="24"/>
      <c r="FH53" s="24"/>
      <c r="FI53" s="24"/>
      <c r="FJ53" s="24"/>
      <c r="FK53" s="24"/>
      <c r="FL53" s="24"/>
      <c r="FM53" s="24"/>
      <c r="FN53" s="24"/>
      <c r="FO53" s="24"/>
      <c r="FP53" s="24"/>
      <c r="FQ53" s="24"/>
      <c r="FR53" s="24"/>
      <c r="FS53" s="24"/>
      <c r="FT53" s="24"/>
      <c r="FU53" s="24"/>
      <c r="FV53" s="24"/>
      <c r="FW53" s="24"/>
      <c r="FX53" s="24"/>
      <c r="FY53" s="24"/>
      <c r="FZ53" s="24"/>
      <c r="GA53" s="24"/>
      <c r="GB53" s="24"/>
      <c r="GC53" s="24"/>
      <c r="GD53" s="24"/>
      <c r="GE53" s="24"/>
      <c r="GF53" s="24"/>
      <c r="GG53" s="24"/>
      <c r="GH53" s="24"/>
      <c r="GI53" s="24"/>
      <c r="GJ53" s="24"/>
      <c r="GK53" s="24"/>
      <c r="GL53" s="24"/>
      <c r="GM53" s="24"/>
      <c r="GN53" s="24"/>
      <c r="GO53" s="24"/>
      <c r="GP53" s="24"/>
      <c r="GQ53" s="24"/>
      <c r="GR53" s="24"/>
      <c r="GS53" s="24"/>
      <c r="GT53" s="24"/>
      <c r="GU53" s="24"/>
      <c r="GV53" s="24"/>
      <c r="GW53" s="24"/>
      <c r="GX53" s="24"/>
      <c r="GY53" s="24"/>
      <c r="GZ53" s="24"/>
      <c r="HA53" s="24"/>
      <c r="HB53" s="24"/>
      <c r="HC53" s="24"/>
      <c r="HD53" s="24"/>
      <c r="HE53" s="24"/>
      <c r="HF53" s="24"/>
      <c r="HG53" s="24"/>
      <c r="HH53" s="24"/>
      <c r="HI53" s="24"/>
      <c r="HJ53" s="24"/>
      <c r="HK53" s="24"/>
      <c r="HL53" s="24"/>
      <c r="HM53" s="24"/>
      <c r="HN53" s="24"/>
      <c r="HO53" s="24"/>
      <c r="HP53" s="24"/>
      <c r="HQ53" s="24"/>
      <c r="HR53" s="24"/>
      <c r="HS53" s="24"/>
      <c r="HT53" s="24"/>
      <c r="HU53" s="24"/>
      <c r="HV53" s="24"/>
      <c r="HW53" s="24"/>
      <c r="HX53" s="24"/>
      <c r="HY53" s="24"/>
      <c r="HZ53" s="24"/>
      <c r="IA53" s="24"/>
      <c r="IB53" s="24"/>
      <c r="IC53" s="24"/>
      <c r="ID53" s="24"/>
      <c r="IE53" s="24"/>
      <c r="IF53" s="24"/>
      <c r="IG53" s="24"/>
      <c r="IH53" s="24"/>
      <c r="II53" s="24"/>
      <c r="IJ53" s="24"/>
      <c r="IK53" s="24"/>
      <c r="IL53" s="24"/>
      <c r="IM53" s="24"/>
      <c r="IN53" s="24"/>
      <c r="IO53" s="24"/>
      <c r="IP53" s="24"/>
      <c r="IQ53" s="24"/>
      <c r="IR53" s="24"/>
      <c r="IS53" s="24"/>
      <c r="IT53" s="24"/>
      <c r="IU53" s="24"/>
      <c r="IV53" s="24"/>
      <c r="IW53" s="24"/>
      <c r="IX53" s="24"/>
      <c r="IY53" s="24"/>
      <c r="IZ53" s="24"/>
      <c r="JA53" s="24"/>
      <c r="JB53" s="24"/>
      <c r="JC53" s="24"/>
      <c r="JD53" s="24"/>
      <c r="JE53" s="24"/>
      <c r="JF53" s="24"/>
      <c r="JG53" s="24"/>
      <c r="JH53" s="24"/>
      <c r="JI53" s="24"/>
      <c r="JJ53" s="24"/>
      <c r="JK53" s="24"/>
    </row>
    <row r="54" spans="1:271" s="18" customFormat="1" ht="12" hidden="1" customHeight="1" outlineLevel="1">
      <c r="A54" s="787"/>
      <c r="B54" s="788" t="s">
        <v>372</v>
      </c>
      <c r="C54" s="789"/>
      <c r="D54" s="782">
        <v>0</v>
      </c>
      <c r="E54" s="782">
        <v>0</v>
      </c>
      <c r="F54" s="782">
        <v>0</v>
      </c>
      <c r="G54" s="782">
        <v>0</v>
      </c>
      <c r="H54" s="786">
        <f t="shared" si="113"/>
        <v>0</v>
      </c>
      <c r="I54" s="782">
        <f>-0.28*215.837</f>
        <v>-60.434360000000005</v>
      </c>
      <c r="J54" s="782">
        <f>-0.82*216.183-I54</f>
        <v>-116.83569999999997</v>
      </c>
      <c r="K54" s="782">
        <v>0</v>
      </c>
      <c r="L54" s="782">
        <f>-0.59*216.676-I54-J54-K54</f>
        <v>49.431219999999996</v>
      </c>
      <c r="M54" s="786">
        <f t="shared" si="114"/>
        <v>-127.83883999999998</v>
      </c>
      <c r="N54" s="782">
        <v>0</v>
      </c>
      <c r="O54" s="782">
        <v>0</v>
      </c>
      <c r="P54" s="782">
        <v>0</v>
      </c>
      <c r="Q54" s="782">
        <v>0</v>
      </c>
      <c r="R54" s="786">
        <f t="shared" si="115"/>
        <v>0</v>
      </c>
      <c r="S54" s="782">
        <v>0</v>
      </c>
      <c r="T54" s="782">
        <v>0</v>
      </c>
      <c r="U54" s="782">
        <v>0</v>
      </c>
      <c r="V54" s="782">
        <v>0</v>
      </c>
      <c r="W54" s="786">
        <f t="shared" si="116"/>
        <v>0</v>
      </c>
      <c r="X54" s="782">
        <v>0</v>
      </c>
      <c r="Y54" s="782">
        <v>0</v>
      </c>
      <c r="Z54" s="782">
        <v>0</v>
      </c>
      <c r="AA54" s="782">
        <v>0</v>
      </c>
      <c r="AB54" s="786">
        <f t="shared" si="117"/>
        <v>0</v>
      </c>
      <c r="AC54" s="782">
        <v>0</v>
      </c>
      <c r="AD54" s="782">
        <v>0</v>
      </c>
      <c r="AE54" s="782">
        <v>0</v>
      </c>
      <c r="AF54" s="782">
        <v>0</v>
      </c>
      <c r="AG54" s="786">
        <f t="shared" si="118"/>
        <v>0</v>
      </c>
      <c r="AH54" s="782">
        <v>0</v>
      </c>
      <c r="AI54" s="782">
        <v>0</v>
      </c>
      <c r="AJ54" s="782">
        <v>0</v>
      </c>
      <c r="AK54" s="782">
        <v>0</v>
      </c>
      <c r="AL54" s="786">
        <f t="shared" si="119"/>
        <v>0</v>
      </c>
      <c r="AM54" s="782">
        <v>0</v>
      </c>
      <c r="AN54" s="782">
        <v>0</v>
      </c>
      <c r="AO54" s="782">
        <v>0</v>
      </c>
      <c r="AP54" s="782">
        <v>0</v>
      </c>
      <c r="AQ54" s="786">
        <f t="shared" si="120"/>
        <v>0</v>
      </c>
      <c r="AR54" s="782">
        <v>0</v>
      </c>
      <c r="AS54" s="782">
        <v>0</v>
      </c>
      <c r="AT54" s="782">
        <v>0</v>
      </c>
      <c r="AU54" s="782"/>
      <c r="AV54" s="786">
        <v>0</v>
      </c>
      <c r="AW54" s="782">
        <v>0</v>
      </c>
      <c r="AX54" s="782">
        <v>0</v>
      </c>
      <c r="AY54" s="782">
        <v>0</v>
      </c>
      <c r="AZ54" s="782">
        <f t="shared" si="121"/>
        <v>0</v>
      </c>
      <c r="BA54" s="782">
        <v>0</v>
      </c>
      <c r="BB54" s="782">
        <v>0</v>
      </c>
      <c r="BC54" s="782">
        <v>0</v>
      </c>
      <c r="BD54" s="782">
        <v>0</v>
      </c>
      <c r="BE54" s="786">
        <f>SUM(BA54:BD54)</f>
        <v>0</v>
      </c>
      <c r="BF54" s="782">
        <v>0</v>
      </c>
      <c r="BG54" s="782">
        <v>0</v>
      </c>
      <c r="BH54" s="782">
        <v>0</v>
      </c>
      <c r="BI54" s="782">
        <v>0</v>
      </c>
      <c r="BJ54" s="786">
        <f t="shared" si="122"/>
        <v>0</v>
      </c>
      <c r="BK54" s="782">
        <v>0</v>
      </c>
      <c r="BL54" s="782">
        <v>0</v>
      </c>
      <c r="BM54" s="782">
        <v>0</v>
      </c>
      <c r="BN54" s="782">
        <f>-BN30</f>
        <v>-4</v>
      </c>
      <c r="BO54" s="786">
        <f t="shared" si="123"/>
        <v>-4</v>
      </c>
      <c r="BP54" s="782">
        <f t="shared" ref="BP54:BS55" si="135">-BP30</f>
        <v>-2</v>
      </c>
      <c r="BQ54" s="782">
        <f t="shared" si="135"/>
        <v>0</v>
      </c>
      <c r="BR54" s="782">
        <f t="shared" si="135"/>
        <v>0</v>
      </c>
      <c r="BS54" s="782">
        <f t="shared" si="135"/>
        <v>-3</v>
      </c>
      <c r="BT54" s="786">
        <f t="shared" si="124"/>
        <v>-5</v>
      </c>
      <c r="BU54" s="782">
        <f t="shared" ref="BU54:BX55" si="136">-BU30</f>
        <v>0</v>
      </c>
      <c r="BV54" s="782">
        <f t="shared" si="136"/>
        <v>0</v>
      </c>
      <c r="BW54" s="782">
        <f t="shared" si="136"/>
        <v>0</v>
      </c>
      <c r="BX54" s="782">
        <f t="shared" si="136"/>
        <v>0</v>
      </c>
      <c r="BY54" s="786">
        <f t="shared" si="125"/>
        <v>0</v>
      </c>
      <c r="BZ54" s="782">
        <f t="shared" ref="BZ54:CC55" si="137">-BZ30</f>
        <v>0</v>
      </c>
      <c r="CA54" s="782">
        <f t="shared" si="137"/>
        <v>0</v>
      </c>
      <c r="CB54" s="782">
        <f t="shared" si="137"/>
        <v>-140</v>
      </c>
      <c r="CC54" s="782">
        <f t="shared" si="137"/>
        <v>1</v>
      </c>
      <c r="CD54" s="786">
        <f t="shared" si="126"/>
        <v>-139</v>
      </c>
      <c r="CE54" s="782">
        <f t="shared" ref="CE54:CH55" si="138">-CE30</f>
        <v>0</v>
      </c>
      <c r="CF54" s="782">
        <f t="shared" si="138"/>
        <v>-15</v>
      </c>
      <c r="CG54" s="782">
        <f t="shared" si="138"/>
        <v>0</v>
      </c>
      <c r="CH54" s="782">
        <f t="shared" si="138"/>
        <v>0</v>
      </c>
      <c r="CI54" s="786">
        <f t="shared" si="127"/>
        <v>-15</v>
      </c>
      <c r="CJ54" s="782">
        <v>0</v>
      </c>
      <c r="CK54" s="782">
        <v>0</v>
      </c>
      <c r="CL54" s="782">
        <v>0</v>
      </c>
      <c r="CM54" s="782">
        <v>0</v>
      </c>
      <c r="CN54" s="786">
        <f t="shared" si="128"/>
        <v>0</v>
      </c>
      <c r="CO54" s="782">
        <v>0</v>
      </c>
      <c r="CP54" s="782">
        <v>0</v>
      </c>
      <c r="CQ54" s="782">
        <v>0</v>
      </c>
      <c r="CR54" s="782">
        <v>0</v>
      </c>
      <c r="CS54" s="786">
        <f t="shared" si="129"/>
        <v>0</v>
      </c>
      <c r="CT54" s="782">
        <v>0</v>
      </c>
      <c r="CU54" s="782">
        <v>0</v>
      </c>
      <c r="CV54" s="782">
        <f>-CV30*(1-CV100)</f>
        <v>0</v>
      </c>
      <c r="CW54" s="782">
        <f>-CW30*(1-CW100)</f>
        <v>0</v>
      </c>
      <c r="CX54" s="786">
        <f>SUM(CT54:CW54)</f>
        <v>0</v>
      </c>
      <c r="CY54" s="782">
        <v>0</v>
      </c>
      <c r="CZ54" s="782">
        <f>-CZ30*(1-CZ100)</f>
        <v>0</v>
      </c>
      <c r="DA54" s="782">
        <f>-DA30*(1-DA100)</f>
        <v>0</v>
      </c>
      <c r="DB54" s="782">
        <f>-DB30*(1-DB100)</f>
        <v>0</v>
      </c>
      <c r="DC54" s="786">
        <f>SUM(CY54:DB54)</f>
        <v>0</v>
      </c>
      <c r="DD54" s="782">
        <f>-DD30*(1-DD100)</f>
        <v>0</v>
      </c>
      <c r="DE54" s="782">
        <f>-DE30*(1-DE100)</f>
        <v>0</v>
      </c>
      <c r="DF54" s="782">
        <v>0</v>
      </c>
      <c r="DG54" s="782">
        <f>-DG30*(1-DG100)</f>
        <v>0</v>
      </c>
      <c r="DH54" s="786">
        <f>SUM(DD54:DG54)</f>
        <v>0</v>
      </c>
      <c r="DI54" s="782">
        <f>-DI30*(1-DI100)</f>
        <v>0</v>
      </c>
      <c r="DJ54" s="782">
        <f>-DJ30*(1-DJ100)</f>
        <v>0</v>
      </c>
      <c r="DK54" s="782">
        <f>-DK30*(1-DK100)</f>
        <v>0</v>
      </c>
      <c r="DL54" s="782">
        <v>-186</v>
      </c>
      <c r="DM54" s="786">
        <f t="shared" si="130"/>
        <v>-186</v>
      </c>
      <c r="DN54" s="782">
        <v>-147</v>
      </c>
      <c r="DO54" s="782">
        <v>5</v>
      </c>
      <c r="DP54" s="782">
        <v>-3</v>
      </c>
      <c r="DQ54" s="782">
        <f>-DQ30*(1-DQ100)</f>
        <v>0</v>
      </c>
      <c r="DR54" s="786">
        <v>-151</v>
      </c>
      <c r="DS54" s="782">
        <v>16</v>
      </c>
      <c r="DT54" s="782">
        <v>19</v>
      </c>
      <c r="DU54" s="782">
        <v>6</v>
      </c>
      <c r="DV54" s="782">
        <f>-DV30*(1-DV100)</f>
        <v>0</v>
      </c>
      <c r="DW54" s="786">
        <f t="shared" si="131"/>
        <v>41</v>
      </c>
      <c r="DX54" s="781">
        <f>-DX30*(1-DX100)</f>
        <v>0</v>
      </c>
      <c r="DY54" s="781">
        <f>-DY30*(1-DY100)</f>
        <v>0</v>
      </c>
      <c r="DZ54" s="781">
        <f>-DZ30*(1-DZ100)</f>
        <v>0</v>
      </c>
      <c r="EA54" s="781">
        <f>-EA30*(1-EA100)</f>
        <v>0</v>
      </c>
      <c r="EB54" s="786">
        <f t="shared" si="132"/>
        <v>0</v>
      </c>
      <c r="EC54" s="781">
        <f>-EC30*(1-EC100)</f>
        <v>0</v>
      </c>
      <c r="ED54" s="781">
        <f>-ED30*(1-ED100)</f>
        <v>0</v>
      </c>
      <c r="EE54" s="781">
        <f>-EE30*(1-EE100)</f>
        <v>0</v>
      </c>
      <c r="EF54" s="781">
        <f>-EF30*(1-EF100)</f>
        <v>0</v>
      </c>
      <c r="EG54" s="786">
        <f t="shared" si="133"/>
        <v>0</v>
      </c>
      <c r="EH54" s="781">
        <f>-EH30*(1-EH100)</f>
        <v>0</v>
      </c>
      <c r="EI54" s="781">
        <f>-EI30*(1-EI100)</f>
        <v>0</v>
      </c>
      <c r="EJ54" s="781">
        <f>-EJ30*(1-EJ100)</f>
        <v>0</v>
      </c>
      <c r="EK54" s="781">
        <f>-EK30*(1-EK100)</f>
        <v>0</v>
      </c>
      <c r="EL54" s="786">
        <f t="shared" si="134"/>
        <v>0</v>
      </c>
      <c r="EM54" s="21"/>
      <c r="EN54"/>
      <c r="EO54"/>
      <c r="EP54"/>
      <c r="EQ54"/>
      <c r="ER54"/>
      <c r="ES54" s="23"/>
      <c r="ET54"/>
      <c r="EU54" s="23"/>
      <c r="EV54" s="23"/>
      <c r="EW54" s="23"/>
      <c r="EX54" s="24"/>
      <c r="EY54" s="24"/>
      <c r="EZ54" s="24"/>
      <c r="FA54" s="24"/>
      <c r="FB54" s="24"/>
      <c r="FC54" s="24"/>
      <c r="FD54" s="24"/>
      <c r="FE54" s="24"/>
      <c r="FF54" s="24"/>
      <c r="FG54" s="24"/>
      <c r="FH54" s="24"/>
      <c r="FI54" s="24"/>
      <c r="FJ54" s="24"/>
      <c r="FK54" s="24"/>
      <c r="FL54" s="24"/>
      <c r="FM54" s="24"/>
      <c r="FN54" s="24"/>
      <c r="FO54" s="24"/>
      <c r="FP54" s="24"/>
      <c r="FQ54" s="24"/>
      <c r="FR54" s="24"/>
      <c r="FS54" s="24"/>
      <c r="FT54" s="24"/>
      <c r="FU54" s="24"/>
      <c r="FV54" s="24"/>
      <c r="FW54" s="24"/>
      <c r="FX54" s="24"/>
      <c r="FY54" s="24"/>
      <c r="FZ54" s="24"/>
      <c r="GA54" s="24"/>
      <c r="GB54" s="24"/>
      <c r="GC54" s="24"/>
      <c r="GD54" s="24"/>
      <c r="GE54" s="24"/>
      <c r="GF54" s="24"/>
      <c r="GG54" s="24"/>
      <c r="GH54" s="24"/>
      <c r="GI54" s="24"/>
      <c r="GJ54" s="24"/>
      <c r="GK54" s="24"/>
      <c r="GL54" s="24"/>
      <c r="GM54" s="24"/>
      <c r="GN54" s="24"/>
      <c r="GO54" s="24"/>
      <c r="GP54" s="24"/>
      <c r="GQ54" s="24"/>
      <c r="GR54" s="24"/>
      <c r="GS54" s="24"/>
      <c r="GT54" s="24"/>
      <c r="GU54" s="24"/>
      <c r="GV54" s="24"/>
      <c r="GW54" s="24"/>
      <c r="GX54" s="24"/>
      <c r="GY54" s="24"/>
      <c r="GZ54" s="24"/>
      <c r="HA54" s="24"/>
      <c r="HB54" s="24"/>
      <c r="HC54" s="24"/>
      <c r="HD54" s="24"/>
      <c r="HE54" s="24"/>
      <c r="HF54" s="24"/>
      <c r="HG54" s="24"/>
      <c r="HH54" s="24"/>
      <c r="HI54" s="24"/>
      <c r="HJ54" s="24"/>
      <c r="HK54" s="24"/>
      <c r="HL54" s="24"/>
      <c r="HM54" s="24"/>
      <c r="HN54" s="24"/>
      <c r="HO54" s="24"/>
      <c r="HP54" s="24"/>
      <c r="HQ54" s="24"/>
      <c r="HR54" s="24"/>
      <c r="HS54" s="24"/>
      <c r="HT54" s="24"/>
      <c r="HU54" s="24"/>
      <c r="HV54" s="24"/>
      <c r="HW54" s="24"/>
      <c r="HX54" s="24"/>
      <c r="HY54" s="24"/>
      <c r="HZ54" s="24"/>
      <c r="IA54" s="24"/>
      <c r="IB54" s="24"/>
      <c r="IC54" s="24"/>
      <c r="ID54" s="24"/>
      <c r="IE54" s="24"/>
      <c r="IF54" s="24"/>
      <c r="IG54" s="24"/>
      <c r="IH54" s="24"/>
      <c r="II54" s="24"/>
      <c r="IJ54" s="24"/>
      <c r="IK54" s="24"/>
      <c r="IL54" s="24"/>
      <c r="IM54" s="24"/>
      <c r="IN54" s="24"/>
      <c r="IO54" s="24"/>
      <c r="IP54" s="24"/>
      <c r="IQ54" s="24"/>
      <c r="IR54" s="24"/>
      <c r="IS54" s="24"/>
      <c r="IT54" s="24"/>
      <c r="IU54" s="24"/>
      <c r="IV54" s="24"/>
      <c r="IW54" s="24"/>
      <c r="IX54" s="24"/>
      <c r="IY54" s="24"/>
      <c r="IZ54" s="24"/>
      <c r="JA54" s="24"/>
      <c r="JB54" s="24"/>
      <c r="JC54" s="24"/>
      <c r="JD54" s="24"/>
      <c r="JE54" s="24"/>
      <c r="JF54" s="24"/>
      <c r="JG54" s="24"/>
      <c r="JH54" s="24"/>
      <c r="JI54" s="24"/>
      <c r="JJ54" s="24"/>
      <c r="JK54" s="24"/>
    </row>
    <row r="55" spans="1:271" s="18" customFormat="1" ht="12" hidden="1" customHeight="1" outlineLevel="1">
      <c r="A55" s="787"/>
      <c r="B55" s="788" t="s">
        <v>373</v>
      </c>
      <c r="C55" s="789"/>
      <c r="D55" s="782">
        <v>0</v>
      </c>
      <c r="E55" s="782">
        <v>0</v>
      </c>
      <c r="F55" s="782">
        <v>0</v>
      </c>
      <c r="G55" s="782">
        <f>20-SUM(D55:F55)</f>
        <v>20</v>
      </c>
      <c r="H55" s="786">
        <f t="shared" si="113"/>
        <v>20</v>
      </c>
      <c r="I55" s="782">
        <v>0</v>
      </c>
      <c r="J55" s="782">
        <v>0</v>
      </c>
      <c r="K55" s="782">
        <v>0</v>
      </c>
      <c r="L55" s="782">
        <f>23-SUM(I55:K55)</f>
        <v>23</v>
      </c>
      <c r="M55" s="786">
        <f t="shared" si="114"/>
        <v>23</v>
      </c>
      <c r="N55" s="782">
        <v>0</v>
      </c>
      <c r="O55" s="782">
        <v>0</v>
      </c>
      <c r="P55" s="782">
        <v>47.4</v>
      </c>
      <c r="Q55" s="782">
        <f>47-SUM(N55:P55)</f>
        <v>-0.39999999999999858</v>
      </c>
      <c r="R55" s="786">
        <f t="shared" si="115"/>
        <v>47</v>
      </c>
      <c r="S55" s="782">
        <v>0</v>
      </c>
      <c r="T55" s="782">
        <v>0</v>
      </c>
      <c r="U55" s="782">
        <v>0</v>
      </c>
      <c r="V55" s="782">
        <f>117-SUM(S55:U55)</f>
        <v>117</v>
      </c>
      <c r="W55" s="786">
        <f t="shared" si="116"/>
        <v>117</v>
      </c>
      <c r="X55" s="782">
        <v>0</v>
      </c>
      <c r="Y55" s="782">
        <v>0</v>
      </c>
      <c r="Z55" s="782">
        <v>0</v>
      </c>
      <c r="AA55" s="782">
        <v>0</v>
      </c>
      <c r="AB55" s="786">
        <f t="shared" si="117"/>
        <v>0</v>
      </c>
      <c r="AC55" s="782">
        <v>0</v>
      </c>
      <c r="AD55" s="782">
        <v>0</v>
      </c>
      <c r="AE55" s="782">
        <v>0</v>
      </c>
      <c r="AF55" s="782">
        <v>0</v>
      </c>
      <c r="AG55" s="786">
        <f t="shared" si="118"/>
        <v>0</v>
      </c>
      <c r="AH55" s="782">
        <v>0</v>
      </c>
      <c r="AI55" s="782">
        <v>0</v>
      </c>
      <c r="AJ55" s="782">
        <v>0</v>
      </c>
      <c r="AK55" s="782">
        <f>35-SUM(AH55:AJ55)</f>
        <v>35</v>
      </c>
      <c r="AL55" s="786">
        <f t="shared" si="119"/>
        <v>35</v>
      </c>
      <c r="AM55" s="782">
        <v>69</v>
      </c>
      <c r="AN55" s="782">
        <v>103</v>
      </c>
      <c r="AO55" s="782">
        <v>8</v>
      </c>
      <c r="AP55" s="782">
        <f>240-SUM(AM55:AO55)</f>
        <v>60</v>
      </c>
      <c r="AQ55" s="786">
        <f t="shared" si="120"/>
        <v>240</v>
      </c>
      <c r="AR55" s="782">
        <v>3</v>
      </c>
      <c r="AS55" s="782">
        <v>0</v>
      </c>
      <c r="AT55" s="782">
        <v>0</v>
      </c>
      <c r="AU55" s="782"/>
      <c r="AV55" s="786">
        <v>4</v>
      </c>
      <c r="AW55" s="782">
        <v>60</v>
      </c>
      <c r="AX55" s="782">
        <f>-(AX31)*(1-AX127)</f>
        <v>1.9500000000000002</v>
      </c>
      <c r="AY55" s="782">
        <v>0</v>
      </c>
      <c r="AZ55" s="782">
        <f t="shared" si="121"/>
        <v>65.95</v>
      </c>
      <c r="BA55" s="782">
        <v>0</v>
      </c>
      <c r="BB55" s="782">
        <v>0</v>
      </c>
      <c r="BC55" s="782">
        <v>0</v>
      </c>
      <c r="BD55" s="782">
        <v>0</v>
      </c>
      <c r="BE55" s="786">
        <f>SUM(BA55:BD55)</f>
        <v>0</v>
      </c>
      <c r="BF55" s="782">
        <v>0</v>
      </c>
      <c r="BG55" s="782">
        <v>-3</v>
      </c>
      <c r="BH55" s="782">
        <v>-7</v>
      </c>
      <c r="BI55" s="782">
        <v>0</v>
      </c>
      <c r="BJ55" s="786">
        <f t="shared" si="122"/>
        <v>-10</v>
      </c>
      <c r="BK55" s="782">
        <v>0</v>
      </c>
      <c r="BL55" s="782">
        <v>0</v>
      </c>
      <c r="BM55" s="782">
        <v>0</v>
      </c>
      <c r="BN55" s="782">
        <v>0</v>
      </c>
      <c r="BO55" s="786">
        <f t="shared" si="123"/>
        <v>0</v>
      </c>
      <c r="BP55" s="782">
        <f t="shared" si="135"/>
        <v>0</v>
      </c>
      <c r="BQ55" s="782">
        <f t="shared" si="135"/>
        <v>0</v>
      </c>
      <c r="BR55" s="782">
        <f t="shared" si="135"/>
        <v>0</v>
      </c>
      <c r="BS55" s="782">
        <f t="shared" si="135"/>
        <v>0</v>
      </c>
      <c r="BT55" s="786">
        <f t="shared" si="124"/>
        <v>0</v>
      </c>
      <c r="BU55" s="782">
        <f t="shared" si="136"/>
        <v>0</v>
      </c>
      <c r="BV55" s="782">
        <f t="shared" si="136"/>
        <v>0</v>
      </c>
      <c r="BW55" s="782">
        <f t="shared" si="136"/>
        <v>0</v>
      </c>
      <c r="BX55" s="782">
        <f t="shared" si="136"/>
        <v>0</v>
      </c>
      <c r="BY55" s="786">
        <f t="shared" si="125"/>
        <v>0</v>
      </c>
      <c r="BZ55" s="782">
        <f t="shared" si="137"/>
        <v>0</v>
      </c>
      <c r="CA55" s="782">
        <f t="shared" si="137"/>
        <v>0</v>
      </c>
      <c r="CB55" s="782">
        <f t="shared" si="137"/>
        <v>0</v>
      </c>
      <c r="CC55" s="782">
        <f t="shared" si="137"/>
        <v>0</v>
      </c>
      <c r="CD55" s="786">
        <f t="shared" si="126"/>
        <v>0</v>
      </c>
      <c r="CE55" s="782">
        <f t="shared" si="138"/>
        <v>-134</v>
      </c>
      <c r="CF55" s="782">
        <f t="shared" si="138"/>
        <v>21</v>
      </c>
      <c r="CG55" s="782">
        <f t="shared" si="138"/>
        <v>16</v>
      </c>
      <c r="CH55" s="782">
        <f t="shared" si="138"/>
        <v>0</v>
      </c>
      <c r="CI55" s="786">
        <f t="shared" si="127"/>
        <v>-97</v>
      </c>
      <c r="CJ55" s="782">
        <f>-CJ31</f>
        <v>0</v>
      </c>
      <c r="CK55" s="782">
        <f>-CK31</f>
        <v>0</v>
      </c>
      <c r="CL55" s="782">
        <f>-CL31</f>
        <v>55</v>
      </c>
      <c r="CM55" s="782">
        <f>-CM31</f>
        <v>2</v>
      </c>
      <c r="CN55" s="786">
        <f t="shared" si="128"/>
        <v>57</v>
      </c>
      <c r="CO55" s="782">
        <v>0</v>
      </c>
      <c r="CP55" s="782">
        <v>0</v>
      </c>
      <c r="CQ55" s="782">
        <v>0</v>
      </c>
      <c r="CR55" s="782">
        <f>-CR31</f>
        <v>117</v>
      </c>
      <c r="CS55" s="786">
        <f t="shared" si="129"/>
        <v>117</v>
      </c>
      <c r="CT55" s="782">
        <v>0</v>
      </c>
      <c r="CU55" s="782">
        <v>0</v>
      </c>
      <c r="CV55" s="782">
        <v>0</v>
      </c>
      <c r="CW55" s="782">
        <v>4</v>
      </c>
      <c r="CX55" s="786">
        <f>SUM(CT55:CW55)</f>
        <v>4</v>
      </c>
      <c r="CY55" s="782">
        <v>0</v>
      </c>
      <c r="CZ55" s="782">
        <v>0</v>
      </c>
      <c r="DA55" s="782">
        <v>0</v>
      </c>
      <c r="DB55" s="782">
        <v>0</v>
      </c>
      <c r="DC55" s="786">
        <f>SUM(CY55:DB55)</f>
        <v>0</v>
      </c>
      <c r="DD55" s="782">
        <v>0</v>
      </c>
      <c r="DE55" s="782">
        <v>0</v>
      </c>
      <c r="DF55" s="782">
        <v>0</v>
      </c>
      <c r="DG55" s="782">
        <v>0</v>
      </c>
      <c r="DH55" s="786">
        <f>SUM(DD55:DG55)</f>
        <v>0</v>
      </c>
      <c r="DI55" s="782">
        <v>0</v>
      </c>
      <c r="DJ55" s="782">
        <v>0</v>
      </c>
      <c r="DK55" s="782">
        <v>0</v>
      </c>
      <c r="DL55" s="782">
        <v>1</v>
      </c>
      <c r="DM55" s="786">
        <f t="shared" si="130"/>
        <v>1</v>
      </c>
      <c r="DN55" s="782">
        <v>0</v>
      </c>
      <c r="DO55" s="782">
        <v>0</v>
      </c>
      <c r="DP55" s="782">
        <v>0</v>
      </c>
      <c r="DQ55" s="782">
        <v>0</v>
      </c>
      <c r="DR55" s="786">
        <f>SUM(DN55:DQ55)</f>
        <v>0</v>
      </c>
      <c r="DS55" s="782">
        <v>0</v>
      </c>
      <c r="DT55" s="782">
        <v>26</v>
      </c>
      <c r="DU55" s="782">
        <v>138</v>
      </c>
      <c r="DV55" s="782">
        <v>0</v>
      </c>
      <c r="DW55" s="786">
        <f t="shared" si="131"/>
        <v>164</v>
      </c>
      <c r="DX55" s="768">
        <v>0</v>
      </c>
      <c r="DY55" s="768">
        <v>0</v>
      </c>
      <c r="DZ55" s="768">
        <v>0</v>
      </c>
      <c r="EA55" s="768">
        <v>0</v>
      </c>
      <c r="EB55" s="786">
        <f t="shared" si="132"/>
        <v>0</v>
      </c>
      <c r="EC55" s="768">
        <v>0</v>
      </c>
      <c r="ED55" s="768">
        <v>0</v>
      </c>
      <c r="EE55" s="768">
        <v>0</v>
      </c>
      <c r="EF55" s="768">
        <v>0</v>
      </c>
      <c r="EG55" s="786">
        <f t="shared" si="133"/>
        <v>0</v>
      </c>
      <c r="EH55" s="768">
        <v>0</v>
      </c>
      <c r="EI55" s="768">
        <v>0</v>
      </c>
      <c r="EJ55" s="768">
        <v>0</v>
      </c>
      <c r="EK55" s="768">
        <v>0</v>
      </c>
      <c r="EL55" s="786">
        <f t="shared" si="134"/>
        <v>0</v>
      </c>
      <c r="EM55" s="21"/>
      <c r="EN55"/>
      <c r="EO55"/>
      <c r="EP55"/>
      <c r="EQ55"/>
      <c r="ER55"/>
      <c r="ES55" s="23"/>
      <c r="ET55"/>
      <c r="EU55" s="23"/>
      <c r="EV55" s="23"/>
      <c r="EW55" s="23"/>
      <c r="EX55" s="24"/>
      <c r="EY55" s="24"/>
      <c r="EZ55" s="24"/>
      <c r="FA55" s="24"/>
      <c r="FB55" s="24"/>
      <c r="FC55" s="24"/>
      <c r="FD55" s="24"/>
      <c r="FE55" s="24"/>
      <c r="FF55" s="24"/>
      <c r="FG55" s="24"/>
      <c r="FH55" s="24"/>
      <c r="FI55" s="24"/>
      <c r="FJ55" s="24"/>
      <c r="FK55" s="24"/>
      <c r="FL55" s="24"/>
      <c r="FM55" s="24"/>
      <c r="FN55" s="24"/>
      <c r="FO55" s="24"/>
      <c r="FP55" s="24"/>
      <c r="FQ55" s="24"/>
      <c r="FR55" s="24"/>
      <c r="FS55" s="24"/>
      <c r="FT55" s="24"/>
      <c r="FU55" s="24"/>
      <c r="FV55" s="24"/>
      <c r="FW55" s="24"/>
      <c r="FX55" s="24"/>
      <c r="FY55" s="24"/>
      <c r="FZ55" s="24"/>
      <c r="GA55" s="24"/>
      <c r="GB55" s="24"/>
      <c r="GC55" s="24"/>
      <c r="GD55" s="24"/>
      <c r="GE55" s="24"/>
      <c r="GF55" s="24"/>
      <c r="GG55" s="24"/>
      <c r="GH55" s="24"/>
      <c r="GI55" s="24"/>
      <c r="GJ55" s="24"/>
      <c r="GK55" s="24"/>
      <c r="GL55" s="24"/>
      <c r="GM55" s="24"/>
      <c r="GN55" s="24"/>
      <c r="GO55" s="24"/>
      <c r="GP55" s="24"/>
      <c r="GQ55" s="24"/>
      <c r="GR55" s="24"/>
      <c r="GS55" s="24"/>
      <c r="GT55" s="24"/>
      <c r="GU55" s="24"/>
      <c r="GV55" s="24"/>
      <c r="GW55" s="24"/>
      <c r="GX55" s="24"/>
      <c r="GY55" s="24"/>
      <c r="GZ55" s="24"/>
      <c r="HA55" s="24"/>
      <c r="HB55" s="24"/>
      <c r="HC55" s="24"/>
      <c r="HD55" s="24"/>
      <c r="HE55" s="24"/>
      <c r="HF55" s="24"/>
      <c r="HG55" s="24"/>
      <c r="HH55" s="24"/>
      <c r="HI55" s="24"/>
      <c r="HJ55" s="24"/>
      <c r="HK55" s="24"/>
      <c r="HL55" s="24"/>
      <c r="HM55" s="24"/>
      <c r="HN55" s="24"/>
      <c r="HO55" s="24"/>
      <c r="HP55" s="24"/>
      <c r="HQ55" s="24"/>
      <c r="HR55" s="24"/>
      <c r="HS55" s="24"/>
      <c r="HT55" s="24"/>
      <c r="HU55" s="24"/>
      <c r="HV55" s="24"/>
      <c r="HW55" s="24"/>
      <c r="HX55" s="24"/>
      <c r="HY55" s="24"/>
      <c r="HZ55" s="24"/>
      <c r="IA55" s="24"/>
      <c r="IB55" s="24"/>
      <c r="IC55" s="24"/>
      <c r="ID55" s="24"/>
      <c r="IE55" s="24"/>
      <c r="IF55" s="24"/>
      <c r="IG55" s="24"/>
      <c r="IH55" s="24"/>
      <c r="II55" s="24"/>
      <c r="IJ55" s="24"/>
      <c r="IK55" s="24"/>
      <c r="IL55" s="24"/>
      <c r="IM55" s="24"/>
      <c r="IN55" s="24"/>
      <c r="IO55" s="24"/>
      <c r="IP55" s="24"/>
      <c r="IQ55" s="24"/>
      <c r="IR55" s="24"/>
      <c r="IS55" s="24"/>
      <c r="IT55" s="24"/>
      <c r="IU55" s="24"/>
      <c r="IV55" s="24"/>
      <c r="IW55" s="24"/>
      <c r="IX55" s="24"/>
      <c r="IY55" s="24"/>
      <c r="IZ55" s="24"/>
      <c r="JA55" s="24"/>
      <c r="JB55" s="24"/>
      <c r="JC55" s="24"/>
      <c r="JD55" s="24"/>
      <c r="JE55" s="24"/>
      <c r="JF55" s="24"/>
      <c r="JG55" s="24"/>
      <c r="JH55" s="24"/>
      <c r="JI55" s="24"/>
      <c r="JJ55" s="24"/>
      <c r="JK55" s="24"/>
    </row>
    <row r="56" spans="1:271" s="18" customFormat="1" ht="12" hidden="1" customHeight="1" outlineLevel="1">
      <c r="A56" s="787"/>
      <c r="B56" s="788" t="s">
        <v>374</v>
      </c>
      <c r="C56" s="789"/>
      <c r="D56" s="796">
        <v>0</v>
      </c>
      <c r="E56" s="796">
        <v>0</v>
      </c>
      <c r="F56" s="796">
        <v>0</v>
      </c>
      <c r="G56" s="796">
        <v>0</v>
      </c>
      <c r="H56" s="797">
        <f t="shared" si="113"/>
        <v>0</v>
      </c>
      <c r="I56" s="796">
        <v>0</v>
      </c>
      <c r="J56" s="796">
        <v>0</v>
      </c>
      <c r="K56" s="796">
        <v>0</v>
      </c>
      <c r="L56" s="796">
        <v>0</v>
      </c>
      <c r="M56" s="797">
        <f t="shared" si="114"/>
        <v>0</v>
      </c>
      <c r="N56" s="796">
        <v>0</v>
      </c>
      <c r="O56" s="796">
        <v>0</v>
      </c>
      <c r="P56" s="796">
        <v>0</v>
      </c>
      <c r="Q56" s="796">
        <f>18*(1-Q127)</f>
        <v>11.700000000000001</v>
      </c>
      <c r="R56" s="797">
        <f t="shared" si="115"/>
        <v>11.700000000000001</v>
      </c>
      <c r="S56" s="796">
        <v>0</v>
      </c>
      <c r="T56" s="796">
        <v>0</v>
      </c>
      <c r="U56" s="796">
        <v>0</v>
      </c>
      <c r="V56" s="796">
        <v>0</v>
      </c>
      <c r="W56" s="797">
        <f t="shared" si="116"/>
        <v>0</v>
      </c>
      <c r="X56" s="796">
        <v>0</v>
      </c>
      <c r="Y56" s="796">
        <v>0</v>
      </c>
      <c r="Z56" s="796">
        <v>0</v>
      </c>
      <c r="AA56" s="796">
        <v>0</v>
      </c>
      <c r="AB56" s="797">
        <f t="shared" si="117"/>
        <v>0</v>
      </c>
      <c r="AC56" s="796">
        <v>0</v>
      </c>
      <c r="AD56" s="796">
        <v>0</v>
      </c>
      <c r="AE56" s="796">
        <v>0</v>
      </c>
      <c r="AF56" s="796">
        <v>0</v>
      </c>
      <c r="AG56" s="797">
        <f t="shared" si="118"/>
        <v>0</v>
      </c>
      <c r="AH56" s="796">
        <v>0</v>
      </c>
      <c r="AI56" s="796">
        <v>0</v>
      </c>
      <c r="AJ56" s="796">
        <v>0</v>
      </c>
      <c r="AK56" s="796">
        <v>0</v>
      </c>
      <c r="AL56" s="797">
        <f t="shared" si="119"/>
        <v>0</v>
      </c>
      <c r="AM56" s="796">
        <v>0</v>
      </c>
      <c r="AN56" s="796">
        <v>0</v>
      </c>
      <c r="AO56" s="796">
        <v>0</v>
      </c>
      <c r="AP56" s="796">
        <v>0</v>
      </c>
      <c r="AQ56" s="797">
        <f t="shared" si="120"/>
        <v>0</v>
      </c>
      <c r="AR56" s="796">
        <v>0</v>
      </c>
      <c r="AS56" s="796">
        <v>0</v>
      </c>
      <c r="AT56" s="796">
        <v>0</v>
      </c>
      <c r="AU56" s="796"/>
      <c r="AV56" s="797">
        <v>20</v>
      </c>
      <c r="AW56" s="796">
        <v>0</v>
      </c>
      <c r="AX56" s="796">
        <v>0</v>
      </c>
      <c r="AY56" s="796">
        <v>0</v>
      </c>
      <c r="AZ56" s="796">
        <f t="shared" si="121"/>
        <v>20</v>
      </c>
      <c r="BA56" s="796">
        <v>0</v>
      </c>
      <c r="BB56" s="796">
        <v>0</v>
      </c>
      <c r="BC56" s="796">
        <v>0</v>
      </c>
      <c r="BD56" s="796">
        <v>-5</v>
      </c>
      <c r="BE56" s="797">
        <f>SUM(BA56:BD56)</f>
        <v>-5</v>
      </c>
      <c r="BF56" s="796">
        <v>0</v>
      </c>
      <c r="BG56" s="796">
        <v>3</v>
      </c>
      <c r="BH56" s="796">
        <v>0</v>
      </c>
      <c r="BI56" s="796">
        <v>5</v>
      </c>
      <c r="BJ56" s="797">
        <f t="shared" si="122"/>
        <v>8</v>
      </c>
      <c r="BK56" s="796">
        <v>0</v>
      </c>
      <c r="BL56" s="796">
        <v>-23</v>
      </c>
      <c r="BM56" s="796">
        <f>40-3</f>
        <v>37</v>
      </c>
      <c r="BN56" s="796">
        <f>-31-38-BK56-BL56-BM56</f>
        <v>-83</v>
      </c>
      <c r="BO56" s="797">
        <f t="shared" si="123"/>
        <v>-69</v>
      </c>
      <c r="BP56" s="796">
        <v>0</v>
      </c>
      <c r="BQ56" s="796">
        <v>-13</v>
      </c>
      <c r="BR56" s="796">
        <v>0</v>
      </c>
      <c r="BS56" s="796">
        <f>-42-14-14-BP56-BQ56-BR56</f>
        <v>-57</v>
      </c>
      <c r="BT56" s="797">
        <f t="shared" si="124"/>
        <v>-70</v>
      </c>
      <c r="BU56" s="796">
        <v>0</v>
      </c>
      <c r="BV56" s="796">
        <f>2-11</f>
        <v>-9</v>
      </c>
      <c r="BW56" s="796">
        <v>0</v>
      </c>
      <c r="BX56" s="796">
        <f>-3+3-BU56-BV56-BW56</f>
        <v>9</v>
      </c>
      <c r="BY56" s="797">
        <f t="shared" si="125"/>
        <v>0</v>
      </c>
      <c r="BZ56" s="796">
        <v>0</v>
      </c>
      <c r="CA56" s="796">
        <v>0</v>
      </c>
      <c r="CB56" s="796">
        <v>0</v>
      </c>
      <c r="CC56" s="796">
        <v>0</v>
      </c>
      <c r="CD56" s="797">
        <f t="shared" si="126"/>
        <v>0</v>
      </c>
      <c r="CE56" s="796">
        <v>0</v>
      </c>
      <c r="CF56" s="796">
        <v>0</v>
      </c>
      <c r="CG56" s="796">
        <v>0</v>
      </c>
      <c r="CH56" s="796">
        <v>0</v>
      </c>
      <c r="CI56" s="797">
        <f t="shared" si="127"/>
        <v>0</v>
      </c>
      <c r="CJ56" s="796">
        <v>0</v>
      </c>
      <c r="CK56" s="796">
        <v>0</v>
      </c>
      <c r="CL56" s="796">
        <v>0</v>
      </c>
      <c r="CM56" s="796">
        <v>0</v>
      </c>
      <c r="CN56" s="797">
        <f t="shared" si="128"/>
        <v>0</v>
      </c>
      <c r="CO56" s="796">
        <v>0</v>
      </c>
      <c r="CP56" s="796">
        <v>0</v>
      </c>
      <c r="CQ56" s="796">
        <v>0</v>
      </c>
      <c r="CR56" s="796">
        <v>0</v>
      </c>
      <c r="CS56" s="797">
        <f t="shared" si="129"/>
        <v>0</v>
      </c>
      <c r="CT56" s="796">
        <v>0</v>
      </c>
      <c r="CU56" s="796">
        <v>0</v>
      </c>
      <c r="CV56" s="796">
        <v>0</v>
      </c>
      <c r="CW56" s="796">
        <v>0</v>
      </c>
      <c r="CX56" s="797">
        <f>SUM(CT56:CW56)</f>
        <v>0</v>
      </c>
      <c r="CY56" s="796"/>
      <c r="CZ56" s="796"/>
      <c r="DA56" s="796"/>
      <c r="DB56" s="796"/>
      <c r="DC56" s="797"/>
      <c r="DD56" s="796"/>
      <c r="DE56" s="796"/>
      <c r="DF56" s="796"/>
      <c r="DG56" s="796"/>
      <c r="DH56" s="797"/>
      <c r="DI56" s="1427">
        <v>1</v>
      </c>
      <c r="DJ56" s="1427"/>
      <c r="DK56" s="1427"/>
      <c r="DL56" s="1427">
        <v>44</v>
      </c>
      <c r="DM56" s="786">
        <f t="shared" si="130"/>
        <v>45</v>
      </c>
      <c r="DN56" s="1427">
        <v>18</v>
      </c>
      <c r="DO56" s="1427">
        <v>-1</v>
      </c>
      <c r="DP56" s="1427">
        <v>1</v>
      </c>
      <c r="DQ56" s="1427">
        <v>-5</v>
      </c>
      <c r="DR56" s="786">
        <f>SUM(DN56:DQ56)</f>
        <v>13</v>
      </c>
      <c r="DS56" s="782">
        <v>-15</v>
      </c>
      <c r="DT56" s="782">
        <v>-23</v>
      </c>
      <c r="DU56" s="1427">
        <v>-104</v>
      </c>
      <c r="DV56" s="1427">
        <f>-2+23</f>
        <v>21</v>
      </c>
      <c r="DW56" s="786">
        <f t="shared" si="131"/>
        <v>-121</v>
      </c>
      <c r="DX56" s="782">
        <v>-25</v>
      </c>
      <c r="DY56" s="782">
        <v>-25</v>
      </c>
      <c r="DZ56" s="782">
        <v>-25</v>
      </c>
      <c r="EA56" s="782">
        <v>19.5</v>
      </c>
      <c r="EB56" s="786">
        <f t="shared" si="132"/>
        <v>-55.5</v>
      </c>
      <c r="EC56" s="782">
        <v>-2</v>
      </c>
      <c r="ED56" s="768">
        <v>-2</v>
      </c>
      <c r="EE56" s="768">
        <v>-2</v>
      </c>
      <c r="EF56" s="768">
        <v>-3</v>
      </c>
      <c r="EG56" s="786">
        <f t="shared" si="133"/>
        <v>-9</v>
      </c>
      <c r="EH56" s="782"/>
      <c r="EI56" s="768"/>
      <c r="EJ56" s="768"/>
      <c r="EK56" s="768"/>
      <c r="EL56" s="786">
        <f t="shared" si="134"/>
        <v>0</v>
      </c>
      <c r="EM56" s="21"/>
      <c r="EN56"/>
      <c r="EO56"/>
      <c r="EP56"/>
      <c r="EQ56"/>
      <c r="ER56"/>
      <c r="ES56" s="23"/>
      <c r="ET56"/>
      <c r="EU56" s="23"/>
      <c r="EV56" s="23"/>
      <c r="EW56" s="23"/>
      <c r="EX56" s="24"/>
      <c r="EY56" s="24"/>
      <c r="EZ56" s="24"/>
      <c r="FA56" s="24"/>
      <c r="FB56" s="24"/>
      <c r="FC56" s="24"/>
      <c r="FD56" s="24"/>
      <c r="FE56" s="24"/>
      <c r="FF56" s="24"/>
      <c r="FG56" s="24"/>
      <c r="FH56" s="24"/>
      <c r="FI56" s="24"/>
      <c r="FJ56" s="24"/>
      <c r="FK56" s="24"/>
      <c r="FL56" s="24"/>
      <c r="FM56" s="24"/>
      <c r="FN56" s="24"/>
      <c r="FO56" s="24"/>
      <c r="FP56" s="24"/>
      <c r="FQ56" s="24"/>
      <c r="FR56" s="24"/>
      <c r="FS56" s="24"/>
      <c r="FT56" s="24"/>
      <c r="FU56" s="24"/>
      <c r="FV56" s="24"/>
      <c r="FW56" s="24"/>
      <c r="FX56" s="24"/>
      <c r="FY56" s="24"/>
      <c r="FZ56" s="24"/>
      <c r="GA56" s="24"/>
      <c r="GB56" s="24"/>
      <c r="GC56" s="24"/>
      <c r="GD56" s="24"/>
      <c r="GE56" s="24"/>
      <c r="GF56" s="24"/>
      <c r="GG56" s="24"/>
      <c r="GH56" s="24"/>
      <c r="GI56" s="24"/>
      <c r="GJ56" s="24"/>
      <c r="GK56" s="24"/>
      <c r="GL56" s="24"/>
      <c r="GM56" s="24"/>
      <c r="GN56" s="24"/>
      <c r="GO56" s="24"/>
      <c r="GP56" s="24"/>
      <c r="GQ56" s="24"/>
      <c r="GR56" s="24"/>
      <c r="GS56" s="24"/>
      <c r="GT56" s="24"/>
      <c r="GU56" s="24"/>
      <c r="GV56" s="24"/>
      <c r="GW56" s="24"/>
      <c r="GX56" s="24"/>
      <c r="GY56" s="24"/>
      <c r="GZ56" s="24"/>
      <c r="HA56" s="24"/>
      <c r="HB56" s="24"/>
      <c r="HC56" s="24"/>
      <c r="HD56" s="24"/>
      <c r="HE56" s="24"/>
      <c r="HF56" s="24"/>
      <c r="HG56" s="24"/>
      <c r="HH56" s="24"/>
      <c r="HI56" s="24"/>
      <c r="HJ56" s="24"/>
      <c r="HK56" s="24"/>
      <c r="HL56" s="24"/>
      <c r="HM56" s="24"/>
      <c r="HN56" s="24"/>
      <c r="HO56" s="24"/>
      <c r="HP56" s="24"/>
      <c r="HQ56" s="24"/>
      <c r="HR56" s="24"/>
      <c r="HS56" s="24"/>
      <c r="HT56" s="24"/>
      <c r="HU56" s="24"/>
      <c r="HV56" s="24"/>
      <c r="HW56" s="24"/>
      <c r="HX56" s="24"/>
      <c r="HY56" s="24"/>
      <c r="HZ56" s="24"/>
      <c r="IA56" s="24"/>
      <c r="IB56" s="24"/>
      <c r="IC56" s="24"/>
      <c r="ID56" s="24"/>
      <c r="IE56" s="24"/>
      <c r="IF56" s="24"/>
      <c r="IG56" s="24"/>
      <c r="IH56" s="24"/>
      <c r="II56" s="24"/>
      <c r="IJ56" s="24"/>
      <c r="IK56" s="24"/>
      <c r="IL56" s="24"/>
      <c r="IM56" s="24"/>
      <c r="IN56" s="24"/>
      <c r="IO56" s="24"/>
      <c r="IP56" s="24"/>
      <c r="IQ56" s="24"/>
      <c r="IR56" s="24"/>
      <c r="IS56" s="24"/>
      <c r="IT56" s="24"/>
      <c r="IU56" s="24"/>
      <c r="IV56" s="24"/>
      <c r="IW56" s="24"/>
      <c r="IX56" s="24"/>
      <c r="IY56" s="24"/>
      <c r="IZ56" s="24"/>
      <c r="JA56" s="24"/>
      <c r="JB56" s="24"/>
      <c r="JC56" s="24"/>
      <c r="JD56" s="24"/>
      <c r="JE56" s="24"/>
      <c r="JF56" s="24"/>
      <c r="JG56" s="24"/>
      <c r="JH56" s="24"/>
      <c r="JI56" s="24"/>
      <c r="JJ56" s="24"/>
      <c r="JK56" s="24"/>
    </row>
    <row r="57" spans="1:271" s="18" customFormat="1" ht="12" hidden="1" customHeight="1" outlineLevel="1">
      <c r="A57" s="787"/>
      <c r="B57" s="788" t="s">
        <v>375</v>
      </c>
      <c r="C57" s="798"/>
      <c r="D57" s="782">
        <v>0</v>
      </c>
      <c r="E57" s="782">
        <v>0</v>
      </c>
      <c r="F57" s="782">
        <v>0</v>
      </c>
      <c r="G57" s="782">
        <v>0</v>
      </c>
      <c r="H57" s="786">
        <f t="shared" si="113"/>
        <v>0</v>
      </c>
      <c r="I57" s="782">
        <v>0</v>
      </c>
      <c r="J57" s="782">
        <v>0</v>
      </c>
      <c r="K57" s="782">
        <v>0</v>
      </c>
      <c r="L57" s="782">
        <v>0</v>
      </c>
      <c r="M57" s="786">
        <f t="shared" si="114"/>
        <v>0</v>
      </c>
      <c r="N57" s="782">
        <v>0</v>
      </c>
      <c r="O57" s="782">
        <v>0</v>
      </c>
      <c r="P57" s="782">
        <v>0</v>
      </c>
      <c r="Q57" s="782">
        <v>0</v>
      </c>
      <c r="R57" s="786">
        <f t="shared" si="115"/>
        <v>0</v>
      </c>
      <c r="S57" s="782">
        <v>0</v>
      </c>
      <c r="T57" s="782">
        <v>0</v>
      </c>
      <c r="U57" s="782">
        <v>0</v>
      </c>
      <c r="V57" s="782">
        <v>0</v>
      </c>
      <c r="W57" s="786">
        <f t="shared" si="116"/>
        <v>0</v>
      </c>
      <c r="X57" s="782">
        <v>0</v>
      </c>
      <c r="Y57" s="782">
        <v>0</v>
      </c>
      <c r="Z57" s="782">
        <v>0</v>
      </c>
      <c r="AA57" s="782">
        <v>0</v>
      </c>
      <c r="AB57" s="786">
        <f t="shared" si="117"/>
        <v>0</v>
      </c>
      <c r="AC57" s="782">
        <v>0</v>
      </c>
      <c r="AD57" s="782">
        <v>0</v>
      </c>
      <c r="AE57" s="782">
        <v>0</v>
      </c>
      <c r="AF57" s="782">
        <v>0</v>
      </c>
      <c r="AG57" s="786">
        <f t="shared" si="118"/>
        <v>0</v>
      </c>
      <c r="AH57" s="782">
        <v>0</v>
      </c>
      <c r="AI57" s="782">
        <v>0</v>
      </c>
      <c r="AJ57" s="782">
        <v>0</v>
      </c>
      <c r="AK57" s="782">
        <v>0</v>
      </c>
      <c r="AL57" s="786">
        <f t="shared" si="119"/>
        <v>0</v>
      </c>
      <c r="AM57" s="782">
        <v>0</v>
      </c>
      <c r="AN57" s="782">
        <v>0</v>
      </c>
      <c r="AO57" s="782">
        <v>0</v>
      </c>
      <c r="AP57" s="782">
        <v>0</v>
      </c>
      <c r="AQ57" s="786">
        <f t="shared" si="120"/>
        <v>0</v>
      </c>
      <c r="AR57" s="782">
        <v>0</v>
      </c>
      <c r="AS57" s="782">
        <v>0</v>
      </c>
      <c r="AT57" s="782">
        <v>0</v>
      </c>
      <c r="AU57" s="782"/>
      <c r="AV57" s="786">
        <v>0</v>
      </c>
      <c r="AW57" s="782">
        <v>0</v>
      </c>
      <c r="AX57" s="782">
        <v>0</v>
      </c>
      <c r="AY57" s="782">
        <v>0</v>
      </c>
      <c r="AZ57" s="782">
        <f t="shared" si="121"/>
        <v>0</v>
      </c>
      <c r="BA57" s="782">
        <v>0</v>
      </c>
      <c r="BB57" s="782">
        <f>35+70</f>
        <v>105</v>
      </c>
      <c r="BC57" s="782">
        <f>-BC23</f>
        <v>0</v>
      </c>
      <c r="BD57" s="782">
        <f>-42+87-24</f>
        <v>21</v>
      </c>
      <c r="BE57" s="786">
        <f>SUM(BA57:BD57)</f>
        <v>126</v>
      </c>
      <c r="BF57" s="782">
        <v>0</v>
      </c>
      <c r="BG57" s="782">
        <f>14+11+125-11</f>
        <v>139</v>
      </c>
      <c r="BH57" s="782">
        <f>8+6</f>
        <v>14</v>
      </c>
      <c r="BI57" s="782">
        <v>0</v>
      </c>
      <c r="BJ57" s="786">
        <f t="shared" si="122"/>
        <v>153</v>
      </c>
      <c r="BK57" s="782">
        <f>-SUM(BK51:BK53,BK54:BK56)-(0*BK69)</f>
        <v>-10</v>
      </c>
      <c r="BL57" s="782">
        <f>-SUM(BL51:BL53,BL54:BL56)-(0.01*BL69)</f>
        <v>1.8281050000000001</v>
      </c>
      <c r="BM57" s="782">
        <f>-SUM(BM51:BM53,BM54:BM56)-(-0.66*BM69)</f>
        <v>-331.585465</v>
      </c>
      <c r="BN57" s="782">
        <f>-SUM(BK51:BN53,BK54:BN56)-(-1.08*BO69)-BK57-BL57-BM57</f>
        <v>-171.64017999999999</v>
      </c>
      <c r="BO57" s="786">
        <f t="shared" si="123"/>
        <v>-511.39753999999999</v>
      </c>
      <c r="BP57" s="782">
        <f>-SUM(BP51:BP53,BP54:BP56)-(-0.01*BP69)</f>
        <v>-6.8231374999999996</v>
      </c>
      <c r="BQ57" s="782">
        <f>-SUM(BQ51:BQ53,BQ54:BQ56)-(-1.01*BQ69)</f>
        <v>-625.17147999999997</v>
      </c>
      <c r="BR57" s="782">
        <f>-SUM(BR51:BR53,BR54:BR56)-(0.03*BR69)</f>
        <v>-30.534202499999999</v>
      </c>
      <c r="BS57" s="782">
        <f>-SUM(BP51:BS53,BP54:BS56)-(-1.82*BT69)-BP57-BQ57-BR57</f>
        <v>-306.23579500000005</v>
      </c>
      <c r="BT57" s="786">
        <f t="shared" si="124"/>
        <v>-968.76461500000005</v>
      </c>
      <c r="BU57" s="782">
        <f>-SUM(BU51:BU53,BU54:BU56)-(0.2*BU69)</f>
        <v>-23.716300000000004</v>
      </c>
      <c r="BV57" s="782">
        <f>-SUM(BV51:BV53,BV54:BV56)-(-0.03*BV69)</f>
        <v>-12.45091</v>
      </c>
      <c r="BW57" s="782">
        <f>-SUM(BW51:BW53,BW54:BW56)-(-0.04*BW69)</f>
        <v>-22.260159999999999</v>
      </c>
      <c r="BX57" s="782">
        <f>-SUM(BU51:BX53,BU54:BX56)-(-0.02*BY69)-BU57-BV57-BW57</f>
        <v>22.794395000000002</v>
      </c>
      <c r="BY57" s="786">
        <f t="shared" si="125"/>
        <v>-35.632975000000002</v>
      </c>
      <c r="BZ57" s="782">
        <f>-SUM(BZ51:BZ53,BZ54:BZ56)-(-0.06*BZ69)</f>
        <v>-38.874009999999998</v>
      </c>
      <c r="CA57" s="782">
        <f>-SUM(CA51:CA53,CA54:CA56)-(-0.01*CA69)</f>
        <v>-4.8092299999999994</v>
      </c>
      <c r="CB57" s="782">
        <f>-SUM(CB51:CB53,CB54:CB56)-(0.29*CB69)</f>
        <v>156.1427975</v>
      </c>
      <c r="CC57" s="782">
        <f>-SUM(CC51:CC53,CC54:CC56)-(0*CC69)</f>
        <v>-11</v>
      </c>
      <c r="CD57" s="786">
        <f t="shared" si="126"/>
        <v>101.4595575</v>
      </c>
      <c r="CE57" s="782">
        <f>-SUM(CE51:CE53,CE54:CE56)-(0.31*CE69)</f>
        <v>162.83781999999999</v>
      </c>
      <c r="CF57" s="782">
        <f>-SUM(CF51:CF53,CF54:CF56)-(-0.02*CF69)</f>
        <v>-12.558779999999999</v>
      </c>
      <c r="CG57" s="782">
        <f>-SUM(CG51:CG53,CG54:CG56)-(-0.03*CG69)</f>
        <v>-19.26437</v>
      </c>
      <c r="CH57" s="782">
        <f>-SUM(CH51:CH53,CH54:CH56)-(0.03*CH69)</f>
        <v>-2.7543275</v>
      </c>
      <c r="CI57" s="786">
        <f t="shared" si="127"/>
        <v>128.26034250000004</v>
      </c>
      <c r="CJ57" s="782">
        <f>-SUM(CJ51:CJ53,CJ54:CJ56)-(0.06*CJ69)</f>
        <v>22.611580000000004</v>
      </c>
      <c r="CK57" s="782">
        <f>-SUM(CK51:CK53,CK54:CK56)-(0.01*CK69)</f>
        <v>4.7436275000000006</v>
      </c>
      <c r="CL57" s="782">
        <f>-SUM(CL51:CL53,CL54:CL56)-(1.69*CL69)/4</f>
        <v>861.86584374999995</v>
      </c>
      <c r="CM57" s="782">
        <f>-SUM(CM51:CM53,CM54:CM56)-(0.02*CM69)</f>
        <v>3.1903949999999996</v>
      </c>
      <c r="CN57" s="786">
        <f t="shared" si="128"/>
        <v>892.41144624999993</v>
      </c>
      <c r="CO57" s="782">
        <f>-(SUM(CO51:CO53,CO54:CO56)-CO58)</f>
        <v>-7</v>
      </c>
      <c r="CP57" s="782">
        <f>-(SUM(CP51:CP53,CP54:CP56)-CP58)</f>
        <v>-2.5</v>
      </c>
      <c r="CQ57" s="782">
        <f>-(SUM(CQ51:CQ53,CQ54:CQ56)-CQ58)</f>
        <v>-5</v>
      </c>
      <c r="CR57" s="782">
        <f>-(SUM(CR51:CR53,CR54:CR56)-CR58)</f>
        <v>-50</v>
      </c>
      <c r="CS57" s="786">
        <f t="shared" si="129"/>
        <v>-64.5</v>
      </c>
      <c r="CT57" s="782">
        <f>-(SUM(CT51:CT53,CT54:CT56)-CT58)</f>
        <v>-1.6</v>
      </c>
      <c r="CU57" s="782">
        <f>-(SUM(CU51:CU53,CU54:CU56)-CU58)</f>
        <v>-2.5</v>
      </c>
      <c r="CV57" s="782">
        <f>-(SUM(CV51:CV53,CV54:CV56)-CV58)</f>
        <v>-3.35</v>
      </c>
      <c r="CW57" s="782">
        <f>-SUM(CW51:CW53,CW54:CW56)*CW100</f>
        <v>-4.6907216494845363</v>
      </c>
      <c r="CX57" s="786">
        <f>SUM(CT57:CW57)</f>
        <v>-12.140721649484536</v>
      </c>
      <c r="CY57" s="782">
        <f ca="1">-(SUM(CY51:CY53,CY54:CY56)-CY58)</f>
        <v>10</v>
      </c>
      <c r="CZ57" s="782">
        <f ca="1">-(SUM(CZ51:CZ53,CZ54:CZ56)-CZ58)</f>
        <v>0</v>
      </c>
      <c r="DA57" s="782">
        <v>0</v>
      </c>
      <c r="DB57" s="782">
        <v>0</v>
      </c>
      <c r="DC57" s="786">
        <f ca="1">SUM(CY57:DB57)</f>
        <v>10</v>
      </c>
      <c r="DD57" s="782">
        <v>0</v>
      </c>
      <c r="DE57" s="782">
        <v>0</v>
      </c>
      <c r="DF57" s="782">
        <v>0</v>
      </c>
      <c r="DG57" s="782">
        <v>0</v>
      </c>
      <c r="DH57" s="786">
        <f>SUM(DD57:DG57)</f>
        <v>0</v>
      </c>
      <c r="DI57" s="1486">
        <v>-11</v>
      </c>
      <c r="DJ57" s="1428">
        <v>-71</v>
      </c>
      <c r="DK57" s="1428">
        <v>-36</v>
      </c>
      <c r="DL57" s="1487">
        <v>0</v>
      </c>
      <c r="DM57" s="797">
        <f t="shared" si="130"/>
        <v>-118</v>
      </c>
      <c r="DN57" s="1428">
        <v>28</v>
      </c>
      <c r="DO57" s="1428">
        <v>-56</v>
      </c>
      <c r="DP57" s="1428">
        <v>-8</v>
      </c>
      <c r="DQ57" s="1428">
        <v>-33</v>
      </c>
      <c r="DR57" s="797">
        <f>SUM(DN57:DQ57)-3</f>
        <v>-72</v>
      </c>
      <c r="DS57" s="1428">
        <v>-14</v>
      </c>
      <c r="DT57" s="1428">
        <v>-25</v>
      </c>
      <c r="DU57" s="1428">
        <v>-26</v>
      </c>
      <c r="DV57" s="1428">
        <f>-49+252</f>
        <v>203</v>
      </c>
      <c r="DW57" s="797">
        <f t="shared" si="131"/>
        <v>138</v>
      </c>
      <c r="DX57" s="790">
        <v>0</v>
      </c>
      <c r="DY57" s="790">
        <v>0</v>
      </c>
      <c r="DZ57" s="790">
        <v>0</v>
      </c>
      <c r="EA57" s="790">
        <v>0</v>
      </c>
      <c r="EB57" s="797">
        <f t="shared" si="132"/>
        <v>0</v>
      </c>
      <c r="EC57" s="790"/>
      <c r="ED57" s="790"/>
      <c r="EE57" s="790">
        <v>0</v>
      </c>
      <c r="EF57" s="790"/>
      <c r="EG57" s="797">
        <f t="shared" si="133"/>
        <v>0</v>
      </c>
      <c r="EH57" s="790"/>
      <c r="EI57" s="790"/>
      <c r="EJ57" s="790"/>
      <c r="EK57" s="790"/>
      <c r="EL57" s="797">
        <f t="shared" si="134"/>
        <v>0</v>
      </c>
      <c r="EM57" s="21"/>
      <c r="EN57"/>
      <c r="EO57"/>
      <c r="EP57"/>
      <c r="EQ57"/>
      <c r="ER57"/>
      <c r="ES57" s="23"/>
      <c r="ET57"/>
      <c r="EU57" s="23"/>
      <c r="EV57" s="23"/>
      <c r="EW57" s="23"/>
      <c r="EX57" s="24"/>
      <c r="EY57" s="24"/>
      <c r="EZ57" s="24"/>
      <c r="FA57" s="24"/>
      <c r="FB57" s="24"/>
      <c r="FC57" s="24"/>
      <c r="FD57" s="24"/>
      <c r="FE57" s="24"/>
      <c r="FF57" s="24"/>
      <c r="FG57" s="24"/>
      <c r="FH57" s="24"/>
      <c r="FI57" s="24"/>
      <c r="FJ57" s="24"/>
      <c r="FK57" s="24"/>
      <c r="FL57" s="24"/>
      <c r="FM57" s="24"/>
      <c r="FN57" s="24"/>
      <c r="FO57" s="24"/>
      <c r="FP57" s="24"/>
      <c r="FQ57" s="24"/>
      <c r="FR57" s="24"/>
      <c r="FS57" s="24"/>
      <c r="FT57" s="24"/>
      <c r="FU57" s="24"/>
      <c r="FV57" s="24"/>
      <c r="FW57" s="24"/>
      <c r="FX57" s="24"/>
      <c r="FY57" s="24"/>
      <c r="FZ57" s="24"/>
      <c r="GA57" s="24"/>
      <c r="GB57" s="24"/>
      <c r="GC57" s="24"/>
      <c r="GD57" s="24"/>
      <c r="GE57" s="24"/>
      <c r="GF57" s="24"/>
      <c r="GG57" s="24"/>
      <c r="GH57" s="24"/>
      <c r="GI57" s="24"/>
      <c r="GJ57" s="24"/>
      <c r="GK57" s="24"/>
      <c r="GL57" s="24"/>
      <c r="GM57" s="24"/>
      <c r="GN57" s="24"/>
      <c r="GO57" s="24"/>
      <c r="GP57" s="24"/>
      <c r="GQ57" s="24"/>
      <c r="GR57" s="24"/>
      <c r="GS57" s="24"/>
      <c r="GT57" s="24"/>
      <c r="GU57" s="24"/>
      <c r="GV57" s="24"/>
      <c r="GW57" s="24"/>
      <c r="GX57" s="24"/>
      <c r="GY57" s="24"/>
      <c r="GZ57" s="24"/>
      <c r="HA57" s="24"/>
      <c r="HB57" s="24"/>
      <c r="HC57" s="24"/>
      <c r="HD57" s="24"/>
      <c r="HE57" s="24"/>
      <c r="HF57" s="24"/>
      <c r="HG57" s="24"/>
      <c r="HH57" s="24"/>
      <c r="HI57" s="24"/>
      <c r="HJ57" s="24"/>
      <c r="HK57" s="24"/>
      <c r="HL57" s="24"/>
      <c r="HM57" s="24"/>
      <c r="HN57" s="24"/>
      <c r="HO57" s="24"/>
      <c r="HP57" s="24"/>
      <c r="HQ57" s="24"/>
      <c r="HR57" s="24"/>
      <c r="HS57" s="24"/>
      <c r="HT57" s="24"/>
      <c r="HU57" s="24"/>
      <c r="HV57" s="24"/>
      <c r="HW57" s="24"/>
      <c r="HX57" s="24"/>
      <c r="HY57" s="24"/>
      <c r="HZ57" s="24"/>
      <c r="IA57" s="24"/>
      <c r="IB57" s="24"/>
      <c r="IC57" s="24"/>
      <c r="ID57" s="24"/>
      <c r="IE57" s="24"/>
      <c r="IF57" s="24"/>
      <c r="IG57" s="24"/>
      <c r="IH57" s="24"/>
      <c r="II57" s="24"/>
      <c r="IJ57" s="24"/>
      <c r="IK57" s="24"/>
      <c r="IL57" s="24"/>
      <c r="IM57" s="24"/>
      <c r="IN57" s="24"/>
      <c r="IO57" s="24"/>
      <c r="IP57" s="24"/>
      <c r="IQ57" s="24"/>
      <c r="IR57" s="24"/>
      <c r="IS57" s="24"/>
      <c r="IT57" s="24"/>
      <c r="IU57" s="24"/>
      <c r="IV57" s="24"/>
      <c r="IW57" s="24"/>
      <c r="IX57" s="24"/>
      <c r="IY57" s="24"/>
      <c r="IZ57" s="24"/>
      <c r="JA57" s="24"/>
      <c r="JB57" s="24"/>
      <c r="JC57" s="24"/>
      <c r="JD57" s="24"/>
      <c r="JE57" s="24"/>
      <c r="JF57" s="24"/>
      <c r="JG57" s="24"/>
      <c r="JH57" s="24"/>
      <c r="JI57" s="24"/>
      <c r="JJ57" s="24"/>
      <c r="JK57" s="24"/>
    </row>
    <row r="58" spans="1:271" s="668" customFormat="1" ht="12" hidden="1" customHeight="1" outlineLevel="1">
      <c r="A58" s="799"/>
      <c r="B58" s="669" t="s">
        <v>376</v>
      </c>
      <c r="C58" s="800"/>
      <c r="D58" s="800">
        <f t="shared" ref="D58:AT58" si="139">+SUM(D51:D57)</f>
        <v>-24.039002142857147</v>
      </c>
      <c r="E58" s="800">
        <f t="shared" si="139"/>
        <v>0</v>
      </c>
      <c r="F58" s="800">
        <f t="shared" si="139"/>
        <v>0</v>
      </c>
      <c r="G58" s="800">
        <f t="shared" si="139"/>
        <v>49.743172142857148</v>
      </c>
      <c r="H58" s="664">
        <f t="shared" si="139"/>
        <v>25.704170000000001</v>
      </c>
      <c r="I58" s="800">
        <f t="shared" si="139"/>
        <v>-60.434360000000005</v>
      </c>
      <c r="J58" s="800">
        <f t="shared" si="139"/>
        <v>-116.83569999999997</v>
      </c>
      <c r="K58" s="800">
        <f t="shared" si="139"/>
        <v>0</v>
      </c>
      <c r="L58" s="800">
        <f t="shared" si="139"/>
        <v>72.431219999999996</v>
      </c>
      <c r="M58" s="664">
        <f t="shared" si="139"/>
        <v>-104.83883999999998</v>
      </c>
      <c r="N58" s="800">
        <f t="shared" si="139"/>
        <v>0</v>
      </c>
      <c r="O58" s="800">
        <f t="shared" si="139"/>
        <v>0</v>
      </c>
      <c r="P58" s="800">
        <f t="shared" si="139"/>
        <v>233.52594594594595</v>
      </c>
      <c r="Q58" s="800">
        <f t="shared" si="139"/>
        <v>331.17405405405407</v>
      </c>
      <c r="R58" s="664">
        <f t="shared" si="139"/>
        <v>564.70000000000005</v>
      </c>
      <c r="S58" s="800">
        <f t="shared" si="139"/>
        <v>0</v>
      </c>
      <c r="T58" s="800">
        <f t="shared" si="139"/>
        <v>-10.948840803709428</v>
      </c>
      <c r="U58" s="800">
        <f t="shared" si="139"/>
        <v>0</v>
      </c>
      <c r="V58" s="800">
        <f t="shared" si="139"/>
        <v>287.12647080370942</v>
      </c>
      <c r="W58" s="664">
        <f t="shared" si="139"/>
        <v>276.17763000000002</v>
      </c>
      <c r="X58" s="800">
        <f t="shared" si="139"/>
        <v>0</v>
      </c>
      <c r="Y58" s="800">
        <f t="shared" si="139"/>
        <v>0</v>
      </c>
      <c r="Z58" s="800">
        <f t="shared" si="139"/>
        <v>0</v>
      </c>
      <c r="AA58" s="800">
        <f t="shared" si="139"/>
        <v>269.51196000000004</v>
      </c>
      <c r="AB58" s="664">
        <f t="shared" si="139"/>
        <v>269.51196000000004</v>
      </c>
      <c r="AC58" s="800">
        <f t="shared" si="139"/>
        <v>-7.4836601307189543</v>
      </c>
      <c r="AD58" s="800">
        <f t="shared" si="139"/>
        <v>-43.405228758169933</v>
      </c>
      <c r="AE58" s="800">
        <f t="shared" si="139"/>
        <v>135.45424836601308</v>
      </c>
      <c r="AF58" s="800">
        <f t="shared" si="139"/>
        <v>144.43464052287584</v>
      </c>
      <c r="AG58" s="664">
        <f t="shared" si="139"/>
        <v>229.00000000000003</v>
      </c>
      <c r="AH58" s="800">
        <f t="shared" si="139"/>
        <v>0</v>
      </c>
      <c r="AI58" s="800">
        <f t="shared" si="139"/>
        <v>0</v>
      </c>
      <c r="AJ58" s="800">
        <f t="shared" si="139"/>
        <v>0</v>
      </c>
      <c r="AK58" s="800">
        <f t="shared" si="139"/>
        <v>109</v>
      </c>
      <c r="AL58" s="664">
        <f t="shared" si="139"/>
        <v>109</v>
      </c>
      <c r="AM58" s="800">
        <f t="shared" si="139"/>
        <v>69</v>
      </c>
      <c r="AN58" s="800">
        <f t="shared" si="139"/>
        <v>169</v>
      </c>
      <c r="AO58" s="800">
        <f t="shared" si="139"/>
        <v>8</v>
      </c>
      <c r="AP58" s="800">
        <f t="shared" si="139"/>
        <v>60</v>
      </c>
      <c r="AQ58" s="664">
        <f t="shared" si="139"/>
        <v>306</v>
      </c>
      <c r="AR58" s="800">
        <f t="shared" si="139"/>
        <v>3</v>
      </c>
      <c r="AS58" s="800">
        <f t="shared" si="139"/>
        <v>40</v>
      </c>
      <c r="AT58" s="800">
        <f t="shared" si="139"/>
        <v>245</v>
      </c>
      <c r="AU58" s="800"/>
      <c r="AV58" s="664">
        <f t="shared" ref="AV58:CN58" si="140">+SUM(AV51:AV57)</f>
        <v>24</v>
      </c>
      <c r="AW58" s="800">
        <f t="shared" si="140"/>
        <v>60</v>
      </c>
      <c r="AX58" s="800">
        <f t="shared" si="140"/>
        <v>1.9500000000000002</v>
      </c>
      <c r="AY58" s="800">
        <f t="shared" si="140"/>
        <v>205.4</v>
      </c>
      <c r="AZ58" s="800">
        <f t="shared" si="140"/>
        <v>291.35000000000002</v>
      </c>
      <c r="BA58" s="800">
        <f t="shared" si="140"/>
        <v>-147</v>
      </c>
      <c r="BB58" s="800">
        <f t="shared" si="140"/>
        <v>322</v>
      </c>
      <c r="BC58" s="800">
        <f t="shared" si="140"/>
        <v>161</v>
      </c>
      <c r="BD58" s="800">
        <f t="shared" si="140"/>
        <v>1121</v>
      </c>
      <c r="BE58" s="664">
        <f t="shared" si="140"/>
        <v>1457</v>
      </c>
      <c r="BF58" s="800">
        <f t="shared" si="140"/>
        <v>44.67544947303162</v>
      </c>
      <c r="BG58" s="800">
        <f t="shared" si="140"/>
        <v>183</v>
      </c>
      <c r="BH58" s="800">
        <f t="shared" si="140"/>
        <v>13</v>
      </c>
      <c r="BI58" s="800">
        <f t="shared" si="140"/>
        <v>1575</v>
      </c>
      <c r="BJ58" s="664">
        <f t="shared" si="140"/>
        <v>1815.6754494730317</v>
      </c>
      <c r="BK58" s="800">
        <f t="shared" si="140"/>
        <v>0</v>
      </c>
      <c r="BL58" s="800">
        <f t="shared" si="140"/>
        <v>-1.1718949999999999</v>
      </c>
      <c r="BM58" s="800">
        <f t="shared" si="140"/>
        <v>77.414535000000001</v>
      </c>
      <c r="BN58" s="800">
        <f t="shared" si="140"/>
        <v>50.359820000000013</v>
      </c>
      <c r="BO58" s="664">
        <f t="shared" si="140"/>
        <v>126.60246000000001</v>
      </c>
      <c r="BP58" s="800">
        <f t="shared" si="140"/>
        <v>1.1768625000000004</v>
      </c>
      <c r="BQ58" s="800">
        <f t="shared" si="140"/>
        <v>118.82852000000003</v>
      </c>
      <c r="BR58" s="800">
        <f t="shared" si="140"/>
        <v>-3.5342024999999992</v>
      </c>
      <c r="BS58" s="800">
        <f t="shared" si="140"/>
        <v>97.764204999999947</v>
      </c>
      <c r="BT58" s="664">
        <f t="shared" si="140"/>
        <v>214.23538499999995</v>
      </c>
      <c r="BU58" s="800">
        <f t="shared" si="140"/>
        <v>-23.716300000000004</v>
      </c>
      <c r="BV58" s="800">
        <f t="shared" si="140"/>
        <v>3.5490899999999996</v>
      </c>
      <c r="BW58" s="800">
        <f t="shared" si="140"/>
        <v>4.7398400000000009</v>
      </c>
      <c r="BX58" s="800">
        <f t="shared" si="140"/>
        <v>17.794395000000002</v>
      </c>
      <c r="BY58" s="664">
        <f t="shared" si="140"/>
        <v>2.3670249999999982</v>
      </c>
      <c r="BZ58" s="800">
        <f t="shared" si="140"/>
        <v>7.1259900000000016</v>
      </c>
      <c r="CA58" s="800">
        <f t="shared" si="140"/>
        <v>1.1907700000000006</v>
      </c>
      <c r="CB58" s="800">
        <f t="shared" si="140"/>
        <v>-34.8572025</v>
      </c>
      <c r="CC58" s="800">
        <f t="shared" si="140"/>
        <v>0</v>
      </c>
      <c r="CD58" s="664">
        <f t="shared" si="140"/>
        <v>-26.540442499999997</v>
      </c>
      <c r="CE58" s="800">
        <f t="shared" si="140"/>
        <v>-37.162180000000006</v>
      </c>
      <c r="CF58" s="800">
        <f t="shared" si="140"/>
        <v>2.4412200000000013</v>
      </c>
      <c r="CG58" s="800">
        <f t="shared" si="140"/>
        <v>3.7356300000000005</v>
      </c>
      <c r="CH58" s="800">
        <f t="shared" si="140"/>
        <v>-3.7543275</v>
      </c>
      <c r="CI58" s="664">
        <f t="shared" si="140"/>
        <v>-34.739657499999964</v>
      </c>
      <c r="CJ58" s="800">
        <f t="shared" si="140"/>
        <v>-8.3884199999999964</v>
      </c>
      <c r="CK58" s="800">
        <f t="shared" si="140"/>
        <v>-1.2563724999999994</v>
      </c>
      <c r="CL58" s="800">
        <f t="shared" si="140"/>
        <v>-59.134156250000046</v>
      </c>
      <c r="CM58" s="800">
        <f t="shared" si="140"/>
        <v>-2.8096050000000004</v>
      </c>
      <c r="CN58" s="664">
        <f t="shared" si="140"/>
        <v>-71.588553750000074</v>
      </c>
      <c r="CO58" s="800">
        <v>7</v>
      </c>
      <c r="CP58" s="800">
        <v>0.5</v>
      </c>
      <c r="CQ58" s="800">
        <v>4</v>
      </c>
      <c r="CR58" s="800">
        <v>108</v>
      </c>
      <c r="CS58" s="664">
        <f>+SUM(CS51:CS57)</f>
        <v>119.5</v>
      </c>
      <c r="CT58" s="800">
        <v>3.4</v>
      </c>
      <c r="CU58" s="800">
        <v>0.5</v>
      </c>
      <c r="CV58" s="800">
        <v>2.65</v>
      </c>
      <c r="CW58" s="800">
        <f>+SUM(CW51:CW57)</f>
        <v>8.3092783505154628</v>
      </c>
      <c r="CX58" s="664">
        <f>+SUM(CX51:CX57)</f>
        <v>15.859278350515464</v>
      </c>
      <c r="CY58" s="800">
        <f t="shared" ref="CY58:EG58" ca="1" si="141">+SUM(CY51:CY57)</f>
        <v>24</v>
      </c>
      <c r="CZ58" s="800">
        <f t="shared" ca="1" si="141"/>
        <v>13</v>
      </c>
      <c r="DA58" s="800">
        <f t="shared" si="141"/>
        <v>21</v>
      </c>
      <c r="DB58" s="800">
        <f t="shared" si="141"/>
        <v>86</v>
      </c>
      <c r="DC58" s="664">
        <f t="shared" ca="1" si="141"/>
        <v>144</v>
      </c>
      <c r="DD58" s="800">
        <f t="shared" si="141"/>
        <v>24</v>
      </c>
      <c r="DE58" s="800">
        <f t="shared" si="141"/>
        <v>44</v>
      </c>
      <c r="DF58" s="800">
        <f t="shared" si="141"/>
        <v>41</v>
      </c>
      <c r="DG58" s="800">
        <f t="shared" si="141"/>
        <v>69</v>
      </c>
      <c r="DH58" s="664">
        <f t="shared" si="141"/>
        <v>178</v>
      </c>
      <c r="DI58" s="800">
        <f t="shared" si="141"/>
        <v>22</v>
      </c>
      <c r="DJ58" s="800">
        <f t="shared" si="141"/>
        <v>136</v>
      </c>
      <c r="DK58" s="800">
        <f t="shared" si="141"/>
        <v>58</v>
      </c>
      <c r="DL58" s="800">
        <f t="shared" si="141"/>
        <v>135</v>
      </c>
      <c r="DM58" s="664">
        <f t="shared" si="141"/>
        <v>351</v>
      </c>
      <c r="DN58" s="800">
        <f t="shared" si="141"/>
        <v>100</v>
      </c>
      <c r="DO58" s="800">
        <f t="shared" si="141"/>
        <v>84</v>
      </c>
      <c r="DP58" s="800">
        <f t="shared" si="141"/>
        <v>25</v>
      </c>
      <c r="DQ58" s="800">
        <f t="shared" si="141"/>
        <v>85</v>
      </c>
      <c r="DR58" s="664">
        <f t="shared" si="141"/>
        <v>285</v>
      </c>
      <c r="DS58" s="800">
        <f t="shared" si="141"/>
        <v>25</v>
      </c>
      <c r="DT58" s="800">
        <f t="shared" si="141"/>
        <v>39</v>
      </c>
      <c r="DU58" s="800">
        <f>+SUM(DU51:DU57)</f>
        <v>349</v>
      </c>
      <c r="DV58" s="800">
        <f t="shared" ref="DV58" si="142">+SUM(DV51:DV57)</f>
        <v>373</v>
      </c>
      <c r="DW58" s="664">
        <f t="shared" si="141"/>
        <v>786</v>
      </c>
      <c r="DX58" s="800">
        <f t="shared" si="141"/>
        <v>-25</v>
      </c>
      <c r="DY58" s="800">
        <f t="shared" si="141"/>
        <v>-25</v>
      </c>
      <c r="DZ58" s="800">
        <f t="shared" si="141"/>
        <v>-25</v>
      </c>
      <c r="EA58" s="800">
        <f t="shared" si="141"/>
        <v>19.5</v>
      </c>
      <c r="EB58" s="664">
        <f t="shared" si="141"/>
        <v>-55.5</v>
      </c>
      <c r="EC58" s="800">
        <f t="shared" si="141"/>
        <v>-2</v>
      </c>
      <c r="ED58" s="800">
        <f t="shared" si="141"/>
        <v>-2</v>
      </c>
      <c r="EE58" s="800">
        <f t="shared" si="141"/>
        <v>-2</v>
      </c>
      <c r="EF58" s="800">
        <f t="shared" si="141"/>
        <v>-3</v>
      </c>
      <c r="EG58" s="1583">
        <f t="shared" si="141"/>
        <v>-9</v>
      </c>
      <c r="EH58" s="800">
        <f t="shared" ref="EH58:EL58" si="143">+SUM(EH51:EH57)</f>
        <v>0</v>
      </c>
      <c r="EI58" s="800">
        <f t="shared" si="143"/>
        <v>0</v>
      </c>
      <c r="EJ58" s="800">
        <f t="shared" si="143"/>
        <v>0</v>
      </c>
      <c r="EK58" s="800">
        <f t="shared" si="143"/>
        <v>0</v>
      </c>
      <c r="EL58" s="664">
        <f t="shared" si="143"/>
        <v>0</v>
      </c>
      <c r="EM58" s="665"/>
      <c r="EN58"/>
      <c r="EO58"/>
      <c r="EP58"/>
      <c r="EQ58"/>
      <c r="ER58"/>
      <c r="ES58" s="666"/>
      <c r="ET58"/>
      <c r="EU58" s="666"/>
      <c r="EV58" s="666"/>
      <c r="EW58" s="666"/>
      <c r="EX58" s="667"/>
      <c r="EY58" s="667"/>
      <c r="EZ58" s="667"/>
      <c r="FA58" s="667"/>
      <c r="FB58" s="667"/>
      <c r="FC58" s="667"/>
      <c r="FD58" s="667"/>
      <c r="FE58" s="667"/>
      <c r="FF58" s="667"/>
      <c r="FG58" s="667"/>
      <c r="FH58" s="667"/>
      <c r="FI58" s="667"/>
      <c r="FJ58" s="667"/>
      <c r="FK58" s="667"/>
      <c r="FL58" s="667"/>
      <c r="FM58" s="667"/>
      <c r="FN58" s="667"/>
      <c r="FO58" s="667"/>
      <c r="FP58" s="667"/>
      <c r="FQ58" s="667"/>
      <c r="FR58" s="667"/>
      <c r="FS58" s="667"/>
      <c r="FT58" s="667"/>
      <c r="FU58" s="667"/>
      <c r="FV58" s="667"/>
      <c r="FW58" s="667"/>
      <c r="FX58" s="667"/>
      <c r="FY58" s="667"/>
      <c r="FZ58" s="667"/>
      <c r="GA58" s="667"/>
      <c r="GB58" s="667"/>
      <c r="GC58" s="667"/>
      <c r="GD58" s="667"/>
      <c r="GE58" s="667"/>
      <c r="GF58" s="667"/>
      <c r="GG58" s="667"/>
      <c r="GH58" s="667"/>
      <c r="GI58" s="667"/>
      <c r="GJ58" s="667"/>
      <c r="GK58" s="667"/>
      <c r="GL58" s="667"/>
      <c r="GM58" s="667"/>
      <c r="GN58" s="667"/>
      <c r="GO58" s="667"/>
      <c r="GP58" s="667"/>
      <c r="GQ58" s="667"/>
      <c r="GR58" s="667"/>
      <c r="GS58" s="667"/>
      <c r="GT58" s="667"/>
      <c r="GU58" s="667"/>
      <c r="GV58" s="667"/>
      <c r="GW58" s="667"/>
      <c r="GX58" s="667"/>
      <c r="GY58" s="667"/>
      <c r="GZ58" s="667"/>
      <c r="HA58" s="667"/>
      <c r="HB58" s="667"/>
      <c r="HC58" s="667"/>
      <c r="HD58" s="667"/>
      <c r="HE58" s="667"/>
      <c r="HF58" s="667"/>
      <c r="HG58" s="667"/>
      <c r="HH58" s="667"/>
      <c r="HI58" s="667"/>
      <c r="HJ58" s="667"/>
      <c r="HK58" s="667"/>
      <c r="HL58" s="667"/>
      <c r="HM58" s="667"/>
      <c r="HN58" s="667"/>
      <c r="HO58" s="667"/>
      <c r="HP58" s="667"/>
      <c r="HQ58" s="667"/>
      <c r="HR58" s="667"/>
      <c r="HS58" s="667"/>
      <c r="HT58" s="667"/>
      <c r="HU58" s="667"/>
      <c r="HV58" s="667"/>
      <c r="HW58" s="667"/>
      <c r="HX58" s="667"/>
      <c r="HY58" s="667"/>
      <c r="HZ58" s="667"/>
      <c r="IA58" s="667"/>
      <c r="IB58" s="667"/>
      <c r="IC58" s="667"/>
      <c r="ID58" s="667"/>
      <c r="IE58" s="667"/>
      <c r="IF58" s="667"/>
      <c r="IG58" s="667"/>
      <c r="IH58" s="667"/>
      <c r="II58" s="667"/>
      <c r="IJ58" s="667"/>
      <c r="IK58" s="667"/>
      <c r="IL58" s="667"/>
      <c r="IM58" s="667"/>
      <c r="IN58" s="667"/>
      <c r="IO58" s="667"/>
      <c r="IP58" s="667"/>
      <c r="IQ58" s="667"/>
      <c r="IR58" s="667"/>
      <c r="IS58" s="667"/>
      <c r="IT58" s="667"/>
      <c r="IU58" s="667"/>
      <c r="IV58" s="667"/>
      <c r="IW58" s="667"/>
      <c r="IX58" s="667"/>
      <c r="IY58" s="667"/>
      <c r="IZ58" s="667"/>
      <c r="JA58" s="667"/>
      <c r="JB58" s="667"/>
      <c r="JC58" s="667"/>
      <c r="JD58" s="667"/>
      <c r="JE58" s="667"/>
      <c r="JF58" s="667"/>
      <c r="JG58" s="667"/>
      <c r="JH58" s="667"/>
      <c r="JI58" s="667"/>
      <c r="JJ58" s="667"/>
      <c r="JK58" s="667"/>
    </row>
    <row r="59" spans="1:271" s="1490" customFormat="1" collapsed="1">
      <c r="A59" s="1538"/>
      <c r="B59" s="1539" t="s">
        <v>680</v>
      </c>
      <c r="C59" s="1551"/>
      <c r="D59" s="1540">
        <f t="shared" ref="D59:BO59" si="144">SUM(D35,D51:D56)-D45-D46</f>
        <v>39.988997857142877</v>
      </c>
      <c r="E59" s="1540">
        <f t="shared" si="144"/>
        <v>46.199999999999974</v>
      </c>
      <c r="F59" s="1540">
        <f t="shared" si="144"/>
        <v>48.899999999999949</v>
      </c>
      <c r="G59" s="1540">
        <f t="shared" si="144"/>
        <v>64.615172142857148</v>
      </c>
      <c r="H59" s="1540">
        <f t="shared" si="144"/>
        <v>199.70416999999998</v>
      </c>
      <c r="I59" s="1540">
        <f t="shared" si="144"/>
        <v>57.865640000000027</v>
      </c>
      <c r="J59" s="1540">
        <f t="shared" si="144"/>
        <v>65.964300000000009</v>
      </c>
      <c r="K59" s="1540">
        <f t="shared" si="144"/>
        <v>70.700000000000117</v>
      </c>
      <c r="L59" s="1540">
        <f t="shared" si="144"/>
        <v>75.631219999999743</v>
      </c>
      <c r="M59" s="1540">
        <f t="shared" si="144"/>
        <v>270.16116</v>
      </c>
      <c r="N59" s="1540">
        <f t="shared" si="144"/>
        <v>72.399999999999892</v>
      </c>
      <c r="O59" s="1540">
        <f t="shared" si="144"/>
        <v>76.799999999999869</v>
      </c>
      <c r="P59" s="1540">
        <f t="shared" si="144"/>
        <v>120.22594594594602</v>
      </c>
      <c r="Q59" s="1540">
        <f t="shared" si="144"/>
        <v>175.27405405405335</v>
      </c>
      <c r="R59" s="1540">
        <f t="shared" si="144"/>
        <v>444.7</v>
      </c>
      <c r="S59" s="1540">
        <f t="shared" si="144"/>
        <v>116</v>
      </c>
      <c r="T59" s="1540">
        <f t="shared" si="144"/>
        <v>127.05115919629057</v>
      </c>
      <c r="U59" s="1540">
        <f t="shared" si="144"/>
        <v>148</v>
      </c>
      <c r="V59" s="1540">
        <f t="shared" si="144"/>
        <v>146.12647080370942</v>
      </c>
      <c r="W59" s="1540">
        <f t="shared" si="144"/>
        <v>537.17763000000002</v>
      </c>
      <c r="X59" s="1540">
        <f t="shared" si="144"/>
        <v>137</v>
      </c>
      <c r="Y59" s="1540">
        <f t="shared" si="144"/>
        <v>125</v>
      </c>
      <c r="Z59" s="1540">
        <f t="shared" si="144"/>
        <v>124</v>
      </c>
      <c r="AA59" s="1540">
        <f t="shared" si="144"/>
        <v>132.51196000000004</v>
      </c>
      <c r="AB59" s="1540">
        <f t="shared" si="144"/>
        <v>518.51196000000004</v>
      </c>
      <c r="AC59" s="1540">
        <f t="shared" si="144"/>
        <v>120.51633986928104</v>
      </c>
      <c r="AD59" s="1540">
        <f t="shared" si="144"/>
        <v>91.594771241830074</v>
      </c>
      <c r="AE59" s="1540">
        <f t="shared" si="144"/>
        <v>173.45424836601308</v>
      </c>
      <c r="AF59" s="1540">
        <f t="shared" si="144"/>
        <v>183.43464052287584</v>
      </c>
      <c r="AG59" s="1540">
        <f t="shared" si="144"/>
        <v>569</v>
      </c>
      <c r="AH59" s="1540">
        <f t="shared" si="144"/>
        <v>154</v>
      </c>
      <c r="AI59" s="1540">
        <f t="shared" si="144"/>
        <v>175</v>
      </c>
      <c r="AJ59" s="1540">
        <f t="shared" si="144"/>
        <v>198</v>
      </c>
      <c r="AK59" s="1540">
        <f t="shared" si="144"/>
        <v>225</v>
      </c>
      <c r="AL59" s="1540">
        <f t="shared" si="144"/>
        <v>752</v>
      </c>
      <c r="AM59" s="1540">
        <f t="shared" si="144"/>
        <v>224</v>
      </c>
      <c r="AN59" s="1540">
        <f t="shared" si="144"/>
        <v>258</v>
      </c>
      <c r="AO59" s="1540">
        <f t="shared" si="144"/>
        <v>288</v>
      </c>
      <c r="AP59" s="1540">
        <f t="shared" si="144"/>
        <v>321</v>
      </c>
      <c r="AQ59" s="1540">
        <f t="shared" si="144"/>
        <v>1091</v>
      </c>
      <c r="AR59" s="1540">
        <f t="shared" si="144"/>
        <v>341</v>
      </c>
      <c r="AS59" s="1540">
        <f t="shared" si="144"/>
        <v>355</v>
      </c>
      <c r="AT59" s="1540">
        <f t="shared" si="144"/>
        <v>190</v>
      </c>
      <c r="AU59" s="1540"/>
      <c r="AV59" s="1540">
        <f t="shared" si="144"/>
        <v>285</v>
      </c>
      <c r="AW59" s="1540">
        <f t="shared" si="144"/>
        <v>286</v>
      </c>
      <c r="AX59" s="1540">
        <f t="shared" si="144"/>
        <v>312.95</v>
      </c>
      <c r="AY59" s="1540">
        <f t="shared" si="144"/>
        <v>202.4</v>
      </c>
      <c r="AZ59" s="1540">
        <f t="shared" si="144"/>
        <v>1086.3500000000001</v>
      </c>
      <c r="BA59" s="1540">
        <f t="shared" si="144"/>
        <v>-132</v>
      </c>
      <c r="BB59" s="1540">
        <f t="shared" si="144"/>
        <v>88</v>
      </c>
      <c r="BC59" s="1540">
        <f t="shared" si="144"/>
        <v>-74</v>
      </c>
      <c r="BD59" s="1540">
        <f t="shared" si="144"/>
        <v>12</v>
      </c>
      <c r="BE59" s="1540">
        <f t="shared" si="144"/>
        <v>-106</v>
      </c>
      <c r="BF59" s="1540">
        <f t="shared" si="144"/>
        <v>25.67544947303162</v>
      </c>
      <c r="BG59" s="1540">
        <f t="shared" si="144"/>
        <v>-169</v>
      </c>
      <c r="BH59" s="1540">
        <f t="shared" si="144"/>
        <v>-53</v>
      </c>
      <c r="BI59" s="1540">
        <f t="shared" si="144"/>
        <v>-27</v>
      </c>
      <c r="BJ59" s="1540">
        <f t="shared" si="144"/>
        <v>-223.32455052696832</v>
      </c>
      <c r="BK59" s="1540">
        <f t="shared" si="144"/>
        <v>30</v>
      </c>
      <c r="BL59" s="1540">
        <f t="shared" si="144"/>
        <v>-15</v>
      </c>
      <c r="BM59" s="1540">
        <f t="shared" si="144"/>
        <v>31</v>
      </c>
      <c r="BN59" s="1540">
        <f t="shared" si="144"/>
        <v>-29</v>
      </c>
      <c r="BO59" s="1540">
        <f t="shared" si="144"/>
        <v>17</v>
      </c>
      <c r="BP59" s="1540">
        <f t="shared" ref="BP59:DH59" si="145">SUM(BP35,BP51:BP56)-BP45-BP46</f>
        <v>23</v>
      </c>
      <c r="BQ59" s="1540">
        <f t="shared" si="145"/>
        <v>297</v>
      </c>
      <c r="BR59" s="1540">
        <f t="shared" si="145"/>
        <v>-3</v>
      </c>
      <c r="BS59" s="1540">
        <f t="shared" si="145"/>
        <v>11</v>
      </c>
      <c r="BT59" s="1540">
        <f t="shared" si="145"/>
        <v>328</v>
      </c>
      <c r="BU59" s="1540">
        <f t="shared" si="145"/>
        <v>93</v>
      </c>
      <c r="BV59" s="1540">
        <f t="shared" si="145"/>
        <v>-13</v>
      </c>
      <c r="BW59" s="1540">
        <f t="shared" si="145"/>
        <v>-8</v>
      </c>
      <c r="BX59" s="1540">
        <f t="shared" si="145"/>
        <v>-91</v>
      </c>
      <c r="BY59" s="1540">
        <f t="shared" si="145"/>
        <v>-19</v>
      </c>
      <c r="BZ59" s="1540">
        <f t="shared" si="145"/>
        <v>36</v>
      </c>
      <c r="CA59" s="1540">
        <f t="shared" si="145"/>
        <v>-13</v>
      </c>
      <c r="CB59" s="1540">
        <f t="shared" si="145"/>
        <v>-77</v>
      </c>
      <c r="CC59" s="1540">
        <f t="shared" si="145"/>
        <v>1</v>
      </c>
      <c r="CD59" s="1540">
        <f t="shared" si="145"/>
        <v>-53</v>
      </c>
      <c r="CE59" s="1540">
        <f t="shared" si="145"/>
        <v>-11</v>
      </c>
      <c r="CF59" s="1540">
        <f t="shared" si="145"/>
        <v>17</v>
      </c>
      <c r="CG59" s="1540">
        <f t="shared" si="145"/>
        <v>25</v>
      </c>
      <c r="CH59" s="1540">
        <f t="shared" si="145"/>
        <v>15</v>
      </c>
      <c r="CI59" s="1540">
        <f t="shared" si="145"/>
        <v>46</v>
      </c>
      <c r="CJ59" s="1540">
        <f t="shared" si="145"/>
        <v>52</v>
      </c>
      <c r="CK59" s="1540">
        <f t="shared" si="145"/>
        <v>29</v>
      </c>
      <c r="CL59" s="1540">
        <f t="shared" si="145"/>
        <v>11</v>
      </c>
      <c r="CM59" s="1540">
        <f t="shared" si="145"/>
        <v>46</v>
      </c>
      <c r="CN59" s="1540">
        <f t="shared" si="145"/>
        <v>138</v>
      </c>
      <c r="CO59" s="1540">
        <f t="shared" si="145"/>
        <v>92</v>
      </c>
      <c r="CP59" s="1540">
        <f t="shared" si="145"/>
        <v>44</v>
      </c>
      <c r="CQ59" s="1540">
        <f t="shared" si="145"/>
        <v>17</v>
      </c>
      <c r="CR59" s="1540">
        <f t="shared" si="145"/>
        <v>98</v>
      </c>
      <c r="CS59" s="1540">
        <f t="shared" si="145"/>
        <v>251</v>
      </c>
      <c r="CT59" s="1540">
        <f t="shared" si="145"/>
        <v>62</v>
      </c>
      <c r="CU59" s="1540">
        <f t="shared" si="145"/>
        <v>65</v>
      </c>
      <c r="CV59" s="1540">
        <f t="shared" si="145"/>
        <v>47</v>
      </c>
      <c r="CW59" s="1540">
        <f t="shared" si="145"/>
        <v>70</v>
      </c>
      <c r="CX59" s="1540">
        <f t="shared" si="145"/>
        <v>245</v>
      </c>
      <c r="CY59" s="1540">
        <f t="shared" si="145"/>
        <v>-72</v>
      </c>
      <c r="CZ59" s="1540">
        <f t="shared" si="145"/>
        <v>-40</v>
      </c>
      <c r="DA59" s="1540">
        <f t="shared" si="145"/>
        <v>54</v>
      </c>
      <c r="DB59" s="1540">
        <f t="shared" si="145"/>
        <v>69</v>
      </c>
      <c r="DC59" s="1540">
        <f t="shared" si="145"/>
        <v>11</v>
      </c>
      <c r="DD59" s="1540">
        <f t="shared" si="145"/>
        <v>-3</v>
      </c>
      <c r="DE59" s="1540">
        <f t="shared" si="145"/>
        <v>34</v>
      </c>
      <c r="DF59" s="1540">
        <f t="shared" si="145"/>
        <v>51</v>
      </c>
      <c r="DG59" s="1540">
        <f t="shared" si="145"/>
        <v>130</v>
      </c>
      <c r="DH59" s="1540">
        <f t="shared" si="145"/>
        <v>212</v>
      </c>
      <c r="DI59" s="1540">
        <f>SUM(DI51:DI57)+DI49</f>
        <v>68</v>
      </c>
      <c r="DJ59" s="1540">
        <f>SUM(DJ51:DJ57)+DJ49</f>
        <v>76</v>
      </c>
      <c r="DK59" s="1540">
        <f>SUM(DK51:DK57)+DK49</f>
        <v>30</v>
      </c>
      <c r="DL59" s="1540">
        <f>SUM(DL51:DL57)+DL49</f>
        <v>35</v>
      </c>
      <c r="DM59" s="1541">
        <f>SUM(DI59:DL59)</f>
        <v>209</v>
      </c>
      <c r="DN59" s="1540">
        <f>SUM(DN51:DN57)+DN49</f>
        <v>45</v>
      </c>
      <c r="DO59" s="1540">
        <f>SUM(DO51:DO57)+DO49</f>
        <v>40</v>
      </c>
      <c r="DP59" s="1540">
        <f>SUM(DP51:DP57)+DP49</f>
        <v>16</v>
      </c>
      <c r="DQ59" s="1540">
        <f>SUM(DQ51:DQ57)+DQ49</f>
        <v>6</v>
      </c>
      <c r="DR59" s="1541">
        <f>SUM(DN59:DQ59)</f>
        <v>107</v>
      </c>
      <c r="DS59" s="1540">
        <f>SUM(DS51:DS57)+DS49</f>
        <v>-27</v>
      </c>
      <c r="DT59" s="1540">
        <f>SUM(DT51:DT57)+DT49</f>
        <v>-17</v>
      </c>
      <c r="DU59" s="1540">
        <f>SUM(DU51:DU57)+DU49</f>
        <v>-17</v>
      </c>
      <c r="DV59" s="1540">
        <f>SUM(DV51:DV57)+DV49</f>
        <v>143</v>
      </c>
      <c r="DW59" s="1541">
        <f>SUM(DS59:DV59)</f>
        <v>82</v>
      </c>
      <c r="DX59" s="1540">
        <f>SUM(DX51:DX57)+DX49</f>
        <v>1.0702295582803742</v>
      </c>
      <c r="DY59" s="1540">
        <f>SUM(DY51:DY57)+DY49</f>
        <v>39.247781762778089</v>
      </c>
      <c r="DZ59" s="1540">
        <f>SUM(DZ51:DZ57)+DZ49</f>
        <v>40.723898534745999</v>
      </c>
      <c r="EA59" s="1540">
        <f>SUM(EA51:EA57)+EA49</f>
        <v>36.018168441145264</v>
      </c>
      <c r="EB59" s="1541">
        <f>SUM(DX59:EA59)</f>
        <v>117.06007829694973</v>
      </c>
      <c r="EC59" s="1540">
        <f>SUM(EC51:EC57)+EC49</f>
        <v>56.78782894200323</v>
      </c>
      <c r="ED59" s="1540">
        <f>SUM(ED51:ED57)+ED49</f>
        <v>45.640692349388516</v>
      </c>
      <c r="EE59" s="1540">
        <f>SUM(EE51:EE57)+EE49</f>
        <v>54.223728709718628</v>
      </c>
      <c r="EF59" s="1540">
        <f>SUM(EF51:EF57)+EF49</f>
        <v>49.03914111403185</v>
      </c>
      <c r="EG59" s="1541">
        <f>SUM(EC59:EF59)</f>
        <v>205.69139111514221</v>
      </c>
      <c r="EH59" s="1540">
        <f>SUM(EH51:EH57)+EH49</f>
        <v>63.913742239847181</v>
      </c>
      <c r="EI59" s="1540">
        <f>SUM(EI51:EI57)+EI49</f>
        <v>63.239959684202958</v>
      </c>
      <c r="EJ59" s="1540">
        <f>SUM(EJ51:EJ57)+EJ49</f>
        <v>65.238382640434807</v>
      </c>
      <c r="EK59" s="1540">
        <f>SUM(EK51:EK57)+EK49</f>
        <v>33.61224933750529</v>
      </c>
      <c r="EL59" s="1541">
        <f>SUM(EH59:EK59)</f>
        <v>226.00433390199024</v>
      </c>
      <c r="EM59" s="1488"/>
      <c r="EN59"/>
      <c r="EO59"/>
      <c r="EP59"/>
      <c r="EQ59"/>
      <c r="ER59"/>
      <c r="ES59" s="1488"/>
      <c r="ET59"/>
      <c r="EU59" s="1488"/>
      <c r="EV59" s="1488"/>
      <c r="EW59" s="1488"/>
      <c r="EX59" s="1489"/>
      <c r="EY59" s="1489"/>
      <c r="EZ59" s="1489"/>
      <c r="FA59" s="1489"/>
      <c r="FB59" s="1489"/>
      <c r="FC59" s="1489"/>
      <c r="FD59" s="1489"/>
      <c r="FE59" s="1489"/>
      <c r="FF59" s="1489"/>
      <c r="FG59" s="1489"/>
      <c r="FH59" s="1489"/>
      <c r="FI59" s="1489"/>
      <c r="FJ59" s="1489"/>
      <c r="FK59" s="1489"/>
      <c r="FL59" s="1489"/>
      <c r="FM59" s="1489"/>
      <c r="FN59" s="1489"/>
      <c r="FO59" s="1489"/>
      <c r="FP59" s="1489"/>
      <c r="FQ59" s="1489"/>
      <c r="FR59" s="1489"/>
      <c r="FS59" s="1489"/>
      <c r="FT59" s="1489"/>
      <c r="FU59" s="1489"/>
      <c r="FV59" s="1489"/>
      <c r="FW59" s="1489"/>
      <c r="FX59" s="1489"/>
      <c r="FY59" s="1489"/>
      <c r="FZ59" s="1489"/>
      <c r="GA59" s="1489"/>
      <c r="GB59" s="1489"/>
      <c r="GC59" s="1489"/>
      <c r="GD59" s="1489"/>
      <c r="GE59" s="1489"/>
      <c r="GF59" s="1489"/>
      <c r="GG59" s="1489"/>
      <c r="GH59" s="1489"/>
      <c r="GI59" s="1489"/>
      <c r="GJ59" s="1489"/>
      <c r="GK59" s="1489"/>
      <c r="GL59" s="1489"/>
      <c r="GM59" s="1489"/>
      <c r="GN59" s="1489"/>
      <c r="GO59" s="1489"/>
      <c r="GP59" s="1489"/>
      <c r="GQ59" s="1489"/>
      <c r="GR59" s="1489"/>
      <c r="GS59" s="1489"/>
      <c r="GT59" s="1489"/>
      <c r="GU59" s="1489"/>
      <c r="GV59" s="1489"/>
      <c r="GW59" s="1489"/>
      <c r="GX59" s="1489"/>
      <c r="GY59" s="1489"/>
      <c r="GZ59" s="1489"/>
      <c r="HA59" s="1489"/>
      <c r="HB59" s="1489"/>
      <c r="HC59" s="1489"/>
      <c r="HD59" s="1489"/>
      <c r="HE59" s="1489"/>
      <c r="HF59" s="1489"/>
      <c r="HG59" s="1489"/>
      <c r="HH59" s="1489"/>
      <c r="HI59" s="1489"/>
      <c r="HJ59" s="1489"/>
      <c r="HK59" s="1489"/>
      <c r="HL59" s="1489"/>
      <c r="HM59" s="1489"/>
      <c r="HN59" s="1489"/>
      <c r="HO59" s="1489"/>
      <c r="HP59" s="1489"/>
      <c r="HQ59" s="1489"/>
      <c r="HR59" s="1489"/>
      <c r="HS59" s="1489"/>
      <c r="HT59" s="1489"/>
      <c r="HU59" s="1489"/>
      <c r="HV59" s="1489"/>
      <c r="HW59" s="1489"/>
      <c r="HX59" s="1489"/>
      <c r="HY59" s="1489"/>
      <c r="HZ59" s="1489"/>
      <c r="IA59" s="1489"/>
      <c r="IB59" s="1489"/>
      <c r="IC59" s="1489"/>
      <c r="ID59" s="1489"/>
      <c r="IE59" s="1489"/>
      <c r="IF59" s="1489"/>
      <c r="IG59" s="1489"/>
      <c r="IH59" s="1489"/>
      <c r="II59" s="1489"/>
      <c r="IJ59" s="1489"/>
      <c r="IK59" s="1489"/>
      <c r="IL59" s="1489"/>
      <c r="IM59" s="1489"/>
      <c r="IN59" s="1489"/>
      <c r="IO59" s="1489"/>
      <c r="IP59" s="1489"/>
      <c r="IQ59" s="1489"/>
      <c r="IR59" s="1489"/>
      <c r="IS59" s="1489"/>
      <c r="IT59" s="1489"/>
      <c r="IU59" s="1489"/>
      <c r="IV59" s="1489"/>
      <c r="IW59" s="1489"/>
      <c r="IX59" s="1489"/>
      <c r="IY59" s="1489"/>
      <c r="IZ59" s="1489"/>
      <c r="JA59" s="1489"/>
      <c r="JB59" s="1489"/>
      <c r="JC59" s="1489"/>
      <c r="JD59" s="1489"/>
      <c r="JE59" s="1489"/>
      <c r="JF59" s="1489"/>
      <c r="JG59" s="1489"/>
      <c r="JH59" s="1489"/>
      <c r="JI59" s="1489"/>
      <c r="JJ59" s="1489"/>
      <c r="JK59" s="1489"/>
    </row>
    <row r="60" spans="1:271" s="1554" customFormat="1" ht="9.9499999999999993" customHeight="1" thickBot="1">
      <c r="A60" s="801"/>
      <c r="B60" s="555"/>
      <c r="C60" s="563"/>
      <c r="D60" s="555"/>
      <c r="E60" s="555"/>
      <c r="F60" s="555"/>
      <c r="G60" s="564"/>
      <c r="H60" s="802"/>
      <c r="I60" s="555"/>
      <c r="J60" s="555"/>
      <c r="K60" s="555"/>
      <c r="L60" s="564"/>
      <c r="M60" s="802"/>
      <c r="N60" s="555"/>
      <c r="O60" s="555"/>
      <c r="P60" s="555"/>
      <c r="Q60" s="564"/>
      <c r="R60" s="802"/>
      <c r="S60" s="555"/>
      <c r="T60" s="555"/>
      <c r="U60" s="555"/>
      <c r="V60" s="564"/>
      <c r="W60" s="802"/>
      <c r="X60" s="555"/>
      <c r="Y60" s="555"/>
      <c r="Z60" s="555"/>
      <c r="AA60" s="564"/>
      <c r="AB60" s="802"/>
      <c r="AC60" s="555"/>
      <c r="AD60" s="555"/>
      <c r="AE60" s="555"/>
      <c r="AF60" s="564"/>
      <c r="AG60" s="802"/>
      <c r="AH60" s="555"/>
      <c r="AI60" s="555"/>
      <c r="AJ60" s="555"/>
      <c r="AK60" s="564"/>
      <c r="AL60" s="802"/>
      <c r="AM60" s="555"/>
      <c r="AN60" s="555"/>
      <c r="AO60" s="555"/>
      <c r="AP60" s="564"/>
      <c r="AQ60" s="802"/>
      <c r="AR60" s="555"/>
      <c r="AS60" s="555"/>
      <c r="AT60" s="555"/>
      <c r="AU60" s="564"/>
      <c r="AV60" s="802"/>
      <c r="AW60" s="555"/>
      <c r="AX60" s="555"/>
      <c r="AY60" s="555"/>
      <c r="AZ60" s="564"/>
      <c r="BA60" s="555"/>
      <c r="BB60" s="555"/>
      <c r="BC60" s="555"/>
      <c r="BD60" s="564"/>
      <c r="BE60" s="802"/>
      <c r="BF60" s="555"/>
      <c r="BG60" s="555"/>
      <c r="BH60" s="555"/>
      <c r="BI60" s="564"/>
      <c r="BJ60" s="802"/>
      <c r="BK60" s="555"/>
      <c r="BL60" s="555"/>
      <c r="BM60" s="555"/>
      <c r="BN60" s="564"/>
      <c r="BO60" s="802"/>
      <c r="BP60" s="555"/>
      <c r="BQ60" s="555"/>
      <c r="BR60" s="555"/>
      <c r="BS60" s="564"/>
      <c r="BT60" s="802"/>
      <c r="BU60" s="555"/>
      <c r="BV60" s="555"/>
      <c r="BW60" s="555"/>
      <c r="BX60" s="564"/>
      <c r="BY60" s="802"/>
      <c r="BZ60" s="555"/>
      <c r="CA60" s="555"/>
      <c r="CB60" s="555"/>
      <c r="CC60" s="564"/>
      <c r="CD60" s="802"/>
      <c r="CE60" s="555"/>
      <c r="CF60" s="555"/>
      <c r="CG60" s="555"/>
      <c r="CH60" s="564"/>
      <c r="CI60" s="802"/>
      <c r="CJ60" s="555"/>
      <c r="CK60" s="555"/>
      <c r="CL60" s="555"/>
      <c r="CM60" s="564"/>
      <c r="CN60" s="802"/>
      <c r="CO60" s="555"/>
      <c r="CP60" s="555"/>
      <c r="CQ60" s="555"/>
      <c r="CR60" s="564"/>
      <c r="CS60" s="802"/>
      <c r="CT60" s="555"/>
      <c r="CU60" s="555"/>
      <c r="CV60" s="555"/>
      <c r="CW60" s="564"/>
      <c r="CX60" s="802"/>
      <c r="CY60" s="555"/>
      <c r="CZ60" s="555"/>
      <c r="DA60" s="555"/>
      <c r="DB60" s="564"/>
      <c r="DC60" s="802"/>
      <c r="DD60" s="555"/>
      <c r="DE60" s="555"/>
      <c r="DF60" s="555"/>
      <c r="DG60" s="564"/>
      <c r="DH60" s="802"/>
      <c r="DI60" s="555"/>
      <c r="DJ60" s="555"/>
      <c r="DK60" s="555"/>
      <c r="DL60" s="564"/>
      <c r="DM60" s="802"/>
      <c r="DN60" s="555"/>
      <c r="DO60" s="555"/>
      <c r="DP60" s="555"/>
      <c r="DQ60" s="564"/>
      <c r="DR60" s="802"/>
      <c r="DS60" s="555"/>
      <c r="DT60" s="555"/>
      <c r="DU60" s="555"/>
      <c r="DV60" s="564"/>
      <c r="DW60" s="802"/>
      <c r="DX60" s="555"/>
      <c r="DY60" s="555"/>
      <c r="DZ60" s="555"/>
      <c r="EA60" s="555"/>
      <c r="EB60" s="802"/>
      <c r="EC60" s="555"/>
      <c r="ED60" s="555"/>
      <c r="EE60" s="555"/>
      <c r="EF60" s="555"/>
      <c r="EG60" s="802"/>
      <c r="EH60" s="555"/>
      <c r="EI60" s="555"/>
      <c r="EJ60" s="555"/>
      <c r="EK60" s="555"/>
      <c r="EL60" s="802"/>
      <c r="EM60" s="659"/>
      <c r="EN60"/>
      <c r="EO60"/>
      <c r="EP60"/>
      <c r="EQ60"/>
      <c r="ER60"/>
      <c r="ES60" s="659"/>
      <c r="ET60"/>
      <c r="EU60" s="659"/>
      <c r="EV60" s="659"/>
      <c r="EW60" s="659"/>
      <c r="EX60" s="1553"/>
      <c r="EY60" s="1553"/>
      <c r="EZ60" s="1553"/>
      <c r="FA60" s="1553"/>
      <c r="FB60" s="1553"/>
      <c r="FC60" s="1553"/>
      <c r="FD60" s="1553"/>
      <c r="FE60" s="1553"/>
      <c r="FF60" s="1553"/>
      <c r="FG60" s="1553"/>
      <c r="FH60" s="1553"/>
      <c r="FI60" s="1553"/>
      <c r="FJ60" s="1553"/>
      <c r="FK60" s="1553"/>
      <c r="FL60" s="1553"/>
      <c r="FM60" s="1553"/>
      <c r="FN60" s="1553"/>
      <c r="FO60" s="1553"/>
      <c r="FP60" s="1553"/>
      <c r="FQ60" s="1553"/>
      <c r="FR60" s="1553"/>
      <c r="FS60" s="1553"/>
      <c r="FT60" s="1553"/>
      <c r="FU60" s="1553"/>
      <c r="FV60" s="1553"/>
      <c r="FW60" s="1553"/>
      <c r="FX60" s="1553"/>
      <c r="FY60" s="1553"/>
      <c r="FZ60" s="1553"/>
      <c r="GA60" s="1553"/>
      <c r="GB60" s="1553"/>
      <c r="GC60" s="1553"/>
      <c r="GD60" s="1553"/>
      <c r="GE60" s="1553"/>
      <c r="GF60" s="1553"/>
      <c r="GG60" s="1553"/>
      <c r="GH60" s="1553"/>
      <c r="GI60" s="1553"/>
      <c r="GJ60" s="1553"/>
      <c r="GK60" s="1553"/>
      <c r="GL60" s="1553"/>
      <c r="GM60" s="1553"/>
      <c r="GN60" s="1553"/>
      <c r="GO60" s="1553"/>
      <c r="GP60" s="1553"/>
      <c r="GQ60" s="1553"/>
      <c r="GR60" s="1553"/>
      <c r="GS60" s="1553"/>
      <c r="GT60" s="1553"/>
      <c r="GU60" s="1553"/>
      <c r="GV60" s="1553"/>
      <c r="GW60" s="1553"/>
      <c r="GX60" s="1553"/>
      <c r="GY60" s="1553"/>
      <c r="GZ60" s="1553"/>
      <c r="HA60" s="1553"/>
      <c r="HB60" s="1553"/>
      <c r="HC60" s="1553"/>
      <c r="HD60" s="1553"/>
      <c r="HE60" s="1553"/>
      <c r="HF60" s="1553"/>
      <c r="HG60" s="1553"/>
      <c r="HH60" s="1553"/>
      <c r="HI60" s="1553"/>
      <c r="HJ60" s="1553"/>
      <c r="HK60" s="1553"/>
      <c r="HL60" s="1553"/>
      <c r="HM60" s="1553"/>
      <c r="HN60" s="1553"/>
      <c r="HO60" s="1553"/>
      <c r="HP60" s="1553"/>
      <c r="HQ60" s="1553"/>
      <c r="HR60" s="1553"/>
      <c r="HS60" s="1553"/>
      <c r="HT60" s="1553"/>
      <c r="HU60" s="1553"/>
      <c r="HV60" s="1553"/>
      <c r="HW60" s="1553"/>
      <c r="HX60" s="1553"/>
      <c r="HY60" s="1553"/>
      <c r="HZ60" s="1553"/>
      <c r="IA60" s="1553"/>
      <c r="IB60" s="1553"/>
      <c r="IC60" s="1553"/>
      <c r="ID60" s="1553"/>
      <c r="IE60" s="1553"/>
      <c r="IF60" s="1553"/>
      <c r="IG60" s="1553"/>
      <c r="IH60" s="1553"/>
      <c r="II60" s="1553"/>
      <c r="IJ60" s="1553"/>
      <c r="IK60" s="1553"/>
      <c r="IL60" s="1553"/>
      <c r="IM60" s="1553"/>
      <c r="IN60" s="1553"/>
      <c r="IO60" s="1553"/>
      <c r="IP60" s="1553"/>
      <c r="IQ60" s="1553"/>
      <c r="IR60" s="1553"/>
      <c r="IS60" s="1553"/>
      <c r="IT60" s="1553"/>
      <c r="IU60" s="1553"/>
      <c r="IV60" s="1553"/>
      <c r="IW60" s="1553"/>
      <c r="IX60" s="1553"/>
      <c r="IY60" s="1553"/>
      <c r="IZ60" s="1553"/>
      <c r="JA60" s="1553"/>
      <c r="JB60" s="1553"/>
      <c r="JC60" s="1553"/>
      <c r="JD60" s="1553"/>
      <c r="JE60" s="1553"/>
      <c r="JF60" s="1553"/>
      <c r="JG60" s="1553"/>
      <c r="JH60" s="1553"/>
      <c r="JI60" s="1553"/>
      <c r="JJ60" s="1553"/>
      <c r="JK60" s="1553"/>
    </row>
    <row r="61" spans="1:271" s="660" customFormat="1" hidden="1" outlineLevel="1">
      <c r="A61" s="801"/>
      <c r="B61" s="555" t="s">
        <v>496</v>
      </c>
      <c r="C61" s="1552"/>
      <c r="D61" s="1552">
        <f>D49/D69</f>
        <v>0.96951665158689226</v>
      </c>
      <c r="E61" s="1552">
        <f>E49/E69</f>
        <v>0.7093486451225689</v>
      </c>
      <c r="F61" s="1552">
        <f>F49/F69</f>
        <v>0.74220537888357874</v>
      </c>
      <c r="G61" s="1552">
        <f>IF(ISERROR(G49/G69),"nm",G49/G69)</f>
        <v>9.9646060606060502E-2</v>
      </c>
      <c r="H61" s="1485">
        <f>IF(ISERROR(H49/H69),"nm",H49/H69)</f>
        <v>2.3912751548428601</v>
      </c>
      <c r="I61" s="1552">
        <f>I49/I69</f>
        <v>1.4836751808077397</v>
      </c>
      <c r="J61" s="1552">
        <f>J49/J69</f>
        <v>2.2548797392332731</v>
      </c>
      <c r="K61" s="1552">
        <f>K49/K69</f>
        <v>0.86481990309001999</v>
      </c>
      <c r="L61" s="1552">
        <f>IF(ISERROR(L49/L69),"nm",L49/L69)</f>
        <v>-0.28236190476190809</v>
      </c>
      <c r="M61" s="1485">
        <f>M49/M69</f>
        <v>4.329499652322669</v>
      </c>
      <c r="N61" s="1552">
        <f>N49/N69</f>
        <v>0.8790116390702073</v>
      </c>
      <c r="O61" s="1552">
        <f>O49/O69</f>
        <v>0.92808686312984434</v>
      </c>
      <c r="P61" s="1552">
        <f>P49/P69</f>
        <v>-0.98973466943145894</v>
      </c>
      <c r="Q61" s="1552">
        <f>IF(ISERROR(Q49/Q69),"nm",Q49/Q69)</f>
        <v>-2.5143430420712032</v>
      </c>
      <c r="R61" s="1485">
        <f>R49/R69</f>
        <v>-2.2269493752596006</v>
      </c>
      <c r="S61" s="1552">
        <f>S49/S69</f>
        <v>0.99784946236559136</v>
      </c>
      <c r="T61" s="1552">
        <f>T49/T69</f>
        <v>1.1819685557821709</v>
      </c>
      <c r="U61" s="1552">
        <f>U49/U69</f>
        <v>1.2616575452236034</v>
      </c>
      <c r="V61" s="1552">
        <f>IF(ISERROR(V49/V69),"nm",V49/V69)</f>
        <v>-1.2533333333333334</v>
      </c>
      <c r="W61" s="1485">
        <f>W49/W69</f>
        <v>2.2299615844261536</v>
      </c>
      <c r="X61" s="1552">
        <f>X49/X69</f>
        <v>1.1647245734568195</v>
      </c>
      <c r="Y61" s="1552">
        <f>Y49/Y69</f>
        <v>1.0617909227494013</v>
      </c>
      <c r="Z61" s="1552">
        <f>Z49/Z69</f>
        <v>1.0566286940729734</v>
      </c>
      <c r="AA61" s="1552">
        <f>IF(ISERROR(AA49/AA69),"nm",AA49/AA69)</f>
        <v>-1.1733333333333333</v>
      </c>
      <c r="AB61" s="1485">
        <f>AB49/AB69</f>
        <v>2.1187927986572466</v>
      </c>
      <c r="AC61" s="1552">
        <f>AC49/AC69</f>
        <v>0.92798338143522419</v>
      </c>
      <c r="AD61" s="1552">
        <f>AD49/AD69</f>
        <v>1.1474286442811839</v>
      </c>
      <c r="AE61" s="1552">
        <f>AE49/AE69</f>
        <v>0.32080809871602889</v>
      </c>
      <c r="AF61" s="1552">
        <f>IF(ISERROR(AF49/AF69),"nm",AF49/AF69)</f>
        <v>0.1641025641025641</v>
      </c>
      <c r="AG61" s="1485">
        <f>AG49/AG69</f>
        <v>2.5572794611083944</v>
      </c>
      <c r="AH61" s="1552">
        <f>AH49/AH69</f>
        <v>1.2843648388445303</v>
      </c>
      <c r="AI61" s="1552">
        <f>AI49/AI69</f>
        <v>1.4326970111893638</v>
      </c>
      <c r="AJ61" s="1552">
        <f>AJ49/AJ69</f>
        <v>1.5994183933115231</v>
      </c>
      <c r="AK61" s="1552">
        <f>IF(ISERROR(AK49/AK69),"nm",AK49/AK69)</f>
        <v>0.94233995584988972</v>
      </c>
      <c r="AL61" s="1485">
        <f>AL49/AL69</f>
        <v>5.2411926770023314</v>
      </c>
      <c r="AM61" s="1552">
        <f>AM49/AM69</f>
        <v>1.2316139406779241</v>
      </c>
      <c r="AN61" s="1552">
        <f>AN49/AN69</f>
        <v>0.70804134086323367</v>
      </c>
      <c r="AO61" s="1552">
        <f>AO49/AO69</f>
        <v>2.2280509626871092</v>
      </c>
      <c r="AP61" s="1552">
        <f>IF(ISERROR(AP49/AP69),"nm",AP49/AP69)</f>
        <v>2.0814953271028038</v>
      </c>
      <c r="AQ61" s="1485">
        <f>AQ49/AQ69</f>
        <v>6.2437984565489293</v>
      </c>
      <c r="AR61" s="1552">
        <f>AR49/AR69</f>
        <v>2.7035728354919923</v>
      </c>
      <c r="AS61" s="1552">
        <f>AS49/AS69</f>
        <v>2.5557239087971668</v>
      </c>
      <c r="AT61" s="1552">
        <f>AT49/AT69</f>
        <v>-0.46581648101056772</v>
      </c>
      <c r="AU61" s="1552"/>
      <c r="AV61" s="1485">
        <f t="shared" ref="AV61:BN61" si="146">AV49/AV69</f>
        <v>2.2149011859282068</v>
      </c>
      <c r="AW61" s="1552">
        <f t="shared" si="146"/>
        <v>1.9251345406525568</v>
      </c>
      <c r="AX61" s="1552">
        <f t="shared" si="146"/>
        <v>2.6270894572016692</v>
      </c>
      <c r="AY61" s="1552">
        <f t="shared" si="146"/>
        <v>-0.25419576764046881</v>
      </c>
      <c r="AZ61" s="1552">
        <f t="shared" si="146"/>
        <v>6.5620381674484349</v>
      </c>
      <c r="BA61" s="1552">
        <f t="shared" si="146"/>
        <v>-0.1693749007568941</v>
      </c>
      <c r="BB61" s="1552">
        <f t="shared" si="146"/>
        <v>-1.6770226398056374</v>
      </c>
      <c r="BC61" s="1552">
        <f t="shared" si="146"/>
        <v>-2.6572971060912929</v>
      </c>
      <c r="BD61" s="1552">
        <f t="shared" si="146"/>
        <v>-8.2144187157867101</v>
      </c>
      <c r="BE61" s="1485">
        <f t="shared" si="146"/>
        <v>-12.680097955259084</v>
      </c>
      <c r="BF61" s="1552">
        <f t="shared" si="146"/>
        <v>-1.0487947457102575</v>
      </c>
      <c r="BG61" s="1552">
        <f t="shared" si="146"/>
        <v>-3.6572645206708416</v>
      </c>
      <c r="BH61" s="1552">
        <f t="shared" si="146"/>
        <v>-0.60002657260535819</v>
      </c>
      <c r="BI61" s="1552">
        <f t="shared" si="146"/>
        <v>-17.317574511819114</v>
      </c>
      <c r="BJ61" s="1485">
        <f t="shared" si="146"/>
        <v>-22.649959461720282</v>
      </c>
      <c r="BK61" s="1552">
        <f t="shared" si="146"/>
        <v>-3.4118994257346776E-2</v>
      </c>
      <c r="BL61" s="1552">
        <f t="shared" si="146"/>
        <v>-0.28159519410868722</v>
      </c>
      <c r="BM61" s="1552">
        <f t="shared" si="146"/>
        <v>-3.4187378377975146</v>
      </c>
      <c r="BN61" s="1552">
        <f t="shared" si="146"/>
        <v>-2.4360795303306806</v>
      </c>
      <c r="BO61" s="1485">
        <f t="shared" ref="BO61:CT61" si="147">BO47/BO69</f>
        <v>-6.1761833063907288</v>
      </c>
      <c r="BP61" s="1552">
        <f t="shared" si="147"/>
        <v>0.59480185663150964</v>
      </c>
      <c r="BQ61" s="1552">
        <f t="shared" si="147"/>
        <v>-3.3828579199673614</v>
      </c>
      <c r="BR61" s="1552">
        <f t="shared" si="147"/>
        <v>-0.75547453774932261</v>
      </c>
      <c r="BS61" s="1552">
        <f t="shared" si="147"/>
        <v>-3.2747664820015103</v>
      </c>
      <c r="BT61" s="1485">
        <f t="shared" si="147"/>
        <v>-6.8217488908286557</v>
      </c>
      <c r="BU61" s="1552">
        <f t="shared" si="147"/>
        <v>0.63247639808907796</v>
      </c>
      <c r="BV61" s="1552">
        <f t="shared" si="147"/>
        <v>-0.25358613052923423</v>
      </c>
      <c r="BW61" s="1552">
        <f t="shared" si="147"/>
        <v>-0.49790710234944641</v>
      </c>
      <c r="BX61" s="1552">
        <f t="shared" si="147"/>
        <v>-0.63252973943991597</v>
      </c>
      <c r="BY61" s="1485">
        <f t="shared" si="147"/>
        <v>-0.75199881708051253</v>
      </c>
      <c r="BZ61" s="1552">
        <f t="shared" si="147"/>
        <v>-0.26101636404204892</v>
      </c>
      <c r="CA61" s="1552">
        <f t="shared" si="147"/>
        <v>-0.1259689108727966</v>
      </c>
      <c r="CB61" s="1552">
        <f t="shared" si="147"/>
        <v>0.86524442114940237</v>
      </c>
      <c r="CC61" s="1552">
        <f t="shared" si="147"/>
        <v>-0.27665648067805992</v>
      </c>
      <c r="CD61" s="1485">
        <f t="shared" si="147"/>
        <v>0.20894013029506525</v>
      </c>
      <c r="CE61" s="1552">
        <f t="shared" si="147"/>
        <v>1.484842923639033</v>
      </c>
      <c r="CF61" s="1552">
        <f t="shared" si="147"/>
        <v>-0.12288937498463882</v>
      </c>
      <c r="CG61" s="1552">
        <f t="shared" si="147"/>
        <v>-2.4092321777049654E-2</v>
      </c>
      <c r="CH61" s="1552">
        <f t="shared" si="147"/>
        <v>0.16780635147040315</v>
      </c>
      <c r="CI61" s="1485">
        <f t="shared" si="147"/>
        <v>1.4272281219136684</v>
      </c>
      <c r="CJ61" s="1552">
        <f t="shared" si="147"/>
        <v>0.62943915540709694</v>
      </c>
      <c r="CK61" s="1552">
        <f t="shared" si="147"/>
        <v>0.19898557155620647</v>
      </c>
      <c r="CL61" s="1552">
        <f t="shared" si="147"/>
        <v>6.6589264981691523</v>
      </c>
      <c r="CM61" s="1552">
        <f t="shared" si="147"/>
        <v>0.52676443841749987</v>
      </c>
      <c r="CN61" s="1485">
        <f t="shared" si="147"/>
        <v>7.9838610422898491</v>
      </c>
      <c r="CO61" s="1552">
        <f t="shared" si="147"/>
        <v>0.51664864883992911</v>
      </c>
      <c r="CP61" s="1552">
        <f t="shared" si="147"/>
        <v>0.43672629965776538</v>
      </c>
      <c r="CQ61" s="1552">
        <f t="shared" si="147"/>
        <v>4.9624507890296751E-2</v>
      </c>
      <c r="CR61" s="1552">
        <f t="shared" si="147"/>
        <v>-0.70296493962363626</v>
      </c>
      <c r="CS61" s="1485">
        <f t="shared" si="147"/>
        <v>0.47817206362161752</v>
      </c>
      <c r="CT61" s="1552">
        <f t="shared" si="147"/>
        <v>0.47847580706700521</v>
      </c>
      <c r="CU61" s="1552">
        <f t="shared" ref="CU61:DR61" si="148">CU47/CU69</f>
        <v>-5.6113049089565777E-2</v>
      </c>
      <c r="CV61" s="1552">
        <f t="shared" si="148"/>
        <v>0.37274836689621749</v>
      </c>
      <c r="CW61" s="1552">
        <f t="shared" si="148"/>
        <v>0.44970631424375923</v>
      </c>
      <c r="CX61" s="1485">
        <f t="shared" si="148"/>
        <v>1.2944567871766153</v>
      </c>
      <c r="CY61" s="1552">
        <f t="shared" si="148"/>
        <v>-0.8453166575410892</v>
      </c>
      <c r="CZ61" s="1552">
        <f t="shared" si="148"/>
        <v>-0.48538976798369088</v>
      </c>
      <c r="DA61" s="1552">
        <f t="shared" si="148"/>
        <v>0.2715862577353586</v>
      </c>
      <c r="DB61" s="1552">
        <f t="shared" si="148"/>
        <v>-0.24344227375083682</v>
      </c>
      <c r="DC61" s="1485">
        <f t="shared" si="148"/>
        <v>-1.3182748307886039</v>
      </c>
      <c r="DD61" s="1552">
        <f t="shared" si="148"/>
        <v>-0.32275959453325936</v>
      </c>
      <c r="DE61" s="1552">
        <f t="shared" si="148"/>
        <v>-0.26052104208416832</v>
      </c>
      <c r="DF61" s="1552">
        <f t="shared" si="148"/>
        <v>8.9174246477617264E-2</v>
      </c>
      <c r="DG61" s="1552">
        <f t="shared" si="148"/>
        <v>0.60229662615152202</v>
      </c>
      <c r="DH61" s="1485">
        <f t="shared" si="148"/>
        <v>0.11965598903153435</v>
      </c>
      <c r="DI61" s="1552">
        <f>DI47/DI69</f>
        <v>0.465937029106194</v>
      </c>
      <c r="DJ61" s="1552">
        <f t="shared" si="148"/>
        <v>-0.61464672927330621</v>
      </c>
      <c r="DK61" s="1552">
        <f>DK47/DK69</f>
        <v>-0.29134894561821228</v>
      </c>
      <c r="DL61" s="1552">
        <f t="shared" si="148"/>
        <v>-0.97794087994515466</v>
      </c>
      <c r="DM61" s="1485">
        <f t="shared" si="148"/>
        <v>-1.4117599604707212</v>
      </c>
      <c r="DN61" s="1552">
        <f t="shared" si="148"/>
        <v>-0.59735946865381495</v>
      </c>
      <c r="DO61" s="1552">
        <f t="shared" si="148"/>
        <v>-0.46305150944725748</v>
      </c>
      <c r="DP61" s="1552">
        <f t="shared" si="148"/>
        <v>-8.0383428956120703E-2</v>
      </c>
      <c r="DQ61" s="1552">
        <f t="shared" si="148"/>
        <v>-0.79276675597836455</v>
      </c>
      <c r="DR61" s="1485">
        <f t="shared" si="148"/>
        <v>-1.9331259250309603</v>
      </c>
      <c r="DS61" s="1552">
        <f t="shared" ref="DS61:EB61" si="149">DS47/DS69</f>
        <v>-0.53</v>
      </c>
      <c r="DT61" s="1552">
        <f t="shared" si="149"/>
        <v>-0.5466544746153541</v>
      </c>
      <c r="DU61" s="1552">
        <f>DU47/DU69</f>
        <v>-3.6404396302027537</v>
      </c>
      <c r="DV61" s="1552">
        <f t="shared" ref="DV61" si="150">DV47/DV69</f>
        <v>-2.2483382914592602</v>
      </c>
      <c r="DW61" s="1485">
        <f t="shared" si="149"/>
        <v>-6.982793464541742</v>
      </c>
      <c r="DX61" s="1552">
        <f t="shared" si="149"/>
        <v>0.25367108361134866</v>
      </c>
      <c r="DY61" s="1552">
        <f t="shared" si="149"/>
        <v>0.62515001576627405</v>
      </c>
      <c r="DZ61" s="1552">
        <f t="shared" si="149"/>
        <v>0.63951307076910413</v>
      </c>
      <c r="EA61" s="1552">
        <f t="shared" si="149"/>
        <v>0.16072668935932799</v>
      </c>
      <c r="EB61" s="1485">
        <f t="shared" si="149"/>
        <v>1.6790608595060652</v>
      </c>
      <c r="EC61" s="1552">
        <f t="shared" ref="EC61:EL61" si="151">EC47/EC69</f>
        <v>0.58222037083373324</v>
      </c>
      <c r="ED61" s="1552">
        <f t="shared" si="151"/>
        <v>0.47182183907150099</v>
      </c>
      <c r="EE61" s="1552">
        <f t="shared" si="151"/>
        <v>0.55682614527782115</v>
      </c>
      <c r="EF61" s="1552">
        <f t="shared" si="151"/>
        <v>0.51538300669635451</v>
      </c>
      <c r="EG61" s="1485">
        <f t="shared" si="151"/>
        <v>2.1262513618794183</v>
      </c>
      <c r="EH61" s="1552">
        <f t="shared" si="151"/>
        <v>0.63298617040215277</v>
      </c>
      <c r="EI61" s="1552">
        <f t="shared" si="151"/>
        <v>0.62631319171815525</v>
      </c>
      <c r="EJ61" s="1552">
        <f t="shared" si="151"/>
        <v>0.64610508700668201</v>
      </c>
      <c r="EK61" s="1552">
        <f t="shared" si="151"/>
        <v>0.33288754876701837</v>
      </c>
      <c r="EL61" s="1485">
        <f t="shared" si="151"/>
        <v>2.2382919978940294</v>
      </c>
      <c r="EM61" s="658"/>
      <c r="EN61"/>
      <c r="EO61"/>
      <c r="EP61"/>
      <c r="EQ61"/>
      <c r="ER61"/>
      <c r="ES61" s="659"/>
      <c r="ET61"/>
      <c r="EU61" s="659"/>
      <c r="EV61" s="659"/>
      <c r="EW61" s="659"/>
      <c r="EX61" s="38"/>
      <c r="EY61" s="38"/>
      <c r="EZ61" s="38"/>
      <c r="FA61" s="38"/>
      <c r="FB61" s="38"/>
      <c r="FC61" s="38"/>
      <c r="FD61" s="38"/>
      <c r="FE61" s="38"/>
      <c r="FF61" s="38"/>
      <c r="FG61" s="38"/>
      <c r="FH61" s="38"/>
      <c r="FI61" s="38"/>
      <c r="FJ61" s="38"/>
      <c r="FK61" s="38"/>
      <c r="FL61" s="38"/>
      <c r="FM61" s="38"/>
      <c r="FN61" s="38"/>
      <c r="FO61" s="38"/>
      <c r="FP61" s="38"/>
      <c r="FQ61" s="38"/>
      <c r="FR61" s="38"/>
      <c r="FS61" s="38"/>
      <c r="FT61" s="38"/>
      <c r="FU61" s="38"/>
      <c r="FV61" s="38"/>
      <c r="FW61" s="38"/>
      <c r="FX61" s="38"/>
      <c r="FY61" s="38"/>
      <c r="FZ61" s="38"/>
      <c r="GA61" s="38"/>
      <c r="GB61" s="38"/>
      <c r="GC61" s="38"/>
      <c r="GD61" s="38"/>
      <c r="GE61" s="38"/>
      <c r="GF61" s="38"/>
      <c r="GG61" s="38"/>
      <c r="GH61" s="38"/>
      <c r="GI61" s="38"/>
      <c r="GJ61" s="38"/>
      <c r="GK61" s="38"/>
      <c r="GL61" s="38"/>
      <c r="GM61" s="38"/>
      <c r="GN61" s="38"/>
      <c r="GO61" s="38"/>
      <c r="GP61" s="38"/>
      <c r="GQ61" s="38"/>
      <c r="GR61" s="38"/>
      <c r="GS61" s="38"/>
      <c r="GT61" s="38"/>
      <c r="GU61" s="38"/>
      <c r="GV61" s="38"/>
      <c r="GW61" s="38"/>
      <c r="GX61" s="38"/>
      <c r="GY61" s="38"/>
      <c r="GZ61" s="38"/>
      <c r="HA61" s="38"/>
      <c r="HB61" s="38"/>
      <c r="HC61" s="38"/>
      <c r="HD61" s="38"/>
      <c r="HE61" s="38"/>
      <c r="HF61" s="38"/>
      <c r="HG61" s="38"/>
      <c r="HH61" s="38"/>
      <c r="HI61" s="38"/>
      <c r="HJ61" s="38"/>
      <c r="HK61" s="38"/>
      <c r="HL61" s="38"/>
      <c r="HM61" s="38"/>
      <c r="HN61" s="38"/>
      <c r="HO61" s="38"/>
      <c r="HP61" s="38"/>
      <c r="HQ61" s="38"/>
      <c r="HR61" s="38"/>
      <c r="HS61" s="38"/>
      <c r="HT61" s="38"/>
      <c r="HU61" s="38"/>
      <c r="HV61" s="38"/>
      <c r="HW61" s="38"/>
      <c r="HX61" s="38"/>
      <c r="HY61" s="38"/>
      <c r="HZ61" s="38"/>
      <c r="IA61" s="38"/>
      <c r="IB61" s="38"/>
      <c r="IC61" s="38"/>
      <c r="ID61" s="38"/>
      <c r="IE61" s="38"/>
      <c r="IF61" s="38"/>
      <c r="IG61" s="38"/>
      <c r="IH61" s="38"/>
      <c r="II61" s="38"/>
      <c r="IJ61" s="38"/>
      <c r="IK61" s="38"/>
      <c r="IL61" s="38"/>
      <c r="IM61" s="38"/>
      <c r="IN61" s="38"/>
      <c r="IO61" s="38"/>
      <c r="IP61" s="38"/>
      <c r="IQ61" s="38"/>
      <c r="IR61" s="38"/>
      <c r="IS61" s="38"/>
      <c r="IT61" s="38"/>
      <c r="IU61" s="38"/>
      <c r="IV61" s="38"/>
      <c r="IW61" s="38"/>
      <c r="IX61" s="38"/>
      <c r="IY61" s="38"/>
      <c r="IZ61" s="38"/>
      <c r="JA61" s="38"/>
      <c r="JB61" s="38"/>
      <c r="JC61" s="38"/>
      <c r="JD61" s="38"/>
      <c r="JE61" s="38"/>
      <c r="JF61" s="38"/>
      <c r="JG61" s="38"/>
      <c r="JH61" s="38"/>
      <c r="JI61" s="38"/>
      <c r="JJ61" s="38"/>
      <c r="JK61" s="38"/>
    </row>
    <row r="62" spans="1:271" s="663" customFormat="1" ht="13.5" hidden="1" outlineLevel="1" thickBot="1">
      <c r="A62" s="805"/>
      <c r="B62" s="1547" t="s">
        <v>497</v>
      </c>
      <c r="C62" s="807"/>
      <c r="D62" s="807"/>
      <c r="E62" s="807"/>
      <c r="F62" s="807"/>
      <c r="G62" s="807"/>
      <c r="H62" s="809"/>
      <c r="I62" s="807">
        <f>IF(OR(I61&lt;=0,D61&lt;=0),"nm",I61/D61-1)</f>
        <v>0.53032459873616355</v>
      </c>
      <c r="J62" s="807">
        <f>IF(OR(J61&lt;=0,E61&lt;=0),"nm",J61/E61-1)</f>
        <v>2.1788031946457735</v>
      </c>
      <c r="K62" s="807">
        <f>IF(OR(K61&lt;=0,F61&lt;=0),"nm",K61/F61-1)</f>
        <v>0.16520295823088404</v>
      </c>
      <c r="L62" s="807" t="str">
        <f>IF(ISERROR(IF(OR(L61&lt;=0,G61&lt;=0),"nm",L61/G61-1)),"nm",IF(OR(L61&lt;=0,G61&lt;=0),"nm",L61/G61-1))</f>
        <v>nm</v>
      </c>
      <c r="M62" s="809">
        <f>IF(ISERROR(IF(OR(M61&lt;=0,H61&lt;=0),"nm",M61/H61-1)),"nm",IF(OR(M61&lt;=0,H61&lt;=0),"nm",M61/H61-1))</f>
        <v>0.8105401394542473</v>
      </c>
      <c r="N62" s="807">
        <f>IF(OR(N61&lt;=0,I61&lt;=0),"nm",N61/I61-1)</f>
        <v>-0.40754442047641626</v>
      </c>
      <c r="O62" s="807">
        <f>IF(OR(O61&lt;=0,J61&lt;=0),"nm",O61/J61-1)</f>
        <v>-0.58840959587254005</v>
      </c>
      <c r="P62" s="807" t="str">
        <f>IF(OR(P61&lt;=0,K61&lt;=0),"nm",P61/K61-1)</f>
        <v>nm</v>
      </c>
      <c r="Q62" s="807" t="str">
        <f>IF(ISERROR(IF(OR(Q61&lt;=0,L61&lt;=0),"nm",Q61/L61-1)),"nm",IF(OR(Q61&lt;=0,L61&lt;=0),"nm",Q61/L61-1))</f>
        <v>nm</v>
      </c>
      <c r="R62" s="809" t="str">
        <f>IF(OR(R61&lt;=0,M61&lt;=0),"nm",R61/M61-1)</f>
        <v>nm</v>
      </c>
      <c r="S62" s="807">
        <f>IF(OR(S61&lt;=0,N61&lt;=0),"nm",S61/N61-1)</f>
        <v>0.13519482338264277</v>
      </c>
      <c r="T62" s="807">
        <f>IF(OR(T61&lt;=0,O61&lt;=0),"nm",T61/O61-1)</f>
        <v>0.27355380486277503</v>
      </c>
      <c r="U62" s="807" t="str">
        <f>IF(OR(U61&lt;=0,P61&lt;=0),"nm",U61/P61-1)</f>
        <v>nm</v>
      </c>
      <c r="V62" s="807" t="str">
        <f>IF(ISERROR(IF(OR(V61&lt;=0,Q61&lt;=0),"nm",V61/Q61-1)),"nm",IF(OR(V61&lt;=0,Q61&lt;=0),"nm",V61/Q61-1))</f>
        <v>nm</v>
      </c>
      <c r="W62" s="809" t="str">
        <f>IF(OR(W61&lt;=0,R61&lt;=0),"nm",W61/R61-1)</f>
        <v>nm</v>
      </c>
      <c r="X62" s="807">
        <f>IF(OR(X61&lt;=0,S61&lt;=0),"nm",X61/S61-1)</f>
        <v>0.16723475572720048</v>
      </c>
      <c r="Y62" s="807">
        <f>IF(OR(Y61&lt;=0,T61&lt;=0),"nm",Y61/T61-1)</f>
        <v>-0.10167582922985763</v>
      </c>
      <c r="Z62" s="807">
        <f>IF(OR(Z61&lt;=0,U61&lt;=0),"nm",Z61/U61-1)</f>
        <v>-0.1625075298180797</v>
      </c>
      <c r="AA62" s="807" t="str">
        <f>IF(ISERROR(IF(OR(AA61&lt;=0,V61&lt;=0),"nm",AA61/V61-1)),"nm",IF(OR(AA61&lt;=0,V61&lt;=0),"nm",AA61/V61-1))</f>
        <v>nm</v>
      </c>
      <c r="AB62" s="809">
        <f>IF(OR(AB61&lt;=0,W61&lt;=0),"nm",AB61/W61-1)</f>
        <v>-4.9852332230877705E-2</v>
      </c>
      <c r="AC62" s="807">
        <f>IF(OR(AC61&lt;=0,X61&lt;=0),"nm",AC61/X61-1)</f>
        <v>-0.20325937772478198</v>
      </c>
      <c r="AD62" s="807">
        <f>IF(OR(AD61&lt;=0,Y61&lt;=0),"nm",AD61/Y61-1)</f>
        <v>8.0654034327240387E-2</v>
      </c>
      <c r="AE62" s="807">
        <f>IF(OR(AE61&lt;=0,Z61&lt;=0),"nm",AE61/Z61-1)</f>
        <v>-0.69638521032453327</v>
      </c>
      <c r="AF62" s="807" t="str">
        <f>IF(ISERROR(IF(OR(AF61&lt;=0,AA61&lt;=0),"nm",AF61/AA61-1)),"nm",IF(OR(AF61&lt;=0,AA61&lt;=0),"nm",AF61/AA61-1))</f>
        <v>nm</v>
      </c>
      <c r="AG62" s="809">
        <f>IF(OR(AG61&lt;=0,AB61&lt;=0),"nm",AG61/AB61-1)</f>
        <v>0.20695117650439077</v>
      </c>
      <c r="AH62" s="807">
        <f>IF(OR(AH61&lt;=0,AC61&lt;=0),"nm",AH61/AC61-1)</f>
        <v>0.38403862023706137</v>
      </c>
      <c r="AI62" s="807">
        <f>IF(OR(AI61&lt;=0,AD61&lt;=0),"nm",AI61/AD61-1)</f>
        <v>0.24861534382113026</v>
      </c>
      <c r="AJ62" s="807">
        <f>IF(OR(AJ61&lt;=0,AE61&lt;=0),"nm",AJ61/AE61-1)</f>
        <v>3.985592320495897</v>
      </c>
      <c r="AK62" s="807">
        <f>IF(ISERROR(IF(OR(AK61&lt;=0,AF61&lt;=0),"nm",AK61/AF61-1)),"nm",IF(OR(AK61&lt;=0,AF61&lt;=0),"nm",AK61/AF61-1))</f>
        <v>4.7423841059602658</v>
      </c>
      <c r="AL62" s="809">
        <f>IF(OR(AL61&lt;=0,AG61&lt;=0),"nm",AL61/AG61-1)</f>
        <v>1.0495189347552403</v>
      </c>
      <c r="AM62" s="807">
        <f>IF(OR(AM61&lt;=0,AH61&lt;=0),"nm",AM61/AH61-1)</f>
        <v>-4.1071583845337267E-2</v>
      </c>
      <c r="AN62" s="807">
        <f>IF(OR(AN61&lt;=0,AI61&lt;=0),"nm",AN61/AI61-1)</f>
        <v>-0.50579827044139081</v>
      </c>
      <c r="AO62" s="807">
        <f>IF(OR(AO61&lt;=0,AJ61&lt;=0),"nm",AO61/AJ61-1)</f>
        <v>0.39303822689823575</v>
      </c>
      <c r="AP62" s="807">
        <f>IF(ISERROR(IF(OR(AP61&lt;=0,AK61&lt;=0),"nm",AP61/AK61-1)),"nm",IF(OR(AP61&lt;=0,AK61&lt;=0),"nm",AP61/AK61-1))</f>
        <v>1.2088581877285653</v>
      </c>
      <c r="AQ62" s="809">
        <f>IF(OR(AQ61&lt;=0,AL61&lt;=0),"nm",AQ61/AL61-1)</f>
        <v>0.19129344050752062</v>
      </c>
      <c r="AR62" s="807">
        <f>IF(OR(AR61&lt;=0,AM61&lt;=0),"nm",AR61/AM61-1)</f>
        <v>1.1951463410716592</v>
      </c>
      <c r="AS62" s="807">
        <f>IF(OR(AS61&lt;=0,AN61&lt;=0),"nm",AS61/AN61-1)</f>
        <v>2.6095687656899602</v>
      </c>
      <c r="AT62" s="807" t="str">
        <f>IF(OR(AT61&lt;=0,AO61&lt;=0),"nm",AT61/AO61-1)</f>
        <v>nm</v>
      </c>
      <c r="AU62" s="807"/>
      <c r="AV62" s="809"/>
      <c r="AW62" s="807"/>
      <c r="AX62" s="807"/>
      <c r="AY62" s="807"/>
      <c r="AZ62" s="807"/>
      <c r="BA62" s="807" t="str">
        <f t="shared" ref="BA62:CF62" si="152">IF(OR(BA61&lt;=0,AV61&lt;=0),"nm",BA61/AV61-1)</f>
        <v>nm</v>
      </c>
      <c r="BB62" s="807" t="str">
        <f t="shared" si="152"/>
        <v>nm</v>
      </c>
      <c r="BC62" s="807" t="str">
        <f t="shared" si="152"/>
        <v>nm</v>
      </c>
      <c r="BD62" s="807" t="str">
        <f t="shared" si="152"/>
        <v>nm</v>
      </c>
      <c r="BE62" s="809" t="str">
        <f t="shared" si="152"/>
        <v>nm</v>
      </c>
      <c r="BF62" s="807" t="str">
        <f t="shared" si="152"/>
        <v>nm</v>
      </c>
      <c r="BG62" s="807" t="str">
        <f t="shared" si="152"/>
        <v>nm</v>
      </c>
      <c r="BH62" s="807" t="str">
        <f t="shared" si="152"/>
        <v>nm</v>
      </c>
      <c r="BI62" s="807" t="str">
        <f t="shared" si="152"/>
        <v>nm</v>
      </c>
      <c r="BJ62" s="809" t="str">
        <f t="shared" si="152"/>
        <v>nm</v>
      </c>
      <c r="BK62" s="807" t="str">
        <f t="shared" si="152"/>
        <v>nm</v>
      </c>
      <c r="BL62" s="807" t="str">
        <f t="shared" si="152"/>
        <v>nm</v>
      </c>
      <c r="BM62" s="807" t="str">
        <f t="shared" si="152"/>
        <v>nm</v>
      </c>
      <c r="BN62" s="807" t="str">
        <f t="shared" si="152"/>
        <v>nm</v>
      </c>
      <c r="BO62" s="809" t="str">
        <f t="shared" si="152"/>
        <v>nm</v>
      </c>
      <c r="BP62" s="807" t="str">
        <f t="shared" si="152"/>
        <v>nm</v>
      </c>
      <c r="BQ62" s="807" t="str">
        <f t="shared" si="152"/>
        <v>nm</v>
      </c>
      <c r="BR62" s="807" t="str">
        <f t="shared" si="152"/>
        <v>nm</v>
      </c>
      <c r="BS62" s="807" t="str">
        <f t="shared" si="152"/>
        <v>nm</v>
      </c>
      <c r="BT62" s="809" t="str">
        <f t="shared" si="152"/>
        <v>nm</v>
      </c>
      <c r="BU62" s="807">
        <f t="shared" si="152"/>
        <v>6.3339650065867836E-2</v>
      </c>
      <c r="BV62" s="807" t="str">
        <f t="shared" si="152"/>
        <v>nm</v>
      </c>
      <c r="BW62" s="807" t="str">
        <f t="shared" si="152"/>
        <v>nm</v>
      </c>
      <c r="BX62" s="807" t="str">
        <f t="shared" si="152"/>
        <v>nm</v>
      </c>
      <c r="BY62" s="809" t="str">
        <f t="shared" si="152"/>
        <v>nm</v>
      </c>
      <c r="BZ62" s="807" t="str">
        <f t="shared" si="152"/>
        <v>nm</v>
      </c>
      <c r="CA62" s="807" t="str">
        <f t="shared" si="152"/>
        <v>nm</v>
      </c>
      <c r="CB62" s="807" t="str">
        <f t="shared" si="152"/>
        <v>nm</v>
      </c>
      <c r="CC62" s="807" t="str">
        <f t="shared" si="152"/>
        <v>nm</v>
      </c>
      <c r="CD62" s="809" t="str">
        <f t="shared" si="152"/>
        <v>nm</v>
      </c>
      <c r="CE62" s="807" t="str">
        <f t="shared" si="152"/>
        <v>nm</v>
      </c>
      <c r="CF62" s="807" t="str">
        <f t="shared" si="152"/>
        <v>nm</v>
      </c>
      <c r="CG62" s="807" t="str">
        <f t="shared" ref="CG62:DL62" si="153">IF(OR(CG61&lt;=0,CB61&lt;=0),"nm",CG61/CB61-1)</f>
        <v>nm</v>
      </c>
      <c r="CH62" s="807" t="str">
        <f t="shared" si="153"/>
        <v>nm</v>
      </c>
      <c r="CI62" s="809">
        <f t="shared" si="153"/>
        <v>5.8307994251661324</v>
      </c>
      <c r="CJ62" s="807">
        <f t="shared" si="153"/>
        <v>-0.57609040970847203</v>
      </c>
      <c r="CK62" s="807" t="str">
        <f t="shared" si="153"/>
        <v>nm</v>
      </c>
      <c r="CL62" s="807" t="str">
        <f t="shared" si="153"/>
        <v>nm</v>
      </c>
      <c r="CM62" s="807">
        <f t="shared" si="153"/>
        <v>2.1391209796394861</v>
      </c>
      <c r="CN62" s="809">
        <f t="shared" si="153"/>
        <v>4.5939628148476075</v>
      </c>
      <c r="CO62" s="807">
        <f t="shared" si="153"/>
        <v>-0.17919207217768218</v>
      </c>
      <c r="CP62" s="807">
        <f t="shared" si="153"/>
        <v>1.1947636516671034</v>
      </c>
      <c r="CQ62" s="807">
        <f t="shared" si="153"/>
        <v>-0.99254767147468281</v>
      </c>
      <c r="CR62" s="807" t="str">
        <f t="shared" si="153"/>
        <v>nm</v>
      </c>
      <c r="CS62" s="809">
        <f t="shared" si="153"/>
        <v>-0.94010766706875537</v>
      </c>
      <c r="CT62" s="807">
        <f t="shared" si="153"/>
        <v>-7.3885496185146948E-2</v>
      </c>
      <c r="CU62" s="807" t="str">
        <f t="shared" si="153"/>
        <v>nm</v>
      </c>
      <c r="CV62" s="807">
        <f t="shared" si="153"/>
        <v>6.5113765907813113</v>
      </c>
      <c r="CW62" s="807" t="str">
        <f t="shared" si="153"/>
        <v>nm</v>
      </c>
      <c r="CX62" s="809">
        <f t="shared" si="153"/>
        <v>1.7070941312893853</v>
      </c>
      <c r="CY62" s="807" t="str">
        <f t="shared" si="153"/>
        <v>nm</v>
      </c>
      <c r="CZ62" s="807" t="str">
        <f t="shared" si="153"/>
        <v>nm</v>
      </c>
      <c r="DA62" s="807">
        <f t="shared" si="153"/>
        <v>-0.27139517740402319</v>
      </c>
      <c r="DB62" s="807" t="str">
        <f t="shared" si="153"/>
        <v>nm</v>
      </c>
      <c r="DC62" s="809" t="str">
        <f t="shared" si="153"/>
        <v>nm</v>
      </c>
      <c r="DD62" s="807" t="str">
        <f t="shared" si="153"/>
        <v>nm</v>
      </c>
      <c r="DE62" s="807" t="str">
        <f t="shared" si="153"/>
        <v>nm</v>
      </c>
      <c r="DF62" s="807">
        <f t="shared" si="153"/>
        <v>-0.6716540548803791</v>
      </c>
      <c r="DG62" s="807" t="str">
        <f t="shared" si="153"/>
        <v>nm</v>
      </c>
      <c r="DH62" s="809" t="str">
        <f t="shared" si="153"/>
        <v>nm</v>
      </c>
      <c r="DI62" s="807" t="str">
        <f t="shared" si="153"/>
        <v>nm</v>
      </c>
      <c r="DJ62" s="807" t="str">
        <f t="shared" si="153"/>
        <v>nm</v>
      </c>
      <c r="DK62" s="807" t="str">
        <f t="shared" si="153"/>
        <v>nm</v>
      </c>
      <c r="DL62" s="807" t="str">
        <f t="shared" si="153"/>
        <v>nm</v>
      </c>
      <c r="DM62" s="809" t="str">
        <f t="shared" ref="DM62:DR62" si="154">IF(OR(DM61&lt;=0,DH61&lt;=0),"nm",DM61/DH61-1)</f>
        <v>nm</v>
      </c>
      <c r="DN62" s="807" t="str">
        <f t="shared" si="154"/>
        <v>nm</v>
      </c>
      <c r="DO62" s="807" t="str">
        <f t="shared" si="154"/>
        <v>nm</v>
      </c>
      <c r="DP62" s="807" t="str">
        <f t="shared" si="154"/>
        <v>nm</v>
      </c>
      <c r="DQ62" s="807" t="str">
        <f t="shared" si="154"/>
        <v>nm</v>
      </c>
      <c r="DR62" s="809" t="str">
        <f t="shared" si="154"/>
        <v>nm</v>
      </c>
      <c r="DS62" s="807" t="str">
        <f t="shared" ref="DS62:EB62" si="155">IF(OR(DS61&lt;=0,DN61&lt;=0),"nm",DS61/DN61-1)</f>
        <v>nm</v>
      </c>
      <c r="DT62" s="807" t="str">
        <f t="shared" si="155"/>
        <v>nm</v>
      </c>
      <c r="DU62" s="807" t="str">
        <f t="shared" si="155"/>
        <v>nm</v>
      </c>
      <c r="DV62" s="807" t="str">
        <f t="shared" si="155"/>
        <v>nm</v>
      </c>
      <c r="DW62" s="809" t="str">
        <f t="shared" si="155"/>
        <v>nm</v>
      </c>
      <c r="DX62" s="807" t="str">
        <f t="shared" si="155"/>
        <v>nm</v>
      </c>
      <c r="DY62" s="807" t="str">
        <f t="shared" si="155"/>
        <v>nm</v>
      </c>
      <c r="DZ62" s="807" t="str">
        <f t="shared" si="155"/>
        <v>nm</v>
      </c>
      <c r="EA62" s="807" t="str">
        <f t="shared" si="155"/>
        <v>nm</v>
      </c>
      <c r="EB62" s="809" t="str">
        <f t="shared" si="155"/>
        <v>nm</v>
      </c>
      <c r="EC62" s="807">
        <f t="shared" ref="EC62:EL62" si="156">IF(OR(EC61&lt;=0,DX61&lt;=0),"nm",EC61/DX61-1)</f>
        <v>1.2951783173117097</v>
      </c>
      <c r="ED62" s="807">
        <f t="shared" si="156"/>
        <v>-0.24526621263350989</v>
      </c>
      <c r="EE62" s="807">
        <f t="shared" si="156"/>
        <v>-0.12929669348562389</v>
      </c>
      <c r="EF62" s="807">
        <f t="shared" si="156"/>
        <v>2.2065801190251642</v>
      </c>
      <c r="EG62" s="809">
        <f t="shared" si="156"/>
        <v>0.26633370663223288</v>
      </c>
      <c r="EH62" s="807">
        <f t="shared" si="156"/>
        <v>8.7193444461112657E-2</v>
      </c>
      <c r="EI62" s="807">
        <f t="shared" si="156"/>
        <v>0.32743578158797826</v>
      </c>
      <c r="EJ62" s="807">
        <f t="shared" si="156"/>
        <v>0.16033539819563658</v>
      </c>
      <c r="EK62" s="807">
        <f t="shared" si="156"/>
        <v>-0.35409676989380445</v>
      </c>
      <c r="EL62" s="809">
        <f t="shared" si="156"/>
        <v>5.2693974956741219E-2</v>
      </c>
      <c r="EM62" s="661"/>
      <c r="EN62"/>
      <c r="EO62"/>
      <c r="EP62"/>
      <c r="EQ62"/>
      <c r="ER62"/>
      <c r="ES62" s="662"/>
      <c r="ET62"/>
      <c r="EU62" s="662"/>
      <c r="EV62" s="662"/>
      <c r="EW62" s="662"/>
      <c r="EX62" s="39"/>
      <c r="EY62" s="39"/>
      <c r="EZ62" s="39"/>
      <c r="FA62" s="39"/>
      <c r="FB62" s="39"/>
      <c r="FC62" s="39"/>
      <c r="FD62" s="39"/>
      <c r="FE62" s="39"/>
      <c r="FF62" s="39"/>
      <c r="FG62" s="39"/>
      <c r="FH62" s="39"/>
      <c r="FI62" s="39"/>
      <c r="FJ62" s="39"/>
      <c r="FK62" s="39"/>
      <c r="FL62" s="39"/>
      <c r="FM62" s="39"/>
      <c r="FN62" s="39"/>
      <c r="FO62" s="39"/>
      <c r="FP62" s="39"/>
      <c r="FQ62" s="39"/>
      <c r="FR62" s="39"/>
      <c r="FS62" s="39"/>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c r="GT62" s="39"/>
      <c r="GU62" s="39"/>
      <c r="GV62" s="39"/>
      <c r="GW62" s="39"/>
      <c r="GX62" s="39"/>
      <c r="GY62" s="39"/>
      <c r="GZ62" s="39"/>
      <c r="HA62" s="39"/>
      <c r="HB62" s="39"/>
      <c r="HC62" s="39"/>
      <c r="HD62" s="39"/>
      <c r="HE62" s="39"/>
      <c r="HF62" s="39"/>
      <c r="HG62" s="39"/>
      <c r="HH62" s="39"/>
      <c r="HI62" s="39"/>
      <c r="HJ62" s="39"/>
      <c r="HK62" s="39"/>
      <c r="HL62" s="39"/>
      <c r="HM62" s="39"/>
      <c r="HN62" s="39"/>
      <c r="HO62" s="39"/>
      <c r="HP62" s="39"/>
      <c r="HQ62" s="39"/>
      <c r="HR62" s="39"/>
      <c r="HS62" s="39"/>
      <c r="HT62" s="39"/>
      <c r="HU62" s="39"/>
      <c r="HV62" s="39"/>
      <c r="HW62" s="39"/>
      <c r="HX62" s="39"/>
      <c r="HY62" s="39"/>
      <c r="HZ62" s="39"/>
      <c r="IA62" s="39"/>
      <c r="IB62" s="39"/>
      <c r="IC62" s="39"/>
      <c r="ID62" s="39"/>
      <c r="IE62" s="39"/>
      <c r="IF62" s="39"/>
      <c r="IG62" s="39"/>
      <c r="IH62" s="39"/>
      <c r="II62" s="39"/>
      <c r="IJ62" s="39"/>
      <c r="IK62" s="39"/>
      <c r="IL62" s="39"/>
      <c r="IM62" s="39"/>
      <c r="IN62" s="39"/>
      <c r="IO62" s="39"/>
      <c r="IP62" s="39"/>
      <c r="IQ62" s="39"/>
      <c r="IR62" s="39"/>
      <c r="IS62" s="39"/>
      <c r="IT62" s="39"/>
      <c r="IU62" s="39"/>
      <c r="IV62" s="39"/>
      <c r="IW62" s="39"/>
      <c r="IX62" s="39"/>
      <c r="IY62" s="39"/>
      <c r="IZ62" s="39"/>
      <c r="JA62" s="39"/>
      <c r="JB62" s="39"/>
      <c r="JC62" s="39"/>
      <c r="JD62" s="39"/>
      <c r="JE62" s="39"/>
      <c r="JF62" s="39"/>
      <c r="JG62" s="39"/>
      <c r="JH62" s="39"/>
      <c r="JI62" s="39"/>
      <c r="JJ62" s="39"/>
      <c r="JK62" s="39"/>
    </row>
    <row r="63" spans="1:271" s="75" customFormat="1" ht="13.5" collapsed="1" thickBot="1">
      <c r="A63" s="1529"/>
      <c r="B63" s="1530" t="s">
        <v>681</v>
      </c>
      <c r="C63" s="1555"/>
      <c r="D63" s="1555">
        <f t="shared" ref="D63:BO63" si="157">D59/D70</f>
        <v>0.59192646039226482</v>
      </c>
      <c r="E63" s="1555">
        <f t="shared" si="157"/>
        <v>0.67629508862649468</v>
      </c>
      <c r="F63" s="1555">
        <f t="shared" si="157"/>
        <v>0.71620805184818948</v>
      </c>
      <c r="G63" s="1555">
        <f t="shared" si="157"/>
        <v>1.0964998909090911</v>
      </c>
      <c r="H63" s="1555">
        <f t="shared" si="157"/>
        <v>2.8008165254541848</v>
      </c>
      <c r="I63" s="1555">
        <f t="shared" si="157"/>
        <v>0.71493012473919404</v>
      </c>
      <c r="J63" s="1555">
        <f t="shared" si="157"/>
        <v>0.81368470231239287</v>
      </c>
      <c r="K63" s="1555">
        <f t="shared" si="157"/>
        <v>0.86481990309001999</v>
      </c>
      <c r="L63" s="1555">
        <f t="shared" si="157"/>
        <v>0.97960437333333006</v>
      </c>
      <c r="M63" s="1555">
        <f t="shared" si="157"/>
        <v>3.3249172035666152</v>
      </c>
      <c r="N63" s="1555">
        <f t="shared" si="157"/>
        <v>0.8790116390702073</v>
      </c>
      <c r="O63" s="1555">
        <f t="shared" si="157"/>
        <v>0.92808686312984434</v>
      </c>
      <c r="P63" s="1555">
        <f t="shared" si="157"/>
        <v>1.0502364242532694</v>
      </c>
      <c r="Q63" s="1555">
        <f t="shared" si="157"/>
        <v>1.5201762616985859</v>
      </c>
      <c r="R63" s="1555">
        <f t="shared" si="157"/>
        <v>3.898914910149387</v>
      </c>
      <c r="S63" s="1555">
        <f t="shared" si="157"/>
        <v>0.99784946236559136</v>
      </c>
      <c r="T63" s="1555">
        <f t="shared" si="157"/>
        <v>1.0881918488818132</v>
      </c>
      <c r="U63" s="1555">
        <f t="shared" si="157"/>
        <v>1.2616575452236034</v>
      </c>
      <c r="V63" s="1555">
        <f t="shared" si="157"/>
        <v>1.2989019626996394</v>
      </c>
      <c r="W63" s="1555">
        <f t="shared" si="157"/>
        <v>4.5895995360654638</v>
      </c>
      <c r="X63" s="1555">
        <f t="shared" si="157"/>
        <v>1.1647245734568195</v>
      </c>
      <c r="Y63" s="1555">
        <f t="shared" si="157"/>
        <v>1.0617909227494013</v>
      </c>
      <c r="Z63" s="1555">
        <f t="shared" si="157"/>
        <v>1.0566286940729734</v>
      </c>
      <c r="AA63" s="1555">
        <f t="shared" si="157"/>
        <v>1.1348956184914845</v>
      </c>
      <c r="AB63" s="1555">
        <f t="shared" si="157"/>
        <v>4.41212613199058</v>
      </c>
      <c r="AC63" s="1555">
        <f t="shared" si="157"/>
        <v>1.0260289962393774</v>
      </c>
      <c r="AD63" s="1555">
        <f t="shared" si="157"/>
        <v>0.7785071421426536</v>
      </c>
      <c r="AE63" s="1555">
        <f t="shared" si="157"/>
        <v>1.4643559903294345</v>
      </c>
      <c r="AF63" s="1555">
        <f t="shared" si="157"/>
        <v>1.5051047427518018</v>
      </c>
      <c r="AG63" s="1555">
        <f t="shared" si="157"/>
        <v>4.8181854747373389</v>
      </c>
      <c r="AH63" s="1555">
        <f t="shared" si="157"/>
        <v>1.2843648388445303</v>
      </c>
      <c r="AI63" s="1555">
        <f t="shared" si="157"/>
        <v>1.4326970111893638</v>
      </c>
      <c r="AJ63" s="1555">
        <f t="shared" si="157"/>
        <v>1.5994183933115231</v>
      </c>
      <c r="AK63" s="1555">
        <f t="shared" si="157"/>
        <v>1.8278145695364238</v>
      </c>
      <c r="AL63" s="1555">
        <f t="shared" si="157"/>
        <v>6.1296685740369412</v>
      </c>
      <c r="AM63" s="1555">
        <f t="shared" si="157"/>
        <v>1.7798807916893871</v>
      </c>
      <c r="AN63" s="1555">
        <f t="shared" si="157"/>
        <v>2.0525243364349919</v>
      </c>
      <c r="AO63" s="1555">
        <f t="shared" si="157"/>
        <v>2.2917095616210266</v>
      </c>
      <c r="AP63" s="1555">
        <f t="shared" si="157"/>
        <v>2.56</v>
      </c>
      <c r="AQ63" s="1555">
        <f t="shared" si="157"/>
        <v>8.6776867720953916</v>
      </c>
      <c r="AR63" s="1555">
        <f t="shared" si="157"/>
        <v>2.7275690440910334</v>
      </c>
      <c r="AS63" s="1555">
        <f t="shared" si="157"/>
        <v>2.8802602781682354</v>
      </c>
      <c r="AT63" s="1555">
        <f t="shared" si="157"/>
        <v>1.6091842071274156</v>
      </c>
      <c r="AU63" s="1555"/>
      <c r="AV63" s="1555">
        <f t="shared" si="157"/>
        <v>2.2706720790990613</v>
      </c>
      <c r="AW63" s="1555">
        <f t="shared" si="157"/>
        <v>2.2751590025893855</v>
      </c>
      <c r="AX63" s="1555">
        <f t="shared" si="157"/>
        <v>2.5065477000953122</v>
      </c>
      <c r="AY63" s="1555">
        <f t="shared" si="157"/>
        <v>1.6596523667880931</v>
      </c>
      <c r="AZ63" s="1555">
        <f t="shared" si="157"/>
        <v>8.7254224763863011</v>
      </c>
      <c r="BA63" s="1555">
        <f t="shared" si="157"/>
        <v>-1.1178743449955011</v>
      </c>
      <c r="BB63" s="1555">
        <f t="shared" si="157"/>
        <v>0.7568102169379286</v>
      </c>
      <c r="BC63" s="1555">
        <f t="shared" si="157"/>
        <v>-0.6384415125024534</v>
      </c>
      <c r="BD63" s="1555">
        <f t="shared" si="157"/>
        <v>0.10332602158222276</v>
      </c>
      <c r="BE63" s="1555">
        <f t="shared" si="157"/>
        <v>-0.91001380044513402</v>
      </c>
      <c r="BF63" s="1555">
        <f t="shared" si="157"/>
        <v>0.22072357787758004</v>
      </c>
      <c r="BG63" s="1555">
        <f t="shared" si="157"/>
        <v>-1.4508866290924232</v>
      </c>
      <c r="BH63" s="1555">
        <f t="shared" si="157"/>
        <v>-0.45430583354405696</v>
      </c>
      <c r="BI63" s="1555">
        <f t="shared" si="157"/>
        <v>-0.23124357656731756</v>
      </c>
      <c r="BJ63" s="1555">
        <f t="shared" si="157"/>
        <v>-1.9160197031222481</v>
      </c>
      <c r="BK63" s="1555">
        <f t="shared" si="157"/>
        <v>0.25589245693010082</v>
      </c>
      <c r="BL63" s="1555">
        <f t="shared" si="157"/>
        <v>-0.12799781550394873</v>
      </c>
      <c r="BM63" s="1555">
        <f t="shared" si="157"/>
        <v>0.26429145379482033</v>
      </c>
      <c r="BN63" s="1555">
        <f t="shared" si="157"/>
        <v>-0.24701505727129278</v>
      </c>
      <c r="BO63" s="1555">
        <f t="shared" si="157"/>
        <v>0.14502087874121877</v>
      </c>
      <c r="BP63" s="1555">
        <f t="shared" ref="BP63:CX63" si="158">BP59/BP70</f>
        <v>0.19543489575035317</v>
      </c>
      <c r="BQ63" s="1555">
        <f t="shared" si="158"/>
        <v>2.5243939754530311</v>
      </c>
      <c r="BR63" s="1555">
        <f t="shared" si="158"/>
        <v>-2.5465433856718737E-2</v>
      </c>
      <c r="BS63" s="1555">
        <f t="shared" si="158"/>
        <v>9.3322360886053404E-2</v>
      </c>
      <c r="BT63" s="1555">
        <f t="shared" si="158"/>
        <v>2.7864677910234112</v>
      </c>
      <c r="BU63" s="1555">
        <f t="shared" si="158"/>
        <v>0.78427073363045663</v>
      </c>
      <c r="BV63" s="1555">
        <f t="shared" si="158"/>
        <v>-0.10988732322933485</v>
      </c>
      <c r="BW63" s="1555">
        <f t="shared" si="158"/>
        <v>-6.7512827437213069E-2</v>
      </c>
      <c r="BX63" s="1555">
        <f t="shared" si="158"/>
        <v>-0.76746941718709805</v>
      </c>
      <c r="BY63" s="1555">
        <f t="shared" si="158"/>
        <v>-0.1605390733093229</v>
      </c>
      <c r="BZ63" s="1555">
        <f t="shared" si="158"/>
        <v>0.30311577759721808</v>
      </c>
      <c r="CA63" s="1555">
        <f t="shared" si="158"/>
        <v>-0.10917305608975705</v>
      </c>
      <c r="CB63" s="1555">
        <f t="shared" si="158"/>
        <v>-0.64061365796638448</v>
      </c>
      <c r="CC63" s="1555">
        <f t="shared" si="158"/>
        <v>8.3835297175169667E-3</v>
      </c>
      <c r="CD63" s="1555">
        <f t="shared" si="158"/>
        <v>-0.44295307622553837</v>
      </c>
      <c r="CE63" s="1555">
        <f t="shared" si="158"/>
        <v>-9.1759955955221142E-2</v>
      </c>
      <c r="CF63" s="1555">
        <f t="shared" si="158"/>
        <v>0.13927462498259066</v>
      </c>
      <c r="CG63" s="1555">
        <f t="shared" si="158"/>
        <v>0.20076934814208044</v>
      </c>
      <c r="CH63" s="1555">
        <f t="shared" si="158"/>
        <v>0.11986167962171654</v>
      </c>
      <c r="CI63" s="1555">
        <f t="shared" si="158"/>
        <v>0.36272095916037983</v>
      </c>
      <c r="CJ63" s="1555">
        <f t="shared" si="158"/>
        <v>0.37194131910419365</v>
      </c>
      <c r="CK63" s="1555">
        <f t="shared" si="158"/>
        <v>0.23082326300519951</v>
      </c>
      <c r="CL63" s="1555">
        <f t="shared" si="158"/>
        <v>7.8592480128605868E-2</v>
      </c>
      <c r="CM63" s="1555">
        <f t="shared" si="158"/>
        <v>0.32744816442168911</v>
      </c>
      <c r="CN63" s="1555">
        <f t="shared" si="158"/>
        <v>0.98460484703842643</v>
      </c>
      <c r="CO63" s="1555">
        <f t="shared" si="158"/>
        <v>0.65111884511333529</v>
      </c>
      <c r="CP63" s="1555">
        <f t="shared" si="158"/>
        <v>0.34938103972621232</v>
      </c>
      <c r="CQ63" s="1555">
        <f t="shared" si="158"/>
        <v>0.14060277235584082</v>
      </c>
      <c r="CR63" s="1555">
        <f t="shared" si="158"/>
        <v>0.90645479056732048</v>
      </c>
      <c r="CS63" s="1555">
        <f t="shared" si="158"/>
        <v>2.0693308270521724</v>
      </c>
      <c r="CT63" s="1555">
        <f t="shared" si="158"/>
        <v>0.51147413858886759</v>
      </c>
      <c r="CU63" s="1555">
        <f t="shared" si="158"/>
        <v>0.60789136513696251</v>
      </c>
      <c r="CV63" s="1555">
        <f t="shared" si="158"/>
        <v>0.43797933110305559</v>
      </c>
      <c r="CW63" s="1555">
        <f t="shared" si="158"/>
        <v>0.64243759177679882</v>
      </c>
      <c r="CX63" s="1555">
        <f t="shared" si="158"/>
        <v>2.2492334245267429</v>
      </c>
      <c r="CY63" s="1555">
        <f>CY59/CY70</f>
        <v>-0.69162271980634571</v>
      </c>
      <c r="CZ63" s="1555">
        <f>CZ59/CZ70</f>
        <v>-0.38831181438695273</v>
      </c>
      <c r="DA63" s="1555">
        <f>DA59/DA70</f>
        <v>0.5237734970610487</v>
      </c>
      <c r="DB63" s="1555">
        <f>DB59/DB70</f>
        <v>0.69989653703365595</v>
      </c>
      <c r="DC63" s="1555">
        <f t="shared" ref="DC63:DI63" si="159">DC59/DC70</f>
        <v>0.1082165905871242</v>
      </c>
      <c r="DD63" s="1555">
        <f t="shared" si="159"/>
        <v>-3.0258711987493067E-2</v>
      </c>
      <c r="DE63" s="1555">
        <f t="shared" si="159"/>
        <v>0.34068136272545085</v>
      </c>
      <c r="DF63" s="1555">
        <f t="shared" si="159"/>
        <v>0.50532073003983113</v>
      </c>
      <c r="DG63" s="1555">
        <f t="shared" si="159"/>
        <v>1.2835829737655389</v>
      </c>
      <c r="DH63" s="1555">
        <f t="shared" si="159"/>
        <v>2.1139224728904402</v>
      </c>
      <c r="DI63" s="1555">
        <f t="shared" si="159"/>
        <v>0.67412165913236577</v>
      </c>
      <c r="DJ63" s="1555">
        <f t="shared" ref="DJ63:DR63" si="160">DJ59/DJ70</f>
        <v>0.74570483825073341</v>
      </c>
      <c r="DK63" s="1555">
        <f t="shared" si="160"/>
        <v>0.2940109960112508</v>
      </c>
      <c r="DL63" s="1555">
        <f t="shared" si="160"/>
        <v>0.34530046072947185</v>
      </c>
      <c r="DM63" s="1550">
        <f t="shared" si="160"/>
        <v>2.0581602607659506</v>
      </c>
      <c r="DN63" s="1555">
        <f>DN59/DN70</f>
        <v>0.44849753326356706</v>
      </c>
      <c r="DO63" s="1555">
        <f t="shared" si="160"/>
        <v>0.39711298857307376</v>
      </c>
      <c r="DP63" s="1555">
        <f t="shared" si="160"/>
        <v>0.15845035552298523</v>
      </c>
      <c r="DQ63" s="1555">
        <f t="shared" si="160"/>
        <v>5.9448319594166139E-2</v>
      </c>
      <c r="DR63" s="1550">
        <f t="shared" si="160"/>
        <v>1.0621190764527209</v>
      </c>
      <c r="DS63" s="1555">
        <f>DS59/DS70</f>
        <v>-0.27</v>
      </c>
      <c r="DT63" s="1555">
        <f t="shared" ref="DT63:EG63" si="161">DT59/DT70</f>
        <v>-0.16896592851747308</v>
      </c>
      <c r="DU63" s="1555">
        <f>DU59/DU70</f>
        <v>-0.16863071856525017</v>
      </c>
      <c r="DV63" s="1555">
        <f t="shared" ref="DV63" si="162">DV59/DV70</f>
        <v>1.4039841732693197</v>
      </c>
      <c r="DW63" s="1550">
        <f t="shared" si="161"/>
        <v>0.81333673876764612</v>
      </c>
      <c r="DX63" s="1555">
        <f t="shared" si="161"/>
        <v>1.0413651753812371E-2</v>
      </c>
      <c r="DY63" s="1555">
        <f t="shared" si="161"/>
        <v>0.38189258390873781</v>
      </c>
      <c r="DZ63" s="1555">
        <f t="shared" si="161"/>
        <v>0.39625563891156784</v>
      </c>
      <c r="EA63" s="1555">
        <f t="shared" si="161"/>
        <v>0.35046748620820628</v>
      </c>
      <c r="EB63" s="1550">
        <f t="shared" si="161"/>
        <v>1.1390293607823243</v>
      </c>
      <c r="EC63" s="1555">
        <f t="shared" si="161"/>
        <v>0.56241285688699028</v>
      </c>
      <c r="ED63" s="1555">
        <f t="shared" si="161"/>
        <v>0.45201432512475809</v>
      </c>
      <c r="EE63" s="1555">
        <f t="shared" si="161"/>
        <v>0.5370186313310783</v>
      </c>
      <c r="EF63" s="1555">
        <f t="shared" si="161"/>
        <v>0.48567173577624012</v>
      </c>
      <c r="EG63" s="1550">
        <f t="shared" si="161"/>
        <v>2.0371175491190665</v>
      </c>
      <c r="EH63" s="1555">
        <f t="shared" ref="EH63:EL63" si="163">EH59/EH70</f>
        <v>0.63298617040215277</v>
      </c>
      <c r="EI63" s="1555">
        <f t="shared" si="163"/>
        <v>0.62631319171815525</v>
      </c>
      <c r="EJ63" s="1555">
        <f t="shared" si="163"/>
        <v>0.64610508700668201</v>
      </c>
      <c r="EK63" s="1555">
        <f t="shared" si="163"/>
        <v>0.33288754876701837</v>
      </c>
      <c r="EL63" s="1550">
        <f t="shared" si="163"/>
        <v>2.2382919978940081</v>
      </c>
      <c r="EN63"/>
      <c r="EO63"/>
      <c r="EP63"/>
      <c r="EQ63"/>
      <c r="ER63"/>
      <c r="ES63" s="382"/>
      <c r="ET63"/>
      <c r="EU63" s="382"/>
      <c r="EV63" s="382"/>
      <c r="EW63" s="382"/>
    </row>
    <row r="64" spans="1:271" s="40" customFormat="1">
      <c r="A64" s="805"/>
      <c r="B64" s="806" t="s">
        <v>497</v>
      </c>
      <c r="C64" s="807"/>
      <c r="D64" s="808"/>
      <c r="E64" s="808"/>
      <c r="F64" s="808"/>
      <c r="G64" s="808"/>
      <c r="H64" s="809"/>
      <c r="I64" s="808">
        <f>IF(OR(I63&lt;=0,D63&lt;=0),"nm",I63/D63-1)</f>
        <v>0.20780227372402926</v>
      </c>
      <c r="J64" s="808">
        <f>IF(OR(J63&lt;=0,E63&lt;=0),"nm",J63/E63-1)</f>
        <v>0.20315039395735712</v>
      </c>
      <c r="K64" s="808">
        <f>IF(OR(K63&lt;=0,F63&lt;=0),"nm",K63/F63-1)</f>
        <v>0.20749815763497015</v>
      </c>
      <c r="L64" s="808">
        <f>IF(ISERROR(IF(OR(L63&lt;=0,G63&lt;=0),"nm",L63/G63-1)),"nm",IF(OR(L63&lt;=0,G63&lt;=0),"nm",L63/G63-1))</f>
        <v>-0.10660786977264969</v>
      </c>
      <c r="M64" s="809">
        <f>IF(ISERROR(IF(OR(M63&lt;=0,H63&lt;=0),"nm",M63/H63-1)),"nm",IF(OR(M63&lt;=0,H63&lt;=0),"nm",M63/H63-1))</f>
        <v>0.18712424514399117</v>
      </c>
      <c r="N64" s="808">
        <f>IF(OR(N63&lt;=0,I63&lt;=0),"nm",N63/I63-1)</f>
        <v>0.22950706461120252</v>
      </c>
      <c r="O64" s="808">
        <f>IF(OR(O63&lt;=0,J63&lt;=0),"nm",O63/J63-1)</f>
        <v>0.14059765470867824</v>
      </c>
      <c r="P64" s="808">
        <f>IF(OR(P63&lt;=0,K63&lt;=0),"nm",P63/K63-1)</f>
        <v>0.21439899856692946</v>
      </c>
      <c r="Q64" s="808">
        <f>IF(ISERROR(IF(OR(Q63&lt;=0,L63&lt;=0),"nm",Q63/L63-1)),"nm",IF(OR(Q63&lt;=0,L63&lt;=0),"nm",Q63/L63-1))</f>
        <v>0.55182674055020309</v>
      </c>
      <c r="R64" s="809">
        <f>IF(OR(R63&lt;=0,M63&lt;=0),"nm",R63/M63-1)</f>
        <v>0.17263518801823041</v>
      </c>
      <c r="S64" s="808">
        <f>IF(OR(S63&lt;=0,N63&lt;=0),"nm",S63/N63-1)</f>
        <v>0.13519482338264277</v>
      </c>
      <c r="T64" s="808">
        <f>IF(OR(T63&lt;=0,O63&lt;=0),"nm",T63/O63-1)</f>
        <v>0.17251077685986949</v>
      </c>
      <c r="U64" s="808">
        <f>IF(OR(U63&lt;=0,P63&lt;=0),"nm",U63/P63-1)</f>
        <v>0.20130812080780469</v>
      </c>
      <c r="V64" s="808">
        <f>IF(ISERROR(IF(OR(V63&lt;=0,Q63&lt;=0),"nm",V63/Q63-1)),"nm",IF(OR(V63&lt;=0,Q63&lt;=0),"nm",V63/Q63-1))</f>
        <v>-0.14555831752806292</v>
      </c>
      <c r="W64" s="809">
        <f>IF(OR(W63&lt;=0,R63&lt;=0),"nm",W63/R63-1)</f>
        <v>0.17714790956789894</v>
      </c>
      <c r="X64" s="808">
        <f>IF(OR(X63&lt;=0,S63&lt;=0),"nm",X63/S63-1)</f>
        <v>0.16723475572720048</v>
      </c>
      <c r="Y64" s="808">
        <f>IF(OR(Y63&lt;=0,T63&lt;=0),"nm",Y63/T63-1)</f>
        <v>-2.4261279074586417E-2</v>
      </c>
      <c r="Z64" s="808">
        <f>IF(OR(Z63&lt;=0,U63&lt;=0),"nm",Z63/U63-1)</f>
        <v>-0.1625075298180797</v>
      </c>
      <c r="AA64" s="808">
        <f>IF(ISERROR(IF(OR(AA63&lt;=0,V63&lt;=0),"nm",AA63/V63-1)),"nm",IF(OR(AA63&lt;=0,V63&lt;=0),"nm",AA63/V63-1))</f>
        <v>-0.12626537561563456</v>
      </c>
      <c r="AB64" s="809">
        <f>IF(OR(AB63&lt;=0,W63&lt;=0),"nm",AB63/W63-1)</f>
        <v>-3.8668603367305265E-2</v>
      </c>
      <c r="AC64" s="808">
        <f>IF(OR(AC63&lt;=0,X63&lt;=0),"nm",AC63/X63-1)</f>
        <v>-0.11908015025887497</v>
      </c>
      <c r="AD64" s="808">
        <f>IF(OR(AD63&lt;=0,Y63&lt;=0),"nm",AD63/Y63-1)</f>
        <v>-0.2667980809943381</v>
      </c>
      <c r="AE64" s="808">
        <f>IF(OR(AE63&lt;=0,Z63&lt;=0),"nm",AE63/Z63-1)</f>
        <v>0.38587566147271635</v>
      </c>
      <c r="AF64" s="808">
        <f>IF(ISERROR(IF(OR(AF63&lt;=0,AA63&lt;=0),"nm",AF63/AA63-1)),"nm",IF(OR(AF63&lt;=0,AA63&lt;=0),"nm",AF63/AA63-1))</f>
        <v>0.32620543971471427</v>
      </c>
      <c r="AG64" s="809">
        <f>IF(OR(AG63&lt;=0,AB63&lt;=0),"nm",AG63/AB63-1)</f>
        <v>9.2032578081252758E-2</v>
      </c>
      <c r="AH64" s="808">
        <f>IF(OR(AH63&lt;=0,AC63&lt;=0),"nm",AH63/AC63-1)</f>
        <v>0.25178220454978439</v>
      </c>
      <c r="AI64" s="808">
        <f>IF(OR(AI63&lt;=0,AD63&lt;=0),"nm",AI63/AD63-1)</f>
        <v>0.84031325293459735</v>
      </c>
      <c r="AJ64" s="808">
        <f>IF(OR(AJ63&lt;=0,AE63&lt;=0),"nm",AJ63/AE63-1)</f>
        <v>9.2233312032071968E-2</v>
      </c>
      <c r="AK64" s="808">
        <f>IF(ISERROR(IF(OR(AK63&lt;=0,AF63&lt;=0),"nm",AK63/AF63-1)),"nm",IF(OR(AK63&lt;=0,AF63&lt;=0),"nm",AK63/AF63-1))</f>
        <v>0.21441021187310039</v>
      </c>
      <c r="AL64" s="809">
        <f>IF(OR(AL63&lt;=0,AG63&lt;=0),"nm",AL63/AG63-1)</f>
        <v>0.27219439894457298</v>
      </c>
      <c r="AM64" s="808">
        <f>IF(OR(AM63&lt;=0,AH63&lt;=0),"nm",AM63/AH63-1)</f>
        <v>0.38580622721706104</v>
      </c>
      <c r="AN64" s="808">
        <f>IF(OR(AN63&lt;=0,AI63&lt;=0),"nm",AN63/AI63-1)</f>
        <v>0.43262973287776596</v>
      </c>
      <c r="AO64" s="808">
        <f>IF(OR(AO63&lt;=0,AJ63&lt;=0),"nm",AO63/AJ63-1)</f>
        <v>0.43283931909532813</v>
      </c>
      <c r="AP64" s="808">
        <f>IF(ISERROR(IF(OR(AP63&lt;=0,AK63&lt;=0),"nm",AP63/AK63-1)),"nm",IF(OR(AP63&lt;=0,AK63&lt;=0),"nm",AP63/AK63-1))</f>
        <v>0.40057971014492755</v>
      </c>
      <c r="AQ64" s="809">
        <f>IF(OR(AQ63&lt;=0,AL63&lt;=0),"nm",AQ63/AL63-1)</f>
        <v>0.41568612842314745</v>
      </c>
      <c r="AR64" s="808">
        <f>IF(OR(AR63&lt;=0,AM63&lt;=0),"nm",AR63/AM63-1)</f>
        <v>0.53244478890192481</v>
      </c>
      <c r="AS64" s="808">
        <f>IF(OR(AS63&lt;=0,AN63&lt;=0),"nm",AS63/AN63-1)</f>
        <v>0.40327704136796227</v>
      </c>
      <c r="AT64" s="808">
        <f>IF(OR(AT63&lt;=0,AO63&lt;=0),"nm",AT63/AO63-1)</f>
        <v>-0.29782367099381946</v>
      </c>
      <c r="AU64" s="808"/>
      <c r="AV64" s="809"/>
      <c r="AW64" s="808"/>
      <c r="AX64" s="808"/>
      <c r="AY64" s="808"/>
      <c r="AZ64" s="808"/>
      <c r="BA64" s="808" t="str">
        <f t="shared" ref="BA64:CF64" si="164">IF(OR(BA63&lt;=0,AV63&lt;=0),"nm",BA63/AV63-1)</f>
        <v>nm</v>
      </c>
      <c r="BB64" s="808">
        <f t="shared" si="164"/>
        <v>-0.6673594170444378</v>
      </c>
      <c r="BC64" s="808" t="str">
        <f t="shared" si="164"/>
        <v>nm</v>
      </c>
      <c r="BD64" s="808">
        <f t="shared" si="164"/>
        <v>-0.93774237084228163</v>
      </c>
      <c r="BE64" s="809" t="str">
        <f t="shared" si="164"/>
        <v>nm</v>
      </c>
      <c r="BF64" s="808" t="str">
        <f t="shared" si="164"/>
        <v>nm</v>
      </c>
      <c r="BG64" s="808" t="str">
        <f t="shared" si="164"/>
        <v>nm</v>
      </c>
      <c r="BH64" s="808" t="str">
        <f t="shared" si="164"/>
        <v>nm</v>
      </c>
      <c r="BI64" s="808" t="str">
        <f t="shared" si="164"/>
        <v>nm</v>
      </c>
      <c r="BJ64" s="809" t="str">
        <f t="shared" si="164"/>
        <v>nm</v>
      </c>
      <c r="BK64" s="808">
        <f t="shared" si="164"/>
        <v>0.15933449154229695</v>
      </c>
      <c r="BL64" s="808" t="str">
        <f t="shared" si="164"/>
        <v>nm</v>
      </c>
      <c r="BM64" s="808" t="str">
        <f t="shared" si="164"/>
        <v>nm</v>
      </c>
      <c r="BN64" s="808" t="str">
        <f t="shared" si="164"/>
        <v>nm</v>
      </c>
      <c r="BO64" s="809" t="str">
        <f t="shared" si="164"/>
        <v>nm</v>
      </c>
      <c r="BP64" s="808">
        <f t="shared" si="164"/>
        <v>-0.23626159952132608</v>
      </c>
      <c r="BQ64" s="808" t="str">
        <f t="shared" si="164"/>
        <v>nm</v>
      </c>
      <c r="BR64" s="808" t="str">
        <f t="shared" si="164"/>
        <v>nm</v>
      </c>
      <c r="BS64" s="808" t="str">
        <f t="shared" si="164"/>
        <v>nm</v>
      </c>
      <c r="BT64" s="809">
        <f t="shared" si="164"/>
        <v>18.214252562871991</v>
      </c>
      <c r="BU64" s="808">
        <f t="shared" si="164"/>
        <v>3.0129513750311885</v>
      </c>
      <c r="BV64" s="808" t="str">
        <f t="shared" si="164"/>
        <v>nm</v>
      </c>
      <c r="BW64" s="808" t="str">
        <f t="shared" si="164"/>
        <v>nm</v>
      </c>
      <c r="BX64" s="808" t="str">
        <f t="shared" si="164"/>
        <v>nm</v>
      </c>
      <c r="BY64" s="809" t="str">
        <f t="shared" si="164"/>
        <v>nm</v>
      </c>
      <c r="BZ64" s="808">
        <f t="shared" si="164"/>
        <v>-0.61350619805220941</v>
      </c>
      <c r="CA64" s="808" t="str">
        <f t="shared" si="164"/>
        <v>nm</v>
      </c>
      <c r="CB64" s="808" t="str">
        <f t="shared" si="164"/>
        <v>nm</v>
      </c>
      <c r="CC64" s="808" t="str">
        <f t="shared" si="164"/>
        <v>nm</v>
      </c>
      <c r="CD64" s="809" t="str">
        <f t="shared" si="164"/>
        <v>nm</v>
      </c>
      <c r="CE64" s="808" t="str">
        <f t="shared" si="164"/>
        <v>nm</v>
      </c>
      <c r="CF64" s="808" t="str">
        <f t="shared" si="164"/>
        <v>nm</v>
      </c>
      <c r="CG64" s="808" t="str">
        <f t="shared" ref="CG64:DH64" si="165">IF(OR(CG63&lt;=0,CB63&lt;=0),"nm",CG63/CB63-1)</f>
        <v>nm</v>
      </c>
      <c r="CH64" s="808">
        <f t="shared" si="165"/>
        <v>13.29728093779778</v>
      </c>
      <c r="CI64" s="809" t="str">
        <f t="shared" si="165"/>
        <v>nm</v>
      </c>
      <c r="CJ64" s="808" t="str">
        <f t="shared" si="165"/>
        <v>nm</v>
      </c>
      <c r="CK64" s="808">
        <f t="shared" si="165"/>
        <v>0.65732460621633293</v>
      </c>
      <c r="CL64" s="808">
        <f t="shared" si="165"/>
        <v>-0.60854343127623478</v>
      </c>
      <c r="CM64" s="808">
        <f t="shared" si="165"/>
        <v>1.731883663361931</v>
      </c>
      <c r="CN64" s="809">
        <f t="shared" si="165"/>
        <v>1.7144967010386511</v>
      </c>
      <c r="CO64" s="808">
        <f t="shared" si="165"/>
        <v>0.75059562266846269</v>
      </c>
      <c r="CP64" s="808">
        <f t="shared" si="165"/>
        <v>0.51363010459800229</v>
      </c>
      <c r="CQ64" s="808">
        <f t="shared" si="165"/>
        <v>0.78901050235039749</v>
      </c>
      <c r="CR64" s="808">
        <f t="shared" si="165"/>
        <v>1.7682390346216272</v>
      </c>
      <c r="CS64" s="809">
        <f t="shared" si="165"/>
        <v>1.1016866139512436</v>
      </c>
      <c r="CT64" s="808">
        <f t="shared" si="165"/>
        <v>-0.21446884477773154</v>
      </c>
      <c r="CU64" s="808">
        <f t="shared" si="165"/>
        <v>0.73990942843758289</v>
      </c>
      <c r="CV64" s="808">
        <f t="shared" si="165"/>
        <v>2.1150120567651904</v>
      </c>
      <c r="CW64" s="808">
        <f t="shared" si="165"/>
        <v>-0.2912635043003986</v>
      </c>
      <c r="CX64" s="809">
        <f t="shared" si="165"/>
        <v>8.6937571857877982E-2</v>
      </c>
      <c r="CY64" s="808" t="str">
        <f t="shared" si="165"/>
        <v>nm</v>
      </c>
      <c r="CZ64" s="808" t="str">
        <f t="shared" si="165"/>
        <v>nm</v>
      </c>
      <c r="DA64" s="808">
        <f t="shared" si="165"/>
        <v>0.19588633495996177</v>
      </c>
      <c r="DB64" s="808">
        <f t="shared" si="165"/>
        <v>8.943895250267353E-2</v>
      </c>
      <c r="DC64" s="809">
        <f t="shared" si="165"/>
        <v>-0.95188734552533427</v>
      </c>
      <c r="DD64" s="808" t="str">
        <f t="shared" si="165"/>
        <v>nm</v>
      </c>
      <c r="DE64" s="808" t="str">
        <f t="shared" si="165"/>
        <v>nm</v>
      </c>
      <c r="DF64" s="808">
        <f t="shared" si="165"/>
        <v>-3.5230432858397887E-2</v>
      </c>
      <c r="DG64" s="808">
        <f t="shared" si="165"/>
        <v>0.8339610297340494</v>
      </c>
      <c r="DH64" s="809">
        <f t="shared" si="165"/>
        <v>18.534181047669769</v>
      </c>
      <c r="DI64" s="808" t="str">
        <f t="shared" ref="DI64:DR64" si="166">IF(OR(DI63&lt;=0,DD63&lt;=0),"nm",DI63/DD63-1)</f>
        <v>nm</v>
      </c>
      <c r="DJ64" s="808">
        <f t="shared" si="166"/>
        <v>1.1888630252183296</v>
      </c>
      <c r="DK64" s="808">
        <f t="shared" si="166"/>
        <v>-0.41816953365820586</v>
      </c>
      <c r="DL64" s="808">
        <f t="shared" si="166"/>
        <v>-0.73098703567522949</v>
      </c>
      <c r="DM64" s="809">
        <f t="shared" si="166"/>
        <v>-2.6378551171862052E-2</v>
      </c>
      <c r="DN64" s="808">
        <f t="shared" si="166"/>
        <v>-0.33469348271525678</v>
      </c>
      <c r="DO64" s="808">
        <f t="shared" si="166"/>
        <v>-0.46746625715260581</v>
      </c>
      <c r="DP64" s="808">
        <f t="shared" si="166"/>
        <v>-0.46107336911670516</v>
      </c>
      <c r="DQ64" s="808">
        <f t="shared" si="166"/>
        <v>-0.82783596793187786</v>
      </c>
      <c r="DR64" s="809">
        <f t="shared" si="166"/>
        <v>-0.48394734039930887</v>
      </c>
      <c r="DS64" s="808" t="str">
        <f t="shared" ref="DS64:EB64" si="167">IF(OR(DS63&lt;=0,DN63&lt;=0),"nm",DS63/DN63-1)</f>
        <v>nm</v>
      </c>
      <c r="DT64" s="808" t="str">
        <f t="shared" si="167"/>
        <v>nm</v>
      </c>
      <c r="DU64" s="808" t="str">
        <f t="shared" si="167"/>
        <v>nm</v>
      </c>
      <c r="DV64" s="808">
        <f t="shared" si="167"/>
        <v>22.616885773287649</v>
      </c>
      <c r="DW64" s="809">
        <f t="shared" si="167"/>
        <v>-0.2342320585333626</v>
      </c>
      <c r="DX64" s="808" t="str">
        <f t="shared" si="167"/>
        <v>nm</v>
      </c>
      <c r="DY64" s="808" t="str">
        <f t="shared" si="167"/>
        <v>nm</v>
      </c>
      <c r="DZ64" s="808" t="str">
        <f t="shared" si="167"/>
        <v>nm</v>
      </c>
      <c r="EA64" s="808">
        <f t="shared" si="167"/>
        <v>-0.75037646942122782</v>
      </c>
      <c r="EB64" s="809">
        <f t="shared" si="167"/>
        <v>0.40044007173235774</v>
      </c>
      <c r="EC64" s="808">
        <f t="shared" ref="EC64:EL64" si="168">IF(OR(EC63&lt;=0,DX63&lt;=0),"nm",EC63/DX63-1)</f>
        <v>53.007265672303141</v>
      </c>
      <c r="ED64" s="808">
        <f t="shared" si="168"/>
        <v>0.18361639940297314</v>
      </c>
      <c r="EE64" s="808">
        <f t="shared" si="168"/>
        <v>0.3552327805508515</v>
      </c>
      <c r="EF64" s="808">
        <f t="shared" si="168"/>
        <v>0.38578257581278597</v>
      </c>
      <c r="EG64" s="809">
        <f t="shared" si="168"/>
        <v>0.78846798797171003</v>
      </c>
      <c r="EH64" s="808">
        <f t="shared" si="168"/>
        <v>0.12548310845131216</v>
      </c>
      <c r="EI64" s="808">
        <f t="shared" si="168"/>
        <v>0.38560474061367378</v>
      </c>
      <c r="EJ64" s="808">
        <f t="shared" si="168"/>
        <v>0.20313346560289203</v>
      </c>
      <c r="EK64" s="808">
        <f t="shared" si="168"/>
        <v>-0.31458323751335793</v>
      </c>
      <c r="EL64" s="809">
        <f t="shared" si="168"/>
        <v>9.8754462579706104E-2</v>
      </c>
      <c r="EM64" s="41"/>
      <c r="EN64"/>
      <c r="EO64"/>
      <c r="EP64"/>
      <c r="EQ64"/>
      <c r="ER64"/>
      <c r="ES64" s="42"/>
      <c r="ET64"/>
      <c r="EU64" s="42"/>
      <c r="EV64" s="42"/>
      <c r="EW64" s="42"/>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c r="IW64" s="43"/>
      <c r="IX64" s="43"/>
      <c r="IY64" s="43"/>
      <c r="IZ64" s="43"/>
      <c r="JA64" s="43"/>
      <c r="JB64" s="43"/>
      <c r="JC64" s="43"/>
      <c r="JD64" s="43"/>
      <c r="JE64" s="43"/>
      <c r="JF64" s="43"/>
      <c r="JG64" s="43"/>
      <c r="JH64" s="43"/>
      <c r="JI64" s="43"/>
      <c r="JJ64" s="43"/>
      <c r="JK64" s="43"/>
    </row>
    <row r="65" spans="1:271" s="135" customFormat="1">
      <c r="A65" s="801"/>
      <c r="B65" s="557" t="s">
        <v>498</v>
      </c>
      <c r="C65" s="1484"/>
      <c r="D65" s="1484">
        <f t="shared" ref="D65:AT65" si="169">(D35-D45-D46)/D69</f>
        <v>0.94775736919914411</v>
      </c>
      <c r="E65" s="1484">
        <f t="shared" si="169"/>
        <v>0.67629508862649468</v>
      </c>
      <c r="F65" s="1484">
        <f t="shared" si="169"/>
        <v>0.71620805184818948</v>
      </c>
      <c r="G65" s="1484">
        <f t="shared" si="169"/>
        <v>0.25237333333333323</v>
      </c>
      <c r="H65" s="1485">
        <f t="shared" si="169"/>
        <v>2.4403199764382895</v>
      </c>
      <c r="I65" s="1484">
        <f t="shared" si="169"/>
        <v>1.461596791405861</v>
      </c>
      <c r="J65" s="1484">
        <f t="shared" si="169"/>
        <v>2.2548797392332731</v>
      </c>
      <c r="K65" s="1484">
        <f t="shared" si="169"/>
        <v>0.86481990309001999</v>
      </c>
      <c r="L65" s="1484">
        <f t="shared" si="169"/>
        <v>4.1447619047615729E-2</v>
      </c>
      <c r="M65" s="1485">
        <f t="shared" si="169"/>
        <v>4.6151858073806054</v>
      </c>
      <c r="N65" s="1484">
        <f t="shared" si="169"/>
        <v>0.8790116390702073</v>
      </c>
      <c r="O65" s="1484">
        <f t="shared" si="169"/>
        <v>0.92808686312984434</v>
      </c>
      <c r="P65" s="1484">
        <f t="shared" si="169"/>
        <v>-0.98973466943145894</v>
      </c>
      <c r="Q65" s="1484">
        <f t="shared" si="169"/>
        <v>-1.3521423948220126</v>
      </c>
      <c r="R65" s="1485">
        <f t="shared" si="169"/>
        <v>-1.0521020670517798</v>
      </c>
      <c r="S65" s="1484">
        <f t="shared" si="169"/>
        <v>0.99784946236559136</v>
      </c>
      <c r="T65" s="1484">
        <f t="shared" si="169"/>
        <v>1.1819685557821709</v>
      </c>
      <c r="U65" s="1484">
        <f t="shared" si="169"/>
        <v>1.2616575452236034</v>
      </c>
      <c r="V65" s="1484">
        <f t="shared" si="169"/>
        <v>-1.2533333333333334</v>
      </c>
      <c r="W65" s="1485">
        <f t="shared" si="169"/>
        <v>2.2299615844261536</v>
      </c>
      <c r="X65" s="1484">
        <f t="shared" si="169"/>
        <v>1.1647245734568195</v>
      </c>
      <c r="Y65" s="1484">
        <f t="shared" si="169"/>
        <v>1.0617909227494013</v>
      </c>
      <c r="Z65" s="1484">
        <f t="shared" si="169"/>
        <v>1.0566286940729734</v>
      </c>
      <c r="AA65" s="1484">
        <f t="shared" si="169"/>
        <v>-1.1733333333333333</v>
      </c>
      <c r="AB65" s="1485">
        <f t="shared" si="169"/>
        <v>2.1187927986572466</v>
      </c>
      <c r="AC65" s="1484">
        <f t="shared" si="169"/>
        <v>1.089741952511089</v>
      </c>
      <c r="AD65" s="1484">
        <f t="shared" si="169"/>
        <v>1.1474286442811839</v>
      </c>
      <c r="AE65" s="1484">
        <f t="shared" si="169"/>
        <v>0.32080809871602889</v>
      </c>
      <c r="AF65" s="1484">
        <f t="shared" si="169"/>
        <v>0.32</v>
      </c>
      <c r="AG65" s="1485">
        <f t="shared" si="169"/>
        <v>2.8790563469432255</v>
      </c>
      <c r="AH65" s="1484">
        <f t="shared" si="169"/>
        <v>1.2843648388445303</v>
      </c>
      <c r="AI65" s="1484">
        <f t="shared" si="169"/>
        <v>1.4326970111893638</v>
      </c>
      <c r="AJ65" s="1484">
        <f t="shared" si="169"/>
        <v>1.5994183933115231</v>
      </c>
      <c r="AK65" s="1484">
        <f t="shared" si="169"/>
        <v>0.94233995584988972</v>
      </c>
      <c r="AL65" s="1485">
        <f t="shared" si="169"/>
        <v>5.2411926770023314</v>
      </c>
      <c r="AM65" s="1484">
        <f t="shared" si="169"/>
        <v>1.2316139406779241</v>
      </c>
      <c r="AN65" s="1484">
        <f t="shared" si="169"/>
        <v>0.70804134086323367</v>
      </c>
      <c r="AO65" s="1484">
        <f t="shared" si="169"/>
        <v>2.2280509626871092</v>
      </c>
      <c r="AP65" s="1484">
        <f t="shared" si="169"/>
        <v>2.0814953271028038</v>
      </c>
      <c r="AQ65" s="1485">
        <f t="shared" si="169"/>
        <v>6.2437984565489293</v>
      </c>
      <c r="AR65" s="1484">
        <f t="shared" si="169"/>
        <v>2.7035728354919923</v>
      </c>
      <c r="AS65" s="1484">
        <f t="shared" si="169"/>
        <v>2.5557239087971668</v>
      </c>
      <c r="AT65" s="1484">
        <f t="shared" si="169"/>
        <v>-0.46581648101056772</v>
      </c>
      <c r="AU65" s="1484"/>
      <c r="AV65" s="1485">
        <f t="shared" ref="AV65:CN65" si="170">(AV35-AV45-AV46)/AV69</f>
        <v>2.0794575882275614</v>
      </c>
      <c r="AW65" s="1484">
        <f t="shared" si="170"/>
        <v>1.7978529181300738</v>
      </c>
      <c r="AX65" s="1484">
        <f t="shared" si="170"/>
        <v>2.4909293328954853</v>
      </c>
      <c r="AY65" s="1484">
        <f t="shared" si="170"/>
        <v>-2.4599590416819559E-2</v>
      </c>
      <c r="AZ65" s="1484">
        <f t="shared" si="170"/>
        <v>6.3853370172845851</v>
      </c>
      <c r="BA65" s="1484">
        <f t="shared" si="170"/>
        <v>0.12703117556767057</v>
      </c>
      <c r="BB65" s="1484">
        <f t="shared" si="170"/>
        <v>-1.1094149771021908</v>
      </c>
      <c r="BC65" s="1484">
        <f t="shared" si="170"/>
        <v>-2.0274831815956293</v>
      </c>
      <c r="BD65" s="1484">
        <f t="shared" si="170"/>
        <v>-9.3682259567881978</v>
      </c>
      <c r="BE65" s="1485">
        <f t="shared" si="170"/>
        <v>-12.336696521128847</v>
      </c>
      <c r="BF65" s="1484">
        <f t="shared" si="170"/>
        <v>-0.16333688662700732</v>
      </c>
      <c r="BG65" s="1484">
        <f t="shared" si="170"/>
        <v>-1.8286322603354208</v>
      </c>
      <c r="BH65" s="1484">
        <f t="shared" si="170"/>
        <v>-0.44573402536398038</v>
      </c>
      <c r="BI65" s="1484">
        <f t="shared" si="170"/>
        <v>-13.720452209660841</v>
      </c>
      <c r="BJ65" s="1485">
        <f t="shared" si="170"/>
        <v>-16.180993766971383</v>
      </c>
      <c r="BK65" s="1484">
        <f t="shared" si="170"/>
        <v>0.1705949712867339</v>
      </c>
      <c r="BL65" s="1484">
        <f t="shared" si="170"/>
        <v>-0.10239825240315899</v>
      </c>
      <c r="BM65" s="1484">
        <f t="shared" si="170"/>
        <v>-3.2226506301432929</v>
      </c>
      <c r="BN65" s="1484">
        <f t="shared" si="170"/>
        <v>-2.1379579094860168</v>
      </c>
      <c r="BO65" s="1485">
        <f t="shared" si="170"/>
        <v>-5.2975273940174619</v>
      </c>
      <c r="BP65" s="1484">
        <f t="shared" si="170"/>
        <v>0.12745754070675205</v>
      </c>
      <c r="BQ65" s="1484">
        <f t="shared" si="170"/>
        <v>-3.7993404277020364</v>
      </c>
      <c r="BR65" s="1484">
        <f t="shared" si="170"/>
        <v>-0.25465433856718739</v>
      </c>
      <c r="BS65" s="1484">
        <f t="shared" si="170"/>
        <v>-3.3341534389289986</v>
      </c>
      <c r="BT65" s="1485">
        <f t="shared" si="170"/>
        <v>-7.263505979649441</v>
      </c>
      <c r="BU65" s="1484">
        <f t="shared" si="170"/>
        <v>0.78427073363045663</v>
      </c>
      <c r="BV65" s="1484">
        <f t="shared" si="170"/>
        <v>-0.24513325951159312</v>
      </c>
      <c r="BW65" s="1484">
        <f t="shared" si="170"/>
        <v>-0.29536862003780717</v>
      </c>
      <c r="BX65" s="1484">
        <f t="shared" si="170"/>
        <v>-0.72530076789110365</v>
      </c>
      <c r="BY65" s="1485">
        <f t="shared" si="170"/>
        <v>-0.48161721992796869</v>
      </c>
      <c r="BZ65" s="1484">
        <f t="shared" si="170"/>
        <v>-8.4198827110338353E-2</v>
      </c>
      <c r="CA65" s="1484">
        <f t="shared" si="170"/>
        <v>-0.1595606204388757</v>
      </c>
      <c r="CB65" s="1484">
        <f t="shared" si="170"/>
        <v>0.94844100010607568</v>
      </c>
      <c r="CC65" s="1484">
        <f t="shared" si="170"/>
        <v>-8.383529717516966E-2</v>
      </c>
      <c r="CD65" s="1485">
        <f t="shared" si="170"/>
        <v>0.62682039088519581</v>
      </c>
      <c r="CE65" s="1484">
        <f t="shared" si="170"/>
        <v>1.5766028795942542</v>
      </c>
      <c r="CF65" s="1484">
        <f t="shared" si="170"/>
        <v>1.6385249997951844E-2</v>
      </c>
      <c r="CG65" s="1484">
        <f t="shared" si="170"/>
        <v>1.6061547851366435E-2</v>
      </c>
      <c r="CH65" s="1484">
        <f t="shared" si="170"/>
        <v>0.1278524582631643</v>
      </c>
      <c r="CI65" s="1485">
        <f t="shared" si="170"/>
        <v>1.6480147927069433</v>
      </c>
      <c r="CJ65" s="1484">
        <f t="shared" si="170"/>
        <v>0.59367556703169377</v>
      </c>
      <c r="CK65" s="1484">
        <f t="shared" si="170"/>
        <v>0.27857980017868905</v>
      </c>
      <c r="CL65" s="1484">
        <f t="shared" si="170"/>
        <v>6.6589264981691523</v>
      </c>
      <c r="CM65" s="1484">
        <f t="shared" si="170"/>
        <v>0.37015879456364859</v>
      </c>
      <c r="CN65" s="1485">
        <f t="shared" si="170"/>
        <v>7.8625691408430862</v>
      </c>
      <c r="CO65" s="1484">
        <f t="shared" ref="CO65:DQ65" si="171">CO49/CO69</f>
        <v>0.56619030009855242</v>
      </c>
      <c r="CP65" s="1484">
        <f t="shared" si="171"/>
        <v>0.31761912702382938</v>
      </c>
      <c r="CQ65" s="1484">
        <f t="shared" si="171"/>
        <v>6.6166010520395668E-2</v>
      </c>
      <c r="CR65" s="1484">
        <f t="shared" si="171"/>
        <v>-0.55497232075550229</v>
      </c>
      <c r="CS65" s="1485">
        <f t="shared" si="171"/>
        <v>0.560615522866724</v>
      </c>
      <c r="CT65" s="1484">
        <f t="shared" si="171"/>
        <v>0.47022622418653959</v>
      </c>
      <c r="CU65" s="1484">
        <f t="shared" si="171"/>
        <v>0.39279134362696044</v>
      </c>
      <c r="CV65" s="1484">
        <f t="shared" si="171"/>
        <v>0.27956127517216312</v>
      </c>
      <c r="CW65" s="1484">
        <f t="shared" si="171"/>
        <v>0.52312775330396477</v>
      </c>
      <c r="CX65" s="1485">
        <f t="shared" si="171"/>
        <v>1.7075812937223436</v>
      </c>
      <c r="CY65" s="1484">
        <f t="shared" si="171"/>
        <v>0.32659961768632989</v>
      </c>
      <c r="CZ65" s="1484">
        <f t="shared" si="171"/>
        <v>0.66498398213765653</v>
      </c>
      <c r="DA65" s="1484">
        <f t="shared" si="171"/>
        <v>0.44617742342237482</v>
      </c>
      <c r="DB65" s="1484">
        <f t="shared" si="171"/>
        <v>0.43616740713691599</v>
      </c>
      <c r="DC65" s="1485">
        <f t="shared" si="171"/>
        <v>1.8839524634031166</v>
      </c>
      <c r="DD65" s="1484">
        <f>DD49/DD68</f>
        <v>-0.12350634513848149</v>
      </c>
      <c r="DE65" s="1484">
        <f t="shared" si="171"/>
        <v>0.17034068136272543</v>
      </c>
      <c r="DF65" s="1484">
        <f t="shared" si="171"/>
        <v>8.9174246477617264E-2</v>
      </c>
      <c r="DG65" s="1484">
        <f t="shared" ca="1" si="171"/>
        <v>0.60229662615152202</v>
      </c>
      <c r="DH65" s="1485">
        <f t="shared" ca="1" si="171"/>
        <v>0.74784993144708967</v>
      </c>
      <c r="DI65" s="1484">
        <f t="shared" si="171"/>
        <v>0.45602347529542392</v>
      </c>
      <c r="DJ65" s="1484">
        <f t="shared" ref="DJ65:DO65" si="172">DJ49/DJ69</f>
        <v>-0.6045705533835799</v>
      </c>
      <c r="DK65" s="1484">
        <f t="shared" si="172"/>
        <v>-0.28130243025206703</v>
      </c>
      <c r="DL65" s="1484">
        <f t="shared" si="172"/>
        <v>-1.0081864741702624</v>
      </c>
      <c r="DM65" s="1485">
        <f t="shared" si="172"/>
        <v>-1.4319279599060171</v>
      </c>
      <c r="DN65" s="1484">
        <f t="shared" si="172"/>
        <v>-0.55686052162643773</v>
      </c>
      <c r="DO65" s="1484">
        <f t="shared" si="172"/>
        <v>-0.44291883512346364</v>
      </c>
      <c r="DP65" s="1484">
        <f t="shared" si="171"/>
        <v>-9.0431357575635793E-2</v>
      </c>
      <c r="DQ65" s="1484">
        <f t="shared" si="171"/>
        <v>-0.79276675597836455</v>
      </c>
      <c r="DR65" s="1485">
        <f>DR49/DR69</f>
        <v>-1.8827841040666122</v>
      </c>
      <c r="DS65" s="1484">
        <f t="shared" ref="DS65:EB65" si="173">DS49/DS69</f>
        <v>-0.52</v>
      </c>
      <c r="DT65" s="1484">
        <f t="shared" si="173"/>
        <v>-0.55659364688108781</v>
      </c>
      <c r="DU65" s="1484">
        <f>DU49/DU69</f>
        <v>-3.6305201761695036</v>
      </c>
      <c r="DV65" s="1484">
        <f t="shared" ref="DV65" si="174">DV49/DV69</f>
        <v>-2.2581563626010035</v>
      </c>
      <c r="DW65" s="1485">
        <f t="shared" si="173"/>
        <v>-6.982793464541742</v>
      </c>
      <c r="DX65" s="1484">
        <f t="shared" si="173"/>
        <v>0.25367108361134866</v>
      </c>
      <c r="DY65" s="1484">
        <f t="shared" si="173"/>
        <v>0.62515001576627405</v>
      </c>
      <c r="DZ65" s="1484">
        <f t="shared" si="173"/>
        <v>0.63951307076910413</v>
      </c>
      <c r="EA65" s="1484">
        <f t="shared" si="173"/>
        <v>0.16072668935932799</v>
      </c>
      <c r="EB65" s="1485">
        <f t="shared" si="173"/>
        <v>1.6790608595060652</v>
      </c>
      <c r="EC65" s="1484">
        <f t="shared" ref="EC65:EL65" si="175">EC49/EC69</f>
        <v>0.58222037083373324</v>
      </c>
      <c r="ED65" s="1484">
        <f t="shared" si="175"/>
        <v>0.47182183907150099</v>
      </c>
      <c r="EE65" s="1484">
        <f t="shared" si="175"/>
        <v>0.55682614527782115</v>
      </c>
      <c r="EF65" s="1484">
        <f t="shared" si="175"/>
        <v>0.51538300669635451</v>
      </c>
      <c r="EG65" s="1485">
        <f t="shared" si="175"/>
        <v>2.1262513618794183</v>
      </c>
      <c r="EH65" s="1484">
        <f t="shared" si="175"/>
        <v>0.63298617040215277</v>
      </c>
      <c r="EI65" s="1484">
        <f t="shared" si="175"/>
        <v>0.62631319171815525</v>
      </c>
      <c r="EJ65" s="1484">
        <f t="shared" si="175"/>
        <v>0.64610508700668201</v>
      </c>
      <c r="EK65" s="1484">
        <f t="shared" si="175"/>
        <v>0.33288754876701837</v>
      </c>
      <c r="EL65" s="1485">
        <f t="shared" si="175"/>
        <v>2.2382919978940294</v>
      </c>
      <c r="EN65"/>
      <c r="EO65"/>
      <c r="EP65"/>
      <c r="EQ65"/>
      <c r="ER65"/>
      <c r="ES65" s="154"/>
      <c r="ET65"/>
      <c r="EU65" s="154"/>
      <c r="EV65" s="154"/>
      <c r="EW65" s="154"/>
    </row>
    <row r="66" spans="1:271" s="40" customFormat="1">
      <c r="A66" s="805"/>
      <c r="B66" s="1547" t="s">
        <v>497</v>
      </c>
      <c r="C66" s="807"/>
      <c r="D66" s="807"/>
      <c r="E66" s="807"/>
      <c r="F66" s="807"/>
      <c r="G66" s="807"/>
      <c r="H66" s="809"/>
      <c r="I66" s="807">
        <f>IF(OR(I65&lt;=0,D65&lt;=0),"nm",I65/D65-1)</f>
        <v>0.54216346810461813</v>
      </c>
      <c r="J66" s="807">
        <f>IF(OR(J65&lt;=0,E65&lt;=0),"nm",J65/E65-1)</f>
        <v>2.3341654806524872</v>
      </c>
      <c r="K66" s="807">
        <f>IF(OR(K65&lt;=0,F65&lt;=0),"nm",K65/F65-1)</f>
        <v>0.20749815763497015</v>
      </c>
      <c r="L66" s="807">
        <f>IF(ISERROR(IF(OR(L65&lt;=0,G65&lt;=0),"nm",L65/G65-1)),"nm",IF(OR(L65&lt;=0,G65&lt;=0),"nm",L65/G65-1))</f>
        <v>-0.83576862697743126</v>
      </c>
      <c r="M66" s="809">
        <f>IF(ISERROR(IF(OR(M65&lt;=0,H65&lt;=0),"nm",M65/H65-1)),"nm",IF(OR(M65&lt;=0,H65&lt;=0),"nm",M65/H65-1))</f>
        <v>0.89122158239125238</v>
      </c>
      <c r="N66" s="807">
        <f>IF(OR(N65&lt;=0,I65&lt;=0),"nm",N65/I65-1)</f>
        <v>-0.39859498581362141</v>
      </c>
      <c r="O66" s="807">
        <f>IF(OR(O65&lt;=0,J65&lt;=0),"nm",O65/J65-1)</f>
        <v>-0.58840959587254005</v>
      </c>
      <c r="P66" s="807" t="str">
        <f>IF(OR(P65&lt;=0,K65&lt;=0),"nm",P65/K65-1)</f>
        <v>nm</v>
      </c>
      <c r="Q66" s="807" t="str">
        <f>IF(ISERROR(IF(OR(Q65&lt;=0,L65&lt;=0),"nm",Q65/L65-1)),"nm",IF(OR(Q65&lt;=0,L65&lt;=0),"nm",Q65/L65-1))</f>
        <v>nm</v>
      </c>
      <c r="R66" s="809" t="str">
        <f>IF(OR(R65&lt;=0,M65&lt;=0),"nm",R65/M65-1)</f>
        <v>nm</v>
      </c>
      <c r="S66" s="807">
        <f>IF(OR(S65&lt;=0,N65&lt;=0),"nm",S65/N65-1)</f>
        <v>0.13519482338264277</v>
      </c>
      <c r="T66" s="807">
        <f>IF(OR(T65&lt;=0,O65&lt;=0),"nm",T65/O65-1)</f>
        <v>0.27355380486277503</v>
      </c>
      <c r="U66" s="807" t="str">
        <f>IF(OR(U65&lt;=0,P65&lt;=0),"nm",U65/P65-1)</f>
        <v>nm</v>
      </c>
      <c r="V66" s="807" t="str">
        <f>IF(ISERROR(IF(OR(V65&lt;=0,Q65&lt;=0),"nm",V65/Q65-1)),"nm",IF(OR(V65&lt;=0,Q65&lt;=0),"nm",V65/Q65-1))</f>
        <v>nm</v>
      </c>
      <c r="W66" s="809" t="str">
        <f>IF(OR(W65&lt;=0,R65&lt;=0),"nm",W65/R65-1)</f>
        <v>nm</v>
      </c>
      <c r="X66" s="807">
        <f>IF(OR(X65&lt;=0,S65&lt;=0),"nm",X65/S65-1)</f>
        <v>0.16723475572720048</v>
      </c>
      <c r="Y66" s="807">
        <f>IF(OR(Y65&lt;=0,T65&lt;=0),"nm",Y65/T65-1)</f>
        <v>-0.10167582922985763</v>
      </c>
      <c r="Z66" s="807">
        <f>IF(OR(Z65&lt;=0,U65&lt;=0),"nm",Z65/U65-1)</f>
        <v>-0.1625075298180797</v>
      </c>
      <c r="AA66" s="807" t="str">
        <f>IF(ISERROR(IF(OR(AA65&lt;=0,V65&lt;=0),"nm",AA65/V65-1)),"nm",IF(OR(AA65&lt;=0,V65&lt;=0),"nm",AA65/V65-1))</f>
        <v>nm</v>
      </c>
      <c r="AB66" s="809">
        <f>IF(OR(AB65&lt;=0,W65&lt;=0),"nm",AB65/W65-1)</f>
        <v>-4.9852332230877705E-2</v>
      </c>
      <c r="AC66" s="807">
        <f>IF(OR(AC65&lt;=0,X65&lt;=0),"nm",AC65/X65-1)</f>
        <v>-6.4377984851120118E-2</v>
      </c>
      <c r="AD66" s="807">
        <f>IF(OR(AD65&lt;=0,Y65&lt;=0),"nm",AD65/Y65-1)</f>
        <v>8.0654034327240387E-2</v>
      </c>
      <c r="AE66" s="807">
        <f>IF(OR(AE65&lt;=0,Z65&lt;=0),"nm",AE65/Z65-1)</f>
        <v>-0.69638521032453327</v>
      </c>
      <c r="AF66" s="807" t="str">
        <f>IF(ISERROR(IF(OR(AF65&lt;=0,AA65&lt;=0),"nm",AF65/AA65-1)),"nm",IF(OR(AF65&lt;=0,AA65&lt;=0),"nm",AF65/AA65-1))</f>
        <v>nm</v>
      </c>
      <c r="AG66" s="809">
        <f>IF(OR(AG65&lt;=0,AB65&lt;=0),"nm",AG65/AB65-1)</f>
        <v>0.35881920533606904</v>
      </c>
      <c r="AH66" s="807">
        <f>IF(OR(AH65&lt;=0,AC65&lt;=0),"nm",AH65/AC65-1)</f>
        <v>0.17859538754562254</v>
      </c>
      <c r="AI66" s="807">
        <f>IF(OR(AI65&lt;=0,AD65&lt;=0),"nm",AI65/AD65-1)</f>
        <v>0.24861534382113026</v>
      </c>
      <c r="AJ66" s="807">
        <f>IF(OR(AJ65&lt;=0,AE65&lt;=0),"nm",AJ65/AE65-1)</f>
        <v>3.985592320495897</v>
      </c>
      <c r="AK66" s="807">
        <f>IF(ISERROR(IF(OR(AK65&lt;=0,AF65&lt;=0),"nm",AK65/AF65-1)),"nm",IF(OR(AK65&lt;=0,AF65&lt;=0),"nm",AK65/AF65-1))</f>
        <v>1.9448123620309055</v>
      </c>
      <c r="AL66" s="809">
        <f>IF(OR(AL65&lt;=0,AG65&lt;=0),"nm",AL65/AG65-1)</f>
        <v>0.82045505381200745</v>
      </c>
      <c r="AM66" s="807">
        <f>IF(OR(AM65&lt;=0,AH65&lt;=0),"nm",AM65/AH65-1)</f>
        <v>-4.1071583845337267E-2</v>
      </c>
      <c r="AN66" s="807">
        <f>IF(OR(AN65&lt;=0,AI65&lt;=0),"nm",AN65/AI65-1)</f>
        <v>-0.50579827044139081</v>
      </c>
      <c r="AO66" s="807">
        <f>IF(OR(AO65&lt;=0,AJ65&lt;=0),"nm",AO65/AJ65-1)</f>
        <v>0.39303822689823575</v>
      </c>
      <c r="AP66" s="807">
        <f>IF(ISERROR(IF(OR(AP65&lt;=0,AK65&lt;=0),"nm",AP65/AK65-1)),"nm",IF(OR(AP65&lt;=0,AK65&lt;=0),"nm",AP65/AK65-1))</f>
        <v>1.2088581877285653</v>
      </c>
      <c r="AQ66" s="809">
        <f>IF(OR(AQ65&lt;=0,AL65&lt;=0),"nm",AQ65/AL65-1)</f>
        <v>0.19129344050752062</v>
      </c>
      <c r="AR66" s="807">
        <f>IF(OR(AR65&lt;=0,AM65&lt;=0),"nm",AR65/AM65-1)</f>
        <v>1.1951463410716592</v>
      </c>
      <c r="AS66" s="807">
        <f>IF(OR(AS65&lt;=0,AN65&lt;=0),"nm",AS65/AN65-1)</f>
        <v>2.6095687656899602</v>
      </c>
      <c r="AT66" s="807" t="str">
        <f>IF(OR(AT65&lt;=0,AO65&lt;=0),"nm",AT65/AO65-1)</f>
        <v>nm</v>
      </c>
      <c r="AU66" s="807"/>
      <c r="AV66" s="809"/>
      <c r="AW66" s="807"/>
      <c r="AX66" s="807"/>
      <c r="AY66" s="807"/>
      <c r="AZ66" s="807"/>
      <c r="BA66" s="807">
        <f t="shared" ref="BA66:CF66" si="176">IF(OR(BA65&lt;=0,AV65&lt;=0),"nm",BA65/AV65-1)</f>
        <v>-0.93891138906278615</v>
      </c>
      <c r="BB66" s="807" t="str">
        <f t="shared" si="176"/>
        <v>nm</v>
      </c>
      <c r="BC66" s="807" t="str">
        <f t="shared" si="176"/>
        <v>nm</v>
      </c>
      <c r="BD66" s="807" t="str">
        <f t="shared" si="176"/>
        <v>nm</v>
      </c>
      <c r="BE66" s="809" t="str">
        <f t="shared" si="176"/>
        <v>nm</v>
      </c>
      <c r="BF66" s="807" t="str">
        <f t="shared" si="176"/>
        <v>nm</v>
      </c>
      <c r="BG66" s="807" t="str">
        <f t="shared" si="176"/>
        <v>nm</v>
      </c>
      <c r="BH66" s="807" t="str">
        <f t="shared" si="176"/>
        <v>nm</v>
      </c>
      <c r="BI66" s="807" t="str">
        <f t="shared" si="176"/>
        <v>nm</v>
      </c>
      <c r="BJ66" s="809" t="str">
        <f t="shared" si="176"/>
        <v>nm</v>
      </c>
      <c r="BK66" s="807" t="str">
        <f t="shared" si="176"/>
        <v>nm</v>
      </c>
      <c r="BL66" s="807" t="str">
        <f t="shared" si="176"/>
        <v>nm</v>
      </c>
      <c r="BM66" s="807" t="str">
        <f t="shared" si="176"/>
        <v>nm</v>
      </c>
      <c r="BN66" s="807" t="str">
        <f t="shared" si="176"/>
        <v>nm</v>
      </c>
      <c r="BO66" s="809" t="str">
        <f t="shared" si="176"/>
        <v>nm</v>
      </c>
      <c r="BP66" s="807">
        <f t="shared" si="176"/>
        <v>-0.25286460822738432</v>
      </c>
      <c r="BQ66" s="807" t="str">
        <f t="shared" si="176"/>
        <v>nm</v>
      </c>
      <c r="BR66" s="807" t="str">
        <f t="shared" si="176"/>
        <v>nm</v>
      </c>
      <c r="BS66" s="807" t="str">
        <f t="shared" si="176"/>
        <v>nm</v>
      </c>
      <c r="BT66" s="809" t="str">
        <f t="shared" si="176"/>
        <v>nm</v>
      </c>
      <c r="BU66" s="807">
        <f t="shared" si="176"/>
        <v>5.1531921083811554</v>
      </c>
      <c r="BV66" s="807" t="str">
        <f t="shared" si="176"/>
        <v>nm</v>
      </c>
      <c r="BW66" s="807" t="str">
        <f t="shared" si="176"/>
        <v>nm</v>
      </c>
      <c r="BX66" s="807" t="str">
        <f t="shared" si="176"/>
        <v>nm</v>
      </c>
      <c r="BY66" s="809" t="str">
        <f t="shared" si="176"/>
        <v>nm</v>
      </c>
      <c r="BZ66" s="807" t="str">
        <f t="shared" si="176"/>
        <v>nm</v>
      </c>
      <c r="CA66" s="807" t="str">
        <f t="shared" si="176"/>
        <v>nm</v>
      </c>
      <c r="CB66" s="807" t="str">
        <f t="shared" si="176"/>
        <v>nm</v>
      </c>
      <c r="CC66" s="807" t="str">
        <f t="shared" si="176"/>
        <v>nm</v>
      </c>
      <c r="CD66" s="809" t="str">
        <f t="shared" si="176"/>
        <v>nm</v>
      </c>
      <c r="CE66" s="807" t="str">
        <f t="shared" si="176"/>
        <v>nm</v>
      </c>
      <c r="CF66" s="807" t="str">
        <f t="shared" si="176"/>
        <v>nm</v>
      </c>
      <c r="CG66" s="807">
        <f t="shared" ref="CG66:DH66" si="177">IF(OR(CG65&lt;=0,CB65&lt;=0),"nm",CG65/CB65-1)</f>
        <v>-0.98306531682037146</v>
      </c>
      <c r="CH66" s="807" t="str">
        <f t="shared" si="177"/>
        <v>nm</v>
      </c>
      <c r="CI66" s="809">
        <f t="shared" si="177"/>
        <v>1.6291658929276642</v>
      </c>
      <c r="CJ66" s="807">
        <f t="shared" si="177"/>
        <v>-0.62344635119245828</v>
      </c>
      <c r="CK66" s="807">
        <f t="shared" si="177"/>
        <v>16.001864494805481</v>
      </c>
      <c r="CL66" s="807">
        <f t="shared" si="177"/>
        <v>413.58809323926056</v>
      </c>
      <c r="CM66" s="807">
        <f t="shared" si="177"/>
        <v>1.8952027954107429</v>
      </c>
      <c r="CN66" s="809">
        <f t="shared" si="177"/>
        <v>3.7709335957649017</v>
      </c>
      <c r="CO66" s="807">
        <f t="shared" si="177"/>
        <v>-4.6296779688213108E-2</v>
      </c>
      <c r="CP66" s="807">
        <f t="shared" si="177"/>
        <v>0.14013696190498881</v>
      </c>
      <c r="CQ66" s="807">
        <f t="shared" si="177"/>
        <v>-0.99006356196624368</v>
      </c>
      <c r="CR66" s="807" t="str">
        <f t="shared" si="177"/>
        <v>nm</v>
      </c>
      <c r="CS66" s="809">
        <f t="shared" si="177"/>
        <v>-0.92869817577125813</v>
      </c>
      <c r="CT66" s="807">
        <f t="shared" si="177"/>
        <v>-0.16949085121258545</v>
      </c>
      <c r="CU66" s="807">
        <f t="shared" si="177"/>
        <v>0.23667408605871287</v>
      </c>
      <c r="CV66" s="807">
        <f t="shared" si="177"/>
        <v>3.2251493323144871</v>
      </c>
      <c r="CW66" s="807" t="str">
        <f t="shared" si="177"/>
        <v>nm</v>
      </c>
      <c r="CX66" s="809">
        <f t="shared" si="177"/>
        <v>2.0459044105496336</v>
      </c>
      <c r="CY66" s="807">
        <f t="shared" si="177"/>
        <v>-0.30544150690164984</v>
      </c>
      <c r="CZ66" s="807">
        <f t="shared" si="177"/>
        <v>0.69297005376269527</v>
      </c>
      <c r="DA66" s="807">
        <f t="shared" si="177"/>
        <v>0.5959915161626157</v>
      </c>
      <c r="DB66" s="807">
        <f t="shared" si="177"/>
        <v>-0.16623156698880059</v>
      </c>
      <c r="DC66" s="809">
        <f t="shared" si="177"/>
        <v>0.10328712918627891</v>
      </c>
      <c r="DD66" s="807" t="str">
        <f t="shared" si="177"/>
        <v>nm</v>
      </c>
      <c r="DE66" s="807">
        <f t="shared" si="177"/>
        <v>-0.74384242938431611</v>
      </c>
      <c r="DF66" s="807">
        <f t="shared" si="177"/>
        <v>-0.80013725079675246</v>
      </c>
      <c r="DG66" s="807">
        <f t="shared" ca="1" si="177"/>
        <v>0.38088407408776637</v>
      </c>
      <c r="DH66" s="809">
        <f t="shared" ca="1" si="177"/>
        <v>-0.60304203743219964</v>
      </c>
      <c r="DI66" s="807" t="str">
        <f t="shared" ref="DI66:DR66" si="178">IF(OR(DI65&lt;=0,DD65&lt;=0),"nm",DI65/DD65-1)</f>
        <v>nm</v>
      </c>
      <c r="DJ66" s="807" t="str">
        <f t="shared" si="178"/>
        <v>nm</v>
      </c>
      <c r="DK66" s="807" t="str">
        <f t="shared" si="178"/>
        <v>nm</v>
      </c>
      <c r="DL66" s="807" t="str">
        <f t="shared" ca="1" si="178"/>
        <v>nm</v>
      </c>
      <c r="DM66" s="809" t="str">
        <f t="shared" ca="1" si="178"/>
        <v>nm</v>
      </c>
      <c r="DN66" s="807" t="str">
        <f t="shared" si="178"/>
        <v>nm</v>
      </c>
      <c r="DO66" s="807" t="str">
        <f t="shared" si="178"/>
        <v>nm</v>
      </c>
      <c r="DP66" s="807" t="str">
        <f t="shared" si="178"/>
        <v>nm</v>
      </c>
      <c r="DQ66" s="807" t="str">
        <f t="shared" si="178"/>
        <v>nm</v>
      </c>
      <c r="DR66" s="809" t="str">
        <f t="shared" si="178"/>
        <v>nm</v>
      </c>
      <c r="DS66" s="807" t="str">
        <f t="shared" ref="DS66:EB66" si="179">IF(OR(DS65&lt;=0,DN65&lt;=0),"nm",DS65/DN65-1)</f>
        <v>nm</v>
      </c>
      <c r="DT66" s="807" t="str">
        <f t="shared" si="179"/>
        <v>nm</v>
      </c>
      <c r="DU66" s="807" t="str">
        <f t="shared" si="179"/>
        <v>nm</v>
      </c>
      <c r="DV66" s="807" t="str">
        <f t="shared" si="179"/>
        <v>nm</v>
      </c>
      <c r="DW66" s="809" t="str">
        <f t="shared" si="179"/>
        <v>nm</v>
      </c>
      <c r="DX66" s="807" t="str">
        <f t="shared" si="179"/>
        <v>nm</v>
      </c>
      <c r="DY66" s="807" t="str">
        <f t="shared" si="179"/>
        <v>nm</v>
      </c>
      <c r="DZ66" s="807" t="str">
        <f t="shared" si="179"/>
        <v>nm</v>
      </c>
      <c r="EA66" s="807" t="str">
        <f t="shared" si="179"/>
        <v>nm</v>
      </c>
      <c r="EB66" s="809" t="str">
        <f t="shared" si="179"/>
        <v>nm</v>
      </c>
      <c r="EC66" s="807">
        <f t="shared" ref="EC66:EL66" si="180">IF(OR(EC65&lt;=0,DX65&lt;=0),"nm",EC65/DX65-1)</f>
        <v>1.2951783173117097</v>
      </c>
      <c r="ED66" s="807">
        <f t="shared" si="180"/>
        <v>-0.24526621263350989</v>
      </c>
      <c r="EE66" s="807">
        <f t="shared" si="180"/>
        <v>-0.12929669348562389</v>
      </c>
      <c r="EF66" s="807">
        <f t="shared" si="180"/>
        <v>2.2065801190251642</v>
      </c>
      <c r="EG66" s="809">
        <f t="shared" si="180"/>
        <v>0.26633370663223288</v>
      </c>
      <c r="EH66" s="807">
        <f t="shared" si="180"/>
        <v>8.7193444461112657E-2</v>
      </c>
      <c r="EI66" s="807">
        <f t="shared" si="180"/>
        <v>0.32743578158797826</v>
      </c>
      <c r="EJ66" s="807">
        <f t="shared" si="180"/>
        <v>0.16033539819563658</v>
      </c>
      <c r="EK66" s="807">
        <f t="shared" si="180"/>
        <v>-0.35409676989380445</v>
      </c>
      <c r="EL66" s="809">
        <f t="shared" si="180"/>
        <v>5.2693974956741219E-2</v>
      </c>
      <c r="EM66" s="41"/>
      <c r="EN66"/>
      <c r="EO66"/>
      <c r="EP66"/>
      <c r="EQ66"/>
      <c r="ER66"/>
      <c r="ES66" s="42"/>
      <c r="ET66"/>
      <c r="EU66" s="42"/>
      <c r="EV66" s="42"/>
      <c r="EW66" s="42"/>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c r="IW66" s="43"/>
      <c r="IX66" s="43"/>
      <c r="IY66" s="43"/>
      <c r="IZ66" s="43"/>
      <c r="JA66" s="43"/>
      <c r="JB66" s="43"/>
      <c r="JC66" s="43"/>
      <c r="JD66" s="43"/>
      <c r="JE66" s="43"/>
      <c r="JF66" s="43"/>
      <c r="JG66" s="43"/>
      <c r="JH66" s="43"/>
      <c r="JI66" s="43"/>
      <c r="JJ66" s="43"/>
      <c r="JK66" s="43"/>
    </row>
    <row r="67" spans="1:271" s="11" customFormat="1" ht="12" hidden="1" customHeight="1" outlineLevel="1" thickBot="1">
      <c r="A67" s="810"/>
      <c r="B67" s="811" t="s">
        <v>499</v>
      </c>
      <c r="C67" s="812"/>
      <c r="D67" s="813"/>
      <c r="E67" s="813"/>
      <c r="F67" s="813"/>
      <c r="G67" s="813"/>
      <c r="H67" s="814"/>
      <c r="I67" s="813"/>
      <c r="J67" s="813"/>
      <c r="K67" s="813"/>
      <c r="L67" s="813"/>
      <c r="M67" s="814"/>
      <c r="N67" s="813"/>
      <c r="O67" s="813"/>
      <c r="P67" s="813"/>
      <c r="Q67" s="813"/>
      <c r="R67" s="814"/>
      <c r="S67" s="813"/>
      <c r="T67" s="813"/>
      <c r="U67" s="813"/>
      <c r="V67" s="813"/>
      <c r="W67" s="814"/>
      <c r="X67" s="813"/>
      <c r="Y67" s="813"/>
      <c r="Z67" s="813"/>
      <c r="AA67" s="813"/>
      <c r="AB67" s="814"/>
      <c r="AC67" s="813"/>
      <c r="AD67" s="813"/>
      <c r="AE67" s="813"/>
      <c r="AF67" s="813"/>
      <c r="AG67" s="814"/>
      <c r="AH67" s="813"/>
      <c r="AI67" s="813"/>
      <c r="AJ67" s="813"/>
      <c r="AK67" s="813"/>
      <c r="AL67" s="814"/>
      <c r="AM67" s="813"/>
      <c r="AN67" s="813"/>
      <c r="AO67" s="813"/>
      <c r="AP67" s="813"/>
      <c r="AQ67" s="814"/>
      <c r="AR67" s="813"/>
      <c r="AS67" s="813"/>
      <c r="AT67" s="813"/>
      <c r="AU67" s="813"/>
      <c r="AV67" s="814"/>
      <c r="AW67" s="813"/>
      <c r="AX67" s="813"/>
      <c r="AY67" s="813"/>
      <c r="AZ67" s="813"/>
      <c r="BA67" s="813"/>
      <c r="BB67" s="813"/>
      <c r="BC67" s="813"/>
      <c r="BD67" s="813"/>
      <c r="BE67" s="814"/>
      <c r="BF67" s="813"/>
      <c r="BG67" s="813"/>
      <c r="BH67" s="813"/>
      <c r="BI67" s="813"/>
      <c r="BJ67" s="814"/>
      <c r="BK67" s="813"/>
      <c r="BL67" s="813"/>
      <c r="BM67" s="813"/>
      <c r="BN67" s="813"/>
      <c r="BO67" s="814">
        <f t="shared" ref="BO67:CT67" si="181">BO25-BO23</f>
        <v>23</v>
      </c>
      <c r="BP67" s="813">
        <f t="shared" si="181"/>
        <v>194</v>
      </c>
      <c r="BQ67" s="813">
        <f t="shared" si="181"/>
        <v>-533</v>
      </c>
      <c r="BR67" s="813">
        <f t="shared" si="181"/>
        <v>104</v>
      </c>
      <c r="BS67" s="813">
        <f t="shared" si="181"/>
        <v>-185</v>
      </c>
      <c r="BT67" s="814">
        <f t="shared" si="181"/>
        <v>-420</v>
      </c>
      <c r="BU67" s="813">
        <f t="shared" si="181"/>
        <v>187</v>
      </c>
      <c r="BV67" s="813">
        <f t="shared" si="181"/>
        <v>147</v>
      </c>
      <c r="BW67" s="813">
        <f t="shared" si="181"/>
        <v>161</v>
      </c>
      <c r="BX67" s="813">
        <f t="shared" si="181"/>
        <v>121</v>
      </c>
      <c r="BY67" s="814">
        <f t="shared" si="181"/>
        <v>616</v>
      </c>
      <c r="BZ67" s="813">
        <f t="shared" si="181"/>
        <v>186</v>
      </c>
      <c r="CA67" s="813">
        <f t="shared" si="181"/>
        <v>158</v>
      </c>
      <c r="CB67" s="813">
        <f t="shared" si="181"/>
        <v>160</v>
      </c>
      <c r="CC67" s="813">
        <f t="shared" si="181"/>
        <v>189</v>
      </c>
      <c r="CD67" s="814">
        <f t="shared" si="181"/>
        <v>693</v>
      </c>
      <c r="CE67" s="813">
        <f t="shared" si="181"/>
        <v>270</v>
      </c>
      <c r="CF67" s="813">
        <f t="shared" si="181"/>
        <v>236</v>
      </c>
      <c r="CG67" s="813">
        <f t="shared" si="181"/>
        <v>230</v>
      </c>
      <c r="CH67" s="813">
        <f t="shared" si="181"/>
        <v>186</v>
      </c>
      <c r="CI67" s="814">
        <f t="shared" si="181"/>
        <v>922</v>
      </c>
      <c r="CJ67" s="813">
        <f t="shared" si="181"/>
        <v>296</v>
      </c>
      <c r="CK67" s="813">
        <f t="shared" si="181"/>
        <v>268</v>
      </c>
      <c r="CL67" s="813">
        <f t="shared" si="181"/>
        <v>198</v>
      </c>
      <c r="CM67" s="813">
        <f t="shared" si="181"/>
        <v>266</v>
      </c>
      <c r="CN67" s="814">
        <f t="shared" si="181"/>
        <v>1028</v>
      </c>
      <c r="CO67" s="813">
        <f t="shared" si="181"/>
        <v>327</v>
      </c>
      <c r="CP67" s="813">
        <f t="shared" si="181"/>
        <v>240</v>
      </c>
      <c r="CQ67" s="813">
        <f t="shared" si="181"/>
        <v>179</v>
      </c>
      <c r="CR67" s="813">
        <f t="shared" si="181"/>
        <v>250</v>
      </c>
      <c r="CS67" s="814">
        <f t="shared" si="181"/>
        <v>996</v>
      </c>
      <c r="CT67" s="813">
        <f t="shared" si="181"/>
        <v>305</v>
      </c>
      <c r="CU67" s="813">
        <f t="shared" ref="CU67:DR67" si="182">CU25-CU23</f>
        <v>284</v>
      </c>
      <c r="CV67" s="813">
        <f t="shared" si="182"/>
        <v>250</v>
      </c>
      <c r="CW67" s="813">
        <f t="shared" si="182"/>
        <v>300</v>
      </c>
      <c r="CX67" s="814">
        <f t="shared" si="182"/>
        <v>1139</v>
      </c>
      <c r="CY67" s="813">
        <f t="shared" si="182"/>
        <v>260</v>
      </c>
      <c r="CZ67" s="813">
        <f t="shared" si="182"/>
        <v>289</v>
      </c>
      <c r="DA67" s="813">
        <f t="shared" si="182"/>
        <v>253</v>
      </c>
      <c r="DB67" s="813">
        <f t="shared" si="182"/>
        <v>310</v>
      </c>
      <c r="DC67" s="814">
        <f t="shared" si="182"/>
        <v>1112</v>
      </c>
      <c r="DD67" s="813">
        <f t="shared" si="182"/>
        <v>354</v>
      </c>
      <c r="DE67" s="813">
        <f t="shared" si="182"/>
        <v>358</v>
      </c>
      <c r="DF67" s="813">
        <f t="shared" si="182"/>
        <v>413</v>
      </c>
      <c r="DG67" s="813">
        <f t="shared" si="182"/>
        <v>545</v>
      </c>
      <c r="DH67" s="814">
        <f t="shared" si="182"/>
        <v>1670</v>
      </c>
      <c r="DI67" s="813">
        <f>DI25-DI23</f>
        <v>491</v>
      </c>
      <c r="DJ67" s="813">
        <f t="shared" si="182"/>
        <v>328</v>
      </c>
      <c r="DK67" s="813">
        <f>DK25-DK23</f>
        <v>465</v>
      </c>
      <c r="DL67" s="813">
        <f>DL25-DL23</f>
        <v>497</v>
      </c>
      <c r="DM67" s="1429">
        <f t="shared" si="182"/>
        <v>1781</v>
      </c>
      <c r="DN67" s="1430">
        <f t="shared" si="182"/>
        <v>559</v>
      </c>
      <c r="DO67" s="1430">
        <f t="shared" si="182"/>
        <v>461</v>
      </c>
      <c r="DP67" s="1430">
        <f t="shared" si="182"/>
        <v>536</v>
      </c>
      <c r="DQ67" s="1430">
        <f t="shared" si="182"/>
        <v>481</v>
      </c>
      <c r="DR67" s="1429">
        <f t="shared" si="182"/>
        <v>2037</v>
      </c>
      <c r="DS67" s="1430">
        <f t="shared" ref="DS67:EB67" si="183">DS25-DS23</f>
        <v>487</v>
      </c>
      <c r="DT67" s="1430">
        <f t="shared" si="183"/>
        <v>526</v>
      </c>
      <c r="DU67" s="1430">
        <f>DU25-DU23</f>
        <v>269</v>
      </c>
      <c r="DV67" s="1430">
        <f t="shared" ref="DV67" si="184">DV25-DV23</f>
        <v>692</v>
      </c>
      <c r="DW67" s="1429">
        <f t="shared" si="183"/>
        <v>1974</v>
      </c>
      <c r="DX67" s="1430">
        <f t="shared" si="183"/>
        <v>603.8870011527481</v>
      </c>
      <c r="DY67" s="1430">
        <f t="shared" si="183"/>
        <v>651.3748828090902</v>
      </c>
      <c r="DZ67" s="1430">
        <f t="shared" si="183"/>
        <v>643.61551170618429</v>
      </c>
      <c r="EA67" s="1430">
        <f t="shared" si="183"/>
        <v>637.87194053608118</v>
      </c>
      <c r="EB67" s="1429">
        <f t="shared" si="183"/>
        <v>2536.749336204105</v>
      </c>
      <c r="EC67" s="1430">
        <f t="shared" ref="EC67:EL67" si="185">EC25-EC23</f>
        <v>640.19223711558016</v>
      </c>
      <c r="ED67" s="1430">
        <f t="shared" si="185"/>
        <v>653.61631801113595</v>
      </c>
      <c r="EE67" s="1430">
        <f t="shared" si="185"/>
        <v>655.60078571256599</v>
      </c>
      <c r="EF67" s="1430">
        <f t="shared" si="185"/>
        <v>677.4163864003956</v>
      </c>
      <c r="EG67" s="1429">
        <f t="shared" si="185"/>
        <v>2626.8257272396786</v>
      </c>
      <c r="EH67" s="1430">
        <f t="shared" si="185"/>
        <v>676.1162129593497</v>
      </c>
      <c r="EI67" s="1430">
        <f t="shared" si="185"/>
        <v>682.7016308900113</v>
      </c>
      <c r="EJ67" s="1430">
        <f t="shared" si="185"/>
        <v>672.99143834607821</v>
      </c>
      <c r="EK67" s="1430">
        <f t="shared" si="185"/>
        <v>677.95315726080412</v>
      </c>
      <c r="EL67" s="1429">
        <f t="shared" si="185"/>
        <v>2709.7624394562454</v>
      </c>
      <c r="EM67" s="1"/>
      <c r="EN67"/>
      <c r="EO67"/>
      <c r="EP67"/>
      <c r="EQ67"/>
      <c r="ER67"/>
      <c r="ES67" s="7"/>
      <c r="ET67"/>
      <c r="EU67" s="7"/>
      <c r="EV67" s="7"/>
      <c r="EW67" s="7"/>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c r="IS67" s="3"/>
      <c r="IT67" s="3"/>
      <c r="IU67" s="3"/>
      <c r="IV67" s="3"/>
      <c r="IW67" s="3"/>
      <c r="IX67" s="3"/>
      <c r="IY67" s="3"/>
      <c r="IZ67" s="3"/>
      <c r="JA67" s="3"/>
      <c r="JB67" s="3"/>
      <c r="JC67" s="3"/>
      <c r="JD67" s="3"/>
      <c r="JE67" s="3"/>
      <c r="JF67" s="3"/>
      <c r="JG67" s="3"/>
      <c r="JH67" s="3"/>
      <c r="JI67" s="3"/>
      <c r="JJ67" s="3"/>
      <c r="JK67" s="3"/>
    </row>
    <row r="68" spans="1:271" s="11" customFormat="1" hidden="1" outlineLevel="1">
      <c r="A68" s="801"/>
      <c r="B68" s="557" t="s">
        <v>500</v>
      </c>
      <c r="C68" s="789"/>
      <c r="D68" s="789">
        <f>(168.461*3/2)/4</f>
        <v>63.172875000000005</v>
      </c>
      <c r="E68" s="789">
        <f>(168.319*3/2)/4</f>
        <v>63.119624999999999</v>
      </c>
      <c r="F68" s="789">
        <f>(167.902*3/2)/4</f>
        <v>62.963249999999995</v>
      </c>
      <c r="G68" s="789">
        <f>((11/0.07)*3/2)/4</f>
        <v>58.928571428571431</v>
      </c>
      <c r="H68" s="815">
        <f>(176.817*3/2)/4</f>
        <v>66.306375000000003</v>
      </c>
      <c r="I68" s="789">
        <f>(201.890477*3/2)/4</f>
        <v>75.708928874999998</v>
      </c>
      <c r="J68" s="789">
        <f>(203.845*3/2)/4</f>
        <v>76.441874999999996</v>
      </c>
      <c r="K68" s="789">
        <f>(213.268*3/2)/4</f>
        <v>79.975499999999997</v>
      </c>
      <c r="L68" s="789">
        <f>((35/0.17)*3/2)/4</f>
        <v>77.205882352941174</v>
      </c>
      <c r="M68" s="815">
        <f>(209.492*3/2)/4</f>
        <v>78.5595</v>
      </c>
      <c r="N68" s="789">
        <f>(219.640626*3/2)/4</f>
        <v>82.365234749999999</v>
      </c>
      <c r="O68" s="789">
        <f>(220.669*3/2)/4</f>
        <v>82.750875000000008</v>
      </c>
      <c r="P68" s="789">
        <f>(304.4*3/2)/4</f>
        <v>114.14999999999999</v>
      </c>
      <c r="Q68" s="789">
        <f>((206/0.67)*3/2)/4</f>
        <v>115.29850746268656</v>
      </c>
      <c r="R68" s="815">
        <f>(303.86*3/2)/4</f>
        <v>113.94750000000001</v>
      </c>
      <c r="S68" s="789">
        <f>(305*3/2)/4</f>
        <v>114.375</v>
      </c>
      <c r="T68" s="789">
        <f>(305*3/2)/4</f>
        <v>114.375</v>
      </c>
      <c r="U68" s="789">
        <f>(306.607*3/2)/4</f>
        <v>114.97762500000002</v>
      </c>
      <c r="V68" s="789">
        <f>((24/0.08)*3/2)/4</f>
        <v>112.5</v>
      </c>
      <c r="W68" s="815">
        <f>(306.255*3/2)/4</f>
        <v>114.845625</v>
      </c>
      <c r="X68" s="789">
        <f>(309.403*3/2)/4</f>
        <v>116.02612500000001</v>
      </c>
      <c r="Y68" s="789">
        <f>(309.803*3/2)/4</f>
        <v>116.176125</v>
      </c>
      <c r="Z68" s="789">
        <f>(310.272*3/2)/4</f>
        <v>116.352</v>
      </c>
      <c r="AA68" s="789">
        <f>((137/0.44)*3/2)/4</f>
        <v>116.76136363636364</v>
      </c>
      <c r="AB68" s="815">
        <f>(310.05*3/2)/4</f>
        <v>116.26875000000001</v>
      </c>
      <c r="AC68" s="789">
        <f>(311.152*3/2)/4</f>
        <v>116.68199999999999</v>
      </c>
      <c r="AD68" s="789">
        <f>(311.512*3/2)/4</f>
        <v>116.81700000000001</v>
      </c>
      <c r="AE68" s="789">
        <f>(312.279*3/2)/4</f>
        <v>117.104625</v>
      </c>
      <c r="AF68" s="789">
        <f>((39/0.13)*3/2)/4</f>
        <v>112.5</v>
      </c>
      <c r="AG68" s="815">
        <f>(311.98*3/2)/4</f>
        <v>116.99250000000001</v>
      </c>
      <c r="AH68" s="789">
        <f>(314.355*3/2)/4</f>
        <v>117.88312500000001</v>
      </c>
      <c r="AI68" s="789">
        <f>(318.035*3/2)/4</f>
        <v>119.263125</v>
      </c>
      <c r="AJ68" s="789">
        <f>(321.851*3/2)/4</f>
        <v>120.694125</v>
      </c>
      <c r="AK68" s="789">
        <f>((151/0.47)*3/2)/4</f>
        <v>120.47872340425533</v>
      </c>
      <c r="AL68" s="815">
        <f>(319.747*3/2)/4</f>
        <v>119.905125</v>
      </c>
      <c r="AM68" s="789">
        <f>(326.345*3/2)/4</f>
        <v>122.37937500000001</v>
      </c>
      <c r="AN68" s="789">
        <f>(325.881*3/2)/4</f>
        <v>122.20537499999999</v>
      </c>
      <c r="AO68" s="789">
        <f>(326.532*3/2)/4</f>
        <v>122.4495</v>
      </c>
      <c r="AP68" s="789">
        <f>321/0.65/4</f>
        <v>123.46153846153845</v>
      </c>
      <c r="AQ68" s="815">
        <f>489.717/4</f>
        <v>122.42925</v>
      </c>
      <c r="AR68" s="789">
        <f>488.482/4</f>
        <v>122.12050000000001</v>
      </c>
      <c r="AS68" s="789">
        <f>484.955/4</f>
        <v>121.23875</v>
      </c>
      <c r="AT68" s="789">
        <f>472.289/4</f>
        <v>118.07225</v>
      </c>
      <c r="AU68" s="789"/>
      <c r="AV68" s="815">
        <f>490.035/4</f>
        <v>122.50875000000001</v>
      </c>
      <c r="AW68" s="789">
        <f>490.605/4</f>
        <v>122.65125</v>
      </c>
      <c r="AX68" s="789">
        <f>488.106/4</f>
        <v>122.0265</v>
      </c>
      <c r="AY68" s="789">
        <f>480.345/4</f>
        <v>120.08625000000001</v>
      </c>
      <c r="AZ68" s="789">
        <f>487.248/4</f>
        <v>121.812</v>
      </c>
      <c r="BA68" s="789">
        <f>470.511/4</f>
        <v>117.62775000000001</v>
      </c>
      <c r="BB68" s="789">
        <f>465.11/4</f>
        <v>116.2775</v>
      </c>
      <c r="BC68" s="789">
        <f>463.629/4</f>
        <v>115.90725</v>
      </c>
      <c r="BD68" s="789">
        <f>464.549/4</f>
        <v>116.13724999999999</v>
      </c>
      <c r="BE68" s="815">
        <f>465.927/4</f>
        <v>116.48175000000001</v>
      </c>
      <c r="BF68" s="789">
        <f>465.296/4</f>
        <v>116.324</v>
      </c>
      <c r="BG68" s="789">
        <f>465.922/4</f>
        <v>116.48050000000001</v>
      </c>
      <c r="BH68" s="789">
        <f>466.646/4</f>
        <v>116.6615</v>
      </c>
      <c r="BI68" s="789">
        <f>467.04/4</f>
        <v>116.76</v>
      </c>
      <c r="BJ68" s="815">
        <f>466.226/4</f>
        <v>116.5565</v>
      </c>
      <c r="BK68" s="789">
        <f>468.047/4</f>
        <v>117.01175000000001</v>
      </c>
      <c r="BL68" s="789">
        <f>468.758/4</f>
        <v>117.1895</v>
      </c>
      <c r="BM68" s="789">
        <f>469.179/4</f>
        <v>117.29474999999999</v>
      </c>
      <c r="BN68" s="789">
        <f>469.607/4</f>
        <v>117.40175000000001</v>
      </c>
      <c r="BO68" s="815">
        <f>468.898/4</f>
        <v>117.22450000000001</v>
      </c>
      <c r="BP68" s="789">
        <f>470.069/4</f>
        <v>117.51725</v>
      </c>
      <c r="BQ68" s="789">
        <f>470.608/4</f>
        <v>117.652</v>
      </c>
      <c r="BR68" s="789">
        <f>471.227/4</f>
        <v>117.80674999999999</v>
      </c>
      <c r="BS68" s="789">
        <f>471.484/4</f>
        <v>117.871</v>
      </c>
      <c r="BT68" s="815">
        <f>470.847/4</f>
        <v>117.71174999999999</v>
      </c>
      <c r="BU68" s="789">
        <f>472.136/4</f>
        <v>118.03400000000001</v>
      </c>
      <c r="BV68" s="789">
        <f>473.212/4</f>
        <v>118.303</v>
      </c>
      <c r="BW68" s="789">
        <f>473.984/4</f>
        <v>118.496</v>
      </c>
      <c r="BX68" s="789">
        <f>474.286/4</f>
        <v>118.5715</v>
      </c>
      <c r="BY68" s="815">
        <f>473.405/4</f>
        <v>118.35124999999999</v>
      </c>
      <c r="BZ68" s="789">
        <f>475.066/4</f>
        <v>118.76649999999999</v>
      </c>
      <c r="CA68" s="789">
        <f>476.308/4</f>
        <v>119.077</v>
      </c>
      <c r="CB68" s="789">
        <f>476.898/4</f>
        <v>119.22450000000001</v>
      </c>
      <c r="CC68" s="789">
        <f>477.126/4</f>
        <v>119.28149999999999</v>
      </c>
      <c r="CD68" s="815">
        <f>476.349/4</f>
        <v>119.08725</v>
      </c>
      <c r="CE68" s="789">
        <f>478.372/4</f>
        <v>119.593</v>
      </c>
      <c r="CF68" s="789">
        <f>480.447/4</f>
        <v>120.11175</v>
      </c>
      <c r="CG68" s="789">
        <f>481.008/4</f>
        <v>120.252</v>
      </c>
      <c r="CH68" s="789">
        <f>481.131/4</f>
        <v>120.28274999999999</v>
      </c>
      <c r="CI68" s="815">
        <f>480.24/4</f>
        <v>120.06</v>
      </c>
      <c r="CJ68" s="789">
        <f>481.917/4</f>
        <v>120.47924999999999</v>
      </c>
      <c r="CK68" s="789">
        <f>484.61/4</f>
        <v>121.1525</v>
      </c>
      <c r="CL68" s="789">
        <f>485.21/4</f>
        <v>121.30249999999999</v>
      </c>
      <c r="CM68" s="789">
        <f>485.549/4</f>
        <v>121.38724999999999</v>
      </c>
      <c r="CN68" s="815">
        <f>484.321/4</f>
        <v>121.08025000000001</v>
      </c>
      <c r="CO68" s="789">
        <f>486.902/4</f>
        <v>121.7255</v>
      </c>
      <c r="CP68" s="789">
        <f>486.794/4</f>
        <v>121.6985</v>
      </c>
      <c r="CQ68" s="789">
        <f>468.753/4</f>
        <v>117.18825</v>
      </c>
      <c r="CR68" s="789">
        <f>432.454/4</f>
        <v>108.1135</v>
      </c>
      <c r="CS68" s="815">
        <f>468.726/4</f>
        <v>117.1815</v>
      </c>
      <c r="CT68" s="789">
        <f>411.373/4</f>
        <v>102.84325</v>
      </c>
      <c r="CU68" s="789">
        <f>415.011/4</f>
        <v>103.75275000000001</v>
      </c>
      <c r="CV68" s="789">
        <v>104.244</v>
      </c>
      <c r="CW68" s="789">
        <v>105.961</v>
      </c>
      <c r="CX68" s="815">
        <v>104.2</v>
      </c>
      <c r="CY68" s="789">
        <v>104.10299999999999</v>
      </c>
      <c r="CZ68" s="789">
        <v>103.01</v>
      </c>
      <c r="DA68" s="789">
        <v>100.89400000000001</v>
      </c>
      <c r="DB68" s="789">
        <v>98.585999999999999</v>
      </c>
      <c r="DC68" s="815">
        <v>101.648</v>
      </c>
      <c r="DD68" s="789">
        <v>97.161000000000001</v>
      </c>
      <c r="DE68" s="789">
        <v>97.677000000000007</v>
      </c>
      <c r="DF68" s="789">
        <v>98.036000000000001</v>
      </c>
      <c r="DG68" s="789">
        <v>98.331000000000003</v>
      </c>
      <c r="DH68" s="815">
        <f>AVERAGE(DD68:DG68)</f>
        <v>97.80125000000001</v>
      </c>
      <c r="DI68" s="789">
        <v>98.698999999999998</v>
      </c>
      <c r="DJ68" s="789">
        <v>99.244</v>
      </c>
      <c r="DK68" s="789">
        <v>99.537000000000006</v>
      </c>
      <c r="DL68" s="789">
        <v>99.188000000000002</v>
      </c>
      <c r="DM68" s="815">
        <f>AVERAGE(DI68:DL68)</f>
        <v>99.167000000000002</v>
      </c>
      <c r="DN68" s="789">
        <v>98.768000000000001</v>
      </c>
      <c r="DO68" s="789">
        <v>99.340999999999994</v>
      </c>
      <c r="DP68" s="789">
        <v>99.522999999999996</v>
      </c>
      <c r="DQ68" s="789">
        <v>99.650999999999996</v>
      </c>
      <c r="DR68" s="815">
        <f>AVERAGE(DN68:DQ68)</f>
        <v>99.32074999999999</v>
      </c>
      <c r="DS68" s="789">
        <v>100</v>
      </c>
      <c r="DT68" s="737">
        <v>100.61199999999999</v>
      </c>
      <c r="DU68" s="789">
        <v>100.812</v>
      </c>
      <c r="DV68" s="789">
        <v>101.85299999999999</v>
      </c>
      <c r="DW68" s="815">
        <f>AVERAGE(DS68:DV68)</f>
        <v>100.81925</v>
      </c>
      <c r="DX68" s="767">
        <f>AVERAGE(DV71,DX71)+1.8</f>
        <v>102.77178299999999</v>
      </c>
      <c r="DY68" s="767">
        <f>AVERAGE(DX71:DY71)+1.8</f>
        <v>102.77178299999999</v>
      </c>
      <c r="DZ68" s="767">
        <f>AVERAGE(DY71:DZ71)+1.8</f>
        <v>102.77178299999999</v>
      </c>
      <c r="EA68" s="767">
        <f>AVERAGE(DZ71:EA71)+1.8</f>
        <v>102.77178299999999</v>
      </c>
      <c r="EB68" s="815">
        <f>AVERAGE(DX68:EA68)</f>
        <v>102.77178299999999</v>
      </c>
      <c r="EC68" s="767">
        <f>AVERAGE(EA71,EC71)</f>
        <v>100.97178299999999</v>
      </c>
      <c r="ED68" s="767">
        <f>AVERAGE(EC71:ED71)</f>
        <v>100.97178299999999</v>
      </c>
      <c r="EE68" s="767">
        <f>AVERAGE(ED71:EE71)</f>
        <v>100.97178299999999</v>
      </c>
      <c r="EF68" s="767">
        <f>AVERAGE(EE71:EF71)</f>
        <v>100.97178299999999</v>
      </c>
      <c r="EG68" s="815">
        <f>AVERAGE(EC68:EF68)</f>
        <v>100.97178299999999</v>
      </c>
      <c r="EH68" s="767">
        <f>AVERAGE(EF71,EH71)</f>
        <v>100.97178299999999</v>
      </c>
      <c r="EI68" s="767">
        <f>AVERAGE(EH71:EI71)</f>
        <v>100.97178299999999</v>
      </c>
      <c r="EJ68" s="767">
        <f>AVERAGE(EI71:EJ71)</f>
        <v>100.97178299999999</v>
      </c>
      <c r="EK68" s="767">
        <f>AVERAGE(EJ71:EK71)</f>
        <v>100.97178299999999</v>
      </c>
      <c r="EL68" s="815">
        <f>AVERAGE(EH68:EK68)</f>
        <v>100.97178299999999</v>
      </c>
      <c r="EM68" s="1"/>
      <c r="EN68"/>
      <c r="EO68"/>
      <c r="EP68"/>
      <c r="EQ68"/>
      <c r="ER68"/>
      <c r="ES68" s="7"/>
      <c r="ET68"/>
      <c r="EU68" s="7"/>
      <c r="EV68" s="7"/>
      <c r="EW68" s="7"/>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c r="IS68" s="3"/>
      <c r="IT68" s="3"/>
      <c r="IU68" s="3"/>
      <c r="IV68" s="3"/>
      <c r="IW68" s="3"/>
      <c r="IX68" s="3"/>
      <c r="IY68" s="3"/>
      <c r="IZ68" s="3"/>
      <c r="JA68" s="3"/>
      <c r="JB68" s="3"/>
      <c r="JC68" s="3"/>
      <c r="JD68" s="3"/>
      <c r="JE68" s="3"/>
      <c r="JF68" s="3"/>
      <c r="JG68" s="3"/>
      <c r="JH68" s="3"/>
      <c r="JI68" s="3"/>
      <c r="JJ68" s="3"/>
      <c r="JK68" s="3"/>
    </row>
    <row r="69" spans="1:271" s="11" customFormat="1" collapsed="1">
      <c r="A69" s="801"/>
      <c r="B69" s="557" t="s">
        <v>501</v>
      </c>
      <c r="C69" s="737"/>
      <c r="D69" s="737">
        <f>(180.153*3/2)/4</f>
        <v>67.557374999999993</v>
      </c>
      <c r="E69" s="789">
        <f>(182.169*3/2)/4</f>
        <v>68.313375000000008</v>
      </c>
      <c r="F69" s="789">
        <f>(182.07*3/2)/4</f>
        <v>68.276250000000005</v>
      </c>
      <c r="G69" s="789">
        <f>((11/0.07)*3/2)/4</f>
        <v>58.928571428571431</v>
      </c>
      <c r="H69" s="816">
        <f>(190.139*3/2)/4</f>
        <v>71.302125000000004</v>
      </c>
      <c r="I69" s="737">
        <f>(215.837*3/2)/4</f>
        <v>80.938874999999996</v>
      </c>
      <c r="J69" s="789">
        <f>(216.183*3/2)/4</f>
        <v>81.068624999999997</v>
      </c>
      <c r="K69" s="789">
        <f>(218.003*3/2)/4</f>
        <v>81.751125000000002</v>
      </c>
      <c r="L69" s="789">
        <f>((35/0.17)*3/2)/4</f>
        <v>77.205882352941174</v>
      </c>
      <c r="M69" s="816">
        <f>(216.676*3/2)/4</f>
        <v>81.253500000000003</v>
      </c>
      <c r="N69" s="737">
        <f>(219.640626*3/2)/4</f>
        <v>82.365234749999999</v>
      </c>
      <c r="O69" s="789">
        <f>(220.669*3/2)/4</f>
        <v>82.750875000000008</v>
      </c>
      <c r="P69" s="789">
        <f>(305.267*3/2)/4</f>
        <v>114.47512499999999</v>
      </c>
      <c r="Q69" s="789">
        <f>((206/0.67)*3/2)/4</f>
        <v>115.29850746268656</v>
      </c>
      <c r="R69" s="816">
        <f>(304.153*3/2)/4</f>
        <v>114.05737500000001</v>
      </c>
      <c r="S69" s="737">
        <f>(310*3/2)/4</f>
        <v>116.25</v>
      </c>
      <c r="T69" s="789">
        <f>(311.345*3/2)/4</f>
        <v>116.75437500000001</v>
      </c>
      <c r="U69" s="789">
        <f>(312.816*3/2)/4</f>
        <v>117.30599999999998</v>
      </c>
      <c r="V69" s="789">
        <f>((24/0.08)*3/2)/4</f>
        <v>112.5</v>
      </c>
      <c r="W69" s="816">
        <f>(312.113*3/2)/4</f>
        <v>117.04237499999999</v>
      </c>
      <c r="X69" s="737">
        <f>(313.665*3/2)/4</f>
        <v>117.62437500000001</v>
      </c>
      <c r="Y69" s="789">
        <f>(313.935*3/2)/4</f>
        <v>117.72562500000001</v>
      </c>
      <c r="Z69" s="789">
        <f>(312.945*3/2)/4</f>
        <v>117.354375</v>
      </c>
      <c r="AA69" s="789">
        <f>((137/0.44)*3/2)/4</f>
        <v>116.76136363636364</v>
      </c>
      <c r="AB69" s="816">
        <f>(313.386*3/2)/4</f>
        <v>117.51975000000002</v>
      </c>
      <c r="AC69" s="737">
        <f>(313.224*3/2)/4</f>
        <v>117.459</v>
      </c>
      <c r="AD69" s="789">
        <f>(313.745*3/2)/4</f>
        <v>117.654375</v>
      </c>
      <c r="AE69" s="789">
        <f>(315.869*3/2)/4</f>
        <v>118.45087500000001</v>
      </c>
      <c r="AF69" s="789">
        <f>((39/0.12)*3/2)/4</f>
        <v>121.875</v>
      </c>
      <c r="AG69" s="816">
        <f>(314.918*3/2)/4</f>
        <v>118.09425</v>
      </c>
      <c r="AH69" s="737">
        <f>(319.743*3/2)/4</f>
        <v>119.90362500000001</v>
      </c>
      <c r="AI69" s="789">
        <f>(325.726*3/2)/4</f>
        <v>122.14725</v>
      </c>
      <c r="AJ69" s="789">
        <f>(330.12*3/2)/4</f>
        <v>123.795</v>
      </c>
      <c r="AK69" s="789">
        <f>((151/0.46)*3/2)/4</f>
        <v>123.09782608695652</v>
      </c>
      <c r="AL69" s="816">
        <f>(327.152*3/2)/4</f>
        <v>122.68199999999999</v>
      </c>
      <c r="AM69" s="737">
        <f>(335.603*3/2)/4</f>
        <v>125.851125</v>
      </c>
      <c r="AN69" s="789">
        <f>(335.197*3/2)/4</f>
        <v>125.698875</v>
      </c>
      <c r="AO69" s="789">
        <f>(335.121*3/2)/4</f>
        <v>125.67037499999999</v>
      </c>
      <c r="AP69" s="789">
        <f>(321/0.64)/4</f>
        <v>125.390625</v>
      </c>
      <c r="AQ69" s="816">
        <f>502.899/4</f>
        <v>125.72475</v>
      </c>
      <c r="AR69" s="737">
        <f>500.079/4</f>
        <v>125.01975</v>
      </c>
      <c r="AS69" s="789">
        <f>493.011/4</f>
        <v>123.25275000000001</v>
      </c>
      <c r="AT69" s="789">
        <f>472.289/4</f>
        <v>118.07225</v>
      </c>
      <c r="AU69" s="789"/>
      <c r="AV69" s="816">
        <f>502.054/4</f>
        <v>125.51349999999999</v>
      </c>
      <c r="AW69" s="737">
        <f>502.822/4</f>
        <v>125.7055</v>
      </c>
      <c r="AX69" s="789">
        <f>499.412/4</f>
        <v>124.85299999999999</v>
      </c>
      <c r="AY69" s="789">
        <f>487.813/4</f>
        <v>121.95325</v>
      </c>
      <c r="AZ69" s="789">
        <f>498.016/4</f>
        <v>124.504</v>
      </c>
      <c r="BA69" s="737">
        <f>472.325/4</f>
        <v>118.08125</v>
      </c>
      <c r="BB69" s="789">
        <f>465.11/4</f>
        <v>116.2775</v>
      </c>
      <c r="BC69" s="789">
        <f>463.629/4</f>
        <v>115.90725</v>
      </c>
      <c r="BD69" s="789">
        <f>464.549/4</f>
        <v>116.13724999999999</v>
      </c>
      <c r="BE69" s="816">
        <f>465.927/4</f>
        <v>116.48175000000001</v>
      </c>
      <c r="BF69" s="737">
        <f>465.296/4</f>
        <v>116.324</v>
      </c>
      <c r="BG69" s="789">
        <f>465.922/4</f>
        <v>116.48050000000001</v>
      </c>
      <c r="BH69" s="789">
        <f>466.646/4</f>
        <v>116.6615</v>
      </c>
      <c r="BI69" s="789">
        <f>467.04/4</f>
        <v>116.76</v>
      </c>
      <c r="BJ69" s="816">
        <f>466.226/4</f>
        <v>116.5565</v>
      </c>
      <c r="BK69" s="737">
        <f>468.947/4</f>
        <v>117.23675</v>
      </c>
      <c r="BL69" s="789">
        <f>468.758/4</f>
        <v>117.1895</v>
      </c>
      <c r="BM69" s="789">
        <f>469.179/4</f>
        <v>117.29474999999999</v>
      </c>
      <c r="BN69" s="789">
        <f>469.607/4</f>
        <v>117.40175000000001</v>
      </c>
      <c r="BO69" s="816">
        <f>468.898/4</f>
        <v>117.22450000000001</v>
      </c>
      <c r="BP69" s="737">
        <f>470.745/4</f>
        <v>117.68625</v>
      </c>
      <c r="BQ69" s="789">
        <f>470.608/4</f>
        <v>117.652</v>
      </c>
      <c r="BR69" s="789">
        <f>471.227/4</f>
        <v>117.80674999999999</v>
      </c>
      <c r="BS69" s="789">
        <f>471.484/4</f>
        <v>117.871</v>
      </c>
      <c r="BT69" s="816">
        <f>470.847/4</f>
        <v>117.71174999999999</v>
      </c>
      <c r="BU69" s="737">
        <f>474.326/4</f>
        <v>118.58150000000001</v>
      </c>
      <c r="BV69" s="789">
        <f>473.212/4</f>
        <v>118.303</v>
      </c>
      <c r="BW69" s="789">
        <f>473.984/4</f>
        <v>118.496</v>
      </c>
      <c r="BX69" s="789">
        <f>474.286/4</f>
        <v>118.5715</v>
      </c>
      <c r="BY69" s="816">
        <f>473.405/4</f>
        <v>118.35124999999999</v>
      </c>
      <c r="BZ69" s="737">
        <f>475.066/4</f>
        <v>118.76649999999999</v>
      </c>
      <c r="CA69" s="789">
        <f>476.308/4</f>
        <v>119.077</v>
      </c>
      <c r="CB69" s="789">
        <f>480.789/4</f>
        <v>120.19725</v>
      </c>
      <c r="CC69" s="789">
        <f>477.126/4</f>
        <v>119.28149999999999</v>
      </c>
      <c r="CD69" s="816">
        <f>478.606/4</f>
        <v>119.6515</v>
      </c>
      <c r="CE69" s="737">
        <f>479.512/4</f>
        <v>119.878</v>
      </c>
      <c r="CF69" s="789">
        <f>488.244/4</f>
        <v>122.06100000000001</v>
      </c>
      <c r="CG69" s="789">
        <f>498.084/4</f>
        <v>124.521</v>
      </c>
      <c r="CH69" s="789">
        <f>500.577/4</f>
        <v>125.14425</v>
      </c>
      <c r="CI69" s="816">
        <f>507.277/4</f>
        <v>126.81925</v>
      </c>
      <c r="CJ69" s="737">
        <f>559.228/4</f>
        <v>139.80699999999999</v>
      </c>
      <c r="CK69" s="789">
        <f>502.549/4</f>
        <v>125.63724999999999</v>
      </c>
      <c r="CL69" s="789">
        <f>559.85/4</f>
        <v>139.96250000000001</v>
      </c>
      <c r="CM69" s="789">
        <f>561.921/4</f>
        <v>140.48025000000001</v>
      </c>
      <c r="CN69" s="816">
        <f>560.631/4</f>
        <v>140.15774999999999</v>
      </c>
      <c r="CO69" s="737">
        <f>565.181/4</f>
        <v>141.29525000000001</v>
      </c>
      <c r="CP69" s="789">
        <f>503.748/4</f>
        <v>125.937</v>
      </c>
      <c r="CQ69" s="789">
        <f>483.632/4</f>
        <v>120.908</v>
      </c>
      <c r="CR69" s="789">
        <f>432.454/4</f>
        <v>108.1135</v>
      </c>
      <c r="CS69" s="816">
        <f>485.181/4</f>
        <v>121.29525</v>
      </c>
      <c r="CT69" s="737">
        <f>484.873/4</f>
        <v>121.21825</v>
      </c>
      <c r="CU69" s="789">
        <f>427.708/4</f>
        <v>106.92700000000001</v>
      </c>
      <c r="CV69" s="789">
        <v>107.31100000000001</v>
      </c>
      <c r="CW69" s="789">
        <v>108.96</v>
      </c>
      <c r="CX69" s="816">
        <v>108.926</v>
      </c>
      <c r="CY69" s="737">
        <v>104.10299999999999</v>
      </c>
      <c r="CZ69" s="789">
        <v>103.01</v>
      </c>
      <c r="DA69" s="789">
        <v>103.098</v>
      </c>
      <c r="DB69" s="789">
        <v>98.585999999999999</v>
      </c>
      <c r="DC69" s="816">
        <v>101.648</v>
      </c>
      <c r="DD69" s="737">
        <f>97.161+1.984</f>
        <v>99.144999999999996</v>
      </c>
      <c r="DE69" s="789">
        <f>97.677+2.123</f>
        <v>99.800000000000011</v>
      </c>
      <c r="DF69" s="789">
        <v>100.926</v>
      </c>
      <c r="DG69" s="789">
        <v>101.279</v>
      </c>
      <c r="DH69" s="816">
        <f>AVERAGE(DD69,DE69,DF69,DG69)</f>
        <v>100.28749999999999</v>
      </c>
      <c r="DI69" s="737">
        <v>100.872</v>
      </c>
      <c r="DJ69" s="789">
        <v>99.244</v>
      </c>
      <c r="DK69" s="789">
        <v>99.537000000000006</v>
      </c>
      <c r="DL69" s="789">
        <v>99.188000000000002</v>
      </c>
      <c r="DM69" s="816">
        <v>99.167000000000002</v>
      </c>
      <c r="DN69" s="737">
        <v>98.768000000000001</v>
      </c>
      <c r="DO69" s="789">
        <v>99.340999999999994</v>
      </c>
      <c r="DP69" s="789">
        <v>99.522999999999996</v>
      </c>
      <c r="DQ69" s="789">
        <v>99.650999999999996</v>
      </c>
      <c r="DR69" s="816">
        <v>99.320999999999998</v>
      </c>
      <c r="DS69" s="737">
        <v>100</v>
      </c>
      <c r="DT69" s="737">
        <v>100.61199999999999</v>
      </c>
      <c r="DU69" s="789">
        <v>100.812</v>
      </c>
      <c r="DV69" s="789">
        <v>101.85299999999999</v>
      </c>
      <c r="DW69" s="817">
        <f>AVERAGE(DS69:DV69)</f>
        <v>100.81925</v>
      </c>
      <c r="DX69" s="161">
        <f>DX68*(DV69/DV68)</f>
        <v>102.77178299999999</v>
      </c>
      <c r="DY69" s="161">
        <f>DY68*(DX69/DX68)</f>
        <v>102.77178299999999</v>
      </c>
      <c r="DZ69" s="161">
        <f>DZ68*(DY69/DY68)</f>
        <v>102.77178299999999</v>
      </c>
      <c r="EA69" s="161">
        <f>EA68*(DZ69/DZ68)</f>
        <v>102.77178299999999</v>
      </c>
      <c r="EB69" s="817">
        <f>AVERAGE(DX69:EA69)</f>
        <v>102.77178299999999</v>
      </c>
      <c r="EC69" s="161">
        <f>EC68*(EA69/EA68)</f>
        <v>100.97178299999999</v>
      </c>
      <c r="ED69" s="161">
        <f>ED68*(EC69/EC68)</f>
        <v>100.97178299999999</v>
      </c>
      <c r="EE69" s="161">
        <f>EE68*(ED69/ED68)</f>
        <v>100.97178299999999</v>
      </c>
      <c r="EF69" s="161">
        <f>EF68*(EE69/EE68)</f>
        <v>100.97178299999999</v>
      </c>
      <c r="EG69" s="817">
        <f>AVERAGE(EC69:EF69)</f>
        <v>100.97178299999999</v>
      </c>
      <c r="EH69" s="161">
        <f>EH68*(EF69/EF68)</f>
        <v>100.97178299999999</v>
      </c>
      <c r="EI69" s="161">
        <f>EI68*(EH69/EH68)</f>
        <v>100.97178299999999</v>
      </c>
      <c r="EJ69" s="161">
        <f>EJ68*(EI69/EI68)</f>
        <v>100.97178299999999</v>
      </c>
      <c r="EK69" s="161">
        <f>EK68*(EJ69/EJ68)</f>
        <v>100.97178299999999</v>
      </c>
      <c r="EL69" s="817">
        <f>AVERAGE(EH69:EK69)</f>
        <v>100.97178299999999</v>
      </c>
      <c r="EM69" s="1"/>
      <c r="EN69"/>
      <c r="EO69"/>
      <c r="EP69"/>
      <c r="EQ69"/>
      <c r="ER69"/>
      <c r="ES69" s="7"/>
      <c r="ET69"/>
      <c r="EU69" s="7"/>
      <c r="EV69" s="7"/>
      <c r="EW69" s="7"/>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c r="IS69" s="3"/>
      <c r="IT69" s="3"/>
      <c r="IU69" s="3"/>
      <c r="IV69" s="3"/>
      <c r="IW69" s="3"/>
      <c r="IX69" s="3"/>
      <c r="IY69" s="3"/>
      <c r="IZ69" s="3"/>
      <c r="JA69" s="3"/>
      <c r="JB69" s="3"/>
      <c r="JC69" s="3"/>
      <c r="JD69" s="3"/>
      <c r="JE69" s="3"/>
      <c r="JF69" s="3"/>
      <c r="JG69" s="3"/>
      <c r="JH69" s="3"/>
      <c r="JI69" s="3"/>
      <c r="JJ69" s="3"/>
      <c r="JK69" s="3"/>
    </row>
    <row r="70" spans="1:271" s="11" customFormat="1" hidden="1" outlineLevel="1">
      <c r="A70" s="801"/>
      <c r="B70" s="557" t="s">
        <v>655</v>
      </c>
      <c r="C70" s="737"/>
      <c r="D70" s="737">
        <f t="shared" ref="D70:AT70" si="186">+D69</f>
        <v>67.557374999999993</v>
      </c>
      <c r="E70" s="789">
        <f t="shared" si="186"/>
        <v>68.313375000000008</v>
      </c>
      <c r="F70" s="789">
        <f t="shared" si="186"/>
        <v>68.276250000000005</v>
      </c>
      <c r="G70" s="789">
        <f t="shared" si="186"/>
        <v>58.928571428571431</v>
      </c>
      <c r="H70" s="816">
        <f t="shared" si="186"/>
        <v>71.302125000000004</v>
      </c>
      <c r="I70" s="737">
        <f t="shared" si="186"/>
        <v>80.938874999999996</v>
      </c>
      <c r="J70" s="789">
        <f t="shared" si="186"/>
        <v>81.068624999999997</v>
      </c>
      <c r="K70" s="789">
        <f t="shared" si="186"/>
        <v>81.751125000000002</v>
      </c>
      <c r="L70" s="789">
        <f t="shared" si="186"/>
        <v>77.205882352941174</v>
      </c>
      <c r="M70" s="816">
        <f t="shared" si="186"/>
        <v>81.253500000000003</v>
      </c>
      <c r="N70" s="737">
        <f t="shared" si="186"/>
        <v>82.365234749999999</v>
      </c>
      <c r="O70" s="789">
        <f t="shared" si="186"/>
        <v>82.750875000000008</v>
      </c>
      <c r="P70" s="789">
        <f t="shared" si="186"/>
        <v>114.47512499999999</v>
      </c>
      <c r="Q70" s="789">
        <f t="shared" si="186"/>
        <v>115.29850746268656</v>
      </c>
      <c r="R70" s="816">
        <f t="shared" si="186"/>
        <v>114.05737500000001</v>
      </c>
      <c r="S70" s="737">
        <f t="shared" si="186"/>
        <v>116.25</v>
      </c>
      <c r="T70" s="789">
        <f t="shared" si="186"/>
        <v>116.75437500000001</v>
      </c>
      <c r="U70" s="789">
        <f t="shared" si="186"/>
        <v>117.30599999999998</v>
      </c>
      <c r="V70" s="789">
        <f t="shared" si="186"/>
        <v>112.5</v>
      </c>
      <c r="W70" s="816">
        <f t="shared" si="186"/>
        <v>117.04237499999999</v>
      </c>
      <c r="X70" s="737">
        <f t="shared" si="186"/>
        <v>117.62437500000001</v>
      </c>
      <c r="Y70" s="789">
        <f t="shared" si="186"/>
        <v>117.72562500000001</v>
      </c>
      <c r="Z70" s="789">
        <f t="shared" si="186"/>
        <v>117.354375</v>
      </c>
      <c r="AA70" s="789">
        <f t="shared" si="186"/>
        <v>116.76136363636364</v>
      </c>
      <c r="AB70" s="816">
        <f t="shared" si="186"/>
        <v>117.51975000000002</v>
      </c>
      <c r="AC70" s="737">
        <f t="shared" si="186"/>
        <v>117.459</v>
      </c>
      <c r="AD70" s="789">
        <f t="shared" si="186"/>
        <v>117.654375</v>
      </c>
      <c r="AE70" s="789">
        <f t="shared" si="186"/>
        <v>118.45087500000001</v>
      </c>
      <c r="AF70" s="789">
        <f t="shared" si="186"/>
        <v>121.875</v>
      </c>
      <c r="AG70" s="816">
        <f t="shared" si="186"/>
        <v>118.09425</v>
      </c>
      <c r="AH70" s="737">
        <f t="shared" si="186"/>
        <v>119.90362500000001</v>
      </c>
      <c r="AI70" s="789">
        <f t="shared" si="186"/>
        <v>122.14725</v>
      </c>
      <c r="AJ70" s="789">
        <f t="shared" si="186"/>
        <v>123.795</v>
      </c>
      <c r="AK70" s="789">
        <f t="shared" si="186"/>
        <v>123.09782608695652</v>
      </c>
      <c r="AL70" s="816">
        <f t="shared" si="186"/>
        <v>122.68199999999999</v>
      </c>
      <c r="AM70" s="737">
        <f t="shared" si="186"/>
        <v>125.851125</v>
      </c>
      <c r="AN70" s="789">
        <f t="shared" si="186"/>
        <v>125.698875</v>
      </c>
      <c r="AO70" s="789">
        <f t="shared" si="186"/>
        <v>125.67037499999999</v>
      </c>
      <c r="AP70" s="789">
        <f t="shared" si="186"/>
        <v>125.390625</v>
      </c>
      <c r="AQ70" s="816">
        <f t="shared" si="186"/>
        <v>125.72475</v>
      </c>
      <c r="AR70" s="737">
        <f t="shared" si="186"/>
        <v>125.01975</v>
      </c>
      <c r="AS70" s="789">
        <f t="shared" si="186"/>
        <v>123.25275000000001</v>
      </c>
      <c r="AT70" s="789">
        <f t="shared" si="186"/>
        <v>118.07225</v>
      </c>
      <c r="AU70" s="789"/>
      <c r="AV70" s="816">
        <f>+AV69</f>
        <v>125.51349999999999</v>
      </c>
      <c r="AW70" s="737">
        <f>+AW69</f>
        <v>125.7055</v>
      </c>
      <c r="AX70" s="789">
        <f>+AX69</f>
        <v>124.85299999999999</v>
      </c>
      <c r="AY70" s="789">
        <f>+AY69</f>
        <v>121.95325</v>
      </c>
      <c r="AZ70" s="789">
        <f t="shared" ref="AZ70:DG70" si="187">+AZ69</f>
        <v>124.504</v>
      </c>
      <c r="BA70" s="737">
        <f t="shared" si="187"/>
        <v>118.08125</v>
      </c>
      <c r="BB70" s="789">
        <f t="shared" si="187"/>
        <v>116.2775</v>
      </c>
      <c r="BC70" s="789">
        <f t="shared" si="187"/>
        <v>115.90725</v>
      </c>
      <c r="BD70" s="789">
        <f t="shared" si="187"/>
        <v>116.13724999999999</v>
      </c>
      <c r="BE70" s="816">
        <f t="shared" si="187"/>
        <v>116.48175000000001</v>
      </c>
      <c r="BF70" s="737">
        <f t="shared" si="187"/>
        <v>116.324</v>
      </c>
      <c r="BG70" s="789">
        <f t="shared" si="187"/>
        <v>116.48050000000001</v>
      </c>
      <c r="BH70" s="789">
        <f t="shared" si="187"/>
        <v>116.6615</v>
      </c>
      <c r="BI70" s="789">
        <f t="shared" si="187"/>
        <v>116.76</v>
      </c>
      <c r="BJ70" s="816">
        <f t="shared" si="187"/>
        <v>116.5565</v>
      </c>
      <c r="BK70" s="737">
        <f t="shared" si="187"/>
        <v>117.23675</v>
      </c>
      <c r="BL70" s="789">
        <f t="shared" si="187"/>
        <v>117.1895</v>
      </c>
      <c r="BM70" s="789">
        <f t="shared" si="187"/>
        <v>117.29474999999999</v>
      </c>
      <c r="BN70" s="789">
        <f t="shared" si="187"/>
        <v>117.40175000000001</v>
      </c>
      <c r="BO70" s="816">
        <f t="shared" si="187"/>
        <v>117.22450000000001</v>
      </c>
      <c r="BP70" s="737">
        <f t="shared" si="187"/>
        <v>117.68625</v>
      </c>
      <c r="BQ70" s="789">
        <f t="shared" si="187"/>
        <v>117.652</v>
      </c>
      <c r="BR70" s="789">
        <f t="shared" si="187"/>
        <v>117.80674999999999</v>
      </c>
      <c r="BS70" s="789">
        <f t="shared" si="187"/>
        <v>117.871</v>
      </c>
      <c r="BT70" s="816">
        <f t="shared" si="187"/>
        <v>117.71174999999999</v>
      </c>
      <c r="BU70" s="737">
        <f t="shared" si="187"/>
        <v>118.58150000000001</v>
      </c>
      <c r="BV70" s="789">
        <f t="shared" si="187"/>
        <v>118.303</v>
      </c>
      <c r="BW70" s="789">
        <f t="shared" si="187"/>
        <v>118.496</v>
      </c>
      <c r="BX70" s="789">
        <f t="shared" si="187"/>
        <v>118.5715</v>
      </c>
      <c r="BY70" s="816">
        <f t="shared" si="187"/>
        <v>118.35124999999999</v>
      </c>
      <c r="BZ70" s="737">
        <f t="shared" si="187"/>
        <v>118.76649999999999</v>
      </c>
      <c r="CA70" s="789">
        <f t="shared" si="187"/>
        <v>119.077</v>
      </c>
      <c r="CB70" s="789">
        <f t="shared" si="187"/>
        <v>120.19725</v>
      </c>
      <c r="CC70" s="789">
        <f t="shared" si="187"/>
        <v>119.28149999999999</v>
      </c>
      <c r="CD70" s="816">
        <f t="shared" si="187"/>
        <v>119.6515</v>
      </c>
      <c r="CE70" s="737">
        <f t="shared" si="187"/>
        <v>119.878</v>
      </c>
      <c r="CF70" s="789">
        <f t="shared" si="187"/>
        <v>122.06100000000001</v>
      </c>
      <c r="CG70" s="789">
        <f t="shared" si="187"/>
        <v>124.521</v>
      </c>
      <c r="CH70" s="789">
        <f t="shared" si="187"/>
        <v>125.14425</v>
      </c>
      <c r="CI70" s="816">
        <f t="shared" si="187"/>
        <v>126.81925</v>
      </c>
      <c r="CJ70" s="737">
        <f t="shared" si="187"/>
        <v>139.80699999999999</v>
      </c>
      <c r="CK70" s="789">
        <f t="shared" si="187"/>
        <v>125.63724999999999</v>
      </c>
      <c r="CL70" s="789">
        <f t="shared" si="187"/>
        <v>139.96250000000001</v>
      </c>
      <c r="CM70" s="789">
        <f t="shared" si="187"/>
        <v>140.48025000000001</v>
      </c>
      <c r="CN70" s="816">
        <f t="shared" si="187"/>
        <v>140.15774999999999</v>
      </c>
      <c r="CO70" s="737">
        <f t="shared" si="187"/>
        <v>141.29525000000001</v>
      </c>
      <c r="CP70" s="789">
        <f t="shared" si="187"/>
        <v>125.937</v>
      </c>
      <c r="CQ70" s="789">
        <f t="shared" si="187"/>
        <v>120.908</v>
      </c>
      <c r="CR70" s="789">
        <f t="shared" si="187"/>
        <v>108.1135</v>
      </c>
      <c r="CS70" s="816">
        <f t="shared" si="187"/>
        <v>121.29525</v>
      </c>
      <c r="CT70" s="737">
        <f t="shared" si="187"/>
        <v>121.21825</v>
      </c>
      <c r="CU70" s="789">
        <f t="shared" si="187"/>
        <v>106.92700000000001</v>
      </c>
      <c r="CV70" s="789">
        <f t="shared" si="187"/>
        <v>107.31100000000001</v>
      </c>
      <c r="CW70" s="789">
        <f t="shared" si="187"/>
        <v>108.96</v>
      </c>
      <c r="CX70" s="816">
        <f t="shared" si="187"/>
        <v>108.926</v>
      </c>
      <c r="CY70" s="737">
        <f t="shared" si="187"/>
        <v>104.10299999999999</v>
      </c>
      <c r="CZ70" s="789">
        <f t="shared" si="187"/>
        <v>103.01</v>
      </c>
      <c r="DA70" s="789">
        <f t="shared" si="187"/>
        <v>103.098</v>
      </c>
      <c r="DB70" s="789">
        <f t="shared" si="187"/>
        <v>98.585999999999999</v>
      </c>
      <c r="DC70" s="816">
        <f t="shared" si="187"/>
        <v>101.648</v>
      </c>
      <c r="DD70" s="737">
        <f t="shared" si="187"/>
        <v>99.144999999999996</v>
      </c>
      <c r="DE70" s="789">
        <f t="shared" si="187"/>
        <v>99.800000000000011</v>
      </c>
      <c r="DF70" s="789">
        <f t="shared" si="187"/>
        <v>100.926</v>
      </c>
      <c r="DG70" s="789">
        <f t="shared" si="187"/>
        <v>101.279</v>
      </c>
      <c r="DH70" s="816">
        <f>+DH69</f>
        <v>100.28749999999999</v>
      </c>
      <c r="DI70" s="737">
        <v>100.872</v>
      </c>
      <c r="DJ70" s="789">
        <v>101.917</v>
      </c>
      <c r="DK70" s="789">
        <v>102.03700000000001</v>
      </c>
      <c r="DL70" s="789">
        <v>101.361</v>
      </c>
      <c r="DM70" s="816">
        <v>101.547</v>
      </c>
      <c r="DN70" s="737">
        <v>100.33499999999999</v>
      </c>
      <c r="DO70" s="789">
        <v>100.727</v>
      </c>
      <c r="DP70" s="789">
        <v>100.97799999999999</v>
      </c>
      <c r="DQ70" s="789">
        <v>100.928</v>
      </c>
      <c r="DR70" s="816">
        <v>100.742</v>
      </c>
      <c r="DS70" s="737">
        <v>100</v>
      </c>
      <c r="DT70" s="737">
        <v>100.61199999999999</v>
      </c>
      <c r="DU70" s="789">
        <v>100.812</v>
      </c>
      <c r="DV70" s="789">
        <v>101.85299999999999</v>
      </c>
      <c r="DW70" s="817">
        <f t="shared" ref="DW70:EG70" si="188">DW69</f>
        <v>100.81925</v>
      </c>
      <c r="DX70" s="161">
        <f t="shared" si="188"/>
        <v>102.77178299999999</v>
      </c>
      <c r="DY70" s="161">
        <f t="shared" si="188"/>
        <v>102.77178299999999</v>
      </c>
      <c r="DZ70" s="161">
        <f t="shared" si="188"/>
        <v>102.77178299999999</v>
      </c>
      <c r="EA70" s="161">
        <f t="shared" si="188"/>
        <v>102.77178299999999</v>
      </c>
      <c r="EB70" s="817">
        <f t="shared" si="188"/>
        <v>102.77178299999999</v>
      </c>
      <c r="EC70" s="161">
        <f t="shared" si="188"/>
        <v>100.97178299999999</v>
      </c>
      <c r="ED70" s="161">
        <f t="shared" si="188"/>
        <v>100.97178299999999</v>
      </c>
      <c r="EE70" s="161">
        <f t="shared" si="188"/>
        <v>100.97178299999999</v>
      </c>
      <c r="EF70" s="161">
        <f t="shared" si="188"/>
        <v>100.97178299999999</v>
      </c>
      <c r="EG70" s="817">
        <f t="shared" si="188"/>
        <v>100.97178299999999</v>
      </c>
      <c r="EH70" s="161">
        <f t="shared" ref="EH70:EL70" si="189">EH69</f>
        <v>100.97178299999999</v>
      </c>
      <c r="EI70" s="161">
        <f t="shared" si="189"/>
        <v>100.97178299999999</v>
      </c>
      <c r="EJ70" s="161">
        <f t="shared" si="189"/>
        <v>100.97178299999999</v>
      </c>
      <c r="EK70" s="161">
        <f t="shared" si="189"/>
        <v>100.97178299999999</v>
      </c>
      <c r="EL70" s="817">
        <f t="shared" si="189"/>
        <v>100.97178299999999</v>
      </c>
      <c r="EM70" s="1"/>
      <c r="EN70"/>
      <c r="EO70"/>
      <c r="EP70"/>
      <c r="EQ70"/>
      <c r="ER70"/>
      <c r="ES70" s="7"/>
      <c r="ET70"/>
      <c r="EU70" s="7"/>
      <c r="EV70" s="7"/>
      <c r="EW70" s="7"/>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c r="IS70" s="3"/>
      <c r="IT70" s="3"/>
      <c r="IU70" s="3"/>
      <c r="IV70" s="3"/>
      <c r="IW70" s="3"/>
      <c r="IX70" s="3"/>
      <c r="IY70" s="3"/>
      <c r="IZ70" s="3"/>
      <c r="JA70" s="3"/>
      <c r="JB70" s="3"/>
      <c r="JC70" s="3"/>
      <c r="JD70" s="3"/>
      <c r="JE70" s="3"/>
      <c r="JF70" s="3"/>
      <c r="JG70" s="3"/>
      <c r="JH70" s="3"/>
      <c r="JI70" s="3"/>
      <c r="JJ70" s="3"/>
      <c r="JK70" s="3"/>
    </row>
    <row r="71" spans="1:271" s="11" customFormat="1" hidden="1" outlineLevel="1">
      <c r="A71" s="818"/>
      <c r="B71" s="556" t="s">
        <v>502</v>
      </c>
      <c r="C71" s="819"/>
      <c r="D71" s="819">
        <f>((185.587666-19.311722)*3/2)/4</f>
        <v>62.353479000000007</v>
      </c>
      <c r="E71" s="820">
        <f>((185.587666-19.226212)*3/2)/4</f>
        <v>62.385545250000007</v>
      </c>
      <c r="F71" s="820">
        <f>((185.587666-19.088892)*3/2)/4</f>
        <v>62.43704025000001</v>
      </c>
      <c r="G71" s="820">
        <f>H71</f>
        <v>74.976799499999998</v>
      </c>
      <c r="H71" s="821">
        <f>((218.713406-18.775274)*3/2)/4</f>
        <v>74.976799499999998</v>
      </c>
      <c r="I71" s="819">
        <f>((218.713406-18.660394)*3/2)/4</f>
        <v>75.019879500000002</v>
      </c>
      <c r="J71" s="820">
        <f>((218.713406-15.159055)*3/2)/4</f>
        <v>76.332881624999999</v>
      </c>
      <c r="K71" s="820">
        <f>((218.713406-4.045571)*3/2)/4</f>
        <v>80.500438125000002</v>
      </c>
      <c r="L71" s="820">
        <f>M71</f>
        <v>80.970914625000006</v>
      </c>
      <c r="M71" s="821">
        <f>((218.713406-2.790967)*3/2)/4</f>
        <v>80.970914625000006</v>
      </c>
      <c r="N71" s="819">
        <f>((219.232999-2.676091)*3/2)/4</f>
        <v>81.208840499999994</v>
      </c>
      <c r="O71" s="820">
        <f>((219.981043-2.676091)*3/2)/4</f>
        <v>81.489356999999998</v>
      </c>
      <c r="P71" s="820">
        <f>((303.441083-2.676091)*3/2)/4</f>
        <v>112.786872</v>
      </c>
      <c r="Q71" s="820">
        <f>R71</f>
        <v>113.559483</v>
      </c>
      <c r="R71" s="821">
        <f>((305.501379-2.676091)*3/2)/4</f>
        <v>113.559483</v>
      </c>
      <c r="S71" s="819">
        <f>((308.517211-3.754891)*3/2)/4</f>
        <v>114.28586999999999</v>
      </c>
      <c r="T71" s="820">
        <f>((309.730094-3.754891)*3/2)/4</f>
        <v>114.74070112500002</v>
      </c>
      <c r="U71" s="820">
        <f>((311.511837-3.754891)*3/2)/4</f>
        <v>115.40885475000002</v>
      </c>
      <c r="V71" s="820">
        <f>W71</f>
        <v>115.98357225000001</v>
      </c>
      <c r="W71" s="821">
        <f>((313.044417-3.754891)*3/2)/4</f>
        <v>115.98357225000001</v>
      </c>
      <c r="X71" s="819">
        <f>((313.343721-3.754891)*3/2)/4</f>
        <v>116.09581125000001</v>
      </c>
      <c r="Y71" s="820">
        <f>((313.816696-3.754891)*3/2)/4</f>
        <v>116.27317687499999</v>
      </c>
      <c r="Z71" s="820">
        <f>((314.279558-3.754555)*3/2)/4</f>
        <v>116.44687612500002</v>
      </c>
      <c r="AA71" s="820">
        <f>AB71</f>
        <v>116.633855625</v>
      </c>
      <c r="AB71" s="821">
        <f>((314.778323-3.754708)*3/2)/4</f>
        <v>116.633855625</v>
      </c>
      <c r="AC71" s="819">
        <f>((315.125251-3.754708)*3/2)/4</f>
        <v>116.763953625</v>
      </c>
      <c r="AD71" s="820">
        <f>((315.588851-3.754708)*3/2)/4</f>
        <v>116.93780362499999</v>
      </c>
      <c r="AE71" s="820">
        <f>((316.443647-3.754708)*3/2)/4</f>
        <v>117.258352125</v>
      </c>
      <c r="AF71" s="820">
        <f>AG71</f>
        <v>117.547515</v>
      </c>
      <c r="AG71" s="821">
        <f>((317.214748-3.754708)*3/2)/4</f>
        <v>117.547515</v>
      </c>
      <c r="AH71" s="819">
        <f>((319.682179-3.754708)*3/2)/4</f>
        <v>118.47280162500002</v>
      </c>
      <c r="AI71" s="820">
        <f>((320.249985-3.754708)*3/2)/4</f>
        <v>118.685728875</v>
      </c>
      <c r="AJ71" s="820">
        <f>((327.815473-3.754708)*3/2)/4</f>
        <v>121.52278687500001</v>
      </c>
      <c r="AK71" s="820">
        <f>AL71</f>
        <v>122.05023449999999</v>
      </c>
      <c r="AL71" s="821">
        <f>((329.222-3.754708)*3/2)/4</f>
        <v>122.05023449999999</v>
      </c>
      <c r="AM71" s="819">
        <f>((332.30582-5.500208)*3/2)/4</f>
        <v>122.5521045</v>
      </c>
      <c r="AN71" s="820">
        <f>((333.313865-7.125208)*3/2)/4</f>
        <v>122.32074637500001</v>
      </c>
      <c r="AO71" s="820">
        <f>((338.632049-12.125208)*3/2)/4</f>
        <v>122.440065375</v>
      </c>
      <c r="AP71" s="820">
        <f>AQ71</f>
        <v>122.13529725000001</v>
      </c>
      <c r="AQ71" s="821">
        <f>(512.354001-23.812812)/4</f>
        <v>122.13529725000001</v>
      </c>
      <c r="AR71" s="819">
        <f>(513.818584-26.604312)/4</f>
        <v>121.803568</v>
      </c>
      <c r="AS71" s="820">
        <f>(515.613641-41.895162)/4</f>
        <v>118.42961975</v>
      </c>
      <c r="AT71" s="820">
        <f>(516.449473-47.895162)/4</f>
        <v>117.13857775</v>
      </c>
      <c r="AU71" s="820"/>
      <c r="AV71" s="821" t="s">
        <v>503</v>
      </c>
      <c r="AW71" s="819" t="s">
        <v>503</v>
      </c>
      <c r="AX71" s="820" t="s">
        <v>503</v>
      </c>
      <c r="AY71" s="820">
        <f>(515.633555-41.895162)/4</f>
        <v>118.43459824999999</v>
      </c>
      <c r="AZ71" s="820">
        <f>AY71</f>
        <v>118.43459824999999</v>
      </c>
      <c r="BA71" s="819">
        <f>(516.473088-47.895162)/4</f>
        <v>117.14448149999998</v>
      </c>
      <c r="BB71" s="820">
        <f>(517.23028-54.366661)/4</f>
        <v>115.71590474999999</v>
      </c>
      <c r="BC71" s="820">
        <f>(518.107018-54.227639)/4</f>
        <v>115.96984475000001</v>
      </c>
      <c r="BD71" s="820">
        <f>(519.01296-54.226419)/4</f>
        <v>116.19663525</v>
      </c>
      <c r="BE71" s="821">
        <f>BD71</f>
        <v>116.19663525</v>
      </c>
      <c r="BF71" s="819">
        <f>(519.674488-54.205484)/4</f>
        <v>116.367251</v>
      </c>
      <c r="BG71" s="820">
        <f>(520.32865-54.193619)/4</f>
        <v>116.53375775000001</v>
      </c>
      <c r="BH71" s="820">
        <f>(520.838095-54.171584)/4</f>
        <v>116.66662774999999</v>
      </c>
      <c r="BI71" s="820">
        <f>(521.132853-53.896498)/4</f>
        <v>116.80908874999999</v>
      </c>
      <c r="BJ71" s="821">
        <f>BI71</f>
        <v>116.80908874999999</v>
      </c>
      <c r="BK71" s="819">
        <f>(522.666277-54.102719)/4</f>
        <v>117.14088950000001</v>
      </c>
      <c r="BL71" s="820">
        <f>(524.63811-55.684146)/4</f>
        <v>117.238491</v>
      </c>
      <c r="BM71" s="820">
        <f>(524.961696-55.555441)/4</f>
        <v>117.35156375</v>
      </c>
      <c r="BN71" s="820">
        <f>(525.373176-55.663588)/4</f>
        <v>117.42739699999998</v>
      </c>
      <c r="BO71" s="821">
        <f>BN71</f>
        <v>117.42739699999998</v>
      </c>
      <c r="BP71" s="819">
        <f>(526.005929-55.548334)/4</f>
        <v>117.61439875000001</v>
      </c>
      <c r="BQ71" s="820">
        <f>(526.860533-56.206714)/4</f>
        <v>117.66345475000001</v>
      </c>
      <c r="BR71" s="820">
        <f>(527.0572-55.73975)/4</f>
        <v>117.82936249999999</v>
      </c>
      <c r="BS71" s="820">
        <f>(527.384164-55.798815)/4</f>
        <v>117.89633725000002</v>
      </c>
      <c r="BT71" s="821">
        <f>BS71</f>
        <v>117.89633725000002</v>
      </c>
      <c r="BU71" s="819">
        <f>(529.499496-56.484035)/4</f>
        <v>118.25386525</v>
      </c>
      <c r="BV71" s="820">
        <f>(530.253825-56.811675)/4</f>
        <v>118.36053750000001</v>
      </c>
      <c r="BW71" s="820">
        <f>(530.395334-56.301997)/4</f>
        <v>118.52333425</v>
      </c>
      <c r="BX71" s="820">
        <f>(530.689733-56.310604)/4</f>
        <v>118.59478225000001</v>
      </c>
      <c r="BY71" s="821">
        <f>BX71</f>
        <v>118.59478225000001</v>
      </c>
      <c r="BZ71" s="819">
        <f>(531.690661-55.538298)/4</f>
        <v>119.03809074999999</v>
      </c>
      <c r="CA71" s="820">
        <f>(532.572844-56.089373)/4</f>
        <v>119.12086775</v>
      </c>
      <c r="CB71" s="820">
        <f>(532.730096-55.741855)/4</f>
        <v>119.24706025</v>
      </c>
      <c r="CC71" s="820">
        <f>(532.890116-55.716859)/4</f>
        <v>119.29331425000001</v>
      </c>
      <c r="CD71" s="821">
        <f>CC71</f>
        <v>119.29331425000001</v>
      </c>
      <c r="CE71" s="819">
        <f>(534.759045-54.828608)/4</f>
        <v>119.98260925</v>
      </c>
      <c r="CF71" s="820">
        <f>(535.538546-54.722347)/4</f>
        <v>120.20404975</v>
      </c>
      <c r="CG71" s="820">
        <f>(538.61091-57.510881)/4</f>
        <v>120.27500725</v>
      </c>
      <c r="CH71" s="820">
        <f>(538.610856-57.475602)/4</f>
        <v>120.28381350000001</v>
      </c>
      <c r="CI71" s="821">
        <f>CH71</f>
        <v>120.28381350000001</v>
      </c>
      <c r="CJ71" s="819">
        <f>(550.110856-66.043509)/4</f>
        <v>121.01683675000001</v>
      </c>
      <c r="CK71" s="820">
        <f>(550.539657-65.507033)/4</f>
        <v>121.25815600000001</v>
      </c>
      <c r="CL71" s="820">
        <f>(550.71005-65.383026)/4</f>
        <v>121.33175600000001</v>
      </c>
      <c r="CM71" s="820">
        <f>(550.88211-65.098918)/4</f>
        <v>121.445798</v>
      </c>
      <c r="CN71" s="821">
        <f>CM71</f>
        <v>121.445798</v>
      </c>
      <c r="CO71" s="819">
        <f>(550.992372-61.655445)/4</f>
        <v>122.33423175000001</v>
      </c>
      <c r="CP71" s="820">
        <f>(551.109476-72.377607)/4</f>
        <v>119.68296724999999</v>
      </c>
      <c r="CQ71" s="820">
        <f>(551.251384-96.253367)/4</f>
        <v>113.74950425</v>
      </c>
      <c r="CR71" s="820">
        <f>(551.46855-136.442696)/4</f>
        <v>103.75646350000001</v>
      </c>
      <c r="CS71" s="821">
        <f>CR71</f>
        <v>103.75646350000001</v>
      </c>
      <c r="CT71" s="819">
        <f>(551.631747-138.10042)/4</f>
        <v>103.38283175000001</v>
      </c>
      <c r="CU71" s="820">
        <f>(553.789249-137.295241)/4</f>
        <v>104.123502</v>
      </c>
      <c r="CV71" s="820">
        <f>138.739064-34.320438</f>
        <v>104.41862600000002</v>
      </c>
      <c r="CW71" s="820">
        <f>142.363915-37.730431</f>
        <v>104.63348399999998</v>
      </c>
      <c r="CX71" s="821">
        <f>CW71</f>
        <v>104.63348399999998</v>
      </c>
      <c r="CY71" s="819">
        <f>143.59796-40.172225</f>
        <v>103.425735</v>
      </c>
      <c r="CZ71" s="820">
        <f>143.903849-42.165478</f>
        <v>101.738371</v>
      </c>
      <c r="DA71" s="820">
        <v>99.226697000000001</v>
      </c>
      <c r="DB71" s="820">
        <v>96.989632</v>
      </c>
      <c r="DC71" s="821">
        <f>DB71</f>
        <v>96.989632</v>
      </c>
      <c r="DD71" s="819">
        <f>144.782041-47.197211</f>
        <v>97.584829999999982</v>
      </c>
      <c r="DE71" s="820">
        <f>145.010828-47.196972</f>
        <v>97.813856000000001</v>
      </c>
      <c r="DF71" s="820">
        <f>145.421213-47.196935</f>
        <v>98.224277999999998</v>
      </c>
      <c r="DG71" s="820">
        <f>DF71-DG75</f>
        <v>98.224277999999998</v>
      </c>
      <c r="DH71" s="821">
        <f>DG71</f>
        <v>98.224277999999998</v>
      </c>
      <c r="DI71" s="819">
        <f>146.346935-47.183241</f>
        <v>99.163693999999992</v>
      </c>
      <c r="DJ71" s="820">
        <f>146.497889-47.18299</f>
        <v>99.314898999999997</v>
      </c>
      <c r="DK71" s="820">
        <v>99.669207999999998</v>
      </c>
      <c r="DL71" s="820">
        <f>146.920454-48.425298</f>
        <v>98.495156000000009</v>
      </c>
      <c r="DM71" s="821">
        <f>DL71</f>
        <v>98.495156000000009</v>
      </c>
      <c r="DN71" s="819">
        <f>147.692493-48.424273</f>
        <v>99.268220000000014</v>
      </c>
      <c r="DO71" s="820">
        <f>DN71-DO75</f>
        <v>99.268220000000014</v>
      </c>
      <c r="DP71" s="820">
        <f>147.949048-48.420844</f>
        <v>99.528204000000002</v>
      </c>
      <c r="DQ71" s="820">
        <v>100.928</v>
      </c>
      <c r="DR71" s="821">
        <f>DQ71</f>
        <v>100.928</v>
      </c>
      <c r="DS71" s="819">
        <f>148.840473-48.419483</f>
        <v>100.42099</v>
      </c>
      <c r="DT71" s="819">
        <f>149.127794-48.417575</f>
        <v>100.710219</v>
      </c>
      <c r="DU71" s="819">
        <f>149.244229-48.41328</f>
        <v>100.83094899999999</v>
      </c>
      <c r="DV71" s="820">
        <f>149.384952-48.413169</f>
        <v>100.97178299999999</v>
      </c>
      <c r="DW71" s="821">
        <f>DV71</f>
        <v>100.97178299999999</v>
      </c>
      <c r="DX71" s="822">
        <f>DV71-DX75</f>
        <v>100.97178299999999</v>
      </c>
      <c r="DY71" s="822">
        <f>DX71-DY75</f>
        <v>100.97178299999999</v>
      </c>
      <c r="DZ71" s="822">
        <f>DY71-DZ75</f>
        <v>100.97178299999999</v>
      </c>
      <c r="EA71" s="822">
        <f>DZ71-EA75</f>
        <v>100.97178299999999</v>
      </c>
      <c r="EB71" s="821">
        <f>EA71</f>
        <v>100.97178299999999</v>
      </c>
      <c r="EC71" s="822">
        <f>EA71-EC75</f>
        <v>100.97178299999999</v>
      </c>
      <c r="ED71" s="822">
        <f>EC71-ED75</f>
        <v>100.97178299999999</v>
      </c>
      <c r="EE71" s="822">
        <f>ED71-EE75</f>
        <v>100.97178299999999</v>
      </c>
      <c r="EF71" s="822">
        <f>EE71-EF75</f>
        <v>100.97178299999999</v>
      </c>
      <c r="EG71" s="821">
        <f>EF71</f>
        <v>100.97178299999999</v>
      </c>
      <c r="EH71" s="822">
        <f>EF71-EH75</f>
        <v>100.97178299999999</v>
      </c>
      <c r="EI71" s="822">
        <f>EH71-EI75</f>
        <v>100.97178299999999</v>
      </c>
      <c r="EJ71" s="822">
        <f>EI71-EJ75</f>
        <v>100.97178299999999</v>
      </c>
      <c r="EK71" s="822">
        <f>EJ71-EK75</f>
        <v>100.97178299999999</v>
      </c>
      <c r="EL71" s="821">
        <f>EK71</f>
        <v>100.97178299999999</v>
      </c>
      <c r="EM71" s="1"/>
      <c r="EN71"/>
      <c r="EO71"/>
      <c r="EP71"/>
      <c r="EQ71"/>
      <c r="ER71"/>
      <c r="ES71" s="7"/>
      <c r="ET71"/>
      <c r="EU71" s="7"/>
      <c r="EV71" s="7"/>
      <c r="EW71" s="7"/>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c r="IS71" s="3"/>
      <c r="IT71" s="3"/>
      <c r="IU71" s="3"/>
      <c r="IV71" s="3"/>
      <c r="IW71" s="3"/>
      <c r="IX71" s="3"/>
      <c r="IY71" s="3"/>
      <c r="IZ71" s="3"/>
      <c r="JA71" s="3"/>
      <c r="JB71" s="3"/>
      <c r="JC71" s="3"/>
      <c r="JD71" s="3"/>
      <c r="JE71" s="3"/>
      <c r="JF71" s="3"/>
      <c r="JG71" s="3"/>
      <c r="JH71" s="3"/>
      <c r="JI71" s="3"/>
      <c r="JJ71" s="3"/>
      <c r="JK71" s="3"/>
    </row>
    <row r="72" spans="1:271" s="11" customFormat="1" hidden="1" outlineLevel="1">
      <c r="A72" s="801"/>
      <c r="B72" s="557"/>
      <c r="C72" s="739"/>
      <c r="D72" s="823"/>
      <c r="E72" s="739"/>
      <c r="F72" s="739"/>
      <c r="G72" s="739"/>
      <c r="H72" s="78"/>
      <c r="I72" s="823"/>
      <c r="J72" s="739"/>
      <c r="K72" s="739"/>
      <c r="L72" s="739"/>
      <c r="M72" s="78"/>
      <c r="N72" s="823"/>
      <c r="O72" s="739"/>
      <c r="P72" s="739"/>
      <c r="Q72" s="739"/>
      <c r="R72" s="78"/>
      <c r="S72" s="823"/>
      <c r="T72" s="739"/>
      <c r="U72" s="739"/>
      <c r="V72" s="739"/>
      <c r="W72" s="78"/>
      <c r="X72" s="823"/>
      <c r="Y72" s="739"/>
      <c r="Z72" s="739"/>
      <c r="AA72" s="739"/>
      <c r="AB72" s="78"/>
      <c r="AC72" s="823"/>
      <c r="AD72" s="739"/>
      <c r="AE72" s="739"/>
      <c r="AF72" s="739"/>
      <c r="AG72" s="78"/>
      <c r="AH72" s="823"/>
      <c r="AI72" s="739"/>
      <c r="AJ72" s="739"/>
      <c r="AK72" s="739"/>
      <c r="AL72" s="78"/>
      <c r="AM72" s="823"/>
      <c r="AN72" s="739"/>
      <c r="AO72" s="739"/>
      <c r="AP72" s="739"/>
      <c r="AQ72" s="78"/>
      <c r="AR72" s="823"/>
      <c r="AS72" s="739"/>
      <c r="AT72" s="739"/>
      <c r="AU72" s="739"/>
      <c r="AV72" s="78"/>
      <c r="AW72" s="823"/>
      <c r="AX72" s="739"/>
      <c r="AY72" s="739"/>
      <c r="AZ72" s="739"/>
      <c r="BA72" s="823"/>
      <c r="BB72" s="739"/>
      <c r="BC72" s="739"/>
      <c r="BD72" s="739"/>
      <c r="BE72" s="78"/>
      <c r="BF72" s="823"/>
      <c r="BG72" s="739"/>
      <c r="BH72" s="739"/>
      <c r="BI72" s="739"/>
      <c r="BJ72" s="78"/>
      <c r="BK72" s="823"/>
      <c r="BL72" s="739"/>
      <c r="BM72" s="739"/>
      <c r="BN72" s="739"/>
      <c r="BO72" s="78"/>
      <c r="BP72" s="823"/>
      <c r="BQ72" s="739"/>
      <c r="BR72" s="739"/>
      <c r="BS72" s="739"/>
      <c r="BT72" s="78"/>
      <c r="BU72" s="823"/>
      <c r="BV72" s="739"/>
      <c r="BW72" s="739"/>
      <c r="BX72" s="739"/>
      <c r="BY72" s="78"/>
      <c r="BZ72" s="823"/>
      <c r="CA72" s="739"/>
      <c r="CB72" s="739"/>
      <c r="CC72" s="739"/>
      <c r="CD72" s="78"/>
      <c r="CE72" s="823"/>
      <c r="CF72" s="739"/>
      <c r="CG72" s="739"/>
      <c r="CH72" s="739"/>
      <c r="CI72" s="78"/>
      <c r="CJ72" s="823"/>
      <c r="CK72" s="739"/>
      <c r="CL72" s="739"/>
      <c r="CM72" s="739"/>
      <c r="CN72" s="78"/>
      <c r="CO72" s="823"/>
      <c r="CP72" s="739"/>
      <c r="CQ72" s="739"/>
      <c r="CR72" s="739"/>
      <c r="CS72" s="78"/>
      <c r="CT72" s="823"/>
      <c r="CU72" s="739"/>
      <c r="CV72" s="739"/>
      <c r="CW72" s="739"/>
      <c r="CX72" s="78"/>
      <c r="CY72" s="823"/>
      <c r="CZ72" s="739"/>
      <c r="DA72" s="739"/>
      <c r="DB72" s="739"/>
      <c r="DC72" s="78"/>
      <c r="DD72" s="823">
        <v>1.0149999999999999</v>
      </c>
      <c r="DE72" s="739">
        <v>1.0218447083077289</v>
      </c>
      <c r="DF72" s="739">
        <v>1.0218447083077289</v>
      </c>
      <c r="DG72" s="739">
        <v>1.0218447083077289</v>
      </c>
      <c r="DH72" s="78"/>
      <c r="DI72" s="823"/>
      <c r="DJ72" s="739"/>
      <c r="DK72" s="739"/>
      <c r="DL72" s="739"/>
      <c r="DM72" s="78"/>
      <c r="DN72" s="823"/>
      <c r="DO72" s="739"/>
      <c r="DP72" s="739"/>
      <c r="DQ72" s="739"/>
      <c r="DR72" s="78"/>
      <c r="DS72" s="823"/>
      <c r="DT72" s="739"/>
      <c r="DU72" s="739"/>
      <c r="DV72" s="739"/>
      <c r="DW72" s="78"/>
      <c r="DX72" s="739"/>
      <c r="DY72" s="739"/>
      <c r="DZ72" s="739"/>
      <c r="EA72" s="739"/>
      <c r="EB72" s="78"/>
      <c r="EC72" s="739"/>
      <c r="ED72" s="739"/>
      <c r="EE72" s="739"/>
      <c r="EF72" s="739"/>
      <c r="EG72" s="78"/>
      <c r="EH72" s="739"/>
      <c r="EI72" s="739"/>
      <c r="EJ72" s="739"/>
      <c r="EK72" s="739"/>
      <c r="EL72" s="78"/>
      <c r="EM72" s="1"/>
      <c r="EN72"/>
      <c r="EO72"/>
      <c r="EP72"/>
      <c r="EQ72"/>
      <c r="ER72"/>
      <c r="ES72" s="7"/>
      <c r="ET72"/>
      <c r="EU72" s="7"/>
      <c r="EV72" s="7"/>
      <c r="EW72" s="7"/>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c r="IS72" s="3"/>
      <c r="IT72" s="3"/>
      <c r="IU72" s="3"/>
      <c r="IV72" s="3"/>
      <c r="IW72" s="3"/>
      <c r="IX72" s="3"/>
      <c r="IY72" s="3"/>
      <c r="IZ72" s="3"/>
      <c r="JA72" s="3"/>
      <c r="JB72" s="3"/>
      <c r="JC72" s="3"/>
      <c r="JD72" s="3"/>
      <c r="JE72" s="3"/>
      <c r="JF72" s="3"/>
      <c r="JG72" s="3"/>
      <c r="JH72" s="3"/>
      <c r="JI72" s="3"/>
      <c r="JJ72" s="3"/>
      <c r="JK72" s="3"/>
    </row>
    <row r="73" spans="1:271" s="11" customFormat="1" hidden="1" outlineLevel="1">
      <c r="A73" s="824"/>
      <c r="B73" s="825" t="s">
        <v>504</v>
      </c>
      <c r="C73" s="826"/>
      <c r="D73" s="826"/>
      <c r="E73" s="826"/>
      <c r="F73" s="826"/>
      <c r="G73" s="826"/>
      <c r="H73" s="827"/>
      <c r="I73" s="826"/>
      <c r="J73" s="826"/>
      <c r="K73" s="826"/>
      <c r="L73" s="826"/>
      <c r="M73" s="827"/>
      <c r="N73" s="826"/>
      <c r="O73" s="826"/>
      <c r="P73" s="826"/>
      <c r="Q73" s="826"/>
      <c r="R73" s="827"/>
      <c r="S73" s="826"/>
      <c r="T73" s="826"/>
      <c r="U73" s="826"/>
      <c r="V73" s="826"/>
      <c r="W73" s="827"/>
      <c r="X73" s="826"/>
      <c r="Y73" s="826"/>
      <c r="Z73" s="826"/>
      <c r="AA73" s="826"/>
      <c r="AB73" s="827"/>
      <c r="AC73" s="826"/>
      <c r="AD73" s="826"/>
      <c r="AE73" s="826"/>
      <c r="AF73" s="826"/>
      <c r="AG73" s="827"/>
      <c r="AH73" s="826"/>
      <c r="AI73" s="826"/>
      <c r="AJ73" s="826"/>
      <c r="AK73" s="826"/>
      <c r="AL73" s="827"/>
      <c r="AM73" s="826"/>
      <c r="AN73" s="826"/>
      <c r="AO73" s="826"/>
      <c r="AP73" s="826"/>
      <c r="AQ73" s="827"/>
      <c r="AR73" s="826"/>
      <c r="AS73" s="826"/>
      <c r="AT73" s="826"/>
      <c r="AU73" s="826"/>
      <c r="AV73" s="827"/>
      <c r="AW73" s="826"/>
      <c r="AX73" s="826"/>
      <c r="AY73" s="826"/>
      <c r="AZ73" s="826"/>
      <c r="BA73" s="826"/>
      <c r="BB73" s="826"/>
      <c r="BC73" s="826"/>
      <c r="BD73" s="826"/>
      <c r="BE73" s="827"/>
      <c r="BF73" s="826"/>
      <c r="BG73" s="826"/>
      <c r="BH73" s="826"/>
      <c r="BI73" s="826"/>
      <c r="BJ73" s="827"/>
      <c r="BK73" s="826"/>
      <c r="BL73" s="826"/>
      <c r="BM73" s="826"/>
      <c r="BN73" s="826"/>
      <c r="BO73" s="827"/>
      <c r="BP73" s="826"/>
      <c r="BQ73" s="826"/>
      <c r="BR73" s="826"/>
      <c r="BS73" s="826"/>
      <c r="BT73" s="827"/>
      <c r="BU73" s="826"/>
      <c r="BV73" s="826"/>
      <c r="BW73" s="826"/>
      <c r="BX73" s="826"/>
      <c r="BY73" s="827"/>
      <c r="BZ73" s="826"/>
      <c r="CA73" s="826"/>
      <c r="CB73" s="826"/>
      <c r="CC73" s="826"/>
      <c r="CD73" s="827"/>
      <c r="CE73" s="826"/>
      <c r="CF73" s="826"/>
      <c r="CG73" s="826"/>
      <c r="CH73" s="826"/>
      <c r="CI73" s="827"/>
      <c r="CJ73" s="826"/>
      <c r="CK73" s="826"/>
      <c r="CL73" s="826"/>
      <c r="CM73" s="826"/>
      <c r="CN73" s="827"/>
      <c r="CO73" s="826"/>
      <c r="CP73" s="826"/>
      <c r="CQ73" s="826"/>
      <c r="CR73" s="826"/>
      <c r="CS73" s="827"/>
      <c r="CT73" s="826"/>
      <c r="CU73" s="826"/>
      <c r="CV73" s="826"/>
      <c r="CW73" s="826"/>
      <c r="CX73" s="827"/>
      <c r="CY73" s="826"/>
      <c r="CZ73" s="826"/>
      <c r="DA73" s="826"/>
      <c r="DB73" s="826"/>
      <c r="DC73" s="827"/>
      <c r="DD73" s="826"/>
      <c r="DE73" s="826"/>
      <c r="DF73" s="826"/>
      <c r="DG73" s="826"/>
      <c r="DH73" s="827"/>
      <c r="DI73" s="826"/>
      <c r="DJ73" s="826"/>
      <c r="DK73" s="826"/>
      <c r="DL73" s="826"/>
      <c r="DM73" s="827"/>
      <c r="DN73" s="826"/>
      <c r="DO73" s="826"/>
      <c r="DP73" s="826"/>
      <c r="DQ73" s="826"/>
      <c r="DR73" s="827"/>
      <c r="DS73" s="826"/>
      <c r="DT73" s="826"/>
      <c r="DU73" s="826"/>
      <c r="DV73" s="826"/>
      <c r="DW73" s="827"/>
      <c r="DX73" s="826"/>
      <c r="DY73" s="826"/>
      <c r="DZ73" s="826"/>
      <c r="EA73" s="826"/>
      <c r="EB73" s="827"/>
      <c r="EC73" s="826"/>
      <c r="ED73" s="826"/>
      <c r="EE73" s="826"/>
      <c r="EF73" s="826"/>
      <c r="EG73" s="827"/>
      <c r="EH73" s="826"/>
      <c r="EI73" s="826"/>
      <c r="EJ73" s="826"/>
      <c r="EK73" s="826"/>
      <c r="EL73" s="827"/>
      <c r="EM73" s="1"/>
      <c r="EN73"/>
      <c r="EO73"/>
      <c r="EP73"/>
      <c r="EQ73"/>
      <c r="ER73"/>
      <c r="ES73" s="7"/>
      <c r="ET73"/>
      <c r="EU73" s="7"/>
      <c r="EV73" s="7"/>
      <c r="EW73" s="7"/>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c r="HF73" s="3"/>
      <c r="HG73" s="3"/>
      <c r="HH73" s="3"/>
      <c r="HI73" s="3"/>
      <c r="HJ73" s="3"/>
      <c r="HK73" s="3"/>
      <c r="HL73" s="3"/>
      <c r="HM73" s="3"/>
      <c r="HN73" s="3"/>
      <c r="HO73" s="3"/>
      <c r="HP73" s="3"/>
      <c r="HQ73" s="3"/>
      <c r="HR73" s="3"/>
      <c r="HS73" s="3"/>
      <c r="HT73" s="3"/>
      <c r="HU73" s="3"/>
      <c r="HV73" s="3"/>
      <c r="HW73" s="3"/>
      <c r="HX73" s="3"/>
      <c r="HY73" s="3"/>
      <c r="HZ73" s="3"/>
      <c r="IA73" s="3"/>
      <c r="IB73" s="3"/>
      <c r="IC73" s="3"/>
      <c r="ID73" s="3"/>
      <c r="IE73" s="3"/>
      <c r="IF73" s="3"/>
      <c r="IG73" s="3"/>
      <c r="IH73" s="3"/>
      <c r="II73" s="3"/>
      <c r="IJ73" s="3"/>
      <c r="IK73" s="3"/>
      <c r="IL73" s="3"/>
      <c r="IM73" s="3"/>
      <c r="IN73" s="3"/>
      <c r="IO73" s="3"/>
      <c r="IP73" s="3"/>
      <c r="IQ73" s="3"/>
      <c r="IR73" s="3"/>
      <c r="IS73" s="3"/>
      <c r="IT73" s="3"/>
      <c r="IU73" s="3"/>
      <c r="IV73" s="3"/>
      <c r="IW73" s="3"/>
      <c r="IX73" s="3"/>
      <c r="IY73" s="3"/>
      <c r="IZ73" s="3"/>
      <c r="JA73" s="3"/>
      <c r="JB73" s="3"/>
      <c r="JC73" s="3"/>
      <c r="JD73" s="3"/>
      <c r="JE73" s="3"/>
      <c r="JF73" s="3"/>
      <c r="JG73" s="3"/>
      <c r="JH73" s="3"/>
      <c r="JI73" s="3"/>
      <c r="JJ73" s="3"/>
      <c r="JK73" s="3"/>
    </row>
    <row r="74" spans="1:271" s="59" customFormat="1" hidden="1" outlineLevel="1">
      <c r="A74" s="828"/>
      <c r="B74" s="829" t="s">
        <v>505</v>
      </c>
      <c r="C74" s="830"/>
      <c r="D74" s="831"/>
      <c r="E74" s="831"/>
      <c r="F74" s="831"/>
      <c r="G74" s="831"/>
      <c r="H74" s="832"/>
      <c r="I74" s="831"/>
      <c r="J74" s="831"/>
      <c r="K74" s="831"/>
      <c r="L74" s="831"/>
      <c r="M74" s="832"/>
      <c r="N74" s="831"/>
      <c r="O74" s="831"/>
      <c r="P74" s="831"/>
      <c r="Q74" s="831"/>
      <c r="R74" s="832"/>
      <c r="S74" s="831"/>
      <c r="T74" s="831"/>
      <c r="U74" s="831"/>
      <c r="V74" s="831"/>
      <c r="W74" s="832"/>
      <c r="X74" s="831"/>
      <c r="Y74" s="831"/>
      <c r="Z74" s="831"/>
      <c r="AA74" s="831"/>
      <c r="AB74" s="832"/>
      <c r="AC74" s="831"/>
      <c r="AD74" s="831"/>
      <c r="AE74" s="831"/>
      <c r="AF74" s="831"/>
      <c r="AG74" s="832"/>
      <c r="AH74" s="831"/>
      <c r="AI74" s="831"/>
      <c r="AJ74" s="831"/>
      <c r="AK74" s="831"/>
      <c r="AL74" s="832"/>
      <c r="AM74" s="831"/>
      <c r="AN74" s="831"/>
      <c r="AO74" s="831"/>
      <c r="AP74" s="831"/>
      <c r="AQ74" s="832"/>
      <c r="AR74" s="831"/>
      <c r="AS74" s="831"/>
      <c r="AT74" s="831"/>
      <c r="AU74" s="831"/>
      <c r="AV74" s="832"/>
      <c r="AW74" s="831"/>
      <c r="AX74" s="831"/>
      <c r="AY74" s="831"/>
      <c r="AZ74" s="831">
        <f>AY74</f>
        <v>0</v>
      </c>
      <c r="BA74" s="831"/>
      <c r="BB74" s="831"/>
      <c r="BC74" s="831"/>
      <c r="BD74" s="831"/>
      <c r="BE74" s="832">
        <f>BD74</f>
        <v>0</v>
      </c>
      <c r="BF74" s="831">
        <v>0</v>
      </c>
      <c r="BG74" s="831">
        <v>0</v>
      </c>
      <c r="BH74" s="831">
        <v>0</v>
      </c>
      <c r="BI74" s="831">
        <v>0</v>
      </c>
      <c r="BJ74" s="832">
        <f>BI74</f>
        <v>0</v>
      </c>
      <c r="BK74" s="831">
        <v>0</v>
      </c>
      <c r="BL74" s="831">
        <v>0</v>
      </c>
      <c r="BM74" s="831">
        <v>0</v>
      </c>
      <c r="BN74" s="831">
        <v>0</v>
      </c>
      <c r="BO74" s="832">
        <f>BN74</f>
        <v>0</v>
      </c>
      <c r="BP74" s="831">
        <v>0</v>
      </c>
      <c r="BQ74" s="831">
        <v>0</v>
      </c>
      <c r="BR74" s="831">
        <v>0</v>
      </c>
      <c r="BS74" s="831">
        <v>0</v>
      </c>
      <c r="BT74" s="832">
        <f>BS74</f>
        <v>0</v>
      </c>
      <c r="BU74" s="831">
        <v>0</v>
      </c>
      <c r="BV74" s="831">
        <v>0</v>
      </c>
      <c r="BW74" s="831">
        <v>0</v>
      </c>
      <c r="BX74" s="831">
        <v>0</v>
      </c>
      <c r="BY74" s="832">
        <f>BX74</f>
        <v>0</v>
      </c>
      <c r="BZ74" s="831">
        <v>0</v>
      </c>
      <c r="CA74" s="831">
        <v>0</v>
      </c>
      <c r="CB74" s="831">
        <v>0</v>
      </c>
      <c r="CC74" s="831">
        <v>0</v>
      </c>
      <c r="CD74" s="832">
        <f>CC74</f>
        <v>0</v>
      </c>
      <c r="CE74" s="831">
        <v>0</v>
      </c>
      <c r="CF74" s="831">
        <v>0</v>
      </c>
      <c r="CG74" s="831">
        <v>0</v>
      </c>
      <c r="CH74" s="831">
        <v>0</v>
      </c>
      <c r="CI74" s="832">
        <f>CH74</f>
        <v>0</v>
      </c>
      <c r="CJ74" s="831">
        <v>0</v>
      </c>
      <c r="CK74" s="831">
        <v>0</v>
      </c>
      <c r="CL74" s="831">
        <v>0</v>
      </c>
      <c r="CM74" s="831">
        <v>0</v>
      </c>
      <c r="CN74" s="832">
        <f>CM74</f>
        <v>0</v>
      </c>
      <c r="CO74" s="831">
        <v>0</v>
      </c>
      <c r="CP74" s="831">
        <v>400</v>
      </c>
      <c r="CQ74" s="831">
        <v>400</v>
      </c>
      <c r="CR74" s="831">
        <v>400</v>
      </c>
      <c r="CS74" s="832">
        <f>CR74</f>
        <v>400</v>
      </c>
      <c r="CT74" s="831">
        <v>400</v>
      </c>
      <c r="CU74" s="831">
        <v>0</v>
      </c>
      <c r="CV74" s="831">
        <v>0</v>
      </c>
      <c r="CW74" s="831">
        <v>500</v>
      </c>
      <c r="CX74" s="832">
        <f>CW74</f>
        <v>500</v>
      </c>
      <c r="CY74" s="831">
        <f>CX74-CW77</f>
        <v>400</v>
      </c>
      <c r="CZ74" s="831">
        <f>CY74-CY77</f>
        <v>299.97426999999999</v>
      </c>
      <c r="DA74" s="831">
        <f>CZ74-CZ77</f>
        <v>209.97426999999999</v>
      </c>
      <c r="DB74" s="831">
        <f>DA74-DA77</f>
        <v>87.774269999999987</v>
      </c>
      <c r="DC74" s="832">
        <f>DB74</f>
        <v>87.774269999999987</v>
      </c>
      <c r="DD74" s="831">
        <v>500</v>
      </c>
      <c r="DE74" s="831">
        <f>DD74-DD77</f>
        <v>500</v>
      </c>
      <c r="DF74" s="831">
        <f>DE74-DE77</f>
        <v>500</v>
      </c>
      <c r="DG74" s="831">
        <f>DF74-DF77</f>
        <v>500</v>
      </c>
      <c r="DH74" s="832">
        <f>DG74</f>
        <v>500</v>
      </c>
      <c r="DI74" s="831">
        <f>DG74-DG77</f>
        <v>500</v>
      </c>
      <c r="DJ74" s="831">
        <f>DI74-DI77</f>
        <v>500</v>
      </c>
      <c r="DK74" s="831">
        <f>DJ74-DJ77</f>
        <v>500</v>
      </c>
      <c r="DL74" s="831">
        <f>DK74-DK77</f>
        <v>500</v>
      </c>
      <c r="DM74" s="832">
        <f>DL74</f>
        <v>500</v>
      </c>
      <c r="DN74" s="1263">
        <f>DL74-DL77</f>
        <v>460</v>
      </c>
      <c r="DO74" s="1263">
        <f>DN74-DN77</f>
        <v>440</v>
      </c>
      <c r="DP74" s="1263">
        <f>DO74-DO77</f>
        <v>420</v>
      </c>
      <c r="DQ74" s="1263">
        <f>DP74-DP77</f>
        <v>400</v>
      </c>
      <c r="DR74" s="832">
        <f>DQ74</f>
        <v>400</v>
      </c>
      <c r="DS74" s="1263">
        <f>DQ74-DQ77</f>
        <v>380</v>
      </c>
      <c r="DT74" s="1263">
        <f>DS74-DS77</f>
        <v>380</v>
      </c>
      <c r="DU74" s="1263">
        <f>DT74-DT77</f>
        <v>380</v>
      </c>
      <c r="DV74" s="1263">
        <f>DU74-DU77</f>
        <v>380</v>
      </c>
      <c r="DW74" s="832">
        <f>DV74</f>
        <v>380</v>
      </c>
      <c r="DX74" s="1263">
        <f>DV74-DV77</f>
        <v>360</v>
      </c>
      <c r="DY74" s="1263">
        <f>DX74-DX77</f>
        <v>360</v>
      </c>
      <c r="DZ74" s="1263">
        <f>DY74-DY77</f>
        <v>360</v>
      </c>
      <c r="EA74" s="1263">
        <f>DZ74-DZ77</f>
        <v>360</v>
      </c>
      <c r="EB74" s="832">
        <f>EA74</f>
        <v>360</v>
      </c>
      <c r="EC74" s="1263">
        <f>EA74-EA77</f>
        <v>360</v>
      </c>
      <c r="ED74" s="1263">
        <f>EC74-EC77</f>
        <v>360</v>
      </c>
      <c r="EE74" s="1263">
        <f>ED74-ED77</f>
        <v>360</v>
      </c>
      <c r="EF74" s="1263">
        <f>EE74-EE77</f>
        <v>360</v>
      </c>
      <c r="EG74" s="832">
        <f>EF74</f>
        <v>360</v>
      </c>
      <c r="EH74" s="1263">
        <f>EF74-EF77</f>
        <v>360</v>
      </c>
      <c r="EI74" s="1263">
        <f>EH74-EH77</f>
        <v>360</v>
      </c>
      <c r="EJ74" s="1263">
        <f>EI74-EI77</f>
        <v>360</v>
      </c>
      <c r="EK74" s="1263">
        <f>EJ74-EJ77</f>
        <v>360</v>
      </c>
      <c r="EL74" s="832">
        <f>EK74</f>
        <v>360</v>
      </c>
      <c r="EM74" s="60"/>
      <c r="EN74"/>
      <c r="EO74"/>
      <c r="EP74"/>
      <c r="EQ74"/>
      <c r="ER74"/>
      <c r="ES74" s="61"/>
      <c r="ET74"/>
      <c r="EU74" s="61"/>
      <c r="EV74" s="61"/>
      <c r="EW74" s="61"/>
      <c r="EX74" s="24"/>
      <c r="EY74" s="24"/>
      <c r="EZ74" s="24"/>
      <c r="FA74" s="24"/>
      <c r="FB74" s="24"/>
      <c r="FC74" s="24"/>
      <c r="FD74" s="24"/>
      <c r="FE74" s="24"/>
      <c r="FF74" s="24"/>
      <c r="FG74" s="24"/>
      <c r="FH74" s="24"/>
      <c r="FI74" s="24"/>
      <c r="FJ74" s="24"/>
      <c r="FK74" s="24"/>
      <c r="FL74" s="24"/>
      <c r="FM74" s="24"/>
      <c r="FN74" s="24"/>
      <c r="FO74" s="24"/>
      <c r="FP74" s="24"/>
      <c r="FQ74" s="24"/>
      <c r="FR74" s="24"/>
      <c r="FS74" s="24"/>
      <c r="FT74" s="24"/>
      <c r="FU74" s="24"/>
      <c r="FV74" s="24"/>
      <c r="FW74" s="24"/>
      <c r="FX74" s="24"/>
      <c r="FY74" s="24"/>
      <c r="FZ74" s="24"/>
      <c r="GA74" s="24"/>
      <c r="GB74" s="24"/>
      <c r="GC74" s="24"/>
      <c r="GD74" s="24"/>
      <c r="GE74" s="24"/>
      <c r="GF74" s="24"/>
      <c r="GG74" s="24"/>
      <c r="GH74" s="24"/>
      <c r="GI74" s="24"/>
      <c r="GJ74" s="24"/>
      <c r="GK74" s="24"/>
      <c r="GL74" s="24"/>
      <c r="GM74" s="24"/>
      <c r="GN74" s="24"/>
      <c r="GO74" s="24"/>
      <c r="GP74" s="24"/>
      <c r="GQ74" s="24"/>
      <c r="GR74" s="24"/>
      <c r="GS74" s="24"/>
      <c r="GT74" s="24"/>
      <c r="GU74" s="24"/>
      <c r="GV74" s="24"/>
      <c r="GW74" s="24"/>
      <c r="GX74" s="24"/>
      <c r="GY74" s="24"/>
      <c r="GZ74" s="24"/>
      <c r="HA74" s="24"/>
      <c r="HB74" s="24"/>
      <c r="HC74" s="24"/>
      <c r="HD74" s="24"/>
      <c r="HE74" s="24"/>
      <c r="HF74" s="24"/>
      <c r="HG74" s="24"/>
      <c r="HH74" s="24"/>
      <c r="HI74" s="24"/>
      <c r="HJ74" s="24"/>
      <c r="HK74" s="24"/>
      <c r="HL74" s="24"/>
      <c r="HM74" s="24"/>
      <c r="HN74" s="24"/>
      <c r="HO74" s="24"/>
      <c r="HP74" s="24"/>
      <c r="HQ74" s="24"/>
      <c r="HR74" s="24"/>
      <c r="HS74" s="24"/>
      <c r="HT74" s="24"/>
      <c r="HU74" s="24"/>
      <c r="HV74" s="24"/>
      <c r="HW74" s="24"/>
      <c r="HX74" s="24"/>
      <c r="HY74" s="24"/>
      <c r="HZ74" s="24"/>
      <c r="IA74" s="24"/>
      <c r="IB74" s="24"/>
      <c r="IC74" s="24"/>
      <c r="ID74" s="24"/>
      <c r="IE74" s="24"/>
      <c r="IF74" s="24"/>
      <c r="IG74" s="24"/>
      <c r="IH74" s="24"/>
      <c r="II74" s="24"/>
      <c r="IJ74" s="24"/>
      <c r="IK74" s="24"/>
      <c r="IL74" s="24"/>
      <c r="IM74" s="24"/>
      <c r="IN74" s="24"/>
      <c r="IO74" s="24"/>
      <c r="IP74" s="24"/>
      <c r="IQ74" s="24"/>
      <c r="IR74" s="24"/>
      <c r="IS74" s="24"/>
      <c r="IT74" s="24"/>
      <c r="IU74" s="24"/>
      <c r="IV74" s="24"/>
      <c r="IW74" s="24"/>
      <c r="IX74" s="24"/>
      <c r="IY74" s="24"/>
      <c r="IZ74" s="24"/>
      <c r="JA74" s="24"/>
      <c r="JB74" s="24"/>
      <c r="JC74" s="24"/>
      <c r="JD74" s="24"/>
      <c r="JE74" s="24"/>
      <c r="JF74" s="24"/>
      <c r="JG74" s="24"/>
      <c r="JH74" s="24"/>
      <c r="JI74" s="24"/>
      <c r="JJ74" s="24"/>
      <c r="JK74" s="24"/>
    </row>
    <row r="75" spans="1:271" s="11" customFormat="1" hidden="1" outlineLevel="1">
      <c r="A75" s="833"/>
      <c r="B75" s="834" t="s">
        <v>506</v>
      </c>
      <c r="C75" s="737"/>
      <c r="D75" s="737">
        <v>0</v>
      </c>
      <c r="E75" s="737">
        <v>0</v>
      </c>
      <c r="F75" s="737">
        <v>0</v>
      </c>
      <c r="G75" s="737">
        <v>0</v>
      </c>
      <c r="H75" s="817">
        <f>SUM(D75:G75)</f>
        <v>0</v>
      </c>
      <c r="I75" s="737">
        <v>0</v>
      </c>
      <c r="J75" s="737">
        <v>0</v>
      </c>
      <c r="K75" s="737">
        <v>0</v>
      </c>
      <c r="L75" s="737">
        <v>0</v>
      </c>
      <c r="M75" s="817">
        <f>SUM(I75:L75)</f>
        <v>0</v>
      </c>
      <c r="N75" s="737">
        <v>0</v>
      </c>
      <c r="O75" s="737">
        <v>0</v>
      </c>
      <c r="P75" s="737">
        <v>0</v>
      </c>
      <c r="Q75" s="737">
        <v>0</v>
      </c>
      <c r="R75" s="817">
        <f>SUM(N75:Q75)</f>
        <v>0</v>
      </c>
      <c r="S75" s="737">
        <v>0</v>
      </c>
      <c r="T75" s="737">
        <v>0</v>
      </c>
      <c r="U75" s="737">
        <v>0</v>
      </c>
      <c r="V75" s="737">
        <v>0</v>
      </c>
      <c r="W75" s="817">
        <f>SUM(S75:V75)</f>
        <v>0</v>
      </c>
      <c r="X75" s="737">
        <v>0</v>
      </c>
      <c r="Y75" s="737">
        <v>0</v>
      </c>
      <c r="Z75" s="737">
        <v>0</v>
      </c>
      <c r="AA75" s="737">
        <v>0</v>
      </c>
      <c r="AB75" s="817">
        <f>SUM(X75:AA75)</f>
        <v>0</v>
      </c>
      <c r="AC75" s="737">
        <v>0</v>
      </c>
      <c r="AD75" s="737">
        <v>0</v>
      </c>
      <c r="AE75" s="737">
        <v>0</v>
      </c>
      <c r="AF75" s="737">
        <v>0</v>
      </c>
      <c r="AG75" s="817">
        <f>SUM(AC75:AF75)</f>
        <v>0</v>
      </c>
      <c r="AH75" s="737">
        <v>0</v>
      </c>
      <c r="AI75" s="737">
        <v>0</v>
      </c>
      <c r="AJ75" s="737">
        <v>0</v>
      </c>
      <c r="AK75" s="737">
        <v>0</v>
      </c>
      <c r="AL75" s="817">
        <f>SUM(AH75:AK75)</f>
        <v>0</v>
      </c>
      <c r="AM75" s="737">
        <f>1.7455/4*(3/2)</f>
        <v>0.65456250000000005</v>
      </c>
      <c r="AN75" s="737">
        <f>1.625/4*(3/2)</f>
        <v>0.609375</v>
      </c>
      <c r="AO75" s="737">
        <f>5/4*3/2</f>
        <v>1.875</v>
      </c>
      <c r="AP75" s="737">
        <f>5.625/4</f>
        <v>1.40625</v>
      </c>
      <c r="AQ75" s="817">
        <f>18.18075/4</f>
        <v>4.5451874999999999</v>
      </c>
      <c r="AR75" s="737">
        <f>2.7915/4</f>
        <v>0.69787500000000002</v>
      </c>
      <c r="AS75" s="737">
        <f>15.29085/4</f>
        <v>3.8227125000000002</v>
      </c>
      <c r="AT75" s="737">
        <f>6/4</f>
        <v>1.5</v>
      </c>
      <c r="AU75" s="737"/>
      <c r="AV75" s="817">
        <f>7.5/4</f>
        <v>1.875</v>
      </c>
      <c r="AW75" s="737">
        <f>4.125/4</f>
        <v>1.03125</v>
      </c>
      <c r="AX75" s="737">
        <f>2.7915/4</f>
        <v>0.69787500000000002</v>
      </c>
      <c r="AY75" s="737">
        <f>15.29085/4</f>
        <v>3.8227125000000002</v>
      </c>
      <c r="AZ75" s="737">
        <f>SUM(AV75:AY75)</f>
        <v>7.4268374999999995</v>
      </c>
      <c r="BA75" s="737">
        <f>6/4</f>
        <v>1.5</v>
      </c>
      <c r="BB75" s="737">
        <f>6.471499/4</f>
        <v>1.6178747499999999</v>
      </c>
      <c r="BC75" s="737">
        <v>0</v>
      </c>
      <c r="BD75" s="737">
        <v>0</v>
      </c>
      <c r="BE75" s="817">
        <f>SUM(BA75:BD75)</f>
        <v>3.1178747499999999</v>
      </c>
      <c r="BF75" s="737">
        <v>0</v>
      </c>
      <c r="BG75" s="737">
        <v>0</v>
      </c>
      <c r="BH75" s="737">
        <v>0</v>
      </c>
      <c r="BI75" s="737">
        <v>0</v>
      </c>
      <c r="BJ75" s="817">
        <f>SUM(BF75:BI75)</f>
        <v>0</v>
      </c>
      <c r="BK75" s="737">
        <v>0</v>
      </c>
      <c r="BL75" s="737">
        <v>0</v>
      </c>
      <c r="BM75" s="737">
        <v>0</v>
      </c>
      <c r="BN75" s="737">
        <v>0</v>
      </c>
      <c r="BO75" s="817">
        <f>SUM(BK75:BN75)</f>
        <v>0</v>
      </c>
      <c r="BP75" s="737">
        <v>0</v>
      </c>
      <c r="BQ75" s="737">
        <v>0</v>
      </c>
      <c r="BR75" s="737">
        <v>0</v>
      </c>
      <c r="BS75" s="737">
        <v>0</v>
      </c>
      <c r="BT75" s="817">
        <f>SUM(BP75:BS75)</f>
        <v>0</v>
      </c>
      <c r="BU75" s="737">
        <v>0</v>
      </c>
      <c r="BV75" s="737">
        <v>0</v>
      </c>
      <c r="BW75" s="737">
        <v>0</v>
      </c>
      <c r="BX75" s="737">
        <v>0</v>
      </c>
      <c r="BY75" s="817">
        <f>SUM(BU75:BX75)</f>
        <v>0</v>
      </c>
      <c r="BZ75" s="737">
        <v>0</v>
      </c>
      <c r="CA75" s="737">
        <v>0</v>
      </c>
      <c r="CB75" s="737">
        <v>0</v>
      </c>
      <c r="CC75" s="737">
        <v>0</v>
      </c>
      <c r="CD75" s="817">
        <f>SUM(BZ75:CC75)</f>
        <v>0</v>
      </c>
      <c r="CE75" s="737">
        <v>0</v>
      </c>
      <c r="CF75" s="737">
        <v>0</v>
      </c>
      <c r="CG75" s="737">
        <v>0</v>
      </c>
      <c r="CH75" s="737">
        <v>0</v>
      </c>
      <c r="CI75" s="817">
        <f>SUM(CE75:CH75)</f>
        <v>0</v>
      </c>
      <c r="CJ75" s="737">
        <v>0</v>
      </c>
      <c r="CK75" s="737">
        <v>0</v>
      </c>
      <c r="CL75" s="737">
        <v>0</v>
      </c>
      <c r="CM75" s="737">
        <v>0</v>
      </c>
      <c r="CN75" s="817">
        <f>SUM(CJ75:CM75)</f>
        <v>0</v>
      </c>
      <c r="CO75" s="737">
        <v>0</v>
      </c>
      <c r="CP75" s="737">
        <v>11.464429000000001</v>
      </c>
      <c r="CQ75" s="737">
        <v>24.014543</v>
      </c>
      <c r="CR75" s="737">
        <v>40.286712999999999</v>
      </c>
      <c r="CS75" s="817">
        <f>SUM(CO75:CR75)</f>
        <v>75.765684999999991</v>
      </c>
      <c r="CT75" s="737">
        <v>5.308179</v>
      </c>
      <c r="CU75" s="737">
        <v>0</v>
      </c>
      <c r="CV75" s="737">
        <v>0</v>
      </c>
      <c r="CW75" s="737">
        <f>CW77/CW76</f>
        <v>3.4059945504087192</v>
      </c>
      <c r="CX75" s="817">
        <f>SUM(CT75:CW75)</f>
        <v>8.7141735504087201</v>
      </c>
      <c r="CY75" s="737">
        <f>0.531+0.914+1.01</f>
        <v>2.4550000000000001</v>
      </c>
      <c r="CZ75" s="737">
        <v>2</v>
      </c>
      <c r="DA75" s="737">
        <v>2.6</v>
      </c>
      <c r="DB75" s="737">
        <v>2.39</v>
      </c>
      <c r="DC75" s="817">
        <f>SUM(CY75:DB75)</f>
        <v>9.4450000000000003</v>
      </c>
      <c r="DD75" s="737"/>
      <c r="DE75" s="737"/>
      <c r="DF75" s="737"/>
      <c r="DG75" s="737"/>
      <c r="DH75" s="817">
        <f>SUM(DD75:DG75)</f>
        <v>0</v>
      </c>
      <c r="DI75" s="737"/>
      <c r="DJ75" s="737"/>
      <c r="DK75" s="737"/>
      <c r="DL75" s="737">
        <v>-0.2</v>
      </c>
      <c r="DM75" s="817">
        <f>SUM(DI75:DL75)</f>
        <v>-0.2</v>
      </c>
      <c r="DN75" s="737">
        <v>0</v>
      </c>
      <c r="DO75" s="737">
        <v>0</v>
      </c>
      <c r="DP75" s="737">
        <v>0</v>
      </c>
      <c r="DQ75" s="737">
        <v>0</v>
      </c>
      <c r="DR75" s="817">
        <f>SUM(DN75:DQ75)</f>
        <v>0</v>
      </c>
      <c r="DS75" s="737">
        <v>0</v>
      </c>
      <c r="DT75" s="737">
        <v>0</v>
      </c>
      <c r="DU75" s="737">
        <v>0</v>
      </c>
      <c r="DV75" s="737">
        <v>0</v>
      </c>
      <c r="DW75" s="817">
        <f>SUM(DS75:DV75)</f>
        <v>0</v>
      </c>
      <c r="DX75" s="737">
        <f>DV75</f>
        <v>0</v>
      </c>
      <c r="DY75" s="737">
        <f>DX75</f>
        <v>0</v>
      </c>
      <c r="DZ75" s="737">
        <f>DY75</f>
        <v>0</v>
      </c>
      <c r="EA75" s="737">
        <f>DZ75</f>
        <v>0</v>
      </c>
      <c r="EB75" s="817">
        <f>SUM(DX75:EA75)</f>
        <v>0</v>
      </c>
      <c r="EC75" s="737">
        <f>EA75</f>
        <v>0</v>
      </c>
      <c r="ED75" s="737">
        <f>EC75</f>
        <v>0</v>
      </c>
      <c r="EE75" s="737">
        <f>ED75</f>
        <v>0</v>
      </c>
      <c r="EF75" s="737">
        <f>EE75</f>
        <v>0</v>
      </c>
      <c r="EG75" s="817">
        <f>SUM(EC75:EF75)</f>
        <v>0</v>
      </c>
      <c r="EH75" s="737">
        <f>EF75</f>
        <v>0</v>
      </c>
      <c r="EI75" s="737">
        <f>EH75</f>
        <v>0</v>
      </c>
      <c r="EJ75" s="737">
        <f>EI75</f>
        <v>0</v>
      </c>
      <c r="EK75" s="737">
        <f>EJ75</f>
        <v>0</v>
      </c>
      <c r="EL75" s="817">
        <f>SUM(EH75:EK75)</f>
        <v>0</v>
      </c>
      <c r="EM75" s="1"/>
      <c r="EN75"/>
      <c r="EO75"/>
      <c r="EP75"/>
      <c r="EQ75"/>
      <c r="ER75"/>
      <c r="ES75" s="7"/>
      <c r="ET75"/>
      <c r="EU75" s="7"/>
      <c r="EV75" s="7"/>
      <c r="EW75" s="7"/>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c r="IS75" s="3"/>
      <c r="IT75" s="3"/>
      <c r="IU75" s="3"/>
      <c r="IV75" s="3"/>
      <c r="IW75" s="3"/>
      <c r="IX75" s="3"/>
      <c r="IY75" s="3"/>
      <c r="IZ75" s="3"/>
      <c r="JA75" s="3"/>
      <c r="JB75" s="3"/>
      <c r="JC75" s="3"/>
      <c r="JD75" s="3"/>
      <c r="JE75" s="3"/>
      <c r="JF75" s="3"/>
      <c r="JG75" s="3"/>
      <c r="JH75" s="3"/>
      <c r="JI75" s="3"/>
      <c r="JJ75" s="3"/>
      <c r="JK75" s="3"/>
    </row>
    <row r="76" spans="1:271" s="11" customFormat="1" hidden="1" outlineLevel="1">
      <c r="A76" s="833"/>
      <c r="B76" s="834" t="s">
        <v>507</v>
      </c>
      <c r="C76" s="835"/>
      <c r="D76" s="835">
        <v>0</v>
      </c>
      <c r="E76" s="835">
        <v>0</v>
      </c>
      <c r="F76" s="835">
        <v>0</v>
      </c>
      <c r="G76" s="835">
        <v>0</v>
      </c>
      <c r="H76" s="817">
        <v>0</v>
      </c>
      <c r="I76" s="835">
        <v>0</v>
      </c>
      <c r="J76" s="835">
        <v>0</v>
      </c>
      <c r="K76" s="835">
        <v>0</v>
      </c>
      <c r="L76" s="835">
        <v>0</v>
      </c>
      <c r="M76" s="817">
        <v>0</v>
      </c>
      <c r="N76" s="835">
        <v>0</v>
      </c>
      <c r="O76" s="835">
        <v>0</v>
      </c>
      <c r="P76" s="835">
        <v>0</v>
      </c>
      <c r="Q76" s="835">
        <v>0</v>
      </c>
      <c r="R76" s="817">
        <v>0</v>
      </c>
      <c r="S76" s="835">
        <v>0</v>
      </c>
      <c r="T76" s="835">
        <v>0</v>
      </c>
      <c r="U76" s="835">
        <v>0</v>
      </c>
      <c r="V76" s="835">
        <v>0</v>
      </c>
      <c r="W76" s="817">
        <v>0</v>
      </c>
      <c r="X76" s="835">
        <v>0</v>
      </c>
      <c r="Y76" s="835">
        <v>0</v>
      </c>
      <c r="Z76" s="835">
        <v>0</v>
      </c>
      <c r="AA76" s="835">
        <v>0</v>
      </c>
      <c r="AB76" s="817">
        <v>0</v>
      </c>
      <c r="AC76" s="835">
        <v>0</v>
      </c>
      <c r="AD76" s="835">
        <v>0</v>
      </c>
      <c r="AE76" s="835">
        <v>0</v>
      </c>
      <c r="AF76" s="835">
        <v>0</v>
      </c>
      <c r="AG76" s="817">
        <v>0</v>
      </c>
      <c r="AH76" s="835">
        <v>0</v>
      </c>
      <c r="AI76" s="835">
        <v>0</v>
      </c>
      <c r="AJ76" s="835">
        <v>0</v>
      </c>
      <c r="AK76" s="835">
        <v>0</v>
      </c>
      <c r="AL76" s="817">
        <v>0</v>
      </c>
      <c r="AM76" s="835">
        <f>54.15*4*2/3</f>
        <v>144.4</v>
      </c>
      <c r="AN76" s="835">
        <f>57.43*4*2/3</f>
        <v>153.14666666666668</v>
      </c>
      <c r="AO76" s="835">
        <f>58.42*4*2/3</f>
        <v>155.78666666666666</v>
      </c>
      <c r="AP76" s="835">
        <f>41.86*4</f>
        <v>167.44</v>
      </c>
      <c r="AQ76" s="817">
        <f>39.35*4</f>
        <v>157.4</v>
      </c>
      <c r="AR76" s="835">
        <f>42.63*4</f>
        <v>170.52</v>
      </c>
      <c r="AS76" s="835">
        <f>24.94*4</f>
        <v>99.76</v>
      </c>
      <c r="AT76" s="835">
        <f>18.28*4</f>
        <v>73.12</v>
      </c>
      <c r="AU76" s="835"/>
      <c r="AV76" s="817">
        <f>38.99*4</f>
        <v>155.96</v>
      </c>
      <c r="AW76" s="835">
        <f>41.7*4</f>
        <v>166.8</v>
      </c>
      <c r="AX76" s="835">
        <f>42.35*4</f>
        <v>169.4</v>
      </c>
      <c r="AY76" s="835">
        <f>24.76*4</f>
        <v>99.04</v>
      </c>
      <c r="AZ76" s="835">
        <f>AZ77/AZ75</f>
        <v>129.43045690712904</v>
      </c>
      <c r="BA76" s="835">
        <f>18.28*4</f>
        <v>73.12</v>
      </c>
      <c r="BB76" s="835">
        <f>15.14*4</f>
        <v>60.56</v>
      </c>
      <c r="BC76" s="835">
        <v>0</v>
      </c>
      <c r="BD76" s="835">
        <v>0</v>
      </c>
      <c r="BE76" s="817">
        <f>BE77/BE75</f>
        <v>66.602577560243574</v>
      </c>
      <c r="BF76" s="835">
        <v>0</v>
      </c>
      <c r="BG76" s="835">
        <v>0</v>
      </c>
      <c r="BH76" s="835">
        <v>0</v>
      </c>
      <c r="BI76" s="835">
        <v>0</v>
      </c>
      <c r="BJ76" s="817">
        <v>0</v>
      </c>
      <c r="BK76" s="835">
        <v>0</v>
      </c>
      <c r="BL76" s="835">
        <v>0</v>
      </c>
      <c r="BM76" s="835">
        <v>0</v>
      </c>
      <c r="BN76" s="835">
        <v>0</v>
      </c>
      <c r="BO76" s="817">
        <v>0</v>
      </c>
      <c r="BP76" s="835">
        <v>0</v>
      </c>
      <c r="BQ76" s="835">
        <v>0</v>
      </c>
      <c r="BR76" s="835">
        <v>0</v>
      </c>
      <c r="BS76" s="835">
        <v>0</v>
      </c>
      <c r="BT76" s="817">
        <v>0</v>
      </c>
      <c r="BU76" s="835">
        <v>0</v>
      </c>
      <c r="BV76" s="835">
        <v>0</v>
      </c>
      <c r="BW76" s="835">
        <v>0</v>
      </c>
      <c r="BX76" s="835">
        <v>0</v>
      </c>
      <c r="BY76" s="817">
        <v>0</v>
      </c>
      <c r="BZ76" s="835">
        <v>0</v>
      </c>
      <c r="CA76" s="835">
        <v>0</v>
      </c>
      <c r="CB76" s="835">
        <v>0</v>
      </c>
      <c r="CC76" s="835">
        <v>0</v>
      </c>
      <c r="CD76" s="817">
        <v>0</v>
      </c>
      <c r="CE76" s="835">
        <v>0</v>
      </c>
      <c r="CF76" s="835">
        <v>0</v>
      </c>
      <c r="CG76" s="835">
        <v>0</v>
      </c>
      <c r="CH76" s="835">
        <v>0</v>
      </c>
      <c r="CI76" s="817">
        <v>0</v>
      </c>
      <c r="CJ76" s="835">
        <v>0</v>
      </c>
      <c r="CK76" s="835">
        <v>0</v>
      </c>
      <c r="CL76" s="835">
        <v>0</v>
      </c>
      <c r="CM76" s="835">
        <v>0</v>
      </c>
      <c r="CN76" s="817">
        <v>0</v>
      </c>
      <c r="CO76" s="835">
        <v>0</v>
      </c>
      <c r="CP76" s="835">
        <v>6.28</v>
      </c>
      <c r="CQ76" s="835">
        <v>5.15</v>
      </c>
      <c r="CR76" s="835">
        <v>4.42</v>
      </c>
      <c r="CS76" s="817">
        <v>4.9400000000000004</v>
      </c>
      <c r="CT76" s="835">
        <v>4.93</v>
      </c>
      <c r="CU76" s="835">
        <v>0</v>
      </c>
      <c r="CV76" s="835">
        <v>0</v>
      </c>
      <c r="CW76" s="835">
        <v>29.36</v>
      </c>
      <c r="CX76" s="817">
        <f>IF(CX75&gt;0,CX77/CX75,0)</f>
        <v>14.478633199138235</v>
      </c>
      <c r="CY76" s="835">
        <f>(0.531*37.13+39.3*0.914+1.01*43.95)/CY75</f>
        <v>40.743678207739308</v>
      </c>
      <c r="CZ76" s="835">
        <v>45</v>
      </c>
      <c r="DA76" s="835">
        <v>47</v>
      </c>
      <c r="DB76" s="835">
        <f>DB77/DB75</f>
        <v>41.841004184100413</v>
      </c>
      <c r="DC76" s="817">
        <f>IF(DC75&gt;0,DC77/DC75,0)</f>
        <v>43.64486289041821</v>
      </c>
      <c r="DD76" s="835">
        <f>DB76*1.035</f>
        <v>43.305439330543926</v>
      </c>
      <c r="DE76" s="835">
        <f>DD76*1.035</f>
        <v>44.821129707112959</v>
      </c>
      <c r="DF76" s="835">
        <f>DE76*1.035</f>
        <v>46.389869246861906</v>
      </c>
      <c r="DG76" s="835">
        <f>DF76*1.035</f>
        <v>48.013514670502069</v>
      </c>
      <c r="DH76" s="817">
        <f>IF(DH75&gt;0,DH77/DH75,0)</f>
        <v>0</v>
      </c>
      <c r="DI76" s="835">
        <f>DG76*1.035</f>
        <v>49.693987683969638</v>
      </c>
      <c r="DJ76" s="835">
        <f>DI76*1.035</f>
        <v>51.433277252908574</v>
      </c>
      <c r="DK76" s="835">
        <f>DJ76*1.035</f>
        <v>53.233441956760373</v>
      </c>
      <c r="DL76" s="835">
        <v>25</v>
      </c>
      <c r="DM76" s="817">
        <f>IF(DM75&gt;0,DM77/DM75,0)</f>
        <v>0</v>
      </c>
      <c r="DN76" s="835">
        <f>DL76*1.035</f>
        <v>25.874999999999996</v>
      </c>
      <c r="DO76" s="835">
        <f>DN76*1.035</f>
        <v>26.780624999999993</v>
      </c>
      <c r="DP76" s="835">
        <f>DO76*1.035</f>
        <v>27.717946874999992</v>
      </c>
      <c r="DQ76" s="835">
        <f>DP76*1.035</f>
        <v>28.688075015624989</v>
      </c>
      <c r="DR76" s="817">
        <f>IF(DR75&gt;0,DR77/DR75,0)</f>
        <v>0</v>
      </c>
      <c r="DS76" s="835">
        <v>19.2</v>
      </c>
      <c r="DT76" s="835">
        <f>DS76*1.035</f>
        <v>19.871999999999996</v>
      </c>
      <c r="DU76" s="835">
        <f>DT76*1.035</f>
        <v>20.567519999999995</v>
      </c>
      <c r="DV76" s="835">
        <f>DU76*1.02</f>
        <v>20.978870399999995</v>
      </c>
      <c r="DW76" s="817">
        <f>IF(DW75&gt;0,DW77/DW75,0)</f>
        <v>0</v>
      </c>
      <c r="DX76" s="835">
        <f>DV76*1.035</f>
        <v>21.713130863999993</v>
      </c>
      <c r="DY76" s="835">
        <f>DX76*1.035</f>
        <v>22.47309044423999</v>
      </c>
      <c r="DZ76" s="835">
        <f>DY76*1.035</f>
        <v>23.259648609788389</v>
      </c>
      <c r="EA76" s="835">
        <f>DZ76*1.035</f>
        <v>24.073736311130979</v>
      </c>
      <c r="EB76" s="817">
        <f>IF(EB75&gt;0,EB77/EB75,0)</f>
        <v>0</v>
      </c>
      <c r="EC76" s="835">
        <f>EA76*1.035</f>
        <v>24.916317082020562</v>
      </c>
      <c r="ED76" s="835">
        <f>EC76*1.035</f>
        <v>25.788388179891278</v>
      </c>
      <c r="EE76" s="835">
        <f>ED76*1.035</f>
        <v>26.69098176618747</v>
      </c>
      <c r="EF76" s="835">
        <f>EE76*1.035</f>
        <v>27.625166128004029</v>
      </c>
      <c r="EG76" s="817">
        <f>IF(EG75&gt;0,EG77/EG75,0)</f>
        <v>0</v>
      </c>
      <c r="EH76" s="835">
        <f>EF76*1.035</f>
        <v>28.592046942484167</v>
      </c>
      <c r="EI76" s="835">
        <f>EH76*1.035</f>
        <v>29.592768585471109</v>
      </c>
      <c r="EJ76" s="835">
        <f>EI76*1.035</f>
        <v>30.628515485962595</v>
      </c>
      <c r="EK76" s="835">
        <f>EJ76*1.035</f>
        <v>31.700513527971282</v>
      </c>
      <c r="EL76" s="817">
        <f>IF(EL75&gt;0,EL77/EL75,0)</f>
        <v>0</v>
      </c>
      <c r="EM76" s="1"/>
      <c r="EN76"/>
      <c r="EO76"/>
      <c r="EP76"/>
      <c r="EQ76"/>
      <c r="ER76"/>
      <c r="ES76" s="7"/>
      <c r="ET76"/>
      <c r="EU76" s="7"/>
      <c r="EV76" s="7"/>
      <c r="EW76" s="7"/>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c r="IS76" s="3"/>
      <c r="IT76" s="3"/>
      <c r="IU76" s="3"/>
      <c r="IV76" s="3"/>
      <c r="IW76" s="3"/>
      <c r="IX76" s="3"/>
      <c r="IY76" s="3"/>
      <c r="IZ76" s="3"/>
      <c r="JA76" s="3"/>
      <c r="JB76" s="3"/>
      <c r="JC76" s="3"/>
      <c r="JD76" s="3"/>
      <c r="JE76" s="3"/>
      <c r="JF76" s="3"/>
      <c r="JG76" s="3"/>
      <c r="JH76" s="3"/>
      <c r="JI76" s="3"/>
      <c r="JJ76" s="3"/>
      <c r="JK76" s="3"/>
    </row>
    <row r="77" spans="1:271" s="11" customFormat="1" hidden="1" outlineLevel="1">
      <c r="A77" s="836"/>
      <c r="B77" s="837" t="s">
        <v>508</v>
      </c>
      <c r="C77" s="838"/>
      <c r="D77" s="838">
        <f t="shared" ref="D77:AT77" si="190">D75*D76</f>
        <v>0</v>
      </c>
      <c r="E77" s="838">
        <f t="shared" si="190"/>
        <v>0</v>
      </c>
      <c r="F77" s="838">
        <f t="shared" si="190"/>
        <v>0</v>
      </c>
      <c r="G77" s="838">
        <f t="shared" si="190"/>
        <v>0</v>
      </c>
      <c r="H77" s="821">
        <f t="shared" si="190"/>
        <v>0</v>
      </c>
      <c r="I77" s="838">
        <f t="shared" si="190"/>
        <v>0</v>
      </c>
      <c r="J77" s="838">
        <f t="shared" si="190"/>
        <v>0</v>
      </c>
      <c r="K77" s="838">
        <f t="shared" si="190"/>
        <v>0</v>
      </c>
      <c r="L77" s="838">
        <f t="shared" si="190"/>
        <v>0</v>
      </c>
      <c r="M77" s="821">
        <f t="shared" si="190"/>
        <v>0</v>
      </c>
      <c r="N77" s="838">
        <f t="shared" si="190"/>
        <v>0</v>
      </c>
      <c r="O77" s="838">
        <f t="shared" si="190"/>
        <v>0</v>
      </c>
      <c r="P77" s="838">
        <f t="shared" si="190"/>
        <v>0</v>
      </c>
      <c r="Q77" s="838">
        <f t="shared" si="190"/>
        <v>0</v>
      </c>
      <c r="R77" s="821">
        <f t="shared" si="190"/>
        <v>0</v>
      </c>
      <c r="S77" s="838">
        <f t="shared" si="190"/>
        <v>0</v>
      </c>
      <c r="T77" s="838">
        <f t="shared" si="190"/>
        <v>0</v>
      </c>
      <c r="U77" s="838">
        <f t="shared" si="190"/>
        <v>0</v>
      </c>
      <c r="V77" s="838">
        <f t="shared" si="190"/>
        <v>0</v>
      </c>
      <c r="W77" s="821">
        <f t="shared" si="190"/>
        <v>0</v>
      </c>
      <c r="X77" s="838">
        <f t="shared" si="190"/>
        <v>0</v>
      </c>
      <c r="Y77" s="838">
        <f t="shared" si="190"/>
        <v>0</v>
      </c>
      <c r="Z77" s="838">
        <f t="shared" si="190"/>
        <v>0</v>
      </c>
      <c r="AA77" s="838">
        <f t="shared" si="190"/>
        <v>0</v>
      </c>
      <c r="AB77" s="821">
        <f t="shared" si="190"/>
        <v>0</v>
      </c>
      <c r="AC77" s="838">
        <f t="shared" si="190"/>
        <v>0</v>
      </c>
      <c r="AD77" s="838">
        <f t="shared" si="190"/>
        <v>0</v>
      </c>
      <c r="AE77" s="838">
        <f t="shared" si="190"/>
        <v>0</v>
      </c>
      <c r="AF77" s="838">
        <f t="shared" si="190"/>
        <v>0</v>
      </c>
      <c r="AG77" s="821">
        <f t="shared" si="190"/>
        <v>0</v>
      </c>
      <c r="AH77" s="838">
        <f t="shared" si="190"/>
        <v>0</v>
      </c>
      <c r="AI77" s="838">
        <f t="shared" si="190"/>
        <v>0</v>
      </c>
      <c r="AJ77" s="838">
        <f t="shared" si="190"/>
        <v>0</v>
      </c>
      <c r="AK77" s="838">
        <f t="shared" si="190"/>
        <v>0</v>
      </c>
      <c r="AL77" s="821">
        <f t="shared" si="190"/>
        <v>0</v>
      </c>
      <c r="AM77" s="838">
        <f t="shared" si="190"/>
        <v>94.518825000000007</v>
      </c>
      <c r="AN77" s="838">
        <f t="shared" si="190"/>
        <v>93.323750000000004</v>
      </c>
      <c r="AO77" s="838">
        <f t="shared" si="190"/>
        <v>292.09999999999997</v>
      </c>
      <c r="AP77" s="838">
        <f t="shared" si="190"/>
        <v>235.46250000000001</v>
      </c>
      <c r="AQ77" s="821">
        <f t="shared" si="190"/>
        <v>715.41251250000005</v>
      </c>
      <c r="AR77" s="838">
        <f t="shared" si="190"/>
        <v>119.00164500000001</v>
      </c>
      <c r="AS77" s="838">
        <f t="shared" si="190"/>
        <v>381.35379900000004</v>
      </c>
      <c r="AT77" s="838">
        <f t="shared" si="190"/>
        <v>109.68</v>
      </c>
      <c r="AU77" s="838"/>
      <c r="AV77" s="821">
        <f>AV75*AV76</f>
        <v>292.42500000000001</v>
      </c>
      <c r="AW77" s="838">
        <f>AW75*AW76</f>
        <v>172.01250000000002</v>
      </c>
      <c r="AX77" s="838">
        <f>AX75*AX76</f>
        <v>118.22002500000001</v>
      </c>
      <c r="AY77" s="838">
        <f>AY75*AY76</f>
        <v>378.60144600000007</v>
      </c>
      <c r="AZ77" s="838">
        <f>SUM(AV77:AY77)</f>
        <v>961.25897099999997</v>
      </c>
      <c r="BA77" s="838">
        <f>BA75*BA76</f>
        <v>109.68</v>
      </c>
      <c r="BB77" s="838">
        <f>BB75*BB76</f>
        <v>97.978494859999998</v>
      </c>
      <c r="BC77" s="838">
        <f>BC75*BC76</f>
        <v>0</v>
      </c>
      <c r="BD77" s="838">
        <f>BD75*BD76</f>
        <v>0</v>
      </c>
      <c r="BE77" s="821">
        <f>SUM(BA77:BD77)</f>
        <v>207.65849486000002</v>
      </c>
      <c r="BF77" s="838">
        <f t="shared" ref="BF77:CV77" si="191">BF75*BF76</f>
        <v>0</v>
      </c>
      <c r="BG77" s="838">
        <f t="shared" si="191"/>
        <v>0</v>
      </c>
      <c r="BH77" s="838">
        <f t="shared" si="191"/>
        <v>0</v>
      </c>
      <c r="BI77" s="838">
        <f t="shared" si="191"/>
        <v>0</v>
      </c>
      <c r="BJ77" s="821">
        <f t="shared" si="191"/>
        <v>0</v>
      </c>
      <c r="BK77" s="838">
        <f t="shared" si="191"/>
        <v>0</v>
      </c>
      <c r="BL77" s="838">
        <f t="shared" si="191"/>
        <v>0</v>
      </c>
      <c r="BM77" s="838">
        <f t="shared" si="191"/>
        <v>0</v>
      </c>
      <c r="BN77" s="838">
        <f t="shared" si="191"/>
        <v>0</v>
      </c>
      <c r="BO77" s="821">
        <f t="shared" si="191"/>
        <v>0</v>
      </c>
      <c r="BP77" s="838">
        <f t="shared" si="191"/>
        <v>0</v>
      </c>
      <c r="BQ77" s="838">
        <f t="shared" si="191"/>
        <v>0</v>
      </c>
      <c r="BR77" s="838">
        <f t="shared" si="191"/>
        <v>0</v>
      </c>
      <c r="BS77" s="838">
        <f t="shared" si="191"/>
        <v>0</v>
      </c>
      <c r="BT77" s="821">
        <f t="shared" si="191"/>
        <v>0</v>
      </c>
      <c r="BU77" s="838">
        <f t="shared" si="191"/>
        <v>0</v>
      </c>
      <c r="BV77" s="838">
        <f t="shared" si="191"/>
        <v>0</v>
      </c>
      <c r="BW77" s="838">
        <f t="shared" si="191"/>
        <v>0</v>
      </c>
      <c r="BX77" s="838">
        <f t="shared" si="191"/>
        <v>0</v>
      </c>
      <c r="BY77" s="821">
        <f t="shared" si="191"/>
        <v>0</v>
      </c>
      <c r="BZ77" s="838">
        <f t="shared" si="191"/>
        <v>0</v>
      </c>
      <c r="CA77" s="838">
        <f t="shared" si="191"/>
        <v>0</v>
      </c>
      <c r="CB77" s="838">
        <f t="shared" si="191"/>
        <v>0</v>
      </c>
      <c r="CC77" s="838">
        <f t="shared" si="191"/>
        <v>0</v>
      </c>
      <c r="CD77" s="821">
        <f t="shared" si="191"/>
        <v>0</v>
      </c>
      <c r="CE77" s="838">
        <f t="shared" si="191"/>
        <v>0</v>
      </c>
      <c r="CF77" s="838">
        <f t="shared" si="191"/>
        <v>0</v>
      </c>
      <c r="CG77" s="838">
        <f t="shared" si="191"/>
        <v>0</v>
      </c>
      <c r="CH77" s="838">
        <f t="shared" si="191"/>
        <v>0</v>
      </c>
      <c r="CI77" s="821">
        <f t="shared" si="191"/>
        <v>0</v>
      </c>
      <c r="CJ77" s="838">
        <f t="shared" si="191"/>
        <v>0</v>
      </c>
      <c r="CK77" s="838">
        <f t="shared" si="191"/>
        <v>0</v>
      </c>
      <c r="CL77" s="838">
        <f t="shared" si="191"/>
        <v>0</v>
      </c>
      <c r="CM77" s="838">
        <f t="shared" si="191"/>
        <v>0</v>
      </c>
      <c r="CN77" s="821">
        <f t="shared" si="191"/>
        <v>0</v>
      </c>
      <c r="CO77" s="838">
        <f t="shared" si="191"/>
        <v>0</v>
      </c>
      <c r="CP77" s="838">
        <f t="shared" si="191"/>
        <v>71.996614120000004</v>
      </c>
      <c r="CQ77" s="838">
        <f t="shared" si="191"/>
        <v>123.67489645000001</v>
      </c>
      <c r="CR77" s="838">
        <f t="shared" si="191"/>
        <v>178.06727146</v>
      </c>
      <c r="CS77" s="821">
        <f t="shared" si="191"/>
        <v>374.28248389999999</v>
      </c>
      <c r="CT77" s="838">
        <f t="shared" si="191"/>
        <v>26.169322469999997</v>
      </c>
      <c r="CU77" s="838">
        <f t="shared" si="191"/>
        <v>0</v>
      </c>
      <c r="CV77" s="838">
        <f t="shared" si="191"/>
        <v>0</v>
      </c>
      <c r="CW77" s="838">
        <v>100</v>
      </c>
      <c r="CX77" s="821">
        <f>SUM(CT77:CW77)</f>
        <v>126.16932247</v>
      </c>
      <c r="CY77" s="838">
        <f>CY75*CY76</f>
        <v>100.02573000000001</v>
      </c>
      <c r="CZ77" s="838">
        <f>CZ75*CZ76</f>
        <v>90</v>
      </c>
      <c r="DA77" s="838">
        <f>DA75*DA76</f>
        <v>122.2</v>
      </c>
      <c r="DB77" s="838">
        <v>100</v>
      </c>
      <c r="DC77" s="821">
        <f>SUM(CY77:DB77)</f>
        <v>412.22573</v>
      </c>
      <c r="DD77" s="838">
        <f>'BS &amp; CF'!DD176</f>
        <v>0</v>
      </c>
      <c r="DE77" s="838">
        <f>'BS &amp; CF'!DE176</f>
        <v>0</v>
      </c>
      <c r="DF77" s="838">
        <f>'BS &amp; CF'!DF176</f>
        <v>0</v>
      </c>
      <c r="DG77" s="838">
        <f>DG75*DG76</f>
        <v>0</v>
      </c>
      <c r="DH77" s="821">
        <f>SUM(DD77:DG77)</f>
        <v>0</v>
      </c>
      <c r="DI77" s="838">
        <f>DI75*DI76</f>
        <v>0</v>
      </c>
      <c r="DJ77" s="838">
        <f>DJ75*DJ76</f>
        <v>0</v>
      </c>
      <c r="DK77" s="838">
        <f>DK75*DK76</f>
        <v>0</v>
      </c>
      <c r="DL77" s="838">
        <v>40</v>
      </c>
      <c r="DM77" s="821">
        <f>SUM(DI77:DL77)</f>
        <v>40</v>
      </c>
      <c r="DN77" s="838">
        <v>20</v>
      </c>
      <c r="DO77" s="838">
        <v>20</v>
      </c>
      <c r="DP77" s="838">
        <v>20</v>
      </c>
      <c r="DQ77" s="838">
        <v>20</v>
      </c>
      <c r="DR77" s="821">
        <f>SUM(DN77:DQ77)</f>
        <v>80</v>
      </c>
      <c r="DS77" s="838">
        <f>DS75*DS76</f>
        <v>0</v>
      </c>
      <c r="DT77" s="838">
        <f>DT75*DT76</f>
        <v>0</v>
      </c>
      <c r="DU77" s="838">
        <f>DU75*DU76</f>
        <v>0</v>
      </c>
      <c r="DV77" s="838">
        <v>20</v>
      </c>
      <c r="DW77" s="821">
        <f>SUM(DS77:DV77)</f>
        <v>20</v>
      </c>
      <c r="DX77" s="838">
        <f>DX75*DX76</f>
        <v>0</v>
      </c>
      <c r="DY77" s="838">
        <f>DY75*DY76</f>
        <v>0</v>
      </c>
      <c r="DZ77" s="838">
        <f>DZ75*DZ76</f>
        <v>0</v>
      </c>
      <c r="EA77" s="838">
        <f>EA75*EA76</f>
        <v>0</v>
      </c>
      <c r="EB77" s="821">
        <f>SUM(DX77:EA77)</f>
        <v>0</v>
      </c>
      <c r="EC77" s="838">
        <f>EC75*EC76</f>
        <v>0</v>
      </c>
      <c r="ED77" s="838">
        <f>ED75*ED76</f>
        <v>0</v>
      </c>
      <c r="EE77" s="838">
        <f>EE75*EE76</f>
        <v>0</v>
      </c>
      <c r="EF77" s="838">
        <f>EF75*EF76</f>
        <v>0</v>
      </c>
      <c r="EG77" s="821">
        <f>SUM(EC77:EF77)</f>
        <v>0</v>
      </c>
      <c r="EH77" s="838">
        <f>EH75*EH76</f>
        <v>0</v>
      </c>
      <c r="EI77" s="838">
        <f>EI75*EI76</f>
        <v>0</v>
      </c>
      <c r="EJ77" s="838">
        <f>EJ75*EJ76</f>
        <v>0</v>
      </c>
      <c r="EK77" s="838">
        <f>EK75*EK76</f>
        <v>0</v>
      </c>
      <c r="EL77" s="821">
        <f>SUM(EH77:EK77)</f>
        <v>0</v>
      </c>
      <c r="EM77" s="1"/>
      <c r="EN77"/>
      <c r="EO77"/>
      <c r="EP77"/>
      <c r="EQ77"/>
      <c r="ER77"/>
      <c r="ES77" s="7"/>
      <c r="ET77"/>
      <c r="EU77" s="7"/>
      <c r="EV77" s="7"/>
      <c r="EW77" s="7"/>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c r="HF77" s="3"/>
      <c r="HG77" s="3"/>
      <c r="HH77" s="3"/>
      <c r="HI77" s="3"/>
      <c r="HJ77" s="3"/>
      <c r="HK77" s="3"/>
      <c r="HL77" s="3"/>
      <c r="HM77" s="3"/>
      <c r="HN77" s="3"/>
      <c r="HO77" s="3"/>
      <c r="HP77" s="3"/>
      <c r="HQ77" s="3"/>
      <c r="HR77" s="3"/>
      <c r="HS77" s="3"/>
      <c r="HT77" s="3"/>
      <c r="HU77" s="3"/>
      <c r="HV77" s="3"/>
      <c r="HW77" s="3"/>
      <c r="HX77" s="3"/>
      <c r="HY77" s="3"/>
      <c r="HZ77" s="3"/>
      <c r="IA77" s="3"/>
      <c r="IB77" s="3"/>
      <c r="IC77" s="3"/>
      <c r="ID77" s="3"/>
      <c r="IE77" s="3"/>
      <c r="IF77" s="3"/>
      <c r="IG77" s="3"/>
      <c r="IH77" s="3"/>
      <c r="II77" s="3"/>
      <c r="IJ77" s="3"/>
      <c r="IK77" s="3"/>
      <c r="IL77" s="3"/>
      <c r="IM77" s="3"/>
      <c r="IN77" s="3"/>
      <c r="IO77" s="3"/>
      <c r="IP77" s="3"/>
      <c r="IQ77" s="3"/>
      <c r="IR77" s="3"/>
      <c r="IS77" s="3"/>
      <c r="IT77" s="3"/>
      <c r="IU77" s="3"/>
      <c r="IV77" s="3"/>
      <c r="IW77" s="3"/>
      <c r="IX77" s="3"/>
      <c r="IY77" s="3"/>
      <c r="IZ77" s="3"/>
      <c r="JA77" s="3"/>
      <c r="JB77" s="3"/>
      <c r="JC77" s="3"/>
      <c r="JD77" s="3"/>
      <c r="JE77" s="3"/>
      <c r="JF77" s="3"/>
      <c r="JG77" s="3"/>
      <c r="JH77" s="3"/>
      <c r="JI77" s="3"/>
      <c r="JJ77" s="3"/>
      <c r="JK77" s="3"/>
    </row>
    <row r="78" spans="1:271" s="11" customFormat="1" ht="2.1" customHeight="1" collapsed="1" thickBot="1">
      <c r="A78" s="833"/>
      <c r="B78" s="834"/>
      <c r="C78" s="739"/>
      <c r="D78" s="739"/>
      <c r="E78" s="739"/>
      <c r="F78" s="739"/>
      <c r="G78" s="739"/>
      <c r="H78" s="817"/>
      <c r="I78" s="739"/>
      <c r="J78" s="739"/>
      <c r="K78" s="739"/>
      <c r="L78" s="739"/>
      <c r="M78" s="817"/>
      <c r="N78" s="739"/>
      <c r="O78" s="739"/>
      <c r="P78" s="739"/>
      <c r="Q78" s="739"/>
      <c r="R78" s="817"/>
      <c r="S78" s="739"/>
      <c r="T78" s="739"/>
      <c r="U78" s="739"/>
      <c r="V78" s="739"/>
      <c r="W78" s="817"/>
      <c r="X78" s="739"/>
      <c r="Y78" s="739"/>
      <c r="Z78" s="739"/>
      <c r="AA78" s="739"/>
      <c r="AB78" s="817"/>
      <c r="AC78" s="739"/>
      <c r="AD78" s="739"/>
      <c r="AE78" s="739"/>
      <c r="AF78" s="739"/>
      <c r="AG78" s="817"/>
      <c r="AH78" s="739"/>
      <c r="AI78" s="739"/>
      <c r="AJ78" s="739"/>
      <c r="AK78" s="739"/>
      <c r="AL78" s="817"/>
      <c r="AM78" s="739"/>
      <c r="AN78" s="739"/>
      <c r="AO78" s="739"/>
      <c r="AP78" s="739"/>
      <c r="AQ78" s="817"/>
      <c r="AR78" s="739"/>
      <c r="AS78" s="739"/>
      <c r="AT78" s="739"/>
      <c r="AU78" s="739"/>
      <c r="AV78" s="817"/>
      <c r="AW78" s="739"/>
      <c r="AX78" s="739"/>
      <c r="AY78" s="739"/>
      <c r="AZ78" s="739"/>
      <c r="BA78" s="739"/>
      <c r="BB78" s="739"/>
      <c r="BC78" s="739"/>
      <c r="BD78" s="739"/>
      <c r="BE78" s="817"/>
      <c r="BF78" s="739"/>
      <c r="BG78" s="739"/>
      <c r="BH78" s="739"/>
      <c r="BI78" s="739"/>
      <c r="BJ78" s="817"/>
      <c r="BK78" s="739"/>
      <c r="BL78" s="739"/>
      <c r="BM78" s="739"/>
      <c r="BN78" s="739"/>
      <c r="BO78" s="817"/>
      <c r="BP78" s="739"/>
      <c r="BQ78" s="739"/>
      <c r="BR78" s="739"/>
      <c r="BS78" s="739"/>
      <c r="BT78" s="817"/>
      <c r="BU78" s="739"/>
      <c r="BV78" s="739"/>
      <c r="BW78" s="739"/>
      <c r="BX78" s="739"/>
      <c r="BY78" s="817"/>
      <c r="BZ78" s="739"/>
      <c r="CA78" s="739"/>
      <c r="CB78" s="739"/>
      <c r="CC78" s="739"/>
      <c r="CD78" s="817"/>
      <c r="CE78" s="739"/>
      <c r="CF78" s="739"/>
      <c r="CG78" s="739"/>
      <c r="CH78" s="739"/>
      <c r="CI78" s="817"/>
      <c r="CJ78" s="739"/>
      <c r="CK78" s="739"/>
      <c r="CL78" s="739"/>
      <c r="CM78" s="739"/>
      <c r="CN78" s="817"/>
      <c r="CO78" s="739"/>
      <c r="CP78" s="739"/>
      <c r="CQ78" s="739"/>
      <c r="CR78" s="739"/>
      <c r="CS78" s="817"/>
      <c r="CT78" s="739"/>
      <c r="CU78" s="739"/>
      <c r="CV78" s="739"/>
      <c r="CW78" s="739"/>
      <c r="CX78" s="817"/>
      <c r="CY78" s="739"/>
      <c r="CZ78" s="739"/>
      <c r="DA78" s="739"/>
      <c r="DB78" s="739"/>
      <c r="DC78" s="817"/>
      <c r="DD78" s="739"/>
      <c r="DE78" s="739"/>
      <c r="DF78" s="739"/>
      <c r="DG78" s="739"/>
      <c r="DH78" s="817"/>
      <c r="DI78" s="739"/>
      <c r="DJ78" s="739"/>
      <c r="DK78" s="739"/>
      <c r="DL78" s="739"/>
      <c r="DM78" s="817"/>
      <c r="DN78" s="739"/>
      <c r="DO78" s="739"/>
      <c r="DP78" s="739"/>
      <c r="DQ78" s="739"/>
      <c r="DR78" s="817"/>
      <c r="DS78" s="739"/>
      <c r="DT78" s="739"/>
      <c r="DU78" s="739"/>
      <c r="DV78" s="739"/>
      <c r="DW78" s="817"/>
      <c r="DX78" s="739"/>
      <c r="DY78" s="739"/>
      <c r="DZ78" s="739"/>
      <c r="EA78" s="739"/>
      <c r="EB78" s="817"/>
      <c r="EC78" s="739"/>
      <c r="ED78" s="739"/>
      <c r="EE78" s="739"/>
      <c r="EF78" s="739"/>
      <c r="EG78" s="817"/>
      <c r="EH78" s="739"/>
      <c r="EI78" s="739"/>
      <c r="EJ78" s="739"/>
      <c r="EK78" s="739"/>
      <c r="EL78" s="817"/>
      <c r="EM78" s="1"/>
      <c r="EN78"/>
      <c r="EO78"/>
      <c r="EP78"/>
      <c r="EQ78"/>
      <c r="ER78"/>
      <c r="ES78" s="7"/>
      <c r="ET78"/>
      <c r="EU78" s="7"/>
      <c r="EV78" s="7"/>
      <c r="EW78" s="7"/>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c r="HF78" s="3"/>
      <c r="HG78" s="3"/>
      <c r="HH78" s="3"/>
      <c r="HI78" s="3"/>
      <c r="HJ78" s="3"/>
      <c r="HK78" s="3"/>
      <c r="HL78" s="3"/>
      <c r="HM78" s="3"/>
      <c r="HN78" s="3"/>
      <c r="HO78" s="3"/>
      <c r="HP78" s="3"/>
      <c r="HQ78" s="3"/>
      <c r="HR78" s="3"/>
      <c r="HS78" s="3"/>
      <c r="HT78" s="3"/>
      <c r="HU78" s="3"/>
      <c r="HV78" s="3"/>
      <c r="HW78" s="3"/>
      <c r="HX78" s="3"/>
      <c r="HY78" s="3"/>
      <c r="HZ78" s="3"/>
      <c r="IA78" s="3"/>
      <c r="IB78" s="3"/>
      <c r="IC78" s="3"/>
      <c r="ID78" s="3"/>
      <c r="IE78" s="3"/>
      <c r="IF78" s="3"/>
      <c r="IG78" s="3"/>
      <c r="IH78" s="3"/>
      <c r="II78" s="3"/>
      <c r="IJ78" s="3"/>
      <c r="IK78" s="3"/>
      <c r="IL78" s="3"/>
      <c r="IM78" s="3"/>
      <c r="IN78" s="3"/>
      <c r="IO78" s="3"/>
      <c r="IP78" s="3"/>
      <c r="IQ78" s="3"/>
      <c r="IR78" s="3"/>
      <c r="IS78" s="3"/>
      <c r="IT78" s="3"/>
      <c r="IU78" s="3"/>
      <c r="IV78" s="3"/>
      <c r="IW78" s="3"/>
      <c r="IX78" s="3"/>
      <c r="IY78" s="3"/>
      <c r="IZ78" s="3"/>
      <c r="JA78" s="3"/>
      <c r="JB78" s="3"/>
      <c r="JC78" s="3"/>
      <c r="JD78" s="3"/>
      <c r="JE78" s="3"/>
      <c r="JF78" s="3"/>
      <c r="JG78" s="3"/>
      <c r="JH78" s="3"/>
      <c r="JI78" s="3"/>
      <c r="JJ78" s="3"/>
      <c r="JK78" s="3"/>
    </row>
    <row r="79" spans="1:271" s="11" customFormat="1" ht="12" hidden="1" customHeight="1" outlineLevel="1">
      <c r="A79" s="839"/>
      <c r="B79" s="840" t="s">
        <v>509</v>
      </c>
      <c r="C79" s="841"/>
      <c r="D79" s="841"/>
      <c r="E79" s="841"/>
      <c r="F79" s="841"/>
      <c r="G79" s="841"/>
      <c r="H79" s="842"/>
      <c r="I79" s="841"/>
      <c r="J79" s="841"/>
      <c r="K79" s="841"/>
      <c r="L79" s="841"/>
      <c r="M79" s="842"/>
      <c r="N79" s="841"/>
      <c r="O79" s="841"/>
      <c r="P79" s="841"/>
      <c r="Q79" s="841"/>
      <c r="R79" s="842"/>
      <c r="S79" s="841"/>
      <c r="T79" s="841"/>
      <c r="U79" s="841"/>
      <c r="V79" s="841"/>
      <c r="W79" s="842"/>
      <c r="X79" s="841"/>
      <c r="Y79" s="841"/>
      <c r="Z79" s="841"/>
      <c r="AA79" s="841"/>
      <c r="AB79" s="842"/>
      <c r="AC79" s="841"/>
      <c r="AD79" s="841"/>
      <c r="AE79" s="841"/>
      <c r="AF79" s="841"/>
      <c r="AG79" s="842"/>
      <c r="AH79" s="841"/>
      <c r="AI79" s="841"/>
      <c r="AJ79" s="841"/>
      <c r="AK79" s="841"/>
      <c r="AL79" s="842"/>
      <c r="AM79" s="841"/>
      <c r="AN79" s="841"/>
      <c r="AO79" s="841"/>
      <c r="AP79" s="841"/>
      <c r="AQ79" s="842"/>
      <c r="AR79" s="841"/>
      <c r="AS79" s="841"/>
      <c r="AT79" s="841"/>
      <c r="AU79" s="841"/>
      <c r="AV79" s="842"/>
      <c r="AW79" s="841"/>
      <c r="AX79" s="841"/>
      <c r="AY79" s="841"/>
      <c r="AZ79" s="841"/>
      <c r="BA79" s="841"/>
      <c r="BB79" s="841"/>
      <c r="BC79" s="841"/>
      <c r="BD79" s="841"/>
      <c r="BE79" s="842"/>
      <c r="BF79" s="841"/>
      <c r="BG79" s="841"/>
      <c r="BH79" s="841"/>
      <c r="BI79" s="841"/>
      <c r="BJ79" s="842"/>
      <c r="BK79" s="841"/>
      <c r="BL79" s="841"/>
      <c r="BM79" s="841"/>
      <c r="BN79" s="841"/>
      <c r="BO79" s="842"/>
      <c r="BP79" s="841"/>
      <c r="BQ79" s="841"/>
      <c r="BR79" s="841"/>
      <c r="BS79" s="841"/>
      <c r="BT79" s="842"/>
      <c r="BU79" s="841"/>
      <c r="BV79" s="841"/>
      <c r="BW79" s="841"/>
      <c r="BX79" s="841"/>
      <c r="BY79" s="842"/>
      <c r="BZ79" s="841"/>
      <c r="CA79" s="841"/>
      <c r="CB79" s="841"/>
      <c r="CC79" s="841"/>
      <c r="CD79" s="842"/>
      <c r="CE79" s="841"/>
      <c r="CF79" s="841"/>
      <c r="CG79" s="841"/>
      <c r="CH79" s="841"/>
      <c r="CI79" s="842"/>
      <c r="CJ79" s="841"/>
      <c r="CK79" s="841"/>
      <c r="CL79" s="841"/>
      <c r="CM79" s="841"/>
      <c r="CN79" s="842"/>
      <c r="CO79" s="841"/>
      <c r="CP79" s="841"/>
      <c r="CQ79" s="841"/>
      <c r="CR79" s="841"/>
      <c r="CS79" s="842"/>
      <c r="CT79" s="841"/>
      <c r="CU79" s="841"/>
      <c r="CV79" s="841"/>
      <c r="CW79" s="841"/>
      <c r="CX79" s="842"/>
      <c r="CY79" s="841"/>
      <c r="CZ79" s="841"/>
      <c r="DA79" s="841"/>
      <c r="DB79" s="841"/>
      <c r="DC79" s="842"/>
      <c r="DD79" s="841"/>
      <c r="DE79" s="841"/>
      <c r="DF79" s="841"/>
      <c r="DG79" s="841"/>
      <c r="DH79" s="842"/>
      <c r="DI79" s="841"/>
      <c r="DJ79" s="841"/>
      <c r="DK79" s="841"/>
      <c r="DL79" s="841"/>
      <c r="DM79" s="842"/>
      <c r="DN79" s="841"/>
      <c r="DO79" s="841"/>
      <c r="DP79" s="841"/>
      <c r="DQ79" s="841"/>
      <c r="DR79" s="842"/>
      <c r="DS79" s="841"/>
      <c r="DT79" s="841"/>
      <c r="DU79" s="841"/>
      <c r="DV79" s="841"/>
      <c r="DW79" s="842"/>
      <c r="DX79" s="841"/>
      <c r="DY79" s="841"/>
      <c r="DZ79" s="841"/>
      <c r="EA79" s="841"/>
      <c r="EB79" s="842"/>
      <c r="EC79" s="841"/>
      <c r="ED79" s="841"/>
      <c r="EE79" s="841"/>
      <c r="EF79" s="841"/>
      <c r="EG79" s="842"/>
      <c r="EH79" s="841"/>
      <c r="EI79" s="841"/>
      <c r="EJ79" s="841"/>
      <c r="EK79" s="841"/>
      <c r="EL79" s="842"/>
      <c r="EM79" s="1"/>
      <c r="EN79"/>
      <c r="EO79"/>
      <c r="EP79"/>
      <c r="EQ79"/>
      <c r="ER79"/>
      <c r="ES79" s="7"/>
      <c r="ET79"/>
      <c r="EU79" s="7"/>
      <c r="EV79" s="7"/>
      <c r="EW79" s="7"/>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c r="HF79" s="3"/>
      <c r="HG79" s="3"/>
      <c r="HH79" s="3"/>
      <c r="HI79" s="3"/>
      <c r="HJ79" s="3"/>
      <c r="HK79" s="3"/>
      <c r="HL79" s="3"/>
      <c r="HM79" s="3"/>
      <c r="HN79" s="3"/>
      <c r="HO79" s="3"/>
      <c r="HP79" s="3"/>
      <c r="HQ79" s="3"/>
      <c r="HR79" s="3"/>
      <c r="HS79" s="3"/>
      <c r="HT79" s="3"/>
      <c r="HU79" s="3"/>
      <c r="HV79" s="3"/>
      <c r="HW79" s="3"/>
      <c r="HX79" s="3"/>
      <c r="HY79" s="3"/>
      <c r="HZ79" s="3"/>
      <c r="IA79" s="3"/>
      <c r="IB79" s="3"/>
      <c r="IC79" s="3"/>
      <c r="ID79" s="3"/>
      <c r="IE79" s="3"/>
      <c r="IF79" s="3"/>
      <c r="IG79" s="3"/>
      <c r="IH79" s="3"/>
      <c r="II79" s="3"/>
      <c r="IJ79" s="3"/>
      <c r="IK79" s="3"/>
      <c r="IL79" s="3"/>
      <c r="IM79" s="3"/>
      <c r="IN79" s="3"/>
      <c r="IO79" s="3"/>
      <c r="IP79" s="3"/>
      <c r="IQ79" s="3"/>
      <c r="IR79" s="3"/>
      <c r="IS79" s="3"/>
      <c r="IT79" s="3"/>
      <c r="IU79" s="3"/>
      <c r="IV79" s="3"/>
      <c r="IW79" s="3"/>
      <c r="IX79" s="3"/>
      <c r="IY79" s="3"/>
      <c r="IZ79" s="3"/>
      <c r="JA79" s="3"/>
      <c r="JB79" s="3"/>
      <c r="JC79" s="3"/>
      <c r="JD79" s="3"/>
      <c r="JE79" s="3"/>
      <c r="JF79" s="3"/>
      <c r="JG79" s="3"/>
      <c r="JH79" s="3"/>
      <c r="JI79" s="3"/>
      <c r="JJ79" s="3"/>
      <c r="JK79" s="3"/>
    </row>
    <row r="80" spans="1:271" s="11" customFormat="1" ht="12" hidden="1" customHeight="1" outlineLevel="1">
      <c r="A80" s="801"/>
      <c r="B80" s="557" t="s">
        <v>510</v>
      </c>
      <c r="C80" s="843"/>
      <c r="D80" s="843">
        <f>D27</f>
        <v>84.868000000000009</v>
      </c>
      <c r="E80" s="843">
        <f>E27</f>
        <v>84.799999999999969</v>
      </c>
      <c r="F80" s="843">
        <f>F27</f>
        <v>88.69999999999996</v>
      </c>
      <c r="G80" s="843">
        <f>G27</f>
        <v>132.63200000000001</v>
      </c>
      <c r="H80" s="844">
        <f>SUM(D80:G80)</f>
        <v>390.99999999999994</v>
      </c>
      <c r="I80" s="843">
        <f>I27</f>
        <v>173.90000000000003</v>
      </c>
      <c r="J80" s="843">
        <f>J27</f>
        <v>191.3</v>
      </c>
      <c r="K80" s="843">
        <f>K27</f>
        <v>201.80000000000013</v>
      </c>
      <c r="L80" s="843">
        <f>L27</f>
        <v>124.99999999999977</v>
      </c>
      <c r="M80" s="844">
        <f>SUM(I80:L80)</f>
        <v>692</v>
      </c>
      <c r="N80" s="843">
        <f>N27</f>
        <v>198.59999999999988</v>
      </c>
      <c r="O80" s="843">
        <f>O27</f>
        <v>206.19999999999987</v>
      </c>
      <c r="P80" s="843">
        <f>P27</f>
        <v>31.200000000000088</v>
      </c>
      <c r="Q80" s="843">
        <f>Q27</f>
        <v>-22.000000000000682</v>
      </c>
      <c r="R80" s="844">
        <f>SUM(N80:Q80)</f>
        <v>413.99999999999915</v>
      </c>
      <c r="S80" s="843">
        <f>S27</f>
        <v>305</v>
      </c>
      <c r="T80" s="843">
        <f>T27</f>
        <v>330</v>
      </c>
      <c r="U80" s="843">
        <f>U27</f>
        <v>357</v>
      </c>
      <c r="V80" s="843">
        <f>V27</f>
        <v>136</v>
      </c>
      <c r="W80" s="844">
        <f>SUM(S80:V80)</f>
        <v>1128</v>
      </c>
      <c r="X80" s="843">
        <f>X27</f>
        <v>338</v>
      </c>
      <c r="Y80" s="843">
        <f>Y27</f>
        <v>317</v>
      </c>
      <c r="Z80" s="843">
        <f>Z27</f>
        <v>316</v>
      </c>
      <c r="AA80" s="843">
        <f>AA27</f>
        <v>-32</v>
      </c>
      <c r="AB80" s="844">
        <f>SUM(X80:AA80)</f>
        <v>939</v>
      </c>
      <c r="AC80" s="843">
        <f>AC27</f>
        <v>323</v>
      </c>
      <c r="AD80" s="843">
        <f>AD27</f>
        <v>337</v>
      </c>
      <c r="AE80" s="843">
        <f>AE27</f>
        <v>135</v>
      </c>
      <c r="AF80" s="843">
        <f>AF27</f>
        <v>252</v>
      </c>
      <c r="AG80" s="844">
        <f>SUM(AC80:AF80)</f>
        <v>1047</v>
      </c>
      <c r="AH80" s="843">
        <f>AH27</f>
        <v>380</v>
      </c>
      <c r="AI80" s="843">
        <f>AI27</f>
        <v>401</v>
      </c>
      <c r="AJ80" s="843">
        <f>AJ27</f>
        <v>439</v>
      </c>
      <c r="AK80" s="843">
        <f>AK27</f>
        <v>327</v>
      </c>
      <c r="AL80" s="844">
        <f>SUM(AH80:AK80)</f>
        <v>1547</v>
      </c>
      <c r="AM80" s="843">
        <f>AM27</f>
        <v>477</v>
      </c>
      <c r="AN80" s="843">
        <f>AN27</f>
        <v>428</v>
      </c>
      <c r="AO80" s="843">
        <f>AO27</f>
        <v>567</v>
      </c>
      <c r="AP80" s="843">
        <f>AP27</f>
        <v>622</v>
      </c>
      <c r="AQ80" s="844">
        <f>SUM(AM80:AP80)</f>
        <v>2094</v>
      </c>
      <c r="AR80" s="843">
        <f>AR27</f>
        <v>628</v>
      </c>
      <c r="AS80" s="843">
        <f>AS27</f>
        <v>581</v>
      </c>
      <c r="AT80" s="843">
        <f>AT27</f>
        <v>-19</v>
      </c>
      <c r="AU80" s="843"/>
      <c r="AV80" s="844">
        <f>AV27</f>
        <v>530</v>
      </c>
      <c r="AW80" s="843">
        <f>AW27</f>
        <v>559</v>
      </c>
      <c r="AX80" s="843">
        <f>AX27</f>
        <v>585</v>
      </c>
      <c r="AY80" s="843">
        <f>AY27</f>
        <v>131</v>
      </c>
      <c r="AZ80" s="843">
        <f>SUM(AV80:AY80)</f>
        <v>1805</v>
      </c>
      <c r="BA80" s="843">
        <f>BA27</f>
        <v>146</v>
      </c>
      <c r="BB80" s="843">
        <f>BB27</f>
        <v>-124</v>
      </c>
      <c r="BC80" s="843">
        <f>BC27</f>
        <v>-294</v>
      </c>
      <c r="BD80" s="843">
        <f>BD27</f>
        <v>-1345</v>
      </c>
      <c r="BE80" s="844">
        <f>SUM(BA80:BD80)</f>
        <v>-1617</v>
      </c>
      <c r="BF80" s="843">
        <f>BF27</f>
        <v>56</v>
      </c>
      <c r="BG80" s="843">
        <f>BG27</f>
        <v>-254</v>
      </c>
      <c r="BH80" s="843">
        <f>BH27</f>
        <v>18</v>
      </c>
      <c r="BI80" s="843">
        <f>BI27</f>
        <v>-1244</v>
      </c>
      <c r="BJ80" s="844">
        <f>SUM(BF80:BI80)</f>
        <v>-1424</v>
      </c>
      <c r="BK80" s="843">
        <f>BK27</f>
        <v>98</v>
      </c>
      <c r="BL80" s="843">
        <f>BL27</f>
        <v>60</v>
      </c>
      <c r="BM80" s="843">
        <f>BM27</f>
        <v>-289</v>
      </c>
      <c r="BN80" s="843">
        <f>BN27</f>
        <v>-228</v>
      </c>
      <c r="BO80" s="844">
        <f>SUM(BK80:BN80)</f>
        <v>-359</v>
      </c>
      <c r="BP80" s="843">
        <f>BP27</f>
        <v>104</v>
      </c>
      <c r="BQ80" s="843">
        <f>BQ27</f>
        <v>-615</v>
      </c>
      <c r="BR80" s="843">
        <f>BR27</f>
        <v>21</v>
      </c>
      <c r="BS80" s="843">
        <f>BS27</f>
        <v>-280</v>
      </c>
      <c r="BT80" s="844">
        <f>SUM(BP80:BS80)</f>
        <v>-770</v>
      </c>
      <c r="BU80" s="843">
        <f>BU27</f>
        <v>98</v>
      </c>
      <c r="BV80" s="843">
        <f>BV27</f>
        <v>58</v>
      </c>
      <c r="BW80" s="843">
        <f>BW27</f>
        <v>70</v>
      </c>
      <c r="BX80" s="843">
        <f>BX27</f>
        <v>28</v>
      </c>
      <c r="BY80" s="844">
        <f>SUM(BU80:BX80)</f>
        <v>254</v>
      </c>
      <c r="BZ80" s="843">
        <f>BZ27</f>
        <v>91</v>
      </c>
      <c r="CA80" s="843">
        <f>CA27</f>
        <v>63</v>
      </c>
      <c r="CB80" s="843">
        <f>CB27</f>
        <v>66</v>
      </c>
      <c r="CC80" s="843">
        <f>CC27</f>
        <v>93</v>
      </c>
      <c r="CD80" s="844">
        <f>SUM(BZ80:CC80)</f>
        <v>313</v>
      </c>
      <c r="CE80" s="843">
        <f>CE27</f>
        <v>173</v>
      </c>
      <c r="CF80" s="843">
        <f>CF27</f>
        <v>138</v>
      </c>
      <c r="CG80" s="843">
        <f>CG27</f>
        <v>133</v>
      </c>
      <c r="CH80" s="843">
        <f>CH27</f>
        <v>91</v>
      </c>
      <c r="CI80" s="844">
        <f>SUM(CE80:CH80)</f>
        <v>535</v>
      </c>
      <c r="CJ80" s="843">
        <f>CJ27</f>
        <v>201</v>
      </c>
      <c r="CK80" s="843">
        <f>CK27</f>
        <v>171</v>
      </c>
      <c r="CL80" s="843">
        <f>CL27</f>
        <v>97</v>
      </c>
      <c r="CM80" s="843">
        <f>CM27</f>
        <v>165</v>
      </c>
      <c r="CN80" s="844">
        <f>SUM(CJ80:CM80)</f>
        <v>634</v>
      </c>
      <c r="CO80" s="843">
        <f>CO27</f>
        <v>254</v>
      </c>
      <c r="CP80" s="843">
        <f>CP27</f>
        <v>165</v>
      </c>
      <c r="CQ80" s="843">
        <f>CQ27</f>
        <v>79</v>
      </c>
      <c r="CR80" s="843">
        <f>CR27</f>
        <v>155</v>
      </c>
      <c r="CS80" s="844">
        <f>SUM(CO80:CR80)</f>
        <v>653</v>
      </c>
      <c r="CT80" s="843">
        <f>CT27</f>
        <v>205</v>
      </c>
      <c r="CU80" s="843">
        <f>CU27</f>
        <v>180</v>
      </c>
      <c r="CV80" s="843">
        <f>CV27</f>
        <v>153</v>
      </c>
      <c r="CW80" s="843">
        <f>CW27</f>
        <v>211</v>
      </c>
      <c r="CX80" s="844">
        <f>SUM(CT80:CW80)</f>
        <v>749</v>
      </c>
      <c r="CY80" s="843">
        <f>CY27</f>
        <v>146</v>
      </c>
      <c r="CZ80" s="843">
        <f>CZ27</f>
        <v>202</v>
      </c>
      <c r="DA80" s="843">
        <f>DA27</f>
        <v>148</v>
      </c>
      <c r="DB80" s="843">
        <f>DB27</f>
        <v>167</v>
      </c>
      <c r="DC80" s="844">
        <f>SUM(CY80:DB80)</f>
        <v>663</v>
      </c>
      <c r="DD80" s="843">
        <f>DD27</f>
        <v>170</v>
      </c>
      <c r="DE80" s="843">
        <f>DE27</f>
        <v>207</v>
      </c>
      <c r="DF80" s="843">
        <f>DF27</f>
        <v>211</v>
      </c>
      <c r="DG80" s="843">
        <f>DG27</f>
        <v>337</v>
      </c>
      <c r="DH80" s="844">
        <f>SUM(DD80:DG80)</f>
        <v>925</v>
      </c>
      <c r="DI80" s="843">
        <f>DI27</f>
        <v>290</v>
      </c>
      <c r="DJ80" s="843">
        <f>DJ27</f>
        <v>164</v>
      </c>
      <c r="DK80" s="843">
        <f>DK27</f>
        <v>287</v>
      </c>
      <c r="DL80" s="843">
        <f>DL27</f>
        <v>315</v>
      </c>
      <c r="DM80" s="844">
        <f>SUM(DI80:DL80)</f>
        <v>1056</v>
      </c>
      <c r="DN80" s="843">
        <f>DN27</f>
        <v>347</v>
      </c>
      <c r="DO80" s="843">
        <f>DO27</f>
        <v>267</v>
      </c>
      <c r="DP80" s="843">
        <f>DP27</f>
        <v>333</v>
      </c>
      <c r="DQ80" s="843">
        <f>DQ27</f>
        <v>272</v>
      </c>
      <c r="DR80" s="844">
        <f>SUM(DN80:DQ80)</f>
        <v>1219</v>
      </c>
      <c r="DS80" s="843">
        <f>DS27</f>
        <v>267</v>
      </c>
      <c r="DT80" s="843">
        <f>DT27</f>
        <v>310</v>
      </c>
      <c r="DU80" s="843">
        <f>DU27</f>
        <v>51</v>
      </c>
      <c r="DV80" s="843">
        <f>DV27</f>
        <v>485</v>
      </c>
      <c r="DW80" s="844">
        <f>SUM(DS80:DV80)</f>
        <v>1113</v>
      </c>
      <c r="DX80" s="843">
        <f>DX27</f>
        <v>402.14320019226193</v>
      </c>
      <c r="DY80" s="843">
        <f>DY27</f>
        <v>450.21006540835447</v>
      </c>
      <c r="DZ80" s="843">
        <f>DZ27</f>
        <v>450.80210248087792</v>
      </c>
      <c r="EA80" s="843">
        <f>EA27</f>
        <v>435.42602705183339</v>
      </c>
      <c r="EB80" s="844">
        <f>SUM(DX80:EA80)</f>
        <v>1738.5813951333278</v>
      </c>
      <c r="EC80" s="843">
        <f>EC27</f>
        <v>445.64749704068959</v>
      </c>
      <c r="ED80" s="843">
        <f>ED27</f>
        <v>438.05162732526242</v>
      </c>
      <c r="EE80" s="843">
        <f>EE27</f>
        <v>445.18735669686089</v>
      </c>
      <c r="EF80" s="843">
        <f>EF27</f>
        <v>471.72714328833831</v>
      </c>
      <c r="EG80" s="844">
        <f>SUM(EC80:EF80)</f>
        <v>1800.6136243511512</v>
      </c>
      <c r="EH80" s="843">
        <f>EH27</f>
        <v>463.14488484359083</v>
      </c>
      <c r="EI80" s="843">
        <f>EI27</f>
        <v>466.99491709928645</v>
      </c>
      <c r="EJ80" s="843">
        <f>EJ27</f>
        <v>462.63788886057256</v>
      </c>
      <c r="EK80" s="843">
        <f>EK27</f>
        <v>452.98118096457119</v>
      </c>
      <c r="EL80" s="844">
        <f>SUM(EH80:EK80)</f>
        <v>1845.758871768021</v>
      </c>
      <c r="EM80" s="1"/>
      <c r="EN80"/>
      <c r="EO80"/>
      <c r="EP80"/>
      <c r="EQ80"/>
      <c r="ER80"/>
      <c r="ES80" s="7"/>
      <c r="ET80"/>
      <c r="EU80" s="7"/>
      <c r="EV80" s="7"/>
      <c r="EW80" s="7"/>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c r="HF80" s="3"/>
      <c r="HG80" s="3"/>
      <c r="HH80" s="3"/>
      <c r="HI80" s="3"/>
      <c r="HJ80" s="3"/>
      <c r="HK80" s="3"/>
      <c r="HL80" s="3"/>
      <c r="HM80" s="3"/>
      <c r="HN80" s="3"/>
      <c r="HO80" s="3"/>
      <c r="HP80" s="3"/>
      <c r="HQ80" s="3"/>
      <c r="HR80" s="3"/>
      <c r="HS80" s="3"/>
      <c r="HT80" s="3"/>
      <c r="HU80" s="3"/>
      <c r="HV80" s="3"/>
      <c r="HW80" s="3"/>
      <c r="HX80" s="3"/>
      <c r="HY80" s="3"/>
      <c r="HZ80" s="3"/>
      <c r="IA80" s="3"/>
      <c r="IB80" s="3"/>
      <c r="IC80" s="3"/>
      <c r="ID80" s="3"/>
      <c r="IE80" s="3"/>
      <c r="IF80" s="3"/>
      <c r="IG80" s="3"/>
      <c r="IH80" s="3"/>
      <c r="II80" s="3"/>
      <c r="IJ80" s="3"/>
      <c r="IK80" s="3"/>
      <c r="IL80" s="3"/>
      <c r="IM80" s="3"/>
      <c r="IN80" s="3"/>
      <c r="IO80" s="3"/>
      <c r="IP80" s="3"/>
      <c r="IQ80" s="3"/>
      <c r="IR80" s="3"/>
      <c r="IS80" s="3"/>
      <c r="IT80" s="3"/>
      <c r="IU80" s="3"/>
      <c r="IV80" s="3"/>
      <c r="IW80" s="3"/>
      <c r="IX80" s="3"/>
      <c r="IY80" s="3"/>
      <c r="IZ80" s="3"/>
      <c r="JA80" s="3"/>
      <c r="JB80" s="3"/>
      <c r="JC80" s="3"/>
      <c r="JD80" s="3"/>
      <c r="JE80" s="3"/>
      <c r="JF80" s="3"/>
      <c r="JG80" s="3"/>
      <c r="JH80" s="3"/>
      <c r="JI80" s="3"/>
      <c r="JJ80" s="3"/>
      <c r="JK80" s="3"/>
    </row>
    <row r="81" spans="1:271" s="11" customFormat="1" ht="12" hidden="1" customHeight="1" outlineLevel="1">
      <c r="A81" s="845"/>
      <c r="B81" s="846" t="s">
        <v>511</v>
      </c>
      <c r="C81" s="843"/>
      <c r="D81" s="843">
        <f>D21</f>
        <v>0</v>
      </c>
      <c r="E81" s="843">
        <f>E21</f>
        <v>0</v>
      </c>
      <c r="F81" s="843">
        <f>F21</f>
        <v>0</v>
      </c>
      <c r="G81" s="843">
        <f>G21</f>
        <v>0</v>
      </c>
      <c r="H81" s="844">
        <f>SUM(D81:G81)</f>
        <v>0</v>
      </c>
      <c r="I81" s="843">
        <f>I21</f>
        <v>0</v>
      </c>
      <c r="J81" s="843">
        <f>J21</f>
        <v>0</v>
      </c>
      <c r="K81" s="843">
        <f>K21</f>
        <v>0</v>
      </c>
      <c r="L81" s="843">
        <f>L21</f>
        <v>0</v>
      </c>
      <c r="M81" s="844">
        <f>SUM(I81:L81)</f>
        <v>0</v>
      </c>
      <c r="N81" s="843">
        <f>N21</f>
        <v>0</v>
      </c>
      <c r="O81" s="843">
        <f>O21</f>
        <v>0</v>
      </c>
      <c r="P81" s="843">
        <f>P21</f>
        <v>0</v>
      </c>
      <c r="Q81" s="843">
        <f>Q21</f>
        <v>0</v>
      </c>
      <c r="R81" s="844">
        <f>SUM(N81:Q81)</f>
        <v>0</v>
      </c>
      <c r="S81" s="843">
        <f>S21</f>
        <v>0</v>
      </c>
      <c r="T81" s="843">
        <f>T21</f>
        <v>0</v>
      </c>
      <c r="U81" s="843">
        <f>U21</f>
        <v>0</v>
      </c>
      <c r="V81" s="843">
        <f>V21</f>
        <v>0</v>
      </c>
      <c r="W81" s="844">
        <f>SUM(S81:V81)</f>
        <v>0</v>
      </c>
      <c r="X81" s="843">
        <f>X21</f>
        <v>0</v>
      </c>
      <c r="Y81" s="843">
        <f>Y21</f>
        <v>0</v>
      </c>
      <c r="Z81" s="843">
        <f>Z21</f>
        <v>0</v>
      </c>
      <c r="AA81" s="843">
        <f>AA21</f>
        <v>0</v>
      </c>
      <c r="AB81" s="844">
        <f>SUM(X81:AA81)</f>
        <v>0</v>
      </c>
      <c r="AC81" s="843">
        <f>AC21</f>
        <v>0</v>
      </c>
      <c r="AD81" s="843">
        <f>AD21</f>
        <v>0</v>
      </c>
      <c r="AE81" s="843">
        <f>AE21</f>
        <v>0</v>
      </c>
      <c r="AF81" s="843">
        <f>AF21</f>
        <v>0</v>
      </c>
      <c r="AG81" s="844">
        <f>SUM(AC81:AF81)</f>
        <v>0</v>
      </c>
      <c r="AH81" s="843">
        <f>AH21</f>
        <v>0</v>
      </c>
      <c r="AI81" s="843">
        <f>AI21</f>
        <v>0</v>
      </c>
      <c r="AJ81" s="843">
        <f>AJ21</f>
        <v>0</v>
      </c>
      <c r="AK81" s="843">
        <f>AK21</f>
        <v>0</v>
      </c>
      <c r="AL81" s="844">
        <f>SUM(AH81:AK81)</f>
        <v>0</v>
      </c>
      <c r="AM81" s="843">
        <f>AM21</f>
        <v>0</v>
      </c>
      <c r="AN81" s="843">
        <f>AN21</f>
        <v>0</v>
      </c>
      <c r="AO81" s="843">
        <f>AO21</f>
        <v>0</v>
      </c>
      <c r="AP81" s="843">
        <f>AP21</f>
        <v>0</v>
      </c>
      <c r="AQ81" s="844">
        <f>SUM(AM81:AP81)</f>
        <v>0</v>
      </c>
      <c r="AR81" s="843">
        <f>AR21</f>
        <v>0</v>
      </c>
      <c r="AS81" s="843">
        <f>AS21</f>
        <v>0</v>
      </c>
      <c r="AT81" s="843">
        <f>AT21</f>
        <v>4</v>
      </c>
      <c r="AU81" s="843"/>
      <c r="AV81" s="844">
        <f>AV21</f>
        <v>0</v>
      </c>
      <c r="AW81" s="843">
        <f>AW21</f>
        <v>0</v>
      </c>
      <c r="AX81" s="843">
        <f>AX21</f>
        <v>0</v>
      </c>
      <c r="AY81" s="843">
        <f>AY21</f>
        <v>0</v>
      </c>
      <c r="AZ81" s="843">
        <f>SUM(AV81:AY81)</f>
        <v>0</v>
      </c>
      <c r="BA81" s="843">
        <f>BA21</f>
        <v>6</v>
      </c>
      <c r="BB81" s="843">
        <f>BB21</f>
        <v>68</v>
      </c>
      <c r="BC81" s="843">
        <f>BC21</f>
        <v>253</v>
      </c>
      <c r="BD81" s="843">
        <f>BD21</f>
        <v>-45</v>
      </c>
      <c r="BE81" s="844">
        <f>SUM(BA81:BD81)</f>
        <v>282</v>
      </c>
      <c r="BF81" s="843">
        <f>BF21</f>
        <v>10</v>
      </c>
      <c r="BG81" s="843">
        <f>BG21</f>
        <v>9</v>
      </c>
      <c r="BH81" s="843">
        <f>BH21</f>
        <v>10</v>
      </c>
      <c r="BI81" s="843">
        <f>BI21</f>
        <v>45</v>
      </c>
      <c r="BJ81" s="844">
        <f>SUM(BF81:BI81)</f>
        <v>74</v>
      </c>
      <c r="BK81" s="843">
        <f>BK21</f>
        <v>8</v>
      </c>
      <c r="BL81" s="843">
        <f>BL21</f>
        <v>11</v>
      </c>
      <c r="BM81" s="843">
        <f>BM21</f>
        <v>28</v>
      </c>
      <c r="BN81" s="843">
        <f>BN21</f>
        <v>165</v>
      </c>
      <c r="BO81" s="844">
        <f>SUM(BK81:BN81)</f>
        <v>212</v>
      </c>
      <c r="BP81" s="843">
        <f>BP21</f>
        <v>16</v>
      </c>
      <c r="BQ81" s="843">
        <f>BQ21</f>
        <v>728</v>
      </c>
      <c r="BR81" s="843">
        <f>BR21</f>
        <v>7</v>
      </c>
      <c r="BS81" s="843">
        <f>BS21</f>
        <v>15</v>
      </c>
      <c r="BT81" s="844">
        <f>SUM(BP81:BS81)</f>
        <v>766</v>
      </c>
      <c r="BU81" s="843">
        <f>BU21</f>
        <v>-1</v>
      </c>
      <c r="BV81" s="843">
        <f>BV21</f>
        <v>-1</v>
      </c>
      <c r="BW81" s="843">
        <f>BW21</f>
        <v>3</v>
      </c>
      <c r="BX81" s="843">
        <f>BX21</f>
        <v>12</v>
      </c>
      <c r="BY81" s="844">
        <f>SUM(BU81:BX81)</f>
        <v>13</v>
      </c>
      <c r="BZ81" s="843">
        <f>BZ21</f>
        <v>47</v>
      </c>
      <c r="CA81" s="843">
        <f>CA21</f>
        <v>3</v>
      </c>
      <c r="CB81" s="843">
        <f>CB21</f>
        <v>-5</v>
      </c>
      <c r="CC81" s="843">
        <f>CC21</f>
        <v>-4</v>
      </c>
      <c r="CD81" s="844">
        <f>SUM(BZ81:CC81)</f>
        <v>41</v>
      </c>
      <c r="CE81" s="843">
        <f>CE21</f>
        <v>1</v>
      </c>
      <c r="CF81" s="843">
        <f>CF21</f>
        <v>9</v>
      </c>
      <c r="CG81" s="843">
        <f>CG21</f>
        <v>3</v>
      </c>
      <c r="CH81" s="843">
        <f>CH21</f>
        <v>18</v>
      </c>
      <c r="CI81" s="844">
        <f>SUM(CE81:CH81)</f>
        <v>31</v>
      </c>
      <c r="CJ81" s="843">
        <f>CJ21</f>
        <v>2</v>
      </c>
      <c r="CK81" s="843">
        <f>CK21</f>
        <v>2</v>
      </c>
      <c r="CL81" s="843">
        <f>CL21</f>
        <v>2</v>
      </c>
      <c r="CM81" s="843">
        <f>CM21</f>
        <v>6</v>
      </c>
      <c r="CN81" s="844">
        <f>SUM(CJ81:CM81)</f>
        <v>12</v>
      </c>
      <c r="CO81" s="843">
        <f>CO21</f>
        <v>11</v>
      </c>
      <c r="CP81" s="843">
        <f>CP21</f>
        <v>8</v>
      </c>
      <c r="CQ81" s="843">
        <f>CQ21</f>
        <v>5</v>
      </c>
      <c r="CR81" s="843">
        <f>CR21</f>
        <v>31</v>
      </c>
      <c r="CS81" s="844">
        <f>SUM(CO81:CR81)</f>
        <v>55</v>
      </c>
      <c r="CT81" s="843">
        <f>CT21</f>
        <v>2</v>
      </c>
      <c r="CU81" s="843">
        <f>CU21</f>
        <v>1</v>
      </c>
      <c r="CV81" s="843">
        <f>CV21</f>
        <v>0</v>
      </c>
      <c r="CW81" s="843">
        <f>CW21</f>
        <v>2</v>
      </c>
      <c r="CX81" s="844">
        <f>SUM(CT81:CW81)</f>
        <v>5</v>
      </c>
      <c r="CY81" s="843">
        <f>CY21</f>
        <v>0</v>
      </c>
      <c r="CZ81" s="843">
        <f>CZ21</f>
        <v>2</v>
      </c>
      <c r="DA81" s="843">
        <f>DA21</f>
        <v>0</v>
      </c>
      <c r="DB81" s="843">
        <f>DB21</f>
        <v>28</v>
      </c>
      <c r="DC81" s="844">
        <f>SUM(CY81:DB81)</f>
        <v>30</v>
      </c>
      <c r="DD81" s="843">
        <f>DD21</f>
        <v>3</v>
      </c>
      <c r="DE81" s="843">
        <f>DE21</f>
        <v>12</v>
      </c>
      <c r="DF81" s="843">
        <f>DF21</f>
        <v>4</v>
      </c>
      <c r="DG81" s="843">
        <f>DG21</f>
        <v>6</v>
      </c>
      <c r="DH81" s="844">
        <f>SUM(DD81:DG81)</f>
        <v>25</v>
      </c>
      <c r="DI81" s="843">
        <f>DI21</f>
        <v>3</v>
      </c>
      <c r="DJ81" s="843">
        <f>DJ21</f>
        <v>14</v>
      </c>
      <c r="DK81" s="843">
        <f>DK21</f>
        <v>50</v>
      </c>
      <c r="DL81" s="843">
        <f>DL21</f>
        <v>224</v>
      </c>
      <c r="DM81" s="844">
        <f>SUM(DI81:DL81)</f>
        <v>291</v>
      </c>
      <c r="DN81" s="843">
        <f>DN21</f>
        <v>173</v>
      </c>
      <c r="DO81" s="843">
        <f>DO21</f>
        <v>114</v>
      </c>
      <c r="DP81" s="843">
        <f>DP21</f>
        <v>4</v>
      </c>
      <c r="DQ81" s="843">
        <f>DQ21</f>
        <v>2</v>
      </c>
      <c r="DR81" s="844">
        <f>SUM(DN81:DQ81)</f>
        <v>293</v>
      </c>
      <c r="DS81" s="843">
        <f>DS21</f>
        <v>5</v>
      </c>
      <c r="DT81" s="843">
        <f>DT21</f>
        <v>1</v>
      </c>
      <c r="DU81" s="843">
        <f>DU21</f>
        <v>6</v>
      </c>
      <c r="DV81" s="843">
        <f>DV21</f>
        <v>11</v>
      </c>
      <c r="DW81" s="844">
        <f>SUM(DS81:DV81)</f>
        <v>23</v>
      </c>
      <c r="DX81" s="843">
        <f>DX21</f>
        <v>0</v>
      </c>
      <c r="DY81" s="843">
        <f>DY21</f>
        <v>0</v>
      </c>
      <c r="DZ81" s="843">
        <f>DZ21</f>
        <v>0</v>
      </c>
      <c r="EA81" s="843">
        <f>EA21</f>
        <v>0</v>
      </c>
      <c r="EB81" s="844">
        <f>SUM(DX81:EA81)</f>
        <v>0</v>
      </c>
      <c r="EC81" s="843">
        <f>EC21</f>
        <v>0</v>
      </c>
      <c r="ED81" s="843">
        <f>ED21</f>
        <v>0</v>
      </c>
      <c r="EE81" s="843">
        <f>EE21</f>
        <v>0</v>
      </c>
      <c r="EF81" s="843">
        <f>EF21</f>
        <v>0</v>
      </c>
      <c r="EG81" s="844">
        <f>SUM(EC81:EF81)</f>
        <v>0</v>
      </c>
      <c r="EH81" s="843">
        <f>EH21</f>
        <v>0</v>
      </c>
      <c r="EI81" s="843">
        <f>EI21</f>
        <v>0</v>
      </c>
      <c r="EJ81" s="843">
        <f>EJ21</f>
        <v>0</v>
      </c>
      <c r="EK81" s="843">
        <f>EK21</f>
        <v>0</v>
      </c>
      <c r="EL81" s="844">
        <f>SUM(EH81:EK81)</f>
        <v>0</v>
      </c>
      <c r="EM81" s="1"/>
      <c r="EN81"/>
      <c r="EO81"/>
      <c r="EP81"/>
      <c r="EQ81"/>
      <c r="ER81"/>
      <c r="ES81" s="7"/>
      <c r="ET81"/>
      <c r="EU81" s="7"/>
      <c r="EV81" s="7"/>
      <c r="EW81" s="7"/>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c r="HF81" s="3"/>
      <c r="HG81" s="3"/>
      <c r="HH81" s="3"/>
      <c r="HI81" s="3"/>
      <c r="HJ81" s="3"/>
      <c r="HK81" s="3"/>
      <c r="HL81" s="3"/>
      <c r="HM81" s="3"/>
      <c r="HN81" s="3"/>
      <c r="HO81" s="3"/>
      <c r="HP81" s="3"/>
      <c r="HQ81" s="3"/>
      <c r="HR81" s="3"/>
      <c r="HS81" s="3"/>
      <c r="HT81" s="3"/>
      <c r="HU81" s="3"/>
      <c r="HV81" s="3"/>
      <c r="HW81" s="3"/>
      <c r="HX81" s="3"/>
      <c r="HY81" s="3"/>
      <c r="HZ81" s="3"/>
      <c r="IA81" s="3"/>
      <c r="IB81" s="3"/>
      <c r="IC81" s="3"/>
      <c r="ID81" s="3"/>
      <c r="IE81" s="3"/>
      <c r="IF81" s="3"/>
      <c r="IG81" s="3"/>
      <c r="IH81" s="3"/>
      <c r="II81" s="3"/>
      <c r="IJ81" s="3"/>
      <c r="IK81" s="3"/>
      <c r="IL81" s="3"/>
      <c r="IM81" s="3"/>
      <c r="IN81" s="3"/>
      <c r="IO81" s="3"/>
      <c r="IP81" s="3"/>
      <c r="IQ81" s="3"/>
      <c r="IR81" s="3"/>
      <c r="IS81" s="3"/>
      <c r="IT81" s="3"/>
      <c r="IU81" s="3"/>
      <c r="IV81" s="3"/>
      <c r="IW81" s="3"/>
      <c r="IX81" s="3"/>
      <c r="IY81" s="3"/>
      <c r="IZ81" s="3"/>
      <c r="JA81" s="3"/>
      <c r="JB81" s="3"/>
      <c r="JC81" s="3"/>
      <c r="JD81" s="3"/>
      <c r="JE81" s="3"/>
      <c r="JF81" s="3"/>
      <c r="JG81" s="3"/>
      <c r="JH81" s="3"/>
      <c r="JI81" s="3"/>
      <c r="JJ81" s="3"/>
      <c r="JK81" s="3"/>
    </row>
    <row r="82" spans="1:271" s="11" customFormat="1" ht="12" hidden="1" customHeight="1" outlineLevel="1">
      <c r="A82" s="845"/>
      <c r="B82" s="846" t="s">
        <v>512</v>
      </c>
      <c r="C82" s="843"/>
      <c r="D82" s="843">
        <f>D20</f>
        <v>0</v>
      </c>
      <c r="E82" s="843">
        <f>E20</f>
        <v>0</v>
      </c>
      <c r="F82" s="843">
        <f>F20</f>
        <v>0</v>
      </c>
      <c r="G82" s="843">
        <f>G20</f>
        <v>37</v>
      </c>
      <c r="H82" s="844">
        <f>SUM(D82:G82)</f>
        <v>37</v>
      </c>
      <c r="I82" s="843">
        <f>I20</f>
        <v>0</v>
      </c>
      <c r="J82" s="843">
        <f>J20</f>
        <v>0</v>
      </c>
      <c r="K82" s="843">
        <f>K20</f>
        <v>0</v>
      </c>
      <c r="L82" s="843">
        <f>L20</f>
        <v>86</v>
      </c>
      <c r="M82" s="844">
        <f>SUM(I82:L82)</f>
        <v>86</v>
      </c>
      <c r="N82" s="843">
        <f>N20</f>
        <v>0</v>
      </c>
      <c r="O82" s="843">
        <f>O20</f>
        <v>0</v>
      </c>
      <c r="P82" s="843">
        <f>P20</f>
        <v>272.2</v>
      </c>
      <c r="Q82" s="843">
        <f>Q20</f>
        <v>467.8</v>
      </c>
      <c r="R82" s="844">
        <f>SUM(N82:Q82)</f>
        <v>740</v>
      </c>
      <c r="S82" s="843">
        <f>S20</f>
        <v>0</v>
      </c>
      <c r="T82" s="843">
        <f>T20</f>
        <v>0</v>
      </c>
      <c r="U82" s="843">
        <f>U20</f>
        <v>0</v>
      </c>
      <c r="V82" s="843">
        <f>V20</f>
        <v>221</v>
      </c>
      <c r="W82" s="844">
        <f>SUM(S82:V82)</f>
        <v>221</v>
      </c>
      <c r="X82" s="843">
        <f>X20</f>
        <v>0</v>
      </c>
      <c r="Y82" s="843">
        <f>Y20</f>
        <v>0</v>
      </c>
      <c r="Z82" s="843">
        <f>Z20</f>
        <v>0</v>
      </c>
      <c r="AA82" s="843">
        <f>AA20</f>
        <v>363</v>
      </c>
      <c r="AB82" s="844">
        <f>SUM(X82:AA82)</f>
        <v>363</v>
      </c>
      <c r="AC82" s="843">
        <f>AC20</f>
        <v>0</v>
      </c>
      <c r="AD82" s="843">
        <f>AD20</f>
        <v>0</v>
      </c>
      <c r="AE82" s="843">
        <f>AE20</f>
        <v>232</v>
      </c>
      <c r="AF82" s="843">
        <f>AF20</f>
        <v>123</v>
      </c>
      <c r="AG82" s="844">
        <f>SUM(AC82:AF82)</f>
        <v>355</v>
      </c>
      <c r="AH82" s="843">
        <f>AH20</f>
        <v>0</v>
      </c>
      <c r="AI82" s="843">
        <f>AI20</f>
        <v>0</v>
      </c>
      <c r="AJ82" s="843">
        <f>AJ20</f>
        <v>0</v>
      </c>
      <c r="AK82" s="843">
        <f>AK20</f>
        <v>143</v>
      </c>
      <c r="AL82" s="844">
        <f>SUM(AH82:AK82)</f>
        <v>143</v>
      </c>
      <c r="AM82" s="843">
        <f>AM20</f>
        <v>0</v>
      </c>
      <c r="AN82" s="843">
        <f>AN20</f>
        <v>99</v>
      </c>
      <c r="AO82" s="843">
        <f>AO20</f>
        <v>0</v>
      </c>
      <c r="AP82" s="843">
        <f>AP20</f>
        <v>0</v>
      </c>
      <c r="AQ82" s="844">
        <f>SUM(AM82:AP82)</f>
        <v>99</v>
      </c>
      <c r="AR82" s="843">
        <f>AR20</f>
        <v>0</v>
      </c>
      <c r="AS82" s="843">
        <f>AS20</f>
        <v>64</v>
      </c>
      <c r="AT82" s="843">
        <f>AT20</f>
        <v>398</v>
      </c>
      <c r="AU82" s="843"/>
      <c r="AV82" s="844">
        <f>AV20</f>
        <v>0</v>
      </c>
      <c r="AW82" s="843">
        <f>AW20</f>
        <v>0</v>
      </c>
      <c r="AX82" s="843">
        <f>AX20</f>
        <v>0</v>
      </c>
      <c r="AY82" s="843">
        <f>AY20</f>
        <v>316</v>
      </c>
      <c r="AZ82" s="843">
        <f>SUM(AV82:AY82)</f>
        <v>316</v>
      </c>
      <c r="BA82" s="843">
        <f>BA20</f>
        <v>196</v>
      </c>
      <c r="BB82" s="843">
        <f>BB20</f>
        <v>275</v>
      </c>
      <c r="BC82" s="843">
        <f>BC20</f>
        <v>9</v>
      </c>
      <c r="BD82" s="843">
        <f>BD20</f>
        <v>1447</v>
      </c>
      <c r="BE82" s="844">
        <f>SUM(BA82:BD82)</f>
        <v>1927</v>
      </c>
      <c r="BF82" s="843">
        <f>BF20</f>
        <v>60</v>
      </c>
      <c r="BG82" s="843">
        <f>BG20</f>
        <v>43</v>
      </c>
      <c r="BH82" s="843">
        <f>BH20</f>
        <v>2</v>
      </c>
      <c r="BI82" s="843">
        <f>BI20</f>
        <v>1240</v>
      </c>
      <c r="BJ82" s="844">
        <f>SUM(BF82:BI82)</f>
        <v>1345</v>
      </c>
      <c r="BK82" s="843">
        <f>BK20</f>
        <v>24</v>
      </c>
      <c r="BL82" s="843">
        <f>BL20</f>
        <v>-4</v>
      </c>
      <c r="BM82" s="843">
        <f>BM20</f>
        <v>205</v>
      </c>
      <c r="BN82" s="843">
        <f>BN20</f>
        <v>56</v>
      </c>
      <c r="BO82" s="844">
        <f>SUM(BK82:BN82)</f>
        <v>281</v>
      </c>
      <c r="BP82" s="843">
        <f>BP20</f>
        <v>1</v>
      </c>
      <c r="BQ82" s="843">
        <f>BQ20</f>
        <v>27</v>
      </c>
      <c r="BR82" s="843">
        <f>BR20</f>
        <v>1</v>
      </c>
      <c r="BS82" s="843">
        <f>BS20</f>
        <v>323</v>
      </c>
      <c r="BT82" s="844">
        <f>SUM(BP82:BS82)</f>
        <v>352</v>
      </c>
      <c r="BU82" s="843">
        <f>BU20</f>
        <v>3</v>
      </c>
      <c r="BV82" s="843">
        <f>BV20</f>
        <v>10</v>
      </c>
      <c r="BW82" s="843">
        <f>BW20</f>
        <v>13</v>
      </c>
      <c r="BX82" s="843">
        <f>BX20</f>
        <v>36</v>
      </c>
      <c r="BY82" s="844">
        <f>SUM(BU82:BX82)</f>
        <v>62</v>
      </c>
      <c r="BZ82" s="843">
        <f>BZ20</f>
        <v>1</v>
      </c>
      <c r="CA82" s="843">
        <f>CA20</f>
        <v>2</v>
      </c>
      <c r="CB82" s="843">
        <f>CB20</f>
        <v>1</v>
      </c>
      <c r="CC82" s="843">
        <f>CC20</f>
        <v>14</v>
      </c>
      <c r="CD82" s="844">
        <f>SUM(BZ82:CC82)</f>
        <v>18</v>
      </c>
      <c r="CE82" s="843">
        <f>CE20</f>
        <v>5</v>
      </c>
      <c r="CF82" s="843">
        <f>CF20</f>
        <v>1</v>
      </c>
      <c r="CG82" s="843">
        <f>CG20</f>
        <v>7</v>
      </c>
      <c r="CH82" s="843">
        <f>CH20</f>
        <v>14</v>
      </c>
      <c r="CI82" s="844">
        <f>SUM(CE82:CH82)</f>
        <v>27</v>
      </c>
      <c r="CJ82" s="843">
        <f>CJ20</f>
        <v>0</v>
      </c>
      <c r="CK82" s="843">
        <f>CK20</f>
        <v>-2</v>
      </c>
      <c r="CL82" s="843">
        <f>CL20</f>
        <v>3</v>
      </c>
      <c r="CM82" s="843">
        <f>CM20</f>
        <v>9</v>
      </c>
      <c r="CN82" s="844">
        <f>SUM(CJ82:CM82)</f>
        <v>10</v>
      </c>
      <c r="CO82" s="843">
        <f>CO20</f>
        <v>8</v>
      </c>
      <c r="CP82" s="843">
        <f>CP20</f>
        <v>2</v>
      </c>
      <c r="CQ82" s="843">
        <f>CQ20</f>
        <v>8</v>
      </c>
      <c r="CR82" s="843">
        <f>CR20</f>
        <v>2</v>
      </c>
      <c r="CS82" s="844">
        <f>SUM(CO82:CR82)</f>
        <v>20</v>
      </c>
      <c r="CT82" s="843">
        <f>CT20</f>
        <v>3</v>
      </c>
      <c r="CU82" s="843">
        <f>CU20</f>
        <v>3</v>
      </c>
      <c r="CV82" s="843">
        <f>CV20</f>
        <v>6</v>
      </c>
      <c r="CW82" s="843">
        <f>CW20</f>
        <v>7</v>
      </c>
      <c r="CX82" s="844">
        <f>SUM(CT82:CW82)</f>
        <v>19</v>
      </c>
      <c r="CY82" s="843">
        <f>CY20</f>
        <v>14</v>
      </c>
      <c r="CZ82" s="843">
        <f>CZ20</f>
        <v>11</v>
      </c>
      <c r="DA82" s="843">
        <f>DA20</f>
        <v>21</v>
      </c>
      <c r="DB82" s="843">
        <f>DB20</f>
        <v>58</v>
      </c>
      <c r="DC82" s="844">
        <f>SUM(CY82:DB82)</f>
        <v>104</v>
      </c>
      <c r="DD82" s="843">
        <f>DD20</f>
        <v>21</v>
      </c>
      <c r="DE82" s="843">
        <f>DE20</f>
        <v>32</v>
      </c>
      <c r="DF82" s="843">
        <f>DF20</f>
        <v>37</v>
      </c>
      <c r="DG82" s="843">
        <f>DG20</f>
        <v>63</v>
      </c>
      <c r="DH82" s="844">
        <f>SUM(DD82:DG82)</f>
        <v>153</v>
      </c>
      <c r="DI82" s="843">
        <f>DI20</f>
        <v>29</v>
      </c>
      <c r="DJ82" s="843">
        <f>DJ20</f>
        <v>193</v>
      </c>
      <c r="DK82" s="843">
        <f>DK20</f>
        <v>44</v>
      </c>
      <c r="DL82" s="843">
        <f>DL20</f>
        <v>52</v>
      </c>
      <c r="DM82" s="844">
        <f>SUM(DI82:DL82)</f>
        <v>318</v>
      </c>
      <c r="DN82" s="843">
        <f>DN20</f>
        <v>28</v>
      </c>
      <c r="DO82" s="843">
        <f>DO20</f>
        <v>22</v>
      </c>
      <c r="DP82" s="843">
        <f>DP20</f>
        <v>31</v>
      </c>
      <c r="DQ82" s="843">
        <f>DQ20</f>
        <v>121</v>
      </c>
      <c r="DR82" s="844">
        <f>SUM(DN82:DQ82)</f>
        <v>202</v>
      </c>
      <c r="DS82" s="843">
        <f>DS20</f>
        <v>33</v>
      </c>
      <c r="DT82" s="843">
        <f>DT20</f>
        <v>41</v>
      </c>
      <c r="DU82" s="843">
        <f>DU20</f>
        <v>329</v>
      </c>
      <c r="DV82" s="843">
        <f>DV20</f>
        <v>138</v>
      </c>
      <c r="DW82" s="844">
        <f>SUM(DS82:DV82)</f>
        <v>541</v>
      </c>
      <c r="DX82" s="843">
        <f>DX20</f>
        <v>0</v>
      </c>
      <c r="DY82" s="843">
        <f>DY20</f>
        <v>0</v>
      </c>
      <c r="DZ82" s="843">
        <f>DZ20</f>
        <v>0</v>
      </c>
      <c r="EA82" s="843">
        <f>EA20</f>
        <v>0</v>
      </c>
      <c r="EB82" s="844">
        <f>SUM(DX82:EA82)</f>
        <v>0</v>
      </c>
      <c r="EC82" s="843">
        <f>EC20</f>
        <v>0</v>
      </c>
      <c r="ED82" s="843">
        <f>ED20</f>
        <v>0</v>
      </c>
      <c r="EE82" s="843">
        <f>EE20</f>
        <v>0</v>
      </c>
      <c r="EF82" s="843">
        <f>EF20</f>
        <v>0</v>
      </c>
      <c r="EG82" s="844">
        <f>SUM(EC82:EF82)</f>
        <v>0</v>
      </c>
      <c r="EH82" s="843">
        <f>EH20</f>
        <v>0</v>
      </c>
      <c r="EI82" s="843">
        <f>EI20</f>
        <v>0</v>
      </c>
      <c r="EJ82" s="843">
        <f>EJ20</f>
        <v>0</v>
      </c>
      <c r="EK82" s="843">
        <f>EK20</f>
        <v>0</v>
      </c>
      <c r="EL82" s="844">
        <f>SUM(EH82:EK82)</f>
        <v>0</v>
      </c>
      <c r="EM82" s="1"/>
      <c r="EN82"/>
      <c r="EO82"/>
      <c r="EP82"/>
      <c r="EQ82"/>
      <c r="ER82"/>
      <c r="ES82" s="7"/>
      <c r="ET82"/>
      <c r="EU82" s="7"/>
      <c r="EV82" s="7"/>
      <c r="EW82" s="7"/>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c r="HF82" s="3"/>
      <c r="HG82" s="3"/>
      <c r="HH82" s="3"/>
      <c r="HI82" s="3"/>
      <c r="HJ82" s="3"/>
      <c r="HK82" s="3"/>
      <c r="HL82" s="3"/>
      <c r="HM82" s="3"/>
      <c r="HN82" s="3"/>
      <c r="HO82" s="3"/>
      <c r="HP82" s="3"/>
      <c r="HQ82" s="3"/>
      <c r="HR82" s="3"/>
      <c r="HS82" s="3"/>
      <c r="HT82" s="3"/>
      <c r="HU82" s="3"/>
      <c r="HV82" s="3"/>
      <c r="HW82" s="3"/>
      <c r="HX82" s="3"/>
      <c r="HY82" s="3"/>
      <c r="HZ82" s="3"/>
      <c r="IA82" s="3"/>
      <c r="IB82" s="3"/>
      <c r="IC82" s="3"/>
      <c r="ID82" s="3"/>
      <c r="IE82" s="3"/>
      <c r="IF82" s="3"/>
      <c r="IG82" s="3"/>
      <c r="IH82" s="3"/>
      <c r="II82" s="3"/>
      <c r="IJ82" s="3"/>
      <c r="IK82" s="3"/>
      <c r="IL82" s="3"/>
      <c r="IM82" s="3"/>
      <c r="IN82" s="3"/>
      <c r="IO82" s="3"/>
      <c r="IP82" s="3"/>
      <c r="IQ82" s="3"/>
      <c r="IR82" s="3"/>
      <c r="IS82" s="3"/>
      <c r="IT82" s="3"/>
      <c r="IU82" s="3"/>
      <c r="IV82" s="3"/>
      <c r="IW82" s="3"/>
      <c r="IX82" s="3"/>
      <c r="IY82" s="3"/>
      <c r="IZ82" s="3"/>
      <c r="JA82" s="3"/>
      <c r="JB82" s="3"/>
      <c r="JC82" s="3"/>
      <c r="JD82" s="3"/>
      <c r="JE82" s="3"/>
      <c r="JF82" s="3"/>
      <c r="JG82" s="3"/>
      <c r="JH82" s="3"/>
      <c r="JI82" s="3"/>
      <c r="JJ82" s="3"/>
      <c r="JK82" s="3"/>
    </row>
    <row r="83" spans="1:271" s="11" customFormat="1" ht="12" hidden="1" customHeight="1" outlineLevel="1">
      <c r="A83" s="845"/>
      <c r="B83" s="846" t="s">
        <v>682</v>
      </c>
      <c r="C83" s="843"/>
      <c r="D83" s="843">
        <f>D22</f>
        <v>0</v>
      </c>
      <c r="E83" s="843">
        <f>E22</f>
        <v>0</v>
      </c>
      <c r="F83" s="843">
        <f>F22</f>
        <v>0</v>
      </c>
      <c r="G83" s="843">
        <f>G22</f>
        <v>0</v>
      </c>
      <c r="H83" s="844">
        <f>SUM(D83:G83)</f>
        <v>0</v>
      </c>
      <c r="I83" s="843">
        <f>I22</f>
        <v>0</v>
      </c>
      <c r="J83" s="843">
        <f>J22</f>
        <v>0</v>
      </c>
      <c r="K83" s="843">
        <f>K22</f>
        <v>0</v>
      </c>
      <c r="L83" s="843">
        <f>L22</f>
        <v>0</v>
      </c>
      <c r="M83" s="844">
        <f>SUM(I83:L83)</f>
        <v>0</v>
      </c>
      <c r="N83" s="843">
        <f>N22</f>
        <v>0</v>
      </c>
      <c r="O83" s="843">
        <f>O22</f>
        <v>0</v>
      </c>
      <c r="P83" s="843">
        <f>P22</f>
        <v>0</v>
      </c>
      <c r="Q83" s="843">
        <f>Q22</f>
        <v>0</v>
      </c>
      <c r="R83" s="844">
        <f>SUM(N83:Q83)</f>
        <v>0</v>
      </c>
      <c r="S83" s="843">
        <f>S22</f>
        <v>0</v>
      </c>
      <c r="T83" s="843">
        <f>T22</f>
        <v>0</v>
      </c>
      <c r="U83" s="843">
        <f>U22</f>
        <v>0</v>
      </c>
      <c r="V83" s="843">
        <f>V22</f>
        <v>0</v>
      </c>
      <c r="W83" s="844">
        <f>SUM(S83:V83)</f>
        <v>0</v>
      </c>
      <c r="X83" s="843">
        <f>X22</f>
        <v>0</v>
      </c>
      <c r="Y83" s="843">
        <f>Y22</f>
        <v>0</v>
      </c>
      <c r="Z83" s="843">
        <f>Z22</f>
        <v>0</v>
      </c>
      <c r="AA83" s="843">
        <f>AA22</f>
        <v>0</v>
      </c>
      <c r="AB83" s="844">
        <f>SUM(X83:AA83)</f>
        <v>0</v>
      </c>
      <c r="AC83" s="843">
        <f>AC22</f>
        <v>0</v>
      </c>
      <c r="AD83" s="843">
        <f>AD22</f>
        <v>0</v>
      </c>
      <c r="AE83" s="843">
        <f>AE22</f>
        <v>0</v>
      </c>
      <c r="AF83" s="843">
        <f>AF22</f>
        <v>0</v>
      </c>
      <c r="AG83" s="844">
        <f>SUM(AC83:AF83)</f>
        <v>0</v>
      </c>
      <c r="AH83" s="843">
        <f>AH22</f>
        <v>0</v>
      </c>
      <c r="AI83" s="843">
        <f>AI22</f>
        <v>0</v>
      </c>
      <c r="AJ83" s="843">
        <f>AJ22</f>
        <v>0</v>
      </c>
      <c r="AK83" s="843">
        <f>AK22</f>
        <v>0</v>
      </c>
      <c r="AL83" s="844">
        <f>SUM(AH83:AK83)</f>
        <v>0</v>
      </c>
      <c r="AM83" s="843">
        <f>AM22</f>
        <v>0</v>
      </c>
      <c r="AN83" s="843">
        <f>AN22</f>
        <v>0</v>
      </c>
      <c r="AO83" s="843">
        <f>AO22</f>
        <v>0</v>
      </c>
      <c r="AP83" s="843">
        <f>AP22</f>
        <v>0</v>
      </c>
      <c r="AQ83" s="844">
        <f>SUM(AM83:AP83)</f>
        <v>0</v>
      </c>
      <c r="AR83" s="843">
        <f>AR22</f>
        <v>0</v>
      </c>
      <c r="AS83" s="843">
        <f>AS22</f>
        <v>0</v>
      </c>
      <c r="AT83" s="843">
        <f>AT22</f>
        <v>0</v>
      </c>
      <c r="AU83" s="843"/>
      <c r="AV83" s="844">
        <f>AV22</f>
        <v>0</v>
      </c>
      <c r="AW83" s="843">
        <f>AW22</f>
        <v>0</v>
      </c>
      <c r="AX83" s="843">
        <f>AX22</f>
        <v>0</v>
      </c>
      <c r="AY83" s="843">
        <f>AY22</f>
        <v>0</v>
      </c>
      <c r="AZ83" s="843">
        <f>SUM(AV83:AY83)</f>
        <v>0</v>
      </c>
      <c r="BA83" s="843">
        <f>BA22</f>
        <v>0</v>
      </c>
      <c r="BB83" s="843">
        <f>BB22</f>
        <v>0</v>
      </c>
      <c r="BC83" s="843">
        <f>BC22</f>
        <v>0</v>
      </c>
      <c r="BD83" s="843">
        <f>BD22</f>
        <v>0</v>
      </c>
      <c r="BE83" s="844">
        <f>SUM(BA83:BD83)</f>
        <v>0</v>
      </c>
      <c r="BF83" s="843">
        <f>BF22</f>
        <v>0</v>
      </c>
      <c r="BG83" s="843">
        <f>BG22</f>
        <v>0</v>
      </c>
      <c r="BH83" s="843">
        <f>BH22</f>
        <v>0</v>
      </c>
      <c r="BI83" s="843">
        <f>BI22</f>
        <v>0</v>
      </c>
      <c r="BJ83" s="844">
        <f>SUM(BF83:BI83)</f>
        <v>0</v>
      </c>
      <c r="BK83" s="843">
        <f t="shared" ref="BK83:CP83" si="192">BK22</f>
        <v>0</v>
      </c>
      <c r="BL83" s="843">
        <f t="shared" si="192"/>
        <v>0</v>
      </c>
      <c r="BM83" s="843">
        <f t="shared" si="192"/>
        <v>40</v>
      </c>
      <c r="BN83" s="843">
        <f t="shared" si="192"/>
        <v>15</v>
      </c>
      <c r="BO83" s="844">
        <f t="shared" si="192"/>
        <v>55</v>
      </c>
      <c r="BP83" s="843">
        <f t="shared" si="192"/>
        <v>5</v>
      </c>
      <c r="BQ83" s="843">
        <f t="shared" si="192"/>
        <v>-13</v>
      </c>
      <c r="BR83" s="843">
        <f t="shared" si="192"/>
        <v>-4</v>
      </c>
      <c r="BS83" s="843">
        <f t="shared" si="192"/>
        <v>0</v>
      </c>
      <c r="BT83" s="844">
        <f t="shared" si="192"/>
        <v>-12</v>
      </c>
      <c r="BU83" s="843">
        <f t="shared" si="192"/>
        <v>0</v>
      </c>
      <c r="BV83" s="843">
        <f t="shared" si="192"/>
        <v>0</v>
      </c>
      <c r="BW83" s="843">
        <f t="shared" si="192"/>
        <v>0</v>
      </c>
      <c r="BX83" s="843">
        <f t="shared" si="192"/>
        <v>-3</v>
      </c>
      <c r="BY83" s="844">
        <f t="shared" si="192"/>
        <v>-3</v>
      </c>
      <c r="BZ83" s="843">
        <f t="shared" si="192"/>
        <v>0</v>
      </c>
      <c r="CA83" s="843">
        <f t="shared" si="192"/>
        <v>0</v>
      </c>
      <c r="CB83" s="843">
        <f t="shared" si="192"/>
        <v>0</v>
      </c>
      <c r="CC83" s="843">
        <f t="shared" si="192"/>
        <v>0</v>
      </c>
      <c r="CD83" s="844">
        <f t="shared" si="192"/>
        <v>0</v>
      </c>
      <c r="CE83" s="843">
        <f t="shared" si="192"/>
        <v>0</v>
      </c>
      <c r="CF83" s="843">
        <f t="shared" si="192"/>
        <v>0</v>
      </c>
      <c r="CG83" s="843">
        <f t="shared" si="192"/>
        <v>0</v>
      </c>
      <c r="CH83" s="843">
        <f t="shared" si="192"/>
        <v>0</v>
      </c>
      <c r="CI83" s="844">
        <f t="shared" si="192"/>
        <v>0</v>
      </c>
      <c r="CJ83" s="843">
        <f t="shared" si="192"/>
        <v>0</v>
      </c>
      <c r="CK83" s="843">
        <f t="shared" si="192"/>
        <v>0</v>
      </c>
      <c r="CL83" s="843">
        <f t="shared" si="192"/>
        <v>0</v>
      </c>
      <c r="CM83" s="843">
        <f t="shared" si="192"/>
        <v>0</v>
      </c>
      <c r="CN83" s="844">
        <f t="shared" si="192"/>
        <v>0</v>
      </c>
      <c r="CO83" s="843">
        <f t="shared" si="192"/>
        <v>0</v>
      </c>
      <c r="CP83" s="843">
        <f t="shared" si="192"/>
        <v>0</v>
      </c>
      <c r="CQ83" s="843">
        <f t="shared" ref="CQ83:DR83" si="193">CQ22</f>
        <v>0</v>
      </c>
      <c r="CR83" s="843">
        <f t="shared" si="193"/>
        <v>0</v>
      </c>
      <c r="CS83" s="844">
        <f t="shared" si="193"/>
        <v>0</v>
      </c>
      <c r="CT83" s="843">
        <f t="shared" si="193"/>
        <v>0</v>
      </c>
      <c r="CU83" s="843">
        <f t="shared" si="193"/>
        <v>0</v>
      </c>
      <c r="CV83" s="843">
        <f t="shared" si="193"/>
        <v>0</v>
      </c>
      <c r="CW83" s="843">
        <f t="shared" si="193"/>
        <v>0</v>
      </c>
      <c r="CX83" s="844">
        <f t="shared" si="193"/>
        <v>0</v>
      </c>
      <c r="CY83" s="843">
        <f t="shared" si="193"/>
        <v>0</v>
      </c>
      <c r="CZ83" s="843">
        <f t="shared" si="193"/>
        <v>0</v>
      </c>
      <c r="DA83" s="843">
        <f t="shared" si="193"/>
        <v>0</v>
      </c>
      <c r="DB83" s="843">
        <f t="shared" si="193"/>
        <v>0</v>
      </c>
      <c r="DC83" s="844">
        <f t="shared" si="193"/>
        <v>0</v>
      </c>
      <c r="DD83" s="843">
        <f t="shared" si="193"/>
        <v>0</v>
      </c>
      <c r="DE83" s="843">
        <f t="shared" si="193"/>
        <v>0</v>
      </c>
      <c r="DF83" s="843">
        <f t="shared" si="193"/>
        <v>0</v>
      </c>
      <c r="DG83" s="843">
        <f t="shared" si="193"/>
        <v>0</v>
      </c>
      <c r="DH83" s="844">
        <f t="shared" si="193"/>
        <v>0</v>
      </c>
      <c r="DI83" s="843">
        <f t="shared" si="193"/>
        <v>0</v>
      </c>
      <c r="DJ83" s="843">
        <f t="shared" si="193"/>
        <v>0</v>
      </c>
      <c r="DK83" s="843">
        <f>DK22</f>
        <v>0</v>
      </c>
      <c r="DL83" s="843">
        <f t="shared" si="193"/>
        <v>0</v>
      </c>
      <c r="DM83" s="844">
        <f t="shared" si="193"/>
        <v>0</v>
      </c>
      <c r="DN83" s="1491">
        <v>-147</v>
      </c>
      <c r="DO83" s="1491">
        <v>-1</v>
      </c>
      <c r="DP83" s="1491">
        <v>-3</v>
      </c>
      <c r="DQ83" s="843">
        <f t="shared" si="193"/>
        <v>0</v>
      </c>
      <c r="DR83" s="844">
        <f t="shared" si="193"/>
        <v>0</v>
      </c>
      <c r="DS83" s="1491">
        <f>16-15</f>
        <v>1</v>
      </c>
      <c r="DT83" s="1491">
        <f>-23+19</f>
        <v>-4</v>
      </c>
      <c r="DU83" s="1491">
        <f>-104+6</f>
        <v>-98</v>
      </c>
      <c r="DV83" s="1491">
        <v>-2</v>
      </c>
      <c r="DW83" s="844">
        <f>SUM(DS83:DV83)</f>
        <v>-103</v>
      </c>
      <c r="DX83" s="843">
        <f t="shared" ref="DX83:EA83" si="194">DX22</f>
        <v>0</v>
      </c>
      <c r="DY83" s="843">
        <f t="shared" si="194"/>
        <v>0</v>
      </c>
      <c r="DZ83" s="843">
        <f t="shared" si="194"/>
        <v>0</v>
      </c>
      <c r="EA83" s="843">
        <f t="shared" si="194"/>
        <v>0</v>
      </c>
      <c r="EB83" s="844">
        <f>SUM(DX83:EA83)</f>
        <v>0</v>
      </c>
      <c r="EC83" s="843">
        <f>EC22</f>
        <v>0</v>
      </c>
      <c r="ED83" s="843">
        <f>ED22</f>
        <v>0</v>
      </c>
      <c r="EE83" s="843">
        <f>EE22</f>
        <v>0</v>
      </c>
      <c r="EF83" s="843">
        <f>EF22</f>
        <v>0</v>
      </c>
      <c r="EG83" s="844">
        <f>SUM(EC83:EF83)</f>
        <v>0</v>
      </c>
      <c r="EH83" s="843">
        <f>EH22</f>
        <v>0</v>
      </c>
      <c r="EI83" s="843">
        <f>EI22</f>
        <v>0</v>
      </c>
      <c r="EJ83" s="843">
        <f>EJ22</f>
        <v>0</v>
      </c>
      <c r="EK83" s="843">
        <f>EK22</f>
        <v>0</v>
      </c>
      <c r="EL83" s="844">
        <f>SUM(EH83:EK83)</f>
        <v>0</v>
      </c>
      <c r="EM83" s="1"/>
      <c r="EN83"/>
      <c r="EO83"/>
      <c r="EP83"/>
      <c r="EQ83"/>
      <c r="ER83"/>
      <c r="ES83" s="7"/>
      <c r="ET83"/>
      <c r="EU83" s="7"/>
      <c r="EV83" s="7"/>
      <c r="EW83" s="7"/>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c r="HF83" s="3"/>
      <c r="HG83" s="3"/>
      <c r="HH83" s="3"/>
      <c r="HI83" s="3"/>
      <c r="HJ83" s="3"/>
      <c r="HK83" s="3"/>
      <c r="HL83" s="3"/>
      <c r="HM83" s="3"/>
      <c r="HN83" s="3"/>
      <c r="HO83" s="3"/>
      <c r="HP83" s="3"/>
      <c r="HQ83" s="3"/>
      <c r="HR83" s="3"/>
      <c r="HS83" s="3"/>
      <c r="HT83" s="3"/>
      <c r="HU83" s="3"/>
      <c r="HV83" s="3"/>
      <c r="HW83" s="3"/>
      <c r="HX83" s="3"/>
      <c r="HY83" s="3"/>
      <c r="HZ83" s="3"/>
      <c r="IA83" s="3"/>
      <c r="IB83" s="3"/>
      <c r="IC83" s="3"/>
      <c r="ID83" s="3"/>
      <c r="IE83" s="3"/>
      <c r="IF83" s="3"/>
      <c r="IG83" s="3"/>
      <c r="IH83" s="3"/>
      <c r="II83" s="3"/>
      <c r="IJ83" s="3"/>
      <c r="IK83" s="3"/>
      <c r="IL83" s="3"/>
      <c r="IM83" s="3"/>
      <c r="IN83" s="3"/>
      <c r="IO83" s="3"/>
      <c r="IP83" s="3"/>
      <c r="IQ83" s="3"/>
      <c r="IR83" s="3"/>
      <c r="IS83" s="3"/>
      <c r="IT83" s="3"/>
      <c r="IU83" s="3"/>
      <c r="IV83" s="3"/>
      <c r="IW83" s="3"/>
      <c r="IX83" s="3"/>
      <c r="IY83" s="3"/>
      <c r="IZ83" s="3"/>
      <c r="JA83" s="3"/>
      <c r="JB83" s="3"/>
      <c r="JC83" s="3"/>
      <c r="JD83" s="3"/>
      <c r="JE83" s="3"/>
      <c r="JF83" s="3"/>
      <c r="JG83" s="3"/>
      <c r="JH83" s="3"/>
      <c r="JI83" s="3"/>
      <c r="JJ83" s="3"/>
      <c r="JK83" s="3"/>
    </row>
    <row r="84" spans="1:271" s="11" customFormat="1" ht="12" hidden="1" customHeight="1" outlineLevel="1" thickBot="1">
      <c r="A84" s="845"/>
      <c r="B84" s="846" t="s">
        <v>513</v>
      </c>
      <c r="C84" s="843"/>
      <c r="D84" s="843">
        <f>D26</f>
        <v>37.822000000000003</v>
      </c>
      <c r="E84" s="843">
        <f>E26</f>
        <v>37.200000000000003</v>
      </c>
      <c r="F84" s="843">
        <f>F26</f>
        <v>37.6</v>
      </c>
      <c r="G84" s="843">
        <f>G26</f>
        <v>82.377999999999986</v>
      </c>
      <c r="H84" s="844">
        <f>SUM(D84:G84)</f>
        <v>195</v>
      </c>
      <c r="I84" s="843">
        <f>I26</f>
        <v>80.2</v>
      </c>
      <c r="J84" s="843">
        <f>J26</f>
        <v>82.5</v>
      </c>
      <c r="K84" s="843">
        <f>K26</f>
        <v>77.8</v>
      </c>
      <c r="L84" s="843">
        <f>L26</f>
        <v>80.5</v>
      </c>
      <c r="M84" s="844">
        <f>SUM(I84:L84)</f>
        <v>321</v>
      </c>
      <c r="N84" s="843">
        <f>N26</f>
        <v>84.1</v>
      </c>
      <c r="O84" s="843">
        <f>O26</f>
        <v>85.5</v>
      </c>
      <c r="P84" s="843">
        <f>P26</f>
        <v>108.2</v>
      </c>
      <c r="Q84" s="843">
        <f>Q26</f>
        <v>165.2</v>
      </c>
      <c r="R84" s="844">
        <f>SUM(N84:Q84)</f>
        <v>443</v>
      </c>
      <c r="S84" s="843">
        <f>S26</f>
        <v>105</v>
      </c>
      <c r="T84" s="843">
        <f>T26</f>
        <v>114</v>
      </c>
      <c r="U84" s="843">
        <f>U26</f>
        <v>121</v>
      </c>
      <c r="V84" s="843">
        <f>V26</f>
        <v>120</v>
      </c>
      <c r="W84" s="844">
        <f>SUM(S84:V84)</f>
        <v>460</v>
      </c>
      <c r="X84" s="843">
        <f>X26</f>
        <v>127</v>
      </c>
      <c r="Y84" s="843">
        <f>Y26</f>
        <v>134</v>
      </c>
      <c r="Z84" s="843">
        <f>Z26</f>
        <v>142</v>
      </c>
      <c r="AA84" s="843">
        <f>AA26</f>
        <v>153</v>
      </c>
      <c r="AB84" s="844">
        <f>SUM(X84:AA84)</f>
        <v>556</v>
      </c>
      <c r="AC84" s="843">
        <f>AC26</f>
        <v>134</v>
      </c>
      <c r="AD84" s="843">
        <f>AD26</f>
        <v>132</v>
      </c>
      <c r="AE84" s="843">
        <f>AE26</f>
        <v>133</v>
      </c>
      <c r="AF84" s="843">
        <f>AF26</f>
        <v>134</v>
      </c>
      <c r="AG84" s="844">
        <f>SUM(AC84:AF84)</f>
        <v>533</v>
      </c>
      <c r="AH84" s="843">
        <f>AH26</f>
        <v>137</v>
      </c>
      <c r="AI84" s="843">
        <f>AI26</f>
        <v>136</v>
      </c>
      <c r="AJ84" s="843">
        <f>AJ26</f>
        <v>139</v>
      </c>
      <c r="AK84" s="843">
        <f>AK26</f>
        <v>142</v>
      </c>
      <c r="AL84" s="844">
        <f>SUM(AH84:AK84)</f>
        <v>554</v>
      </c>
      <c r="AM84" s="843">
        <f>AM26</f>
        <v>149</v>
      </c>
      <c r="AN84" s="843">
        <f>AN26</f>
        <v>151</v>
      </c>
      <c r="AO84" s="843">
        <f>AO26</f>
        <v>154</v>
      </c>
      <c r="AP84" s="843">
        <f>AP26</f>
        <v>150</v>
      </c>
      <c r="AQ84" s="844">
        <f>SUM(AM84:AP84)</f>
        <v>604</v>
      </c>
      <c r="AR84" s="843">
        <f>AR26</f>
        <v>128</v>
      </c>
      <c r="AS84" s="843">
        <f>AS26</f>
        <v>130</v>
      </c>
      <c r="AT84" s="843">
        <f>AT26</f>
        <v>132</v>
      </c>
      <c r="AU84" s="843"/>
      <c r="AV84" s="844">
        <f>AV26</f>
        <v>144</v>
      </c>
      <c r="AW84" s="843">
        <f>AW26</f>
        <v>133</v>
      </c>
      <c r="AX84" s="843">
        <f>AX26</f>
        <v>120</v>
      </c>
      <c r="AY84" s="843">
        <f>AY26</f>
        <v>121</v>
      </c>
      <c r="AZ84" s="843">
        <f>SUM(AV84:AY84)</f>
        <v>518</v>
      </c>
      <c r="BA84" s="843">
        <f>BA26</f>
        <v>119</v>
      </c>
      <c r="BB84" s="843">
        <f>BB26</f>
        <v>120</v>
      </c>
      <c r="BC84" s="843">
        <f>BC26</f>
        <v>112</v>
      </c>
      <c r="BD84" s="843">
        <f>BD26</f>
        <v>114</v>
      </c>
      <c r="BE84" s="844">
        <f>SUM(BA84:BD84)</f>
        <v>465</v>
      </c>
      <c r="BF84" s="843">
        <f>BF26</f>
        <v>96</v>
      </c>
      <c r="BG84" s="843">
        <f>BG26</f>
        <v>95</v>
      </c>
      <c r="BH84" s="843">
        <f>BH26</f>
        <v>99</v>
      </c>
      <c r="BI84" s="843">
        <f>BI26</f>
        <v>100</v>
      </c>
      <c r="BJ84" s="844">
        <f>SUM(BF84:BI84)</f>
        <v>390</v>
      </c>
      <c r="BK84" s="843">
        <f>BK26</f>
        <v>96</v>
      </c>
      <c r="BL84" s="843">
        <f>BL26</f>
        <v>92</v>
      </c>
      <c r="BM84" s="843">
        <f>BM26</f>
        <v>105</v>
      </c>
      <c r="BN84" s="843">
        <f>BN26</f>
        <v>89</v>
      </c>
      <c r="BO84" s="844">
        <f>SUM(BK84:BN84)</f>
        <v>382</v>
      </c>
      <c r="BP84" s="843">
        <f>BP26</f>
        <v>90</v>
      </c>
      <c r="BQ84" s="843">
        <f>BQ26</f>
        <v>82</v>
      </c>
      <c r="BR84" s="843">
        <f>BR26</f>
        <v>83</v>
      </c>
      <c r="BS84" s="843">
        <f>BS26</f>
        <v>95</v>
      </c>
      <c r="BT84" s="844">
        <f>SUM(BP84:BS84)</f>
        <v>350</v>
      </c>
      <c r="BU84" s="843">
        <f>BU26</f>
        <v>89</v>
      </c>
      <c r="BV84" s="843">
        <f>BV26</f>
        <v>89</v>
      </c>
      <c r="BW84" s="843">
        <f>BW26</f>
        <v>91</v>
      </c>
      <c r="BX84" s="843">
        <f>BX26</f>
        <v>93</v>
      </c>
      <c r="BY84" s="844">
        <f>SUM(BU84:BX84)</f>
        <v>362</v>
      </c>
      <c r="BZ84" s="843">
        <f>BZ26</f>
        <v>95</v>
      </c>
      <c r="CA84" s="843">
        <f>CA26</f>
        <v>95</v>
      </c>
      <c r="CB84" s="843">
        <f>CB26</f>
        <v>94</v>
      </c>
      <c r="CC84" s="843">
        <f>CC26</f>
        <v>96</v>
      </c>
      <c r="CD84" s="844">
        <f>SUM(BZ84:CC84)</f>
        <v>380</v>
      </c>
      <c r="CE84" s="843">
        <f>CE26</f>
        <v>97</v>
      </c>
      <c r="CF84" s="843">
        <f>CF26</f>
        <v>98</v>
      </c>
      <c r="CG84" s="843">
        <f>CG26</f>
        <v>97</v>
      </c>
      <c r="CH84" s="843">
        <f>CH26</f>
        <v>95</v>
      </c>
      <c r="CI84" s="844">
        <f>SUM(CE84:CH84)</f>
        <v>387</v>
      </c>
      <c r="CJ84" s="843">
        <f>CJ26</f>
        <v>95</v>
      </c>
      <c r="CK84" s="843">
        <f>CK26</f>
        <v>97</v>
      </c>
      <c r="CL84" s="843">
        <f>CL26</f>
        <v>101</v>
      </c>
      <c r="CM84" s="843">
        <f>CM26</f>
        <v>101</v>
      </c>
      <c r="CN84" s="844">
        <f>SUM(CJ84:CM84)</f>
        <v>394</v>
      </c>
      <c r="CO84" s="843">
        <f>CO26</f>
        <v>98</v>
      </c>
      <c r="CP84" s="843">
        <f>CP26</f>
        <v>100</v>
      </c>
      <c r="CQ84" s="843">
        <f>CQ26</f>
        <v>100</v>
      </c>
      <c r="CR84" s="843">
        <f>CR26</f>
        <v>100</v>
      </c>
      <c r="CS84" s="844">
        <f>SUM(CO84:CR84)</f>
        <v>398</v>
      </c>
      <c r="CT84" s="843">
        <f>CT26</f>
        <v>100</v>
      </c>
      <c r="CU84" s="843">
        <f>CU26</f>
        <v>104</v>
      </c>
      <c r="CV84" s="843">
        <f>CV26</f>
        <v>110</v>
      </c>
      <c r="CW84" s="843">
        <f>CW26</f>
        <v>116</v>
      </c>
      <c r="CX84" s="844">
        <f>SUM(CT84:CW84)</f>
        <v>430</v>
      </c>
      <c r="CY84" s="843">
        <f>CY26</f>
        <v>114</v>
      </c>
      <c r="CZ84" s="843">
        <f>CZ26</f>
        <v>121</v>
      </c>
      <c r="DA84" s="843">
        <f>DA26</f>
        <v>119</v>
      </c>
      <c r="DB84" s="843">
        <f>DB26</f>
        <v>191</v>
      </c>
      <c r="DC84" s="844">
        <f>SUM(CY84:DB84)</f>
        <v>545</v>
      </c>
      <c r="DD84" s="843">
        <f>DD26</f>
        <v>193</v>
      </c>
      <c r="DE84" s="843">
        <f>DE26</f>
        <v>209</v>
      </c>
      <c r="DF84" s="843">
        <f>DF26</f>
        <v>207</v>
      </c>
      <c r="DG84" s="843">
        <f>DG26</f>
        <v>240</v>
      </c>
      <c r="DH84" s="844">
        <f>SUM(DD84:DG84)</f>
        <v>849</v>
      </c>
      <c r="DI84" s="843">
        <f>DI26</f>
        <v>207</v>
      </c>
      <c r="DJ84" s="843">
        <f>DJ26</f>
        <v>197</v>
      </c>
      <c r="DK84" s="843">
        <f>DK26</f>
        <v>185</v>
      </c>
      <c r="DL84" s="843">
        <f>DL26</f>
        <v>208</v>
      </c>
      <c r="DM84" s="844">
        <f>SUM(DI84:DL84)</f>
        <v>797</v>
      </c>
      <c r="DN84" s="843">
        <f>DN26</f>
        <v>212</v>
      </c>
      <c r="DO84" s="843">
        <f>DO26</f>
        <v>215</v>
      </c>
      <c r="DP84" s="843">
        <f>DP26</f>
        <v>205</v>
      </c>
      <c r="DQ84" s="843">
        <f>DQ26</f>
        <v>218</v>
      </c>
      <c r="DR84" s="844">
        <f>SUM(DN84:DQ84)</f>
        <v>850</v>
      </c>
      <c r="DS84" s="843">
        <f>DS26</f>
        <v>221</v>
      </c>
      <c r="DT84" s="843">
        <f>DT26</f>
        <v>222</v>
      </c>
      <c r="DU84" s="843">
        <f>DU26</f>
        <v>219</v>
      </c>
      <c r="DV84" s="843">
        <f>DV26</f>
        <v>208</v>
      </c>
      <c r="DW84" s="844">
        <f>SUM(DS84:DV84)</f>
        <v>870</v>
      </c>
      <c r="DX84" s="843">
        <f>DX26</f>
        <v>201.7438009604862</v>
      </c>
      <c r="DY84" s="843">
        <f>DY26</f>
        <v>201.16481740073576</v>
      </c>
      <c r="DZ84" s="843">
        <f>DZ26</f>
        <v>192.81340922530634</v>
      </c>
      <c r="EA84" s="843">
        <f>EA26</f>
        <v>202.4459134842478</v>
      </c>
      <c r="EB84" s="844">
        <f>SUM(DX84:EA84)</f>
        <v>798.16794107077612</v>
      </c>
      <c r="EC84" s="843">
        <f>EC26</f>
        <v>194.5447400748906</v>
      </c>
      <c r="ED84" s="843">
        <f>ED26</f>
        <v>215.56469068587356</v>
      </c>
      <c r="EE84" s="843">
        <f>EE26</f>
        <v>210.41342901570511</v>
      </c>
      <c r="EF84" s="843">
        <f>EF26</f>
        <v>205.68924311205731</v>
      </c>
      <c r="EG84" s="844">
        <f>SUM(EC84:EF84)</f>
        <v>826.21210288852649</v>
      </c>
      <c r="EH84" s="843">
        <f>EH26</f>
        <v>212.97132811575887</v>
      </c>
      <c r="EI84" s="843">
        <f>EI26</f>
        <v>215.70671379072485</v>
      </c>
      <c r="EJ84" s="843">
        <f>EJ26</f>
        <v>210.35354948550565</v>
      </c>
      <c r="EK84" s="843">
        <f>EK26</f>
        <v>224.97197629623295</v>
      </c>
      <c r="EL84" s="844">
        <f>SUM(EH84:EK84)</f>
        <v>864.00356768822235</v>
      </c>
      <c r="EM84" s="1"/>
      <c r="EN84"/>
      <c r="EO84"/>
      <c r="EP84"/>
      <c r="EQ84"/>
      <c r="ER84"/>
      <c r="ES84" s="7"/>
      <c r="ET84"/>
      <c r="EU84" s="7"/>
      <c r="EV84" s="7"/>
      <c r="EW84" s="7"/>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c r="HF84" s="3"/>
      <c r="HG84" s="3"/>
      <c r="HH84" s="3"/>
      <c r="HI84" s="3"/>
      <c r="HJ84" s="3"/>
      <c r="HK84" s="3"/>
      <c r="HL84" s="3"/>
      <c r="HM84" s="3"/>
      <c r="HN84" s="3"/>
      <c r="HO84" s="3"/>
      <c r="HP84" s="3"/>
      <c r="HQ84" s="3"/>
      <c r="HR84" s="3"/>
      <c r="HS84" s="3"/>
      <c r="HT84" s="3"/>
      <c r="HU84" s="3"/>
      <c r="HV84" s="3"/>
      <c r="HW84" s="3"/>
      <c r="HX84" s="3"/>
      <c r="HY84" s="3"/>
      <c r="HZ84" s="3"/>
      <c r="IA84" s="3"/>
      <c r="IB84" s="3"/>
      <c r="IC84" s="3"/>
      <c r="ID84" s="3"/>
      <c r="IE84" s="3"/>
      <c r="IF84" s="3"/>
      <c r="IG84" s="3"/>
      <c r="IH84" s="3"/>
      <c r="II84" s="3"/>
      <c r="IJ84" s="3"/>
      <c r="IK84" s="3"/>
      <c r="IL84" s="3"/>
      <c r="IM84" s="3"/>
      <c r="IN84" s="3"/>
      <c r="IO84" s="3"/>
      <c r="IP84" s="3"/>
      <c r="IQ84" s="3"/>
      <c r="IR84" s="3"/>
      <c r="IS84" s="3"/>
      <c r="IT84" s="3"/>
      <c r="IU84" s="3"/>
      <c r="IV84" s="3"/>
      <c r="IW84" s="3"/>
      <c r="IX84" s="3"/>
      <c r="IY84" s="3"/>
      <c r="IZ84" s="3"/>
      <c r="JA84" s="3"/>
      <c r="JB84" s="3"/>
      <c r="JC84" s="3"/>
      <c r="JD84" s="3"/>
      <c r="JE84" s="3"/>
      <c r="JF84" s="3"/>
      <c r="JG84" s="3"/>
      <c r="JH84" s="3"/>
      <c r="JI84" s="3"/>
      <c r="JJ84" s="3"/>
      <c r="JK84" s="3"/>
    </row>
    <row r="85" spans="1:271" s="11" customFormat="1" ht="12" customHeight="1" collapsed="1" thickBot="1">
      <c r="A85" s="1529"/>
      <c r="B85" s="1530" t="s">
        <v>346</v>
      </c>
      <c r="C85" s="1531"/>
      <c r="D85" s="1532">
        <f t="shared" ref="D85:AT85" si="195">SUM(D80:D84)</f>
        <v>122.69000000000001</v>
      </c>
      <c r="E85" s="1532">
        <f t="shared" si="195"/>
        <v>121.99999999999997</v>
      </c>
      <c r="F85" s="1532">
        <f t="shared" si="195"/>
        <v>126.29999999999995</v>
      </c>
      <c r="G85" s="1532">
        <f t="shared" si="195"/>
        <v>252.01</v>
      </c>
      <c r="H85" s="1533">
        <f t="shared" si="195"/>
        <v>623</v>
      </c>
      <c r="I85" s="1532">
        <f t="shared" si="195"/>
        <v>254.10000000000002</v>
      </c>
      <c r="J85" s="1532">
        <f t="shared" si="195"/>
        <v>273.8</v>
      </c>
      <c r="K85" s="1532">
        <f t="shared" si="195"/>
        <v>279.60000000000014</v>
      </c>
      <c r="L85" s="1532">
        <f t="shared" si="195"/>
        <v>291.49999999999977</v>
      </c>
      <c r="M85" s="1533">
        <f t="shared" si="195"/>
        <v>1099</v>
      </c>
      <c r="N85" s="1532">
        <f t="shared" si="195"/>
        <v>282.69999999999987</v>
      </c>
      <c r="O85" s="1532">
        <f t="shared" si="195"/>
        <v>291.69999999999987</v>
      </c>
      <c r="P85" s="1532">
        <f t="shared" si="195"/>
        <v>411.60000000000008</v>
      </c>
      <c r="Q85" s="1532">
        <f t="shared" si="195"/>
        <v>610.99999999999932</v>
      </c>
      <c r="R85" s="1533">
        <f t="shared" si="195"/>
        <v>1596.9999999999991</v>
      </c>
      <c r="S85" s="1532">
        <f t="shared" si="195"/>
        <v>410</v>
      </c>
      <c r="T85" s="1532">
        <f t="shared" si="195"/>
        <v>444</v>
      </c>
      <c r="U85" s="1532">
        <f t="shared" si="195"/>
        <v>478</v>
      </c>
      <c r="V85" s="1532">
        <f t="shared" si="195"/>
        <v>477</v>
      </c>
      <c r="W85" s="1533">
        <f t="shared" si="195"/>
        <v>1809</v>
      </c>
      <c r="X85" s="1532">
        <f t="shared" si="195"/>
        <v>465</v>
      </c>
      <c r="Y85" s="1532">
        <f t="shared" si="195"/>
        <v>451</v>
      </c>
      <c r="Z85" s="1532">
        <f t="shared" si="195"/>
        <v>458</v>
      </c>
      <c r="AA85" s="1532">
        <f t="shared" si="195"/>
        <v>484</v>
      </c>
      <c r="AB85" s="1533">
        <f t="shared" si="195"/>
        <v>1858</v>
      </c>
      <c r="AC85" s="1532">
        <f t="shared" si="195"/>
        <v>457</v>
      </c>
      <c r="AD85" s="1532">
        <f t="shared" si="195"/>
        <v>469</v>
      </c>
      <c r="AE85" s="1532">
        <f t="shared" si="195"/>
        <v>500</v>
      </c>
      <c r="AF85" s="1532">
        <f t="shared" si="195"/>
        <v>509</v>
      </c>
      <c r="AG85" s="1533">
        <f t="shared" si="195"/>
        <v>1935</v>
      </c>
      <c r="AH85" s="1532">
        <f t="shared" si="195"/>
        <v>517</v>
      </c>
      <c r="AI85" s="1532">
        <f t="shared" si="195"/>
        <v>537</v>
      </c>
      <c r="AJ85" s="1532">
        <f t="shared" si="195"/>
        <v>578</v>
      </c>
      <c r="AK85" s="1532">
        <f t="shared" si="195"/>
        <v>612</v>
      </c>
      <c r="AL85" s="1533">
        <f t="shared" si="195"/>
        <v>2244</v>
      </c>
      <c r="AM85" s="1532">
        <f t="shared" si="195"/>
        <v>626</v>
      </c>
      <c r="AN85" s="1532">
        <f t="shared" si="195"/>
        <v>678</v>
      </c>
      <c r="AO85" s="1532">
        <f t="shared" si="195"/>
        <v>721</v>
      </c>
      <c r="AP85" s="1532">
        <f t="shared" si="195"/>
        <v>772</v>
      </c>
      <c r="AQ85" s="1533">
        <f t="shared" si="195"/>
        <v>2797</v>
      </c>
      <c r="AR85" s="1532">
        <f t="shared" si="195"/>
        <v>756</v>
      </c>
      <c r="AS85" s="1532">
        <f t="shared" si="195"/>
        <v>775</v>
      </c>
      <c r="AT85" s="1532">
        <f t="shared" si="195"/>
        <v>515</v>
      </c>
      <c r="AU85" s="1532"/>
      <c r="AV85" s="1533">
        <f t="shared" ref="AV85:CA85" si="196">SUM(AV80:AV84)</f>
        <v>674</v>
      </c>
      <c r="AW85" s="1532">
        <f t="shared" si="196"/>
        <v>692</v>
      </c>
      <c r="AX85" s="1532">
        <f t="shared" si="196"/>
        <v>705</v>
      </c>
      <c r="AY85" s="1532">
        <f t="shared" si="196"/>
        <v>568</v>
      </c>
      <c r="AZ85" s="1532">
        <f t="shared" si="196"/>
        <v>2639</v>
      </c>
      <c r="BA85" s="1532">
        <f t="shared" si="196"/>
        <v>467</v>
      </c>
      <c r="BB85" s="1532">
        <f t="shared" si="196"/>
        <v>339</v>
      </c>
      <c r="BC85" s="1532">
        <f t="shared" si="196"/>
        <v>80</v>
      </c>
      <c r="BD85" s="1532">
        <f t="shared" si="196"/>
        <v>171</v>
      </c>
      <c r="BE85" s="1533">
        <f t="shared" si="196"/>
        <v>1057</v>
      </c>
      <c r="BF85" s="1532">
        <f t="shared" si="196"/>
        <v>222</v>
      </c>
      <c r="BG85" s="1532">
        <f t="shared" si="196"/>
        <v>-107</v>
      </c>
      <c r="BH85" s="1532">
        <f t="shared" si="196"/>
        <v>129</v>
      </c>
      <c r="BI85" s="1532">
        <f t="shared" si="196"/>
        <v>141</v>
      </c>
      <c r="BJ85" s="1533">
        <f t="shared" si="196"/>
        <v>385</v>
      </c>
      <c r="BK85" s="1532">
        <f t="shared" si="196"/>
        <v>226</v>
      </c>
      <c r="BL85" s="1532">
        <f t="shared" si="196"/>
        <v>159</v>
      </c>
      <c r="BM85" s="1532">
        <f t="shared" si="196"/>
        <v>89</v>
      </c>
      <c r="BN85" s="1532">
        <f t="shared" si="196"/>
        <v>97</v>
      </c>
      <c r="BO85" s="1533">
        <f t="shared" si="196"/>
        <v>571</v>
      </c>
      <c r="BP85" s="1532">
        <f t="shared" si="196"/>
        <v>216</v>
      </c>
      <c r="BQ85" s="1532">
        <f t="shared" si="196"/>
        <v>209</v>
      </c>
      <c r="BR85" s="1532">
        <f t="shared" si="196"/>
        <v>108</v>
      </c>
      <c r="BS85" s="1532">
        <f t="shared" si="196"/>
        <v>153</v>
      </c>
      <c r="BT85" s="1533">
        <f t="shared" si="196"/>
        <v>686</v>
      </c>
      <c r="BU85" s="1532">
        <f t="shared" si="196"/>
        <v>189</v>
      </c>
      <c r="BV85" s="1532">
        <f t="shared" si="196"/>
        <v>156</v>
      </c>
      <c r="BW85" s="1532">
        <f t="shared" si="196"/>
        <v>177</v>
      </c>
      <c r="BX85" s="1532">
        <f t="shared" si="196"/>
        <v>166</v>
      </c>
      <c r="BY85" s="1533">
        <f t="shared" si="196"/>
        <v>688</v>
      </c>
      <c r="BZ85" s="1532">
        <f t="shared" si="196"/>
        <v>234</v>
      </c>
      <c r="CA85" s="1532">
        <f t="shared" si="196"/>
        <v>163</v>
      </c>
      <c r="CB85" s="1532">
        <f t="shared" ref="CB85:DG85" si="197">SUM(CB80:CB84)</f>
        <v>156</v>
      </c>
      <c r="CC85" s="1532">
        <f t="shared" si="197"/>
        <v>199</v>
      </c>
      <c r="CD85" s="1533">
        <f t="shared" si="197"/>
        <v>752</v>
      </c>
      <c r="CE85" s="1532">
        <f t="shared" si="197"/>
        <v>276</v>
      </c>
      <c r="CF85" s="1532">
        <f t="shared" si="197"/>
        <v>246</v>
      </c>
      <c r="CG85" s="1532">
        <f t="shared" si="197"/>
        <v>240</v>
      </c>
      <c r="CH85" s="1532">
        <f t="shared" si="197"/>
        <v>218</v>
      </c>
      <c r="CI85" s="1533">
        <f t="shared" si="197"/>
        <v>980</v>
      </c>
      <c r="CJ85" s="1532">
        <f t="shared" si="197"/>
        <v>298</v>
      </c>
      <c r="CK85" s="1532">
        <f t="shared" si="197"/>
        <v>268</v>
      </c>
      <c r="CL85" s="1532">
        <f t="shared" si="197"/>
        <v>203</v>
      </c>
      <c r="CM85" s="1532">
        <f t="shared" si="197"/>
        <v>281</v>
      </c>
      <c r="CN85" s="1533">
        <f t="shared" si="197"/>
        <v>1050</v>
      </c>
      <c r="CO85" s="1532">
        <f t="shared" si="197"/>
        <v>371</v>
      </c>
      <c r="CP85" s="1532">
        <f t="shared" si="197"/>
        <v>275</v>
      </c>
      <c r="CQ85" s="1532">
        <f t="shared" si="197"/>
        <v>192</v>
      </c>
      <c r="CR85" s="1532">
        <f t="shared" si="197"/>
        <v>288</v>
      </c>
      <c r="CS85" s="1533">
        <f t="shared" si="197"/>
        <v>1126</v>
      </c>
      <c r="CT85" s="1532">
        <f t="shared" si="197"/>
        <v>310</v>
      </c>
      <c r="CU85" s="1532">
        <f t="shared" si="197"/>
        <v>288</v>
      </c>
      <c r="CV85" s="1532">
        <f t="shared" si="197"/>
        <v>269</v>
      </c>
      <c r="CW85" s="1532">
        <f t="shared" si="197"/>
        <v>336</v>
      </c>
      <c r="CX85" s="1533">
        <f t="shared" si="197"/>
        <v>1203</v>
      </c>
      <c r="CY85" s="1532">
        <f t="shared" si="197"/>
        <v>274</v>
      </c>
      <c r="CZ85" s="1532">
        <f t="shared" si="197"/>
        <v>336</v>
      </c>
      <c r="DA85" s="1532">
        <f t="shared" si="197"/>
        <v>288</v>
      </c>
      <c r="DB85" s="1532">
        <f t="shared" si="197"/>
        <v>444</v>
      </c>
      <c r="DC85" s="1533">
        <f t="shared" si="197"/>
        <v>1342</v>
      </c>
      <c r="DD85" s="1532">
        <f t="shared" si="197"/>
        <v>387</v>
      </c>
      <c r="DE85" s="1532">
        <f t="shared" si="197"/>
        <v>460</v>
      </c>
      <c r="DF85" s="1532">
        <f t="shared" si="197"/>
        <v>459</v>
      </c>
      <c r="DG85" s="1532">
        <f t="shared" si="197"/>
        <v>646</v>
      </c>
      <c r="DH85" s="1533">
        <f t="shared" ref="DH85:DR85" si="198">SUM(DH80:DH84)</f>
        <v>1952</v>
      </c>
      <c r="DI85" s="1532">
        <f t="shared" si="198"/>
        <v>529</v>
      </c>
      <c r="DJ85" s="1532">
        <f t="shared" si="198"/>
        <v>568</v>
      </c>
      <c r="DK85" s="1532">
        <f>SUM(DK80:DK84)</f>
        <v>566</v>
      </c>
      <c r="DL85" s="1532">
        <f t="shared" si="198"/>
        <v>799</v>
      </c>
      <c r="DM85" s="1533">
        <f t="shared" si="198"/>
        <v>2462</v>
      </c>
      <c r="DN85" s="1532">
        <f t="shared" si="198"/>
        <v>613</v>
      </c>
      <c r="DO85" s="1532">
        <f t="shared" si="198"/>
        <v>617</v>
      </c>
      <c r="DP85" s="1532">
        <f t="shared" si="198"/>
        <v>570</v>
      </c>
      <c r="DQ85" s="1532">
        <f t="shared" si="198"/>
        <v>613</v>
      </c>
      <c r="DR85" s="1533">
        <f t="shared" si="198"/>
        <v>2564</v>
      </c>
      <c r="DS85" s="1532">
        <f t="shared" ref="DS85:EB85" si="199">SUM(DS80:DS84)</f>
        <v>527</v>
      </c>
      <c r="DT85" s="1532">
        <f t="shared" si="199"/>
        <v>570</v>
      </c>
      <c r="DU85" s="1532">
        <f t="shared" si="199"/>
        <v>507</v>
      </c>
      <c r="DV85" s="1532">
        <f t="shared" si="199"/>
        <v>840</v>
      </c>
      <c r="DW85" s="1533">
        <f t="shared" si="199"/>
        <v>2444</v>
      </c>
      <c r="DX85" s="1532">
        <f t="shared" si="199"/>
        <v>603.8870011527481</v>
      </c>
      <c r="DY85" s="1532">
        <f t="shared" si="199"/>
        <v>651.3748828090902</v>
      </c>
      <c r="DZ85" s="1532">
        <f t="shared" si="199"/>
        <v>643.61551170618429</v>
      </c>
      <c r="EA85" s="1532">
        <f t="shared" si="199"/>
        <v>637.87194053608118</v>
      </c>
      <c r="EB85" s="1533">
        <f t="shared" si="199"/>
        <v>2536.7493362041041</v>
      </c>
      <c r="EC85" s="1532">
        <f t="shared" ref="EC85:EL85" si="200">SUM(EC80:EC84)</f>
        <v>640.19223711558016</v>
      </c>
      <c r="ED85" s="1532">
        <f t="shared" si="200"/>
        <v>653.61631801113595</v>
      </c>
      <c r="EE85" s="1532">
        <f t="shared" si="200"/>
        <v>655.60078571256599</v>
      </c>
      <c r="EF85" s="1532">
        <f t="shared" si="200"/>
        <v>677.4163864003956</v>
      </c>
      <c r="EG85" s="1533">
        <f t="shared" si="200"/>
        <v>2626.8257272396777</v>
      </c>
      <c r="EH85" s="1532">
        <f t="shared" si="200"/>
        <v>676.1162129593497</v>
      </c>
      <c r="EI85" s="1532">
        <f t="shared" si="200"/>
        <v>682.7016308900113</v>
      </c>
      <c r="EJ85" s="1532">
        <f t="shared" si="200"/>
        <v>672.99143834607821</v>
      </c>
      <c r="EK85" s="1532">
        <f t="shared" si="200"/>
        <v>677.95315726080412</v>
      </c>
      <c r="EL85" s="1533">
        <f t="shared" si="200"/>
        <v>2709.7624394562436</v>
      </c>
      <c r="EM85" s="1"/>
      <c r="EN85"/>
      <c r="EO85"/>
      <c r="EP85"/>
      <c r="EQ85"/>
      <c r="ER85"/>
      <c r="ES85" s="7"/>
      <c r="ET85"/>
      <c r="EU85" s="7"/>
      <c r="EV85" s="7"/>
      <c r="EW85" s="7"/>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c r="HF85" s="3"/>
      <c r="HG85" s="3"/>
      <c r="HH85" s="3"/>
      <c r="HI85" s="3"/>
      <c r="HJ85" s="3"/>
      <c r="HK85" s="3"/>
      <c r="HL85" s="3"/>
      <c r="HM85" s="3"/>
      <c r="HN85" s="3"/>
      <c r="HO85" s="3"/>
      <c r="HP85" s="3"/>
      <c r="HQ85" s="3"/>
      <c r="HR85" s="3"/>
      <c r="HS85" s="3"/>
      <c r="HT85" s="3"/>
      <c r="HU85" s="3"/>
      <c r="HV85" s="3"/>
      <c r="HW85" s="3"/>
      <c r="HX85" s="3"/>
      <c r="HY85" s="3"/>
      <c r="HZ85" s="3"/>
      <c r="IA85" s="3"/>
      <c r="IB85" s="3"/>
      <c r="IC85" s="3"/>
      <c r="ID85" s="3"/>
      <c r="IE85" s="3"/>
      <c r="IF85" s="3"/>
      <c r="IG85" s="3"/>
      <c r="IH85" s="3"/>
      <c r="II85" s="3"/>
      <c r="IJ85" s="3"/>
      <c r="IK85" s="3"/>
      <c r="IL85" s="3"/>
      <c r="IM85" s="3"/>
      <c r="IN85" s="3"/>
      <c r="IO85" s="3"/>
      <c r="IP85" s="3"/>
      <c r="IQ85" s="3"/>
      <c r="IR85" s="3"/>
      <c r="IS85" s="3"/>
      <c r="IT85" s="3"/>
      <c r="IU85" s="3"/>
      <c r="IV85" s="3"/>
      <c r="IW85" s="3"/>
      <c r="IX85" s="3"/>
      <c r="IY85" s="3"/>
      <c r="IZ85" s="3"/>
      <c r="JA85" s="3"/>
      <c r="JB85" s="3"/>
      <c r="JC85" s="3"/>
      <c r="JD85" s="3"/>
      <c r="JE85" s="3"/>
      <c r="JF85" s="3"/>
      <c r="JG85" s="3"/>
      <c r="JH85" s="3"/>
      <c r="JI85" s="3"/>
      <c r="JJ85" s="3"/>
      <c r="JK85" s="3"/>
    </row>
    <row r="86" spans="1:271" s="11" customFormat="1" ht="12" customHeight="1">
      <c r="A86" s="847"/>
      <c r="B86" s="848" t="s">
        <v>497</v>
      </c>
      <c r="C86" s="849"/>
      <c r="D86" s="850"/>
      <c r="E86" s="850"/>
      <c r="F86" s="850"/>
      <c r="G86" s="850"/>
      <c r="H86" s="851"/>
      <c r="I86" s="850">
        <f t="shared" ref="I86:AT86" si="201">I85/D85-1</f>
        <v>1.0710734371179393</v>
      </c>
      <c r="J86" s="850">
        <f t="shared" si="201"/>
        <v>1.2442622950819677</v>
      </c>
      <c r="K86" s="850">
        <f t="shared" si="201"/>
        <v>1.2137767220902633</v>
      </c>
      <c r="L86" s="850">
        <f t="shared" si="201"/>
        <v>0.15670013094718382</v>
      </c>
      <c r="M86" s="851">
        <f t="shared" si="201"/>
        <v>0.76404494382022481</v>
      </c>
      <c r="N86" s="850">
        <f t="shared" si="201"/>
        <v>0.11255411255411185</v>
      </c>
      <c r="O86" s="850">
        <f t="shared" si="201"/>
        <v>6.5376186997808228E-2</v>
      </c>
      <c r="P86" s="850">
        <f t="shared" si="201"/>
        <v>0.47210300429184504</v>
      </c>
      <c r="Q86" s="850">
        <f t="shared" si="201"/>
        <v>1.0960548885077182</v>
      </c>
      <c r="R86" s="851">
        <f t="shared" si="201"/>
        <v>0.45313921747042674</v>
      </c>
      <c r="S86" s="850">
        <f t="shared" si="201"/>
        <v>0.45030067209055602</v>
      </c>
      <c r="T86" s="850">
        <f t="shared" si="201"/>
        <v>0.52211175865615433</v>
      </c>
      <c r="U86" s="850">
        <f t="shared" si="201"/>
        <v>0.16132167152575283</v>
      </c>
      <c r="V86" s="850">
        <f t="shared" si="201"/>
        <v>-0.21931260229132488</v>
      </c>
      <c r="W86" s="851">
        <f t="shared" si="201"/>
        <v>0.13274890419536689</v>
      </c>
      <c r="X86" s="850">
        <f t="shared" si="201"/>
        <v>0.13414634146341453</v>
      </c>
      <c r="Y86" s="850">
        <f t="shared" si="201"/>
        <v>1.5765765765765716E-2</v>
      </c>
      <c r="Z86" s="850">
        <f t="shared" si="201"/>
        <v>-4.1841004184100417E-2</v>
      </c>
      <c r="AA86" s="850">
        <f t="shared" si="201"/>
        <v>1.467505241090139E-2</v>
      </c>
      <c r="AB86" s="851">
        <f t="shared" si="201"/>
        <v>2.7086788280818119E-2</v>
      </c>
      <c r="AC86" s="850">
        <f t="shared" si="201"/>
        <v>-1.7204301075268824E-2</v>
      </c>
      <c r="AD86" s="850">
        <f t="shared" si="201"/>
        <v>3.9911308203991025E-2</v>
      </c>
      <c r="AE86" s="850">
        <f t="shared" si="201"/>
        <v>9.1703056768559055E-2</v>
      </c>
      <c r="AF86" s="850">
        <f t="shared" si="201"/>
        <v>5.1652892561983466E-2</v>
      </c>
      <c r="AG86" s="851">
        <f t="shared" si="201"/>
        <v>4.1442411194833051E-2</v>
      </c>
      <c r="AH86" s="850">
        <f t="shared" si="201"/>
        <v>0.13129102844638951</v>
      </c>
      <c r="AI86" s="850">
        <f t="shared" si="201"/>
        <v>0.14498933901918987</v>
      </c>
      <c r="AJ86" s="850">
        <f t="shared" si="201"/>
        <v>0.15599999999999992</v>
      </c>
      <c r="AK86" s="850">
        <f t="shared" si="201"/>
        <v>0.20235756385068759</v>
      </c>
      <c r="AL86" s="851">
        <f t="shared" si="201"/>
        <v>0.15968992248062008</v>
      </c>
      <c r="AM86" s="850">
        <f t="shared" si="201"/>
        <v>0.21083172147001927</v>
      </c>
      <c r="AN86" s="850">
        <f t="shared" si="201"/>
        <v>0.26256983240223453</v>
      </c>
      <c r="AO86" s="850">
        <f t="shared" si="201"/>
        <v>0.24740484429065734</v>
      </c>
      <c r="AP86" s="850">
        <f t="shared" si="201"/>
        <v>0.26143790849673199</v>
      </c>
      <c r="AQ86" s="851">
        <f t="shared" si="201"/>
        <v>0.24643493761140811</v>
      </c>
      <c r="AR86" s="850">
        <f t="shared" si="201"/>
        <v>0.20766773162939289</v>
      </c>
      <c r="AS86" s="850">
        <f t="shared" si="201"/>
        <v>0.14306784660766958</v>
      </c>
      <c r="AT86" s="850">
        <f t="shared" si="201"/>
        <v>-0.2857142857142857</v>
      </c>
      <c r="AU86" s="850"/>
      <c r="AV86" s="851"/>
      <c r="AW86" s="850"/>
      <c r="AX86" s="850"/>
      <c r="AY86" s="850"/>
      <c r="AZ86" s="850"/>
      <c r="BA86" s="850">
        <f t="shared" ref="BA86:CF86" si="202">BA85/AV85-1</f>
        <v>-0.30712166172106825</v>
      </c>
      <c r="BB86" s="850">
        <f t="shared" si="202"/>
        <v>-0.51011560693641611</v>
      </c>
      <c r="BC86" s="850">
        <f t="shared" si="202"/>
        <v>-0.88652482269503552</v>
      </c>
      <c r="BD86" s="850">
        <f t="shared" si="202"/>
        <v>-0.698943661971831</v>
      </c>
      <c r="BE86" s="851">
        <f t="shared" si="202"/>
        <v>-0.59946949602122013</v>
      </c>
      <c r="BF86" s="850">
        <f t="shared" si="202"/>
        <v>-0.52462526766595285</v>
      </c>
      <c r="BG86" s="850">
        <f t="shared" si="202"/>
        <v>-1.3156342182890857</v>
      </c>
      <c r="BH86" s="850">
        <f t="shared" si="202"/>
        <v>0.61250000000000004</v>
      </c>
      <c r="BI86" s="850">
        <f t="shared" si="202"/>
        <v>-0.17543859649122806</v>
      </c>
      <c r="BJ86" s="851">
        <f t="shared" si="202"/>
        <v>-0.63576158940397354</v>
      </c>
      <c r="BK86" s="850">
        <f t="shared" si="202"/>
        <v>1.8018018018018056E-2</v>
      </c>
      <c r="BL86" s="850">
        <f t="shared" si="202"/>
        <v>-2.485981308411215</v>
      </c>
      <c r="BM86" s="850">
        <f t="shared" si="202"/>
        <v>-0.31007751937984496</v>
      </c>
      <c r="BN86" s="850">
        <f t="shared" si="202"/>
        <v>-0.31205673758865249</v>
      </c>
      <c r="BO86" s="851">
        <f t="shared" si="202"/>
        <v>0.48311688311688306</v>
      </c>
      <c r="BP86" s="850">
        <f t="shared" si="202"/>
        <v>-4.4247787610619427E-2</v>
      </c>
      <c r="BQ86" s="850">
        <f t="shared" si="202"/>
        <v>0.31446540880503138</v>
      </c>
      <c r="BR86" s="850">
        <f t="shared" si="202"/>
        <v>0.21348314606741581</v>
      </c>
      <c r="BS86" s="850">
        <f t="shared" si="202"/>
        <v>0.57731958762886593</v>
      </c>
      <c r="BT86" s="851">
        <f t="shared" si="202"/>
        <v>0.20140105078809101</v>
      </c>
      <c r="BU86" s="850">
        <f t="shared" si="202"/>
        <v>-0.125</v>
      </c>
      <c r="BV86" s="850">
        <f t="shared" si="202"/>
        <v>-0.25358851674641147</v>
      </c>
      <c r="BW86" s="850">
        <f t="shared" si="202"/>
        <v>0.63888888888888884</v>
      </c>
      <c r="BX86" s="850">
        <f t="shared" si="202"/>
        <v>8.4967320261437829E-2</v>
      </c>
      <c r="BY86" s="851">
        <f t="shared" si="202"/>
        <v>2.9154518950438302E-3</v>
      </c>
      <c r="BZ86" s="850">
        <f t="shared" si="202"/>
        <v>0.23809523809523814</v>
      </c>
      <c r="CA86" s="850">
        <f t="shared" si="202"/>
        <v>4.4871794871794934E-2</v>
      </c>
      <c r="CB86" s="850">
        <f t="shared" si="202"/>
        <v>-0.11864406779661019</v>
      </c>
      <c r="CC86" s="850">
        <f t="shared" si="202"/>
        <v>0.1987951807228916</v>
      </c>
      <c r="CD86" s="851">
        <f t="shared" si="202"/>
        <v>9.3023255813953432E-2</v>
      </c>
      <c r="CE86" s="850">
        <f t="shared" si="202"/>
        <v>0.17948717948717952</v>
      </c>
      <c r="CF86" s="850">
        <f t="shared" si="202"/>
        <v>0.50920245398773001</v>
      </c>
      <c r="CG86" s="850">
        <f t="shared" ref="CG86:DL86" si="203">CG85/CB85-1</f>
        <v>0.53846153846153855</v>
      </c>
      <c r="CH86" s="850">
        <f t="shared" si="203"/>
        <v>9.5477386934673447E-2</v>
      </c>
      <c r="CI86" s="851">
        <f t="shared" si="203"/>
        <v>0.30319148936170204</v>
      </c>
      <c r="CJ86" s="850">
        <f t="shared" si="203"/>
        <v>7.9710144927536142E-2</v>
      </c>
      <c r="CK86" s="850">
        <f t="shared" si="203"/>
        <v>8.9430894308943021E-2</v>
      </c>
      <c r="CL86" s="850">
        <f t="shared" si="203"/>
        <v>-0.15416666666666667</v>
      </c>
      <c r="CM86" s="850">
        <f t="shared" si="203"/>
        <v>0.28899082568807333</v>
      </c>
      <c r="CN86" s="851">
        <f t="shared" si="203"/>
        <v>7.1428571428571397E-2</v>
      </c>
      <c r="CO86" s="850">
        <f t="shared" si="203"/>
        <v>0.24496644295302006</v>
      </c>
      <c r="CP86" s="850">
        <f t="shared" si="203"/>
        <v>2.6119402985074647E-2</v>
      </c>
      <c r="CQ86" s="850">
        <f t="shared" si="203"/>
        <v>-5.4187192118226646E-2</v>
      </c>
      <c r="CR86" s="850">
        <f t="shared" si="203"/>
        <v>2.4911032028469782E-2</v>
      </c>
      <c r="CS86" s="851">
        <f t="shared" si="203"/>
        <v>7.2380952380952435E-2</v>
      </c>
      <c r="CT86" s="850">
        <f t="shared" si="203"/>
        <v>-0.16442048517520214</v>
      </c>
      <c r="CU86" s="850">
        <f t="shared" si="203"/>
        <v>4.7272727272727355E-2</v>
      </c>
      <c r="CV86" s="850">
        <f t="shared" si="203"/>
        <v>0.40104166666666674</v>
      </c>
      <c r="CW86" s="850">
        <f t="shared" si="203"/>
        <v>0.16666666666666674</v>
      </c>
      <c r="CX86" s="851">
        <f t="shared" si="203"/>
        <v>6.8383658969804584E-2</v>
      </c>
      <c r="CY86" s="850">
        <f t="shared" si="203"/>
        <v>-0.11612903225806448</v>
      </c>
      <c r="CZ86" s="850">
        <f t="shared" si="203"/>
        <v>0.16666666666666674</v>
      </c>
      <c r="DA86" s="850">
        <f t="shared" si="203"/>
        <v>7.0631970260222943E-2</v>
      </c>
      <c r="DB86" s="850">
        <f t="shared" si="203"/>
        <v>0.3214285714285714</v>
      </c>
      <c r="DC86" s="851">
        <f t="shared" si="203"/>
        <v>0.11554447215295105</v>
      </c>
      <c r="DD86" s="850">
        <f t="shared" si="203"/>
        <v>0.4124087591240877</v>
      </c>
      <c r="DE86" s="850">
        <f t="shared" si="203"/>
        <v>0.36904761904761907</v>
      </c>
      <c r="DF86" s="850">
        <f t="shared" si="203"/>
        <v>0.59375</v>
      </c>
      <c r="DG86" s="850">
        <f t="shared" si="203"/>
        <v>0.45495495495495497</v>
      </c>
      <c r="DH86" s="851">
        <f t="shared" si="203"/>
        <v>0.45454545454545459</v>
      </c>
      <c r="DI86" s="850">
        <f t="shared" si="203"/>
        <v>0.36692506459948326</v>
      </c>
      <c r="DJ86" s="850">
        <f t="shared" si="203"/>
        <v>0.23478260869565215</v>
      </c>
      <c r="DK86" s="850">
        <f t="shared" si="203"/>
        <v>0.23311546840958597</v>
      </c>
      <c r="DL86" s="850">
        <f t="shared" si="203"/>
        <v>0.23684210526315796</v>
      </c>
      <c r="DM86" s="851">
        <f t="shared" ref="DM86:DR86" si="204">DM85/DH85-1</f>
        <v>0.26127049180327866</v>
      </c>
      <c r="DN86" s="850">
        <f t="shared" si="204"/>
        <v>0.1587901701323251</v>
      </c>
      <c r="DO86" s="850">
        <f t="shared" si="204"/>
        <v>8.6267605633802757E-2</v>
      </c>
      <c r="DP86" s="850">
        <f t="shared" si="204"/>
        <v>7.0671378091873294E-3</v>
      </c>
      <c r="DQ86" s="850">
        <f t="shared" si="204"/>
        <v>-0.23279098873591986</v>
      </c>
      <c r="DR86" s="851">
        <f t="shared" si="204"/>
        <v>4.1429731925264113E-2</v>
      </c>
      <c r="DS86" s="850">
        <f t="shared" ref="DS86:EB86" si="205">DS85/DN85-1</f>
        <v>-0.14029363784665583</v>
      </c>
      <c r="DT86" s="850">
        <f t="shared" si="205"/>
        <v>-7.6175040518638548E-2</v>
      </c>
      <c r="DU86" s="850">
        <f t="shared" si="205"/>
        <v>-0.11052631578947369</v>
      </c>
      <c r="DV86" s="850">
        <f t="shared" si="205"/>
        <v>0.37030995106035891</v>
      </c>
      <c r="DW86" s="851">
        <f t="shared" si="205"/>
        <v>-4.6801872074882955E-2</v>
      </c>
      <c r="DX86" s="850">
        <f t="shared" si="205"/>
        <v>0.14589563786100213</v>
      </c>
      <c r="DY86" s="850">
        <f t="shared" si="205"/>
        <v>0.14276295229664937</v>
      </c>
      <c r="DZ86" s="850">
        <f t="shared" si="205"/>
        <v>0.26945860297077773</v>
      </c>
      <c r="EA86" s="850">
        <f t="shared" si="205"/>
        <v>-0.24062864221895097</v>
      </c>
      <c r="EB86" s="851">
        <f t="shared" si="205"/>
        <v>3.7949810230811787E-2</v>
      </c>
      <c r="EC86" s="850">
        <f t="shared" ref="EC86:EL86" si="206">EC85/DX85-1</f>
        <v>6.0119253922554572E-2</v>
      </c>
      <c r="ED86" s="850">
        <f t="shared" si="206"/>
        <v>3.4410832551285964E-3</v>
      </c>
      <c r="EE86" s="850">
        <f t="shared" si="206"/>
        <v>1.8621791719421799E-2</v>
      </c>
      <c r="EF86" s="850">
        <f t="shared" si="206"/>
        <v>6.199433358219264E-2</v>
      </c>
      <c r="EG86" s="851">
        <f t="shared" si="206"/>
        <v>3.5508589575649729E-2</v>
      </c>
      <c r="EH86" s="850">
        <f t="shared" si="206"/>
        <v>5.6114357158760564E-2</v>
      </c>
      <c r="EI86" s="850">
        <f t="shared" si="206"/>
        <v>4.4499061723822786E-2</v>
      </c>
      <c r="EJ86" s="850">
        <f t="shared" si="206"/>
        <v>2.6526284001643585E-2</v>
      </c>
      <c r="EK86" s="850">
        <f t="shared" si="206"/>
        <v>7.9237950422306191E-4</v>
      </c>
      <c r="EL86" s="851">
        <f t="shared" si="206"/>
        <v>3.1572978502733662E-2</v>
      </c>
      <c r="EM86" s="1"/>
      <c r="EN86"/>
      <c r="EO86"/>
      <c r="EP86"/>
      <c r="EQ86"/>
      <c r="ER86"/>
      <c r="ES86" s="7"/>
      <c r="ET86"/>
      <c r="EU86" s="7"/>
      <c r="EV86" s="7"/>
      <c r="EW86" s="7"/>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c r="HF86" s="3"/>
      <c r="HG86" s="3"/>
      <c r="HH86" s="3"/>
      <c r="HI86" s="3"/>
      <c r="HJ86" s="3"/>
      <c r="HK86" s="3"/>
      <c r="HL86" s="3"/>
      <c r="HM86" s="3"/>
      <c r="HN86" s="3"/>
      <c r="HO86" s="3"/>
      <c r="HP86" s="3"/>
      <c r="HQ86" s="3"/>
      <c r="HR86" s="3"/>
      <c r="HS86" s="3"/>
      <c r="HT86" s="3"/>
      <c r="HU86" s="3"/>
      <c r="HV86" s="3"/>
      <c r="HW86" s="3"/>
      <c r="HX86" s="3"/>
      <c r="HY86" s="3"/>
      <c r="HZ86" s="3"/>
      <c r="IA86" s="3"/>
      <c r="IB86" s="3"/>
      <c r="IC86" s="3"/>
      <c r="ID86" s="3"/>
      <c r="IE86" s="3"/>
      <c r="IF86" s="3"/>
      <c r="IG86" s="3"/>
      <c r="IH86" s="3"/>
      <c r="II86" s="3"/>
      <c r="IJ86" s="3"/>
      <c r="IK86" s="3"/>
      <c r="IL86" s="3"/>
      <c r="IM86" s="3"/>
      <c r="IN86" s="3"/>
      <c r="IO86" s="3"/>
      <c r="IP86" s="3"/>
      <c r="IQ86" s="3"/>
      <c r="IR86" s="3"/>
      <c r="IS86" s="3"/>
      <c r="IT86" s="3"/>
      <c r="IU86" s="3"/>
      <c r="IV86" s="3"/>
      <c r="IW86" s="3"/>
      <c r="IX86" s="3"/>
      <c r="IY86" s="3"/>
      <c r="IZ86" s="3"/>
      <c r="JA86" s="3"/>
      <c r="JB86" s="3"/>
      <c r="JC86" s="3"/>
      <c r="JD86" s="3"/>
      <c r="JE86" s="3"/>
      <c r="JF86" s="3"/>
      <c r="JG86" s="3"/>
      <c r="JH86" s="3"/>
      <c r="JI86" s="3"/>
      <c r="JJ86" s="3"/>
      <c r="JK86" s="3"/>
    </row>
    <row r="87" spans="1:271" s="11" customFormat="1" ht="12" customHeight="1" thickBot="1">
      <c r="A87" s="852"/>
      <c r="B87" s="853" t="s">
        <v>514</v>
      </c>
      <c r="C87" s="854"/>
      <c r="D87" s="854">
        <f t="shared" ref="D87:AT87" si="207">D85/D$12</f>
        <v>0.18509885567298046</v>
      </c>
      <c r="E87" s="854">
        <f t="shared" si="207"/>
        <v>0.19098309329993735</v>
      </c>
      <c r="F87" s="854">
        <f t="shared" si="207"/>
        <v>0.1912187736563209</v>
      </c>
      <c r="G87" s="854">
        <f t="shared" si="207"/>
        <v>0.1858665870127188</v>
      </c>
      <c r="H87" s="855">
        <f t="shared" si="207"/>
        <v>0.18776371308016879</v>
      </c>
      <c r="I87" s="854">
        <f t="shared" si="207"/>
        <v>0.19791261001635641</v>
      </c>
      <c r="J87" s="854">
        <f t="shared" si="207"/>
        <v>0.19972280983295645</v>
      </c>
      <c r="K87" s="854">
        <f t="shared" si="207"/>
        <v>0.19526503247433488</v>
      </c>
      <c r="L87" s="854">
        <f t="shared" si="207"/>
        <v>0.1979895401752359</v>
      </c>
      <c r="M87" s="855">
        <f t="shared" si="207"/>
        <v>0.19769742759489117</v>
      </c>
      <c r="N87" s="854">
        <f t="shared" si="207"/>
        <v>0.19651049631586257</v>
      </c>
      <c r="O87" s="854">
        <f t="shared" si="207"/>
        <v>0.19761533771424694</v>
      </c>
      <c r="P87" s="854">
        <f t="shared" si="207"/>
        <v>0.18400464929143012</v>
      </c>
      <c r="Q87" s="854">
        <f t="shared" si="207"/>
        <v>0.17262812906142266</v>
      </c>
      <c r="R87" s="855">
        <f t="shared" si="207"/>
        <v>0.18375330801979048</v>
      </c>
      <c r="S87" s="854">
        <f t="shared" si="207"/>
        <v>0.17589017589017589</v>
      </c>
      <c r="T87" s="854">
        <f t="shared" si="207"/>
        <v>0.18279127212844792</v>
      </c>
      <c r="U87" s="854">
        <f t="shared" si="207"/>
        <v>0.18642745709828393</v>
      </c>
      <c r="V87" s="854">
        <f t="shared" si="207"/>
        <v>0.1855309218203034</v>
      </c>
      <c r="W87" s="855">
        <f t="shared" si="207"/>
        <v>0.18281960586154625</v>
      </c>
      <c r="X87" s="854">
        <f t="shared" si="207"/>
        <v>0.18213866039952997</v>
      </c>
      <c r="Y87" s="854">
        <f t="shared" si="207"/>
        <v>0.17596566523605151</v>
      </c>
      <c r="Z87" s="854">
        <f t="shared" si="207"/>
        <v>0.16229624379872432</v>
      </c>
      <c r="AA87" s="854">
        <f t="shared" si="207"/>
        <v>0.16451393609789258</v>
      </c>
      <c r="AB87" s="855">
        <f t="shared" si="207"/>
        <v>0.17077205882352942</v>
      </c>
      <c r="AC87" s="854">
        <f t="shared" si="207"/>
        <v>0.15906717716672467</v>
      </c>
      <c r="AD87" s="854">
        <f t="shared" si="207"/>
        <v>0.16870503597122302</v>
      </c>
      <c r="AE87" s="854">
        <f t="shared" si="207"/>
        <v>0.17543859649122806</v>
      </c>
      <c r="AF87" s="854">
        <f t="shared" si="207"/>
        <v>0.17485400206114737</v>
      </c>
      <c r="AG87" s="855">
        <f t="shared" si="207"/>
        <v>0.16952864902751008</v>
      </c>
      <c r="AH87" s="854">
        <f t="shared" si="207"/>
        <v>0.17870722433460076</v>
      </c>
      <c r="AI87" s="854">
        <f t="shared" si="207"/>
        <v>0.18421955403087478</v>
      </c>
      <c r="AJ87" s="854">
        <f t="shared" si="207"/>
        <v>0.19038208168642951</v>
      </c>
      <c r="AK87" s="854">
        <f t="shared" si="207"/>
        <v>0.19071361794951699</v>
      </c>
      <c r="AL87" s="855">
        <f t="shared" si="207"/>
        <v>0.18617771509167841</v>
      </c>
      <c r="AM87" s="854">
        <f t="shared" si="207"/>
        <v>0.18986957840461025</v>
      </c>
      <c r="AN87" s="854">
        <f t="shared" si="207"/>
        <v>0.19976428992339423</v>
      </c>
      <c r="AO87" s="854">
        <f t="shared" si="207"/>
        <v>0.20694603903559128</v>
      </c>
      <c r="AP87" s="854">
        <f t="shared" si="207"/>
        <v>0.20652755484216159</v>
      </c>
      <c r="AQ87" s="855">
        <f t="shared" si="207"/>
        <v>0.20103500323438511</v>
      </c>
      <c r="AR87" s="854">
        <f t="shared" si="207"/>
        <v>0.20415879017013233</v>
      </c>
      <c r="AS87" s="854">
        <f t="shared" si="207"/>
        <v>0.20513499205929062</v>
      </c>
      <c r="AT87" s="854">
        <f t="shared" si="207"/>
        <v>0.13971785132935433</v>
      </c>
      <c r="AU87" s="854"/>
      <c r="AV87" s="855">
        <f t="shared" ref="AV87:CA87" si="208">AV85/AV$12</f>
        <v>0.19970370370370372</v>
      </c>
      <c r="AW87" s="854">
        <f t="shared" si="208"/>
        <v>0.20174927113702623</v>
      </c>
      <c r="AX87" s="854">
        <f t="shared" si="208"/>
        <v>0.20022720817949446</v>
      </c>
      <c r="AY87" s="854">
        <f t="shared" si="208"/>
        <v>0.16261093615803035</v>
      </c>
      <c r="AZ87" s="854">
        <f t="shared" si="208"/>
        <v>0.19096895578551271</v>
      </c>
      <c r="BA87" s="854">
        <f t="shared" si="208"/>
        <v>0.13528389339513325</v>
      </c>
      <c r="BB87" s="854">
        <f t="shared" si="208"/>
        <v>0.10032554010062149</v>
      </c>
      <c r="BC87" s="854">
        <f t="shared" si="208"/>
        <v>2.4264482863208977E-2</v>
      </c>
      <c r="BD87" s="854">
        <f t="shared" si="208"/>
        <v>5.3756680289217228E-2</v>
      </c>
      <c r="BE87" s="855">
        <f t="shared" si="208"/>
        <v>7.9419941393042301E-2</v>
      </c>
      <c r="BF87" s="854">
        <f t="shared" si="208"/>
        <v>8.3177219932559013E-2</v>
      </c>
      <c r="BG87" s="854">
        <f t="shared" si="208"/>
        <v>-4.1634241245136185E-2</v>
      </c>
      <c r="BH87" s="854">
        <f t="shared" si="208"/>
        <v>5.2868852459016395E-2</v>
      </c>
      <c r="BI87" s="854">
        <f t="shared" si="208"/>
        <v>5.8457711442786067E-2</v>
      </c>
      <c r="BJ87" s="855">
        <f t="shared" si="208"/>
        <v>3.815280943414924E-2</v>
      </c>
      <c r="BK87" s="854">
        <f t="shared" si="208"/>
        <v>9.0363854458216708E-2</v>
      </c>
      <c r="BL87" s="854">
        <f t="shared" si="208"/>
        <v>6.5702479338842976E-2</v>
      </c>
      <c r="BM87" s="854">
        <f t="shared" si="208"/>
        <v>3.7176274018379279E-2</v>
      </c>
      <c r="BN87" s="854">
        <f t="shared" si="208"/>
        <v>4.219225750326229E-2</v>
      </c>
      <c r="BO87" s="855">
        <f t="shared" si="208"/>
        <v>5.9392552527563966E-2</v>
      </c>
      <c r="BP87" s="854">
        <f t="shared" si="208"/>
        <v>8.9478044739022364E-2</v>
      </c>
      <c r="BQ87" s="854">
        <f t="shared" si="208"/>
        <v>9.5216400911161736E-2</v>
      </c>
      <c r="BR87" s="854">
        <f t="shared" si="208"/>
        <v>5.1015588096362779E-2</v>
      </c>
      <c r="BS87" s="854">
        <f t="shared" si="208"/>
        <v>7.0215695273061041E-2</v>
      </c>
      <c r="BT87" s="855">
        <f t="shared" si="208"/>
        <v>7.7035373385738348E-2</v>
      </c>
      <c r="BU87" s="854">
        <f t="shared" si="208"/>
        <v>8.2931110136024569E-2</v>
      </c>
      <c r="BV87" s="854">
        <f t="shared" si="208"/>
        <v>7.0017953321364457E-2</v>
      </c>
      <c r="BW87" s="854">
        <f t="shared" si="208"/>
        <v>8.0018083182640143E-2</v>
      </c>
      <c r="BX87" s="854">
        <f t="shared" si="208"/>
        <v>7.3745002221235006E-2</v>
      </c>
      <c r="BY87" s="855">
        <f t="shared" si="208"/>
        <v>7.6700111482720185E-2</v>
      </c>
      <c r="BZ87" s="854">
        <f t="shared" si="208"/>
        <v>9.8692534795444958E-2</v>
      </c>
      <c r="CA87" s="854">
        <f t="shared" si="208"/>
        <v>7.4633699633699632E-2</v>
      </c>
      <c r="CB87" s="854">
        <f t="shared" ref="CB87:CW87" si="209">CB85/CB$12</f>
        <v>7.2289156626506021E-2</v>
      </c>
      <c r="CC87" s="854">
        <f t="shared" si="209"/>
        <v>9.066059225512528E-2</v>
      </c>
      <c r="CD87" s="855">
        <f t="shared" si="209"/>
        <v>8.4418500224517287E-2</v>
      </c>
      <c r="CE87" s="854">
        <f t="shared" si="209"/>
        <v>0.12110574813514699</v>
      </c>
      <c r="CF87" s="854">
        <f t="shared" si="209"/>
        <v>0.11036339165545088</v>
      </c>
      <c r="CG87" s="854">
        <f t="shared" si="209"/>
        <v>0.10610079575596817</v>
      </c>
      <c r="CH87" s="854">
        <f t="shared" si="209"/>
        <v>9.6417514374170718E-2</v>
      </c>
      <c r="CI87" s="855">
        <f t="shared" si="209"/>
        <v>0.10851511460524858</v>
      </c>
      <c r="CJ87" s="854">
        <f t="shared" si="209"/>
        <v>0.12740487387772553</v>
      </c>
      <c r="CK87" s="854">
        <f t="shared" si="209"/>
        <v>0.11636995223621363</v>
      </c>
      <c r="CL87" s="854">
        <f t="shared" si="209"/>
        <v>8.9743589743589744E-2</v>
      </c>
      <c r="CM87" s="854">
        <f t="shared" si="209"/>
        <v>0.12212081703607128</v>
      </c>
      <c r="CN87" s="855">
        <f t="shared" si="209"/>
        <v>0.11406844106463879</v>
      </c>
      <c r="CO87" s="854">
        <f t="shared" si="209"/>
        <v>0.15273775216138327</v>
      </c>
      <c r="CP87" s="854">
        <f t="shared" si="209"/>
        <v>0.11956521739130435</v>
      </c>
      <c r="CQ87" s="854">
        <f t="shared" si="209"/>
        <v>8.3879423328964614E-2</v>
      </c>
      <c r="CR87" s="854">
        <f t="shared" si="209"/>
        <v>0.12239694007649808</v>
      </c>
      <c r="CS87" s="855">
        <f t="shared" si="209"/>
        <v>0.12015793405186213</v>
      </c>
      <c r="CT87" s="854">
        <f t="shared" si="209"/>
        <v>0.12444801284624649</v>
      </c>
      <c r="CU87" s="854">
        <f t="shared" si="209"/>
        <v>0.11731160896130347</v>
      </c>
      <c r="CV87" s="854">
        <f t="shared" si="209"/>
        <v>0.11083642356819118</v>
      </c>
      <c r="CW87" s="854">
        <f t="shared" si="209"/>
        <v>0.13275385223231925</v>
      </c>
      <c r="CX87" s="855">
        <f t="shared" ref="CX87:DP87" si="210">CX85/CX$14</f>
        <v>0.13192235990788465</v>
      </c>
      <c r="CY87" s="854">
        <f t="shared" si="210"/>
        <v>0.11478843736908254</v>
      </c>
      <c r="CZ87" s="854">
        <f t="shared" si="210"/>
        <v>0.13872832369942195</v>
      </c>
      <c r="DA87" s="854">
        <f t="shared" si="210"/>
        <v>0.11960132890365449</v>
      </c>
      <c r="DB87" s="854">
        <f t="shared" si="210"/>
        <v>0.11428571428571428</v>
      </c>
      <c r="DC87" s="855">
        <f t="shared" si="210"/>
        <v>0.12087912087912088</v>
      </c>
      <c r="DD87" s="854">
        <f t="shared" si="210"/>
        <v>9.8573611818644935E-2</v>
      </c>
      <c r="DE87" s="854">
        <f t="shared" si="210"/>
        <v>0.11380504700643246</v>
      </c>
      <c r="DF87" s="854">
        <f t="shared" si="210"/>
        <v>0.10983488872936109</v>
      </c>
      <c r="DG87" s="854">
        <f t="shared" si="210"/>
        <v>0.14458370635631154</v>
      </c>
      <c r="DH87" s="855">
        <f t="shared" si="210"/>
        <v>0.11748420102317184</v>
      </c>
      <c r="DI87" s="854">
        <f t="shared" si="210"/>
        <v>0.1195750452079566</v>
      </c>
      <c r="DJ87" s="854">
        <f t="shared" si="210"/>
        <v>0.12644701691896706</v>
      </c>
      <c r="DK87" s="854">
        <f t="shared" si="210"/>
        <v>0.1206308610400682</v>
      </c>
      <c r="DL87" s="854">
        <f t="shared" si="210"/>
        <v>0.15897333863907681</v>
      </c>
      <c r="DM87" s="855">
        <f t="shared" si="210"/>
        <v>0.1321240742728346</v>
      </c>
      <c r="DN87" s="854">
        <f t="shared" si="210"/>
        <v>0.12153053132434576</v>
      </c>
      <c r="DO87" s="854">
        <f t="shared" si="210"/>
        <v>0.12674609695973707</v>
      </c>
      <c r="DP87" s="854">
        <f t="shared" si="210"/>
        <v>0.11755001031140441</v>
      </c>
      <c r="DQ87" s="854">
        <f t="shared" ref="DQ87:EG87" si="211">DQ85/DQ$14</f>
        <v>0.12613168724279836</v>
      </c>
      <c r="DR87" s="855">
        <f t="shared" si="211"/>
        <v>0.13067631619183528</v>
      </c>
      <c r="DS87" s="854">
        <f t="shared" si="211"/>
        <v>0.10949511739040099</v>
      </c>
      <c r="DT87" s="854">
        <f t="shared" si="211"/>
        <v>0.11870054144106622</v>
      </c>
      <c r="DU87" s="854">
        <f t="shared" si="211"/>
        <v>0.1105538595726123</v>
      </c>
      <c r="DV87" s="854">
        <f t="shared" ref="DV87" si="212">DV85/DV$14</f>
        <v>0.16874246685415831</v>
      </c>
      <c r="DW87" s="855">
        <f t="shared" si="211"/>
        <v>0.12743104437144795</v>
      </c>
      <c r="DX87" s="854">
        <f t="shared" si="211"/>
        <v>0.13170678813533979</v>
      </c>
      <c r="DY87" s="854">
        <f t="shared" si="211"/>
        <v>0.14247270081281688</v>
      </c>
      <c r="DZ87" s="854">
        <f t="shared" si="211"/>
        <v>0.14687299306025281</v>
      </c>
      <c r="EA87" s="854">
        <f t="shared" si="211"/>
        <v>0.13863636415546318</v>
      </c>
      <c r="EB87" s="855">
        <f t="shared" si="211"/>
        <v>0.13984146073724996</v>
      </c>
      <c r="EC87" s="854">
        <f t="shared" si="211"/>
        <v>0.14150095338158641</v>
      </c>
      <c r="ED87" s="854">
        <f t="shared" si="211"/>
        <v>0.1425092711091972</v>
      </c>
      <c r="EE87" s="854">
        <f t="shared" si="211"/>
        <v>0.14644139907149523</v>
      </c>
      <c r="EF87" s="854">
        <f t="shared" si="211"/>
        <v>0.1416160814950731</v>
      </c>
      <c r="EG87" s="855">
        <f t="shared" si="211"/>
        <v>0.14298660677821876</v>
      </c>
      <c r="EH87" s="854">
        <f t="shared" ref="EH87:EL87" si="213">EH85/EH$14</f>
        <v>0.14286068388808348</v>
      </c>
      <c r="EI87" s="854">
        <f t="shared" si="213"/>
        <v>0.14242288916355231</v>
      </c>
      <c r="EJ87" s="854">
        <f t="shared" si="213"/>
        <v>0.14397006753461164</v>
      </c>
      <c r="EK87" s="854">
        <f t="shared" si="213"/>
        <v>0.13560752134107923</v>
      </c>
      <c r="EL87" s="855">
        <f t="shared" si="213"/>
        <v>0.14113287761276122</v>
      </c>
      <c r="EM87" s="1"/>
      <c r="EN87"/>
      <c r="EO87"/>
      <c r="EP87"/>
      <c r="EQ87"/>
      <c r="ER87"/>
      <c r="ES87" s="7"/>
      <c r="ET87"/>
      <c r="EU87" s="7"/>
      <c r="EV87" s="7"/>
      <c r="EW87" s="7"/>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c r="HF87" s="3"/>
      <c r="HG87" s="3"/>
      <c r="HH87" s="3"/>
      <c r="HI87" s="3"/>
      <c r="HJ87" s="3"/>
      <c r="HK87" s="3"/>
      <c r="HL87" s="3"/>
      <c r="HM87" s="3"/>
      <c r="HN87" s="3"/>
      <c r="HO87" s="3"/>
      <c r="HP87" s="3"/>
      <c r="HQ87" s="3"/>
      <c r="HR87" s="3"/>
      <c r="HS87" s="3"/>
      <c r="HT87" s="3"/>
      <c r="HU87" s="3"/>
      <c r="HV87" s="3"/>
      <c r="HW87" s="3"/>
      <c r="HX87" s="3"/>
      <c r="HY87" s="3"/>
      <c r="HZ87" s="3"/>
      <c r="IA87" s="3"/>
      <c r="IB87" s="3"/>
      <c r="IC87" s="3"/>
      <c r="ID87" s="3"/>
      <c r="IE87" s="3"/>
      <c r="IF87" s="3"/>
      <c r="IG87" s="3"/>
      <c r="IH87" s="3"/>
      <c r="II87" s="3"/>
      <c r="IJ87" s="3"/>
      <c r="IK87" s="3"/>
      <c r="IL87" s="3"/>
      <c r="IM87" s="3"/>
      <c r="IN87" s="3"/>
      <c r="IO87" s="3"/>
      <c r="IP87" s="3"/>
      <c r="IQ87" s="3"/>
      <c r="IR87" s="3"/>
      <c r="IS87" s="3"/>
      <c r="IT87" s="3"/>
      <c r="IU87" s="3"/>
      <c r="IV87" s="3"/>
      <c r="IW87" s="3"/>
      <c r="IX87" s="3"/>
      <c r="IY87" s="3"/>
      <c r="IZ87" s="3"/>
      <c r="JA87" s="3"/>
      <c r="JB87" s="3"/>
      <c r="JC87" s="3"/>
      <c r="JD87" s="3"/>
      <c r="JE87" s="3"/>
      <c r="JF87" s="3"/>
      <c r="JG87" s="3"/>
      <c r="JH87" s="3"/>
      <c r="JI87" s="3"/>
      <c r="JJ87" s="3"/>
      <c r="JK87" s="3"/>
    </row>
    <row r="88" spans="1:271" s="11" customFormat="1">
      <c r="A88" s="856"/>
      <c r="B88" s="857" t="s">
        <v>377</v>
      </c>
      <c r="C88" s="858"/>
      <c r="D88" s="858"/>
      <c r="E88" s="858"/>
      <c r="F88" s="858"/>
      <c r="G88" s="858"/>
      <c r="H88" s="859"/>
      <c r="I88" s="858"/>
      <c r="J88" s="858"/>
      <c r="K88" s="858"/>
      <c r="L88" s="858"/>
      <c r="M88" s="859"/>
      <c r="N88" s="858"/>
      <c r="O88" s="858"/>
      <c r="P88" s="858"/>
      <c r="Q88" s="858"/>
      <c r="R88" s="859"/>
      <c r="S88" s="858"/>
      <c r="T88" s="858"/>
      <c r="U88" s="858"/>
      <c r="V88" s="858"/>
      <c r="W88" s="859"/>
      <c r="X88" s="858"/>
      <c r="Y88" s="858"/>
      <c r="Z88" s="858"/>
      <c r="AA88" s="858"/>
      <c r="AB88" s="859"/>
      <c r="AC88" s="858"/>
      <c r="AD88" s="858"/>
      <c r="AE88" s="858"/>
      <c r="AF88" s="858"/>
      <c r="AG88" s="859"/>
      <c r="AH88" s="858"/>
      <c r="AI88" s="858"/>
      <c r="AJ88" s="858"/>
      <c r="AK88" s="858"/>
      <c r="AL88" s="859"/>
      <c r="AM88" s="858"/>
      <c r="AN88" s="858"/>
      <c r="AO88" s="858"/>
      <c r="AP88" s="858"/>
      <c r="AQ88" s="859"/>
      <c r="AR88" s="858"/>
      <c r="AS88" s="858"/>
      <c r="AT88" s="858"/>
      <c r="AU88" s="858"/>
      <c r="AV88" s="859"/>
      <c r="AW88" s="858"/>
      <c r="AX88" s="858"/>
      <c r="AY88" s="858"/>
      <c r="AZ88" s="858"/>
      <c r="BA88" s="858"/>
      <c r="BB88" s="858"/>
      <c r="BC88" s="858"/>
      <c r="BD88" s="858"/>
      <c r="BE88" s="859"/>
      <c r="BF88" s="858"/>
      <c r="BG88" s="858"/>
      <c r="BH88" s="858"/>
      <c r="BI88" s="858"/>
      <c r="BJ88" s="859"/>
      <c r="BK88" s="858"/>
      <c r="BL88" s="858"/>
      <c r="BM88" s="858"/>
      <c r="BN88" s="858"/>
      <c r="BO88" s="859"/>
      <c r="BP88" s="858"/>
      <c r="BQ88" s="858"/>
      <c r="BR88" s="858"/>
      <c r="BS88" s="858"/>
      <c r="BT88" s="859"/>
      <c r="BU88" s="858"/>
      <c r="BV88" s="858"/>
      <c r="BW88" s="858"/>
      <c r="BX88" s="858"/>
      <c r="BY88" s="859"/>
      <c r="BZ88" s="858"/>
      <c r="CA88" s="858"/>
      <c r="CB88" s="858"/>
      <c r="CC88" s="858"/>
      <c r="CD88" s="859"/>
      <c r="CE88" s="858"/>
      <c r="CF88" s="858"/>
      <c r="CG88" s="858"/>
      <c r="CH88" s="858"/>
      <c r="CI88" s="859"/>
      <c r="CJ88" s="858"/>
      <c r="CK88" s="858"/>
      <c r="CL88" s="858"/>
      <c r="CM88" s="858"/>
      <c r="CN88" s="859"/>
      <c r="CO88" s="858"/>
      <c r="CP88" s="858"/>
      <c r="CQ88" s="858"/>
      <c r="CR88" s="858"/>
      <c r="CS88" s="859"/>
      <c r="CT88" s="858"/>
      <c r="CU88" s="858"/>
      <c r="CV88" s="858"/>
      <c r="CW88" s="858"/>
      <c r="CX88" s="859"/>
      <c r="CY88" s="858"/>
      <c r="CZ88" s="858"/>
      <c r="DA88" s="858"/>
      <c r="DB88" s="858"/>
      <c r="DC88" s="859"/>
      <c r="DD88" s="858"/>
      <c r="DE88" s="858"/>
      <c r="DF88" s="858"/>
      <c r="DG88" s="858"/>
      <c r="DH88" s="859"/>
      <c r="DI88" s="858"/>
      <c r="DJ88" s="858"/>
      <c r="DK88" s="858"/>
      <c r="DL88" s="858"/>
      <c r="DM88" s="859"/>
      <c r="DN88" s="858"/>
      <c r="DO88" s="858"/>
      <c r="DP88" s="858"/>
      <c r="DQ88" s="858"/>
      <c r="DR88" s="859"/>
      <c r="DS88" s="858"/>
      <c r="DT88" s="858"/>
      <c r="DU88" s="858"/>
      <c r="DV88" s="858"/>
      <c r="DW88" s="859"/>
      <c r="DX88" s="858"/>
      <c r="DY88" s="858"/>
      <c r="DZ88" s="858"/>
      <c r="EA88" s="858"/>
      <c r="EB88" s="859"/>
      <c r="EC88" s="858"/>
      <c r="ED88" s="858"/>
      <c r="EE88" s="858"/>
      <c r="EF88" s="858"/>
      <c r="EG88" s="859"/>
      <c r="EH88" s="858"/>
      <c r="EI88" s="858"/>
      <c r="EJ88" s="858"/>
      <c r="EK88" s="858"/>
      <c r="EL88" s="859"/>
      <c r="EM88" s="1"/>
      <c r="EN88"/>
      <c r="EO88"/>
      <c r="EP88"/>
      <c r="EQ88"/>
      <c r="ER88"/>
      <c r="ES88" s="7"/>
      <c r="ET88"/>
      <c r="EU88" s="7"/>
      <c r="EV88" s="7"/>
      <c r="EW88" s="7"/>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c r="HF88" s="3"/>
      <c r="HG88" s="3"/>
      <c r="HH88" s="3"/>
      <c r="HI88" s="3"/>
      <c r="HJ88" s="3"/>
      <c r="HK88" s="3"/>
      <c r="HL88" s="3"/>
      <c r="HM88" s="3"/>
      <c r="HN88" s="3"/>
      <c r="HO88" s="3"/>
      <c r="HP88" s="3"/>
      <c r="HQ88" s="3"/>
      <c r="HR88" s="3"/>
      <c r="HS88" s="3"/>
      <c r="HT88" s="3"/>
      <c r="HU88" s="3"/>
      <c r="HV88" s="3"/>
      <c r="HW88" s="3"/>
      <c r="HX88" s="3"/>
      <c r="HY88" s="3"/>
      <c r="HZ88" s="3"/>
      <c r="IA88" s="3"/>
      <c r="IB88" s="3"/>
      <c r="IC88" s="3"/>
      <c r="ID88" s="3"/>
      <c r="IE88" s="3"/>
      <c r="IF88" s="3"/>
      <c r="IG88" s="3"/>
      <c r="IH88" s="3"/>
      <c r="II88" s="3"/>
      <c r="IJ88" s="3"/>
      <c r="IK88" s="3"/>
      <c r="IL88" s="3"/>
      <c r="IM88" s="3"/>
      <c r="IN88" s="3"/>
      <c r="IO88" s="3"/>
      <c r="IP88" s="3"/>
      <c r="IQ88" s="3"/>
      <c r="IR88" s="3"/>
      <c r="IS88" s="3"/>
      <c r="IT88" s="3"/>
      <c r="IU88" s="3"/>
      <c r="IV88" s="3"/>
      <c r="IW88" s="3"/>
      <c r="IX88" s="3"/>
      <c r="IY88" s="3"/>
      <c r="IZ88" s="3"/>
      <c r="JA88" s="3"/>
      <c r="JB88" s="3"/>
      <c r="JC88" s="3"/>
      <c r="JD88" s="3"/>
      <c r="JE88" s="3"/>
      <c r="JF88" s="3"/>
      <c r="JG88" s="3"/>
      <c r="JH88" s="3"/>
      <c r="JI88" s="3"/>
      <c r="JJ88" s="3"/>
      <c r="JK88" s="3"/>
    </row>
    <row r="89" spans="1:271" s="11" customFormat="1">
      <c r="A89" s="860"/>
      <c r="B89" s="861" t="s">
        <v>380</v>
      </c>
      <c r="C89" s="862"/>
      <c r="D89" s="863">
        <f t="shared" ref="D89:AT89" si="214">D25/D$14</f>
        <v>0.19269126991855107</v>
      </c>
      <c r="E89" s="863">
        <f t="shared" si="214"/>
        <v>0.19737906487623361</v>
      </c>
      <c r="F89" s="863">
        <f t="shared" si="214"/>
        <v>0.19783834586466159</v>
      </c>
      <c r="G89" s="863">
        <f t="shared" si="214"/>
        <v>0.16696148882341888</v>
      </c>
      <c r="H89" s="864">
        <f t="shared" si="214"/>
        <v>0.18421879911977365</v>
      </c>
      <c r="I89" s="863">
        <f t="shared" si="214"/>
        <v>0.20886075949367089</v>
      </c>
      <c r="J89" s="863">
        <f t="shared" si="214"/>
        <v>0.21042114970796189</v>
      </c>
      <c r="K89" s="863">
        <f t="shared" si="214"/>
        <v>0.20558823529411774</v>
      </c>
      <c r="L89" s="863">
        <f t="shared" si="214"/>
        <v>0.14771420356526724</v>
      </c>
      <c r="M89" s="864">
        <f t="shared" si="214"/>
        <v>0.19225659517935093</v>
      </c>
      <c r="N89" s="863">
        <f t="shared" si="214"/>
        <v>0.20724287075727579</v>
      </c>
      <c r="O89" s="863">
        <f t="shared" si="214"/>
        <v>0.2087448117933304</v>
      </c>
      <c r="P89" s="863">
        <f t="shared" si="214"/>
        <v>6.6103945371775455E-2</v>
      </c>
      <c r="Q89" s="863">
        <f t="shared" si="214"/>
        <v>4.3045660865121384E-2</v>
      </c>
      <c r="R89" s="864">
        <f t="shared" si="214"/>
        <v>0.10455044528486032</v>
      </c>
      <c r="S89" s="863">
        <f t="shared" si="214"/>
        <v>0.18781493357764545</v>
      </c>
      <c r="T89" s="863">
        <f t="shared" si="214"/>
        <v>0.19363279546445705</v>
      </c>
      <c r="U89" s="863">
        <f t="shared" si="214"/>
        <v>0.19908371511870054</v>
      </c>
      <c r="V89" s="863">
        <f t="shared" si="214"/>
        <v>0.10534979423868313</v>
      </c>
      <c r="W89" s="864">
        <f t="shared" si="214"/>
        <v>0.17062426130869238</v>
      </c>
      <c r="X89" s="863">
        <f t="shared" si="214"/>
        <v>0.19423558897243107</v>
      </c>
      <c r="Y89" s="863">
        <f t="shared" si="214"/>
        <v>0.18957545187053385</v>
      </c>
      <c r="Z89" s="863">
        <f t="shared" si="214"/>
        <v>0.17401215805471124</v>
      </c>
      <c r="AA89" s="863">
        <f t="shared" si="214"/>
        <v>4.4289897510980968E-2</v>
      </c>
      <c r="AB89" s="864">
        <f t="shared" si="214"/>
        <v>0.14747953043306697</v>
      </c>
      <c r="AC89" s="863">
        <f t="shared" si="214"/>
        <v>0.17245283018867924</v>
      </c>
      <c r="AD89" s="863">
        <f t="shared" si="214"/>
        <v>0.18249027237354085</v>
      </c>
      <c r="AE89" s="863">
        <f t="shared" si="214"/>
        <v>0.10166919575113809</v>
      </c>
      <c r="AF89" s="863">
        <f t="shared" si="214"/>
        <v>0.1425932766900628</v>
      </c>
      <c r="AG89" s="864">
        <f t="shared" si="214"/>
        <v>0.14957871816718735</v>
      </c>
      <c r="AH89" s="863">
        <f t="shared" si="214"/>
        <v>0.19291044776119404</v>
      </c>
      <c r="AI89" s="863">
        <f t="shared" si="214"/>
        <v>0.1982281284606866</v>
      </c>
      <c r="AJ89" s="863">
        <f t="shared" si="214"/>
        <v>0.20518281860134896</v>
      </c>
      <c r="AK89" s="863">
        <f t="shared" si="214"/>
        <v>0.15643762508338893</v>
      </c>
      <c r="AL89" s="864">
        <f t="shared" si="214"/>
        <v>0.18752231345947876</v>
      </c>
      <c r="AM89" s="863">
        <f t="shared" si="214"/>
        <v>0.20517862995739103</v>
      </c>
      <c r="AN89" s="863">
        <f t="shared" si="214"/>
        <v>0.18463010204081631</v>
      </c>
      <c r="AO89" s="863">
        <f t="shared" si="214"/>
        <v>0.22198275862068967</v>
      </c>
      <c r="AP89" s="863">
        <f t="shared" si="214"/>
        <v>0.22107674684994272</v>
      </c>
      <c r="AQ89" s="864">
        <f t="shared" si="214"/>
        <v>0.20871045099404348</v>
      </c>
      <c r="AR89" s="863">
        <f t="shared" si="214"/>
        <v>0.22066549912434325</v>
      </c>
      <c r="AS89" s="863">
        <f t="shared" si="214"/>
        <v>0.20390020074562662</v>
      </c>
      <c r="AT89" s="863">
        <f t="shared" si="214"/>
        <v>3.3412182140745122E-2</v>
      </c>
      <c r="AU89" s="863"/>
      <c r="AV89" s="864">
        <f t="shared" ref="AV89:CA89" si="215">AV25/AV$14</f>
        <v>0.21396825396825397</v>
      </c>
      <c r="AW89" s="863">
        <f t="shared" si="215"/>
        <v>0.21550918716910619</v>
      </c>
      <c r="AX89" s="863">
        <f t="shared" si="215"/>
        <v>0.21619135234590617</v>
      </c>
      <c r="AY89" s="863">
        <f t="shared" si="215"/>
        <v>7.8212290502793297E-2</v>
      </c>
      <c r="AZ89" s="863">
        <f t="shared" si="215"/>
        <v>0.18086265960759887</v>
      </c>
      <c r="BA89" s="863">
        <f t="shared" si="215"/>
        <v>8.3385777218376339E-2</v>
      </c>
      <c r="BB89" s="863">
        <f t="shared" si="215"/>
        <v>-1.2940795858945326E-3</v>
      </c>
      <c r="BC89" s="863">
        <f t="shared" si="215"/>
        <v>-6.5585585585585582E-2</v>
      </c>
      <c r="BD89" s="863">
        <f t="shared" si="215"/>
        <v>-0.4369897053603124</v>
      </c>
      <c r="BE89" s="864">
        <f t="shared" si="215"/>
        <v>-9.7125031616221227E-2</v>
      </c>
      <c r="BF89" s="863">
        <f t="shared" si="215"/>
        <v>6.3973063973063973E-2</v>
      </c>
      <c r="BG89" s="863">
        <f t="shared" si="215"/>
        <v>-7.6774505070014487E-2</v>
      </c>
      <c r="BH89" s="863">
        <f t="shared" si="215"/>
        <v>5.3497942386831275E-2</v>
      </c>
      <c r="BI89" s="863">
        <f t="shared" si="215"/>
        <v>-0.51601262967974737</v>
      </c>
      <c r="BJ89" s="864">
        <f t="shared" si="215"/>
        <v>-0.11682295785786917</v>
      </c>
      <c r="BK89" s="863">
        <f t="shared" si="215"/>
        <v>8.3119108826049698E-2</v>
      </c>
      <c r="BL89" s="863">
        <f t="shared" si="215"/>
        <v>6.7048963387737096E-2</v>
      </c>
      <c r="BM89" s="863">
        <f t="shared" si="215"/>
        <v>-8.4095063985374766E-2</v>
      </c>
      <c r="BN89" s="863">
        <f t="shared" si="215"/>
        <v>-6.5350258580159845E-2</v>
      </c>
      <c r="BO89" s="864">
        <f t="shared" si="215"/>
        <v>2.579632122027815E-3</v>
      </c>
      <c r="BP89" s="863">
        <f t="shared" si="215"/>
        <v>8.5237258347978906E-2</v>
      </c>
      <c r="BQ89" s="863">
        <f t="shared" si="215"/>
        <v>-0.25786163522012578</v>
      </c>
      <c r="BR89" s="863">
        <f t="shared" si="215"/>
        <v>5.3061224489795916E-2</v>
      </c>
      <c r="BS89" s="863">
        <f t="shared" si="215"/>
        <v>-9.002433090024331E-2</v>
      </c>
      <c r="BT89" s="864">
        <f t="shared" si="215"/>
        <v>-5.0251256281407038E-2</v>
      </c>
      <c r="BU89" s="863">
        <f t="shared" si="215"/>
        <v>8.7464920486435921E-2</v>
      </c>
      <c r="BV89" s="863">
        <f t="shared" si="215"/>
        <v>7.077515647568608E-2</v>
      </c>
      <c r="BW89" s="863">
        <f t="shared" si="215"/>
        <v>7.8421821724305896E-2</v>
      </c>
      <c r="BX89" s="863">
        <f t="shared" si="215"/>
        <v>5.715635333018422E-2</v>
      </c>
      <c r="BY89" s="864">
        <f t="shared" si="215"/>
        <v>7.3464519976147877E-2</v>
      </c>
      <c r="BZ89" s="863">
        <f t="shared" si="215"/>
        <v>8.3708370837083712E-2</v>
      </c>
      <c r="CA89" s="863">
        <f t="shared" si="215"/>
        <v>7.7832512315270941E-2</v>
      </c>
      <c r="CB89" s="863">
        <f t="shared" ref="CB89:CW89" si="216">CB25/CB$14</f>
        <v>8.0321285140562249E-2</v>
      </c>
      <c r="CC89" s="863">
        <f t="shared" si="216"/>
        <v>9.3149334647609661E-2</v>
      </c>
      <c r="CD89" s="864">
        <f t="shared" si="216"/>
        <v>8.3766469237277888E-2</v>
      </c>
      <c r="CE89" s="863">
        <f t="shared" si="216"/>
        <v>0.12717852096090437</v>
      </c>
      <c r="CF89" s="863">
        <f t="shared" si="216"/>
        <v>0.11445198836081474</v>
      </c>
      <c r="CG89" s="863">
        <f t="shared" si="216"/>
        <v>0.111164813919768</v>
      </c>
      <c r="CH89" s="863">
        <f t="shared" si="216"/>
        <v>8.9423076923076925E-2</v>
      </c>
      <c r="CI89" s="864">
        <f t="shared" si="216"/>
        <v>0.11063114950803936</v>
      </c>
      <c r="CJ89" s="863">
        <f t="shared" si="216"/>
        <v>0.13767441860465116</v>
      </c>
      <c r="CK89" s="863">
        <f t="shared" si="216"/>
        <v>0.12582159624413145</v>
      </c>
      <c r="CL89" s="863">
        <f t="shared" si="216"/>
        <v>9.5421686746987949E-2</v>
      </c>
      <c r="CM89" s="863">
        <f t="shared" si="216"/>
        <v>0.12606635071090047</v>
      </c>
      <c r="CN89" s="864">
        <f t="shared" si="216"/>
        <v>0.12144122858830478</v>
      </c>
      <c r="CO89" s="863">
        <f t="shared" si="216"/>
        <v>0.15644444444444444</v>
      </c>
      <c r="CP89" s="863">
        <f t="shared" si="216"/>
        <v>0.12429643527204502</v>
      </c>
      <c r="CQ89" s="863">
        <f t="shared" si="216"/>
        <v>8.5238095238095238E-2</v>
      </c>
      <c r="CR89" s="863">
        <f t="shared" si="216"/>
        <v>0.11740331491712708</v>
      </c>
      <c r="CS89" s="864">
        <f t="shared" si="216"/>
        <v>0.12144672983591402</v>
      </c>
      <c r="CT89" s="863">
        <f t="shared" si="216"/>
        <v>0.13249348392701998</v>
      </c>
      <c r="CU89" s="863">
        <f t="shared" si="216"/>
        <v>0.12538631346578366</v>
      </c>
      <c r="CV89" s="863">
        <f t="shared" si="216"/>
        <v>0.11841512832057632</v>
      </c>
      <c r="CW89" s="863">
        <f t="shared" si="216"/>
        <v>0.14028314028314029</v>
      </c>
      <c r="CX89" s="864">
        <f t="shared" ref="CX89:DP89" si="217">CX25/CX$14</f>
        <v>0.12929049237855028</v>
      </c>
      <c r="CY89" s="863">
        <f t="shared" si="217"/>
        <v>0.10892333472978634</v>
      </c>
      <c r="CZ89" s="863">
        <f t="shared" si="217"/>
        <v>0.13336085879438481</v>
      </c>
      <c r="DA89" s="863">
        <f t="shared" si="217"/>
        <v>0.11088039867109635</v>
      </c>
      <c r="DB89" s="863">
        <f t="shared" si="217"/>
        <v>9.2149292149292156E-2</v>
      </c>
      <c r="DC89" s="864">
        <f t="shared" si="217"/>
        <v>0.10880922356332193</v>
      </c>
      <c r="DD89" s="863">
        <f t="shared" si="217"/>
        <v>9.2460519612837494E-2</v>
      </c>
      <c r="DE89" s="863">
        <f t="shared" si="217"/>
        <v>0.10291934685799109</v>
      </c>
      <c r="DF89" s="863">
        <f t="shared" si="217"/>
        <v>0.10002392916965781</v>
      </c>
      <c r="DG89" s="863">
        <f t="shared" si="217"/>
        <v>0.12914055505819158</v>
      </c>
      <c r="DH89" s="864">
        <f t="shared" si="217"/>
        <v>0.10677099006921456</v>
      </c>
      <c r="DI89" s="863">
        <f t="shared" si="217"/>
        <v>0.11234177215189874</v>
      </c>
      <c r="DJ89" s="863">
        <f t="shared" si="217"/>
        <v>8.0365093499554757E-2</v>
      </c>
      <c r="DK89" s="863">
        <f t="shared" si="217"/>
        <v>0.10059676044330776</v>
      </c>
      <c r="DL89" s="863">
        <f t="shared" si="217"/>
        <v>0.10405889375248707</v>
      </c>
      <c r="DM89" s="864">
        <f t="shared" si="217"/>
        <v>9.9441880433615973E-2</v>
      </c>
      <c r="DN89" s="863">
        <f t="shared" si="217"/>
        <v>0.11082474226804123</v>
      </c>
      <c r="DO89" s="863">
        <f t="shared" si="217"/>
        <v>9.9013968775677891E-2</v>
      </c>
      <c r="DP89" s="863">
        <f t="shared" si="217"/>
        <v>0.11095071148690451</v>
      </c>
      <c r="DQ89" s="863">
        <f>DQ25/DQ$14</f>
        <v>0.10082304526748971</v>
      </c>
      <c r="DR89" s="864">
        <f t="shared" ref="DR89:DW89" si="218">DR25/DR$14</f>
        <v>0.10544824422812293</v>
      </c>
      <c r="DS89" s="863">
        <f t="shared" si="218"/>
        <v>0.10139206316226886</v>
      </c>
      <c r="DT89" s="863">
        <f t="shared" si="218"/>
        <v>0.11078717201166181</v>
      </c>
      <c r="DU89" s="863">
        <f>DU25/DU$14</f>
        <v>5.8874836458787612E-2</v>
      </c>
      <c r="DV89" s="863">
        <f>DV25/DV$14</f>
        <v>0.1392125351546806</v>
      </c>
      <c r="DW89" s="864">
        <f t="shared" si="218"/>
        <v>0.10339433755670265</v>
      </c>
      <c r="DX89" s="863">
        <f t="shared" ref="DX89:EG89" si="219">DX25/DX$14</f>
        <v>0.13170678813533979</v>
      </c>
      <c r="DY89" s="863">
        <f t="shared" si="219"/>
        <v>0.14247270081281688</v>
      </c>
      <c r="DZ89" s="863">
        <f t="shared" si="219"/>
        <v>0.14687299306025281</v>
      </c>
      <c r="EA89" s="863">
        <f t="shared" si="219"/>
        <v>0.13863636415546318</v>
      </c>
      <c r="EB89" s="864">
        <f t="shared" si="219"/>
        <v>0.13984146073725001</v>
      </c>
      <c r="EC89" s="863">
        <f t="shared" si="219"/>
        <v>0.14150095338158641</v>
      </c>
      <c r="ED89" s="863">
        <f t="shared" si="219"/>
        <v>0.1425092711091972</v>
      </c>
      <c r="EE89" s="863">
        <f t="shared" si="219"/>
        <v>0.14644139907149523</v>
      </c>
      <c r="EF89" s="863">
        <f t="shared" si="219"/>
        <v>0.1416160814950731</v>
      </c>
      <c r="EG89" s="864">
        <f t="shared" si="219"/>
        <v>0.14298660677821881</v>
      </c>
      <c r="EH89" s="863">
        <f t="shared" ref="EH89:EL89" si="220">EH25/EH$14</f>
        <v>0.14286068388808348</v>
      </c>
      <c r="EI89" s="863">
        <f t="shared" si="220"/>
        <v>0.14242288916355231</v>
      </c>
      <c r="EJ89" s="863">
        <f t="shared" si="220"/>
        <v>0.14397006753461164</v>
      </c>
      <c r="EK89" s="863">
        <f t="shared" si="220"/>
        <v>0.13560752134107923</v>
      </c>
      <c r="EL89" s="864">
        <f t="shared" si="220"/>
        <v>0.1411328776127613</v>
      </c>
      <c r="EM89" s="1"/>
      <c r="EN89"/>
      <c r="EO89"/>
      <c r="EP89"/>
      <c r="EQ89"/>
      <c r="ER89"/>
      <c r="ES89" s="7"/>
      <c r="ET89"/>
      <c r="EU89" s="7"/>
      <c r="EV89" s="7"/>
      <c r="EW89" s="7"/>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c r="HF89" s="3"/>
      <c r="HG89" s="3"/>
      <c r="HH89" s="3"/>
      <c r="HI89" s="3"/>
      <c r="HJ89" s="3"/>
      <c r="HK89" s="3"/>
      <c r="HL89" s="3"/>
      <c r="HM89" s="3"/>
      <c r="HN89" s="3"/>
      <c r="HO89" s="3"/>
      <c r="HP89" s="3"/>
      <c r="HQ89" s="3"/>
      <c r="HR89" s="3"/>
      <c r="HS89" s="3"/>
      <c r="HT89" s="3"/>
      <c r="HU89" s="3"/>
      <c r="HV89" s="3"/>
      <c r="HW89" s="3"/>
      <c r="HX89" s="3"/>
      <c r="HY89" s="3"/>
      <c r="HZ89" s="3"/>
      <c r="IA89" s="3"/>
      <c r="IB89" s="3"/>
      <c r="IC89" s="3"/>
      <c r="ID89" s="3"/>
      <c r="IE89" s="3"/>
      <c r="IF89" s="3"/>
      <c r="IG89" s="3"/>
      <c r="IH89" s="3"/>
      <c r="II89" s="3"/>
      <c r="IJ89" s="3"/>
      <c r="IK89" s="3"/>
      <c r="IL89" s="3"/>
      <c r="IM89" s="3"/>
      <c r="IN89" s="3"/>
      <c r="IO89" s="3"/>
      <c r="IP89" s="3"/>
      <c r="IQ89" s="3"/>
      <c r="IR89" s="3"/>
      <c r="IS89" s="3"/>
      <c r="IT89" s="3"/>
      <c r="IU89" s="3"/>
      <c r="IV89" s="3"/>
      <c r="IW89" s="3"/>
      <c r="IX89" s="3"/>
      <c r="IY89" s="3"/>
      <c r="IZ89" s="3"/>
      <c r="JA89" s="3"/>
      <c r="JB89" s="3"/>
      <c r="JC89" s="3"/>
      <c r="JD89" s="3"/>
      <c r="JE89" s="3"/>
      <c r="JF89" s="3"/>
      <c r="JG89" s="3"/>
      <c r="JH89" s="3"/>
      <c r="JI89" s="3"/>
      <c r="JJ89" s="3"/>
      <c r="JK89" s="3"/>
    </row>
    <row r="90" spans="1:271" s="11" customFormat="1">
      <c r="A90" s="860"/>
      <c r="B90" s="861" t="s">
        <v>346</v>
      </c>
      <c r="C90" s="862"/>
      <c r="D90" s="863">
        <f t="shared" ref="D90:AT90" si="221">+D87</f>
        <v>0.18509885567298046</v>
      </c>
      <c r="E90" s="863">
        <f t="shared" si="221"/>
        <v>0.19098309329993735</v>
      </c>
      <c r="F90" s="863">
        <f t="shared" si="221"/>
        <v>0.1912187736563209</v>
      </c>
      <c r="G90" s="863">
        <f t="shared" si="221"/>
        <v>0.1858665870127188</v>
      </c>
      <c r="H90" s="864">
        <f t="shared" si="221"/>
        <v>0.18776371308016879</v>
      </c>
      <c r="I90" s="863">
        <f t="shared" si="221"/>
        <v>0.19791261001635641</v>
      </c>
      <c r="J90" s="863">
        <f t="shared" si="221"/>
        <v>0.19972280983295645</v>
      </c>
      <c r="K90" s="863">
        <f t="shared" si="221"/>
        <v>0.19526503247433488</v>
      </c>
      <c r="L90" s="863">
        <f t="shared" si="221"/>
        <v>0.1979895401752359</v>
      </c>
      <c r="M90" s="864">
        <f t="shared" si="221"/>
        <v>0.19769742759489117</v>
      </c>
      <c r="N90" s="863">
        <f t="shared" si="221"/>
        <v>0.19651049631586257</v>
      </c>
      <c r="O90" s="863">
        <f t="shared" si="221"/>
        <v>0.19761533771424694</v>
      </c>
      <c r="P90" s="863">
        <f t="shared" si="221"/>
        <v>0.18400464929143012</v>
      </c>
      <c r="Q90" s="863">
        <f t="shared" si="221"/>
        <v>0.17262812906142266</v>
      </c>
      <c r="R90" s="864">
        <f t="shared" si="221"/>
        <v>0.18375330801979048</v>
      </c>
      <c r="S90" s="863">
        <f t="shared" si="221"/>
        <v>0.17589017589017589</v>
      </c>
      <c r="T90" s="863">
        <f t="shared" si="221"/>
        <v>0.18279127212844792</v>
      </c>
      <c r="U90" s="863">
        <f t="shared" si="221"/>
        <v>0.18642745709828393</v>
      </c>
      <c r="V90" s="863">
        <f t="shared" si="221"/>
        <v>0.1855309218203034</v>
      </c>
      <c r="W90" s="864">
        <f t="shared" si="221"/>
        <v>0.18281960586154625</v>
      </c>
      <c r="X90" s="863">
        <f t="shared" si="221"/>
        <v>0.18213866039952997</v>
      </c>
      <c r="Y90" s="863">
        <f t="shared" si="221"/>
        <v>0.17596566523605151</v>
      </c>
      <c r="Z90" s="863">
        <f t="shared" si="221"/>
        <v>0.16229624379872432</v>
      </c>
      <c r="AA90" s="863">
        <f t="shared" si="221"/>
        <v>0.16451393609789258</v>
      </c>
      <c r="AB90" s="864">
        <f t="shared" si="221"/>
        <v>0.17077205882352942</v>
      </c>
      <c r="AC90" s="863">
        <f t="shared" si="221"/>
        <v>0.15906717716672467</v>
      </c>
      <c r="AD90" s="863">
        <f t="shared" si="221"/>
        <v>0.16870503597122302</v>
      </c>
      <c r="AE90" s="863">
        <f t="shared" si="221"/>
        <v>0.17543859649122806</v>
      </c>
      <c r="AF90" s="863">
        <f t="shared" si="221"/>
        <v>0.17485400206114737</v>
      </c>
      <c r="AG90" s="864">
        <f t="shared" si="221"/>
        <v>0.16952864902751008</v>
      </c>
      <c r="AH90" s="863">
        <f t="shared" si="221"/>
        <v>0.17870722433460076</v>
      </c>
      <c r="AI90" s="863">
        <f t="shared" si="221"/>
        <v>0.18421955403087478</v>
      </c>
      <c r="AJ90" s="863">
        <f t="shared" si="221"/>
        <v>0.19038208168642951</v>
      </c>
      <c r="AK90" s="863">
        <f t="shared" si="221"/>
        <v>0.19071361794951699</v>
      </c>
      <c r="AL90" s="864">
        <f t="shared" si="221"/>
        <v>0.18617771509167841</v>
      </c>
      <c r="AM90" s="863">
        <f t="shared" si="221"/>
        <v>0.18986957840461025</v>
      </c>
      <c r="AN90" s="863">
        <f t="shared" si="221"/>
        <v>0.19976428992339423</v>
      </c>
      <c r="AO90" s="863">
        <f t="shared" si="221"/>
        <v>0.20694603903559128</v>
      </c>
      <c r="AP90" s="863">
        <f t="shared" si="221"/>
        <v>0.20652755484216159</v>
      </c>
      <c r="AQ90" s="864">
        <f t="shared" si="221"/>
        <v>0.20103500323438511</v>
      </c>
      <c r="AR90" s="863">
        <f t="shared" si="221"/>
        <v>0.20415879017013233</v>
      </c>
      <c r="AS90" s="863">
        <f t="shared" si="221"/>
        <v>0.20513499205929062</v>
      </c>
      <c r="AT90" s="863">
        <f t="shared" si="221"/>
        <v>0.13971785132935433</v>
      </c>
      <c r="AU90" s="863"/>
      <c r="AV90" s="864">
        <f t="shared" ref="AV90:CA90" si="222">+AV87</f>
        <v>0.19970370370370372</v>
      </c>
      <c r="AW90" s="863">
        <f t="shared" si="222"/>
        <v>0.20174927113702623</v>
      </c>
      <c r="AX90" s="863">
        <f t="shared" si="222"/>
        <v>0.20022720817949446</v>
      </c>
      <c r="AY90" s="863">
        <f t="shared" si="222"/>
        <v>0.16261093615803035</v>
      </c>
      <c r="AZ90" s="863">
        <f t="shared" si="222"/>
        <v>0.19096895578551271</v>
      </c>
      <c r="BA90" s="863">
        <f t="shared" si="222"/>
        <v>0.13528389339513325</v>
      </c>
      <c r="BB90" s="863">
        <f t="shared" si="222"/>
        <v>0.10032554010062149</v>
      </c>
      <c r="BC90" s="863">
        <f t="shared" si="222"/>
        <v>2.4264482863208977E-2</v>
      </c>
      <c r="BD90" s="863">
        <f t="shared" si="222"/>
        <v>5.3756680289217228E-2</v>
      </c>
      <c r="BE90" s="864">
        <f t="shared" si="222"/>
        <v>7.9419941393042301E-2</v>
      </c>
      <c r="BF90" s="863">
        <f t="shared" si="222"/>
        <v>8.3177219932559013E-2</v>
      </c>
      <c r="BG90" s="863">
        <f t="shared" si="222"/>
        <v>-4.1634241245136185E-2</v>
      </c>
      <c r="BH90" s="863">
        <f t="shared" si="222"/>
        <v>5.2868852459016395E-2</v>
      </c>
      <c r="BI90" s="863">
        <f t="shared" si="222"/>
        <v>5.8457711442786067E-2</v>
      </c>
      <c r="BJ90" s="864">
        <f t="shared" si="222"/>
        <v>3.815280943414924E-2</v>
      </c>
      <c r="BK90" s="863">
        <f t="shared" si="222"/>
        <v>9.0363854458216708E-2</v>
      </c>
      <c r="BL90" s="863">
        <f t="shared" si="222"/>
        <v>6.5702479338842976E-2</v>
      </c>
      <c r="BM90" s="863">
        <f t="shared" si="222"/>
        <v>3.7176274018379279E-2</v>
      </c>
      <c r="BN90" s="863">
        <f t="shared" si="222"/>
        <v>4.219225750326229E-2</v>
      </c>
      <c r="BO90" s="864">
        <f t="shared" si="222"/>
        <v>5.9392552527563966E-2</v>
      </c>
      <c r="BP90" s="863">
        <f t="shared" si="222"/>
        <v>8.9478044739022364E-2</v>
      </c>
      <c r="BQ90" s="863">
        <f t="shared" si="222"/>
        <v>9.5216400911161736E-2</v>
      </c>
      <c r="BR90" s="863">
        <f t="shared" si="222"/>
        <v>5.1015588096362779E-2</v>
      </c>
      <c r="BS90" s="863">
        <f t="shared" si="222"/>
        <v>7.0215695273061041E-2</v>
      </c>
      <c r="BT90" s="864">
        <f t="shared" si="222"/>
        <v>7.7035373385738348E-2</v>
      </c>
      <c r="BU90" s="863">
        <f t="shared" si="222"/>
        <v>8.2931110136024569E-2</v>
      </c>
      <c r="BV90" s="863">
        <f t="shared" si="222"/>
        <v>7.0017953321364457E-2</v>
      </c>
      <c r="BW90" s="863">
        <f t="shared" si="222"/>
        <v>8.0018083182640143E-2</v>
      </c>
      <c r="BX90" s="863">
        <f t="shared" si="222"/>
        <v>7.3745002221235006E-2</v>
      </c>
      <c r="BY90" s="864">
        <f t="shared" si="222"/>
        <v>7.6700111482720185E-2</v>
      </c>
      <c r="BZ90" s="863">
        <f t="shared" si="222"/>
        <v>9.8692534795444958E-2</v>
      </c>
      <c r="CA90" s="863">
        <f t="shared" si="222"/>
        <v>7.4633699633699632E-2</v>
      </c>
      <c r="CB90" s="863">
        <f t="shared" ref="CB90:DH90" si="223">+CB87</f>
        <v>7.2289156626506021E-2</v>
      </c>
      <c r="CC90" s="863">
        <f t="shared" si="223"/>
        <v>9.066059225512528E-2</v>
      </c>
      <c r="CD90" s="864">
        <f t="shared" si="223"/>
        <v>8.4418500224517287E-2</v>
      </c>
      <c r="CE90" s="863">
        <f t="shared" si="223"/>
        <v>0.12110574813514699</v>
      </c>
      <c r="CF90" s="863">
        <f t="shared" si="223"/>
        <v>0.11036339165545088</v>
      </c>
      <c r="CG90" s="863">
        <f t="shared" si="223"/>
        <v>0.10610079575596817</v>
      </c>
      <c r="CH90" s="863">
        <f t="shared" si="223"/>
        <v>9.6417514374170718E-2</v>
      </c>
      <c r="CI90" s="864">
        <f t="shared" si="223"/>
        <v>0.10851511460524858</v>
      </c>
      <c r="CJ90" s="863">
        <f t="shared" si="223"/>
        <v>0.12740487387772553</v>
      </c>
      <c r="CK90" s="863">
        <f t="shared" si="223"/>
        <v>0.11636995223621363</v>
      </c>
      <c r="CL90" s="863">
        <f t="shared" si="223"/>
        <v>8.9743589743589744E-2</v>
      </c>
      <c r="CM90" s="863">
        <f t="shared" si="223"/>
        <v>0.12212081703607128</v>
      </c>
      <c r="CN90" s="864">
        <f t="shared" si="223"/>
        <v>0.11406844106463879</v>
      </c>
      <c r="CO90" s="863">
        <f t="shared" si="223"/>
        <v>0.15273775216138327</v>
      </c>
      <c r="CP90" s="863">
        <f t="shared" si="223"/>
        <v>0.11956521739130435</v>
      </c>
      <c r="CQ90" s="863">
        <f t="shared" si="223"/>
        <v>8.3879423328964614E-2</v>
      </c>
      <c r="CR90" s="863">
        <f t="shared" si="223"/>
        <v>0.12239694007649808</v>
      </c>
      <c r="CS90" s="864">
        <f t="shared" si="223"/>
        <v>0.12015793405186213</v>
      </c>
      <c r="CT90" s="863">
        <f t="shared" si="223"/>
        <v>0.12444801284624649</v>
      </c>
      <c r="CU90" s="863">
        <f t="shared" si="223"/>
        <v>0.11731160896130347</v>
      </c>
      <c r="CV90" s="863">
        <f t="shared" si="223"/>
        <v>0.11083642356819118</v>
      </c>
      <c r="CW90" s="863">
        <f t="shared" si="223"/>
        <v>0.13275385223231925</v>
      </c>
      <c r="CX90" s="864">
        <f t="shared" si="223"/>
        <v>0.13192235990788465</v>
      </c>
      <c r="CY90" s="863">
        <f t="shared" si="223"/>
        <v>0.11478843736908254</v>
      </c>
      <c r="CZ90" s="863">
        <f t="shared" si="223"/>
        <v>0.13872832369942195</v>
      </c>
      <c r="DA90" s="863">
        <f t="shared" si="223"/>
        <v>0.11960132890365449</v>
      </c>
      <c r="DB90" s="863">
        <f t="shared" si="223"/>
        <v>0.11428571428571428</v>
      </c>
      <c r="DC90" s="864">
        <f t="shared" si="223"/>
        <v>0.12087912087912088</v>
      </c>
      <c r="DD90" s="863">
        <f t="shared" si="223"/>
        <v>9.8573611818644935E-2</v>
      </c>
      <c r="DE90" s="863">
        <f t="shared" si="223"/>
        <v>0.11380504700643246</v>
      </c>
      <c r="DF90" s="863">
        <f t="shared" si="223"/>
        <v>0.10983488872936109</v>
      </c>
      <c r="DG90" s="863">
        <f t="shared" si="223"/>
        <v>0.14458370635631154</v>
      </c>
      <c r="DH90" s="864">
        <f t="shared" si="223"/>
        <v>0.11748420102317184</v>
      </c>
      <c r="DI90" s="863">
        <f t="shared" ref="DI90:DP90" si="224">+DI87</f>
        <v>0.1195750452079566</v>
      </c>
      <c r="DJ90" s="863">
        <f t="shared" si="224"/>
        <v>0.12644701691896706</v>
      </c>
      <c r="DK90" s="863">
        <f>+DK87</f>
        <v>0.1206308610400682</v>
      </c>
      <c r="DL90" s="863">
        <f t="shared" si="224"/>
        <v>0.15897333863907681</v>
      </c>
      <c r="DM90" s="864">
        <f>+DM87</f>
        <v>0.1321240742728346</v>
      </c>
      <c r="DN90" s="863">
        <f t="shared" si="224"/>
        <v>0.12153053132434576</v>
      </c>
      <c r="DO90" s="863">
        <f t="shared" si="224"/>
        <v>0.12674609695973707</v>
      </c>
      <c r="DP90" s="863">
        <f t="shared" si="224"/>
        <v>0.11755001031140441</v>
      </c>
      <c r="DQ90" s="863">
        <f t="shared" ref="DQ90:EG90" si="225">+DQ87</f>
        <v>0.12613168724279836</v>
      </c>
      <c r="DR90" s="864">
        <f t="shared" si="225"/>
        <v>0.13067631619183528</v>
      </c>
      <c r="DS90" s="863">
        <f t="shared" si="225"/>
        <v>0.10949511739040099</v>
      </c>
      <c r="DT90" s="863">
        <f t="shared" si="225"/>
        <v>0.11870054144106622</v>
      </c>
      <c r="DU90" s="863">
        <f t="shared" si="225"/>
        <v>0.1105538595726123</v>
      </c>
      <c r="DV90" s="863">
        <f t="shared" ref="DV90" si="226">+DV87</f>
        <v>0.16874246685415831</v>
      </c>
      <c r="DW90" s="864">
        <f t="shared" si="225"/>
        <v>0.12743104437144795</v>
      </c>
      <c r="DX90" s="863">
        <f t="shared" si="225"/>
        <v>0.13170678813533979</v>
      </c>
      <c r="DY90" s="863">
        <f t="shared" si="225"/>
        <v>0.14247270081281688</v>
      </c>
      <c r="DZ90" s="863">
        <f t="shared" si="225"/>
        <v>0.14687299306025281</v>
      </c>
      <c r="EA90" s="863">
        <f t="shared" si="225"/>
        <v>0.13863636415546318</v>
      </c>
      <c r="EB90" s="864">
        <f t="shared" si="225"/>
        <v>0.13984146073724996</v>
      </c>
      <c r="EC90" s="863">
        <f t="shared" si="225"/>
        <v>0.14150095338158641</v>
      </c>
      <c r="ED90" s="863">
        <f t="shared" si="225"/>
        <v>0.1425092711091972</v>
      </c>
      <c r="EE90" s="863">
        <f t="shared" si="225"/>
        <v>0.14644139907149523</v>
      </c>
      <c r="EF90" s="863">
        <f t="shared" si="225"/>
        <v>0.1416160814950731</v>
      </c>
      <c r="EG90" s="864">
        <f t="shared" si="225"/>
        <v>0.14298660677821876</v>
      </c>
      <c r="EH90" s="863">
        <f t="shared" ref="EH90:EL90" si="227">+EH87</f>
        <v>0.14286068388808348</v>
      </c>
      <c r="EI90" s="863">
        <f t="shared" si="227"/>
        <v>0.14242288916355231</v>
      </c>
      <c r="EJ90" s="863">
        <f t="shared" si="227"/>
        <v>0.14397006753461164</v>
      </c>
      <c r="EK90" s="863">
        <f t="shared" si="227"/>
        <v>0.13560752134107923</v>
      </c>
      <c r="EL90" s="864">
        <f t="shared" si="227"/>
        <v>0.14113287761276122</v>
      </c>
      <c r="EM90" s="1"/>
      <c r="EN90"/>
      <c r="EO90"/>
      <c r="EP90"/>
      <c r="EQ90"/>
      <c r="ER90"/>
      <c r="ES90" s="7"/>
      <c r="ET90"/>
      <c r="EU90" s="7"/>
      <c r="EV90" s="7"/>
      <c r="EW90" s="7"/>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c r="HF90" s="3"/>
      <c r="HG90" s="3"/>
      <c r="HH90" s="3"/>
      <c r="HI90" s="3"/>
      <c r="HJ90" s="3"/>
      <c r="HK90" s="3"/>
      <c r="HL90" s="3"/>
      <c r="HM90" s="3"/>
      <c r="HN90" s="3"/>
      <c r="HO90" s="3"/>
      <c r="HP90" s="3"/>
      <c r="HQ90" s="3"/>
      <c r="HR90" s="3"/>
      <c r="HS90" s="3"/>
      <c r="HT90" s="3"/>
      <c r="HU90" s="3"/>
      <c r="HV90" s="3"/>
      <c r="HW90" s="3"/>
      <c r="HX90" s="3"/>
      <c r="HY90" s="3"/>
      <c r="HZ90" s="3"/>
      <c r="IA90" s="3"/>
      <c r="IB90" s="3"/>
      <c r="IC90" s="3"/>
      <c r="ID90" s="3"/>
      <c r="IE90" s="3"/>
      <c r="IF90" s="3"/>
      <c r="IG90" s="3"/>
      <c r="IH90" s="3"/>
      <c r="II90" s="3"/>
      <c r="IJ90" s="3"/>
      <c r="IK90" s="3"/>
      <c r="IL90" s="3"/>
      <c r="IM90" s="3"/>
      <c r="IN90" s="3"/>
      <c r="IO90" s="3"/>
      <c r="IP90" s="3"/>
      <c r="IQ90" s="3"/>
      <c r="IR90" s="3"/>
      <c r="IS90" s="3"/>
      <c r="IT90" s="3"/>
      <c r="IU90" s="3"/>
      <c r="IV90" s="3"/>
      <c r="IW90" s="3"/>
      <c r="IX90" s="3"/>
      <c r="IY90" s="3"/>
      <c r="IZ90" s="3"/>
      <c r="JA90" s="3"/>
      <c r="JB90" s="3"/>
      <c r="JC90" s="3"/>
      <c r="JD90" s="3"/>
      <c r="JE90" s="3"/>
      <c r="JF90" s="3"/>
      <c r="JG90" s="3"/>
      <c r="JH90" s="3"/>
      <c r="JI90" s="3"/>
      <c r="JJ90" s="3"/>
      <c r="JK90" s="3"/>
    </row>
    <row r="91" spans="1:271" s="11" customFormat="1">
      <c r="A91" s="860"/>
      <c r="B91" s="861" t="s">
        <v>381</v>
      </c>
      <c r="C91" s="862"/>
      <c r="D91" s="863">
        <f t="shared" ref="D91:AT91" si="228">+D27/D$14</f>
        <v>0.13328977663581051</v>
      </c>
      <c r="E91" s="863">
        <f t="shared" si="228"/>
        <v>0.13719462870085744</v>
      </c>
      <c r="F91" s="863">
        <f t="shared" si="228"/>
        <v>0.13894110275689217</v>
      </c>
      <c r="G91" s="863">
        <f t="shared" si="228"/>
        <v>0.1029925872546751</v>
      </c>
      <c r="H91" s="864">
        <f t="shared" si="228"/>
        <v>0.12291732159698208</v>
      </c>
      <c r="I91" s="863">
        <f t="shared" si="228"/>
        <v>0.14293933914187079</v>
      </c>
      <c r="J91" s="863">
        <f t="shared" si="228"/>
        <v>0.14701813710421149</v>
      </c>
      <c r="K91" s="863">
        <f t="shared" si="228"/>
        <v>0.14838235294117658</v>
      </c>
      <c r="L91" s="863">
        <f t="shared" si="228"/>
        <v>8.9850488786658841E-2</v>
      </c>
      <c r="M91" s="864">
        <f t="shared" si="228"/>
        <v>0.13133421901689124</v>
      </c>
      <c r="N91" s="863">
        <f t="shared" si="228"/>
        <v>0.14559049923026163</v>
      </c>
      <c r="O91" s="863">
        <f t="shared" si="228"/>
        <v>0.14755975382853864</v>
      </c>
      <c r="P91" s="863">
        <f t="shared" si="228"/>
        <v>1.4795144157814912E-2</v>
      </c>
      <c r="Q91" s="863">
        <f t="shared" si="228"/>
        <v>-6.6131601887758689E-3</v>
      </c>
      <c r="R91" s="864">
        <f t="shared" si="228"/>
        <v>5.0506282786385262E-2</v>
      </c>
      <c r="S91" s="863">
        <f t="shared" si="228"/>
        <v>0.1397159871736143</v>
      </c>
      <c r="T91" s="863">
        <f t="shared" si="228"/>
        <v>0.14391626689925863</v>
      </c>
      <c r="U91" s="863">
        <f t="shared" si="228"/>
        <v>0.14868804664723032</v>
      </c>
      <c r="V91" s="863">
        <f t="shared" si="228"/>
        <v>5.5967078189300412E-2</v>
      </c>
      <c r="W91" s="864">
        <f t="shared" si="228"/>
        <v>0.12119909745352959</v>
      </c>
      <c r="X91" s="863">
        <f t="shared" si="228"/>
        <v>0.14118629908103592</v>
      </c>
      <c r="Y91" s="863">
        <f t="shared" si="228"/>
        <v>0.13324926439680537</v>
      </c>
      <c r="Z91" s="863">
        <f t="shared" si="228"/>
        <v>0.12006079027355623</v>
      </c>
      <c r="AA91" s="863">
        <f t="shared" si="228"/>
        <v>-1.171303074670571E-2</v>
      </c>
      <c r="AB91" s="864">
        <f t="shared" si="228"/>
        <v>9.2630955904113646E-2</v>
      </c>
      <c r="AC91" s="863">
        <f t="shared" si="228"/>
        <v>0.12188679245283018</v>
      </c>
      <c r="AD91" s="863">
        <f t="shared" si="228"/>
        <v>0.13112840466926071</v>
      </c>
      <c r="AE91" s="863">
        <f t="shared" si="228"/>
        <v>5.1213960546282244E-2</v>
      </c>
      <c r="AF91" s="863">
        <f t="shared" si="228"/>
        <v>9.3091983745844112E-2</v>
      </c>
      <c r="AG91" s="864">
        <f t="shared" si="228"/>
        <v>9.9119568304458963E-2</v>
      </c>
      <c r="AH91" s="863">
        <f t="shared" si="228"/>
        <v>0.1417910447761194</v>
      </c>
      <c r="AI91" s="863">
        <f t="shared" si="228"/>
        <v>0.14802510151347362</v>
      </c>
      <c r="AJ91" s="863">
        <f t="shared" si="228"/>
        <v>0.15583954561590344</v>
      </c>
      <c r="AK91" s="863">
        <f t="shared" si="228"/>
        <v>0.10907271514342895</v>
      </c>
      <c r="AL91" s="864">
        <f t="shared" si="228"/>
        <v>0.13807568725455194</v>
      </c>
      <c r="AM91" s="863">
        <f t="shared" si="228"/>
        <v>0.15634218289085547</v>
      </c>
      <c r="AN91" s="863">
        <f t="shared" si="228"/>
        <v>0.13647959183673469</v>
      </c>
      <c r="AO91" s="863">
        <f t="shared" si="228"/>
        <v>0.17456896551724138</v>
      </c>
      <c r="AP91" s="863">
        <f t="shared" si="228"/>
        <v>0.17812142038946163</v>
      </c>
      <c r="AQ91" s="864">
        <f t="shared" si="228"/>
        <v>0.16198653980041772</v>
      </c>
      <c r="AR91" s="863">
        <f t="shared" si="228"/>
        <v>0.18330414477524809</v>
      </c>
      <c r="AS91" s="863">
        <f t="shared" si="228"/>
        <v>0.16661887008890164</v>
      </c>
      <c r="AT91" s="863">
        <f t="shared" si="228"/>
        <v>-5.6179775280898875E-3</v>
      </c>
      <c r="AU91" s="863"/>
      <c r="AV91" s="864">
        <f t="shared" ref="AV91:CA91" si="229">+AV27/AV$14</f>
        <v>0.16825396825396827</v>
      </c>
      <c r="AW91" s="863">
        <f t="shared" si="229"/>
        <v>0.17408906882591094</v>
      </c>
      <c r="AX91" s="863">
        <f t="shared" si="229"/>
        <v>0.17939282428702852</v>
      </c>
      <c r="AY91" s="863">
        <f t="shared" si="229"/>
        <v>4.0657976412166355E-2</v>
      </c>
      <c r="AZ91" s="863">
        <f t="shared" si="229"/>
        <v>0.14053254437869822</v>
      </c>
      <c r="BA91" s="863">
        <f t="shared" si="229"/>
        <v>4.5940843297671494E-2</v>
      </c>
      <c r="BB91" s="863">
        <f t="shared" si="229"/>
        <v>-4.0116467162730506E-2</v>
      </c>
      <c r="BC91" s="863">
        <f t="shared" si="229"/>
        <v>-0.10594594594594595</v>
      </c>
      <c r="BD91" s="863">
        <f t="shared" si="229"/>
        <v>-0.4774582889598864</v>
      </c>
      <c r="BE91" s="864">
        <f t="shared" si="229"/>
        <v>-0.13632914594047718</v>
      </c>
      <c r="BF91" s="863">
        <f t="shared" si="229"/>
        <v>2.3569023569023569E-2</v>
      </c>
      <c r="BG91" s="863">
        <f t="shared" si="229"/>
        <v>-0.12264606470304201</v>
      </c>
      <c r="BH91" s="863">
        <f t="shared" si="229"/>
        <v>8.23045267489712E-3</v>
      </c>
      <c r="BI91" s="863">
        <f t="shared" si="229"/>
        <v>-0.56111862877762742</v>
      </c>
      <c r="BJ91" s="864">
        <f t="shared" si="229"/>
        <v>-0.16088577561857417</v>
      </c>
      <c r="BK91" s="863">
        <f t="shared" si="229"/>
        <v>4.1988003427592117E-2</v>
      </c>
      <c r="BL91" s="863">
        <f t="shared" si="229"/>
        <v>2.646669607410675E-2</v>
      </c>
      <c r="BM91" s="863">
        <f t="shared" si="229"/>
        <v>-0.13208409506398539</v>
      </c>
      <c r="BN91" s="863">
        <f t="shared" si="229"/>
        <v>-0.10719322990126939</v>
      </c>
      <c r="BO91" s="864">
        <f t="shared" si="229"/>
        <v>-4.0264692687303726E-2</v>
      </c>
      <c r="BP91" s="863">
        <f t="shared" si="229"/>
        <v>4.5694200351493852E-2</v>
      </c>
      <c r="BQ91" s="863">
        <f t="shared" si="229"/>
        <v>-0.29753265602322204</v>
      </c>
      <c r="BR91" s="863">
        <f t="shared" si="229"/>
        <v>1.0714285714285714E-2</v>
      </c>
      <c r="BS91" s="863">
        <f t="shared" si="229"/>
        <v>-0.13625304136253041</v>
      </c>
      <c r="BT91" s="864">
        <f t="shared" si="229"/>
        <v>-9.212730318257957E-2</v>
      </c>
      <c r="BU91" s="863">
        <f t="shared" si="229"/>
        <v>4.5837231057062673E-2</v>
      </c>
      <c r="BV91" s="863">
        <f t="shared" si="229"/>
        <v>2.7924891670678863E-2</v>
      </c>
      <c r="BW91" s="863">
        <f t="shared" si="229"/>
        <v>3.4096444227959086E-2</v>
      </c>
      <c r="BX91" s="863">
        <f t="shared" si="229"/>
        <v>1.3226263580538498E-2</v>
      </c>
      <c r="BY91" s="864">
        <f t="shared" si="229"/>
        <v>3.0292188431723314E-2</v>
      </c>
      <c r="BZ91" s="863">
        <f t="shared" si="229"/>
        <v>4.0954095409540953E-2</v>
      </c>
      <c r="CA91" s="863">
        <f t="shared" si="229"/>
        <v>3.1034482758620689E-2</v>
      </c>
      <c r="CB91" s="863">
        <f t="shared" ref="CB91:DG91" si="230">+CB27/CB$14</f>
        <v>3.313253012048193E-2</v>
      </c>
      <c r="CC91" s="863">
        <f t="shared" si="230"/>
        <v>4.5835386890093643E-2</v>
      </c>
      <c r="CD91" s="864">
        <f t="shared" si="230"/>
        <v>3.7833917563157259E-2</v>
      </c>
      <c r="CE91" s="863">
        <f t="shared" si="230"/>
        <v>8.1488459726801701E-2</v>
      </c>
      <c r="CF91" s="863">
        <f t="shared" si="230"/>
        <v>6.6925315227934046E-2</v>
      </c>
      <c r="CG91" s="863">
        <f t="shared" si="230"/>
        <v>6.4282261962300621E-2</v>
      </c>
      <c r="CH91" s="863">
        <f t="shared" si="230"/>
        <v>4.3749999999999997E-2</v>
      </c>
      <c r="CI91" s="864">
        <f t="shared" si="230"/>
        <v>6.4194864410847138E-2</v>
      </c>
      <c r="CJ91" s="863">
        <f t="shared" si="230"/>
        <v>9.3488372093023256E-2</v>
      </c>
      <c r="CK91" s="863">
        <f t="shared" si="230"/>
        <v>8.0281690140845074E-2</v>
      </c>
      <c r="CL91" s="863">
        <f t="shared" si="230"/>
        <v>4.6746987951807227E-2</v>
      </c>
      <c r="CM91" s="863">
        <f t="shared" si="230"/>
        <v>7.8199052132701424E-2</v>
      </c>
      <c r="CN91" s="864">
        <f t="shared" si="230"/>
        <v>7.4896633195510931E-2</v>
      </c>
      <c r="CO91" s="863">
        <f t="shared" si="230"/>
        <v>0.11288888888888889</v>
      </c>
      <c r="CP91" s="863">
        <f t="shared" si="230"/>
        <v>7.7392120075046908E-2</v>
      </c>
      <c r="CQ91" s="863">
        <f t="shared" si="230"/>
        <v>3.7619047619047621E-2</v>
      </c>
      <c r="CR91" s="863">
        <f t="shared" si="230"/>
        <v>7.1362799263351748E-2</v>
      </c>
      <c r="CS91" s="864">
        <f t="shared" si="230"/>
        <v>7.5456436330020804E-2</v>
      </c>
      <c r="CT91" s="863">
        <f t="shared" si="230"/>
        <v>8.905299739357081E-2</v>
      </c>
      <c r="CU91" s="863">
        <f t="shared" si="230"/>
        <v>7.9470198675496692E-2</v>
      </c>
      <c r="CV91" s="863">
        <f t="shared" si="230"/>
        <v>6.8887888338586223E-2</v>
      </c>
      <c r="CW91" s="863">
        <f t="shared" si="230"/>
        <v>9.0519090519090517E-2</v>
      </c>
      <c r="CX91" s="864">
        <f t="shared" si="230"/>
        <v>8.2136199144643054E-2</v>
      </c>
      <c r="CY91" s="863">
        <f t="shared" si="230"/>
        <v>6.1164641809803098E-2</v>
      </c>
      <c r="CZ91" s="863">
        <f t="shared" si="230"/>
        <v>8.3402146985962017E-2</v>
      </c>
      <c r="DA91" s="863">
        <f t="shared" si="230"/>
        <v>6.1461794019933555E-2</v>
      </c>
      <c r="DB91" s="863">
        <f t="shared" si="230"/>
        <v>4.2985842985842987E-2</v>
      </c>
      <c r="DC91" s="864">
        <f t="shared" si="230"/>
        <v>5.9718969555035126E-2</v>
      </c>
      <c r="DD91" s="863">
        <f t="shared" si="230"/>
        <v>4.3301069791136015E-2</v>
      </c>
      <c r="DE91" s="863">
        <f t="shared" si="230"/>
        <v>5.1212271152894603E-2</v>
      </c>
      <c r="DF91" s="863">
        <f t="shared" si="230"/>
        <v>5.0490547977985162E-2</v>
      </c>
      <c r="DG91" s="863">
        <f t="shared" si="230"/>
        <v>7.5425246195165621E-2</v>
      </c>
      <c r="DH91" s="864">
        <f t="shared" ref="DH91:DW91" si="231">+DH27/DH$14</f>
        <v>5.5672585013541977E-2</v>
      </c>
      <c r="DI91" s="863">
        <f t="shared" si="231"/>
        <v>6.5551537070524413E-2</v>
      </c>
      <c r="DJ91" s="863">
        <f t="shared" si="231"/>
        <v>3.6509349955476403E-2</v>
      </c>
      <c r="DK91" s="863">
        <f t="shared" si="231"/>
        <v>6.1167945439045183E-2</v>
      </c>
      <c r="DL91" s="863">
        <f t="shared" si="231"/>
        <v>6.2674094707520889E-2</v>
      </c>
      <c r="DM91" s="864">
        <f t="shared" si="231"/>
        <v>5.667060212514758E-2</v>
      </c>
      <c r="DN91" s="863">
        <f t="shared" si="231"/>
        <v>6.8794607454401274E-2</v>
      </c>
      <c r="DO91" s="863">
        <f t="shared" si="231"/>
        <v>5.4847986852917009E-2</v>
      </c>
      <c r="DP91" s="863">
        <f t="shared" si="231"/>
        <v>6.8673953392452053E-2</v>
      </c>
      <c r="DQ91" s="863">
        <f>+DQ27/DQ$14</f>
        <v>5.5967078189300412E-2</v>
      </c>
      <c r="DR91" s="864">
        <f t="shared" si="231"/>
        <v>6.2127312573263344E-2</v>
      </c>
      <c r="DS91" s="863">
        <f>+DS27/DS$14</f>
        <v>5.5474755869520047E-2</v>
      </c>
      <c r="DT91" s="863">
        <f t="shared" si="231"/>
        <v>6.4556434818825489E-2</v>
      </c>
      <c r="DU91" s="863">
        <f>+DU27/DU$14</f>
        <v>1.1120802442215439E-2</v>
      </c>
      <c r="DV91" s="863">
        <f>+DV27/DV$14</f>
        <v>9.7428686219365207E-2</v>
      </c>
      <c r="DW91" s="864">
        <f t="shared" si="231"/>
        <v>5.8032222743625843E-2</v>
      </c>
      <c r="DX91" s="863">
        <f t="shared" ref="DX91:EG91" si="232">+DX27/DX$14</f>
        <v>8.7706788135339803E-2</v>
      </c>
      <c r="DY91" s="863">
        <f t="shared" si="232"/>
        <v>9.8472700812816893E-2</v>
      </c>
      <c r="DZ91" s="863">
        <f t="shared" si="232"/>
        <v>0.10287299306025281</v>
      </c>
      <c r="EA91" s="863">
        <f t="shared" si="232"/>
        <v>9.4636364155463185E-2</v>
      </c>
      <c r="EB91" s="864">
        <f t="shared" si="232"/>
        <v>9.584146073725E-2</v>
      </c>
      <c r="EC91" s="863">
        <f t="shared" si="232"/>
        <v>9.8500953381586445E-2</v>
      </c>
      <c r="ED91" s="863">
        <f t="shared" si="232"/>
        <v>9.55092711091972E-2</v>
      </c>
      <c r="EE91" s="863">
        <f t="shared" si="232"/>
        <v>9.9441399071495212E-2</v>
      </c>
      <c r="EF91" s="863">
        <f t="shared" si="232"/>
        <v>9.8616081495073088E-2</v>
      </c>
      <c r="EG91" s="864">
        <f t="shared" si="232"/>
        <v>9.8013214045664737E-2</v>
      </c>
      <c r="EH91" s="863">
        <f t="shared" ref="EH91:EL91" si="233">+EH27/EH$14</f>
        <v>9.7860683888083486E-2</v>
      </c>
      <c r="EI91" s="863">
        <f t="shared" si="233"/>
        <v>9.7422889163552323E-2</v>
      </c>
      <c r="EJ91" s="863">
        <f t="shared" si="233"/>
        <v>9.8970067534611642E-2</v>
      </c>
      <c r="EK91" s="863">
        <f t="shared" si="233"/>
        <v>9.0607521341079245E-2</v>
      </c>
      <c r="EL91" s="864">
        <f t="shared" si="233"/>
        <v>9.6132877612761319E-2</v>
      </c>
      <c r="EM91" s="1"/>
      <c r="EN91"/>
      <c r="EO91"/>
      <c r="EP91"/>
      <c r="EQ91"/>
      <c r="ER91"/>
      <c r="ES91" s="7"/>
      <c r="ET91"/>
      <c r="EU91" s="7"/>
      <c r="EV91" s="7"/>
      <c r="EW91" s="7"/>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c r="HF91" s="3"/>
      <c r="HG91" s="3"/>
      <c r="HH91" s="3"/>
      <c r="HI91" s="3"/>
      <c r="HJ91" s="3"/>
      <c r="HK91" s="3"/>
      <c r="HL91" s="3"/>
      <c r="HM91" s="3"/>
      <c r="HN91" s="3"/>
      <c r="HO91" s="3"/>
      <c r="HP91" s="3"/>
      <c r="HQ91" s="3"/>
      <c r="HR91" s="3"/>
      <c r="HS91" s="3"/>
      <c r="HT91" s="3"/>
      <c r="HU91" s="3"/>
      <c r="HV91" s="3"/>
      <c r="HW91" s="3"/>
      <c r="HX91" s="3"/>
      <c r="HY91" s="3"/>
      <c r="HZ91" s="3"/>
      <c r="IA91" s="3"/>
      <c r="IB91" s="3"/>
      <c r="IC91" s="3"/>
      <c r="ID91" s="3"/>
      <c r="IE91" s="3"/>
      <c r="IF91" s="3"/>
      <c r="IG91" s="3"/>
      <c r="IH91" s="3"/>
      <c r="II91" s="3"/>
      <c r="IJ91" s="3"/>
      <c r="IK91" s="3"/>
      <c r="IL91" s="3"/>
      <c r="IM91" s="3"/>
      <c r="IN91" s="3"/>
      <c r="IO91" s="3"/>
      <c r="IP91" s="3"/>
      <c r="IQ91" s="3"/>
      <c r="IR91" s="3"/>
      <c r="IS91" s="3"/>
      <c r="IT91" s="3"/>
      <c r="IU91" s="3"/>
      <c r="IV91" s="3"/>
      <c r="IW91" s="3"/>
      <c r="IX91" s="3"/>
      <c r="IY91" s="3"/>
      <c r="IZ91" s="3"/>
      <c r="JA91" s="3"/>
      <c r="JB91" s="3"/>
      <c r="JC91" s="3"/>
      <c r="JD91" s="3"/>
      <c r="JE91" s="3"/>
      <c r="JF91" s="3"/>
      <c r="JG91" s="3"/>
      <c r="JH91" s="3"/>
      <c r="JI91" s="3"/>
      <c r="JJ91" s="3"/>
      <c r="JK91" s="3"/>
    </row>
    <row r="92" spans="1:271" s="11" customFormat="1">
      <c r="A92" s="860"/>
      <c r="B92" s="861" t="s">
        <v>382</v>
      </c>
      <c r="C92" s="862"/>
      <c r="D92" s="863">
        <f t="shared" ref="D92:AT92" si="234">+D33/D$14</f>
        <v>0.17121551456060613</v>
      </c>
      <c r="E92" s="863">
        <f t="shared" si="234"/>
        <v>0.12619317262578869</v>
      </c>
      <c r="F92" s="863">
        <f t="shared" si="234"/>
        <v>0.1286027568922305</v>
      </c>
      <c r="G92" s="863">
        <f t="shared" si="234"/>
        <v>2.8563840774292543E-2</v>
      </c>
      <c r="H92" s="864">
        <f t="shared" si="234"/>
        <v>9.6164728072933039E-2</v>
      </c>
      <c r="I92" s="863">
        <f t="shared" si="234"/>
        <v>0.19275028768699656</v>
      </c>
      <c r="J92" s="863">
        <f t="shared" si="234"/>
        <v>0.23893329234552718</v>
      </c>
      <c r="K92" s="863">
        <f t="shared" si="234"/>
        <v>9.5955882352941266E-2</v>
      </c>
      <c r="L92" s="863">
        <f t="shared" si="234"/>
        <v>4.0324899367452371E-2</v>
      </c>
      <c r="M92" s="864">
        <f t="shared" si="234"/>
        <v>0.13892579237046879</v>
      </c>
      <c r="N92" s="863">
        <f t="shared" si="234"/>
        <v>9.7500183271021112E-2</v>
      </c>
      <c r="O92" s="863">
        <f t="shared" si="234"/>
        <v>0.10183197366537848</v>
      </c>
      <c r="P92" s="863">
        <f t="shared" si="234"/>
        <v>-6.828528072837628E-2</v>
      </c>
      <c r="Q92" s="863">
        <f t="shared" si="234"/>
        <v>-6.0510415727297533E-2</v>
      </c>
      <c r="R92" s="864">
        <f t="shared" si="234"/>
        <v>-8.539709649871904E-3</v>
      </c>
      <c r="S92" s="863">
        <f t="shared" si="234"/>
        <v>9.1158955565735222E-2</v>
      </c>
      <c r="T92" s="863">
        <f t="shared" si="234"/>
        <v>0.10292193632795464</v>
      </c>
      <c r="U92" s="863">
        <f t="shared" si="234"/>
        <v>0.10329029571012079</v>
      </c>
      <c r="V92" s="863">
        <f t="shared" si="234"/>
        <v>-8.3539094650205759E-2</v>
      </c>
      <c r="W92" s="864">
        <f t="shared" si="234"/>
        <v>5.1574084022778556E-2</v>
      </c>
      <c r="X92" s="863">
        <f t="shared" si="234"/>
        <v>9.4402673350041766E-2</v>
      </c>
      <c r="Y92" s="863">
        <f t="shared" si="234"/>
        <v>8.5750315258511983E-2</v>
      </c>
      <c r="Z92" s="863">
        <f t="shared" si="234"/>
        <v>7.6747720364741645E-2</v>
      </c>
      <c r="AA92" s="863">
        <f t="shared" si="234"/>
        <v>-5.5270863836017571E-2</v>
      </c>
      <c r="AB92" s="864">
        <f t="shared" si="234"/>
        <v>4.7449935878465029E-2</v>
      </c>
      <c r="AC92" s="863">
        <f t="shared" si="234"/>
        <v>8.0754716981132069E-2</v>
      </c>
      <c r="AD92" s="863">
        <f t="shared" si="234"/>
        <v>0.10933852140077821</v>
      </c>
      <c r="AE92" s="863">
        <f t="shared" si="234"/>
        <v>2.8072837632776935E-2</v>
      </c>
      <c r="AF92" s="863">
        <f t="shared" si="234"/>
        <v>2.5858884373845585E-2</v>
      </c>
      <c r="AG92" s="864">
        <f t="shared" si="234"/>
        <v>6.0494177790400457E-2</v>
      </c>
      <c r="AH92" s="863">
        <f t="shared" si="234"/>
        <v>9.8134328358208955E-2</v>
      </c>
      <c r="AI92" s="863">
        <f t="shared" si="234"/>
        <v>0.10926541159099298</v>
      </c>
      <c r="AJ92" s="863">
        <f t="shared" si="234"/>
        <v>0.11892083777067802</v>
      </c>
      <c r="AK92" s="863">
        <f t="shared" si="234"/>
        <v>6.8712474983322211E-2</v>
      </c>
      <c r="AL92" s="864">
        <f t="shared" si="234"/>
        <v>9.8179221706533384E-2</v>
      </c>
      <c r="AM92" s="863">
        <f t="shared" si="234"/>
        <v>9.1445427728613568E-2</v>
      </c>
      <c r="AN92" s="863">
        <f t="shared" si="234"/>
        <v>5.9630102040816327E-2</v>
      </c>
      <c r="AO92" s="863">
        <f t="shared" si="234"/>
        <v>0.1499384236453202</v>
      </c>
      <c r="AP92" s="863">
        <f t="shared" si="234"/>
        <v>0.13258877434135166</v>
      </c>
      <c r="AQ92" s="864">
        <f t="shared" si="234"/>
        <v>0.10953817591088419</v>
      </c>
      <c r="AR92" s="863">
        <f t="shared" si="234"/>
        <v>0.16549912434325745</v>
      </c>
      <c r="AS92" s="863">
        <f t="shared" si="234"/>
        <v>0.15055921995985089</v>
      </c>
      <c r="AT92" s="863">
        <f t="shared" si="234"/>
        <v>-2.3950325251330572E-2</v>
      </c>
      <c r="AU92" s="863"/>
      <c r="AV92" s="864">
        <f t="shared" ref="AV92:CA92" si="235">+AV33/AV$14</f>
        <v>0.14603174603174604</v>
      </c>
      <c r="AW92" s="863">
        <f t="shared" si="235"/>
        <v>0.12519464341326689</v>
      </c>
      <c r="AX92" s="863">
        <f t="shared" si="235"/>
        <v>0.161606869058571</v>
      </c>
      <c r="AY92" s="863">
        <f t="shared" si="235"/>
        <v>2.4829298572315332E-3</v>
      </c>
      <c r="AZ92" s="863">
        <f t="shared" si="235"/>
        <v>0.10876673933354095</v>
      </c>
      <c r="BA92" s="863">
        <f t="shared" si="235"/>
        <v>2.485840151038389E-2</v>
      </c>
      <c r="BB92" s="863">
        <f t="shared" si="235"/>
        <v>-6.114526043351666E-2</v>
      </c>
      <c r="BC92" s="863">
        <f t="shared" si="235"/>
        <v>-0.13153153153153152</v>
      </c>
      <c r="BD92" s="863">
        <f t="shared" si="235"/>
        <v>-0.50017749378771748</v>
      </c>
      <c r="BE92" s="864">
        <f t="shared" si="235"/>
        <v>-0.15883989545569513</v>
      </c>
      <c r="BF92" s="863">
        <f t="shared" si="235"/>
        <v>-7.575757575757576E-3</v>
      </c>
      <c r="BG92" s="863">
        <f t="shared" si="235"/>
        <v>-0.15596330275229359</v>
      </c>
      <c r="BH92" s="863">
        <f t="shared" si="235"/>
        <v>-3.063557384545039E-2</v>
      </c>
      <c r="BI92" s="863">
        <f t="shared" si="235"/>
        <v>-0.60081190798376183</v>
      </c>
      <c r="BJ92" s="864">
        <f t="shared" si="235"/>
        <v>-0.19658795616314539</v>
      </c>
      <c r="BK92" s="863">
        <f t="shared" si="235"/>
        <v>2.5706940874035988E-3</v>
      </c>
      <c r="BL92" s="863">
        <f t="shared" si="235"/>
        <v>-1.1910013233348038E-2</v>
      </c>
      <c r="BM92" s="863">
        <f t="shared" si="235"/>
        <v>-0.17093235831809872</v>
      </c>
      <c r="BN92" s="863">
        <f t="shared" si="235"/>
        <v>-0.14386459802538787</v>
      </c>
      <c r="BO92" s="864">
        <f t="shared" si="235"/>
        <v>-7.8622700762673844E-2</v>
      </c>
      <c r="BP92" s="863">
        <f t="shared" si="235"/>
        <v>9.2267135325131804E-3</v>
      </c>
      <c r="BQ92" s="863">
        <f t="shared" si="235"/>
        <v>-0.3381712626995646</v>
      </c>
      <c r="BR92" s="863">
        <f t="shared" si="235"/>
        <v>-3.4693877551020408E-2</v>
      </c>
      <c r="BS92" s="863">
        <f t="shared" si="235"/>
        <v>-0.17810218978102191</v>
      </c>
      <c r="BT92" s="864">
        <f t="shared" si="235"/>
        <v>-0.13304618329743959</v>
      </c>
      <c r="BU92" s="863">
        <f t="shared" si="235"/>
        <v>1.403180542563143E-3</v>
      </c>
      <c r="BV92" s="863">
        <f t="shared" si="235"/>
        <v>-1.5406836783822821E-2</v>
      </c>
      <c r="BW92" s="863">
        <f t="shared" si="235"/>
        <v>-1.2177301509985387E-2</v>
      </c>
      <c r="BX92" s="863">
        <f t="shared" si="235"/>
        <v>-3.0703826169107228E-2</v>
      </c>
      <c r="BY92" s="864">
        <f t="shared" si="235"/>
        <v>-1.419200954084675E-2</v>
      </c>
      <c r="BZ92" s="863">
        <f t="shared" si="235"/>
        <v>-3.6003600360036002E-3</v>
      </c>
      <c r="CA92" s="863">
        <f t="shared" si="235"/>
        <v>-1.7241379310344827E-2</v>
      </c>
      <c r="CB92" s="863">
        <f t="shared" ref="CB92:DG92" si="236">+CB33/CB$14</f>
        <v>5.6224899598393573E-2</v>
      </c>
      <c r="CC92" s="863">
        <f t="shared" si="236"/>
        <v>-6.407097092163627E-3</v>
      </c>
      <c r="CD92" s="864">
        <f t="shared" si="236"/>
        <v>6.769007615133567E-3</v>
      </c>
      <c r="CE92" s="863">
        <f t="shared" si="236"/>
        <v>9.3735280263777671E-2</v>
      </c>
      <c r="CF92" s="863">
        <f t="shared" si="236"/>
        <v>3.3947623666343357E-3</v>
      </c>
      <c r="CG92" s="863">
        <f t="shared" si="236"/>
        <v>3.3832769453842437E-3</v>
      </c>
      <c r="CH92" s="863">
        <f t="shared" si="236"/>
        <v>-5.2884615384615388E-3</v>
      </c>
      <c r="CI92" s="864">
        <f t="shared" si="236"/>
        <v>2.423806095512359E-2</v>
      </c>
      <c r="CJ92" s="863">
        <f t="shared" si="236"/>
        <v>4.3255813953488369E-2</v>
      </c>
      <c r="CK92" s="863">
        <f t="shared" si="236"/>
        <v>3.0516431924882629E-2</v>
      </c>
      <c r="CL92" s="863">
        <f t="shared" si="236"/>
        <v>-2.9879518072289158E-2</v>
      </c>
      <c r="CM92" s="863">
        <f t="shared" si="236"/>
        <v>2.9383886255924172E-2</v>
      </c>
      <c r="CN92" s="864">
        <f t="shared" si="236"/>
        <v>1.8665091553455405E-2</v>
      </c>
      <c r="CO92" s="863">
        <f t="shared" si="236"/>
        <v>6.0888888888888888E-2</v>
      </c>
      <c r="CP92" s="863">
        <f t="shared" si="236"/>
        <v>3.1894934333958722E-2</v>
      </c>
      <c r="CQ92" s="863">
        <f t="shared" si="236"/>
        <v>0.01</v>
      </c>
      <c r="CR92" s="863">
        <f t="shared" si="236"/>
        <v>-2.85451197053407E-2</v>
      </c>
      <c r="CS92" s="864">
        <f t="shared" si="236"/>
        <v>1.8950774208458518E-2</v>
      </c>
      <c r="CT92" s="863">
        <f t="shared" si="236"/>
        <v>4.6915725456125108E-2</v>
      </c>
      <c r="CU92" s="863">
        <f t="shared" si="236"/>
        <v>3.443708609271523E-2</v>
      </c>
      <c r="CV92" s="863">
        <f t="shared" si="236"/>
        <v>2.2962629446195409E-2</v>
      </c>
      <c r="CW92" s="863">
        <f t="shared" si="236"/>
        <v>4.1613041613041614E-2</v>
      </c>
      <c r="CX92" s="864">
        <f t="shared" si="236"/>
        <v>3.6626823116569798E-2</v>
      </c>
      <c r="CY92" s="863">
        <f t="shared" si="236"/>
        <v>-5.6137410976120655E-2</v>
      </c>
      <c r="CZ92" s="863">
        <f t="shared" si="236"/>
        <v>-2.7250206440957887E-2</v>
      </c>
      <c r="DA92" s="863">
        <f t="shared" si="236"/>
        <v>2.3671096345514949E-2</v>
      </c>
      <c r="DB92" s="863">
        <f t="shared" si="236"/>
        <v>-3.8610038610038611E-3</v>
      </c>
      <c r="DC92" s="864">
        <f t="shared" si="236"/>
        <v>-1.4231669969374888E-2</v>
      </c>
      <c r="DD92" s="863">
        <f t="shared" si="236"/>
        <v>-3.0565461029037188E-3</v>
      </c>
      <c r="DE92" s="863">
        <f t="shared" si="236"/>
        <v>4.2058386937159822E-3</v>
      </c>
      <c r="DF92" s="863">
        <f t="shared" si="236"/>
        <v>2.3929169657812874E-4</v>
      </c>
      <c r="DG92" s="863">
        <f t="shared" si="236"/>
        <v>3.1557743957027755E-2</v>
      </c>
      <c r="DH92" s="864">
        <f t="shared" ref="DH92:DW92" si="237">+DH33/DH$14</f>
        <v>8.847427023773698E-3</v>
      </c>
      <c r="DI92" s="863">
        <f t="shared" si="237"/>
        <v>2.0569620253164556E-2</v>
      </c>
      <c r="DJ92" s="863">
        <f t="shared" si="237"/>
        <v>-1.2021371326803205E-2</v>
      </c>
      <c r="DK92" s="863">
        <f t="shared" si="237"/>
        <v>8.5251491901108273E-3</v>
      </c>
      <c r="DL92" s="863">
        <f t="shared" si="237"/>
        <v>1.3330680461599681E-2</v>
      </c>
      <c r="DM92" s="864">
        <f t="shared" si="237"/>
        <v>7.7278093807019426E-3</v>
      </c>
      <c r="DN92" s="863">
        <f t="shared" si="237"/>
        <v>2.0816812053925455E-2</v>
      </c>
      <c r="DO92" s="863">
        <f t="shared" si="237"/>
        <v>5.1355792933442893E-3</v>
      </c>
      <c r="DP92" s="863">
        <f t="shared" si="237"/>
        <v>1.8354299855640337E-2</v>
      </c>
      <c r="DQ92" s="863">
        <f>+DQ33/DQ$14</f>
        <v>5.9670781893004119E-3</v>
      </c>
      <c r="DR92" s="864">
        <f t="shared" si="237"/>
        <v>1.2639518882829621E-2</v>
      </c>
      <c r="DS92" s="863">
        <f>+DS33/DS$14</f>
        <v>8.3108248493662994E-4</v>
      </c>
      <c r="DT92" s="863">
        <f t="shared" si="237"/>
        <v>3.9566847147022074E-3</v>
      </c>
      <c r="DU92" s="863">
        <f>+DU33/DU$14</f>
        <v>-7.5883122546881815E-2</v>
      </c>
      <c r="DV92" s="863">
        <f>+DV33/DV$14</f>
        <v>4.4997991161108877E-2</v>
      </c>
      <c r="DW92" s="864">
        <f t="shared" si="237"/>
        <v>-5.2661765472652384E-3</v>
      </c>
      <c r="DX92" s="863">
        <f t="shared" ref="DX92:EG92" si="238">+DX33/DX$14</f>
        <v>3.4098256182884534E-2</v>
      </c>
      <c r="DY92" s="863">
        <f t="shared" si="238"/>
        <v>4.6357976501379454E-2</v>
      </c>
      <c r="DZ92" s="863">
        <f t="shared" si="238"/>
        <v>4.9356751417834424E-2</v>
      </c>
      <c r="EA92" s="863">
        <f t="shared" si="238"/>
        <v>4.4481491551477279E-2</v>
      </c>
      <c r="EB92" s="864">
        <f t="shared" si="238"/>
        <v>4.350769255312293E-2</v>
      </c>
      <c r="EC92" s="863">
        <f t="shared" si="238"/>
        <v>4.8324144457108566E-2</v>
      </c>
      <c r="ED92" s="863">
        <f t="shared" si="238"/>
        <v>4.6012791810794137E-2</v>
      </c>
      <c r="EE92" s="863">
        <f t="shared" si="238"/>
        <v>4.8733165761901551E-2</v>
      </c>
      <c r="EF92" s="863">
        <f t="shared" si="238"/>
        <v>5.1157915466031094E-2</v>
      </c>
      <c r="EG92" s="864">
        <f t="shared" si="238"/>
        <v>4.8584630406482344E-2</v>
      </c>
      <c r="EH92" s="863">
        <f t="shared" ref="EH92:EL92" si="239">+EH33/EH$14</f>
        <v>5.0131072395615955E-2</v>
      </c>
      <c r="EI92" s="863">
        <f t="shared" si="239"/>
        <v>5.0767926167065693E-2</v>
      </c>
      <c r="EJ92" s="863">
        <f t="shared" si="239"/>
        <v>5.1609142205008555E-2</v>
      </c>
      <c r="EK92" s="863">
        <f t="shared" si="239"/>
        <v>4.6774111898940117E-2</v>
      </c>
      <c r="EL92" s="864">
        <f t="shared" si="239"/>
        <v>4.9775829450139517E-2</v>
      </c>
      <c r="EM92" s="1"/>
      <c r="EN92"/>
      <c r="EO92"/>
      <c r="EP92"/>
      <c r="EQ92"/>
      <c r="ER92"/>
      <c r="ES92" s="7"/>
      <c r="ET92"/>
      <c r="EU92" s="7"/>
      <c r="EV92" s="7"/>
      <c r="EW92" s="7"/>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c r="HF92" s="3"/>
      <c r="HG92" s="3"/>
      <c r="HH92" s="3"/>
      <c r="HI92" s="3"/>
      <c r="HJ92" s="3"/>
      <c r="HK92" s="3"/>
      <c r="HL92" s="3"/>
      <c r="HM92" s="3"/>
      <c r="HN92" s="3"/>
      <c r="HO92" s="3"/>
      <c r="HP92" s="3"/>
      <c r="HQ92" s="3"/>
      <c r="HR92" s="3"/>
      <c r="HS92" s="3"/>
      <c r="HT92" s="3"/>
      <c r="HU92" s="3"/>
      <c r="HV92" s="3"/>
      <c r="HW92" s="3"/>
      <c r="HX92" s="3"/>
      <c r="HY92" s="3"/>
      <c r="HZ92" s="3"/>
      <c r="IA92" s="3"/>
      <c r="IB92" s="3"/>
      <c r="IC92" s="3"/>
      <c r="ID92" s="3"/>
      <c r="IE92" s="3"/>
      <c r="IF92" s="3"/>
      <c r="IG92" s="3"/>
      <c r="IH92" s="3"/>
      <c r="II92" s="3"/>
      <c r="IJ92" s="3"/>
      <c r="IK92" s="3"/>
      <c r="IL92" s="3"/>
      <c r="IM92" s="3"/>
      <c r="IN92" s="3"/>
      <c r="IO92" s="3"/>
      <c r="IP92" s="3"/>
      <c r="IQ92" s="3"/>
      <c r="IR92" s="3"/>
      <c r="IS92" s="3"/>
      <c r="IT92" s="3"/>
      <c r="IU92" s="3"/>
      <c r="IV92" s="3"/>
      <c r="IW92" s="3"/>
      <c r="IX92" s="3"/>
      <c r="IY92" s="3"/>
      <c r="IZ92" s="3"/>
      <c r="JA92" s="3"/>
      <c r="JB92" s="3"/>
      <c r="JC92" s="3"/>
      <c r="JD92" s="3"/>
      <c r="JE92" s="3"/>
      <c r="JF92" s="3"/>
      <c r="JG92" s="3"/>
      <c r="JH92" s="3"/>
      <c r="JI92" s="3"/>
      <c r="JJ92" s="3"/>
      <c r="JK92" s="3"/>
    </row>
    <row r="93" spans="1:271" s="11" customFormat="1" ht="13.5" thickBot="1">
      <c r="A93" s="865"/>
      <c r="B93" s="866" t="s">
        <v>515</v>
      </c>
      <c r="C93" s="867"/>
      <c r="D93" s="868">
        <f t="shared" ref="D93:AT93" si="240">+D59/D$14</f>
        <v>6.2804880429236917E-2</v>
      </c>
      <c r="E93" s="868">
        <f t="shared" si="240"/>
        <v>7.4745186862967133E-2</v>
      </c>
      <c r="F93" s="868">
        <f t="shared" si="240"/>
        <v>7.6597744360902179E-2</v>
      </c>
      <c r="G93" s="868">
        <f t="shared" si="240"/>
        <v>5.0175551562964188E-2</v>
      </c>
      <c r="H93" s="869">
        <f t="shared" si="240"/>
        <v>6.2780311222885882E-2</v>
      </c>
      <c r="I93" s="868">
        <f t="shared" si="240"/>
        <v>4.7563406214039143E-2</v>
      </c>
      <c r="J93" s="868">
        <f t="shared" si="240"/>
        <v>5.0694973870273601E-2</v>
      </c>
      <c r="K93" s="868">
        <f t="shared" si="240"/>
        <v>5.1985294117647143E-2</v>
      </c>
      <c r="L93" s="868">
        <f t="shared" si="240"/>
        <v>5.4364016676250543E-2</v>
      </c>
      <c r="M93" s="869">
        <f t="shared" si="240"/>
        <v>5.1273706585689881E-2</v>
      </c>
      <c r="N93" s="868">
        <f t="shared" si="240"/>
        <v>5.3075287735503185E-2</v>
      </c>
      <c r="O93" s="868">
        <f t="shared" si="240"/>
        <v>5.4959209961356718E-2</v>
      </c>
      <c r="P93" s="868">
        <f t="shared" si="240"/>
        <v>5.7011544928843895E-2</v>
      </c>
      <c r="Q93" s="868">
        <f t="shared" si="240"/>
        <v>5.2687063472526337E-2</v>
      </c>
      <c r="R93" s="869">
        <f t="shared" si="240"/>
        <v>5.4251555447114796E-2</v>
      </c>
      <c r="S93" s="868">
        <f t="shared" si="240"/>
        <v>5.3137883646358221E-2</v>
      </c>
      <c r="T93" s="868">
        <f t="shared" si="240"/>
        <v>5.5408268293192571E-2</v>
      </c>
      <c r="U93" s="868">
        <f t="shared" si="240"/>
        <v>6.1640982923781756E-2</v>
      </c>
      <c r="V93" s="868">
        <f t="shared" si="240"/>
        <v>6.0134350124983305E-2</v>
      </c>
      <c r="W93" s="869">
        <f t="shared" si="240"/>
        <v>5.7717592134952186E-2</v>
      </c>
      <c r="X93" s="868">
        <f t="shared" si="240"/>
        <v>5.7226399331662486E-2</v>
      </c>
      <c r="Y93" s="868">
        <f t="shared" si="240"/>
        <v>5.2543085329970575E-2</v>
      </c>
      <c r="Z93" s="868">
        <f t="shared" si="240"/>
        <v>4.7112462006079027E-2</v>
      </c>
      <c r="AA93" s="868">
        <f t="shared" si="240"/>
        <v>4.8503645680819926E-2</v>
      </c>
      <c r="AB93" s="869">
        <f t="shared" si="240"/>
        <v>5.1150435039952653E-2</v>
      </c>
      <c r="AC93" s="868">
        <f t="shared" si="240"/>
        <v>4.5477864101615487E-2</v>
      </c>
      <c r="AD93" s="868">
        <f t="shared" si="240"/>
        <v>3.5639988810050614E-2</v>
      </c>
      <c r="AE93" s="868">
        <f t="shared" si="240"/>
        <v>6.580206690668175E-2</v>
      </c>
      <c r="AF93" s="868">
        <f t="shared" si="240"/>
        <v>6.776307370627109E-2</v>
      </c>
      <c r="AG93" s="869">
        <f t="shared" si="240"/>
        <v>5.3867272555145319E-2</v>
      </c>
      <c r="AH93" s="868">
        <f t="shared" si="240"/>
        <v>5.7462686567164176E-2</v>
      </c>
      <c r="AI93" s="868">
        <f t="shared" si="240"/>
        <v>6.4599483204134361E-2</v>
      </c>
      <c r="AJ93" s="868">
        <f t="shared" si="240"/>
        <v>7.0287539936102233E-2</v>
      </c>
      <c r="AK93" s="868">
        <f t="shared" si="240"/>
        <v>7.5050033355570381E-2</v>
      </c>
      <c r="AL93" s="869">
        <f t="shared" si="240"/>
        <v>6.7118886112102816E-2</v>
      </c>
      <c r="AM93" s="868">
        <f t="shared" si="240"/>
        <v>7.3418551294657491E-2</v>
      </c>
      <c r="AN93" s="868">
        <f t="shared" si="240"/>
        <v>8.2270408163265307E-2</v>
      </c>
      <c r="AO93" s="868">
        <f t="shared" si="240"/>
        <v>8.8669950738916259E-2</v>
      </c>
      <c r="AP93" s="868">
        <f t="shared" si="240"/>
        <v>9.192439862542956E-2</v>
      </c>
      <c r="AQ93" s="869">
        <f t="shared" si="240"/>
        <v>8.4396998530208087E-2</v>
      </c>
      <c r="AR93" s="868">
        <f t="shared" si="240"/>
        <v>9.9532983070636308E-2</v>
      </c>
      <c r="AS93" s="868">
        <f t="shared" si="240"/>
        <v>0.10180671063951821</v>
      </c>
      <c r="AT93" s="868">
        <f t="shared" si="240"/>
        <v>5.6179775280898875E-2</v>
      </c>
      <c r="AU93" s="868"/>
      <c r="AV93" s="869">
        <f t="shared" ref="AV93:CA93" si="241">+AV59/AV$14</f>
        <v>9.0476190476190474E-2</v>
      </c>
      <c r="AW93" s="868">
        <f t="shared" si="241"/>
        <v>8.9068825910931168E-2</v>
      </c>
      <c r="AX93" s="868">
        <f t="shared" si="241"/>
        <v>9.5967494633547992E-2</v>
      </c>
      <c r="AY93" s="868">
        <f t="shared" si="241"/>
        <v>6.2818125387957793E-2</v>
      </c>
      <c r="AZ93" s="868">
        <f t="shared" si="241"/>
        <v>8.4580348800996588E-2</v>
      </c>
      <c r="BA93" s="868">
        <f t="shared" si="241"/>
        <v>-4.1535556954059159E-2</v>
      </c>
      <c r="BB93" s="868">
        <f t="shared" si="241"/>
        <v>2.8469750889679714E-2</v>
      </c>
      <c r="BC93" s="868">
        <f t="shared" si="241"/>
        <v>-2.6666666666666668E-2</v>
      </c>
      <c r="BD93" s="868">
        <f t="shared" si="241"/>
        <v>4.2598509052183178E-3</v>
      </c>
      <c r="BE93" s="869">
        <f t="shared" si="241"/>
        <v>-8.9368518674648005E-3</v>
      </c>
      <c r="BF93" s="868">
        <f t="shared" si="241"/>
        <v>1.0806165603127787E-2</v>
      </c>
      <c r="BG93" s="868">
        <f t="shared" si="241"/>
        <v>-8.1603090294543698E-2</v>
      </c>
      <c r="BH93" s="868">
        <f t="shared" si="241"/>
        <v>-2.4234110653863741E-2</v>
      </c>
      <c r="BI93" s="868">
        <f t="shared" si="241"/>
        <v>-1.2178619756427604E-2</v>
      </c>
      <c r="BJ93" s="869">
        <f t="shared" si="241"/>
        <v>-2.5231561465028619E-2</v>
      </c>
      <c r="BK93" s="868">
        <f t="shared" si="241"/>
        <v>1.2853470437017995E-2</v>
      </c>
      <c r="BL93" s="868">
        <f t="shared" si="241"/>
        <v>-6.6166740185266875E-3</v>
      </c>
      <c r="BM93" s="868">
        <f t="shared" si="241"/>
        <v>1.4168190127970749E-2</v>
      </c>
      <c r="BN93" s="868">
        <f t="shared" si="241"/>
        <v>-1.3634226610249177E-2</v>
      </c>
      <c r="BO93" s="869">
        <f t="shared" si="241"/>
        <v>1.9066846119336026E-3</v>
      </c>
      <c r="BP93" s="868">
        <f t="shared" si="241"/>
        <v>1.0105448154657293E-2</v>
      </c>
      <c r="BQ93" s="868">
        <f t="shared" si="241"/>
        <v>0.14368650217706821</v>
      </c>
      <c r="BR93" s="868">
        <f t="shared" si="241"/>
        <v>-1.5306122448979591E-3</v>
      </c>
      <c r="BS93" s="868">
        <f t="shared" si="241"/>
        <v>5.3527980535279804E-3</v>
      </c>
      <c r="BT93" s="869">
        <f t="shared" si="241"/>
        <v>3.9243838238813111E-2</v>
      </c>
      <c r="BU93" s="868">
        <f t="shared" si="241"/>
        <v>4.349859681945744E-2</v>
      </c>
      <c r="BV93" s="868">
        <f t="shared" si="241"/>
        <v>-6.2590274434280212E-3</v>
      </c>
      <c r="BW93" s="868">
        <f t="shared" si="241"/>
        <v>-3.8967364831953241E-3</v>
      </c>
      <c r="BX93" s="868">
        <f t="shared" si="241"/>
        <v>-4.298535663675012E-2</v>
      </c>
      <c r="BY93" s="869">
        <f t="shared" si="241"/>
        <v>-2.2659511031604056E-3</v>
      </c>
      <c r="BZ93" s="868">
        <f t="shared" si="241"/>
        <v>1.6201620162016202E-2</v>
      </c>
      <c r="CA93" s="868">
        <f t="shared" si="241"/>
        <v>-6.4039408866995075E-3</v>
      </c>
      <c r="CB93" s="868">
        <f t="shared" ref="CB93:DG93" si="242">+CB59/CB$14</f>
        <v>-3.8654618473895584E-2</v>
      </c>
      <c r="CC93" s="868">
        <f t="shared" si="242"/>
        <v>4.9285362247412522E-4</v>
      </c>
      <c r="CD93" s="869">
        <f t="shared" si="242"/>
        <v>-6.4063822071799828E-3</v>
      </c>
      <c r="CE93" s="868">
        <f t="shared" si="242"/>
        <v>-5.1813471502590676E-3</v>
      </c>
      <c r="CF93" s="868">
        <f t="shared" si="242"/>
        <v>8.2444228903976718E-3</v>
      </c>
      <c r="CG93" s="868">
        <f t="shared" si="242"/>
        <v>1.2083131947800869E-2</v>
      </c>
      <c r="CH93" s="868">
        <f t="shared" si="242"/>
        <v>7.2115384615384619E-3</v>
      </c>
      <c r="CI93" s="869">
        <f t="shared" si="242"/>
        <v>5.5195584353251743E-3</v>
      </c>
      <c r="CJ93" s="868">
        <f t="shared" si="242"/>
        <v>2.4186046511627906E-2</v>
      </c>
      <c r="CK93" s="868">
        <f t="shared" si="242"/>
        <v>1.3615023474178404E-2</v>
      </c>
      <c r="CL93" s="868">
        <f t="shared" si="242"/>
        <v>5.3012048192771083E-3</v>
      </c>
      <c r="CM93" s="868">
        <f t="shared" si="242"/>
        <v>2.1800947867298578E-2</v>
      </c>
      <c r="CN93" s="869">
        <f t="shared" si="242"/>
        <v>1.6302421736562316E-2</v>
      </c>
      <c r="CO93" s="868">
        <f t="shared" si="242"/>
        <v>4.0888888888888891E-2</v>
      </c>
      <c r="CP93" s="868">
        <f t="shared" si="242"/>
        <v>2.0637898686679174E-2</v>
      </c>
      <c r="CQ93" s="868">
        <f t="shared" si="242"/>
        <v>8.0952380952380946E-3</v>
      </c>
      <c r="CR93" s="868">
        <f t="shared" si="242"/>
        <v>4.5119705340699819E-2</v>
      </c>
      <c r="CS93" s="869">
        <f t="shared" si="242"/>
        <v>2.9003928819043217E-2</v>
      </c>
      <c r="CT93" s="868">
        <f t="shared" si="242"/>
        <v>2.6933101650738488E-2</v>
      </c>
      <c r="CU93" s="868">
        <f t="shared" si="242"/>
        <v>2.8697571743929361E-2</v>
      </c>
      <c r="CV93" s="868">
        <f t="shared" si="242"/>
        <v>2.1161638901395767E-2</v>
      </c>
      <c r="CW93" s="868">
        <f t="shared" si="242"/>
        <v>3.003003003003003E-2</v>
      </c>
      <c r="CX93" s="869">
        <f t="shared" si="242"/>
        <v>2.6866981028621558E-2</v>
      </c>
      <c r="CY93" s="868">
        <f t="shared" si="242"/>
        <v>-3.0163385002094679E-2</v>
      </c>
      <c r="CZ93" s="868">
        <f t="shared" si="242"/>
        <v>-1.6515276630883566E-2</v>
      </c>
      <c r="DA93" s="868">
        <f t="shared" si="242"/>
        <v>2.2425249169435217E-2</v>
      </c>
      <c r="DB93" s="868">
        <f t="shared" si="242"/>
        <v>1.7760617760617759E-2</v>
      </c>
      <c r="DC93" s="869">
        <f t="shared" si="242"/>
        <v>9.9081246622230229E-4</v>
      </c>
      <c r="DD93" s="868">
        <f t="shared" si="242"/>
        <v>-7.641365257259297E-4</v>
      </c>
      <c r="DE93" s="868">
        <f t="shared" si="242"/>
        <v>8.4116773874319643E-3</v>
      </c>
      <c r="DF93" s="868">
        <f t="shared" si="242"/>
        <v>1.2203876525484566E-2</v>
      </c>
      <c r="DG93" s="868">
        <f t="shared" si="242"/>
        <v>2.909579230080573E-2</v>
      </c>
      <c r="DH93" s="869">
        <f t="shared" ref="DH93:DW93" si="243">+DH59/DH$14</f>
        <v>1.2759554619319892E-2</v>
      </c>
      <c r="DI93" s="868">
        <f t="shared" si="243"/>
        <v>1.5370705244122965E-2</v>
      </c>
      <c r="DJ93" s="868">
        <f t="shared" si="243"/>
        <v>1.6918967052537846E-2</v>
      </c>
      <c r="DK93" s="868">
        <f t="shared" si="243"/>
        <v>6.3938618925831201E-3</v>
      </c>
      <c r="DL93" s="868">
        <f t="shared" si="243"/>
        <v>6.9637883008356544E-3</v>
      </c>
      <c r="DM93" s="869">
        <f t="shared" si="243"/>
        <v>1.1216056670602124E-2</v>
      </c>
      <c r="DN93" s="868">
        <f t="shared" si="243"/>
        <v>8.9214908802537664E-3</v>
      </c>
      <c r="DO93" s="868">
        <f t="shared" si="243"/>
        <v>8.2169268693508633E-3</v>
      </c>
      <c r="DP93" s="868">
        <f t="shared" si="243"/>
        <v>3.2996494122499486E-3</v>
      </c>
      <c r="DQ93" s="868">
        <f>+DQ59/DQ$14</f>
        <v>1.2345679012345679E-3</v>
      </c>
      <c r="DR93" s="869">
        <f t="shared" si="243"/>
        <v>5.4533408083176187E-3</v>
      </c>
      <c r="DS93" s="868">
        <f>+DS59/DS$14</f>
        <v>-5.6098067733222519E-3</v>
      </c>
      <c r="DT93" s="868">
        <f t="shared" si="243"/>
        <v>-3.5401915868388169E-3</v>
      </c>
      <c r="DU93" s="868">
        <f>+DU59/DU$14</f>
        <v>-3.7069341474051461E-3</v>
      </c>
      <c r="DV93" s="868">
        <f>+DV59/DV$14</f>
        <v>2.8726396143029329E-2</v>
      </c>
      <c r="DW93" s="869">
        <f t="shared" si="243"/>
        <v>4.2755096720371241E-3</v>
      </c>
      <c r="DX93" s="868">
        <f t="shared" ref="DX93:EG93" si="244">+DX59/DX$14</f>
        <v>2.3341535323585777E-4</v>
      </c>
      <c r="DY93" s="868">
        <f t="shared" si="244"/>
        <v>8.5845150254187531E-3</v>
      </c>
      <c r="DZ93" s="868">
        <f t="shared" si="244"/>
        <v>9.2931894245747663E-3</v>
      </c>
      <c r="EA93" s="868">
        <f t="shared" si="244"/>
        <v>7.8282608136404971E-3</v>
      </c>
      <c r="EB93" s="869">
        <f t="shared" si="244"/>
        <v>6.4530823402352911E-3</v>
      </c>
      <c r="EC93" s="868">
        <f t="shared" si="244"/>
        <v>1.2551748474752546E-2</v>
      </c>
      <c r="ED93" s="868">
        <f t="shared" si="244"/>
        <v>9.9511312988970618E-3</v>
      </c>
      <c r="EE93" s="868">
        <f t="shared" si="244"/>
        <v>1.2111942005215629E-2</v>
      </c>
      <c r="EF93" s="868">
        <f t="shared" si="244"/>
        <v>1.0251790691623972E-2</v>
      </c>
      <c r="EG93" s="869">
        <f t="shared" si="244"/>
        <v>1.1196446629122761E-2</v>
      </c>
      <c r="EH93" s="868">
        <f t="shared" ref="EH93:EL93" si="245">+EH59/EH$14</f>
        <v>1.3504721157722376E-2</v>
      </c>
      <c r="EI93" s="868">
        <f t="shared" si="245"/>
        <v>1.3192905013378862E-2</v>
      </c>
      <c r="EJ93" s="868">
        <f t="shared" si="245"/>
        <v>1.3956157269510928E-2</v>
      </c>
      <c r="EK93" s="868">
        <f t="shared" si="245"/>
        <v>6.723287251546738E-3</v>
      </c>
      <c r="EL93" s="869">
        <f t="shared" si="245"/>
        <v>1.1771010451729404E-2</v>
      </c>
      <c r="EM93" s="1"/>
      <c r="EN93"/>
      <c r="EO93"/>
      <c r="EP93"/>
      <c r="EQ93"/>
      <c r="ER93"/>
      <c r="ES93" s="7"/>
      <c r="ET93"/>
      <c r="EU93" s="7"/>
      <c r="EV93" s="7"/>
      <c r="EW93" s="7"/>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c r="HF93" s="3"/>
      <c r="HG93" s="3"/>
      <c r="HH93" s="3"/>
      <c r="HI93" s="3"/>
      <c r="HJ93" s="3"/>
      <c r="HK93" s="3"/>
      <c r="HL93" s="3"/>
      <c r="HM93" s="3"/>
      <c r="HN93" s="3"/>
      <c r="HO93" s="3"/>
      <c r="HP93" s="3"/>
      <c r="HQ93" s="3"/>
      <c r="HR93" s="3"/>
      <c r="HS93" s="3"/>
      <c r="HT93" s="3"/>
      <c r="HU93" s="3"/>
      <c r="HV93" s="3"/>
      <c r="HW93" s="3"/>
      <c r="HX93" s="3"/>
      <c r="HY93" s="3"/>
      <c r="HZ93" s="3"/>
      <c r="IA93" s="3"/>
      <c r="IB93" s="3"/>
      <c r="IC93" s="3"/>
      <c r="ID93" s="3"/>
      <c r="IE93" s="3"/>
      <c r="IF93" s="3"/>
      <c r="IG93" s="3"/>
      <c r="IH93" s="3"/>
      <c r="II93" s="3"/>
      <c r="IJ93" s="3"/>
      <c r="IK93" s="3"/>
      <c r="IL93" s="3"/>
      <c r="IM93" s="3"/>
      <c r="IN93" s="3"/>
      <c r="IO93" s="3"/>
      <c r="IP93" s="3"/>
      <c r="IQ93" s="3"/>
      <c r="IR93" s="3"/>
      <c r="IS93" s="3"/>
      <c r="IT93" s="3"/>
      <c r="IU93" s="3"/>
      <c r="IV93" s="3"/>
      <c r="IW93" s="3"/>
      <c r="IX93" s="3"/>
      <c r="IY93" s="3"/>
      <c r="IZ93" s="3"/>
      <c r="JA93" s="3"/>
      <c r="JB93" s="3"/>
      <c r="JC93" s="3"/>
      <c r="JD93" s="3"/>
      <c r="JE93" s="3"/>
      <c r="JF93" s="3"/>
      <c r="JG93" s="3"/>
      <c r="JH93" s="3"/>
      <c r="JI93" s="3"/>
      <c r="JJ93" s="3"/>
      <c r="JK93" s="3"/>
    </row>
    <row r="94" spans="1:271" s="11" customFormat="1">
      <c r="A94" s="856"/>
      <c r="B94" s="857" t="s">
        <v>516</v>
      </c>
      <c r="C94" s="858"/>
      <c r="D94" s="858"/>
      <c r="E94" s="858"/>
      <c r="F94" s="858"/>
      <c r="G94" s="858"/>
      <c r="H94" s="859"/>
      <c r="I94" s="858"/>
      <c r="J94" s="858"/>
      <c r="K94" s="858"/>
      <c r="L94" s="858"/>
      <c r="M94" s="859"/>
      <c r="N94" s="858"/>
      <c r="O94" s="858"/>
      <c r="P94" s="858"/>
      <c r="Q94" s="858"/>
      <c r="R94" s="859"/>
      <c r="S94" s="858"/>
      <c r="T94" s="858"/>
      <c r="U94" s="858"/>
      <c r="V94" s="858"/>
      <c r="W94" s="859"/>
      <c r="X94" s="858"/>
      <c r="Y94" s="858"/>
      <c r="Z94" s="858"/>
      <c r="AA94" s="858"/>
      <c r="AB94" s="859"/>
      <c r="AC94" s="858"/>
      <c r="AD94" s="858"/>
      <c r="AE94" s="858"/>
      <c r="AF94" s="858"/>
      <c r="AG94" s="859"/>
      <c r="AH94" s="858"/>
      <c r="AI94" s="858"/>
      <c r="AJ94" s="858"/>
      <c r="AK94" s="858"/>
      <c r="AL94" s="859"/>
      <c r="AM94" s="858"/>
      <c r="AN94" s="858"/>
      <c r="AO94" s="858"/>
      <c r="AP94" s="858"/>
      <c r="AQ94" s="859"/>
      <c r="AR94" s="858"/>
      <c r="AS94" s="858"/>
      <c r="AT94" s="858"/>
      <c r="AU94" s="858"/>
      <c r="AV94" s="859"/>
      <c r="AW94" s="858"/>
      <c r="AX94" s="858"/>
      <c r="AY94" s="858"/>
      <c r="AZ94" s="858"/>
      <c r="BA94" s="858"/>
      <c r="BB94" s="858"/>
      <c r="BC94" s="858"/>
      <c r="BD94" s="858"/>
      <c r="BE94" s="859"/>
      <c r="BF94" s="858"/>
      <c r="BG94" s="858"/>
      <c r="BH94" s="858"/>
      <c r="BI94" s="858"/>
      <c r="BJ94" s="859"/>
      <c r="BK94" s="858"/>
      <c r="BL94" s="858"/>
      <c r="BM94" s="858"/>
      <c r="BN94" s="858"/>
      <c r="BO94" s="859"/>
      <c r="BP94" s="858"/>
      <c r="BQ94" s="858"/>
      <c r="BR94" s="858"/>
      <c r="BS94" s="858"/>
      <c r="BT94" s="859"/>
      <c r="BU94" s="858"/>
      <c r="BV94" s="858"/>
      <c r="BW94" s="858"/>
      <c r="BX94" s="858"/>
      <c r="BY94" s="859"/>
      <c r="BZ94" s="858"/>
      <c r="CA94" s="858"/>
      <c r="CB94" s="858"/>
      <c r="CC94" s="858"/>
      <c r="CD94" s="859"/>
      <c r="CE94" s="858"/>
      <c r="CF94" s="858"/>
      <c r="CG94" s="858"/>
      <c r="CH94" s="858"/>
      <c r="CI94" s="859"/>
      <c r="CJ94" s="858"/>
      <c r="CK94" s="858"/>
      <c r="CL94" s="858"/>
      <c r="CM94" s="858"/>
      <c r="CN94" s="859"/>
      <c r="CO94" s="858"/>
      <c r="CP94" s="858"/>
      <c r="CQ94" s="858"/>
      <c r="CR94" s="858"/>
      <c r="CS94" s="859"/>
      <c r="CT94" s="858"/>
      <c r="CU94" s="858"/>
      <c r="CV94" s="858"/>
      <c r="CW94" s="858"/>
      <c r="CX94" s="859"/>
      <c r="CY94" s="858"/>
      <c r="CZ94" s="858"/>
      <c r="DA94" s="858"/>
      <c r="DB94" s="858"/>
      <c r="DC94" s="859"/>
      <c r="DD94" s="858"/>
      <c r="DE94" s="858"/>
      <c r="DF94" s="858"/>
      <c r="DG94" s="858"/>
      <c r="DH94" s="859"/>
      <c r="DI94" s="858"/>
      <c r="DJ94" s="858"/>
      <c r="DK94" s="858"/>
      <c r="DL94" s="858"/>
      <c r="DM94" s="859"/>
      <c r="DN94" s="858"/>
      <c r="DO94" s="858"/>
      <c r="DP94" s="858"/>
      <c r="DQ94" s="858"/>
      <c r="DR94" s="859"/>
      <c r="DS94" s="858"/>
      <c r="DT94" s="858"/>
      <c r="DU94" s="858"/>
      <c r="DV94" s="858"/>
      <c r="DW94" s="859"/>
      <c r="DX94" s="858"/>
      <c r="DY94" s="858"/>
      <c r="DZ94" s="858"/>
      <c r="EA94" s="858"/>
      <c r="EB94" s="859"/>
      <c r="EC94" s="858"/>
      <c r="ED94" s="858"/>
      <c r="EE94" s="858"/>
      <c r="EF94" s="858"/>
      <c r="EG94" s="859"/>
      <c r="EH94" s="858"/>
      <c r="EI94" s="858"/>
      <c r="EJ94" s="858"/>
      <c r="EK94" s="858"/>
      <c r="EL94" s="859"/>
      <c r="EM94" s="1"/>
      <c r="EN94"/>
      <c r="EO94"/>
      <c r="EP94"/>
      <c r="EQ94"/>
      <c r="ER94"/>
      <c r="ES94" s="7"/>
      <c r="ET94"/>
      <c r="EU94" s="7"/>
      <c r="EV94" s="7"/>
      <c r="EW94" s="7"/>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c r="HF94" s="3"/>
      <c r="HG94" s="3"/>
      <c r="HH94" s="3"/>
      <c r="HI94" s="3"/>
      <c r="HJ94" s="3"/>
      <c r="HK94" s="3"/>
      <c r="HL94" s="3"/>
      <c r="HM94" s="3"/>
      <c r="HN94" s="3"/>
      <c r="HO94" s="3"/>
      <c r="HP94" s="3"/>
      <c r="HQ94" s="3"/>
      <c r="HR94" s="3"/>
      <c r="HS94" s="3"/>
      <c r="HT94" s="3"/>
      <c r="HU94" s="3"/>
      <c r="HV94" s="3"/>
      <c r="HW94" s="3"/>
      <c r="HX94" s="3"/>
      <c r="HY94" s="3"/>
      <c r="HZ94" s="3"/>
      <c r="IA94" s="3"/>
      <c r="IB94" s="3"/>
      <c r="IC94" s="3"/>
      <c r="ID94" s="3"/>
      <c r="IE94" s="3"/>
      <c r="IF94" s="3"/>
      <c r="IG94" s="3"/>
      <c r="IH94" s="3"/>
      <c r="II94" s="3"/>
      <c r="IJ94" s="3"/>
      <c r="IK94" s="3"/>
      <c r="IL94" s="3"/>
      <c r="IM94" s="3"/>
      <c r="IN94" s="3"/>
      <c r="IO94" s="3"/>
      <c r="IP94" s="3"/>
      <c r="IQ94" s="3"/>
      <c r="IR94" s="3"/>
      <c r="IS94" s="3"/>
      <c r="IT94" s="3"/>
      <c r="IU94" s="3"/>
      <c r="IV94" s="3"/>
      <c r="IW94" s="3"/>
      <c r="IX94" s="3"/>
      <c r="IY94" s="3"/>
      <c r="IZ94" s="3"/>
      <c r="JA94" s="3"/>
      <c r="JB94" s="3"/>
      <c r="JC94" s="3"/>
      <c r="JD94" s="3"/>
      <c r="JE94" s="3"/>
      <c r="JF94" s="3"/>
      <c r="JG94" s="3"/>
      <c r="JH94" s="3"/>
      <c r="JI94" s="3"/>
      <c r="JJ94" s="3"/>
      <c r="JK94" s="3"/>
    </row>
    <row r="95" spans="1:271" s="11" customFormat="1">
      <c r="A95" s="801"/>
      <c r="B95" s="557" t="s">
        <v>336</v>
      </c>
      <c r="C95" s="863"/>
      <c r="D95" s="863">
        <f t="shared" ref="D95:AT95" si="246">D13/D$12</f>
        <v>3.9401962781084279E-2</v>
      </c>
      <c r="E95" s="863">
        <f t="shared" si="246"/>
        <v>3.240450845335003E-2</v>
      </c>
      <c r="F95" s="863">
        <f t="shared" si="246"/>
        <v>3.3459500378501136E-2</v>
      </c>
      <c r="G95" s="863">
        <f t="shared" si="246"/>
        <v>5.0213701216566542E-2</v>
      </c>
      <c r="H95" s="864">
        <f t="shared" si="246"/>
        <v>4.1289933694996984E-2</v>
      </c>
      <c r="I95" s="863">
        <f t="shared" si="246"/>
        <v>5.2418412648960196E-2</v>
      </c>
      <c r="J95" s="863">
        <f t="shared" si="246"/>
        <v>5.0842512218250785E-2</v>
      </c>
      <c r="K95" s="863">
        <f t="shared" si="246"/>
        <v>5.0213003701375797E-2</v>
      </c>
      <c r="L95" s="863">
        <f t="shared" si="246"/>
        <v>5.5083882360931882E-2</v>
      </c>
      <c r="M95" s="864">
        <f t="shared" si="246"/>
        <v>5.216765605324699E-2</v>
      </c>
      <c r="N95" s="863">
        <f t="shared" si="246"/>
        <v>5.1786459057416939E-2</v>
      </c>
      <c r="O95" s="863">
        <f t="shared" si="246"/>
        <v>5.3316170991125268E-2</v>
      </c>
      <c r="P95" s="863">
        <f t="shared" si="246"/>
        <v>5.7266753095802224E-2</v>
      </c>
      <c r="Q95" s="863">
        <f t="shared" si="246"/>
        <v>6.0094931344295666E-2</v>
      </c>
      <c r="R95" s="864">
        <f t="shared" si="246"/>
        <v>5.6840409619146243E-2</v>
      </c>
      <c r="S95" s="863">
        <f t="shared" si="246"/>
        <v>6.3492063492063489E-2</v>
      </c>
      <c r="T95" s="863">
        <f t="shared" si="246"/>
        <v>5.5990119390695758E-2</v>
      </c>
      <c r="U95" s="863">
        <f t="shared" si="246"/>
        <v>6.3572542901716073E-2</v>
      </c>
      <c r="V95" s="863">
        <f t="shared" si="246"/>
        <v>5.4842473745624273E-2</v>
      </c>
      <c r="W95" s="864">
        <f t="shared" si="246"/>
        <v>5.9423951490651841E-2</v>
      </c>
      <c r="X95" s="863">
        <f t="shared" si="246"/>
        <v>6.2279670975323151E-2</v>
      </c>
      <c r="Y95" s="863">
        <f t="shared" si="246"/>
        <v>7.1790870074131874E-2</v>
      </c>
      <c r="Z95" s="863">
        <f t="shared" si="246"/>
        <v>6.7328136073706593E-2</v>
      </c>
      <c r="AA95" s="863">
        <f t="shared" si="246"/>
        <v>7.1380013596193059E-2</v>
      </c>
      <c r="AB95" s="864">
        <f t="shared" si="246"/>
        <v>6.8290441176470582E-2</v>
      </c>
      <c r="AC95" s="863">
        <f t="shared" si="246"/>
        <v>7.76192133658197E-2</v>
      </c>
      <c r="AD95" s="863">
        <f t="shared" si="246"/>
        <v>7.5539568345323743E-2</v>
      </c>
      <c r="AE95" s="863">
        <f t="shared" si="246"/>
        <v>7.508771929824562E-2</v>
      </c>
      <c r="AF95" s="863">
        <f t="shared" si="246"/>
        <v>7.007901064926142E-2</v>
      </c>
      <c r="AG95" s="864">
        <f t="shared" si="246"/>
        <v>7.4557560890134919E-2</v>
      </c>
      <c r="AH95" s="863">
        <f t="shared" si="246"/>
        <v>7.3625993778085028E-2</v>
      </c>
      <c r="AI95" s="863">
        <f t="shared" si="246"/>
        <v>7.0668953687821612E-2</v>
      </c>
      <c r="AJ95" s="863">
        <f t="shared" si="246"/>
        <v>7.2134387351778656E-2</v>
      </c>
      <c r="AK95" s="863">
        <f t="shared" si="246"/>
        <v>6.575257089435961E-2</v>
      </c>
      <c r="AL95" s="864">
        <f t="shared" si="246"/>
        <v>7.0438894880942501E-2</v>
      </c>
      <c r="AM95" s="863">
        <f t="shared" si="246"/>
        <v>7.4613284804367602E-2</v>
      </c>
      <c r="AN95" s="863">
        <f t="shared" si="246"/>
        <v>7.6016499705362409E-2</v>
      </c>
      <c r="AO95" s="863">
        <f t="shared" si="246"/>
        <v>6.7738231917336397E-2</v>
      </c>
      <c r="AP95" s="863">
        <f t="shared" si="246"/>
        <v>6.5810593900481537E-2</v>
      </c>
      <c r="AQ95" s="864">
        <f t="shared" si="246"/>
        <v>7.0868971465535835E-2</v>
      </c>
      <c r="AR95" s="863">
        <f t="shared" si="246"/>
        <v>7.4804212800432077E-2</v>
      </c>
      <c r="AS95" s="863">
        <f t="shared" si="246"/>
        <v>7.7024880889359451E-2</v>
      </c>
      <c r="AT95" s="863">
        <f t="shared" si="246"/>
        <v>8.247422680412371E-2</v>
      </c>
      <c r="AU95" s="863"/>
      <c r="AV95" s="864">
        <f t="shared" ref="AV95:CA95" si="247">AV13/AV$12</f>
        <v>6.6666666666666666E-2</v>
      </c>
      <c r="AW95" s="863">
        <f t="shared" si="247"/>
        <v>6.3848396501457724E-2</v>
      </c>
      <c r="AX95" s="863">
        <f t="shared" si="247"/>
        <v>7.3842658335700084E-2</v>
      </c>
      <c r="AY95" s="863">
        <f t="shared" si="247"/>
        <v>7.7583738906384203E-2</v>
      </c>
      <c r="AZ95" s="863">
        <f t="shared" si="247"/>
        <v>7.0555032925682035E-2</v>
      </c>
      <c r="BA95" s="863">
        <f t="shared" si="247"/>
        <v>7.9374275782155279E-2</v>
      </c>
      <c r="BB95" s="863">
        <f t="shared" si="247"/>
        <v>8.5232317253625331E-2</v>
      </c>
      <c r="BC95" s="863">
        <f t="shared" si="247"/>
        <v>0.15832575068243859</v>
      </c>
      <c r="BD95" s="863">
        <f t="shared" si="247"/>
        <v>0.11442942470921094</v>
      </c>
      <c r="BE95" s="864">
        <f t="shared" si="247"/>
        <v>0.10879855736719513</v>
      </c>
      <c r="BF95" s="863">
        <f t="shared" si="247"/>
        <v>0.10977894342450356</v>
      </c>
      <c r="BG95" s="863">
        <f t="shared" si="247"/>
        <v>0.19416342412451362</v>
      </c>
      <c r="BH95" s="863">
        <f t="shared" si="247"/>
        <v>0.10368852459016394</v>
      </c>
      <c r="BI95" s="863">
        <f t="shared" si="247"/>
        <v>8.0845771144278614E-2</v>
      </c>
      <c r="BJ95" s="864">
        <f t="shared" si="247"/>
        <v>0.12288177583985729</v>
      </c>
      <c r="BK95" s="863">
        <f t="shared" si="247"/>
        <v>6.6773290683726505E-2</v>
      </c>
      <c r="BL95" s="863">
        <f t="shared" si="247"/>
        <v>6.3223140495867775E-2</v>
      </c>
      <c r="BM95" s="863">
        <f t="shared" si="247"/>
        <v>8.6048454469507096E-2</v>
      </c>
      <c r="BN95" s="863">
        <f t="shared" si="247"/>
        <v>7.4815137016093949E-2</v>
      </c>
      <c r="BO95" s="864">
        <f t="shared" si="247"/>
        <v>7.2602454753484508E-2</v>
      </c>
      <c r="BP95" s="863">
        <f t="shared" si="247"/>
        <v>5.7166528583264292E-2</v>
      </c>
      <c r="BQ95" s="863">
        <f t="shared" si="247"/>
        <v>5.8314350797266518E-2</v>
      </c>
      <c r="BR95" s="863">
        <f t="shared" si="247"/>
        <v>7.4161549362305151E-2</v>
      </c>
      <c r="BS95" s="863">
        <f t="shared" si="247"/>
        <v>5.6906837999082145E-2</v>
      </c>
      <c r="BT95" s="864">
        <f t="shared" si="247"/>
        <v>6.1426165075800114E-2</v>
      </c>
      <c r="BU95" s="863">
        <f t="shared" si="247"/>
        <v>6.1869240895129442E-2</v>
      </c>
      <c r="BV95" s="863">
        <f t="shared" si="247"/>
        <v>6.7773788150807895E-2</v>
      </c>
      <c r="BW95" s="863">
        <f t="shared" si="247"/>
        <v>7.1880650994575052E-2</v>
      </c>
      <c r="BX95" s="863">
        <f t="shared" si="247"/>
        <v>5.9529098178587293E-2</v>
      </c>
      <c r="BY95" s="864">
        <f t="shared" si="247"/>
        <v>6.5217391304347824E-2</v>
      </c>
      <c r="BZ95" s="863">
        <f t="shared" si="247"/>
        <v>6.2842682412484183E-2</v>
      </c>
      <c r="CA95" s="863">
        <f t="shared" si="247"/>
        <v>7.0512820512820512E-2</v>
      </c>
      <c r="CB95" s="863">
        <f t="shared" ref="CB95:DG95" si="248">CB13/CB$12</f>
        <v>7.6923076923076927E-2</v>
      </c>
      <c r="CC95" s="863">
        <f t="shared" si="248"/>
        <v>7.5626423690205016E-2</v>
      </c>
      <c r="CD95" s="864">
        <f t="shared" si="248"/>
        <v>7.1284238886394249E-2</v>
      </c>
      <c r="CE95" s="863">
        <f t="shared" si="248"/>
        <v>6.8451075032909175E-2</v>
      </c>
      <c r="CF95" s="863">
        <f t="shared" si="248"/>
        <v>7.4921489457155668E-2</v>
      </c>
      <c r="CG95" s="863">
        <f t="shared" si="248"/>
        <v>8.532272325375774E-2</v>
      </c>
      <c r="CH95" s="863">
        <f t="shared" si="248"/>
        <v>8.0053073861123397E-2</v>
      </c>
      <c r="CI95" s="864">
        <f t="shared" si="248"/>
        <v>7.7178607020263537E-2</v>
      </c>
      <c r="CJ95" s="863">
        <f t="shared" si="248"/>
        <v>8.0803762291577597E-2</v>
      </c>
      <c r="CK95" s="863">
        <f t="shared" si="248"/>
        <v>7.5119409465914028E-2</v>
      </c>
      <c r="CL95" s="863">
        <f t="shared" si="248"/>
        <v>8.267020335985853E-2</v>
      </c>
      <c r="CM95" s="863">
        <f t="shared" si="248"/>
        <v>8.3007388092133857E-2</v>
      </c>
      <c r="CN95" s="864">
        <f t="shared" si="248"/>
        <v>8.039109179793591E-2</v>
      </c>
      <c r="CO95" s="863">
        <f t="shared" si="248"/>
        <v>7.369287772745986E-2</v>
      </c>
      <c r="CP95" s="863">
        <f t="shared" si="248"/>
        <v>7.3043478260869571E-2</v>
      </c>
      <c r="CQ95" s="863">
        <f t="shared" si="248"/>
        <v>8.2568807339449546E-2</v>
      </c>
      <c r="CR95" s="863">
        <f t="shared" si="248"/>
        <v>7.6923076923076927E-2</v>
      </c>
      <c r="CS95" s="864">
        <f t="shared" si="248"/>
        <v>7.6512645395368686E-2</v>
      </c>
      <c r="CT95" s="863">
        <f t="shared" si="248"/>
        <v>7.5873143315937377E-2</v>
      </c>
      <c r="CU95" s="863">
        <f t="shared" si="248"/>
        <v>7.7393075356415472E-2</v>
      </c>
      <c r="CV95" s="863">
        <f t="shared" si="248"/>
        <v>8.4878450762257932E-2</v>
      </c>
      <c r="CW95" s="863">
        <f t="shared" si="248"/>
        <v>7.9020150138285269E-2</v>
      </c>
      <c r="CX95" s="864">
        <f t="shared" si="248"/>
        <v>7.9260904684975764E-2</v>
      </c>
      <c r="CY95" s="863">
        <f t="shared" si="248"/>
        <v>7.9799537393986125E-2</v>
      </c>
      <c r="CZ95" s="863">
        <f t="shared" si="248"/>
        <v>7.8737162419170781E-2</v>
      </c>
      <c r="DA95" s="863">
        <f t="shared" si="248"/>
        <v>8.0213903743315509E-2</v>
      </c>
      <c r="DB95" s="863">
        <f t="shared" si="248"/>
        <v>8.221119773210489E-2</v>
      </c>
      <c r="DC95" s="864">
        <f t="shared" si="248"/>
        <v>8.0503561371542159E-2</v>
      </c>
      <c r="DD95" s="863">
        <f t="shared" si="248"/>
        <v>8.8248954946586161E-2</v>
      </c>
      <c r="DE95" s="863">
        <f t="shared" si="248"/>
        <v>7.3360843649701968E-2</v>
      </c>
      <c r="DF95" s="863">
        <f t="shared" si="248"/>
        <v>5.6233062330623307E-2</v>
      </c>
      <c r="DG95" s="863">
        <f t="shared" si="248"/>
        <v>7.3797678275290213E-2</v>
      </c>
      <c r="DH95" s="864">
        <f t="shared" ref="DH95:EG95" si="249">DH13/DH$12</f>
        <v>7.2823660714285712E-2</v>
      </c>
      <c r="DI95" s="863">
        <f t="shared" si="249"/>
        <v>7.576706324358172E-2</v>
      </c>
      <c r="DJ95" s="863">
        <f t="shared" si="249"/>
        <v>7.2667217175887699E-2</v>
      </c>
      <c r="DK95" s="863">
        <f t="shared" si="249"/>
        <v>7.3276713411021127E-2</v>
      </c>
      <c r="DL95" s="863">
        <f t="shared" si="249"/>
        <v>7.2180173527782901E-2</v>
      </c>
      <c r="DM95" s="864">
        <f t="shared" si="249"/>
        <v>7.3442394709363035E-2</v>
      </c>
      <c r="DN95" s="863">
        <f t="shared" si="249"/>
        <v>6.9372693726937273E-2</v>
      </c>
      <c r="DO95" s="863">
        <f t="shared" si="249"/>
        <v>6.7432950191570876E-2</v>
      </c>
      <c r="DP95" s="863">
        <f t="shared" si="249"/>
        <v>7.0360429447852757E-2</v>
      </c>
      <c r="DQ95" s="863">
        <f t="shared" si="249"/>
        <v>6.789413118527042E-2</v>
      </c>
      <c r="DR95" s="864">
        <f t="shared" si="249"/>
        <v>6.8770764119601327E-2</v>
      </c>
      <c r="DS95" s="863">
        <f t="shared" si="249"/>
        <v>7.3710546574287911E-2</v>
      </c>
      <c r="DT95" s="863">
        <f t="shared" si="249"/>
        <v>7.1718538565629222E-2</v>
      </c>
      <c r="DU95" s="863">
        <f>DU13/DU$12</f>
        <v>7.1847804088241249E-2</v>
      </c>
      <c r="DV95" s="863">
        <f t="shared" ref="DV95" si="250">DV13/DV$12</f>
        <v>6.1286064491797097E-2</v>
      </c>
      <c r="DW95" s="864">
        <f t="shared" si="249"/>
        <v>6.9567748508222962E-2</v>
      </c>
      <c r="DX95" s="863">
        <f t="shared" si="249"/>
        <v>7.6390962520091601E-2</v>
      </c>
      <c r="DY95" s="863">
        <f t="shared" si="249"/>
        <v>7.6454453582395235E-2</v>
      </c>
      <c r="DZ95" s="863">
        <f t="shared" si="249"/>
        <v>7.6501124643684679E-2</v>
      </c>
      <c r="EA95" s="863">
        <f t="shared" si="249"/>
        <v>7.6246730082446673E-2</v>
      </c>
      <c r="EB95" s="864">
        <f t="shared" si="249"/>
        <v>7.6397003321911419E-2</v>
      </c>
      <c r="EC95" s="863">
        <f t="shared" si="249"/>
        <v>7.5228534947166623E-2</v>
      </c>
      <c r="ED95" s="863">
        <f t="shared" si="249"/>
        <v>7.5259647099595858E-2</v>
      </c>
      <c r="EE95" s="863">
        <f t="shared" si="249"/>
        <v>7.5269357234775749E-2</v>
      </c>
      <c r="EF95" s="863">
        <f t="shared" si="249"/>
        <v>7.5480449455480103E-2</v>
      </c>
      <c r="EG95" s="864">
        <f t="shared" si="249"/>
        <v>7.5311854849944182E-2</v>
      </c>
      <c r="EH95" s="863">
        <f t="shared" ref="EH95:EL95" si="251">EH13/EH$12</f>
        <v>7.403589104296443E-2</v>
      </c>
      <c r="EI95" s="863">
        <f t="shared" si="251"/>
        <v>7.4069337173762337E-2</v>
      </c>
      <c r="EJ95" s="863">
        <f t="shared" si="251"/>
        <v>7.408280274537464E-2</v>
      </c>
      <c r="EK95" s="863">
        <f t="shared" si="251"/>
        <v>7.4318529349657755E-2</v>
      </c>
      <c r="EL95" s="864">
        <f t="shared" si="251"/>
        <v>7.4129270674275188E-2</v>
      </c>
      <c r="EM95" s="1"/>
      <c r="EN95"/>
      <c r="EO95"/>
      <c r="EP95"/>
      <c r="EQ95"/>
      <c r="ER95"/>
      <c r="ES95" s="7"/>
      <c r="ET95"/>
      <c r="EU95" s="7"/>
      <c r="EV95" s="7"/>
      <c r="EW95" s="7"/>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c r="HF95" s="3"/>
      <c r="HG95" s="3"/>
      <c r="HH95" s="3"/>
      <c r="HI95" s="3"/>
      <c r="HJ95" s="3"/>
      <c r="HK95" s="3"/>
      <c r="HL95" s="3"/>
      <c r="HM95" s="3"/>
      <c r="HN95" s="3"/>
      <c r="HO95" s="3"/>
      <c r="HP95" s="3"/>
      <c r="HQ95" s="3"/>
      <c r="HR95" s="3"/>
      <c r="HS95" s="3"/>
      <c r="HT95" s="3"/>
      <c r="HU95" s="3"/>
      <c r="HV95" s="3"/>
      <c r="HW95" s="3"/>
      <c r="HX95" s="3"/>
      <c r="HY95" s="3"/>
      <c r="HZ95" s="3"/>
      <c r="IA95" s="3"/>
      <c r="IB95" s="3"/>
      <c r="IC95" s="3"/>
      <c r="ID95" s="3"/>
      <c r="IE95" s="3"/>
      <c r="IF95" s="3"/>
      <c r="IG95" s="3"/>
      <c r="IH95" s="3"/>
      <c r="II95" s="3"/>
      <c r="IJ95" s="3"/>
      <c r="IK95" s="3"/>
      <c r="IL95" s="3"/>
      <c r="IM95" s="3"/>
      <c r="IN95" s="3"/>
      <c r="IO95" s="3"/>
      <c r="IP95" s="3"/>
      <c r="IQ95" s="3"/>
      <c r="IR95" s="3"/>
      <c r="IS95" s="3"/>
      <c r="IT95" s="3"/>
      <c r="IU95" s="3"/>
      <c r="IV95" s="3"/>
      <c r="IW95" s="3"/>
      <c r="IX95" s="3"/>
      <c r="IY95" s="3"/>
      <c r="IZ95" s="3"/>
      <c r="JA95" s="3"/>
      <c r="JB95" s="3"/>
      <c r="JC95" s="3"/>
      <c r="JD95" s="3"/>
      <c r="JE95" s="3"/>
      <c r="JF95" s="3"/>
      <c r="JG95" s="3"/>
      <c r="JH95" s="3"/>
      <c r="JI95" s="3"/>
      <c r="JJ95" s="3"/>
      <c r="JK95" s="3"/>
    </row>
    <row r="96" spans="1:271" s="11" customFormat="1">
      <c r="A96" s="801"/>
      <c r="B96" s="557" t="s">
        <v>338</v>
      </c>
      <c r="C96" s="863"/>
      <c r="D96" s="863">
        <f t="shared" ref="D96:AT96" si="252">D16/D$12</f>
        <v>0.77549918154593522</v>
      </c>
      <c r="E96" s="863">
        <f t="shared" si="252"/>
        <v>0.42736380713838451</v>
      </c>
      <c r="F96" s="863">
        <f t="shared" si="252"/>
        <v>0.41680545041635125</v>
      </c>
      <c r="G96" s="863">
        <f t="shared" si="252"/>
        <v>0.22470673702765395</v>
      </c>
      <c r="H96" s="864">
        <f t="shared" si="252"/>
        <v>0.41199517781796263</v>
      </c>
      <c r="I96" s="863">
        <f t="shared" si="252"/>
        <v>0.3911519588753018</v>
      </c>
      <c r="J96" s="863">
        <f t="shared" si="252"/>
        <v>0.39733022102268584</v>
      </c>
      <c r="K96" s="863">
        <f t="shared" si="252"/>
        <v>0.39793281653746765</v>
      </c>
      <c r="L96" s="863">
        <f t="shared" si="252"/>
        <v>0.39210758676900093</v>
      </c>
      <c r="M96" s="864">
        <f t="shared" si="252"/>
        <v>0.39467530131318584</v>
      </c>
      <c r="N96" s="863">
        <f t="shared" si="252"/>
        <v>0.39531488947587939</v>
      </c>
      <c r="O96" s="863">
        <f t="shared" si="252"/>
        <v>0.39387575367522526</v>
      </c>
      <c r="P96" s="863">
        <f t="shared" si="252"/>
        <v>0.40726004738700877</v>
      </c>
      <c r="Q96" s="863">
        <f t="shared" si="252"/>
        <v>0.42744532971690125</v>
      </c>
      <c r="R96" s="864">
        <f t="shared" si="252"/>
        <v>0.41123000805430904</v>
      </c>
      <c r="S96" s="863">
        <f t="shared" si="252"/>
        <v>0.4144144144144144</v>
      </c>
      <c r="T96" s="863">
        <f t="shared" si="252"/>
        <v>0.41457389872375461</v>
      </c>
      <c r="U96" s="863">
        <f t="shared" si="252"/>
        <v>0.40561622464898595</v>
      </c>
      <c r="V96" s="863">
        <f t="shared" si="252"/>
        <v>0.40412290937378453</v>
      </c>
      <c r="W96" s="864">
        <f t="shared" si="252"/>
        <v>0.409499747347145</v>
      </c>
      <c r="X96" s="863">
        <f t="shared" si="252"/>
        <v>0.39874657265961616</v>
      </c>
      <c r="Y96" s="863">
        <f t="shared" si="252"/>
        <v>0.4053843152555599</v>
      </c>
      <c r="Z96" s="863">
        <f t="shared" si="252"/>
        <v>0.41105598866052445</v>
      </c>
      <c r="AA96" s="863">
        <f t="shared" si="252"/>
        <v>0.40618626784500339</v>
      </c>
      <c r="AB96" s="864">
        <f t="shared" si="252"/>
        <v>0.40551470588235294</v>
      </c>
      <c r="AC96" s="863">
        <f t="shared" si="252"/>
        <v>0.40410720501218239</v>
      </c>
      <c r="AD96" s="863">
        <f t="shared" si="252"/>
        <v>0.39928057553956836</v>
      </c>
      <c r="AE96" s="863">
        <f t="shared" si="252"/>
        <v>0.39333333333333331</v>
      </c>
      <c r="AF96" s="863">
        <f t="shared" si="252"/>
        <v>0.38337341119890073</v>
      </c>
      <c r="AG96" s="864">
        <f t="shared" si="252"/>
        <v>0.3949535657963904</v>
      </c>
      <c r="AH96" s="863">
        <f t="shared" si="252"/>
        <v>0.38817836156239199</v>
      </c>
      <c r="AI96" s="863">
        <f t="shared" si="252"/>
        <v>0.3876500857632933</v>
      </c>
      <c r="AJ96" s="863">
        <f t="shared" si="252"/>
        <v>0.38801054018445325</v>
      </c>
      <c r="AK96" s="863">
        <f t="shared" si="252"/>
        <v>0.38921782486756001</v>
      </c>
      <c r="AL96" s="864">
        <f t="shared" si="252"/>
        <v>0.38828507425537212</v>
      </c>
      <c r="AM96" s="863">
        <f t="shared" si="252"/>
        <v>0.3851986654534425</v>
      </c>
      <c r="AN96" s="863">
        <f t="shared" si="252"/>
        <v>0.38302887448438422</v>
      </c>
      <c r="AO96" s="863">
        <f t="shared" si="252"/>
        <v>0.38777267508610791</v>
      </c>
      <c r="AP96" s="863">
        <f t="shared" si="252"/>
        <v>0.3812199036918138</v>
      </c>
      <c r="AQ96" s="864">
        <f t="shared" si="252"/>
        <v>0.38424495076547116</v>
      </c>
      <c r="AR96" s="863">
        <f t="shared" si="252"/>
        <v>0.38428301377261681</v>
      </c>
      <c r="AS96" s="863">
        <f t="shared" si="252"/>
        <v>0.38300688194812071</v>
      </c>
      <c r="AT96" s="863">
        <f t="shared" si="252"/>
        <v>0.39365165491047205</v>
      </c>
      <c r="AU96" s="863"/>
      <c r="AV96" s="864">
        <f t="shared" ref="AV96:CA96" si="253">AV16/AV$12</f>
        <v>0.39674074074074073</v>
      </c>
      <c r="AW96" s="863">
        <f t="shared" si="253"/>
        <v>0.39446064139941689</v>
      </c>
      <c r="AX96" s="863">
        <f t="shared" si="253"/>
        <v>0.39079806873047429</v>
      </c>
      <c r="AY96" s="863">
        <f t="shared" si="253"/>
        <v>0.38763240767248786</v>
      </c>
      <c r="AZ96" s="863">
        <f t="shared" si="253"/>
        <v>0.39235834720312612</v>
      </c>
      <c r="BA96" s="863">
        <f t="shared" si="253"/>
        <v>0.42352259559675548</v>
      </c>
      <c r="BB96" s="863">
        <f t="shared" si="253"/>
        <v>0.43622373483279075</v>
      </c>
      <c r="BC96" s="863">
        <f t="shared" si="253"/>
        <v>0.43069457082195933</v>
      </c>
      <c r="BD96" s="863">
        <f t="shared" si="253"/>
        <v>0.44231373781829614</v>
      </c>
      <c r="BE96" s="864">
        <f t="shared" si="253"/>
        <v>0.4330152528364265</v>
      </c>
      <c r="BF96" s="863">
        <f t="shared" si="253"/>
        <v>0.42937429748969652</v>
      </c>
      <c r="BG96" s="863">
        <f t="shared" si="253"/>
        <v>0.44007782101167314</v>
      </c>
      <c r="BH96" s="863">
        <f t="shared" si="253"/>
        <v>0.44180327868852459</v>
      </c>
      <c r="BI96" s="863">
        <f t="shared" si="253"/>
        <v>0.44610281923714762</v>
      </c>
      <c r="BJ96" s="864">
        <f t="shared" si="253"/>
        <v>0.43910415221484489</v>
      </c>
      <c r="BK96" s="863">
        <f t="shared" si="253"/>
        <v>0.44942023190723712</v>
      </c>
      <c r="BL96" s="863">
        <f t="shared" si="253"/>
        <v>0.46033057851239667</v>
      </c>
      <c r="BM96" s="863">
        <f t="shared" si="253"/>
        <v>0.45906432748538012</v>
      </c>
      <c r="BN96" s="863">
        <f t="shared" si="253"/>
        <v>0.45715528490648105</v>
      </c>
      <c r="BO96" s="864">
        <f t="shared" si="253"/>
        <v>0.45641772415227794</v>
      </c>
      <c r="BP96" s="863">
        <f t="shared" si="253"/>
        <v>0.44531897265948633</v>
      </c>
      <c r="BQ96" s="863">
        <f t="shared" si="253"/>
        <v>0.43872437357630978</v>
      </c>
      <c r="BR96" s="863">
        <f t="shared" si="253"/>
        <v>0.45016532829475675</v>
      </c>
      <c r="BS96" s="863">
        <f t="shared" si="253"/>
        <v>0.45250114731528224</v>
      </c>
      <c r="BT96" s="864">
        <f t="shared" si="253"/>
        <v>0.44660303200449186</v>
      </c>
      <c r="BU96" s="863">
        <f t="shared" si="253"/>
        <v>0.44712593242650284</v>
      </c>
      <c r="BV96" s="863">
        <f t="shared" si="253"/>
        <v>0.44569120287253144</v>
      </c>
      <c r="BW96" s="863">
        <f t="shared" si="253"/>
        <v>0.44439421338155516</v>
      </c>
      <c r="BX96" s="863">
        <f t="shared" si="253"/>
        <v>0.45446468236339405</v>
      </c>
      <c r="BY96" s="864">
        <f t="shared" si="253"/>
        <v>0.44793756967670012</v>
      </c>
      <c r="BZ96" s="863">
        <f t="shared" si="253"/>
        <v>0.43694643610291017</v>
      </c>
      <c r="CA96" s="863">
        <f t="shared" si="253"/>
        <v>0.44276556776556775</v>
      </c>
      <c r="CB96" s="863">
        <f t="shared" ref="CB96:CW96" si="254">CB16/CB$12</f>
        <v>0.44114921223354958</v>
      </c>
      <c r="CC96" s="863">
        <f t="shared" si="254"/>
        <v>0.4405466970387244</v>
      </c>
      <c r="CD96" s="864">
        <f t="shared" si="254"/>
        <v>0.44027840143691066</v>
      </c>
      <c r="CE96" s="863">
        <f t="shared" si="254"/>
        <v>0.42781921895568231</v>
      </c>
      <c r="CF96" s="863">
        <f t="shared" si="254"/>
        <v>0.42575145805293851</v>
      </c>
      <c r="CG96" s="863">
        <f t="shared" si="254"/>
        <v>0.4217506631299735</v>
      </c>
      <c r="CH96" s="863">
        <f t="shared" si="254"/>
        <v>0.43741707209199471</v>
      </c>
      <c r="CI96" s="864">
        <f t="shared" si="254"/>
        <v>0.42819178385560847</v>
      </c>
      <c r="CJ96" s="863">
        <f t="shared" si="254"/>
        <v>0.42197520307823855</v>
      </c>
      <c r="CK96" s="863">
        <f t="shared" si="254"/>
        <v>0.42075553625705603</v>
      </c>
      <c r="CL96" s="863">
        <f t="shared" si="254"/>
        <v>0.43191865605658708</v>
      </c>
      <c r="CM96" s="863">
        <f t="shared" si="254"/>
        <v>0.42025206431986095</v>
      </c>
      <c r="CN96" s="864">
        <f t="shared" si="254"/>
        <v>0.42368278109722979</v>
      </c>
      <c r="CO96" s="863">
        <f t="shared" si="254"/>
        <v>0.41869081926718815</v>
      </c>
      <c r="CP96" s="863">
        <f t="shared" si="254"/>
        <v>0.42695652173913046</v>
      </c>
      <c r="CQ96" s="863">
        <f t="shared" si="254"/>
        <v>0.43774574049803405</v>
      </c>
      <c r="CR96" s="863">
        <f t="shared" si="254"/>
        <v>0.43093922651933703</v>
      </c>
      <c r="CS96" s="864">
        <f t="shared" si="254"/>
        <v>0.42844947177462384</v>
      </c>
      <c r="CT96" s="863">
        <f t="shared" si="254"/>
        <v>0.42633480529907669</v>
      </c>
      <c r="CU96" s="863">
        <f t="shared" si="254"/>
        <v>0.42932790224032585</v>
      </c>
      <c r="CV96" s="863">
        <f t="shared" si="254"/>
        <v>0.43263288009888751</v>
      </c>
      <c r="CW96" s="863">
        <f t="shared" si="254"/>
        <v>0.43105491900434612</v>
      </c>
      <c r="CX96" s="864">
        <f t="shared" ref="CX96:EG96" si="255">CX16/CX$14</f>
        <v>0.46682750301568154</v>
      </c>
      <c r="CY96" s="863">
        <f t="shared" si="255"/>
        <v>0.4863845831587767</v>
      </c>
      <c r="CZ96" s="863">
        <f t="shared" si="255"/>
        <v>0.48142031379025596</v>
      </c>
      <c r="DA96" s="863">
        <f t="shared" si="255"/>
        <v>0.48671096345514953</v>
      </c>
      <c r="DB96" s="863">
        <f t="shared" si="255"/>
        <v>0.48185328185328186</v>
      </c>
      <c r="DC96" s="864">
        <f t="shared" si="255"/>
        <v>0.4837867050981805</v>
      </c>
      <c r="DD96" s="863">
        <f t="shared" si="255"/>
        <v>0.48930208863983699</v>
      </c>
      <c r="DE96" s="863">
        <f t="shared" si="255"/>
        <v>0.48391885205343887</v>
      </c>
      <c r="DF96" s="863">
        <f t="shared" si="255"/>
        <v>0.48528356066044509</v>
      </c>
      <c r="DG96" s="863">
        <f t="shared" si="255"/>
        <v>0.4740376007162041</v>
      </c>
      <c r="DH96" s="864">
        <f t="shared" si="255"/>
        <v>0.48287691844718628</v>
      </c>
      <c r="DI96" s="863">
        <f t="shared" si="255"/>
        <v>0.4803345388788427</v>
      </c>
      <c r="DJ96" s="863">
        <f t="shared" si="255"/>
        <v>0.48642030276046305</v>
      </c>
      <c r="DK96" s="863">
        <f t="shared" si="255"/>
        <v>0.48124467178175617</v>
      </c>
      <c r="DL96" s="863">
        <f t="shared" si="255"/>
        <v>0.48607242339832868</v>
      </c>
      <c r="DM96" s="864">
        <f t="shared" si="255"/>
        <v>0.48357840506600835</v>
      </c>
      <c r="DN96" s="863">
        <f t="shared" si="255"/>
        <v>0.4762093576526566</v>
      </c>
      <c r="DO96" s="863">
        <f t="shared" si="255"/>
        <v>0.47576006573541496</v>
      </c>
      <c r="DP96" s="863">
        <f t="shared" si="255"/>
        <v>0.47721179624664878</v>
      </c>
      <c r="DQ96" s="863">
        <f t="shared" si="255"/>
        <v>0.47818930041152263</v>
      </c>
      <c r="DR96" s="864">
        <f t="shared" si="255"/>
        <v>0.47683604301513682</v>
      </c>
      <c r="DS96" s="863">
        <f t="shared" si="255"/>
        <v>0.49449407853729482</v>
      </c>
      <c r="DT96" s="863">
        <f t="shared" si="255"/>
        <v>0.48854643898375677</v>
      </c>
      <c r="DU96" s="863">
        <f>DU16/DU$14</f>
        <v>0.49367640645442651</v>
      </c>
      <c r="DV96" s="863">
        <f t="shared" ref="DV96" si="256">DV16/DV$14</f>
        <v>0.45881880273202091</v>
      </c>
      <c r="DW96" s="864">
        <f t="shared" si="255"/>
        <v>0.48354971583502787</v>
      </c>
      <c r="DX96" s="863">
        <f t="shared" si="255"/>
        <v>0.48312633933261939</v>
      </c>
      <c r="DY96" s="863">
        <f t="shared" si="255"/>
        <v>0.48195872916547233</v>
      </c>
      <c r="DZ96" s="863">
        <f t="shared" si="255"/>
        <v>0.48005358069865206</v>
      </c>
      <c r="EA96" s="863">
        <f t="shared" si="255"/>
        <v>0.48627563209663754</v>
      </c>
      <c r="EB96" s="864">
        <f t="shared" si="255"/>
        <v>0.48288855766562394</v>
      </c>
      <c r="EC96" s="863">
        <f t="shared" si="255"/>
        <v>0.47558504027330062</v>
      </c>
      <c r="ED96" s="863">
        <f t="shared" si="255"/>
        <v>0.47593566000402104</v>
      </c>
      <c r="EE96" s="863">
        <f t="shared" si="255"/>
        <v>0.47298111678481647</v>
      </c>
      <c r="EF96" s="863">
        <f t="shared" si="255"/>
        <v>0.47440521756980891</v>
      </c>
      <c r="EG96" s="864">
        <f t="shared" si="255"/>
        <v>0.47473081999621602</v>
      </c>
      <c r="EH96" s="863">
        <f t="shared" ref="EH96:EL96" si="257">EH16/EH$14</f>
        <v>0.47557536978285225</v>
      </c>
      <c r="EI96" s="863">
        <f t="shared" si="257"/>
        <v>0.47601912297283944</v>
      </c>
      <c r="EJ96" s="863">
        <f t="shared" si="257"/>
        <v>0.47639769142233923</v>
      </c>
      <c r="EK96" s="863">
        <f t="shared" si="257"/>
        <v>0.48050920713191037</v>
      </c>
      <c r="EL96" s="864">
        <f t="shared" si="257"/>
        <v>0.47717105064428855</v>
      </c>
      <c r="EM96" s="1"/>
      <c r="EN96"/>
      <c r="EO96"/>
      <c r="EP96"/>
      <c r="EQ96"/>
      <c r="ER96"/>
      <c r="ES96" s="7"/>
      <c r="ET96"/>
      <c r="EU96" s="7"/>
      <c r="EV96" s="7"/>
      <c r="EW96" s="7"/>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c r="HF96" s="3"/>
      <c r="HG96" s="3"/>
      <c r="HH96" s="3"/>
      <c r="HI96" s="3"/>
      <c r="HJ96" s="3"/>
      <c r="HK96" s="3"/>
      <c r="HL96" s="3"/>
      <c r="HM96" s="3"/>
      <c r="HN96" s="3"/>
      <c r="HO96" s="3"/>
      <c r="HP96" s="3"/>
      <c r="HQ96" s="3"/>
      <c r="HR96" s="3"/>
      <c r="HS96" s="3"/>
      <c r="HT96" s="3"/>
      <c r="HU96" s="3"/>
      <c r="HV96" s="3"/>
      <c r="HW96" s="3"/>
      <c r="HX96" s="3"/>
      <c r="HY96" s="3"/>
      <c r="HZ96" s="3"/>
      <c r="IA96" s="3"/>
      <c r="IB96" s="3"/>
      <c r="IC96" s="3"/>
      <c r="ID96" s="3"/>
      <c r="IE96" s="3"/>
      <c r="IF96" s="3"/>
      <c r="IG96" s="3"/>
      <c r="IH96" s="3"/>
      <c r="II96" s="3"/>
      <c r="IJ96" s="3"/>
      <c r="IK96" s="3"/>
      <c r="IL96" s="3"/>
      <c r="IM96" s="3"/>
      <c r="IN96" s="3"/>
      <c r="IO96" s="3"/>
      <c r="IP96" s="3"/>
      <c r="IQ96" s="3"/>
      <c r="IR96" s="3"/>
      <c r="IS96" s="3"/>
      <c r="IT96" s="3"/>
      <c r="IU96" s="3"/>
      <c r="IV96" s="3"/>
      <c r="IW96" s="3"/>
      <c r="IX96" s="3"/>
      <c r="IY96" s="3"/>
      <c r="IZ96" s="3"/>
      <c r="JA96" s="3"/>
      <c r="JB96" s="3"/>
      <c r="JC96" s="3"/>
      <c r="JD96" s="3"/>
      <c r="JE96" s="3"/>
      <c r="JF96" s="3"/>
      <c r="JG96" s="3"/>
      <c r="JH96" s="3"/>
      <c r="JI96" s="3"/>
      <c r="JJ96" s="3"/>
      <c r="JK96" s="3"/>
    </row>
    <row r="97" spans="1:271" s="11" customFormat="1">
      <c r="A97" s="801"/>
      <c r="B97" s="557" t="s">
        <v>339</v>
      </c>
      <c r="C97" s="863"/>
      <c r="D97" s="863">
        <f t="shared" ref="D97:AT97" si="258">D17/D$12</f>
        <v>0</v>
      </c>
      <c r="E97" s="863">
        <f t="shared" si="258"/>
        <v>0.12288666249217284</v>
      </c>
      <c r="F97" s="863">
        <f t="shared" si="258"/>
        <v>0.12717638152914459</v>
      </c>
      <c r="G97" s="863">
        <f t="shared" si="258"/>
        <v>0.19876610134489792</v>
      </c>
      <c r="H97" s="864">
        <f t="shared" si="258"/>
        <v>0.1301989150090416</v>
      </c>
      <c r="I97" s="863">
        <f t="shared" si="258"/>
        <v>0.13918529480489134</v>
      </c>
      <c r="J97" s="863">
        <f t="shared" si="258"/>
        <v>0.13567729228973666</v>
      </c>
      <c r="K97" s="863">
        <f t="shared" si="258"/>
        <v>0.13967455827920944</v>
      </c>
      <c r="L97" s="863">
        <f t="shared" si="258"/>
        <v>0.13536643347143923</v>
      </c>
      <c r="M97" s="864">
        <f t="shared" si="258"/>
        <v>0.13743479042993345</v>
      </c>
      <c r="N97" s="863">
        <f t="shared" si="258"/>
        <v>0.13276796885861256</v>
      </c>
      <c r="O97" s="863">
        <f t="shared" si="258"/>
        <v>0.13826976492107582</v>
      </c>
      <c r="P97" s="863">
        <f t="shared" si="258"/>
        <v>0.14104340828825607</v>
      </c>
      <c r="Q97" s="863">
        <f t="shared" si="258"/>
        <v>0.13742442221845511</v>
      </c>
      <c r="R97" s="864">
        <f t="shared" si="258"/>
        <v>0.13772868484639281</v>
      </c>
      <c r="S97" s="863">
        <f t="shared" si="258"/>
        <v>0.1377091377091377</v>
      </c>
      <c r="T97" s="863">
        <f t="shared" si="258"/>
        <v>0.13585837793330588</v>
      </c>
      <c r="U97" s="863">
        <f t="shared" si="258"/>
        <v>0.14235569422776911</v>
      </c>
      <c r="V97" s="863">
        <f t="shared" si="258"/>
        <v>0.13963438350836249</v>
      </c>
      <c r="W97" s="864">
        <f t="shared" si="258"/>
        <v>0.13895907023749368</v>
      </c>
      <c r="X97" s="863">
        <f t="shared" si="258"/>
        <v>0.13709361535448492</v>
      </c>
      <c r="Y97" s="863">
        <f t="shared" si="258"/>
        <v>0.1369488880218494</v>
      </c>
      <c r="Z97" s="863">
        <f t="shared" si="258"/>
        <v>0.14280652019844081</v>
      </c>
      <c r="AA97" s="863">
        <f t="shared" si="258"/>
        <v>0.14309993201903468</v>
      </c>
      <c r="AB97" s="864">
        <f t="shared" si="258"/>
        <v>0.14016544117647059</v>
      </c>
      <c r="AC97" s="863">
        <f t="shared" si="258"/>
        <v>0.14166376609815523</v>
      </c>
      <c r="AD97" s="863">
        <f t="shared" si="258"/>
        <v>0.13920863309352519</v>
      </c>
      <c r="AE97" s="863">
        <f t="shared" si="258"/>
        <v>0.14070175438596491</v>
      </c>
      <c r="AF97" s="863">
        <f t="shared" si="258"/>
        <v>0.13740982480247338</v>
      </c>
      <c r="AG97" s="864">
        <f t="shared" si="258"/>
        <v>0.13974066935342561</v>
      </c>
      <c r="AH97" s="863">
        <f t="shared" si="258"/>
        <v>0.13964742481852749</v>
      </c>
      <c r="AI97" s="863">
        <f t="shared" si="258"/>
        <v>0.13893653516295026</v>
      </c>
      <c r="AJ97" s="863">
        <f t="shared" si="258"/>
        <v>0.13833992094861661</v>
      </c>
      <c r="AK97" s="863">
        <f t="shared" si="258"/>
        <v>0.13960735431598628</v>
      </c>
      <c r="AL97" s="864">
        <f t="shared" si="258"/>
        <v>0.13913548494150835</v>
      </c>
      <c r="AM97" s="863">
        <f t="shared" si="258"/>
        <v>0.14134061267819228</v>
      </c>
      <c r="AN97" s="863">
        <f t="shared" si="258"/>
        <v>0.13936358279316441</v>
      </c>
      <c r="AO97" s="863">
        <f t="shared" si="258"/>
        <v>0.1423650975889782</v>
      </c>
      <c r="AP97" s="863">
        <f t="shared" si="258"/>
        <v>0.1404494382022472</v>
      </c>
      <c r="AQ97" s="864">
        <f t="shared" si="258"/>
        <v>0.14087544023575074</v>
      </c>
      <c r="AR97" s="863">
        <f t="shared" si="258"/>
        <v>0.14285714285714285</v>
      </c>
      <c r="AS97" s="863">
        <f t="shared" si="258"/>
        <v>0.14187400741132875</v>
      </c>
      <c r="AT97" s="863">
        <f t="shared" si="258"/>
        <v>0.15138361367335865</v>
      </c>
      <c r="AU97" s="863"/>
      <c r="AV97" s="864">
        <f t="shared" ref="AV97:CA97" si="259">AV17/AV$12</f>
        <v>0.1448888888888889</v>
      </c>
      <c r="AW97" s="863">
        <f t="shared" si="259"/>
        <v>0.13848396501457727</v>
      </c>
      <c r="AX97" s="863">
        <f t="shared" si="259"/>
        <v>0.14228912240840672</v>
      </c>
      <c r="AY97" s="863">
        <f t="shared" si="259"/>
        <v>0.14257085599770972</v>
      </c>
      <c r="AZ97" s="863">
        <f t="shared" si="259"/>
        <v>0.14205079962370648</v>
      </c>
      <c r="BA97" s="863">
        <f t="shared" si="259"/>
        <v>0.15266512166859791</v>
      </c>
      <c r="BB97" s="863">
        <f t="shared" si="259"/>
        <v>0.1553714116602545</v>
      </c>
      <c r="BC97" s="863">
        <f t="shared" si="259"/>
        <v>0.15802244464664847</v>
      </c>
      <c r="BD97" s="863">
        <f t="shared" si="259"/>
        <v>0.1675573718956303</v>
      </c>
      <c r="BE97" s="864">
        <f t="shared" si="259"/>
        <v>0.1582387857840559</v>
      </c>
      <c r="BF97" s="863">
        <f t="shared" si="259"/>
        <v>0.1682278006744099</v>
      </c>
      <c r="BG97" s="863">
        <f t="shared" si="259"/>
        <v>0.17003891050583658</v>
      </c>
      <c r="BH97" s="863">
        <f t="shared" si="259"/>
        <v>0.17336065573770493</v>
      </c>
      <c r="BI97" s="863">
        <f t="shared" si="259"/>
        <v>0.18407960199004975</v>
      </c>
      <c r="BJ97" s="864">
        <f t="shared" si="259"/>
        <v>0.17371915568328214</v>
      </c>
      <c r="BK97" s="863">
        <f t="shared" si="259"/>
        <v>0.18272690923630547</v>
      </c>
      <c r="BL97" s="863">
        <f t="shared" si="259"/>
        <v>0.18471074380165289</v>
      </c>
      <c r="BM97" s="863">
        <f t="shared" si="259"/>
        <v>0.18629908103592313</v>
      </c>
      <c r="BN97" s="863">
        <f t="shared" si="259"/>
        <v>0.18442801217920834</v>
      </c>
      <c r="BO97" s="864">
        <f t="shared" si="259"/>
        <v>0.18452257125026003</v>
      </c>
      <c r="BP97" s="863">
        <f t="shared" si="259"/>
        <v>0.18599834299917151</v>
      </c>
      <c r="BQ97" s="863">
        <f t="shared" si="259"/>
        <v>0.18132118451025056</v>
      </c>
      <c r="BR97" s="863">
        <f t="shared" si="259"/>
        <v>0.18233349078885214</v>
      </c>
      <c r="BS97" s="863">
        <f t="shared" si="259"/>
        <v>0.17989903625516293</v>
      </c>
      <c r="BT97" s="864">
        <f t="shared" si="259"/>
        <v>0.18248175182481752</v>
      </c>
      <c r="BU97" s="863">
        <f t="shared" si="259"/>
        <v>0.17902588854760859</v>
      </c>
      <c r="BV97" s="863">
        <f t="shared" si="259"/>
        <v>0.17908438061041293</v>
      </c>
      <c r="BW97" s="863">
        <f t="shared" si="259"/>
        <v>0.17314647377938516</v>
      </c>
      <c r="BX97" s="863">
        <f t="shared" si="259"/>
        <v>0.18036428254109285</v>
      </c>
      <c r="BY97" s="864">
        <f t="shared" si="259"/>
        <v>0.17792642140468226</v>
      </c>
      <c r="BZ97" s="863">
        <f t="shared" si="259"/>
        <v>0.17714044706874738</v>
      </c>
      <c r="CA97" s="863">
        <f t="shared" si="259"/>
        <v>0.17948717948717949</v>
      </c>
      <c r="CB97" s="863">
        <f t="shared" ref="CB97:CW97" si="260">CB17/CB$12</f>
        <v>0.17608897126969417</v>
      </c>
      <c r="CC97" s="863">
        <f t="shared" si="260"/>
        <v>0.17676537585421412</v>
      </c>
      <c r="CD97" s="864">
        <f t="shared" si="260"/>
        <v>0.17736865738661878</v>
      </c>
      <c r="CE97" s="863">
        <f t="shared" si="260"/>
        <v>0.17332163229486616</v>
      </c>
      <c r="CF97" s="863">
        <f t="shared" si="260"/>
        <v>0.177209510991476</v>
      </c>
      <c r="CG97" s="863">
        <f t="shared" si="260"/>
        <v>0.17197170645446508</v>
      </c>
      <c r="CH97" s="863">
        <f t="shared" si="260"/>
        <v>0.17425917735515259</v>
      </c>
      <c r="CI97" s="864">
        <f t="shared" si="260"/>
        <v>0.17417783191230207</v>
      </c>
      <c r="CJ97" s="863">
        <f t="shared" si="260"/>
        <v>0.17015818725951262</v>
      </c>
      <c r="CK97" s="863">
        <f t="shared" si="260"/>
        <v>0.17151541467650891</v>
      </c>
      <c r="CL97" s="863">
        <f t="shared" si="260"/>
        <v>0.17241379310344829</v>
      </c>
      <c r="CM97" s="863">
        <f t="shared" si="260"/>
        <v>0.17122990004345937</v>
      </c>
      <c r="CN97" s="864">
        <f t="shared" si="260"/>
        <v>0.17131993481803368</v>
      </c>
      <c r="CO97" s="863">
        <f t="shared" si="260"/>
        <v>0.16303005351996708</v>
      </c>
      <c r="CP97" s="863">
        <f t="shared" si="260"/>
        <v>0.17043478260869566</v>
      </c>
      <c r="CQ97" s="863">
        <f t="shared" si="260"/>
        <v>0.16557448667540411</v>
      </c>
      <c r="CR97" s="863">
        <f t="shared" si="260"/>
        <v>0.1619209519762006</v>
      </c>
      <c r="CS97" s="864">
        <f t="shared" si="260"/>
        <v>0.16519048127200939</v>
      </c>
      <c r="CT97" s="863">
        <f t="shared" si="260"/>
        <v>0.16017663588920111</v>
      </c>
      <c r="CU97" s="863">
        <f t="shared" si="260"/>
        <v>0.15845213849287168</v>
      </c>
      <c r="CV97" s="863">
        <f t="shared" si="260"/>
        <v>0.15492377420683973</v>
      </c>
      <c r="CW97" s="863">
        <f t="shared" si="260"/>
        <v>0.1532990912682734</v>
      </c>
      <c r="CX97" s="864">
        <f t="shared" ref="CX97:EG97" si="261">CX17/CX$14</f>
        <v>0.17019410023028841</v>
      </c>
      <c r="CY97" s="863">
        <f t="shared" si="261"/>
        <v>0.16087138667783829</v>
      </c>
      <c r="CZ97" s="863">
        <f t="shared" si="261"/>
        <v>0.15978530140379851</v>
      </c>
      <c r="DA97" s="863">
        <f t="shared" si="261"/>
        <v>0.16071428571428573</v>
      </c>
      <c r="DB97" s="863">
        <f t="shared" si="261"/>
        <v>0.16113256113256114</v>
      </c>
      <c r="DC97" s="864">
        <f t="shared" si="261"/>
        <v>0.1606917672491443</v>
      </c>
      <c r="DD97" s="863">
        <f t="shared" si="261"/>
        <v>0.1599592460519613</v>
      </c>
      <c r="DE97" s="863">
        <f t="shared" si="261"/>
        <v>0.16056407718951016</v>
      </c>
      <c r="DF97" s="863">
        <f t="shared" si="261"/>
        <v>0.15912897822445563</v>
      </c>
      <c r="DG97" s="863">
        <f t="shared" si="261"/>
        <v>0.15398388540734109</v>
      </c>
      <c r="DH97" s="864">
        <f t="shared" si="261"/>
        <v>0.15829070117363828</v>
      </c>
      <c r="DI97" s="863">
        <f t="shared" si="261"/>
        <v>0.15528933092224231</v>
      </c>
      <c r="DJ97" s="863">
        <f t="shared" si="261"/>
        <v>0.15739091718610865</v>
      </c>
      <c r="DK97" s="863">
        <f t="shared" si="261"/>
        <v>0.16027280477408354</v>
      </c>
      <c r="DL97" s="863">
        <f t="shared" si="261"/>
        <v>0.16255471547950656</v>
      </c>
      <c r="DM97" s="864">
        <f t="shared" si="261"/>
        <v>0.15901041107652678</v>
      </c>
      <c r="DN97" s="863">
        <f t="shared" si="261"/>
        <v>0.16078509119746234</v>
      </c>
      <c r="DO97" s="863">
        <f t="shared" si="261"/>
        <v>0.15879211175020541</v>
      </c>
      <c r="DP97" s="863">
        <f t="shared" si="261"/>
        <v>0.1581769436997319</v>
      </c>
      <c r="DQ97" s="863">
        <f t="shared" si="261"/>
        <v>0.15905349794238682</v>
      </c>
      <c r="DR97" s="864">
        <f t="shared" si="261"/>
        <v>0.1592171652820957</v>
      </c>
      <c r="DS97" s="863">
        <f t="shared" si="261"/>
        <v>0.15894452524413047</v>
      </c>
      <c r="DT97" s="863">
        <f t="shared" si="261"/>
        <v>0.16243231986672219</v>
      </c>
      <c r="DU97" s="863">
        <f>DU17/DU$14</f>
        <v>0.16136066288704753</v>
      </c>
      <c r="DV97" s="863">
        <f t="shared" ref="DV97" si="262">DV17/DV$14</f>
        <v>0.16070711128967458</v>
      </c>
      <c r="DW97" s="864">
        <f t="shared" si="261"/>
        <v>0.16085301631993326</v>
      </c>
      <c r="DX97" s="863">
        <f t="shared" si="261"/>
        <v>0.15546594601009853</v>
      </c>
      <c r="DY97" s="863">
        <f t="shared" si="261"/>
        <v>0.15328627282338944</v>
      </c>
      <c r="DZ97" s="863">
        <f t="shared" si="261"/>
        <v>0.15105594648321111</v>
      </c>
      <c r="EA97" s="863">
        <f t="shared" si="261"/>
        <v>0.15211770037992725</v>
      </c>
      <c r="EB97" s="864">
        <f t="shared" si="261"/>
        <v>0.15300202940053123</v>
      </c>
      <c r="EC97" s="863">
        <f t="shared" si="261"/>
        <v>0.1525369812200349</v>
      </c>
      <c r="ED97" s="863">
        <f t="shared" si="261"/>
        <v>0.15274458970103338</v>
      </c>
      <c r="EE97" s="863">
        <f t="shared" si="261"/>
        <v>0.15284493735527338</v>
      </c>
      <c r="EF97" s="863">
        <f t="shared" si="261"/>
        <v>0.15497851707555887</v>
      </c>
      <c r="EG97" s="864">
        <f t="shared" si="261"/>
        <v>0.15329958484026943</v>
      </c>
      <c r="EH97" s="863">
        <f t="shared" ref="EH97:EL97" si="263">EH17/EH$14</f>
        <v>0.15597269692430318</v>
      </c>
      <c r="EI97" s="863">
        <f t="shared" si="263"/>
        <v>0.15623644931966502</v>
      </c>
      <c r="EJ97" s="863">
        <f t="shared" si="263"/>
        <v>0.15637832523082493</v>
      </c>
      <c r="EK97" s="863">
        <f t="shared" si="263"/>
        <v>0.15882493464150199</v>
      </c>
      <c r="EL97" s="864">
        <f t="shared" si="263"/>
        <v>0.15687997566935377</v>
      </c>
      <c r="EM97" s="1563">
        <v>3</v>
      </c>
      <c r="EN97"/>
      <c r="EO97"/>
      <c r="EP97"/>
      <c r="EQ97"/>
      <c r="ER97"/>
      <c r="ES97" s="7"/>
      <c r="ET97"/>
      <c r="EU97" s="7"/>
      <c r="EV97" s="7"/>
      <c r="EW97" s="7"/>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c r="HF97" s="3"/>
      <c r="HG97" s="3"/>
      <c r="HH97" s="3"/>
      <c r="HI97" s="3"/>
      <c r="HJ97" s="3"/>
      <c r="HK97" s="3"/>
      <c r="HL97" s="3"/>
      <c r="HM97" s="3"/>
      <c r="HN97" s="3"/>
      <c r="HO97" s="3"/>
      <c r="HP97" s="3"/>
      <c r="HQ97" s="3"/>
      <c r="HR97" s="3"/>
      <c r="HS97" s="3"/>
      <c r="HT97" s="3"/>
      <c r="HU97" s="3"/>
      <c r="HV97" s="3"/>
      <c r="HW97" s="3"/>
      <c r="HX97" s="3"/>
      <c r="HY97" s="3"/>
      <c r="HZ97" s="3"/>
      <c r="IA97" s="3"/>
      <c r="IB97" s="3"/>
      <c r="IC97" s="3"/>
      <c r="ID97" s="3"/>
      <c r="IE97" s="3"/>
      <c r="IF97" s="3"/>
      <c r="IG97" s="3"/>
      <c r="IH97" s="3"/>
      <c r="II97" s="3"/>
      <c r="IJ97" s="3"/>
      <c r="IK97" s="3"/>
      <c r="IL97" s="3"/>
      <c r="IM97" s="3"/>
      <c r="IN97" s="3"/>
      <c r="IO97" s="3"/>
      <c r="IP97" s="3"/>
      <c r="IQ97" s="3"/>
      <c r="IR97" s="3"/>
      <c r="IS97" s="3"/>
      <c r="IT97" s="3"/>
      <c r="IU97" s="3"/>
      <c r="IV97" s="3"/>
      <c r="IW97" s="3"/>
      <c r="IX97" s="3"/>
      <c r="IY97" s="3"/>
      <c r="IZ97" s="3"/>
      <c r="JA97" s="3"/>
      <c r="JB97" s="3"/>
      <c r="JC97" s="3"/>
      <c r="JD97" s="3"/>
      <c r="JE97" s="3"/>
      <c r="JF97" s="3"/>
      <c r="JG97" s="3"/>
      <c r="JH97" s="3"/>
      <c r="JI97" s="3"/>
      <c r="JJ97" s="3"/>
      <c r="JK97" s="3"/>
    </row>
    <row r="98" spans="1:271" s="11" customFormat="1">
      <c r="A98" s="801"/>
      <c r="B98" s="557" t="s">
        <v>340</v>
      </c>
      <c r="C98" s="863"/>
      <c r="D98" s="863">
        <f t="shared" ref="D98:AT98" si="264">D18/D$12</f>
        <v>0</v>
      </c>
      <c r="E98" s="863">
        <f t="shared" si="264"/>
        <v>0.22636192861615531</v>
      </c>
      <c r="F98" s="863">
        <f t="shared" si="264"/>
        <v>0.23133989401968208</v>
      </c>
      <c r="G98" s="863">
        <f t="shared" si="264"/>
        <v>0.34044687339816282</v>
      </c>
      <c r="H98" s="864">
        <f t="shared" si="264"/>
        <v>0.22875226039783003</v>
      </c>
      <c r="I98" s="863">
        <f t="shared" si="264"/>
        <v>0.21933172365449022</v>
      </c>
      <c r="J98" s="863">
        <f t="shared" si="264"/>
        <v>0.21642716463637024</v>
      </c>
      <c r="K98" s="863">
        <f t="shared" si="264"/>
        <v>0.21691458900761226</v>
      </c>
      <c r="L98" s="863">
        <f t="shared" si="264"/>
        <v>0.21945255722339202</v>
      </c>
      <c r="M98" s="864">
        <f t="shared" si="264"/>
        <v>0.21802482460874259</v>
      </c>
      <c r="N98" s="863">
        <f t="shared" si="264"/>
        <v>0.22362018629222857</v>
      </c>
      <c r="O98" s="863">
        <f t="shared" si="264"/>
        <v>0.21692297269832667</v>
      </c>
      <c r="P98" s="863">
        <f t="shared" si="264"/>
        <v>0.21042514193750278</v>
      </c>
      <c r="Q98" s="863">
        <f t="shared" si="264"/>
        <v>0.20240718765892529</v>
      </c>
      <c r="R98" s="864">
        <f t="shared" si="264"/>
        <v>0.2104475894603613</v>
      </c>
      <c r="S98" s="863">
        <f t="shared" si="264"/>
        <v>0.20849420849420849</v>
      </c>
      <c r="T98" s="863">
        <f t="shared" si="264"/>
        <v>0.2107863318237958</v>
      </c>
      <c r="U98" s="863">
        <f t="shared" si="264"/>
        <v>0.20202808112324494</v>
      </c>
      <c r="V98" s="863">
        <f t="shared" si="264"/>
        <v>0.21586931155192532</v>
      </c>
      <c r="W98" s="864">
        <f t="shared" si="264"/>
        <v>0.20929762506316321</v>
      </c>
      <c r="X98" s="863">
        <f t="shared" si="264"/>
        <v>0.21974148061104584</v>
      </c>
      <c r="Y98" s="863">
        <f t="shared" si="264"/>
        <v>0.20991026141240735</v>
      </c>
      <c r="Z98" s="863">
        <f t="shared" si="264"/>
        <v>0.21651311126860381</v>
      </c>
      <c r="AA98" s="863">
        <f t="shared" si="264"/>
        <v>0.21481985044187626</v>
      </c>
      <c r="AB98" s="864">
        <f t="shared" si="264"/>
        <v>0.21525735294117648</v>
      </c>
      <c r="AC98" s="863">
        <f t="shared" si="264"/>
        <v>0.21754263835711798</v>
      </c>
      <c r="AD98" s="863">
        <f t="shared" si="264"/>
        <v>0.21726618705035972</v>
      </c>
      <c r="AE98" s="863">
        <f t="shared" si="264"/>
        <v>0.21543859649122807</v>
      </c>
      <c r="AF98" s="863">
        <f t="shared" si="264"/>
        <v>0.2342837512882171</v>
      </c>
      <c r="AG98" s="864">
        <f t="shared" si="264"/>
        <v>0.22121955493253898</v>
      </c>
      <c r="AH98" s="863">
        <f t="shared" si="264"/>
        <v>0.21984099550639474</v>
      </c>
      <c r="AI98" s="863">
        <f t="shared" si="264"/>
        <v>0.21852487135506005</v>
      </c>
      <c r="AJ98" s="863">
        <f t="shared" si="264"/>
        <v>0.21113306982872201</v>
      </c>
      <c r="AK98" s="863">
        <f t="shared" si="264"/>
        <v>0.21470863197257711</v>
      </c>
      <c r="AL98" s="864">
        <f t="shared" si="264"/>
        <v>0.21596283083049864</v>
      </c>
      <c r="AM98" s="863">
        <f t="shared" si="264"/>
        <v>0.20897785865938731</v>
      </c>
      <c r="AN98" s="863">
        <f t="shared" si="264"/>
        <v>0.20182675309369474</v>
      </c>
      <c r="AO98" s="863">
        <f t="shared" si="264"/>
        <v>0.19517795637198623</v>
      </c>
      <c r="AP98" s="863">
        <f t="shared" si="264"/>
        <v>0.20599250936329588</v>
      </c>
      <c r="AQ98" s="864">
        <f t="shared" si="264"/>
        <v>0.20297563429885718</v>
      </c>
      <c r="AR98" s="863">
        <f t="shared" si="264"/>
        <v>0.19389684039967595</v>
      </c>
      <c r="AS98" s="863">
        <f t="shared" si="264"/>
        <v>0.19295923769190049</v>
      </c>
      <c r="AT98" s="863">
        <f t="shared" si="264"/>
        <v>0.23277265328269126</v>
      </c>
      <c r="AU98" s="863"/>
      <c r="AV98" s="864">
        <f t="shared" ref="AV98:CA98" si="265">AV18/AV$12</f>
        <v>0.192</v>
      </c>
      <c r="AW98" s="863">
        <f t="shared" si="265"/>
        <v>0.20145772594752187</v>
      </c>
      <c r="AX98" s="863">
        <f t="shared" si="265"/>
        <v>0.19284294234592445</v>
      </c>
      <c r="AY98" s="863">
        <f t="shared" si="265"/>
        <v>0.22960206126538793</v>
      </c>
      <c r="AZ98" s="863">
        <f t="shared" si="265"/>
        <v>0.20406686446197264</v>
      </c>
      <c r="BA98" s="863">
        <f t="shared" si="265"/>
        <v>0.20915411355735805</v>
      </c>
      <c r="BB98" s="863">
        <f t="shared" si="265"/>
        <v>0.22284699615270789</v>
      </c>
      <c r="BC98" s="863">
        <f t="shared" si="265"/>
        <v>0.22869275098574463</v>
      </c>
      <c r="BD98" s="863">
        <f t="shared" si="265"/>
        <v>0.22194278528764538</v>
      </c>
      <c r="BE98" s="864">
        <f t="shared" si="265"/>
        <v>0.22052746261928019</v>
      </c>
      <c r="BF98" s="863">
        <f t="shared" si="265"/>
        <v>0.20944173847883102</v>
      </c>
      <c r="BG98" s="863">
        <f t="shared" si="265"/>
        <v>0.23735408560311283</v>
      </c>
      <c r="BH98" s="863">
        <f t="shared" si="265"/>
        <v>0.22827868852459016</v>
      </c>
      <c r="BI98" s="863">
        <f t="shared" si="265"/>
        <v>0.23051409618573798</v>
      </c>
      <c r="BJ98" s="864">
        <f t="shared" si="265"/>
        <v>0.22614210682786642</v>
      </c>
      <c r="BK98" s="863">
        <f t="shared" si="265"/>
        <v>0.2107157137145142</v>
      </c>
      <c r="BL98" s="863">
        <f t="shared" si="265"/>
        <v>0.22603305785123967</v>
      </c>
      <c r="BM98" s="863">
        <f t="shared" si="265"/>
        <v>0.23141186299081035</v>
      </c>
      <c r="BN98" s="863">
        <f t="shared" si="265"/>
        <v>0.24140930839495434</v>
      </c>
      <c r="BO98" s="864">
        <f t="shared" si="265"/>
        <v>0.22706469731641357</v>
      </c>
      <c r="BP98" s="863">
        <f t="shared" si="265"/>
        <v>0.22203811101905552</v>
      </c>
      <c r="BQ98" s="863">
        <f t="shared" si="265"/>
        <v>0.22642369020501138</v>
      </c>
      <c r="BR98" s="863">
        <f t="shared" si="265"/>
        <v>0.24232404345772318</v>
      </c>
      <c r="BS98" s="863">
        <f t="shared" si="265"/>
        <v>0.24047728315741165</v>
      </c>
      <c r="BT98" s="864">
        <f t="shared" si="265"/>
        <v>0.23245367770915215</v>
      </c>
      <c r="BU98" s="863">
        <f t="shared" si="265"/>
        <v>0.22904782799473453</v>
      </c>
      <c r="BV98" s="863">
        <f t="shared" si="265"/>
        <v>0.2374326750448833</v>
      </c>
      <c r="BW98" s="863">
        <f t="shared" si="265"/>
        <v>0.23056057866184448</v>
      </c>
      <c r="BX98" s="863">
        <f t="shared" si="265"/>
        <v>0.23189693469569081</v>
      </c>
      <c r="BY98" s="864">
        <f t="shared" si="265"/>
        <v>0.23221850613154962</v>
      </c>
      <c r="BZ98" s="863">
        <f t="shared" si="265"/>
        <v>0.22437789962041332</v>
      </c>
      <c r="CA98" s="863">
        <f t="shared" si="265"/>
        <v>0.23260073260073261</v>
      </c>
      <c r="CB98" s="863">
        <f t="shared" ref="CB98:CW98" si="266">CB18/CB$12</f>
        <v>0.23354958294717332</v>
      </c>
      <c r="CC98" s="863">
        <f t="shared" si="266"/>
        <v>0.21640091116173121</v>
      </c>
      <c r="CD98" s="864">
        <f t="shared" si="266"/>
        <v>0.22665020206555905</v>
      </c>
      <c r="CE98" s="863">
        <f t="shared" si="266"/>
        <v>0.20930232558139536</v>
      </c>
      <c r="CF98" s="863">
        <f t="shared" si="266"/>
        <v>0.21175414984297891</v>
      </c>
      <c r="CG98" s="863">
        <f t="shared" si="266"/>
        <v>0.21485411140583555</v>
      </c>
      <c r="CH98" s="863">
        <f t="shared" si="266"/>
        <v>0.2118531623175586</v>
      </c>
      <c r="CI98" s="864">
        <f t="shared" si="266"/>
        <v>0.21193666260657734</v>
      </c>
      <c r="CJ98" s="863">
        <f t="shared" si="266"/>
        <v>0.1996579734929457</v>
      </c>
      <c r="CK98" s="863">
        <f t="shared" si="266"/>
        <v>0.21623968736430743</v>
      </c>
      <c r="CL98" s="863">
        <f t="shared" si="266"/>
        <v>0.22325375773651635</v>
      </c>
      <c r="CM98" s="863">
        <f t="shared" si="266"/>
        <v>0.20338983050847459</v>
      </c>
      <c r="CN98" s="864">
        <f t="shared" si="266"/>
        <v>0.21053775122216187</v>
      </c>
      <c r="CO98" s="863">
        <f t="shared" si="266"/>
        <v>0.20214079868258542</v>
      </c>
      <c r="CP98" s="863">
        <f t="shared" si="266"/>
        <v>0.22086956521739132</v>
      </c>
      <c r="CQ98" s="863">
        <f t="shared" si="266"/>
        <v>0.23023154215814767</v>
      </c>
      <c r="CR98" s="863">
        <f t="shared" si="266"/>
        <v>0.20994475138121546</v>
      </c>
      <c r="CS98" s="864">
        <f t="shared" si="266"/>
        <v>0.21555863835236366</v>
      </c>
      <c r="CT98" s="863">
        <f t="shared" si="266"/>
        <v>0.21316740264953835</v>
      </c>
      <c r="CU98" s="863">
        <f t="shared" si="266"/>
        <v>0.21751527494908351</v>
      </c>
      <c r="CV98" s="863">
        <f t="shared" si="266"/>
        <v>0.22208487845076225</v>
      </c>
      <c r="CW98" s="863">
        <f t="shared" si="266"/>
        <v>0.2145397076254445</v>
      </c>
      <c r="CX98" s="864">
        <f t="shared" ref="CX98:EG98" si="267">CX18/CX$14</f>
        <v>0.23544248272836935</v>
      </c>
      <c r="CY98" s="863">
        <f t="shared" si="267"/>
        <v>0.23795559279430248</v>
      </c>
      <c r="CZ98" s="863">
        <f t="shared" si="267"/>
        <v>0.23410404624277456</v>
      </c>
      <c r="DA98" s="863">
        <f t="shared" si="267"/>
        <v>0.23878737541528239</v>
      </c>
      <c r="DB98" s="863">
        <f t="shared" si="267"/>
        <v>0.2550836550836551</v>
      </c>
      <c r="DC98" s="864">
        <f t="shared" si="267"/>
        <v>0.24328949738785804</v>
      </c>
      <c r="DD98" s="863">
        <f t="shared" si="267"/>
        <v>0.25445746306673461</v>
      </c>
      <c r="DE98" s="863">
        <f t="shared" si="267"/>
        <v>0.25606135576447303</v>
      </c>
      <c r="DF98" s="863">
        <f t="shared" si="267"/>
        <v>0.24694903086862885</v>
      </c>
      <c r="DG98" s="863">
        <f t="shared" si="267"/>
        <v>0.23455684870188004</v>
      </c>
      <c r="DH98" s="864">
        <f t="shared" si="267"/>
        <v>0.24760758350887752</v>
      </c>
      <c r="DI98" s="863">
        <f t="shared" si="267"/>
        <v>0.24706148282097648</v>
      </c>
      <c r="DJ98" s="863">
        <f t="shared" si="267"/>
        <v>0.24065004452359751</v>
      </c>
      <c r="DK98" s="863">
        <f t="shared" si="267"/>
        <v>0.24531116794543906</v>
      </c>
      <c r="DL98" s="863">
        <f t="shared" si="267"/>
        <v>0.24472741742936729</v>
      </c>
      <c r="DM98" s="864">
        <f t="shared" si="267"/>
        <v>0.24444563700762048</v>
      </c>
      <c r="DN98" s="863">
        <f t="shared" si="267"/>
        <v>0.24623314829500398</v>
      </c>
      <c r="DO98" s="863">
        <f t="shared" si="267"/>
        <v>0.24917830731306492</v>
      </c>
      <c r="DP98" s="863">
        <f t="shared" si="267"/>
        <v>0.25386677665498042</v>
      </c>
      <c r="DQ98" s="863">
        <f t="shared" si="267"/>
        <v>0.24794238683127573</v>
      </c>
      <c r="DR98" s="864">
        <f t="shared" si="267"/>
        <v>0.24927373732225677</v>
      </c>
      <c r="DS98" s="863">
        <f t="shared" si="267"/>
        <v>0.24662372740494495</v>
      </c>
      <c r="DT98" s="863">
        <f t="shared" si="267"/>
        <v>0.24135776759683467</v>
      </c>
      <c r="DU98" s="863">
        <f>DU18/DU$14</f>
        <v>0.24422154382904493</v>
      </c>
      <c r="DV98" s="863">
        <f t="shared" ref="DV98" si="268">DV18/DV$14</f>
        <v>0.2217758135797509</v>
      </c>
      <c r="DW98" s="864">
        <f t="shared" si="267"/>
        <v>0.23828145367328848</v>
      </c>
      <c r="DX98" s="863">
        <f t="shared" si="267"/>
        <v>0.23722217934683279</v>
      </c>
      <c r="DY98" s="863">
        <f t="shared" si="267"/>
        <v>0.23070339745351096</v>
      </c>
      <c r="DZ98" s="863">
        <f t="shared" si="267"/>
        <v>0.23063031755532801</v>
      </c>
      <c r="EA98" s="863">
        <f t="shared" si="267"/>
        <v>0.2328426957319478</v>
      </c>
      <c r="EB98" s="864">
        <f t="shared" si="267"/>
        <v>0.23287602949927269</v>
      </c>
      <c r="EC98" s="863">
        <f t="shared" si="267"/>
        <v>0.23844549359844855</v>
      </c>
      <c r="ED98" s="863">
        <f t="shared" si="267"/>
        <v>0.23756927944878845</v>
      </c>
      <c r="EE98" s="863">
        <f t="shared" si="267"/>
        <v>0.23766791928479403</v>
      </c>
      <c r="EF98" s="863">
        <f t="shared" si="267"/>
        <v>0.23976563787891797</v>
      </c>
      <c r="EG98" s="864">
        <f t="shared" si="267"/>
        <v>0.23838099144300703</v>
      </c>
      <c r="EH98" s="863">
        <f t="shared" ref="EH98:EL98" si="269">EH18/EH$14</f>
        <v>0.23195537597339941</v>
      </c>
      <c r="EI98" s="863">
        <f t="shared" si="269"/>
        <v>0.23221508039783217</v>
      </c>
      <c r="EJ98" s="863">
        <f t="shared" si="269"/>
        <v>0.23127437729808081</v>
      </c>
      <c r="EK98" s="863">
        <f t="shared" si="269"/>
        <v>0.23367672262593739</v>
      </c>
      <c r="EL98" s="864">
        <f t="shared" si="269"/>
        <v>0.23230262483779729</v>
      </c>
      <c r="EM98" s="1562">
        <v>1</v>
      </c>
      <c r="EN98"/>
      <c r="EO98"/>
      <c r="EP98"/>
      <c r="EQ98"/>
      <c r="ER98"/>
      <c r="ES98" s="7"/>
      <c r="ET98"/>
      <c r="EU98" s="7"/>
      <c r="EV98" s="7"/>
      <c r="EW98" s="7"/>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c r="HF98" s="3"/>
      <c r="HG98" s="3"/>
      <c r="HH98" s="3"/>
      <c r="HI98" s="3"/>
      <c r="HJ98" s="3"/>
      <c r="HK98" s="3"/>
      <c r="HL98" s="3"/>
      <c r="HM98" s="3"/>
      <c r="HN98" s="3"/>
      <c r="HO98" s="3"/>
      <c r="HP98" s="3"/>
      <c r="HQ98" s="3"/>
      <c r="HR98" s="3"/>
      <c r="HS98" s="3"/>
      <c r="HT98" s="3"/>
      <c r="HU98" s="3"/>
      <c r="HV98" s="3"/>
      <c r="HW98" s="3"/>
      <c r="HX98" s="3"/>
      <c r="HY98" s="3"/>
      <c r="HZ98" s="3"/>
      <c r="IA98" s="3"/>
      <c r="IB98" s="3"/>
      <c r="IC98" s="3"/>
      <c r="ID98" s="3"/>
      <c r="IE98" s="3"/>
      <c r="IF98" s="3"/>
      <c r="IG98" s="3"/>
      <c r="IH98" s="3"/>
      <c r="II98" s="3"/>
      <c r="IJ98" s="3"/>
      <c r="IK98" s="3"/>
      <c r="IL98" s="3"/>
      <c r="IM98" s="3"/>
      <c r="IN98" s="3"/>
      <c r="IO98" s="3"/>
      <c r="IP98" s="3"/>
      <c r="IQ98" s="3"/>
      <c r="IR98" s="3"/>
      <c r="IS98" s="3"/>
      <c r="IT98" s="3"/>
      <c r="IU98" s="3"/>
      <c r="IV98" s="3"/>
      <c r="IW98" s="3"/>
      <c r="IX98" s="3"/>
      <c r="IY98" s="3"/>
      <c r="IZ98" s="3"/>
      <c r="JA98" s="3"/>
      <c r="JB98" s="3"/>
      <c r="JC98" s="3"/>
      <c r="JD98" s="3"/>
      <c r="JE98" s="3"/>
      <c r="JF98" s="3"/>
      <c r="JG98" s="3"/>
      <c r="JH98" s="3"/>
      <c r="JI98" s="3"/>
      <c r="JJ98" s="3"/>
      <c r="JK98" s="3"/>
    </row>
    <row r="99" spans="1:271" s="11" customFormat="1">
      <c r="A99" s="801"/>
      <c r="B99" s="557" t="s">
        <v>347</v>
      </c>
      <c r="C99" s="863"/>
      <c r="D99" s="863">
        <f t="shared" ref="D99:AT99" si="270">D26/D$12</f>
        <v>5.7060957855273181E-2</v>
      </c>
      <c r="E99" s="863">
        <f t="shared" si="270"/>
        <v>5.823418910457108E-2</v>
      </c>
      <c r="F99" s="863">
        <f t="shared" si="270"/>
        <v>5.6926570779712339E-2</v>
      </c>
      <c r="G99" s="863">
        <f t="shared" si="270"/>
        <v>6.0756786258218912E-2</v>
      </c>
      <c r="H99" s="864">
        <f t="shared" si="270"/>
        <v>5.8770343580470161E-2</v>
      </c>
      <c r="I99" s="863">
        <f t="shared" si="270"/>
        <v>6.2465924137393873E-2</v>
      </c>
      <c r="J99" s="863">
        <f t="shared" si="270"/>
        <v>6.0179444160770292E-2</v>
      </c>
      <c r="K99" s="863">
        <f t="shared" si="270"/>
        <v>5.4333403170612471E-2</v>
      </c>
      <c r="L99" s="863">
        <f t="shared" si="270"/>
        <v>5.4676356720777024E-2</v>
      </c>
      <c r="M99" s="864">
        <f t="shared" si="270"/>
        <v>5.7744198596869939E-2</v>
      </c>
      <c r="N99" s="863">
        <f t="shared" si="270"/>
        <v>5.8459613513137776E-2</v>
      </c>
      <c r="O99" s="863">
        <f t="shared" si="270"/>
        <v>5.7922904952239014E-2</v>
      </c>
      <c r="P99" s="863">
        <f t="shared" si="270"/>
        <v>4.8370512763199071E-2</v>
      </c>
      <c r="Q99" s="863">
        <f t="shared" si="270"/>
        <v>4.6674577612024641E-2</v>
      </c>
      <c r="R99" s="864">
        <f t="shared" si="270"/>
        <v>5.0972270164538029E-2</v>
      </c>
      <c r="S99" s="863">
        <f t="shared" si="270"/>
        <v>4.5045045045045043E-2</v>
      </c>
      <c r="T99" s="863">
        <f t="shared" si="270"/>
        <v>4.693289419514203E-2</v>
      </c>
      <c r="U99" s="863">
        <f t="shared" si="270"/>
        <v>4.719188767550702E-2</v>
      </c>
      <c r="V99" s="863">
        <f t="shared" si="270"/>
        <v>4.6674445740956826E-2</v>
      </c>
      <c r="W99" s="864">
        <f t="shared" si="270"/>
        <v>4.6488125315816066E-2</v>
      </c>
      <c r="X99" s="863">
        <f t="shared" si="270"/>
        <v>4.974539757148453E-2</v>
      </c>
      <c r="Y99" s="863">
        <f t="shared" si="270"/>
        <v>5.2282481467030822E-2</v>
      </c>
      <c r="Z99" s="863">
        <f t="shared" si="270"/>
        <v>5.0318922749822824E-2</v>
      </c>
      <c r="AA99" s="863">
        <f t="shared" si="270"/>
        <v>5.2005438477226378E-2</v>
      </c>
      <c r="AB99" s="864">
        <f t="shared" si="270"/>
        <v>5.1102941176470587E-2</v>
      </c>
      <c r="AC99" s="863">
        <f t="shared" si="270"/>
        <v>4.6641141663766095E-2</v>
      </c>
      <c r="AD99" s="863">
        <f t="shared" si="270"/>
        <v>4.7482014388489209E-2</v>
      </c>
      <c r="AE99" s="863">
        <f t="shared" si="270"/>
        <v>4.6666666666666669E-2</v>
      </c>
      <c r="AF99" s="863">
        <f t="shared" si="270"/>
        <v>4.6032291308828584E-2</v>
      </c>
      <c r="AG99" s="864">
        <f t="shared" si="270"/>
        <v>4.6697038724373578E-2</v>
      </c>
      <c r="AH99" s="863">
        <f t="shared" si="270"/>
        <v>4.7355686138956098E-2</v>
      </c>
      <c r="AI99" s="863">
        <f t="shared" si="270"/>
        <v>4.6655231560891935E-2</v>
      </c>
      <c r="AJ99" s="863">
        <f t="shared" si="270"/>
        <v>4.5783926218708824E-2</v>
      </c>
      <c r="AK99" s="863">
        <f t="shared" si="270"/>
        <v>4.4250545341227798E-2</v>
      </c>
      <c r="AL99" s="864">
        <f t="shared" si="270"/>
        <v>4.5963660499460712E-2</v>
      </c>
      <c r="AM99" s="863">
        <f t="shared" si="270"/>
        <v>4.5192599332726721E-2</v>
      </c>
      <c r="AN99" s="863">
        <f t="shared" si="270"/>
        <v>4.4490276959340012E-2</v>
      </c>
      <c r="AO99" s="863">
        <f t="shared" si="270"/>
        <v>4.4202066590126293E-2</v>
      </c>
      <c r="AP99" s="863">
        <f t="shared" si="270"/>
        <v>4.0128410914927769E-2</v>
      </c>
      <c r="AQ99" s="864">
        <f t="shared" si="270"/>
        <v>4.341263566448645E-2</v>
      </c>
      <c r="AR99" s="863">
        <f t="shared" si="270"/>
        <v>3.456656764785309E-2</v>
      </c>
      <c r="AS99" s="863">
        <f t="shared" si="270"/>
        <v>3.4409740603493909E-2</v>
      </c>
      <c r="AT99" s="863">
        <f t="shared" si="270"/>
        <v>3.5811177428106349E-2</v>
      </c>
      <c r="AU99" s="863"/>
      <c r="AV99" s="864">
        <f t="shared" ref="AV99:CA99" si="271">AV26/AV$12</f>
        <v>4.2666666666666665E-2</v>
      </c>
      <c r="AW99" s="863">
        <f t="shared" si="271"/>
        <v>3.8775510204081633E-2</v>
      </c>
      <c r="AX99" s="863">
        <f t="shared" si="271"/>
        <v>3.4081226924169268E-2</v>
      </c>
      <c r="AY99" s="863">
        <f t="shared" si="271"/>
        <v>3.4640709991411396E-2</v>
      </c>
      <c r="AZ99" s="863">
        <f t="shared" si="271"/>
        <v>3.7484622621029015E-2</v>
      </c>
      <c r="BA99" s="863">
        <f t="shared" si="271"/>
        <v>3.4472769409038241E-2</v>
      </c>
      <c r="BB99" s="863">
        <f t="shared" si="271"/>
        <v>3.5513465522343891E-2</v>
      </c>
      <c r="BC99" s="863">
        <f t="shared" si="271"/>
        <v>3.3970276008492568E-2</v>
      </c>
      <c r="BD99" s="863">
        <f t="shared" si="271"/>
        <v>3.5837786859478152E-2</v>
      </c>
      <c r="BE99" s="864">
        <f t="shared" si="271"/>
        <v>3.4938763242918329E-2</v>
      </c>
      <c r="BF99" s="863">
        <f t="shared" si="271"/>
        <v>3.5968527538403898E-2</v>
      </c>
      <c r="BG99" s="863">
        <f t="shared" si="271"/>
        <v>3.6964980544747082E-2</v>
      </c>
      <c r="BH99" s="863">
        <f t="shared" si="271"/>
        <v>4.0573770491803281E-2</v>
      </c>
      <c r="BI99" s="863">
        <f t="shared" si="271"/>
        <v>4.1459369817578771E-2</v>
      </c>
      <c r="BJ99" s="864">
        <f t="shared" si="271"/>
        <v>3.8648300465761572E-2</v>
      </c>
      <c r="BK99" s="863">
        <f t="shared" si="271"/>
        <v>3.8384646141543383E-2</v>
      </c>
      <c r="BL99" s="863">
        <f t="shared" si="271"/>
        <v>3.8016528925619832E-2</v>
      </c>
      <c r="BM99" s="863">
        <f t="shared" si="271"/>
        <v>4.3859649122807015E-2</v>
      </c>
      <c r="BN99" s="863">
        <f t="shared" si="271"/>
        <v>3.8712483688560242E-2</v>
      </c>
      <c r="BO99" s="864">
        <f t="shared" si="271"/>
        <v>3.9733721655918451E-2</v>
      </c>
      <c r="BP99" s="863">
        <f t="shared" si="271"/>
        <v>3.7282518641259324E-2</v>
      </c>
      <c r="BQ99" s="863">
        <f t="shared" si="271"/>
        <v>3.735763097949886E-2</v>
      </c>
      <c r="BR99" s="863">
        <f t="shared" si="271"/>
        <v>3.920642418516769E-2</v>
      </c>
      <c r="BS99" s="863">
        <f t="shared" si="271"/>
        <v>4.3597980725103257E-2</v>
      </c>
      <c r="BT99" s="864">
        <f t="shared" si="271"/>
        <v>3.9303761931499155E-2</v>
      </c>
      <c r="BU99" s="863">
        <f t="shared" si="271"/>
        <v>3.9052215884159719E-2</v>
      </c>
      <c r="BV99" s="863">
        <f t="shared" si="271"/>
        <v>3.9946140035906644E-2</v>
      </c>
      <c r="BW99" s="863">
        <f t="shared" si="271"/>
        <v>4.1139240506329111E-2</v>
      </c>
      <c r="BX99" s="863">
        <f t="shared" si="271"/>
        <v>4.1314971123944916E-2</v>
      </c>
      <c r="BY99" s="864">
        <f t="shared" si="271"/>
        <v>4.0356744704570791E-2</v>
      </c>
      <c r="BZ99" s="863">
        <f t="shared" si="271"/>
        <v>4.006748207507381E-2</v>
      </c>
      <c r="CA99" s="863">
        <f t="shared" si="271"/>
        <v>4.3498168498168496E-2</v>
      </c>
      <c r="CB99" s="863">
        <f t="shared" ref="CB99:CW99" si="272">CB26/CB$12</f>
        <v>4.3558850787766452E-2</v>
      </c>
      <c r="CC99" s="863">
        <f t="shared" si="272"/>
        <v>4.3735763097949888E-2</v>
      </c>
      <c r="CD99" s="864">
        <f t="shared" si="272"/>
        <v>4.2658284687920968E-2</v>
      </c>
      <c r="CE99" s="863">
        <f t="shared" si="272"/>
        <v>4.256252742430891E-2</v>
      </c>
      <c r="CF99" s="863">
        <f t="shared" si="272"/>
        <v>4.3965903992821895E-2</v>
      </c>
      <c r="CG99" s="863">
        <f t="shared" si="272"/>
        <v>4.2882404951370467E-2</v>
      </c>
      <c r="CH99" s="863">
        <f t="shared" si="272"/>
        <v>4.2016806722689079E-2</v>
      </c>
      <c r="CI99" s="864">
        <f t="shared" si="272"/>
        <v>4.2852397298195108E-2</v>
      </c>
      <c r="CJ99" s="863">
        <f t="shared" si="272"/>
        <v>4.0615647712697732E-2</v>
      </c>
      <c r="CK99" s="863">
        <f t="shared" si="272"/>
        <v>4.211897524967434E-2</v>
      </c>
      <c r="CL99" s="863">
        <f t="shared" si="272"/>
        <v>4.4650751547303275E-2</v>
      </c>
      <c r="CM99" s="863">
        <f t="shared" si="272"/>
        <v>4.3893959148196438E-2</v>
      </c>
      <c r="CN99" s="864">
        <f t="shared" si="272"/>
        <v>4.280282455187398E-2</v>
      </c>
      <c r="CO99" s="863">
        <f t="shared" si="272"/>
        <v>4.0345821325648415E-2</v>
      </c>
      <c r="CP99" s="863">
        <f t="shared" si="272"/>
        <v>4.3478260869565216E-2</v>
      </c>
      <c r="CQ99" s="863">
        <f t="shared" si="272"/>
        <v>4.3687199650502405E-2</v>
      </c>
      <c r="CR99" s="863">
        <f t="shared" si="272"/>
        <v>4.2498937526561836E-2</v>
      </c>
      <c r="CS99" s="864">
        <f t="shared" si="272"/>
        <v>4.2471454487247894E-2</v>
      </c>
      <c r="CT99" s="863">
        <f t="shared" si="272"/>
        <v>4.0144520272982737E-2</v>
      </c>
      <c r="CU99" s="863">
        <f t="shared" si="272"/>
        <v>4.2362525458248472E-2</v>
      </c>
      <c r="CV99" s="863">
        <f t="shared" si="272"/>
        <v>4.5323444581788219E-2</v>
      </c>
      <c r="CW99" s="863">
        <f t="shared" si="272"/>
        <v>4.5831687080205449E-2</v>
      </c>
      <c r="CX99" s="864">
        <f t="shared" ref="CX99:DW99" si="273">CX26/CX$14</f>
        <v>4.7154293233907227E-2</v>
      </c>
      <c r="CY99" s="863">
        <f t="shared" si="273"/>
        <v>4.7758692919983241E-2</v>
      </c>
      <c r="CZ99" s="863">
        <f t="shared" si="273"/>
        <v>4.995871180842279E-2</v>
      </c>
      <c r="DA99" s="863">
        <f t="shared" si="273"/>
        <v>4.9418604651162788E-2</v>
      </c>
      <c r="DB99" s="863">
        <f t="shared" si="273"/>
        <v>4.9163449163449162E-2</v>
      </c>
      <c r="DC99" s="864">
        <f t="shared" si="273"/>
        <v>4.9090254008286795E-2</v>
      </c>
      <c r="DD99" s="863">
        <f t="shared" si="273"/>
        <v>4.9159449821701479E-2</v>
      </c>
      <c r="DE99" s="863">
        <f t="shared" si="273"/>
        <v>5.1707075705096486E-2</v>
      </c>
      <c r="DF99" s="863">
        <f t="shared" si="273"/>
        <v>4.9533381191672651E-2</v>
      </c>
      <c r="DG99" s="863">
        <f t="shared" si="273"/>
        <v>5.371530886302596E-2</v>
      </c>
      <c r="DH99" s="864">
        <f t="shared" si="273"/>
        <v>5.1098405055672584E-2</v>
      </c>
      <c r="DI99" s="863">
        <f t="shared" si="273"/>
        <v>4.6790235081374323E-2</v>
      </c>
      <c r="DJ99" s="863">
        <f t="shared" si="273"/>
        <v>4.3855743544078361E-2</v>
      </c>
      <c r="DK99" s="863">
        <f t="shared" si="273"/>
        <v>3.9428815004262575E-2</v>
      </c>
      <c r="DL99" s="863">
        <f t="shared" si="273"/>
        <v>4.1384799044966177E-2</v>
      </c>
      <c r="DM99" s="864">
        <f t="shared" si="273"/>
        <v>4.2771278308468393E-2</v>
      </c>
      <c r="DN99" s="863">
        <f t="shared" si="273"/>
        <v>4.2030134813639972E-2</v>
      </c>
      <c r="DO99" s="863">
        <f t="shared" si="273"/>
        <v>4.4165981922760889E-2</v>
      </c>
      <c r="DP99" s="863">
        <f t="shared" si="273"/>
        <v>4.2276758094452464E-2</v>
      </c>
      <c r="DQ99" s="863">
        <f>DQ26/DQ$14</f>
        <v>4.4855967078189299E-2</v>
      </c>
      <c r="DR99" s="864">
        <f t="shared" si="273"/>
        <v>4.332093165485959E-2</v>
      </c>
      <c r="DS99" s="863">
        <f>DS26/DS$14</f>
        <v>4.5917307292748802E-2</v>
      </c>
      <c r="DT99" s="863">
        <f t="shared" si="273"/>
        <v>4.6230737192836317E-2</v>
      </c>
      <c r="DU99" s="863">
        <f>DU26/DU$14</f>
        <v>4.7754034016572175E-2</v>
      </c>
      <c r="DV99" s="863">
        <f>DV26/DV$14</f>
        <v>4.1783848935315386E-2</v>
      </c>
      <c r="DW99" s="864">
        <f t="shared" si="273"/>
        <v>4.5362114813076802E-2</v>
      </c>
      <c r="DX99" s="1578">
        <v>4.3999999999999997E-2</v>
      </c>
      <c r="DY99" s="1579">
        <v>4.3999999999999997E-2</v>
      </c>
      <c r="DZ99" s="1579">
        <v>4.3999999999999997E-2</v>
      </c>
      <c r="EA99" s="1580">
        <v>4.3999999999999997E-2</v>
      </c>
      <c r="EB99" s="864">
        <f t="shared" ref="EB99:EG99" si="274">EB26/EB$14</f>
        <v>4.3999999999999997E-2</v>
      </c>
      <c r="EC99" s="863">
        <v>4.2999999999999997E-2</v>
      </c>
      <c r="ED99" s="863">
        <v>4.7E-2</v>
      </c>
      <c r="EE99" s="863">
        <v>4.7E-2</v>
      </c>
      <c r="EF99" s="863">
        <v>4.2999999999999997E-2</v>
      </c>
      <c r="EG99" s="864">
        <f t="shared" si="274"/>
        <v>4.497339273255406E-2</v>
      </c>
      <c r="EH99" s="863">
        <v>4.4999999999999998E-2</v>
      </c>
      <c r="EI99" s="863">
        <v>4.4999999999999998E-2</v>
      </c>
      <c r="EJ99" s="863">
        <v>4.4999999999999998E-2</v>
      </c>
      <c r="EK99" s="863">
        <v>4.4999999999999998E-2</v>
      </c>
      <c r="EL99" s="864">
        <f t="shared" ref="EL99" si="275">EL26/EL$14</f>
        <v>4.4999999999999991E-2</v>
      </c>
      <c r="EM99" s="1562">
        <v>2</v>
      </c>
      <c r="EN99"/>
      <c r="EO99"/>
      <c r="EP99"/>
      <c r="EQ99"/>
      <c r="ER99"/>
      <c r="ES99" s="7"/>
      <c r="ET99"/>
      <c r="EU99" s="7"/>
      <c r="EV99" s="7"/>
      <c r="EW99" s="7"/>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c r="HF99" s="3"/>
      <c r="HG99" s="3"/>
      <c r="HH99" s="3"/>
      <c r="HI99" s="3"/>
      <c r="HJ99" s="3"/>
      <c r="HK99" s="3"/>
      <c r="HL99" s="3"/>
      <c r="HM99" s="3"/>
      <c r="HN99" s="3"/>
      <c r="HO99" s="3"/>
      <c r="HP99" s="3"/>
      <c r="HQ99" s="3"/>
      <c r="HR99" s="3"/>
      <c r="HS99" s="3"/>
      <c r="HT99" s="3"/>
      <c r="HU99" s="3"/>
      <c r="HV99" s="3"/>
      <c r="HW99" s="3"/>
      <c r="HX99" s="3"/>
      <c r="HY99" s="3"/>
      <c r="HZ99" s="3"/>
      <c r="IA99" s="3"/>
      <c r="IB99" s="3"/>
      <c r="IC99" s="3"/>
      <c r="ID99" s="3"/>
      <c r="IE99" s="3"/>
      <c r="IF99" s="3"/>
      <c r="IG99" s="3"/>
      <c r="IH99" s="3"/>
      <c r="II99" s="3"/>
      <c r="IJ99" s="3"/>
      <c r="IK99" s="3"/>
      <c r="IL99" s="3"/>
      <c r="IM99" s="3"/>
      <c r="IN99" s="3"/>
      <c r="IO99" s="3"/>
      <c r="IP99" s="3"/>
      <c r="IQ99" s="3"/>
      <c r="IR99" s="3"/>
      <c r="IS99" s="3"/>
      <c r="IT99" s="3"/>
      <c r="IU99" s="3"/>
      <c r="IV99" s="3"/>
      <c r="IW99" s="3"/>
      <c r="IX99" s="3"/>
      <c r="IY99" s="3"/>
      <c r="IZ99" s="3"/>
      <c r="JA99" s="3"/>
      <c r="JB99" s="3"/>
      <c r="JC99" s="3"/>
      <c r="JD99" s="3"/>
      <c r="JE99" s="3"/>
      <c r="JF99" s="3"/>
      <c r="JG99" s="3"/>
      <c r="JH99" s="3"/>
      <c r="JI99" s="3"/>
      <c r="JJ99" s="3"/>
      <c r="JK99" s="3"/>
    </row>
    <row r="100" spans="1:271" s="11" customFormat="1" ht="13.5" thickBot="1">
      <c r="A100" s="870"/>
      <c r="B100" s="716" t="s">
        <v>517</v>
      </c>
      <c r="C100" s="868"/>
      <c r="D100" s="868">
        <f t="shared" ref="D100:AT100" si="276">D34/D33</f>
        <v>0.39443751375944808</v>
      </c>
      <c r="E100" s="868">
        <f t="shared" si="276"/>
        <v>0.38461538461538475</v>
      </c>
      <c r="F100" s="868">
        <f t="shared" si="276"/>
        <v>0.38976857490864825</v>
      </c>
      <c r="G100" s="868">
        <f t="shared" si="276"/>
        <v>0.48662461939973917</v>
      </c>
      <c r="H100" s="869">
        <f t="shared" si="276"/>
        <v>0.40176528277214779</v>
      </c>
      <c r="I100" s="868">
        <f t="shared" si="276"/>
        <v>0.47164179104477605</v>
      </c>
      <c r="J100" s="868">
        <f t="shared" si="276"/>
        <v>0.3959472499195883</v>
      </c>
      <c r="K100" s="868">
        <f t="shared" si="276"/>
        <v>0.42605363984674294</v>
      </c>
      <c r="L100" s="868">
        <f t="shared" si="276"/>
        <v>0.81461675579323012</v>
      </c>
      <c r="M100" s="869">
        <f t="shared" si="276"/>
        <v>0.45765027322404372</v>
      </c>
      <c r="N100" s="868">
        <f t="shared" si="276"/>
        <v>0.42105263157894773</v>
      </c>
      <c r="O100" s="868">
        <f t="shared" si="276"/>
        <v>0.42164441321152535</v>
      </c>
      <c r="P100" s="868">
        <f t="shared" si="276"/>
        <v>0.27500000000000019</v>
      </c>
      <c r="Q100" s="868">
        <f t="shared" si="276"/>
        <v>0.26527570789865784</v>
      </c>
      <c r="R100" s="869">
        <f t="shared" si="276"/>
        <v>-0.32857142857142857</v>
      </c>
      <c r="S100" s="868">
        <f t="shared" si="276"/>
        <v>0.38693467336683418</v>
      </c>
      <c r="T100" s="868">
        <f t="shared" si="276"/>
        <v>0.38559322033898308</v>
      </c>
      <c r="U100" s="868">
        <f t="shared" si="276"/>
        <v>0.37903225806451613</v>
      </c>
      <c r="V100" s="868">
        <f t="shared" si="276"/>
        <v>0.32019704433497537</v>
      </c>
      <c r="W100" s="869">
        <f t="shared" si="276"/>
        <v>0.41041666666666665</v>
      </c>
      <c r="X100" s="868">
        <f t="shared" si="276"/>
        <v>0.37610619469026546</v>
      </c>
      <c r="Y100" s="868">
        <f t="shared" si="276"/>
        <v>0.38235294117647056</v>
      </c>
      <c r="Z100" s="868">
        <f t="shared" si="276"/>
        <v>0.38613861386138615</v>
      </c>
      <c r="AA100" s="868">
        <f t="shared" si="276"/>
        <v>0.10596026490066225</v>
      </c>
      <c r="AB100" s="869">
        <f t="shared" si="276"/>
        <v>0.4677754677754678</v>
      </c>
      <c r="AC100" s="868">
        <f t="shared" si="276"/>
        <v>0.37850467289719625</v>
      </c>
      <c r="AD100" s="868">
        <f t="shared" si="276"/>
        <v>0.50177935943060503</v>
      </c>
      <c r="AE100" s="868">
        <f t="shared" si="276"/>
        <v>0.40540540540540543</v>
      </c>
      <c r="AF100" s="868">
        <f t="shared" si="276"/>
        <v>0.37142857142857144</v>
      </c>
      <c r="AG100" s="869">
        <f t="shared" si="276"/>
        <v>0.4350547730829421</v>
      </c>
      <c r="AH100" s="868">
        <f t="shared" si="276"/>
        <v>0.39163498098859317</v>
      </c>
      <c r="AI100" s="868">
        <f t="shared" si="276"/>
        <v>0.39527027027027029</v>
      </c>
      <c r="AJ100" s="868">
        <f t="shared" si="276"/>
        <v>0.4</v>
      </c>
      <c r="AK100" s="868">
        <f t="shared" si="276"/>
        <v>0.43203883495145629</v>
      </c>
      <c r="AL100" s="869">
        <f t="shared" si="276"/>
        <v>0.40272727272727271</v>
      </c>
      <c r="AM100" s="868">
        <f t="shared" si="276"/>
        <v>0.41935483870967744</v>
      </c>
      <c r="AN100" s="868">
        <f t="shared" si="276"/>
        <v>0.45989304812834225</v>
      </c>
      <c r="AO100" s="868">
        <f t="shared" si="276"/>
        <v>0.40657084188911702</v>
      </c>
      <c r="AP100" s="868">
        <f t="shared" si="276"/>
        <v>0.41468682505399568</v>
      </c>
      <c r="AQ100" s="869">
        <f t="shared" si="276"/>
        <v>0.41878531073446329</v>
      </c>
      <c r="AR100" s="868">
        <f t="shared" si="276"/>
        <v>0.38447971781305113</v>
      </c>
      <c r="AS100" s="868">
        <f t="shared" si="276"/>
        <v>0.38285714285714284</v>
      </c>
      <c r="AT100" s="868">
        <f t="shared" si="276"/>
        <v>0.38271604938271603</v>
      </c>
      <c r="AU100" s="868"/>
      <c r="AV100" s="869">
        <f t="shared" ref="AV100:CA100" si="277">AV34/AV33</f>
        <v>0.40869565217391307</v>
      </c>
      <c r="AW100" s="868">
        <f t="shared" si="277"/>
        <v>0.41791044776119401</v>
      </c>
      <c r="AX100" s="868">
        <f t="shared" si="277"/>
        <v>0.38899430740037949</v>
      </c>
      <c r="AY100" s="868">
        <f t="shared" si="277"/>
        <v>0.75</v>
      </c>
      <c r="AZ100" s="868">
        <f t="shared" si="277"/>
        <v>0.40586972083035078</v>
      </c>
      <c r="BA100" s="868">
        <f t="shared" si="277"/>
        <v>0.70886075949367089</v>
      </c>
      <c r="BB100" s="868">
        <f t="shared" si="277"/>
        <v>0.36507936507936506</v>
      </c>
      <c r="BC100" s="868">
        <f t="shared" si="277"/>
        <v>0.37260273972602742</v>
      </c>
      <c r="BD100" s="868">
        <f t="shared" si="277"/>
        <v>0.22001419446415899</v>
      </c>
      <c r="BE100" s="869">
        <f t="shared" si="277"/>
        <v>0.24363057324840764</v>
      </c>
      <c r="BF100" s="868">
        <f t="shared" si="277"/>
        <v>0.22222222222222221</v>
      </c>
      <c r="BG100" s="868">
        <f t="shared" si="277"/>
        <v>0.34055727554179566</v>
      </c>
      <c r="BH100" s="868">
        <f t="shared" si="277"/>
        <v>0.23880597014925373</v>
      </c>
      <c r="BI100" s="868">
        <f t="shared" si="277"/>
        <v>-0.20945945945945946</v>
      </c>
      <c r="BJ100" s="869">
        <f t="shared" si="277"/>
        <v>-8.5632183908045972E-2</v>
      </c>
      <c r="BK100" s="868">
        <f t="shared" si="277"/>
        <v>-2.8333333333333335</v>
      </c>
      <c r="BL100" s="868">
        <f t="shared" si="277"/>
        <v>0.66666666666666663</v>
      </c>
      <c r="BM100" s="868">
        <f t="shared" si="277"/>
        <v>-1.06951871657754E-2</v>
      </c>
      <c r="BN100" s="868">
        <f t="shared" si="277"/>
        <v>0.18300653594771241</v>
      </c>
      <c r="BO100" s="869">
        <f t="shared" si="277"/>
        <v>0.12410841654778887</v>
      </c>
      <c r="BP100" s="868">
        <f t="shared" si="277"/>
        <v>0.23809523809523808</v>
      </c>
      <c r="BQ100" s="868">
        <f t="shared" si="277"/>
        <v>0.36051502145922748</v>
      </c>
      <c r="BR100" s="868">
        <f t="shared" si="277"/>
        <v>0.57352941176470584</v>
      </c>
      <c r="BS100" s="868">
        <f t="shared" si="277"/>
        <v>-6.8306010928961755E-2</v>
      </c>
      <c r="BT100" s="869">
        <f t="shared" si="277"/>
        <v>0.23471223021582735</v>
      </c>
      <c r="BU100" s="868">
        <f t="shared" si="277"/>
        <v>-30.666666666666668</v>
      </c>
      <c r="BV100" s="868">
        <f t="shared" si="277"/>
        <v>0.125</v>
      </c>
      <c r="BW100" s="868">
        <f t="shared" si="277"/>
        <v>-0.4</v>
      </c>
      <c r="BX100" s="868">
        <f t="shared" si="277"/>
        <v>-0.30769230769230771</v>
      </c>
      <c r="BY100" s="869">
        <f t="shared" si="277"/>
        <v>0.55462184873949583</v>
      </c>
      <c r="BZ100" s="868">
        <f t="shared" si="277"/>
        <v>-0.125</v>
      </c>
      <c r="CA100" s="868">
        <f t="shared" si="277"/>
        <v>0.45714285714285713</v>
      </c>
      <c r="CB100" s="868">
        <f t="shared" ref="CB100:DJ100" si="278">CB34/CB33</f>
        <v>-3.5714285714285712E-2</v>
      </c>
      <c r="CC100" s="868">
        <f t="shared" si="278"/>
        <v>0.46153846153846156</v>
      </c>
      <c r="CD100" s="869">
        <f t="shared" si="278"/>
        <v>-0.44642857142857145</v>
      </c>
      <c r="CE100" s="868">
        <f t="shared" si="278"/>
        <v>2.5125628140703519E-2</v>
      </c>
      <c r="CF100" s="868">
        <f t="shared" si="278"/>
        <v>0.5714285714285714</v>
      </c>
      <c r="CG100" s="868">
        <f t="shared" si="278"/>
        <v>0.42857142857142855</v>
      </c>
      <c r="CH100" s="868">
        <f t="shared" si="278"/>
        <v>3.1818181818181817</v>
      </c>
      <c r="CI100" s="869">
        <f t="shared" si="278"/>
        <v>-0.11386138613861387</v>
      </c>
      <c r="CJ100" s="868">
        <f t="shared" si="278"/>
        <v>3.2258064516129031E-2</v>
      </c>
      <c r="CK100" s="868">
        <f t="shared" si="278"/>
        <v>0.30769230769230771</v>
      </c>
      <c r="CL100" s="868">
        <f t="shared" si="278"/>
        <v>16.161290322580644</v>
      </c>
      <c r="CM100" s="868">
        <f t="shared" si="278"/>
        <v>3.2258064516129031E-2</v>
      </c>
      <c r="CN100" s="869">
        <f t="shared" si="278"/>
        <v>-6.1835443037974684</v>
      </c>
      <c r="CO100" s="868">
        <f t="shared" si="278"/>
        <v>0.36496350364963503</v>
      </c>
      <c r="CP100" s="868">
        <f t="shared" si="278"/>
        <v>0.27941176470588236</v>
      </c>
      <c r="CQ100" s="868">
        <f t="shared" si="278"/>
        <v>0.19047619047619047</v>
      </c>
      <c r="CR100" s="868">
        <f t="shared" si="278"/>
        <v>0.19354838709677419</v>
      </c>
      <c r="CS100" s="869">
        <f t="shared" si="278"/>
        <v>0.37195121951219512</v>
      </c>
      <c r="CT100" s="868">
        <f t="shared" si="278"/>
        <v>0.3888888888888889</v>
      </c>
      <c r="CU100" s="868">
        <f t="shared" si="278"/>
        <v>0.38461538461538464</v>
      </c>
      <c r="CV100" s="868">
        <f t="shared" si="278"/>
        <v>0.35294117647058826</v>
      </c>
      <c r="CW100" s="868">
        <f t="shared" si="278"/>
        <v>0.36082474226804123</v>
      </c>
      <c r="CX100" s="869">
        <f t="shared" si="278"/>
        <v>0.37425149700598803</v>
      </c>
      <c r="CY100" s="868">
        <f t="shared" si="278"/>
        <v>0.39552238805970147</v>
      </c>
      <c r="CZ100" s="868">
        <f t="shared" si="278"/>
        <v>0.30303030303030304</v>
      </c>
      <c r="DA100" s="868">
        <f t="shared" si="278"/>
        <v>0.2807017543859649</v>
      </c>
      <c r="DB100" s="868">
        <f t="shared" si="278"/>
        <v>0.53333333333333333</v>
      </c>
      <c r="DC100" s="869">
        <f t="shared" si="278"/>
        <v>0.41139240506329117</v>
      </c>
      <c r="DD100" s="868">
        <f t="shared" si="278"/>
        <v>8.3333333333333329E-2</v>
      </c>
      <c r="DE100" s="868">
        <f t="shared" si="278"/>
        <v>0.47058823529411764</v>
      </c>
      <c r="DF100" s="868" t="s">
        <v>162</v>
      </c>
      <c r="DG100" s="868">
        <f t="shared" si="278"/>
        <v>0.42553191489361702</v>
      </c>
      <c r="DH100" s="869">
        <f>DH34/DH33</f>
        <v>0.33333333333333331</v>
      </c>
      <c r="DI100" s="868">
        <f t="shared" si="278"/>
        <v>0.17582417582417584</v>
      </c>
      <c r="DJ100" s="868">
        <f t="shared" si="278"/>
        <v>0.5</v>
      </c>
      <c r="DK100" s="868">
        <f t="shared" ref="DK100:DP100" si="279">DK34/DK33</f>
        <v>0.27500000000000002</v>
      </c>
      <c r="DL100" s="868">
        <f t="shared" si="279"/>
        <v>1.0149253731343284</v>
      </c>
      <c r="DM100" s="869">
        <f>DM34/DM33</f>
        <v>0.47222222222222221</v>
      </c>
      <c r="DN100" s="868">
        <f>DN34/DN33</f>
        <v>0.63809523809523805</v>
      </c>
      <c r="DO100" s="868">
        <f t="shared" si="279"/>
        <v>-0.64</v>
      </c>
      <c r="DP100" s="868">
        <f t="shared" si="279"/>
        <v>0.11235955056179775</v>
      </c>
      <c r="DQ100" s="868">
        <f t="shared" ref="DQ100:DV100" si="280">DQ34/DQ33</f>
        <v>0.20689655172413793</v>
      </c>
      <c r="DR100" s="869">
        <f t="shared" si="280"/>
        <v>0.27016129032258063</v>
      </c>
      <c r="DS100" s="868">
        <f t="shared" si="280"/>
        <v>-8.25</v>
      </c>
      <c r="DT100" s="868">
        <f t="shared" si="280"/>
        <v>-0.63157894736842102</v>
      </c>
      <c r="DU100" s="868">
        <f t="shared" si="280"/>
        <v>0.17241379310344829</v>
      </c>
      <c r="DV100" s="868">
        <f t="shared" si="280"/>
        <v>1.4464285714285714</v>
      </c>
      <c r="DW100" s="869">
        <f>-DW34/DW33</f>
        <v>2.1683168316831685</v>
      </c>
      <c r="DX100" s="868">
        <v>0.25800000000000001</v>
      </c>
      <c r="DY100" s="868">
        <v>0.25800000000000001</v>
      </c>
      <c r="DZ100" s="868">
        <v>0.25800000000000001</v>
      </c>
      <c r="EA100" s="868">
        <v>0.25800000000000001</v>
      </c>
      <c r="EB100" s="869">
        <f>-EB34/EB33</f>
        <v>-0.25799999999999962</v>
      </c>
      <c r="EC100" s="868">
        <v>0.25</v>
      </c>
      <c r="ED100" s="868">
        <v>0.25</v>
      </c>
      <c r="EE100" s="868">
        <v>0.25</v>
      </c>
      <c r="EF100" s="868">
        <v>0.25</v>
      </c>
      <c r="EG100" s="869">
        <f>EG34/EG33</f>
        <v>0.24999999999999975</v>
      </c>
      <c r="EH100" s="868">
        <v>0.25</v>
      </c>
      <c r="EI100" s="868">
        <v>0.25</v>
      </c>
      <c r="EJ100" s="868">
        <v>0.25</v>
      </c>
      <c r="EK100" s="868">
        <v>0.25</v>
      </c>
      <c r="EL100" s="869">
        <f>EL34/EL33</f>
        <v>0.24999999999999947</v>
      </c>
      <c r="EM100" s="1562">
        <v>3</v>
      </c>
      <c r="EN100"/>
      <c r="EO100"/>
      <c r="EP100"/>
      <c r="EQ100"/>
      <c r="ER100"/>
      <c r="ES100" s="7"/>
      <c r="ET100"/>
      <c r="EU100" s="1564"/>
      <c r="EV100" s="7"/>
      <c r="EW100" s="7"/>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c r="HF100" s="3"/>
      <c r="HG100" s="3"/>
      <c r="HH100" s="3"/>
      <c r="HI100" s="3"/>
      <c r="HJ100" s="3"/>
      <c r="HK100" s="3"/>
      <c r="HL100" s="3"/>
      <c r="HM100" s="3"/>
      <c r="HN100" s="3"/>
      <c r="HO100" s="3"/>
      <c r="HP100" s="3"/>
      <c r="HQ100" s="3"/>
      <c r="HR100" s="3"/>
      <c r="HS100" s="3"/>
      <c r="HT100" s="3"/>
      <c r="HU100" s="3"/>
      <c r="HV100" s="3"/>
      <c r="HW100" s="3"/>
      <c r="HX100" s="3"/>
      <c r="HY100" s="3"/>
      <c r="HZ100" s="3"/>
      <c r="IA100" s="3"/>
      <c r="IB100" s="3"/>
      <c r="IC100" s="3"/>
      <c r="ID100" s="3"/>
      <c r="IE100" s="3"/>
      <c r="IF100" s="3"/>
      <c r="IG100" s="3"/>
      <c r="IH100" s="3"/>
      <c r="II100" s="3"/>
      <c r="IJ100" s="3"/>
      <c r="IK100" s="3"/>
      <c r="IL100" s="3"/>
      <c r="IM100" s="3"/>
      <c r="IN100" s="3"/>
      <c r="IO100" s="3"/>
      <c r="IP100" s="3"/>
      <c r="IQ100" s="3"/>
      <c r="IR100" s="3"/>
      <c r="IS100" s="3"/>
      <c r="IT100" s="3"/>
      <c r="IU100" s="3"/>
      <c r="IV100" s="3"/>
      <c r="IW100" s="3"/>
      <c r="IX100" s="3"/>
      <c r="IY100" s="3"/>
      <c r="IZ100" s="3"/>
      <c r="JA100" s="3"/>
      <c r="JB100" s="3"/>
      <c r="JC100" s="3"/>
      <c r="JD100" s="3"/>
      <c r="JE100" s="3"/>
      <c r="JF100" s="3"/>
      <c r="JG100" s="3"/>
      <c r="JH100" s="3"/>
      <c r="JI100" s="3"/>
      <c r="JJ100" s="3"/>
      <c r="JK100" s="3"/>
    </row>
    <row r="101" spans="1:271" s="11" customFormat="1">
      <c r="A101" s="856"/>
      <c r="B101" s="857" t="s">
        <v>518</v>
      </c>
      <c r="C101" s="858"/>
      <c r="D101" s="858"/>
      <c r="E101" s="858"/>
      <c r="F101" s="858"/>
      <c r="G101" s="858"/>
      <c r="H101" s="859"/>
      <c r="I101" s="858"/>
      <c r="J101" s="858"/>
      <c r="K101" s="858"/>
      <c r="L101" s="858"/>
      <c r="M101" s="859"/>
      <c r="N101" s="858"/>
      <c r="O101" s="858"/>
      <c r="P101" s="858"/>
      <c r="Q101" s="858"/>
      <c r="R101" s="859"/>
      <c r="S101" s="858"/>
      <c r="T101" s="858"/>
      <c r="U101" s="858"/>
      <c r="V101" s="858"/>
      <c r="W101" s="859"/>
      <c r="X101" s="858"/>
      <c r="Y101" s="858"/>
      <c r="Z101" s="858"/>
      <c r="AA101" s="858"/>
      <c r="AB101" s="859"/>
      <c r="AC101" s="858"/>
      <c r="AD101" s="858"/>
      <c r="AE101" s="858"/>
      <c r="AF101" s="858"/>
      <c r="AG101" s="859"/>
      <c r="AH101" s="858"/>
      <c r="AI101" s="858"/>
      <c r="AJ101" s="858"/>
      <c r="AK101" s="858"/>
      <c r="AL101" s="859"/>
      <c r="AM101" s="858"/>
      <c r="AN101" s="858"/>
      <c r="AO101" s="858"/>
      <c r="AP101" s="858"/>
      <c r="AQ101" s="859"/>
      <c r="AR101" s="858"/>
      <c r="AS101" s="858"/>
      <c r="AT101" s="858"/>
      <c r="AU101" s="858"/>
      <c r="AV101" s="859"/>
      <c r="AW101" s="858"/>
      <c r="AX101" s="858"/>
      <c r="AY101" s="858"/>
      <c r="AZ101" s="858"/>
      <c r="BA101" s="858"/>
      <c r="BB101" s="858"/>
      <c r="BC101" s="858"/>
      <c r="BD101" s="858"/>
      <c r="BE101" s="859"/>
      <c r="BF101" s="858"/>
      <c r="BG101" s="858"/>
      <c r="BH101" s="858"/>
      <c r="BI101" s="858"/>
      <c r="BJ101" s="859"/>
      <c r="BK101" s="858"/>
      <c r="BL101" s="858"/>
      <c r="BM101" s="858"/>
      <c r="BN101" s="858"/>
      <c r="BO101" s="859"/>
      <c r="BP101" s="858"/>
      <c r="BQ101" s="858"/>
      <c r="BR101" s="858"/>
      <c r="BS101" s="858"/>
      <c r="BT101" s="859"/>
      <c r="BU101" s="858"/>
      <c r="BV101" s="858"/>
      <c r="BW101" s="858"/>
      <c r="BX101" s="858"/>
      <c r="BY101" s="859"/>
      <c r="BZ101" s="858"/>
      <c r="CA101" s="858"/>
      <c r="CB101" s="858"/>
      <c r="CC101" s="858"/>
      <c r="CD101" s="859"/>
      <c r="CE101" s="858"/>
      <c r="CF101" s="858"/>
      <c r="CG101" s="858"/>
      <c r="CH101" s="858"/>
      <c r="CI101" s="859"/>
      <c r="CJ101" s="858"/>
      <c r="CK101" s="858"/>
      <c r="CL101" s="858"/>
      <c r="CM101" s="858"/>
      <c r="CN101" s="859"/>
      <c r="CO101" s="858"/>
      <c r="CP101" s="858"/>
      <c r="CQ101" s="858"/>
      <c r="CR101" s="858"/>
      <c r="CS101" s="859"/>
      <c r="CT101" s="858"/>
      <c r="CU101" s="858"/>
      <c r="CV101" s="858"/>
      <c r="CW101" s="858"/>
      <c r="CX101" s="859"/>
      <c r="CY101" s="858"/>
      <c r="CZ101" s="858"/>
      <c r="DA101" s="858"/>
      <c r="DB101" s="858"/>
      <c r="DC101" s="859"/>
      <c r="DD101" s="858"/>
      <c r="DE101" s="858"/>
      <c r="DF101" s="858"/>
      <c r="DG101" s="858"/>
      <c r="DH101" s="859"/>
      <c r="DI101" s="858"/>
      <c r="DJ101" s="858"/>
      <c r="DK101" s="858"/>
      <c r="DL101" s="858"/>
      <c r="DM101" s="859"/>
      <c r="DN101" s="858"/>
      <c r="DO101" s="858"/>
      <c r="DP101" s="858"/>
      <c r="DQ101" s="858"/>
      <c r="DR101" s="859"/>
      <c r="DS101" s="858"/>
      <c r="DT101" s="858"/>
      <c r="DU101" s="858"/>
      <c r="DV101" s="858"/>
      <c r="DW101" s="859"/>
      <c r="DX101" s="858"/>
      <c r="DY101" s="858"/>
      <c r="DZ101" s="858"/>
      <c r="EA101" s="858"/>
      <c r="EB101" s="859"/>
      <c r="EC101" s="858"/>
      <c r="ED101" s="858"/>
      <c r="EE101" s="858"/>
      <c r="EF101" s="858"/>
      <c r="EG101" s="859"/>
      <c r="EH101" s="858"/>
      <c r="EI101" s="858"/>
      <c r="EJ101" s="858"/>
      <c r="EK101" s="858"/>
      <c r="EL101" s="859"/>
      <c r="EM101" s="1"/>
      <c r="EN101"/>
      <c r="EO101"/>
      <c r="EP101"/>
      <c r="EQ101"/>
      <c r="ER101"/>
      <c r="ES101" s="7"/>
      <c r="ET101"/>
      <c r="EU101" s="7"/>
      <c r="EV101" s="7"/>
      <c r="EW101" s="7"/>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c r="HF101" s="3"/>
      <c r="HG101" s="3"/>
      <c r="HH101" s="3"/>
      <c r="HI101" s="3"/>
      <c r="HJ101" s="3"/>
      <c r="HK101" s="3"/>
      <c r="HL101" s="3"/>
      <c r="HM101" s="3"/>
      <c r="HN101" s="3"/>
      <c r="HO101" s="3"/>
      <c r="HP101" s="3"/>
      <c r="HQ101" s="3"/>
      <c r="HR101" s="3"/>
      <c r="HS101" s="3"/>
      <c r="HT101" s="3"/>
      <c r="HU101" s="3"/>
      <c r="HV101" s="3"/>
      <c r="HW101" s="3"/>
      <c r="HX101" s="3"/>
      <c r="HY101" s="3"/>
      <c r="HZ101" s="3"/>
      <c r="IA101" s="3"/>
      <c r="IB101" s="3"/>
      <c r="IC101" s="3"/>
      <c r="ID101" s="3"/>
      <c r="IE101" s="3"/>
      <c r="IF101" s="3"/>
      <c r="IG101" s="3"/>
      <c r="IH101" s="3"/>
      <c r="II101" s="3"/>
      <c r="IJ101" s="3"/>
      <c r="IK101" s="3"/>
      <c r="IL101" s="3"/>
      <c r="IM101" s="3"/>
      <c r="IN101" s="3"/>
      <c r="IO101" s="3"/>
      <c r="IP101" s="3"/>
      <c r="IQ101" s="3"/>
      <c r="IR101" s="3"/>
      <c r="IS101" s="3"/>
      <c r="IT101" s="3"/>
      <c r="IU101" s="3"/>
      <c r="IV101" s="3"/>
      <c r="IW101" s="3"/>
      <c r="IX101" s="3"/>
      <c r="IY101" s="3"/>
      <c r="IZ101" s="3"/>
      <c r="JA101" s="3"/>
      <c r="JB101" s="3"/>
      <c r="JC101" s="3"/>
      <c r="JD101" s="3"/>
      <c r="JE101" s="3"/>
      <c r="JF101" s="3"/>
      <c r="JG101" s="3"/>
      <c r="JH101" s="3"/>
      <c r="JI101" s="3"/>
      <c r="JJ101" s="3"/>
      <c r="JK101" s="3"/>
    </row>
    <row r="102" spans="1:271" s="11" customFormat="1" ht="12" customHeight="1">
      <c r="A102" s="801"/>
      <c r="B102" s="557" t="s">
        <v>335</v>
      </c>
      <c r="C102" s="871"/>
      <c r="D102" s="863"/>
      <c r="E102" s="863"/>
      <c r="F102" s="863"/>
      <c r="G102" s="863"/>
      <c r="H102" s="864"/>
      <c r="I102" s="863">
        <f t="shared" ref="I102:AT102" si="281">IF(OR(I12&lt;=0,D12&lt;=0),"nm",I12/D12-1)</f>
        <v>0.9369828086929628</v>
      </c>
      <c r="J102" s="863">
        <f t="shared" si="281"/>
        <v>1.146055103318723</v>
      </c>
      <c r="K102" s="863">
        <f t="shared" si="281"/>
        <v>1.1679031037093113</v>
      </c>
      <c r="L102" s="863">
        <f t="shared" si="281"/>
        <v>8.587506868309136E-2</v>
      </c>
      <c r="M102" s="864">
        <f t="shared" si="281"/>
        <v>0.67540687160940327</v>
      </c>
      <c r="N102" s="863">
        <f t="shared" si="281"/>
        <v>0.12049225017524723</v>
      </c>
      <c r="O102" s="863">
        <f t="shared" si="281"/>
        <v>7.6737909402582183E-2</v>
      </c>
      <c r="P102" s="863">
        <f t="shared" si="281"/>
        <v>0.56219009707381806</v>
      </c>
      <c r="Q102" s="863">
        <f t="shared" si="281"/>
        <v>1.4039937512735179</v>
      </c>
      <c r="R102" s="864">
        <f t="shared" si="281"/>
        <v>0.56341068537506755</v>
      </c>
      <c r="S102" s="863">
        <f t="shared" si="281"/>
        <v>0.62032531627971643</v>
      </c>
      <c r="T102" s="863">
        <f t="shared" si="281"/>
        <v>0.64555246934489552</v>
      </c>
      <c r="U102" s="863">
        <f t="shared" si="281"/>
        <v>0.14622915642183365</v>
      </c>
      <c r="V102" s="863">
        <f t="shared" si="281"/>
        <v>-0.27360569588065764</v>
      </c>
      <c r="W102" s="864">
        <f t="shared" si="281"/>
        <v>0.13853411575192731</v>
      </c>
      <c r="X102" s="863">
        <f t="shared" si="281"/>
        <v>9.5238095238095344E-2</v>
      </c>
      <c r="Y102" s="863">
        <f t="shared" si="281"/>
        <v>5.5166735282009105E-2</v>
      </c>
      <c r="Z102" s="863">
        <f t="shared" si="281"/>
        <v>0.10062402496099843</v>
      </c>
      <c r="AA102" s="863">
        <f t="shared" si="281"/>
        <v>0.14430182808245817</v>
      </c>
      <c r="AB102" s="864">
        <f t="shared" si="281"/>
        <v>9.9545224861040893E-2</v>
      </c>
      <c r="AC102" s="863">
        <f t="shared" si="281"/>
        <v>0.12534273403838614</v>
      </c>
      <c r="AD102" s="863">
        <f t="shared" si="281"/>
        <v>8.4666406554818607E-2</v>
      </c>
      <c r="AE102" s="863">
        <f t="shared" si="281"/>
        <v>9.9220411055989111E-3</v>
      </c>
      <c r="AF102" s="863">
        <f t="shared" si="281"/>
        <v>-1.0537049626104689E-2</v>
      </c>
      <c r="AG102" s="864">
        <f t="shared" si="281"/>
        <v>4.9080882352941169E-2</v>
      </c>
      <c r="AH102" s="863">
        <f t="shared" si="281"/>
        <v>6.9613644274277853E-3</v>
      </c>
      <c r="AI102" s="863">
        <f t="shared" si="281"/>
        <v>4.8561151079136611E-2</v>
      </c>
      <c r="AJ102" s="863">
        <f t="shared" si="281"/>
        <v>6.5263157894736912E-2</v>
      </c>
      <c r="AK102" s="863">
        <f t="shared" si="281"/>
        <v>0.1023703194778427</v>
      </c>
      <c r="AL102" s="864">
        <f t="shared" si="281"/>
        <v>5.5983879446294127E-2</v>
      </c>
      <c r="AM102" s="863">
        <f t="shared" si="281"/>
        <v>0.13964742481852754</v>
      </c>
      <c r="AN102" s="863">
        <f t="shared" si="281"/>
        <v>0.16432246998284739</v>
      </c>
      <c r="AO102" s="863">
        <f t="shared" si="281"/>
        <v>0.14756258234519115</v>
      </c>
      <c r="AP102" s="863">
        <f t="shared" si="281"/>
        <v>0.16484886257401055</v>
      </c>
      <c r="AQ102" s="864">
        <f t="shared" si="281"/>
        <v>0.15431842694764786</v>
      </c>
      <c r="AR102" s="863">
        <f t="shared" si="281"/>
        <v>0.12314225053078554</v>
      </c>
      <c r="AS102" s="863">
        <f t="shared" si="281"/>
        <v>0.11314083677077202</v>
      </c>
      <c r="AT102" s="863">
        <f t="shared" si="281"/>
        <v>5.7979334098737123E-2</v>
      </c>
      <c r="AU102" s="863"/>
      <c r="AV102" s="864"/>
      <c r="AW102" s="863"/>
      <c r="AX102" s="863"/>
      <c r="AY102" s="863"/>
      <c r="AZ102" s="863"/>
      <c r="BA102" s="863">
        <f t="shared" ref="BA102:CF102" si="282">IF(OR(BA12&lt;=0,AV12&lt;=0),"nm",BA12/AV12-1)</f>
        <v>2.2814814814814843E-2</v>
      </c>
      <c r="BB102" s="863">
        <f t="shared" si="282"/>
        <v>-1.4868804664723068E-2</v>
      </c>
      <c r="BC102" s="863">
        <f t="shared" si="282"/>
        <v>-6.3618290258449339E-2</v>
      </c>
      <c r="BD102" s="863">
        <f t="shared" si="282"/>
        <v>-8.932150014314344E-2</v>
      </c>
      <c r="BE102" s="864">
        <f t="shared" si="282"/>
        <v>-3.6905709530356767E-2</v>
      </c>
      <c r="BF102" s="863">
        <f t="shared" si="282"/>
        <v>-0.22682502896871382</v>
      </c>
      <c r="BG102" s="863">
        <f t="shared" si="282"/>
        <v>-0.23941994672980171</v>
      </c>
      <c r="BH102" s="863">
        <f t="shared" si="282"/>
        <v>-0.25993327267212618</v>
      </c>
      <c r="BI102" s="863">
        <f t="shared" si="282"/>
        <v>-0.24174787802577802</v>
      </c>
      <c r="BJ102" s="864">
        <f t="shared" si="282"/>
        <v>-0.24179126906604553</v>
      </c>
      <c r="BK102" s="863">
        <f t="shared" si="282"/>
        <v>-6.2944923192206792E-2</v>
      </c>
      <c r="BL102" s="863">
        <f t="shared" si="282"/>
        <v>-5.8365758754863828E-2</v>
      </c>
      <c r="BM102" s="863">
        <f t="shared" si="282"/>
        <v>-1.885245901639343E-2</v>
      </c>
      <c r="BN102" s="863">
        <f t="shared" si="282"/>
        <v>-4.6849087893863994E-2</v>
      </c>
      <c r="BO102" s="864">
        <f t="shared" si="282"/>
        <v>-4.7269844415816054E-2</v>
      </c>
      <c r="BP102" s="863">
        <f t="shared" si="282"/>
        <v>-3.4786085565773672E-2</v>
      </c>
      <c r="BQ102" s="863">
        <f t="shared" si="282"/>
        <v>-9.2975206611570216E-2</v>
      </c>
      <c r="BR102" s="863">
        <f t="shared" si="282"/>
        <v>-0.1157059314954052</v>
      </c>
      <c r="BS102" s="863">
        <f t="shared" si="282"/>
        <v>-5.2196607220530655E-2</v>
      </c>
      <c r="BT102" s="864">
        <f t="shared" si="282"/>
        <v>-7.3746619513209932E-2</v>
      </c>
      <c r="BU102" s="863">
        <f t="shared" si="282"/>
        <v>-5.5923777961888965E-2</v>
      </c>
      <c r="BV102" s="863">
        <f t="shared" si="282"/>
        <v>1.5034168564920236E-2</v>
      </c>
      <c r="BW102" s="863">
        <f t="shared" si="282"/>
        <v>4.4874822862541297E-2</v>
      </c>
      <c r="BX102" s="863">
        <f t="shared" si="282"/>
        <v>3.3042680128499313E-2</v>
      </c>
      <c r="BY102" s="864">
        <f t="shared" si="282"/>
        <v>7.2992700729928028E-3</v>
      </c>
      <c r="BZ102" s="863">
        <f t="shared" si="282"/>
        <v>4.0368582711715728E-2</v>
      </c>
      <c r="CA102" s="863">
        <f t="shared" si="282"/>
        <v>-1.9748653500897717E-2</v>
      </c>
      <c r="CB102" s="863">
        <f t="shared" si="282"/>
        <v>-2.4412296564195302E-2</v>
      </c>
      <c r="CC102" s="863">
        <f t="shared" si="282"/>
        <v>-2.4877832074633455E-2</v>
      </c>
      <c r="CD102" s="864">
        <f t="shared" si="282"/>
        <v>-6.9119286510590516E-3</v>
      </c>
      <c r="CE102" s="863">
        <f t="shared" si="282"/>
        <v>-3.8802193167439936E-2</v>
      </c>
      <c r="CF102" s="863">
        <f t="shared" si="282"/>
        <v>2.0604395604395531E-2</v>
      </c>
      <c r="CG102" s="863">
        <f t="shared" ref="CG102:DL102" si="283">IF(OR(CG12&lt;=0,CB12&lt;=0),"nm",CG12/CB12-1)</f>
        <v>4.8192771084337283E-2</v>
      </c>
      <c r="CH102" s="863">
        <f t="shared" si="283"/>
        <v>3.0068337129840472E-2</v>
      </c>
      <c r="CI102" s="864">
        <f t="shared" si="283"/>
        <v>1.3807813201616614E-2</v>
      </c>
      <c r="CJ102" s="863">
        <f t="shared" si="283"/>
        <v>2.6327336551118963E-2</v>
      </c>
      <c r="CK102" s="863">
        <f t="shared" si="283"/>
        <v>3.3198743831314381E-2</v>
      </c>
      <c r="CL102" s="863">
        <f t="shared" si="283"/>
        <v>0</v>
      </c>
      <c r="CM102" s="863">
        <f t="shared" si="283"/>
        <v>1.769128704113232E-2</v>
      </c>
      <c r="CN102" s="864">
        <f t="shared" si="283"/>
        <v>1.9266969327870642E-2</v>
      </c>
      <c r="CO102" s="863">
        <f t="shared" si="283"/>
        <v>3.8477982043608305E-2</v>
      </c>
      <c r="CP102" s="863">
        <f t="shared" si="283"/>
        <v>-1.3026487190620495E-3</v>
      </c>
      <c r="CQ102" s="863">
        <f t="shared" si="283"/>
        <v>1.1936339522546469E-2</v>
      </c>
      <c r="CR102" s="863">
        <f t="shared" si="283"/>
        <v>2.2598870056497189E-2</v>
      </c>
      <c r="CS102" s="864">
        <f t="shared" si="283"/>
        <v>1.8033677349266641E-2</v>
      </c>
      <c r="CT102" s="863">
        <f t="shared" si="283"/>
        <v>2.5524907369287808E-2</v>
      </c>
      <c r="CU102" s="863">
        <f t="shared" si="283"/>
        <v>6.7391304347826031E-2</v>
      </c>
      <c r="CV102" s="863">
        <f t="shared" si="283"/>
        <v>6.0288335517693303E-2</v>
      </c>
      <c r="CW102" s="863">
        <f t="shared" si="283"/>
        <v>7.5648108797280011E-2</v>
      </c>
      <c r="CX102" s="864">
        <f t="shared" si="283"/>
        <v>5.6877601109806886E-2</v>
      </c>
      <c r="CY102" s="863">
        <f t="shared" si="283"/>
        <v>4.1348855881172319E-2</v>
      </c>
      <c r="CZ102" s="863">
        <f t="shared" si="283"/>
        <v>7.087576374745419E-2</v>
      </c>
      <c r="DA102" s="863">
        <f t="shared" si="283"/>
        <v>7.8697981046559562E-2</v>
      </c>
      <c r="DB102" s="863">
        <f t="shared" si="283"/>
        <v>0.67246147767680764</v>
      </c>
      <c r="DC102" s="864">
        <f t="shared" si="283"/>
        <v>0.21910339256865918</v>
      </c>
      <c r="DD102" s="863">
        <f t="shared" si="283"/>
        <v>0.6599845797995374</v>
      </c>
      <c r="DE102" s="863">
        <f t="shared" si="283"/>
        <v>0.65918600228223667</v>
      </c>
      <c r="DF102" s="863">
        <f t="shared" si="283"/>
        <v>0.69136745607333849</v>
      </c>
      <c r="DG102" s="863">
        <f t="shared" si="283"/>
        <v>0.13961729270021261</v>
      </c>
      <c r="DH102" s="864">
        <f t="shared" si="283"/>
        <v>0.48418088454530395</v>
      </c>
      <c r="DI102" s="863">
        <f t="shared" si="283"/>
        <v>0.11263353460287973</v>
      </c>
      <c r="DJ102" s="863">
        <f t="shared" si="283"/>
        <v>0.11049977074736361</v>
      </c>
      <c r="DK102" s="863">
        <f t="shared" si="283"/>
        <v>0.14340560072267383</v>
      </c>
      <c r="DL102" s="863">
        <f t="shared" si="283"/>
        <v>0.1229270315091211</v>
      </c>
      <c r="DM102" s="864">
        <f t="shared" ref="DM102:EG102" si="284">IF(OR(DM12&lt;=0,DH12&lt;=0),"nm",DM12/DH12-1)</f>
        <v>0.12226562500000004</v>
      </c>
      <c r="DN102" s="863">
        <f t="shared" si="284"/>
        <v>0.13128783135044886</v>
      </c>
      <c r="DO102" s="863">
        <f t="shared" si="284"/>
        <v>7.7621800165152743E-2</v>
      </c>
      <c r="DP102" s="863">
        <f t="shared" si="284"/>
        <v>3.0219237606162297E-2</v>
      </c>
      <c r="DQ102" s="863">
        <f t="shared" si="284"/>
        <v>-3.7474616946649442E-2</v>
      </c>
      <c r="DR102" s="864">
        <f t="shared" si="284"/>
        <v>4.7685346327880351E-2</v>
      </c>
      <c r="DS102" s="863">
        <f t="shared" si="284"/>
        <v>-4.1328413284132837E-2</v>
      </c>
      <c r="DT102" s="863">
        <f t="shared" si="284"/>
        <v>-9.0038314176245082E-3</v>
      </c>
      <c r="DU102" s="863">
        <f t="shared" si="284"/>
        <v>-5.2722392638036797E-2</v>
      </c>
      <c r="DV102" s="863">
        <f t="shared" si="284"/>
        <v>1.7069428461833569E-2</v>
      </c>
      <c r="DW102" s="864">
        <f t="shared" si="284"/>
        <v>-2.1689606074988155E-2</v>
      </c>
      <c r="DX102" s="863">
        <f t="shared" si="284"/>
        <v>-4.458906812943475E-2</v>
      </c>
      <c r="DY102" s="863">
        <f t="shared" si="284"/>
        <v>-4.3029491488720151E-2</v>
      </c>
      <c r="DZ102" s="863">
        <f t="shared" si="284"/>
        <v>-3.9641615454316881E-2</v>
      </c>
      <c r="EA102" s="863">
        <f t="shared" si="284"/>
        <v>-6.075536656147007E-2</v>
      </c>
      <c r="EB102" s="864">
        <f t="shared" si="284"/>
        <v>-4.7170780008099156E-2</v>
      </c>
      <c r="EC102" s="863">
        <f t="shared" si="284"/>
        <v>-1.4498548073236472E-2</v>
      </c>
      <c r="ED102" s="863">
        <f t="shared" si="284"/>
        <v>1.8874245569393544E-3</v>
      </c>
      <c r="EE102" s="863">
        <f t="shared" si="284"/>
        <v>2.0263055107283989E-2</v>
      </c>
      <c r="EF102" s="863">
        <f t="shared" si="284"/>
        <v>3.8787405678077702E-2</v>
      </c>
      <c r="EG102" s="864">
        <f t="shared" si="284"/>
        <v>1.1542981257017138E-2</v>
      </c>
      <c r="EH102" s="863">
        <f t="shared" ref="EH102" si="285">IF(OR(EH12&lt;=0,EC12&lt;=0),"nm",EH12/EC12-1)</f>
        <v>4.4715059183974226E-2</v>
      </c>
      <c r="EI102" s="863">
        <f t="shared" ref="EI102" si="286">IF(OR(EI12&lt;=0,ED12&lt;=0),"nm",EI12/ED12-1)</f>
        <v>4.3789021140289597E-2</v>
      </c>
      <c r="EJ102" s="863">
        <f t="shared" ref="EJ102" si="287">IF(OR(EJ12&lt;=0,EE12&lt;=0),"nm",EJ12/EE12-1)</f>
        <v>4.2809150878311719E-2</v>
      </c>
      <c r="EK102" s="863">
        <f t="shared" ref="EK102" si="288">IF(OR(EK12&lt;=0,EF12&lt;=0),"nm",EK12/EF12-1)</f>
        <v>4.3824086572092913E-2</v>
      </c>
      <c r="EL102" s="864">
        <f t="shared" ref="EL102" si="289">IF(OR(EL12&lt;=0,EG12&lt;=0),"nm",EL12/EG12-1)</f>
        <v>4.3787415176957944E-2</v>
      </c>
      <c r="EM102" s="1"/>
      <c r="EN102"/>
      <c r="EO102"/>
      <c r="EP102"/>
      <c r="EQ102"/>
      <c r="ER102"/>
      <c r="ES102" s="7"/>
      <c r="ET102"/>
      <c r="EU102" s="7"/>
      <c r="EV102" s="7"/>
      <c r="EW102" s="7"/>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c r="HF102" s="3"/>
      <c r="HG102" s="3"/>
      <c r="HH102" s="3"/>
      <c r="HI102" s="3"/>
      <c r="HJ102" s="3"/>
      <c r="HK102" s="3"/>
      <c r="HL102" s="3"/>
      <c r="HM102" s="3"/>
      <c r="HN102" s="3"/>
      <c r="HO102" s="3"/>
      <c r="HP102" s="3"/>
      <c r="HQ102" s="3"/>
      <c r="HR102" s="3"/>
      <c r="HS102" s="3"/>
      <c r="HT102" s="3"/>
      <c r="HU102" s="3"/>
      <c r="HV102" s="3"/>
      <c r="HW102" s="3"/>
      <c r="HX102" s="3"/>
      <c r="HY102" s="3"/>
      <c r="HZ102" s="3"/>
      <c r="IA102" s="3"/>
      <c r="IB102" s="3"/>
      <c r="IC102" s="3"/>
      <c r="ID102" s="3"/>
      <c r="IE102" s="3"/>
      <c r="IF102" s="3"/>
      <c r="IG102" s="3"/>
      <c r="IH102" s="3"/>
      <c r="II102" s="3"/>
      <c r="IJ102" s="3"/>
      <c r="IK102" s="3"/>
      <c r="IL102" s="3"/>
      <c r="IM102" s="3"/>
      <c r="IN102" s="3"/>
      <c r="IO102" s="3"/>
      <c r="IP102" s="3"/>
      <c r="IQ102" s="3"/>
      <c r="IR102" s="3"/>
      <c r="IS102" s="3"/>
      <c r="IT102" s="3"/>
      <c r="IU102" s="3"/>
      <c r="IV102" s="3"/>
      <c r="IW102" s="3"/>
      <c r="IX102" s="3"/>
      <c r="IY102" s="3"/>
      <c r="IZ102" s="3"/>
      <c r="JA102" s="3"/>
      <c r="JB102" s="3"/>
      <c r="JC102" s="3"/>
      <c r="JD102" s="3"/>
      <c r="JE102" s="3"/>
      <c r="JF102" s="3"/>
      <c r="JG102" s="3"/>
      <c r="JH102" s="3"/>
      <c r="JI102" s="3"/>
      <c r="JJ102" s="3"/>
      <c r="JK102" s="3"/>
    </row>
    <row r="103" spans="1:271" s="11" customFormat="1" ht="12" customHeight="1">
      <c r="A103" s="801"/>
      <c r="B103" s="557" t="s">
        <v>337</v>
      </c>
      <c r="C103" s="871"/>
      <c r="D103" s="863"/>
      <c r="E103" s="863"/>
      <c r="F103" s="863"/>
      <c r="G103" s="863"/>
      <c r="H103" s="864"/>
      <c r="I103" s="863">
        <f t="shared" ref="I103:AT103" si="290">IF(OR(I14&lt;=0,D14&lt;=0),"nm",I14/D14-1)</f>
        <v>0.91073599301417585</v>
      </c>
      <c r="J103" s="863">
        <f t="shared" si="290"/>
        <v>1.1051609771881576</v>
      </c>
      <c r="K103" s="863">
        <f t="shared" si="290"/>
        <v>1.1303258145363411</v>
      </c>
      <c r="L103" s="863">
        <f t="shared" si="290"/>
        <v>8.0307070606670861E-2</v>
      </c>
      <c r="M103" s="864">
        <f t="shared" si="290"/>
        <v>0.65639735932096821</v>
      </c>
      <c r="N103" s="863">
        <f t="shared" si="290"/>
        <v>0.12123951997369709</v>
      </c>
      <c r="O103" s="863">
        <f t="shared" si="290"/>
        <v>7.3931755302797386E-2</v>
      </c>
      <c r="P103" s="863">
        <f t="shared" si="290"/>
        <v>0.55058823529411782</v>
      </c>
      <c r="Q103" s="863">
        <f t="shared" si="290"/>
        <v>1.3912449683726282</v>
      </c>
      <c r="R103" s="864">
        <f t="shared" si="290"/>
        <v>0.55570316948187504</v>
      </c>
      <c r="S103" s="863">
        <f t="shared" si="290"/>
        <v>0.60032255699728765</v>
      </c>
      <c r="T103" s="863">
        <f t="shared" si="290"/>
        <v>0.64090453699728078</v>
      </c>
      <c r="U103" s="863">
        <f t="shared" si="290"/>
        <v>0.13856221547799685</v>
      </c>
      <c r="V103" s="863">
        <f t="shared" si="290"/>
        <v>-0.26954639733068808</v>
      </c>
      <c r="W103" s="864">
        <f t="shared" si="290"/>
        <v>0.13541539587654028</v>
      </c>
      <c r="X103" s="863">
        <f t="shared" si="290"/>
        <v>9.6655978011910282E-2</v>
      </c>
      <c r="Y103" s="863">
        <f t="shared" si="290"/>
        <v>3.7505451373746279E-2</v>
      </c>
      <c r="Z103" s="863">
        <f t="shared" si="290"/>
        <v>9.6209912536443065E-2</v>
      </c>
      <c r="AA103" s="863">
        <f t="shared" si="290"/>
        <v>0.12427983539094645</v>
      </c>
      <c r="AB103" s="864">
        <f t="shared" si="290"/>
        <v>8.9180186956054674E-2</v>
      </c>
      <c r="AC103" s="863">
        <f t="shared" si="290"/>
        <v>0.10693400167084377</v>
      </c>
      <c r="AD103" s="863">
        <f t="shared" si="290"/>
        <v>8.028583438419501E-2</v>
      </c>
      <c r="AE103" s="863">
        <f t="shared" si="290"/>
        <v>1.5197568389058169E-3</v>
      </c>
      <c r="AF103" s="863">
        <f t="shared" si="290"/>
        <v>-9.150805270863871E-3</v>
      </c>
      <c r="AG103" s="864">
        <f t="shared" si="290"/>
        <v>4.2024267534773507E-2</v>
      </c>
      <c r="AH103" s="863">
        <f t="shared" si="290"/>
        <v>1.132075471698113E-2</v>
      </c>
      <c r="AI103" s="863">
        <f t="shared" si="290"/>
        <v>5.4085603112840497E-2</v>
      </c>
      <c r="AJ103" s="863">
        <f t="shared" si="290"/>
        <v>6.866464339908962E-2</v>
      </c>
      <c r="AK103" s="863">
        <f t="shared" si="290"/>
        <v>0.10749907646841517</v>
      </c>
      <c r="AL103" s="864">
        <f t="shared" si="290"/>
        <v>6.068351793997917E-2</v>
      </c>
      <c r="AM103" s="863">
        <f t="shared" si="290"/>
        <v>0.13843283582089549</v>
      </c>
      <c r="AN103" s="863">
        <f t="shared" si="290"/>
        <v>0.15762273901808777</v>
      </c>
      <c r="AO103" s="863">
        <f t="shared" si="290"/>
        <v>0.15299964501242447</v>
      </c>
      <c r="AP103" s="863">
        <f t="shared" si="290"/>
        <v>0.16477651767845236</v>
      </c>
      <c r="AQ103" s="864">
        <f t="shared" si="290"/>
        <v>0.15378436272759721</v>
      </c>
      <c r="AR103" s="863">
        <f t="shared" si="290"/>
        <v>0.12291052114060963</v>
      </c>
      <c r="AS103" s="863">
        <f t="shared" si="290"/>
        <v>0.11192602040816335</v>
      </c>
      <c r="AT103" s="863">
        <f t="shared" si="290"/>
        <v>4.1256157635467972E-2</v>
      </c>
      <c r="AU103" s="863"/>
      <c r="AV103" s="864"/>
      <c r="AW103" s="863"/>
      <c r="AX103" s="863"/>
      <c r="AY103" s="863"/>
      <c r="AZ103" s="863"/>
      <c r="BA103" s="863">
        <f t="shared" ref="BA103:CF103" si="291">IF(OR(BA14&lt;=0,AV14&lt;=0),"nm",BA14/AV14-1)</f>
        <v>8.8888888888889461E-3</v>
      </c>
      <c r="BB103" s="863">
        <f t="shared" si="291"/>
        <v>-3.7371535347243801E-2</v>
      </c>
      <c r="BC103" s="863">
        <f t="shared" si="291"/>
        <v>-0.14903403863845444</v>
      </c>
      <c r="BD103" s="863">
        <f t="shared" si="291"/>
        <v>-0.12569832402234637</v>
      </c>
      <c r="BE103" s="864">
        <f t="shared" si="291"/>
        <v>-7.6533790096543153E-2</v>
      </c>
      <c r="BF103" s="863">
        <f t="shared" si="291"/>
        <v>-0.25235997482693517</v>
      </c>
      <c r="BG103" s="863">
        <f t="shared" si="291"/>
        <v>-0.32999029440310579</v>
      </c>
      <c r="BH103" s="863">
        <f t="shared" si="291"/>
        <v>-0.21189189189189184</v>
      </c>
      <c r="BI103" s="863">
        <f t="shared" si="291"/>
        <v>-0.21299254526091582</v>
      </c>
      <c r="BJ103" s="864">
        <f t="shared" si="291"/>
        <v>-0.25377286906668917</v>
      </c>
      <c r="BK103" s="863">
        <f t="shared" si="291"/>
        <v>-1.7676767676767624E-2</v>
      </c>
      <c r="BL103" s="863">
        <f t="shared" si="291"/>
        <v>9.4640270400772497E-2</v>
      </c>
      <c r="BM103" s="863">
        <f t="shared" si="291"/>
        <v>4.5724737082752931E-4</v>
      </c>
      <c r="BN103" s="863">
        <f t="shared" si="291"/>
        <v>-4.0595399188091963E-2</v>
      </c>
      <c r="BO103" s="864">
        <f t="shared" si="291"/>
        <v>7.3438029601176069E-3</v>
      </c>
      <c r="BP103" s="863">
        <f t="shared" si="291"/>
        <v>-2.4850042844901443E-2</v>
      </c>
      <c r="BQ103" s="863">
        <f t="shared" si="291"/>
        <v>-8.8222320247022479E-2</v>
      </c>
      <c r="BR103" s="863">
        <f t="shared" si="291"/>
        <v>-0.1042047531992687</v>
      </c>
      <c r="BS103" s="863">
        <f t="shared" si="291"/>
        <v>-3.3850493653032387E-2</v>
      </c>
      <c r="BT103" s="864">
        <f t="shared" si="291"/>
        <v>-6.2584118438761771E-2</v>
      </c>
      <c r="BU103" s="863">
        <f t="shared" si="291"/>
        <v>-6.0632688927943712E-2</v>
      </c>
      <c r="BV103" s="863">
        <f t="shared" si="291"/>
        <v>4.8379293662312861E-3</v>
      </c>
      <c r="BW103" s="863">
        <f t="shared" si="291"/>
        <v>4.7448979591836693E-2</v>
      </c>
      <c r="BX103" s="863">
        <f t="shared" si="291"/>
        <v>3.0170316301703082E-2</v>
      </c>
      <c r="BY103" s="864">
        <f t="shared" si="291"/>
        <v>3.2304379038048392E-3</v>
      </c>
      <c r="BZ103" s="863">
        <f t="shared" si="291"/>
        <v>3.9289055191767952E-2</v>
      </c>
      <c r="CA103" s="863">
        <f t="shared" si="291"/>
        <v>-2.2628791526239755E-2</v>
      </c>
      <c r="CB103" s="863">
        <f t="shared" si="291"/>
        <v>-2.9712615684364341E-2</v>
      </c>
      <c r="CC103" s="863">
        <f t="shared" si="291"/>
        <v>-4.1568256967406736E-2</v>
      </c>
      <c r="CD103" s="864">
        <f t="shared" si="291"/>
        <v>-1.3357185450208697E-2</v>
      </c>
      <c r="CE103" s="863">
        <f t="shared" si="291"/>
        <v>-4.4554455445544594E-2</v>
      </c>
      <c r="CF103" s="863">
        <f t="shared" si="291"/>
        <v>1.5763546798029493E-2</v>
      </c>
      <c r="CG103" s="863">
        <f t="shared" ref="CG103:DL103" si="292">IF(OR(CG14&lt;=0,CB14&lt;=0),"nm",CG14/CB14-1)</f>
        <v>3.8654618473895619E-2</v>
      </c>
      <c r="CH103" s="863">
        <f t="shared" si="292"/>
        <v>2.5135534746180355E-2</v>
      </c>
      <c r="CI103" s="864">
        <f t="shared" si="292"/>
        <v>7.3733832950562128E-3</v>
      </c>
      <c r="CJ103" s="863">
        <f t="shared" si="292"/>
        <v>1.2717852096090443E-2</v>
      </c>
      <c r="CK103" s="863">
        <f t="shared" si="292"/>
        <v>3.2977691561590694E-2</v>
      </c>
      <c r="CL103" s="863">
        <f t="shared" si="292"/>
        <v>2.8999516674721448E-3</v>
      </c>
      <c r="CM103" s="863">
        <f t="shared" si="292"/>
        <v>1.4423076923076872E-2</v>
      </c>
      <c r="CN103" s="864">
        <f t="shared" si="292"/>
        <v>1.5718742500600014E-2</v>
      </c>
      <c r="CO103" s="863">
        <f t="shared" si="292"/>
        <v>4.6511627906976827E-2</v>
      </c>
      <c r="CP103" s="863">
        <f t="shared" si="292"/>
        <v>9.3896713615015948E-4</v>
      </c>
      <c r="CQ103" s="863">
        <f t="shared" si="292"/>
        <v>1.2048192771084265E-2</v>
      </c>
      <c r="CR103" s="863">
        <f t="shared" si="292"/>
        <v>2.9383886255924141E-2</v>
      </c>
      <c r="CS103" s="864">
        <f t="shared" si="292"/>
        <v>2.2327229769639745E-2</v>
      </c>
      <c r="CT103" s="863">
        <f t="shared" si="292"/>
        <v>2.3111111111111082E-2</v>
      </c>
      <c r="CU103" s="863">
        <f t="shared" si="292"/>
        <v>6.2382739212007543E-2</v>
      </c>
      <c r="CV103" s="863">
        <f t="shared" si="292"/>
        <v>5.7619047619047681E-2</v>
      </c>
      <c r="CW103" s="863">
        <f t="shared" si="292"/>
        <v>7.320441988950277E-2</v>
      </c>
      <c r="CX103" s="864">
        <f t="shared" si="292"/>
        <v>5.3732378091056132E-2</v>
      </c>
      <c r="CY103" s="863">
        <f t="shared" si="292"/>
        <v>3.6924413553431901E-2</v>
      </c>
      <c r="CZ103" s="863">
        <f t="shared" si="292"/>
        <v>6.9315673289183311E-2</v>
      </c>
      <c r="DA103" s="863">
        <f t="shared" si="292"/>
        <v>8.4196307969383266E-2</v>
      </c>
      <c r="DB103" s="863">
        <f t="shared" si="292"/>
        <v>0.66666666666666674</v>
      </c>
      <c r="DC103" s="864">
        <f t="shared" si="292"/>
        <v>0.21745805461125123</v>
      </c>
      <c r="DD103" s="863">
        <f t="shared" si="292"/>
        <v>0.64474235441977368</v>
      </c>
      <c r="DE103" s="863">
        <f t="shared" si="292"/>
        <v>0.66886870355078454</v>
      </c>
      <c r="DF103" s="863">
        <f t="shared" si="292"/>
        <v>0.73546511627906974</v>
      </c>
      <c r="DG103" s="863">
        <f t="shared" si="292"/>
        <v>0.15006435006435015</v>
      </c>
      <c r="DH103" s="864">
        <f t="shared" si="292"/>
        <v>0.4965771932985048</v>
      </c>
      <c r="DI103" s="863">
        <f t="shared" si="292"/>
        <v>0.12684666327050431</v>
      </c>
      <c r="DJ103" s="863">
        <f t="shared" si="292"/>
        <v>0.11133102424542307</v>
      </c>
      <c r="DK103" s="863">
        <f t="shared" si="292"/>
        <v>0.12275664034458011</v>
      </c>
      <c r="DL103" s="863">
        <f t="shared" si="292"/>
        <v>0.12488809310653526</v>
      </c>
      <c r="DM103" s="864">
        <f t="shared" ref="DM103:EG103" si="293">IF(OR(DM14&lt;=0,DH14&lt;=0),"nm",DM14/DH14-1)</f>
        <v>0.12151670177550411</v>
      </c>
      <c r="DN103" s="863">
        <f t="shared" si="293"/>
        <v>0.14014466546112114</v>
      </c>
      <c r="DO103" s="863">
        <f t="shared" si="293"/>
        <v>8.3704363312555596E-2</v>
      </c>
      <c r="DP103" s="863">
        <f t="shared" si="293"/>
        <v>3.3461210571184896E-2</v>
      </c>
      <c r="DQ103" s="863">
        <f t="shared" si="293"/>
        <v>-3.3028253083963399E-2</v>
      </c>
      <c r="DR103" s="864">
        <f t="shared" si="293"/>
        <v>5.2967693463561227E-2</v>
      </c>
      <c r="DS103" s="863">
        <f t="shared" si="293"/>
        <v>-4.5796986518635951E-2</v>
      </c>
      <c r="DT103" s="863">
        <f t="shared" si="293"/>
        <v>-1.3557929334428898E-2</v>
      </c>
      <c r="DU103" s="863">
        <f t="shared" si="293"/>
        <v>-5.423798721385853E-2</v>
      </c>
      <c r="DV103" s="863">
        <f t="shared" si="293"/>
        <v>2.427983539094658E-2</v>
      </c>
      <c r="DW103" s="864">
        <f t="shared" si="293"/>
        <v>-2.2526884460526975E-2</v>
      </c>
      <c r="DX103" s="863">
        <f t="shared" si="293"/>
        <v>-4.7353753279535504E-2</v>
      </c>
      <c r="DY103" s="863">
        <f t="shared" si="293"/>
        <v>-4.7911772553406839E-2</v>
      </c>
      <c r="DZ103" s="863">
        <f t="shared" si="293"/>
        <v>-4.4456402760841507E-2</v>
      </c>
      <c r="EA103" s="863">
        <f t="shared" si="293"/>
        <v>-7.5724490100771535E-2</v>
      </c>
      <c r="EB103" s="864">
        <f t="shared" si="293"/>
        <v>-5.4164425732244781E-2</v>
      </c>
      <c r="EC103" s="863">
        <f t="shared" si="293"/>
        <v>-1.3258224500826365E-2</v>
      </c>
      <c r="ED103" s="863">
        <f t="shared" si="293"/>
        <v>3.1835832515907381E-3</v>
      </c>
      <c r="EE103" s="863">
        <f t="shared" si="293"/>
        <v>2.1623887062071301E-2</v>
      </c>
      <c r="EF103" s="863">
        <f t="shared" si="293"/>
        <v>3.964911051900244E-2</v>
      </c>
      <c r="EG103" s="864">
        <f t="shared" si="293"/>
        <v>1.2731451112992342E-2</v>
      </c>
      <c r="EH103" s="863">
        <f t="shared" ref="EH103" si="294">IF(OR(EH14&lt;=0,EC14&lt;=0),"nm",EH14/EC14-1)</f>
        <v>4.6062389950600746E-2</v>
      </c>
      <c r="EI103" s="863">
        <f t="shared" ref="EI103" si="295">IF(OR(EI14&lt;=0,ED14&lt;=0),"nm",EI14/ED14-1)</f>
        <v>4.5132568470567236E-2</v>
      </c>
      <c r="EJ103" s="863">
        <f t="shared" ref="EJ103" si="296">IF(OR(EJ14&lt;=0,EE14&lt;=0),"nm",EJ14/EE14-1)</f>
        <v>4.4147216064367667E-2</v>
      </c>
      <c r="EK103" s="863">
        <f t="shared" ref="EK103" si="297">IF(OR(EK14&lt;=0,EF14&lt;=0),"nm",EK14/EF14-1)</f>
        <v>4.5135946545649119E-2</v>
      </c>
      <c r="EL103" s="864">
        <f t="shared" ref="EL103" si="298">IF(OR(EL14&lt;=0,EG14&lt;=0),"nm",EL14/EG14-1)</f>
        <v>4.5122315474344532E-2</v>
      </c>
      <c r="EM103" s="1"/>
      <c r="EN103"/>
      <c r="EO103"/>
      <c r="EP103"/>
      <c r="EQ103"/>
      <c r="ER103"/>
      <c r="ES103" s="7"/>
      <c r="ET103"/>
      <c r="EU103" s="7"/>
      <c r="EV103" s="7"/>
      <c r="EW103" s="7"/>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c r="HF103" s="3"/>
      <c r="HG103" s="3"/>
      <c r="HH103" s="3"/>
      <c r="HI103" s="3"/>
      <c r="HJ103" s="3"/>
      <c r="HK103" s="3"/>
      <c r="HL103" s="3"/>
      <c r="HM103" s="3"/>
      <c r="HN103" s="3"/>
      <c r="HO103" s="3"/>
      <c r="HP103" s="3"/>
      <c r="HQ103" s="3"/>
      <c r="HR103" s="3"/>
      <c r="HS103" s="3"/>
      <c r="HT103" s="3"/>
      <c r="HU103" s="3"/>
      <c r="HV103" s="3"/>
      <c r="HW103" s="3"/>
      <c r="HX103" s="3"/>
      <c r="HY103" s="3"/>
      <c r="HZ103" s="3"/>
      <c r="IA103" s="3"/>
      <c r="IB103" s="3"/>
      <c r="IC103" s="3"/>
      <c r="ID103" s="3"/>
      <c r="IE103" s="3"/>
      <c r="IF103" s="3"/>
      <c r="IG103" s="3"/>
      <c r="IH103" s="3"/>
      <c r="II103" s="3"/>
      <c r="IJ103" s="3"/>
      <c r="IK103" s="3"/>
      <c r="IL103" s="3"/>
      <c r="IM103" s="3"/>
      <c r="IN103" s="3"/>
      <c r="IO103" s="3"/>
      <c r="IP103" s="3"/>
      <c r="IQ103" s="3"/>
      <c r="IR103" s="3"/>
      <c r="IS103" s="3"/>
      <c r="IT103" s="3"/>
      <c r="IU103" s="3"/>
      <c r="IV103" s="3"/>
      <c r="IW103" s="3"/>
      <c r="IX103" s="3"/>
      <c r="IY103" s="3"/>
      <c r="IZ103" s="3"/>
      <c r="JA103" s="3"/>
      <c r="JB103" s="3"/>
      <c r="JC103" s="3"/>
      <c r="JD103" s="3"/>
      <c r="JE103" s="3"/>
      <c r="JF103" s="3"/>
      <c r="JG103" s="3"/>
      <c r="JH103" s="3"/>
      <c r="JI103" s="3"/>
      <c r="JJ103" s="3"/>
      <c r="JK103" s="3"/>
    </row>
    <row r="104" spans="1:271" s="11" customFormat="1" ht="12" customHeight="1">
      <c r="A104" s="872"/>
      <c r="B104" s="873" t="s">
        <v>338</v>
      </c>
      <c r="C104" s="871"/>
      <c r="D104" s="863"/>
      <c r="E104" s="863"/>
      <c r="F104" s="863"/>
      <c r="G104" s="863"/>
      <c r="H104" s="864"/>
      <c r="I104" s="863">
        <f t="shared" ref="I104:R105" si="299">IF(OR(I16&lt;=0,D16&lt;=0),"nm",I16/D16-1)</f>
        <v>-2.301041966585482E-2</v>
      </c>
      <c r="J104" s="863">
        <f t="shared" si="299"/>
        <v>0.99523809523809548</v>
      </c>
      <c r="K104" s="863">
        <f t="shared" si="299"/>
        <v>1.0697420995277875</v>
      </c>
      <c r="L104" s="863">
        <f t="shared" si="299"/>
        <v>0.8948245982564853</v>
      </c>
      <c r="M104" s="864">
        <f t="shared" si="299"/>
        <v>0.60497439648866136</v>
      </c>
      <c r="N104" s="863">
        <f t="shared" si="299"/>
        <v>0.13241736360015932</v>
      </c>
      <c r="O104" s="863">
        <f t="shared" si="299"/>
        <v>6.7376537543601955E-2</v>
      </c>
      <c r="P104" s="863">
        <f t="shared" si="299"/>
        <v>0.59880659880659892</v>
      </c>
      <c r="Q104" s="863">
        <f t="shared" si="299"/>
        <v>1.6206478434089733</v>
      </c>
      <c r="R104" s="864">
        <f t="shared" si="299"/>
        <v>0.62898814949863269</v>
      </c>
      <c r="S104" s="863">
        <f t="shared" ref="S104:AB105" si="300">IF(OR(S16&lt;=0,N16&lt;=0),"nm",S16/N16-1)</f>
        <v>0.69861086688939666</v>
      </c>
      <c r="T104" s="863">
        <f t="shared" si="300"/>
        <v>0.73202614379084974</v>
      </c>
      <c r="U104" s="863">
        <f t="shared" si="300"/>
        <v>0.141602634467618</v>
      </c>
      <c r="V104" s="863">
        <f t="shared" si="300"/>
        <v>-0.31323947385815321</v>
      </c>
      <c r="W104" s="864">
        <f t="shared" si="300"/>
        <v>0.13374370453273654</v>
      </c>
      <c r="X104" s="863">
        <f t="shared" si="300"/>
        <v>5.3830227743271175E-2</v>
      </c>
      <c r="Y104" s="863">
        <f t="shared" si="300"/>
        <v>3.1777557100297837E-2</v>
      </c>
      <c r="Z104" s="863">
        <f t="shared" si="300"/>
        <v>0.11538461538461542</v>
      </c>
      <c r="AA104" s="863">
        <f t="shared" si="300"/>
        <v>0.15014436958614041</v>
      </c>
      <c r="AB104" s="864">
        <f t="shared" si="300"/>
        <v>8.8845014807502398E-2</v>
      </c>
      <c r="AC104" s="863">
        <f t="shared" ref="AC104:AL105" si="301">IF(OR(AC16&lt;=0,X16&lt;=0),"nm",AC16/X16-1)</f>
        <v>0.14047151277013747</v>
      </c>
      <c r="AD104" s="863">
        <f t="shared" si="301"/>
        <v>6.8334937439846088E-2</v>
      </c>
      <c r="AE104" s="863">
        <f t="shared" si="301"/>
        <v>-3.3620689655172398E-2</v>
      </c>
      <c r="AF104" s="863">
        <f t="shared" si="301"/>
        <v>-6.6108786610878711E-2</v>
      </c>
      <c r="AG104" s="864">
        <f t="shared" si="301"/>
        <v>2.1758839528558394E-2</v>
      </c>
      <c r="AH104" s="863">
        <f t="shared" si="301"/>
        <v>-3.2730404823428039E-2</v>
      </c>
      <c r="AI104" s="863">
        <f t="shared" si="301"/>
        <v>1.8018018018018056E-2</v>
      </c>
      <c r="AJ104" s="863">
        <f t="shared" si="301"/>
        <v>5.0847457627118731E-2</v>
      </c>
      <c r="AK104" s="863">
        <f t="shared" si="301"/>
        <v>0.11917562724014341</v>
      </c>
      <c r="AL104" s="864">
        <f t="shared" si="301"/>
        <v>3.815439219165917E-2</v>
      </c>
      <c r="AM104" s="863">
        <f t="shared" ref="AM104:AT105" si="302">IF(OR(AM16&lt;=0,AH16&lt;=0),"nm",AM16/AH16-1)</f>
        <v>0.13089937666963491</v>
      </c>
      <c r="AN104" s="863">
        <f t="shared" si="302"/>
        <v>0.15044247787610621</v>
      </c>
      <c r="AO104" s="863">
        <f t="shared" si="302"/>
        <v>0.14685908319185059</v>
      </c>
      <c r="AP104" s="863">
        <f t="shared" si="302"/>
        <v>0.14091273018414729</v>
      </c>
      <c r="AQ104" s="864">
        <f t="shared" si="302"/>
        <v>0.14230769230769225</v>
      </c>
      <c r="AR104" s="863">
        <f t="shared" si="302"/>
        <v>0.12047244094488185</v>
      </c>
      <c r="AS104" s="863">
        <f t="shared" si="302"/>
        <v>0.11307692307692307</v>
      </c>
      <c r="AT104" s="863">
        <f t="shared" si="302"/>
        <v>7.401924500370094E-2</v>
      </c>
      <c r="AU104" s="863"/>
      <c r="AV104" s="864"/>
      <c r="AW104" s="863"/>
      <c r="AX104" s="863"/>
      <c r="AY104" s="863"/>
      <c r="AZ104" s="863"/>
      <c r="BA104" s="863">
        <f t="shared" ref="BA104:BJ105" si="303">IF(OR(BA16&lt;=0,AV16&lt;=0),"nm",BA16/AV16-1)</f>
        <v>9.1859596713965708E-2</v>
      </c>
      <c r="BB104" s="863">
        <f t="shared" si="303"/>
        <v>8.9430894308943021E-2</v>
      </c>
      <c r="BC104" s="863">
        <f t="shared" si="303"/>
        <v>3.1976744186046568E-2</v>
      </c>
      <c r="BD104" s="863">
        <f t="shared" si="303"/>
        <v>3.9143279172821233E-2</v>
      </c>
      <c r="BE104" s="864">
        <f t="shared" si="303"/>
        <v>6.2891921800073858E-2</v>
      </c>
      <c r="BF104" s="863">
        <f t="shared" si="303"/>
        <v>-0.21614227086183313</v>
      </c>
      <c r="BG104" s="863">
        <f t="shared" si="303"/>
        <v>-0.23270013568521031</v>
      </c>
      <c r="BH104" s="863">
        <f t="shared" si="303"/>
        <v>-0.24084507042253522</v>
      </c>
      <c r="BI104" s="863">
        <f t="shared" si="303"/>
        <v>-0.23525230987917556</v>
      </c>
      <c r="BJ104" s="864">
        <f t="shared" si="303"/>
        <v>-0.23112961998958881</v>
      </c>
      <c r="BK104" s="863">
        <f t="shared" ref="BK104:BT105" si="304">IF(OR(BK16&lt;=0,BF16&lt;=0),"nm",BK16/BF16-1)</f>
        <v>-1.919720767888311E-2</v>
      </c>
      <c r="BL104" s="863">
        <f t="shared" si="304"/>
        <v>-1.5030946065428874E-2</v>
      </c>
      <c r="BM104" s="863">
        <f t="shared" si="304"/>
        <v>1.9480519480519431E-2</v>
      </c>
      <c r="BN104" s="863">
        <f t="shared" si="304"/>
        <v>-2.3234200743494471E-2</v>
      </c>
      <c r="BO104" s="864">
        <f t="shared" si="304"/>
        <v>-9.7043556759196514E-3</v>
      </c>
      <c r="BP104" s="863">
        <f t="shared" si="304"/>
        <v>-4.3594306049822062E-2</v>
      </c>
      <c r="BQ104" s="863">
        <f t="shared" si="304"/>
        <v>-0.13554757630161585</v>
      </c>
      <c r="BR104" s="863">
        <f t="shared" si="304"/>
        <v>-0.13284804367606917</v>
      </c>
      <c r="BS104" s="863">
        <f t="shared" si="304"/>
        <v>-6.1845861084681264E-2</v>
      </c>
      <c r="BT104" s="864">
        <f t="shared" si="304"/>
        <v>-9.3664539653600776E-2</v>
      </c>
      <c r="BU104" s="863">
        <f t="shared" ref="BU104:CD105" si="305">IF(OR(BU16&lt;=0,BP16&lt;=0),"nm",BU16/BP16-1)</f>
        <v>-5.2093023255813997E-2</v>
      </c>
      <c r="BV104" s="863">
        <f t="shared" si="305"/>
        <v>3.1152647975077885E-2</v>
      </c>
      <c r="BW104" s="863">
        <f t="shared" si="305"/>
        <v>3.147953830010497E-2</v>
      </c>
      <c r="BX104" s="863">
        <f t="shared" si="305"/>
        <v>3.7525354969573987E-2</v>
      </c>
      <c r="BY104" s="864">
        <f t="shared" si="305"/>
        <v>1.0309278350515427E-2</v>
      </c>
      <c r="BZ104" s="863">
        <f t="shared" si="305"/>
        <v>1.6683022571148287E-2</v>
      </c>
      <c r="CA104" s="863">
        <f t="shared" si="305"/>
        <v>-2.6183282980866029E-2</v>
      </c>
      <c r="CB104" s="863">
        <f t="shared" si="305"/>
        <v>-3.153611393692779E-2</v>
      </c>
      <c r="CC104" s="863">
        <f t="shared" si="305"/>
        <v>-5.474095796676437E-2</v>
      </c>
      <c r="CD104" s="864">
        <f t="shared" si="305"/>
        <v>-2.3892483822797406E-2</v>
      </c>
      <c r="CE104" s="863">
        <f t="shared" ref="CE104:CN105" si="306">IF(OR(CE16&lt;=0,BZ16&lt;=0),"nm",CE16/BZ16-1)</f>
        <v>-5.8880308880308929E-2</v>
      </c>
      <c r="CF104" s="863">
        <f t="shared" si="306"/>
        <v>-1.8614270941054833E-2</v>
      </c>
      <c r="CG104" s="863">
        <f t="shared" si="306"/>
        <v>2.1008403361344463E-3</v>
      </c>
      <c r="CH104" s="863">
        <f t="shared" si="306"/>
        <v>2.2750775594622574E-2</v>
      </c>
      <c r="CI104" s="864">
        <f t="shared" si="306"/>
        <v>-1.4023457419683805E-2</v>
      </c>
      <c r="CJ104" s="863">
        <f t="shared" si="306"/>
        <v>1.2307692307692353E-2</v>
      </c>
      <c r="CK104" s="863">
        <f t="shared" si="306"/>
        <v>2.1074815595363505E-2</v>
      </c>
      <c r="CL104" s="863">
        <f t="shared" si="306"/>
        <v>2.4109014675052443E-2</v>
      </c>
      <c r="CM104" s="863">
        <f t="shared" si="306"/>
        <v>-2.2244691607684497E-2</v>
      </c>
      <c r="CN104" s="864">
        <f t="shared" si="306"/>
        <v>8.5337470907680402E-3</v>
      </c>
      <c r="CO104" s="863">
        <f t="shared" ref="CO104:CX105" si="307">IF(OR(CO16&lt;=0,CJ16&lt;=0),"nm",CO16/CJ16-1)</f>
        <v>3.039513677811545E-2</v>
      </c>
      <c r="CP104" s="863">
        <f t="shared" si="307"/>
        <v>1.3415892672858698E-2</v>
      </c>
      <c r="CQ104" s="863">
        <f t="shared" si="307"/>
        <v>2.5588536335721557E-2</v>
      </c>
      <c r="CR104" s="863">
        <f t="shared" si="307"/>
        <v>4.8603929679420954E-2</v>
      </c>
      <c r="CS104" s="864">
        <f t="shared" si="307"/>
        <v>2.9487179487179382E-2</v>
      </c>
      <c r="CT104" s="863">
        <f t="shared" si="307"/>
        <v>4.4247787610619538E-2</v>
      </c>
      <c r="CU104" s="863">
        <f t="shared" si="307"/>
        <v>7.3319755600814718E-2</v>
      </c>
      <c r="CV104" s="863">
        <f t="shared" si="307"/>
        <v>4.7904191616766401E-2</v>
      </c>
      <c r="CW104" s="863">
        <f t="shared" si="307"/>
        <v>7.5936883629191376E-2</v>
      </c>
      <c r="CX104" s="864">
        <f t="shared" si="307"/>
        <v>6.02739726027397E-2</v>
      </c>
      <c r="CY104" s="863">
        <f t="shared" ref="CY104:DH105" si="308">IF(OR(CY16&lt;=0,CT16&lt;=0),"nm",CY16/CT16-1)</f>
        <v>9.3220338983050821E-2</v>
      </c>
      <c r="CZ104" s="863">
        <f t="shared" si="308"/>
        <v>0.10626185958254264</v>
      </c>
      <c r="DA104" s="863">
        <f t="shared" si="308"/>
        <v>0.11619047619047618</v>
      </c>
      <c r="DB104" s="863">
        <f t="shared" si="308"/>
        <v>0.71585701191567375</v>
      </c>
      <c r="DC104" s="864">
        <f t="shared" si="308"/>
        <v>0.26168663377965706</v>
      </c>
      <c r="DD104" s="863">
        <f t="shared" si="308"/>
        <v>0.65460809646856166</v>
      </c>
      <c r="DE104" s="863">
        <f t="shared" si="308"/>
        <v>0.67753001715265859</v>
      </c>
      <c r="DF104" s="863">
        <f t="shared" si="308"/>
        <v>0.7303754266211604</v>
      </c>
      <c r="DG104" s="863">
        <f t="shared" si="308"/>
        <v>0.13141025641025639</v>
      </c>
      <c r="DH104" s="864">
        <f t="shared" si="308"/>
        <v>0.493762800223422</v>
      </c>
      <c r="DI104" s="863">
        <f t="shared" ref="DI104:DR105" si="309">IF(OR(DI16&lt;=0,DD16&lt;=0),"nm",DI16/DD16-1)</f>
        <v>0.10619469026548667</v>
      </c>
      <c r="DJ104" s="863">
        <f t="shared" si="309"/>
        <v>0.11707566462167684</v>
      </c>
      <c r="DK104" s="863">
        <f t="shared" si="309"/>
        <v>0.11341222879684421</v>
      </c>
      <c r="DL104" s="863">
        <f t="shared" si="309"/>
        <v>0.15344664778092532</v>
      </c>
      <c r="DM104" s="864">
        <f t="shared" si="309"/>
        <v>0.12314595537828743</v>
      </c>
      <c r="DN104" s="863">
        <f t="shared" si="309"/>
        <v>0.13035294117647056</v>
      </c>
      <c r="DO104" s="863">
        <f t="shared" si="309"/>
        <v>5.9954233409611035E-2</v>
      </c>
      <c r="DP104" s="863">
        <f t="shared" si="309"/>
        <v>2.4800708591674159E-2</v>
      </c>
      <c r="DQ104" s="863">
        <f t="shared" si="309"/>
        <v>-4.8710601719197721E-2</v>
      </c>
      <c r="DR104" s="864">
        <f t="shared" si="309"/>
        <v>3.8286538674952908E-2</v>
      </c>
      <c r="DS104" s="863">
        <f t="shared" ref="DS104:EB105" si="310">IF(OR(DS16&lt;=0,DN16&lt;=0),"nm",DS16/DN16-1)</f>
        <v>-9.1590341382181695E-3</v>
      </c>
      <c r="DT104" s="863">
        <f t="shared" si="310"/>
        <v>1.2953367875647714E-2</v>
      </c>
      <c r="DU104" s="863">
        <f t="shared" si="310"/>
        <v>-2.1607605877268843E-2</v>
      </c>
      <c r="DV104" s="863">
        <f t="shared" si="310"/>
        <v>-1.7211703958691871E-2</v>
      </c>
      <c r="DW104" s="864">
        <f t="shared" si="310"/>
        <v>-8.7644292432663695E-3</v>
      </c>
      <c r="DX104" s="863">
        <f t="shared" si="310"/>
        <v>-6.9253781120241831E-2</v>
      </c>
      <c r="DY104" s="863">
        <f t="shared" si="310"/>
        <v>-6.0750021823772538E-2</v>
      </c>
      <c r="DZ104" s="863">
        <f t="shared" si="310"/>
        <v>-7.0824290221221164E-2</v>
      </c>
      <c r="EA104" s="863">
        <f t="shared" si="310"/>
        <v>-2.0413603079388221E-2</v>
      </c>
      <c r="EB104" s="864">
        <f t="shared" si="310"/>
        <v>-5.5457667970553515E-2</v>
      </c>
      <c r="EC104" s="863">
        <f t="shared" ref="EC104:EG105" si="311">IF(OR(EC16&lt;=0,DX16&lt;=0),"nm",EC16/DX16-1)</f>
        <v>-2.8660644566852467E-2</v>
      </c>
      <c r="ED104" s="863">
        <f t="shared" si="311"/>
        <v>-9.3532663538085092E-3</v>
      </c>
      <c r="EE104" s="863">
        <f t="shared" si="311"/>
        <v>6.5726545220632371E-3</v>
      </c>
      <c r="EF104" s="863">
        <f t="shared" si="311"/>
        <v>1.4270364207781494E-2</v>
      </c>
      <c r="EG104" s="864">
        <f t="shared" si="311"/>
        <v>-4.37725311407966E-3</v>
      </c>
      <c r="EH104" s="863">
        <f t="shared" ref="EH104:EH105" si="312">IF(OR(EH16&lt;=0,EC16&lt;=0),"nm",EH16/EC16-1)</f>
        <v>4.604111944061029E-2</v>
      </c>
      <c r="EI104" s="863">
        <f t="shared" ref="EI104:EI105" si="313">IF(OR(EI16&lt;=0,ED16&lt;=0),"nm",EI16/ED16-1)</f>
        <v>4.5315849267330011E-2</v>
      </c>
      <c r="EJ104" s="863">
        <f t="shared" ref="EJ104:EJ105" si="314">IF(OR(EJ16&lt;=0,EE16&lt;=0),"nm",EJ16/EE16-1)</f>
        <v>5.1689603634712089E-2</v>
      </c>
      <c r="EK104" s="863">
        <f t="shared" ref="EK104:EK105" si="315">IF(OR(EK16&lt;=0,EF16&lt;=0),"nm",EK16/EF16-1)</f>
        <v>5.8583308995352468E-2</v>
      </c>
      <c r="EL104" s="864">
        <f t="shared" ref="EL104:EL105" si="316">IF(OR(EL16&lt;=0,EG16&lt;=0),"nm",EL16/EG16-1)</f>
        <v>5.0494495661056016E-2</v>
      </c>
      <c r="EM104" s="1"/>
      <c r="EN104"/>
      <c r="EO104"/>
      <c r="EP104"/>
      <c r="EQ104"/>
      <c r="ER104"/>
      <c r="ES104" s="7"/>
      <c r="ET104"/>
      <c r="EU104" s="7"/>
      <c r="EV104" s="7"/>
      <c r="EW104" s="7"/>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c r="HF104" s="3"/>
      <c r="HG104" s="3"/>
      <c r="HH104" s="3"/>
      <c r="HI104" s="3"/>
      <c r="HJ104" s="3"/>
      <c r="HK104" s="3"/>
      <c r="HL104" s="3"/>
      <c r="HM104" s="3"/>
      <c r="HN104" s="3"/>
      <c r="HO104" s="3"/>
      <c r="HP104" s="3"/>
      <c r="HQ104" s="3"/>
      <c r="HR104" s="3"/>
      <c r="HS104" s="3"/>
      <c r="HT104" s="3"/>
      <c r="HU104" s="3"/>
      <c r="HV104" s="3"/>
      <c r="HW104" s="3"/>
      <c r="HX104" s="3"/>
      <c r="HY104" s="3"/>
      <c r="HZ104" s="3"/>
      <c r="IA104" s="3"/>
      <c r="IB104" s="3"/>
      <c r="IC104" s="3"/>
      <c r="ID104" s="3"/>
      <c r="IE104" s="3"/>
      <c r="IF104" s="3"/>
      <c r="IG104" s="3"/>
      <c r="IH104" s="3"/>
      <c r="II104" s="3"/>
      <c r="IJ104" s="3"/>
      <c r="IK104" s="3"/>
      <c r="IL104" s="3"/>
      <c r="IM104" s="3"/>
      <c r="IN104" s="3"/>
      <c r="IO104" s="3"/>
      <c r="IP104" s="3"/>
      <c r="IQ104" s="3"/>
      <c r="IR104" s="3"/>
      <c r="IS104" s="3"/>
      <c r="IT104" s="3"/>
      <c r="IU104" s="3"/>
      <c r="IV104" s="3"/>
      <c r="IW104" s="3"/>
      <c r="IX104" s="3"/>
      <c r="IY104" s="3"/>
      <c r="IZ104" s="3"/>
      <c r="JA104" s="3"/>
      <c r="JB104" s="3"/>
      <c r="JC104" s="3"/>
      <c r="JD104" s="3"/>
      <c r="JE104" s="3"/>
      <c r="JF104" s="3"/>
      <c r="JG104" s="3"/>
      <c r="JH104" s="3"/>
      <c r="JI104" s="3"/>
      <c r="JJ104" s="3"/>
      <c r="JK104" s="3"/>
    </row>
    <row r="105" spans="1:271" s="11" customFormat="1" ht="12" customHeight="1">
      <c r="A105" s="872"/>
      <c r="B105" s="873" t="s">
        <v>339</v>
      </c>
      <c r="C105" s="871"/>
      <c r="D105" s="863"/>
      <c r="E105" s="863"/>
      <c r="F105" s="863"/>
      <c r="G105" s="863"/>
      <c r="H105" s="864"/>
      <c r="I105" s="863" t="str">
        <f t="shared" si="299"/>
        <v>nm</v>
      </c>
      <c r="J105" s="863">
        <f t="shared" si="299"/>
        <v>1.3694267515923566</v>
      </c>
      <c r="K105" s="863">
        <f t="shared" si="299"/>
        <v>1.3809523809523809</v>
      </c>
      <c r="L105" s="863">
        <f t="shared" si="299"/>
        <v>-0.26048237476808922</v>
      </c>
      <c r="M105" s="864">
        <f t="shared" si="299"/>
        <v>0.7685185185185186</v>
      </c>
      <c r="N105" s="863">
        <f t="shared" si="299"/>
        <v>6.8830442081701193E-2</v>
      </c>
      <c r="O105" s="863">
        <f t="shared" si="299"/>
        <v>9.7311827956989116E-2</v>
      </c>
      <c r="P105" s="863">
        <f t="shared" si="299"/>
        <v>0.5774999999999999</v>
      </c>
      <c r="Q105" s="863">
        <f t="shared" si="299"/>
        <v>1.4405418966382344</v>
      </c>
      <c r="R105" s="864">
        <f t="shared" si="299"/>
        <v>0.56675392670157065</v>
      </c>
      <c r="S105" s="863">
        <f t="shared" si="300"/>
        <v>0.68062827225130884</v>
      </c>
      <c r="T105" s="863">
        <f t="shared" si="300"/>
        <v>0.61685448309652147</v>
      </c>
      <c r="U105" s="863">
        <f t="shared" si="300"/>
        <v>0.15689381933438984</v>
      </c>
      <c r="V105" s="863">
        <f t="shared" si="300"/>
        <v>-0.26192434210526316</v>
      </c>
      <c r="W105" s="864">
        <f t="shared" si="300"/>
        <v>0.14870509607351723</v>
      </c>
      <c r="X105" s="863">
        <f t="shared" si="300"/>
        <v>9.0342679127725756E-2</v>
      </c>
      <c r="Y105" s="863">
        <f t="shared" si="300"/>
        <v>6.3636363636363713E-2</v>
      </c>
      <c r="Z105" s="863">
        <f t="shared" si="300"/>
        <v>0.10410958904109591</v>
      </c>
      <c r="AA105" s="863">
        <f t="shared" si="300"/>
        <v>0.17270194986072429</v>
      </c>
      <c r="AB105" s="864">
        <f t="shared" si="300"/>
        <v>0.10909090909090913</v>
      </c>
      <c r="AC105" s="863">
        <f t="shared" si="301"/>
        <v>0.16285714285714281</v>
      </c>
      <c r="AD105" s="863">
        <f t="shared" si="301"/>
        <v>0.10256410256410264</v>
      </c>
      <c r="AE105" s="863">
        <f t="shared" si="301"/>
        <v>-4.9627791563275903E-3</v>
      </c>
      <c r="AF105" s="863">
        <f t="shared" si="301"/>
        <v>-4.9881235154394354E-2</v>
      </c>
      <c r="AG105" s="864">
        <f t="shared" si="301"/>
        <v>4.590163934426239E-2</v>
      </c>
      <c r="AH105" s="863">
        <f t="shared" si="301"/>
        <v>-7.3710073710073765E-3</v>
      </c>
      <c r="AI105" s="863">
        <f t="shared" si="301"/>
        <v>4.6511627906976827E-2</v>
      </c>
      <c r="AJ105" s="863">
        <f t="shared" si="301"/>
        <v>4.7381546134663388E-2</v>
      </c>
      <c r="AK105" s="863">
        <f t="shared" si="301"/>
        <v>0.12000000000000011</v>
      </c>
      <c r="AL105" s="864">
        <f t="shared" si="301"/>
        <v>5.1410658307210033E-2</v>
      </c>
      <c r="AM105" s="863">
        <f t="shared" si="302"/>
        <v>0.15346534653465338</v>
      </c>
      <c r="AN105" s="863">
        <f t="shared" si="302"/>
        <v>0.16790123456790118</v>
      </c>
      <c r="AO105" s="863">
        <f t="shared" si="302"/>
        <v>0.18095238095238098</v>
      </c>
      <c r="AP105" s="863">
        <f t="shared" si="302"/>
        <v>0.171875</v>
      </c>
      <c r="AQ105" s="864">
        <f t="shared" si="302"/>
        <v>0.16875372689326174</v>
      </c>
      <c r="AR105" s="863">
        <f t="shared" si="302"/>
        <v>0.13519313304721026</v>
      </c>
      <c r="AS105" s="863">
        <f t="shared" si="302"/>
        <v>0.13319238900634245</v>
      </c>
      <c r="AT105" s="863">
        <f t="shared" si="302"/>
        <v>0.125</v>
      </c>
      <c r="AU105" s="863"/>
      <c r="AV105" s="864"/>
      <c r="AW105" s="863"/>
      <c r="AX105" s="863"/>
      <c r="AY105" s="863"/>
      <c r="AZ105" s="863"/>
      <c r="BA105" s="863">
        <f t="shared" si="303"/>
        <v>7.7709611451942662E-2</v>
      </c>
      <c r="BB105" s="863">
        <f t="shared" si="303"/>
        <v>0.10526315789473695</v>
      </c>
      <c r="BC105" s="863">
        <f t="shared" si="303"/>
        <v>3.9920159680638667E-2</v>
      </c>
      <c r="BD105" s="863">
        <f t="shared" si="303"/>
        <v>7.0281124497991954E-2</v>
      </c>
      <c r="BE105" s="864">
        <f t="shared" si="303"/>
        <v>7.2847682119205226E-2</v>
      </c>
      <c r="BF105" s="863">
        <f t="shared" si="303"/>
        <v>-0.14800759013282727</v>
      </c>
      <c r="BG105" s="863">
        <f t="shared" si="303"/>
        <v>-0.16761904761904767</v>
      </c>
      <c r="BH105" s="863">
        <f t="shared" si="303"/>
        <v>-0.18809980806142035</v>
      </c>
      <c r="BI105" s="863">
        <f t="shared" si="303"/>
        <v>-0.16697936210131337</v>
      </c>
      <c r="BJ105" s="864">
        <f t="shared" si="303"/>
        <v>-0.16761633428300093</v>
      </c>
      <c r="BK105" s="863">
        <f t="shared" si="304"/>
        <v>1.7817371937639104E-2</v>
      </c>
      <c r="BL105" s="863">
        <f t="shared" si="304"/>
        <v>2.2883295194507935E-2</v>
      </c>
      <c r="BM105" s="863">
        <f t="shared" si="304"/>
        <v>5.4373522458628809E-2</v>
      </c>
      <c r="BN105" s="863">
        <f t="shared" si="304"/>
        <v>-4.5045045045045029E-2</v>
      </c>
      <c r="BO105" s="864">
        <f t="shared" si="304"/>
        <v>1.1979463776383259E-2</v>
      </c>
      <c r="BP105" s="863">
        <f t="shared" si="304"/>
        <v>-1.7505470459518557E-2</v>
      </c>
      <c r="BQ105" s="863">
        <f t="shared" si="304"/>
        <v>-0.10961968680089484</v>
      </c>
      <c r="BR105" s="863">
        <f t="shared" si="304"/>
        <v>-0.13452914798206284</v>
      </c>
      <c r="BS105" s="863">
        <f t="shared" si="304"/>
        <v>-7.547169811320753E-2</v>
      </c>
      <c r="BT105" s="864">
        <f t="shared" si="304"/>
        <v>-8.399098083427281E-2</v>
      </c>
      <c r="BU105" s="863">
        <f t="shared" si="305"/>
        <v>-9.1314031180400934E-2</v>
      </c>
      <c r="BV105" s="863">
        <f t="shared" si="305"/>
        <v>2.5125628140703071E-3</v>
      </c>
      <c r="BW105" s="863">
        <f t="shared" si="305"/>
        <v>-7.7720207253886286E-3</v>
      </c>
      <c r="BX105" s="863">
        <f t="shared" si="305"/>
        <v>3.5714285714285809E-2</v>
      </c>
      <c r="BY105" s="864">
        <f t="shared" si="305"/>
        <v>-1.7846153846153845E-2</v>
      </c>
      <c r="BZ105" s="863">
        <f t="shared" si="305"/>
        <v>2.9411764705882248E-2</v>
      </c>
      <c r="CA105" s="863">
        <f t="shared" si="305"/>
        <v>-1.7543859649122862E-2</v>
      </c>
      <c r="CB105" s="863">
        <f t="shared" si="305"/>
        <v>-7.8328981723237989E-3</v>
      </c>
      <c r="CC105" s="863">
        <f t="shared" si="305"/>
        <v>-4.4334975369458074E-2</v>
      </c>
      <c r="CD105" s="864">
        <f t="shared" si="305"/>
        <v>-1.0025062656641603E-2</v>
      </c>
      <c r="CE105" s="863">
        <f t="shared" si="306"/>
        <v>-5.9523809523809534E-2</v>
      </c>
      <c r="CF105" s="863">
        <f t="shared" si="306"/>
        <v>7.6530612244898322E-3</v>
      </c>
      <c r="CG105" s="863">
        <f t="shared" si="306"/>
        <v>2.3684210526315752E-2</v>
      </c>
      <c r="CH105" s="863">
        <f t="shared" si="306"/>
        <v>1.5463917525773141E-2</v>
      </c>
      <c r="CI105" s="864">
        <f t="shared" si="306"/>
        <v>-4.4303797468354666E-3</v>
      </c>
      <c r="CJ105" s="863">
        <f t="shared" si="306"/>
        <v>7.5949367088608E-3</v>
      </c>
      <c r="CK105" s="863">
        <f t="shared" si="306"/>
        <v>0</v>
      </c>
      <c r="CL105" s="863">
        <f t="shared" si="306"/>
        <v>2.5706940874035134E-3</v>
      </c>
      <c r="CM105" s="863">
        <f t="shared" si="306"/>
        <v>0</v>
      </c>
      <c r="CN105" s="864">
        <f t="shared" si="306"/>
        <v>2.5429116338206992E-3</v>
      </c>
      <c r="CO105" s="863">
        <f t="shared" si="307"/>
        <v>-5.0251256281407253E-3</v>
      </c>
      <c r="CP105" s="863">
        <f t="shared" si="307"/>
        <v>-7.5949367088608E-3</v>
      </c>
      <c r="CQ105" s="863">
        <f t="shared" si="307"/>
        <v>-2.8205128205128216E-2</v>
      </c>
      <c r="CR105" s="863">
        <f t="shared" si="307"/>
        <v>-3.2994923857868064E-2</v>
      </c>
      <c r="CS105" s="864">
        <f t="shared" si="307"/>
        <v>-1.8389346861128697E-2</v>
      </c>
      <c r="CT105" s="863">
        <f t="shared" si="307"/>
        <v>7.575757575757569E-3</v>
      </c>
      <c r="CU105" s="863">
        <f t="shared" si="307"/>
        <v>-7.6530612244898322E-3</v>
      </c>
      <c r="CV105" s="863">
        <f t="shared" si="307"/>
        <v>-7.9155672823219003E-3</v>
      </c>
      <c r="CW105" s="863">
        <f t="shared" si="307"/>
        <v>1.8372703412073532E-2</v>
      </c>
      <c r="CX105" s="864">
        <f t="shared" si="307"/>
        <v>2.5839793281654533E-3</v>
      </c>
      <c r="CY105" s="863">
        <f t="shared" si="308"/>
        <v>-3.7593984962406068E-2</v>
      </c>
      <c r="CZ105" s="863">
        <f t="shared" si="308"/>
        <v>-5.1413881748072487E-3</v>
      </c>
      <c r="DA105" s="863">
        <f t="shared" si="308"/>
        <v>2.9255319148936199E-2</v>
      </c>
      <c r="DB105" s="863">
        <f t="shared" si="308"/>
        <v>0.61340206185567014</v>
      </c>
      <c r="DC105" s="864">
        <f t="shared" si="308"/>
        <v>0.14948453608247414</v>
      </c>
      <c r="DD105" s="863">
        <f t="shared" si="308"/>
        <v>0.63541666666666674</v>
      </c>
      <c r="DE105" s="863">
        <f t="shared" si="308"/>
        <v>0.67700258397932811</v>
      </c>
      <c r="DF105" s="863">
        <f t="shared" si="308"/>
        <v>0.71834625322997425</v>
      </c>
      <c r="DG105" s="863">
        <f t="shared" si="308"/>
        <v>9.9041533546325944E-2</v>
      </c>
      <c r="DH105" s="864">
        <f t="shared" si="308"/>
        <v>0.47421524663677128</v>
      </c>
      <c r="DI105" s="863">
        <f t="shared" si="309"/>
        <v>9.3949044585987185E-2</v>
      </c>
      <c r="DJ105" s="863">
        <f t="shared" si="309"/>
        <v>8.9368258859784389E-2</v>
      </c>
      <c r="DK105" s="863">
        <f t="shared" si="309"/>
        <v>0.13082706766917296</v>
      </c>
      <c r="DL105" s="863">
        <f t="shared" si="309"/>
        <v>0.1875</v>
      </c>
      <c r="DM105" s="864">
        <f t="shared" si="309"/>
        <v>0.12661596958174903</v>
      </c>
      <c r="DN105" s="863">
        <f t="shared" si="309"/>
        <v>0.18049490538573498</v>
      </c>
      <c r="DO105" s="863">
        <f t="shared" si="309"/>
        <v>9.3352192362093245E-2</v>
      </c>
      <c r="DP105" s="863">
        <f t="shared" si="309"/>
        <v>1.9946808510638236E-2</v>
      </c>
      <c r="DQ105" s="863">
        <f t="shared" si="309"/>
        <v>-5.3855569155446759E-2</v>
      </c>
      <c r="DR105" s="864">
        <f t="shared" si="309"/>
        <v>5.4336820789740115E-2</v>
      </c>
      <c r="DS105" s="863">
        <f t="shared" si="310"/>
        <v>-5.6720098643649797E-2</v>
      </c>
      <c r="DT105" s="863">
        <f t="shared" si="310"/>
        <v>9.0556274256143876E-3</v>
      </c>
      <c r="DU105" s="863">
        <f t="shared" si="310"/>
        <v>-3.5202086049543668E-2</v>
      </c>
      <c r="DV105" s="863">
        <f t="shared" si="310"/>
        <v>3.4928848641655907E-2</v>
      </c>
      <c r="DW105" s="864">
        <f t="shared" si="310"/>
        <v>-1.2483994878361049E-2</v>
      </c>
      <c r="DX105" s="863">
        <f t="shared" si="310"/>
        <v>-6.820288568048094E-2</v>
      </c>
      <c r="DY105" s="863">
        <f t="shared" si="310"/>
        <v>-0.10152083092784081</v>
      </c>
      <c r="DZ105" s="863">
        <f t="shared" si="310"/>
        <v>-0.10547874615530217</v>
      </c>
      <c r="EA105" s="863">
        <f t="shared" si="310"/>
        <v>-0.12512480651882152</v>
      </c>
      <c r="EB105" s="864">
        <f t="shared" si="310"/>
        <v>-0.10032919709538557</v>
      </c>
      <c r="EC105" s="863">
        <f t="shared" si="311"/>
        <v>-3.1848353024112264E-2</v>
      </c>
      <c r="ED105" s="863">
        <f t="shared" si="311"/>
        <v>-3.6146749341736673E-4</v>
      </c>
      <c r="EE105" s="863">
        <f t="shared" si="311"/>
        <v>3.3723217483584866E-2</v>
      </c>
      <c r="EF105" s="863">
        <f t="shared" si="311"/>
        <v>5.920137515055357E-2</v>
      </c>
      <c r="EG105" s="864">
        <f t="shared" si="311"/>
        <v>1.4700991997210089E-2</v>
      </c>
      <c r="EH105" s="863">
        <f t="shared" si="312"/>
        <v>6.9623712274223815E-2</v>
      </c>
      <c r="EI105" s="863">
        <f t="shared" si="313"/>
        <v>6.9025108423060644E-2</v>
      </c>
      <c r="EJ105" s="863">
        <f t="shared" si="314"/>
        <v>6.828525542223729E-2</v>
      </c>
      <c r="EK105" s="863">
        <f t="shared" si="315"/>
        <v>7.1075214383860885E-2</v>
      </c>
      <c r="EL105" s="864">
        <f t="shared" si="316"/>
        <v>6.9531685907373797E-2</v>
      </c>
      <c r="EM105" s="1"/>
      <c r="EN105"/>
      <c r="EO105"/>
      <c r="EP105"/>
      <c r="EQ105"/>
      <c r="ER105"/>
      <c r="ES105" s="7"/>
      <c r="ET105"/>
      <c r="EU105" s="7"/>
      <c r="EV105" s="7"/>
      <c r="EW105" s="7"/>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c r="HR105" s="3"/>
      <c r="HS105" s="3"/>
      <c r="HT105" s="3"/>
      <c r="HU105" s="3"/>
      <c r="HV105" s="3"/>
      <c r="HW105" s="3"/>
      <c r="HX105" s="3"/>
      <c r="HY105" s="3"/>
      <c r="HZ105" s="3"/>
      <c r="IA105" s="3"/>
      <c r="IB105" s="3"/>
      <c r="IC105" s="3"/>
      <c r="ID105" s="3"/>
      <c r="IE105" s="3"/>
      <c r="IF105" s="3"/>
      <c r="IG105" s="3"/>
      <c r="IH105" s="3"/>
      <c r="II105" s="3"/>
      <c r="IJ105" s="3"/>
      <c r="IK105" s="3"/>
      <c r="IL105" s="3"/>
      <c r="IM105" s="3"/>
      <c r="IN105" s="3"/>
      <c r="IO105" s="3"/>
      <c r="IP105" s="3"/>
      <c r="IQ105" s="3"/>
      <c r="IR105" s="3"/>
      <c r="IS105" s="3"/>
      <c r="IT105" s="3"/>
      <c r="IU105" s="3"/>
      <c r="IV105" s="3"/>
      <c r="IW105" s="3"/>
      <c r="IX105" s="3"/>
      <c r="IY105" s="3"/>
      <c r="IZ105" s="3"/>
      <c r="JA105" s="3"/>
      <c r="JB105" s="3"/>
      <c r="JC105" s="3"/>
      <c r="JD105" s="3"/>
      <c r="JE105" s="3"/>
      <c r="JF105" s="3"/>
      <c r="JG105" s="3"/>
      <c r="JH105" s="3"/>
      <c r="JI105" s="3"/>
      <c r="JJ105" s="3"/>
      <c r="JK105" s="3"/>
    </row>
    <row r="106" spans="1:271" s="11" customFormat="1" ht="12" customHeight="1">
      <c r="A106" s="872"/>
      <c r="B106" s="873" t="s">
        <v>336</v>
      </c>
      <c r="C106" s="871"/>
      <c r="D106" s="863"/>
      <c r="E106" s="863"/>
      <c r="F106" s="863"/>
      <c r="G106" s="863"/>
      <c r="H106" s="864"/>
      <c r="I106" s="863">
        <f t="shared" ref="I106:AT106" si="317">IF(OR(I13&lt;=0,D13&lt;=0),"nm",I13/D13-1)</f>
        <v>1.5768656430677335</v>
      </c>
      <c r="J106" s="863">
        <f t="shared" si="317"/>
        <v>2.3671497584541066</v>
      </c>
      <c r="K106" s="863">
        <f t="shared" si="317"/>
        <v>2.253393665158371</v>
      </c>
      <c r="L106" s="863">
        <f t="shared" si="317"/>
        <v>0.19119310253660959</v>
      </c>
      <c r="M106" s="864">
        <f t="shared" si="317"/>
        <v>1.1167883211678831</v>
      </c>
      <c r="N106" s="863">
        <f t="shared" si="317"/>
        <v>0.10698365527488862</v>
      </c>
      <c r="O106" s="863">
        <f t="shared" si="317"/>
        <v>0.12912482065997133</v>
      </c>
      <c r="P106" s="863">
        <f t="shared" si="317"/>
        <v>0.78164116828929053</v>
      </c>
      <c r="Q106" s="863">
        <f t="shared" si="317"/>
        <v>1.6226880394574605</v>
      </c>
      <c r="R106" s="864">
        <f t="shared" si="317"/>
        <v>0.70344827586206904</v>
      </c>
      <c r="S106" s="863">
        <f t="shared" si="317"/>
        <v>0.98657718120805371</v>
      </c>
      <c r="T106" s="863">
        <f t="shared" si="317"/>
        <v>0.72808132147395166</v>
      </c>
      <c r="U106" s="863">
        <f t="shared" si="317"/>
        <v>0.27244340359094465</v>
      </c>
      <c r="V106" s="863">
        <f t="shared" si="317"/>
        <v>-0.33709449929478152</v>
      </c>
      <c r="W106" s="864">
        <f t="shared" si="317"/>
        <v>0.19028340080971651</v>
      </c>
      <c r="X106" s="863">
        <f t="shared" si="317"/>
        <v>7.4324324324324342E-2</v>
      </c>
      <c r="Y106" s="863">
        <f t="shared" si="317"/>
        <v>0.35294117647058831</v>
      </c>
      <c r="Z106" s="863">
        <f t="shared" si="317"/>
        <v>0.16564417177914104</v>
      </c>
      <c r="AA106" s="863">
        <f t="shared" si="317"/>
        <v>0.4893617021276595</v>
      </c>
      <c r="AB106" s="864">
        <f t="shared" si="317"/>
        <v>0.26360544217687076</v>
      </c>
      <c r="AC106" s="863">
        <f t="shared" si="317"/>
        <v>0.40251572327044016</v>
      </c>
      <c r="AD106" s="863">
        <f t="shared" si="317"/>
        <v>0.14130434782608692</v>
      </c>
      <c r="AE106" s="863">
        <f t="shared" si="317"/>
        <v>0.12631578947368416</v>
      </c>
      <c r="AF106" s="863">
        <f t="shared" si="317"/>
        <v>-2.8571428571428581E-2</v>
      </c>
      <c r="AG106" s="864">
        <f t="shared" si="317"/>
        <v>0.14535666218034993</v>
      </c>
      <c r="AH106" s="863">
        <f t="shared" si="317"/>
        <v>-4.4843049327354279E-2</v>
      </c>
      <c r="AI106" s="863">
        <f t="shared" si="317"/>
        <v>-1.9047619047619091E-2</v>
      </c>
      <c r="AJ106" s="863">
        <f t="shared" si="317"/>
        <v>2.3364485981308469E-2</v>
      </c>
      <c r="AK106" s="863">
        <f t="shared" si="317"/>
        <v>3.4313725490196179E-2</v>
      </c>
      <c r="AL106" s="864">
        <f t="shared" si="317"/>
        <v>-2.3501762632197609E-3</v>
      </c>
      <c r="AM106" s="863">
        <f t="shared" si="317"/>
        <v>0.15492957746478875</v>
      </c>
      <c r="AN106" s="863">
        <f t="shared" si="317"/>
        <v>0.25242718446601953</v>
      </c>
      <c r="AO106" s="863">
        <f t="shared" si="317"/>
        <v>7.7625570776255648E-2</v>
      </c>
      <c r="AP106" s="863">
        <f t="shared" si="317"/>
        <v>0.16587677725118488</v>
      </c>
      <c r="AQ106" s="864">
        <f t="shared" si="317"/>
        <v>0.16136631330977624</v>
      </c>
      <c r="AR106" s="863">
        <f t="shared" si="317"/>
        <v>0.12601626016260159</v>
      </c>
      <c r="AS106" s="863">
        <f t="shared" si="317"/>
        <v>0.12790697674418605</v>
      </c>
      <c r="AT106" s="863">
        <f t="shared" si="317"/>
        <v>0.28813559322033888</v>
      </c>
      <c r="AU106" s="863"/>
      <c r="AV106" s="864"/>
      <c r="AW106" s="863"/>
      <c r="AX106" s="863"/>
      <c r="AY106" s="863"/>
      <c r="AZ106" s="863"/>
      <c r="BA106" s="863">
        <f t="shared" ref="BA106:CF106" si="318">IF(OR(BA13&lt;=0,AV13&lt;=0),"nm",BA13/AV13-1)</f>
        <v>0.21777777777777785</v>
      </c>
      <c r="BB106" s="863">
        <f t="shared" si="318"/>
        <v>0.31506849315068486</v>
      </c>
      <c r="BC106" s="863">
        <f t="shared" si="318"/>
        <v>1.0076923076923077</v>
      </c>
      <c r="BD106" s="863">
        <f t="shared" si="318"/>
        <v>0.34317343173431736</v>
      </c>
      <c r="BE106" s="864">
        <f t="shared" si="318"/>
        <v>0.48512820512820509</v>
      </c>
      <c r="BF106" s="863">
        <f t="shared" si="318"/>
        <v>6.9343065693430628E-2</v>
      </c>
      <c r="BG106" s="863">
        <f t="shared" si="318"/>
        <v>0.73263888888888884</v>
      </c>
      <c r="BH106" s="863">
        <f t="shared" si="318"/>
        <v>-0.51532567049808431</v>
      </c>
      <c r="BI106" s="863">
        <f t="shared" si="318"/>
        <v>-0.4642857142857143</v>
      </c>
      <c r="BJ106" s="864">
        <f t="shared" si="318"/>
        <v>-0.14364640883977897</v>
      </c>
      <c r="BK106" s="863">
        <f t="shared" si="318"/>
        <v>-0.43003412969283272</v>
      </c>
      <c r="BL106" s="863">
        <f t="shared" si="318"/>
        <v>-0.69338677354709422</v>
      </c>
      <c r="BM106" s="863">
        <f t="shared" si="318"/>
        <v>-0.18577075098814233</v>
      </c>
      <c r="BN106" s="863">
        <f t="shared" si="318"/>
        <v>-0.11794871794871797</v>
      </c>
      <c r="BO106" s="864">
        <f t="shared" si="318"/>
        <v>-0.43709677419354842</v>
      </c>
      <c r="BP106" s="863">
        <f t="shared" si="318"/>
        <v>-0.17365269461077848</v>
      </c>
      <c r="BQ106" s="863">
        <f t="shared" si="318"/>
        <v>-0.16339869281045749</v>
      </c>
      <c r="BR106" s="863">
        <f t="shared" si="318"/>
        <v>-0.23786407766990292</v>
      </c>
      <c r="BS106" s="863">
        <f t="shared" si="318"/>
        <v>-0.27906976744186052</v>
      </c>
      <c r="BT106" s="864">
        <f t="shared" si="318"/>
        <v>-0.21633237822349571</v>
      </c>
      <c r="BU106" s="863">
        <f t="shared" si="318"/>
        <v>2.1739130434782705E-2</v>
      </c>
      <c r="BV106" s="863">
        <f t="shared" si="318"/>
        <v>0.1796875</v>
      </c>
      <c r="BW106" s="863">
        <f t="shared" si="318"/>
        <v>1.2738853503184711E-2</v>
      </c>
      <c r="BX106" s="863">
        <f t="shared" si="318"/>
        <v>8.0645161290322509E-2</v>
      </c>
      <c r="BY106" s="864">
        <f t="shared" si="318"/>
        <v>6.9469835466179131E-2</v>
      </c>
      <c r="BZ106" s="863">
        <f t="shared" si="318"/>
        <v>5.6737588652482351E-2</v>
      </c>
      <c r="CA106" s="863">
        <f t="shared" si="318"/>
        <v>1.9867549668874274E-2</v>
      </c>
      <c r="CB106" s="863">
        <f t="shared" si="318"/>
        <v>4.4025157232704393E-2</v>
      </c>
      <c r="CC106" s="863">
        <f t="shared" si="318"/>
        <v>0.23880597014925375</v>
      </c>
      <c r="CD106" s="864">
        <f t="shared" si="318"/>
        <v>8.5470085470085388E-2</v>
      </c>
      <c r="CE106" s="863">
        <f t="shared" si="318"/>
        <v>4.6979865771812124E-2</v>
      </c>
      <c r="CF106" s="863">
        <f t="shared" si="318"/>
        <v>8.4415584415584499E-2</v>
      </c>
      <c r="CG106" s="863">
        <f t="shared" ref="CG106:DL106" si="319">IF(OR(CG13&lt;=0,CB13&lt;=0),"nm",CG13/CB13-1)</f>
        <v>0.16265060240963858</v>
      </c>
      <c r="CH106" s="863">
        <f t="shared" si="319"/>
        <v>9.0361445783132543E-2</v>
      </c>
      <c r="CI106" s="864">
        <f t="shared" si="319"/>
        <v>9.7637795275590467E-2</v>
      </c>
      <c r="CJ106" s="863">
        <f t="shared" si="319"/>
        <v>0.21153846153846145</v>
      </c>
      <c r="CK106" s="863">
        <f t="shared" si="319"/>
        <v>3.5928143712574911E-2</v>
      </c>
      <c r="CL106" s="863">
        <f t="shared" si="319"/>
        <v>-3.1088082901554404E-2</v>
      </c>
      <c r="CM106" s="863">
        <f t="shared" si="319"/>
        <v>5.5248618784530468E-2</v>
      </c>
      <c r="CN106" s="864">
        <f t="shared" si="319"/>
        <v>6.1692969870875247E-2</v>
      </c>
      <c r="CO106" s="863">
        <f t="shared" si="319"/>
        <v>-5.2910052910052907E-2</v>
      </c>
      <c r="CP106" s="863">
        <f t="shared" si="319"/>
        <v>-2.8901734104046284E-2</v>
      </c>
      <c r="CQ106" s="863">
        <f t="shared" si="319"/>
        <v>1.0695187165775444E-2</v>
      </c>
      <c r="CR106" s="863">
        <f t="shared" si="319"/>
        <v>-5.2356020942408432E-2</v>
      </c>
      <c r="CS106" s="864">
        <f t="shared" si="319"/>
        <v>-3.1081081081081097E-2</v>
      </c>
      <c r="CT106" s="863">
        <f t="shared" si="319"/>
        <v>5.5865921787709549E-2</v>
      </c>
      <c r="CU106" s="863">
        <f t="shared" si="319"/>
        <v>0.13095238095238093</v>
      </c>
      <c r="CV106" s="863">
        <f t="shared" si="319"/>
        <v>8.9947089947089998E-2</v>
      </c>
      <c r="CW106" s="863">
        <f t="shared" si="319"/>
        <v>0.1049723756906078</v>
      </c>
      <c r="CX106" s="864">
        <f t="shared" si="319"/>
        <v>9.4839609483960974E-2</v>
      </c>
      <c r="CY106" s="863">
        <f t="shared" si="319"/>
        <v>9.5238095238095344E-2</v>
      </c>
      <c r="CZ106" s="863">
        <f t="shared" si="319"/>
        <v>8.9473684210526372E-2</v>
      </c>
      <c r="DA106" s="863">
        <f t="shared" si="319"/>
        <v>1.9417475728155331E-2</v>
      </c>
      <c r="DB106" s="863">
        <f t="shared" si="319"/>
        <v>0.74</v>
      </c>
      <c r="DC106" s="864">
        <f t="shared" si="319"/>
        <v>0.23821656050955409</v>
      </c>
      <c r="DD106" s="863">
        <f t="shared" si="319"/>
        <v>0.83574879227053134</v>
      </c>
      <c r="DE106" s="863">
        <f t="shared" si="319"/>
        <v>0.54589371980676327</v>
      </c>
      <c r="DF106" s="863">
        <f t="shared" si="319"/>
        <v>0.18571428571428572</v>
      </c>
      <c r="DG106" s="863">
        <f t="shared" si="319"/>
        <v>2.2988505747126409E-2</v>
      </c>
      <c r="DH106" s="864">
        <f t="shared" si="319"/>
        <v>0.34259259259259256</v>
      </c>
      <c r="DI106" s="863">
        <f t="shared" si="319"/>
        <v>-4.4736842105263186E-2</v>
      </c>
      <c r="DJ106" s="863">
        <f t="shared" si="319"/>
        <v>0.10000000000000009</v>
      </c>
      <c r="DK106" s="863">
        <f t="shared" si="319"/>
        <v>0.48995983935742982</v>
      </c>
      <c r="DL106" s="863">
        <f t="shared" si="319"/>
        <v>9.8314606741572996E-2</v>
      </c>
      <c r="DM106" s="864">
        <f t="shared" ref="DM106:EG106" si="320">IF(OR(DM13&lt;=0,DH13&lt;=0),"nm",DM13/DH13-1)</f>
        <v>0.13180076628352499</v>
      </c>
      <c r="DN106" s="863">
        <f t="shared" si="320"/>
        <v>3.5812672176308569E-2</v>
      </c>
      <c r="DO106" s="863">
        <f t="shared" si="320"/>
        <v>0</v>
      </c>
      <c r="DP106" s="863">
        <f t="shared" si="320"/>
        <v>-1.0781671159029615E-2</v>
      </c>
      <c r="DQ106" s="863">
        <f t="shared" si="320"/>
        <v>-9.4629156010230142E-2</v>
      </c>
      <c r="DR106" s="864">
        <f t="shared" si="320"/>
        <v>-1.8957345971563955E-2</v>
      </c>
      <c r="DS106" s="863">
        <f t="shared" si="320"/>
        <v>1.8617021276595702E-2</v>
      </c>
      <c r="DT106" s="863">
        <f t="shared" si="320"/>
        <v>5.3977272727272707E-2</v>
      </c>
      <c r="DU106" s="863">
        <f t="shared" si="320"/>
        <v>-3.2697547683923744E-2</v>
      </c>
      <c r="DV106" s="863">
        <f t="shared" si="320"/>
        <v>-8.1920903954802227E-2</v>
      </c>
      <c r="DW106" s="864">
        <f t="shared" si="320"/>
        <v>-1.0351966873705987E-2</v>
      </c>
      <c r="DX106" s="863">
        <f t="shared" si="320"/>
        <v>-9.8464320264712857E-3</v>
      </c>
      <c r="DY106" s="863">
        <f t="shared" si="320"/>
        <v>2.0163806820244101E-2</v>
      </c>
      <c r="DZ106" s="863">
        <f t="shared" si="320"/>
        <v>2.2557298877293963E-2</v>
      </c>
      <c r="EA106" s="863">
        <f t="shared" si="320"/>
        <v>0.16852554721896773</v>
      </c>
      <c r="EB106" s="864">
        <f t="shared" si="320"/>
        <v>4.6365573787849224E-2</v>
      </c>
      <c r="EC106" s="863">
        <f t="shared" si="320"/>
        <v>-2.9494746878507283E-2</v>
      </c>
      <c r="ED106" s="863">
        <f t="shared" si="320"/>
        <v>-1.3769761307396489E-2</v>
      </c>
      <c r="EE106" s="863">
        <f t="shared" si="320"/>
        <v>3.8354955694550608E-3</v>
      </c>
      <c r="EF106" s="863">
        <f t="shared" si="320"/>
        <v>2.8347578768159742E-2</v>
      </c>
      <c r="EG106" s="864">
        <f t="shared" si="320"/>
        <v>-2.8250472350823674E-3</v>
      </c>
      <c r="EH106" s="863">
        <f t="shared" ref="EH106" si="321">IF(OR(EH13&lt;=0,EC13&lt;=0),"nm",EH13/EC13-1)</f>
        <v>2.8152553376316947E-2</v>
      </c>
      <c r="EI106" s="863">
        <f t="shared" ref="EI106" si="322">IF(OR(EI13&lt;=0,ED13&lt;=0),"nm",EI13/ED13-1)</f>
        <v>2.7280407557566333E-2</v>
      </c>
      <c r="EJ106" s="863">
        <f t="shared" ref="EJ106" si="323">IF(OR(EJ13&lt;=0,EE13&lt;=0),"nm",EJ13/EE13-1)</f>
        <v>2.6370191851416536E-2</v>
      </c>
      <c r="EK106" s="863">
        <f t="shared" ref="EK106" si="324">IF(OR(EK13&lt;=0,EF13&lt;=0),"nm",EK13/EF13-1)</f>
        <v>2.7755817213878098E-2</v>
      </c>
      <c r="EL106" s="864">
        <f t="shared" ref="EL106" si="325">IF(OR(EL13&lt;=0,EG13&lt;=0),"nm",EL13/EG13-1)</f>
        <v>2.7397346410093393E-2</v>
      </c>
      <c r="EM106" s="1"/>
      <c r="EN106"/>
      <c r="EO106"/>
      <c r="EP106"/>
      <c r="EQ106"/>
      <c r="ER106"/>
      <c r="ES106" s="7"/>
      <c r="ET106"/>
      <c r="EU106" s="7"/>
      <c r="EV106" s="7"/>
      <c r="EW106" s="7"/>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c r="HR106" s="3"/>
      <c r="HS106" s="3"/>
      <c r="HT106" s="3"/>
      <c r="HU106" s="3"/>
      <c r="HV106" s="3"/>
      <c r="HW106" s="3"/>
      <c r="HX106" s="3"/>
      <c r="HY106" s="3"/>
      <c r="HZ106" s="3"/>
      <c r="IA106" s="3"/>
      <c r="IB106" s="3"/>
      <c r="IC106" s="3"/>
      <c r="ID106" s="3"/>
      <c r="IE106" s="3"/>
      <c r="IF106" s="3"/>
      <c r="IG106" s="3"/>
      <c r="IH106" s="3"/>
      <c r="II106" s="3"/>
      <c r="IJ106" s="3"/>
      <c r="IK106" s="3"/>
      <c r="IL106" s="3"/>
      <c r="IM106" s="3"/>
      <c r="IN106" s="3"/>
      <c r="IO106" s="3"/>
      <c r="IP106" s="3"/>
      <c r="IQ106" s="3"/>
      <c r="IR106" s="3"/>
      <c r="IS106" s="3"/>
      <c r="IT106" s="3"/>
      <c r="IU106" s="3"/>
      <c r="IV106" s="3"/>
      <c r="IW106" s="3"/>
      <c r="IX106" s="3"/>
      <c r="IY106" s="3"/>
      <c r="IZ106" s="3"/>
      <c r="JA106" s="3"/>
      <c r="JB106" s="3"/>
      <c r="JC106" s="3"/>
      <c r="JD106" s="3"/>
      <c r="JE106" s="3"/>
      <c r="JF106" s="3"/>
      <c r="JG106" s="3"/>
      <c r="JH106" s="3"/>
      <c r="JI106" s="3"/>
      <c r="JJ106" s="3"/>
      <c r="JK106" s="3"/>
    </row>
    <row r="107" spans="1:271" s="11" customFormat="1" ht="12" customHeight="1">
      <c r="A107" s="872"/>
      <c r="B107" s="873" t="s">
        <v>340</v>
      </c>
      <c r="C107" s="871"/>
      <c r="D107" s="863"/>
      <c r="E107" s="863"/>
      <c r="F107" s="863"/>
      <c r="G107" s="863"/>
      <c r="H107" s="864"/>
      <c r="I107" s="863" t="str">
        <f t="shared" ref="I107:AT107" si="326">IF(OR(I18&lt;=0,D18&lt;=0),"nm",I18/D18-1)</f>
        <v>nm</v>
      </c>
      <c r="J107" s="863">
        <f t="shared" si="326"/>
        <v>1.0518672199170123</v>
      </c>
      <c r="K107" s="863">
        <f t="shared" si="326"/>
        <v>1.0327225130890052</v>
      </c>
      <c r="L107" s="863">
        <f t="shared" si="326"/>
        <v>-0.30004332755632579</v>
      </c>
      <c r="M107" s="864">
        <f t="shared" si="326"/>
        <v>0.59683794466403173</v>
      </c>
      <c r="N107" s="863">
        <f t="shared" si="326"/>
        <v>0.14240056818181812</v>
      </c>
      <c r="O107" s="863">
        <f t="shared" si="326"/>
        <v>7.9204583754634239E-2</v>
      </c>
      <c r="P107" s="863">
        <f t="shared" si="326"/>
        <v>0.51545396007726962</v>
      </c>
      <c r="Q107" s="863">
        <f t="shared" si="326"/>
        <v>1.2172701949860727</v>
      </c>
      <c r="R107" s="864">
        <f t="shared" si="326"/>
        <v>0.50907590759075916</v>
      </c>
      <c r="S107" s="863">
        <f t="shared" si="326"/>
        <v>0.51072427727696623</v>
      </c>
      <c r="T107" s="863">
        <f t="shared" si="326"/>
        <v>0.59900062460961911</v>
      </c>
      <c r="U107" s="863">
        <f t="shared" si="326"/>
        <v>0.10048863394943708</v>
      </c>
      <c r="V107" s="863">
        <f t="shared" si="326"/>
        <v>-0.22529313232830828</v>
      </c>
      <c r="W107" s="864">
        <f t="shared" si="326"/>
        <v>0.13231273920174957</v>
      </c>
      <c r="X107" s="863">
        <f t="shared" si="326"/>
        <v>0.15432098765432101</v>
      </c>
      <c r="Y107" s="863">
        <f t="shared" si="326"/>
        <v>5.078125E-2</v>
      </c>
      <c r="Z107" s="863">
        <f t="shared" si="326"/>
        <v>0.17953667953667951</v>
      </c>
      <c r="AA107" s="863">
        <f t="shared" si="326"/>
        <v>0.13873873873873865</v>
      </c>
      <c r="AB107" s="864">
        <f t="shared" si="326"/>
        <v>0.13085465958474174</v>
      </c>
      <c r="AC107" s="863">
        <f t="shared" si="326"/>
        <v>0.11408199643493755</v>
      </c>
      <c r="AD107" s="863">
        <f t="shared" si="326"/>
        <v>0.12267657992565062</v>
      </c>
      <c r="AE107" s="863">
        <f t="shared" si="326"/>
        <v>4.9099836333879043E-3</v>
      </c>
      <c r="AF107" s="863">
        <f t="shared" si="326"/>
        <v>7.9113924050632889E-2</v>
      </c>
      <c r="AG107" s="864">
        <f t="shared" si="326"/>
        <v>7.813834329632785E-2</v>
      </c>
      <c r="AH107" s="863">
        <f t="shared" si="326"/>
        <v>1.760000000000006E-2</v>
      </c>
      <c r="AI107" s="863">
        <f t="shared" si="326"/>
        <v>5.4635761589403975E-2</v>
      </c>
      <c r="AJ107" s="863">
        <f t="shared" si="326"/>
        <v>4.3973941368078195E-2</v>
      </c>
      <c r="AK107" s="863">
        <f t="shared" si="326"/>
        <v>1.0263929618768319E-2</v>
      </c>
      <c r="AL107" s="864">
        <f t="shared" si="326"/>
        <v>3.0891089108910919E-2</v>
      </c>
      <c r="AM107" s="863">
        <f t="shared" si="326"/>
        <v>8.3333333333333259E-2</v>
      </c>
      <c r="AN107" s="863">
        <f t="shared" si="326"/>
        <v>7.5353218210361117E-2</v>
      </c>
      <c r="AO107" s="863">
        <f t="shared" si="326"/>
        <v>6.0842433697347875E-2</v>
      </c>
      <c r="AP107" s="863">
        <f t="shared" si="326"/>
        <v>0.11756168359941954</v>
      </c>
      <c r="AQ107" s="864">
        <f t="shared" si="326"/>
        <v>8.490203611217817E-2</v>
      </c>
      <c r="AR107" s="863">
        <f t="shared" si="326"/>
        <v>4.2089985486212012E-2</v>
      </c>
      <c r="AS107" s="863">
        <f t="shared" si="326"/>
        <v>6.4233576642335866E-2</v>
      </c>
      <c r="AT107" s="863">
        <f t="shared" si="326"/>
        <v>0.2617647058823529</v>
      </c>
      <c r="AU107" s="863"/>
      <c r="AV107" s="864"/>
      <c r="AW107" s="863"/>
      <c r="AX107" s="863"/>
      <c r="AY107" s="863"/>
      <c r="AZ107" s="863"/>
      <c r="BA107" s="863">
        <f t="shared" ref="BA107:CF107" si="327">IF(OR(BA18&lt;=0,AV18&lt;=0),"nm",BA18/AV18-1)</f>
        <v>0.11419753086419759</v>
      </c>
      <c r="BB107" s="863">
        <f t="shared" si="327"/>
        <v>8.9725036179450157E-2</v>
      </c>
      <c r="BC107" s="863">
        <f t="shared" si="327"/>
        <v>0.11045655375552288</v>
      </c>
      <c r="BD107" s="863">
        <f t="shared" si="327"/>
        <v>-0.11970074812967579</v>
      </c>
      <c r="BE107" s="864">
        <f t="shared" si="327"/>
        <v>4.0780141843971718E-2</v>
      </c>
      <c r="BF107" s="863">
        <f t="shared" si="327"/>
        <v>-0.22576177285318555</v>
      </c>
      <c r="BG107" s="863">
        <f t="shared" si="327"/>
        <v>-0.18990703851261626</v>
      </c>
      <c r="BH107" s="863">
        <f t="shared" si="327"/>
        <v>-0.26127320954907163</v>
      </c>
      <c r="BI107" s="863">
        <f t="shared" si="327"/>
        <v>-0.21246458923512745</v>
      </c>
      <c r="BJ107" s="864">
        <f t="shared" si="327"/>
        <v>-0.22248722316865421</v>
      </c>
      <c r="BK107" s="863">
        <f t="shared" si="327"/>
        <v>-5.7245080500894496E-2</v>
      </c>
      <c r="BL107" s="863">
        <f t="shared" si="327"/>
        <v>-0.10327868852459021</v>
      </c>
      <c r="BM107" s="863">
        <f t="shared" si="327"/>
        <v>-5.3859964093356805E-3</v>
      </c>
      <c r="BN107" s="863">
        <f t="shared" si="327"/>
        <v>-1.7985611510791255E-3</v>
      </c>
      <c r="BO107" s="864">
        <f t="shared" si="327"/>
        <v>-4.3382997370727483E-2</v>
      </c>
      <c r="BP107" s="863">
        <f t="shared" si="327"/>
        <v>1.7077798861480087E-2</v>
      </c>
      <c r="BQ107" s="863">
        <f t="shared" si="327"/>
        <v>-9.1407678244972534E-2</v>
      </c>
      <c r="BR107" s="863">
        <f t="shared" si="327"/>
        <v>-7.4007220216606551E-2</v>
      </c>
      <c r="BS107" s="863">
        <f t="shared" si="327"/>
        <v>-5.585585585585584E-2</v>
      </c>
      <c r="BT107" s="864">
        <f t="shared" si="327"/>
        <v>-5.1763628034814491E-2</v>
      </c>
      <c r="BU107" s="863">
        <f t="shared" si="327"/>
        <v>-2.6119402985074647E-2</v>
      </c>
      <c r="BV107" s="863">
        <f t="shared" si="327"/>
        <v>6.4386317907444646E-2</v>
      </c>
      <c r="BW107" s="863">
        <f t="shared" si="327"/>
        <v>-5.8479532163743242E-3</v>
      </c>
      <c r="BX107" s="863">
        <f t="shared" si="327"/>
        <v>-3.8167938931297218E-3</v>
      </c>
      <c r="BY107" s="864">
        <f t="shared" si="327"/>
        <v>6.2801932367149149E-3</v>
      </c>
      <c r="BZ107" s="863">
        <f t="shared" si="327"/>
        <v>1.9157088122605304E-2</v>
      </c>
      <c r="CA107" s="863">
        <f t="shared" si="327"/>
        <v>-3.9697542533081331E-2</v>
      </c>
      <c r="CB107" s="863">
        <f t="shared" si="327"/>
        <v>-1.1764705882352899E-2</v>
      </c>
      <c r="CC107" s="863">
        <f t="shared" si="327"/>
        <v>-9.0038314176245193E-2</v>
      </c>
      <c r="CD107" s="864">
        <f t="shared" si="327"/>
        <v>-3.0724915986557799E-2</v>
      </c>
      <c r="CE107" s="863">
        <f t="shared" si="327"/>
        <v>-0.10338345864661658</v>
      </c>
      <c r="CF107" s="863">
        <f t="shared" si="327"/>
        <v>-7.086614173228345E-2</v>
      </c>
      <c r="CG107" s="863">
        <f t="shared" ref="CG107:DL107" si="328">IF(OR(CG18&lt;=0,CB18&lt;=0),"nm",CG18/CB18-1)</f>
        <v>-3.5714285714285698E-2</v>
      </c>
      <c r="CH107" s="863">
        <f t="shared" si="328"/>
        <v>8.4210526315788847E-3</v>
      </c>
      <c r="CI107" s="864">
        <f t="shared" si="328"/>
        <v>-5.2005943536404198E-2</v>
      </c>
      <c r="CJ107" s="863">
        <f t="shared" si="328"/>
        <v>-2.0964360587002129E-2</v>
      </c>
      <c r="CK107" s="863">
        <f t="shared" si="328"/>
        <v>5.508474576271194E-2</v>
      </c>
      <c r="CL107" s="863">
        <f t="shared" si="328"/>
        <v>3.9094650205761416E-2</v>
      </c>
      <c r="CM107" s="863">
        <f t="shared" si="328"/>
        <v>-2.2964509394572064E-2</v>
      </c>
      <c r="CN107" s="864">
        <f t="shared" si="328"/>
        <v>1.2539184952978122E-2</v>
      </c>
      <c r="CO107" s="863">
        <f t="shared" si="328"/>
        <v>5.1391862955032064E-2</v>
      </c>
      <c r="CP107" s="863">
        <f t="shared" si="328"/>
        <v>2.008032128514059E-2</v>
      </c>
      <c r="CQ107" s="863">
        <f t="shared" si="328"/>
        <v>4.3564356435643603E-2</v>
      </c>
      <c r="CR107" s="863">
        <f t="shared" si="328"/>
        <v>5.555555555555558E-2</v>
      </c>
      <c r="CS107" s="864">
        <f t="shared" si="328"/>
        <v>4.2311661506707843E-2</v>
      </c>
      <c r="CT107" s="863">
        <f t="shared" si="328"/>
        <v>8.1466395112016254E-2</v>
      </c>
      <c r="CU107" s="863">
        <f t="shared" si="328"/>
        <v>5.1181102362204633E-2</v>
      </c>
      <c r="CV107" s="863">
        <f t="shared" si="328"/>
        <v>2.2770398481973375E-2</v>
      </c>
      <c r="CW107" s="863">
        <f t="shared" si="328"/>
        <v>9.919028340080982E-2</v>
      </c>
      <c r="CX107" s="864">
        <f t="shared" si="328"/>
        <v>6.2871287128712927E-2</v>
      </c>
      <c r="CY107" s="863">
        <f t="shared" si="328"/>
        <v>6.9679849340866351E-2</v>
      </c>
      <c r="CZ107" s="863">
        <f t="shared" si="328"/>
        <v>6.1797752808988804E-2</v>
      </c>
      <c r="DA107" s="863">
        <f t="shared" si="328"/>
        <v>6.6790352504638273E-2</v>
      </c>
      <c r="DB107" s="863">
        <f t="shared" si="328"/>
        <v>0.82504604051565367</v>
      </c>
      <c r="DC107" s="864">
        <f t="shared" si="328"/>
        <v>0.25803446669771768</v>
      </c>
      <c r="DD107" s="863">
        <f t="shared" si="328"/>
        <v>0.75880281690140849</v>
      </c>
      <c r="DE107" s="863">
        <f t="shared" si="328"/>
        <v>0.82539682539682535</v>
      </c>
      <c r="DF107" s="863">
        <f t="shared" si="328"/>
        <v>0.7947826086956522</v>
      </c>
      <c r="DG107" s="863">
        <f t="shared" si="328"/>
        <v>5.7517658930373416E-2</v>
      </c>
      <c r="DH107" s="864">
        <f t="shared" si="328"/>
        <v>0.52313957793409838</v>
      </c>
      <c r="DI107" s="863">
        <f t="shared" si="328"/>
        <v>9.4094094094094194E-2</v>
      </c>
      <c r="DJ107" s="863">
        <f t="shared" si="328"/>
        <v>4.4444444444444509E-2</v>
      </c>
      <c r="DK107" s="863">
        <f t="shared" si="328"/>
        <v>0.11531007751937983</v>
      </c>
      <c r="DL107" s="863">
        <f t="shared" si="328"/>
        <v>0.17366412213740468</v>
      </c>
      <c r="DM107" s="864">
        <f t="shared" ref="DM107:EG107" si="329">IF(OR(DM18&lt;=0,DH18&lt;=0),"nm",DM18/DH18-1)</f>
        <v>0.10719494409333974</v>
      </c>
      <c r="DN107" s="863">
        <f t="shared" si="329"/>
        <v>0.13632204940530657</v>
      </c>
      <c r="DO107" s="863">
        <f t="shared" si="329"/>
        <v>0.12210915818686408</v>
      </c>
      <c r="DP107" s="863">
        <f t="shared" si="329"/>
        <v>6.9504778453518767E-2</v>
      </c>
      <c r="DQ107" s="863">
        <f t="shared" si="329"/>
        <v>-2.0325203252032575E-2</v>
      </c>
      <c r="DR107" s="864">
        <f t="shared" si="329"/>
        <v>7.3765093304061446E-2</v>
      </c>
      <c r="DS107" s="863">
        <f t="shared" si="329"/>
        <v>-4.4283413848631215E-2</v>
      </c>
      <c r="DT107" s="863">
        <f t="shared" si="329"/>
        <v>-4.4517724649628998E-2</v>
      </c>
      <c r="DU107" s="863">
        <f t="shared" si="329"/>
        <v>-9.0170593013809919E-2</v>
      </c>
      <c r="DV107" s="863">
        <f t="shared" si="329"/>
        <v>-8.3817427385892151E-2</v>
      </c>
      <c r="DW107" s="864">
        <f t="shared" si="329"/>
        <v>-6.5630750357800083E-2</v>
      </c>
      <c r="DX107" s="863">
        <f t="shared" si="329"/>
        <v>-8.3669599954809826E-2</v>
      </c>
      <c r="DY107" s="863">
        <f t="shared" si="329"/>
        <v>-8.9940253697056605E-2</v>
      </c>
      <c r="DZ107" s="863">
        <f t="shared" si="329"/>
        <v>-9.7633567399394883E-2</v>
      </c>
      <c r="EA107" s="863">
        <f t="shared" si="329"/>
        <v>-2.9602020841795529E-2</v>
      </c>
      <c r="EB107" s="864">
        <f t="shared" si="329"/>
        <v>-7.5620743036742488E-2</v>
      </c>
      <c r="EC107" s="863">
        <f t="shared" si="329"/>
        <v>-8.1697657405351842E-3</v>
      </c>
      <c r="ED107" s="863">
        <f t="shared" si="329"/>
        <v>3.3038974105091157E-2</v>
      </c>
      <c r="EE107" s="863">
        <f t="shared" si="329"/>
        <v>5.2798374920663527E-2</v>
      </c>
      <c r="EF107" s="863">
        <f t="shared" si="329"/>
        <v>7.0560239694202664E-2</v>
      </c>
      <c r="EG107" s="864">
        <f t="shared" si="329"/>
        <v>3.667143372772208E-2</v>
      </c>
      <c r="EH107" s="863">
        <f t="shared" ref="EH107" si="330">IF(OR(EH18&lt;=0,EC18&lt;=0),"nm",EH18/EC18-1)</f>
        <v>1.7590189233096298E-2</v>
      </c>
      <c r="EI107" s="863">
        <f t="shared" ref="EI107" si="331">IF(OR(EI18&lt;=0,ED18&lt;=0),"nm",EI18/ED18-1)</f>
        <v>2.1577974967517788E-2</v>
      </c>
      <c r="EJ107" s="863">
        <f t="shared" ref="EJ107" si="332">IF(OR(EJ18&lt;=0,EE18&lt;=0),"nm",EJ18/EE18-1)</f>
        <v>1.6058447978601009E-2</v>
      </c>
      <c r="EK107" s="863">
        <f t="shared" ref="EK107" si="333">IF(OR(EK18&lt;=0,EF18&lt;=0),"nm",EK18/EF18-1)</f>
        <v>1.859442765805186E-2</v>
      </c>
      <c r="EL107" s="864">
        <f t="shared" ref="EL107" si="334">IF(OR(EL18&lt;=0,EG18&lt;=0),"nm",EL18/EG18-1)</f>
        <v>1.8473225115738678E-2</v>
      </c>
      <c r="EM107" s="1"/>
      <c r="EN107"/>
      <c r="EO107"/>
      <c r="EP107"/>
      <c r="EQ107"/>
      <c r="ER107"/>
      <c r="ES107" s="7"/>
      <c r="ET107"/>
      <c r="EU107" s="7"/>
      <c r="EV107" s="7"/>
      <c r="EW107" s="7"/>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c r="HR107" s="3"/>
      <c r="HS107" s="3"/>
      <c r="HT107" s="3"/>
      <c r="HU107" s="3"/>
      <c r="HV107" s="3"/>
      <c r="HW107" s="3"/>
      <c r="HX107" s="3"/>
      <c r="HY107" s="3"/>
      <c r="HZ107" s="3"/>
      <c r="IA107" s="3"/>
      <c r="IB107" s="3"/>
      <c r="IC107" s="3"/>
      <c r="ID107" s="3"/>
      <c r="IE107" s="3"/>
      <c r="IF107" s="3"/>
      <c r="IG107" s="3"/>
      <c r="IH107" s="3"/>
      <c r="II107" s="3"/>
      <c r="IJ107" s="3"/>
      <c r="IK107" s="3"/>
      <c r="IL107" s="3"/>
      <c r="IM107" s="3"/>
      <c r="IN107" s="3"/>
      <c r="IO107" s="3"/>
      <c r="IP107" s="3"/>
      <c r="IQ107" s="3"/>
      <c r="IR107" s="3"/>
      <c r="IS107" s="3"/>
      <c r="IT107" s="3"/>
      <c r="IU107" s="3"/>
      <c r="IV107" s="3"/>
      <c r="IW107" s="3"/>
      <c r="IX107" s="3"/>
      <c r="IY107" s="3"/>
      <c r="IZ107" s="3"/>
      <c r="JA107" s="3"/>
      <c r="JB107" s="3"/>
      <c r="JC107" s="3"/>
      <c r="JD107" s="3"/>
      <c r="JE107" s="3"/>
      <c r="JF107" s="3"/>
      <c r="JG107" s="3"/>
      <c r="JH107" s="3"/>
      <c r="JI107" s="3"/>
      <c r="JJ107" s="3"/>
      <c r="JK107" s="3"/>
    </row>
    <row r="108" spans="1:271" s="11" customFormat="1" ht="12" customHeight="1">
      <c r="A108" s="801"/>
      <c r="B108" s="557" t="s">
        <v>345</v>
      </c>
      <c r="C108" s="871"/>
      <c r="D108" s="863"/>
      <c r="E108" s="863"/>
      <c r="F108" s="863"/>
      <c r="G108" s="863"/>
      <c r="H108" s="864"/>
      <c r="I108" s="863">
        <f t="shared" ref="I108:AT108" si="335">IF(OR(I25&lt;=0,D25&lt;=0),"nm",I25/D25-1)</f>
        <v>1.0710734371179393</v>
      </c>
      <c r="J108" s="863">
        <f t="shared" si="335"/>
        <v>1.2442622950819677</v>
      </c>
      <c r="K108" s="863">
        <f t="shared" si="335"/>
        <v>1.2137767220902633</v>
      </c>
      <c r="L108" s="863">
        <f t="shared" si="335"/>
        <v>-4.4230500906935588E-2</v>
      </c>
      <c r="M108" s="864">
        <f t="shared" si="335"/>
        <v>0.72866894197952226</v>
      </c>
      <c r="N108" s="863">
        <f t="shared" si="335"/>
        <v>0.11255411255411185</v>
      </c>
      <c r="O108" s="863">
        <f t="shared" si="335"/>
        <v>6.5376186997808228E-2</v>
      </c>
      <c r="P108" s="863">
        <f t="shared" si="335"/>
        <v>-0.5014306151645207</v>
      </c>
      <c r="Q108" s="863">
        <f t="shared" si="335"/>
        <v>-0.30316301703163273</v>
      </c>
      <c r="R108" s="864">
        <f t="shared" si="335"/>
        <v>-0.15399802566633758</v>
      </c>
      <c r="S108" s="863">
        <f t="shared" si="335"/>
        <v>0.45030067209055602</v>
      </c>
      <c r="T108" s="863">
        <f t="shared" si="335"/>
        <v>0.52211175865615433</v>
      </c>
      <c r="U108" s="863">
        <f t="shared" si="335"/>
        <v>2.4289813486370138</v>
      </c>
      <c r="V108" s="863">
        <f t="shared" si="335"/>
        <v>0.78770949720671246</v>
      </c>
      <c r="W108" s="864">
        <f t="shared" si="335"/>
        <v>0.85297549591598609</v>
      </c>
      <c r="X108" s="863">
        <f t="shared" si="335"/>
        <v>0.13414634146341453</v>
      </c>
      <c r="Y108" s="863">
        <f t="shared" si="335"/>
        <v>1.5765765765765716E-2</v>
      </c>
      <c r="Z108" s="863">
        <f t="shared" si="335"/>
        <v>-4.1841004184100417E-2</v>
      </c>
      <c r="AA108" s="863">
        <f t="shared" si="335"/>
        <v>-0.52734375</v>
      </c>
      <c r="AB108" s="864">
        <f t="shared" si="335"/>
        <v>-5.8564231738035266E-2</v>
      </c>
      <c r="AC108" s="863">
        <f t="shared" si="335"/>
        <v>-1.7204301075268824E-2</v>
      </c>
      <c r="AD108" s="863">
        <f t="shared" si="335"/>
        <v>3.9911308203991025E-2</v>
      </c>
      <c r="AE108" s="863">
        <f t="shared" si="335"/>
        <v>-0.41484716157205237</v>
      </c>
      <c r="AF108" s="863">
        <f t="shared" si="335"/>
        <v>2.1900826446280992</v>
      </c>
      <c r="AG108" s="864">
        <f t="shared" si="335"/>
        <v>5.6856187290969862E-2</v>
      </c>
      <c r="AH108" s="863">
        <f t="shared" si="335"/>
        <v>0.13129102844638951</v>
      </c>
      <c r="AI108" s="863">
        <f t="shared" si="335"/>
        <v>0.14498933901918987</v>
      </c>
      <c r="AJ108" s="863">
        <f t="shared" si="335"/>
        <v>1.1567164179104479</v>
      </c>
      <c r="AK108" s="863">
        <f t="shared" si="335"/>
        <v>0.21502590673575139</v>
      </c>
      <c r="AL108" s="864">
        <f t="shared" si="335"/>
        <v>0.32974683544303796</v>
      </c>
      <c r="AM108" s="863">
        <f t="shared" si="335"/>
        <v>0.21083172147001927</v>
      </c>
      <c r="AN108" s="863">
        <f t="shared" si="335"/>
        <v>7.8212290502793325E-2</v>
      </c>
      <c r="AO108" s="863">
        <f t="shared" si="335"/>
        <v>0.24740484429065734</v>
      </c>
      <c r="AP108" s="863">
        <f t="shared" si="335"/>
        <v>0.64605543710021318</v>
      </c>
      <c r="AQ108" s="864">
        <f t="shared" si="335"/>
        <v>0.28415040456925267</v>
      </c>
      <c r="AR108" s="863">
        <f t="shared" si="335"/>
        <v>0.20766773162939289</v>
      </c>
      <c r="AS108" s="863">
        <f t="shared" si="335"/>
        <v>0.22797927461139889</v>
      </c>
      <c r="AT108" s="863">
        <f t="shared" si="335"/>
        <v>-0.84327323162274614</v>
      </c>
      <c r="AU108" s="863"/>
      <c r="AV108" s="864"/>
      <c r="AW108" s="863"/>
      <c r="AX108" s="863"/>
      <c r="AY108" s="863"/>
      <c r="AZ108" s="863"/>
      <c r="BA108" s="863">
        <f t="shared" ref="BA108:CF108" si="336">IF(OR(BA25&lt;=0,AV25&lt;=0),"nm",BA25/AV25-1)</f>
        <v>-0.60682492581602376</v>
      </c>
      <c r="BB108" s="863" t="str">
        <f t="shared" si="336"/>
        <v>nm</v>
      </c>
      <c r="BC108" s="863" t="str">
        <f t="shared" si="336"/>
        <v>nm</v>
      </c>
      <c r="BD108" s="863" t="str">
        <f t="shared" si="336"/>
        <v>nm</v>
      </c>
      <c r="BE108" s="864" t="str">
        <f t="shared" si="336"/>
        <v>nm</v>
      </c>
      <c r="BF108" s="863">
        <f t="shared" si="336"/>
        <v>-0.42641509433962266</v>
      </c>
      <c r="BG108" s="863" t="str">
        <f t="shared" si="336"/>
        <v>nm</v>
      </c>
      <c r="BH108" s="863" t="str">
        <f t="shared" si="336"/>
        <v>nm</v>
      </c>
      <c r="BI108" s="863" t="str">
        <f t="shared" si="336"/>
        <v>nm</v>
      </c>
      <c r="BJ108" s="864" t="str">
        <f t="shared" si="336"/>
        <v>nm</v>
      </c>
      <c r="BK108" s="863">
        <f t="shared" si="336"/>
        <v>0.27631578947368429</v>
      </c>
      <c r="BL108" s="863" t="str">
        <f t="shared" si="336"/>
        <v>nm</v>
      </c>
      <c r="BM108" s="863" t="str">
        <f t="shared" si="336"/>
        <v>nm</v>
      </c>
      <c r="BN108" s="863" t="str">
        <f t="shared" si="336"/>
        <v>nm</v>
      </c>
      <c r="BO108" s="864" t="str">
        <f t="shared" si="336"/>
        <v>nm</v>
      </c>
      <c r="BP108" s="863">
        <f t="shared" si="336"/>
        <v>0</v>
      </c>
      <c r="BQ108" s="863" t="str">
        <f t="shared" si="336"/>
        <v>nm</v>
      </c>
      <c r="BR108" s="863" t="str">
        <f t="shared" si="336"/>
        <v>nm</v>
      </c>
      <c r="BS108" s="863" t="str">
        <f t="shared" si="336"/>
        <v>nm</v>
      </c>
      <c r="BT108" s="864" t="str">
        <f t="shared" si="336"/>
        <v>nm</v>
      </c>
      <c r="BU108" s="863">
        <f t="shared" si="336"/>
        <v>-3.6082474226804107E-2</v>
      </c>
      <c r="BV108" s="863" t="str">
        <f t="shared" si="336"/>
        <v>nm</v>
      </c>
      <c r="BW108" s="863">
        <f t="shared" si="336"/>
        <v>0.54807692307692313</v>
      </c>
      <c r="BX108" s="863" t="str">
        <f t="shared" si="336"/>
        <v>nm</v>
      </c>
      <c r="BY108" s="864" t="str">
        <f t="shared" si="336"/>
        <v>nm</v>
      </c>
      <c r="BZ108" s="863">
        <f t="shared" si="336"/>
        <v>-5.3475935828877219E-3</v>
      </c>
      <c r="CA108" s="863">
        <f t="shared" si="336"/>
        <v>7.4829931972789199E-2</v>
      </c>
      <c r="CB108" s="863">
        <f t="shared" si="336"/>
        <v>-6.2111801242236142E-3</v>
      </c>
      <c r="CC108" s="863">
        <f t="shared" si="336"/>
        <v>0.56198347107438007</v>
      </c>
      <c r="CD108" s="864">
        <f t="shared" si="336"/>
        <v>0.125</v>
      </c>
      <c r="CE108" s="863">
        <f t="shared" si="336"/>
        <v>0.45161290322580649</v>
      </c>
      <c r="CF108" s="863">
        <f t="shared" si="336"/>
        <v>0.49367088607594933</v>
      </c>
      <c r="CG108" s="863">
        <f t="shared" ref="CG108:DL108" si="337">IF(OR(CG25&lt;=0,CB25&lt;=0),"nm",CG25/CB25-1)</f>
        <v>0.4375</v>
      </c>
      <c r="CH108" s="863">
        <f t="shared" si="337"/>
        <v>-1.5873015873015928E-2</v>
      </c>
      <c r="CI108" s="864">
        <f t="shared" si="337"/>
        <v>0.33044733044733055</v>
      </c>
      <c r="CJ108" s="863">
        <f t="shared" si="337"/>
        <v>9.6296296296296324E-2</v>
      </c>
      <c r="CK108" s="863">
        <f t="shared" si="337"/>
        <v>0.13559322033898313</v>
      </c>
      <c r="CL108" s="863">
        <f t="shared" si="337"/>
        <v>-0.13913043478260867</v>
      </c>
      <c r="CM108" s="863">
        <f t="shared" si="337"/>
        <v>0.43010752688172049</v>
      </c>
      <c r="CN108" s="864">
        <f t="shared" si="337"/>
        <v>0.11496746203904551</v>
      </c>
      <c r="CO108" s="863">
        <f t="shared" si="337"/>
        <v>0.18918918918918926</v>
      </c>
      <c r="CP108" s="863">
        <f t="shared" si="337"/>
        <v>-1.1194029850746245E-2</v>
      </c>
      <c r="CQ108" s="863">
        <f t="shared" si="337"/>
        <v>-9.5959595959595911E-2</v>
      </c>
      <c r="CR108" s="863">
        <f t="shared" si="337"/>
        <v>-4.1353383458646586E-2</v>
      </c>
      <c r="CS108" s="864">
        <f t="shared" si="337"/>
        <v>2.2373540856031049E-2</v>
      </c>
      <c r="CT108" s="863">
        <f t="shared" si="337"/>
        <v>-0.13352272727272729</v>
      </c>
      <c r="CU108" s="863">
        <f t="shared" si="337"/>
        <v>7.1698113207547154E-2</v>
      </c>
      <c r="CV108" s="863">
        <f t="shared" si="337"/>
        <v>0.46927374301675973</v>
      </c>
      <c r="CW108" s="863">
        <f t="shared" si="337"/>
        <v>0.2823529411764707</v>
      </c>
      <c r="CX108" s="864">
        <f t="shared" si="337"/>
        <v>0.12178877259752618</v>
      </c>
      <c r="CY108" s="863">
        <f t="shared" si="337"/>
        <v>-0.14754098360655743</v>
      </c>
      <c r="CZ108" s="863">
        <f t="shared" si="337"/>
        <v>0.13732394366197176</v>
      </c>
      <c r="DA108" s="863">
        <f t="shared" si="337"/>
        <v>1.5209125475285079E-2</v>
      </c>
      <c r="DB108" s="863">
        <f t="shared" si="337"/>
        <v>9.4801223241590238E-2</v>
      </c>
      <c r="DC108" s="864">
        <f t="shared" si="337"/>
        <v>2.4597116200169689E-2</v>
      </c>
      <c r="DD108" s="863">
        <f t="shared" si="337"/>
        <v>0.39615384615384608</v>
      </c>
      <c r="DE108" s="863">
        <f t="shared" si="337"/>
        <v>0.28792569659442724</v>
      </c>
      <c r="DF108" s="863">
        <f t="shared" si="337"/>
        <v>0.56554307116104874</v>
      </c>
      <c r="DG108" s="863">
        <f t="shared" si="337"/>
        <v>0.6117318435754191</v>
      </c>
      <c r="DH108" s="864">
        <f t="shared" si="337"/>
        <v>0.4685430463576159</v>
      </c>
      <c r="DI108" s="863">
        <f t="shared" si="337"/>
        <v>0.36914600550964183</v>
      </c>
      <c r="DJ108" s="863">
        <f t="shared" si="337"/>
        <v>-0.13221153846153844</v>
      </c>
      <c r="DK108" s="863">
        <f t="shared" si="337"/>
        <v>0.12918660287081329</v>
      </c>
      <c r="DL108" s="863">
        <f t="shared" si="337"/>
        <v>-9.358752166377815E-2</v>
      </c>
      <c r="DM108" s="864">
        <f t="shared" ref="DM108:DS108" si="338">IF(OR(DM25&lt;=0,DH25&lt;=0),"nm",DM25/DH25-1)</f>
        <v>4.4532130777902967E-2</v>
      </c>
      <c r="DN108" s="863">
        <f t="shared" si="338"/>
        <v>0.12474849094567397</v>
      </c>
      <c r="DO108" s="863">
        <f t="shared" si="338"/>
        <v>0.33518005540166196</v>
      </c>
      <c r="DP108" s="863">
        <f t="shared" si="338"/>
        <v>0.13983050847457634</v>
      </c>
      <c r="DQ108" s="863">
        <f t="shared" si="338"/>
        <v>-6.3097514340344163E-2</v>
      </c>
      <c r="DR108" s="864">
        <f t="shared" si="338"/>
        <v>0.11656772800863457</v>
      </c>
      <c r="DS108" s="863">
        <f t="shared" si="338"/>
        <v>-0.12701252236135963</v>
      </c>
      <c r="DT108" s="863">
        <f t="shared" ref="DT108:EB108" si="339">IF(OR(DT25&lt;=0,DO25&lt;=0),"nm",DT25/DO25-1)</f>
        <v>0.10373443983402497</v>
      </c>
      <c r="DU108" s="863">
        <f t="shared" si="339"/>
        <v>-0.4981412639405205</v>
      </c>
      <c r="DV108" s="863">
        <f t="shared" si="339"/>
        <v>0.41428571428571437</v>
      </c>
      <c r="DW108" s="864">
        <f t="shared" si="339"/>
        <v>-4.1565973900435038E-2</v>
      </c>
      <c r="DX108" s="863">
        <f t="shared" si="339"/>
        <v>0.23747336301792643</v>
      </c>
      <c r="DY108" s="863">
        <f t="shared" si="339"/>
        <v>0.22438887746069591</v>
      </c>
      <c r="DZ108" s="863">
        <f t="shared" si="339"/>
        <v>1.3837611544673494</v>
      </c>
      <c r="EA108" s="863">
        <f t="shared" si="339"/>
        <v>-7.9549869356304259E-2</v>
      </c>
      <c r="EB108" s="864">
        <f t="shared" si="339"/>
        <v>0.27924827846903932</v>
      </c>
      <c r="EC108" s="863">
        <f t="shared" ref="EC108:EL108" si="340">IF(OR(EC25&lt;=0,DX25&lt;=0),"nm",EC25/DX25-1)</f>
        <v>6.0119253922554572E-2</v>
      </c>
      <c r="ED108" s="863">
        <f t="shared" si="340"/>
        <v>3.4410832551285964E-3</v>
      </c>
      <c r="EE108" s="863">
        <f t="shared" si="340"/>
        <v>1.8621791719421799E-2</v>
      </c>
      <c r="EF108" s="863">
        <f t="shared" si="340"/>
        <v>6.199433358219264E-2</v>
      </c>
      <c r="EG108" s="864">
        <f t="shared" si="340"/>
        <v>3.5508589575649729E-2</v>
      </c>
      <c r="EH108" s="863">
        <f t="shared" si="340"/>
        <v>5.6114357158760564E-2</v>
      </c>
      <c r="EI108" s="863">
        <f t="shared" si="340"/>
        <v>4.4499061723822786E-2</v>
      </c>
      <c r="EJ108" s="863">
        <f t="shared" si="340"/>
        <v>2.6526284001643585E-2</v>
      </c>
      <c r="EK108" s="863">
        <f t="shared" si="340"/>
        <v>7.9237950422306191E-4</v>
      </c>
      <c r="EL108" s="864">
        <f t="shared" si="340"/>
        <v>3.1572978502733884E-2</v>
      </c>
      <c r="EM108" s="1"/>
      <c r="EN108"/>
      <c r="EO108"/>
      <c r="EP108"/>
      <c r="EQ108"/>
      <c r="ER108"/>
      <c r="ES108" s="7"/>
      <c r="ET108"/>
      <c r="EU108" s="7"/>
      <c r="EV108" s="7"/>
      <c r="EW108" s="7"/>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c r="HR108" s="3"/>
      <c r="HS108" s="3"/>
      <c r="HT108" s="3"/>
      <c r="HU108" s="3"/>
      <c r="HV108" s="3"/>
      <c r="HW108" s="3"/>
      <c r="HX108" s="3"/>
      <c r="HY108" s="3"/>
      <c r="HZ108" s="3"/>
      <c r="IA108" s="3"/>
      <c r="IB108" s="3"/>
      <c r="IC108" s="3"/>
      <c r="ID108" s="3"/>
      <c r="IE108" s="3"/>
      <c r="IF108" s="3"/>
      <c r="IG108" s="3"/>
      <c r="IH108" s="3"/>
      <c r="II108" s="3"/>
      <c r="IJ108" s="3"/>
      <c r="IK108" s="3"/>
      <c r="IL108" s="3"/>
      <c r="IM108" s="3"/>
      <c r="IN108" s="3"/>
      <c r="IO108" s="3"/>
      <c r="IP108" s="3"/>
      <c r="IQ108" s="3"/>
      <c r="IR108" s="3"/>
      <c r="IS108" s="3"/>
      <c r="IT108" s="3"/>
      <c r="IU108" s="3"/>
      <c r="IV108" s="3"/>
      <c r="IW108" s="3"/>
      <c r="IX108" s="3"/>
      <c r="IY108" s="3"/>
      <c r="IZ108" s="3"/>
      <c r="JA108" s="3"/>
      <c r="JB108" s="3"/>
      <c r="JC108" s="3"/>
      <c r="JD108" s="3"/>
      <c r="JE108" s="3"/>
      <c r="JF108" s="3"/>
      <c r="JG108" s="3"/>
      <c r="JH108" s="3"/>
      <c r="JI108" s="3"/>
      <c r="JJ108" s="3"/>
      <c r="JK108" s="3"/>
    </row>
    <row r="109" spans="1:271" s="11" customFormat="1" ht="12" customHeight="1">
      <c r="A109" s="801"/>
      <c r="B109" s="557" t="s">
        <v>346</v>
      </c>
      <c r="C109" s="555"/>
      <c r="D109" s="863"/>
      <c r="E109" s="863"/>
      <c r="F109" s="863"/>
      <c r="G109" s="863"/>
      <c r="H109" s="864"/>
      <c r="I109" s="863">
        <f t="shared" ref="I109:AT109" si="341">IF(OR(I85&lt;=0,D85&lt;=0),"nm",I85/D85-1)</f>
        <v>1.0710734371179393</v>
      </c>
      <c r="J109" s="863">
        <f t="shared" si="341"/>
        <v>1.2442622950819677</v>
      </c>
      <c r="K109" s="863">
        <f t="shared" si="341"/>
        <v>1.2137767220902633</v>
      </c>
      <c r="L109" s="863">
        <f t="shared" si="341"/>
        <v>0.15670013094718382</v>
      </c>
      <c r="M109" s="864">
        <f t="shared" si="341"/>
        <v>0.76404494382022481</v>
      </c>
      <c r="N109" s="863">
        <f t="shared" si="341"/>
        <v>0.11255411255411185</v>
      </c>
      <c r="O109" s="863">
        <f t="shared" si="341"/>
        <v>6.5376186997808228E-2</v>
      </c>
      <c r="P109" s="863">
        <f t="shared" si="341"/>
        <v>0.47210300429184504</v>
      </c>
      <c r="Q109" s="863">
        <f t="shared" si="341"/>
        <v>1.0960548885077182</v>
      </c>
      <c r="R109" s="864">
        <f t="shared" si="341"/>
        <v>0.45313921747042674</v>
      </c>
      <c r="S109" s="863">
        <f t="shared" si="341"/>
        <v>0.45030067209055602</v>
      </c>
      <c r="T109" s="863">
        <f t="shared" si="341"/>
        <v>0.52211175865615433</v>
      </c>
      <c r="U109" s="863">
        <f t="shared" si="341"/>
        <v>0.16132167152575283</v>
      </c>
      <c r="V109" s="863">
        <f t="shared" si="341"/>
        <v>-0.21931260229132488</v>
      </c>
      <c r="W109" s="864">
        <f t="shared" si="341"/>
        <v>0.13274890419536689</v>
      </c>
      <c r="X109" s="863">
        <f t="shared" si="341"/>
        <v>0.13414634146341453</v>
      </c>
      <c r="Y109" s="863">
        <f t="shared" si="341"/>
        <v>1.5765765765765716E-2</v>
      </c>
      <c r="Z109" s="863">
        <f t="shared" si="341"/>
        <v>-4.1841004184100417E-2</v>
      </c>
      <c r="AA109" s="863">
        <f t="shared" si="341"/>
        <v>1.467505241090139E-2</v>
      </c>
      <c r="AB109" s="864">
        <f t="shared" si="341"/>
        <v>2.7086788280818119E-2</v>
      </c>
      <c r="AC109" s="863">
        <f t="shared" si="341"/>
        <v>-1.7204301075268824E-2</v>
      </c>
      <c r="AD109" s="863">
        <f t="shared" si="341"/>
        <v>3.9911308203991025E-2</v>
      </c>
      <c r="AE109" s="863">
        <f t="shared" si="341"/>
        <v>9.1703056768559055E-2</v>
      </c>
      <c r="AF109" s="863">
        <f t="shared" si="341"/>
        <v>5.1652892561983466E-2</v>
      </c>
      <c r="AG109" s="864">
        <f t="shared" si="341"/>
        <v>4.1442411194833051E-2</v>
      </c>
      <c r="AH109" s="863">
        <f t="shared" si="341"/>
        <v>0.13129102844638951</v>
      </c>
      <c r="AI109" s="863">
        <f t="shared" si="341"/>
        <v>0.14498933901918987</v>
      </c>
      <c r="AJ109" s="863">
        <f t="shared" si="341"/>
        <v>0.15599999999999992</v>
      </c>
      <c r="AK109" s="863">
        <f t="shared" si="341"/>
        <v>0.20235756385068759</v>
      </c>
      <c r="AL109" s="864">
        <f t="shared" si="341"/>
        <v>0.15968992248062008</v>
      </c>
      <c r="AM109" s="863">
        <f t="shared" si="341"/>
        <v>0.21083172147001927</v>
      </c>
      <c r="AN109" s="863">
        <f t="shared" si="341"/>
        <v>0.26256983240223453</v>
      </c>
      <c r="AO109" s="863">
        <f t="shared" si="341"/>
        <v>0.24740484429065734</v>
      </c>
      <c r="AP109" s="863">
        <f t="shared" si="341"/>
        <v>0.26143790849673199</v>
      </c>
      <c r="AQ109" s="864">
        <f t="shared" si="341"/>
        <v>0.24643493761140811</v>
      </c>
      <c r="AR109" s="863">
        <f t="shared" si="341"/>
        <v>0.20766773162939289</v>
      </c>
      <c r="AS109" s="863">
        <f t="shared" si="341"/>
        <v>0.14306784660766958</v>
      </c>
      <c r="AT109" s="863">
        <f t="shared" si="341"/>
        <v>-0.2857142857142857</v>
      </c>
      <c r="AU109" s="863"/>
      <c r="AV109" s="864"/>
      <c r="AW109" s="863"/>
      <c r="AX109" s="863"/>
      <c r="AY109" s="863"/>
      <c r="AZ109" s="863"/>
      <c r="BA109" s="863">
        <f t="shared" ref="BA109:CF109" si="342">IF(OR(BA85&lt;=0,AV85&lt;=0),"nm",BA85/AV85-1)</f>
        <v>-0.30712166172106825</v>
      </c>
      <c r="BB109" s="863">
        <f t="shared" si="342"/>
        <v>-0.51011560693641611</v>
      </c>
      <c r="BC109" s="863">
        <f t="shared" si="342"/>
        <v>-0.88652482269503552</v>
      </c>
      <c r="BD109" s="863">
        <f t="shared" si="342"/>
        <v>-0.698943661971831</v>
      </c>
      <c r="BE109" s="864">
        <f t="shared" si="342"/>
        <v>-0.59946949602122013</v>
      </c>
      <c r="BF109" s="863">
        <f t="shared" si="342"/>
        <v>-0.52462526766595285</v>
      </c>
      <c r="BG109" s="863" t="str">
        <f t="shared" si="342"/>
        <v>nm</v>
      </c>
      <c r="BH109" s="863">
        <f t="shared" si="342"/>
        <v>0.61250000000000004</v>
      </c>
      <c r="BI109" s="863">
        <f t="shared" si="342"/>
        <v>-0.17543859649122806</v>
      </c>
      <c r="BJ109" s="864">
        <f t="shared" si="342"/>
        <v>-0.63576158940397354</v>
      </c>
      <c r="BK109" s="863">
        <f t="shared" si="342"/>
        <v>1.8018018018018056E-2</v>
      </c>
      <c r="BL109" s="863" t="str">
        <f t="shared" si="342"/>
        <v>nm</v>
      </c>
      <c r="BM109" s="863">
        <f t="shared" si="342"/>
        <v>-0.31007751937984496</v>
      </c>
      <c r="BN109" s="863">
        <f t="shared" si="342"/>
        <v>-0.31205673758865249</v>
      </c>
      <c r="BO109" s="864">
        <f t="shared" si="342"/>
        <v>0.48311688311688306</v>
      </c>
      <c r="BP109" s="863">
        <f t="shared" si="342"/>
        <v>-4.4247787610619427E-2</v>
      </c>
      <c r="BQ109" s="863">
        <f t="shared" si="342"/>
        <v>0.31446540880503138</v>
      </c>
      <c r="BR109" s="863">
        <f t="shared" si="342"/>
        <v>0.21348314606741581</v>
      </c>
      <c r="BS109" s="863">
        <f t="shared" si="342"/>
        <v>0.57731958762886593</v>
      </c>
      <c r="BT109" s="864">
        <f t="shared" si="342"/>
        <v>0.20140105078809101</v>
      </c>
      <c r="BU109" s="863">
        <f t="shared" si="342"/>
        <v>-0.125</v>
      </c>
      <c r="BV109" s="863">
        <f t="shared" si="342"/>
        <v>-0.25358851674641147</v>
      </c>
      <c r="BW109" s="863">
        <f t="shared" si="342"/>
        <v>0.63888888888888884</v>
      </c>
      <c r="BX109" s="863">
        <f t="shared" si="342"/>
        <v>8.4967320261437829E-2</v>
      </c>
      <c r="BY109" s="864">
        <f t="shared" si="342"/>
        <v>2.9154518950438302E-3</v>
      </c>
      <c r="BZ109" s="863">
        <f t="shared" si="342"/>
        <v>0.23809523809523814</v>
      </c>
      <c r="CA109" s="863">
        <f t="shared" si="342"/>
        <v>4.4871794871794934E-2</v>
      </c>
      <c r="CB109" s="863">
        <f t="shared" si="342"/>
        <v>-0.11864406779661019</v>
      </c>
      <c r="CC109" s="863">
        <f t="shared" si="342"/>
        <v>0.1987951807228916</v>
      </c>
      <c r="CD109" s="864">
        <f t="shared" si="342"/>
        <v>9.3023255813953432E-2</v>
      </c>
      <c r="CE109" s="863">
        <f t="shared" si="342"/>
        <v>0.17948717948717952</v>
      </c>
      <c r="CF109" s="863">
        <f t="shared" si="342"/>
        <v>0.50920245398773001</v>
      </c>
      <c r="CG109" s="863">
        <f t="shared" ref="CG109:DL109" si="343">IF(OR(CG85&lt;=0,CB85&lt;=0),"nm",CG85/CB85-1)</f>
        <v>0.53846153846153855</v>
      </c>
      <c r="CH109" s="863">
        <f t="shared" si="343"/>
        <v>9.5477386934673447E-2</v>
      </c>
      <c r="CI109" s="864">
        <f t="shared" si="343"/>
        <v>0.30319148936170204</v>
      </c>
      <c r="CJ109" s="863">
        <f t="shared" si="343"/>
        <v>7.9710144927536142E-2</v>
      </c>
      <c r="CK109" s="863">
        <f t="shared" si="343"/>
        <v>8.9430894308943021E-2</v>
      </c>
      <c r="CL109" s="863">
        <f t="shared" si="343"/>
        <v>-0.15416666666666667</v>
      </c>
      <c r="CM109" s="863">
        <f t="shared" si="343"/>
        <v>0.28899082568807333</v>
      </c>
      <c r="CN109" s="864">
        <f t="shared" si="343"/>
        <v>7.1428571428571397E-2</v>
      </c>
      <c r="CO109" s="863">
        <f t="shared" si="343"/>
        <v>0.24496644295302006</v>
      </c>
      <c r="CP109" s="863">
        <f t="shared" si="343"/>
        <v>2.6119402985074647E-2</v>
      </c>
      <c r="CQ109" s="863">
        <f t="shared" si="343"/>
        <v>-5.4187192118226646E-2</v>
      </c>
      <c r="CR109" s="863">
        <f t="shared" si="343"/>
        <v>2.4911032028469782E-2</v>
      </c>
      <c r="CS109" s="864">
        <f t="shared" si="343"/>
        <v>7.2380952380952435E-2</v>
      </c>
      <c r="CT109" s="863">
        <f t="shared" si="343"/>
        <v>-0.16442048517520214</v>
      </c>
      <c r="CU109" s="863">
        <f t="shared" si="343"/>
        <v>4.7272727272727355E-2</v>
      </c>
      <c r="CV109" s="863">
        <f t="shared" si="343"/>
        <v>0.40104166666666674</v>
      </c>
      <c r="CW109" s="863">
        <f t="shared" si="343"/>
        <v>0.16666666666666674</v>
      </c>
      <c r="CX109" s="864">
        <f t="shared" si="343"/>
        <v>6.8383658969804584E-2</v>
      </c>
      <c r="CY109" s="863">
        <f t="shared" si="343"/>
        <v>-0.11612903225806448</v>
      </c>
      <c r="CZ109" s="863">
        <f t="shared" si="343"/>
        <v>0.16666666666666674</v>
      </c>
      <c r="DA109" s="863">
        <f t="shared" si="343"/>
        <v>7.0631970260222943E-2</v>
      </c>
      <c r="DB109" s="863">
        <f t="shared" si="343"/>
        <v>0.3214285714285714</v>
      </c>
      <c r="DC109" s="864">
        <f t="shared" si="343"/>
        <v>0.11554447215295105</v>
      </c>
      <c r="DD109" s="863">
        <f t="shared" si="343"/>
        <v>0.4124087591240877</v>
      </c>
      <c r="DE109" s="863">
        <f t="shared" si="343"/>
        <v>0.36904761904761907</v>
      </c>
      <c r="DF109" s="863">
        <f t="shared" si="343"/>
        <v>0.59375</v>
      </c>
      <c r="DG109" s="863">
        <f t="shared" si="343"/>
        <v>0.45495495495495497</v>
      </c>
      <c r="DH109" s="864">
        <f t="shared" si="343"/>
        <v>0.45454545454545459</v>
      </c>
      <c r="DI109" s="863">
        <f t="shared" si="343"/>
        <v>0.36692506459948326</v>
      </c>
      <c r="DJ109" s="863">
        <f t="shared" si="343"/>
        <v>0.23478260869565215</v>
      </c>
      <c r="DK109" s="863">
        <f t="shared" si="343"/>
        <v>0.23311546840958597</v>
      </c>
      <c r="DL109" s="863">
        <f t="shared" si="343"/>
        <v>0.23684210526315796</v>
      </c>
      <c r="DM109" s="864">
        <f t="shared" ref="DM109:DS109" si="344">IF(OR(DM85&lt;=0,DH85&lt;=0),"nm",DM85/DH85-1)</f>
        <v>0.26127049180327866</v>
      </c>
      <c r="DN109" s="863">
        <f t="shared" si="344"/>
        <v>0.1587901701323251</v>
      </c>
      <c r="DO109" s="863">
        <f t="shared" si="344"/>
        <v>8.6267605633802757E-2</v>
      </c>
      <c r="DP109" s="863">
        <f t="shared" si="344"/>
        <v>7.0671378091873294E-3</v>
      </c>
      <c r="DQ109" s="863">
        <f t="shared" si="344"/>
        <v>-0.23279098873591986</v>
      </c>
      <c r="DR109" s="864">
        <f t="shared" si="344"/>
        <v>4.1429731925264113E-2</v>
      </c>
      <c r="DS109" s="863">
        <f t="shared" si="344"/>
        <v>-0.14029363784665583</v>
      </c>
      <c r="DT109" s="863">
        <f t="shared" ref="DT109:EB109" si="345">IF(OR(DT85&lt;=0,DO85&lt;=0),"nm",DT85/DO85-1)</f>
        <v>-7.6175040518638548E-2</v>
      </c>
      <c r="DU109" s="863">
        <f t="shared" si="345"/>
        <v>-0.11052631578947369</v>
      </c>
      <c r="DV109" s="863">
        <f t="shared" si="345"/>
        <v>0.37030995106035891</v>
      </c>
      <c r="DW109" s="864">
        <f t="shared" si="345"/>
        <v>-4.6801872074882955E-2</v>
      </c>
      <c r="DX109" s="863">
        <f t="shared" si="345"/>
        <v>0.14589563786100213</v>
      </c>
      <c r="DY109" s="863">
        <f t="shared" si="345"/>
        <v>0.14276295229664937</v>
      </c>
      <c r="DZ109" s="863">
        <f t="shared" si="345"/>
        <v>0.26945860297077773</v>
      </c>
      <c r="EA109" s="863">
        <f t="shared" si="345"/>
        <v>-0.24062864221895097</v>
      </c>
      <c r="EB109" s="864">
        <f t="shared" si="345"/>
        <v>3.7949810230811787E-2</v>
      </c>
      <c r="EC109" s="863">
        <f t="shared" ref="EC109:EL109" si="346">IF(OR(EC85&lt;=0,DX85&lt;=0),"nm",EC85/DX85-1)</f>
        <v>6.0119253922554572E-2</v>
      </c>
      <c r="ED109" s="863">
        <f t="shared" si="346"/>
        <v>3.4410832551285964E-3</v>
      </c>
      <c r="EE109" s="863">
        <f t="shared" si="346"/>
        <v>1.8621791719421799E-2</v>
      </c>
      <c r="EF109" s="863">
        <f t="shared" si="346"/>
        <v>6.199433358219264E-2</v>
      </c>
      <c r="EG109" s="864">
        <f t="shared" si="346"/>
        <v>3.5508589575649729E-2</v>
      </c>
      <c r="EH109" s="863">
        <f t="shared" si="346"/>
        <v>5.6114357158760564E-2</v>
      </c>
      <c r="EI109" s="863">
        <f t="shared" si="346"/>
        <v>4.4499061723822786E-2</v>
      </c>
      <c r="EJ109" s="863">
        <f t="shared" si="346"/>
        <v>2.6526284001643585E-2</v>
      </c>
      <c r="EK109" s="863">
        <f t="shared" si="346"/>
        <v>7.9237950422306191E-4</v>
      </c>
      <c r="EL109" s="864">
        <f t="shared" si="346"/>
        <v>3.1572978502733662E-2</v>
      </c>
      <c r="EM109" s="1"/>
      <c r="EN109"/>
      <c r="EO109"/>
      <c r="EP109"/>
      <c r="EQ109"/>
      <c r="ER109"/>
      <c r="ES109" s="7"/>
      <c r="ET109"/>
      <c r="EU109" s="7"/>
      <c r="EV109" s="7"/>
      <c r="EW109" s="7"/>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F109" s="3"/>
      <c r="IG109" s="3"/>
      <c r="IH109" s="3"/>
      <c r="II109" s="3"/>
      <c r="IJ109" s="3"/>
      <c r="IK109" s="3"/>
      <c r="IL109" s="3"/>
      <c r="IM109" s="3"/>
      <c r="IN109" s="3"/>
      <c r="IO109" s="3"/>
      <c r="IP109" s="3"/>
      <c r="IQ109" s="3"/>
      <c r="IR109" s="3"/>
      <c r="IS109" s="3"/>
      <c r="IT109" s="3"/>
      <c r="IU109" s="3"/>
      <c r="IV109" s="3"/>
      <c r="IW109" s="3"/>
      <c r="IX109" s="3"/>
      <c r="IY109" s="3"/>
      <c r="IZ109" s="3"/>
      <c r="JA109" s="3"/>
      <c r="JB109" s="3"/>
      <c r="JC109" s="3"/>
      <c r="JD109" s="3"/>
      <c r="JE109" s="3"/>
      <c r="JF109" s="3"/>
      <c r="JG109" s="3"/>
      <c r="JH109" s="3"/>
      <c r="JI109" s="3"/>
      <c r="JJ109" s="3"/>
      <c r="JK109" s="3"/>
    </row>
    <row r="110" spans="1:271" s="11" customFormat="1" ht="12" customHeight="1">
      <c r="A110" s="801"/>
      <c r="B110" s="557" t="s">
        <v>519</v>
      </c>
      <c r="C110" s="555"/>
      <c r="D110" s="863"/>
      <c r="E110" s="863"/>
      <c r="F110" s="863"/>
      <c r="G110" s="863"/>
      <c r="H110" s="864"/>
      <c r="I110" s="863">
        <f t="shared" ref="I110:AT110" si="347">IF(OR(I33&lt;=0,D33&lt;=0),"nm",I33/D33-1)</f>
        <v>1.1510603948044325</v>
      </c>
      <c r="J110" s="863">
        <f t="shared" si="347"/>
        <v>2.9858974358974373</v>
      </c>
      <c r="K110" s="863">
        <f t="shared" si="347"/>
        <v>0.58952496954933231</v>
      </c>
      <c r="L110" s="863">
        <f t="shared" si="347"/>
        <v>0.5251196172248731</v>
      </c>
      <c r="M110" s="864">
        <f t="shared" si="347"/>
        <v>1.3929388689114091</v>
      </c>
      <c r="N110" s="863">
        <f t="shared" si="347"/>
        <v>-0.43283582089552297</v>
      </c>
      <c r="O110" s="863">
        <f t="shared" si="347"/>
        <v>-0.54229655837890034</v>
      </c>
      <c r="P110" s="863" t="str">
        <f t="shared" si="347"/>
        <v>nm</v>
      </c>
      <c r="Q110" s="863" t="str">
        <f t="shared" si="347"/>
        <v>nm</v>
      </c>
      <c r="R110" s="864" t="str">
        <f t="shared" si="347"/>
        <v>nm</v>
      </c>
      <c r="S110" s="863">
        <f t="shared" si="347"/>
        <v>0.49624060150376059</v>
      </c>
      <c r="T110" s="863">
        <f t="shared" si="347"/>
        <v>0.65846802529866633</v>
      </c>
      <c r="U110" s="863" t="str">
        <f t="shared" si="347"/>
        <v>nm</v>
      </c>
      <c r="V110" s="863" t="str">
        <f t="shared" si="347"/>
        <v>nm</v>
      </c>
      <c r="W110" s="864" t="str">
        <f t="shared" si="347"/>
        <v>nm</v>
      </c>
      <c r="X110" s="863">
        <f t="shared" si="347"/>
        <v>0.13567839195979903</v>
      </c>
      <c r="Y110" s="863">
        <f t="shared" si="347"/>
        <v>-0.13559322033898302</v>
      </c>
      <c r="Z110" s="863">
        <f t="shared" si="347"/>
        <v>-0.18548387096774188</v>
      </c>
      <c r="AA110" s="863" t="str">
        <f t="shared" si="347"/>
        <v>nm</v>
      </c>
      <c r="AB110" s="864">
        <f t="shared" si="347"/>
        <v>2.083333333333437E-3</v>
      </c>
      <c r="AC110" s="863">
        <f t="shared" si="347"/>
        <v>-5.3097345132743334E-2</v>
      </c>
      <c r="AD110" s="863">
        <f t="shared" si="347"/>
        <v>0.37745098039215685</v>
      </c>
      <c r="AE110" s="863">
        <f t="shared" si="347"/>
        <v>-0.63366336633663367</v>
      </c>
      <c r="AF110" s="863" t="str">
        <f t="shared" si="347"/>
        <v>nm</v>
      </c>
      <c r="AG110" s="864">
        <f t="shared" si="347"/>
        <v>0.32848232848232839</v>
      </c>
      <c r="AH110" s="863">
        <f t="shared" si="347"/>
        <v>0.22897196261682251</v>
      </c>
      <c r="AI110" s="863">
        <f t="shared" si="347"/>
        <v>5.3380782918149405E-2</v>
      </c>
      <c r="AJ110" s="863">
        <f t="shared" si="347"/>
        <v>3.5270270270270272</v>
      </c>
      <c r="AK110" s="863">
        <f t="shared" si="347"/>
        <v>1.9428571428571431</v>
      </c>
      <c r="AL110" s="864">
        <f t="shared" si="347"/>
        <v>0.72143974960876367</v>
      </c>
      <c r="AM110" s="863">
        <f t="shared" si="347"/>
        <v>6.083650190114076E-2</v>
      </c>
      <c r="AN110" s="863">
        <f t="shared" si="347"/>
        <v>-0.3682432432432432</v>
      </c>
      <c r="AO110" s="863">
        <f t="shared" si="347"/>
        <v>0.45373134328358211</v>
      </c>
      <c r="AP110" s="863">
        <f t="shared" si="347"/>
        <v>1.2475728155339807</v>
      </c>
      <c r="AQ110" s="864">
        <f t="shared" si="347"/>
        <v>0.28727272727272735</v>
      </c>
      <c r="AR110" s="863">
        <f t="shared" si="347"/>
        <v>1.032258064516129</v>
      </c>
      <c r="AS110" s="863">
        <f t="shared" si="347"/>
        <v>1.8074866310160429</v>
      </c>
      <c r="AT110" s="863" t="str">
        <f t="shared" si="347"/>
        <v>nm</v>
      </c>
      <c r="AU110" s="863"/>
      <c r="AV110" s="864"/>
      <c r="AW110" s="863"/>
      <c r="AX110" s="863"/>
      <c r="AY110" s="863"/>
      <c r="AZ110" s="863"/>
      <c r="BA110" s="863">
        <f t="shared" ref="BA110:CF110" si="348">IF(OR(BA33&lt;=0,AV33&lt;=0),"nm",BA33/AV33-1)</f>
        <v>-0.82826086956521738</v>
      </c>
      <c r="BB110" s="863" t="str">
        <f t="shared" si="348"/>
        <v>nm</v>
      </c>
      <c r="BC110" s="863" t="str">
        <f t="shared" si="348"/>
        <v>nm</v>
      </c>
      <c r="BD110" s="863" t="str">
        <f t="shared" si="348"/>
        <v>nm</v>
      </c>
      <c r="BE110" s="864" t="str">
        <f t="shared" si="348"/>
        <v>nm</v>
      </c>
      <c r="BF110" s="863" t="str">
        <f t="shared" si="348"/>
        <v>nm</v>
      </c>
      <c r="BG110" s="863" t="str">
        <f t="shared" si="348"/>
        <v>nm</v>
      </c>
      <c r="BH110" s="863" t="str">
        <f t="shared" si="348"/>
        <v>nm</v>
      </c>
      <c r="BI110" s="863" t="str">
        <f t="shared" si="348"/>
        <v>nm</v>
      </c>
      <c r="BJ110" s="864" t="str">
        <f t="shared" si="348"/>
        <v>nm</v>
      </c>
      <c r="BK110" s="863" t="str">
        <f t="shared" si="348"/>
        <v>nm</v>
      </c>
      <c r="BL110" s="863" t="str">
        <f t="shared" si="348"/>
        <v>nm</v>
      </c>
      <c r="BM110" s="863" t="str">
        <f t="shared" si="348"/>
        <v>nm</v>
      </c>
      <c r="BN110" s="863" t="str">
        <f t="shared" si="348"/>
        <v>nm</v>
      </c>
      <c r="BO110" s="864" t="str">
        <f t="shared" si="348"/>
        <v>nm</v>
      </c>
      <c r="BP110" s="863">
        <f t="shared" si="348"/>
        <v>2.5</v>
      </c>
      <c r="BQ110" s="863" t="str">
        <f t="shared" si="348"/>
        <v>nm</v>
      </c>
      <c r="BR110" s="863" t="str">
        <f t="shared" si="348"/>
        <v>nm</v>
      </c>
      <c r="BS110" s="863" t="str">
        <f t="shared" si="348"/>
        <v>nm</v>
      </c>
      <c r="BT110" s="864" t="str">
        <f t="shared" si="348"/>
        <v>nm</v>
      </c>
      <c r="BU110" s="863">
        <f t="shared" si="348"/>
        <v>-0.85714285714285721</v>
      </c>
      <c r="BV110" s="863" t="str">
        <f t="shared" si="348"/>
        <v>nm</v>
      </c>
      <c r="BW110" s="863" t="str">
        <f t="shared" si="348"/>
        <v>nm</v>
      </c>
      <c r="BX110" s="863" t="str">
        <f t="shared" si="348"/>
        <v>nm</v>
      </c>
      <c r="BY110" s="864" t="str">
        <f t="shared" si="348"/>
        <v>nm</v>
      </c>
      <c r="BZ110" s="863" t="str">
        <f t="shared" si="348"/>
        <v>nm</v>
      </c>
      <c r="CA110" s="863" t="str">
        <f t="shared" si="348"/>
        <v>nm</v>
      </c>
      <c r="CB110" s="863" t="str">
        <f t="shared" si="348"/>
        <v>nm</v>
      </c>
      <c r="CC110" s="863" t="str">
        <f t="shared" si="348"/>
        <v>nm</v>
      </c>
      <c r="CD110" s="864" t="str">
        <f t="shared" si="348"/>
        <v>nm</v>
      </c>
      <c r="CE110" s="863" t="str">
        <f t="shared" si="348"/>
        <v>nm</v>
      </c>
      <c r="CF110" s="863" t="str">
        <f t="shared" si="348"/>
        <v>nm</v>
      </c>
      <c r="CG110" s="863">
        <f t="shared" ref="CG110:DL110" si="349">IF(OR(CG33&lt;=0,CB33&lt;=0),"nm",CG33/CB33-1)</f>
        <v>-0.9375</v>
      </c>
      <c r="CH110" s="863" t="str">
        <f t="shared" si="349"/>
        <v>nm</v>
      </c>
      <c r="CI110" s="864">
        <f t="shared" si="349"/>
        <v>2.6071428571428572</v>
      </c>
      <c r="CJ110" s="863">
        <f t="shared" si="349"/>
        <v>-0.53266331658291455</v>
      </c>
      <c r="CK110" s="863">
        <f t="shared" si="349"/>
        <v>8.2857142857142865</v>
      </c>
      <c r="CL110" s="863" t="str">
        <f t="shared" si="349"/>
        <v>nm</v>
      </c>
      <c r="CM110" s="863" t="str">
        <f t="shared" si="349"/>
        <v>nm</v>
      </c>
      <c r="CN110" s="864">
        <f t="shared" si="349"/>
        <v>-0.21782178217821779</v>
      </c>
      <c r="CO110" s="863">
        <f t="shared" si="349"/>
        <v>0.4731182795698925</v>
      </c>
      <c r="CP110" s="863">
        <f t="shared" si="349"/>
        <v>4.6153846153846212E-2</v>
      </c>
      <c r="CQ110" s="863" t="str">
        <f t="shared" si="349"/>
        <v>nm</v>
      </c>
      <c r="CR110" s="863" t="str">
        <f t="shared" si="349"/>
        <v>nm</v>
      </c>
      <c r="CS110" s="864">
        <f t="shared" si="349"/>
        <v>3.7974683544303778E-2</v>
      </c>
      <c r="CT110" s="863">
        <f t="shared" si="349"/>
        <v>-0.21167883211678828</v>
      </c>
      <c r="CU110" s="863">
        <f t="shared" si="349"/>
        <v>0.14705882352941169</v>
      </c>
      <c r="CV110" s="863">
        <f t="shared" si="349"/>
        <v>1.4285714285714284</v>
      </c>
      <c r="CW110" s="863" t="str">
        <f t="shared" si="349"/>
        <v>nm</v>
      </c>
      <c r="CX110" s="864">
        <f t="shared" si="349"/>
        <v>1.0365853658536586</v>
      </c>
      <c r="CY110" s="863" t="str">
        <f t="shared" si="349"/>
        <v>nm</v>
      </c>
      <c r="CZ110" s="863" t="str">
        <f t="shared" si="349"/>
        <v>nm</v>
      </c>
      <c r="DA110" s="863">
        <f t="shared" si="349"/>
        <v>0.11764705882352944</v>
      </c>
      <c r="DB110" s="863" t="str">
        <f t="shared" si="349"/>
        <v>nm</v>
      </c>
      <c r="DC110" s="864" t="str">
        <f t="shared" si="349"/>
        <v>nm</v>
      </c>
      <c r="DD110" s="863" t="str">
        <f t="shared" si="349"/>
        <v>nm</v>
      </c>
      <c r="DE110" s="863" t="str">
        <f t="shared" si="349"/>
        <v>nm</v>
      </c>
      <c r="DF110" s="863">
        <f t="shared" si="349"/>
        <v>-0.98245614035087714</v>
      </c>
      <c r="DG110" s="863" t="str">
        <f t="shared" si="349"/>
        <v>nm</v>
      </c>
      <c r="DH110" s="864" t="str">
        <f t="shared" si="349"/>
        <v>nm</v>
      </c>
      <c r="DI110" s="863" t="str">
        <f t="shared" si="349"/>
        <v>nm</v>
      </c>
      <c r="DJ110" s="863" t="str">
        <f t="shared" si="349"/>
        <v>nm</v>
      </c>
      <c r="DK110" s="863">
        <f t="shared" si="349"/>
        <v>39</v>
      </c>
      <c r="DL110" s="863">
        <f t="shared" si="349"/>
        <v>-0.52482269503546097</v>
      </c>
      <c r="DM110" s="864">
        <f t="shared" ref="DM110:DS110" si="350">IF(OR(DM33&lt;=0,DH33&lt;=0),"nm",DM33/DH33-1)</f>
        <v>-2.0408163265306145E-2</v>
      </c>
      <c r="DN110" s="863">
        <f t="shared" si="350"/>
        <v>0.15384615384615374</v>
      </c>
      <c r="DO110" s="863" t="str">
        <f t="shared" si="350"/>
        <v>nm</v>
      </c>
      <c r="DP110" s="863">
        <f t="shared" si="350"/>
        <v>1.2250000000000001</v>
      </c>
      <c r="DQ110" s="863">
        <f t="shared" si="350"/>
        <v>-0.56716417910447769</v>
      </c>
      <c r="DR110" s="864">
        <f t="shared" si="350"/>
        <v>0.72222222222222232</v>
      </c>
      <c r="DS110" s="863">
        <f t="shared" si="350"/>
        <v>-0.96190476190476193</v>
      </c>
      <c r="DT110" s="863">
        <f t="shared" ref="DT110:EB110" si="351">IF(OR(DT33&lt;=0,DO33&lt;=0),"nm",DT33/DO33-1)</f>
        <v>-0.24</v>
      </c>
      <c r="DU110" s="863" t="str">
        <f t="shared" si="351"/>
        <v>nm</v>
      </c>
      <c r="DV110" s="863">
        <f t="shared" si="351"/>
        <v>6.7241379310344831</v>
      </c>
      <c r="DW110" s="864" t="str">
        <f t="shared" si="351"/>
        <v>nm</v>
      </c>
      <c r="DX110" s="863" t="str">
        <f>IF(OR(DX33&lt;=0,DS33&lt;=100),"nm",DX33/DS33-1)</f>
        <v>nm</v>
      </c>
      <c r="DY110" s="863" t="str">
        <f>IF(OR(DY33&lt;=0,DT33&lt;=100),"nm",DY33/DT33-1)</f>
        <v>nm</v>
      </c>
      <c r="DZ110" s="863" t="str">
        <f t="shared" si="351"/>
        <v>nm</v>
      </c>
      <c r="EA110" s="863">
        <f t="shared" si="351"/>
        <v>-8.6333584590029488E-2</v>
      </c>
      <c r="EB110" s="864" t="str">
        <f t="shared" si="351"/>
        <v>nm</v>
      </c>
      <c r="EC110" s="863">
        <f t="shared" ref="EC110:EL110" si="352">IF(OR(EC33&lt;=0,DX33&lt;=0),"nm",EC33/DX33-1)</f>
        <v>0.39841321636325633</v>
      </c>
      <c r="ED110" s="863">
        <f t="shared" si="352"/>
        <v>-4.2861909042045676E-3</v>
      </c>
      <c r="EE110" s="863">
        <f t="shared" si="352"/>
        <v>8.7164329969300347E-3</v>
      </c>
      <c r="EF110" s="863">
        <f t="shared" si="352"/>
        <v>0.19569464636127232</v>
      </c>
      <c r="EG110" s="864">
        <f t="shared" si="352"/>
        <v>0.13090767094274525</v>
      </c>
      <c r="EH110" s="863">
        <f t="shared" si="352"/>
        <v>8.5176571465003015E-2</v>
      </c>
      <c r="EI110" s="863">
        <f t="shared" si="352"/>
        <v>0.1531404851305358</v>
      </c>
      <c r="EJ110" s="863">
        <f t="shared" si="352"/>
        <v>0.10576732117324839</v>
      </c>
      <c r="EK110" s="863">
        <f t="shared" si="352"/>
        <v>-4.4423423667628192E-2</v>
      </c>
      <c r="EL110" s="864">
        <f t="shared" si="352"/>
        <v>7.0746647537426322E-2</v>
      </c>
      <c r="EM110" s="1"/>
      <c r="EN110"/>
      <c r="EO110"/>
      <c r="EP110"/>
      <c r="EQ110"/>
      <c r="ER110"/>
      <c r="ES110" s="7"/>
      <c r="ET110"/>
      <c r="EU110" s="7"/>
      <c r="EV110" s="7"/>
      <c r="EW110" s="7"/>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c r="HR110" s="3"/>
      <c r="HS110" s="3"/>
      <c r="HT110" s="3"/>
      <c r="HU110" s="3"/>
      <c r="HV110" s="3"/>
      <c r="HW110" s="3"/>
      <c r="HX110" s="3"/>
      <c r="HY110" s="3"/>
      <c r="HZ110" s="3"/>
      <c r="IA110" s="3"/>
      <c r="IB110" s="3"/>
      <c r="IC110" s="3"/>
      <c r="ID110" s="3"/>
      <c r="IE110" s="3"/>
      <c r="IF110" s="3"/>
      <c r="IG110" s="3"/>
      <c r="IH110" s="3"/>
      <c r="II110" s="3"/>
      <c r="IJ110" s="3"/>
      <c r="IK110" s="3"/>
      <c r="IL110" s="3"/>
      <c r="IM110" s="3"/>
      <c r="IN110" s="3"/>
      <c r="IO110" s="3"/>
      <c r="IP110" s="3"/>
      <c r="IQ110" s="3"/>
      <c r="IR110" s="3"/>
      <c r="IS110" s="3"/>
      <c r="IT110" s="3"/>
      <c r="IU110" s="3"/>
      <c r="IV110" s="3"/>
      <c r="IW110" s="3"/>
      <c r="IX110" s="3"/>
      <c r="IY110" s="3"/>
      <c r="IZ110" s="3"/>
      <c r="JA110" s="3"/>
      <c r="JB110" s="3"/>
      <c r="JC110" s="3"/>
      <c r="JD110" s="3"/>
      <c r="JE110" s="3"/>
      <c r="JF110" s="3"/>
      <c r="JG110" s="3"/>
      <c r="JH110" s="3"/>
      <c r="JI110" s="3"/>
      <c r="JJ110" s="3"/>
      <c r="JK110" s="3"/>
    </row>
    <row r="111" spans="1:271" s="11" customFormat="1" ht="12" customHeight="1">
      <c r="A111" s="801"/>
      <c r="B111" s="557" t="s">
        <v>515</v>
      </c>
      <c r="C111" s="555"/>
      <c r="D111" s="863"/>
      <c r="E111" s="863"/>
      <c r="F111" s="863"/>
      <c r="G111" s="863"/>
      <c r="H111" s="864"/>
      <c r="I111" s="863">
        <f t="shared" ref="I111:AT111" si="353">IF(OR(I49&lt;=0,D49&lt;=0),"nm",I49/D49-1)</f>
        <v>0.83344529603957396</v>
      </c>
      <c r="J111" s="863">
        <f t="shared" si="353"/>
        <v>2.7723389326839754</v>
      </c>
      <c r="K111" s="863">
        <f t="shared" si="353"/>
        <v>0.39516526887025538</v>
      </c>
      <c r="L111" s="863" t="str">
        <f t="shared" si="353"/>
        <v>nm</v>
      </c>
      <c r="M111" s="864">
        <f t="shared" si="353"/>
        <v>1.063230558993097</v>
      </c>
      <c r="N111" s="863">
        <f t="shared" si="353"/>
        <v>-0.39710376643600165</v>
      </c>
      <c r="O111" s="863">
        <f t="shared" si="353"/>
        <v>-0.57986870897155429</v>
      </c>
      <c r="P111" s="863" t="str">
        <f t="shared" si="353"/>
        <v>nm</v>
      </c>
      <c r="Q111" s="863" t="str">
        <f t="shared" si="353"/>
        <v>nm</v>
      </c>
      <c r="R111" s="864" t="str">
        <f t="shared" si="353"/>
        <v>nm</v>
      </c>
      <c r="S111" s="863">
        <f t="shared" si="353"/>
        <v>0.60220994475138356</v>
      </c>
      <c r="T111" s="863">
        <f t="shared" si="353"/>
        <v>0.79687500000000311</v>
      </c>
      <c r="U111" s="863" t="str">
        <f t="shared" si="353"/>
        <v>nm</v>
      </c>
      <c r="V111" s="863" t="str">
        <f t="shared" si="353"/>
        <v>nm</v>
      </c>
      <c r="W111" s="864" t="str">
        <f t="shared" si="353"/>
        <v>nm</v>
      </c>
      <c r="X111" s="863">
        <f t="shared" si="353"/>
        <v>0.18103448275862077</v>
      </c>
      <c r="Y111" s="863">
        <f t="shared" si="353"/>
        <v>-9.4202898550724612E-2</v>
      </c>
      <c r="Z111" s="863">
        <f t="shared" si="353"/>
        <v>-0.16216216216216217</v>
      </c>
      <c r="AA111" s="863" t="str">
        <f t="shared" si="353"/>
        <v>nm</v>
      </c>
      <c r="AB111" s="864">
        <f t="shared" si="353"/>
        <v>-4.5977011494252928E-2</v>
      </c>
      <c r="AC111" s="863">
        <f t="shared" si="353"/>
        <v>-0.20437956204379559</v>
      </c>
      <c r="AD111" s="863">
        <f t="shared" si="353"/>
        <v>8.0000000000000071E-2</v>
      </c>
      <c r="AE111" s="863">
        <f t="shared" si="353"/>
        <v>-0.69354838709677424</v>
      </c>
      <c r="AF111" s="863" t="str">
        <f t="shared" si="353"/>
        <v>nm</v>
      </c>
      <c r="AG111" s="864">
        <f t="shared" si="353"/>
        <v>0.21285140562248994</v>
      </c>
      <c r="AH111" s="863">
        <f t="shared" si="353"/>
        <v>0.41284403669724767</v>
      </c>
      <c r="AI111" s="863">
        <f t="shared" si="353"/>
        <v>0.29629629629629628</v>
      </c>
      <c r="AJ111" s="863">
        <f t="shared" si="353"/>
        <v>4.2105263157894735</v>
      </c>
      <c r="AK111" s="863">
        <f t="shared" si="353"/>
        <v>4.8</v>
      </c>
      <c r="AL111" s="864">
        <f t="shared" si="353"/>
        <v>1.129139072847682</v>
      </c>
      <c r="AM111" s="863">
        <f t="shared" si="353"/>
        <v>6.4935064935065512E-3</v>
      </c>
      <c r="AN111" s="863">
        <f t="shared" si="353"/>
        <v>-0.49142857142857144</v>
      </c>
      <c r="AO111" s="863">
        <f t="shared" si="353"/>
        <v>0.41414141414141414</v>
      </c>
      <c r="AP111" s="863">
        <f t="shared" si="353"/>
        <v>1.25</v>
      </c>
      <c r="AQ111" s="864">
        <f t="shared" si="353"/>
        <v>0.22083981337480552</v>
      </c>
      <c r="AR111" s="863">
        <f t="shared" si="353"/>
        <v>1.1806451612903226</v>
      </c>
      <c r="AS111" s="863">
        <f t="shared" si="353"/>
        <v>2.5393258426966292</v>
      </c>
      <c r="AT111" s="863" t="str">
        <f t="shared" si="353"/>
        <v>nm</v>
      </c>
      <c r="AU111" s="863"/>
      <c r="AV111" s="864"/>
      <c r="AW111" s="863"/>
      <c r="AX111" s="863"/>
      <c r="AY111" s="863"/>
      <c r="AZ111" s="863"/>
      <c r="BA111" s="863" t="str">
        <f t="shared" ref="BA111:CF111" si="354">IF(OR(BA49&lt;=0,AV49&lt;=0),"nm",BA49/AV49-1)</f>
        <v>nm</v>
      </c>
      <c r="BB111" s="863" t="str">
        <f t="shared" si="354"/>
        <v>nm</v>
      </c>
      <c r="BC111" s="863" t="str">
        <f t="shared" si="354"/>
        <v>nm</v>
      </c>
      <c r="BD111" s="863" t="str">
        <f t="shared" si="354"/>
        <v>nm</v>
      </c>
      <c r="BE111" s="864" t="str">
        <f t="shared" si="354"/>
        <v>nm</v>
      </c>
      <c r="BF111" s="863" t="str">
        <f t="shared" si="354"/>
        <v>nm</v>
      </c>
      <c r="BG111" s="863" t="str">
        <f t="shared" si="354"/>
        <v>nm</v>
      </c>
      <c r="BH111" s="863" t="str">
        <f t="shared" si="354"/>
        <v>nm</v>
      </c>
      <c r="BI111" s="863" t="str">
        <f t="shared" si="354"/>
        <v>nm</v>
      </c>
      <c r="BJ111" s="864" t="str">
        <f t="shared" si="354"/>
        <v>nm</v>
      </c>
      <c r="BK111" s="863" t="str">
        <f t="shared" si="354"/>
        <v>nm</v>
      </c>
      <c r="BL111" s="863" t="str">
        <f t="shared" si="354"/>
        <v>nm</v>
      </c>
      <c r="BM111" s="863" t="str">
        <f t="shared" si="354"/>
        <v>nm</v>
      </c>
      <c r="BN111" s="863" t="str">
        <f t="shared" si="354"/>
        <v>nm</v>
      </c>
      <c r="BO111" s="864" t="str">
        <f t="shared" si="354"/>
        <v>nm</v>
      </c>
      <c r="BP111" s="863" t="str">
        <f t="shared" si="354"/>
        <v>nm</v>
      </c>
      <c r="BQ111" s="863" t="str">
        <f t="shared" si="354"/>
        <v>nm</v>
      </c>
      <c r="BR111" s="863" t="str">
        <f t="shared" si="354"/>
        <v>nm</v>
      </c>
      <c r="BS111" s="863" t="str">
        <f t="shared" si="354"/>
        <v>nm</v>
      </c>
      <c r="BT111" s="864" t="str">
        <f t="shared" si="354"/>
        <v>nm</v>
      </c>
      <c r="BU111" s="863">
        <f t="shared" si="354"/>
        <v>7.1428571428571397E-2</v>
      </c>
      <c r="BV111" s="863" t="str">
        <f t="shared" si="354"/>
        <v>nm</v>
      </c>
      <c r="BW111" s="863" t="str">
        <f t="shared" si="354"/>
        <v>nm</v>
      </c>
      <c r="BX111" s="863" t="str">
        <f t="shared" si="354"/>
        <v>nm</v>
      </c>
      <c r="BY111" s="864" t="str">
        <f t="shared" si="354"/>
        <v>nm</v>
      </c>
      <c r="BZ111" s="863" t="str">
        <f t="shared" si="354"/>
        <v>nm</v>
      </c>
      <c r="CA111" s="863" t="str">
        <f t="shared" si="354"/>
        <v>nm</v>
      </c>
      <c r="CB111" s="863" t="str">
        <f t="shared" si="354"/>
        <v>nm</v>
      </c>
      <c r="CC111" s="863" t="str">
        <f t="shared" si="354"/>
        <v>nm</v>
      </c>
      <c r="CD111" s="864" t="str">
        <f t="shared" si="354"/>
        <v>nm</v>
      </c>
      <c r="CE111" s="863" t="str">
        <f t="shared" si="354"/>
        <v>nm</v>
      </c>
      <c r="CF111" s="863" t="str">
        <f t="shared" si="354"/>
        <v>nm</v>
      </c>
      <c r="CG111" s="863" t="str">
        <f t="shared" ref="CG111:DL111" si="355">IF(OR(CG49&lt;=0,CB49&lt;=0),"nm",CG49/CB49-1)</f>
        <v>nm</v>
      </c>
      <c r="CH111" s="863" t="str">
        <f t="shared" si="355"/>
        <v>nm</v>
      </c>
      <c r="CI111" s="864">
        <f t="shared" si="355"/>
        <v>6.48</v>
      </c>
      <c r="CJ111" s="863">
        <f t="shared" si="355"/>
        <v>-0.4719101123595506</v>
      </c>
      <c r="CK111" s="863" t="str">
        <f t="shared" si="355"/>
        <v>nm</v>
      </c>
      <c r="CL111" s="863" t="str">
        <f t="shared" si="355"/>
        <v>nm</v>
      </c>
      <c r="CM111" s="863">
        <f t="shared" si="355"/>
        <v>2.8095238095238093</v>
      </c>
      <c r="CN111" s="864">
        <f t="shared" si="355"/>
        <v>5.1122994652406417</v>
      </c>
      <c r="CO111" s="863">
        <f t="shared" si="355"/>
        <v>-0.14893617021276595</v>
      </c>
      <c r="CP111" s="863">
        <f t="shared" si="355"/>
        <v>0.29032258064516125</v>
      </c>
      <c r="CQ111" s="863">
        <f t="shared" si="355"/>
        <v>-0.99147121535181237</v>
      </c>
      <c r="CR111" s="863" t="str">
        <f t="shared" si="355"/>
        <v>nm</v>
      </c>
      <c r="CS111" s="864">
        <f t="shared" si="355"/>
        <v>-0.94050743657042868</v>
      </c>
      <c r="CT111" s="863">
        <f t="shared" si="355"/>
        <v>-0.28749999999999998</v>
      </c>
      <c r="CU111" s="863">
        <f t="shared" si="355"/>
        <v>5.0000000000000044E-2</v>
      </c>
      <c r="CV111" s="863">
        <f t="shared" si="355"/>
        <v>2.75</v>
      </c>
      <c r="CW111" s="863" t="str">
        <f t="shared" si="355"/>
        <v>nm</v>
      </c>
      <c r="CX111" s="864">
        <f t="shared" si="355"/>
        <v>1.7352941176470589</v>
      </c>
      <c r="CY111" s="863">
        <f t="shared" si="355"/>
        <v>-0.40350877192982459</v>
      </c>
      <c r="CZ111" s="863">
        <f t="shared" si="355"/>
        <v>0.63095238095238093</v>
      </c>
      <c r="DA111" s="863">
        <f t="shared" si="355"/>
        <v>0.53333333333333344</v>
      </c>
      <c r="DB111" s="863">
        <f t="shared" si="355"/>
        <v>-0.24561403508771928</v>
      </c>
      <c r="DC111" s="864">
        <f t="shared" si="355"/>
        <v>2.9569892473118253E-2</v>
      </c>
      <c r="DD111" s="863" t="str">
        <f t="shared" si="355"/>
        <v>nm</v>
      </c>
      <c r="DE111" s="863">
        <f t="shared" si="355"/>
        <v>-0.75182481751824815</v>
      </c>
      <c r="DF111" s="863">
        <f t="shared" si="355"/>
        <v>-0.80434782608695654</v>
      </c>
      <c r="DG111" s="863">
        <f t="shared" ca="1" si="355"/>
        <v>0.41860465116279078</v>
      </c>
      <c r="DH111" s="864">
        <f t="shared" ca="1" si="355"/>
        <v>-0.60835509138381205</v>
      </c>
      <c r="DI111" s="863" t="str">
        <f t="shared" si="355"/>
        <v>nm</v>
      </c>
      <c r="DJ111" s="863" t="str">
        <f t="shared" si="355"/>
        <v>nm</v>
      </c>
      <c r="DK111" s="863" t="str">
        <f t="shared" si="355"/>
        <v>nm</v>
      </c>
      <c r="DL111" s="863" t="str">
        <f t="shared" ca="1" si="355"/>
        <v>nm</v>
      </c>
      <c r="DM111" s="864" t="str">
        <f t="shared" ref="DM111:DS111" ca="1" si="356">IF(OR(DM49&lt;=0,DH49&lt;=0),"nm",DM49/DH49-1)</f>
        <v>nm</v>
      </c>
      <c r="DN111" s="863" t="str">
        <f t="shared" si="356"/>
        <v>nm</v>
      </c>
      <c r="DO111" s="863" t="str">
        <f t="shared" si="356"/>
        <v>nm</v>
      </c>
      <c r="DP111" s="863" t="str">
        <f t="shared" si="356"/>
        <v>nm</v>
      </c>
      <c r="DQ111" s="863" t="str">
        <f t="shared" si="356"/>
        <v>nm</v>
      </c>
      <c r="DR111" s="864" t="str">
        <f t="shared" si="356"/>
        <v>nm</v>
      </c>
      <c r="DS111" s="863" t="str">
        <f t="shared" si="356"/>
        <v>nm</v>
      </c>
      <c r="DT111" s="863" t="str">
        <f t="shared" ref="DT111:EB111" si="357">IF(OR(DT49&lt;=0,DO49&lt;=0),"nm",DT49/DO49-1)</f>
        <v>nm</v>
      </c>
      <c r="DU111" s="863" t="str">
        <f t="shared" si="357"/>
        <v>nm</v>
      </c>
      <c r="DV111" s="863" t="str">
        <f t="shared" si="357"/>
        <v>nm</v>
      </c>
      <c r="DW111" s="864" t="str">
        <f t="shared" si="357"/>
        <v>nm</v>
      </c>
      <c r="DX111" s="863" t="str">
        <f t="shared" si="357"/>
        <v>nm</v>
      </c>
      <c r="DY111" s="863" t="str">
        <f t="shared" si="357"/>
        <v>nm</v>
      </c>
      <c r="DZ111" s="863" t="str">
        <f t="shared" si="357"/>
        <v>nm</v>
      </c>
      <c r="EA111" s="863" t="str">
        <f t="shared" si="357"/>
        <v>nm</v>
      </c>
      <c r="EB111" s="864" t="str">
        <f t="shared" si="357"/>
        <v>nm</v>
      </c>
      <c r="EC111" s="863">
        <f t="shared" ref="EC111:EL111" si="358">IF(OR(EC49&lt;=0,DX49&lt;=0),"nm",EC49/DX49-1)</f>
        <v>1.2549793361267567</v>
      </c>
      <c r="ED111" s="863">
        <f t="shared" si="358"/>
        <v>-0.2584850240387736</v>
      </c>
      <c r="EE111" s="863">
        <f t="shared" si="358"/>
        <v>-0.14454665710380754</v>
      </c>
      <c r="EF111" s="863">
        <f t="shared" si="358"/>
        <v>2.1504183589996004</v>
      </c>
      <c r="EG111" s="864">
        <f t="shared" si="358"/>
        <v>0.24415446048703338</v>
      </c>
      <c r="EH111" s="863">
        <f t="shared" si="358"/>
        <v>8.7193444461112657E-2</v>
      </c>
      <c r="EI111" s="863">
        <f t="shared" si="358"/>
        <v>0.32743578158797826</v>
      </c>
      <c r="EJ111" s="863">
        <f t="shared" si="358"/>
        <v>0.16033539819563658</v>
      </c>
      <c r="EK111" s="863">
        <f t="shared" si="358"/>
        <v>-0.35409676989380456</v>
      </c>
      <c r="EL111" s="864">
        <f t="shared" si="358"/>
        <v>5.2693974956741219E-2</v>
      </c>
      <c r="EM111" s="1"/>
      <c r="EN111"/>
      <c r="EO111"/>
      <c r="EP111"/>
      <c r="EQ111"/>
      <c r="ER111"/>
      <c r="ES111" s="7"/>
      <c r="ET111"/>
      <c r="EU111" s="7"/>
      <c r="EV111" s="7"/>
      <c r="EW111" s="7"/>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c r="HR111" s="3"/>
      <c r="HS111" s="3"/>
      <c r="HT111" s="3"/>
      <c r="HU111" s="3"/>
      <c r="HV111" s="3"/>
      <c r="HW111" s="3"/>
      <c r="HX111" s="3"/>
      <c r="HY111" s="3"/>
      <c r="HZ111" s="3"/>
      <c r="IA111" s="3"/>
      <c r="IB111" s="3"/>
      <c r="IC111" s="3"/>
      <c r="ID111" s="3"/>
      <c r="IE111" s="3"/>
      <c r="IF111" s="3"/>
      <c r="IG111" s="3"/>
      <c r="IH111" s="3"/>
      <c r="II111" s="3"/>
      <c r="IJ111" s="3"/>
      <c r="IK111" s="3"/>
      <c r="IL111" s="3"/>
      <c r="IM111" s="3"/>
      <c r="IN111" s="3"/>
      <c r="IO111" s="3"/>
      <c r="IP111" s="3"/>
      <c r="IQ111" s="3"/>
      <c r="IR111" s="3"/>
      <c r="IS111" s="3"/>
      <c r="IT111" s="3"/>
      <c r="IU111" s="3"/>
      <c r="IV111" s="3"/>
      <c r="IW111" s="3"/>
      <c r="IX111" s="3"/>
      <c r="IY111" s="3"/>
      <c r="IZ111" s="3"/>
      <c r="JA111" s="3"/>
      <c r="JB111" s="3"/>
      <c r="JC111" s="3"/>
      <c r="JD111" s="3"/>
      <c r="JE111" s="3"/>
      <c r="JF111" s="3"/>
      <c r="JG111" s="3"/>
      <c r="JH111" s="3"/>
      <c r="JI111" s="3"/>
      <c r="JJ111" s="3"/>
      <c r="JK111" s="3"/>
    </row>
    <row r="112" spans="1:271" s="11" customFormat="1" ht="12" customHeight="1">
      <c r="A112" s="801"/>
      <c r="B112" s="557" t="s">
        <v>520</v>
      </c>
      <c r="C112" s="555"/>
      <c r="D112" s="863"/>
      <c r="E112" s="863"/>
      <c r="F112" s="863"/>
      <c r="G112" s="863"/>
      <c r="H112" s="864"/>
      <c r="I112" s="863">
        <f>IF(OR(I65&lt;=0,D65&lt;=0),"nm",I65/D65-1)</f>
        <v>0.54216346810461813</v>
      </c>
      <c r="J112" s="863">
        <f>IF(OR(J65&lt;=0,E65&lt;=0),"nm",J65/E65-1)</f>
        <v>2.3341654806524872</v>
      </c>
      <c r="K112" s="863">
        <f>IF(OR(K65&lt;=0,F65&lt;=0),"nm",K65/F65-1)</f>
        <v>0.20749815763497015</v>
      </c>
      <c r="L112" s="863">
        <f>IF(ISERROR(IF(OR(L65&lt;=0,G65&lt;=0),"nm",L65/G65-1)),"nm",IF(OR(L65&lt;=0,G65&lt;=0),"nm",L65/G65-1))</f>
        <v>-0.83576862697743126</v>
      </c>
      <c r="M112" s="864">
        <f>IF(ISERROR(IF(OR(M65&lt;=0,H65&lt;=0),"nm",M65/H65-1)),"nm",IF(OR(M65&lt;=0,H65&lt;=0),"nm",M65/H65-1))</f>
        <v>0.89122158239125238</v>
      </c>
      <c r="N112" s="863">
        <f>IF(OR(N65&lt;=0,I65&lt;=0),"nm",N65/I65-1)</f>
        <v>-0.39859498581362141</v>
      </c>
      <c r="O112" s="863">
        <f>IF(OR(O65&lt;=0,J65&lt;=0),"nm",O65/J65-1)</f>
        <v>-0.58840959587254005</v>
      </c>
      <c r="P112" s="863" t="str">
        <f>IF(OR(P65&lt;=0,K65&lt;=0),"nm",P65/K65-1)</f>
        <v>nm</v>
      </c>
      <c r="Q112" s="863" t="str">
        <f>IF(ISERROR(IF(OR(Q65&lt;=0,L65&lt;=0),"nm",Q65/L65-1)),"nm",IF(OR(Q65&lt;=0,L65&lt;=0),"nm",Q65/L65-1))</f>
        <v>nm</v>
      </c>
      <c r="R112" s="864" t="str">
        <f>IF(OR(R65&lt;=0,M65&lt;=0),"nm",R65/M65-1)</f>
        <v>nm</v>
      </c>
      <c r="S112" s="863">
        <f>IF(OR(S65&lt;=0,N65&lt;=0),"nm",S65/N65-1)</f>
        <v>0.13519482338264277</v>
      </c>
      <c r="T112" s="863">
        <f>IF(OR(T65&lt;=0,O65&lt;=0),"nm",T65/O65-1)</f>
        <v>0.27355380486277503</v>
      </c>
      <c r="U112" s="863" t="str">
        <f>IF(OR(U65&lt;=0,P65&lt;=0),"nm",U65/P65-1)</f>
        <v>nm</v>
      </c>
      <c r="V112" s="863" t="str">
        <f>IF(ISERROR(IF(OR(V65&lt;=0,Q65&lt;=0),"nm",V65/Q65-1)),"nm",IF(OR(V65&lt;=0,Q65&lt;=0),"nm",V65/Q65-1))</f>
        <v>nm</v>
      </c>
      <c r="W112" s="864" t="str">
        <f>IF(OR(W65&lt;=0,R65&lt;=0),"nm",W65/R65-1)</f>
        <v>nm</v>
      </c>
      <c r="X112" s="863">
        <f>IF(OR(X65&lt;=0,S65&lt;=0),"nm",X65/S65-1)</f>
        <v>0.16723475572720048</v>
      </c>
      <c r="Y112" s="863">
        <f>IF(OR(Y65&lt;=0,T65&lt;=0),"nm",Y65/T65-1)</f>
        <v>-0.10167582922985763</v>
      </c>
      <c r="Z112" s="863">
        <f>IF(OR(Z65&lt;=0,U65&lt;=0),"nm",Z65/U65-1)</f>
        <v>-0.1625075298180797</v>
      </c>
      <c r="AA112" s="863" t="str">
        <f>IF(ISERROR(IF(OR(AA65&lt;=0,V65&lt;=0),"nm",AA65/V65-1)),"nm",IF(OR(AA65&lt;=0,V65&lt;=0),"nm",AA65/V65-1))</f>
        <v>nm</v>
      </c>
      <c r="AB112" s="864">
        <f>IF(OR(AB65&lt;=0,W65&lt;=0),"nm",AB65/W65-1)</f>
        <v>-4.9852332230877705E-2</v>
      </c>
      <c r="AC112" s="863">
        <f>IF(OR(AC65&lt;=0,X65&lt;=0),"nm",AC65/X65-1)</f>
        <v>-6.4377984851120118E-2</v>
      </c>
      <c r="AD112" s="863">
        <f>IF(OR(AD65&lt;=0,Y65&lt;=0),"nm",AD65/Y65-1)</f>
        <v>8.0654034327240387E-2</v>
      </c>
      <c r="AE112" s="863">
        <f>IF(OR(AE65&lt;=0,Z65&lt;=0),"nm",AE65/Z65-1)</f>
        <v>-0.69638521032453327</v>
      </c>
      <c r="AF112" s="863" t="str">
        <f>IF(ISERROR(IF(OR(AF65&lt;=0,AA65&lt;=0),"nm",AF65/AA65-1)),"nm",IF(OR(AF65&lt;=0,AA65&lt;=0),"nm",AF65/AA65-1))</f>
        <v>nm</v>
      </c>
      <c r="AG112" s="864">
        <f>IF(OR(AG65&lt;=0,AB65&lt;=0),"nm",AG65/AB65-1)</f>
        <v>0.35881920533606904</v>
      </c>
      <c r="AH112" s="863">
        <f>IF(OR(AH65&lt;=0,AC65&lt;=0),"nm",AH65/AC65-1)</f>
        <v>0.17859538754562254</v>
      </c>
      <c r="AI112" s="863">
        <f>IF(OR(AI65&lt;=0,AD65&lt;=0),"nm",AI65/AD65-1)</f>
        <v>0.24861534382113026</v>
      </c>
      <c r="AJ112" s="863">
        <f>IF(OR(AJ65&lt;=0,AE65&lt;=0),"nm",AJ65/AE65-1)</f>
        <v>3.985592320495897</v>
      </c>
      <c r="AK112" s="863">
        <f>IF(ISERROR(IF(OR(AK65&lt;=0,AF65&lt;=0),"nm",AK65/AF65-1)),"nm",IF(OR(AK65&lt;=0,AF65&lt;=0),"nm",AK65/AF65-1))</f>
        <v>1.9448123620309055</v>
      </c>
      <c r="AL112" s="864">
        <f>IF(OR(AL65&lt;=0,AG65&lt;=0),"nm",AL65/AG65-1)</f>
        <v>0.82045505381200745</v>
      </c>
      <c r="AM112" s="863">
        <f>IF(OR(AM65&lt;=0,AH65&lt;=0),"nm",AM65/AH65-1)</f>
        <v>-4.1071583845337267E-2</v>
      </c>
      <c r="AN112" s="863">
        <f>IF(OR(AN65&lt;=0,AI65&lt;=0),"nm",AN65/AI65-1)</f>
        <v>-0.50579827044139081</v>
      </c>
      <c r="AO112" s="863">
        <f>IF(OR(AO65&lt;=0,AJ65&lt;=0),"nm",AO65/AJ65-1)</f>
        <v>0.39303822689823575</v>
      </c>
      <c r="AP112" s="863">
        <f>IF(ISERROR(IF(OR(AP65&lt;=0,AK65&lt;=0),"nm",AP65/AK65-1)),"nm",IF(OR(AP65&lt;=0,AK65&lt;=0),"nm",AP65/AK65-1))</f>
        <v>1.2088581877285653</v>
      </c>
      <c r="AQ112" s="864">
        <f>IF(OR(AQ65&lt;=0,AL65&lt;=0),"nm",AQ65/AL65-1)</f>
        <v>0.19129344050752062</v>
      </c>
      <c r="AR112" s="863">
        <f>IF(OR(AR65&lt;=0,AM65&lt;=0),"nm",AR65/AM65-1)</f>
        <v>1.1951463410716592</v>
      </c>
      <c r="AS112" s="863">
        <f>IF(OR(AS65&lt;=0,AN65&lt;=0),"nm",AS65/AN65-1)</f>
        <v>2.6095687656899602</v>
      </c>
      <c r="AT112" s="863" t="str">
        <f>IF(OR(AT65&lt;=0,AO65&lt;=0),"nm",AT65/AO65-1)</f>
        <v>nm</v>
      </c>
      <c r="AU112" s="863"/>
      <c r="AV112" s="864"/>
      <c r="AW112" s="863"/>
      <c r="AX112" s="863"/>
      <c r="AY112" s="863"/>
      <c r="AZ112" s="863"/>
      <c r="BA112" s="863">
        <f t="shared" ref="BA112:CV112" si="359">IF(OR(BA65&lt;=0,AV65&lt;=0),"nm",BA65/AV65-1)</f>
        <v>-0.93891138906278615</v>
      </c>
      <c r="BB112" s="863" t="str">
        <f t="shared" si="359"/>
        <v>nm</v>
      </c>
      <c r="BC112" s="863" t="str">
        <f t="shared" si="359"/>
        <v>nm</v>
      </c>
      <c r="BD112" s="863" t="str">
        <f t="shared" si="359"/>
        <v>nm</v>
      </c>
      <c r="BE112" s="864" t="str">
        <f t="shared" si="359"/>
        <v>nm</v>
      </c>
      <c r="BF112" s="863" t="str">
        <f t="shared" si="359"/>
        <v>nm</v>
      </c>
      <c r="BG112" s="863" t="str">
        <f t="shared" si="359"/>
        <v>nm</v>
      </c>
      <c r="BH112" s="863" t="str">
        <f t="shared" si="359"/>
        <v>nm</v>
      </c>
      <c r="BI112" s="863" t="str">
        <f t="shared" si="359"/>
        <v>nm</v>
      </c>
      <c r="BJ112" s="864" t="str">
        <f t="shared" si="359"/>
        <v>nm</v>
      </c>
      <c r="BK112" s="863" t="str">
        <f t="shared" si="359"/>
        <v>nm</v>
      </c>
      <c r="BL112" s="863" t="str">
        <f t="shared" si="359"/>
        <v>nm</v>
      </c>
      <c r="BM112" s="863" t="str">
        <f t="shared" si="359"/>
        <v>nm</v>
      </c>
      <c r="BN112" s="863" t="str">
        <f t="shared" si="359"/>
        <v>nm</v>
      </c>
      <c r="BO112" s="864" t="str">
        <f t="shared" si="359"/>
        <v>nm</v>
      </c>
      <c r="BP112" s="863">
        <f t="shared" si="359"/>
        <v>-0.25286460822738432</v>
      </c>
      <c r="BQ112" s="863" t="str">
        <f t="shared" si="359"/>
        <v>nm</v>
      </c>
      <c r="BR112" s="863" t="str">
        <f t="shared" si="359"/>
        <v>nm</v>
      </c>
      <c r="BS112" s="863" t="str">
        <f t="shared" si="359"/>
        <v>nm</v>
      </c>
      <c r="BT112" s="864" t="str">
        <f t="shared" si="359"/>
        <v>nm</v>
      </c>
      <c r="BU112" s="863">
        <f t="shared" si="359"/>
        <v>5.1531921083811554</v>
      </c>
      <c r="BV112" s="863" t="str">
        <f t="shared" si="359"/>
        <v>nm</v>
      </c>
      <c r="BW112" s="863" t="str">
        <f t="shared" si="359"/>
        <v>nm</v>
      </c>
      <c r="BX112" s="863" t="str">
        <f t="shared" si="359"/>
        <v>nm</v>
      </c>
      <c r="BY112" s="864" t="str">
        <f t="shared" si="359"/>
        <v>nm</v>
      </c>
      <c r="BZ112" s="863" t="str">
        <f t="shared" si="359"/>
        <v>nm</v>
      </c>
      <c r="CA112" s="863" t="str">
        <f t="shared" si="359"/>
        <v>nm</v>
      </c>
      <c r="CB112" s="863" t="str">
        <f t="shared" si="359"/>
        <v>nm</v>
      </c>
      <c r="CC112" s="863" t="str">
        <f t="shared" si="359"/>
        <v>nm</v>
      </c>
      <c r="CD112" s="864" t="str">
        <f t="shared" si="359"/>
        <v>nm</v>
      </c>
      <c r="CE112" s="863" t="str">
        <f t="shared" si="359"/>
        <v>nm</v>
      </c>
      <c r="CF112" s="863" t="str">
        <f t="shared" si="359"/>
        <v>nm</v>
      </c>
      <c r="CG112" s="863">
        <f t="shared" si="359"/>
        <v>-0.98306531682037146</v>
      </c>
      <c r="CH112" s="863" t="str">
        <f t="shared" si="359"/>
        <v>nm</v>
      </c>
      <c r="CI112" s="864">
        <f t="shared" si="359"/>
        <v>1.6291658929276642</v>
      </c>
      <c r="CJ112" s="863">
        <f t="shared" si="359"/>
        <v>-0.62344635119245828</v>
      </c>
      <c r="CK112" s="863">
        <f t="shared" si="359"/>
        <v>16.001864494805481</v>
      </c>
      <c r="CL112" s="863">
        <f t="shared" si="359"/>
        <v>413.58809323926056</v>
      </c>
      <c r="CM112" s="863">
        <f t="shared" si="359"/>
        <v>1.8952027954107429</v>
      </c>
      <c r="CN112" s="864">
        <f t="shared" si="359"/>
        <v>3.7709335957649017</v>
      </c>
      <c r="CO112" s="863">
        <f t="shared" si="359"/>
        <v>-4.6296779688213108E-2</v>
      </c>
      <c r="CP112" s="863">
        <f t="shared" si="359"/>
        <v>0.14013696190498881</v>
      </c>
      <c r="CQ112" s="863">
        <f t="shared" si="359"/>
        <v>-0.99006356196624368</v>
      </c>
      <c r="CR112" s="863" t="str">
        <f t="shared" si="359"/>
        <v>nm</v>
      </c>
      <c r="CS112" s="864">
        <f t="shared" si="359"/>
        <v>-0.92869817577125813</v>
      </c>
      <c r="CT112" s="863">
        <f t="shared" si="359"/>
        <v>-0.16949085121258545</v>
      </c>
      <c r="CU112" s="863">
        <f t="shared" si="359"/>
        <v>0.23667408605871287</v>
      </c>
      <c r="CV112" s="863">
        <f t="shared" si="359"/>
        <v>3.2251493323144871</v>
      </c>
      <c r="CW112" s="863" t="str">
        <f t="shared" ref="CW112:DS112" si="360">IF(OR(CW61&lt;=0,CR61&lt;=0),"nm",CW61/CR61-1)</f>
        <v>nm</v>
      </c>
      <c r="CX112" s="864">
        <f t="shared" si="360"/>
        <v>1.7070941312893853</v>
      </c>
      <c r="CY112" s="863" t="str">
        <f t="shared" si="360"/>
        <v>nm</v>
      </c>
      <c r="CZ112" s="863" t="str">
        <f t="shared" si="360"/>
        <v>nm</v>
      </c>
      <c r="DA112" s="863">
        <f t="shared" si="360"/>
        <v>-0.27139517740402319</v>
      </c>
      <c r="DB112" s="863" t="str">
        <f t="shared" si="360"/>
        <v>nm</v>
      </c>
      <c r="DC112" s="864" t="str">
        <f t="shared" si="360"/>
        <v>nm</v>
      </c>
      <c r="DD112" s="863" t="str">
        <f t="shared" si="360"/>
        <v>nm</v>
      </c>
      <c r="DE112" s="863" t="str">
        <f t="shared" si="360"/>
        <v>nm</v>
      </c>
      <c r="DF112" s="863">
        <f t="shared" si="360"/>
        <v>-0.6716540548803791</v>
      </c>
      <c r="DG112" s="863" t="str">
        <f t="shared" si="360"/>
        <v>nm</v>
      </c>
      <c r="DH112" s="864" t="str">
        <f t="shared" si="360"/>
        <v>nm</v>
      </c>
      <c r="DI112" s="863" t="str">
        <f t="shared" si="360"/>
        <v>nm</v>
      </c>
      <c r="DJ112" s="863" t="str">
        <f t="shared" si="360"/>
        <v>nm</v>
      </c>
      <c r="DK112" s="863" t="str">
        <f t="shared" si="360"/>
        <v>nm</v>
      </c>
      <c r="DL112" s="863" t="str">
        <f t="shared" si="360"/>
        <v>nm</v>
      </c>
      <c r="DM112" s="864" t="str">
        <f t="shared" si="360"/>
        <v>nm</v>
      </c>
      <c r="DN112" s="863" t="str">
        <f t="shared" si="360"/>
        <v>nm</v>
      </c>
      <c r="DO112" s="863" t="str">
        <f t="shared" si="360"/>
        <v>nm</v>
      </c>
      <c r="DP112" s="863" t="str">
        <f t="shared" si="360"/>
        <v>nm</v>
      </c>
      <c r="DQ112" s="863" t="str">
        <f t="shared" si="360"/>
        <v>nm</v>
      </c>
      <c r="DR112" s="864" t="str">
        <f t="shared" si="360"/>
        <v>nm</v>
      </c>
      <c r="DS112" s="863" t="str">
        <f t="shared" si="360"/>
        <v>nm</v>
      </c>
      <c r="DT112" s="863" t="str">
        <f t="shared" ref="DT112:EB112" si="361">IF(OR(DT61&lt;=0,DO61&lt;=0),"nm",DT61/DO61-1)</f>
        <v>nm</v>
      </c>
      <c r="DU112" s="863" t="str">
        <f t="shared" si="361"/>
        <v>nm</v>
      </c>
      <c r="DV112" s="863" t="str">
        <f t="shared" si="361"/>
        <v>nm</v>
      </c>
      <c r="DW112" s="864" t="str">
        <f t="shared" si="361"/>
        <v>nm</v>
      </c>
      <c r="DX112" s="863" t="str">
        <f t="shared" si="361"/>
        <v>nm</v>
      </c>
      <c r="DY112" s="863" t="str">
        <f t="shared" si="361"/>
        <v>nm</v>
      </c>
      <c r="DZ112" s="863" t="str">
        <f t="shared" si="361"/>
        <v>nm</v>
      </c>
      <c r="EA112" s="863" t="str">
        <f t="shared" si="361"/>
        <v>nm</v>
      </c>
      <c r="EB112" s="864" t="str">
        <f t="shared" si="361"/>
        <v>nm</v>
      </c>
      <c r="EC112" s="863">
        <f t="shared" ref="EC112:EL112" si="362">IF(OR(EC61&lt;=0,DX61&lt;=0),"nm",EC61/DX61-1)</f>
        <v>1.2951783173117097</v>
      </c>
      <c r="ED112" s="863">
        <f t="shared" si="362"/>
        <v>-0.24526621263350989</v>
      </c>
      <c r="EE112" s="863">
        <f t="shared" si="362"/>
        <v>-0.12929669348562389</v>
      </c>
      <c r="EF112" s="863">
        <f t="shared" si="362"/>
        <v>2.2065801190251642</v>
      </c>
      <c r="EG112" s="864">
        <f t="shared" si="362"/>
        <v>0.26633370663223288</v>
      </c>
      <c r="EH112" s="863">
        <f t="shared" si="362"/>
        <v>8.7193444461112657E-2</v>
      </c>
      <c r="EI112" s="863">
        <f t="shared" si="362"/>
        <v>0.32743578158797826</v>
      </c>
      <c r="EJ112" s="863">
        <f t="shared" si="362"/>
        <v>0.16033539819563658</v>
      </c>
      <c r="EK112" s="863">
        <f t="shared" si="362"/>
        <v>-0.35409676989380445</v>
      </c>
      <c r="EL112" s="864">
        <f t="shared" si="362"/>
        <v>5.2693974956741219E-2</v>
      </c>
      <c r="EM112" s="1"/>
      <c r="EN112"/>
      <c r="EO112"/>
      <c r="EP112"/>
      <c r="EQ112"/>
      <c r="ER112"/>
      <c r="ES112" s="7"/>
      <c r="ET112"/>
      <c r="EU112" s="7"/>
      <c r="EV112" s="7"/>
      <c r="EW112" s="7"/>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c r="HR112" s="3"/>
      <c r="HS112" s="3"/>
      <c r="HT112" s="3"/>
      <c r="HU112" s="3"/>
      <c r="HV112" s="3"/>
      <c r="HW112" s="3"/>
      <c r="HX112" s="3"/>
      <c r="HY112" s="3"/>
      <c r="HZ112" s="3"/>
      <c r="IA112" s="3"/>
      <c r="IB112" s="3"/>
      <c r="IC112" s="3"/>
      <c r="ID112" s="3"/>
      <c r="IE112" s="3"/>
      <c r="IF112" s="3"/>
      <c r="IG112" s="3"/>
      <c r="IH112" s="3"/>
      <c r="II112" s="3"/>
      <c r="IJ112" s="3"/>
      <c r="IK112" s="3"/>
      <c r="IL112" s="3"/>
      <c r="IM112" s="3"/>
      <c r="IN112" s="3"/>
      <c r="IO112" s="3"/>
      <c r="IP112" s="3"/>
      <c r="IQ112" s="3"/>
      <c r="IR112" s="3"/>
      <c r="IS112" s="3"/>
      <c r="IT112" s="3"/>
      <c r="IU112" s="3"/>
      <c r="IV112" s="3"/>
      <c r="IW112" s="3"/>
      <c r="IX112" s="3"/>
      <c r="IY112" s="3"/>
      <c r="IZ112" s="3"/>
      <c r="JA112" s="3"/>
      <c r="JB112" s="3"/>
      <c r="JC112" s="3"/>
      <c r="JD112" s="3"/>
      <c r="JE112" s="3"/>
      <c r="JF112" s="3"/>
      <c r="JG112" s="3"/>
      <c r="JH112" s="3"/>
      <c r="JI112" s="3"/>
      <c r="JJ112" s="3"/>
      <c r="JK112" s="3"/>
    </row>
    <row r="113" spans="1:271" s="11" customFormat="1" ht="12" customHeight="1">
      <c r="A113" s="818"/>
      <c r="B113" s="556" t="s">
        <v>521</v>
      </c>
      <c r="C113" s="556"/>
      <c r="D113" s="874"/>
      <c r="E113" s="874"/>
      <c r="F113" s="874"/>
      <c r="G113" s="874"/>
      <c r="H113" s="875"/>
      <c r="I113" s="874">
        <f>IF(OR(I63&lt;=0,D63&lt;=0),"nm",I63/D63-1)</f>
        <v>0.20780227372402926</v>
      </c>
      <c r="J113" s="874">
        <f>IF(OR(J63&lt;=0,E63&lt;=0),"nm",J63/E63-1)</f>
        <v>0.20315039395735712</v>
      </c>
      <c r="K113" s="874">
        <f>IF(OR(K63&lt;=0,F63&lt;=0),"nm",K63/F63-1)</f>
        <v>0.20749815763497015</v>
      </c>
      <c r="L113" s="874">
        <f>IF(ISERROR(IF(OR(L63&lt;=0,G63&lt;=0),"nm",L63/G63-1)),"nm",IF(OR(L63&lt;=0,G63&lt;=0),"nm",L63/G63-1))</f>
        <v>-0.10660786977264969</v>
      </c>
      <c r="M113" s="875">
        <f>IF(ISERROR(IF(OR(M63&lt;=0,H63&lt;=0),"nm",M63/H63-1)),"nm",IF(OR(M63&lt;=0,H63&lt;=0),"nm",M63/H63-1))</f>
        <v>0.18712424514399117</v>
      </c>
      <c r="N113" s="874">
        <f>IF(OR(N63&lt;=0,I63&lt;=0),"nm",N63/I63-1)</f>
        <v>0.22950706461120252</v>
      </c>
      <c r="O113" s="874">
        <f>IF(OR(O63&lt;=0,J63&lt;=0),"nm",O63/J63-1)</f>
        <v>0.14059765470867824</v>
      </c>
      <c r="P113" s="874">
        <f>IF(OR(P63&lt;=0,K63&lt;=0),"nm",P63/K63-1)</f>
        <v>0.21439899856692946</v>
      </c>
      <c r="Q113" s="874">
        <f>IF(ISERROR(IF(OR(Q63&lt;=0,L63&lt;=0),"nm",Q63/L63-1)),"nm",IF(OR(Q63&lt;=0,L63&lt;=0),"nm",Q63/L63-1))</f>
        <v>0.55182674055020309</v>
      </c>
      <c r="R113" s="875">
        <f>IF(OR(R63&lt;=0,M63&lt;=0),"nm",R63/M63-1)</f>
        <v>0.17263518801823041</v>
      </c>
      <c r="S113" s="874">
        <f>IF(OR(S63&lt;=0,N63&lt;=0),"nm",S63/N63-1)</f>
        <v>0.13519482338264277</v>
      </c>
      <c r="T113" s="874">
        <f>IF(OR(T63&lt;=0,O63&lt;=0),"nm",T63/O63-1)</f>
        <v>0.17251077685986949</v>
      </c>
      <c r="U113" s="874">
        <f>IF(OR(U63&lt;=0,P63&lt;=0),"nm",U63/P63-1)</f>
        <v>0.20130812080780469</v>
      </c>
      <c r="V113" s="874">
        <f>IF(ISERROR(IF(OR(V63&lt;=0,Q63&lt;=0),"nm",V63/Q63-1)),"nm",IF(OR(V63&lt;=0,Q63&lt;=0),"nm",V63/Q63-1))</f>
        <v>-0.14555831752806292</v>
      </c>
      <c r="W113" s="875">
        <f>IF(OR(W63&lt;=0,R63&lt;=0),"nm",W63/R63-1)</f>
        <v>0.17714790956789894</v>
      </c>
      <c r="X113" s="874">
        <f>IF(OR(X63&lt;=0,S63&lt;=0),"nm",X63/S63-1)</f>
        <v>0.16723475572720048</v>
      </c>
      <c r="Y113" s="874">
        <f>IF(OR(Y63&lt;=0,T63&lt;=0),"nm",Y63/T63-1)</f>
        <v>-2.4261279074586417E-2</v>
      </c>
      <c r="Z113" s="874">
        <f>IF(OR(Z63&lt;=0,U63&lt;=0),"nm",Z63/U63-1)</f>
        <v>-0.1625075298180797</v>
      </c>
      <c r="AA113" s="874">
        <f>IF(ISERROR(IF(OR(AA63&lt;=0,V63&lt;=0),"nm",AA63/V63-1)),"nm",IF(OR(AA63&lt;=0,V63&lt;=0),"nm",AA63/V63-1))</f>
        <v>-0.12626537561563456</v>
      </c>
      <c r="AB113" s="875">
        <f>IF(OR(AB63&lt;=0,W63&lt;=0),"nm",AB63/W63-1)</f>
        <v>-3.8668603367305265E-2</v>
      </c>
      <c r="AC113" s="874">
        <f>IF(OR(AC63&lt;=0,X63&lt;=0),"nm",AC63/X63-1)</f>
        <v>-0.11908015025887497</v>
      </c>
      <c r="AD113" s="874">
        <f>IF(OR(AD63&lt;=0,Y63&lt;=0),"nm",AD63/Y63-1)</f>
        <v>-0.2667980809943381</v>
      </c>
      <c r="AE113" s="874">
        <f>IF(OR(AE63&lt;=0,Z63&lt;=0),"nm",AE63/Z63-1)</f>
        <v>0.38587566147271635</v>
      </c>
      <c r="AF113" s="874">
        <f>IF(ISERROR(IF(OR(AF63&lt;=0,AA63&lt;=0),"nm",AF63/AA63-1)),"nm",IF(OR(AF63&lt;=0,AA63&lt;=0),"nm",AF63/AA63-1))</f>
        <v>0.32620543971471427</v>
      </c>
      <c r="AG113" s="875">
        <f>IF(OR(AG63&lt;=0,AB63&lt;=0),"nm",AG63/AB63-1)</f>
        <v>9.2032578081252758E-2</v>
      </c>
      <c r="AH113" s="874">
        <f>IF(OR(AH63&lt;=0,AC63&lt;=0),"nm",AH63/AC63-1)</f>
        <v>0.25178220454978439</v>
      </c>
      <c r="AI113" s="874">
        <f>IF(OR(AI63&lt;=0,AD63&lt;=0),"nm",AI63/AD63-1)</f>
        <v>0.84031325293459735</v>
      </c>
      <c r="AJ113" s="874">
        <f>IF(OR(AJ63&lt;=0,AE63&lt;=0),"nm",AJ63/AE63-1)</f>
        <v>9.2233312032071968E-2</v>
      </c>
      <c r="AK113" s="874">
        <f>IF(ISERROR(IF(OR(AK63&lt;=0,AF63&lt;=0),"nm",AK63/AF63-1)),"nm",IF(OR(AK63&lt;=0,AF63&lt;=0),"nm",AK63/AF63-1))</f>
        <v>0.21441021187310039</v>
      </c>
      <c r="AL113" s="875">
        <f>IF(OR(AL63&lt;=0,AG63&lt;=0),"nm",AL63/AG63-1)</f>
        <v>0.27219439894457298</v>
      </c>
      <c r="AM113" s="874">
        <f>IF(OR(AM63&lt;=0,AH63&lt;=0),"nm",AM63/AH63-1)</f>
        <v>0.38580622721706104</v>
      </c>
      <c r="AN113" s="874">
        <f>IF(OR(AN63&lt;=0,AI63&lt;=0),"nm",AN63/AI63-1)</f>
        <v>0.43262973287776596</v>
      </c>
      <c r="AO113" s="874">
        <f>IF(OR(AO63&lt;=0,AJ63&lt;=0),"nm",AO63/AJ63-1)</f>
        <v>0.43283931909532813</v>
      </c>
      <c r="AP113" s="874">
        <f>IF(ISERROR(IF(OR(AP63&lt;=0,AK63&lt;=0),"nm",AP63/AK63-1)),"nm",IF(OR(AP63&lt;=0,AK63&lt;=0),"nm",AP63/AK63-1))</f>
        <v>0.40057971014492755</v>
      </c>
      <c r="AQ113" s="875">
        <f>IF(OR(AQ63&lt;=0,AL63&lt;=0),"nm",AQ63/AL63-1)</f>
        <v>0.41568612842314745</v>
      </c>
      <c r="AR113" s="874">
        <f>IF(OR(AR63&lt;=0,AM63&lt;=0),"nm",AR63/AM63-1)</f>
        <v>0.53244478890192481</v>
      </c>
      <c r="AS113" s="874">
        <f>IF(OR(AS63&lt;=0,AN63&lt;=0),"nm",AS63/AN63-1)</f>
        <v>0.40327704136796227</v>
      </c>
      <c r="AT113" s="874">
        <f>IF(OR(AT63&lt;=0,AO63&lt;=0),"nm",AT63/AO63-1)</f>
        <v>-0.29782367099381946</v>
      </c>
      <c r="AU113" s="874"/>
      <c r="AV113" s="875"/>
      <c r="AW113" s="874"/>
      <c r="AX113" s="874"/>
      <c r="AY113" s="874"/>
      <c r="AZ113" s="874"/>
      <c r="BA113" s="874" t="str">
        <f t="shared" ref="BA113:CF113" si="363">IF(OR(BA63&lt;=0,AV63&lt;=0),"nm",BA63/AV63-1)</f>
        <v>nm</v>
      </c>
      <c r="BB113" s="874">
        <f t="shared" si="363"/>
        <v>-0.6673594170444378</v>
      </c>
      <c r="BC113" s="874" t="str">
        <f t="shared" si="363"/>
        <v>nm</v>
      </c>
      <c r="BD113" s="874">
        <f t="shared" si="363"/>
        <v>-0.93774237084228163</v>
      </c>
      <c r="BE113" s="875" t="str">
        <f t="shared" si="363"/>
        <v>nm</v>
      </c>
      <c r="BF113" s="874" t="str">
        <f t="shared" si="363"/>
        <v>nm</v>
      </c>
      <c r="BG113" s="874" t="str">
        <f t="shared" si="363"/>
        <v>nm</v>
      </c>
      <c r="BH113" s="874" t="str">
        <f t="shared" si="363"/>
        <v>nm</v>
      </c>
      <c r="BI113" s="874" t="str">
        <f t="shared" si="363"/>
        <v>nm</v>
      </c>
      <c r="BJ113" s="875" t="str">
        <f t="shared" si="363"/>
        <v>nm</v>
      </c>
      <c r="BK113" s="874">
        <f t="shared" si="363"/>
        <v>0.15933449154229695</v>
      </c>
      <c r="BL113" s="874" t="str">
        <f t="shared" si="363"/>
        <v>nm</v>
      </c>
      <c r="BM113" s="874" t="str">
        <f t="shared" si="363"/>
        <v>nm</v>
      </c>
      <c r="BN113" s="874" t="str">
        <f t="shared" si="363"/>
        <v>nm</v>
      </c>
      <c r="BO113" s="875" t="str">
        <f t="shared" si="363"/>
        <v>nm</v>
      </c>
      <c r="BP113" s="874">
        <f t="shared" si="363"/>
        <v>-0.23626159952132608</v>
      </c>
      <c r="BQ113" s="874" t="str">
        <f t="shared" si="363"/>
        <v>nm</v>
      </c>
      <c r="BR113" s="874" t="str">
        <f t="shared" si="363"/>
        <v>nm</v>
      </c>
      <c r="BS113" s="874" t="str">
        <f t="shared" si="363"/>
        <v>nm</v>
      </c>
      <c r="BT113" s="875">
        <f t="shared" si="363"/>
        <v>18.214252562871991</v>
      </c>
      <c r="BU113" s="874">
        <f t="shared" si="363"/>
        <v>3.0129513750311885</v>
      </c>
      <c r="BV113" s="874" t="str">
        <f t="shared" si="363"/>
        <v>nm</v>
      </c>
      <c r="BW113" s="874" t="str">
        <f t="shared" si="363"/>
        <v>nm</v>
      </c>
      <c r="BX113" s="874" t="str">
        <f t="shared" si="363"/>
        <v>nm</v>
      </c>
      <c r="BY113" s="875" t="str">
        <f t="shared" si="363"/>
        <v>nm</v>
      </c>
      <c r="BZ113" s="874">
        <f t="shared" si="363"/>
        <v>-0.61350619805220941</v>
      </c>
      <c r="CA113" s="874" t="str">
        <f t="shared" si="363"/>
        <v>nm</v>
      </c>
      <c r="CB113" s="874" t="str">
        <f t="shared" si="363"/>
        <v>nm</v>
      </c>
      <c r="CC113" s="874" t="str">
        <f t="shared" si="363"/>
        <v>nm</v>
      </c>
      <c r="CD113" s="875" t="str">
        <f t="shared" si="363"/>
        <v>nm</v>
      </c>
      <c r="CE113" s="874" t="str">
        <f t="shared" si="363"/>
        <v>nm</v>
      </c>
      <c r="CF113" s="874" t="str">
        <f t="shared" si="363"/>
        <v>nm</v>
      </c>
      <c r="CG113" s="874" t="str">
        <f t="shared" ref="CG113:DL113" si="364">IF(OR(CG63&lt;=0,CB63&lt;=0),"nm",CG63/CB63-1)</f>
        <v>nm</v>
      </c>
      <c r="CH113" s="874">
        <f t="shared" si="364"/>
        <v>13.29728093779778</v>
      </c>
      <c r="CI113" s="875" t="str">
        <f t="shared" si="364"/>
        <v>nm</v>
      </c>
      <c r="CJ113" s="874" t="str">
        <f t="shared" si="364"/>
        <v>nm</v>
      </c>
      <c r="CK113" s="874">
        <f t="shared" si="364"/>
        <v>0.65732460621633293</v>
      </c>
      <c r="CL113" s="874">
        <f t="shared" si="364"/>
        <v>-0.60854343127623478</v>
      </c>
      <c r="CM113" s="874">
        <f t="shared" si="364"/>
        <v>1.731883663361931</v>
      </c>
      <c r="CN113" s="875">
        <f t="shared" si="364"/>
        <v>1.7144967010386511</v>
      </c>
      <c r="CO113" s="874">
        <f t="shared" si="364"/>
        <v>0.75059562266846269</v>
      </c>
      <c r="CP113" s="874">
        <f t="shared" si="364"/>
        <v>0.51363010459800229</v>
      </c>
      <c r="CQ113" s="874">
        <f t="shared" si="364"/>
        <v>0.78901050235039749</v>
      </c>
      <c r="CR113" s="874">
        <f t="shared" si="364"/>
        <v>1.7682390346216272</v>
      </c>
      <c r="CS113" s="875">
        <f t="shared" si="364"/>
        <v>1.1016866139512436</v>
      </c>
      <c r="CT113" s="874">
        <f t="shared" si="364"/>
        <v>-0.21446884477773154</v>
      </c>
      <c r="CU113" s="874">
        <f t="shared" si="364"/>
        <v>0.73990942843758289</v>
      </c>
      <c r="CV113" s="874">
        <f t="shared" si="364"/>
        <v>2.1150120567651904</v>
      </c>
      <c r="CW113" s="874">
        <f t="shared" si="364"/>
        <v>-0.2912635043003986</v>
      </c>
      <c r="CX113" s="875">
        <f t="shared" si="364"/>
        <v>8.6937571857877982E-2</v>
      </c>
      <c r="CY113" s="874" t="str">
        <f t="shared" si="364"/>
        <v>nm</v>
      </c>
      <c r="CZ113" s="874" t="str">
        <f t="shared" si="364"/>
        <v>nm</v>
      </c>
      <c r="DA113" s="874">
        <f t="shared" si="364"/>
        <v>0.19588633495996177</v>
      </c>
      <c r="DB113" s="874">
        <f t="shared" si="364"/>
        <v>8.943895250267353E-2</v>
      </c>
      <c r="DC113" s="875">
        <f t="shared" si="364"/>
        <v>-0.95188734552533427</v>
      </c>
      <c r="DD113" s="874" t="str">
        <f t="shared" si="364"/>
        <v>nm</v>
      </c>
      <c r="DE113" s="874" t="str">
        <f t="shared" si="364"/>
        <v>nm</v>
      </c>
      <c r="DF113" s="874">
        <f t="shared" si="364"/>
        <v>-3.5230432858397887E-2</v>
      </c>
      <c r="DG113" s="874">
        <f t="shared" si="364"/>
        <v>0.8339610297340494</v>
      </c>
      <c r="DH113" s="875">
        <f t="shared" si="364"/>
        <v>18.534181047669769</v>
      </c>
      <c r="DI113" s="874" t="str">
        <f t="shared" si="364"/>
        <v>nm</v>
      </c>
      <c r="DJ113" s="874">
        <f t="shared" si="364"/>
        <v>1.1888630252183296</v>
      </c>
      <c r="DK113" s="874">
        <f t="shared" si="364"/>
        <v>-0.41816953365820586</v>
      </c>
      <c r="DL113" s="874">
        <f t="shared" si="364"/>
        <v>-0.73098703567522949</v>
      </c>
      <c r="DM113" s="875">
        <f t="shared" ref="DM113:DS113" si="365">IF(OR(DM63&lt;=0,DH63&lt;=0),"nm",DM63/DH63-1)</f>
        <v>-2.6378551171862052E-2</v>
      </c>
      <c r="DN113" s="874">
        <f t="shared" si="365"/>
        <v>-0.33469348271525678</v>
      </c>
      <c r="DO113" s="874">
        <f t="shared" si="365"/>
        <v>-0.46746625715260581</v>
      </c>
      <c r="DP113" s="874">
        <f t="shared" si="365"/>
        <v>-0.46107336911670516</v>
      </c>
      <c r="DQ113" s="874">
        <f t="shared" si="365"/>
        <v>-0.82783596793187786</v>
      </c>
      <c r="DR113" s="875">
        <f t="shared" si="365"/>
        <v>-0.48394734039930887</v>
      </c>
      <c r="DS113" s="874" t="str">
        <f t="shared" si="365"/>
        <v>nm</v>
      </c>
      <c r="DT113" s="874" t="str">
        <f t="shared" ref="DT113:EB113" si="366">IF(OR(DT63&lt;=0,DO63&lt;=0),"nm",DT63/DO63-1)</f>
        <v>nm</v>
      </c>
      <c r="DU113" s="874" t="str">
        <f t="shared" si="366"/>
        <v>nm</v>
      </c>
      <c r="DV113" s="874">
        <f t="shared" si="366"/>
        <v>22.616885773287649</v>
      </c>
      <c r="DW113" s="875">
        <f t="shared" si="366"/>
        <v>-0.2342320585333626</v>
      </c>
      <c r="DX113" s="874" t="str">
        <f t="shared" si="366"/>
        <v>nm</v>
      </c>
      <c r="DY113" s="874" t="str">
        <f t="shared" si="366"/>
        <v>nm</v>
      </c>
      <c r="DZ113" s="874" t="str">
        <f t="shared" si="366"/>
        <v>nm</v>
      </c>
      <c r="EA113" s="874">
        <f t="shared" si="366"/>
        <v>-0.75037646942122782</v>
      </c>
      <c r="EB113" s="875">
        <f t="shared" si="366"/>
        <v>0.40044007173235774</v>
      </c>
      <c r="EC113" s="874">
        <f t="shared" ref="EC113:EL113" si="367">IF(OR(EC63&lt;=0,DX63&lt;=0),"nm",EC63/DX63-1)</f>
        <v>53.007265672303141</v>
      </c>
      <c r="ED113" s="874">
        <f t="shared" si="367"/>
        <v>0.18361639940297314</v>
      </c>
      <c r="EE113" s="874">
        <f t="shared" si="367"/>
        <v>0.3552327805508515</v>
      </c>
      <c r="EF113" s="874">
        <f t="shared" si="367"/>
        <v>0.38578257581278597</v>
      </c>
      <c r="EG113" s="875">
        <f t="shared" si="367"/>
        <v>0.78846798797171003</v>
      </c>
      <c r="EH113" s="874">
        <f t="shared" si="367"/>
        <v>0.12548310845131216</v>
      </c>
      <c r="EI113" s="874">
        <f t="shared" si="367"/>
        <v>0.38560474061367378</v>
      </c>
      <c r="EJ113" s="874">
        <f t="shared" si="367"/>
        <v>0.20313346560289203</v>
      </c>
      <c r="EK113" s="874">
        <f t="shared" si="367"/>
        <v>-0.31458323751335793</v>
      </c>
      <c r="EL113" s="875">
        <f t="shared" si="367"/>
        <v>9.8754462579706104E-2</v>
      </c>
      <c r="EM113" s="1"/>
      <c r="EN113"/>
      <c r="EO113"/>
      <c r="EP113"/>
      <c r="EQ113"/>
      <c r="ER113"/>
      <c r="ES113" s="7"/>
      <c r="ET113"/>
      <c r="EU113" s="7"/>
      <c r="EV113" s="7"/>
      <c r="EW113" s="7"/>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c r="HR113" s="3"/>
      <c r="HS113" s="3"/>
      <c r="HT113" s="3"/>
      <c r="HU113" s="3"/>
      <c r="HV113" s="3"/>
      <c r="HW113" s="3"/>
      <c r="HX113" s="3"/>
      <c r="HY113" s="3"/>
      <c r="HZ113" s="3"/>
      <c r="IA113" s="3"/>
      <c r="IB113" s="3"/>
      <c r="IC113" s="3"/>
      <c r="ID113" s="3"/>
      <c r="IE113" s="3"/>
      <c r="IF113" s="3"/>
      <c r="IG113" s="3"/>
      <c r="IH113" s="3"/>
      <c r="II113" s="3"/>
      <c r="IJ113" s="3"/>
      <c r="IK113" s="3"/>
      <c r="IL113" s="3"/>
      <c r="IM113" s="3"/>
      <c r="IN113" s="3"/>
      <c r="IO113" s="3"/>
      <c r="IP113" s="3"/>
      <c r="IQ113" s="3"/>
      <c r="IR113" s="3"/>
      <c r="IS113" s="3"/>
      <c r="IT113" s="3"/>
      <c r="IU113" s="3"/>
      <c r="IV113" s="3"/>
      <c r="IW113" s="3"/>
      <c r="IX113" s="3"/>
      <c r="IY113" s="3"/>
      <c r="IZ113" s="3"/>
      <c r="JA113" s="3"/>
      <c r="JB113" s="3"/>
      <c r="JC113" s="3"/>
      <c r="JD113" s="3"/>
      <c r="JE113" s="3"/>
      <c r="JF113" s="3"/>
      <c r="JG113" s="3"/>
      <c r="JH113" s="3"/>
      <c r="JI113" s="3"/>
      <c r="JJ113" s="3"/>
      <c r="JK113" s="3"/>
    </row>
    <row r="114" spans="1:271" s="11" customFormat="1" ht="12" hidden="1" customHeight="1" outlineLevel="1">
      <c r="A114" s="856"/>
      <c r="B114" s="857" t="s">
        <v>100</v>
      </c>
      <c r="C114" s="858"/>
      <c r="D114" s="858"/>
      <c r="E114" s="858"/>
      <c r="F114" s="858"/>
      <c r="G114" s="858"/>
      <c r="H114" s="859"/>
      <c r="I114" s="858"/>
      <c r="J114" s="858"/>
      <c r="K114" s="858"/>
      <c r="L114" s="858"/>
      <c r="M114" s="859"/>
      <c r="N114" s="858"/>
      <c r="O114" s="858"/>
      <c r="P114" s="858"/>
      <c r="Q114" s="858"/>
      <c r="R114" s="859"/>
      <c r="S114" s="858"/>
      <c r="T114" s="858"/>
      <c r="U114" s="858"/>
      <c r="V114" s="858"/>
      <c r="W114" s="859"/>
      <c r="X114" s="858"/>
      <c r="Y114" s="858"/>
      <c r="Z114" s="858"/>
      <c r="AA114" s="858"/>
      <c r="AB114" s="859"/>
      <c r="AC114" s="858"/>
      <c r="AD114" s="858"/>
      <c r="AE114" s="858"/>
      <c r="AF114" s="858"/>
      <c r="AG114" s="859"/>
      <c r="AH114" s="858"/>
      <c r="AI114" s="858"/>
      <c r="AJ114" s="858"/>
      <c r="AK114" s="858"/>
      <c r="AL114" s="859"/>
      <c r="AM114" s="858"/>
      <c r="AN114" s="858"/>
      <c r="AO114" s="858"/>
      <c r="AP114" s="858"/>
      <c r="AQ114" s="859"/>
      <c r="AR114" s="858"/>
      <c r="AS114" s="858"/>
      <c r="AT114" s="858"/>
      <c r="AU114" s="858"/>
      <c r="AV114" s="859"/>
      <c r="AW114" s="858"/>
      <c r="AX114" s="858"/>
      <c r="AY114" s="858"/>
      <c r="AZ114" s="858"/>
      <c r="BA114" s="858"/>
      <c r="BB114" s="858"/>
      <c r="BC114" s="858"/>
      <c r="BD114" s="858"/>
      <c r="BE114" s="859"/>
      <c r="BF114" s="858"/>
      <c r="BG114" s="858"/>
      <c r="BH114" s="858"/>
      <c r="BI114" s="858"/>
      <c r="BJ114" s="859"/>
      <c r="BK114" s="858"/>
      <c r="BL114" s="858"/>
      <c r="BM114" s="858"/>
      <c r="BN114" s="858"/>
      <c r="BO114" s="859"/>
      <c r="BP114" s="858"/>
      <c r="BQ114" s="858"/>
      <c r="BR114" s="858"/>
      <c r="BS114" s="858"/>
      <c r="BT114" s="859"/>
      <c r="BU114" s="858"/>
      <c r="BV114" s="858"/>
      <c r="BW114" s="858"/>
      <c r="BX114" s="858"/>
      <c r="BY114" s="859"/>
      <c r="BZ114" s="858"/>
      <c r="CA114" s="858"/>
      <c r="CB114" s="858"/>
      <c r="CC114" s="858"/>
      <c r="CD114" s="859"/>
      <c r="CE114" s="858"/>
      <c r="CF114" s="858"/>
      <c r="CG114" s="858"/>
      <c r="CH114" s="858"/>
      <c r="CI114" s="859"/>
      <c r="CJ114" s="858"/>
      <c r="CK114" s="858"/>
      <c r="CL114" s="858"/>
      <c r="CM114" s="858"/>
      <c r="CN114" s="859"/>
      <c r="CO114" s="858"/>
      <c r="CP114" s="858"/>
      <c r="CQ114" s="858"/>
      <c r="CR114" s="858"/>
      <c r="CS114" s="859"/>
      <c r="CT114" s="858"/>
      <c r="CU114" s="858"/>
      <c r="CV114" s="858"/>
      <c r="CW114" s="858"/>
      <c r="CX114" s="859"/>
      <c r="CY114" s="858"/>
      <c r="CZ114" s="858"/>
      <c r="DA114" s="858"/>
      <c r="DB114" s="858"/>
      <c r="DC114" s="859"/>
      <c r="DD114" s="858"/>
      <c r="DE114" s="858"/>
      <c r="DF114" s="858"/>
      <c r="DG114" s="858"/>
      <c r="DH114" s="859"/>
      <c r="DI114" s="858"/>
      <c r="DJ114" s="858"/>
      <c r="DK114" s="858"/>
      <c r="DL114" s="858"/>
      <c r="DM114" s="859"/>
      <c r="DN114" s="858"/>
      <c r="DO114" s="858"/>
      <c r="DP114" s="858"/>
      <c r="DQ114" s="858"/>
      <c r="DR114" s="859"/>
      <c r="DS114" s="858"/>
      <c r="DT114" s="858"/>
      <c r="DU114" s="858"/>
      <c r="DV114" s="858"/>
      <c r="DW114" s="859"/>
      <c r="DX114" s="858"/>
      <c r="DY114" s="858"/>
      <c r="DZ114" s="858"/>
      <c r="EA114" s="858"/>
      <c r="EB114" s="859"/>
      <c r="EC114" s="858"/>
      <c r="ED114" s="858"/>
      <c r="EE114" s="858"/>
      <c r="EF114" s="858"/>
      <c r="EG114" s="859"/>
      <c r="EH114" s="858"/>
      <c r="EI114" s="858"/>
      <c r="EJ114" s="858"/>
      <c r="EK114" s="858"/>
      <c r="EL114" s="859"/>
      <c r="EM114" s="1"/>
      <c r="EN114"/>
      <c r="EO114"/>
      <c r="EP114"/>
      <c r="EQ114"/>
      <c r="ER114"/>
      <c r="ES114" s="7"/>
      <c r="ET114"/>
      <c r="EU114" s="7"/>
      <c r="EV114" s="7"/>
      <c r="EW114" s="7"/>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c r="HR114" s="3"/>
      <c r="HS114" s="3"/>
      <c r="HT114" s="3"/>
      <c r="HU114" s="3"/>
      <c r="HV114" s="3"/>
      <c r="HW114" s="3"/>
      <c r="HX114" s="3"/>
      <c r="HY114" s="3"/>
      <c r="HZ114" s="3"/>
      <c r="IA114" s="3"/>
      <c r="IB114" s="3"/>
      <c r="IC114" s="3"/>
      <c r="ID114" s="3"/>
      <c r="IE114" s="3"/>
      <c r="IF114" s="3"/>
      <c r="IG114" s="3"/>
      <c r="IH114" s="3"/>
      <c r="II114" s="3"/>
      <c r="IJ114" s="3"/>
      <c r="IK114" s="3"/>
      <c r="IL114" s="3"/>
      <c r="IM114" s="3"/>
      <c r="IN114" s="3"/>
      <c r="IO114" s="3"/>
      <c r="IP114" s="3"/>
      <c r="IQ114" s="3"/>
      <c r="IR114" s="3"/>
      <c r="IS114" s="3"/>
      <c r="IT114" s="3"/>
      <c r="IU114" s="3"/>
      <c r="IV114" s="3"/>
      <c r="IW114" s="3"/>
      <c r="IX114" s="3"/>
      <c r="IY114" s="3"/>
      <c r="IZ114" s="3"/>
      <c r="JA114" s="3"/>
      <c r="JB114" s="3"/>
      <c r="JC114" s="3"/>
      <c r="JD114" s="3"/>
      <c r="JE114" s="3"/>
      <c r="JF114" s="3"/>
      <c r="JG114" s="3"/>
      <c r="JH114" s="3"/>
      <c r="JI114" s="3"/>
      <c r="JJ114" s="3"/>
      <c r="JK114" s="3"/>
    </row>
    <row r="115" spans="1:271" s="11" customFormat="1" ht="12" hidden="1" customHeight="1" outlineLevel="1">
      <c r="A115" s="801"/>
      <c r="B115" s="557" t="s">
        <v>138</v>
      </c>
      <c r="C115" s="555"/>
      <c r="D115" s="876"/>
      <c r="E115" s="876"/>
      <c r="F115" s="876"/>
      <c r="G115" s="876"/>
      <c r="H115" s="877"/>
      <c r="I115" s="876"/>
      <c r="J115" s="876"/>
      <c r="K115" s="876"/>
      <c r="L115" s="876"/>
      <c r="M115" s="877"/>
      <c r="N115" s="876"/>
      <c r="O115" s="876"/>
      <c r="P115" s="876"/>
      <c r="Q115" s="876"/>
      <c r="R115" s="877"/>
      <c r="S115" s="876"/>
      <c r="T115" s="876"/>
      <c r="U115" s="876"/>
      <c r="V115" s="876"/>
      <c r="W115" s="877"/>
      <c r="X115" s="876"/>
      <c r="Y115" s="876"/>
      <c r="Z115" s="876"/>
      <c r="AA115" s="876"/>
      <c r="AB115" s="877"/>
      <c r="AC115" s="876"/>
      <c r="AD115" s="876"/>
      <c r="AE115" s="876"/>
      <c r="AF115" s="876"/>
      <c r="AG115" s="877"/>
      <c r="AH115" s="876"/>
      <c r="AI115" s="876"/>
      <c r="AJ115" s="876"/>
      <c r="AK115" s="876"/>
      <c r="AL115" s="877"/>
      <c r="AM115" s="876"/>
      <c r="AN115" s="876"/>
      <c r="AO115" s="876"/>
      <c r="AP115" s="876"/>
      <c r="AQ115" s="877"/>
      <c r="AR115" s="876"/>
      <c r="AS115" s="876"/>
      <c r="AT115" s="876"/>
      <c r="AU115" s="876"/>
      <c r="AV115" s="877"/>
      <c r="AW115" s="876"/>
      <c r="AX115" s="876"/>
      <c r="AY115" s="876"/>
      <c r="AZ115" s="876"/>
      <c r="BA115" s="876"/>
      <c r="BB115" s="876"/>
      <c r="BC115" s="876"/>
      <c r="BD115" s="876"/>
      <c r="BE115" s="877"/>
      <c r="BF115" s="876"/>
      <c r="BG115" s="876"/>
      <c r="BH115" s="876"/>
      <c r="BI115" s="876"/>
      <c r="BJ115" s="877"/>
      <c r="BK115" s="876"/>
      <c r="BL115" s="876"/>
      <c r="BM115" s="876"/>
      <c r="BN115" s="876"/>
      <c r="BO115" s="877"/>
      <c r="BP115" s="876"/>
      <c r="BQ115" s="876"/>
      <c r="BR115" s="876"/>
      <c r="BS115" s="876"/>
      <c r="BT115" s="877"/>
      <c r="BU115" s="876"/>
      <c r="BV115" s="876"/>
      <c r="BW115" s="876"/>
      <c r="BX115" s="876"/>
      <c r="BY115" s="877"/>
      <c r="BZ115" s="876"/>
      <c r="CA115" s="876"/>
      <c r="CB115" s="876"/>
      <c r="CC115" s="876"/>
      <c r="CD115" s="877"/>
      <c r="CE115" s="876"/>
      <c r="CF115" s="876"/>
      <c r="CG115" s="876"/>
      <c r="CH115" s="876"/>
      <c r="CI115" s="877"/>
      <c r="CJ115" s="876"/>
      <c r="CK115" s="876"/>
      <c r="CL115" s="876"/>
      <c r="CM115" s="876"/>
      <c r="CN115" s="877"/>
      <c r="CO115" s="876"/>
      <c r="CP115" s="876"/>
      <c r="CQ115" s="876"/>
      <c r="CR115" s="876"/>
      <c r="CS115" s="877"/>
      <c r="CT115" s="876"/>
      <c r="CU115" s="876"/>
      <c r="CV115" s="876"/>
      <c r="CW115" s="876"/>
      <c r="CX115" s="877"/>
      <c r="CY115" s="876">
        <v>211</v>
      </c>
      <c r="CZ115" s="876">
        <v>219</v>
      </c>
      <c r="DA115" s="876">
        <v>225</v>
      </c>
      <c r="DB115" s="876">
        <v>264</v>
      </c>
      <c r="DC115" s="877">
        <f>SUM(CY115:DB115)</f>
        <v>919</v>
      </c>
      <c r="DD115" s="876">
        <v>285</v>
      </c>
      <c r="DE115" s="876">
        <v>285</v>
      </c>
      <c r="DF115" s="876">
        <v>296</v>
      </c>
      <c r="DG115" s="876">
        <v>327</v>
      </c>
      <c r="DH115" s="877">
        <f>SUM(DD115:DG115)</f>
        <v>1193</v>
      </c>
      <c r="DI115" s="876">
        <v>342</v>
      </c>
      <c r="DJ115" s="876">
        <v>340</v>
      </c>
      <c r="DK115" s="876">
        <v>347</v>
      </c>
      <c r="DL115" s="876">
        <v>384</v>
      </c>
      <c r="DM115" s="877">
        <f>SUM(DI115:DL115)</f>
        <v>1413</v>
      </c>
      <c r="DN115" s="876">
        <v>385</v>
      </c>
      <c r="DO115" s="876">
        <v>386</v>
      </c>
      <c r="DP115" s="876">
        <v>398</v>
      </c>
      <c r="DQ115" s="876">
        <v>402</v>
      </c>
      <c r="DR115" s="877">
        <f>SUM(DN115:DQ115)</f>
        <v>1571</v>
      </c>
      <c r="DS115" s="876">
        <v>402</v>
      </c>
      <c r="DT115" s="876">
        <v>400</v>
      </c>
      <c r="DU115" s="876">
        <v>401</v>
      </c>
      <c r="DV115" s="876">
        <v>394</v>
      </c>
      <c r="DW115" s="877">
        <f>SUM(DS115:DV115)</f>
        <v>1597</v>
      </c>
      <c r="DX115" s="878"/>
      <c r="DY115" s="878"/>
      <c r="DZ115" s="878"/>
      <c r="EA115" s="878"/>
      <c r="EB115" s="877"/>
      <c r="EC115" s="878"/>
      <c r="ED115" s="878"/>
      <c r="EE115" s="878"/>
      <c r="EF115" s="878"/>
      <c r="EG115" s="877"/>
      <c r="EH115" s="878"/>
      <c r="EI115" s="878"/>
      <c r="EJ115" s="878"/>
      <c r="EK115" s="878"/>
      <c r="EL115" s="877"/>
      <c r="EM115" s="1"/>
      <c r="EN115"/>
      <c r="EO115"/>
      <c r="EP115"/>
      <c r="EQ115"/>
      <c r="ER115"/>
      <c r="ES115" s="7"/>
      <c r="ET115"/>
      <c r="EU115" s="7"/>
      <c r="EV115" s="7"/>
      <c r="EW115" s="7"/>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c r="HR115" s="3"/>
      <c r="HS115" s="3"/>
      <c r="HT115" s="3"/>
      <c r="HU115" s="3"/>
      <c r="HV115" s="3"/>
      <c r="HW115" s="3"/>
      <c r="HX115" s="3"/>
      <c r="HY115" s="3"/>
      <c r="HZ115" s="3"/>
      <c r="IA115" s="3"/>
      <c r="IB115" s="3"/>
      <c r="IC115" s="3"/>
      <c r="ID115" s="3"/>
      <c r="IE115" s="3"/>
      <c r="IF115" s="3"/>
      <c r="IG115" s="3"/>
      <c r="IH115" s="3"/>
      <c r="II115" s="3"/>
      <c r="IJ115" s="3"/>
      <c r="IK115" s="3"/>
      <c r="IL115" s="3"/>
      <c r="IM115" s="3"/>
      <c r="IN115" s="3"/>
      <c r="IO115" s="3"/>
      <c r="IP115" s="3"/>
      <c r="IQ115" s="3"/>
      <c r="IR115" s="3"/>
      <c r="IS115" s="3"/>
      <c r="IT115" s="3"/>
      <c r="IU115" s="3"/>
      <c r="IV115" s="3"/>
      <c r="IW115" s="3"/>
      <c r="IX115" s="3"/>
      <c r="IY115" s="3"/>
      <c r="IZ115" s="3"/>
      <c r="JA115" s="3"/>
      <c r="JB115" s="3"/>
      <c r="JC115" s="3"/>
      <c r="JD115" s="3"/>
      <c r="JE115" s="3"/>
      <c r="JF115" s="3"/>
      <c r="JG115" s="3"/>
      <c r="JH115" s="3"/>
      <c r="JI115" s="3"/>
      <c r="JJ115" s="3"/>
      <c r="JK115" s="3"/>
    </row>
    <row r="116" spans="1:271" s="82" customFormat="1" ht="12" hidden="1" customHeight="1" outlineLevel="1">
      <c r="A116" s="879"/>
      <c r="B116" s="880" t="s">
        <v>497</v>
      </c>
      <c r="C116" s="881"/>
      <c r="D116" s="882"/>
      <c r="E116" s="882"/>
      <c r="F116" s="882"/>
      <c r="G116" s="882"/>
      <c r="H116" s="883"/>
      <c r="I116" s="882"/>
      <c r="J116" s="882"/>
      <c r="K116" s="882"/>
      <c r="L116" s="882"/>
      <c r="M116" s="883"/>
      <c r="N116" s="882"/>
      <c r="O116" s="882"/>
      <c r="P116" s="882"/>
      <c r="Q116" s="882"/>
      <c r="R116" s="883"/>
      <c r="S116" s="882"/>
      <c r="T116" s="882"/>
      <c r="U116" s="882"/>
      <c r="V116" s="882"/>
      <c r="W116" s="883"/>
      <c r="X116" s="882"/>
      <c r="Y116" s="882"/>
      <c r="Z116" s="882"/>
      <c r="AA116" s="882"/>
      <c r="AB116" s="883"/>
      <c r="AC116" s="882"/>
      <c r="AD116" s="882"/>
      <c r="AE116" s="882"/>
      <c r="AF116" s="882"/>
      <c r="AG116" s="883"/>
      <c r="AH116" s="882"/>
      <c r="AI116" s="882"/>
      <c r="AJ116" s="882"/>
      <c r="AK116" s="882"/>
      <c r="AL116" s="883"/>
      <c r="AM116" s="882"/>
      <c r="AN116" s="882"/>
      <c r="AO116" s="882"/>
      <c r="AP116" s="882"/>
      <c r="AQ116" s="883"/>
      <c r="AR116" s="882"/>
      <c r="AS116" s="882"/>
      <c r="AT116" s="882"/>
      <c r="AU116" s="882"/>
      <c r="AV116" s="883"/>
      <c r="AW116" s="882"/>
      <c r="AX116" s="882"/>
      <c r="AY116" s="882"/>
      <c r="AZ116" s="882"/>
      <c r="BA116" s="882"/>
      <c r="BB116" s="882"/>
      <c r="BC116" s="882"/>
      <c r="BD116" s="882"/>
      <c r="BE116" s="883"/>
      <c r="BF116" s="882"/>
      <c r="BG116" s="882"/>
      <c r="BH116" s="882"/>
      <c r="BI116" s="882"/>
      <c r="BJ116" s="883"/>
      <c r="BK116" s="882"/>
      <c r="BL116" s="882"/>
      <c r="BM116" s="882"/>
      <c r="BN116" s="882"/>
      <c r="BO116" s="883"/>
      <c r="BP116" s="882"/>
      <c r="BQ116" s="882"/>
      <c r="BR116" s="882"/>
      <c r="BS116" s="882"/>
      <c r="BT116" s="883"/>
      <c r="BU116" s="882"/>
      <c r="BV116" s="882"/>
      <c r="BW116" s="882"/>
      <c r="BX116" s="882"/>
      <c r="BY116" s="883"/>
      <c r="BZ116" s="882"/>
      <c r="CA116" s="882"/>
      <c r="CB116" s="882"/>
      <c r="CC116" s="882"/>
      <c r="CD116" s="883"/>
      <c r="CE116" s="882"/>
      <c r="CF116" s="882"/>
      <c r="CG116" s="882"/>
      <c r="CH116" s="882"/>
      <c r="CI116" s="883"/>
      <c r="CJ116" s="882"/>
      <c r="CK116" s="882"/>
      <c r="CL116" s="882"/>
      <c r="CM116" s="882"/>
      <c r="CN116" s="883"/>
      <c r="CO116" s="882"/>
      <c r="CP116" s="882"/>
      <c r="CQ116" s="882"/>
      <c r="CR116" s="882"/>
      <c r="CS116" s="883"/>
      <c r="CT116" s="882"/>
      <c r="CU116" s="882"/>
      <c r="CV116" s="882"/>
      <c r="CW116" s="882"/>
      <c r="CX116" s="883"/>
      <c r="CY116" s="882">
        <v>0.97199999999999998</v>
      </c>
      <c r="CZ116" s="882">
        <v>1.028</v>
      </c>
      <c r="DA116" s="882">
        <v>0.83799999999999997</v>
      </c>
      <c r="DB116" s="882">
        <v>0.75</v>
      </c>
      <c r="DC116" s="883"/>
      <c r="DD116" s="882">
        <v>0.35</v>
      </c>
      <c r="DE116" s="882">
        <v>0.56999999999999995</v>
      </c>
      <c r="DF116" s="882">
        <v>0.316</v>
      </c>
      <c r="DG116" s="882">
        <v>0.24</v>
      </c>
      <c r="DH116" s="883">
        <v>0.56999999999999995</v>
      </c>
      <c r="DI116" s="882">
        <f>DI115/DD115-1</f>
        <v>0.19999999999999996</v>
      </c>
      <c r="DJ116" s="882">
        <f>DJ115/DE115-1</f>
        <v>0.19298245614035081</v>
      </c>
      <c r="DK116" s="882">
        <f>DK115/DF115-1</f>
        <v>0.17229729729729737</v>
      </c>
      <c r="DL116" s="882">
        <f>DL115/DG115-1</f>
        <v>0.17431192660550465</v>
      </c>
      <c r="DM116" s="883">
        <f t="shared" ref="DM116:DW116" si="368">DM115/DH115-1</f>
        <v>0.18440905280804687</v>
      </c>
      <c r="DN116" s="882">
        <f t="shared" si="368"/>
        <v>0.1257309941520468</v>
      </c>
      <c r="DO116" s="882">
        <f t="shared" si="368"/>
        <v>0.13529411764705879</v>
      </c>
      <c r="DP116" s="882">
        <f t="shared" si="368"/>
        <v>0.14697406340057628</v>
      </c>
      <c r="DQ116" s="882">
        <f t="shared" si="368"/>
        <v>4.6875E-2</v>
      </c>
      <c r="DR116" s="883">
        <f t="shared" si="368"/>
        <v>0.11181882519462127</v>
      </c>
      <c r="DS116" s="882">
        <f t="shared" si="368"/>
        <v>4.415584415584406E-2</v>
      </c>
      <c r="DT116" s="882">
        <f t="shared" si="368"/>
        <v>3.6269430051813378E-2</v>
      </c>
      <c r="DU116" s="882">
        <f t="shared" si="368"/>
        <v>7.5376884422111434E-3</v>
      </c>
      <c r="DV116" s="882">
        <f t="shared" si="368"/>
        <v>-1.9900497512437831E-2</v>
      </c>
      <c r="DW116" s="883">
        <f t="shared" si="368"/>
        <v>1.654996817313803E-2</v>
      </c>
      <c r="DX116" s="882"/>
      <c r="DY116" s="882"/>
      <c r="DZ116" s="882"/>
      <c r="EA116" s="882"/>
      <c r="EB116" s="883"/>
      <c r="EC116" s="882"/>
      <c r="ED116" s="882"/>
      <c r="EE116" s="882"/>
      <c r="EF116" s="882"/>
      <c r="EG116" s="883"/>
      <c r="EH116" s="882"/>
      <c r="EI116" s="882"/>
      <c r="EJ116" s="882"/>
      <c r="EK116" s="882"/>
      <c r="EL116" s="883"/>
      <c r="EN116"/>
      <c r="EO116"/>
      <c r="EP116"/>
      <c r="EQ116"/>
      <c r="ER116"/>
      <c r="ES116" s="83"/>
      <c r="ET116"/>
      <c r="EU116" s="83"/>
      <c r="EV116" s="83"/>
      <c r="EW116" s="83"/>
    </row>
    <row r="117" spans="1:271" s="11" customFormat="1" ht="12" hidden="1" customHeight="1" outlineLevel="1">
      <c r="A117" s="801"/>
      <c r="B117" s="557" t="s">
        <v>579</v>
      </c>
      <c r="C117" s="555"/>
      <c r="D117" s="863"/>
      <c r="E117" s="863"/>
      <c r="F117" s="863"/>
      <c r="G117" s="863"/>
      <c r="H117" s="864"/>
      <c r="I117" s="863"/>
      <c r="J117" s="863"/>
      <c r="K117" s="863"/>
      <c r="L117" s="863"/>
      <c r="M117" s="864"/>
      <c r="N117" s="863"/>
      <c r="O117" s="863"/>
      <c r="P117" s="863"/>
      <c r="Q117" s="863"/>
      <c r="R117" s="864"/>
      <c r="S117" s="863"/>
      <c r="T117" s="863"/>
      <c r="U117" s="863"/>
      <c r="V117" s="863"/>
      <c r="W117" s="864"/>
      <c r="X117" s="863"/>
      <c r="Y117" s="863"/>
      <c r="Z117" s="863"/>
      <c r="AA117" s="863"/>
      <c r="AB117" s="864"/>
      <c r="AC117" s="863"/>
      <c r="AD117" s="863"/>
      <c r="AE117" s="863"/>
      <c r="AF117" s="863"/>
      <c r="AG117" s="864"/>
      <c r="AH117" s="863"/>
      <c r="AI117" s="863"/>
      <c r="AJ117" s="863"/>
      <c r="AK117" s="863"/>
      <c r="AL117" s="864"/>
      <c r="AM117" s="863"/>
      <c r="AN117" s="863"/>
      <c r="AO117" s="863"/>
      <c r="AP117" s="863"/>
      <c r="AQ117" s="864"/>
      <c r="AR117" s="863"/>
      <c r="AS117" s="863"/>
      <c r="AT117" s="863"/>
      <c r="AU117" s="863"/>
      <c r="AV117" s="864"/>
      <c r="AW117" s="863"/>
      <c r="AX117" s="863"/>
      <c r="AY117" s="863"/>
      <c r="AZ117" s="863"/>
      <c r="BA117" s="863"/>
      <c r="BB117" s="863"/>
      <c r="BC117" s="863"/>
      <c r="BD117" s="863"/>
      <c r="BE117" s="864"/>
      <c r="BF117" s="863"/>
      <c r="BG117" s="863"/>
      <c r="BH117" s="863"/>
      <c r="BI117" s="863"/>
      <c r="BJ117" s="864"/>
      <c r="BK117" s="863"/>
      <c r="BL117" s="863"/>
      <c r="BM117" s="863"/>
      <c r="BN117" s="863"/>
      <c r="BO117" s="864"/>
      <c r="BP117" s="863"/>
      <c r="BQ117" s="863"/>
      <c r="BR117" s="863"/>
      <c r="BS117" s="863"/>
      <c r="BT117" s="864"/>
      <c r="BU117" s="863"/>
      <c r="BV117" s="863"/>
      <c r="BW117" s="863"/>
      <c r="BX117" s="863"/>
      <c r="BY117" s="864"/>
      <c r="BZ117" s="863"/>
      <c r="CA117" s="863"/>
      <c r="CB117" s="863"/>
      <c r="CC117" s="863"/>
      <c r="CD117" s="864"/>
      <c r="CE117" s="863"/>
      <c r="CF117" s="863"/>
      <c r="CG117" s="863"/>
      <c r="CH117" s="863"/>
      <c r="CI117" s="864"/>
      <c r="CJ117" s="863"/>
      <c r="CK117" s="863"/>
      <c r="CL117" s="863"/>
      <c r="CM117" s="863"/>
      <c r="CN117" s="864"/>
      <c r="CO117" s="863"/>
      <c r="CP117" s="863"/>
      <c r="CQ117" s="863"/>
      <c r="CR117" s="863"/>
      <c r="CS117" s="864"/>
      <c r="CT117" s="863"/>
      <c r="CU117" s="863"/>
      <c r="CV117" s="863"/>
      <c r="CW117" s="863"/>
      <c r="CX117" s="864"/>
      <c r="CY117" s="863">
        <f t="shared" ref="CY117:DS117" si="369">CY$115/CY11</f>
        <v>0.86122448979591837</v>
      </c>
      <c r="CZ117" s="863">
        <f t="shared" si="369"/>
        <v>0.90123456790123457</v>
      </c>
      <c r="DA117" s="863">
        <f t="shared" si="369"/>
        <v>0.8302583025830258</v>
      </c>
      <c r="DB117" s="863">
        <f t="shared" si="369"/>
        <v>0.52380952380952384</v>
      </c>
      <c r="DC117" s="864">
        <f t="shared" si="369"/>
        <v>0.72763262074425972</v>
      </c>
      <c r="DD117" s="863">
        <f t="shared" si="369"/>
        <v>0.54807692307692313</v>
      </c>
      <c r="DE117" s="863">
        <f t="shared" si="369"/>
        <v>0.54702495201535506</v>
      </c>
      <c r="DF117" s="863">
        <f t="shared" si="369"/>
        <v>0.56488549618320616</v>
      </c>
      <c r="DG117" s="863">
        <f t="shared" si="369"/>
        <v>0.57773851590106007</v>
      </c>
      <c r="DH117" s="864">
        <f t="shared" si="369"/>
        <v>0.55983106522759263</v>
      </c>
      <c r="DI117" s="863">
        <f t="shared" si="369"/>
        <v>0.49709302325581395</v>
      </c>
      <c r="DJ117" s="863">
        <f t="shared" si="369"/>
        <v>0.50370370370370365</v>
      </c>
      <c r="DK117" s="863">
        <f t="shared" si="369"/>
        <v>0.57450331125827814</v>
      </c>
      <c r="DL117" s="863">
        <f t="shared" si="369"/>
        <v>0.58715596330275233</v>
      </c>
      <c r="DM117" s="864">
        <f t="shared" si="369"/>
        <v>0.53910721098817249</v>
      </c>
      <c r="DN117" s="863">
        <f t="shared" si="369"/>
        <v>0.55959302325581395</v>
      </c>
      <c r="DO117" s="863">
        <f t="shared" si="369"/>
        <v>0.53611111111111109</v>
      </c>
      <c r="DP117" s="863">
        <f t="shared" si="369"/>
        <v>0.57020057306590255</v>
      </c>
      <c r="DQ117" s="863">
        <f t="shared" si="369"/>
        <v>0.60542168674698793</v>
      </c>
      <c r="DR117" s="864">
        <f t="shared" si="369"/>
        <v>0.56714801444043317</v>
      </c>
      <c r="DS117" s="863">
        <f t="shared" si="369"/>
        <v>0.60360360360360366</v>
      </c>
      <c r="DT117" s="863">
        <f>DT$115/DT11</f>
        <v>0.6116207951070336</v>
      </c>
      <c r="DU117" s="863">
        <f>DU$115/DU11</f>
        <v>0.58369723435225618</v>
      </c>
      <c r="DV117" s="863">
        <f t="shared" ref="DV117:DW117" si="370">DV$115/DV11</f>
        <v>0.63446054750402581</v>
      </c>
      <c r="DW117" s="864">
        <f t="shared" si="370"/>
        <v>0.60768645357686457</v>
      </c>
      <c r="DX117" s="863"/>
      <c r="DY117" s="863"/>
      <c r="DZ117" s="863"/>
      <c r="EA117" s="863"/>
      <c r="EB117" s="864"/>
      <c r="EC117" s="863"/>
      <c r="ED117" s="863"/>
      <c r="EE117" s="863"/>
      <c r="EF117" s="863"/>
      <c r="EG117" s="864"/>
      <c r="EH117" s="863"/>
      <c r="EI117" s="863"/>
      <c r="EJ117" s="863"/>
      <c r="EK117" s="863"/>
      <c r="EL117" s="864"/>
      <c r="EM117" s="1"/>
      <c r="EN117"/>
      <c r="EO117"/>
      <c r="EP117"/>
      <c r="EQ117"/>
      <c r="ER117"/>
      <c r="ES117" s="7"/>
      <c r="ET117"/>
      <c r="EU117" s="7"/>
      <c r="EV117" s="7"/>
      <c r="EW117" s="7"/>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c r="HR117" s="3"/>
      <c r="HS117" s="3"/>
      <c r="HT117" s="3"/>
      <c r="HU117" s="3"/>
      <c r="HV117" s="3"/>
      <c r="HW117" s="3"/>
      <c r="HX117" s="3"/>
      <c r="HY117" s="3"/>
      <c r="HZ117" s="3"/>
      <c r="IA117" s="3"/>
      <c r="IB117" s="3"/>
      <c r="IC117" s="3"/>
      <c r="ID117" s="3"/>
      <c r="IE117" s="3"/>
      <c r="IF117" s="3"/>
      <c r="IG117" s="3"/>
      <c r="IH117" s="3"/>
      <c r="II117" s="3"/>
      <c r="IJ117" s="3"/>
      <c r="IK117" s="3"/>
      <c r="IL117" s="3"/>
      <c r="IM117" s="3"/>
      <c r="IN117" s="3"/>
      <c r="IO117" s="3"/>
      <c r="IP117" s="3"/>
      <c r="IQ117" s="3"/>
      <c r="IR117" s="3"/>
      <c r="IS117" s="3"/>
      <c r="IT117" s="3"/>
      <c r="IU117" s="3"/>
      <c r="IV117" s="3"/>
      <c r="IW117" s="3"/>
      <c r="IX117" s="3"/>
      <c r="IY117" s="3"/>
      <c r="IZ117" s="3"/>
      <c r="JA117" s="3"/>
      <c r="JB117" s="3"/>
      <c r="JC117" s="3"/>
      <c r="JD117" s="3"/>
      <c r="JE117" s="3"/>
      <c r="JF117" s="3"/>
      <c r="JG117" s="3"/>
      <c r="JH117" s="3"/>
      <c r="JI117" s="3"/>
      <c r="JJ117" s="3"/>
      <c r="JK117" s="3"/>
    </row>
    <row r="118" spans="1:271" s="11" customFormat="1" ht="12" hidden="1" customHeight="1" outlineLevel="1">
      <c r="A118" s="801"/>
      <c r="B118" s="557" t="s">
        <v>577</v>
      </c>
      <c r="C118" s="555"/>
      <c r="D118" s="863"/>
      <c r="E118" s="863"/>
      <c r="F118" s="863"/>
      <c r="G118" s="863"/>
      <c r="H118" s="864"/>
      <c r="I118" s="863"/>
      <c r="J118" s="863"/>
      <c r="K118" s="863"/>
      <c r="L118" s="863"/>
      <c r="M118" s="864"/>
      <c r="N118" s="863"/>
      <c r="O118" s="863"/>
      <c r="P118" s="863"/>
      <c r="Q118" s="863"/>
      <c r="R118" s="864"/>
      <c r="S118" s="863"/>
      <c r="T118" s="863"/>
      <c r="U118" s="863"/>
      <c r="V118" s="863"/>
      <c r="W118" s="864"/>
      <c r="X118" s="863"/>
      <c r="Y118" s="863"/>
      <c r="Z118" s="863"/>
      <c r="AA118" s="863"/>
      <c r="AB118" s="864"/>
      <c r="AC118" s="863"/>
      <c r="AD118" s="863"/>
      <c r="AE118" s="863"/>
      <c r="AF118" s="863"/>
      <c r="AG118" s="864"/>
      <c r="AH118" s="863"/>
      <c r="AI118" s="863"/>
      <c r="AJ118" s="863"/>
      <c r="AK118" s="863"/>
      <c r="AL118" s="864"/>
      <c r="AM118" s="863"/>
      <c r="AN118" s="863"/>
      <c r="AO118" s="863"/>
      <c r="AP118" s="863"/>
      <c r="AQ118" s="864"/>
      <c r="AR118" s="863"/>
      <c r="AS118" s="863"/>
      <c r="AT118" s="863"/>
      <c r="AU118" s="863"/>
      <c r="AV118" s="864"/>
      <c r="AW118" s="863"/>
      <c r="AX118" s="863"/>
      <c r="AY118" s="863"/>
      <c r="AZ118" s="863"/>
      <c r="BA118" s="863"/>
      <c r="BB118" s="863"/>
      <c r="BC118" s="863"/>
      <c r="BD118" s="863"/>
      <c r="BE118" s="864"/>
      <c r="BF118" s="863"/>
      <c r="BG118" s="863"/>
      <c r="BH118" s="863"/>
      <c r="BI118" s="863"/>
      <c r="BJ118" s="864"/>
      <c r="BK118" s="863"/>
      <c r="BL118" s="863"/>
      <c r="BM118" s="863"/>
      <c r="BN118" s="863"/>
      <c r="BO118" s="864"/>
      <c r="BP118" s="863"/>
      <c r="BQ118" s="863"/>
      <c r="BR118" s="863"/>
      <c r="BS118" s="863"/>
      <c r="BT118" s="864"/>
      <c r="BU118" s="863"/>
      <c r="BV118" s="863"/>
      <c r="BW118" s="863"/>
      <c r="BX118" s="863"/>
      <c r="BY118" s="864"/>
      <c r="BZ118" s="863"/>
      <c r="CA118" s="863"/>
      <c r="CB118" s="863"/>
      <c r="CC118" s="863"/>
      <c r="CD118" s="864"/>
      <c r="CE118" s="863"/>
      <c r="CF118" s="863"/>
      <c r="CG118" s="863"/>
      <c r="CH118" s="863"/>
      <c r="CI118" s="864"/>
      <c r="CJ118" s="863"/>
      <c r="CK118" s="863"/>
      <c r="CL118" s="863"/>
      <c r="CM118" s="863"/>
      <c r="CN118" s="864"/>
      <c r="CO118" s="863"/>
      <c r="CP118" s="863"/>
      <c r="CQ118" s="863"/>
      <c r="CR118" s="863"/>
      <c r="CS118" s="864"/>
      <c r="CT118" s="863"/>
      <c r="CU118" s="863"/>
      <c r="CV118" s="863"/>
      <c r="CW118" s="863"/>
      <c r="CX118" s="864"/>
      <c r="CY118" s="863">
        <f t="shared" ref="CY118:DS118" si="371">CY115/CY14</f>
        <v>8.8395475492249687E-2</v>
      </c>
      <c r="CZ118" s="863">
        <f t="shared" si="371"/>
        <v>9.0421139554087537E-2</v>
      </c>
      <c r="DA118" s="863">
        <f t="shared" si="371"/>
        <v>9.3438538205980068E-2</v>
      </c>
      <c r="DB118" s="863">
        <f t="shared" si="371"/>
        <v>6.7953667953667959E-2</v>
      </c>
      <c r="DC118" s="864">
        <f t="shared" si="371"/>
        <v>8.277787785984507E-2</v>
      </c>
      <c r="DD118" s="863">
        <f t="shared" si="371"/>
        <v>7.2592969943963317E-2</v>
      </c>
      <c r="DE118" s="863">
        <f t="shared" si="371"/>
        <v>7.050964868876794E-2</v>
      </c>
      <c r="DF118" s="863">
        <f t="shared" si="371"/>
        <v>7.0830342187126111E-2</v>
      </c>
      <c r="DG118" s="863">
        <f t="shared" si="371"/>
        <v>7.3187108325872871E-2</v>
      </c>
      <c r="DH118" s="864">
        <f t="shared" si="371"/>
        <v>7.18025880228709E-2</v>
      </c>
      <c r="DI118" s="863">
        <f t="shared" si="371"/>
        <v>7.730560578661845E-2</v>
      </c>
      <c r="DJ118" s="863">
        <f t="shared" si="371"/>
        <v>7.5690115761353524E-2</v>
      </c>
      <c r="DK118" s="863">
        <f t="shared" si="371"/>
        <v>7.3955669224211429E-2</v>
      </c>
      <c r="DL118" s="863">
        <f t="shared" si="371"/>
        <v>7.6402705929168327E-2</v>
      </c>
      <c r="DM118" s="864">
        <f t="shared" si="371"/>
        <v>7.5829129548137808E-2</v>
      </c>
      <c r="DN118" s="863">
        <f t="shared" si="371"/>
        <v>7.6328310864393345E-2</v>
      </c>
      <c r="DO118" s="863">
        <f t="shared" si="371"/>
        <v>7.9293344289235831E-2</v>
      </c>
      <c r="DP118" s="863">
        <f t="shared" si="371"/>
        <v>8.2078779129717463E-2</v>
      </c>
      <c r="DQ118" s="863">
        <f t="shared" si="371"/>
        <v>8.2716049382716053E-2</v>
      </c>
      <c r="DR118" s="864">
        <f t="shared" si="371"/>
        <v>8.0067274858569903E-2</v>
      </c>
      <c r="DS118" s="863">
        <f t="shared" si="371"/>
        <v>8.352378973613131E-2</v>
      </c>
      <c r="DT118" s="863">
        <f>DT115/DT14</f>
        <v>8.3298625572678045E-2</v>
      </c>
      <c r="DU118" s="863">
        <f>DU115/DU14</f>
        <v>8.744003488879197E-2</v>
      </c>
      <c r="DV118" s="863">
        <f t="shared" ref="DV118:DW118" si="372">DV115/DV14</f>
        <v>7.914825231016473E-2</v>
      </c>
      <c r="DW118" s="864">
        <f t="shared" si="372"/>
        <v>8.32681578810157E-2</v>
      </c>
      <c r="DX118" s="863"/>
      <c r="DY118" s="863"/>
      <c r="DZ118" s="863"/>
      <c r="EA118" s="863"/>
      <c r="EB118" s="864"/>
      <c r="EC118" s="863"/>
      <c r="ED118" s="863"/>
      <c r="EE118" s="863"/>
      <c r="EF118" s="863"/>
      <c r="EG118" s="864"/>
      <c r="EH118" s="863"/>
      <c r="EI118" s="863"/>
      <c r="EJ118" s="863"/>
      <c r="EK118" s="863"/>
      <c r="EL118" s="864"/>
      <c r="EM118" s="1"/>
      <c r="EN118"/>
      <c r="EO118"/>
      <c r="EP118"/>
      <c r="EQ118"/>
      <c r="ER118"/>
      <c r="ES118" s="7"/>
      <c r="ET118"/>
      <c r="EU118" s="7"/>
      <c r="EV118" s="7"/>
      <c r="EW118" s="7"/>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c r="HR118" s="3"/>
      <c r="HS118" s="3"/>
      <c r="HT118" s="3"/>
      <c r="HU118" s="3"/>
      <c r="HV118" s="3"/>
      <c r="HW118" s="3"/>
      <c r="HX118" s="3"/>
      <c r="HY118" s="3"/>
      <c r="HZ118" s="3"/>
      <c r="IA118" s="3"/>
      <c r="IB118" s="3"/>
      <c r="IC118" s="3"/>
      <c r="ID118" s="3"/>
      <c r="IE118" s="3"/>
      <c r="IF118" s="3"/>
      <c r="IG118" s="3"/>
      <c r="IH118" s="3"/>
      <c r="II118" s="3"/>
      <c r="IJ118" s="3"/>
      <c r="IK118" s="3"/>
      <c r="IL118" s="3"/>
      <c r="IM118" s="3"/>
      <c r="IN118" s="3"/>
      <c r="IO118" s="3"/>
      <c r="IP118" s="3"/>
      <c r="IQ118" s="3"/>
      <c r="IR118" s="3"/>
      <c r="IS118" s="3"/>
      <c r="IT118" s="3"/>
      <c r="IU118" s="3"/>
      <c r="IV118" s="3"/>
      <c r="IW118" s="3"/>
      <c r="IX118" s="3"/>
      <c r="IY118" s="3"/>
      <c r="IZ118" s="3"/>
      <c r="JA118" s="3"/>
      <c r="JB118" s="3"/>
      <c r="JC118" s="3"/>
      <c r="JD118" s="3"/>
      <c r="JE118" s="3"/>
      <c r="JF118" s="3"/>
      <c r="JG118" s="3"/>
      <c r="JH118" s="3"/>
      <c r="JI118" s="3"/>
      <c r="JJ118" s="3"/>
      <c r="JK118" s="3"/>
    </row>
    <row r="119" spans="1:271" s="11" customFormat="1" ht="12" hidden="1" customHeight="1" outlineLevel="1">
      <c r="A119" s="801"/>
      <c r="B119" s="557" t="s">
        <v>345</v>
      </c>
      <c r="C119" s="555"/>
      <c r="D119" s="876"/>
      <c r="E119" s="876"/>
      <c r="F119" s="876"/>
      <c r="G119" s="876"/>
      <c r="H119" s="877"/>
      <c r="I119" s="876"/>
      <c r="J119" s="876"/>
      <c r="K119" s="876"/>
      <c r="L119" s="876"/>
      <c r="M119" s="877"/>
      <c r="N119" s="876"/>
      <c r="O119" s="876"/>
      <c r="P119" s="876"/>
      <c r="Q119" s="876"/>
      <c r="R119" s="877"/>
      <c r="S119" s="876"/>
      <c r="T119" s="876"/>
      <c r="U119" s="876"/>
      <c r="V119" s="876"/>
      <c r="W119" s="877"/>
      <c r="X119" s="876"/>
      <c r="Y119" s="876"/>
      <c r="Z119" s="876"/>
      <c r="AA119" s="876"/>
      <c r="AB119" s="877"/>
      <c r="AC119" s="876"/>
      <c r="AD119" s="876"/>
      <c r="AE119" s="876"/>
      <c r="AF119" s="876"/>
      <c r="AG119" s="877"/>
      <c r="AH119" s="876"/>
      <c r="AI119" s="876"/>
      <c r="AJ119" s="876"/>
      <c r="AK119" s="876"/>
      <c r="AL119" s="877"/>
      <c r="AM119" s="876"/>
      <c r="AN119" s="876"/>
      <c r="AO119" s="876"/>
      <c r="AP119" s="876"/>
      <c r="AQ119" s="877"/>
      <c r="AR119" s="876"/>
      <c r="AS119" s="876"/>
      <c r="AT119" s="876"/>
      <c r="AU119" s="876"/>
      <c r="AV119" s="877"/>
      <c r="AW119" s="876"/>
      <c r="AX119" s="876"/>
      <c r="AY119" s="876"/>
      <c r="AZ119" s="876"/>
      <c r="BA119" s="876"/>
      <c r="BB119" s="876"/>
      <c r="BC119" s="876"/>
      <c r="BD119" s="876"/>
      <c r="BE119" s="877"/>
      <c r="BF119" s="876"/>
      <c r="BG119" s="876"/>
      <c r="BH119" s="876"/>
      <c r="BI119" s="876"/>
      <c r="BJ119" s="877"/>
      <c r="BK119" s="876"/>
      <c r="BL119" s="876"/>
      <c r="BM119" s="876"/>
      <c r="BN119" s="876"/>
      <c r="BO119" s="877"/>
      <c r="BP119" s="876"/>
      <c r="BQ119" s="876"/>
      <c r="BR119" s="876"/>
      <c r="BS119" s="876"/>
      <c r="BT119" s="877"/>
      <c r="BU119" s="876"/>
      <c r="BV119" s="876"/>
      <c r="BW119" s="876"/>
      <c r="BX119" s="876"/>
      <c r="BY119" s="877"/>
      <c r="BZ119" s="876"/>
      <c r="CA119" s="876"/>
      <c r="CB119" s="876"/>
      <c r="CC119" s="876"/>
      <c r="CD119" s="877"/>
      <c r="CE119" s="876"/>
      <c r="CF119" s="876"/>
      <c r="CG119" s="876"/>
      <c r="CH119" s="876"/>
      <c r="CI119" s="877"/>
      <c r="CJ119" s="876"/>
      <c r="CK119" s="876"/>
      <c r="CL119" s="876"/>
      <c r="CM119" s="876"/>
      <c r="CN119" s="877"/>
      <c r="CO119" s="876"/>
      <c r="CP119" s="876"/>
      <c r="CQ119" s="876"/>
      <c r="CR119" s="876"/>
      <c r="CS119" s="877"/>
      <c r="CT119" s="876"/>
      <c r="CU119" s="876"/>
      <c r="CV119" s="876"/>
      <c r="CW119" s="876"/>
      <c r="CX119" s="877"/>
      <c r="CY119" s="876">
        <v>32</v>
      </c>
      <c r="CZ119" s="876">
        <v>28</v>
      </c>
      <c r="DA119" s="876">
        <v>36</v>
      </c>
      <c r="DB119" s="876">
        <v>36</v>
      </c>
      <c r="DC119" s="877">
        <f>SUM(CY119:DB119)</f>
        <v>132</v>
      </c>
      <c r="DD119" s="876">
        <v>48</v>
      </c>
      <c r="DE119" s="876">
        <v>44</v>
      </c>
      <c r="DF119" s="876">
        <v>47</v>
      </c>
      <c r="DG119" s="876">
        <v>64</v>
      </c>
      <c r="DH119" s="877">
        <f>SUM(DD119:DG119)</f>
        <v>203</v>
      </c>
      <c r="DI119" s="876">
        <v>82</v>
      </c>
      <c r="DJ119" s="876">
        <v>60</v>
      </c>
      <c r="DK119" s="876">
        <v>61</v>
      </c>
      <c r="DL119" s="876">
        <v>61</v>
      </c>
      <c r="DM119" s="877">
        <f>SUM(DI119:DL119)</f>
        <v>264</v>
      </c>
      <c r="DN119" s="876">
        <v>63</v>
      </c>
      <c r="DO119" s="876">
        <v>63</v>
      </c>
      <c r="DP119" s="876">
        <v>79</v>
      </c>
      <c r="DQ119" s="876">
        <v>72</v>
      </c>
      <c r="DR119" s="877">
        <f>SUM(DN119:DQ119)</f>
        <v>277</v>
      </c>
      <c r="DS119" s="876">
        <v>65</v>
      </c>
      <c r="DT119" s="876">
        <v>60</v>
      </c>
      <c r="DU119" s="876">
        <v>79</v>
      </c>
      <c r="DV119" s="876">
        <v>79</v>
      </c>
      <c r="DW119" s="877">
        <f>SUM(DS119:DV119)</f>
        <v>283</v>
      </c>
      <c r="DX119" s="878"/>
      <c r="DY119" s="878"/>
      <c r="DZ119" s="878"/>
      <c r="EA119" s="878"/>
      <c r="EB119" s="877"/>
      <c r="EC119" s="878"/>
      <c r="ED119" s="878"/>
      <c r="EE119" s="878"/>
      <c r="EF119" s="878"/>
      <c r="EG119" s="877"/>
      <c r="EH119" s="878"/>
      <c r="EI119" s="878"/>
      <c r="EJ119" s="878"/>
      <c r="EK119" s="878"/>
      <c r="EL119" s="877"/>
      <c r="EM119" s="1"/>
      <c r="EN119"/>
      <c r="EO119"/>
      <c r="EP119"/>
      <c r="EQ119"/>
      <c r="ER119"/>
      <c r="ES119" s="7"/>
      <c r="ET119"/>
      <c r="EU119" s="7"/>
      <c r="EV119" s="7"/>
      <c r="EW119" s="7"/>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c r="HR119" s="3"/>
      <c r="HS119" s="3"/>
      <c r="HT119" s="3"/>
      <c r="HU119" s="3"/>
      <c r="HV119" s="3"/>
      <c r="HW119" s="3"/>
      <c r="HX119" s="3"/>
      <c r="HY119" s="3"/>
      <c r="HZ119" s="3"/>
      <c r="IA119" s="3"/>
      <c r="IB119" s="3"/>
      <c r="IC119" s="3"/>
      <c r="ID119" s="3"/>
      <c r="IE119" s="3"/>
      <c r="IF119" s="3"/>
      <c r="IG119" s="3"/>
      <c r="IH119" s="3"/>
      <c r="II119" s="3"/>
      <c r="IJ119" s="3"/>
      <c r="IK119" s="3"/>
      <c r="IL119" s="3"/>
      <c r="IM119" s="3"/>
      <c r="IN119" s="3"/>
      <c r="IO119" s="3"/>
      <c r="IP119" s="3"/>
      <c r="IQ119" s="3"/>
      <c r="IR119" s="3"/>
      <c r="IS119" s="3"/>
      <c r="IT119" s="3"/>
      <c r="IU119" s="3"/>
      <c r="IV119" s="3"/>
      <c r="IW119" s="3"/>
      <c r="IX119" s="3"/>
      <c r="IY119" s="3"/>
      <c r="IZ119" s="3"/>
      <c r="JA119" s="3"/>
      <c r="JB119" s="3"/>
      <c r="JC119" s="3"/>
      <c r="JD119" s="3"/>
      <c r="JE119" s="3"/>
      <c r="JF119" s="3"/>
      <c r="JG119" s="3"/>
      <c r="JH119" s="3"/>
      <c r="JI119" s="3"/>
      <c r="JJ119" s="3"/>
      <c r="JK119" s="3"/>
    </row>
    <row r="120" spans="1:271" s="82" customFormat="1" ht="12" hidden="1" customHeight="1" outlineLevel="1">
      <c r="A120" s="879"/>
      <c r="B120" s="880" t="s">
        <v>497</v>
      </c>
      <c r="C120" s="881"/>
      <c r="D120" s="882"/>
      <c r="E120" s="882"/>
      <c r="F120" s="882"/>
      <c r="G120" s="882"/>
      <c r="H120" s="883"/>
      <c r="I120" s="882"/>
      <c r="J120" s="882"/>
      <c r="K120" s="882"/>
      <c r="L120" s="882"/>
      <c r="M120" s="883"/>
      <c r="N120" s="882"/>
      <c r="O120" s="882"/>
      <c r="P120" s="882"/>
      <c r="Q120" s="882"/>
      <c r="R120" s="883"/>
      <c r="S120" s="882"/>
      <c r="T120" s="882"/>
      <c r="U120" s="882"/>
      <c r="V120" s="882"/>
      <c r="W120" s="883"/>
      <c r="X120" s="882"/>
      <c r="Y120" s="882"/>
      <c r="Z120" s="882"/>
      <c r="AA120" s="882"/>
      <c r="AB120" s="883"/>
      <c r="AC120" s="882"/>
      <c r="AD120" s="882"/>
      <c r="AE120" s="882"/>
      <c r="AF120" s="882"/>
      <c r="AG120" s="883"/>
      <c r="AH120" s="882"/>
      <c r="AI120" s="882"/>
      <c r="AJ120" s="882"/>
      <c r="AK120" s="882"/>
      <c r="AL120" s="883"/>
      <c r="AM120" s="882"/>
      <c r="AN120" s="882"/>
      <c r="AO120" s="882"/>
      <c r="AP120" s="882"/>
      <c r="AQ120" s="883"/>
      <c r="AR120" s="882"/>
      <c r="AS120" s="882"/>
      <c r="AT120" s="882"/>
      <c r="AU120" s="882"/>
      <c r="AV120" s="883"/>
      <c r="AW120" s="882"/>
      <c r="AX120" s="882"/>
      <c r="AY120" s="882"/>
      <c r="AZ120" s="882"/>
      <c r="BA120" s="882"/>
      <c r="BB120" s="882"/>
      <c r="BC120" s="882"/>
      <c r="BD120" s="882"/>
      <c r="BE120" s="883"/>
      <c r="BF120" s="882"/>
      <c r="BG120" s="882"/>
      <c r="BH120" s="882"/>
      <c r="BI120" s="882"/>
      <c r="BJ120" s="883"/>
      <c r="BK120" s="882"/>
      <c r="BL120" s="882"/>
      <c r="BM120" s="882"/>
      <c r="BN120" s="882"/>
      <c r="BO120" s="883"/>
      <c r="BP120" s="882"/>
      <c r="BQ120" s="882"/>
      <c r="BR120" s="882"/>
      <c r="BS120" s="882"/>
      <c r="BT120" s="883"/>
      <c r="BU120" s="882"/>
      <c r="BV120" s="882"/>
      <c r="BW120" s="882"/>
      <c r="BX120" s="882"/>
      <c r="BY120" s="883"/>
      <c r="BZ120" s="882"/>
      <c r="CA120" s="882"/>
      <c r="CB120" s="882"/>
      <c r="CC120" s="882"/>
      <c r="CD120" s="883"/>
      <c r="CE120" s="882"/>
      <c r="CF120" s="882"/>
      <c r="CG120" s="882"/>
      <c r="CH120" s="882"/>
      <c r="CI120" s="883"/>
      <c r="CJ120" s="882"/>
      <c r="CK120" s="882"/>
      <c r="CL120" s="882"/>
      <c r="CM120" s="882"/>
      <c r="CN120" s="883"/>
      <c r="CO120" s="882"/>
      <c r="CP120" s="882"/>
      <c r="CQ120" s="882"/>
      <c r="CR120" s="882"/>
      <c r="CS120" s="883"/>
      <c r="CT120" s="882"/>
      <c r="CU120" s="882"/>
      <c r="CV120" s="882"/>
      <c r="CW120" s="882"/>
      <c r="CX120" s="883"/>
      <c r="CY120" s="882">
        <v>0.28000000000000003</v>
      </c>
      <c r="CZ120" s="882">
        <v>0.12</v>
      </c>
      <c r="DA120" s="882">
        <v>0.5</v>
      </c>
      <c r="DB120" s="882">
        <v>0.16</v>
      </c>
      <c r="DC120" s="883"/>
      <c r="DD120" s="882">
        <v>0.5</v>
      </c>
      <c r="DE120" s="882">
        <v>0.3</v>
      </c>
      <c r="DF120" s="882">
        <v>0.30599999999999999</v>
      </c>
      <c r="DG120" s="882">
        <v>0.78</v>
      </c>
      <c r="DH120" s="883">
        <v>0.3</v>
      </c>
      <c r="DI120" s="882">
        <f>DI119/DD119-1</f>
        <v>0.70833333333333326</v>
      </c>
      <c r="DJ120" s="882">
        <f>DJ119/DE119-1</f>
        <v>0.36363636363636354</v>
      </c>
      <c r="DK120" s="882">
        <f>DK119/DF119-1</f>
        <v>0.2978723404255319</v>
      </c>
      <c r="DL120" s="882">
        <f>DL119/DG119-1</f>
        <v>-4.6875E-2</v>
      </c>
      <c r="DM120" s="883">
        <f t="shared" ref="DM120:DW120" si="373">DM119/DH119-1</f>
        <v>0.30049261083743839</v>
      </c>
      <c r="DN120" s="882">
        <f t="shared" si="373"/>
        <v>-0.23170731707317072</v>
      </c>
      <c r="DO120" s="882">
        <f t="shared" si="373"/>
        <v>5.0000000000000044E-2</v>
      </c>
      <c r="DP120" s="882">
        <f t="shared" si="373"/>
        <v>0.29508196721311486</v>
      </c>
      <c r="DQ120" s="882">
        <f t="shared" si="373"/>
        <v>0.18032786885245899</v>
      </c>
      <c r="DR120" s="883">
        <f t="shared" si="373"/>
        <v>4.924242424242431E-2</v>
      </c>
      <c r="DS120" s="882">
        <f t="shared" si="373"/>
        <v>3.1746031746031855E-2</v>
      </c>
      <c r="DT120" s="882">
        <f t="shared" si="373"/>
        <v>-4.7619047619047672E-2</v>
      </c>
      <c r="DU120" s="882">
        <f t="shared" si="373"/>
        <v>0</v>
      </c>
      <c r="DV120" s="882">
        <f t="shared" si="373"/>
        <v>9.7222222222222321E-2</v>
      </c>
      <c r="DW120" s="883">
        <f t="shared" si="373"/>
        <v>2.1660649819494671E-2</v>
      </c>
      <c r="DX120" s="882"/>
      <c r="DY120" s="882"/>
      <c r="DZ120" s="882"/>
      <c r="EA120" s="882"/>
      <c r="EB120" s="883"/>
      <c r="EC120" s="882"/>
      <c r="ED120" s="882"/>
      <c r="EE120" s="882"/>
      <c r="EF120" s="882"/>
      <c r="EG120" s="883"/>
      <c r="EH120" s="882"/>
      <c r="EI120" s="882"/>
      <c r="EJ120" s="882"/>
      <c r="EK120" s="882"/>
      <c r="EL120" s="883"/>
      <c r="EN120"/>
      <c r="EO120"/>
      <c r="EP120"/>
      <c r="EQ120"/>
      <c r="ER120"/>
      <c r="ES120" s="83"/>
      <c r="ET120"/>
      <c r="EU120" s="83"/>
      <c r="EV120" s="83"/>
      <c r="EW120" s="83"/>
    </row>
    <row r="121" spans="1:271" s="11" customFormat="1" ht="12" hidden="1" customHeight="1" outlineLevel="1">
      <c r="A121" s="801"/>
      <c r="B121" s="557" t="s">
        <v>380</v>
      </c>
      <c r="C121" s="555"/>
      <c r="D121" s="863"/>
      <c r="E121" s="863"/>
      <c r="F121" s="863"/>
      <c r="G121" s="863"/>
      <c r="H121" s="864"/>
      <c r="I121" s="863"/>
      <c r="J121" s="863"/>
      <c r="K121" s="863"/>
      <c r="L121" s="863"/>
      <c r="M121" s="864"/>
      <c r="N121" s="863"/>
      <c r="O121" s="863"/>
      <c r="P121" s="863"/>
      <c r="Q121" s="863"/>
      <c r="R121" s="864"/>
      <c r="S121" s="863"/>
      <c r="T121" s="863"/>
      <c r="U121" s="863"/>
      <c r="V121" s="863"/>
      <c r="W121" s="864"/>
      <c r="X121" s="863"/>
      <c r="Y121" s="863"/>
      <c r="Z121" s="863"/>
      <c r="AA121" s="863"/>
      <c r="AB121" s="864"/>
      <c r="AC121" s="863"/>
      <c r="AD121" s="863"/>
      <c r="AE121" s="863"/>
      <c r="AF121" s="863"/>
      <c r="AG121" s="864"/>
      <c r="AH121" s="863"/>
      <c r="AI121" s="863"/>
      <c r="AJ121" s="863"/>
      <c r="AK121" s="863"/>
      <c r="AL121" s="864"/>
      <c r="AM121" s="863"/>
      <c r="AN121" s="863"/>
      <c r="AO121" s="863"/>
      <c r="AP121" s="863"/>
      <c r="AQ121" s="864"/>
      <c r="AR121" s="863"/>
      <c r="AS121" s="863"/>
      <c r="AT121" s="863"/>
      <c r="AU121" s="863"/>
      <c r="AV121" s="864"/>
      <c r="AW121" s="863"/>
      <c r="AX121" s="863"/>
      <c r="AY121" s="863"/>
      <c r="AZ121" s="863"/>
      <c r="BA121" s="863"/>
      <c r="BB121" s="863"/>
      <c r="BC121" s="863"/>
      <c r="BD121" s="863"/>
      <c r="BE121" s="864"/>
      <c r="BF121" s="863"/>
      <c r="BG121" s="863"/>
      <c r="BH121" s="863"/>
      <c r="BI121" s="863"/>
      <c r="BJ121" s="864"/>
      <c r="BK121" s="863"/>
      <c r="BL121" s="863"/>
      <c r="BM121" s="863"/>
      <c r="BN121" s="863"/>
      <c r="BO121" s="864"/>
      <c r="BP121" s="863"/>
      <c r="BQ121" s="863"/>
      <c r="BR121" s="863"/>
      <c r="BS121" s="863"/>
      <c r="BT121" s="864"/>
      <c r="BU121" s="863"/>
      <c r="BV121" s="863"/>
      <c r="BW121" s="863"/>
      <c r="BX121" s="863"/>
      <c r="BY121" s="864"/>
      <c r="BZ121" s="863"/>
      <c r="CA121" s="863"/>
      <c r="CB121" s="863"/>
      <c r="CC121" s="863"/>
      <c r="CD121" s="864"/>
      <c r="CE121" s="863"/>
      <c r="CF121" s="863"/>
      <c r="CG121" s="863"/>
      <c r="CH121" s="863"/>
      <c r="CI121" s="864"/>
      <c r="CJ121" s="863"/>
      <c r="CK121" s="863"/>
      <c r="CL121" s="863"/>
      <c r="CM121" s="863"/>
      <c r="CN121" s="864"/>
      <c r="CO121" s="863"/>
      <c r="CP121" s="863"/>
      <c r="CQ121" s="863"/>
      <c r="CR121" s="863"/>
      <c r="CS121" s="864"/>
      <c r="CT121" s="863"/>
      <c r="CU121" s="863"/>
      <c r="CV121" s="863"/>
      <c r="CW121" s="863"/>
      <c r="CX121" s="864"/>
      <c r="CY121" s="863">
        <f>CY119/CY115</f>
        <v>0.15165876777251186</v>
      </c>
      <c r="CZ121" s="863">
        <f>CZ119/CZ115</f>
        <v>0.12785388127853881</v>
      </c>
      <c r="DA121" s="863">
        <f>DA119/DA115</f>
        <v>0.16</v>
      </c>
      <c r="DB121" s="863">
        <f t="shared" ref="DB121:DM121" si="374">DB119/DB115</f>
        <v>0.13636363636363635</v>
      </c>
      <c r="DC121" s="864">
        <f t="shared" si="374"/>
        <v>0.14363438520130578</v>
      </c>
      <c r="DD121" s="863">
        <f t="shared" si="374"/>
        <v>0.16842105263157894</v>
      </c>
      <c r="DE121" s="863">
        <f t="shared" si="374"/>
        <v>0.15438596491228071</v>
      </c>
      <c r="DF121" s="863">
        <f t="shared" si="374"/>
        <v>0.15878378378378377</v>
      </c>
      <c r="DG121" s="863">
        <f t="shared" si="374"/>
        <v>0.19571865443425077</v>
      </c>
      <c r="DH121" s="864">
        <f t="shared" si="374"/>
        <v>0.17015926236378875</v>
      </c>
      <c r="DI121" s="863">
        <f t="shared" si="374"/>
        <v>0.23976608187134502</v>
      </c>
      <c r="DJ121" s="863">
        <f t="shared" si="374"/>
        <v>0.17647058823529413</v>
      </c>
      <c r="DK121" s="863">
        <f t="shared" si="374"/>
        <v>0.17579250720461095</v>
      </c>
      <c r="DL121" s="863">
        <f t="shared" si="374"/>
        <v>0.15885416666666666</v>
      </c>
      <c r="DM121" s="864">
        <f t="shared" si="374"/>
        <v>0.18683651804670912</v>
      </c>
      <c r="DN121" s="863">
        <f t="shared" ref="DN121:DU121" si="375">DN119/DN115</f>
        <v>0.16363636363636364</v>
      </c>
      <c r="DO121" s="863">
        <f t="shared" si="375"/>
        <v>0.16321243523316062</v>
      </c>
      <c r="DP121" s="863">
        <f t="shared" si="375"/>
        <v>0.19849246231155779</v>
      </c>
      <c r="DQ121" s="863">
        <f t="shared" si="375"/>
        <v>0.17910447761194029</v>
      </c>
      <c r="DR121" s="864">
        <f t="shared" si="375"/>
        <v>0.1763208147676639</v>
      </c>
      <c r="DS121" s="863">
        <f t="shared" si="375"/>
        <v>0.16169154228855723</v>
      </c>
      <c r="DT121" s="863">
        <f t="shared" si="375"/>
        <v>0.15</v>
      </c>
      <c r="DU121" s="863">
        <f t="shared" si="375"/>
        <v>0.1970074812967581</v>
      </c>
      <c r="DV121" s="863">
        <f t="shared" ref="DV121:DW121" si="376">DV119/DV115</f>
        <v>0.20050761421319796</v>
      </c>
      <c r="DW121" s="864">
        <f t="shared" si="376"/>
        <v>0.17720726361928615</v>
      </c>
      <c r="DX121" s="863"/>
      <c r="DY121" s="863"/>
      <c r="DZ121" s="863"/>
      <c r="EA121" s="863"/>
      <c r="EB121" s="864"/>
      <c r="EC121" s="863"/>
      <c r="ED121" s="863"/>
      <c r="EE121" s="863"/>
      <c r="EF121" s="863"/>
      <c r="EG121" s="864"/>
      <c r="EH121" s="863"/>
      <c r="EI121" s="863"/>
      <c r="EJ121" s="863"/>
      <c r="EK121" s="863"/>
      <c r="EL121" s="864"/>
      <c r="EM121" s="1"/>
      <c r="EN121"/>
      <c r="EO121"/>
      <c r="EP121"/>
      <c r="EQ121"/>
      <c r="ER121"/>
      <c r="ES121" s="7"/>
      <c r="ET121"/>
      <c r="EU121" s="7"/>
      <c r="EV121" s="7"/>
      <c r="EW121" s="7"/>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c r="HR121" s="3"/>
      <c r="HS121" s="3"/>
      <c r="HT121" s="3"/>
      <c r="HU121" s="3"/>
      <c r="HV121" s="3"/>
      <c r="HW121" s="3"/>
      <c r="HX121" s="3"/>
      <c r="HY121" s="3"/>
      <c r="HZ121" s="3"/>
      <c r="IA121" s="3"/>
      <c r="IB121" s="3"/>
      <c r="IC121" s="3"/>
      <c r="ID121" s="3"/>
      <c r="IE121" s="3"/>
      <c r="IF121" s="3"/>
      <c r="IG121" s="3"/>
      <c r="IH121" s="3"/>
      <c r="II121" s="3"/>
      <c r="IJ121" s="3"/>
      <c r="IK121" s="3"/>
      <c r="IL121" s="3"/>
      <c r="IM121" s="3"/>
      <c r="IN121" s="3"/>
      <c r="IO121" s="3"/>
      <c r="IP121" s="3"/>
      <c r="IQ121" s="3"/>
      <c r="IR121" s="3"/>
      <c r="IS121" s="3"/>
      <c r="IT121" s="3"/>
      <c r="IU121" s="3"/>
      <c r="IV121" s="3"/>
      <c r="IW121" s="3"/>
      <c r="IX121" s="3"/>
      <c r="IY121" s="3"/>
      <c r="IZ121" s="3"/>
      <c r="JA121" s="3"/>
      <c r="JB121" s="3"/>
      <c r="JC121" s="3"/>
      <c r="JD121" s="3"/>
      <c r="JE121" s="3"/>
      <c r="JF121" s="3"/>
      <c r="JG121" s="3"/>
      <c r="JH121" s="3"/>
      <c r="JI121" s="3"/>
      <c r="JJ121" s="3"/>
      <c r="JK121" s="3"/>
    </row>
    <row r="122" spans="1:271" s="11" customFormat="1" ht="12" hidden="1" customHeight="1" outlineLevel="1">
      <c r="A122" s="801"/>
      <c r="B122" s="557" t="s">
        <v>578</v>
      </c>
      <c r="C122" s="555"/>
      <c r="D122" s="863"/>
      <c r="E122" s="863"/>
      <c r="F122" s="863"/>
      <c r="G122" s="863"/>
      <c r="H122" s="864"/>
      <c r="I122" s="863"/>
      <c r="J122" s="863"/>
      <c r="K122" s="863"/>
      <c r="L122" s="863"/>
      <c r="M122" s="864"/>
      <c r="N122" s="863"/>
      <c r="O122" s="863"/>
      <c r="P122" s="863"/>
      <c r="Q122" s="863"/>
      <c r="R122" s="864"/>
      <c r="S122" s="863"/>
      <c r="T122" s="863"/>
      <c r="U122" s="863"/>
      <c r="V122" s="863"/>
      <c r="W122" s="864"/>
      <c r="X122" s="863"/>
      <c r="Y122" s="863"/>
      <c r="Z122" s="863"/>
      <c r="AA122" s="863"/>
      <c r="AB122" s="864"/>
      <c r="AC122" s="863"/>
      <c r="AD122" s="863"/>
      <c r="AE122" s="863"/>
      <c r="AF122" s="863"/>
      <c r="AG122" s="864"/>
      <c r="AH122" s="863"/>
      <c r="AI122" s="863"/>
      <c r="AJ122" s="863"/>
      <c r="AK122" s="863"/>
      <c r="AL122" s="864"/>
      <c r="AM122" s="863"/>
      <c r="AN122" s="863"/>
      <c r="AO122" s="863"/>
      <c r="AP122" s="863"/>
      <c r="AQ122" s="864"/>
      <c r="AR122" s="863"/>
      <c r="AS122" s="863"/>
      <c r="AT122" s="863"/>
      <c r="AU122" s="863"/>
      <c r="AV122" s="864"/>
      <c r="AW122" s="863"/>
      <c r="AX122" s="863"/>
      <c r="AY122" s="863"/>
      <c r="AZ122" s="863"/>
      <c r="BA122" s="863"/>
      <c r="BB122" s="863"/>
      <c r="BC122" s="863"/>
      <c r="BD122" s="863"/>
      <c r="BE122" s="864"/>
      <c r="BF122" s="863"/>
      <c r="BG122" s="863"/>
      <c r="BH122" s="863"/>
      <c r="BI122" s="863"/>
      <c r="BJ122" s="864"/>
      <c r="BK122" s="863"/>
      <c r="BL122" s="863"/>
      <c r="BM122" s="863"/>
      <c r="BN122" s="863"/>
      <c r="BO122" s="864"/>
      <c r="BP122" s="863"/>
      <c r="BQ122" s="863"/>
      <c r="BR122" s="863"/>
      <c r="BS122" s="863"/>
      <c r="BT122" s="864"/>
      <c r="BU122" s="863"/>
      <c r="BV122" s="863"/>
      <c r="BW122" s="863"/>
      <c r="BX122" s="863"/>
      <c r="BY122" s="864"/>
      <c r="BZ122" s="863"/>
      <c r="CA122" s="863"/>
      <c r="CB122" s="863"/>
      <c r="CC122" s="863"/>
      <c r="CD122" s="864"/>
      <c r="CE122" s="863"/>
      <c r="CF122" s="863"/>
      <c r="CG122" s="863"/>
      <c r="CH122" s="863"/>
      <c r="CI122" s="864"/>
      <c r="CJ122" s="863"/>
      <c r="CK122" s="863"/>
      <c r="CL122" s="863"/>
      <c r="CM122" s="863"/>
      <c r="CN122" s="864"/>
      <c r="CO122" s="863"/>
      <c r="CP122" s="863"/>
      <c r="CQ122" s="863"/>
      <c r="CR122" s="863"/>
      <c r="CS122" s="864"/>
      <c r="CT122" s="863"/>
      <c r="CU122" s="863"/>
      <c r="CV122" s="863"/>
      <c r="CW122" s="863"/>
      <c r="CX122" s="864"/>
      <c r="CY122" s="863">
        <f>CY119/CY85</f>
        <v>0.11678832116788321</v>
      </c>
      <c r="CZ122" s="863">
        <f>CZ119/CZ85</f>
        <v>8.3333333333333329E-2</v>
      </c>
      <c r="DA122" s="863">
        <f>DA119/DA85</f>
        <v>0.125</v>
      </c>
      <c r="DB122" s="863">
        <f t="shared" ref="DB122:DM122" si="377">DB119/DB85</f>
        <v>8.1081081081081086E-2</v>
      </c>
      <c r="DC122" s="864">
        <f t="shared" si="377"/>
        <v>9.8360655737704916E-2</v>
      </c>
      <c r="DD122" s="863">
        <f t="shared" si="377"/>
        <v>0.12403100775193798</v>
      </c>
      <c r="DE122" s="863">
        <f t="shared" si="377"/>
        <v>9.5652173913043481E-2</v>
      </c>
      <c r="DF122" s="863">
        <f t="shared" si="377"/>
        <v>0.10239651416122005</v>
      </c>
      <c r="DG122" s="863">
        <f t="shared" si="377"/>
        <v>9.9071207430340563E-2</v>
      </c>
      <c r="DH122" s="864">
        <f t="shared" si="377"/>
        <v>0.10399590163934426</v>
      </c>
      <c r="DI122" s="863">
        <f t="shared" si="377"/>
        <v>0.15500945179584122</v>
      </c>
      <c r="DJ122" s="863">
        <f t="shared" si="377"/>
        <v>0.10563380281690141</v>
      </c>
      <c r="DK122" s="863">
        <f t="shared" si="377"/>
        <v>0.10777385159010601</v>
      </c>
      <c r="DL122" s="863">
        <f t="shared" si="377"/>
        <v>7.634543178973717E-2</v>
      </c>
      <c r="DM122" s="864">
        <f t="shared" si="377"/>
        <v>0.10722989439480098</v>
      </c>
      <c r="DN122" s="863">
        <f t="shared" ref="DN122:DU122" si="378">DN119/DN85</f>
        <v>0.10277324632952692</v>
      </c>
      <c r="DO122" s="863">
        <f t="shared" si="378"/>
        <v>0.10210696920583469</v>
      </c>
      <c r="DP122" s="863">
        <f t="shared" si="378"/>
        <v>0.13859649122807016</v>
      </c>
      <c r="DQ122" s="863">
        <f t="shared" si="378"/>
        <v>0.11745513866231648</v>
      </c>
      <c r="DR122" s="864">
        <f t="shared" si="378"/>
        <v>0.10803432137285492</v>
      </c>
      <c r="DS122" s="863">
        <f t="shared" si="378"/>
        <v>0.12333965844402277</v>
      </c>
      <c r="DT122" s="863">
        <f t="shared" si="378"/>
        <v>0.10526315789473684</v>
      </c>
      <c r="DU122" s="863">
        <f t="shared" si="378"/>
        <v>0.15581854043392504</v>
      </c>
      <c r="DV122" s="863">
        <f t="shared" ref="DV122:DW122" si="379">DV119/DV85</f>
        <v>9.4047619047619047E-2</v>
      </c>
      <c r="DW122" s="864">
        <f t="shared" si="379"/>
        <v>0.11579378068739771</v>
      </c>
      <c r="DX122" s="863"/>
      <c r="DY122" s="863"/>
      <c r="DZ122" s="863"/>
      <c r="EA122" s="863"/>
      <c r="EB122" s="864"/>
      <c r="EC122" s="863"/>
      <c r="ED122" s="863"/>
      <c r="EE122" s="863"/>
      <c r="EF122" s="863"/>
      <c r="EG122" s="864"/>
      <c r="EH122" s="863"/>
      <c r="EI122" s="863"/>
      <c r="EJ122" s="863"/>
      <c r="EK122" s="863"/>
      <c r="EL122" s="864"/>
      <c r="EM122" s="1"/>
      <c r="EN122"/>
      <c r="EO122"/>
      <c r="EP122"/>
      <c r="EQ122"/>
      <c r="ER122"/>
      <c r="ES122" s="7"/>
      <c r="ET122"/>
      <c r="EU122" s="7"/>
      <c r="EV122" s="7"/>
      <c r="EW122" s="7"/>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c r="HR122" s="3"/>
      <c r="HS122" s="3"/>
      <c r="HT122" s="3"/>
      <c r="HU122" s="3"/>
      <c r="HV122" s="3"/>
      <c r="HW122" s="3"/>
      <c r="HX122" s="3"/>
      <c r="HY122" s="3"/>
      <c r="HZ122" s="3"/>
      <c r="IA122" s="3"/>
      <c r="IB122" s="3"/>
      <c r="IC122" s="3"/>
      <c r="ID122" s="3"/>
      <c r="IE122" s="3"/>
      <c r="IF122" s="3"/>
      <c r="IG122" s="3"/>
      <c r="IH122" s="3"/>
      <c r="II122" s="3"/>
      <c r="IJ122" s="3"/>
      <c r="IK122" s="3"/>
      <c r="IL122" s="3"/>
      <c r="IM122" s="3"/>
      <c r="IN122" s="3"/>
      <c r="IO122" s="3"/>
      <c r="IP122" s="3"/>
      <c r="IQ122" s="3"/>
      <c r="IR122" s="3"/>
      <c r="IS122" s="3"/>
      <c r="IT122" s="3"/>
      <c r="IU122" s="3"/>
      <c r="IV122" s="3"/>
      <c r="IW122" s="3"/>
      <c r="IX122" s="3"/>
      <c r="IY122" s="3"/>
      <c r="IZ122" s="3"/>
      <c r="JA122" s="3"/>
      <c r="JB122" s="3"/>
      <c r="JC122" s="3"/>
      <c r="JD122" s="3"/>
      <c r="JE122" s="3"/>
      <c r="JF122" s="3"/>
      <c r="JG122" s="3"/>
      <c r="JH122" s="3"/>
      <c r="JI122" s="3"/>
      <c r="JJ122" s="3"/>
      <c r="JK122" s="3"/>
    </row>
    <row r="123" spans="1:271" s="11" customFormat="1" ht="12" hidden="1" customHeight="1" outlineLevel="1">
      <c r="A123" s="818"/>
      <c r="B123" s="556"/>
      <c r="C123" s="556"/>
      <c r="D123" s="874"/>
      <c r="E123" s="874"/>
      <c r="F123" s="874"/>
      <c r="G123" s="874"/>
      <c r="H123" s="875"/>
      <c r="I123" s="874"/>
      <c r="J123" s="874"/>
      <c r="K123" s="874"/>
      <c r="L123" s="874"/>
      <c r="M123" s="875"/>
      <c r="N123" s="874"/>
      <c r="O123" s="874"/>
      <c r="P123" s="874"/>
      <c r="Q123" s="874"/>
      <c r="R123" s="875"/>
      <c r="S123" s="874"/>
      <c r="T123" s="874"/>
      <c r="U123" s="874"/>
      <c r="V123" s="874"/>
      <c r="W123" s="875"/>
      <c r="X123" s="874"/>
      <c r="Y123" s="874"/>
      <c r="Z123" s="874"/>
      <c r="AA123" s="874"/>
      <c r="AB123" s="875"/>
      <c r="AC123" s="874"/>
      <c r="AD123" s="874"/>
      <c r="AE123" s="874"/>
      <c r="AF123" s="874"/>
      <c r="AG123" s="875"/>
      <c r="AH123" s="874"/>
      <c r="AI123" s="874"/>
      <c r="AJ123" s="874"/>
      <c r="AK123" s="874"/>
      <c r="AL123" s="875"/>
      <c r="AM123" s="874"/>
      <c r="AN123" s="874"/>
      <c r="AO123" s="874"/>
      <c r="AP123" s="874"/>
      <c r="AQ123" s="875"/>
      <c r="AR123" s="874"/>
      <c r="AS123" s="874"/>
      <c r="AT123" s="874"/>
      <c r="AU123" s="874"/>
      <c r="AV123" s="875"/>
      <c r="AW123" s="874"/>
      <c r="AX123" s="874"/>
      <c r="AY123" s="874"/>
      <c r="AZ123" s="874"/>
      <c r="BA123" s="874"/>
      <c r="BB123" s="874"/>
      <c r="BC123" s="874"/>
      <c r="BD123" s="874"/>
      <c r="BE123" s="875"/>
      <c r="BF123" s="874"/>
      <c r="BG123" s="874"/>
      <c r="BH123" s="874"/>
      <c r="BI123" s="874"/>
      <c r="BJ123" s="875"/>
      <c r="BK123" s="874"/>
      <c r="BL123" s="874"/>
      <c r="BM123" s="874"/>
      <c r="BN123" s="874"/>
      <c r="BO123" s="875"/>
      <c r="BP123" s="874"/>
      <c r="BQ123" s="874"/>
      <c r="BR123" s="874"/>
      <c r="BS123" s="874"/>
      <c r="BT123" s="875"/>
      <c r="BU123" s="874"/>
      <c r="BV123" s="874"/>
      <c r="BW123" s="874"/>
      <c r="BX123" s="874"/>
      <c r="BY123" s="875"/>
      <c r="BZ123" s="874"/>
      <c r="CA123" s="874"/>
      <c r="CB123" s="874"/>
      <c r="CC123" s="874"/>
      <c r="CD123" s="875"/>
      <c r="CE123" s="874"/>
      <c r="CF123" s="874"/>
      <c r="CG123" s="874"/>
      <c r="CH123" s="874"/>
      <c r="CI123" s="875"/>
      <c r="CJ123" s="874"/>
      <c r="CK123" s="874"/>
      <c r="CL123" s="874"/>
      <c r="CM123" s="874"/>
      <c r="CN123" s="875"/>
      <c r="CO123" s="874"/>
      <c r="CP123" s="874"/>
      <c r="CQ123" s="874"/>
      <c r="CR123" s="874"/>
      <c r="CS123" s="875"/>
      <c r="CT123" s="874"/>
      <c r="CU123" s="874"/>
      <c r="CV123" s="874"/>
      <c r="CW123" s="874"/>
      <c r="CX123" s="875"/>
      <c r="CY123" s="874"/>
      <c r="CZ123" s="874"/>
      <c r="DA123" s="874"/>
      <c r="DB123" s="874"/>
      <c r="DC123" s="875"/>
      <c r="DD123" s="874"/>
      <c r="DE123" s="874"/>
      <c r="DF123" s="874"/>
      <c r="DG123" s="874"/>
      <c r="DH123" s="875"/>
      <c r="DI123" s="874"/>
      <c r="DJ123" s="874"/>
      <c r="DK123" s="874"/>
      <c r="DL123" s="874"/>
      <c r="DM123" s="875"/>
      <c r="DN123" s="874"/>
      <c r="DO123" s="874"/>
      <c r="DP123" s="874"/>
      <c r="DQ123" s="874"/>
      <c r="DR123" s="875"/>
      <c r="DS123" s="874"/>
      <c r="DT123" s="874"/>
      <c r="DU123" s="874"/>
      <c r="DV123" s="874"/>
      <c r="DW123" s="875"/>
      <c r="DX123" s="874"/>
      <c r="DY123" s="874"/>
      <c r="DZ123" s="874"/>
      <c r="EA123" s="874"/>
      <c r="EB123" s="875"/>
      <c r="EC123" s="874"/>
      <c r="ED123" s="874"/>
      <c r="EE123" s="874"/>
      <c r="EF123" s="874"/>
      <c r="EG123" s="875"/>
      <c r="EH123" s="874"/>
      <c r="EI123" s="874"/>
      <c r="EJ123" s="874"/>
      <c r="EK123" s="874"/>
      <c r="EL123" s="875"/>
      <c r="EM123" s="1"/>
      <c r="EN123"/>
      <c r="EO123"/>
      <c r="EP123"/>
      <c r="EQ123"/>
      <c r="ER123"/>
      <c r="ES123" s="7"/>
      <c r="ET123"/>
      <c r="EU123" s="7"/>
      <c r="EV123" s="7"/>
      <c r="EW123" s="7"/>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c r="HR123" s="3"/>
      <c r="HS123" s="3"/>
      <c r="HT123" s="3"/>
      <c r="HU123" s="3"/>
      <c r="HV123" s="3"/>
      <c r="HW123" s="3"/>
      <c r="HX123" s="3"/>
      <c r="HY123" s="3"/>
      <c r="HZ123" s="3"/>
      <c r="IA123" s="3"/>
      <c r="IB123" s="3"/>
      <c r="IC123" s="3"/>
      <c r="ID123" s="3"/>
      <c r="IE123" s="3"/>
      <c r="IF123" s="3"/>
      <c r="IG123" s="3"/>
      <c r="IH123" s="3"/>
      <c r="II123" s="3"/>
      <c r="IJ123" s="3"/>
      <c r="IK123" s="3"/>
      <c r="IL123" s="3"/>
      <c r="IM123" s="3"/>
      <c r="IN123" s="3"/>
      <c r="IO123" s="3"/>
      <c r="IP123" s="3"/>
      <c r="IQ123" s="3"/>
      <c r="IR123" s="3"/>
      <c r="IS123" s="3"/>
      <c r="IT123" s="3"/>
      <c r="IU123" s="3"/>
      <c r="IV123" s="3"/>
      <c r="IW123" s="3"/>
      <c r="IX123" s="3"/>
      <c r="IY123" s="3"/>
      <c r="IZ123" s="3"/>
      <c r="JA123" s="3"/>
      <c r="JB123" s="3"/>
      <c r="JC123" s="3"/>
      <c r="JD123" s="3"/>
      <c r="JE123" s="3"/>
      <c r="JF123" s="3"/>
      <c r="JG123" s="3"/>
      <c r="JH123" s="3"/>
      <c r="JI123" s="3"/>
      <c r="JJ123" s="3"/>
      <c r="JK123" s="3"/>
    </row>
    <row r="124" spans="1:271" s="11" customFormat="1" ht="3" hidden="1" customHeight="1" outlineLevel="1">
      <c r="A124" s="555"/>
      <c r="B124" s="555"/>
      <c r="C124" s="555"/>
      <c r="D124" s="555"/>
      <c r="E124" s="555"/>
      <c r="F124" s="555"/>
      <c r="G124" s="555"/>
      <c r="H124" s="802"/>
      <c r="I124" s="555"/>
      <c r="J124" s="555"/>
      <c r="K124" s="555"/>
      <c r="L124" s="555"/>
      <c r="M124" s="802"/>
      <c r="N124" s="555"/>
      <c r="O124" s="555"/>
      <c r="P124" s="555"/>
      <c r="Q124" s="555"/>
      <c r="R124" s="802"/>
      <c r="S124" s="555"/>
      <c r="T124" s="555"/>
      <c r="U124" s="555"/>
      <c r="V124" s="555"/>
      <c r="W124" s="802"/>
      <c r="X124" s="555"/>
      <c r="Y124" s="555"/>
      <c r="Z124" s="555"/>
      <c r="AA124" s="555"/>
      <c r="AB124" s="802"/>
      <c r="AC124" s="555"/>
      <c r="AD124" s="555"/>
      <c r="AE124" s="555"/>
      <c r="AF124" s="555"/>
      <c r="AG124" s="802"/>
      <c r="AH124" s="555"/>
      <c r="AI124" s="555"/>
      <c r="AJ124" s="555"/>
      <c r="AK124" s="555"/>
      <c r="AL124" s="802"/>
      <c r="AM124" s="555"/>
      <c r="AN124" s="555"/>
      <c r="AO124" s="555"/>
      <c r="AP124" s="555"/>
      <c r="AQ124" s="802"/>
      <c r="AR124" s="555"/>
      <c r="AS124" s="555"/>
      <c r="AT124" s="555"/>
      <c r="AU124" s="555"/>
      <c r="AV124" s="802"/>
      <c r="AW124" s="555"/>
      <c r="AX124" s="555"/>
      <c r="AY124" s="555"/>
      <c r="AZ124" s="555"/>
      <c r="BA124" s="555"/>
      <c r="BB124" s="555"/>
      <c r="BC124" s="555"/>
      <c r="BD124" s="555"/>
      <c r="BE124" s="802"/>
      <c r="BF124" s="555"/>
      <c r="BG124" s="555"/>
      <c r="BH124" s="555"/>
      <c r="BI124" s="555"/>
      <c r="BJ124" s="802"/>
      <c r="BK124" s="555"/>
      <c r="BL124" s="555"/>
      <c r="BM124" s="555"/>
      <c r="BN124" s="555"/>
      <c r="BO124" s="802"/>
      <c r="BP124" s="555"/>
      <c r="BQ124" s="555"/>
      <c r="BR124" s="555"/>
      <c r="BS124" s="555"/>
      <c r="BT124" s="802"/>
      <c r="BU124" s="555"/>
      <c r="BV124" s="555"/>
      <c r="BW124" s="555"/>
      <c r="BX124" s="555"/>
      <c r="BY124" s="802"/>
      <c r="BZ124" s="555"/>
      <c r="CA124" s="555"/>
      <c r="CB124" s="555"/>
      <c r="CC124" s="555"/>
      <c r="CD124" s="802"/>
      <c r="CE124" s="555"/>
      <c r="CF124" s="555"/>
      <c r="CG124" s="555"/>
      <c r="CH124" s="555"/>
      <c r="CI124" s="802"/>
      <c r="CJ124" s="555"/>
      <c r="CK124" s="555"/>
      <c r="CL124" s="555"/>
      <c r="CM124" s="555"/>
      <c r="CN124" s="802"/>
      <c r="CO124" s="555"/>
      <c r="CP124" s="555"/>
      <c r="CQ124" s="555"/>
      <c r="CR124" s="555"/>
      <c r="CS124" s="802"/>
      <c r="CT124" s="555"/>
      <c r="CU124" s="555"/>
      <c r="CV124" s="555"/>
      <c r="CW124" s="555"/>
      <c r="CX124" s="802"/>
      <c r="CY124" s="555"/>
      <c r="CZ124" s="555"/>
      <c r="DA124" s="555"/>
      <c r="DB124" s="555"/>
      <c r="DC124" s="802"/>
      <c r="DD124" s="555"/>
      <c r="DE124" s="555"/>
      <c r="DF124" s="555"/>
      <c r="DG124" s="555"/>
      <c r="DH124" s="802"/>
      <c r="DI124" s="555"/>
      <c r="DJ124" s="555"/>
      <c r="DK124" s="555"/>
      <c r="DL124" s="555"/>
      <c r="DM124" s="802"/>
      <c r="DN124" s="555"/>
      <c r="DO124" s="555"/>
      <c r="DP124" s="555"/>
      <c r="DQ124" s="555"/>
      <c r="DR124" s="802"/>
      <c r="DS124" s="555"/>
      <c r="DT124" s="555"/>
      <c r="DU124" s="555"/>
      <c r="DV124" s="555"/>
      <c r="DW124" s="802"/>
      <c r="DX124" s="555"/>
      <c r="DY124" s="555"/>
      <c r="DZ124" s="555"/>
      <c r="EA124" s="555"/>
      <c r="EB124" s="802"/>
      <c r="EC124" s="555"/>
      <c r="ED124" s="555"/>
      <c r="EE124" s="555"/>
      <c r="EF124" s="555"/>
      <c r="EG124" s="802"/>
      <c r="EH124" s="555"/>
      <c r="EI124" s="555"/>
      <c r="EJ124" s="555"/>
      <c r="EK124" s="555"/>
      <c r="EL124" s="802"/>
      <c r="EM124" s="1"/>
      <c r="EN124"/>
      <c r="EO124"/>
      <c r="EP124"/>
      <c r="EQ124"/>
      <c r="ER124"/>
      <c r="ES124" s="7"/>
      <c r="ET124"/>
      <c r="EU124" s="7"/>
      <c r="EV124" s="7"/>
      <c r="EW124" s="7"/>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c r="HR124" s="3"/>
      <c r="HS124" s="3"/>
      <c r="HT124" s="3"/>
      <c r="HU124" s="3"/>
      <c r="HV124" s="3"/>
      <c r="HW124" s="3"/>
      <c r="HX124" s="3"/>
      <c r="HY124" s="3"/>
      <c r="HZ124" s="3"/>
      <c r="IA124" s="3"/>
      <c r="IB124" s="3"/>
      <c r="IC124" s="3"/>
      <c r="ID124" s="3"/>
      <c r="IE124" s="3"/>
      <c r="IF124" s="3"/>
      <c r="IG124" s="3"/>
      <c r="IH124" s="3"/>
      <c r="II124" s="3"/>
      <c r="IJ124" s="3"/>
      <c r="IK124" s="3"/>
      <c r="IL124" s="3"/>
      <c r="IM124" s="3"/>
      <c r="IN124" s="3"/>
      <c r="IO124" s="3"/>
      <c r="IP124" s="3"/>
      <c r="IQ124" s="3"/>
      <c r="IR124" s="3"/>
      <c r="IS124" s="3"/>
      <c r="IT124" s="3"/>
      <c r="IU124" s="3"/>
      <c r="IV124" s="3"/>
      <c r="IW124" s="3"/>
      <c r="IX124" s="3"/>
      <c r="IY124" s="3"/>
      <c r="IZ124" s="3"/>
      <c r="JA124" s="3"/>
      <c r="JB124" s="3"/>
      <c r="JC124" s="3"/>
      <c r="JD124" s="3"/>
      <c r="JE124" s="3"/>
      <c r="JF124" s="3"/>
      <c r="JG124" s="3"/>
      <c r="JH124" s="3"/>
      <c r="JI124" s="3"/>
      <c r="JJ124" s="3"/>
      <c r="JK124" s="3"/>
    </row>
    <row r="125" spans="1:271" s="68" customFormat="1" ht="11.25" hidden="1" customHeight="1" outlineLevel="1">
      <c r="A125" s="886"/>
      <c r="B125" s="886" t="s">
        <v>522</v>
      </c>
      <c r="C125" s="887"/>
      <c r="D125" s="888"/>
      <c r="E125" s="888">
        <v>42.517412935323435</v>
      </c>
      <c r="F125" s="888">
        <v>38.227272727272769</v>
      </c>
      <c r="G125" s="888">
        <v>43.519607843137294</v>
      </c>
      <c r="H125" s="889"/>
      <c r="I125" s="888">
        <v>40.387254901960823</v>
      </c>
      <c r="J125" s="888">
        <v>46.298507462686608</v>
      </c>
      <c r="K125" s="888">
        <v>54.712121212121239</v>
      </c>
      <c r="L125" s="888">
        <v>55.442028985507314</v>
      </c>
      <c r="M125" s="889">
        <v>49.188762626262616</v>
      </c>
      <c r="N125" s="888">
        <v>55.818627450980472</v>
      </c>
      <c r="O125" s="888">
        <v>58.21527777777785</v>
      </c>
      <c r="P125" s="888">
        <v>65.333333333333428</v>
      </c>
      <c r="Q125" s="888">
        <v>71.184079601990149</v>
      </c>
      <c r="R125" s="889">
        <v>62.603212468193362</v>
      </c>
      <c r="S125" s="888">
        <v>76.222636815920481</v>
      </c>
      <c r="T125" s="888">
        <v>80.060606060606148</v>
      </c>
      <c r="U125" s="888">
        <v>91.065656565656667</v>
      </c>
      <c r="V125" s="888">
        <v>99.494949494949566</v>
      </c>
      <c r="W125" s="889">
        <v>86.718071519795686</v>
      </c>
      <c r="X125" s="888">
        <v>77.922885572139421</v>
      </c>
      <c r="Y125" s="888">
        <v>76.870646766169216</v>
      </c>
      <c r="Z125" s="888">
        <v>62.780303030303138</v>
      </c>
      <c r="AA125" s="888">
        <v>58.169154228855774</v>
      </c>
      <c r="AB125" s="889">
        <v>68.924936386768451</v>
      </c>
      <c r="AC125" s="888">
        <v>49.504901960784373</v>
      </c>
      <c r="AD125" s="888">
        <v>50.987562189054763</v>
      </c>
      <c r="AE125" s="888">
        <v>61.065656565656674</v>
      </c>
      <c r="AF125" s="888">
        <v>63.282608695652279</v>
      </c>
      <c r="AG125" s="889">
        <v>56.351641414141454</v>
      </c>
      <c r="AH125" s="888">
        <v>76.27450980392166</v>
      </c>
      <c r="AI125" s="888">
        <v>99.659203980099605</v>
      </c>
      <c r="AJ125" s="888">
        <v>114.22413341414153</v>
      </c>
      <c r="AK125" s="888">
        <v>117.11292650980411</v>
      </c>
      <c r="AL125" s="889">
        <v>101.64686375665413</v>
      </c>
      <c r="AM125" s="888">
        <v>141.23244610628041</v>
      </c>
      <c r="AN125" s="888">
        <v>155.53232445771161</v>
      </c>
      <c r="AO125" s="888">
        <v>163.8133138585861</v>
      </c>
      <c r="AP125" s="888">
        <v>183.17841298039241</v>
      </c>
      <c r="AQ125" s="889">
        <v>161.04880375158444</v>
      </c>
      <c r="AR125" s="888"/>
      <c r="AS125" s="888"/>
      <c r="AT125" s="888"/>
      <c r="AU125" s="888"/>
      <c r="AV125" s="889">
        <v>167.02907127272741</v>
      </c>
      <c r="AW125" s="888">
        <v>193.07553692929312</v>
      </c>
      <c r="AX125" s="888">
        <v>190.16713904477618</v>
      </c>
      <c r="AY125" s="888">
        <v>113.61621223188405</v>
      </c>
      <c r="AZ125" s="888">
        <v>165.07573687373741</v>
      </c>
      <c r="BA125" s="888">
        <v>69.873308727272757</v>
      </c>
      <c r="BB125" s="888">
        <v>61.151033313432833</v>
      </c>
      <c r="BC125" s="888">
        <v>55.908819294117656</v>
      </c>
      <c r="BD125" s="888">
        <v>58.19014208695652</v>
      </c>
      <c r="BE125" s="889">
        <v>61.29680750000005</v>
      </c>
      <c r="BF125" s="888">
        <v>52.70984137313431</v>
      </c>
      <c r="BG125" s="888">
        <v>47.616117850746278</v>
      </c>
      <c r="BH125" s="888">
        <v>44.192351235294112</v>
      </c>
      <c r="BI125" s="888">
        <v>43.368233411764713</v>
      </c>
      <c r="BJ125" s="889">
        <v>46.948935696969713</v>
      </c>
      <c r="BK125" s="888">
        <v>42.480604606060616</v>
      </c>
      <c r="BL125" s="888">
        <v>48.394028358208956</v>
      </c>
      <c r="BM125" s="888">
        <v>48.650586647058823</v>
      </c>
      <c r="BN125" s="888">
        <v>33.904116411764704</v>
      </c>
      <c r="BO125" s="889">
        <v>43.272850250950555</v>
      </c>
      <c r="BP125" s="888">
        <v>29.734543454545459</v>
      </c>
      <c r="BQ125" s="888">
        <v>31.605968537313416</v>
      </c>
      <c r="BR125" s="888">
        <v>28.491341373134329</v>
      </c>
      <c r="BS125" s="888">
        <v>29.530586352941171</v>
      </c>
      <c r="BT125" s="889">
        <v>29.849123619771863</v>
      </c>
      <c r="BU125" s="888">
        <v>27.913331660606051</v>
      </c>
      <c r="BV125" s="888">
        <v>27.809089260606072</v>
      </c>
      <c r="BW125" s="888">
        <v>18.335755860606064</v>
      </c>
      <c r="BX125" s="888">
        <v>17.184116105882353</v>
      </c>
      <c r="BY125" s="889">
        <v>22.780074407604562</v>
      </c>
      <c r="BZ125" s="888">
        <v>18.95343114626866</v>
      </c>
      <c r="CA125" s="888">
        <v>22.767759397014938</v>
      </c>
      <c r="CB125" s="888">
        <v>23.547645305882362</v>
      </c>
      <c r="CC125" s="888">
        <v>9.8388388347826101</v>
      </c>
      <c r="CD125" s="889">
        <v>18.646639755471689</v>
      </c>
      <c r="CE125" s="888">
        <v>4.4666652939393936</v>
      </c>
      <c r="CF125" s="888">
        <v>9.9038789791044817</v>
      </c>
      <c r="CG125" s="888">
        <v>17.453527900000005</v>
      </c>
      <c r="CH125" s="888">
        <v>21.504346394202905</v>
      </c>
      <c r="CI125" s="889">
        <v>13.452422758333332</v>
      </c>
      <c r="CJ125" s="888">
        <v>22.303028793939404</v>
      </c>
      <c r="CK125" s="888">
        <v>21.99343111044778</v>
      </c>
      <c r="CL125" s="888">
        <v>17.39705711176471</v>
      </c>
      <c r="CM125" s="888">
        <v>19.857645164705882</v>
      </c>
      <c r="CN125" s="889">
        <v>20.382355718631178</v>
      </c>
      <c r="CO125" s="888">
        <v>27.90787714545456</v>
      </c>
      <c r="CP125" s="888">
        <v>26.11701336119404</v>
      </c>
      <c r="CQ125" s="888">
        <v>20.885292352941182</v>
      </c>
      <c r="CR125" s="888">
        <v>18.577645223529426</v>
      </c>
      <c r="CS125" s="889">
        <v>23.319846211406833</v>
      </c>
      <c r="CT125" s="888">
        <v>21.676968236363638</v>
      </c>
      <c r="CU125" s="888">
        <v>19.959392327272727</v>
      </c>
      <c r="CV125" s="888">
        <v>20.993331630303043</v>
      </c>
      <c r="CW125" s="888">
        <v>27.415287823529418</v>
      </c>
      <c r="CX125" s="889" t="str">
        <f>_xll.ThomsonONEAddinShim.SpreadsheetFormulas.TF("THC","avg(TF.PR.Priceclose(sdate=#1+1d,edate=#2,frq=c))",,TEXT(CX3,"YYYYMMDD"),TEXT(CS3,"YYYYMMDD"))</f>
        <v>Manual Calculation</v>
      </c>
      <c r="CY125" s="888">
        <v>39.704538015151535</v>
      </c>
      <c r="CZ125" s="888">
        <v>44.798024090909088</v>
      </c>
      <c r="DA125" s="888">
        <v>41.809844283582102</v>
      </c>
      <c r="DB125" s="888" t="str">
        <f>_xll.ThomsonONEAddinShim.SpreadsheetFormulas.TF("THC","avg(TF.PR.Priceclose(sdate=#1+1d,edate=#2,frq=c))",,TEXT(DB3,"YYYYMMDD"),TEXT(DA3,"YYYYMMDD"))</f>
        <v>Manual Calculation</v>
      </c>
      <c r="DC125" s="889" t="str">
        <f>_xll.ThomsonONEAddinShim.SpreadsheetFormulas.TF("THC","avg(TF.PR.Priceclose(sdate=#1+1d,edate=#2,frq=c))",,TEXT(DC3,"YYYYMMDD"),TEXT(CX3,"YYYYMMDD"))</f>
        <v>Manual Calculation</v>
      </c>
      <c r="DD125" s="888" t="str">
        <f>_xll.ThomsonONEAddinShim.SpreadsheetFormulas.TF("THC","avg(TF.PR.Priceclose(sdate=#1+1d,edate=#2,frq=c))",,TEXT(DD3,"YYYYMMDD"),TEXT(DC3,"YYYYMMDD"))</f>
        <v>Manual Calculation</v>
      </c>
      <c r="DE125" s="888" t="str">
        <f>_xll.ThomsonONEAddinShim.SpreadsheetFormulas.TF("THC","avg(TF.PR.Priceclose(sdate=#1+1d,edate=#2,frq=c))",,TEXT(DE3,"YYYYMMDD"),TEXT(DD3,"YYYYMMDD"))</f>
        <v>Manual Calculation</v>
      </c>
      <c r="DF125" s="888" t="str">
        <f>_xll.ThomsonONEAddinShim.SpreadsheetFormulas.TF("THC","avg(TF.PR.Priceclose(sdate=#1+1d,edate=#2,frq=c))",,TEXT(DF3,"YYYYMMDD"),TEXT(DE3,"YYYYMMDD"))</f>
        <v>Manual Calculation</v>
      </c>
      <c r="DG125" s="888" t="str">
        <f>_xll.ThomsonONEAddinShim.SpreadsheetFormulas.TF("THC","avg(TF.PR.Priceclose(sdate=#1+1d,edate=#2,frq=c))",,TEXT(DG3,"YYYYMMDD"),TEXT(DF3,"YYYYMMDD"))</f>
        <v>Manual Calculation</v>
      </c>
      <c r="DH125" s="889" t="str">
        <f>_xll.ThomsonONEAddinShim.SpreadsheetFormulas.TF("THC","avg(TF.PR.Priceclose(sdate=#1+1d,edate=#2,frq=c))",,TEXT(DH3,"YYYYMMDD"),TEXT(DC3,"YYYYMMDD"))</f>
        <v>Manual Calculation</v>
      </c>
      <c r="DI125" s="888" t="str">
        <f>_xll.ThomsonONEAddinShim.SpreadsheetFormulas.TF("THC","avg(TF.PR.Priceclose(sdate=#1+1d,edate=#2,frq=c))",,TEXT(DI3,"YYYYMMDD"),TEXT(DH3,"YYYYMMDD"))</f>
        <v>Manual Calculation</v>
      </c>
      <c r="DJ125" s="888" t="str">
        <f>_xll.ThomsonONEAddinShim.SpreadsheetFormulas.TF("THC","avg(TF.PR.Priceclose(sdate=#1+1d,edate=#2,frq=c))",,TEXT(DJ3,"YYYYMMDD"),TEXT(DI3,"YYYYMMDD"))</f>
        <v>Manual Calculation</v>
      </c>
      <c r="DK125" s="888" t="str">
        <f>_xll.ThomsonONEAddinShim.SpreadsheetFormulas.TF("THC","avg(TF.PR.Priceclose(sdate=#1+1d,edate=#2,frq=c))",,TEXT(DK3,"YYYYMMDD"),TEXT(DJ3,"YYYYMMDD"))</f>
        <v>Manual Calculation</v>
      </c>
      <c r="DL125" s="888" t="str">
        <f>_xll.ThomsonONEAddinShim.SpreadsheetFormulas.TF("THC","avg(TF.PR.Priceclose(sdate=#1+1d,edate=#2,frq=c))",,TEXT(DL3,"YYYYMMDD"),TEXT(DK3,"YYYYMMDD"))</f>
        <v>Manual Calculation</v>
      </c>
      <c r="DM125" s="889" t="str">
        <f>_xll.ThomsonONEAddinShim.SpreadsheetFormulas.TF("THC","avg(TF.PR.Priceclose(sdate=#1+1d,edate=#2,frq=c))",,TEXT(DM3,"YYYYMMDD"),TEXT(DH3,"YYYYMMDD"))</f>
        <v>Manual Calculation</v>
      </c>
      <c r="DN125" s="888" t="str">
        <f>_xll.ThomsonONEAddinShim.SpreadsheetFormulas.TF("THC","avg(TF.PR.Priceclose(sdate=#1+1d,edate=#2,frq=c))",,TEXT(DN3,"YYYYMMDD"),TEXT(DM3,"YYYYMMDD"))</f>
        <v>Manual Calculation</v>
      </c>
      <c r="DO125" s="888" t="str">
        <f>_xll.ThomsonONEAddinShim.SpreadsheetFormulas.TF("THC","avg(TF.PR.Priceclose(sdate=#1+1d,edate=#2,frq=c))",,TEXT(DO3,"YYYYMMDD"),TEXT(DN3,"YYYYMMDD"))</f>
        <v>Manual Calculation</v>
      </c>
      <c r="DP125" s="888" t="str">
        <f>_xll.ThomsonONEAddinShim.SpreadsheetFormulas.TF("THC","avg(TF.PR.Priceclose(sdate=#1+1d,edate=#2,frq=c))",,TEXT(DP3,"YYYYMMDD"),TEXT(DO3,"YYYYMMDD"))</f>
        <v>Manual Calculation</v>
      </c>
      <c r="DQ125" s="888" t="str">
        <f>_xll.ThomsonONEAddinShim.SpreadsheetFormulas.TF("THC","avg(TF.PR.Priceclose(sdate=#1+1d,edate=#2,frq=c))",,TEXT(DQ3,"YYYYMMDD"),TEXT(DP3,"YYYYMMDD"))</f>
        <v>Manual Calculation</v>
      </c>
      <c r="DR125" s="889" t="str">
        <f>_xll.ThomsonONEAddinShim.SpreadsheetFormulas.TF("THC","avg(TF.PR.Priceclose(sdate=#1+1d,edate=#2,frq=c))",,TEXT(DR3,"YYYYMMDD"),TEXT(DM3,"YYYYMMDD"))</f>
        <v>$24.82</v>
      </c>
      <c r="DS125" s="888" t="str">
        <f>_xll.ThomsonONEAddinShim.SpreadsheetFormulas.TF("THC","avg(TF.PR.Priceclose(sdate=#1+1d,edate=#2,frq=c))",,TEXT(DS3,"YYYYMMDD"),TEXT(DR3,"YYYYMMDD"))</f>
        <v>Manual Calculation</v>
      </c>
      <c r="DT125" s="888" t="str">
        <f>_xll.ThomsonONEAddinShim.SpreadsheetFormulas.TF("THC","avg(TF.PR.Priceclose(sdate=#1+1d,edate=#2,frq=c))",,TEXT(DT3,"YYYYMMDD"),TEXT(DS3,"YYYYMMDD"))</f>
        <v>Manual Calculation</v>
      </c>
      <c r="DU125" s="888" t="str">
        <f>_xll.ThomsonONEAddinShim.SpreadsheetFormulas.TF("THC","avg(TF.PR.Priceclose(sdate=#1+1d,edate=#2,frq=c))",,TEXT(DU3,"YYYYMMDD"),TEXT(DT3,"YYYYMMDD"))</f>
        <v>Manual Calculation</v>
      </c>
      <c r="DV125" s="888" t="str">
        <f>_xll.ThomsonONEAddinShim.SpreadsheetFormulas.TF("THC","avg(TF.PR.Priceclose(sdate=#1+1d,edate=#2,frq=c))",,TEXT(DV3,"YYYYMMDD"),TEXT(DU3,"YYYYMMDD"))</f>
        <v>Manual Calculation</v>
      </c>
      <c r="DW125" s="889" t="str">
        <f>_xll.ThomsonONEAddinShim.SpreadsheetFormulas.TF("THC","avg(TF.PR.Priceclose(sdate=#1+1d,edate=#2,frq=c))",,TEXT(DW3,"YYYYMMDD"),TEXT(DR3,"YYYYMMDD"))</f>
        <v>$16.75</v>
      </c>
      <c r="DX125" s="888" t="str">
        <f>_xll.ThomsonONEAddinShim.SpreadsheetFormulas.TF("THC","avg(TF.PR.Priceclose(sdate=#1+1d,edate=#2,frq=c))",,TEXT(DX3,"YYYYMMDD"),TEXT(DW3,"YYYYMMDD"))</f>
        <v>$19.89</v>
      </c>
      <c r="DY125" s="888" t="str">
        <f>_xll.ThomsonONEAddinShim.SpreadsheetFormulas.TF("THC","avg(TF.PR.Priceclose(sdate=#1+1d,edate=#2,frq=c))",,TEXT(DY3,"YYYYMMDD"),TEXT(DX3,"YYYYMMDD"))</f>
        <v>$23.60</v>
      </c>
      <c r="DZ125" s="888" t="str">
        <f>_xll.ThomsonONEAddinShim.SpreadsheetFormulas.TF("THC","avg(TF.PR.Priceclose(sdate=#1+1d,edate=#2,frq=c))",,TEXT(DZ3,"YYYYMMDD"),TEXT(DY3,"YYYYMMDD"))</f>
        <v>$22.90</v>
      </c>
      <c r="EA125" s="888" t="str">
        <f>_xll.ThomsonONEAddinShim.SpreadsheetFormulas.TF("THC","avg(TF.PR.Priceclose(sdate=#1+1d,edate=#2,frq=c))",,TEXT(EA3,"YYYYMMDD"),TEXT(DZ3,"YYYYMMDD"))</f>
        <v>$22.90</v>
      </c>
      <c r="EB125" s="889" t="str">
        <f>_xll.ThomsonONEAddinShim.SpreadsheetFormulas.TF("THC","avg(TF.PR.Priceclose(sdate=#1+1d,edate=#2,frq=c))",,TEXT(EB3,"YYYYMMDD"),TEXT(DW3,"YYYYMMDD"))</f>
        <v>$20.25</v>
      </c>
      <c r="EC125" s="888" t="str">
        <f>_xll.ThomsonONEAddinShim.SpreadsheetFormulas.TF("THC","avg(TF.PR.Priceclose(sdate=#1+1d,edate=#2,frq=c))",,TEXT(EC3,"YYYYMMDD"),TEXT(EB3,"YYYYMMDD"))</f>
        <v>$22.90</v>
      </c>
      <c r="ED125" s="888" t="str">
        <f>_xll.ThomsonONEAddinShim.SpreadsheetFormulas.TF("THC","avg(TF.PR.Priceclose(sdate=#1+1d,edate=#2,frq=c))",,TEXT(ED3,"YYYYMMDD"),TEXT(EC3,"YYYYMMDD"))</f>
        <v>$22.90</v>
      </c>
      <c r="EE125" s="888" t="str">
        <f>_xll.ThomsonONEAddinShim.SpreadsheetFormulas.TF("THC","avg(TF.PR.Priceclose(sdate=#1+1d,edate=#2,frq=c))",,TEXT(EE3,"YYYYMMDD"),TEXT(ED3,"YYYYMMDD"))</f>
        <v>$22.90</v>
      </c>
      <c r="EF125" s="888" t="str">
        <f>_xll.ThomsonONEAddinShim.SpreadsheetFormulas.TF("THC","avg(TF.PR.Priceclose(sdate=#1+1d,edate=#2,frq=c))",,TEXT(EF3,"YYYYMMDD"),TEXT(EE3,"YYYYMMDD"))</f>
        <v>$22.90</v>
      </c>
      <c r="EG125" s="889" t="str">
        <f>_xll.ThomsonONEAddinShim.SpreadsheetFormulas.TF("THC","avg(TF.PR.Priceclose(sdate=#1+1d,edate=#2,frq=c))",,TEXT(EG3,"YYYYMMDD"),TEXT(EB3,"YYYYMMDD"))</f>
        <v>$22.90</v>
      </c>
      <c r="EH125" s="888" t="str">
        <f>_xll.ThomsonONEAddinShim.SpreadsheetFormulas.TF("THC","avg(TF.PR.Priceclose(sdate=#1+1d,edate=#2,frq=c))",,TEXT(EH3,"YYYYMMDD"),TEXT(EG3,"YYYYMMDD"))</f>
        <v>Manual Calculation</v>
      </c>
      <c r="EI125" s="888" t="str">
        <f>_xll.ThomsonONEAddinShim.SpreadsheetFormulas.TF("THC","avg(TF.PR.Priceclose(sdate=#1+1d,edate=#2,frq=c))",,TEXT(EI3,"YYYYMMDD"),TEXT(EH3,"YYYYMMDD"))</f>
        <v>Manual Calculation</v>
      </c>
      <c r="EJ125" s="888" t="str">
        <f>_xll.ThomsonONEAddinShim.SpreadsheetFormulas.TF("THC","avg(TF.PR.Priceclose(sdate=#1+1d,edate=#2,frq=c))",,TEXT(EJ3,"YYYYMMDD"),TEXT(EI3,"YYYYMMDD"))</f>
        <v>Manual Calculation</v>
      </c>
      <c r="EK125" s="888" t="str">
        <f>_xll.ThomsonONEAddinShim.SpreadsheetFormulas.TF("THC","avg(TF.PR.Priceclose(sdate=#1+1d,edate=#2,frq=c))",,TEXT(EK3,"YYYYMMDD"),TEXT(EJ3,"YYYYMMDD"))</f>
        <v>Manual Calculation</v>
      </c>
      <c r="EL125" s="889" t="str">
        <f>_xll.ThomsonONEAddinShim.SpreadsheetFormulas.TF("THC","avg(TF.PR.Priceclose(sdate=#1+1d,edate=#2,frq=c))",,TEXT(EL3,"YYYYMMDD"),TEXT(EG3,"YYYYMMDD"))</f>
        <v>$22.90</v>
      </c>
      <c r="EM125" s="69"/>
      <c r="EN125"/>
      <c r="EO125"/>
      <c r="EP125"/>
      <c r="EQ125"/>
      <c r="ER125"/>
      <c r="ES125" s="70"/>
      <c r="ET125"/>
      <c r="EU125" s="70"/>
      <c r="EV125" s="70"/>
      <c r="EW125" s="70"/>
      <c r="EX125" s="24"/>
      <c r="EY125" s="24"/>
      <c r="EZ125" s="24"/>
      <c r="FA125" s="24"/>
      <c r="FB125" s="24"/>
      <c r="FC125" s="24"/>
      <c r="FD125" s="24"/>
      <c r="FE125" s="24"/>
      <c r="FF125" s="24"/>
      <c r="FG125" s="24"/>
      <c r="FH125" s="24"/>
      <c r="FI125" s="24"/>
      <c r="FJ125" s="24"/>
      <c r="FK125" s="24"/>
      <c r="FL125" s="24"/>
      <c r="FM125" s="24"/>
      <c r="FN125" s="24"/>
      <c r="FO125" s="24"/>
      <c r="FP125" s="24"/>
      <c r="FQ125" s="24"/>
      <c r="FR125" s="24"/>
      <c r="FS125" s="24"/>
      <c r="FT125" s="24"/>
      <c r="FU125" s="24"/>
      <c r="FV125" s="24"/>
      <c r="FW125" s="24"/>
      <c r="FX125" s="24"/>
      <c r="FY125" s="24"/>
      <c r="FZ125" s="24"/>
      <c r="GA125" s="24"/>
      <c r="GB125" s="24"/>
      <c r="GC125" s="24"/>
      <c r="GD125" s="24"/>
      <c r="GE125" s="24"/>
      <c r="GF125" s="24"/>
      <c r="GG125" s="24"/>
      <c r="GH125" s="24"/>
      <c r="GI125" s="24"/>
      <c r="GJ125" s="24"/>
      <c r="GK125" s="24"/>
      <c r="GL125" s="24"/>
      <c r="GM125" s="24"/>
      <c r="GN125" s="24"/>
      <c r="GO125" s="24"/>
      <c r="GP125" s="24"/>
      <c r="GQ125" s="24"/>
      <c r="GR125" s="24"/>
      <c r="GS125" s="24"/>
      <c r="GT125" s="24"/>
      <c r="GU125" s="24"/>
      <c r="GV125" s="24"/>
      <c r="GW125" s="24"/>
      <c r="GX125" s="24"/>
      <c r="GY125" s="24"/>
      <c r="GZ125" s="24"/>
      <c r="HA125" s="24"/>
      <c r="HB125" s="24"/>
      <c r="HC125" s="24"/>
      <c r="HD125" s="24"/>
      <c r="HE125" s="24"/>
      <c r="HF125" s="24"/>
      <c r="HG125" s="24"/>
      <c r="HH125" s="24"/>
      <c r="HI125" s="24"/>
      <c r="HJ125" s="24"/>
      <c r="HK125" s="24"/>
      <c r="HL125" s="24"/>
      <c r="HM125" s="24"/>
      <c r="HN125" s="24"/>
      <c r="HO125" s="24"/>
      <c r="HP125" s="24"/>
      <c r="HQ125" s="24"/>
      <c r="HR125" s="24"/>
      <c r="HS125" s="24"/>
      <c r="HT125" s="24"/>
      <c r="HU125" s="24"/>
      <c r="HV125" s="24"/>
      <c r="HW125" s="24"/>
      <c r="HX125" s="24"/>
      <c r="HY125" s="24"/>
      <c r="HZ125" s="24"/>
      <c r="IA125" s="24"/>
      <c r="IB125" s="24"/>
      <c r="IC125" s="24"/>
      <c r="ID125" s="24"/>
      <c r="IE125" s="24"/>
      <c r="IF125" s="24"/>
      <c r="IG125" s="24"/>
      <c r="IH125" s="24"/>
      <c r="II125" s="24"/>
      <c r="IJ125" s="24"/>
      <c r="IK125" s="24"/>
      <c r="IL125" s="24"/>
      <c r="IM125" s="24"/>
      <c r="IN125" s="24"/>
      <c r="IO125" s="24"/>
      <c r="IP125" s="24"/>
      <c r="IQ125" s="24"/>
      <c r="IR125" s="24"/>
      <c r="IS125" s="24"/>
      <c r="IT125" s="24"/>
      <c r="IU125" s="24"/>
      <c r="IV125" s="24"/>
      <c r="IW125" s="24"/>
      <c r="IX125" s="24"/>
      <c r="IY125" s="24"/>
      <c r="IZ125" s="24"/>
      <c r="JA125" s="24"/>
      <c r="JB125" s="24"/>
      <c r="JC125" s="24"/>
      <c r="JD125" s="24"/>
      <c r="JE125" s="24"/>
      <c r="JF125" s="24"/>
      <c r="JG125" s="24"/>
      <c r="JH125" s="24"/>
      <c r="JI125" s="24"/>
      <c r="JJ125" s="24"/>
      <c r="JK125" s="24"/>
    </row>
    <row r="126" spans="1:271" s="11" customFormat="1" hidden="1" outlineLevel="1">
      <c r="A126" s="557"/>
      <c r="B126" s="557" t="s">
        <v>523</v>
      </c>
      <c r="C126" s="890"/>
      <c r="D126" s="890">
        <v>0</v>
      </c>
      <c r="E126" s="890">
        <v>0</v>
      </c>
      <c r="F126" s="890">
        <v>0</v>
      </c>
      <c r="G126" s="890">
        <v>0</v>
      </c>
      <c r="H126" s="891">
        <v>0</v>
      </c>
      <c r="I126" s="890">
        <v>0</v>
      </c>
      <c r="J126" s="890">
        <v>0</v>
      </c>
      <c r="K126" s="890">
        <v>0</v>
      </c>
      <c r="L126" s="890">
        <v>0</v>
      </c>
      <c r="M126" s="891">
        <v>0</v>
      </c>
      <c r="N126" s="890">
        <v>0</v>
      </c>
      <c r="O126" s="890">
        <v>0</v>
      </c>
      <c r="P126" s="890">
        <v>0</v>
      </c>
      <c r="Q126" s="890">
        <v>0</v>
      </c>
      <c r="R126" s="891">
        <v>0</v>
      </c>
      <c r="S126" s="890">
        <v>0</v>
      </c>
      <c r="T126" s="890">
        <v>0</v>
      </c>
      <c r="U126" s="890">
        <v>0</v>
      </c>
      <c r="V126" s="890">
        <v>0</v>
      </c>
      <c r="W126" s="891">
        <v>0</v>
      </c>
      <c r="X126" s="890">
        <v>0</v>
      </c>
      <c r="Y126" s="890">
        <v>0</v>
      </c>
      <c r="Z126" s="890">
        <v>0</v>
      </c>
      <c r="AA126" s="890">
        <v>0</v>
      </c>
      <c r="AB126" s="891">
        <v>0</v>
      </c>
      <c r="AC126" s="890">
        <v>0</v>
      </c>
      <c r="AD126" s="890">
        <v>0</v>
      </c>
      <c r="AE126" s="890">
        <v>0</v>
      </c>
      <c r="AF126" s="890">
        <v>0</v>
      </c>
      <c r="AG126" s="891">
        <v>0</v>
      </c>
      <c r="AH126" s="890">
        <v>0</v>
      </c>
      <c r="AI126" s="890">
        <v>0</v>
      </c>
      <c r="AJ126" s="890">
        <v>0</v>
      </c>
      <c r="AK126" s="890">
        <v>0</v>
      </c>
      <c r="AL126" s="891">
        <v>0</v>
      </c>
      <c r="AM126" s="890">
        <v>0</v>
      </c>
      <c r="AN126" s="890">
        <v>0</v>
      </c>
      <c r="AO126" s="890">
        <v>0</v>
      </c>
      <c r="AP126" s="890">
        <v>0</v>
      </c>
      <c r="AQ126" s="891">
        <v>0</v>
      </c>
      <c r="AR126" s="890">
        <v>0</v>
      </c>
      <c r="AS126" s="890">
        <v>0</v>
      </c>
      <c r="AT126" s="890">
        <v>0</v>
      </c>
      <c r="AU126" s="890"/>
      <c r="AV126" s="891">
        <v>0</v>
      </c>
      <c r="AW126" s="890">
        <v>0</v>
      </c>
      <c r="AX126" s="890">
        <v>0</v>
      </c>
      <c r="AY126" s="890">
        <v>0</v>
      </c>
      <c r="AZ126" s="890">
        <v>0</v>
      </c>
      <c r="BA126" s="890">
        <v>0</v>
      </c>
      <c r="BB126" s="890">
        <v>0</v>
      </c>
      <c r="BC126" s="890">
        <v>0</v>
      </c>
      <c r="BD126" s="890">
        <v>0</v>
      </c>
      <c r="BE126" s="891">
        <v>0</v>
      </c>
      <c r="BF126" s="890">
        <v>0</v>
      </c>
      <c r="BG126" s="890">
        <v>0</v>
      </c>
      <c r="BH126" s="890">
        <v>0</v>
      </c>
      <c r="BI126" s="890">
        <v>0</v>
      </c>
      <c r="BJ126" s="891">
        <v>0</v>
      </c>
      <c r="BK126" s="890">
        <v>0</v>
      </c>
      <c r="BL126" s="890">
        <v>0</v>
      </c>
      <c r="BM126" s="890">
        <v>0</v>
      </c>
      <c r="BN126" s="890">
        <v>0</v>
      </c>
      <c r="BO126" s="891">
        <v>0</v>
      </c>
      <c r="BP126" s="890">
        <v>0</v>
      </c>
      <c r="BQ126" s="890">
        <v>0</v>
      </c>
      <c r="BR126" s="890">
        <v>0</v>
      </c>
      <c r="BS126" s="890">
        <v>0</v>
      </c>
      <c r="BT126" s="891">
        <v>0</v>
      </c>
      <c r="BU126" s="890">
        <v>0</v>
      </c>
      <c r="BV126" s="890">
        <v>0</v>
      </c>
      <c r="BW126" s="890">
        <v>0</v>
      </c>
      <c r="BX126" s="890">
        <v>0</v>
      </c>
      <c r="BY126" s="891">
        <v>0</v>
      </c>
      <c r="BZ126" s="890">
        <v>0</v>
      </c>
      <c r="CA126" s="890">
        <v>0</v>
      </c>
      <c r="CB126" s="890">
        <v>0</v>
      </c>
      <c r="CC126" s="890">
        <v>0</v>
      </c>
      <c r="CD126" s="891">
        <v>0</v>
      </c>
      <c r="CE126" s="890">
        <v>0</v>
      </c>
      <c r="CF126" s="890">
        <v>0</v>
      </c>
      <c r="CG126" s="890">
        <v>0</v>
      </c>
      <c r="CH126" s="890">
        <v>0</v>
      </c>
      <c r="CI126" s="891">
        <v>0</v>
      </c>
      <c r="CJ126" s="890">
        <v>0</v>
      </c>
      <c r="CK126" s="890">
        <v>0</v>
      </c>
      <c r="CL126" s="890">
        <v>0</v>
      </c>
      <c r="CM126" s="890">
        <v>0</v>
      </c>
      <c r="CN126" s="891">
        <v>0</v>
      </c>
      <c r="CO126" s="890">
        <v>0</v>
      </c>
      <c r="CP126" s="890">
        <v>0</v>
      </c>
      <c r="CQ126" s="890">
        <v>0</v>
      </c>
      <c r="CR126" s="890">
        <v>0</v>
      </c>
      <c r="CS126" s="891">
        <v>0</v>
      </c>
      <c r="CT126" s="890">
        <v>0</v>
      </c>
      <c r="CU126" s="890">
        <v>0</v>
      </c>
      <c r="CV126" s="890">
        <v>0</v>
      </c>
      <c r="CW126" s="890">
        <v>0</v>
      </c>
      <c r="CX126" s="891">
        <v>0</v>
      </c>
      <c r="CY126" s="890">
        <v>0</v>
      </c>
      <c r="CZ126" s="890">
        <v>0</v>
      </c>
      <c r="DA126" s="890">
        <v>0</v>
      </c>
      <c r="DB126" s="890">
        <v>0</v>
      </c>
      <c r="DC126" s="891">
        <v>0</v>
      </c>
      <c r="DD126" s="890">
        <v>0</v>
      </c>
      <c r="DE126" s="890">
        <v>0</v>
      </c>
      <c r="DF126" s="890">
        <v>0</v>
      </c>
      <c r="DG126" s="890">
        <v>0</v>
      </c>
      <c r="DH126" s="891">
        <v>0</v>
      </c>
      <c r="DI126" s="890">
        <v>0</v>
      </c>
      <c r="DJ126" s="890">
        <v>0</v>
      </c>
      <c r="DK126" s="890">
        <v>0</v>
      </c>
      <c r="DL126" s="890">
        <v>0</v>
      </c>
      <c r="DM126" s="891">
        <v>0</v>
      </c>
      <c r="DN126" s="890">
        <v>0</v>
      </c>
      <c r="DO126" s="890">
        <v>0</v>
      </c>
      <c r="DP126" s="890">
        <v>0</v>
      </c>
      <c r="DQ126" s="890">
        <v>0</v>
      </c>
      <c r="DR126" s="891">
        <v>0</v>
      </c>
      <c r="DS126" s="890">
        <v>0</v>
      </c>
      <c r="DT126" s="890">
        <v>0</v>
      </c>
      <c r="DU126" s="890">
        <v>0</v>
      </c>
      <c r="DV126" s="890">
        <v>0</v>
      </c>
      <c r="DW126" s="891">
        <v>0</v>
      </c>
      <c r="DX126" s="890">
        <v>0</v>
      </c>
      <c r="DY126" s="890">
        <v>0</v>
      </c>
      <c r="DZ126" s="890">
        <v>0</v>
      </c>
      <c r="EA126" s="890">
        <v>0</v>
      </c>
      <c r="EB126" s="891">
        <v>0</v>
      </c>
      <c r="EC126" s="890">
        <v>0</v>
      </c>
      <c r="ED126" s="890">
        <v>0</v>
      </c>
      <c r="EE126" s="890">
        <v>0</v>
      </c>
      <c r="EF126" s="890">
        <v>0</v>
      </c>
      <c r="EG126" s="891">
        <v>0</v>
      </c>
      <c r="EH126" s="890">
        <v>0</v>
      </c>
      <c r="EI126" s="890">
        <v>0</v>
      </c>
      <c r="EJ126" s="890">
        <v>0</v>
      </c>
      <c r="EK126" s="890">
        <v>0</v>
      </c>
      <c r="EL126" s="891">
        <v>0</v>
      </c>
      <c r="EM126" s="1"/>
      <c r="EN126"/>
      <c r="EO126"/>
      <c r="EP126"/>
      <c r="EQ126"/>
      <c r="ER126"/>
      <c r="ES126" s="7"/>
      <c r="ET126"/>
      <c r="EU126" s="7"/>
      <c r="EV126" s="7"/>
      <c r="EW126" s="7"/>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c r="HF126" s="3"/>
      <c r="HG126" s="3"/>
      <c r="HH126" s="3"/>
      <c r="HI126" s="3"/>
      <c r="HJ126" s="3"/>
      <c r="HK126" s="3"/>
      <c r="HL126" s="3"/>
      <c r="HM126" s="3"/>
      <c r="HN126" s="3"/>
      <c r="HO126" s="3"/>
      <c r="HP126" s="3"/>
      <c r="HQ126" s="3"/>
      <c r="HR126" s="3"/>
      <c r="HS126" s="3"/>
      <c r="HT126" s="3"/>
      <c r="HU126" s="3"/>
      <c r="HV126" s="3"/>
      <c r="HW126" s="3"/>
      <c r="HX126" s="3"/>
      <c r="HY126" s="3"/>
      <c r="HZ126" s="3"/>
      <c r="IA126" s="3"/>
      <c r="IB126" s="3"/>
      <c r="IC126" s="3"/>
      <c r="ID126" s="3"/>
      <c r="IE126" s="3"/>
      <c r="IF126" s="3"/>
      <c r="IG126" s="3"/>
      <c r="IH126" s="3"/>
      <c r="II126" s="3"/>
      <c r="IJ126" s="3"/>
      <c r="IK126" s="3"/>
      <c r="IL126" s="3"/>
      <c r="IM126" s="3"/>
      <c r="IN126" s="3"/>
      <c r="IO126" s="3"/>
      <c r="IP126" s="3"/>
      <c r="IQ126" s="3"/>
      <c r="IR126" s="3"/>
      <c r="IS126" s="3"/>
      <c r="IT126" s="3"/>
      <c r="IU126" s="3"/>
      <c r="IV126" s="3"/>
      <c r="IW126" s="3"/>
      <c r="IX126" s="3"/>
      <c r="IY126" s="3"/>
      <c r="IZ126" s="3"/>
      <c r="JA126" s="3"/>
      <c r="JB126" s="3"/>
      <c r="JC126" s="3"/>
      <c r="JD126" s="3"/>
      <c r="JE126" s="3"/>
      <c r="JF126" s="3"/>
      <c r="JG126" s="3"/>
      <c r="JH126" s="3"/>
      <c r="JI126" s="3"/>
      <c r="JJ126" s="3"/>
      <c r="JK126" s="3"/>
    </row>
    <row r="127" spans="1:271" s="135" customFormat="1" hidden="1" outlineLevel="1">
      <c r="A127" s="557"/>
      <c r="B127" s="557" t="s">
        <v>524</v>
      </c>
      <c r="C127" s="947"/>
      <c r="D127" s="947">
        <f>+$H$127</f>
        <v>0.39199999999999996</v>
      </c>
      <c r="E127" s="947">
        <f>+$H$127</f>
        <v>0.39199999999999996</v>
      </c>
      <c r="F127" s="947">
        <f>+$H$127</f>
        <v>0.39199999999999996</v>
      </c>
      <c r="G127" s="947">
        <f>+$H$127</f>
        <v>0.39199999999999996</v>
      </c>
      <c r="H127" s="78">
        <f>35%+4.2%</f>
        <v>0.39199999999999996</v>
      </c>
      <c r="I127" s="947">
        <f>+$M$127</f>
        <v>0.38899999999999996</v>
      </c>
      <c r="J127" s="947">
        <f>+$M$127</f>
        <v>0.38899999999999996</v>
      </c>
      <c r="K127" s="947">
        <f>+$M$127</f>
        <v>0.38899999999999996</v>
      </c>
      <c r="L127" s="947">
        <f>+$M$127</f>
        <v>0.38899999999999996</v>
      </c>
      <c r="M127" s="78">
        <f>35%+3.9%</f>
        <v>0.38899999999999996</v>
      </c>
      <c r="N127" s="947">
        <f>+$R$127</f>
        <v>0.35</v>
      </c>
      <c r="O127" s="947">
        <f>+$R$127</f>
        <v>0.35</v>
      </c>
      <c r="P127" s="947">
        <f>+$R$127</f>
        <v>0.35</v>
      </c>
      <c r="Q127" s="947">
        <f>+$R$127</f>
        <v>0.35</v>
      </c>
      <c r="R127" s="78">
        <v>0.35</v>
      </c>
      <c r="S127" s="947">
        <f>+$W$127</f>
        <v>0.39173106646058731</v>
      </c>
      <c r="T127" s="947">
        <f>+$W$127</f>
        <v>0.39173106646058731</v>
      </c>
      <c r="U127" s="947">
        <f>+$W$127</f>
        <v>0.39173106646058731</v>
      </c>
      <c r="V127" s="947">
        <f>+$W$127</f>
        <v>0.39173106646058731</v>
      </c>
      <c r="W127" s="78">
        <f>35%+(-27/-647)</f>
        <v>0.39173106646058731</v>
      </c>
      <c r="X127" s="947">
        <f>+$AB$127</f>
        <v>0.40907172995780589</v>
      </c>
      <c r="Y127" s="947">
        <f>+$AB$127</f>
        <v>0.40907172995780589</v>
      </c>
      <c r="Z127" s="947">
        <f>+$AB$127</f>
        <v>0.40907172995780589</v>
      </c>
      <c r="AA127" s="947">
        <f>+$AB$127</f>
        <v>0.40907172995780589</v>
      </c>
      <c r="AB127" s="78">
        <f>35%+(-28/-474)</f>
        <v>0.40907172995780589</v>
      </c>
      <c r="AC127" s="947">
        <f>+$AG$127</f>
        <v>0.40177993527508088</v>
      </c>
      <c r="AD127" s="947">
        <f>+$AG$127</f>
        <v>0.40177993527508088</v>
      </c>
      <c r="AE127" s="947">
        <f>+$AG$127</f>
        <v>0.40177993527508088</v>
      </c>
      <c r="AF127" s="947">
        <f>+$AG$127</f>
        <v>0.40177993527508088</v>
      </c>
      <c r="AG127" s="78">
        <f>35%+(-32/-618)</f>
        <v>0.40177993527508088</v>
      </c>
      <c r="AH127" s="947">
        <f>+$AL$127</f>
        <v>0.38852889667250434</v>
      </c>
      <c r="AI127" s="947">
        <f>+$AL$127</f>
        <v>0.38852889667250434</v>
      </c>
      <c r="AJ127" s="947">
        <f>+$AL$127</f>
        <v>0.38852889667250434</v>
      </c>
      <c r="AK127" s="947">
        <f>+$AL$127</f>
        <v>0.38852889667250434</v>
      </c>
      <c r="AL127" s="78">
        <f>35%+(-44/-1142)</f>
        <v>0.38852889667250434</v>
      </c>
      <c r="AM127" s="947">
        <f>+$AQ$127</f>
        <v>0.3903180011357183</v>
      </c>
      <c r="AN127" s="947">
        <f>+$AQ$127</f>
        <v>0.3903180011357183</v>
      </c>
      <c r="AO127" s="947">
        <f>+$AQ$127</f>
        <v>0.3903180011357183</v>
      </c>
      <c r="AP127" s="947">
        <f>+$AQ$127</f>
        <v>0.3903180011357183</v>
      </c>
      <c r="AQ127" s="78">
        <f>35%+(-71/-1761)</f>
        <v>0.3903180011357183</v>
      </c>
      <c r="AR127" s="947"/>
      <c r="AS127" s="947"/>
      <c r="AT127" s="947"/>
      <c r="AU127" s="947"/>
      <c r="AV127" s="78">
        <f>+$AZ$127</f>
        <v>0.35</v>
      </c>
      <c r="AW127" s="947">
        <f>+$AZ$127</f>
        <v>0.35</v>
      </c>
      <c r="AX127" s="947">
        <f>+$AZ$127</f>
        <v>0.35</v>
      </c>
      <c r="AY127" s="947">
        <f>+$AZ$127</f>
        <v>0.35</v>
      </c>
      <c r="AZ127" s="947">
        <v>0.35</v>
      </c>
      <c r="BA127" s="947">
        <f>+$BE$127</f>
        <v>0.36520912547528517</v>
      </c>
      <c r="BB127" s="947">
        <f>+$BE$127</f>
        <v>0.36520912547528517</v>
      </c>
      <c r="BC127" s="947">
        <f>+$BE$127</f>
        <v>0.36520912547528517</v>
      </c>
      <c r="BD127" s="947">
        <f>+$BE$127</f>
        <v>0.36520912547528517</v>
      </c>
      <c r="BE127" s="78">
        <f>35%+(-28/-1841)</f>
        <v>0.36520912547528517</v>
      </c>
      <c r="BF127" s="947">
        <f>+$BJ$127</f>
        <v>0.36177929324240543</v>
      </c>
      <c r="BG127" s="947">
        <f>+$BJ$127</f>
        <v>0.36177929324240543</v>
      </c>
      <c r="BH127" s="947">
        <f>+$BJ$127</f>
        <v>0.36177929324240543</v>
      </c>
      <c r="BI127" s="947">
        <f>+$BJ$127</f>
        <v>0.36177929324240543</v>
      </c>
      <c r="BJ127" s="78">
        <f>35%+(-19/-1613)</f>
        <v>0.36177929324240543</v>
      </c>
      <c r="BK127" s="947">
        <f>+$BO$127</f>
        <v>0.3740112994350282</v>
      </c>
      <c r="BL127" s="947">
        <f>+$BO$127</f>
        <v>0.3740112994350282</v>
      </c>
      <c r="BM127" s="947">
        <f>+$BO$127</f>
        <v>0.3740112994350282</v>
      </c>
      <c r="BN127" s="947">
        <f>+$BO$127</f>
        <v>0.3740112994350282</v>
      </c>
      <c r="BO127" s="78">
        <f>35%+(-17/-708)</f>
        <v>0.3740112994350282</v>
      </c>
      <c r="BP127" s="947">
        <f>+$BT$127</f>
        <v>0.3729479258605472</v>
      </c>
      <c r="BQ127" s="947">
        <f>+$BT$127</f>
        <v>0.3729479258605472</v>
      </c>
      <c r="BR127" s="947">
        <f>+$BT$127</f>
        <v>0.3729479258605472</v>
      </c>
      <c r="BS127" s="947">
        <f>+$BT$127</f>
        <v>0.3729479258605472</v>
      </c>
      <c r="BT127" s="78">
        <f>35%+(-26/-1133)</f>
        <v>0.3729479258605472</v>
      </c>
      <c r="BU127" s="947">
        <f>+$BY$127</f>
        <v>0.38738317757009344</v>
      </c>
      <c r="BV127" s="947">
        <f>+$BY$127</f>
        <v>0.38738317757009344</v>
      </c>
      <c r="BW127" s="947">
        <f>+$BY$127</f>
        <v>0.38738317757009344</v>
      </c>
      <c r="BX127" s="947">
        <f>+$BY$127</f>
        <v>0.38738317757009344</v>
      </c>
      <c r="BY127" s="78">
        <f>35%+(-4/-107)</f>
        <v>0.38738317757009344</v>
      </c>
      <c r="BZ127" s="947">
        <f>+$CD$127</f>
        <v>0.45810810810810809</v>
      </c>
      <c r="CA127" s="947">
        <f>+$CD$127</f>
        <v>0.45810810810810809</v>
      </c>
      <c r="CB127" s="947">
        <f>+$CD$127</f>
        <v>0.45810810810810809</v>
      </c>
      <c r="CC127" s="947">
        <f>+$CD$127</f>
        <v>0.45810810810810809</v>
      </c>
      <c r="CD127" s="78">
        <f>35%+(4/37)</f>
        <v>0.45810810810810809</v>
      </c>
      <c r="CE127" s="947">
        <f>$CI$127</f>
        <v>0.39878048780487801</v>
      </c>
      <c r="CF127" s="947">
        <f>$CI$127</f>
        <v>0.39878048780487801</v>
      </c>
      <c r="CG127" s="947">
        <f>$CI$127</f>
        <v>0.39878048780487801</v>
      </c>
      <c r="CH127" s="947">
        <f>$CI$127</f>
        <v>0.39878048780487801</v>
      </c>
      <c r="CI127" s="78">
        <f>35%+(10/205)</f>
        <v>0.39878048780487801</v>
      </c>
      <c r="CJ127" s="947">
        <f>+$CN$127</f>
        <v>0.41329113924050631</v>
      </c>
      <c r="CK127" s="947">
        <f>+$CN$127</f>
        <v>0.41329113924050631</v>
      </c>
      <c r="CL127" s="947">
        <f>+$CN$127</f>
        <v>0.41329113924050631</v>
      </c>
      <c r="CM127" s="947">
        <f>+$CN$127</f>
        <v>0.41329113924050631</v>
      </c>
      <c r="CN127" s="78">
        <f>35%+(10/158)</f>
        <v>0.41329113924050631</v>
      </c>
      <c r="CO127" s="947">
        <f>+$CS$127</f>
        <v>0.41211180124223601</v>
      </c>
      <c r="CP127" s="947">
        <f>+$CS$127</f>
        <v>0.41211180124223601</v>
      </c>
      <c r="CQ127" s="947">
        <f>+$CS$127</f>
        <v>0.41211180124223601</v>
      </c>
      <c r="CR127" s="947">
        <f>+$CS$127</f>
        <v>0.41211180124223601</v>
      </c>
      <c r="CS127" s="78">
        <f>35%+(10/161)</f>
        <v>0.41211180124223601</v>
      </c>
      <c r="CT127" s="947">
        <f>+$CS$127</f>
        <v>0.41211180124223601</v>
      </c>
      <c r="CU127" s="947">
        <f>+$CS$127</f>
        <v>0.41211180124223601</v>
      </c>
      <c r="CV127" s="947">
        <f>+$CS$127</f>
        <v>0.41211180124223601</v>
      </c>
      <c r="CW127" s="947">
        <v>0.35</v>
      </c>
      <c r="CX127" s="78">
        <v>0.35</v>
      </c>
      <c r="CY127" s="947">
        <v>0.35</v>
      </c>
      <c r="CZ127" s="947">
        <v>0.35</v>
      </c>
      <c r="DA127" s="947">
        <v>0.35</v>
      </c>
      <c r="DB127" s="947">
        <v>0.35</v>
      </c>
      <c r="DC127" s="78">
        <v>0.35</v>
      </c>
      <c r="DD127" s="947">
        <v>0.35</v>
      </c>
      <c r="DE127" s="947">
        <v>0.35</v>
      </c>
      <c r="DF127" s="947">
        <v>0.35</v>
      </c>
      <c r="DG127" s="947">
        <v>0.35</v>
      </c>
      <c r="DH127" s="78">
        <v>0.35</v>
      </c>
      <c r="DI127" s="947">
        <v>0.35</v>
      </c>
      <c r="DJ127" s="947">
        <v>0.35</v>
      </c>
      <c r="DK127" s="947">
        <v>0.35</v>
      </c>
      <c r="DL127" s="947">
        <v>0.35</v>
      </c>
      <c r="DM127" s="78">
        <v>0.35</v>
      </c>
      <c r="DN127" s="947">
        <v>0.35</v>
      </c>
      <c r="DO127" s="947">
        <v>0.35</v>
      </c>
      <c r="DP127" s="947">
        <v>0.35</v>
      </c>
      <c r="DQ127" s="947">
        <v>0.35</v>
      </c>
      <c r="DR127" s="78">
        <v>0.35</v>
      </c>
      <c r="DS127" s="947">
        <v>0.35</v>
      </c>
      <c r="DT127" s="947">
        <v>0.35</v>
      </c>
      <c r="DU127" s="947">
        <v>0.35</v>
      </c>
      <c r="DV127" s="947">
        <v>0.35</v>
      </c>
      <c r="DW127" s="78">
        <v>0.35</v>
      </c>
      <c r="DX127" s="947">
        <v>0.35</v>
      </c>
      <c r="DY127" s="947">
        <v>0.35</v>
      </c>
      <c r="DZ127" s="947">
        <v>0.35</v>
      </c>
      <c r="EA127" s="947">
        <v>0.35</v>
      </c>
      <c r="EB127" s="78">
        <v>0.35</v>
      </c>
      <c r="EC127" s="947">
        <v>0.35</v>
      </c>
      <c r="ED127" s="947">
        <v>0.35</v>
      </c>
      <c r="EE127" s="947">
        <v>0.35</v>
      </c>
      <c r="EF127" s="947">
        <v>0.35</v>
      </c>
      <c r="EG127" s="78">
        <v>0.35</v>
      </c>
      <c r="EH127" s="947">
        <v>0.35</v>
      </c>
      <c r="EI127" s="947">
        <v>0.35</v>
      </c>
      <c r="EJ127" s="947">
        <v>0.35</v>
      </c>
      <c r="EK127" s="947">
        <v>0.35</v>
      </c>
      <c r="EL127" s="78">
        <v>0.35</v>
      </c>
      <c r="EN127"/>
      <c r="EO127"/>
      <c r="EP127"/>
      <c r="EQ127"/>
      <c r="ER127"/>
      <c r="ES127" s="154"/>
      <c r="ET127"/>
      <c r="EU127" s="154"/>
      <c r="EV127" s="154"/>
      <c r="EW127" s="154"/>
    </row>
    <row r="128" spans="1:271" s="11" customFormat="1" hidden="1" outlineLevel="1">
      <c r="A128" s="557"/>
      <c r="B128" s="557" t="s">
        <v>525</v>
      </c>
      <c r="C128" s="792"/>
      <c r="D128" s="792">
        <f t="shared" ref="D128:AT128" si="380">D47+D46+D45</f>
        <v>66.01600000000002</v>
      </c>
      <c r="E128" s="792">
        <f t="shared" si="380"/>
        <v>47.999999999999972</v>
      </c>
      <c r="F128" s="792">
        <f t="shared" si="380"/>
        <v>50.099999999999952</v>
      </c>
      <c r="G128" s="792">
        <f t="shared" si="380"/>
        <v>9.8839999999999932</v>
      </c>
      <c r="H128" s="786">
        <f t="shared" si="380"/>
        <v>173.99999999999997</v>
      </c>
      <c r="I128" s="792">
        <f t="shared" si="380"/>
        <v>123.90000000000003</v>
      </c>
      <c r="J128" s="792">
        <f t="shared" si="380"/>
        <v>187.79999999999998</v>
      </c>
      <c r="K128" s="792">
        <f t="shared" si="380"/>
        <v>74.900000000000119</v>
      </c>
      <c r="L128" s="792">
        <f t="shared" si="380"/>
        <v>-14.600000000000257</v>
      </c>
      <c r="M128" s="786">
        <f t="shared" si="380"/>
        <v>372</v>
      </c>
      <c r="N128" s="792">
        <f t="shared" si="380"/>
        <v>76.999999999999886</v>
      </c>
      <c r="O128" s="792">
        <f t="shared" si="380"/>
        <v>82.299999999999869</v>
      </c>
      <c r="P128" s="792">
        <f t="shared" si="380"/>
        <v>-104.39999999999992</v>
      </c>
      <c r="Q128" s="792">
        <f t="shared" si="380"/>
        <v>-281.90000000000066</v>
      </c>
      <c r="R128" s="786">
        <f t="shared" si="380"/>
        <v>-227</v>
      </c>
      <c r="S128" s="792">
        <f t="shared" si="380"/>
        <v>122</v>
      </c>
      <c r="T128" s="792">
        <f t="shared" si="380"/>
        <v>145</v>
      </c>
      <c r="U128" s="792">
        <f t="shared" si="380"/>
        <v>154</v>
      </c>
      <c r="V128" s="792">
        <f t="shared" si="380"/>
        <v>-138</v>
      </c>
      <c r="W128" s="786">
        <f t="shared" si="380"/>
        <v>283</v>
      </c>
      <c r="X128" s="792">
        <f t="shared" si="380"/>
        <v>141</v>
      </c>
      <c r="Y128" s="792">
        <f t="shared" si="380"/>
        <v>126</v>
      </c>
      <c r="Z128" s="792">
        <f t="shared" si="380"/>
        <v>124</v>
      </c>
      <c r="AA128" s="792">
        <f t="shared" si="380"/>
        <v>-135</v>
      </c>
      <c r="AB128" s="786">
        <f t="shared" si="380"/>
        <v>256</v>
      </c>
      <c r="AC128" s="792">
        <f t="shared" si="380"/>
        <v>114</v>
      </c>
      <c r="AD128" s="792">
        <f t="shared" si="380"/>
        <v>140</v>
      </c>
      <c r="AE128" s="792">
        <f t="shared" si="380"/>
        <v>44</v>
      </c>
      <c r="AF128" s="792">
        <f t="shared" si="380"/>
        <v>25</v>
      </c>
      <c r="AG128" s="786">
        <f t="shared" si="380"/>
        <v>323</v>
      </c>
      <c r="AH128" s="792">
        <f t="shared" si="380"/>
        <v>160</v>
      </c>
      <c r="AI128" s="792">
        <f t="shared" si="380"/>
        <v>179</v>
      </c>
      <c r="AJ128" s="792">
        <f t="shared" si="380"/>
        <v>201</v>
      </c>
      <c r="AK128" s="792">
        <f t="shared" si="380"/>
        <v>117</v>
      </c>
      <c r="AL128" s="786">
        <f t="shared" si="380"/>
        <v>657</v>
      </c>
      <c r="AM128" s="792">
        <f t="shared" si="380"/>
        <v>162</v>
      </c>
      <c r="AN128" s="792">
        <f t="shared" si="380"/>
        <v>101</v>
      </c>
      <c r="AO128" s="792">
        <f t="shared" si="380"/>
        <v>289</v>
      </c>
      <c r="AP128" s="792">
        <f t="shared" si="380"/>
        <v>271</v>
      </c>
      <c r="AQ128" s="786">
        <f t="shared" si="380"/>
        <v>823</v>
      </c>
      <c r="AR128" s="792">
        <f t="shared" si="380"/>
        <v>349</v>
      </c>
      <c r="AS128" s="792">
        <f t="shared" si="380"/>
        <v>324</v>
      </c>
      <c r="AT128" s="792">
        <f t="shared" si="380"/>
        <v>-50</v>
      </c>
      <c r="AU128" s="792"/>
      <c r="AV128" s="786">
        <f t="shared" ref="AV128:CA128" si="381">AV47+AV46+AV45</f>
        <v>289</v>
      </c>
      <c r="AW128" s="792">
        <f t="shared" si="381"/>
        <v>250</v>
      </c>
      <c r="AX128" s="792">
        <f t="shared" si="381"/>
        <v>339</v>
      </c>
      <c r="AY128" s="792">
        <f t="shared" si="381"/>
        <v>-26</v>
      </c>
      <c r="AZ128" s="792">
        <f t="shared" si="381"/>
        <v>852</v>
      </c>
      <c r="BA128" s="792">
        <f t="shared" si="381"/>
        <v>-12</v>
      </c>
      <c r="BB128" s="792">
        <f t="shared" si="381"/>
        <v>-186</v>
      </c>
      <c r="BC128" s="792">
        <f t="shared" si="381"/>
        <v>-302</v>
      </c>
      <c r="BD128" s="792">
        <f t="shared" si="381"/>
        <v>-965</v>
      </c>
      <c r="BE128" s="786">
        <f t="shared" si="381"/>
        <v>-1465</v>
      </c>
      <c r="BF128" s="792">
        <f t="shared" si="381"/>
        <v>-117</v>
      </c>
      <c r="BG128" s="792">
        <f t="shared" si="381"/>
        <v>-426</v>
      </c>
      <c r="BH128" s="792">
        <f t="shared" si="381"/>
        <v>-69</v>
      </c>
      <c r="BI128" s="792">
        <f t="shared" si="381"/>
        <v>-2031</v>
      </c>
      <c r="BJ128" s="786">
        <f t="shared" si="381"/>
        <v>-2643</v>
      </c>
      <c r="BK128" s="792">
        <f t="shared" si="381"/>
        <v>-1</v>
      </c>
      <c r="BL128" s="792">
        <f t="shared" si="381"/>
        <v>-30</v>
      </c>
      <c r="BM128" s="792">
        <f t="shared" si="381"/>
        <v>-401</v>
      </c>
      <c r="BN128" s="792">
        <f t="shared" si="381"/>
        <v>-285</v>
      </c>
      <c r="BO128" s="786">
        <f t="shared" si="381"/>
        <v>-717</v>
      </c>
      <c r="BP128" s="792">
        <f t="shared" si="381"/>
        <v>71</v>
      </c>
      <c r="BQ128" s="792">
        <f t="shared" si="381"/>
        <v>-398</v>
      </c>
      <c r="BR128" s="792">
        <f t="shared" si="381"/>
        <v>-88</v>
      </c>
      <c r="BS128" s="792">
        <f t="shared" si="381"/>
        <v>-384</v>
      </c>
      <c r="BT128" s="786">
        <f t="shared" si="381"/>
        <v>-799</v>
      </c>
      <c r="BU128" s="792">
        <f t="shared" si="381"/>
        <v>77</v>
      </c>
      <c r="BV128" s="792">
        <f t="shared" si="381"/>
        <v>-29</v>
      </c>
      <c r="BW128" s="792">
        <f t="shared" si="381"/>
        <v>-59</v>
      </c>
      <c r="BX128" s="792">
        <f t="shared" si="381"/>
        <v>-74</v>
      </c>
      <c r="BY128" s="786">
        <f t="shared" si="381"/>
        <v>-85</v>
      </c>
      <c r="BZ128" s="792">
        <f t="shared" si="381"/>
        <v>-30</v>
      </c>
      <c r="CA128" s="792">
        <f t="shared" si="381"/>
        <v>-15</v>
      </c>
      <c r="CB128" s="792">
        <f t="shared" ref="CB128:DG128" si="382">CB47+CB46+CB45</f>
        <v>106</v>
      </c>
      <c r="CC128" s="792">
        <f t="shared" si="382"/>
        <v>-30</v>
      </c>
      <c r="CD128" s="786">
        <f t="shared" si="382"/>
        <v>31</v>
      </c>
      <c r="CE128" s="792">
        <f t="shared" si="382"/>
        <v>183</v>
      </c>
      <c r="CF128" s="792">
        <f t="shared" si="382"/>
        <v>-14</v>
      </c>
      <c r="CG128" s="792">
        <f t="shared" si="382"/>
        <v>-1</v>
      </c>
      <c r="CH128" s="792">
        <f t="shared" si="382"/>
        <v>29</v>
      </c>
      <c r="CI128" s="786">
        <f t="shared" si="382"/>
        <v>197</v>
      </c>
      <c r="CJ128" s="792">
        <f t="shared" si="382"/>
        <v>95</v>
      </c>
      <c r="CK128" s="792">
        <f t="shared" si="382"/>
        <v>35</v>
      </c>
      <c r="CL128" s="792">
        <f t="shared" si="382"/>
        <v>940</v>
      </c>
      <c r="CM128" s="792">
        <f t="shared" si="382"/>
        <v>82</v>
      </c>
      <c r="CN128" s="786">
        <f t="shared" si="382"/>
        <v>1152</v>
      </c>
      <c r="CO128" s="792">
        <f t="shared" si="382"/>
        <v>82</v>
      </c>
      <c r="CP128" s="792">
        <f t="shared" si="382"/>
        <v>63</v>
      </c>
      <c r="CQ128" s="792">
        <f t="shared" si="382"/>
        <v>15</v>
      </c>
      <c r="CR128" s="792">
        <f t="shared" si="382"/>
        <v>-66</v>
      </c>
      <c r="CS128" s="786">
        <f t="shared" si="382"/>
        <v>94</v>
      </c>
      <c r="CT128" s="792">
        <f t="shared" si="382"/>
        <v>67</v>
      </c>
      <c r="CU128" s="792">
        <f t="shared" si="382"/>
        <v>-20</v>
      </c>
      <c r="CV128" s="792">
        <f t="shared" si="382"/>
        <v>32</v>
      </c>
      <c r="CW128" s="792">
        <f t="shared" si="382"/>
        <v>54</v>
      </c>
      <c r="CX128" s="786">
        <f t="shared" si="382"/>
        <v>133</v>
      </c>
      <c r="CY128" s="792">
        <f t="shared" si="382"/>
        <v>-83</v>
      </c>
      <c r="CZ128" s="792">
        <f t="shared" si="382"/>
        <v>-43</v>
      </c>
      <c r="DA128" s="792">
        <f t="shared" si="382"/>
        <v>36</v>
      </c>
      <c r="DB128" s="792">
        <f t="shared" si="382"/>
        <v>-14</v>
      </c>
      <c r="DC128" s="786">
        <f t="shared" si="382"/>
        <v>-104</v>
      </c>
      <c r="DD128" s="792">
        <f t="shared" si="382"/>
        <v>-16</v>
      </c>
      <c r="DE128" s="792">
        <f t="shared" si="382"/>
        <v>-7</v>
      </c>
      <c r="DF128" s="792">
        <f t="shared" si="382"/>
        <v>18</v>
      </c>
      <c r="DG128" s="792">
        <f t="shared" si="382"/>
        <v>81</v>
      </c>
      <c r="DH128" s="786">
        <f t="shared" ref="DH128:EG128" si="383">DH47+DH46+DH45</f>
        <v>76</v>
      </c>
      <c r="DI128" s="792">
        <f t="shared" si="383"/>
        <v>76</v>
      </c>
      <c r="DJ128" s="792">
        <f t="shared" si="383"/>
        <v>-28</v>
      </c>
      <c r="DK128" s="792">
        <f t="shared" si="383"/>
        <v>28</v>
      </c>
      <c r="DL128" s="792">
        <f t="shared" si="383"/>
        <v>2</v>
      </c>
      <c r="DM128" s="786">
        <f t="shared" si="383"/>
        <v>78</v>
      </c>
      <c r="DN128" s="792">
        <f t="shared" si="383"/>
        <v>34</v>
      </c>
      <c r="DO128" s="792">
        <f t="shared" si="383"/>
        <v>39</v>
      </c>
      <c r="DP128" s="792">
        <f t="shared" si="383"/>
        <v>80</v>
      </c>
      <c r="DQ128" s="792">
        <f t="shared" si="383"/>
        <v>23</v>
      </c>
      <c r="DR128" s="786">
        <f t="shared" si="383"/>
        <v>176</v>
      </c>
      <c r="DS128" s="792">
        <f t="shared" si="383"/>
        <v>36</v>
      </c>
      <c r="DT128" s="792">
        <f t="shared" si="383"/>
        <v>32</v>
      </c>
      <c r="DU128" s="792">
        <f>DU47+DU46+DU45</f>
        <v>-289</v>
      </c>
      <c r="DV128" s="792">
        <f t="shared" ref="DV128" si="384">DV47+DV46+DV45</f>
        <v>-99</v>
      </c>
      <c r="DW128" s="786">
        <f t="shared" si="383"/>
        <v>-320</v>
      </c>
      <c r="DX128" s="792">
        <f t="shared" si="383"/>
        <v>116.00684004265835</v>
      </c>
      <c r="DY128" s="792">
        <f t="shared" si="383"/>
        <v>157.26342403299901</v>
      </c>
      <c r="DZ128" s="792">
        <f t="shared" si="383"/>
        <v>160.48521554081142</v>
      </c>
      <c r="EA128" s="792">
        <f t="shared" si="383"/>
        <v>151.85866757246038</v>
      </c>
      <c r="EB128" s="786">
        <f t="shared" si="383"/>
        <v>585.61414718893025</v>
      </c>
      <c r="EC128" s="792">
        <f t="shared" si="383"/>
        <v>163.97456028051721</v>
      </c>
      <c r="ED128" s="792">
        <f t="shared" si="383"/>
        <v>158.27765799394683</v>
      </c>
      <c r="EE128" s="792">
        <f t="shared" si="383"/>
        <v>163.62945502264569</v>
      </c>
      <c r="EF128" s="792">
        <f t="shared" si="383"/>
        <v>183.53429496625375</v>
      </c>
      <c r="EG128" s="786">
        <f t="shared" si="383"/>
        <v>669.41596826336433</v>
      </c>
      <c r="EH128" s="792">
        <f t="shared" ref="EH128:EL128" si="385">EH47+EH46+EH45</f>
        <v>177.94135113269311</v>
      </c>
      <c r="EI128" s="792">
        <f t="shared" si="385"/>
        <v>182.51637532446483</v>
      </c>
      <c r="EJ128" s="792">
        <f t="shared" si="385"/>
        <v>180.93610414542943</v>
      </c>
      <c r="EK128" s="792">
        <f t="shared" si="385"/>
        <v>175.38107322342842</v>
      </c>
      <c r="EL128" s="786">
        <f t="shared" si="385"/>
        <v>716.77490382601786</v>
      </c>
      <c r="EM128" s="1"/>
      <c r="EN128"/>
      <c r="EO128"/>
      <c r="EP128"/>
      <c r="EQ128"/>
      <c r="ER128"/>
      <c r="ES128" s="7"/>
      <c r="ET128"/>
      <c r="EU128" s="7"/>
      <c r="EV128" s="7"/>
      <c r="EW128" s="7"/>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c r="HF128" s="3"/>
      <c r="HG128" s="3"/>
      <c r="HH128" s="3"/>
      <c r="HI128" s="3"/>
      <c r="HJ128" s="3"/>
      <c r="HK128" s="3"/>
      <c r="HL128" s="3"/>
      <c r="HM128" s="3"/>
      <c r="HN128" s="3"/>
      <c r="HO128" s="3"/>
      <c r="HP128" s="3"/>
      <c r="HQ128" s="3"/>
      <c r="HR128" s="3"/>
      <c r="HS128" s="3"/>
      <c r="HT128" s="3"/>
      <c r="HU128" s="3"/>
      <c r="HV128" s="3"/>
      <c r="HW128" s="3"/>
      <c r="HX128" s="3"/>
      <c r="HY128" s="3"/>
      <c r="HZ128" s="3"/>
      <c r="IA128" s="3"/>
      <c r="IB128" s="3"/>
      <c r="IC128" s="3"/>
      <c r="ID128" s="3"/>
      <c r="IE128" s="3"/>
      <c r="IF128" s="3"/>
      <c r="IG128" s="3"/>
      <c r="IH128" s="3"/>
      <c r="II128" s="3"/>
      <c r="IJ128" s="3"/>
      <c r="IK128" s="3"/>
      <c r="IL128" s="3"/>
      <c r="IM128" s="3"/>
      <c r="IN128" s="3"/>
      <c r="IO128" s="3"/>
      <c r="IP128" s="3"/>
      <c r="IQ128" s="3"/>
      <c r="IR128" s="3"/>
      <c r="IS128" s="3"/>
      <c r="IT128" s="3"/>
      <c r="IU128" s="3"/>
      <c r="IV128" s="3"/>
      <c r="IW128" s="3"/>
      <c r="IX128" s="3"/>
      <c r="IY128" s="3"/>
      <c r="IZ128" s="3"/>
      <c r="JA128" s="3"/>
      <c r="JB128" s="3"/>
      <c r="JC128" s="3"/>
      <c r="JD128" s="3"/>
      <c r="JE128" s="3"/>
      <c r="JF128" s="3"/>
      <c r="JG128" s="3"/>
      <c r="JH128" s="3"/>
      <c r="JI128" s="3"/>
      <c r="JJ128" s="3"/>
      <c r="JK128" s="3"/>
    </row>
    <row r="129" spans="1:271" s="11" customFormat="1" hidden="1" outlineLevel="1">
      <c r="A129" s="892"/>
      <c r="B129" s="892"/>
      <c r="C129" s="555"/>
      <c r="D129" s="893"/>
      <c r="E129" s="893"/>
      <c r="F129" s="893"/>
      <c r="G129" s="893"/>
      <c r="H129" s="894"/>
      <c r="I129" s="893"/>
      <c r="J129" s="893"/>
      <c r="K129" s="893"/>
      <c r="L129" s="893"/>
      <c r="M129" s="894"/>
      <c r="N129" s="893"/>
      <c r="O129" s="893"/>
      <c r="P129" s="893"/>
      <c r="Q129" s="893"/>
      <c r="R129" s="894"/>
      <c r="S129" s="893"/>
      <c r="T129" s="893"/>
      <c r="U129" s="893"/>
      <c r="V129" s="893"/>
      <c r="W129" s="894"/>
      <c r="X129" s="893"/>
      <c r="Y129" s="893"/>
      <c r="Z129" s="893"/>
      <c r="AA129" s="893"/>
      <c r="AB129" s="894"/>
      <c r="AC129" s="893"/>
      <c r="AD129" s="893"/>
      <c r="AE129" s="893"/>
      <c r="AF129" s="893"/>
      <c r="AG129" s="894"/>
      <c r="AH129" s="893"/>
      <c r="AI129" s="893"/>
      <c r="AJ129" s="893"/>
      <c r="AK129" s="893"/>
      <c r="AL129" s="894"/>
      <c r="AM129" s="893"/>
      <c r="AN129" s="893"/>
      <c r="AO129" s="893"/>
      <c r="AP129" s="893"/>
      <c r="AQ129" s="894"/>
      <c r="AR129" s="893"/>
      <c r="AS129" s="893"/>
      <c r="AT129" s="893"/>
      <c r="AU129" s="893"/>
      <c r="AV129" s="894">
        <f t="shared" ref="AV129:CN129" si="386">(AV35-AV45-AV46)</f>
        <v>261</v>
      </c>
      <c r="AW129" s="893">
        <f t="shared" si="386"/>
        <v>226</v>
      </c>
      <c r="AX129" s="893">
        <f t="shared" si="386"/>
        <v>311</v>
      </c>
      <c r="AY129" s="893">
        <f t="shared" si="386"/>
        <v>-3</v>
      </c>
      <c r="AZ129" s="893">
        <f t="shared" si="386"/>
        <v>795</v>
      </c>
      <c r="BA129" s="893">
        <f t="shared" si="386"/>
        <v>15</v>
      </c>
      <c r="BB129" s="893">
        <f t="shared" si="386"/>
        <v>-129</v>
      </c>
      <c r="BC129" s="893">
        <f t="shared" si="386"/>
        <v>-235</v>
      </c>
      <c r="BD129" s="893">
        <f t="shared" si="386"/>
        <v>-1088</v>
      </c>
      <c r="BE129" s="894">
        <f t="shared" si="386"/>
        <v>-1437</v>
      </c>
      <c r="BF129" s="893">
        <f t="shared" si="386"/>
        <v>-19</v>
      </c>
      <c r="BG129" s="893">
        <f t="shared" si="386"/>
        <v>-213</v>
      </c>
      <c r="BH129" s="893">
        <f t="shared" si="386"/>
        <v>-52</v>
      </c>
      <c r="BI129" s="893">
        <f t="shared" si="386"/>
        <v>-1602</v>
      </c>
      <c r="BJ129" s="894">
        <f t="shared" si="386"/>
        <v>-1886</v>
      </c>
      <c r="BK129" s="893">
        <f t="shared" si="386"/>
        <v>20</v>
      </c>
      <c r="BL129" s="893">
        <f t="shared" si="386"/>
        <v>-12</v>
      </c>
      <c r="BM129" s="893">
        <f t="shared" si="386"/>
        <v>-378</v>
      </c>
      <c r="BN129" s="893">
        <f t="shared" si="386"/>
        <v>-251</v>
      </c>
      <c r="BO129" s="894">
        <f t="shared" si="386"/>
        <v>-621</v>
      </c>
      <c r="BP129" s="893">
        <f t="shared" si="386"/>
        <v>15</v>
      </c>
      <c r="BQ129" s="893">
        <f t="shared" si="386"/>
        <v>-447</v>
      </c>
      <c r="BR129" s="893">
        <f t="shared" si="386"/>
        <v>-30</v>
      </c>
      <c r="BS129" s="893">
        <f t="shared" si="386"/>
        <v>-393</v>
      </c>
      <c r="BT129" s="894">
        <f t="shared" si="386"/>
        <v>-855</v>
      </c>
      <c r="BU129" s="893">
        <f t="shared" si="386"/>
        <v>93</v>
      </c>
      <c r="BV129" s="893">
        <f t="shared" si="386"/>
        <v>-29</v>
      </c>
      <c r="BW129" s="893">
        <f t="shared" si="386"/>
        <v>-35</v>
      </c>
      <c r="BX129" s="893">
        <f t="shared" si="386"/>
        <v>-86</v>
      </c>
      <c r="BY129" s="894">
        <f t="shared" si="386"/>
        <v>-57</v>
      </c>
      <c r="BZ129" s="893">
        <f t="shared" si="386"/>
        <v>-10</v>
      </c>
      <c r="CA129" s="893">
        <f t="shared" si="386"/>
        <v>-19</v>
      </c>
      <c r="CB129" s="893">
        <f t="shared" si="386"/>
        <v>114</v>
      </c>
      <c r="CC129" s="893">
        <f t="shared" si="386"/>
        <v>-10</v>
      </c>
      <c r="CD129" s="894">
        <f t="shared" si="386"/>
        <v>75</v>
      </c>
      <c r="CE129" s="893">
        <f t="shared" si="386"/>
        <v>189</v>
      </c>
      <c r="CF129" s="893">
        <f t="shared" si="386"/>
        <v>2</v>
      </c>
      <c r="CG129" s="893">
        <f t="shared" si="386"/>
        <v>2</v>
      </c>
      <c r="CH129" s="893">
        <f t="shared" si="386"/>
        <v>16</v>
      </c>
      <c r="CI129" s="894">
        <f t="shared" si="386"/>
        <v>209</v>
      </c>
      <c r="CJ129" s="893">
        <f t="shared" si="386"/>
        <v>83</v>
      </c>
      <c r="CK129" s="893">
        <f t="shared" si="386"/>
        <v>35</v>
      </c>
      <c r="CL129" s="893">
        <f t="shared" si="386"/>
        <v>932</v>
      </c>
      <c r="CM129" s="893">
        <f t="shared" si="386"/>
        <v>52</v>
      </c>
      <c r="CN129" s="894">
        <f t="shared" si="386"/>
        <v>1102</v>
      </c>
      <c r="CO129" s="893">
        <f t="shared" ref="CO129:EG129" si="387">CO49</f>
        <v>80</v>
      </c>
      <c r="CP129" s="893">
        <f t="shared" si="387"/>
        <v>40</v>
      </c>
      <c r="CQ129" s="893">
        <f t="shared" si="387"/>
        <v>8</v>
      </c>
      <c r="CR129" s="893">
        <f t="shared" si="387"/>
        <v>-60</v>
      </c>
      <c r="CS129" s="894">
        <f t="shared" si="387"/>
        <v>68</v>
      </c>
      <c r="CT129" s="893">
        <f t="shared" si="387"/>
        <v>57</v>
      </c>
      <c r="CU129" s="893">
        <f t="shared" si="387"/>
        <v>42</v>
      </c>
      <c r="CV129" s="893">
        <f t="shared" si="387"/>
        <v>30</v>
      </c>
      <c r="CW129" s="893">
        <f t="shared" si="387"/>
        <v>57</v>
      </c>
      <c r="CX129" s="894">
        <f t="shared" si="387"/>
        <v>186</v>
      </c>
      <c r="CY129" s="893">
        <f t="shared" si="387"/>
        <v>34</v>
      </c>
      <c r="CZ129" s="893">
        <f t="shared" si="387"/>
        <v>68.5</v>
      </c>
      <c r="DA129" s="893">
        <f t="shared" si="387"/>
        <v>46</v>
      </c>
      <c r="DB129" s="893">
        <f t="shared" si="387"/>
        <v>43</v>
      </c>
      <c r="DC129" s="894">
        <f t="shared" si="387"/>
        <v>191.5</v>
      </c>
      <c r="DD129" s="893">
        <f t="shared" si="387"/>
        <v>-12</v>
      </c>
      <c r="DE129" s="893">
        <f t="shared" si="387"/>
        <v>17</v>
      </c>
      <c r="DF129" s="893">
        <f t="shared" si="387"/>
        <v>9</v>
      </c>
      <c r="DG129" s="893">
        <f t="shared" ca="1" si="387"/>
        <v>61</v>
      </c>
      <c r="DH129" s="894">
        <f t="shared" ca="1" si="387"/>
        <v>75</v>
      </c>
      <c r="DI129" s="893">
        <f t="shared" si="387"/>
        <v>46</v>
      </c>
      <c r="DJ129" s="893">
        <f t="shared" si="387"/>
        <v>-60</v>
      </c>
      <c r="DK129" s="893">
        <f t="shared" si="387"/>
        <v>-28</v>
      </c>
      <c r="DL129" s="893">
        <f t="shared" si="387"/>
        <v>-100</v>
      </c>
      <c r="DM129" s="894">
        <f t="shared" si="387"/>
        <v>-142</v>
      </c>
      <c r="DN129" s="893">
        <f t="shared" si="387"/>
        <v>-55</v>
      </c>
      <c r="DO129" s="893">
        <f t="shared" si="387"/>
        <v>-44</v>
      </c>
      <c r="DP129" s="893">
        <f t="shared" si="387"/>
        <v>-9</v>
      </c>
      <c r="DQ129" s="893">
        <f t="shared" si="387"/>
        <v>-79</v>
      </c>
      <c r="DR129" s="894">
        <f t="shared" si="387"/>
        <v>-187</v>
      </c>
      <c r="DS129" s="893">
        <f t="shared" si="387"/>
        <v>-52</v>
      </c>
      <c r="DT129" s="893">
        <f t="shared" si="387"/>
        <v>-56</v>
      </c>
      <c r="DU129" s="893">
        <f>DU49</f>
        <v>-366</v>
      </c>
      <c r="DV129" s="893">
        <f t="shared" ref="DV129" si="388">DV49</f>
        <v>-230</v>
      </c>
      <c r="DW129" s="894">
        <f t="shared" si="387"/>
        <v>-704</v>
      </c>
      <c r="DX129" s="893">
        <f t="shared" si="387"/>
        <v>26.070229558280374</v>
      </c>
      <c r="DY129" s="893">
        <f t="shared" si="387"/>
        <v>64.247781762778089</v>
      </c>
      <c r="DZ129" s="893">
        <f t="shared" si="387"/>
        <v>65.723898534745999</v>
      </c>
      <c r="EA129" s="893">
        <f t="shared" si="387"/>
        <v>16.518168441145264</v>
      </c>
      <c r="EB129" s="894">
        <f t="shared" si="387"/>
        <v>172.56007829695079</v>
      </c>
      <c r="EC129" s="893">
        <f t="shared" si="387"/>
        <v>58.78782894200323</v>
      </c>
      <c r="ED129" s="893">
        <f t="shared" si="387"/>
        <v>47.640692349388516</v>
      </c>
      <c r="EE129" s="893">
        <f t="shared" si="387"/>
        <v>56.223728709718628</v>
      </c>
      <c r="EF129" s="893">
        <f t="shared" si="387"/>
        <v>52.03914111403185</v>
      </c>
      <c r="EG129" s="894">
        <f t="shared" si="387"/>
        <v>214.69139111514306</v>
      </c>
      <c r="EH129" s="893">
        <f t="shared" ref="EH129:EL129" si="389">EH49</f>
        <v>63.913742239847181</v>
      </c>
      <c r="EI129" s="893">
        <f t="shared" si="389"/>
        <v>63.239959684202958</v>
      </c>
      <c r="EJ129" s="893">
        <f t="shared" si="389"/>
        <v>65.238382640434807</v>
      </c>
      <c r="EK129" s="893">
        <f t="shared" si="389"/>
        <v>33.61224933750529</v>
      </c>
      <c r="EL129" s="894">
        <f t="shared" si="389"/>
        <v>226.00433390199237</v>
      </c>
      <c r="EM129" s="1"/>
      <c r="EN129"/>
      <c r="EO129"/>
      <c r="EP129"/>
      <c r="EQ129"/>
      <c r="ER129"/>
      <c r="ES129" s="7"/>
      <c r="ET129"/>
      <c r="EU129" s="7"/>
      <c r="EV129" s="7"/>
      <c r="EW129" s="7"/>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c r="HF129" s="3"/>
      <c r="HG129" s="3"/>
      <c r="HH129" s="3"/>
      <c r="HI129" s="3"/>
      <c r="HJ129" s="3"/>
      <c r="HK129" s="3"/>
      <c r="HL129" s="3"/>
      <c r="HM129" s="3"/>
      <c r="HN129" s="3"/>
      <c r="HO129" s="3"/>
      <c r="HP129" s="3"/>
      <c r="HQ129" s="3"/>
      <c r="HR129" s="3"/>
      <c r="HS129" s="3"/>
      <c r="HT129" s="3"/>
      <c r="HU129" s="3"/>
      <c r="HV129" s="3"/>
      <c r="HW129" s="3"/>
      <c r="HX129" s="3"/>
      <c r="HY129" s="3"/>
      <c r="HZ129" s="3"/>
      <c r="IA129" s="3"/>
      <c r="IB129" s="3"/>
      <c r="IC129" s="3"/>
      <c r="ID129" s="3"/>
      <c r="IE129" s="3"/>
      <c r="IF129" s="3"/>
      <c r="IG129" s="3"/>
      <c r="IH129" s="3"/>
      <c r="II129" s="3"/>
      <c r="IJ129" s="3"/>
      <c r="IK129" s="3"/>
      <c r="IL129" s="3"/>
      <c r="IM129" s="3"/>
      <c r="IN129" s="3"/>
      <c r="IO129" s="3"/>
      <c r="IP129" s="3"/>
      <c r="IQ129" s="3"/>
      <c r="IR129" s="3"/>
      <c r="IS129" s="3"/>
      <c r="IT129" s="3"/>
      <c r="IU129" s="3"/>
      <c r="IV129" s="3"/>
      <c r="IW129" s="3"/>
      <c r="IX129" s="3"/>
      <c r="IY129" s="3"/>
      <c r="IZ129" s="3"/>
      <c r="JA129" s="3"/>
      <c r="JB129" s="3"/>
      <c r="JC129" s="3"/>
      <c r="JD129" s="3"/>
      <c r="JE129" s="3"/>
      <c r="JF129" s="3"/>
      <c r="JG129" s="3"/>
      <c r="JH129" s="3"/>
      <c r="JI129" s="3"/>
      <c r="JJ129" s="3"/>
      <c r="JK129" s="3"/>
    </row>
    <row r="130" spans="1:271" hidden="1" outlineLevel="1"/>
    <row r="131" spans="1:271" s="11" customFormat="1" hidden="1" outlineLevel="1">
      <c r="A131" s="659"/>
      <c r="B131" s="659"/>
      <c r="C131" s="659"/>
      <c r="D131" s="659"/>
      <c r="E131" s="659"/>
      <c r="F131" s="659"/>
      <c r="G131" s="659"/>
      <c r="H131" s="677"/>
      <c r="I131" s="659"/>
      <c r="J131" s="659"/>
      <c r="K131" s="659"/>
      <c r="L131" s="659"/>
      <c r="M131" s="677"/>
      <c r="N131" s="659"/>
      <c r="O131" s="659"/>
      <c r="P131" s="659"/>
      <c r="Q131" s="659"/>
      <c r="R131" s="677"/>
      <c r="S131" s="659"/>
      <c r="T131" s="659"/>
      <c r="U131" s="659"/>
      <c r="V131" s="659"/>
      <c r="W131" s="677"/>
      <c r="X131" s="659"/>
      <c r="Y131" s="659"/>
      <c r="Z131" s="659"/>
      <c r="AA131" s="659"/>
      <c r="AB131" s="677"/>
      <c r="AC131" s="659"/>
      <c r="AD131" s="659"/>
      <c r="AE131" s="659"/>
      <c r="AF131" s="659"/>
      <c r="AG131" s="677"/>
      <c r="AH131" s="659"/>
      <c r="AI131" s="659"/>
      <c r="AJ131" s="659"/>
      <c r="AK131" s="659"/>
      <c r="AL131" s="677"/>
      <c r="AM131" s="659"/>
      <c r="AN131" s="659"/>
      <c r="AO131" s="659"/>
      <c r="AP131" s="659"/>
      <c r="AQ131" s="677"/>
      <c r="AR131" s="659"/>
      <c r="AS131" s="659"/>
      <c r="AT131" s="659"/>
      <c r="AU131" s="659"/>
      <c r="AV131" s="677"/>
      <c r="AW131" s="659"/>
      <c r="AX131" s="659"/>
      <c r="AY131" s="659"/>
      <c r="AZ131" s="659"/>
      <c r="BA131" s="659"/>
      <c r="BB131" s="659"/>
      <c r="BC131" s="659"/>
      <c r="BD131" s="659"/>
      <c r="BE131" s="677"/>
      <c r="BF131" s="659"/>
      <c r="BG131" s="659"/>
      <c r="BH131" s="659"/>
      <c r="BI131" s="659"/>
      <c r="BJ131" s="677"/>
      <c r="BK131" s="659"/>
      <c r="BL131" s="659"/>
      <c r="BM131" s="659"/>
      <c r="BN131" s="659"/>
      <c r="BO131" s="677"/>
      <c r="BP131" s="659"/>
      <c r="BQ131" s="659"/>
      <c r="BR131" s="659"/>
      <c r="BS131" s="659"/>
      <c r="BT131" s="677"/>
      <c r="BU131" s="659"/>
      <c r="BV131" s="659"/>
      <c r="BW131" s="659"/>
      <c r="BX131" s="659"/>
      <c r="BY131" s="677"/>
      <c r="BZ131" s="659"/>
      <c r="CA131" s="659"/>
      <c r="CB131" s="659"/>
      <c r="CC131" s="659"/>
      <c r="CD131" s="677"/>
      <c r="CE131" s="659"/>
      <c r="CF131" s="659"/>
      <c r="CG131" s="659"/>
      <c r="CH131" s="659"/>
      <c r="CI131" s="677"/>
      <c r="CJ131" s="659"/>
      <c r="CK131" s="659"/>
      <c r="CL131" s="659"/>
      <c r="CM131" s="659"/>
      <c r="CN131" s="677"/>
      <c r="CO131" s="659"/>
      <c r="CP131" s="659"/>
      <c r="CQ131" s="659"/>
      <c r="CR131" s="659"/>
      <c r="CS131" s="677"/>
      <c r="CT131" s="659"/>
      <c r="CU131" s="659"/>
      <c r="CV131" s="659"/>
      <c r="CW131" s="659"/>
      <c r="CX131" s="677"/>
      <c r="CY131" s="659"/>
      <c r="CZ131" s="659"/>
      <c r="DA131" s="659"/>
      <c r="DB131" s="659"/>
      <c r="DC131" s="677"/>
      <c r="DD131" s="659"/>
      <c r="DE131" s="659"/>
      <c r="DF131" s="659"/>
      <c r="DG131" s="659"/>
      <c r="DH131" s="677"/>
      <c r="DI131" s="659"/>
      <c r="DJ131" s="659"/>
      <c r="DK131" s="659"/>
      <c r="DL131" s="659"/>
      <c r="DM131" s="677"/>
      <c r="DN131" s="659"/>
      <c r="DO131" s="659"/>
      <c r="DP131" s="659"/>
      <c r="DQ131" s="659"/>
      <c r="DR131" s="677"/>
      <c r="DS131" s="659"/>
      <c r="DT131" s="659"/>
      <c r="DU131" s="659"/>
      <c r="DV131" s="659"/>
      <c r="DW131" s="677"/>
      <c r="DX131" s="659"/>
      <c r="DY131" s="659"/>
      <c r="DZ131" s="659"/>
      <c r="EA131" s="659"/>
      <c r="EB131" s="677"/>
      <c r="EC131" s="659"/>
      <c r="ED131" s="659"/>
      <c r="EE131" s="659"/>
      <c r="EF131" s="659"/>
      <c r="EG131" s="677"/>
      <c r="EH131" s="659"/>
      <c r="EI131" s="659"/>
      <c r="EJ131" s="659"/>
      <c r="EK131" s="659"/>
      <c r="EL131" s="677"/>
      <c r="EM131" s="1"/>
      <c r="EN131"/>
      <c r="EO131"/>
      <c r="EP131"/>
      <c r="EQ131"/>
      <c r="ER131"/>
      <c r="ES131" s="7"/>
      <c r="ET131"/>
      <c r="EU131" s="7"/>
      <c r="EV131" s="7"/>
      <c r="EW131" s="7"/>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c r="HF131" s="3"/>
      <c r="HG131" s="3"/>
      <c r="HH131" s="3"/>
      <c r="HI131" s="3"/>
      <c r="HJ131" s="3"/>
      <c r="HK131" s="3"/>
      <c r="HL131" s="3"/>
      <c r="HM131" s="3"/>
      <c r="HN131" s="3"/>
      <c r="HO131" s="3"/>
      <c r="HP131" s="3"/>
      <c r="HQ131" s="3"/>
      <c r="HR131" s="3"/>
      <c r="HS131" s="3"/>
      <c r="HT131" s="3"/>
      <c r="HU131" s="3"/>
      <c r="HV131" s="3"/>
      <c r="HW131" s="3"/>
      <c r="HX131" s="3"/>
      <c r="HY131" s="3"/>
      <c r="HZ131" s="3"/>
      <c r="IA131" s="3"/>
      <c r="IB131" s="3"/>
      <c r="IC131" s="3"/>
      <c r="ID131" s="3"/>
      <c r="IE131" s="3"/>
      <c r="IF131" s="3"/>
      <c r="IG131" s="3"/>
      <c r="IH131" s="3"/>
      <c r="II131" s="3"/>
      <c r="IJ131" s="3"/>
      <c r="IK131" s="3"/>
      <c r="IL131" s="3"/>
      <c r="IM131" s="3"/>
      <c r="IN131" s="3"/>
      <c r="IO131" s="3"/>
      <c r="IP131" s="3"/>
      <c r="IQ131" s="3"/>
      <c r="IR131" s="3"/>
      <c r="IS131" s="3"/>
      <c r="IT131" s="3"/>
      <c r="IU131" s="3"/>
      <c r="IV131" s="3"/>
      <c r="IW131" s="3"/>
      <c r="IX131" s="3"/>
      <c r="IY131" s="3"/>
      <c r="IZ131" s="3"/>
      <c r="JA131" s="3"/>
      <c r="JB131" s="3"/>
      <c r="JC131" s="3"/>
      <c r="JD131" s="3"/>
      <c r="JE131" s="3"/>
      <c r="JF131" s="3"/>
      <c r="JG131" s="3"/>
      <c r="JH131" s="3"/>
      <c r="JI131" s="3"/>
      <c r="JJ131" s="3"/>
      <c r="JK131" s="3"/>
    </row>
    <row r="132" spans="1:271" s="570" customFormat="1" hidden="1" outlineLevel="1">
      <c r="A132" s="670"/>
      <c r="B132" s="1431" t="s">
        <v>586</v>
      </c>
      <c r="C132" s="670"/>
      <c r="D132" s="671"/>
      <c r="E132" s="671"/>
      <c r="F132" s="671"/>
      <c r="G132" s="671"/>
      <c r="H132" s="672"/>
      <c r="I132" s="671"/>
      <c r="J132" s="671"/>
      <c r="K132" s="671"/>
      <c r="L132" s="671"/>
      <c r="M132" s="672"/>
      <c r="N132" s="671"/>
      <c r="O132" s="671"/>
      <c r="P132" s="671"/>
      <c r="Q132" s="671"/>
      <c r="R132" s="672"/>
      <c r="S132" s="671"/>
      <c r="T132" s="671"/>
      <c r="U132" s="671"/>
      <c r="V132" s="671"/>
      <c r="W132" s="672"/>
      <c r="X132" s="671"/>
      <c r="Y132" s="671"/>
      <c r="Z132" s="671"/>
      <c r="AA132" s="671"/>
      <c r="AB132" s="672"/>
      <c r="AC132" s="671"/>
      <c r="AD132" s="671"/>
      <c r="AE132" s="671"/>
      <c r="AF132" s="671"/>
      <c r="AG132" s="672"/>
      <c r="AH132" s="671"/>
      <c r="AI132" s="671"/>
      <c r="AJ132" s="671"/>
      <c r="AK132" s="671"/>
      <c r="AL132" s="672"/>
      <c r="AM132" s="671"/>
      <c r="AN132" s="671"/>
      <c r="AO132" s="671"/>
      <c r="AP132" s="671"/>
      <c r="AQ132" s="672"/>
      <c r="AR132" s="671"/>
      <c r="AS132" s="671"/>
      <c r="AT132" s="671"/>
      <c r="AU132" s="671"/>
      <c r="AV132" s="672"/>
      <c r="AW132" s="671"/>
      <c r="AX132" s="671"/>
      <c r="AY132" s="671"/>
      <c r="AZ132" s="671"/>
      <c r="BA132" s="671"/>
      <c r="BB132" s="671"/>
      <c r="BC132" s="671"/>
      <c r="BD132" s="671"/>
      <c r="BE132" s="672"/>
      <c r="BF132" s="671"/>
      <c r="BG132" s="671"/>
      <c r="BH132" s="671"/>
      <c r="BI132" s="671"/>
      <c r="BJ132" s="672"/>
      <c r="BK132" s="671"/>
      <c r="BL132" s="671"/>
      <c r="BM132" s="671"/>
      <c r="BN132" s="671"/>
      <c r="BO132" s="672"/>
      <c r="BP132" s="671"/>
      <c r="BQ132" s="671"/>
      <c r="BR132" s="671"/>
      <c r="BS132" s="671"/>
      <c r="BT132" s="672"/>
      <c r="BU132" s="671"/>
      <c r="BV132" s="671"/>
      <c r="BW132" s="671"/>
      <c r="BX132" s="671"/>
      <c r="BY132" s="672"/>
      <c r="BZ132" s="671"/>
      <c r="CA132" s="671"/>
      <c r="CB132" s="671"/>
      <c r="CC132" s="671"/>
      <c r="CD132" s="672"/>
      <c r="CE132" s="671"/>
      <c r="CF132" s="671"/>
      <c r="CG132" s="671"/>
      <c r="CH132" s="671"/>
      <c r="CI132" s="672"/>
      <c r="CJ132" s="671"/>
      <c r="CK132" s="671"/>
      <c r="CL132" s="671"/>
      <c r="CM132" s="671"/>
      <c r="CN132" s="672"/>
      <c r="CO132" s="671"/>
      <c r="CP132" s="671"/>
      <c r="CQ132" s="671"/>
      <c r="CR132" s="671"/>
      <c r="CS132" s="672"/>
      <c r="CT132" s="671"/>
      <c r="CU132" s="671"/>
      <c r="CV132" s="671"/>
      <c r="CW132" s="671"/>
      <c r="CX132" s="672">
        <f t="shared" ref="CX132:DH132" si="390">CX25-CX85</f>
        <v>-24</v>
      </c>
      <c r="CY132" s="671">
        <f t="shared" si="390"/>
        <v>-14</v>
      </c>
      <c r="CZ132" s="671">
        <f t="shared" si="390"/>
        <v>-13</v>
      </c>
      <c r="DA132" s="671">
        <f t="shared" si="390"/>
        <v>-21</v>
      </c>
      <c r="DB132" s="671">
        <f t="shared" si="390"/>
        <v>-86</v>
      </c>
      <c r="DC132" s="672">
        <f t="shared" si="390"/>
        <v>-134</v>
      </c>
      <c r="DD132" s="671">
        <f t="shared" si="390"/>
        <v>-24</v>
      </c>
      <c r="DE132" s="671">
        <f t="shared" si="390"/>
        <v>-44</v>
      </c>
      <c r="DF132" s="671">
        <f t="shared" si="390"/>
        <v>-41</v>
      </c>
      <c r="DG132" s="671">
        <f t="shared" si="390"/>
        <v>-69</v>
      </c>
      <c r="DH132" s="672">
        <f t="shared" si="390"/>
        <v>-178</v>
      </c>
      <c r="DI132" s="671">
        <f t="shared" ref="DI132:EG132" si="391">DI25+DI58</f>
        <v>519</v>
      </c>
      <c r="DJ132" s="671">
        <f t="shared" si="391"/>
        <v>497</v>
      </c>
      <c r="DK132" s="671">
        <f t="shared" si="391"/>
        <v>530</v>
      </c>
      <c r="DL132" s="671">
        <f t="shared" si="391"/>
        <v>658</v>
      </c>
      <c r="DM132" s="672">
        <f t="shared" si="391"/>
        <v>2204</v>
      </c>
      <c r="DN132" s="671">
        <f t="shared" si="391"/>
        <v>659</v>
      </c>
      <c r="DO132" s="671">
        <f t="shared" si="391"/>
        <v>566</v>
      </c>
      <c r="DP132" s="671">
        <f t="shared" si="391"/>
        <v>563</v>
      </c>
      <c r="DQ132" s="671">
        <f t="shared" si="391"/>
        <v>575</v>
      </c>
      <c r="DR132" s="672">
        <f t="shared" si="391"/>
        <v>2354</v>
      </c>
      <c r="DS132" s="671">
        <f t="shared" si="391"/>
        <v>513</v>
      </c>
      <c r="DT132" s="671">
        <f t="shared" si="391"/>
        <v>571</v>
      </c>
      <c r="DU132" s="671">
        <f>DU25+DU58</f>
        <v>619</v>
      </c>
      <c r="DV132" s="671">
        <f t="shared" si="391"/>
        <v>1066</v>
      </c>
      <c r="DW132" s="672">
        <f t="shared" si="391"/>
        <v>2769</v>
      </c>
      <c r="DX132" s="671">
        <f t="shared" si="391"/>
        <v>578.8870011527481</v>
      </c>
      <c r="DY132" s="671">
        <f t="shared" si="391"/>
        <v>626.3748828090902</v>
      </c>
      <c r="DZ132" s="671">
        <f t="shared" si="391"/>
        <v>618.61551170618429</v>
      </c>
      <c r="EA132" s="671">
        <f t="shared" si="391"/>
        <v>657.37194053608118</v>
      </c>
      <c r="EB132" s="672">
        <f t="shared" si="391"/>
        <v>2481.249336204105</v>
      </c>
      <c r="EC132" s="671">
        <f t="shared" si="391"/>
        <v>638.19223711558016</v>
      </c>
      <c r="ED132" s="671">
        <f t="shared" si="391"/>
        <v>651.61631801113595</v>
      </c>
      <c r="EE132" s="671">
        <f t="shared" si="391"/>
        <v>653.60078571256599</v>
      </c>
      <c r="EF132" s="671">
        <f t="shared" si="391"/>
        <v>674.4163864003956</v>
      </c>
      <c r="EG132" s="672">
        <f t="shared" si="391"/>
        <v>2617.8257272396786</v>
      </c>
      <c r="EH132" s="671">
        <f t="shared" ref="EH132:EL132" si="392">EH25+EH58</f>
        <v>676.1162129593497</v>
      </c>
      <c r="EI132" s="671">
        <f t="shared" si="392"/>
        <v>682.7016308900113</v>
      </c>
      <c r="EJ132" s="671">
        <f t="shared" si="392"/>
        <v>672.99143834607821</v>
      </c>
      <c r="EK132" s="671">
        <f t="shared" si="392"/>
        <v>677.95315726080412</v>
      </c>
      <c r="EL132" s="672">
        <f t="shared" si="392"/>
        <v>2709.7624394562454</v>
      </c>
      <c r="EM132" s="673"/>
      <c r="EN132"/>
      <c r="EO132"/>
      <c r="EP132"/>
      <c r="EQ132"/>
      <c r="ER132"/>
      <c r="ES132" s="674"/>
      <c r="ET132"/>
      <c r="EU132" s="674"/>
      <c r="EV132" s="674"/>
      <c r="EW132" s="674"/>
      <c r="EX132" s="675"/>
      <c r="EY132" s="675"/>
      <c r="EZ132" s="675"/>
      <c r="FA132" s="675"/>
      <c r="FB132" s="675"/>
      <c r="FC132" s="675"/>
      <c r="FD132" s="675"/>
      <c r="FE132" s="675"/>
      <c r="FF132" s="675"/>
      <c r="FG132" s="675"/>
      <c r="FH132" s="675"/>
      <c r="FI132" s="675"/>
      <c r="FJ132" s="675"/>
      <c r="FK132" s="675"/>
      <c r="FL132" s="675"/>
      <c r="FM132" s="675"/>
      <c r="FN132" s="675"/>
      <c r="FO132" s="675"/>
      <c r="FP132" s="675"/>
      <c r="FQ132" s="675"/>
      <c r="FR132" s="675"/>
      <c r="FS132" s="675"/>
      <c r="FT132" s="675"/>
      <c r="FU132" s="675"/>
      <c r="FV132" s="675"/>
      <c r="FW132" s="675"/>
      <c r="FX132" s="675"/>
      <c r="FY132" s="675"/>
      <c r="FZ132" s="675"/>
      <c r="GA132" s="675"/>
      <c r="GB132" s="675"/>
      <c r="GC132" s="675"/>
      <c r="GD132" s="675"/>
      <c r="GE132" s="675"/>
      <c r="GF132" s="675"/>
      <c r="GG132" s="675"/>
      <c r="GH132" s="675"/>
      <c r="GI132" s="675"/>
      <c r="GJ132" s="675"/>
      <c r="GK132" s="675"/>
      <c r="GL132" s="675"/>
      <c r="GM132" s="675"/>
      <c r="GN132" s="675"/>
      <c r="GO132" s="675"/>
      <c r="GP132" s="675"/>
      <c r="GQ132" s="675"/>
      <c r="GR132" s="675"/>
      <c r="GS132" s="675"/>
      <c r="GT132" s="675"/>
      <c r="GU132" s="675"/>
      <c r="GV132" s="675"/>
      <c r="GW132" s="675"/>
      <c r="GX132" s="675"/>
      <c r="GY132" s="675"/>
      <c r="GZ132" s="675"/>
      <c r="HA132" s="675"/>
      <c r="HB132" s="675"/>
      <c r="HC132" s="675"/>
      <c r="HD132" s="675"/>
      <c r="HE132" s="675"/>
      <c r="HF132" s="675"/>
      <c r="HG132" s="675"/>
      <c r="HH132" s="675"/>
      <c r="HI132" s="675"/>
      <c r="HJ132" s="675"/>
      <c r="HK132" s="675"/>
      <c r="HL132" s="675"/>
      <c r="HM132" s="675"/>
      <c r="HN132" s="675"/>
      <c r="HO132" s="675"/>
      <c r="HP132" s="675"/>
      <c r="HQ132" s="675"/>
      <c r="HR132" s="675"/>
      <c r="HS132" s="675"/>
      <c r="HT132" s="675"/>
      <c r="HU132" s="675"/>
      <c r="HV132" s="675"/>
      <c r="HW132" s="675"/>
      <c r="HX132" s="675"/>
      <c r="HY132" s="675"/>
      <c r="HZ132" s="675"/>
      <c r="IA132" s="675"/>
      <c r="IB132" s="675"/>
      <c r="IC132" s="675"/>
      <c r="ID132" s="675"/>
      <c r="IE132" s="675"/>
      <c r="IF132" s="675"/>
      <c r="IG132" s="675"/>
      <c r="IH132" s="675"/>
      <c r="II132" s="675"/>
      <c r="IJ132" s="675"/>
      <c r="IK132" s="675"/>
      <c r="IL132" s="675"/>
      <c r="IM132" s="675"/>
      <c r="IN132" s="675"/>
      <c r="IO132" s="675"/>
      <c r="IP132" s="675"/>
      <c r="IQ132" s="675"/>
      <c r="IR132" s="675"/>
      <c r="IS132" s="675"/>
      <c r="IT132" s="675"/>
      <c r="IU132" s="675"/>
      <c r="IV132" s="675"/>
      <c r="IW132" s="675"/>
      <c r="IX132" s="675"/>
      <c r="IY132" s="675"/>
      <c r="IZ132" s="675"/>
      <c r="JA132" s="675"/>
      <c r="JB132" s="675"/>
      <c r="JC132" s="675"/>
      <c r="JD132" s="675"/>
      <c r="JE132" s="675"/>
      <c r="JF132" s="675"/>
      <c r="JG132" s="675"/>
      <c r="JH132" s="675"/>
      <c r="JI132" s="675"/>
      <c r="JJ132" s="675"/>
      <c r="JK132" s="675"/>
    </row>
    <row r="133" spans="1:271" s="570" customFormat="1" hidden="1" outlineLevel="1">
      <c r="A133" s="670"/>
      <c r="B133" s="1431" t="s">
        <v>663</v>
      </c>
      <c r="C133" s="670"/>
      <c r="D133" s="671"/>
      <c r="E133" s="671"/>
      <c r="F133" s="671"/>
      <c r="G133" s="671"/>
      <c r="H133" s="672"/>
      <c r="I133" s="671"/>
      <c r="J133" s="671"/>
      <c r="K133" s="671"/>
      <c r="L133" s="671"/>
      <c r="M133" s="672"/>
      <c r="N133" s="671"/>
      <c r="O133" s="671"/>
      <c r="P133" s="671"/>
      <c r="Q133" s="671"/>
      <c r="R133" s="672"/>
      <c r="S133" s="671"/>
      <c r="T133" s="671"/>
      <c r="U133" s="671"/>
      <c r="V133" s="671"/>
      <c r="W133" s="672"/>
      <c r="X133" s="671"/>
      <c r="Y133" s="671"/>
      <c r="Z133" s="671"/>
      <c r="AA133" s="671"/>
      <c r="AB133" s="672"/>
      <c r="AC133" s="671"/>
      <c r="AD133" s="671"/>
      <c r="AE133" s="671"/>
      <c r="AF133" s="671"/>
      <c r="AG133" s="672"/>
      <c r="AH133" s="671"/>
      <c r="AI133" s="671"/>
      <c r="AJ133" s="671"/>
      <c r="AK133" s="671"/>
      <c r="AL133" s="672"/>
      <c r="AM133" s="671"/>
      <c r="AN133" s="671"/>
      <c r="AO133" s="671"/>
      <c r="AP133" s="671"/>
      <c r="AQ133" s="672"/>
      <c r="AR133" s="671"/>
      <c r="AS133" s="671"/>
      <c r="AT133" s="671"/>
      <c r="AU133" s="671"/>
      <c r="AV133" s="672"/>
      <c r="AW133" s="671"/>
      <c r="AX133" s="671"/>
      <c r="AY133" s="671"/>
      <c r="AZ133" s="671"/>
      <c r="BA133" s="671"/>
      <c r="BB133" s="671"/>
      <c r="BC133" s="671"/>
      <c r="BD133" s="671"/>
      <c r="BE133" s="672"/>
      <c r="BF133" s="671"/>
      <c r="BG133" s="671"/>
      <c r="BH133" s="671"/>
      <c r="BI133" s="671"/>
      <c r="BJ133" s="672"/>
      <c r="BK133" s="671"/>
      <c r="BL133" s="671"/>
      <c r="BM133" s="671"/>
      <c r="BN133" s="671"/>
      <c r="BO133" s="672"/>
      <c r="BP133" s="671"/>
      <c r="BQ133" s="671"/>
      <c r="BR133" s="671"/>
      <c r="BS133" s="671"/>
      <c r="BT133" s="672"/>
      <c r="BU133" s="671"/>
      <c r="BV133" s="671"/>
      <c r="BW133" s="671"/>
      <c r="BX133" s="671"/>
      <c r="BY133" s="672"/>
      <c r="BZ133" s="671"/>
      <c r="CA133" s="671"/>
      <c r="CB133" s="671"/>
      <c r="CC133" s="671"/>
      <c r="CD133" s="672"/>
      <c r="CE133" s="671"/>
      <c r="CF133" s="671"/>
      <c r="CG133" s="671"/>
      <c r="CH133" s="671"/>
      <c r="CI133" s="672"/>
      <c r="CJ133" s="671"/>
      <c r="CK133" s="671"/>
      <c r="CL133" s="671"/>
      <c r="CM133" s="671"/>
      <c r="CN133" s="672"/>
      <c r="CO133" s="671"/>
      <c r="CP133" s="671"/>
      <c r="CQ133" s="671"/>
      <c r="CR133" s="671"/>
      <c r="CS133" s="672"/>
      <c r="CT133" s="671"/>
      <c r="CU133" s="671"/>
      <c r="CV133" s="671"/>
      <c r="CW133" s="671"/>
      <c r="CX133" s="672"/>
      <c r="CY133" s="671"/>
      <c r="CZ133" s="671"/>
      <c r="DA133" s="671"/>
      <c r="DB133" s="671"/>
      <c r="DC133" s="672"/>
      <c r="DD133" s="671"/>
      <c r="DE133" s="671"/>
      <c r="DF133" s="671"/>
      <c r="DG133" s="671"/>
      <c r="DH133" s="672"/>
      <c r="DI133" s="671">
        <f t="shared" ref="DI133:EG133" si="393">+DI132-DI85</f>
        <v>-10</v>
      </c>
      <c r="DJ133" s="671">
        <f t="shared" si="393"/>
        <v>-71</v>
      </c>
      <c r="DK133" s="671">
        <f t="shared" si="393"/>
        <v>-36</v>
      </c>
      <c r="DL133" s="671">
        <f t="shared" si="393"/>
        <v>-141</v>
      </c>
      <c r="DM133" s="672">
        <f t="shared" si="393"/>
        <v>-258</v>
      </c>
      <c r="DN133" s="671">
        <f t="shared" si="393"/>
        <v>46</v>
      </c>
      <c r="DO133" s="671">
        <f t="shared" si="393"/>
        <v>-51</v>
      </c>
      <c r="DP133" s="671">
        <f t="shared" si="393"/>
        <v>-7</v>
      </c>
      <c r="DQ133" s="671">
        <f t="shared" si="393"/>
        <v>-38</v>
      </c>
      <c r="DR133" s="672">
        <f t="shared" si="393"/>
        <v>-210</v>
      </c>
      <c r="DS133" s="671">
        <f t="shared" si="393"/>
        <v>-14</v>
      </c>
      <c r="DT133" s="671">
        <f t="shared" si="393"/>
        <v>1</v>
      </c>
      <c r="DU133" s="671">
        <f>+DU132-DU85</f>
        <v>112</v>
      </c>
      <c r="DV133" s="671">
        <f t="shared" si="393"/>
        <v>226</v>
      </c>
      <c r="DW133" s="672">
        <f t="shared" si="393"/>
        <v>325</v>
      </c>
      <c r="DX133" s="671">
        <f t="shared" si="393"/>
        <v>-25</v>
      </c>
      <c r="DY133" s="671">
        <f t="shared" si="393"/>
        <v>-25</v>
      </c>
      <c r="DZ133" s="671">
        <f t="shared" si="393"/>
        <v>-25</v>
      </c>
      <c r="EA133" s="671">
        <f t="shared" si="393"/>
        <v>19.5</v>
      </c>
      <c r="EB133" s="672">
        <f t="shared" si="393"/>
        <v>-55.499999999999091</v>
      </c>
      <c r="EC133" s="671">
        <f t="shared" si="393"/>
        <v>-2</v>
      </c>
      <c r="ED133" s="671">
        <f t="shared" si="393"/>
        <v>-2</v>
      </c>
      <c r="EE133" s="671">
        <f t="shared" si="393"/>
        <v>-2</v>
      </c>
      <c r="EF133" s="671">
        <f t="shared" si="393"/>
        <v>-3</v>
      </c>
      <c r="EG133" s="672">
        <f t="shared" si="393"/>
        <v>-8.9999999999990905</v>
      </c>
      <c r="EH133" s="671">
        <f t="shared" ref="EH133:EL133" si="394">+EH132-EH85</f>
        <v>0</v>
      </c>
      <c r="EI133" s="671">
        <f t="shared" si="394"/>
        <v>0</v>
      </c>
      <c r="EJ133" s="671">
        <f t="shared" si="394"/>
        <v>0</v>
      </c>
      <c r="EK133" s="671">
        <f t="shared" si="394"/>
        <v>0</v>
      </c>
      <c r="EL133" s="672">
        <f t="shared" si="394"/>
        <v>0</v>
      </c>
      <c r="EM133" s="673"/>
      <c r="EN133"/>
      <c r="EO133"/>
      <c r="EP133"/>
      <c r="EQ133"/>
      <c r="ER133"/>
      <c r="ES133" s="674"/>
      <c r="ET133"/>
      <c r="EU133" s="674"/>
      <c r="EV133" s="674"/>
      <c r="EW133" s="674"/>
      <c r="EX133" s="675"/>
      <c r="EY133" s="675"/>
      <c r="EZ133" s="675"/>
      <c r="FA133" s="675"/>
      <c r="FB133" s="675"/>
      <c r="FC133" s="675"/>
      <c r="FD133" s="675"/>
      <c r="FE133" s="675"/>
      <c r="FF133" s="675"/>
      <c r="FG133" s="675"/>
      <c r="FH133" s="675"/>
      <c r="FI133" s="675"/>
      <c r="FJ133" s="675"/>
      <c r="FK133" s="675"/>
      <c r="FL133" s="675"/>
      <c r="FM133" s="675"/>
      <c r="FN133" s="675"/>
      <c r="FO133" s="675"/>
      <c r="FP133" s="675"/>
      <c r="FQ133" s="675"/>
      <c r="FR133" s="675"/>
      <c r="FS133" s="675"/>
      <c r="FT133" s="675"/>
      <c r="FU133" s="675"/>
      <c r="FV133" s="675"/>
      <c r="FW133" s="675"/>
      <c r="FX133" s="675"/>
      <c r="FY133" s="675"/>
      <c r="FZ133" s="675"/>
      <c r="GA133" s="675"/>
      <c r="GB133" s="675"/>
      <c r="GC133" s="675"/>
      <c r="GD133" s="675"/>
      <c r="GE133" s="675"/>
      <c r="GF133" s="675"/>
      <c r="GG133" s="675"/>
      <c r="GH133" s="675"/>
      <c r="GI133" s="675"/>
      <c r="GJ133" s="675"/>
      <c r="GK133" s="675"/>
      <c r="GL133" s="675"/>
      <c r="GM133" s="675"/>
      <c r="GN133" s="675"/>
      <c r="GO133" s="675"/>
      <c r="GP133" s="675"/>
      <c r="GQ133" s="675"/>
      <c r="GR133" s="675"/>
      <c r="GS133" s="675"/>
      <c r="GT133" s="675"/>
      <c r="GU133" s="675"/>
      <c r="GV133" s="675"/>
      <c r="GW133" s="675"/>
      <c r="GX133" s="675"/>
      <c r="GY133" s="675"/>
      <c r="GZ133" s="675"/>
      <c r="HA133" s="675"/>
      <c r="HB133" s="675"/>
      <c r="HC133" s="675"/>
      <c r="HD133" s="675"/>
      <c r="HE133" s="675"/>
      <c r="HF133" s="675"/>
      <c r="HG133" s="675"/>
      <c r="HH133" s="675"/>
      <c r="HI133" s="675"/>
      <c r="HJ133" s="675"/>
      <c r="HK133" s="675"/>
      <c r="HL133" s="675"/>
      <c r="HM133" s="675"/>
      <c r="HN133" s="675"/>
      <c r="HO133" s="675"/>
      <c r="HP133" s="675"/>
      <c r="HQ133" s="675"/>
      <c r="HR133" s="675"/>
      <c r="HS133" s="675"/>
      <c r="HT133" s="675"/>
      <c r="HU133" s="675"/>
      <c r="HV133" s="675"/>
      <c r="HW133" s="675"/>
      <c r="HX133" s="675"/>
      <c r="HY133" s="675"/>
      <c r="HZ133" s="675"/>
      <c r="IA133" s="675"/>
      <c r="IB133" s="675"/>
      <c r="IC133" s="675"/>
      <c r="ID133" s="675"/>
      <c r="IE133" s="675"/>
      <c r="IF133" s="675"/>
      <c r="IG133" s="675"/>
      <c r="IH133" s="675"/>
      <c r="II133" s="675"/>
      <c r="IJ133" s="675"/>
      <c r="IK133" s="675"/>
      <c r="IL133" s="675"/>
      <c r="IM133" s="675"/>
      <c r="IN133" s="675"/>
      <c r="IO133" s="675"/>
      <c r="IP133" s="675"/>
      <c r="IQ133" s="675"/>
      <c r="IR133" s="675"/>
      <c r="IS133" s="675"/>
      <c r="IT133" s="675"/>
      <c r="IU133" s="675"/>
      <c r="IV133" s="675"/>
      <c r="IW133" s="675"/>
      <c r="IX133" s="675"/>
      <c r="IY133" s="675"/>
      <c r="IZ133" s="675"/>
      <c r="JA133" s="675"/>
      <c r="JB133" s="675"/>
      <c r="JC133" s="675"/>
      <c r="JD133" s="675"/>
      <c r="JE133" s="675"/>
      <c r="JF133" s="675"/>
      <c r="JG133" s="675"/>
      <c r="JH133" s="675"/>
      <c r="JI133" s="675"/>
      <c r="JJ133" s="675"/>
      <c r="JK133" s="675"/>
    </row>
    <row r="134" spans="1:271" s="570" customFormat="1" hidden="1" outlineLevel="1">
      <c r="A134" s="670"/>
      <c r="B134" s="1432" t="s">
        <v>587</v>
      </c>
      <c r="C134" s="1433"/>
      <c r="D134" s="1433"/>
      <c r="E134" s="1433"/>
      <c r="F134" s="1433"/>
      <c r="G134" s="1433"/>
      <c r="H134" s="1434">
        <v>3318</v>
      </c>
      <c r="I134" s="1433"/>
      <c r="J134" s="1433"/>
      <c r="K134" s="1433"/>
      <c r="L134" s="1433"/>
      <c r="M134" s="1434">
        <v>5559</v>
      </c>
      <c r="N134" s="1433"/>
      <c r="O134" s="1433"/>
      <c r="P134" s="1433"/>
      <c r="Q134" s="1433"/>
      <c r="R134" s="1434">
        <v>8691</v>
      </c>
      <c r="S134" s="1433"/>
      <c r="T134" s="1433"/>
      <c r="U134" s="1433"/>
      <c r="V134" s="1433"/>
      <c r="W134" s="1434">
        <v>9895</v>
      </c>
      <c r="X134" s="1433"/>
      <c r="Y134" s="1433"/>
      <c r="Z134" s="1433"/>
      <c r="AA134" s="1433"/>
      <c r="AB134" s="1434">
        <v>10880</v>
      </c>
      <c r="AC134" s="1433"/>
      <c r="AD134" s="1433"/>
      <c r="AE134" s="1433"/>
      <c r="AF134" s="1433"/>
      <c r="AG134" s="1434">
        <v>11414</v>
      </c>
      <c r="AH134" s="1433"/>
      <c r="AI134" s="1433"/>
      <c r="AJ134" s="1433"/>
      <c r="AK134" s="1433"/>
      <c r="AL134" s="1434">
        <v>12053</v>
      </c>
      <c r="AM134" s="1433"/>
      <c r="AN134" s="1433"/>
      <c r="AO134" s="1433"/>
      <c r="AP134" s="1433"/>
      <c r="AQ134" s="1434">
        <v>13913</v>
      </c>
      <c r="AR134" s="1433"/>
      <c r="AS134" s="1433"/>
      <c r="AT134" s="1433"/>
      <c r="AU134" s="1433"/>
      <c r="AV134" s="1434"/>
      <c r="AW134" s="1433"/>
      <c r="AX134" s="1433"/>
      <c r="AY134" s="1433"/>
      <c r="AZ134" s="1433">
        <v>13604</v>
      </c>
      <c r="BA134" s="1433"/>
      <c r="BB134" s="1433"/>
      <c r="BC134" s="1433"/>
      <c r="BD134" s="1433"/>
      <c r="BE134" s="1434">
        <v>13212</v>
      </c>
      <c r="BF134" s="1433"/>
      <c r="BG134" s="1433"/>
      <c r="BH134" s="1433"/>
      <c r="BI134" s="1433"/>
      <c r="BJ134" s="1434">
        <v>9919</v>
      </c>
      <c r="BK134" s="1433"/>
      <c r="BL134" s="1433"/>
      <c r="BM134" s="1433"/>
      <c r="BN134" s="1433"/>
      <c r="BO134" s="1434"/>
      <c r="BP134" s="1433"/>
      <c r="BQ134" s="1433"/>
      <c r="BR134" s="1433"/>
      <c r="BS134" s="1433"/>
      <c r="BT134" s="1434"/>
      <c r="BU134" s="1433"/>
      <c r="BV134" s="1433"/>
      <c r="BW134" s="1433"/>
      <c r="BX134" s="1433"/>
      <c r="BY134" s="1434"/>
      <c r="BZ134" s="1433"/>
      <c r="CA134" s="1433"/>
      <c r="CB134" s="1433"/>
      <c r="CC134" s="1433"/>
      <c r="CD134" s="1434"/>
      <c r="CE134" s="1433"/>
      <c r="CF134" s="1433"/>
      <c r="CG134" s="1433"/>
      <c r="CH134" s="1433"/>
      <c r="CI134" s="1434"/>
      <c r="CJ134" s="1433"/>
      <c r="CK134" s="1433"/>
      <c r="CL134" s="1433"/>
      <c r="CM134" s="1433"/>
      <c r="CN134" s="1434"/>
      <c r="CO134" s="1433"/>
      <c r="CP134" s="1433"/>
      <c r="CQ134" s="1433"/>
      <c r="CR134" s="1433"/>
      <c r="CS134" s="1434"/>
      <c r="CT134" s="1433"/>
      <c r="CU134" s="1433"/>
      <c r="CV134" s="1433"/>
      <c r="CW134" s="1433"/>
      <c r="CX134" s="1434">
        <v>1</v>
      </c>
      <c r="CY134" s="1433">
        <v>1</v>
      </c>
      <c r="CZ134" s="1433">
        <v>1</v>
      </c>
      <c r="DA134" s="1433">
        <v>1</v>
      </c>
      <c r="DB134" s="1433">
        <v>1</v>
      </c>
      <c r="DC134" s="1434">
        <v>1</v>
      </c>
      <c r="DD134" s="1433">
        <v>1</v>
      </c>
      <c r="DE134" s="1433">
        <v>1</v>
      </c>
      <c r="DF134" s="1433">
        <v>1</v>
      </c>
      <c r="DG134" s="1433">
        <v>1</v>
      </c>
      <c r="DH134" s="1434">
        <v>1</v>
      </c>
      <c r="DI134" s="1433">
        <v>1</v>
      </c>
      <c r="DJ134" s="1433">
        <v>1</v>
      </c>
      <c r="DK134" s="1433">
        <v>1</v>
      </c>
      <c r="DL134" s="1433">
        <v>1</v>
      </c>
      <c r="DM134" s="1434">
        <v>1</v>
      </c>
      <c r="DN134" s="1433">
        <v>1</v>
      </c>
      <c r="DO134" s="1433">
        <v>1</v>
      </c>
      <c r="DP134" s="1433">
        <v>1</v>
      </c>
      <c r="DQ134" s="1433">
        <v>1</v>
      </c>
      <c r="DR134" s="1434">
        <v>1</v>
      </c>
      <c r="DS134" s="1433">
        <v>1</v>
      </c>
      <c r="DT134" s="1433">
        <v>1</v>
      </c>
      <c r="DU134" s="1433">
        <v>1</v>
      </c>
      <c r="DV134" s="1433">
        <v>1</v>
      </c>
      <c r="DW134" s="1434">
        <v>1</v>
      </c>
      <c r="DX134" s="1433">
        <v>1</v>
      </c>
      <c r="DY134" s="1433">
        <v>1</v>
      </c>
      <c r="DZ134" s="1433">
        <v>1</v>
      </c>
      <c r="EA134" s="1433">
        <v>1</v>
      </c>
      <c r="EB134" s="1434">
        <v>1</v>
      </c>
      <c r="EC134" s="1433">
        <v>1</v>
      </c>
      <c r="ED134" s="1433">
        <v>1</v>
      </c>
      <c r="EE134" s="1433">
        <v>1</v>
      </c>
      <c r="EF134" s="1433">
        <v>1</v>
      </c>
      <c r="EG134" s="1434">
        <v>1</v>
      </c>
      <c r="EH134" s="1433">
        <v>1</v>
      </c>
      <c r="EI134" s="1433">
        <v>1</v>
      </c>
      <c r="EJ134" s="1433">
        <v>1</v>
      </c>
      <c r="EK134" s="1433">
        <v>1</v>
      </c>
      <c r="EL134" s="1434">
        <v>1</v>
      </c>
      <c r="EM134" s="673"/>
      <c r="EN134"/>
      <c r="EO134"/>
      <c r="EP134"/>
      <c r="EQ134"/>
      <c r="ER134"/>
      <c r="ES134" s="674"/>
      <c r="ET134"/>
      <c r="EU134" s="674"/>
      <c r="EV134" s="674"/>
      <c r="EW134" s="674"/>
      <c r="EX134" s="675"/>
      <c r="EY134" s="675"/>
      <c r="EZ134" s="675"/>
      <c r="FA134" s="675"/>
      <c r="FB134" s="675"/>
      <c r="FC134" s="675"/>
      <c r="FD134" s="675"/>
      <c r="FE134" s="675"/>
      <c r="FF134" s="675"/>
      <c r="FG134" s="675"/>
      <c r="FH134" s="675"/>
      <c r="FI134" s="675"/>
      <c r="FJ134" s="675"/>
      <c r="FK134" s="675"/>
      <c r="FL134" s="675"/>
      <c r="FM134" s="675"/>
      <c r="FN134" s="675"/>
      <c r="FO134" s="675"/>
      <c r="FP134" s="675"/>
      <c r="FQ134" s="675"/>
      <c r="FR134" s="675"/>
      <c r="FS134" s="675"/>
      <c r="FT134" s="675"/>
      <c r="FU134" s="675"/>
      <c r="FV134" s="675"/>
      <c r="FW134" s="675"/>
      <c r="FX134" s="675"/>
      <c r="FY134" s="675"/>
      <c r="FZ134" s="675"/>
      <c r="GA134" s="675"/>
      <c r="GB134" s="675"/>
      <c r="GC134" s="675"/>
      <c r="GD134" s="675"/>
      <c r="GE134" s="675"/>
      <c r="GF134" s="675"/>
      <c r="GG134" s="675"/>
      <c r="GH134" s="675"/>
      <c r="GI134" s="675"/>
      <c r="GJ134" s="675"/>
      <c r="GK134" s="675"/>
      <c r="GL134" s="675"/>
      <c r="GM134" s="675"/>
      <c r="GN134" s="675"/>
      <c r="GO134" s="675"/>
      <c r="GP134" s="675"/>
      <c r="GQ134" s="675"/>
      <c r="GR134" s="675"/>
      <c r="GS134" s="675"/>
      <c r="GT134" s="675"/>
      <c r="GU134" s="675"/>
      <c r="GV134" s="675"/>
      <c r="GW134" s="675"/>
      <c r="GX134" s="675"/>
      <c r="GY134" s="675"/>
      <c r="GZ134" s="675"/>
      <c r="HA134" s="675"/>
      <c r="HB134" s="675"/>
      <c r="HC134" s="675"/>
      <c r="HD134" s="675"/>
      <c r="HE134" s="675"/>
      <c r="HF134" s="675"/>
      <c r="HG134" s="675"/>
      <c r="HH134" s="675"/>
      <c r="HI134" s="675"/>
      <c r="HJ134" s="675"/>
      <c r="HK134" s="675"/>
      <c r="HL134" s="675"/>
      <c r="HM134" s="675"/>
      <c r="HN134" s="675"/>
      <c r="HO134" s="675"/>
      <c r="HP134" s="675"/>
      <c r="HQ134" s="675"/>
      <c r="HR134" s="675"/>
      <c r="HS134" s="675"/>
      <c r="HT134" s="675"/>
      <c r="HU134" s="675"/>
      <c r="HV134" s="675"/>
      <c r="HW134" s="675"/>
      <c r="HX134" s="675"/>
      <c r="HY134" s="675"/>
      <c r="HZ134" s="675"/>
      <c r="IA134" s="675"/>
      <c r="IB134" s="675"/>
      <c r="IC134" s="675"/>
      <c r="ID134" s="675"/>
      <c r="IE134" s="675"/>
      <c r="IF134" s="675"/>
      <c r="IG134" s="675"/>
      <c r="IH134" s="675"/>
      <c r="II134" s="675"/>
      <c r="IJ134" s="675"/>
      <c r="IK134" s="675"/>
      <c r="IL134" s="675"/>
      <c r="IM134" s="675"/>
      <c r="IN134" s="675"/>
      <c r="IO134" s="675"/>
      <c r="IP134" s="675"/>
      <c r="IQ134" s="675"/>
      <c r="IR134" s="675"/>
      <c r="IS134" s="675"/>
      <c r="IT134" s="675"/>
      <c r="IU134" s="675"/>
      <c r="IV134" s="675"/>
      <c r="IW134" s="675"/>
      <c r="IX134" s="675"/>
      <c r="IY134" s="675"/>
      <c r="IZ134" s="675"/>
      <c r="JA134" s="675"/>
      <c r="JB134" s="675"/>
      <c r="JC134" s="675"/>
      <c r="JD134" s="675"/>
      <c r="JE134" s="675"/>
      <c r="JF134" s="675"/>
      <c r="JG134" s="675"/>
      <c r="JH134" s="675"/>
      <c r="JI134" s="675"/>
      <c r="JJ134" s="675"/>
      <c r="JK134" s="675"/>
    </row>
    <row r="135" spans="1:271" collapsed="1">
      <c r="A135" s="896"/>
      <c r="B135" s="896"/>
      <c r="C135" s="896"/>
      <c r="D135" s="896"/>
      <c r="E135" s="897"/>
      <c r="F135" s="897"/>
      <c r="G135" s="896"/>
      <c r="H135" s="896"/>
      <c r="I135" s="896"/>
      <c r="J135" s="897"/>
      <c r="K135" s="897"/>
      <c r="L135" s="896"/>
      <c r="M135" s="896"/>
      <c r="N135" s="896"/>
      <c r="O135" s="897"/>
      <c r="P135" s="897"/>
      <c r="Q135" s="896"/>
      <c r="R135" s="896"/>
      <c r="S135" s="896"/>
      <c r="T135" s="897"/>
      <c r="U135" s="897"/>
      <c r="V135" s="896"/>
      <c r="W135" s="896"/>
      <c r="X135" s="896"/>
      <c r="Y135" s="897"/>
      <c r="Z135" s="897"/>
      <c r="AA135" s="896"/>
      <c r="AB135" s="896"/>
      <c r="AC135" s="896"/>
      <c r="AD135" s="897"/>
      <c r="AE135" s="897"/>
      <c r="AF135" s="896"/>
      <c r="AG135" s="896"/>
      <c r="AH135" s="896"/>
      <c r="AI135" s="897"/>
      <c r="AJ135" s="897"/>
      <c r="AK135" s="896"/>
      <c r="AL135" s="896"/>
      <c r="AM135" s="896"/>
      <c r="AN135" s="897"/>
      <c r="AO135" s="897"/>
      <c r="AP135" s="896"/>
      <c r="AQ135" s="896"/>
      <c r="AR135" s="896"/>
      <c r="AS135" s="897"/>
      <c r="AT135" s="897"/>
      <c r="AU135" s="896"/>
      <c r="AV135" s="896"/>
      <c r="AW135" s="896"/>
      <c r="AX135" s="897"/>
      <c r="AY135" s="897"/>
      <c r="AZ135" s="896"/>
      <c r="BA135" s="896"/>
      <c r="BB135" s="897"/>
      <c r="BC135" s="897"/>
      <c r="BD135" s="896"/>
      <c r="BE135" s="896"/>
      <c r="BF135" s="896"/>
      <c r="BG135" s="897"/>
      <c r="BH135" s="897"/>
      <c r="BI135" s="896"/>
      <c r="BJ135" s="896"/>
      <c r="BK135" s="896"/>
      <c r="BL135" s="897"/>
      <c r="BM135" s="897"/>
      <c r="BN135" s="896"/>
      <c r="BO135" s="896"/>
      <c r="BP135" s="896"/>
      <c r="BQ135" s="897"/>
      <c r="BR135" s="897"/>
      <c r="BS135" s="896"/>
      <c r="BT135" s="896"/>
      <c r="BU135" s="896"/>
      <c r="BV135" s="897"/>
      <c r="BW135" s="897"/>
      <c r="BX135" s="896"/>
      <c r="BY135" s="896"/>
      <c r="BZ135" s="896"/>
      <c r="CA135" s="897"/>
      <c r="CB135" s="897"/>
      <c r="CC135" s="896"/>
      <c r="CD135" s="896"/>
      <c r="CE135" s="896"/>
      <c r="CF135" s="897"/>
      <c r="CG135" s="897"/>
      <c r="CH135" s="896"/>
      <c r="CI135" s="896"/>
      <c r="CJ135" s="896"/>
      <c r="CK135" s="897"/>
      <c r="CL135" s="897"/>
      <c r="CM135" s="896"/>
      <c r="CN135" s="896"/>
      <c r="CO135" s="896"/>
      <c r="CP135" s="897"/>
      <c r="CQ135" s="897"/>
      <c r="CR135" s="896"/>
      <c r="CS135" s="896"/>
      <c r="CT135" s="896"/>
      <c r="CU135" s="897"/>
      <c r="CV135" s="897"/>
      <c r="CW135" s="896"/>
      <c r="CX135" s="896"/>
      <c r="CY135" s="896"/>
      <c r="CZ135" s="897"/>
      <c r="DA135" s="897"/>
      <c r="DB135" s="896"/>
      <c r="DC135" s="896"/>
      <c r="DD135" s="896"/>
      <c r="DE135" s="897"/>
      <c r="DF135" s="897"/>
      <c r="DG135" s="896"/>
      <c r="DH135" s="896"/>
      <c r="DI135" s="896"/>
      <c r="DJ135" s="897"/>
      <c r="DK135" s="897"/>
      <c r="DL135" s="896"/>
      <c r="DM135" s="896"/>
      <c r="DN135" s="896"/>
      <c r="DO135" s="897"/>
      <c r="DP135" s="897"/>
      <c r="DQ135" s="896"/>
      <c r="DR135" s="896"/>
      <c r="DS135" s="896"/>
      <c r="DT135" s="896"/>
      <c r="DU135" s="896"/>
      <c r="DV135" s="896"/>
      <c r="DW135" s="896"/>
      <c r="DX135" s="896"/>
      <c r="DY135" s="896"/>
      <c r="DZ135" s="896"/>
      <c r="EA135" s="896"/>
      <c r="EB135" s="896"/>
      <c r="EC135" s="896"/>
      <c r="ED135" s="896"/>
      <c r="EE135" s="896"/>
      <c r="EF135" s="896"/>
      <c r="EG135" s="896"/>
      <c r="EH135" s="896"/>
      <c r="EI135" s="896"/>
      <c r="EJ135" s="896"/>
      <c r="EK135" s="896"/>
      <c r="EL135" s="896"/>
    </row>
    <row r="136" spans="1:271">
      <c r="A136" s="896"/>
      <c r="B136" s="896"/>
      <c r="C136" s="896"/>
      <c r="D136" s="896"/>
      <c r="E136" s="896"/>
      <c r="F136" s="896"/>
      <c r="G136" s="896"/>
      <c r="H136" s="896"/>
      <c r="I136" s="896"/>
      <c r="J136" s="896"/>
      <c r="K136" s="896"/>
      <c r="L136" s="896"/>
      <c r="M136" s="896"/>
      <c r="N136" s="896"/>
      <c r="O136" s="896"/>
      <c r="P136" s="896"/>
      <c r="Q136" s="896"/>
      <c r="R136" s="896"/>
      <c r="S136" s="896"/>
      <c r="T136" s="896"/>
      <c r="U136" s="896"/>
      <c r="V136" s="896"/>
      <c r="W136" s="896"/>
      <c r="X136" s="896"/>
      <c r="Y136" s="896"/>
      <c r="Z136" s="896"/>
      <c r="AA136" s="896"/>
      <c r="AB136" s="896"/>
      <c r="AC136" s="896"/>
      <c r="AD136" s="896"/>
      <c r="AE136" s="896"/>
      <c r="AF136" s="896"/>
      <c r="AG136" s="896"/>
      <c r="AH136" s="896"/>
      <c r="AI136" s="896"/>
      <c r="AJ136" s="896"/>
      <c r="AK136" s="896"/>
      <c r="AL136" s="896"/>
      <c r="AM136" s="896"/>
      <c r="AN136" s="896"/>
      <c r="AO136" s="896"/>
      <c r="AP136" s="896"/>
      <c r="AQ136" s="896"/>
      <c r="AR136" s="896"/>
      <c r="AS136" s="896"/>
      <c r="AT136" s="896"/>
      <c r="AU136" s="896"/>
      <c r="AV136" s="896"/>
      <c r="AW136" s="896"/>
      <c r="AX136" s="896"/>
      <c r="AY136" s="896"/>
      <c r="AZ136" s="896"/>
      <c r="BA136" s="896"/>
      <c r="BB136" s="896"/>
      <c r="BC136" s="896"/>
      <c r="BD136" s="896"/>
      <c r="BE136" s="896"/>
      <c r="BF136" s="896"/>
      <c r="BG136" s="896"/>
      <c r="BH136" s="896"/>
      <c r="BI136" s="896"/>
      <c r="BJ136" s="896"/>
      <c r="BK136" s="896"/>
      <c r="BL136" s="896"/>
      <c r="BM136" s="896"/>
      <c r="BN136" s="896"/>
      <c r="BO136" s="896"/>
      <c r="BP136" s="896"/>
      <c r="BQ136" s="896"/>
      <c r="BR136" s="896"/>
      <c r="BS136" s="896"/>
      <c r="BT136" s="896"/>
      <c r="BU136" s="896"/>
      <c r="BV136" s="896"/>
      <c r="BW136" s="896"/>
      <c r="BX136" s="896"/>
      <c r="BY136" s="896"/>
      <c r="BZ136" s="896"/>
      <c r="CA136" s="896"/>
      <c r="CB136" s="896"/>
      <c r="CC136" s="896"/>
      <c r="CD136" s="896"/>
      <c r="CE136" s="896"/>
      <c r="CF136" s="896"/>
      <c r="CG136" s="896"/>
      <c r="CH136" s="896"/>
      <c r="CI136" s="896"/>
      <c r="CJ136" s="896"/>
      <c r="CK136" s="896"/>
      <c r="CL136" s="896"/>
      <c r="CM136" s="896"/>
      <c r="CN136" s="896"/>
      <c r="CO136" s="896"/>
      <c r="CP136" s="896"/>
      <c r="CQ136" s="896"/>
      <c r="CR136" s="896"/>
      <c r="CS136" s="896"/>
      <c r="CT136" s="896"/>
      <c r="CU136" s="896"/>
      <c r="CV136" s="896"/>
      <c r="CW136" s="896"/>
      <c r="CX136" s="896"/>
      <c r="CY136" s="896"/>
      <c r="CZ136" s="896"/>
      <c r="DA136" s="896"/>
      <c r="DB136" s="896"/>
      <c r="DC136" s="896"/>
      <c r="DD136" s="896"/>
      <c r="DE136" s="896"/>
      <c r="DF136" s="896"/>
      <c r="DG136" s="896"/>
      <c r="DH136" s="896"/>
      <c r="DI136" s="896"/>
      <c r="DJ136" s="896"/>
      <c r="DK136" s="896"/>
      <c r="DL136" s="896"/>
      <c r="DM136" s="896"/>
      <c r="DN136" s="896"/>
      <c r="DO136" s="896"/>
      <c r="DP136" s="896"/>
      <c r="DQ136" s="896"/>
      <c r="DR136" s="896"/>
      <c r="DS136" s="896"/>
      <c r="DT136" s="896"/>
      <c r="DU136" s="896"/>
      <c r="DV136" s="896"/>
      <c r="DW136" s="896"/>
      <c r="DX136" s="896"/>
      <c r="DY136" s="896"/>
      <c r="DZ136" s="896"/>
      <c r="EA136" s="896"/>
      <c r="EB136" s="896"/>
      <c r="EC136" s="896"/>
      <c r="ED136" s="896"/>
      <c r="EE136" s="896"/>
      <c r="EF136" s="896"/>
      <c r="EG136" s="896"/>
      <c r="EH136" s="896"/>
      <c r="EI136" s="896"/>
      <c r="EJ136" s="896"/>
      <c r="EK136" s="896"/>
      <c r="EL136" s="896"/>
    </row>
    <row r="137" spans="1:271">
      <c r="A137" s="896"/>
      <c r="B137" s="896"/>
      <c r="C137" s="896"/>
      <c r="D137" s="896"/>
      <c r="E137" s="896"/>
      <c r="F137" s="896"/>
      <c r="G137" s="896"/>
      <c r="H137" s="896"/>
      <c r="I137" s="896"/>
      <c r="J137" s="896"/>
      <c r="K137" s="896"/>
      <c r="L137" s="896"/>
      <c r="M137" s="896"/>
      <c r="N137" s="896"/>
      <c r="O137" s="896"/>
      <c r="P137" s="896"/>
      <c r="Q137" s="896"/>
      <c r="R137" s="896"/>
      <c r="S137" s="896"/>
      <c r="T137" s="896"/>
      <c r="U137" s="896"/>
      <c r="V137" s="896"/>
      <c r="W137" s="896"/>
      <c r="X137" s="896"/>
      <c r="Y137" s="896"/>
      <c r="Z137" s="896"/>
      <c r="AA137" s="896"/>
      <c r="AB137" s="896"/>
      <c r="AC137" s="896"/>
      <c r="AD137" s="896"/>
      <c r="AE137" s="896"/>
      <c r="AF137" s="896"/>
      <c r="AG137" s="896"/>
      <c r="AH137" s="896"/>
      <c r="AI137" s="896"/>
      <c r="AJ137" s="896"/>
      <c r="AK137" s="896"/>
      <c r="AL137" s="896"/>
      <c r="AM137" s="896"/>
      <c r="AN137" s="896"/>
      <c r="AO137" s="896"/>
      <c r="AP137" s="896"/>
      <c r="AQ137" s="896"/>
      <c r="AR137" s="896"/>
      <c r="AS137" s="896"/>
      <c r="AT137" s="896"/>
      <c r="AU137" s="896"/>
      <c r="AV137" s="896"/>
      <c r="AW137" s="896"/>
      <c r="AX137" s="896"/>
      <c r="AY137" s="896"/>
      <c r="AZ137" s="896"/>
      <c r="BA137" s="896"/>
      <c r="BB137" s="896"/>
      <c r="BC137" s="896"/>
      <c r="BD137" s="896"/>
      <c r="BE137" s="896"/>
      <c r="BF137" s="896"/>
      <c r="BG137" s="896"/>
      <c r="BH137" s="896"/>
      <c r="BI137" s="896"/>
      <c r="BJ137" s="896"/>
      <c r="BK137" s="896"/>
      <c r="BL137" s="896"/>
      <c r="BM137" s="896"/>
      <c r="BN137" s="896"/>
      <c r="BO137" s="896"/>
      <c r="BP137" s="896"/>
      <c r="BQ137" s="896"/>
      <c r="BR137" s="896"/>
      <c r="BS137" s="896"/>
      <c r="BT137" s="896"/>
      <c r="BU137" s="896"/>
      <c r="BV137" s="896"/>
      <c r="BW137" s="896"/>
      <c r="BX137" s="896"/>
      <c r="BY137" s="896"/>
      <c r="BZ137" s="896"/>
      <c r="CA137" s="896"/>
      <c r="CB137" s="896"/>
      <c r="CC137" s="896"/>
      <c r="CD137" s="896"/>
      <c r="CE137" s="896"/>
      <c r="CF137" s="896"/>
      <c r="CG137" s="896"/>
      <c r="CH137" s="896"/>
      <c r="CI137" s="896"/>
      <c r="CJ137" s="896"/>
      <c r="CK137" s="896"/>
      <c r="CL137" s="896"/>
      <c r="CM137" s="896"/>
      <c r="CN137" s="896"/>
      <c r="CO137" s="896"/>
      <c r="CP137" s="896"/>
      <c r="CQ137" s="896"/>
      <c r="CR137" s="896"/>
      <c r="CS137" s="896"/>
      <c r="CT137" s="896"/>
      <c r="CU137" s="896"/>
      <c r="CV137" s="896"/>
      <c r="CW137" s="896"/>
      <c r="CX137" s="896"/>
      <c r="CY137" s="896"/>
      <c r="CZ137" s="896"/>
      <c r="DA137" s="896"/>
      <c r="DB137" s="896"/>
      <c r="DC137" s="896"/>
      <c r="DD137" s="896"/>
      <c r="DE137" s="896"/>
      <c r="DF137" s="896"/>
      <c r="DG137" s="896"/>
      <c r="DH137" s="896"/>
      <c r="DI137" s="896"/>
      <c r="DJ137" s="896"/>
      <c r="DK137" s="896"/>
      <c r="DL137" s="896"/>
      <c r="DM137" s="896"/>
      <c r="DN137" s="896"/>
      <c r="DO137" s="896"/>
      <c r="DP137" s="896"/>
      <c r="DQ137" s="896"/>
      <c r="DR137" s="896"/>
      <c r="DS137" s="896"/>
      <c r="DT137" s="896"/>
      <c r="DU137" s="896"/>
      <c r="DV137" s="896"/>
      <c r="DW137" s="896"/>
      <c r="DX137" s="896"/>
      <c r="DY137" s="896"/>
      <c r="DZ137" s="896"/>
      <c r="EA137" s="896"/>
      <c r="EB137" s="896"/>
      <c r="EC137" s="896"/>
      <c r="ED137" s="896"/>
      <c r="EE137" s="896"/>
      <c r="EF137" s="896"/>
      <c r="EG137" s="896"/>
      <c r="EH137" s="896"/>
      <c r="EI137" s="896"/>
      <c r="EJ137" s="896"/>
      <c r="EK137" s="896"/>
      <c r="EL137" s="896"/>
    </row>
    <row r="138" spans="1:271">
      <c r="A138" s="896"/>
      <c r="B138" s="896"/>
      <c r="C138" s="896"/>
      <c r="D138" s="896"/>
      <c r="E138" s="896"/>
      <c r="F138" s="896"/>
      <c r="G138" s="896"/>
      <c r="H138" s="896"/>
      <c r="I138" s="896"/>
      <c r="J138" s="896"/>
      <c r="K138" s="896"/>
      <c r="L138" s="896"/>
      <c r="M138" s="896"/>
      <c r="N138" s="896"/>
      <c r="O138" s="896"/>
      <c r="P138" s="896"/>
      <c r="Q138" s="896"/>
      <c r="R138" s="896"/>
      <c r="S138" s="896"/>
      <c r="T138" s="896"/>
      <c r="U138" s="896"/>
      <c r="V138" s="896"/>
      <c r="W138" s="896"/>
      <c r="X138" s="896"/>
      <c r="Y138" s="896"/>
      <c r="Z138" s="896"/>
      <c r="AA138" s="896"/>
      <c r="AB138" s="896"/>
      <c r="AC138" s="896"/>
      <c r="AD138" s="896"/>
      <c r="AE138" s="896"/>
      <c r="AF138" s="896"/>
      <c r="AG138" s="896"/>
      <c r="AH138" s="896"/>
      <c r="AI138" s="896"/>
      <c r="AJ138" s="896"/>
      <c r="AK138" s="896"/>
      <c r="AL138" s="896"/>
      <c r="AM138" s="896"/>
      <c r="AN138" s="896"/>
      <c r="AO138" s="896"/>
      <c r="AP138" s="896"/>
      <c r="AQ138" s="896"/>
      <c r="AR138" s="896"/>
      <c r="AS138" s="896"/>
      <c r="AT138" s="896"/>
      <c r="AU138" s="896"/>
      <c r="AV138" s="896"/>
      <c r="AW138" s="896"/>
      <c r="AX138" s="896"/>
      <c r="AY138" s="896"/>
      <c r="AZ138" s="896"/>
      <c r="BA138" s="896"/>
      <c r="BB138" s="896"/>
      <c r="BC138" s="896"/>
      <c r="BD138" s="896"/>
      <c r="BE138" s="896"/>
      <c r="BF138" s="896"/>
      <c r="BG138" s="896"/>
      <c r="BH138" s="896"/>
      <c r="BI138" s="896"/>
      <c r="BJ138" s="896"/>
      <c r="BK138" s="896"/>
      <c r="BL138" s="896"/>
      <c r="BM138" s="896"/>
      <c r="BN138" s="896"/>
      <c r="BO138" s="896"/>
      <c r="BP138" s="896"/>
      <c r="BQ138" s="896"/>
      <c r="BR138" s="896"/>
      <c r="BS138" s="896"/>
      <c r="BT138" s="896"/>
      <c r="BU138" s="896"/>
      <c r="BV138" s="896"/>
      <c r="BW138" s="896"/>
      <c r="BX138" s="896"/>
      <c r="BY138" s="896"/>
      <c r="BZ138" s="896"/>
      <c r="CA138" s="896"/>
      <c r="CB138" s="896"/>
      <c r="CC138" s="896"/>
      <c r="CD138" s="896"/>
      <c r="CE138" s="896"/>
      <c r="CF138" s="896"/>
      <c r="CG138" s="896"/>
      <c r="CH138" s="896"/>
      <c r="CI138" s="896"/>
      <c r="CJ138" s="896"/>
      <c r="CK138" s="896"/>
      <c r="CL138" s="896"/>
      <c r="CM138" s="896"/>
      <c r="CN138" s="896"/>
      <c r="CO138" s="896"/>
      <c r="CP138" s="896"/>
      <c r="CQ138" s="896"/>
      <c r="CR138" s="896"/>
      <c r="CS138" s="896"/>
      <c r="CT138" s="896"/>
      <c r="CU138" s="896"/>
      <c r="CV138" s="896"/>
      <c r="CW138" s="896"/>
      <c r="CX138" s="896"/>
      <c r="CY138" s="896"/>
      <c r="CZ138" s="896"/>
      <c r="DA138" s="896"/>
      <c r="DB138" s="896"/>
      <c r="DC138" s="896"/>
      <c r="DD138" s="896"/>
      <c r="DE138" s="896"/>
      <c r="DF138" s="896"/>
      <c r="DG138" s="896"/>
      <c r="DH138" s="896"/>
      <c r="DI138" s="896"/>
      <c r="DJ138" s="896"/>
      <c r="DK138" s="896"/>
      <c r="DL138" s="896"/>
      <c r="DM138" s="896"/>
      <c r="DN138" s="896"/>
      <c r="DO138" s="896"/>
      <c r="DP138" s="896"/>
      <c r="DQ138" s="896"/>
      <c r="DR138" s="896"/>
      <c r="DS138" s="896"/>
      <c r="DT138" s="896"/>
      <c r="DU138" s="896"/>
      <c r="DV138" s="896"/>
      <c r="DW138" s="896"/>
      <c r="DX138" s="896"/>
      <c r="DY138" s="896"/>
      <c r="DZ138" s="896"/>
      <c r="EA138" s="896"/>
      <c r="EB138" s="896"/>
      <c r="EC138" s="896"/>
      <c r="ED138" s="896"/>
      <c r="EE138" s="896"/>
      <c r="EF138" s="896"/>
      <c r="EG138" s="896"/>
      <c r="EH138" s="896"/>
      <c r="EI138" s="896"/>
      <c r="EJ138" s="896"/>
      <c r="EK138" s="896"/>
      <c r="EL138" s="896"/>
    </row>
    <row r="139" spans="1:271">
      <c r="A139" s="896"/>
      <c r="B139" s="896"/>
      <c r="C139" s="896"/>
      <c r="D139" s="896"/>
      <c r="E139" s="896"/>
      <c r="F139" s="896"/>
      <c r="G139" s="896"/>
      <c r="H139" s="896"/>
      <c r="I139" s="896"/>
      <c r="J139" s="896"/>
      <c r="K139" s="896"/>
      <c r="L139" s="896"/>
      <c r="M139" s="896"/>
      <c r="N139" s="896"/>
      <c r="O139" s="896"/>
      <c r="P139" s="896"/>
      <c r="Q139" s="896"/>
      <c r="R139" s="896"/>
      <c r="S139" s="896"/>
      <c r="T139" s="896"/>
      <c r="U139" s="896"/>
      <c r="V139" s="896"/>
      <c r="W139" s="896"/>
      <c r="X139" s="896"/>
      <c r="Y139" s="896"/>
      <c r="Z139" s="896"/>
      <c r="AA139" s="896"/>
      <c r="AB139" s="896"/>
      <c r="AC139" s="896"/>
      <c r="AD139" s="896"/>
      <c r="AE139" s="896"/>
      <c r="AF139" s="896"/>
      <c r="AG139" s="896"/>
      <c r="AH139" s="896"/>
      <c r="AI139" s="896"/>
      <c r="AJ139" s="896"/>
      <c r="AK139" s="896"/>
      <c r="AL139" s="896"/>
      <c r="AM139" s="896"/>
      <c r="AN139" s="896"/>
      <c r="AO139" s="896"/>
      <c r="AP139" s="896"/>
      <c r="AQ139" s="896"/>
      <c r="AR139" s="896"/>
      <c r="AS139" s="896"/>
      <c r="AT139" s="896"/>
      <c r="AU139" s="896"/>
      <c r="AV139" s="896"/>
      <c r="AW139" s="896"/>
      <c r="AX139" s="896"/>
      <c r="AY139" s="896"/>
      <c r="AZ139" s="896"/>
      <c r="BA139" s="896"/>
      <c r="BB139" s="896"/>
      <c r="BC139" s="896"/>
      <c r="BD139" s="896"/>
      <c r="BE139" s="896"/>
      <c r="BF139" s="896"/>
      <c r="BG139" s="896"/>
      <c r="BH139" s="896"/>
      <c r="BI139" s="896"/>
      <c r="BJ139" s="896"/>
      <c r="BK139" s="896"/>
      <c r="BL139" s="896"/>
      <c r="BM139" s="896"/>
      <c r="BN139" s="896"/>
      <c r="BO139" s="896"/>
      <c r="BP139" s="896"/>
      <c r="BQ139" s="896"/>
      <c r="BR139" s="896"/>
      <c r="BS139" s="896"/>
      <c r="BT139" s="896"/>
      <c r="BU139" s="896"/>
      <c r="BV139" s="896"/>
      <c r="BW139" s="896"/>
      <c r="BX139" s="896"/>
      <c r="BY139" s="896"/>
      <c r="BZ139" s="896"/>
      <c r="CA139" s="896"/>
      <c r="CB139" s="896"/>
      <c r="CC139" s="896"/>
      <c r="CD139" s="896"/>
      <c r="CE139" s="896"/>
      <c r="CF139" s="896"/>
      <c r="CG139" s="896"/>
      <c r="CH139" s="896"/>
      <c r="CI139" s="896"/>
      <c r="CJ139" s="896"/>
      <c r="CK139" s="896"/>
      <c r="CL139" s="896"/>
      <c r="CM139" s="896"/>
      <c r="CN139" s="896"/>
      <c r="CO139" s="896"/>
      <c r="CP139" s="896"/>
      <c r="CQ139" s="896"/>
      <c r="CR139" s="896"/>
      <c r="CS139" s="896"/>
      <c r="CT139" s="896"/>
      <c r="CU139" s="896"/>
      <c r="CV139" s="896"/>
      <c r="CW139" s="896"/>
      <c r="CX139" s="896"/>
      <c r="CY139" s="896"/>
      <c r="CZ139" s="896"/>
      <c r="DA139" s="896"/>
      <c r="DB139" s="896"/>
      <c r="DC139" s="896"/>
      <c r="DD139" s="896"/>
      <c r="DE139" s="896"/>
      <c r="DF139" s="896"/>
      <c r="DG139" s="896"/>
      <c r="DH139" s="896"/>
      <c r="DI139" s="896"/>
      <c r="DJ139" s="896"/>
      <c r="DK139" s="896"/>
      <c r="DL139" s="896"/>
      <c r="DM139" s="896"/>
      <c r="DN139" s="896"/>
      <c r="DO139" s="896"/>
      <c r="DP139" s="896"/>
      <c r="DQ139" s="896"/>
      <c r="DR139" s="896"/>
      <c r="DS139" s="896"/>
      <c r="DT139" s="896"/>
      <c r="DU139" s="896"/>
      <c r="DV139" s="896"/>
      <c r="DW139" s="896"/>
      <c r="DX139" s="896"/>
      <c r="DY139" s="896"/>
      <c r="DZ139" s="896"/>
      <c r="EA139" s="896"/>
      <c r="EB139" s="896"/>
      <c r="EC139" s="896"/>
      <c r="ED139" s="896"/>
      <c r="EE139" s="896"/>
      <c r="EF139" s="896"/>
      <c r="EG139" s="896"/>
      <c r="EH139" s="896"/>
      <c r="EI139" s="896"/>
      <c r="EJ139" s="896"/>
      <c r="EK139" s="896"/>
      <c r="EL139" s="896"/>
    </row>
    <row r="140" spans="1:271">
      <c r="A140" s="896"/>
      <c r="B140" s="896"/>
      <c r="C140" s="896"/>
      <c r="D140" s="896"/>
      <c r="E140" s="896"/>
      <c r="F140" s="896"/>
      <c r="G140" s="896"/>
      <c r="H140" s="896"/>
      <c r="I140" s="896"/>
      <c r="J140" s="896"/>
      <c r="K140" s="896"/>
      <c r="L140" s="896"/>
      <c r="M140" s="896"/>
      <c r="N140" s="896"/>
      <c r="O140" s="896"/>
      <c r="P140" s="896"/>
      <c r="Q140" s="896"/>
      <c r="R140" s="896"/>
      <c r="S140" s="896"/>
      <c r="T140" s="896"/>
      <c r="U140" s="896"/>
      <c r="V140" s="896"/>
      <c r="W140" s="896"/>
      <c r="X140" s="896"/>
      <c r="Y140" s="896"/>
      <c r="Z140" s="896"/>
      <c r="AA140" s="896"/>
      <c r="AB140" s="896"/>
      <c r="AC140" s="896"/>
      <c r="AD140" s="896"/>
      <c r="AE140" s="896"/>
      <c r="AF140" s="896"/>
      <c r="AG140" s="896"/>
      <c r="AH140" s="896"/>
      <c r="AI140" s="896"/>
      <c r="AJ140" s="896"/>
      <c r="AK140" s="896"/>
      <c r="AL140" s="896"/>
      <c r="AM140" s="896"/>
      <c r="AN140" s="896"/>
      <c r="AO140" s="896"/>
      <c r="AP140" s="896"/>
      <c r="AQ140" s="896"/>
      <c r="AR140" s="896"/>
      <c r="AS140" s="896"/>
      <c r="AT140" s="896"/>
      <c r="AU140" s="896"/>
      <c r="AV140" s="896"/>
      <c r="AW140" s="896"/>
      <c r="AX140" s="896"/>
      <c r="AY140" s="896"/>
      <c r="AZ140" s="896"/>
      <c r="BA140" s="896"/>
      <c r="BB140" s="896"/>
      <c r="BC140" s="896"/>
      <c r="BD140" s="896"/>
      <c r="BE140" s="896"/>
      <c r="BF140" s="896"/>
      <c r="BG140" s="896"/>
      <c r="BH140" s="896"/>
      <c r="BI140" s="896"/>
      <c r="BJ140" s="896"/>
      <c r="BK140" s="896"/>
      <c r="BL140" s="896"/>
      <c r="BM140" s="896"/>
      <c r="BN140" s="896"/>
      <c r="BO140" s="896"/>
      <c r="BP140" s="896"/>
      <c r="BQ140" s="896"/>
      <c r="BR140" s="896"/>
      <c r="BS140" s="896"/>
      <c r="BT140" s="896"/>
      <c r="BU140" s="896"/>
      <c r="BV140" s="896"/>
      <c r="BW140" s="896"/>
      <c r="BX140" s="896"/>
      <c r="BY140" s="896"/>
      <c r="BZ140" s="896"/>
      <c r="CA140" s="896"/>
      <c r="CB140" s="896"/>
      <c r="CC140" s="896"/>
      <c r="CD140" s="896"/>
      <c r="CE140" s="896"/>
      <c r="CF140" s="896"/>
      <c r="CG140" s="896"/>
      <c r="CH140" s="896"/>
      <c r="CI140" s="896"/>
      <c r="CJ140" s="896"/>
      <c r="CK140" s="896"/>
      <c r="CL140" s="896"/>
      <c r="CM140" s="896"/>
      <c r="CN140" s="896"/>
      <c r="CO140" s="896"/>
      <c r="CP140" s="896"/>
      <c r="CQ140" s="896"/>
      <c r="CR140" s="896"/>
      <c r="CS140" s="896"/>
      <c r="CT140" s="896"/>
      <c r="CU140" s="896"/>
      <c r="CV140" s="896"/>
      <c r="CW140" s="896"/>
      <c r="CX140" s="896"/>
      <c r="CY140" s="896"/>
      <c r="CZ140" s="896"/>
      <c r="DA140" s="896"/>
      <c r="DB140" s="896"/>
      <c r="DC140" s="896"/>
      <c r="DD140" s="896"/>
      <c r="DE140" s="896"/>
      <c r="DF140" s="896"/>
      <c r="DG140" s="896"/>
      <c r="DH140" s="896"/>
      <c r="DI140" s="896"/>
      <c r="DJ140" s="896"/>
      <c r="DK140" s="896"/>
      <c r="DL140" s="896"/>
      <c r="DM140" s="896"/>
      <c r="DN140" s="896"/>
      <c r="DO140" s="896"/>
      <c r="DP140" s="896"/>
      <c r="DQ140" s="896"/>
      <c r="DR140" s="896"/>
      <c r="DS140" s="896"/>
      <c r="DT140" s="896"/>
      <c r="DU140" s="896"/>
      <c r="DV140" s="896"/>
      <c r="DW140" s="896"/>
      <c r="DX140" s="896"/>
      <c r="DY140" s="896"/>
      <c r="DZ140" s="896"/>
      <c r="EA140" s="896"/>
      <c r="EB140" s="896"/>
      <c r="EC140" s="896"/>
      <c r="ED140" s="896"/>
      <c r="EE140" s="896"/>
      <c r="EF140" s="896"/>
      <c r="EG140" s="896"/>
      <c r="EH140" s="896"/>
      <c r="EI140" s="896"/>
      <c r="EJ140" s="896"/>
      <c r="EK140" s="896"/>
      <c r="EL140" s="896"/>
    </row>
    <row r="141" spans="1:271">
      <c r="A141" s="896"/>
      <c r="B141" s="896"/>
      <c r="C141" s="896"/>
      <c r="D141" s="896"/>
      <c r="E141" s="896"/>
      <c r="F141" s="896"/>
      <c r="G141" s="896"/>
      <c r="H141" s="896"/>
      <c r="I141" s="896"/>
      <c r="J141" s="896"/>
      <c r="K141" s="896"/>
      <c r="L141" s="896"/>
      <c r="M141" s="896"/>
      <c r="N141" s="896"/>
      <c r="O141" s="896"/>
      <c r="P141" s="896"/>
      <c r="Q141" s="896"/>
      <c r="R141" s="896"/>
      <c r="S141" s="896"/>
      <c r="T141" s="896"/>
      <c r="U141" s="896"/>
      <c r="V141" s="896"/>
      <c r="W141" s="896"/>
      <c r="X141" s="896"/>
      <c r="Y141" s="896"/>
      <c r="Z141" s="896"/>
      <c r="AA141" s="896"/>
      <c r="AB141" s="896"/>
      <c r="AC141" s="896"/>
      <c r="AD141" s="896"/>
      <c r="AE141" s="896"/>
      <c r="AF141" s="896"/>
      <c r="AG141" s="896"/>
      <c r="AH141" s="896"/>
      <c r="AI141" s="896"/>
      <c r="AJ141" s="896"/>
      <c r="AK141" s="896"/>
      <c r="AL141" s="896"/>
      <c r="AM141" s="896"/>
      <c r="AN141" s="896"/>
      <c r="AO141" s="896"/>
      <c r="AP141" s="896"/>
      <c r="AQ141" s="896"/>
      <c r="AR141" s="896"/>
      <c r="AS141" s="896"/>
      <c r="AT141" s="896"/>
      <c r="AU141" s="896"/>
      <c r="AV141" s="896"/>
      <c r="AW141" s="896"/>
      <c r="AX141" s="896"/>
      <c r="AY141" s="896"/>
      <c r="AZ141" s="896"/>
      <c r="BA141" s="896"/>
      <c r="BB141" s="896"/>
      <c r="BC141" s="896"/>
      <c r="BD141" s="896"/>
      <c r="BE141" s="896"/>
      <c r="BF141" s="896"/>
      <c r="BG141" s="896"/>
      <c r="BH141" s="896"/>
      <c r="BI141" s="896"/>
      <c r="BJ141" s="896"/>
      <c r="BK141" s="896"/>
      <c r="BL141" s="896"/>
      <c r="BM141" s="896"/>
      <c r="BN141" s="896"/>
      <c r="BO141" s="896"/>
      <c r="BP141" s="896"/>
      <c r="BQ141" s="896"/>
      <c r="BR141" s="896"/>
      <c r="BS141" s="896"/>
      <c r="BT141" s="896"/>
      <c r="BU141" s="896"/>
      <c r="BV141" s="896"/>
      <c r="BW141" s="896"/>
      <c r="BX141" s="896"/>
      <c r="BY141" s="896"/>
      <c r="BZ141" s="896"/>
      <c r="CA141" s="896"/>
      <c r="CB141" s="896"/>
      <c r="CC141" s="896"/>
      <c r="CD141" s="896"/>
      <c r="CE141" s="896"/>
      <c r="CF141" s="896"/>
      <c r="CG141" s="896"/>
      <c r="CH141" s="896"/>
      <c r="CI141" s="896"/>
      <c r="CJ141" s="896"/>
      <c r="CK141" s="896"/>
      <c r="CL141" s="896"/>
      <c r="CM141" s="896"/>
      <c r="CN141" s="896"/>
      <c r="CO141" s="896"/>
      <c r="CP141" s="896"/>
      <c r="CQ141" s="896"/>
      <c r="CR141" s="896"/>
      <c r="CS141" s="896"/>
      <c r="CT141" s="896"/>
      <c r="CU141" s="896"/>
      <c r="CV141" s="896"/>
      <c r="CW141" s="896"/>
      <c r="CX141" s="896"/>
      <c r="CY141" s="896"/>
      <c r="CZ141" s="896"/>
      <c r="DA141" s="896"/>
      <c r="DB141" s="896"/>
      <c r="DC141" s="896"/>
      <c r="DD141" s="896"/>
      <c r="DE141" s="896"/>
      <c r="DF141" s="896"/>
      <c r="DG141" s="896"/>
      <c r="DH141" s="896"/>
      <c r="DI141" s="896"/>
      <c r="DJ141" s="896"/>
      <c r="DK141" s="896"/>
      <c r="DL141" s="896"/>
      <c r="DM141" s="896"/>
      <c r="DN141" s="896"/>
      <c r="DO141" s="896"/>
      <c r="DP141" s="896"/>
      <c r="DQ141" s="896"/>
      <c r="DR141" s="896"/>
      <c r="DS141" s="896"/>
      <c r="DT141" s="896"/>
      <c r="DU141" s="896"/>
      <c r="DV141" s="896"/>
      <c r="DW141" s="896"/>
      <c r="DX141" s="896"/>
      <c r="DY141" s="896"/>
      <c r="DZ141" s="896"/>
      <c r="EA141" s="896"/>
      <c r="EB141" s="896"/>
      <c r="EC141" s="896"/>
      <c r="ED141" s="896"/>
      <c r="EE141" s="896"/>
      <c r="EF141" s="896"/>
      <c r="EG141" s="896"/>
      <c r="EH141" s="896"/>
      <c r="EI141" s="896"/>
      <c r="EJ141" s="896"/>
      <c r="EK141" s="896"/>
      <c r="EL141" s="896"/>
    </row>
    <row r="142" spans="1:271">
      <c r="A142" s="896"/>
      <c r="B142" s="896"/>
      <c r="C142" s="896"/>
      <c r="D142" s="896"/>
      <c r="E142" s="896"/>
      <c r="F142" s="896"/>
      <c r="G142" s="896"/>
      <c r="H142" s="896"/>
      <c r="I142" s="896"/>
      <c r="J142" s="896"/>
      <c r="K142" s="896"/>
      <c r="L142" s="896"/>
      <c r="M142" s="896"/>
      <c r="N142" s="896"/>
      <c r="O142" s="896"/>
      <c r="P142" s="896"/>
      <c r="Q142" s="896"/>
      <c r="R142" s="896"/>
      <c r="S142" s="896"/>
      <c r="T142" s="896"/>
      <c r="U142" s="896"/>
      <c r="V142" s="896"/>
      <c r="W142" s="896"/>
      <c r="X142" s="896"/>
      <c r="Y142" s="896"/>
      <c r="Z142" s="896"/>
      <c r="AA142" s="896"/>
      <c r="AB142" s="896"/>
      <c r="AC142" s="896"/>
      <c r="AD142" s="896"/>
      <c r="AE142" s="896"/>
      <c r="AF142" s="896"/>
      <c r="AG142" s="896"/>
      <c r="AH142" s="896"/>
      <c r="AI142" s="896"/>
      <c r="AJ142" s="896"/>
      <c r="AK142" s="896"/>
      <c r="AL142" s="896"/>
      <c r="AM142" s="896"/>
      <c r="AN142" s="896"/>
      <c r="AO142" s="896"/>
      <c r="AP142" s="896"/>
      <c r="AQ142" s="896"/>
      <c r="AR142" s="896"/>
      <c r="AS142" s="896"/>
      <c r="AT142" s="896"/>
      <c r="AU142" s="896"/>
      <c r="AV142" s="896"/>
      <c r="AW142" s="896"/>
      <c r="AX142" s="896"/>
      <c r="AY142" s="896"/>
      <c r="AZ142" s="896"/>
      <c r="BA142" s="896"/>
      <c r="BB142" s="896"/>
      <c r="BC142" s="896"/>
      <c r="BD142" s="896"/>
      <c r="BE142" s="896"/>
      <c r="BF142" s="896"/>
      <c r="BG142" s="896"/>
      <c r="BH142" s="896"/>
      <c r="BI142" s="896"/>
      <c r="BJ142" s="896"/>
      <c r="BK142" s="896"/>
      <c r="BL142" s="896"/>
      <c r="BM142" s="896"/>
      <c r="BN142" s="896"/>
      <c r="BO142" s="896"/>
      <c r="BP142" s="896"/>
      <c r="BQ142" s="896"/>
      <c r="BR142" s="896"/>
      <c r="BS142" s="896"/>
      <c r="BT142" s="896"/>
      <c r="BU142" s="896"/>
      <c r="BV142" s="896"/>
      <c r="BW142" s="896"/>
      <c r="BX142" s="896"/>
      <c r="BY142" s="896"/>
      <c r="BZ142" s="896"/>
      <c r="CA142" s="896"/>
      <c r="CB142" s="896"/>
      <c r="CC142" s="896"/>
      <c r="CD142" s="896"/>
      <c r="CE142" s="896"/>
      <c r="CF142" s="896"/>
      <c r="CG142" s="896"/>
      <c r="CH142" s="896"/>
      <c r="CI142" s="896"/>
      <c r="CJ142" s="896"/>
      <c r="CK142" s="896"/>
      <c r="CL142" s="896"/>
      <c r="CM142" s="896"/>
      <c r="CN142" s="896"/>
      <c r="CO142" s="896"/>
      <c r="CP142" s="896"/>
      <c r="CQ142" s="896"/>
      <c r="CR142" s="896"/>
      <c r="CS142" s="896"/>
      <c r="CT142" s="896"/>
      <c r="CU142" s="896"/>
      <c r="CV142" s="896"/>
      <c r="CW142" s="896"/>
      <c r="CX142" s="896"/>
      <c r="CY142" s="896"/>
      <c r="CZ142" s="896"/>
      <c r="DA142" s="896"/>
      <c r="DB142" s="896"/>
      <c r="DC142" s="896"/>
      <c r="DD142" s="896"/>
      <c r="DE142" s="896"/>
      <c r="DF142" s="896"/>
      <c r="DG142" s="896"/>
      <c r="DH142" s="896"/>
      <c r="DI142" s="896"/>
      <c r="DJ142" s="896"/>
      <c r="DK142" s="896"/>
      <c r="DL142" s="896"/>
      <c r="DM142" s="896"/>
      <c r="DN142" s="896"/>
      <c r="DO142" s="896"/>
      <c r="DP142" s="896"/>
      <c r="DQ142" s="896"/>
      <c r="DR142" s="896"/>
      <c r="DS142" s="896"/>
      <c r="DT142" s="896"/>
      <c r="DU142" s="896"/>
      <c r="DV142" s="896"/>
      <c r="DW142" s="896"/>
      <c r="DX142" s="896"/>
      <c r="DY142" s="896"/>
      <c r="DZ142" s="896"/>
      <c r="EA142" s="896"/>
      <c r="EB142" s="896"/>
      <c r="EC142" s="896"/>
      <c r="ED142" s="896"/>
      <c r="EE142" s="896"/>
      <c r="EF142" s="896"/>
      <c r="EG142" s="896"/>
      <c r="EH142" s="896"/>
      <c r="EI142" s="896"/>
      <c r="EJ142" s="896"/>
      <c r="EK142" s="896"/>
      <c r="EL142" s="896"/>
    </row>
    <row r="143" spans="1:271">
      <c r="A143" s="896"/>
      <c r="B143" s="896"/>
      <c r="C143" s="896"/>
      <c r="D143" s="896"/>
      <c r="E143" s="896"/>
      <c r="F143" s="896"/>
      <c r="G143" s="896"/>
      <c r="H143" s="896"/>
      <c r="I143" s="896"/>
      <c r="J143" s="896"/>
      <c r="K143" s="896"/>
      <c r="L143" s="896"/>
      <c r="M143" s="896"/>
      <c r="N143" s="896"/>
      <c r="O143" s="896"/>
      <c r="P143" s="896"/>
      <c r="Q143" s="896"/>
      <c r="R143" s="896"/>
      <c r="S143" s="896"/>
      <c r="T143" s="896"/>
      <c r="U143" s="896"/>
      <c r="V143" s="896"/>
      <c r="W143" s="896"/>
      <c r="X143" s="896"/>
      <c r="Y143" s="896"/>
      <c r="Z143" s="896"/>
      <c r="AA143" s="896"/>
      <c r="AB143" s="896"/>
      <c r="AC143" s="896"/>
      <c r="AD143" s="896"/>
      <c r="AE143" s="896"/>
      <c r="AF143" s="896"/>
      <c r="AG143" s="896"/>
      <c r="AH143" s="896"/>
      <c r="AI143" s="896"/>
      <c r="AJ143" s="896"/>
      <c r="AK143" s="896"/>
      <c r="AL143" s="896"/>
      <c r="AM143" s="896"/>
      <c r="AN143" s="896"/>
      <c r="AO143" s="896"/>
      <c r="AP143" s="896"/>
      <c r="AQ143" s="896"/>
      <c r="AR143" s="896"/>
      <c r="AS143" s="896"/>
      <c r="AT143" s="896"/>
      <c r="AU143" s="896"/>
      <c r="AV143" s="896"/>
      <c r="AW143" s="896"/>
      <c r="AX143" s="896"/>
      <c r="AY143" s="896"/>
      <c r="AZ143" s="896"/>
      <c r="BA143" s="896"/>
      <c r="BB143" s="896"/>
      <c r="BC143" s="896"/>
      <c r="BD143" s="896"/>
      <c r="BE143" s="896"/>
      <c r="BF143" s="896"/>
      <c r="BG143" s="896"/>
      <c r="BH143" s="896"/>
      <c r="BI143" s="896"/>
      <c r="BJ143" s="896"/>
      <c r="BK143" s="896"/>
      <c r="BL143" s="896"/>
      <c r="BM143" s="896"/>
      <c r="BN143" s="896"/>
      <c r="BO143" s="896"/>
      <c r="BP143" s="896"/>
      <c r="BQ143" s="896"/>
      <c r="BR143" s="896"/>
      <c r="BS143" s="896"/>
      <c r="BT143" s="896"/>
      <c r="BU143" s="896"/>
      <c r="BV143" s="896"/>
      <c r="BW143" s="896"/>
      <c r="BX143" s="896"/>
      <c r="BY143" s="896"/>
      <c r="BZ143" s="896"/>
      <c r="CA143" s="896"/>
      <c r="CB143" s="896"/>
      <c r="CC143" s="896"/>
      <c r="CD143" s="896"/>
      <c r="CE143" s="896"/>
      <c r="CF143" s="896"/>
      <c r="CG143" s="896"/>
      <c r="CH143" s="896"/>
      <c r="CI143" s="896"/>
      <c r="CJ143" s="896"/>
      <c r="CK143" s="896"/>
      <c r="CL143" s="896"/>
      <c r="CM143" s="896"/>
      <c r="CN143" s="896"/>
      <c r="CO143" s="896"/>
      <c r="CP143" s="896"/>
      <c r="CQ143" s="896"/>
      <c r="CR143" s="896"/>
      <c r="CS143" s="896"/>
      <c r="CT143" s="896"/>
      <c r="CU143" s="896"/>
      <c r="CV143" s="896"/>
      <c r="CW143" s="896"/>
      <c r="CX143" s="896"/>
      <c r="CY143" s="896"/>
      <c r="CZ143" s="896"/>
      <c r="DA143" s="896"/>
      <c r="DB143" s="896"/>
      <c r="DC143" s="896"/>
      <c r="DD143" s="896"/>
      <c r="DE143" s="896"/>
      <c r="DF143" s="896"/>
      <c r="DG143" s="896"/>
      <c r="DH143" s="896"/>
      <c r="DI143" s="896"/>
      <c r="DJ143" s="896"/>
      <c r="DK143" s="896"/>
      <c r="DL143" s="896"/>
      <c r="DM143" s="896"/>
      <c r="DN143" s="896"/>
      <c r="DO143" s="896"/>
      <c r="DP143" s="896"/>
      <c r="DQ143" s="896"/>
      <c r="DR143" s="896"/>
      <c r="DS143" s="896"/>
      <c r="DT143" s="896"/>
      <c r="DU143" s="896"/>
      <c r="DV143" s="896"/>
      <c r="DW143" s="896"/>
      <c r="DX143" s="896"/>
      <c r="DY143" s="896"/>
      <c r="DZ143" s="896"/>
      <c r="EA143" s="896"/>
      <c r="EB143" s="896"/>
      <c r="EC143" s="896"/>
      <c r="ED143" s="896"/>
      <c r="EE143" s="896"/>
      <c r="EF143" s="896"/>
      <c r="EG143" s="896"/>
      <c r="EH143" s="896"/>
      <c r="EI143" s="896"/>
      <c r="EJ143" s="896"/>
      <c r="EK143" s="896"/>
      <c r="EL143" s="896"/>
    </row>
    <row r="144" spans="1:271">
      <c r="A144" s="896"/>
      <c r="B144" s="896"/>
      <c r="C144" s="896"/>
      <c r="D144" s="896"/>
      <c r="E144" s="896"/>
      <c r="F144" s="896"/>
      <c r="G144" s="896"/>
      <c r="H144" s="896"/>
      <c r="I144" s="896"/>
      <c r="J144" s="896"/>
      <c r="K144" s="896"/>
      <c r="L144" s="896"/>
      <c r="M144" s="896"/>
      <c r="N144" s="896"/>
      <c r="O144" s="896"/>
      <c r="P144" s="896"/>
      <c r="Q144" s="896"/>
      <c r="R144" s="896"/>
      <c r="S144" s="896"/>
      <c r="T144" s="896"/>
      <c r="U144" s="896"/>
      <c r="V144" s="896"/>
      <c r="W144" s="896"/>
      <c r="X144" s="896"/>
      <c r="Y144" s="896"/>
      <c r="Z144" s="896"/>
      <c r="AA144" s="896"/>
      <c r="AB144" s="896"/>
      <c r="AC144" s="896"/>
      <c r="AD144" s="896"/>
      <c r="AE144" s="896"/>
      <c r="AF144" s="896"/>
      <c r="AG144" s="896"/>
      <c r="AH144" s="896"/>
      <c r="AI144" s="896"/>
      <c r="AJ144" s="896"/>
      <c r="AK144" s="896"/>
      <c r="AL144" s="896"/>
      <c r="AM144" s="896"/>
      <c r="AN144" s="896"/>
      <c r="AO144" s="896"/>
      <c r="AP144" s="896"/>
      <c r="AQ144" s="896"/>
      <c r="AR144" s="896"/>
      <c r="AS144" s="896"/>
      <c r="AT144" s="896"/>
      <c r="AU144" s="896"/>
      <c r="AV144" s="896"/>
      <c r="AW144" s="896"/>
      <c r="AX144" s="896"/>
      <c r="AY144" s="896"/>
      <c r="AZ144" s="896"/>
      <c r="BA144" s="896"/>
      <c r="BB144" s="896"/>
      <c r="BC144" s="896"/>
      <c r="BD144" s="896"/>
      <c r="BE144" s="896"/>
      <c r="BF144" s="896"/>
      <c r="BG144" s="896"/>
      <c r="BH144" s="896"/>
      <c r="BI144" s="896"/>
      <c r="BJ144" s="896"/>
      <c r="BK144" s="896"/>
      <c r="BL144" s="896"/>
      <c r="BM144" s="896"/>
      <c r="BN144" s="896"/>
      <c r="BO144" s="896"/>
      <c r="BP144" s="896"/>
      <c r="BQ144" s="896"/>
      <c r="BR144" s="896"/>
      <c r="BS144" s="896"/>
      <c r="BT144" s="896"/>
      <c r="BU144" s="896"/>
      <c r="BV144" s="896"/>
      <c r="BW144" s="896"/>
      <c r="BX144" s="896"/>
      <c r="BY144" s="896"/>
      <c r="BZ144" s="896"/>
      <c r="CA144" s="896"/>
      <c r="CB144" s="896"/>
      <c r="CC144" s="896"/>
      <c r="CD144" s="896"/>
      <c r="CE144" s="896"/>
      <c r="CF144" s="896"/>
      <c r="CG144" s="896"/>
      <c r="CH144" s="896"/>
      <c r="CI144" s="896"/>
      <c r="CJ144" s="896"/>
      <c r="CK144" s="896"/>
      <c r="CL144" s="896"/>
      <c r="CM144" s="896"/>
      <c r="CN144" s="896"/>
      <c r="CO144" s="896"/>
      <c r="CP144" s="896"/>
      <c r="CQ144" s="896"/>
      <c r="CR144" s="896"/>
      <c r="CS144" s="896"/>
      <c r="CT144" s="896"/>
      <c r="CU144" s="896"/>
      <c r="CV144" s="896"/>
      <c r="CW144" s="896"/>
      <c r="CX144" s="896"/>
      <c r="CY144" s="896"/>
      <c r="CZ144" s="896"/>
      <c r="DA144" s="896"/>
      <c r="DB144" s="896"/>
      <c r="DC144" s="896"/>
      <c r="DD144" s="896"/>
      <c r="DE144" s="896"/>
      <c r="DF144" s="896"/>
      <c r="DG144" s="896"/>
      <c r="DH144" s="896"/>
      <c r="DI144" s="896"/>
      <c r="DJ144" s="896"/>
      <c r="DK144" s="896"/>
      <c r="DL144" s="896"/>
      <c r="DM144" s="896"/>
      <c r="DN144" s="896"/>
      <c r="DO144" s="896"/>
      <c r="DP144" s="896"/>
      <c r="DQ144" s="896"/>
      <c r="DR144" s="896"/>
      <c r="DS144" s="896"/>
      <c r="DT144" s="896"/>
      <c r="DU144" s="896"/>
      <c r="DV144" s="896"/>
      <c r="DW144" s="896"/>
      <c r="DX144" s="896"/>
      <c r="DY144" s="896"/>
      <c r="DZ144" s="896"/>
      <c r="EA144" s="896"/>
      <c r="EB144" s="896"/>
      <c r="EC144" s="896"/>
      <c r="ED144" s="896"/>
      <c r="EE144" s="896"/>
      <c r="EF144" s="896"/>
      <c r="EG144" s="896"/>
      <c r="EH144" s="896"/>
      <c r="EI144" s="896"/>
      <c r="EJ144" s="896"/>
      <c r="EK144" s="896"/>
      <c r="EL144" s="896"/>
    </row>
    <row r="145" spans="1:142">
      <c r="A145" s="896"/>
      <c r="B145" s="896"/>
      <c r="C145" s="896"/>
      <c r="D145" s="896"/>
      <c r="E145" s="896"/>
      <c r="F145" s="896"/>
      <c r="G145" s="896"/>
      <c r="H145" s="896"/>
      <c r="I145" s="896"/>
      <c r="J145" s="896"/>
      <c r="K145" s="896"/>
      <c r="L145" s="896"/>
      <c r="M145" s="896"/>
      <c r="N145" s="896"/>
      <c r="O145" s="896"/>
      <c r="P145" s="896"/>
      <c r="Q145" s="896"/>
      <c r="R145" s="896"/>
      <c r="S145" s="896"/>
      <c r="T145" s="896"/>
      <c r="U145" s="896"/>
      <c r="V145" s="896"/>
      <c r="W145" s="896"/>
      <c r="X145" s="896"/>
      <c r="Y145" s="896"/>
      <c r="Z145" s="896"/>
      <c r="AA145" s="896"/>
      <c r="AB145" s="896"/>
      <c r="AC145" s="896"/>
      <c r="AD145" s="896"/>
      <c r="AE145" s="896"/>
      <c r="AF145" s="896"/>
      <c r="AG145" s="896"/>
      <c r="AH145" s="896"/>
      <c r="AI145" s="896"/>
      <c r="AJ145" s="896"/>
      <c r="AK145" s="896"/>
      <c r="AL145" s="896"/>
      <c r="AM145" s="896"/>
      <c r="AN145" s="896"/>
      <c r="AO145" s="896"/>
      <c r="AP145" s="896"/>
      <c r="AQ145" s="896"/>
      <c r="AR145" s="896"/>
      <c r="AS145" s="896"/>
      <c r="AT145" s="896"/>
      <c r="AU145" s="896"/>
      <c r="AV145" s="896"/>
      <c r="AW145" s="896"/>
      <c r="AX145" s="896"/>
      <c r="AY145" s="896"/>
      <c r="AZ145" s="896"/>
      <c r="BA145" s="896"/>
      <c r="BB145" s="896"/>
      <c r="BC145" s="896"/>
      <c r="BD145" s="896"/>
      <c r="BE145" s="896"/>
      <c r="BF145" s="896"/>
      <c r="BG145" s="896"/>
      <c r="BH145" s="896"/>
      <c r="BI145" s="896"/>
      <c r="BJ145" s="896"/>
      <c r="BK145" s="896"/>
      <c r="BL145" s="896"/>
      <c r="BM145" s="896"/>
      <c r="BN145" s="896"/>
      <c r="BO145" s="896"/>
      <c r="BP145" s="896"/>
      <c r="BQ145" s="896"/>
      <c r="BR145" s="896"/>
      <c r="BS145" s="896"/>
      <c r="BT145" s="896"/>
      <c r="BU145" s="896"/>
      <c r="BV145" s="896"/>
      <c r="BW145" s="896"/>
      <c r="BX145" s="896"/>
      <c r="BY145" s="896"/>
      <c r="BZ145" s="896"/>
      <c r="CA145" s="896"/>
      <c r="CB145" s="896"/>
      <c r="CC145" s="896"/>
      <c r="CD145" s="896"/>
      <c r="CE145" s="896"/>
      <c r="CF145" s="896"/>
      <c r="CG145" s="896"/>
      <c r="CH145" s="896"/>
      <c r="CI145" s="896"/>
      <c r="CJ145" s="896"/>
      <c r="CK145" s="896"/>
      <c r="CL145" s="896"/>
      <c r="CM145" s="896"/>
      <c r="CN145" s="896"/>
      <c r="CO145" s="896"/>
      <c r="CP145" s="896"/>
      <c r="CQ145" s="896"/>
      <c r="CR145" s="896"/>
      <c r="CS145" s="896"/>
      <c r="CT145" s="896"/>
      <c r="CU145" s="896"/>
      <c r="CV145" s="896"/>
      <c r="CW145" s="896"/>
      <c r="CX145" s="896"/>
      <c r="CY145" s="896"/>
      <c r="CZ145" s="896"/>
      <c r="DA145" s="896"/>
      <c r="DB145" s="896"/>
      <c r="DC145" s="896"/>
      <c r="DD145" s="896"/>
      <c r="DE145" s="896"/>
      <c r="DF145" s="896"/>
      <c r="DG145" s="896"/>
      <c r="DH145" s="896"/>
      <c r="DI145" s="896"/>
      <c r="DJ145" s="896"/>
      <c r="DK145" s="896"/>
      <c r="DL145" s="896"/>
      <c r="DM145" s="896"/>
      <c r="DN145" s="896"/>
      <c r="DO145" s="896"/>
      <c r="DP145" s="896"/>
      <c r="DQ145" s="896"/>
      <c r="DR145" s="896"/>
      <c r="DS145" s="896"/>
      <c r="DT145" s="896"/>
      <c r="DU145" s="896"/>
      <c r="DV145" s="896"/>
      <c r="DW145" s="896"/>
      <c r="DX145" s="896"/>
      <c r="DY145" s="896"/>
      <c r="DZ145" s="896"/>
      <c r="EA145" s="896"/>
      <c r="EB145" s="896"/>
      <c r="EC145" s="896"/>
      <c r="ED145" s="896"/>
      <c r="EE145" s="896"/>
      <c r="EF145" s="896"/>
      <c r="EG145" s="896"/>
      <c r="EH145" s="896"/>
      <c r="EI145" s="896"/>
      <c r="EJ145" s="896"/>
      <c r="EK145" s="896"/>
      <c r="EL145" s="896"/>
    </row>
    <row r="146" spans="1:142">
      <c r="A146" s="896"/>
      <c r="B146" s="896"/>
      <c r="C146" s="896"/>
      <c r="D146" s="896"/>
      <c r="E146" s="896"/>
      <c r="F146" s="896"/>
      <c r="G146" s="896"/>
      <c r="H146" s="896"/>
      <c r="I146" s="896"/>
      <c r="J146" s="896"/>
      <c r="K146" s="896"/>
      <c r="L146" s="896"/>
      <c r="M146" s="896"/>
      <c r="N146" s="896"/>
      <c r="O146" s="896"/>
      <c r="P146" s="896"/>
      <c r="Q146" s="896"/>
      <c r="R146" s="896"/>
      <c r="S146" s="896"/>
      <c r="T146" s="896"/>
      <c r="U146" s="896"/>
      <c r="V146" s="896"/>
      <c r="W146" s="896"/>
      <c r="X146" s="896"/>
      <c r="Y146" s="896"/>
      <c r="Z146" s="896"/>
      <c r="AA146" s="896"/>
      <c r="AB146" s="896"/>
      <c r="AC146" s="896"/>
      <c r="AD146" s="896"/>
      <c r="AE146" s="896"/>
      <c r="AF146" s="896"/>
      <c r="AG146" s="896"/>
      <c r="AH146" s="896"/>
      <c r="AI146" s="896"/>
      <c r="AJ146" s="896"/>
      <c r="AK146" s="896"/>
      <c r="AL146" s="896"/>
      <c r="AM146" s="896"/>
      <c r="AN146" s="896"/>
      <c r="AO146" s="896"/>
      <c r="AP146" s="896"/>
      <c r="AQ146" s="896"/>
      <c r="AR146" s="896"/>
      <c r="AS146" s="896"/>
      <c r="AT146" s="896"/>
      <c r="AU146" s="896"/>
      <c r="AV146" s="896"/>
      <c r="AW146" s="896"/>
      <c r="AX146" s="896"/>
      <c r="AY146" s="896"/>
      <c r="AZ146" s="896"/>
      <c r="BA146" s="896"/>
      <c r="BB146" s="896"/>
      <c r="BC146" s="896"/>
      <c r="BD146" s="896"/>
      <c r="BE146" s="896"/>
      <c r="BF146" s="896"/>
      <c r="BG146" s="896"/>
      <c r="BH146" s="896"/>
      <c r="BI146" s="896"/>
      <c r="BJ146" s="896"/>
      <c r="BK146" s="896"/>
      <c r="BL146" s="896"/>
      <c r="BM146" s="896"/>
      <c r="BN146" s="896"/>
      <c r="BO146" s="896"/>
      <c r="BP146" s="896"/>
      <c r="BQ146" s="896"/>
      <c r="BR146" s="896"/>
      <c r="BS146" s="896"/>
      <c r="BT146" s="896"/>
      <c r="BU146" s="896"/>
      <c r="BV146" s="896"/>
      <c r="BW146" s="896"/>
      <c r="BX146" s="896"/>
      <c r="BY146" s="896"/>
      <c r="BZ146" s="896"/>
      <c r="CA146" s="896"/>
      <c r="CB146" s="896"/>
      <c r="CC146" s="896"/>
      <c r="CD146" s="896"/>
      <c r="CE146" s="896"/>
      <c r="CF146" s="896"/>
      <c r="CG146" s="896"/>
      <c r="CH146" s="896"/>
      <c r="CI146" s="896"/>
      <c r="CJ146" s="896"/>
      <c r="CK146" s="896"/>
      <c r="CL146" s="896"/>
      <c r="CM146" s="896"/>
      <c r="CN146" s="896"/>
      <c r="CO146" s="896"/>
      <c r="CP146" s="896"/>
      <c r="CQ146" s="896"/>
      <c r="CR146" s="896"/>
      <c r="CS146" s="896"/>
      <c r="CT146" s="896"/>
      <c r="CU146" s="896"/>
      <c r="CV146" s="896"/>
      <c r="CW146" s="896"/>
      <c r="CX146" s="896"/>
      <c r="CY146" s="896"/>
      <c r="CZ146" s="896"/>
      <c r="DA146" s="896"/>
      <c r="DB146" s="896"/>
      <c r="DC146" s="896"/>
      <c r="DD146" s="896"/>
      <c r="DE146" s="896"/>
      <c r="DF146" s="896"/>
      <c r="DG146" s="896"/>
      <c r="DH146" s="896"/>
      <c r="DI146" s="896"/>
      <c r="DJ146" s="896"/>
      <c r="DK146" s="896"/>
      <c r="DL146" s="896"/>
      <c r="DM146" s="896"/>
      <c r="DN146" s="896"/>
      <c r="DO146" s="896"/>
      <c r="DP146" s="896"/>
      <c r="DQ146" s="896"/>
      <c r="DR146" s="896"/>
      <c r="DS146" s="896"/>
      <c r="DT146" s="896"/>
      <c r="DU146" s="896"/>
      <c r="DV146" s="896"/>
      <c r="DW146" s="896"/>
      <c r="DX146" s="896"/>
      <c r="DY146" s="896"/>
      <c r="DZ146" s="896"/>
      <c r="EA146" s="896"/>
      <c r="EB146" s="896"/>
      <c r="EC146" s="896"/>
      <c r="ED146" s="896"/>
      <c r="EE146" s="896"/>
      <c r="EF146" s="896"/>
      <c r="EG146" s="896"/>
      <c r="EH146" s="896"/>
      <c r="EI146" s="896"/>
      <c r="EJ146" s="896"/>
      <c r="EK146" s="896"/>
      <c r="EL146" s="896"/>
    </row>
    <row r="147" spans="1:142">
      <c r="A147" s="896"/>
      <c r="B147" s="896"/>
      <c r="C147" s="896"/>
      <c r="D147" s="896"/>
      <c r="E147" s="896"/>
      <c r="F147" s="896"/>
      <c r="G147" s="896"/>
      <c r="H147" s="896"/>
      <c r="I147" s="896"/>
      <c r="J147" s="896"/>
      <c r="K147" s="896"/>
      <c r="L147" s="896"/>
      <c r="M147" s="896"/>
      <c r="N147" s="896"/>
      <c r="O147" s="896"/>
      <c r="P147" s="896"/>
      <c r="Q147" s="896"/>
      <c r="R147" s="896"/>
      <c r="S147" s="896"/>
      <c r="T147" s="896"/>
      <c r="U147" s="896"/>
      <c r="V147" s="896"/>
      <c r="W147" s="896"/>
      <c r="X147" s="896"/>
      <c r="Y147" s="896"/>
      <c r="Z147" s="896"/>
      <c r="AA147" s="896"/>
      <c r="AB147" s="896"/>
      <c r="AC147" s="896"/>
      <c r="AD147" s="896"/>
      <c r="AE147" s="896"/>
      <c r="AF147" s="896"/>
      <c r="AG147" s="896"/>
      <c r="AH147" s="896"/>
      <c r="AI147" s="896"/>
      <c r="AJ147" s="896"/>
      <c r="AK147" s="896"/>
      <c r="AL147" s="896"/>
      <c r="AM147" s="896"/>
      <c r="AN147" s="896"/>
      <c r="AO147" s="896"/>
      <c r="AP147" s="896"/>
      <c r="AQ147" s="896"/>
      <c r="AR147" s="896"/>
      <c r="AS147" s="896"/>
      <c r="AT147" s="896"/>
      <c r="AU147" s="896"/>
      <c r="AV147" s="896"/>
      <c r="AW147" s="896"/>
      <c r="AX147" s="896"/>
      <c r="AY147" s="896"/>
      <c r="AZ147" s="896"/>
      <c r="BA147" s="896"/>
      <c r="BB147" s="896"/>
      <c r="BC147" s="896"/>
      <c r="BD147" s="896"/>
      <c r="BE147" s="896"/>
      <c r="BF147" s="896"/>
      <c r="BG147" s="896"/>
      <c r="BH147" s="896"/>
      <c r="BI147" s="896"/>
      <c r="BJ147" s="896"/>
      <c r="BK147" s="896"/>
      <c r="BL147" s="896"/>
      <c r="BM147" s="896"/>
      <c r="BN147" s="896"/>
      <c r="BO147" s="896"/>
      <c r="BP147" s="896"/>
      <c r="BQ147" s="896"/>
      <c r="BR147" s="896"/>
      <c r="BS147" s="896"/>
      <c r="BT147" s="896"/>
      <c r="BU147" s="896"/>
      <c r="BV147" s="896"/>
      <c r="BW147" s="896"/>
      <c r="BX147" s="896"/>
      <c r="BY147" s="896"/>
      <c r="BZ147" s="896"/>
      <c r="CA147" s="896"/>
      <c r="CB147" s="896"/>
      <c r="CC147" s="896"/>
      <c r="CD147" s="896"/>
      <c r="CE147" s="896"/>
      <c r="CF147" s="896"/>
      <c r="CG147" s="896"/>
      <c r="CH147" s="896"/>
      <c r="CI147" s="896"/>
      <c r="CJ147" s="896"/>
      <c r="CK147" s="896"/>
      <c r="CL147" s="896"/>
      <c r="CM147" s="896"/>
      <c r="CN147" s="896"/>
      <c r="CO147" s="896"/>
      <c r="CP147" s="896"/>
      <c r="CQ147" s="896"/>
      <c r="CR147" s="896"/>
      <c r="CS147" s="896"/>
      <c r="CT147" s="896"/>
      <c r="CU147" s="896"/>
      <c r="CV147" s="896"/>
      <c r="CW147" s="896"/>
      <c r="CX147" s="896"/>
      <c r="CY147" s="896"/>
      <c r="CZ147" s="896"/>
      <c r="DA147" s="896"/>
      <c r="DB147" s="896"/>
      <c r="DC147" s="896"/>
      <c r="DD147" s="896"/>
      <c r="DE147" s="896"/>
      <c r="DF147" s="896"/>
      <c r="DG147" s="896"/>
      <c r="DH147" s="896"/>
      <c r="DI147" s="896"/>
      <c r="DJ147" s="896"/>
      <c r="DK147" s="896"/>
      <c r="DL147" s="896"/>
      <c r="DM147" s="896"/>
      <c r="DN147" s="896"/>
      <c r="DO147" s="896"/>
      <c r="DP147" s="896"/>
      <c r="DQ147" s="896"/>
      <c r="DR147" s="896"/>
      <c r="DS147" s="896"/>
      <c r="DT147" s="896"/>
      <c r="DU147" s="896"/>
      <c r="DV147" s="896"/>
      <c r="DW147" s="896"/>
      <c r="DX147" s="896"/>
      <c r="DY147" s="896"/>
      <c r="DZ147" s="896"/>
      <c r="EA147" s="896"/>
      <c r="EB147" s="896"/>
      <c r="EC147" s="896"/>
      <c r="ED147" s="896"/>
      <c r="EE147" s="896"/>
      <c r="EF147" s="896"/>
      <c r="EG147" s="896"/>
      <c r="EH147" s="896"/>
      <c r="EI147" s="896"/>
      <c r="EJ147" s="896"/>
      <c r="EK147" s="896"/>
      <c r="EL147" s="896"/>
    </row>
    <row r="148" spans="1:142">
      <c r="A148" s="896"/>
      <c r="B148" s="896"/>
      <c r="C148" s="896"/>
      <c r="D148" s="896"/>
      <c r="E148" s="896"/>
      <c r="F148" s="896"/>
      <c r="G148" s="896"/>
      <c r="H148" s="896"/>
      <c r="I148" s="896"/>
      <c r="J148" s="896"/>
      <c r="K148" s="896"/>
      <c r="L148" s="896"/>
      <c r="M148" s="896"/>
      <c r="N148" s="896"/>
      <c r="O148" s="896"/>
      <c r="P148" s="896"/>
      <c r="Q148" s="896"/>
      <c r="R148" s="896"/>
      <c r="S148" s="896"/>
      <c r="T148" s="896"/>
      <c r="U148" s="896"/>
      <c r="V148" s="896"/>
      <c r="W148" s="896"/>
      <c r="X148" s="896"/>
      <c r="Y148" s="896"/>
      <c r="Z148" s="896"/>
      <c r="AA148" s="896"/>
      <c r="AB148" s="896"/>
      <c r="AC148" s="896"/>
      <c r="AD148" s="896"/>
      <c r="AE148" s="896"/>
      <c r="AF148" s="896"/>
      <c r="AG148" s="896"/>
      <c r="AH148" s="896"/>
      <c r="AI148" s="896"/>
      <c r="AJ148" s="896"/>
      <c r="AK148" s="896"/>
      <c r="AL148" s="896"/>
      <c r="AM148" s="896"/>
      <c r="AN148" s="896"/>
      <c r="AO148" s="896"/>
      <c r="AP148" s="896"/>
      <c r="AQ148" s="896"/>
      <c r="AR148" s="896"/>
      <c r="AS148" s="896"/>
      <c r="AT148" s="896"/>
      <c r="AU148" s="896"/>
      <c r="AV148" s="896"/>
      <c r="AW148" s="896"/>
      <c r="AX148" s="896"/>
      <c r="AY148" s="896"/>
      <c r="AZ148" s="896"/>
      <c r="BA148" s="896"/>
      <c r="BB148" s="896"/>
      <c r="BC148" s="896"/>
      <c r="BD148" s="896"/>
      <c r="BE148" s="896"/>
      <c r="BF148" s="896"/>
      <c r="BG148" s="896"/>
      <c r="BH148" s="896"/>
      <c r="BI148" s="896"/>
      <c r="BJ148" s="896"/>
      <c r="BK148" s="896"/>
      <c r="BL148" s="896"/>
      <c r="BM148" s="896"/>
      <c r="BN148" s="896"/>
      <c r="BO148" s="896"/>
      <c r="BP148" s="896"/>
      <c r="BQ148" s="896"/>
      <c r="BR148" s="896"/>
      <c r="BS148" s="896"/>
      <c r="BT148" s="896"/>
      <c r="BU148" s="896"/>
      <c r="BV148" s="896"/>
      <c r="BW148" s="896"/>
      <c r="BX148" s="896"/>
      <c r="BY148" s="896"/>
      <c r="BZ148" s="896"/>
      <c r="CA148" s="896"/>
      <c r="CB148" s="896"/>
      <c r="CC148" s="896"/>
      <c r="CD148" s="896"/>
      <c r="CE148" s="896"/>
      <c r="CF148" s="896"/>
      <c r="CG148" s="896"/>
      <c r="CH148" s="896"/>
      <c r="CI148" s="896"/>
      <c r="CJ148" s="896"/>
      <c r="CK148" s="896"/>
      <c r="CL148" s="896"/>
      <c r="CM148" s="896"/>
      <c r="CN148" s="896"/>
      <c r="CO148" s="896"/>
      <c r="CP148" s="896"/>
      <c r="CQ148" s="896"/>
      <c r="CR148" s="896"/>
      <c r="CS148" s="896"/>
      <c r="CT148" s="896"/>
      <c r="CU148" s="896"/>
      <c r="CV148" s="896"/>
      <c r="CW148" s="896"/>
      <c r="CX148" s="896"/>
      <c r="CY148" s="896"/>
      <c r="CZ148" s="896"/>
      <c r="DA148" s="896"/>
      <c r="DB148" s="896"/>
      <c r="DC148" s="896"/>
      <c r="DD148" s="896"/>
      <c r="DE148" s="896"/>
      <c r="DF148" s="896"/>
      <c r="DG148" s="896"/>
      <c r="DH148" s="896"/>
      <c r="DI148" s="896"/>
      <c r="DJ148" s="896"/>
      <c r="DK148" s="896"/>
      <c r="DL148" s="896"/>
      <c r="DM148" s="896"/>
      <c r="DN148" s="896"/>
      <c r="DO148" s="896"/>
      <c r="DP148" s="896"/>
      <c r="DQ148" s="896"/>
      <c r="DR148" s="896"/>
      <c r="DS148" s="896"/>
      <c r="DT148" s="896"/>
      <c r="DU148" s="896"/>
      <c r="DV148" s="896"/>
      <c r="DW148" s="896"/>
      <c r="DX148" s="896"/>
      <c r="DY148" s="896"/>
      <c r="DZ148" s="896"/>
      <c r="EA148" s="896"/>
      <c r="EB148" s="896"/>
      <c r="EC148" s="896"/>
      <c r="ED148" s="896"/>
      <c r="EE148" s="896"/>
      <c r="EF148" s="896"/>
      <c r="EG148" s="896"/>
      <c r="EH148" s="896"/>
      <c r="EI148" s="896"/>
      <c r="EJ148" s="896"/>
      <c r="EK148" s="896"/>
      <c r="EL148" s="896"/>
    </row>
    <row r="149" spans="1:142">
      <c r="A149" s="896"/>
      <c r="B149" s="896"/>
      <c r="C149" s="896"/>
      <c r="D149" s="896"/>
      <c r="E149" s="896"/>
      <c r="F149" s="896"/>
      <c r="G149" s="896"/>
      <c r="H149" s="896"/>
      <c r="I149" s="896"/>
      <c r="J149" s="896"/>
      <c r="K149" s="896"/>
      <c r="L149" s="896"/>
      <c r="M149" s="896"/>
      <c r="N149" s="896"/>
      <c r="O149" s="896"/>
      <c r="P149" s="896"/>
      <c r="Q149" s="896"/>
      <c r="R149" s="896"/>
      <c r="S149" s="896"/>
      <c r="T149" s="896"/>
      <c r="U149" s="896"/>
      <c r="V149" s="896"/>
      <c r="W149" s="896"/>
      <c r="X149" s="896"/>
      <c r="Y149" s="896"/>
      <c r="Z149" s="896"/>
      <c r="AA149" s="896"/>
      <c r="AB149" s="896"/>
      <c r="AC149" s="896"/>
      <c r="AD149" s="896"/>
      <c r="AE149" s="896"/>
      <c r="AF149" s="896"/>
      <c r="AG149" s="896"/>
      <c r="AH149" s="896"/>
      <c r="AI149" s="896"/>
      <c r="AJ149" s="896"/>
      <c r="AK149" s="896"/>
      <c r="AL149" s="896"/>
      <c r="AM149" s="896"/>
      <c r="AN149" s="896"/>
      <c r="AO149" s="896"/>
      <c r="AP149" s="896"/>
      <c r="AQ149" s="896"/>
      <c r="AR149" s="896"/>
      <c r="AS149" s="896"/>
      <c r="AT149" s="896"/>
      <c r="AU149" s="896"/>
      <c r="AV149" s="896"/>
      <c r="AW149" s="896"/>
      <c r="AX149" s="896"/>
      <c r="AY149" s="896"/>
      <c r="AZ149" s="896"/>
      <c r="BA149" s="896"/>
      <c r="BB149" s="896"/>
      <c r="BC149" s="896"/>
      <c r="BD149" s="896"/>
      <c r="BE149" s="896"/>
      <c r="BF149" s="896"/>
      <c r="BG149" s="896"/>
      <c r="BH149" s="896"/>
      <c r="BI149" s="896"/>
      <c r="BJ149" s="896"/>
      <c r="BK149" s="896"/>
      <c r="BL149" s="896"/>
      <c r="BM149" s="896"/>
      <c r="BN149" s="896"/>
      <c r="BO149" s="896"/>
      <c r="BP149" s="896"/>
      <c r="BQ149" s="896"/>
      <c r="BR149" s="896"/>
      <c r="BS149" s="896"/>
      <c r="BT149" s="896"/>
      <c r="BU149" s="896"/>
      <c r="BV149" s="896"/>
      <c r="BW149" s="896"/>
      <c r="BX149" s="896"/>
      <c r="BY149" s="896"/>
      <c r="BZ149" s="896"/>
      <c r="CA149" s="896"/>
      <c r="CB149" s="896"/>
      <c r="CC149" s="896"/>
      <c r="CD149" s="896"/>
      <c r="CE149" s="896"/>
      <c r="CF149" s="896"/>
      <c r="CG149" s="896"/>
      <c r="CH149" s="896"/>
      <c r="CI149" s="896"/>
      <c r="CJ149" s="896"/>
      <c r="CK149" s="896"/>
      <c r="CL149" s="896"/>
      <c r="CM149" s="896"/>
      <c r="CN149" s="896"/>
      <c r="CO149" s="896"/>
      <c r="CP149" s="896"/>
      <c r="CQ149" s="896"/>
      <c r="CR149" s="896"/>
      <c r="CS149" s="896"/>
      <c r="CT149" s="896"/>
      <c r="CU149" s="896"/>
      <c r="CV149" s="896"/>
      <c r="CW149" s="896"/>
      <c r="CX149" s="896"/>
      <c r="CY149" s="896"/>
      <c r="CZ149" s="896"/>
      <c r="DA149" s="896"/>
      <c r="DB149" s="896"/>
      <c r="DC149" s="896"/>
      <c r="DD149" s="896"/>
      <c r="DE149" s="896"/>
      <c r="DF149" s="896"/>
      <c r="DG149" s="896"/>
      <c r="DH149" s="896"/>
      <c r="DI149" s="896"/>
      <c r="DJ149" s="896"/>
      <c r="DK149" s="896"/>
      <c r="DL149" s="896"/>
      <c r="DM149" s="896"/>
      <c r="DN149" s="896"/>
      <c r="DO149" s="896"/>
      <c r="DP149" s="896"/>
      <c r="DQ149" s="896"/>
      <c r="DR149" s="896"/>
      <c r="DS149" s="896"/>
      <c r="DT149" s="896"/>
      <c r="DU149" s="896"/>
      <c r="DV149" s="896"/>
      <c r="DW149" s="896"/>
      <c r="DX149" s="896"/>
      <c r="DY149" s="896"/>
      <c r="DZ149" s="896"/>
      <c r="EA149" s="896"/>
      <c r="EB149" s="896"/>
      <c r="EC149" s="896"/>
      <c r="ED149" s="896"/>
      <c r="EE149" s="896"/>
      <c r="EF149" s="896"/>
      <c r="EG149" s="896"/>
      <c r="EH149" s="896"/>
      <c r="EI149" s="896"/>
      <c r="EJ149" s="896"/>
      <c r="EK149" s="896"/>
      <c r="EL149" s="896"/>
    </row>
  </sheetData>
  <phoneticPr fontId="35" type="noConversion"/>
  <pageMargins left="0" right="0" top="0" bottom="0" header="0" footer="0"/>
  <pageSetup paperSize="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JK217"/>
  <sheetViews>
    <sheetView showGridLines="0" zoomScaleNormal="100" zoomScaleSheetLayoutView="100" workbookViewId="0">
      <pane xSplit="2" ySplit="5" topLeftCell="DR6" activePane="bottomRight" state="frozen"/>
      <selection activeCell="DM9" sqref="DM9"/>
      <selection pane="topRight" activeCell="DM9" sqref="DM9"/>
      <selection pane="bottomLeft" activeCell="DM9" sqref="DM9"/>
      <selection pane="bottomRight" activeCell="DR6" sqref="DR6"/>
    </sheetView>
  </sheetViews>
  <sheetFormatPr defaultRowHeight="12.75" outlineLevelRow="1" outlineLevelCol="1"/>
  <cols>
    <col min="1" max="1" width="1.28515625" style="89" customWidth="1" collapsed="1"/>
    <col min="2" max="2" width="35.42578125" style="89" customWidth="1" collapsed="1"/>
    <col min="3" max="3" width="5.28515625" style="89" hidden="1" customWidth="1"/>
    <col min="4" max="46" width="8.7109375" style="89" hidden="1" customWidth="1"/>
    <col min="47" max="47" width="2" style="89" hidden="1" customWidth="1"/>
    <col min="48" max="107" width="8.7109375" style="89" hidden="1" customWidth="1"/>
    <col min="108" max="111" width="8.7109375" style="89" hidden="1" customWidth="1" outlineLevel="1"/>
    <col min="112" max="112" width="8.7109375" style="89" hidden="1" customWidth="1" collapsed="1"/>
    <col min="113" max="116" width="8.7109375" style="89" hidden="1" customWidth="1" outlineLevel="1"/>
    <col min="117" max="117" width="8.7109375" style="89" hidden="1" customWidth="1"/>
    <col min="118" max="121" width="8.7109375" style="89" hidden="1" customWidth="1" outlineLevel="1"/>
    <col min="122" max="122" width="8.7109375" style="89" customWidth="1" collapsed="1"/>
    <col min="123" max="126" width="8.7109375" style="89" hidden="1" customWidth="1" outlineLevel="1"/>
    <col min="127" max="127" width="8.7109375" style="89" customWidth="1" collapsed="1"/>
    <col min="128" max="131" width="8.7109375" style="89" customWidth="1" outlineLevel="1"/>
    <col min="132" max="132" width="7.7109375" style="89" customWidth="1"/>
    <col min="133" max="136" width="8.7109375" style="89" customWidth="1" outlineLevel="1"/>
    <col min="137" max="137" width="8.7109375" style="89" customWidth="1"/>
    <col min="138" max="141" width="8.7109375" style="89" hidden="1" customWidth="1" outlineLevel="1"/>
    <col min="142" max="142" width="8.7109375" style="89" customWidth="1" collapsed="1"/>
    <col min="143" max="143" width="9.28515625" style="89" customWidth="1"/>
    <col min="144" max="144" width="20.28515625" hidden="1" customWidth="1" outlineLevel="1"/>
    <col min="145" max="145" width="9.140625" hidden="1" customWidth="1" outlineLevel="1"/>
    <col min="146" max="146" width="3.42578125" hidden="1" customWidth="1" outlineLevel="1"/>
    <col min="147" max="149" width="9.140625" hidden="1" customWidth="1" outlineLevel="1"/>
    <col min="150" max="150" width="9.140625" style="89" collapsed="1"/>
    <col min="151" max="16384" width="9.140625" style="89"/>
  </cols>
  <sheetData>
    <row r="1" spans="1:268" s="2" customFormat="1" ht="15.75">
      <c r="A1" s="626" t="s">
        <v>331</v>
      </c>
      <c r="B1" s="627"/>
      <c r="C1" s="628"/>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8"/>
      <c r="AI1" s="628"/>
      <c r="AJ1" s="628"/>
      <c r="AK1" s="640"/>
      <c r="AL1" s="628"/>
      <c r="AM1" s="628"/>
      <c r="AN1" s="628"/>
      <c r="AO1" s="628"/>
      <c r="AP1" s="628"/>
      <c r="AQ1" s="641"/>
      <c r="AR1" s="640"/>
      <c r="AS1" s="628"/>
      <c r="AT1" s="628"/>
      <c r="AU1" s="628"/>
      <c r="AV1" s="628"/>
      <c r="AW1" s="628"/>
      <c r="AX1" s="628"/>
      <c r="AY1" s="628"/>
      <c r="AZ1" s="628"/>
      <c r="BA1" s="628"/>
      <c r="BB1" s="628"/>
      <c r="BC1" s="628"/>
      <c r="BD1" s="628"/>
      <c r="BE1" s="628"/>
      <c r="BF1" s="628"/>
      <c r="BG1" s="628"/>
      <c r="BH1" s="628"/>
      <c r="BI1" s="628"/>
      <c r="BJ1" s="628"/>
      <c r="BK1" s="628"/>
      <c r="BL1" s="628"/>
      <c r="BM1" s="628"/>
      <c r="BN1" s="642"/>
      <c r="BO1" s="643"/>
      <c r="BP1" s="643"/>
      <c r="BQ1" s="643"/>
      <c r="BR1" s="643"/>
      <c r="BS1" s="642"/>
      <c r="BT1" s="643"/>
      <c r="BU1" s="643"/>
      <c r="BV1" s="643"/>
      <c r="BW1" s="643"/>
      <c r="BX1" s="642"/>
      <c r="BY1" s="644"/>
      <c r="BZ1" s="628"/>
      <c r="CA1" s="643"/>
      <c r="CB1" s="643"/>
      <c r="CC1" s="628"/>
      <c r="CD1" s="628"/>
      <c r="CE1" s="628"/>
      <c r="CF1" s="628"/>
      <c r="CG1" s="628"/>
      <c r="CH1" s="645"/>
      <c r="CI1" s="628"/>
      <c r="CJ1" s="628"/>
      <c r="CK1" s="628"/>
      <c r="CL1" s="628"/>
      <c r="CM1" s="645"/>
      <c r="CN1" s="628"/>
      <c r="CO1" s="628"/>
      <c r="CP1" s="628"/>
      <c r="CQ1" s="628"/>
      <c r="CR1" s="628"/>
      <c r="CS1" s="628"/>
      <c r="CT1" s="628"/>
      <c r="CU1" s="628"/>
      <c r="CV1" s="628"/>
      <c r="CW1" s="628"/>
      <c r="CX1" s="628"/>
      <c r="CY1" s="628"/>
      <c r="CZ1" s="628"/>
      <c r="DA1" s="628"/>
      <c r="DB1" s="628"/>
      <c r="DC1" s="628"/>
      <c r="DD1" s="628"/>
      <c r="DE1" s="628"/>
      <c r="DF1" s="628"/>
      <c r="DG1" s="628"/>
      <c r="DH1" s="628"/>
      <c r="DI1" s="628"/>
      <c r="DJ1" s="628"/>
      <c r="DK1" s="655"/>
      <c r="DL1" s="628"/>
      <c r="DM1" s="628"/>
      <c r="DN1" s="628"/>
      <c r="DO1" s="628"/>
      <c r="DP1" s="628"/>
      <c r="DQ1" s="628"/>
      <c r="DR1" s="628"/>
      <c r="DS1" s="628"/>
      <c r="DT1" s="628"/>
      <c r="DU1" s="628"/>
      <c r="DV1" s="628"/>
      <c r="DW1" s="628"/>
      <c r="DX1" s="628"/>
      <c r="DY1" s="628"/>
      <c r="DZ1" s="628"/>
      <c r="EA1" s="628"/>
      <c r="EB1" s="628"/>
      <c r="EC1" s="628"/>
      <c r="ED1" s="628"/>
      <c r="EE1" s="628"/>
      <c r="EF1" s="628"/>
      <c r="EG1" s="655"/>
      <c r="EH1" s="628"/>
      <c r="EI1" s="628"/>
      <c r="EJ1" s="628"/>
      <c r="EK1" s="628"/>
      <c r="EL1" s="655"/>
      <c r="EN1"/>
      <c r="EO1"/>
      <c r="EP1"/>
      <c r="EQ1"/>
      <c r="ER1"/>
      <c r="ES1"/>
      <c r="ET1" s="135"/>
      <c r="EU1" s="135"/>
      <c r="EV1" s="135"/>
      <c r="EW1" s="135"/>
      <c r="EX1" s="135"/>
      <c r="EY1" s="135"/>
      <c r="EZ1" s="135"/>
      <c r="FA1" s="135"/>
      <c r="FB1" s="135"/>
      <c r="FC1" s="135"/>
      <c r="FD1" s="135"/>
      <c r="FE1" s="135"/>
      <c r="FF1" s="135"/>
      <c r="FG1" s="135"/>
      <c r="FH1" s="135"/>
      <c r="FI1" s="135"/>
      <c r="FJ1" s="135"/>
      <c r="FK1" s="135"/>
      <c r="FL1" s="135"/>
      <c r="FM1" s="135"/>
      <c r="FN1" s="135"/>
      <c r="FO1" s="135"/>
      <c r="FP1" s="135"/>
      <c r="FQ1" s="135"/>
      <c r="FR1" s="135"/>
      <c r="FS1" s="135"/>
      <c r="FT1" s="135"/>
      <c r="FU1" s="135"/>
      <c r="FV1" s="135"/>
      <c r="FW1" s="135"/>
      <c r="FX1" s="135"/>
      <c r="FY1" s="135"/>
      <c r="FZ1" s="135"/>
      <c r="GA1" s="135"/>
      <c r="GB1" s="135"/>
      <c r="GC1" s="135"/>
      <c r="GD1" s="135"/>
      <c r="GE1" s="135"/>
      <c r="GF1" s="135"/>
      <c r="GG1" s="135"/>
      <c r="GH1" s="135"/>
      <c r="GI1" s="135"/>
      <c r="GJ1" s="135"/>
      <c r="GK1" s="135"/>
      <c r="GL1" s="135"/>
      <c r="GM1" s="135"/>
      <c r="GN1" s="135"/>
      <c r="GO1" s="135"/>
      <c r="GP1" s="135"/>
      <c r="GQ1" s="135"/>
      <c r="GR1" s="135"/>
      <c r="GS1" s="135"/>
      <c r="GT1" s="135"/>
      <c r="GU1" s="135"/>
      <c r="GV1" s="135"/>
      <c r="GW1" s="135"/>
      <c r="GX1" s="135"/>
      <c r="GY1" s="135"/>
      <c r="GZ1" s="135"/>
      <c r="HA1" s="135"/>
      <c r="HB1" s="135"/>
      <c r="HC1" s="135"/>
      <c r="HD1" s="135"/>
      <c r="HE1" s="135"/>
      <c r="HF1" s="135"/>
      <c r="HG1" s="135"/>
      <c r="HH1" s="135"/>
      <c r="HI1" s="135"/>
      <c r="HJ1" s="135"/>
      <c r="HK1" s="135"/>
      <c r="HL1" s="135"/>
      <c r="HM1" s="135"/>
      <c r="HN1" s="135"/>
      <c r="HO1" s="135"/>
      <c r="HP1" s="135"/>
      <c r="HQ1" s="135"/>
      <c r="HR1" s="135"/>
      <c r="HS1" s="135"/>
      <c r="HT1" s="135"/>
      <c r="HU1" s="135"/>
      <c r="HV1" s="135"/>
      <c r="HW1" s="135"/>
      <c r="HX1" s="135"/>
      <c r="HY1" s="135"/>
      <c r="HZ1" s="135"/>
      <c r="IA1" s="135"/>
      <c r="IB1" s="135"/>
      <c r="IC1" s="135"/>
      <c r="ID1" s="135"/>
      <c r="IE1" s="135"/>
      <c r="IF1" s="135"/>
      <c r="IG1" s="135"/>
      <c r="IH1" s="135"/>
      <c r="II1" s="135"/>
      <c r="IJ1" s="135"/>
      <c r="IK1" s="135"/>
      <c r="IL1" s="135"/>
      <c r="IM1" s="135"/>
      <c r="IN1" s="135"/>
      <c r="IO1" s="135"/>
      <c r="IP1" s="135"/>
      <c r="IQ1" s="135"/>
      <c r="IR1" s="135"/>
      <c r="IS1" s="135"/>
      <c r="IT1" s="135"/>
      <c r="IU1" s="135"/>
      <c r="IV1" s="135"/>
      <c r="IW1" s="135"/>
      <c r="IX1" s="135"/>
      <c r="IY1" s="135"/>
      <c r="IZ1" s="135"/>
      <c r="JA1" s="135"/>
      <c r="JB1" s="135"/>
      <c r="JC1" s="135"/>
      <c r="JD1" s="135"/>
      <c r="JE1" s="135"/>
      <c r="JF1" s="135"/>
      <c r="JG1" s="135"/>
      <c r="JH1" s="135"/>
    </row>
    <row r="2" spans="1:268" s="2" customFormat="1">
      <c r="A2" s="633" t="s">
        <v>526</v>
      </c>
      <c r="B2" s="634"/>
      <c r="C2" s="656"/>
      <c r="D2" s="656"/>
      <c r="E2" s="646"/>
      <c r="F2" s="646"/>
      <c r="G2" s="646"/>
      <c r="H2" s="646"/>
      <c r="I2" s="646"/>
      <c r="J2" s="646"/>
      <c r="K2" s="646"/>
      <c r="L2" s="646"/>
      <c r="M2" s="646"/>
      <c r="N2" s="646"/>
      <c r="O2" s="646"/>
      <c r="P2" s="646"/>
      <c r="Q2" s="646"/>
      <c r="R2" s="646"/>
      <c r="S2" s="646"/>
      <c r="T2" s="646"/>
      <c r="U2" s="646"/>
      <c r="V2" s="646"/>
      <c r="W2" s="646"/>
      <c r="X2" s="646"/>
      <c r="Y2" s="646"/>
      <c r="Z2" s="646"/>
      <c r="AA2" s="646"/>
      <c r="AB2" s="646"/>
      <c r="AC2" s="646"/>
      <c r="AD2" s="646"/>
      <c r="AE2" s="646"/>
      <c r="AF2" s="646"/>
      <c r="AG2" s="646"/>
      <c r="AH2" s="646"/>
      <c r="AI2" s="646"/>
      <c r="AJ2" s="646"/>
      <c r="AK2" s="646"/>
      <c r="AL2" s="646"/>
      <c r="AM2" s="646"/>
      <c r="AN2" s="646"/>
      <c r="AO2" s="646"/>
      <c r="AP2" s="646"/>
      <c r="AQ2" s="646"/>
      <c r="AR2" s="646"/>
      <c r="AS2" s="646"/>
      <c r="AT2" s="646"/>
      <c r="AU2" s="646"/>
      <c r="AV2" s="646"/>
      <c r="AW2" s="646"/>
      <c r="AX2" s="646"/>
      <c r="AY2" s="646"/>
      <c r="AZ2" s="646"/>
      <c r="BA2" s="646"/>
      <c r="BB2" s="646"/>
      <c r="BC2" s="646"/>
      <c r="BD2" s="646"/>
      <c r="BE2" s="646"/>
      <c r="BF2" s="646"/>
      <c r="BG2" s="646"/>
      <c r="BH2" s="646"/>
      <c r="BI2" s="646"/>
      <c r="BJ2" s="646"/>
      <c r="BK2" s="646"/>
      <c r="BL2" s="646"/>
      <c r="BM2" s="646"/>
      <c r="BN2" s="646"/>
      <c r="BO2" s="646"/>
      <c r="BP2" s="646"/>
      <c r="BQ2" s="646"/>
      <c r="BR2" s="646"/>
      <c r="BS2" s="646"/>
      <c r="BT2" s="646"/>
      <c r="BU2" s="646"/>
      <c r="BV2" s="646"/>
      <c r="BW2" s="646"/>
      <c r="BX2" s="647"/>
      <c r="BY2" s="646"/>
      <c r="BZ2" s="646"/>
      <c r="CA2" s="647"/>
      <c r="CB2" s="624"/>
      <c r="CC2" s="624"/>
      <c r="CD2" s="648"/>
      <c r="CE2" s="646"/>
      <c r="CF2" s="646"/>
      <c r="CG2" s="646"/>
      <c r="CH2" s="646"/>
      <c r="CI2" s="624"/>
      <c r="CJ2" s="646"/>
      <c r="CK2" s="646"/>
      <c r="CL2" s="646"/>
      <c r="CM2" s="646"/>
      <c r="CN2" s="624"/>
      <c r="CO2" s="646"/>
      <c r="CP2" s="646"/>
      <c r="CQ2" s="646"/>
      <c r="CR2" s="646"/>
      <c r="CS2" s="646"/>
      <c r="CT2" s="646"/>
      <c r="CU2" s="646"/>
      <c r="CV2" s="646"/>
      <c r="CW2" s="646"/>
      <c r="CX2" s="646"/>
      <c r="CY2" s="646"/>
      <c r="CZ2" s="646"/>
      <c r="DA2" s="646"/>
      <c r="DB2" s="646"/>
      <c r="DC2" s="646"/>
      <c r="DD2" s="646"/>
      <c r="DE2" s="646"/>
      <c r="DF2" s="646"/>
      <c r="DG2" s="646"/>
      <c r="DH2" s="646"/>
      <c r="DI2" s="646"/>
      <c r="DJ2" s="646"/>
      <c r="DK2" s="646"/>
      <c r="DL2" s="646"/>
      <c r="DM2" s="646"/>
      <c r="DN2" s="646"/>
      <c r="DO2" s="646"/>
      <c r="DP2" s="646"/>
      <c r="DQ2" s="646"/>
      <c r="DR2" s="646"/>
      <c r="DS2" s="624"/>
      <c r="DT2" s="646"/>
      <c r="DU2" s="646"/>
      <c r="DV2" s="646"/>
      <c r="DW2" s="646"/>
      <c r="DX2" s="624"/>
      <c r="DY2" s="646"/>
      <c r="DZ2" s="646"/>
      <c r="EA2" s="646"/>
      <c r="EB2" s="646"/>
      <c r="EC2" s="624"/>
      <c r="ED2" s="646"/>
      <c r="EE2" s="646"/>
      <c r="EF2" s="646"/>
      <c r="EG2" s="646"/>
      <c r="EH2" s="624"/>
      <c r="EI2" s="646"/>
      <c r="EJ2" s="646"/>
      <c r="EK2" s="646"/>
      <c r="EL2" s="646"/>
      <c r="EN2"/>
      <c r="EO2"/>
      <c r="EP2"/>
      <c r="EQ2"/>
      <c r="ER2"/>
      <c r="ES2"/>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row>
    <row r="3" spans="1:268" s="142" customFormat="1" ht="12" hidden="1" customHeight="1">
      <c r="A3" s="136"/>
      <c r="B3" s="568" t="s">
        <v>657</v>
      </c>
      <c r="C3" s="138"/>
      <c r="D3" s="138">
        <v>34577</v>
      </c>
      <c r="E3" s="138">
        <v>34668</v>
      </c>
      <c r="F3" s="138">
        <v>34758</v>
      </c>
      <c r="G3" s="138">
        <v>34850</v>
      </c>
      <c r="H3" s="138"/>
      <c r="I3" s="138">
        <v>34942</v>
      </c>
      <c r="J3" s="138">
        <v>35033</v>
      </c>
      <c r="K3" s="138">
        <v>35123</v>
      </c>
      <c r="L3" s="138">
        <v>35216</v>
      </c>
      <c r="M3" s="138"/>
      <c r="N3" s="138">
        <v>35308</v>
      </c>
      <c r="O3" s="138">
        <v>35399</v>
      </c>
      <c r="P3" s="138">
        <v>35489</v>
      </c>
      <c r="Q3" s="138">
        <v>35581</v>
      </c>
      <c r="R3" s="138"/>
      <c r="S3" s="138">
        <v>35673</v>
      </c>
      <c r="T3" s="138">
        <v>35764</v>
      </c>
      <c r="U3" s="138">
        <v>35854</v>
      </c>
      <c r="V3" s="138">
        <v>35946</v>
      </c>
      <c r="W3" s="138"/>
      <c r="X3" s="138">
        <v>36038</v>
      </c>
      <c r="Y3" s="138">
        <v>36129</v>
      </c>
      <c r="Z3" s="138">
        <v>36219</v>
      </c>
      <c r="AA3" s="138">
        <v>36311</v>
      </c>
      <c r="AB3" s="138"/>
      <c r="AC3" s="138">
        <f>IS!AC$3</f>
        <v>36403</v>
      </c>
      <c r="AD3" s="138">
        <f>IS!AD$3</f>
        <v>36494</v>
      </c>
      <c r="AE3" s="138">
        <f>IS!AE$3</f>
        <v>36584</v>
      </c>
      <c r="AF3" s="138">
        <f>IS!AF$3</f>
        <v>36677</v>
      </c>
      <c r="AG3" s="138"/>
      <c r="AH3" s="138">
        <f>IS!AH$3</f>
        <v>36769</v>
      </c>
      <c r="AI3" s="138">
        <f>IS!AI$3</f>
        <v>36860</v>
      </c>
      <c r="AJ3" s="138">
        <f>IS!AJ$3</f>
        <v>36950</v>
      </c>
      <c r="AK3" s="138">
        <f>IS!AK$3</f>
        <v>37042</v>
      </c>
      <c r="AL3" s="138"/>
      <c r="AM3" s="138">
        <f>IS!AM$3</f>
        <v>37134</v>
      </c>
      <c r="AN3" s="138">
        <f>IS!AN$3</f>
        <v>37225</v>
      </c>
      <c r="AO3" s="138">
        <f>IS!AO$3</f>
        <v>37315</v>
      </c>
      <c r="AP3" s="138">
        <f>IS!AP$3</f>
        <v>37407</v>
      </c>
      <c r="AQ3" s="138"/>
      <c r="AR3" s="138">
        <f>IS!AR$3</f>
        <v>37499</v>
      </c>
      <c r="AS3" s="138">
        <f>IS!AS$3</f>
        <v>37590</v>
      </c>
      <c r="AT3" s="138">
        <f>IS!AT$3</f>
        <v>37680</v>
      </c>
      <c r="AU3" s="582"/>
      <c r="AV3" s="138">
        <f>IS!AV$3</f>
        <v>37346</v>
      </c>
      <c r="AW3" s="138">
        <f>IS!AW$3</f>
        <v>37437</v>
      </c>
      <c r="AX3" s="138">
        <f>IS!AX$3</f>
        <v>37529</v>
      </c>
      <c r="AY3" s="138">
        <f>IS!AY$3</f>
        <v>37621</v>
      </c>
      <c r="AZ3" s="590"/>
      <c r="BA3" s="138">
        <f>IS!BA$3</f>
        <v>37711</v>
      </c>
      <c r="BB3" s="138">
        <f>IS!BB$3</f>
        <v>37802</v>
      </c>
      <c r="BC3" s="138">
        <f>IS!BC$3</f>
        <v>37894</v>
      </c>
      <c r="BD3" s="138">
        <f>IS!BD$3</f>
        <v>37986</v>
      </c>
      <c r="BE3" s="590"/>
      <c r="BF3" s="138">
        <f>IS!BF$3</f>
        <v>38077</v>
      </c>
      <c r="BG3" s="138">
        <f>IS!BG$3</f>
        <v>38168</v>
      </c>
      <c r="BH3" s="138">
        <f>IS!BH$3</f>
        <v>38260</v>
      </c>
      <c r="BI3" s="138">
        <f>IS!BI$3</f>
        <v>38352</v>
      </c>
      <c r="BJ3" s="590"/>
      <c r="BK3" s="138">
        <f>IS!BK$3</f>
        <v>38442</v>
      </c>
      <c r="BL3" s="138">
        <f>IS!BL$3</f>
        <v>38533</v>
      </c>
      <c r="BM3" s="138">
        <f>IS!BM$3</f>
        <v>38625</v>
      </c>
      <c r="BN3" s="138">
        <f>IS!BN$3</f>
        <v>38717</v>
      </c>
      <c r="BO3" s="590"/>
      <c r="BP3" s="138">
        <f>IS!BP$3</f>
        <v>38807</v>
      </c>
      <c r="BQ3" s="138">
        <f>IS!BQ$3</f>
        <v>38898</v>
      </c>
      <c r="BR3" s="138">
        <f>IS!BR$3</f>
        <v>38990</v>
      </c>
      <c r="BS3" s="138">
        <f>IS!BS$3</f>
        <v>39082</v>
      </c>
      <c r="BT3" s="590"/>
      <c r="BU3" s="138">
        <f>IS!BU$3</f>
        <v>39172</v>
      </c>
      <c r="BV3" s="138">
        <f>IS!BV$3</f>
        <v>39263</v>
      </c>
      <c r="BW3" s="138">
        <f>IS!BW$3</f>
        <v>39355</v>
      </c>
      <c r="BX3" s="138">
        <f>IS!BX$3</f>
        <v>39447</v>
      </c>
      <c r="BY3" s="590"/>
      <c r="BZ3" s="138">
        <f>IS!BZ$3</f>
        <v>39538</v>
      </c>
      <c r="CA3" s="138">
        <f>IS!CA$3</f>
        <v>39629</v>
      </c>
      <c r="CB3" s="138">
        <f>IS!CB$3</f>
        <v>39721</v>
      </c>
      <c r="CC3" s="138">
        <f>IS!CC$3</f>
        <v>39813</v>
      </c>
      <c r="CD3" s="590"/>
      <c r="CE3" s="138">
        <f>IS!CE$3</f>
        <v>39903</v>
      </c>
      <c r="CF3" s="138">
        <f>IS!CF$3</f>
        <v>39994</v>
      </c>
      <c r="CG3" s="138">
        <f>IS!CG$3</f>
        <v>40086</v>
      </c>
      <c r="CH3" s="138">
        <f>IS!CH$3</f>
        <v>40178</v>
      </c>
      <c r="CI3" s="590"/>
      <c r="CJ3" s="138">
        <f>IS!CJ$3</f>
        <v>40268</v>
      </c>
      <c r="CK3" s="138">
        <f>IS!CK$3</f>
        <v>40359</v>
      </c>
      <c r="CL3" s="138">
        <f>IS!CL$3</f>
        <v>40451</v>
      </c>
      <c r="CM3" s="138">
        <f>IS!CM$3</f>
        <v>40543</v>
      </c>
      <c r="CN3" s="590"/>
      <c r="CO3" s="138">
        <f>IS!CO$3</f>
        <v>40633</v>
      </c>
      <c r="CP3" s="138">
        <f>IS!CP$3</f>
        <v>40724</v>
      </c>
      <c r="CQ3" s="138">
        <f>IS!CQ$3</f>
        <v>40816</v>
      </c>
      <c r="CR3" s="138">
        <f>IS!CR$3</f>
        <v>40908</v>
      </c>
      <c r="CS3" s="590"/>
      <c r="CT3" s="138">
        <f>IS!CT3</f>
        <v>40999</v>
      </c>
      <c r="CU3" s="138">
        <f>IS!CU3</f>
        <v>41090</v>
      </c>
      <c r="CV3" s="138">
        <f>IS!CV3</f>
        <v>41182</v>
      </c>
      <c r="CW3" s="138">
        <f>IS!CW3</f>
        <v>41274</v>
      </c>
      <c r="CX3" s="591"/>
      <c r="CY3" s="138">
        <f>IS!CY3</f>
        <v>41364</v>
      </c>
      <c r="CZ3" s="138">
        <f>IS!CZ3</f>
        <v>41455</v>
      </c>
      <c r="DA3" s="138">
        <f>IS!DA3</f>
        <v>41547</v>
      </c>
      <c r="DB3" s="138">
        <f>IS!DB3</f>
        <v>41639</v>
      </c>
      <c r="DC3" s="592"/>
      <c r="DD3" s="567">
        <f>IS!DD3</f>
        <v>41729</v>
      </c>
      <c r="DE3" s="567">
        <f>IS!DE3</f>
        <v>41820</v>
      </c>
      <c r="DF3" s="567">
        <f>IS!DF3</f>
        <v>41912</v>
      </c>
      <c r="DG3" s="567">
        <f>IS!DG3</f>
        <v>42004</v>
      </c>
      <c r="DH3" s="592"/>
      <c r="DI3" s="567">
        <f>IS!DI3</f>
        <v>42094</v>
      </c>
      <c r="DJ3" s="567">
        <f>IS!DJ3</f>
        <v>42185</v>
      </c>
      <c r="DK3" s="567">
        <f>IS!DK3</f>
        <v>42277</v>
      </c>
      <c r="DL3" s="567">
        <f>IS!DL3</f>
        <v>42369</v>
      </c>
      <c r="DM3" s="592"/>
      <c r="DN3" s="567">
        <f>IS!DN3</f>
        <v>42460</v>
      </c>
      <c r="DO3" s="567">
        <f>IS!DO3</f>
        <v>42551</v>
      </c>
      <c r="DP3" s="567">
        <f>IS!DP3</f>
        <v>42643</v>
      </c>
      <c r="DQ3" s="567">
        <f>IS!DQ3</f>
        <v>42735</v>
      </c>
      <c r="DR3" s="592"/>
      <c r="DS3" s="567">
        <f>IS!DS3</f>
        <v>42825</v>
      </c>
      <c r="DT3" s="567">
        <f>IS!DT3</f>
        <v>42916</v>
      </c>
      <c r="DU3" s="567">
        <f>IS!DU3</f>
        <v>43008</v>
      </c>
      <c r="DV3" s="567">
        <f>IS!DV3</f>
        <v>43100</v>
      </c>
      <c r="DW3" s="592"/>
      <c r="DX3" s="567">
        <f>IS!DX3</f>
        <v>43190</v>
      </c>
      <c r="DY3" s="567">
        <f>IS!DY3</f>
        <v>43281</v>
      </c>
      <c r="DZ3" s="567">
        <f>IS!DZ3</f>
        <v>43373</v>
      </c>
      <c r="EA3" s="567">
        <f>IS!EA3</f>
        <v>43465</v>
      </c>
      <c r="EB3" s="592"/>
      <c r="EC3" s="567">
        <f>IS!EC3</f>
        <v>43555</v>
      </c>
      <c r="ED3" s="567">
        <f>IS!ED3</f>
        <v>43646</v>
      </c>
      <c r="EE3" s="567">
        <f>IS!EE3</f>
        <v>43738</v>
      </c>
      <c r="EF3" s="567">
        <f>IS!EF3</f>
        <v>43830</v>
      </c>
      <c r="EG3" s="592"/>
      <c r="EH3" s="567">
        <f>IS!EH3</f>
        <v>43921</v>
      </c>
      <c r="EI3" s="567">
        <f>IS!EI3</f>
        <v>44012</v>
      </c>
      <c r="EJ3" s="567">
        <f>IS!EJ3</f>
        <v>44104</v>
      </c>
      <c r="EK3" s="567">
        <f>IS!EK3</f>
        <v>44196</v>
      </c>
      <c r="EL3" s="592"/>
      <c r="EM3" s="140"/>
      <c r="EN3"/>
      <c r="EO3"/>
      <c r="EP3"/>
      <c r="EQ3"/>
      <c r="ER3"/>
      <c r="ES3"/>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c r="IW3" s="141"/>
      <c r="IX3" s="141"/>
      <c r="IY3" s="141"/>
      <c r="IZ3" s="141"/>
      <c r="JA3" s="141"/>
      <c r="JB3" s="141"/>
      <c r="JC3" s="141"/>
      <c r="JD3" s="141"/>
      <c r="JE3" s="141"/>
      <c r="JF3" s="141"/>
      <c r="JG3" s="141"/>
      <c r="JH3" s="141"/>
    </row>
    <row r="4" spans="1:268" s="142" customFormat="1" ht="12" customHeight="1">
      <c r="A4" s="586"/>
      <c r="B4" s="587" t="str">
        <f>+B3</f>
        <v>Balance Sheet</v>
      </c>
      <c r="C4" s="588"/>
      <c r="D4" s="588"/>
      <c r="E4" s="588"/>
      <c r="F4" s="588"/>
      <c r="G4" s="588"/>
      <c r="H4" s="588"/>
      <c r="I4" s="588"/>
      <c r="J4" s="588"/>
      <c r="K4" s="588"/>
      <c r="L4" s="588"/>
      <c r="M4" s="588"/>
      <c r="N4" s="588"/>
      <c r="O4" s="588"/>
      <c r="P4" s="588"/>
      <c r="Q4" s="588"/>
      <c r="R4" s="588"/>
      <c r="S4" s="588"/>
      <c r="T4" s="588"/>
      <c r="U4" s="588"/>
      <c r="V4" s="588"/>
      <c r="W4" s="588"/>
      <c r="X4" s="589" t="str">
        <f>+AB5</f>
        <v>F1999A</v>
      </c>
      <c r="Y4" s="589"/>
      <c r="Z4" s="589"/>
      <c r="AA4" s="589"/>
      <c r="AB4" s="589"/>
      <c r="AC4" s="589" t="str">
        <f>+AG5</f>
        <v>F2000A</v>
      </c>
      <c r="AD4" s="589"/>
      <c r="AE4" s="589"/>
      <c r="AF4" s="589"/>
      <c r="AG4" s="589"/>
      <c r="AH4" s="588"/>
      <c r="AI4" s="588"/>
      <c r="AJ4" s="588"/>
      <c r="AK4" s="588"/>
      <c r="AL4" s="588"/>
      <c r="AM4" s="588"/>
      <c r="AN4" s="588"/>
      <c r="AO4" s="588"/>
      <c r="AP4" s="588"/>
      <c r="AQ4" s="588"/>
      <c r="AR4" s="588"/>
      <c r="AS4" s="588"/>
      <c r="AT4" s="588"/>
      <c r="AU4" s="577"/>
      <c r="AV4" s="588"/>
      <c r="AW4" s="588"/>
      <c r="AX4" s="588"/>
      <c r="AY4" s="588"/>
      <c r="AZ4" s="10"/>
      <c r="BA4" s="588"/>
      <c r="BB4" s="588"/>
      <c r="BC4" s="588"/>
      <c r="BD4" s="588"/>
      <c r="BE4" s="10"/>
      <c r="BF4" s="588"/>
      <c r="BG4" s="588"/>
      <c r="BH4" s="588"/>
      <c r="BI4" s="588"/>
      <c r="BJ4" s="10"/>
      <c r="BK4" s="589" t="str">
        <f>+BO5</f>
        <v>2005A</v>
      </c>
      <c r="BL4" s="589"/>
      <c r="BM4" s="589"/>
      <c r="BN4" s="589"/>
      <c r="BO4" s="589"/>
      <c r="BP4" s="589" t="str">
        <f>+BT5</f>
        <v>2006A</v>
      </c>
      <c r="BQ4" s="589"/>
      <c r="BR4" s="589"/>
      <c r="BS4" s="589"/>
      <c r="BT4" s="589"/>
      <c r="BU4" s="589" t="str">
        <f>+BY5</f>
        <v>2007A</v>
      </c>
      <c r="BV4" s="589"/>
      <c r="BW4" s="589"/>
      <c r="BX4" s="589"/>
      <c r="BY4" s="589"/>
      <c r="BZ4" s="589" t="str">
        <f>+CD5</f>
        <v>2008A</v>
      </c>
      <c r="CA4" s="589"/>
      <c r="CB4" s="589"/>
      <c r="CC4" s="589"/>
      <c r="CD4" s="589"/>
      <c r="CE4" s="589" t="str">
        <f>+CI5</f>
        <v>2009A</v>
      </c>
      <c r="CF4" s="589"/>
      <c r="CG4" s="589"/>
      <c r="CH4" s="589"/>
      <c r="CI4" s="589"/>
      <c r="CJ4" s="589" t="str">
        <f>+CN5</f>
        <v>2010A</v>
      </c>
      <c r="CK4" s="589"/>
      <c r="CL4" s="589"/>
      <c r="CM4" s="589"/>
      <c r="CN4" s="589"/>
      <c r="CO4" s="589" t="str">
        <f>+CS5</f>
        <v>2011A</v>
      </c>
      <c r="CP4" s="589"/>
      <c r="CQ4" s="589"/>
      <c r="CR4" s="589"/>
      <c r="CS4" s="589"/>
      <c r="CT4" s="589" t="str">
        <f>+CX5</f>
        <v>2012A</v>
      </c>
      <c r="CU4" s="589"/>
      <c r="CV4" s="589"/>
      <c r="CW4" s="589"/>
      <c r="CX4" s="589"/>
      <c r="CY4" s="589" t="str">
        <f>+DC5</f>
        <v>2013A</v>
      </c>
      <c r="CZ4" s="589"/>
      <c r="DA4" s="589"/>
      <c r="DB4" s="589"/>
      <c r="DC4" s="589"/>
      <c r="DD4" s="589" t="str">
        <f>+DH5</f>
        <v>2014A</v>
      </c>
      <c r="DE4" s="589"/>
      <c r="DF4" s="589"/>
      <c r="DG4" s="589"/>
      <c r="DH4" s="589"/>
      <c r="DI4" s="589" t="str">
        <f>+DM5</f>
        <v>2015A</v>
      </c>
      <c r="DJ4" s="589"/>
      <c r="DK4" s="589"/>
      <c r="DL4" s="589"/>
      <c r="DM4" s="589"/>
      <c r="DN4" s="589"/>
      <c r="DO4" s="589"/>
      <c r="DP4" s="589"/>
      <c r="DQ4" s="589"/>
      <c r="DR4" s="589"/>
      <c r="DS4" s="589"/>
      <c r="DT4" s="589"/>
      <c r="DU4" s="589"/>
      <c r="DV4" s="589"/>
      <c r="DW4" s="589"/>
      <c r="DX4" s="589"/>
      <c r="DY4" s="589"/>
      <c r="DZ4" s="589"/>
      <c r="EA4" s="589"/>
      <c r="EB4" s="589"/>
      <c r="EC4" s="589"/>
      <c r="ED4" s="589"/>
      <c r="EE4" s="589"/>
      <c r="EF4" s="589"/>
      <c r="EG4" s="589"/>
      <c r="EH4" s="589"/>
      <c r="EI4" s="589"/>
      <c r="EJ4" s="589"/>
      <c r="EK4" s="589"/>
      <c r="EL4" s="589"/>
      <c r="EM4" s="140"/>
      <c r="EN4"/>
      <c r="EO4"/>
      <c r="EP4"/>
      <c r="EQ4"/>
      <c r="ER4"/>
      <c r="ES4"/>
      <c r="ET4" s="141"/>
      <c r="EU4" s="141"/>
      <c r="EV4" s="141"/>
      <c r="EW4" s="141"/>
      <c r="EX4" s="141"/>
      <c r="EY4" s="141"/>
      <c r="EZ4" s="141"/>
      <c r="FA4" s="141"/>
      <c r="FB4" s="141"/>
      <c r="FC4" s="141"/>
      <c r="FD4" s="141"/>
      <c r="FE4" s="141"/>
      <c r="FF4" s="141"/>
      <c r="FG4" s="141"/>
      <c r="FH4" s="141"/>
      <c r="FI4" s="141"/>
      <c r="FJ4" s="141"/>
      <c r="FK4" s="141"/>
      <c r="FL4" s="141"/>
      <c r="FM4" s="141"/>
      <c r="FN4" s="141"/>
      <c r="FO4" s="141"/>
      <c r="FP4" s="141"/>
      <c r="FQ4" s="141"/>
      <c r="FR4" s="141"/>
      <c r="FS4" s="141"/>
      <c r="FT4" s="141"/>
      <c r="FU4" s="141"/>
      <c r="FV4" s="141"/>
      <c r="FW4" s="141"/>
      <c r="FX4" s="141"/>
      <c r="FY4" s="141"/>
      <c r="FZ4" s="141"/>
      <c r="GA4" s="141"/>
      <c r="GB4" s="141"/>
      <c r="GC4" s="141"/>
      <c r="GD4" s="141"/>
      <c r="GE4" s="141"/>
      <c r="GF4" s="141"/>
      <c r="GG4" s="141"/>
      <c r="GH4" s="141"/>
      <c r="GI4" s="141"/>
      <c r="GJ4" s="141"/>
      <c r="GK4" s="141"/>
      <c r="GL4" s="141"/>
      <c r="GM4" s="141"/>
      <c r="GN4" s="141"/>
      <c r="GO4" s="141"/>
      <c r="GP4" s="141"/>
      <c r="GQ4" s="141"/>
      <c r="GR4" s="141"/>
      <c r="GS4" s="141"/>
      <c r="GT4" s="141"/>
      <c r="GU4" s="141"/>
      <c r="GV4" s="141"/>
      <c r="GW4" s="141"/>
      <c r="GX4" s="141"/>
      <c r="GY4" s="141"/>
      <c r="GZ4" s="141"/>
      <c r="HA4" s="141"/>
      <c r="HB4" s="141"/>
      <c r="HC4" s="141"/>
      <c r="HD4" s="141"/>
      <c r="HE4" s="141"/>
      <c r="HF4" s="141"/>
      <c r="HG4" s="141"/>
      <c r="HH4" s="141"/>
      <c r="HI4" s="141"/>
      <c r="HJ4" s="141"/>
      <c r="HK4" s="141"/>
      <c r="HL4" s="141"/>
      <c r="HM4" s="141"/>
      <c r="HN4" s="141"/>
      <c r="HO4" s="141"/>
      <c r="HP4" s="141"/>
      <c r="HQ4" s="141"/>
      <c r="HR4" s="141"/>
      <c r="HS4" s="141"/>
      <c r="HT4" s="141"/>
      <c r="HU4" s="141"/>
      <c r="HV4" s="141"/>
      <c r="HW4" s="141"/>
      <c r="HX4" s="141"/>
      <c r="HY4" s="141"/>
      <c r="HZ4" s="141"/>
      <c r="IA4" s="141"/>
      <c r="IB4" s="141"/>
      <c r="IC4" s="141"/>
      <c r="ID4" s="141"/>
      <c r="IE4" s="141"/>
      <c r="IF4" s="141"/>
      <c r="IG4" s="141"/>
      <c r="IH4" s="141"/>
      <c r="II4" s="141"/>
      <c r="IJ4" s="141"/>
      <c r="IK4" s="141"/>
      <c r="IL4" s="141"/>
      <c r="IM4" s="141"/>
      <c r="IN4" s="141"/>
      <c r="IO4" s="141"/>
      <c r="IP4" s="141"/>
      <c r="IQ4" s="141"/>
      <c r="IR4" s="141"/>
      <c r="IS4" s="141"/>
      <c r="IT4" s="141"/>
      <c r="IU4" s="141"/>
      <c r="IV4" s="141"/>
      <c r="IW4" s="141"/>
      <c r="IX4" s="141"/>
      <c r="IY4" s="141"/>
      <c r="IZ4" s="141"/>
      <c r="JA4" s="141"/>
      <c r="JB4" s="141"/>
      <c r="JC4" s="141"/>
      <c r="JD4" s="141"/>
      <c r="JE4" s="141"/>
      <c r="JF4" s="141"/>
      <c r="JG4" s="141"/>
      <c r="JH4" s="141"/>
    </row>
    <row r="5" spans="1:268" s="142" customFormat="1" ht="12" customHeight="1" thickBot="1">
      <c r="A5" s="143"/>
      <c r="B5" s="144" t="str">
        <f>IS!B$5</f>
        <v>($ Millions, except per share data)</v>
      </c>
      <c r="C5" s="593"/>
      <c r="D5" s="593" t="s">
        <v>388</v>
      </c>
      <c r="E5" s="593" t="s">
        <v>389</v>
      </c>
      <c r="F5" s="593" t="s">
        <v>390</v>
      </c>
      <c r="G5" s="593" t="s">
        <v>391</v>
      </c>
      <c r="H5" s="593" t="s">
        <v>392</v>
      </c>
      <c r="I5" s="593" t="s">
        <v>393</v>
      </c>
      <c r="J5" s="593" t="s">
        <v>394</v>
      </c>
      <c r="K5" s="593" t="s">
        <v>395</v>
      </c>
      <c r="L5" s="593" t="s">
        <v>396</v>
      </c>
      <c r="M5" s="593" t="s">
        <v>397</v>
      </c>
      <c r="N5" s="593" t="s">
        <v>398</v>
      </c>
      <c r="O5" s="593" t="s">
        <v>399</v>
      </c>
      <c r="P5" s="593" t="s">
        <v>400</v>
      </c>
      <c r="Q5" s="593" t="s">
        <v>401</v>
      </c>
      <c r="R5" s="593" t="s">
        <v>402</v>
      </c>
      <c r="S5" s="593" t="s">
        <v>403</v>
      </c>
      <c r="T5" s="593" t="s">
        <v>404</v>
      </c>
      <c r="U5" s="593" t="s">
        <v>405</v>
      </c>
      <c r="V5" s="593" t="s">
        <v>406</v>
      </c>
      <c r="W5" s="593" t="s">
        <v>407</v>
      </c>
      <c r="X5" s="593" t="s">
        <v>408</v>
      </c>
      <c r="Y5" s="593" t="s">
        <v>409</v>
      </c>
      <c r="Z5" s="593" t="s">
        <v>410</v>
      </c>
      <c r="AA5" s="593" t="s">
        <v>411</v>
      </c>
      <c r="AB5" s="593" t="s">
        <v>412</v>
      </c>
      <c r="AC5" s="593" t="str">
        <f>IS!AC$5</f>
        <v>F1Q00A</v>
      </c>
      <c r="AD5" s="593" t="str">
        <f>IS!AD$5</f>
        <v>F2Q00A</v>
      </c>
      <c r="AE5" s="593" t="str">
        <f>IS!AE$5</f>
        <v>F3Q00A</v>
      </c>
      <c r="AF5" s="593" t="str">
        <f>IS!AF$5</f>
        <v>F4Q00A</v>
      </c>
      <c r="AG5" s="593" t="str">
        <f>IS!AG$5</f>
        <v>F2000A</v>
      </c>
      <c r="AH5" s="593" t="str">
        <f>IS!AH$5</f>
        <v>F1Q01A</v>
      </c>
      <c r="AI5" s="593" t="str">
        <f>IS!AI$5</f>
        <v>F2Q01A</v>
      </c>
      <c r="AJ5" s="593" t="str">
        <f>IS!AJ$5</f>
        <v>F3Q01A</v>
      </c>
      <c r="AK5" s="593" t="str">
        <f>IS!AK$5</f>
        <v>F4Q01A</v>
      </c>
      <c r="AL5" s="593" t="str">
        <f>IS!AL$5</f>
        <v>F2001A</v>
      </c>
      <c r="AM5" s="593" t="str">
        <f>IS!AM$5</f>
        <v>F1Q02A</v>
      </c>
      <c r="AN5" s="593" t="str">
        <f>IS!AN$5</f>
        <v>F2Q02A</v>
      </c>
      <c r="AO5" s="593" t="str">
        <f>IS!AO$5</f>
        <v>F3Q02A</v>
      </c>
      <c r="AP5" s="593" t="str">
        <f>IS!AP$5</f>
        <v>F4Q02A</v>
      </c>
      <c r="AQ5" s="593" t="str">
        <f>IS!AQ$5</f>
        <v>F2002A</v>
      </c>
      <c r="AR5" s="593" t="str">
        <f>IS!AR$5</f>
        <v>F1Q03A</v>
      </c>
      <c r="AS5" s="593" t="str">
        <f>IS!AS$5</f>
        <v>F2Q03A</v>
      </c>
      <c r="AT5" s="593" t="str">
        <f>IS!AT$5</f>
        <v>F3Q03A</v>
      </c>
      <c r="AU5" s="585"/>
      <c r="AV5" s="593" t="str">
        <f>IS!AV$5</f>
        <v>1Q02A</v>
      </c>
      <c r="AW5" s="593" t="str">
        <f>IS!AW$5</f>
        <v>2Q02A</v>
      </c>
      <c r="AX5" s="593" t="str">
        <f>IS!AX$5</f>
        <v>3Q02A</v>
      </c>
      <c r="AY5" s="593" t="str">
        <f>IS!AY$5</f>
        <v>4Q02A</v>
      </c>
      <c r="AZ5" s="593" t="str">
        <f>IS!AZ$5</f>
        <v>2002A</v>
      </c>
      <c r="BA5" s="593" t="str">
        <f>IS!BA$5</f>
        <v>1Q03A</v>
      </c>
      <c r="BB5" s="593" t="str">
        <f>IS!BB$5</f>
        <v>2Q03A</v>
      </c>
      <c r="BC5" s="593" t="str">
        <f>IS!BC$5</f>
        <v>3Q03A</v>
      </c>
      <c r="BD5" s="593" t="str">
        <f>IS!BD$5</f>
        <v>4Q03A</v>
      </c>
      <c r="BE5" s="593" t="str">
        <f>IS!BE$5</f>
        <v>2003A</v>
      </c>
      <c r="BF5" s="593" t="str">
        <f>IS!BF$5</f>
        <v>1Q04A</v>
      </c>
      <c r="BG5" s="593" t="str">
        <f>IS!BG$5</f>
        <v>2Q04A</v>
      </c>
      <c r="BH5" s="593" t="str">
        <f>IS!BH$5</f>
        <v>3Q04A</v>
      </c>
      <c r="BI5" s="593" t="str">
        <f>IS!BI$5</f>
        <v>4Q04A</v>
      </c>
      <c r="BJ5" s="593" t="str">
        <f>IS!BJ$5</f>
        <v>2004A</v>
      </c>
      <c r="BK5" s="593" t="str">
        <f>IS!BK$5</f>
        <v>1Q05A</v>
      </c>
      <c r="BL5" s="593" t="str">
        <f>IS!BL$5</f>
        <v>2Q05A</v>
      </c>
      <c r="BM5" s="593" t="str">
        <f>IS!BM$5</f>
        <v>3Q05A</v>
      </c>
      <c r="BN5" s="593" t="str">
        <f>IS!BN$5</f>
        <v>4Q05A</v>
      </c>
      <c r="BO5" s="593" t="str">
        <f>IS!BO$5</f>
        <v>2005A</v>
      </c>
      <c r="BP5" s="593" t="str">
        <f>IS!BP$5</f>
        <v>1Q06A</v>
      </c>
      <c r="BQ5" s="593" t="str">
        <f>IS!BQ$5</f>
        <v>2Q06A</v>
      </c>
      <c r="BR5" s="593" t="str">
        <f>IS!BR$5</f>
        <v>3Q06A</v>
      </c>
      <c r="BS5" s="593" t="str">
        <f>IS!BS$5</f>
        <v>4Q06A</v>
      </c>
      <c r="BT5" s="593" t="str">
        <f>IS!BT$5</f>
        <v>2006A</v>
      </c>
      <c r="BU5" s="593" t="str">
        <f>IS!BU$5</f>
        <v>1Q07A</v>
      </c>
      <c r="BV5" s="593" t="str">
        <f>IS!BV$5</f>
        <v>2Q07A</v>
      </c>
      <c r="BW5" s="593" t="str">
        <f>IS!BW$5</f>
        <v>3Q07A</v>
      </c>
      <c r="BX5" s="593" t="str">
        <f>IS!BX$5</f>
        <v>4Q07A</v>
      </c>
      <c r="BY5" s="593" t="str">
        <f>IS!BY$5</f>
        <v>2007A</v>
      </c>
      <c r="BZ5" s="593" t="str">
        <f>IS!BZ$5</f>
        <v>1Q08A</v>
      </c>
      <c r="CA5" s="593" t="str">
        <f>IS!CA$5</f>
        <v>2Q08A</v>
      </c>
      <c r="CB5" s="593" t="str">
        <f>IS!CB$5</f>
        <v>3Q08A</v>
      </c>
      <c r="CC5" s="593" t="str">
        <f>IS!CC$5</f>
        <v>4Q08A</v>
      </c>
      <c r="CD5" s="593" t="str">
        <f>IS!CD$5</f>
        <v>2008A</v>
      </c>
      <c r="CE5" s="593" t="str">
        <f>IS!CE$5</f>
        <v>1Q09A</v>
      </c>
      <c r="CF5" s="593" t="str">
        <f>IS!CF$5</f>
        <v>2Q09A</v>
      </c>
      <c r="CG5" s="593" t="str">
        <f>IS!CG$5</f>
        <v>3Q09A</v>
      </c>
      <c r="CH5" s="593" t="str">
        <f>IS!CH$5</f>
        <v>4Q09A</v>
      </c>
      <c r="CI5" s="593" t="str">
        <f>IS!CI$5</f>
        <v>2009A</v>
      </c>
      <c r="CJ5" s="593" t="str">
        <f>IS!CJ$5</f>
        <v>1Q10A</v>
      </c>
      <c r="CK5" s="593" t="str">
        <f>IS!CK$5</f>
        <v>2Q10A</v>
      </c>
      <c r="CL5" s="593" t="str">
        <f>IS!CL$5</f>
        <v>3Q10A</v>
      </c>
      <c r="CM5" s="593" t="str">
        <f>IS!CM$5</f>
        <v>4Q10A</v>
      </c>
      <c r="CN5" s="593" t="str">
        <f>IS!CN$5</f>
        <v>2010A</v>
      </c>
      <c r="CO5" s="593" t="str">
        <f>IS!CO$5</f>
        <v>1Q11A</v>
      </c>
      <c r="CP5" s="593" t="str">
        <f>IS!CP$5</f>
        <v>2Q11A</v>
      </c>
      <c r="CQ5" s="593" t="str">
        <f>IS!CQ$5</f>
        <v>3Q11A</v>
      </c>
      <c r="CR5" s="593" t="str">
        <f>IS!CR$5</f>
        <v>4Q11A</v>
      </c>
      <c r="CS5" s="593" t="str">
        <f>IS!CS$5</f>
        <v>2011A</v>
      </c>
      <c r="CT5" s="594" t="str">
        <f>IS!CT5</f>
        <v>1Q12A</v>
      </c>
      <c r="CU5" s="594" t="str">
        <f>IS!CU5</f>
        <v>2Q12A</v>
      </c>
      <c r="CV5" s="594" t="str">
        <f>IS!CV5</f>
        <v>3Q12A</v>
      </c>
      <c r="CW5" s="594" t="str">
        <f>IS!CW5</f>
        <v>4Q12A</v>
      </c>
      <c r="CX5" s="594" t="str">
        <f>IS!CX5</f>
        <v>2012A</v>
      </c>
      <c r="CY5" s="594" t="str">
        <f>IS!CY5</f>
        <v>1Q13A</v>
      </c>
      <c r="CZ5" s="594" t="str">
        <f>IS!CZ5</f>
        <v>2Q13A</v>
      </c>
      <c r="DA5" s="594" t="str">
        <f>IS!DA5</f>
        <v>3Q13A</v>
      </c>
      <c r="DB5" s="594" t="str">
        <f>IS!DB5</f>
        <v>4Q13A</v>
      </c>
      <c r="DC5" s="594" t="str">
        <f>IS!DC5</f>
        <v>2013A</v>
      </c>
      <c r="DD5" s="594" t="str">
        <f>IS!DD5</f>
        <v>1Q14A</v>
      </c>
      <c r="DE5" s="594" t="str">
        <f>IS!DE5</f>
        <v>2Q14A</v>
      </c>
      <c r="DF5" s="594" t="str">
        <f>IS!DF5</f>
        <v>3Q14A</v>
      </c>
      <c r="DG5" s="594" t="str">
        <f>IS!DG5</f>
        <v>4Q14A</v>
      </c>
      <c r="DH5" s="594" t="str">
        <f>IS!DH5</f>
        <v>2014A</v>
      </c>
      <c r="DI5" s="594" t="str">
        <f>IS!DI5</f>
        <v>1Q15A</v>
      </c>
      <c r="DJ5" s="594" t="str">
        <f>IS!DJ5</f>
        <v>2Q15A</v>
      </c>
      <c r="DK5" s="594" t="str">
        <f>IS!DK5</f>
        <v>3Q15A</v>
      </c>
      <c r="DL5" s="594" t="str">
        <f>IS!DL5</f>
        <v>4Q15A</v>
      </c>
      <c r="DM5" s="594" t="str">
        <f>IS!DM5</f>
        <v>2015A</v>
      </c>
      <c r="DN5" s="594" t="str">
        <f>IS!DN5</f>
        <v>1Q16A</v>
      </c>
      <c r="DO5" s="594" t="str">
        <f>IS!DO5</f>
        <v>2Q16A</v>
      </c>
      <c r="DP5" s="594" t="str">
        <f>IS!DP5</f>
        <v>3Q16A</v>
      </c>
      <c r="DQ5" s="594" t="str">
        <f>IS!DQ5</f>
        <v>4Q16A</v>
      </c>
      <c r="DR5" s="594" t="str">
        <f>IS!DR5</f>
        <v>2016A</v>
      </c>
      <c r="DS5" s="594" t="str">
        <f>IS!DS5</f>
        <v>1Q17A</v>
      </c>
      <c r="DT5" s="594" t="str">
        <f>IS!DT5</f>
        <v>2Q17A</v>
      </c>
      <c r="DU5" s="594" t="str">
        <f>IS!DU5</f>
        <v>3Q17A</v>
      </c>
      <c r="DV5" s="594" t="str">
        <f>IS!DV5</f>
        <v>4Q17A</v>
      </c>
      <c r="DW5" s="594" t="str">
        <f>IS!DW5</f>
        <v>2017A</v>
      </c>
      <c r="DX5" s="594" t="str">
        <f>IS!DX5</f>
        <v>1Q18E</v>
      </c>
      <c r="DY5" s="594" t="str">
        <f>IS!DY5</f>
        <v>2Q18E</v>
      </c>
      <c r="DZ5" s="594" t="str">
        <f>IS!DZ5</f>
        <v>3Q18E</v>
      </c>
      <c r="EA5" s="594" t="str">
        <f>IS!EA5</f>
        <v>4Q18E</v>
      </c>
      <c r="EB5" s="594" t="str">
        <f>IS!EB5</f>
        <v>2018E</v>
      </c>
      <c r="EC5" s="594" t="str">
        <f>IS!EC5</f>
        <v>1Q19E</v>
      </c>
      <c r="ED5" s="594" t="str">
        <f>IS!ED5</f>
        <v>2Q19E</v>
      </c>
      <c r="EE5" s="594" t="str">
        <f>IS!EE5</f>
        <v>3Q19E</v>
      </c>
      <c r="EF5" s="594" t="str">
        <f>IS!EF5</f>
        <v>4Q19E</v>
      </c>
      <c r="EG5" s="594" t="str">
        <f>IS!EG5</f>
        <v>2019E</v>
      </c>
      <c r="EH5" s="594" t="str">
        <f>IS!EH5</f>
        <v>1Q20E</v>
      </c>
      <c r="EI5" s="594" t="str">
        <f>IS!EI5</f>
        <v>2Q20E</v>
      </c>
      <c r="EJ5" s="594" t="str">
        <f>IS!EJ5</f>
        <v>3Q20E</v>
      </c>
      <c r="EK5" s="594" t="str">
        <f>IS!EK5</f>
        <v>4Q20E</v>
      </c>
      <c r="EL5" s="594" t="str">
        <f>IS!EL5</f>
        <v>2020E</v>
      </c>
      <c r="EM5" s="145"/>
      <c r="EN5"/>
      <c r="EO5"/>
      <c r="EP5"/>
      <c r="EQ5"/>
      <c r="ER5"/>
      <c r="ES5"/>
      <c r="ET5" s="141"/>
      <c r="EU5" s="141"/>
      <c r="EV5" s="141"/>
      <c r="EW5" s="141"/>
      <c r="EX5" s="141"/>
      <c r="EY5" s="141"/>
      <c r="EZ5" s="141"/>
      <c r="FA5" s="141"/>
      <c r="FB5" s="141"/>
      <c r="FC5" s="141"/>
      <c r="FD5" s="141"/>
      <c r="FE5" s="141"/>
      <c r="FF5" s="141"/>
      <c r="FG5" s="141"/>
      <c r="FH5" s="141"/>
      <c r="FI5" s="141"/>
      <c r="FJ5" s="141"/>
      <c r="FK5" s="141"/>
      <c r="FL5" s="141"/>
      <c r="FM5" s="141"/>
      <c r="FN5" s="141"/>
      <c r="FO5" s="141"/>
      <c r="FP5" s="141"/>
      <c r="FQ5" s="141"/>
      <c r="FR5" s="141"/>
      <c r="FS5" s="141"/>
      <c r="FT5" s="141"/>
      <c r="FU5" s="141"/>
      <c r="FV5" s="141"/>
      <c r="FW5" s="141"/>
      <c r="FX5" s="141"/>
      <c r="FY5" s="141"/>
      <c r="FZ5" s="141"/>
      <c r="GA5" s="141"/>
      <c r="GB5" s="141"/>
      <c r="GC5" s="141"/>
      <c r="GD5" s="141"/>
      <c r="GE5" s="141"/>
      <c r="GF5" s="141"/>
      <c r="GG5" s="141"/>
      <c r="GH5" s="141"/>
      <c r="GI5" s="141"/>
      <c r="GJ5" s="141"/>
      <c r="GK5" s="141"/>
      <c r="GL5" s="141"/>
      <c r="GM5" s="141"/>
      <c r="GN5" s="141"/>
      <c r="GO5" s="141"/>
      <c r="GP5" s="141"/>
      <c r="GQ5" s="141"/>
      <c r="GR5" s="141"/>
      <c r="GS5" s="141"/>
      <c r="GT5" s="141"/>
      <c r="GU5" s="141"/>
      <c r="GV5" s="141"/>
      <c r="GW5" s="141"/>
      <c r="GX5" s="141"/>
      <c r="GY5" s="141"/>
      <c r="GZ5" s="141"/>
      <c r="HA5" s="141"/>
      <c r="HB5" s="141"/>
      <c r="HC5" s="141"/>
      <c r="HD5" s="141"/>
      <c r="HE5" s="141"/>
      <c r="HF5" s="141"/>
      <c r="HG5" s="141"/>
      <c r="HH5" s="141"/>
      <c r="HI5" s="141"/>
      <c r="HJ5" s="141"/>
      <c r="HK5" s="141"/>
      <c r="HL5" s="141"/>
      <c r="HM5" s="141"/>
      <c r="HN5" s="141"/>
      <c r="HO5" s="141"/>
      <c r="HP5" s="141"/>
      <c r="HQ5" s="141"/>
      <c r="HR5" s="141"/>
      <c r="HS5" s="141"/>
      <c r="HT5" s="141"/>
      <c r="HU5" s="141"/>
      <c r="HV5" s="141"/>
      <c r="HW5" s="141"/>
      <c r="HX5" s="141"/>
      <c r="HY5" s="141"/>
      <c r="HZ5" s="141"/>
      <c r="IA5" s="141"/>
      <c r="IB5" s="141"/>
      <c r="IC5" s="141"/>
      <c r="ID5" s="141"/>
      <c r="IE5" s="141"/>
      <c r="IF5" s="141"/>
      <c r="IG5" s="141"/>
      <c r="IH5" s="141"/>
      <c r="II5" s="141"/>
      <c r="IJ5" s="141"/>
      <c r="IK5" s="141"/>
      <c r="IL5" s="141"/>
      <c r="IM5" s="141"/>
      <c r="IN5" s="141"/>
      <c r="IO5" s="141"/>
      <c r="IP5" s="141"/>
      <c r="IQ5" s="141"/>
      <c r="IR5" s="141"/>
      <c r="IS5" s="141"/>
      <c r="IT5" s="141"/>
      <c r="IU5" s="141"/>
      <c r="IV5" s="141"/>
      <c r="IW5" s="141"/>
      <c r="IX5" s="141"/>
      <c r="IY5" s="141"/>
      <c r="IZ5" s="141"/>
      <c r="JA5" s="141"/>
      <c r="JB5" s="141"/>
      <c r="JC5" s="141"/>
      <c r="JD5" s="141"/>
      <c r="JE5" s="141"/>
      <c r="JF5" s="141"/>
      <c r="JG5" s="141"/>
      <c r="JH5" s="141"/>
    </row>
    <row r="6" spans="1:268" s="142" customFormat="1" ht="12" customHeight="1">
      <c r="A6" s="801"/>
      <c r="B6" s="557" t="s">
        <v>527</v>
      </c>
      <c r="C6" s="898"/>
      <c r="D6" s="898">
        <v>112.304</v>
      </c>
      <c r="E6" s="898">
        <v>131.80000000000001</v>
      </c>
      <c r="F6" s="898">
        <v>144.5</v>
      </c>
      <c r="G6" s="899">
        <v>155</v>
      </c>
      <c r="H6" s="900">
        <f t="shared" ref="H6:H16" si="0">G6</f>
        <v>155</v>
      </c>
      <c r="I6" s="898">
        <v>106.4</v>
      </c>
      <c r="J6" s="898">
        <v>98.8</v>
      </c>
      <c r="K6" s="898">
        <v>114.2</v>
      </c>
      <c r="L6" s="899">
        <v>89</v>
      </c>
      <c r="M6" s="900">
        <f t="shared" ref="M6:M16" si="1">L6</f>
        <v>89</v>
      </c>
      <c r="N6" s="898">
        <v>104.1</v>
      </c>
      <c r="O6" s="898">
        <v>56.8</v>
      </c>
      <c r="P6" s="898">
        <v>61.3</v>
      </c>
      <c r="Q6" s="899">
        <v>35</v>
      </c>
      <c r="R6" s="900">
        <f t="shared" ref="R6:R16" si="2">Q6</f>
        <v>35</v>
      </c>
      <c r="S6" s="898">
        <v>103</v>
      </c>
      <c r="T6" s="898">
        <v>14</v>
      </c>
      <c r="U6" s="898">
        <v>17</v>
      </c>
      <c r="V6" s="899">
        <v>23</v>
      </c>
      <c r="W6" s="900">
        <f t="shared" ref="W6:W16" si="3">V6</f>
        <v>23</v>
      </c>
      <c r="X6" s="898">
        <v>21</v>
      </c>
      <c r="Y6" s="898">
        <v>32</v>
      </c>
      <c r="Z6" s="898">
        <v>61</v>
      </c>
      <c r="AA6" s="899">
        <v>29</v>
      </c>
      <c r="AB6" s="900">
        <f>AA6</f>
        <v>29</v>
      </c>
      <c r="AC6" s="898">
        <v>24</v>
      </c>
      <c r="AD6" s="898">
        <v>31</v>
      </c>
      <c r="AE6" s="898">
        <v>38</v>
      </c>
      <c r="AF6" s="899">
        <v>135</v>
      </c>
      <c r="AG6" s="900">
        <f>AF6</f>
        <v>135</v>
      </c>
      <c r="AH6" s="898">
        <v>83</v>
      </c>
      <c r="AI6" s="898">
        <v>82</v>
      </c>
      <c r="AJ6" s="898">
        <v>57</v>
      </c>
      <c r="AK6" s="899">
        <v>62</v>
      </c>
      <c r="AL6" s="900">
        <f t="shared" ref="AL6:AL16" si="4">AK6</f>
        <v>62</v>
      </c>
      <c r="AM6" s="898">
        <v>66</v>
      </c>
      <c r="AN6" s="898">
        <v>63</v>
      </c>
      <c r="AO6" s="898">
        <v>52</v>
      </c>
      <c r="AP6" s="899">
        <v>38</v>
      </c>
      <c r="AQ6" s="900">
        <f t="shared" ref="AQ6:AQ16" si="5">AP6</f>
        <v>38</v>
      </c>
      <c r="AR6" s="898">
        <v>42</v>
      </c>
      <c r="AS6" s="898">
        <v>40</v>
      </c>
      <c r="AT6" s="898">
        <v>118</v>
      </c>
      <c r="AU6" s="802"/>
      <c r="AV6" s="901"/>
      <c r="AW6" s="901"/>
      <c r="AX6" s="901"/>
      <c r="AY6" s="898">
        <v>210</v>
      </c>
      <c r="AZ6" s="902">
        <f t="shared" ref="AZ6:AZ16" si="6">AY6</f>
        <v>210</v>
      </c>
      <c r="BA6" s="898">
        <v>135</v>
      </c>
      <c r="BB6" s="898">
        <v>221</v>
      </c>
      <c r="BC6" s="898">
        <v>219</v>
      </c>
      <c r="BD6" s="898">
        <v>619</v>
      </c>
      <c r="BE6" s="902">
        <f t="shared" ref="BE6:BE16" si="7">BD6</f>
        <v>619</v>
      </c>
      <c r="BF6" s="898">
        <v>507</v>
      </c>
      <c r="BG6" s="898">
        <v>1193</v>
      </c>
      <c r="BH6" s="898">
        <v>1323</v>
      </c>
      <c r="BI6" s="898">
        <v>654</v>
      </c>
      <c r="BJ6" s="902">
        <f t="shared" ref="BJ6:BJ16" si="8">BI6</f>
        <v>654</v>
      </c>
      <c r="BK6" s="898">
        <v>1497</v>
      </c>
      <c r="BL6" s="898">
        <v>1594</v>
      </c>
      <c r="BM6" s="898">
        <v>1480</v>
      </c>
      <c r="BN6" s="898">
        <v>1373</v>
      </c>
      <c r="BO6" s="902">
        <f t="shared" ref="BO6:BO16" si="9">BN6</f>
        <v>1373</v>
      </c>
      <c r="BP6" s="898">
        <v>975</v>
      </c>
      <c r="BQ6" s="898">
        <v>568</v>
      </c>
      <c r="BR6" s="898">
        <v>809</v>
      </c>
      <c r="BS6" s="898">
        <v>784</v>
      </c>
      <c r="BT6" s="902">
        <f t="shared" ref="BT6:BT16" si="10">BS6</f>
        <v>784</v>
      </c>
      <c r="BU6" s="898">
        <v>584</v>
      </c>
      <c r="BV6" s="898">
        <v>675</v>
      </c>
      <c r="BW6" s="898">
        <v>655</v>
      </c>
      <c r="BX6" s="898">
        <v>572</v>
      </c>
      <c r="BY6" s="902">
        <f t="shared" ref="BY6:BY16" si="11">BX6</f>
        <v>572</v>
      </c>
      <c r="BZ6" s="898">
        <v>278</v>
      </c>
      <c r="CA6" s="898">
        <v>352</v>
      </c>
      <c r="CB6" s="898">
        <v>512</v>
      </c>
      <c r="CC6" s="898">
        <v>507</v>
      </c>
      <c r="CD6" s="902">
        <f t="shared" ref="CD6:CD16" si="12">CC6</f>
        <v>507</v>
      </c>
      <c r="CE6" s="898">
        <v>652</v>
      </c>
      <c r="CF6" s="898">
        <v>758</v>
      </c>
      <c r="CG6" s="898">
        <v>731</v>
      </c>
      <c r="CH6" s="898">
        <v>690</v>
      </c>
      <c r="CI6" s="902">
        <f t="shared" ref="CI6:CI16" si="13">CH6</f>
        <v>690</v>
      </c>
      <c r="CJ6" s="898">
        <v>589</v>
      </c>
      <c r="CK6" s="898">
        <v>711</v>
      </c>
      <c r="CL6" s="898">
        <v>398</v>
      </c>
      <c r="CM6" s="898">
        <v>405</v>
      </c>
      <c r="CN6" s="902">
        <f t="shared" ref="CN6:CN16" si="14">CM6</f>
        <v>405</v>
      </c>
      <c r="CO6" s="898">
        <v>267</v>
      </c>
      <c r="CP6" s="898">
        <v>264</v>
      </c>
      <c r="CQ6" s="898">
        <v>185</v>
      </c>
      <c r="CR6" s="898">
        <v>113</v>
      </c>
      <c r="CS6" s="902">
        <f t="shared" ref="CS6:CS16" si="15">CR6</f>
        <v>113</v>
      </c>
      <c r="CT6" s="898">
        <v>104</v>
      </c>
      <c r="CU6" s="898">
        <v>82</v>
      </c>
      <c r="CV6" s="898">
        <v>83</v>
      </c>
      <c r="CW6" s="898">
        <v>364</v>
      </c>
      <c r="CX6" s="902">
        <f t="shared" ref="CX6:CX16" si="16">CW6</f>
        <v>364</v>
      </c>
      <c r="CY6" s="898">
        <v>95</v>
      </c>
      <c r="CZ6" s="898">
        <v>90</v>
      </c>
      <c r="DA6" s="898">
        <v>82</v>
      </c>
      <c r="DB6" s="898">
        <v>113</v>
      </c>
      <c r="DC6" s="902">
        <f t="shared" ref="DC6:DC16" si="17">DB6</f>
        <v>113</v>
      </c>
      <c r="DD6" s="898">
        <v>141</v>
      </c>
      <c r="DE6" s="898">
        <v>406</v>
      </c>
      <c r="DF6" s="898">
        <v>200</v>
      </c>
      <c r="DG6" s="898">
        <v>193</v>
      </c>
      <c r="DH6" s="902">
        <f t="shared" ref="DH6:DH16" si="18">DG6</f>
        <v>193</v>
      </c>
      <c r="DI6" s="898">
        <v>185</v>
      </c>
      <c r="DJ6" s="898">
        <v>299</v>
      </c>
      <c r="DK6" s="898">
        <v>450</v>
      </c>
      <c r="DL6" s="898">
        <v>356</v>
      </c>
      <c r="DM6" s="902">
        <f t="shared" ref="DM6:DM16" si="19">DL6</f>
        <v>356</v>
      </c>
      <c r="DN6" s="898">
        <v>728</v>
      </c>
      <c r="DO6" s="898">
        <v>656</v>
      </c>
      <c r="DP6" s="898">
        <v>649</v>
      </c>
      <c r="DQ6" s="898">
        <v>716</v>
      </c>
      <c r="DR6" s="902"/>
      <c r="DS6" s="898">
        <v>572</v>
      </c>
      <c r="DT6" s="898">
        <v>475</v>
      </c>
      <c r="DU6" s="898">
        <v>429</v>
      </c>
      <c r="DV6" s="898">
        <v>611</v>
      </c>
      <c r="DW6" s="902">
        <f t="shared" ref="DW6:DW16" si="20">DV6</f>
        <v>611</v>
      </c>
      <c r="DX6" s="843">
        <f>IF(switch="Y",DX185,DW6)</f>
        <v>829.37035815589047</v>
      </c>
      <c r="DY6" s="843">
        <f>IF(switch="Y",DY185,DX6)</f>
        <v>605.37663535468903</v>
      </c>
      <c r="DZ6" s="843">
        <f>IF(switch="Y",DZ185,DY6)</f>
        <v>853.21887238129329</v>
      </c>
      <c r="EA6" s="843">
        <f>IF(switch="Y",EA185,DZ6)</f>
        <v>567.71087398451732</v>
      </c>
      <c r="EB6" s="902">
        <f t="shared" ref="EB6:EB16" si="21">EA6</f>
        <v>567.71087398451732</v>
      </c>
      <c r="EC6" s="843">
        <f>IF(switch="Y",EC185,EB6)</f>
        <v>376.97417916896063</v>
      </c>
      <c r="ED6" s="843">
        <f>IF(switch="Y",ED185,EC6)</f>
        <v>520.54772891988341</v>
      </c>
      <c r="EE6" s="843">
        <f>IF(switch="Y",EE185,ED6)</f>
        <v>689.98221824519351</v>
      </c>
      <c r="EF6" s="843">
        <f>IF(switch="Y",EF185,EE6)</f>
        <v>714.63062624325505</v>
      </c>
      <c r="EG6" s="902">
        <f t="shared" ref="EG6:EK16" si="22">EF6</f>
        <v>714.63062624325505</v>
      </c>
      <c r="EH6" s="843">
        <f>IF(switch="Y",EH185,EG6)</f>
        <v>657.96794350851678</v>
      </c>
      <c r="EI6" s="843">
        <f>IF(switch="Y",EI185,EH6)</f>
        <v>602.90493870577018</v>
      </c>
      <c r="EJ6" s="843">
        <f>IF(switch="Y",EJ185,EI6)</f>
        <v>652.42194509847184</v>
      </c>
      <c r="EK6" s="843">
        <f>IF(switch="Y",EK185,EJ6)</f>
        <v>471.25813137678415</v>
      </c>
      <c r="EL6" s="902">
        <f t="shared" ref="EL6:EL16" si="23">EK6</f>
        <v>471.25813137678415</v>
      </c>
      <c r="EM6" s="901"/>
      <c r="EN6"/>
      <c r="EO6"/>
      <c r="EP6"/>
      <c r="EQ6"/>
      <c r="ER6"/>
      <c r="ES6"/>
      <c r="ET6" s="141"/>
      <c r="EU6" s="141"/>
      <c r="EV6" s="141"/>
      <c r="EW6" s="141"/>
      <c r="EX6" s="141"/>
      <c r="EY6" s="141"/>
      <c r="EZ6" s="141"/>
      <c r="FA6" s="141"/>
      <c r="FB6" s="141"/>
      <c r="FC6" s="141"/>
      <c r="FD6" s="141"/>
      <c r="FE6" s="141"/>
      <c r="FF6" s="141"/>
      <c r="FG6" s="141"/>
      <c r="FH6" s="141"/>
      <c r="FI6" s="141"/>
      <c r="FJ6" s="141"/>
      <c r="FK6" s="141"/>
      <c r="FL6" s="141"/>
      <c r="FM6" s="141"/>
      <c r="FN6" s="141"/>
      <c r="FO6" s="141"/>
      <c r="FP6" s="141"/>
      <c r="FQ6" s="141"/>
      <c r="FR6" s="141"/>
      <c r="FS6" s="141"/>
      <c r="FT6" s="141"/>
      <c r="FU6" s="141"/>
      <c r="FV6" s="141"/>
      <c r="FW6" s="141"/>
      <c r="FX6" s="141"/>
      <c r="FY6" s="141"/>
      <c r="FZ6" s="141"/>
      <c r="GA6" s="141"/>
      <c r="GB6" s="141"/>
      <c r="GC6" s="141"/>
      <c r="GD6" s="141"/>
      <c r="GE6" s="141"/>
      <c r="GF6" s="141"/>
      <c r="GG6" s="141"/>
      <c r="GH6" s="141"/>
      <c r="GI6" s="141"/>
      <c r="GJ6" s="141"/>
      <c r="GK6" s="141"/>
      <c r="GL6" s="141"/>
      <c r="GM6" s="141"/>
      <c r="GN6" s="141"/>
      <c r="GO6" s="141"/>
      <c r="GP6" s="141"/>
      <c r="GQ6" s="141"/>
      <c r="GR6" s="141"/>
      <c r="GS6" s="141"/>
      <c r="GT6" s="141"/>
      <c r="GU6" s="141"/>
      <c r="GV6" s="141"/>
      <c r="GW6" s="141"/>
      <c r="GX6" s="141"/>
      <c r="GY6" s="141"/>
      <c r="GZ6" s="141"/>
      <c r="HA6" s="141"/>
      <c r="HB6" s="141"/>
      <c r="HC6" s="141"/>
      <c r="HD6" s="141"/>
      <c r="HE6" s="141"/>
      <c r="HF6" s="141"/>
      <c r="HG6" s="141"/>
      <c r="HH6" s="141"/>
      <c r="HI6" s="141"/>
      <c r="HJ6" s="141"/>
      <c r="HK6" s="141"/>
      <c r="HL6" s="141"/>
      <c r="HM6" s="141"/>
      <c r="HN6" s="141"/>
      <c r="HO6" s="141"/>
      <c r="HP6" s="141"/>
      <c r="HQ6" s="141"/>
      <c r="HR6" s="141"/>
      <c r="HS6" s="141"/>
      <c r="HT6" s="141"/>
      <c r="HU6" s="141"/>
      <c r="HV6" s="141"/>
      <c r="HW6" s="141"/>
      <c r="HX6" s="141"/>
      <c r="HY6" s="141"/>
      <c r="HZ6" s="141"/>
      <c r="IA6" s="141"/>
      <c r="IB6" s="141"/>
      <c r="IC6" s="141"/>
      <c r="ID6" s="141"/>
      <c r="IE6" s="141"/>
      <c r="IF6" s="141"/>
      <c r="IG6" s="141"/>
      <c r="IH6" s="141"/>
      <c r="II6" s="141"/>
      <c r="IJ6" s="141"/>
      <c r="IK6" s="141"/>
      <c r="IL6" s="141"/>
      <c r="IM6" s="141"/>
      <c r="IN6" s="141"/>
      <c r="IO6" s="141"/>
      <c r="IP6" s="141"/>
      <c r="IQ6" s="141"/>
      <c r="IR6" s="141"/>
      <c r="IS6" s="141"/>
      <c r="IT6" s="141"/>
      <c r="IU6" s="141"/>
      <c r="IV6" s="141"/>
      <c r="IW6" s="141"/>
      <c r="IX6" s="141"/>
      <c r="IY6" s="141"/>
      <c r="IZ6" s="141"/>
      <c r="JA6" s="141"/>
      <c r="JB6" s="141"/>
      <c r="JC6" s="141"/>
      <c r="JD6" s="141"/>
      <c r="JE6" s="141"/>
      <c r="JF6" s="141"/>
      <c r="JG6" s="141"/>
      <c r="JH6" s="141"/>
    </row>
    <row r="7" spans="1:268" s="142" customFormat="1" ht="12" hidden="1" customHeight="1" outlineLevel="1">
      <c r="A7" s="801"/>
      <c r="B7" s="557" t="s">
        <v>528</v>
      </c>
      <c r="C7" s="147"/>
      <c r="D7" s="147">
        <v>0</v>
      </c>
      <c r="E7" s="147">
        <v>0</v>
      </c>
      <c r="F7" s="147">
        <v>0</v>
      </c>
      <c r="G7" s="150">
        <v>0</v>
      </c>
      <c r="H7" s="900">
        <f t="shared" si="0"/>
        <v>0</v>
      </c>
      <c r="I7" s="147">
        <v>0</v>
      </c>
      <c r="J7" s="147">
        <v>0</v>
      </c>
      <c r="K7" s="147">
        <v>0</v>
      </c>
      <c r="L7" s="150">
        <v>0</v>
      </c>
      <c r="M7" s="900">
        <f t="shared" si="1"/>
        <v>0</v>
      </c>
      <c r="N7" s="147">
        <v>0</v>
      </c>
      <c r="O7" s="147">
        <v>0</v>
      </c>
      <c r="P7" s="147">
        <v>0</v>
      </c>
      <c r="Q7" s="150">
        <v>0</v>
      </c>
      <c r="R7" s="900">
        <f t="shared" si="2"/>
        <v>0</v>
      </c>
      <c r="S7" s="147">
        <v>0</v>
      </c>
      <c r="T7" s="147">
        <v>0</v>
      </c>
      <c r="U7" s="147">
        <v>0</v>
      </c>
      <c r="V7" s="150">
        <v>0</v>
      </c>
      <c r="W7" s="900">
        <f t="shared" si="3"/>
        <v>0</v>
      </c>
      <c r="X7" s="147">
        <v>0</v>
      </c>
      <c r="Y7" s="147">
        <v>0</v>
      </c>
      <c r="Z7" s="147">
        <v>0</v>
      </c>
      <c r="AA7" s="150">
        <v>0</v>
      </c>
      <c r="AB7" s="900"/>
      <c r="AC7" s="147">
        <v>0</v>
      </c>
      <c r="AD7" s="147">
        <v>0</v>
      </c>
      <c r="AE7" s="147">
        <v>0</v>
      </c>
      <c r="AF7" s="150">
        <v>0</v>
      </c>
      <c r="AG7" s="900"/>
      <c r="AH7" s="147">
        <v>0</v>
      </c>
      <c r="AI7" s="147">
        <v>0</v>
      </c>
      <c r="AJ7" s="147">
        <v>0</v>
      </c>
      <c r="AK7" s="150">
        <v>0</v>
      </c>
      <c r="AL7" s="900">
        <f t="shared" si="4"/>
        <v>0</v>
      </c>
      <c r="AM7" s="147">
        <v>0</v>
      </c>
      <c r="AN7" s="147">
        <v>0</v>
      </c>
      <c r="AO7" s="147">
        <v>0</v>
      </c>
      <c r="AP7" s="150">
        <v>0</v>
      </c>
      <c r="AQ7" s="900">
        <f t="shared" si="5"/>
        <v>0</v>
      </c>
      <c r="AR7" s="147">
        <v>0</v>
      </c>
      <c r="AS7" s="147">
        <v>0</v>
      </c>
      <c r="AT7" s="147">
        <v>0</v>
      </c>
      <c r="AU7" s="802"/>
      <c r="AV7" s="901"/>
      <c r="AW7" s="901"/>
      <c r="AX7" s="901"/>
      <c r="AY7" s="147">
        <v>0</v>
      </c>
      <c r="AZ7" s="902">
        <f t="shared" si="6"/>
        <v>0</v>
      </c>
      <c r="BA7" s="147">
        <v>0</v>
      </c>
      <c r="BB7" s="147">
        <v>0</v>
      </c>
      <c r="BC7" s="147">
        <v>0</v>
      </c>
      <c r="BD7" s="147">
        <v>0</v>
      </c>
      <c r="BE7" s="902">
        <f t="shared" si="7"/>
        <v>0</v>
      </c>
      <c r="BF7" s="147">
        <v>0</v>
      </c>
      <c r="BG7" s="147">
        <v>0</v>
      </c>
      <c r="BH7" s="147">
        <v>0</v>
      </c>
      <c r="BI7" s="147">
        <v>263</v>
      </c>
      <c r="BJ7" s="902">
        <f t="shared" si="8"/>
        <v>263</v>
      </c>
      <c r="BK7" s="147">
        <v>263</v>
      </c>
      <c r="BL7" s="147">
        <v>263</v>
      </c>
      <c r="BM7" s="147">
        <v>263</v>
      </c>
      <c r="BN7" s="147">
        <v>0</v>
      </c>
      <c r="BO7" s="902">
        <f t="shared" si="9"/>
        <v>0</v>
      </c>
      <c r="BP7" s="147">
        <v>0</v>
      </c>
      <c r="BQ7" s="147">
        <v>0</v>
      </c>
      <c r="BR7" s="147">
        <v>0</v>
      </c>
      <c r="BS7" s="147">
        <v>0</v>
      </c>
      <c r="BT7" s="902">
        <f t="shared" si="10"/>
        <v>0</v>
      </c>
      <c r="BU7" s="147">
        <v>0</v>
      </c>
      <c r="BV7" s="147">
        <v>0</v>
      </c>
      <c r="BW7" s="147">
        <v>0</v>
      </c>
      <c r="BX7" s="147">
        <v>0</v>
      </c>
      <c r="BY7" s="902">
        <f t="shared" si="11"/>
        <v>0</v>
      </c>
      <c r="BZ7" s="147">
        <v>0</v>
      </c>
      <c r="CA7" s="147">
        <v>0</v>
      </c>
      <c r="CB7" s="147">
        <v>48</v>
      </c>
      <c r="CC7" s="147">
        <v>14</v>
      </c>
      <c r="CD7" s="902">
        <f t="shared" si="12"/>
        <v>14</v>
      </c>
      <c r="CE7" s="147">
        <v>6</v>
      </c>
      <c r="CF7" s="147">
        <v>6</v>
      </c>
      <c r="CG7" s="147">
        <v>3</v>
      </c>
      <c r="CH7" s="147">
        <v>2</v>
      </c>
      <c r="CI7" s="902">
        <f t="shared" si="13"/>
        <v>2</v>
      </c>
      <c r="CJ7" s="147">
        <v>2</v>
      </c>
      <c r="CK7" s="147">
        <v>1</v>
      </c>
      <c r="CL7" s="147">
        <v>1</v>
      </c>
      <c r="CM7" s="147">
        <v>1</v>
      </c>
      <c r="CN7" s="902">
        <f t="shared" si="14"/>
        <v>1</v>
      </c>
      <c r="CO7" s="147">
        <v>2</v>
      </c>
      <c r="CP7" s="147">
        <v>0</v>
      </c>
      <c r="CQ7" s="147">
        <f>CP7</f>
        <v>0</v>
      </c>
      <c r="CR7" s="147">
        <f>CQ7</f>
        <v>0</v>
      </c>
      <c r="CS7" s="902">
        <f t="shared" si="15"/>
        <v>0</v>
      </c>
      <c r="CT7" s="147">
        <f>CS7</f>
        <v>0</v>
      </c>
      <c r="CU7" s="147">
        <v>0</v>
      </c>
      <c r="CV7" s="147">
        <v>0</v>
      </c>
      <c r="CW7" s="147">
        <v>0</v>
      </c>
      <c r="CX7" s="902">
        <f t="shared" si="16"/>
        <v>0</v>
      </c>
      <c r="CY7" s="147">
        <v>0</v>
      </c>
      <c r="CZ7" s="147">
        <v>0</v>
      </c>
      <c r="DA7" s="147">
        <v>0</v>
      </c>
      <c r="DB7" s="147">
        <v>0</v>
      </c>
      <c r="DC7" s="902">
        <f t="shared" si="17"/>
        <v>0</v>
      </c>
      <c r="DD7" s="147">
        <f t="shared" ref="DD7:DG8" si="24">DC7</f>
        <v>0</v>
      </c>
      <c r="DE7" s="147">
        <f t="shared" si="24"/>
        <v>0</v>
      </c>
      <c r="DF7" s="147">
        <f t="shared" si="24"/>
        <v>0</v>
      </c>
      <c r="DG7" s="147">
        <f t="shared" si="24"/>
        <v>0</v>
      </c>
      <c r="DH7" s="902">
        <f t="shared" si="18"/>
        <v>0</v>
      </c>
      <c r="DI7" s="147">
        <f t="shared" ref="DI7:DL8" si="25">DH7</f>
        <v>0</v>
      </c>
      <c r="DJ7" s="147">
        <f t="shared" si="25"/>
        <v>0</v>
      </c>
      <c r="DK7" s="147">
        <f t="shared" si="25"/>
        <v>0</v>
      </c>
      <c r="DL7" s="147">
        <f t="shared" si="25"/>
        <v>0</v>
      </c>
      <c r="DM7" s="902">
        <f t="shared" si="19"/>
        <v>0</v>
      </c>
      <c r="DN7" s="147">
        <f t="shared" ref="DN7:DQ8" si="26">DM7</f>
        <v>0</v>
      </c>
      <c r="DO7" s="147">
        <f t="shared" si="26"/>
        <v>0</v>
      </c>
      <c r="DP7" s="147">
        <f t="shared" si="26"/>
        <v>0</v>
      </c>
      <c r="DQ7" s="147">
        <f t="shared" si="26"/>
        <v>0</v>
      </c>
      <c r="DR7" s="902">
        <f t="shared" ref="DR7:DR16" si="27">DQ7</f>
        <v>0</v>
      </c>
      <c r="DS7" s="147">
        <f t="shared" ref="DS7:DV8" si="28">DR7</f>
        <v>0</v>
      </c>
      <c r="DT7" s="147">
        <f t="shared" si="28"/>
        <v>0</v>
      </c>
      <c r="DU7" s="147">
        <f t="shared" si="28"/>
        <v>0</v>
      </c>
      <c r="DV7" s="147">
        <f t="shared" si="28"/>
        <v>0</v>
      </c>
      <c r="DW7" s="902">
        <f t="shared" si="20"/>
        <v>0</v>
      </c>
      <c r="DX7" s="147">
        <f t="shared" ref="DX7:EA8" si="29">DW7</f>
        <v>0</v>
      </c>
      <c r="DY7" s="147">
        <f t="shared" si="29"/>
        <v>0</v>
      </c>
      <c r="DZ7" s="147">
        <f t="shared" si="29"/>
        <v>0</v>
      </c>
      <c r="EA7" s="147">
        <f t="shared" si="29"/>
        <v>0</v>
      </c>
      <c r="EB7" s="902">
        <f t="shared" si="21"/>
        <v>0</v>
      </c>
      <c r="EC7" s="147">
        <f t="shared" ref="EC7:EF8" si="30">EB7</f>
        <v>0</v>
      </c>
      <c r="ED7" s="147">
        <f t="shared" si="30"/>
        <v>0</v>
      </c>
      <c r="EE7" s="147">
        <f t="shared" si="30"/>
        <v>0</v>
      </c>
      <c r="EF7" s="147">
        <f t="shared" si="30"/>
        <v>0</v>
      </c>
      <c r="EG7" s="902">
        <f t="shared" si="22"/>
        <v>0</v>
      </c>
      <c r="EH7" s="147">
        <f t="shared" si="22"/>
        <v>0</v>
      </c>
      <c r="EI7" s="147">
        <f t="shared" si="22"/>
        <v>0</v>
      </c>
      <c r="EJ7" s="147">
        <f t="shared" si="22"/>
        <v>0</v>
      </c>
      <c r="EK7" s="147">
        <f t="shared" si="22"/>
        <v>0</v>
      </c>
      <c r="EL7" s="902">
        <f t="shared" si="23"/>
        <v>0</v>
      </c>
      <c r="EM7" s="901"/>
      <c r="EN7"/>
      <c r="EO7"/>
      <c r="EP7"/>
      <c r="EQ7"/>
      <c r="ER7"/>
      <c r="ES7"/>
      <c r="ET7" s="141"/>
      <c r="EU7" s="141"/>
      <c r="EV7" s="141"/>
      <c r="EW7" s="141"/>
      <c r="EX7" s="141"/>
      <c r="EY7" s="141"/>
      <c r="EZ7" s="141"/>
      <c r="FA7" s="141"/>
      <c r="FB7" s="141"/>
      <c r="FC7" s="141"/>
      <c r="FD7" s="141"/>
      <c r="FE7" s="141"/>
      <c r="FF7" s="141"/>
      <c r="FG7" s="141"/>
      <c r="FH7" s="141"/>
      <c r="FI7" s="141"/>
      <c r="FJ7" s="141"/>
      <c r="FK7" s="141"/>
      <c r="FL7" s="141"/>
      <c r="FM7" s="141"/>
      <c r="FN7" s="141"/>
      <c r="FO7" s="141"/>
      <c r="FP7" s="141"/>
      <c r="FQ7" s="141"/>
      <c r="FR7" s="141"/>
      <c r="FS7" s="141"/>
      <c r="FT7" s="141"/>
      <c r="FU7" s="141"/>
      <c r="FV7" s="141"/>
      <c r="FW7" s="141"/>
      <c r="FX7" s="141"/>
      <c r="FY7" s="141"/>
      <c r="FZ7" s="141"/>
      <c r="GA7" s="141"/>
      <c r="GB7" s="141"/>
      <c r="GC7" s="141"/>
      <c r="GD7" s="141"/>
      <c r="GE7" s="141"/>
      <c r="GF7" s="141"/>
      <c r="GG7" s="141"/>
      <c r="GH7" s="141"/>
      <c r="GI7" s="141"/>
      <c r="GJ7" s="141"/>
      <c r="GK7" s="141"/>
      <c r="GL7" s="141"/>
      <c r="GM7" s="141"/>
      <c r="GN7" s="141"/>
      <c r="GO7" s="141"/>
      <c r="GP7" s="141"/>
      <c r="GQ7" s="141"/>
      <c r="GR7" s="141"/>
      <c r="GS7" s="141"/>
      <c r="GT7" s="141"/>
      <c r="GU7" s="141"/>
      <c r="GV7" s="141"/>
      <c r="GW7" s="141"/>
      <c r="GX7" s="141"/>
      <c r="GY7" s="141"/>
      <c r="GZ7" s="141"/>
      <c r="HA7" s="141"/>
      <c r="HB7" s="141"/>
      <c r="HC7" s="141"/>
      <c r="HD7" s="141"/>
      <c r="HE7" s="141"/>
      <c r="HF7" s="141"/>
      <c r="HG7" s="141"/>
      <c r="HH7" s="141"/>
      <c r="HI7" s="141"/>
      <c r="HJ7" s="141"/>
      <c r="HK7" s="141"/>
      <c r="HL7" s="141"/>
      <c r="HM7" s="141"/>
      <c r="HN7" s="141"/>
      <c r="HO7" s="141"/>
      <c r="HP7" s="141"/>
      <c r="HQ7" s="141"/>
      <c r="HR7" s="141"/>
      <c r="HS7" s="141"/>
      <c r="HT7" s="141"/>
      <c r="HU7" s="141"/>
      <c r="HV7" s="141"/>
      <c r="HW7" s="141"/>
      <c r="HX7" s="141"/>
      <c r="HY7" s="141"/>
      <c r="HZ7" s="141"/>
      <c r="IA7" s="141"/>
      <c r="IB7" s="141"/>
      <c r="IC7" s="141"/>
      <c r="ID7" s="141"/>
      <c r="IE7" s="141"/>
      <c r="IF7" s="141"/>
      <c r="IG7" s="141"/>
      <c r="IH7" s="141"/>
      <c r="II7" s="141"/>
      <c r="IJ7" s="141"/>
      <c r="IK7" s="141"/>
      <c r="IL7" s="141"/>
      <c r="IM7" s="141"/>
      <c r="IN7" s="141"/>
      <c r="IO7" s="141"/>
      <c r="IP7" s="141"/>
      <c r="IQ7" s="141"/>
      <c r="IR7" s="141"/>
      <c r="IS7" s="141"/>
      <c r="IT7" s="141"/>
      <c r="IU7" s="141"/>
      <c r="IV7" s="141"/>
      <c r="IW7" s="141"/>
      <c r="IX7" s="141"/>
      <c r="IY7" s="141"/>
      <c r="IZ7" s="141"/>
      <c r="JA7" s="141"/>
      <c r="JB7" s="141"/>
      <c r="JC7" s="141"/>
      <c r="JD7" s="141"/>
      <c r="JE7" s="141"/>
      <c r="JF7" s="141"/>
      <c r="JG7" s="141"/>
      <c r="JH7" s="141"/>
    </row>
    <row r="8" spans="1:268" s="142" customFormat="1" ht="12" hidden="1" customHeight="1" outlineLevel="1">
      <c r="A8" s="801"/>
      <c r="B8" s="557" t="s">
        <v>529</v>
      </c>
      <c r="C8" s="147"/>
      <c r="D8" s="147">
        <v>52.53</v>
      </c>
      <c r="E8" s="147">
        <v>51.4</v>
      </c>
      <c r="F8" s="147">
        <v>51.6</v>
      </c>
      <c r="G8" s="150">
        <v>139</v>
      </c>
      <c r="H8" s="900">
        <f t="shared" si="0"/>
        <v>139</v>
      </c>
      <c r="I8" s="147">
        <v>135.6</v>
      </c>
      <c r="J8" s="147">
        <v>135.19999999999999</v>
      </c>
      <c r="K8" s="147">
        <v>129.5</v>
      </c>
      <c r="L8" s="150">
        <v>112</v>
      </c>
      <c r="M8" s="900">
        <f t="shared" si="1"/>
        <v>112</v>
      </c>
      <c r="N8" s="147">
        <v>105.2</v>
      </c>
      <c r="O8" s="147">
        <v>103.1</v>
      </c>
      <c r="P8" s="147">
        <v>111.8</v>
      </c>
      <c r="Q8" s="150">
        <v>116</v>
      </c>
      <c r="R8" s="900">
        <f t="shared" si="2"/>
        <v>116</v>
      </c>
      <c r="S8" s="147">
        <v>119</v>
      </c>
      <c r="T8" s="147">
        <v>125</v>
      </c>
      <c r="U8" s="147">
        <v>132</v>
      </c>
      <c r="V8" s="150">
        <v>132</v>
      </c>
      <c r="W8" s="900">
        <f t="shared" si="3"/>
        <v>132</v>
      </c>
      <c r="X8" s="147">
        <v>135</v>
      </c>
      <c r="Y8" s="147">
        <v>139</v>
      </c>
      <c r="Z8" s="147">
        <v>130</v>
      </c>
      <c r="AA8" s="150">
        <v>130</v>
      </c>
      <c r="AB8" s="900">
        <f t="shared" ref="AB8:AB16" si="31">AA8</f>
        <v>130</v>
      </c>
      <c r="AC8" s="147">
        <v>119</v>
      </c>
      <c r="AD8" s="147">
        <v>123</v>
      </c>
      <c r="AE8" s="147">
        <v>111</v>
      </c>
      <c r="AF8" s="150">
        <v>110</v>
      </c>
      <c r="AG8" s="900">
        <f t="shared" ref="AG8:AG16" si="32">AF8</f>
        <v>110</v>
      </c>
      <c r="AH8" s="147">
        <v>106</v>
      </c>
      <c r="AI8" s="147">
        <v>105</v>
      </c>
      <c r="AJ8" s="147">
        <v>112</v>
      </c>
      <c r="AK8" s="150">
        <v>104</v>
      </c>
      <c r="AL8" s="900">
        <f t="shared" si="4"/>
        <v>104</v>
      </c>
      <c r="AM8" s="147">
        <v>103</v>
      </c>
      <c r="AN8" s="147">
        <v>103</v>
      </c>
      <c r="AO8" s="147">
        <v>110</v>
      </c>
      <c r="AP8" s="150">
        <v>100</v>
      </c>
      <c r="AQ8" s="900">
        <f t="shared" si="5"/>
        <v>100</v>
      </c>
      <c r="AR8" s="147">
        <v>102</v>
      </c>
      <c r="AS8" s="147">
        <v>90</v>
      </c>
      <c r="AT8" s="147">
        <v>97</v>
      </c>
      <c r="AU8" s="802"/>
      <c r="AV8" s="901"/>
      <c r="AW8" s="901"/>
      <c r="AX8" s="901"/>
      <c r="AY8" s="147">
        <v>85</v>
      </c>
      <c r="AZ8" s="902">
        <f t="shared" si="6"/>
        <v>85</v>
      </c>
      <c r="BA8" s="147">
        <v>95</v>
      </c>
      <c r="BB8" s="147">
        <v>103</v>
      </c>
      <c r="BC8" s="147">
        <v>103</v>
      </c>
      <c r="BD8" s="147">
        <v>123</v>
      </c>
      <c r="BE8" s="902">
        <f t="shared" si="7"/>
        <v>123</v>
      </c>
      <c r="BF8" s="147">
        <v>134</v>
      </c>
      <c r="BG8" s="147">
        <v>123</v>
      </c>
      <c r="BH8" s="147">
        <v>122</v>
      </c>
      <c r="BI8" s="147">
        <v>117</v>
      </c>
      <c r="BJ8" s="902">
        <f t="shared" si="8"/>
        <v>117</v>
      </c>
      <c r="BK8" s="147">
        <v>112</v>
      </c>
      <c r="BL8" s="147">
        <v>75</v>
      </c>
      <c r="BM8" s="147">
        <v>65</v>
      </c>
      <c r="BN8" s="147">
        <v>5</v>
      </c>
      <c r="BO8" s="902">
        <f t="shared" si="9"/>
        <v>5</v>
      </c>
      <c r="BP8" s="147">
        <v>10</v>
      </c>
      <c r="BQ8" s="147">
        <v>11</v>
      </c>
      <c r="BR8" s="147">
        <v>15</v>
      </c>
      <c r="BS8" s="147">
        <v>39</v>
      </c>
      <c r="BT8" s="902">
        <f t="shared" si="10"/>
        <v>39</v>
      </c>
      <c r="BU8" s="147">
        <v>38</v>
      </c>
      <c r="BV8" s="147">
        <v>39</v>
      </c>
      <c r="BW8" s="147">
        <v>34</v>
      </c>
      <c r="BX8" s="147">
        <v>20</v>
      </c>
      <c r="BY8" s="902">
        <f t="shared" si="11"/>
        <v>20</v>
      </c>
      <c r="BZ8" s="147">
        <v>14</v>
      </c>
      <c r="CA8" s="147">
        <v>8</v>
      </c>
      <c r="CB8" s="147">
        <v>0</v>
      </c>
      <c r="CC8" s="147">
        <v>2</v>
      </c>
      <c r="CD8" s="902">
        <f t="shared" si="12"/>
        <v>2</v>
      </c>
      <c r="CE8" s="147">
        <v>1</v>
      </c>
      <c r="CF8" s="147">
        <v>3</v>
      </c>
      <c r="CG8" s="147">
        <v>16</v>
      </c>
      <c r="CH8" s="147">
        <v>11</v>
      </c>
      <c r="CI8" s="902">
        <f t="shared" si="13"/>
        <v>11</v>
      </c>
      <c r="CJ8" s="147">
        <v>2</v>
      </c>
      <c r="CK8" s="147">
        <v>1</v>
      </c>
      <c r="CL8" s="147">
        <v>1</v>
      </c>
      <c r="CM8" s="147">
        <v>0</v>
      </c>
      <c r="CN8" s="902">
        <f t="shared" si="14"/>
        <v>0</v>
      </c>
      <c r="CO8" s="147">
        <v>1</v>
      </c>
      <c r="CP8" s="147">
        <v>0</v>
      </c>
      <c r="CQ8" s="147">
        <f>CP8</f>
        <v>0</v>
      </c>
      <c r="CR8" s="147">
        <f>CQ8</f>
        <v>0</v>
      </c>
      <c r="CS8" s="902">
        <f t="shared" si="15"/>
        <v>0</v>
      </c>
      <c r="CT8" s="147">
        <f>CS8</f>
        <v>0</v>
      </c>
      <c r="CU8" s="147">
        <v>0</v>
      </c>
      <c r="CV8" s="147">
        <v>0</v>
      </c>
      <c r="CW8" s="147">
        <v>0</v>
      </c>
      <c r="CX8" s="902">
        <f t="shared" si="16"/>
        <v>0</v>
      </c>
      <c r="CY8" s="903">
        <v>0</v>
      </c>
      <c r="CZ8" s="147">
        <v>0</v>
      </c>
      <c r="DA8" s="147">
        <v>0</v>
      </c>
      <c r="DB8" s="147">
        <v>0</v>
      </c>
      <c r="DC8" s="902">
        <f t="shared" si="17"/>
        <v>0</v>
      </c>
      <c r="DD8" s="903">
        <f t="shared" si="24"/>
        <v>0</v>
      </c>
      <c r="DE8" s="147">
        <f t="shared" si="24"/>
        <v>0</v>
      </c>
      <c r="DF8" s="147">
        <f t="shared" si="24"/>
        <v>0</v>
      </c>
      <c r="DG8" s="147">
        <f t="shared" si="24"/>
        <v>0</v>
      </c>
      <c r="DH8" s="902">
        <f t="shared" si="18"/>
        <v>0</v>
      </c>
      <c r="DI8" s="903">
        <f t="shared" si="25"/>
        <v>0</v>
      </c>
      <c r="DJ8" s="147">
        <f t="shared" si="25"/>
        <v>0</v>
      </c>
      <c r="DK8" s="147">
        <f t="shared" si="25"/>
        <v>0</v>
      </c>
      <c r="DL8" s="147">
        <f t="shared" si="25"/>
        <v>0</v>
      </c>
      <c r="DM8" s="902">
        <f t="shared" si="19"/>
        <v>0</v>
      </c>
      <c r="DN8" s="903">
        <f t="shared" si="26"/>
        <v>0</v>
      </c>
      <c r="DO8" s="147">
        <f t="shared" si="26"/>
        <v>0</v>
      </c>
      <c r="DP8" s="147">
        <f t="shared" si="26"/>
        <v>0</v>
      </c>
      <c r="DQ8" s="147">
        <f t="shared" si="26"/>
        <v>0</v>
      </c>
      <c r="DR8" s="902">
        <f t="shared" si="27"/>
        <v>0</v>
      </c>
      <c r="DS8" s="903">
        <f t="shared" si="28"/>
        <v>0</v>
      </c>
      <c r="DT8" s="903">
        <f t="shared" si="28"/>
        <v>0</v>
      </c>
      <c r="DU8" s="147">
        <f t="shared" si="28"/>
        <v>0</v>
      </c>
      <c r="DV8" s="147">
        <f t="shared" si="28"/>
        <v>0</v>
      </c>
      <c r="DW8" s="902">
        <f t="shared" si="20"/>
        <v>0</v>
      </c>
      <c r="DX8" s="903">
        <f t="shared" si="29"/>
        <v>0</v>
      </c>
      <c r="DY8" s="903">
        <f t="shared" si="29"/>
        <v>0</v>
      </c>
      <c r="DZ8" s="903">
        <f t="shared" si="29"/>
        <v>0</v>
      </c>
      <c r="EA8" s="903">
        <f t="shared" si="29"/>
        <v>0</v>
      </c>
      <c r="EB8" s="902">
        <f t="shared" si="21"/>
        <v>0</v>
      </c>
      <c r="EC8" s="903">
        <f t="shared" si="30"/>
        <v>0</v>
      </c>
      <c r="ED8" s="903">
        <f t="shared" si="30"/>
        <v>0</v>
      </c>
      <c r="EE8" s="903">
        <f t="shared" si="30"/>
        <v>0</v>
      </c>
      <c r="EF8" s="903">
        <f t="shared" si="30"/>
        <v>0</v>
      </c>
      <c r="EG8" s="902">
        <f t="shared" si="22"/>
        <v>0</v>
      </c>
      <c r="EH8" s="903">
        <f t="shared" si="22"/>
        <v>0</v>
      </c>
      <c r="EI8" s="903">
        <f t="shared" si="22"/>
        <v>0</v>
      </c>
      <c r="EJ8" s="903">
        <f t="shared" si="22"/>
        <v>0</v>
      </c>
      <c r="EK8" s="903">
        <f t="shared" si="22"/>
        <v>0</v>
      </c>
      <c r="EL8" s="902">
        <f t="shared" si="23"/>
        <v>0</v>
      </c>
      <c r="EM8" s="901"/>
      <c r="EN8"/>
      <c r="EO8"/>
      <c r="EP8"/>
      <c r="EQ8"/>
      <c r="ER8"/>
      <c r="ES8"/>
      <c r="ET8" s="141"/>
      <c r="EU8" s="141"/>
      <c r="EV8" s="141"/>
      <c r="EW8" s="141"/>
      <c r="EX8" s="141"/>
      <c r="EY8" s="141"/>
      <c r="EZ8" s="141"/>
      <c r="FA8" s="141"/>
      <c r="FB8" s="141"/>
      <c r="FC8" s="141"/>
      <c r="FD8" s="141"/>
      <c r="FE8" s="141"/>
      <c r="FF8" s="141"/>
      <c r="FG8" s="141"/>
      <c r="FH8" s="141"/>
      <c r="FI8" s="141"/>
      <c r="FJ8" s="141"/>
      <c r="FK8" s="141"/>
      <c r="FL8" s="141"/>
      <c r="FM8" s="141"/>
      <c r="FN8" s="141"/>
      <c r="FO8" s="141"/>
      <c r="FP8" s="141"/>
      <c r="FQ8" s="141"/>
      <c r="FR8" s="141"/>
      <c r="FS8" s="141"/>
      <c r="FT8" s="141"/>
      <c r="FU8" s="141"/>
      <c r="FV8" s="141"/>
      <c r="FW8" s="141"/>
      <c r="FX8" s="141"/>
      <c r="FY8" s="141"/>
      <c r="FZ8" s="141"/>
      <c r="GA8" s="141"/>
      <c r="GB8" s="141"/>
      <c r="GC8" s="141"/>
      <c r="GD8" s="141"/>
      <c r="GE8" s="141"/>
      <c r="GF8" s="141"/>
      <c r="GG8" s="141"/>
      <c r="GH8" s="141"/>
      <c r="GI8" s="141"/>
      <c r="GJ8" s="141"/>
      <c r="GK8" s="141"/>
      <c r="GL8" s="141"/>
      <c r="GM8" s="141"/>
      <c r="GN8" s="141"/>
      <c r="GO8" s="141"/>
      <c r="GP8" s="141"/>
      <c r="GQ8" s="141"/>
      <c r="GR8" s="141"/>
      <c r="GS8" s="141"/>
      <c r="GT8" s="141"/>
      <c r="GU8" s="141"/>
      <c r="GV8" s="141"/>
      <c r="GW8" s="141"/>
      <c r="GX8" s="141"/>
      <c r="GY8" s="141"/>
      <c r="GZ8" s="141"/>
      <c r="HA8" s="141"/>
      <c r="HB8" s="141"/>
      <c r="HC8" s="141"/>
      <c r="HD8" s="141"/>
      <c r="HE8" s="141"/>
      <c r="HF8" s="141"/>
      <c r="HG8" s="141"/>
      <c r="HH8" s="141"/>
      <c r="HI8" s="141"/>
      <c r="HJ8" s="141"/>
      <c r="HK8" s="141"/>
      <c r="HL8" s="141"/>
      <c r="HM8" s="141"/>
      <c r="HN8" s="141"/>
      <c r="HO8" s="141"/>
      <c r="HP8" s="141"/>
      <c r="HQ8" s="141"/>
      <c r="HR8" s="141"/>
      <c r="HS8" s="141"/>
      <c r="HT8" s="141"/>
      <c r="HU8" s="141"/>
      <c r="HV8" s="141"/>
      <c r="HW8" s="141"/>
      <c r="HX8" s="141"/>
      <c r="HY8" s="141"/>
      <c r="HZ8" s="141"/>
      <c r="IA8" s="141"/>
      <c r="IB8" s="141"/>
      <c r="IC8" s="141"/>
      <c r="ID8" s="141"/>
      <c r="IE8" s="141"/>
      <c r="IF8" s="141"/>
      <c r="IG8" s="141"/>
      <c r="IH8" s="141"/>
      <c r="II8" s="141"/>
      <c r="IJ8" s="141"/>
      <c r="IK8" s="141"/>
      <c r="IL8" s="141"/>
      <c r="IM8" s="141"/>
      <c r="IN8" s="141"/>
      <c r="IO8" s="141"/>
      <c r="IP8" s="141"/>
      <c r="IQ8" s="141"/>
      <c r="IR8" s="141"/>
      <c r="IS8" s="141"/>
      <c r="IT8" s="141"/>
      <c r="IU8" s="141"/>
      <c r="IV8" s="141"/>
      <c r="IW8" s="141"/>
      <c r="IX8" s="141"/>
      <c r="IY8" s="141"/>
      <c r="IZ8" s="141"/>
      <c r="JA8" s="141"/>
      <c r="JB8" s="141"/>
      <c r="JC8" s="141"/>
      <c r="JD8" s="141"/>
      <c r="JE8" s="141"/>
      <c r="JF8" s="141"/>
      <c r="JG8" s="141"/>
      <c r="JH8" s="141"/>
    </row>
    <row r="9" spans="1:268" s="142" customFormat="1" ht="12" hidden="1" customHeight="1" outlineLevel="1">
      <c r="A9" s="845"/>
      <c r="B9" s="846" t="s">
        <v>530</v>
      </c>
      <c r="C9" s="903"/>
      <c r="D9" s="903">
        <f>D11-D10</f>
        <v>440.09100000000001</v>
      </c>
      <c r="E9" s="903">
        <f>E11-E10</f>
        <v>478.59999999999997</v>
      </c>
      <c r="F9" s="903">
        <f>F11-F10</f>
        <v>482.40000000000003</v>
      </c>
      <c r="G9" s="903">
        <f>G11-G10</f>
        <v>749</v>
      </c>
      <c r="H9" s="902">
        <f t="shared" si="0"/>
        <v>749</v>
      </c>
      <c r="I9" s="903">
        <f>I11-I10</f>
        <v>769.59999999999991</v>
      </c>
      <c r="J9" s="903">
        <f>J11-J10</f>
        <v>892.30000000000007</v>
      </c>
      <c r="K9" s="903">
        <f>K11-K10</f>
        <v>958.7</v>
      </c>
      <c r="L9" s="903">
        <f>L11-L10</f>
        <v>994</v>
      </c>
      <c r="M9" s="902">
        <f t="shared" si="1"/>
        <v>994</v>
      </c>
      <c r="N9" s="903">
        <f>N11-N10</f>
        <v>1039.5999999999999</v>
      </c>
      <c r="O9" s="903">
        <f>O11-O10</f>
        <v>1188.5</v>
      </c>
      <c r="P9" s="903">
        <f>P11-P10</f>
        <v>1576.7</v>
      </c>
      <c r="Q9" s="903">
        <f>Q11-Q10</f>
        <v>1570</v>
      </c>
      <c r="R9" s="902">
        <f t="shared" si="2"/>
        <v>1570</v>
      </c>
      <c r="S9" s="903">
        <f>S11-S10</f>
        <v>1583</v>
      </c>
      <c r="T9" s="903">
        <f>T11-T10</f>
        <v>1774</v>
      </c>
      <c r="U9" s="903">
        <f>U11-U10</f>
        <v>1929</v>
      </c>
      <c r="V9" s="903">
        <f>V11-V10</f>
        <v>1933</v>
      </c>
      <c r="W9" s="902">
        <f t="shared" si="3"/>
        <v>1933</v>
      </c>
      <c r="X9" s="903">
        <f>X11-X10</f>
        <v>2067</v>
      </c>
      <c r="Y9" s="903">
        <f>Y11-Y10</f>
        <v>2247</v>
      </c>
      <c r="Z9" s="903">
        <f>Z11-Z10</f>
        <v>2547</v>
      </c>
      <c r="AA9" s="903">
        <f>AA11-AA10</f>
        <v>2605</v>
      </c>
      <c r="AB9" s="902">
        <f t="shared" si="31"/>
        <v>2605</v>
      </c>
      <c r="AC9" s="903">
        <f>AC11-AC10</f>
        <v>2741</v>
      </c>
      <c r="AD9" s="903">
        <f>AD11-AD10</f>
        <v>2761</v>
      </c>
      <c r="AE9" s="903">
        <f>AE11-AE10</f>
        <v>2930</v>
      </c>
      <c r="AF9" s="903">
        <f>AF11-AF10</f>
        <v>2864</v>
      </c>
      <c r="AG9" s="902">
        <f t="shared" si="32"/>
        <v>2864</v>
      </c>
      <c r="AH9" s="903">
        <f>AH11-AH10</f>
        <v>2870</v>
      </c>
      <c r="AI9" s="903">
        <f>AI11-AI10</f>
        <v>2899</v>
      </c>
      <c r="AJ9" s="903">
        <f>AJ11-AJ10</f>
        <v>2994</v>
      </c>
      <c r="AK9" s="903">
        <f>AK11-AK10</f>
        <v>2719</v>
      </c>
      <c r="AL9" s="902">
        <f t="shared" si="4"/>
        <v>2719</v>
      </c>
      <c r="AM9" s="903">
        <f>AM11-AM10</f>
        <v>2687</v>
      </c>
      <c r="AN9" s="903">
        <f>AN11-AN10</f>
        <v>2702</v>
      </c>
      <c r="AO9" s="903">
        <f>AO11-AO10</f>
        <v>2792</v>
      </c>
      <c r="AP9" s="903">
        <f>AP11-AP10</f>
        <v>2740</v>
      </c>
      <c r="AQ9" s="902">
        <f t="shared" si="5"/>
        <v>2740</v>
      </c>
      <c r="AR9" s="903">
        <f>AR11-AR10</f>
        <v>2808</v>
      </c>
      <c r="AS9" s="903">
        <f>AS11-AS10</f>
        <v>2934</v>
      </c>
      <c r="AT9" s="903">
        <f>AT11-AT10</f>
        <v>3004</v>
      </c>
      <c r="AU9" s="802"/>
      <c r="AV9" s="901"/>
      <c r="AW9" s="901"/>
      <c r="AX9" s="901"/>
      <c r="AY9" s="903">
        <f>AY11-AY10</f>
        <v>2940</v>
      </c>
      <c r="AZ9" s="902">
        <f t="shared" si="6"/>
        <v>2940</v>
      </c>
      <c r="BA9" s="903">
        <f>BA11-BA10</f>
        <v>3090</v>
      </c>
      <c r="BB9" s="903">
        <f>BB11-BB10</f>
        <v>3018</v>
      </c>
      <c r="BC9" s="903">
        <f>BC11-BC10</f>
        <v>2965</v>
      </c>
      <c r="BD9" s="903">
        <f>BD11-BD10</f>
        <v>2915</v>
      </c>
      <c r="BE9" s="902">
        <f t="shared" si="7"/>
        <v>2915</v>
      </c>
      <c r="BF9" s="903">
        <f>BF11-BF10</f>
        <v>2861</v>
      </c>
      <c r="BG9" s="903">
        <f>BG11-BG10</f>
        <v>2767</v>
      </c>
      <c r="BH9" s="903">
        <f>BH11-BH10</f>
        <v>2591</v>
      </c>
      <c r="BI9" s="903">
        <f>BI11-BI10</f>
        <v>2386</v>
      </c>
      <c r="BJ9" s="902">
        <f t="shared" si="8"/>
        <v>2386</v>
      </c>
      <c r="BK9" s="903">
        <f>BK11-BK10</f>
        <v>2274</v>
      </c>
      <c r="BL9" s="903">
        <f>BL11-BL10</f>
        <v>2141</v>
      </c>
      <c r="BM9" s="903">
        <f>BM11-BM10</f>
        <v>2165</v>
      </c>
      <c r="BN9" s="903">
        <f>BN11-BN10</f>
        <v>2119</v>
      </c>
      <c r="BO9" s="902">
        <f t="shared" si="9"/>
        <v>2119</v>
      </c>
      <c r="BP9" s="903">
        <f>BP11-BP10</f>
        <v>2159</v>
      </c>
      <c r="BQ9" s="903">
        <f>BQ11-BQ10</f>
        <v>2003</v>
      </c>
      <c r="BR9" s="903">
        <f>BR11-BR10</f>
        <v>1952</v>
      </c>
      <c r="BS9" s="903">
        <f>BS11-BS10</f>
        <v>1911</v>
      </c>
      <c r="BT9" s="902">
        <f t="shared" si="10"/>
        <v>1911</v>
      </c>
      <c r="BU9" s="903">
        <f>BU11-BU10</f>
        <v>1910</v>
      </c>
      <c r="BV9" s="903">
        <f>BV11-BV10</f>
        <v>1846</v>
      </c>
      <c r="BW9" s="903">
        <f>BW11-BW10</f>
        <v>1832</v>
      </c>
      <c r="BX9" s="903">
        <f>BX11-BX10</f>
        <v>1826</v>
      </c>
      <c r="BY9" s="902">
        <f t="shared" si="11"/>
        <v>1826</v>
      </c>
      <c r="BZ9" s="903">
        <v>1896</v>
      </c>
      <c r="CA9" s="903">
        <v>1860</v>
      </c>
      <c r="CB9" s="903">
        <v>1754</v>
      </c>
      <c r="CC9" s="903">
        <v>1733</v>
      </c>
      <c r="CD9" s="902">
        <f t="shared" si="12"/>
        <v>1733</v>
      </c>
      <c r="CE9" s="903">
        <f>CE11-CE10</f>
        <v>1776</v>
      </c>
      <c r="CF9" s="903">
        <f>CF11-CF10</f>
        <v>1632</v>
      </c>
      <c r="CG9" s="903">
        <f>CG11-CG10</f>
        <v>1578</v>
      </c>
      <c r="CH9" s="903">
        <f>CH11-CH10</f>
        <v>1527</v>
      </c>
      <c r="CI9" s="902">
        <f t="shared" si="13"/>
        <v>1527</v>
      </c>
      <c r="CJ9" s="903">
        <f>CJ11-CJ10</f>
        <v>1569</v>
      </c>
      <c r="CK9" s="903">
        <f>CK11-CK10</f>
        <v>1524</v>
      </c>
      <c r="CL9" s="903">
        <f>CL11-CL10</f>
        <v>1484</v>
      </c>
      <c r="CM9" s="903">
        <f>CM11-CM10</f>
        <v>1495</v>
      </c>
      <c r="CN9" s="902">
        <f t="shared" si="14"/>
        <v>1495</v>
      </c>
      <c r="CO9" s="903">
        <f>CO11-CO10</f>
        <v>1596</v>
      </c>
      <c r="CP9" s="903">
        <f>CP11-CP10</f>
        <v>1622</v>
      </c>
      <c r="CQ9" s="903">
        <f>CQ11-CQ10</f>
        <v>1598</v>
      </c>
      <c r="CR9" s="903">
        <f>CR11-CR10</f>
        <v>1675</v>
      </c>
      <c r="CS9" s="902">
        <f t="shared" si="15"/>
        <v>1675</v>
      </c>
      <c r="CT9" s="903">
        <f>CT11-CT10</f>
        <v>1797</v>
      </c>
      <c r="CU9" s="903">
        <f>CU11-CU10</f>
        <v>1757</v>
      </c>
      <c r="CV9" s="903">
        <f>CV11-CV10</f>
        <v>1740</v>
      </c>
      <c r="CW9" s="903">
        <f>CW11-CW10</f>
        <v>1746</v>
      </c>
      <c r="CX9" s="902">
        <f t="shared" si="16"/>
        <v>1746</v>
      </c>
      <c r="CY9" s="903">
        <f>CY11-CY10</f>
        <v>1790</v>
      </c>
      <c r="CZ9" s="147">
        <f ca="1">CZ11-CZ10</f>
        <v>1770</v>
      </c>
      <c r="DA9" s="147">
        <f>DA11-DA10</f>
        <v>940</v>
      </c>
      <c r="DB9" s="903">
        <f ca="1">DB11-DB10</f>
        <v>2439</v>
      </c>
      <c r="DC9" s="902">
        <f t="shared" ca="1" si="17"/>
        <v>2439</v>
      </c>
      <c r="DD9" s="903">
        <f>DD11-DD10</f>
        <v>2812</v>
      </c>
      <c r="DE9" s="903">
        <f>DE11-DE10</f>
        <v>2924</v>
      </c>
      <c r="DF9" s="147">
        <f>DF11-DF10</f>
        <v>3011</v>
      </c>
      <c r="DG9" s="903">
        <f>DG11-DG10</f>
        <v>3256</v>
      </c>
      <c r="DH9" s="902">
        <f t="shared" si="18"/>
        <v>3256</v>
      </c>
      <c r="DI9" s="903">
        <f ca="1">DI11-DI10</f>
        <v>3139</v>
      </c>
      <c r="DJ9" s="903">
        <f ca="1">DJ11-DJ10</f>
        <v>3258</v>
      </c>
      <c r="DK9" s="903">
        <f>DK11-DK10</f>
        <v>3438</v>
      </c>
      <c r="DL9" s="903">
        <f>DL11-DL10</f>
        <v>3591</v>
      </c>
      <c r="DM9" s="902">
        <f t="shared" si="19"/>
        <v>3591</v>
      </c>
      <c r="DN9" s="903">
        <f ca="1">DN11-DN10</f>
        <v>3478</v>
      </c>
      <c r="DO9" s="903">
        <f>DO11-DO10</f>
        <v>3680</v>
      </c>
      <c r="DP9" s="903">
        <f>DP11-DP10</f>
        <v>3767</v>
      </c>
      <c r="DQ9" s="903">
        <f>DQ11-DQ10</f>
        <v>3928</v>
      </c>
      <c r="DR9" s="902">
        <f t="shared" si="27"/>
        <v>3928</v>
      </c>
      <c r="DS9" s="903">
        <f>DS11-DS10</f>
        <v>4001</v>
      </c>
      <c r="DT9" s="903">
        <f>DT11-DT10</f>
        <v>3672</v>
      </c>
      <c r="DU9" s="903">
        <f>DU11-DU10</f>
        <v>3501</v>
      </c>
      <c r="DV9" s="903">
        <f>DV11-DV10</f>
        <v>3514</v>
      </c>
      <c r="DW9" s="902">
        <f t="shared" si="20"/>
        <v>3514</v>
      </c>
      <c r="DX9" s="903">
        <f ca="1">DX11-DX10</f>
        <v>3580.5451934030789</v>
      </c>
      <c r="DY9" s="903">
        <f ca="1">DY11-DY10</f>
        <v>3584.4171592294892</v>
      </c>
      <c r="DZ9" s="903">
        <f ca="1">DZ11-DZ10</f>
        <v>3612.8615651490363</v>
      </c>
      <c r="EA9" s="903">
        <f ca="1">EA11-EA10</f>
        <v>3718.2365447073689</v>
      </c>
      <c r="EB9" s="902">
        <f t="shared" ca="1" si="21"/>
        <v>3718.2365447073689</v>
      </c>
      <c r="EC9" s="903">
        <f ca="1">EC11-EC10</f>
        <v>3906.46777764629</v>
      </c>
      <c r="ED9" s="903">
        <f ca="1">ED11-ED10</f>
        <v>3915.7943849667699</v>
      </c>
      <c r="EE9" s="903">
        <f ca="1">EE11-EE10</f>
        <v>3866.8095772703309</v>
      </c>
      <c r="EF9" s="903">
        <f ca="1">EF11-EF10</f>
        <v>4074.4447279025335</v>
      </c>
      <c r="EG9" s="902">
        <f t="shared" ca="1" si="22"/>
        <v>4074.4447279025335</v>
      </c>
      <c r="EH9" s="903">
        <f ca="1">EH11-EH10</f>
        <v>4062.0410409418728</v>
      </c>
      <c r="EI9" s="903">
        <f ca="1">EI11-EI10</f>
        <v>4096.4949810779653</v>
      </c>
      <c r="EJ9" s="903">
        <f ca="1">EJ11-EJ10</f>
        <v>3978.6216097542556</v>
      </c>
      <c r="EK9" s="903">
        <f ca="1">EK11-EK10</f>
        <v>4197.2812747292464</v>
      </c>
      <c r="EL9" s="902">
        <f t="shared" ca="1" si="23"/>
        <v>4197.2812747292464</v>
      </c>
      <c r="EM9" s="901"/>
      <c r="EN9"/>
      <c r="EO9"/>
      <c r="EP9"/>
      <c r="EQ9"/>
      <c r="ER9"/>
      <c r="ES9"/>
      <c r="ET9" s="141"/>
      <c r="EU9" s="141"/>
      <c r="EV9" s="141"/>
      <c r="EW9" s="141"/>
      <c r="EX9" s="141"/>
      <c r="EY9" s="141"/>
      <c r="EZ9" s="141"/>
      <c r="FA9" s="141"/>
      <c r="FB9" s="141"/>
      <c r="FC9" s="141"/>
      <c r="FD9" s="141"/>
      <c r="FE9" s="141"/>
      <c r="FF9" s="141"/>
      <c r="FG9" s="141"/>
      <c r="FH9" s="141"/>
      <c r="FI9" s="141"/>
      <c r="FJ9" s="141"/>
      <c r="FK9" s="141"/>
      <c r="FL9" s="141"/>
      <c r="FM9" s="141"/>
      <c r="FN9" s="141"/>
      <c r="FO9" s="141"/>
      <c r="FP9" s="141"/>
      <c r="FQ9" s="141"/>
      <c r="FR9" s="141"/>
      <c r="FS9" s="141"/>
      <c r="FT9" s="141"/>
      <c r="FU9" s="141"/>
      <c r="FV9" s="141"/>
      <c r="FW9" s="141"/>
      <c r="FX9" s="141"/>
      <c r="FY9" s="141"/>
      <c r="FZ9" s="141"/>
      <c r="GA9" s="141"/>
      <c r="GB9" s="141"/>
      <c r="GC9" s="141"/>
      <c r="GD9" s="141"/>
      <c r="GE9" s="141"/>
      <c r="GF9" s="141"/>
      <c r="GG9" s="141"/>
      <c r="GH9" s="141"/>
      <c r="GI9" s="141"/>
      <c r="GJ9" s="141"/>
      <c r="GK9" s="141"/>
      <c r="GL9" s="141"/>
      <c r="GM9" s="141"/>
      <c r="GN9" s="141"/>
      <c r="GO9" s="141"/>
      <c r="GP9" s="141"/>
      <c r="GQ9" s="141"/>
      <c r="GR9" s="141"/>
      <c r="GS9" s="141"/>
      <c r="GT9" s="141"/>
      <c r="GU9" s="141"/>
      <c r="GV9" s="141"/>
      <c r="GW9" s="141"/>
      <c r="GX9" s="141"/>
      <c r="GY9" s="141"/>
      <c r="GZ9" s="141"/>
      <c r="HA9" s="141"/>
      <c r="HB9" s="141"/>
      <c r="HC9" s="141"/>
      <c r="HD9" s="141"/>
      <c r="HE9" s="141"/>
      <c r="HF9" s="141"/>
      <c r="HG9" s="141"/>
      <c r="HH9" s="141"/>
      <c r="HI9" s="141"/>
      <c r="HJ9" s="141"/>
      <c r="HK9" s="141"/>
      <c r="HL9" s="141"/>
      <c r="HM9" s="141"/>
      <c r="HN9" s="141"/>
      <c r="HO9" s="141"/>
      <c r="HP9" s="141"/>
      <c r="HQ9" s="141"/>
      <c r="HR9" s="141"/>
      <c r="HS9" s="141"/>
      <c r="HT9" s="141"/>
      <c r="HU9" s="141"/>
      <c r="HV9" s="141"/>
      <c r="HW9" s="141"/>
      <c r="HX9" s="141"/>
      <c r="HY9" s="141"/>
      <c r="HZ9" s="141"/>
      <c r="IA9" s="141"/>
      <c r="IB9" s="141"/>
      <c r="IC9" s="141"/>
      <c r="ID9" s="141"/>
      <c r="IE9" s="141"/>
      <c r="IF9" s="141"/>
      <c r="IG9" s="141"/>
      <c r="IH9" s="141"/>
      <c r="II9" s="141"/>
      <c r="IJ9" s="141"/>
      <c r="IK9" s="141"/>
      <c r="IL9" s="141"/>
      <c r="IM9" s="141"/>
      <c r="IN9" s="141"/>
      <c r="IO9" s="141"/>
      <c r="IP9" s="141"/>
      <c r="IQ9" s="141"/>
      <c r="IR9" s="141"/>
      <c r="IS9" s="141"/>
      <c r="IT9" s="141"/>
      <c r="IU9" s="141"/>
      <c r="IV9" s="141"/>
      <c r="IW9" s="141"/>
      <c r="IX9" s="141"/>
      <c r="IY9" s="141"/>
      <c r="IZ9" s="141"/>
      <c r="JA9" s="141"/>
      <c r="JB9" s="141"/>
      <c r="JC9" s="141"/>
      <c r="JD9" s="141"/>
      <c r="JE9" s="141"/>
      <c r="JF9" s="141"/>
      <c r="JG9" s="141"/>
      <c r="JH9" s="141"/>
    </row>
    <row r="10" spans="1:268" s="142" customFormat="1" ht="12" hidden="1" customHeight="1" outlineLevel="1">
      <c r="A10" s="845"/>
      <c r="B10" s="846" t="s">
        <v>531</v>
      </c>
      <c r="C10" s="904"/>
      <c r="D10" s="904">
        <v>-67.247</v>
      </c>
      <c r="E10" s="904">
        <v>-67.2</v>
      </c>
      <c r="F10" s="904">
        <v>-71.3</v>
      </c>
      <c r="G10" s="905">
        <v>-184</v>
      </c>
      <c r="H10" s="906">
        <f t="shared" si="0"/>
        <v>-184</v>
      </c>
      <c r="I10" s="904">
        <v>-167.8</v>
      </c>
      <c r="J10" s="904">
        <v>-161.1</v>
      </c>
      <c r="K10" s="904">
        <v>-154.1</v>
      </c>
      <c r="L10" s="905">
        <v>-156</v>
      </c>
      <c r="M10" s="906">
        <f t="shared" si="1"/>
        <v>-156</v>
      </c>
      <c r="N10" s="904">
        <v>-154.80000000000001</v>
      </c>
      <c r="O10" s="904">
        <v>-182.2</v>
      </c>
      <c r="P10" s="904">
        <v>-228.4</v>
      </c>
      <c r="Q10" s="905">
        <v>-224</v>
      </c>
      <c r="R10" s="906">
        <f t="shared" si="2"/>
        <v>-224</v>
      </c>
      <c r="S10" s="904">
        <v>-236</v>
      </c>
      <c r="T10" s="904">
        <v>-215</v>
      </c>
      <c r="U10" s="904">
        <v>-204</v>
      </c>
      <c r="V10" s="905">
        <v>-191</v>
      </c>
      <c r="W10" s="906">
        <f t="shared" si="3"/>
        <v>-191</v>
      </c>
      <c r="X10" s="904">
        <v>-182</v>
      </c>
      <c r="Y10" s="904">
        <v>-203</v>
      </c>
      <c r="Z10" s="904">
        <v>-244</v>
      </c>
      <c r="AA10" s="905">
        <v>-287</v>
      </c>
      <c r="AB10" s="906">
        <f t="shared" si="31"/>
        <v>-287</v>
      </c>
      <c r="AC10" s="904">
        <v>-317</v>
      </c>
      <c r="AD10" s="904">
        <v>-293</v>
      </c>
      <c r="AE10" s="904">
        <v>-361</v>
      </c>
      <c r="AF10" s="905">
        <v>-358</v>
      </c>
      <c r="AG10" s="906">
        <f t="shared" si="32"/>
        <v>-358</v>
      </c>
      <c r="AH10" s="904">
        <v>-355</v>
      </c>
      <c r="AI10" s="904">
        <v>-354</v>
      </c>
      <c r="AJ10" s="904">
        <v>-347</v>
      </c>
      <c r="AK10" s="905">
        <v>-333</v>
      </c>
      <c r="AL10" s="906">
        <f t="shared" si="4"/>
        <v>-333</v>
      </c>
      <c r="AM10" s="904">
        <v>-339</v>
      </c>
      <c r="AN10" s="904">
        <v>-325</v>
      </c>
      <c r="AO10" s="904">
        <v>-315</v>
      </c>
      <c r="AP10" s="905">
        <v>-315</v>
      </c>
      <c r="AQ10" s="906">
        <f t="shared" si="5"/>
        <v>-315</v>
      </c>
      <c r="AR10" s="904">
        <v>-328</v>
      </c>
      <c r="AS10" s="904">
        <v>-350</v>
      </c>
      <c r="AT10" s="904">
        <v>-342</v>
      </c>
      <c r="AU10" s="802"/>
      <c r="AV10" s="907"/>
      <c r="AW10" s="907"/>
      <c r="AX10" s="907"/>
      <c r="AY10" s="904">
        <v>-350</v>
      </c>
      <c r="AZ10" s="908">
        <f t="shared" si="6"/>
        <v>-350</v>
      </c>
      <c r="BA10" s="904">
        <v>-357</v>
      </c>
      <c r="BB10" s="904">
        <v>-351</v>
      </c>
      <c r="BC10" s="904">
        <v>-500</v>
      </c>
      <c r="BD10" s="904">
        <v>-500</v>
      </c>
      <c r="BE10" s="908">
        <f t="shared" si="7"/>
        <v>-500</v>
      </c>
      <c r="BF10" s="904">
        <v>-514</v>
      </c>
      <c r="BG10" s="904">
        <v>-838</v>
      </c>
      <c r="BH10" s="904">
        <v>-800</v>
      </c>
      <c r="BI10" s="904">
        <v>-698</v>
      </c>
      <c r="BJ10" s="909">
        <f t="shared" si="8"/>
        <v>-698</v>
      </c>
      <c r="BK10" s="904">
        <v>-683</v>
      </c>
      <c r="BL10" s="904">
        <v>-642</v>
      </c>
      <c r="BM10" s="904">
        <v>-642</v>
      </c>
      <c r="BN10" s="904">
        <v>-594</v>
      </c>
      <c r="BO10" s="909">
        <f t="shared" si="9"/>
        <v>-594</v>
      </c>
      <c r="BP10" s="904">
        <v>-575</v>
      </c>
      <c r="BQ10" s="904">
        <v>-519</v>
      </c>
      <c r="BR10" s="904">
        <v>-499</v>
      </c>
      <c r="BS10" s="904">
        <v>-498</v>
      </c>
      <c r="BT10" s="909">
        <f t="shared" si="10"/>
        <v>-498</v>
      </c>
      <c r="BU10" s="904">
        <v>-483</v>
      </c>
      <c r="BV10" s="904">
        <v>-483</v>
      </c>
      <c r="BW10" s="904">
        <v>-478</v>
      </c>
      <c r="BX10" s="904">
        <v>-441</v>
      </c>
      <c r="BY10" s="909">
        <f t="shared" si="11"/>
        <v>-441</v>
      </c>
      <c r="BZ10" s="904">
        <v>-428</v>
      </c>
      <c r="CA10" s="904">
        <v>-410</v>
      </c>
      <c r="CB10" s="904">
        <v>-398</v>
      </c>
      <c r="CC10" s="904">
        <v>-396</v>
      </c>
      <c r="CD10" s="909">
        <f t="shared" si="12"/>
        <v>-396</v>
      </c>
      <c r="CE10" s="904">
        <v>-391</v>
      </c>
      <c r="CF10" s="904">
        <v>-407</v>
      </c>
      <c r="CG10" s="904">
        <v>-383</v>
      </c>
      <c r="CH10" s="904">
        <v>-369</v>
      </c>
      <c r="CI10" s="909">
        <f t="shared" si="13"/>
        <v>-369</v>
      </c>
      <c r="CJ10" s="904">
        <v>-361</v>
      </c>
      <c r="CK10" s="904">
        <v>-364</v>
      </c>
      <c r="CL10" s="904">
        <v>-355</v>
      </c>
      <c r="CM10" s="904">
        <v>-352</v>
      </c>
      <c r="CN10" s="909">
        <f t="shared" si="14"/>
        <v>-352</v>
      </c>
      <c r="CO10" s="904">
        <v>-359</v>
      </c>
      <c r="CP10" s="904">
        <v>-364</v>
      </c>
      <c r="CQ10" s="904">
        <v>-377</v>
      </c>
      <c r="CR10" s="904">
        <v>-397</v>
      </c>
      <c r="CS10" s="909">
        <f t="shared" si="15"/>
        <v>-397</v>
      </c>
      <c r="CT10" s="904">
        <v>-380</v>
      </c>
      <c r="CU10" s="904">
        <v>-401</v>
      </c>
      <c r="CV10" s="904">
        <v>-402</v>
      </c>
      <c r="CW10" s="904">
        <v>-401</v>
      </c>
      <c r="CX10" s="909">
        <f t="shared" si="16"/>
        <v>-401</v>
      </c>
      <c r="CY10" s="904">
        <v>-407</v>
      </c>
      <c r="CZ10" s="904">
        <f ca="1">CZ83</f>
        <v>-401</v>
      </c>
      <c r="DA10" s="904">
        <v>440</v>
      </c>
      <c r="DB10" s="904">
        <f ca="1">DB83</f>
        <v>-401</v>
      </c>
      <c r="DC10" s="909">
        <f t="shared" ca="1" si="17"/>
        <v>-401</v>
      </c>
      <c r="DD10" s="904">
        <v>-671</v>
      </c>
      <c r="DE10" s="904">
        <v>-753</v>
      </c>
      <c r="DF10" s="904">
        <v>-773</v>
      </c>
      <c r="DG10" s="904">
        <v>-852</v>
      </c>
      <c r="DH10" s="909">
        <f t="shared" si="18"/>
        <v>-852</v>
      </c>
      <c r="DI10" s="904">
        <f ca="1">DI83</f>
        <v>-671</v>
      </c>
      <c r="DJ10" s="904">
        <f ca="1">DJ83</f>
        <v>-753</v>
      </c>
      <c r="DK10" s="904">
        <v>-913</v>
      </c>
      <c r="DL10" s="904">
        <v>-887</v>
      </c>
      <c r="DM10" s="909">
        <f t="shared" si="19"/>
        <v>-887</v>
      </c>
      <c r="DN10" s="904">
        <f ca="1">DN83</f>
        <v>-671</v>
      </c>
      <c r="DO10" s="904">
        <v>-946</v>
      </c>
      <c r="DP10" s="904">
        <v>-981</v>
      </c>
      <c r="DQ10" s="904">
        <v>-1031</v>
      </c>
      <c r="DR10" s="909">
        <f t="shared" si="27"/>
        <v>-1031</v>
      </c>
      <c r="DS10" s="904">
        <v>-1041</v>
      </c>
      <c r="DT10" s="904">
        <v>-966</v>
      </c>
      <c r="DU10" s="904">
        <v>-934</v>
      </c>
      <c r="DV10" s="904">
        <v>-898</v>
      </c>
      <c r="DW10" s="909">
        <f t="shared" si="20"/>
        <v>-898</v>
      </c>
      <c r="DX10" s="910">
        <f ca="1">DX83</f>
        <v>-1076.3239692833527</v>
      </c>
      <c r="DY10" s="910">
        <f ca="1">DY83</f>
        <v>-1114.6529482403707</v>
      </c>
      <c r="DZ10" s="910">
        <f ca="1">DZ83</f>
        <v>-1137.1411592150084</v>
      </c>
      <c r="EA10" s="910">
        <f ca="1">EA83</f>
        <v>-1173.6901133720146</v>
      </c>
      <c r="EB10" s="909">
        <f t="shared" ca="1" si="21"/>
        <v>-1173.6901133720146</v>
      </c>
      <c r="EC10" s="910">
        <f ca="1">EC83</f>
        <v>-1188.5012002059739</v>
      </c>
      <c r="ED10" s="910">
        <f ca="1">ED83</f>
        <v>-1190.6559437654594</v>
      </c>
      <c r="EE10" s="910">
        <f ca="1">EE83</f>
        <v>-1183.0556332612775</v>
      </c>
      <c r="EF10" s="910">
        <f ca="1">EF83</f>
        <v>-1206.2451090142895</v>
      </c>
      <c r="EG10" s="909">
        <f t="shared" ca="1" si="22"/>
        <v>-1206.2451090142895</v>
      </c>
      <c r="EH10" s="910">
        <f ca="1">EH83</f>
        <v>-1197.5777843724738</v>
      </c>
      <c r="EI10" s="910">
        <f ca="1">EI83</f>
        <v>-1195.1360033444096</v>
      </c>
      <c r="EJ10" s="910">
        <f ca="1">EJ83</f>
        <v>-1179.9784382358546</v>
      </c>
      <c r="EK10" s="910">
        <f ca="1">EK83</f>
        <v>-1203.3854274368009</v>
      </c>
      <c r="EL10" s="909">
        <f t="shared" ca="1" si="23"/>
        <v>-1203.3854274368009</v>
      </c>
      <c r="EM10" s="901"/>
      <c r="EN10"/>
      <c r="EO10"/>
      <c r="EP10"/>
      <c r="EQ10"/>
      <c r="ER10"/>
      <c r="ES10"/>
      <c r="ET10" s="141"/>
      <c r="EU10" s="141"/>
      <c r="EV10" s="141"/>
      <c r="EW10" s="141"/>
      <c r="EX10" s="141"/>
      <c r="EY10" s="141"/>
      <c r="EZ10" s="141"/>
      <c r="FA10" s="141"/>
      <c r="FB10" s="141"/>
      <c r="FC10" s="141"/>
      <c r="FD10" s="141"/>
      <c r="FE10" s="141"/>
      <c r="FF10" s="141"/>
      <c r="FG10" s="141"/>
      <c r="FH10" s="141"/>
      <c r="FI10" s="141"/>
      <c r="FJ10" s="141"/>
      <c r="FK10" s="141"/>
      <c r="FL10" s="141"/>
      <c r="FM10" s="141"/>
      <c r="FN10" s="141"/>
      <c r="FO10" s="141"/>
      <c r="FP10" s="141"/>
      <c r="FQ10" s="141"/>
      <c r="FR10" s="141"/>
      <c r="FS10" s="141"/>
      <c r="FT10" s="141"/>
      <c r="FU10" s="141"/>
      <c r="FV10" s="141"/>
      <c r="FW10" s="141"/>
      <c r="FX10" s="141"/>
      <c r="FY10" s="141"/>
      <c r="FZ10" s="141"/>
      <c r="GA10" s="141"/>
      <c r="GB10" s="141"/>
      <c r="GC10" s="141"/>
      <c r="GD10" s="141"/>
      <c r="GE10" s="141"/>
      <c r="GF10" s="141"/>
      <c r="GG10" s="141"/>
      <c r="GH10" s="141"/>
      <c r="GI10" s="141"/>
      <c r="GJ10" s="141"/>
      <c r="GK10" s="141"/>
      <c r="GL10" s="141"/>
      <c r="GM10" s="141"/>
      <c r="GN10" s="141"/>
      <c r="GO10" s="141"/>
      <c r="GP10" s="141"/>
      <c r="GQ10" s="141"/>
      <c r="GR10" s="141"/>
      <c r="GS10" s="141"/>
      <c r="GT10" s="141"/>
      <c r="GU10" s="141"/>
      <c r="GV10" s="141"/>
      <c r="GW10" s="141"/>
      <c r="GX10" s="141"/>
      <c r="GY10" s="141"/>
      <c r="GZ10" s="141"/>
      <c r="HA10" s="141"/>
      <c r="HB10" s="141"/>
      <c r="HC10" s="141"/>
      <c r="HD10" s="141"/>
      <c r="HE10" s="141"/>
      <c r="HF10" s="141"/>
      <c r="HG10" s="141"/>
      <c r="HH10" s="141"/>
      <c r="HI10" s="141"/>
      <c r="HJ10" s="141"/>
      <c r="HK10" s="141"/>
      <c r="HL10" s="141"/>
      <c r="HM10" s="141"/>
      <c r="HN10" s="141"/>
      <c r="HO10" s="141"/>
      <c r="HP10" s="141"/>
      <c r="HQ10" s="141"/>
      <c r="HR10" s="141"/>
      <c r="HS10" s="141"/>
      <c r="HT10" s="141"/>
      <c r="HU10" s="141"/>
      <c r="HV10" s="141"/>
      <c r="HW10" s="141"/>
      <c r="HX10" s="141"/>
      <c r="HY10" s="141"/>
      <c r="HZ10" s="141"/>
      <c r="IA10" s="141"/>
      <c r="IB10" s="141"/>
      <c r="IC10" s="141"/>
      <c r="ID10" s="141"/>
      <c r="IE10" s="141"/>
      <c r="IF10" s="141"/>
      <c r="IG10" s="141"/>
      <c r="IH10" s="141"/>
      <c r="II10" s="141"/>
      <c r="IJ10" s="141"/>
      <c r="IK10" s="141"/>
      <c r="IL10" s="141"/>
      <c r="IM10" s="141"/>
      <c r="IN10" s="141"/>
      <c r="IO10" s="141"/>
      <c r="IP10" s="141"/>
      <c r="IQ10" s="141"/>
      <c r="IR10" s="141"/>
      <c r="IS10" s="141"/>
      <c r="IT10" s="141"/>
      <c r="IU10" s="141"/>
      <c r="IV10" s="141"/>
      <c r="IW10" s="141"/>
      <c r="IX10" s="141"/>
      <c r="IY10" s="141"/>
      <c r="IZ10" s="141"/>
      <c r="JA10" s="141"/>
      <c r="JB10" s="141"/>
      <c r="JC10" s="141"/>
      <c r="JD10" s="141"/>
      <c r="JE10" s="141"/>
      <c r="JF10" s="141"/>
      <c r="JG10" s="141"/>
      <c r="JH10" s="141"/>
    </row>
    <row r="11" spans="1:268" s="142" customFormat="1" ht="12" customHeight="1" collapsed="1">
      <c r="A11" s="801"/>
      <c r="B11" s="557" t="s">
        <v>532</v>
      </c>
      <c r="C11" s="147"/>
      <c r="D11" s="147">
        <v>372.84399999999999</v>
      </c>
      <c r="E11" s="147">
        <v>411.4</v>
      </c>
      <c r="F11" s="147">
        <v>411.1</v>
      </c>
      <c r="G11" s="150">
        <v>565</v>
      </c>
      <c r="H11" s="900">
        <f t="shared" si="0"/>
        <v>565</v>
      </c>
      <c r="I11" s="147">
        <v>601.79999999999995</v>
      </c>
      <c r="J11" s="147">
        <v>731.2</v>
      </c>
      <c r="K11" s="147">
        <v>804.6</v>
      </c>
      <c r="L11" s="150">
        <v>838</v>
      </c>
      <c r="M11" s="900">
        <f t="shared" si="1"/>
        <v>838</v>
      </c>
      <c r="N11" s="147">
        <v>884.8</v>
      </c>
      <c r="O11" s="147">
        <v>1006.3</v>
      </c>
      <c r="P11" s="147">
        <v>1348.3</v>
      </c>
      <c r="Q11" s="150">
        <v>1346</v>
      </c>
      <c r="R11" s="900">
        <f t="shared" si="2"/>
        <v>1346</v>
      </c>
      <c r="S11" s="147">
        <v>1347</v>
      </c>
      <c r="T11" s="147">
        <v>1559</v>
      </c>
      <c r="U11" s="147">
        <v>1725</v>
      </c>
      <c r="V11" s="150">
        <v>1742</v>
      </c>
      <c r="W11" s="900">
        <f t="shared" si="3"/>
        <v>1742</v>
      </c>
      <c r="X11" s="147">
        <v>1885</v>
      </c>
      <c r="Y11" s="147">
        <v>2044</v>
      </c>
      <c r="Z11" s="147">
        <v>2303</v>
      </c>
      <c r="AA11" s="150">
        <v>2318</v>
      </c>
      <c r="AB11" s="900">
        <f t="shared" si="31"/>
        <v>2318</v>
      </c>
      <c r="AC11" s="147">
        <v>2424</v>
      </c>
      <c r="AD11" s="147">
        <v>2468</v>
      </c>
      <c r="AE11" s="147">
        <v>2569</v>
      </c>
      <c r="AF11" s="150">
        <v>2506</v>
      </c>
      <c r="AG11" s="900">
        <f t="shared" si="32"/>
        <v>2506</v>
      </c>
      <c r="AH11" s="147">
        <v>2515</v>
      </c>
      <c r="AI11" s="147">
        <v>2545</v>
      </c>
      <c r="AJ11" s="147">
        <v>2647</v>
      </c>
      <c r="AK11" s="150">
        <v>2386</v>
      </c>
      <c r="AL11" s="900">
        <f t="shared" si="4"/>
        <v>2386</v>
      </c>
      <c r="AM11" s="147">
        <v>2348</v>
      </c>
      <c r="AN11" s="147">
        <v>2377</v>
      </c>
      <c r="AO11" s="147">
        <v>2477</v>
      </c>
      <c r="AP11" s="150">
        <v>2425</v>
      </c>
      <c r="AQ11" s="900">
        <f t="shared" si="5"/>
        <v>2425</v>
      </c>
      <c r="AR11" s="147">
        <v>2480</v>
      </c>
      <c r="AS11" s="147">
        <v>2584</v>
      </c>
      <c r="AT11" s="147">
        <v>2662</v>
      </c>
      <c r="AU11" s="802"/>
      <c r="AV11" s="901"/>
      <c r="AW11" s="901"/>
      <c r="AX11" s="901"/>
      <c r="AY11" s="147">
        <v>2590</v>
      </c>
      <c r="AZ11" s="902">
        <f t="shared" si="6"/>
        <v>2590</v>
      </c>
      <c r="BA11" s="147">
        <v>2733</v>
      </c>
      <c r="BB11" s="147">
        <v>2667</v>
      </c>
      <c r="BC11" s="147">
        <v>2465</v>
      </c>
      <c r="BD11" s="147">
        <v>2415</v>
      </c>
      <c r="BE11" s="902">
        <f t="shared" si="7"/>
        <v>2415</v>
      </c>
      <c r="BF11" s="147">
        <v>2347</v>
      </c>
      <c r="BG11" s="147">
        <v>1929</v>
      </c>
      <c r="BH11" s="147">
        <v>1791</v>
      </c>
      <c r="BI11" s="147">
        <v>1688</v>
      </c>
      <c r="BJ11" s="902">
        <f t="shared" si="8"/>
        <v>1688</v>
      </c>
      <c r="BK11" s="147">
        <v>1591</v>
      </c>
      <c r="BL11" s="147">
        <v>1499</v>
      </c>
      <c r="BM11" s="147">
        <v>1523</v>
      </c>
      <c r="BN11" s="147">
        <v>1525</v>
      </c>
      <c r="BO11" s="902">
        <f t="shared" si="9"/>
        <v>1525</v>
      </c>
      <c r="BP11" s="147">
        <v>1584</v>
      </c>
      <c r="BQ11" s="147">
        <v>1484</v>
      </c>
      <c r="BR11" s="147">
        <v>1453</v>
      </c>
      <c r="BS11" s="147">
        <v>1413</v>
      </c>
      <c r="BT11" s="902">
        <f t="shared" si="10"/>
        <v>1413</v>
      </c>
      <c r="BU11" s="147">
        <v>1427</v>
      </c>
      <c r="BV11" s="147">
        <v>1363</v>
      </c>
      <c r="BW11" s="147">
        <v>1354</v>
      </c>
      <c r="BX11" s="147">
        <v>1385</v>
      </c>
      <c r="BY11" s="902">
        <f t="shared" si="11"/>
        <v>1385</v>
      </c>
      <c r="BZ11" s="147">
        <v>1468</v>
      </c>
      <c r="CA11" s="147">
        <v>1450</v>
      </c>
      <c r="CB11" s="147">
        <v>1356</v>
      </c>
      <c r="CC11" s="147">
        <v>1337</v>
      </c>
      <c r="CD11" s="902">
        <f t="shared" si="12"/>
        <v>1337</v>
      </c>
      <c r="CE11" s="147">
        <v>1385</v>
      </c>
      <c r="CF11" s="147">
        <v>1225</v>
      </c>
      <c r="CG11" s="147">
        <v>1195</v>
      </c>
      <c r="CH11" s="147">
        <v>1158</v>
      </c>
      <c r="CI11" s="902">
        <f t="shared" si="13"/>
        <v>1158</v>
      </c>
      <c r="CJ11" s="147">
        <v>1208</v>
      </c>
      <c r="CK11" s="147">
        <v>1160</v>
      </c>
      <c r="CL11" s="147">
        <v>1129</v>
      </c>
      <c r="CM11" s="147">
        <v>1143</v>
      </c>
      <c r="CN11" s="902">
        <f t="shared" si="14"/>
        <v>1143</v>
      </c>
      <c r="CO11" s="147">
        <v>1237</v>
      </c>
      <c r="CP11" s="147">
        <v>1258</v>
      </c>
      <c r="CQ11" s="147">
        <v>1221</v>
      </c>
      <c r="CR11" s="147">
        <v>1278</v>
      </c>
      <c r="CS11" s="902">
        <f t="shared" si="15"/>
        <v>1278</v>
      </c>
      <c r="CT11" s="147">
        <v>1417</v>
      </c>
      <c r="CU11" s="147">
        <v>1356</v>
      </c>
      <c r="CV11" s="147">
        <v>1338</v>
      </c>
      <c r="CW11" s="147">
        <v>1345</v>
      </c>
      <c r="CX11" s="902">
        <f t="shared" si="16"/>
        <v>1345</v>
      </c>
      <c r="CY11" s="147">
        <v>1383</v>
      </c>
      <c r="CZ11" s="147">
        <v>1369</v>
      </c>
      <c r="DA11" s="147">
        <v>1380</v>
      </c>
      <c r="DB11" s="147">
        <v>2038</v>
      </c>
      <c r="DC11" s="902">
        <f t="shared" si="17"/>
        <v>2038</v>
      </c>
      <c r="DD11" s="147">
        <v>2141</v>
      </c>
      <c r="DE11" s="147">
        <v>2171</v>
      </c>
      <c r="DF11" s="147">
        <v>2238</v>
      </c>
      <c r="DG11" s="147">
        <v>2404</v>
      </c>
      <c r="DH11" s="902">
        <f t="shared" si="18"/>
        <v>2404</v>
      </c>
      <c r="DI11" s="147">
        <v>2468</v>
      </c>
      <c r="DJ11" s="147">
        <v>2505</v>
      </c>
      <c r="DK11" s="147">
        <v>2525</v>
      </c>
      <c r="DL11" s="147">
        <v>2704</v>
      </c>
      <c r="DM11" s="902">
        <f t="shared" si="19"/>
        <v>2704</v>
      </c>
      <c r="DN11" s="147">
        <v>2807</v>
      </c>
      <c r="DO11" s="147">
        <v>2734</v>
      </c>
      <c r="DP11" s="147">
        <v>2786</v>
      </c>
      <c r="DQ11" s="147">
        <v>2897</v>
      </c>
      <c r="DR11" s="902">
        <f t="shared" si="27"/>
        <v>2897</v>
      </c>
      <c r="DS11" s="147">
        <v>2960</v>
      </c>
      <c r="DT11" s="147">
        <v>2706</v>
      </c>
      <c r="DU11" s="147">
        <v>2567</v>
      </c>
      <c r="DV11" s="147">
        <v>2616</v>
      </c>
      <c r="DW11" s="902">
        <f t="shared" si="20"/>
        <v>2616</v>
      </c>
      <c r="DX11" s="903">
        <f>DX87*IS!DX12/IS!DX6</f>
        <v>2504.2212241197262</v>
      </c>
      <c r="DY11" s="903">
        <f>DY87*IS!DY12/IS!DY6</f>
        <v>2469.7642109891185</v>
      </c>
      <c r="DZ11" s="903">
        <f>DZ87*IS!DZ12/IS!DZ6</f>
        <v>2475.7204059340279</v>
      </c>
      <c r="EA11" s="903">
        <f>EA87*IS!EA12/IS!EA6</f>
        <v>2544.5464313353546</v>
      </c>
      <c r="EB11" s="902">
        <f t="shared" si="21"/>
        <v>2544.5464313353546</v>
      </c>
      <c r="EC11" s="903">
        <f>EC87*IS!EC12/IS!EC6</f>
        <v>2717.9665774403161</v>
      </c>
      <c r="ED11" s="903">
        <f>ED87*IS!ED12/IS!ED6</f>
        <v>2725.1384412013103</v>
      </c>
      <c r="EE11" s="903">
        <f>EE87*IS!EE12/IS!EE6</f>
        <v>2683.7539440090532</v>
      </c>
      <c r="EF11" s="903">
        <f>EF87*IS!EF12/IS!EF6</f>
        <v>2868.199618888244</v>
      </c>
      <c r="EG11" s="902">
        <f t="shared" si="22"/>
        <v>2868.199618888244</v>
      </c>
      <c r="EH11" s="903">
        <f>EH87*IS!EH12/IS!EH6</f>
        <v>2864.4632565693987</v>
      </c>
      <c r="EI11" s="903">
        <f>EI87*IS!EI12/IS!EI6</f>
        <v>2901.358977733556</v>
      </c>
      <c r="EJ11" s="903">
        <f>EJ87*IS!EJ12/IS!EJ6</f>
        <v>2798.6431715184008</v>
      </c>
      <c r="EK11" s="903">
        <f>EK87*IS!EK12/IS!EK6</f>
        <v>2993.895847292446</v>
      </c>
      <c r="EL11" s="902">
        <f t="shared" si="23"/>
        <v>2993.895847292446</v>
      </c>
      <c r="EM11" s="901"/>
      <c r="EN11"/>
      <c r="EO11"/>
      <c r="EP11"/>
      <c r="EQ11"/>
      <c r="ER11"/>
      <c r="ES11"/>
      <c r="ET11" s="141"/>
      <c r="EU11" s="141"/>
      <c r="EV11" s="141"/>
      <c r="EW11" s="141"/>
      <c r="EX11" s="141"/>
      <c r="EY11" s="141"/>
      <c r="EZ11" s="141"/>
      <c r="FA11" s="141"/>
      <c r="FB11" s="141"/>
      <c r="FC11" s="141"/>
      <c r="FD11" s="141"/>
      <c r="FE11" s="141"/>
      <c r="FF11" s="141"/>
      <c r="FG11" s="141"/>
      <c r="FH11" s="141"/>
      <c r="FI11" s="141"/>
      <c r="FJ11" s="141"/>
      <c r="FK11" s="141"/>
      <c r="FL11" s="141"/>
      <c r="FM11" s="141"/>
      <c r="FN11" s="141"/>
      <c r="FO11" s="141"/>
      <c r="FP11" s="141"/>
      <c r="FQ11" s="141"/>
      <c r="FR11" s="141"/>
      <c r="FS11" s="141"/>
      <c r="FT11" s="141"/>
      <c r="FU11" s="141"/>
      <c r="FV11" s="141"/>
      <c r="FW11" s="141"/>
      <c r="FX11" s="141"/>
      <c r="FY11" s="141"/>
      <c r="FZ11" s="141"/>
      <c r="GA11" s="141"/>
      <c r="GB11" s="141"/>
      <c r="GC11" s="141"/>
      <c r="GD11" s="141"/>
      <c r="GE11" s="141"/>
      <c r="GF11" s="141"/>
      <c r="GG11" s="141"/>
      <c r="GH11" s="141"/>
      <c r="GI11" s="141"/>
      <c r="GJ11" s="141"/>
      <c r="GK11" s="141"/>
      <c r="GL11" s="141"/>
      <c r="GM11" s="141"/>
      <c r="GN11" s="141"/>
      <c r="GO11" s="141"/>
      <c r="GP11" s="141"/>
      <c r="GQ11" s="141"/>
      <c r="GR11" s="141"/>
      <c r="GS11" s="141"/>
      <c r="GT11" s="141"/>
      <c r="GU11" s="141"/>
      <c r="GV11" s="141"/>
      <c r="GW11" s="141"/>
      <c r="GX11" s="141"/>
      <c r="GY11" s="141"/>
      <c r="GZ11" s="141"/>
      <c r="HA11" s="141"/>
      <c r="HB11" s="141"/>
      <c r="HC11" s="141"/>
      <c r="HD11" s="141"/>
      <c r="HE11" s="141"/>
      <c r="HF11" s="141"/>
      <c r="HG11" s="141"/>
      <c r="HH11" s="141"/>
      <c r="HI11" s="141"/>
      <c r="HJ11" s="141"/>
      <c r="HK11" s="141"/>
      <c r="HL11" s="141"/>
      <c r="HM11" s="141"/>
      <c r="HN11" s="141"/>
      <c r="HO11" s="141"/>
      <c r="HP11" s="141"/>
      <c r="HQ11" s="141"/>
      <c r="HR11" s="141"/>
      <c r="HS11" s="141"/>
      <c r="HT11" s="141"/>
      <c r="HU11" s="141"/>
      <c r="HV11" s="141"/>
      <c r="HW11" s="141"/>
      <c r="HX11" s="141"/>
      <c r="HY11" s="141"/>
      <c r="HZ11" s="141"/>
      <c r="IA11" s="141"/>
      <c r="IB11" s="141"/>
      <c r="IC11" s="141"/>
      <c r="ID11" s="141"/>
      <c r="IE11" s="141"/>
      <c r="IF11" s="141"/>
      <c r="IG11" s="141"/>
      <c r="IH11" s="141"/>
      <c r="II11" s="141"/>
      <c r="IJ11" s="141"/>
      <c r="IK11" s="141"/>
      <c r="IL11" s="141"/>
      <c r="IM11" s="141"/>
      <c r="IN11" s="141"/>
      <c r="IO11" s="141"/>
      <c r="IP11" s="141"/>
      <c r="IQ11" s="141"/>
      <c r="IR11" s="141"/>
      <c r="IS11" s="141"/>
      <c r="IT11" s="141"/>
      <c r="IU11" s="141"/>
      <c r="IV11" s="141"/>
      <c r="IW11" s="141"/>
      <c r="IX11" s="141"/>
      <c r="IY11" s="141"/>
      <c r="IZ11" s="141"/>
      <c r="JA11" s="141"/>
      <c r="JB11" s="141"/>
      <c r="JC11" s="141"/>
      <c r="JD11" s="141"/>
      <c r="JE11" s="141"/>
      <c r="JF11" s="141"/>
      <c r="JG11" s="141"/>
      <c r="JH11" s="141"/>
    </row>
    <row r="12" spans="1:268" s="142" customFormat="1" ht="12" customHeight="1">
      <c r="A12" s="801"/>
      <c r="B12" s="557" t="s">
        <v>533</v>
      </c>
      <c r="C12" s="147"/>
      <c r="D12" s="147">
        <v>53.942999999999998</v>
      </c>
      <c r="E12" s="147">
        <v>54.8</v>
      </c>
      <c r="F12" s="147">
        <v>55.3</v>
      </c>
      <c r="G12" s="150">
        <v>116</v>
      </c>
      <c r="H12" s="900">
        <f t="shared" si="0"/>
        <v>116</v>
      </c>
      <c r="I12" s="147">
        <v>119.9</v>
      </c>
      <c r="J12" s="147">
        <v>125.1</v>
      </c>
      <c r="K12" s="147">
        <v>126.9</v>
      </c>
      <c r="L12" s="150">
        <v>128</v>
      </c>
      <c r="M12" s="900">
        <f t="shared" si="1"/>
        <v>128</v>
      </c>
      <c r="N12" s="147">
        <v>131.9</v>
      </c>
      <c r="O12" s="147">
        <v>134.69999999999999</v>
      </c>
      <c r="P12" s="147">
        <v>185.9</v>
      </c>
      <c r="Q12" s="150">
        <v>193</v>
      </c>
      <c r="R12" s="900">
        <f t="shared" si="2"/>
        <v>193</v>
      </c>
      <c r="S12" s="147">
        <v>199</v>
      </c>
      <c r="T12" s="147">
        <v>204</v>
      </c>
      <c r="U12" s="147">
        <v>211</v>
      </c>
      <c r="V12" s="150">
        <v>214</v>
      </c>
      <c r="W12" s="900">
        <f t="shared" si="3"/>
        <v>214</v>
      </c>
      <c r="X12" s="147">
        <v>218</v>
      </c>
      <c r="Y12" s="147">
        <v>237</v>
      </c>
      <c r="Z12" s="147">
        <v>244</v>
      </c>
      <c r="AA12" s="150">
        <v>221</v>
      </c>
      <c r="AB12" s="900">
        <f t="shared" si="31"/>
        <v>221</v>
      </c>
      <c r="AC12" s="147">
        <v>226</v>
      </c>
      <c r="AD12" s="147">
        <v>218</v>
      </c>
      <c r="AE12" s="147">
        <v>218</v>
      </c>
      <c r="AF12" s="150">
        <v>223</v>
      </c>
      <c r="AG12" s="900">
        <f t="shared" si="32"/>
        <v>223</v>
      </c>
      <c r="AH12" s="147">
        <v>226</v>
      </c>
      <c r="AI12" s="147">
        <v>219</v>
      </c>
      <c r="AJ12" s="147">
        <v>219</v>
      </c>
      <c r="AK12" s="150">
        <v>214</v>
      </c>
      <c r="AL12" s="900">
        <f t="shared" si="4"/>
        <v>214</v>
      </c>
      <c r="AM12" s="147">
        <v>223</v>
      </c>
      <c r="AN12" s="147">
        <v>220</v>
      </c>
      <c r="AO12" s="147">
        <v>227</v>
      </c>
      <c r="AP12" s="150">
        <v>231</v>
      </c>
      <c r="AQ12" s="900">
        <f t="shared" si="5"/>
        <v>231</v>
      </c>
      <c r="AR12" s="147">
        <v>235</v>
      </c>
      <c r="AS12" s="147">
        <v>236</v>
      </c>
      <c r="AT12" s="147">
        <v>242</v>
      </c>
      <c r="AU12" s="802"/>
      <c r="AV12" s="901"/>
      <c r="AW12" s="901"/>
      <c r="AX12" s="901"/>
      <c r="AY12" s="147">
        <v>241</v>
      </c>
      <c r="AZ12" s="902">
        <f t="shared" si="6"/>
        <v>241</v>
      </c>
      <c r="BA12" s="147">
        <v>221</v>
      </c>
      <c r="BB12" s="147">
        <v>220</v>
      </c>
      <c r="BC12" s="147">
        <v>224</v>
      </c>
      <c r="BD12" s="147">
        <v>224</v>
      </c>
      <c r="BE12" s="902">
        <f t="shared" si="7"/>
        <v>224</v>
      </c>
      <c r="BF12" s="147">
        <v>185</v>
      </c>
      <c r="BG12" s="147">
        <v>187</v>
      </c>
      <c r="BH12" s="147">
        <v>187</v>
      </c>
      <c r="BI12" s="147">
        <v>188</v>
      </c>
      <c r="BJ12" s="902">
        <f t="shared" si="8"/>
        <v>188</v>
      </c>
      <c r="BK12" s="147">
        <v>190</v>
      </c>
      <c r="BL12" s="147">
        <v>193</v>
      </c>
      <c r="BM12" s="147">
        <v>187</v>
      </c>
      <c r="BN12" s="147">
        <v>190</v>
      </c>
      <c r="BO12" s="902">
        <f t="shared" si="9"/>
        <v>190</v>
      </c>
      <c r="BP12" s="147">
        <v>194</v>
      </c>
      <c r="BQ12" s="147">
        <v>174</v>
      </c>
      <c r="BR12" s="147">
        <v>177</v>
      </c>
      <c r="BS12" s="147">
        <v>184</v>
      </c>
      <c r="BT12" s="902">
        <f t="shared" si="10"/>
        <v>184</v>
      </c>
      <c r="BU12" s="147">
        <v>180</v>
      </c>
      <c r="BV12" s="147">
        <v>184</v>
      </c>
      <c r="BW12" s="147">
        <v>181</v>
      </c>
      <c r="BX12" s="147">
        <v>183</v>
      </c>
      <c r="BY12" s="902">
        <f t="shared" si="11"/>
        <v>183</v>
      </c>
      <c r="BZ12" s="147">
        <v>182</v>
      </c>
      <c r="CA12" s="147">
        <v>170</v>
      </c>
      <c r="CB12" s="147">
        <v>165</v>
      </c>
      <c r="CC12" s="147">
        <v>161</v>
      </c>
      <c r="CD12" s="902">
        <f t="shared" si="12"/>
        <v>161</v>
      </c>
      <c r="CE12" s="147">
        <v>158</v>
      </c>
      <c r="CF12" s="147">
        <v>154</v>
      </c>
      <c r="CG12" s="147">
        <v>153</v>
      </c>
      <c r="CH12" s="147">
        <v>153</v>
      </c>
      <c r="CI12" s="902">
        <f t="shared" si="13"/>
        <v>153</v>
      </c>
      <c r="CJ12" s="147">
        <v>151</v>
      </c>
      <c r="CK12" s="147">
        <v>152</v>
      </c>
      <c r="CL12" s="147">
        <v>152</v>
      </c>
      <c r="CM12" s="147">
        <v>156</v>
      </c>
      <c r="CN12" s="902">
        <f t="shared" si="14"/>
        <v>156</v>
      </c>
      <c r="CO12" s="147">
        <v>156</v>
      </c>
      <c r="CP12" s="147">
        <v>156</v>
      </c>
      <c r="CQ12" s="147">
        <v>157</v>
      </c>
      <c r="CR12" s="147">
        <v>161</v>
      </c>
      <c r="CS12" s="902">
        <f t="shared" si="15"/>
        <v>161</v>
      </c>
      <c r="CT12" s="147">
        <v>157</v>
      </c>
      <c r="CU12" s="147">
        <v>154</v>
      </c>
      <c r="CV12" s="147">
        <v>154</v>
      </c>
      <c r="CW12" s="147">
        <v>153</v>
      </c>
      <c r="CX12" s="902">
        <f t="shared" si="16"/>
        <v>153</v>
      </c>
      <c r="CY12" s="147">
        <v>152</v>
      </c>
      <c r="CZ12" s="147">
        <v>153</v>
      </c>
      <c r="DA12" s="147">
        <v>154</v>
      </c>
      <c r="DB12" s="147">
        <v>262</v>
      </c>
      <c r="DC12" s="902">
        <f t="shared" si="17"/>
        <v>262</v>
      </c>
      <c r="DD12" s="147">
        <v>261</v>
      </c>
      <c r="DE12" s="147">
        <v>264</v>
      </c>
      <c r="DF12" s="147">
        <v>270</v>
      </c>
      <c r="DG12" s="147">
        <v>276</v>
      </c>
      <c r="DH12" s="902">
        <f t="shared" si="18"/>
        <v>276</v>
      </c>
      <c r="DI12" s="147">
        <v>268</v>
      </c>
      <c r="DJ12" s="147">
        <v>261</v>
      </c>
      <c r="DK12" s="147">
        <v>275</v>
      </c>
      <c r="DL12" s="147">
        <v>309</v>
      </c>
      <c r="DM12" s="902">
        <f t="shared" si="19"/>
        <v>309</v>
      </c>
      <c r="DN12" s="147">
        <v>312</v>
      </c>
      <c r="DO12" s="147">
        <v>316</v>
      </c>
      <c r="DP12" s="147">
        <v>322</v>
      </c>
      <c r="DQ12" s="147">
        <v>326</v>
      </c>
      <c r="DR12" s="902">
        <f t="shared" si="27"/>
        <v>326</v>
      </c>
      <c r="DS12" s="147">
        <v>324</v>
      </c>
      <c r="DT12" s="147">
        <v>316</v>
      </c>
      <c r="DU12" s="147">
        <v>297</v>
      </c>
      <c r="DV12" s="147">
        <v>289</v>
      </c>
      <c r="DW12" s="902">
        <f t="shared" si="20"/>
        <v>289</v>
      </c>
      <c r="DX12" s="903">
        <f>DX94*IS!DX17/IS!DX6</f>
        <v>285.12991698177285</v>
      </c>
      <c r="DY12" s="903">
        <f>DY94*IS!DY17/IS!DY6</f>
        <v>277.24500074226626</v>
      </c>
      <c r="DZ12" s="903">
        <f>DZ94*IS!DZ17/IS!DZ6</f>
        <v>259.02224133068205</v>
      </c>
      <c r="EA12" s="903">
        <f>EA94*IS!EA17/IS!EA6</f>
        <v>342.34246701437417</v>
      </c>
      <c r="EB12" s="902">
        <f t="shared" si="21"/>
        <v>342.34246701437417</v>
      </c>
      <c r="EC12" s="903">
        <f>EC94*IS!EC17/IS!EC6</f>
        <v>368.06533163733531</v>
      </c>
      <c r="ED12" s="903">
        <f>ED94*IS!ED17/IS!ED6</f>
        <v>369.52638091571396</v>
      </c>
      <c r="EE12" s="903">
        <f>EE94*IS!EE17/IS!EE6</f>
        <v>364.44744251944309</v>
      </c>
      <c r="EF12" s="903">
        <f>EF94*IS!EF17/IS!EF6</f>
        <v>394.84157733041883</v>
      </c>
      <c r="EG12" s="902">
        <f t="shared" si="22"/>
        <v>394.84157733041883</v>
      </c>
      <c r="EH12" s="903">
        <f>EH94*IS!EH17/IS!EH6</f>
        <v>405.58867416075196</v>
      </c>
      <c r="EI12" s="903">
        <f>EI94*IS!EI17/IS!EI6</f>
        <v>411.49268689958564</v>
      </c>
      <c r="EJ12" s="903">
        <f>EJ94*IS!EJ17/IS!EJ6</f>
        <v>397.2794175712902</v>
      </c>
      <c r="EK12" s="903">
        <f>EK94*IS!EK17/IS!EK6</f>
        <v>431.53574192534711</v>
      </c>
      <c r="EL12" s="902">
        <f t="shared" si="23"/>
        <v>431.53574192534711</v>
      </c>
      <c r="EM12" s="901"/>
      <c r="EN12"/>
      <c r="EO12"/>
      <c r="EP12"/>
      <c r="EQ12"/>
      <c r="ER12"/>
      <c r="ES12"/>
      <c r="ET12" s="141"/>
      <c r="EU12" s="141"/>
      <c r="EV12" s="141"/>
      <c r="EW12" s="141"/>
      <c r="EX12" s="141"/>
      <c r="EY12" s="141"/>
      <c r="EZ12" s="141"/>
      <c r="FA12" s="141"/>
      <c r="FB12" s="141"/>
      <c r="FC12" s="141"/>
      <c r="FD12" s="141"/>
      <c r="FE12" s="141"/>
      <c r="FF12" s="141"/>
      <c r="FG12" s="141"/>
      <c r="FH12" s="141"/>
      <c r="FI12" s="141"/>
      <c r="FJ12" s="141"/>
      <c r="FK12" s="141"/>
      <c r="FL12" s="141"/>
      <c r="FM12" s="141"/>
      <c r="FN12" s="141"/>
      <c r="FO12" s="141"/>
      <c r="FP12" s="141"/>
      <c r="FQ12" s="141"/>
      <c r="FR12" s="141"/>
      <c r="FS12" s="141"/>
      <c r="FT12" s="141"/>
      <c r="FU12" s="141"/>
      <c r="FV12" s="141"/>
      <c r="FW12" s="141"/>
      <c r="FX12" s="141"/>
      <c r="FY12" s="141"/>
      <c r="FZ12" s="141"/>
      <c r="GA12" s="141"/>
      <c r="GB12" s="141"/>
      <c r="GC12" s="141"/>
      <c r="GD12" s="141"/>
      <c r="GE12" s="141"/>
      <c r="GF12" s="141"/>
      <c r="GG12" s="141"/>
      <c r="GH12" s="141"/>
      <c r="GI12" s="141"/>
      <c r="GJ12" s="141"/>
      <c r="GK12" s="141"/>
      <c r="GL12" s="141"/>
      <c r="GM12" s="141"/>
      <c r="GN12" s="141"/>
      <c r="GO12" s="141"/>
      <c r="GP12" s="141"/>
      <c r="GQ12" s="141"/>
      <c r="GR12" s="141"/>
      <c r="GS12" s="141"/>
      <c r="GT12" s="141"/>
      <c r="GU12" s="141"/>
      <c r="GV12" s="141"/>
      <c r="GW12" s="141"/>
      <c r="GX12" s="141"/>
      <c r="GY12" s="141"/>
      <c r="GZ12" s="141"/>
      <c r="HA12" s="141"/>
      <c r="HB12" s="141"/>
      <c r="HC12" s="141"/>
      <c r="HD12" s="141"/>
      <c r="HE12" s="141"/>
      <c r="HF12" s="141"/>
      <c r="HG12" s="141"/>
      <c r="HH12" s="141"/>
      <c r="HI12" s="141"/>
      <c r="HJ12" s="141"/>
      <c r="HK12" s="141"/>
      <c r="HL12" s="141"/>
      <c r="HM12" s="141"/>
      <c r="HN12" s="141"/>
      <c r="HO12" s="141"/>
      <c r="HP12" s="141"/>
      <c r="HQ12" s="141"/>
      <c r="HR12" s="141"/>
      <c r="HS12" s="141"/>
      <c r="HT12" s="141"/>
      <c r="HU12" s="141"/>
      <c r="HV12" s="141"/>
      <c r="HW12" s="141"/>
      <c r="HX12" s="141"/>
      <c r="HY12" s="141"/>
      <c r="HZ12" s="141"/>
      <c r="IA12" s="141"/>
      <c r="IB12" s="141"/>
      <c r="IC12" s="141"/>
      <c r="ID12" s="141"/>
      <c r="IE12" s="141"/>
      <c r="IF12" s="141"/>
      <c r="IG12" s="141"/>
      <c r="IH12" s="141"/>
      <c r="II12" s="141"/>
      <c r="IJ12" s="141"/>
      <c r="IK12" s="141"/>
      <c r="IL12" s="141"/>
      <c r="IM12" s="141"/>
      <c r="IN12" s="141"/>
      <c r="IO12" s="141"/>
      <c r="IP12" s="141"/>
      <c r="IQ12" s="141"/>
      <c r="IR12" s="141"/>
      <c r="IS12" s="141"/>
      <c r="IT12" s="141"/>
      <c r="IU12" s="141"/>
      <c r="IV12" s="141"/>
      <c r="IW12" s="141"/>
      <c r="IX12" s="141"/>
      <c r="IY12" s="141"/>
      <c r="IZ12" s="141"/>
      <c r="JA12" s="141"/>
      <c r="JB12" s="141"/>
      <c r="JC12" s="141"/>
      <c r="JD12" s="141"/>
      <c r="JE12" s="141"/>
      <c r="JF12" s="141"/>
      <c r="JG12" s="141"/>
      <c r="JH12" s="141"/>
    </row>
    <row r="13" spans="1:268" s="142" customFormat="1" ht="12" customHeight="1">
      <c r="A13" s="801"/>
      <c r="B13" s="557" t="s">
        <v>534</v>
      </c>
      <c r="C13" s="147"/>
      <c r="D13" s="147">
        <v>0</v>
      </c>
      <c r="E13" s="147">
        <v>0</v>
      </c>
      <c r="F13" s="147">
        <v>0</v>
      </c>
      <c r="G13" s="150">
        <v>0</v>
      </c>
      <c r="H13" s="900">
        <f t="shared" si="0"/>
        <v>0</v>
      </c>
      <c r="I13" s="147">
        <v>0</v>
      </c>
      <c r="J13" s="147">
        <v>0</v>
      </c>
      <c r="K13" s="147">
        <v>0</v>
      </c>
      <c r="L13" s="150">
        <v>0</v>
      </c>
      <c r="M13" s="900">
        <f t="shared" si="1"/>
        <v>0</v>
      </c>
      <c r="N13" s="147">
        <v>0</v>
      </c>
      <c r="O13" s="147">
        <v>0</v>
      </c>
      <c r="P13" s="147">
        <v>0</v>
      </c>
      <c r="Q13" s="150">
        <v>0</v>
      </c>
      <c r="R13" s="900">
        <f t="shared" si="2"/>
        <v>0</v>
      </c>
      <c r="S13" s="147">
        <v>0</v>
      </c>
      <c r="T13" s="147">
        <v>0</v>
      </c>
      <c r="U13" s="147">
        <v>0</v>
      </c>
      <c r="V13" s="150">
        <v>0</v>
      </c>
      <c r="W13" s="900">
        <f t="shared" si="3"/>
        <v>0</v>
      </c>
      <c r="X13" s="147">
        <v>0</v>
      </c>
      <c r="Y13" s="147">
        <v>0</v>
      </c>
      <c r="Z13" s="147">
        <v>0</v>
      </c>
      <c r="AA13" s="150">
        <v>0</v>
      </c>
      <c r="AB13" s="900">
        <f t="shared" si="31"/>
        <v>0</v>
      </c>
      <c r="AC13" s="147">
        <v>0</v>
      </c>
      <c r="AD13" s="147">
        <v>0</v>
      </c>
      <c r="AE13" s="147">
        <v>0</v>
      </c>
      <c r="AF13" s="150">
        <v>0</v>
      </c>
      <c r="AG13" s="900">
        <f t="shared" si="32"/>
        <v>0</v>
      </c>
      <c r="AH13" s="147">
        <v>0</v>
      </c>
      <c r="AI13" s="147">
        <v>0</v>
      </c>
      <c r="AJ13" s="147">
        <v>0</v>
      </c>
      <c r="AK13" s="150">
        <v>0</v>
      </c>
      <c r="AL13" s="900">
        <f t="shared" si="4"/>
        <v>0</v>
      </c>
      <c r="AM13" s="147">
        <v>0</v>
      </c>
      <c r="AN13" s="147">
        <v>0</v>
      </c>
      <c r="AO13" s="147">
        <v>0</v>
      </c>
      <c r="AP13" s="150">
        <v>0</v>
      </c>
      <c r="AQ13" s="900">
        <f t="shared" si="5"/>
        <v>0</v>
      </c>
      <c r="AR13" s="147">
        <v>0</v>
      </c>
      <c r="AS13" s="147">
        <v>0</v>
      </c>
      <c r="AT13" s="147">
        <v>0</v>
      </c>
      <c r="AU13" s="802"/>
      <c r="AV13" s="901"/>
      <c r="AW13" s="901"/>
      <c r="AX13" s="901"/>
      <c r="AY13" s="147">
        <v>0</v>
      </c>
      <c r="AZ13" s="902">
        <f t="shared" si="6"/>
        <v>0</v>
      </c>
      <c r="BA13" s="147">
        <v>0</v>
      </c>
      <c r="BB13" s="147">
        <v>0</v>
      </c>
      <c r="BC13" s="147">
        <v>0</v>
      </c>
      <c r="BD13" s="147">
        <v>0</v>
      </c>
      <c r="BE13" s="902">
        <f t="shared" si="7"/>
        <v>0</v>
      </c>
      <c r="BF13" s="147">
        <v>61</v>
      </c>
      <c r="BG13" s="147">
        <v>95</v>
      </c>
      <c r="BH13" s="147">
        <v>149</v>
      </c>
      <c r="BI13" s="147">
        <v>530</v>
      </c>
      <c r="BJ13" s="902">
        <f t="shared" si="8"/>
        <v>530</v>
      </c>
      <c r="BK13" s="147">
        <v>0</v>
      </c>
      <c r="BL13" s="147">
        <v>0</v>
      </c>
      <c r="BM13" s="147">
        <v>0</v>
      </c>
      <c r="BN13" s="147">
        <v>0</v>
      </c>
      <c r="BO13" s="902">
        <f t="shared" si="9"/>
        <v>0</v>
      </c>
      <c r="BP13" s="147">
        <v>0</v>
      </c>
      <c r="BQ13" s="147">
        <v>172</v>
      </c>
      <c r="BR13" s="147">
        <v>174</v>
      </c>
      <c r="BS13" s="147">
        <v>171</v>
      </c>
      <c r="BT13" s="902">
        <f t="shared" si="10"/>
        <v>171</v>
      </c>
      <c r="BU13" s="147">
        <v>173</v>
      </c>
      <c r="BV13" s="147">
        <v>3</v>
      </c>
      <c r="BW13" s="147">
        <v>5</v>
      </c>
      <c r="BX13" s="147">
        <v>7</v>
      </c>
      <c r="BY13" s="902">
        <f t="shared" si="11"/>
        <v>7</v>
      </c>
      <c r="BZ13" s="147">
        <v>7</v>
      </c>
      <c r="CA13" s="147">
        <v>29</v>
      </c>
      <c r="CB13" s="147">
        <v>20</v>
      </c>
      <c r="CC13" s="147">
        <v>6</v>
      </c>
      <c r="CD13" s="902">
        <f t="shared" si="12"/>
        <v>6</v>
      </c>
      <c r="CE13" s="147">
        <v>4.956000000000131</v>
      </c>
      <c r="CF13" s="147">
        <v>0</v>
      </c>
      <c r="CG13" s="147">
        <v>0</v>
      </c>
      <c r="CH13" s="147">
        <v>35</v>
      </c>
      <c r="CI13" s="902">
        <f t="shared" si="13"/>
        <v>35</v>
      </c>
      <c r="CJ13" s="147">
        <v>26</v>
      </c>
      <c r="CK13" s="147">
        <v>13</v>
      </c>
      <c r="CL13" s="147">
        <v>21</v>
      </c>
      <c r="CM13" s="147">
        <v>22</v>
      </c>
      <c r="CN13" s="902">
        <f t="shared" si="14"/>
        <v>22</v>
      </c>
      <c r="CO13" s="147">
        <v>22</v>
      </c>
      <c r="CP13" s="147">
        <v>1</v>
      </c>
      <c r="CQ13" s="147">
        <v>7</v>
      </c>
      <c r="CR13" s="147">
        <v>7</v>
      </c>
      <c r="CS13" s="902">
        <f t="shared" si="15"/>
        <v>7</v>
      </c>
      <c r="CT13" s="147">
        <v>5</v>
      </c>
      <c r="CU13" s="147">
        <v>13</v>
      </c>
      <c r="CV13" s="147">
        <v>13</v>
      </c>
      <c r="CW13" s="147">
        <v>7</v>
      </c>
      <c r="CX13" s="902">
        <f t="shared" si="16"/>
        <v>7</v>
      </c>
      <c r="CY13" s="147">
        <v>4</v>
      </c>
      <c r="CZ13" s="147">
        <v>12</v>
      </c>
      <c r="DA13" s="147">
        <v>3</v>
      </c>
      <c r="DB13" s="147">
        <v>0</v>
      </c>
      <c r="DC13" s="902">
        <f t="shared" si="17"/>
        <v>0</v>
      </c>
      <c r="DD13" s="147">
        <v>19</v>
      </c>
      <c r="DE13" s="147">
        <v>34</v>
      </c>
      <c r="DF13" s="147">
        <v>22</v>
      </c>
      <c r="DG13" s="147">
        <v>2</v>
      </c>
      <c r="DH13" s="902">
        <f t="shared" si="18"/>
        <v>2</v>
      </c>
      <c r="DI13" s="147">
        <v>2</v>
      </c>
      <c r="DJ13" s="147">
        <v>27</v>
      </c>
      <c r="DK13" s="147">
        <v>33</v>
      </c>
      <c r="DL13" s="147">
        <v>7</v>
      </c>
      <c r="DM13" s="902">
        <f t="shared" si="19"/>
        <v>7</v>
      </c>
      <c r="DN13" s="147">
        <v>0</v>
      </c>
      <c r="DO13" s="147">
        <f>DN13</f>
        <v>0</v>
      </c>
      <c r="DP13" s="147">
        <v>11</v>
      </c>
      <c r="DQ13" s="147">
        <v>4</v>
      </c>
      <c r="DR13" s="902">
        <f t="shared" si="27"/>
        <v>4</v>
      </c>
      <c r="DS13" s="147">
        <v>26</v>
      </c>
      <c r="DT13" s="147">
        <v>7</v>
      </c>
      <c r="DU13" s="147">
        <v>14</v>
      </c>
      <c r="DV13" s="147">
        <v>5</v>
      </c>
      <c r="DW13" s="902">
        <f t="shared" si="20"/>
        <v>5</v>
      </c>
      <c r="DX13" s="903">
        <f t="shared" ref="DX13:EA14" si="33">DW13</f>
        <v>5</v>
      </c>
      <c r="DY13" s="903">
        <f t="shared" si="33"/>
        <v>5</v>
      </c>
      <c r="DZ13" s="903">
        <f t="shared" si="33"/>
        <v>5</v>
      </c>
      <c r="EA13" s="903">
        <f t="shared" si="33"/>
        <v>5</v>
      </c>
      <c r="EB13" s="902">
        <f t="shared" si="21"/>
        <v>5</v>
      </c>
      <c r="EC13" s="903">
        <f t="shared" ref="EC13:EF14" si="34">EB13</f>
        <v>5</v>
      </c>
      <c r="ED13" s="903">
        <f t="shared" si="34"/>
        <v>5</v>
      </c>
      <c r="EE13" s="903">
        <f t="shared" si="34"/>
        <v>5</v>
      </c>
      <c r="EF13" s="903">
        <f t="shared" si="34"/>
        <v>5</v>
      </c>
      <c r="EG13" s="902">
        <f t="shared" si="22"/>
        <v>5</v>
      </c>
      <c r="EH13" s="903">
        <f t="shared" si="22"/>
        <v>5</v>
      </c>
      <c r="EI13" s="903">
        <f t="shared" si="22"/>
        <v>5</v>
      </c>
      <c r="EJ13" s="903">
        <f t="shared" si="22"/>
        <v>5</v>
      </c>
      <c r="EK13" s="903">
        <f t="shared" si="22"/>
        <v>5</v>
      </c>
      <c r="EL13" s="902">
        <f t="shared" si="23"/>
        <v>5</v>
      </c>
      <c r="EM13" s="901"/>
      <c r="EN13"/>
      <c r="EO13"/>
      <c r="EP13"/>
      <c r="EQ13"/>
      <c r="ER13"/>
      <c r="ES13"/>
      <c r="ET13" s="141"/>
      <c r="EU13" s="141"/>
      <c r="EV13" s="141"/>
      <c r="EW13" s="141"/>
      <c r="EX13" s="141"/>
      <c r="EY13" s="141"/>
      <c r="EZ13" s="141"/>
      <c r="FA13" s="141"/>
      <c r="FB13" s="141"/>
      <c r="FC13" s="141"/>
      <c r="FD13" s="141"/>
      <c r="FE13" s="141"/>
      <c r="FF13" s="141"/>
      <c r="FG13" s="141"/>
      <c r="FH13" s="141"/>
      <c r="FI13" s="141"/>
      <c r="FJ13" s="141"/>
      <c r="FK13" s="141"/>
      <c r="FL13" s="141"/>
      <c r="FM13" s="141"/>
      <c r="FN13" s="141"/>
      <c r="FO13" s="141"/>
      <c r="FP13" s="141"/>
      <c r="FQ13" s="141"/>
      <c r="FR13" s="141"/>
      <c r="FS13" s="141"/>
      <c r="FT13" s="141"/>
      <c r="FU13" s="141"/>
      <c r="FV13" s="141"/>
      <c r="FW13" s="141"/>
      <c r="FX13" s="141"/>
      <c r="FY13" s="141"/>
      <c r="FZ13" s="141"/>
      <c r="GA13" s="141"/>
      <c r="GB13" s="141"/>
      <c r="GC13" s="141"/>
      <c r="GD13" s="141"/>
      <c r="GE13" s="141"/>
      <c r="GF13" s="141"/>
      <c r="GG13" s="141"/>
      <c r="GH13" s="141"/>
      <c r="GI13" s="141"/>
      <c r="GJ13" s="141"/>
      <c r="GK13" s="141"/>
      <c r="GL13" s="141"/>
      <c r="GM13" s="141"/>
      <c r="GN13" s="141"/>
      <c r="GO13" s="141"/>
      <c r="GP13" s="141"/>
      <c r="GQ13" s="141"/>
      <c r="GR13" s="141"/>
      <c r="GS13" s="141"/>
      <c r="GT13" s="141"/>
      <c r="GU13" s="141"/>
      <c r="GV13" s="141"/>
      <c r="GW13" s="141"/>
      <c r="GX13" s="141"/>
      <c r="GY13" s="141"/>
      <c r="GZ13" s="141"/>
      <c r="HA13" s="141"/>
      <c r="HB13" s="141"/>
      <c r="HC13" s="141"/>
      <c r="HD13" s="141"/>
      <c r="HE13" s="141"/>
      <c r="HF13" s="141"/>
      <c r="HG13" s="141"/>
      <c r="HH13" s="141"/>
      <c r="HI13" s="141"/>
      <c r="HJ13" s="141"/>
      <c r="HK13" s="141"/>
      <c r="HL13" s="141"/>
      <c r="HM13" s="141"/>
      <c r="HN13" s="141"/>
      <c r="HO13" s="141"/>
      <c r="HP13" s="141"/>
      <c r="HQ13" s="141"/>
      <c r="HR13" s="141"/>
      <c r="HS13" s="141"/>
      <c r="HT13" s="141"/>
      <c r="HU13" s="141"/>
      <c r="HV13" s="141"/>
      <c r="HW13" s="141"/>
      <c r="HX13" s="141"/>
      <c r="HY13" s="141"/>
      <c r="HZ13" s="141"/>
      <c r="IA13" s="141"/>
      <c r="IB13" s="141"/>
      <c r="IC13" s="141"/>
      <c r="ID13" s="141"/>
      <c r="IE13" s="141"/>
      <c r="IF13" s="141"/>
      <c r="IG13" s="141"/>
      <c r="IH13" s="141"/>
      <c r="II13" s="141"/>
      <c r="IJ13" s="141"/>
      <c r="IK13" s="141"/>
      <c r="IL13" s="141"/>
      <c r="IM13" s="141"/>
      <c r="IN13" s="141"/>
      <c r="IO13" s="141"/>
      <c r="IP13" s="141"/>
      <c r="IQ13" s="141"/>
      <c r="IR13" s="141"/>
      <c r="IS13" s="141"/>
      <c r="IT13" s="141"/>
      <c r="IU13" s="141"/>
      <c r="IV13" s="141"/>
      <c r="IW13" s="141"/>
      <c r="IX13" s="141"/>
      <c r="IY13" s="141"/>
      <c r="IZ13" s="141"/>
      <c r="JA13" s="141"/>
      <c r="JB13" s="141"/>
      <c r="JC13" s="141"/>
      <c r="JD13" s="141"/>
      <c r="JE13" s="141"/>
      <c r="JF13" s="141"/>
      <c r="JG13" s="141"/>
      <c r="JH13" s="141"/>
    </row>
    <row r="14" spans="1:268" s="142" customFormat="1" ht="12" customHeight="1">
      <c r="A14" s="801"/>
      <c r="B14" s="557" t="s">
        <v>535</v>
      </c>
      <c r="C14" s="147"/>
      <c r="D14" s="147">
        <v>329</v>
      </c>
      <c r="E14" s="898">
        <v>304</v>
      </c>
      <c r="F14" s="898">
        <v>284</v>
      </c>
      <c r="G14" s="899">
        <v>410</v>
      </c>
      <c r="H14" s="900">
        <f t="shared" si="0"/>
        <v>410</v>
      </c>
      <c r="I14" s="147">
        <v>303.10000000000002</v>
      </c>
      <c r="J14" s="898">
        <v>268.10000000000002</v>
      </c>
      <c r="K14" s="898">
        <v>260.10000000000002</v>
      </c>
      <c r="L14" s="899">
        <v>279</v>
      </c>
      <c r="M14" s="900">
        <f t="shared" si="1"/>
        <v>279</v>
      </c>
      <c r="N14" s="147">
        <v>269.89999999999998</v>
      </c>
      <c r="O14" s="898">
        <v>253.6</v>
      </c>
      <c r="P14" s="898">
        <v>331.7</v>
      </c>
      <c r="Q14" s="899">
        <v>294</v>
      </c>
      <c r="R14" s="900">
        <f t="shared" si="2"/>
        <v>294</v>
      </c>
      <c r="S14" s="147">
        <v>245</v>
      </c>
      <c r="T14" s="898">
        <v>213</v>
      </c>
      <c r="U14" s="898">
        <v>158</v>
      </c>
      <c r="V14" s="899">
        <v>275</v>
      </c>
      <c r="W14" s="900">
        <f t="shared" si="3"/>
        <v>275</v>
      </c>
      <c r="X14" s="147">
        <v>277</v>
      </c>
      <c r="Y14" s="898">
        <v>233</v>
      </c>
      <c r="Z14" s="898">
        <v>166</v>
      </c>
      <c r="AA14" s="899">
        <v>196</v>
      </c>
      <c r="AB14" s="900">
        <f t="shared" si="31"/>
        <v>196</v>
      </c>
      <c r="AC14" s="147">
        <v>134</v>
      </c>
      <c r="AD14" s="898">
        <v>126</v>
      </c>
      <c r="AE14" s="898">
        <v>152</v>
      </c>
      <c r="AF14" s="899">
        <v>176</v>
      </c>
      <c r="AG14" s="900">
        <f t="shared" si="32"/>
        <v>176</v>
      </c>
      <c r="AH14" s="147">
        <v>176</v>
      </c>
      <c r="AI14" s="898">
        <v>113</v>
      </c>
      <c r="AJ14" s="898">
        <v>125</v>
      </c>
      <c r="AK14" s="899">
        <v>155</v>
      </c>
      <c r="AL14" s="900">
        <f t="shared" si="4"/>
        <v>155</v>
      </c>
      <c r="AM14" s="147">
        <v>166</v>
      </c>
      <c r="AN14" s="898">
        <v>160</v>
      </c>
      <c r="AO14" s="898">
        <v>142</v>
      </c>
      <c r="AP14" s="899">
        <v>199</v>
      </c>
      <c r="AQ14" s="900">
        <f t="shared" si="5"/>
        <v>199</v>
      </c>
      <c r="AR14" s="147">
        <v>156</v>
      </c>
      <c r="AS14" s="898">
        <v>154</v>
      </c>
      <c r="AT14" s="898">
        <v>186</v>
      </c>
      <c r="AU14" s="802"/>
      <c r="AV14" s="901"/>
      <c r="AW14" s="901"/>
      <c r="AX14" s="901"/>
      <c r="AY14" s="898">
        <v>245</v>
      </c>
      <c r="AZ14" s="902">
        <f t="shared" si="6"/>
        <v>245</v>
      </c>
      <c r="BA14" s="147">
        <v>160</v>
      </c>
      <c r="BB14" s="898">
        <v>171</v>
      </c>
      <c r="BC14" s="898">
        <v>361</v>
      </c>
      <c r="BD14" s="898">
        <v>401</v>
      </c>
      <c r="BE14" s="902">
        <f t="shared" si="7"/>
        <v>401</v>
      </c>
      <c r="BF14" s="147">
        <v>341</v>
      </c>
      <c r="BG14" s="898">
        <v>442</v>
      </c>
      <c r="BH14" s="898">
        <v>445</v>
      </c>
      <c r="BI14" s="898">
        <v>118</v>
      </c>
      <c r="BJ14" s="902">
        <f t="shared" si="8"/>
        <v>118</v>
      </c>
      <c r="BK14" s="147">
        <v>112</v>
      </c>
      <c r="BL14" s="898">
        <v>104</v>
      </c>
      <c r="BM14" s="898">
        <v>195</v>
      </c>
      <c r="BN14" s="898">
        <v>107</v>
      </c>
      <c r="BO14" s="902">
        <f t="shared" si="9"/>
        <v>107</v>
      </c>
      <c r="BP14" s="147">
        <v>33</v>
      </c>
      <c r="BQ14" s="898">
        <v>113</v>
      </c>
      <c r="BR14" s="898">
        <v>113</v>
      </c>
      <c r="BS14" s="898">
        <v>69</v>
      </c>
      <c r="BT14" s="902">
        <f t="shared" si="10"/>
        <v>69</v>
      </c>
      <c r="BU14" s="147">
        <v>49</v>
      </c>
      <c r="BV14" s="898">
        <v>63</v>
      </c>
      <c r="BW14" s="898">
        <v>71</v>
      </c>
      <c r="BX14" s="898">
        <v>87</v>
      </c>
      <c r="BY14" s="902">
        <f t="shared" si="11"/>
        <v>87</v>
      </c>
      <c r="BZ14" s="147">
        <v>84</v>
      </c>
      <c r="CA14" s="898">
        <v>118</v>
      </c>
      <c r="CB14" s="898">
        <v>91</v>
      </c>
      <c r="CC14" s="898">
        <v>82</v>
      </c>
      <c r="CD14" s="902">
        <f t="shared" si="12"/>
        <v>82</v>
      </c>
      <c r="CE14" s="147">
        <v>82.043999999999997</v>
      </c>
      <c r="CF14" s="898">
        <v>83</v>
      </c>
      <c r="CG14" s="898">
        <v>80</v>
      </c>
      <c r="CH14" s="898">
        <v>108</v>
      </c>
      <c r="CI14" s="902">
        <f t="shared" si="13"/>
        <v>108</v>
      </c>
      <c r="CJ14" s="147">
        <v>107</v>
      </c>
      <c r="CK14" s="147">
        <v>107</v>
      </c>
      <c r="CL14" s="147">
        <v>307</v>
      </c>
      <c r="CM14" s="898">
        <v>282</v>
      </c>
      <c r="CN14" s="902">
        <f t="shared" si="14"/>
        <v>282</v>
      </c>
      <c r="CO14" s="147">
        <v>283</v>
      </c>
      <c r="CP14" s="147">
        <v>249</v>
      </c>
      <c r="CQ14" s="898">
        <v>247</v>
      </c>
      <c r="CR14" s="898">
        <v>418</v>
      </c>
      <c r="CS14" s="902">
        <f t="shared" si="15"/>
        <v>418</v>
      </c>
      <c r="CT14" s="898">
        <v>411</v>
      </c>
      <c r="CU14" s="898">
        <v>409</v>
      </c>
      <c r="CV14" s="898">
        <v>394</v>
      </c>
      <c r="CW14" s="898">
        <v>354</v>
      </c>
      <c r="CX14" s="902">
        <f t="shared" si="16"/>
        <v>354</v>
      </c>
      <c r="CY14" s="898">
        <v>354</v>
      </c>
      <c r="CZ14" s="898">
        <v>350</v>
      </c>
      <c r="DA14" s="898">
        <v>358</v>
      </c>
      <c r="DB14" s="898">
        <v>581</v>
      </c>
      <c r="DC14" s="902">
        <f t="shared" si="17"/>
        <v>581</v>
      </c>
      <c r="DD14" s="898">
        <v>577</v>
      </c>
      <c r="DE14" s="898">
        <v>633</v>
      </c>
      <c r="DF14" s="898">
        <v>725</v>
      </c>
      <c r="DG14" s="898">
        <v>747</v>
      </c>
      <c r="DH14" s="902">
        <f t="shared" si="18"/>
        <v>747</v>
      </c>
      <c r="DI14" s="898">
        <v>718</v>
      </c>
      <c r="DJ14" s="898">
        <v>637</v>
      </c>
      <c r="DK14" s="898">
        <v>625</v>
      </c>
      <c r="DL14" s="898">
        <v>0</v>
      </c>
      <c r="DM14" s="902">
        <f t="shared" si="19"/>
        <v>0</v>
      </c>
      <c r="DN14" s="898">
        <f>DM14</f>
        <v>0</v>
      </c>
      <c r="DO14" s="898">
        <v>3</v>
      </c>
      <c r="DP14" s="898">
        <v>0</v>
      </c>
      <c r="DQ14" s="898">
        <f>DP14</f>
        <v>0</v>
      </c>
      <c r="DR14" s="902">
        <f t="shared" si="27"/>
        <v>0</v>
      </c>
      <c r="DS14" s="898">
        <f>DR14</f>
        <v>0</v>
      </c>
      <c r="DT14" s="898">
        <f>DS14</f>
        <v>0</v>
      </c>
      <c r="DU14" s="898">
        <f>DT14</f>
        <v>0</v>
      </c>
      <c r="DV14" s="898">
        <f>DU14</f>
        <v>0</v>
      </c>
      <c r="DW14" s="902">
        <f t="shared" si="20"/>
        <v>0</v>
      </c>
      <c r="DX14" s="903">
        <f t="shared" si="33"/>
        <v>0</v>
      </c>
      <c r="DY14" s="903">
        <f t="shared" si="33"/>
        <v>0</v>
      </c>
      <c r="DZ14" s="903">
        <f t="shared" si="33"/>
        <v>0</v>
      </c>
      <c r="EA14" s="903">
        <f t="shared" si="33"/>
        <v>0</v>
      </c>
      <c r="EB14" s="902">
        <f t="shared" si="21"/>
        <v>0</v>
      </c>
      <c r="EC14" s="903">
        <f t="shared" si="34"/>
        <v>0</v>
      </c>
      <c r="ED14" s="903">
        <f t="shared" si="34"/>
        <v>0</v>
      </c>
      <c r="EE14" s="903">
        <f t="shared" si="34"/>
        <v>0</v>
      </c>
      <c r="EF14" s="903">
        <f t="shared" si="34"/>
        <v>0</v>
      </c>
      <c r="EG14" s="902">
        <f t="shared" si="22"/>
        <v>0</v>
      </c>
      <c r="EH14" s="903">
        <f t="shared" si="22"/>
        <v>0</v>
      </c>
      <c r="EI14" s="903">
        <f t="shared" si="22"/>
        <v>0</v>
      </c>
      <c r="EJ14" s="903">
        <f t="shared" si="22"/>
        <v>0</v>
      </c>
      <c r="EK14" s="903">
        <f t="shared" si="22"/>
        <v>0</v>
      </c>
      <c r="EL14" s="902">
        <f t="shared" si="23"/>
        <v>0</v>
      </c>
      <c r="EM14" s="901"/>
      <c r="EN14"/>
      <c r="EO14"/>
      <c r="EP14"/>
      <c r="EQ14"/>
      <c r="ER14"/>
      <c r="ES14"/>
      <c r="ET14" s="141"/>
      <c r="EU14" s="141"/>
      <c r="EV14" s="141"/>
      <c r="EW14" s="141"/>
      <c r="EX14" s="141"/>
      <c r="EY14" s="141"/>
      <c r="EZ14" s="141"/>
      <c r="FA14" s="141"/>
      <c r="FB14" s="141"/>
      <c r="FC14" s="141"/>
      <c r="FD14" s="141"/>
      <c r="FE14" s="141"/>
      <c r="FF14" s="141"/>
      <c r="FG14" s="141"/>
      <c r="FH14" s="141"/>
      <c r="FI14" s="141"/>
      <c r="FJ14" s="141"/>
      <c r="FK14" s="141"/>
      <c r="FL14" s="141"/>
      <c r="FM14" s="141"/>
      <c r="FN14" s="141"/>
      <c r="FO14" s="141"/>
      <c r="FP14" s="141"/>
      <c r="FQ14" s="141"/>
      <c r="FR14" s="141"/>
      <c r="FS14" s="141"/>
      <c r="FT14" s="141"/>
      <c r="FU14" s="141"/>
      <c r="FV14" s="141"/>
      <c r="FW14" s="141"/>
      <c r="FX14" s="141"/>
      <c r="FY14" s="141"/>
      <c r="FZ14" s="141"/>
      <c r="GA14" s="141"/>
      <c r="GB14" s="141"/>
      <c r="GC14" s="141"/>
      <c r="GD14" s="141"/>
      <c r="GE14" s="141"/>
      <c r="GF14" s="141"/>
      <c r="GG14" s="141"/>
      <c r="GH14" s="141"/>
      <c r="GI14" s="141"/>
      <c r="GJ14" s="141"/>
      <c r="GK14" s="141"/>
      <c r="GL14" s="141"/>
      <c r="GM14" s="141"/>
      <c r="GN14" s="141"/>
      <c r="GO14" s="141"/>
      <c r="GP14" s="141"/>
      <c r="GQ14" s="141"/>
      <c r="GR14" s="141"/>
      <c r="GS14" s="141"/>
      <c r="GT14" s="141"/>
      <c r="GU14" s="141"/>
      <c r="GV14" s="141"/>
      <c r="GW14" s="141"/>
      <c r="GX14" s="141"/>
      <c r="GY14" s="141"/>
      <c r="GZ14" s="141"/>
      <c r="HA14" s="141"/>
      <c r="HB14" s="141"/>
      <c r="HC14" s="141"/>
      <c r="HD14" s="141"/>
      <c r="HE14" s="141"/>
      <c r="HF14" s="141"/>
      <c r="HG14" s="141"/>
      <c r="HH14" s="141"/>
      <c r="HI14" s="141"/>
      <c r="HJ14" s="141"/>
      <c r="HK14" s="141"/>
      <c r="HL14" s="141"/>
      <c r="HM14" s="141"/>
      <c r="HN14" s="141"/>
      <c r="HO14" s="141"/>
      <c r="HP14" s="141"/>
      <c r="HQ14" s="141"/>
      <c r="HR14" s="141"/>
      <c r="HS14" s="141"/>
      <c r="HT14" s="141"/>
      <c r="HU14" s="141"/>
      <c r="HV14" s="141"/>
      <c r="HW14" s="141"/>
      <c r="HX14" s="141"/>
      <c r="HY14" s="141"/>
      <c r="HZ14" s="141"/>
      <c r="IA14" s="141"/>
      <c r="IB14" s="141"/>
      <c r="IC14" s="141"/>
      <c r="ID14" s="141"/>
      <c r="IE14" s="141"/>
      <c r="IF14" s="141"/>
      <c r="IG14" s="141"/>
      <c r="IH14" s="141"/>
      <c r="II14" s="141"/>
      <c r="IJ14" s="141"/>
      <c r="IK14" s="141"/>
      <c r="IL14" s="141"/>
      <c r="IM14" s="141"/>
      <c r="IN14" s="141"/>
      <c r="IO14" s="141"/>
      <c r="IP14" s="141"/>
      <c r="IQ14" s="141"/>
      <c r="IR14" s="141"/>
      <c r="IS14" s="141"/>
      <c r="IT14" s="141"/>
      <c r="IU14" s="141"/>
      <c r="IV14" s="141"/>
      <c r="IW14" s="141"/>
      <c r="IX14" s="141"/>
      <c r="IY14" s="141"/>
      <c r="IZ14" s="141"/>
      <c r="JA14" s="141"/>
      <c r="JB14" s="141"/>
      <c r="JC14" s="141"/>
      <c r="JD14" s="141"/>
      <c r="JE14" s="141"/>
      <c r="JF14" s="141"/>
      <c r="JG14" s="141"/>
      <c r="JH14" s="141"/>
    </row>
    <row r="15" spans="1:268" s="142" customFormat="1" ht="12" customHeight="1">
      <c r="A15" s="801"/>
      <c r="B15" s="557" t="s">
        <v>536</v>
      </c>
      <c r="C15" s="147"/>
      <c r="D15" s="147">
        <v>79.840999999999994</v>
      </c>
      <c r="E15" s="147">
        <v>26.5</v>
      </c>
      <c r="F15" s="147">
        <v>16.399999999999999</v>
      </c>
      <c r="G15" s="150">
        <v>184</v>
      </c>
      <c r="H15" s="900">
        <f t="shared" si="0"/>
        <v>184</v>
      </c>
      <c r="I15" s="147">
        <v>124.5</v>
      </c>
      <c r="J15" s="147">
        <v>37.700000000000003</v>
      </c>
      <c r="K15" s="147">
        <v>22.7</v>
      </c>
      <c r="L15" s="150">
        <v>39</v>
      </c>
      <c r="M15" s="900">
        <f t="shared" si="1"/>
        <v>39</v>
      </c>
      <c r="N15" s="147">
        <v>0</v>
      </c>
      <c r="O15" s="147">
        <v>0</v>
      </c>
      <c r="P15" s="147">
        <v>0</v>
      </c>
      <c r="Q15" s="150">
        <v>0</v>
      </c>
      <c r="R15" s="900">
        <f t="shared" si="2"/>
        <v>0</v>
      </c>
      <c r="S15" s="147">
        <v>0</v>
      </c>
      <c r="T15" s="147">
        <v>0</v>
      </c>
      <c r="U15" s="147">
        <v>0</v>
      </c>
      <c r="V15" s="150">
        <v>0</v>
      </c>
      <c r="W15" s="900">
        <f t="shared" si="3"/>
        <v>0</v>
      </c>
      <c r="X15" s="147">
        <v>0</v>
      </c>
      <c r="Y15" s="147">
        <v>0</v>
      </c>
      <c r="Z15" s="147">
        <v>0</v>
      </c>
      <c r="AA15" s="150">
        <v>655</v>
      </c>
      <c r="AB15" s="900">
        <f t="shared" si="31"/>
        <v>655</v>
      </c>
      <c r="AC15" s="147">
        <v>632</v>
      </c>
      <c r="AD15" s="147">
        <v>165</v>
      </c>
      <c r="AE15" s="147">
        <v>211</v>
      </c>
      <c r="AF15" s="150">
        <v>132</v>
      </c>
      <c r="AG15" s="900">
        <f t="shared" si="32"/>
        <v>132</v>
      </c>
      <c r="AH15" s="147">
        <v>133</v>
      </c>
      <c r="AI15" s="147">
        <v>0</v>
      </c>
      <c r="AJ15" s="147">
        <v>0</v>
      </c>
      <c r="AK15" s="150">
        <v>0</v>
      </c>
      <c r="AL15" s="900">
        <f t="shared" si="4"/>
        <v>0</v>
      </c>
      <c r="AM15" s="147">
        <v>0</v>
      </c>
      <c r="AN15" s="147">
        <v>0</v>
      </c>
      <c r="AO15" s="147">
        <v>0</v>
      </c>
      <c r="AP15" s="150">
        <v>0</v>
      </c>
      <c r="AQ15" s="900">
        <f t="shared" si="5"/>
        <v>0</v>
      </c>
      <c r="AR15" s="147">
        <v>0</v>
      </c>
      <c r="AS15" s="147">
        <v>0</v>
      </c>
      <c r="AT15" s="147">
        <v>0</v>
      </c>
      <c r="AU15" s="802"/>
      <c r="AV15" s="901"/>
      <c r="AW15" s="901"/>
      <c r="AX15" s="901"/>
      <c r="AY15" s="147">
        <v>0</v>
      </c>
      <c r="AZ15" s="902">
        <f t="shared" si="6"/>
        <v>0</v>
      </c>
      <c r="BA15" s="147">
        <v>555</v>
      </c>
      <c r="BB15" s="147">
        <v>565</v>
      </c>
      <c r="BC15" s="147">
        <v>476</v>
      </c>
      <c r="BD15" s="147">
        <v>0</v>
      </c>
      <c r="BE15" s="902">
        <f t="shared" si="7"/>
        <v>0</v>
      </c>
      <c r="BF15" s="147">
        <v>985</v>
      </c>
      <c r="BG15" s="147">
        <v>670</v>
      </c>
      <c r="BH15" s="147">
        <v>565</v>
      </c>
      <c r="BI15" s="147">
        <v>114</v>
      </c>
      <c r="BJ15" s="902">
        <f t="shared" si="8"/>
        <v>114</v>
      </c>
      <c r="BK15" s="147">
        <v>63</v>
      </c>
      <c r="BL15" s="147">
        <v>74</v>
      </c>
      <c r="BM15" s="147">
        <v>29</v>
      </c>
      <c r="BN15" s="147">
        <v>11</v>
      </c>
      <c r="BO15" s="902">
        <f t="shared" si="9"/>
        <v>11</v>
      </c>
      <c r="BP15" s="147">
        <v>9</v>
      </c>
      <c r="BQ15" s="147">
        <v>303</v>
      </c>
      <c r="BR15" s="147">
        <v>171</v>
      </c>
      <c r="BS15" s="147">
        <v>119</v>
      </c>
      <c r="BT15" s="902">
        <f t="shared" si="10"/>
        <v>119</v>
      </c>
      <c r="BU15" s="147">
        <v>70</v>
      </c>
      <c r="BV15" s="147">
        <v>66</v>
      </c>
      <c r="BW15" s="147">
        <v>60</v>
      </c>
      <c r="BX15" s="147">
        <v>51</v>
      </c>
      <c r="BY15" s="902">
        <f t="shared" si="11"/>
        <v>51</v>
      </c>
      <c r="BZ15" s="147">
        <v>19</v>
      </c>
      <c r="CA15" s="147">
        <v>385</v>
      </c>
      <c r="CB15" s="147">
        <v>362</v>
      </c>
      <c r="CC15" s="147">
        <v>310</v>
      </c>
      <c r="CD15" s="902">
        <f t="shared" si="12"/>
        <v>310</v>
      </c>
      <c r="CE15" s="147">
        <v>35</v>
      </c>
      <c r="CF15" s="147">
        <v>39</v>
      </c>
      <c r="CG15" s="147">
        <v>37</v>
      </c>
      <c r="CH15" s="147">
        <v>29</v>
      </c>
      <c r="CI15" s="902">
        <f t="shared" si="13"/>
        <v>29</v>
      </c>
      <c r="CJ15" s="147">
        <v>31</v>
      </c>
      <c r="CK15" s="147">
        <v>19</v>
      </c>
      <c r="CL15" s="147">
        <v>20</v>
      </c>
      <c r="CM15" s="147">
        <v>14</v>
      </c>
      <c r="CN15" s="902">
        <f t="shared" si="14"/>
        <v>14</v>
      </c>
      <c r="CO15" s="147">
        <v>13</v>
      </c>
      <c r="CP15" s="147">
        <v>11</v>
      </c>
      <c r="CQ15" s="147">
        <v>2</v>
      </c>
      <c r="CR15" s="147">
        <v>2</v>
      </c>
      <c r="CS15" s="902">
        <f t="shared" si="15"/>
        <v>2</v>
      </c>
      <c r="CT15" s="147">
        <v>2</v>
      </c>
      <c r="CU15" s="147">
        <v>41</v>
      </c>
      <c r="CV15" s="147">
        <v>0</v>
      </c>
      <c r="CW15" s="147">
        <f>+CV15</f>
        <v>0</v>
      </c>
      <c r="CX15" s="902">
        <f t="shared" si="16"/>
        <v>0</v>
      </c>
      <c r="CY15" s="147">
        <v>0</v>
      </c>
      <c r="CZ15" s="147">
        <v>0</v>
      </c>
      <c r="DA15" s="147">
        <v>0</v>
      </c>
      <c r="DB15" s="147">
        <v>0</v>
      </c>
      <c r="DC15" s="902">
        <f t="shared" si="17"/>
        <v>0</v>
      </c>
      <c r="DD15" s="147">
        <f>+DC15</f>
        <v>0</v>
      </c>
      <c r="DE15" s="147">
        <f>+DD15</f>
        <v>0</v>
      </c>
      <c r="DF15" s="147">
        <v>0</v>
      </c>
      <c r="DG15" s="147">
        <f>+DF15</f>
        <v>0</v>
      </c>
      <c r="DH15" s="902">
        <f t="shared" si="18"/>
        <v>0</v>
      </c>
      <c r="DI15" s="147">
        <v>337</v>
      </c>
      <c r="DJ15" s="147">
        <v>1170</v>
      </c>
      <c r="DK15" s="147">
        <v>1186</v>
      </c>
      <c r="DL15" s="147">
        <v>550</v>
      </c>
      <c r="DM15" s="902">
        <f t="shared" si="19"/>
        <v>550</v>
      </c>
      <c r="DN15" s="147">
        <v>2</v>
      </c>
      <c r="DO15" s="147">
        <v>2</v>
      </c>
      <c r="DP15" s="147">
        <v>17</v>
      </c>
      <c r="DQ15" s="147">
        <v>29</v>
      </c>
      <c r="DR15" s="902">
        <f t="shared" si="27"/>
        <v>29</v>
      </c>
      <c r="DS15" s="147">
        <v>3</v>
      </c>
      <c r="DT15" s="147">
        <v>705</v>
      </c>
      <c r="DU15" s="147">
        <v>842</v>
      </c>
      <c r="DV15" s="147">
        <v>1017</v>
      </c>
      <c r="DW15" s="902">
        <f t="shared" si="20"/>
        <v>1017</v>
      </c>
      <c r="DX15" s="903">
        <f>+DW15</f>
        <v>1017</v>
      </c>
      <c r="DY15" s="903">
        <f>+DX15</f>
        <v>1017</v>
      </c>
      <c r="DZ15" s="903">
        <f>+DY15</f>
        <v>1017</v>
      </c>
      <c r="EA15" s="903">
        <f>+DZ15</f>
        <v>1017</v>
      </c>
      <c r="EB15" s="902">
        <f t="shared" si="21"/>
        <v>1017</v>
      </c>
      <c r="EC15" s="903">
        <f>+EB15</f>
        <v>1017</v>
      </c>
      <c r="ED15" s="903">
        <f>+EC15</f>
        <v>1017</v>
      </c>
      <c r="EE15" s="903">
        <f>+ED15</f>
        <v>1017</v>
      </c>
      <c r="EF15" s="903">
        <f>+EE15</f>
        <v>1017</v>
      </c>
      <c r="EG15" s="902">
        <f t="shared" si="22"/>
        <v>1017</v>
      </c>
      <c r="EH15" s="903">
        <f>+EG15</f>
        <v>1017</v>
      </c>
      <c r="EI15" s="903">
        <f>+EH15</f>
        <v>1017</v>
      </c>
      <c r="EJ15" s="903">
        <f>+EI15</f>
        <v>1017</v>
      </c>
      <c r="EK15" s="903">
        <f>+EJ15</f>
        <v>1017</v>
      </c>
      <c r="EL15" s="902">
        <f t="shared" si="23"/>
        <v>1017</v>
      </c>
      <c r="EM15" s="901"/>
      <c r="EN15"/>
      <c r="EO15"/>
      <c r="EP15"/>
      <c r="EQ15"/>
      <c r="ER15"/>
      <c r="ES15"/>
      <c r="ET15" s="141"/>
      <c r="EU15" s="141"/>
      <c r="EV15" s="141"/>
      <c r="EW15" s="141"/>
      <c r="EX15" s="141"/>
      <c r="EY15" s="141"/>
      <c r="EZ15" s="141"/>
      <c r="FA15" s="141"/>
      <c r="FB15" s="141"/>
      <c r="FC15" s="141"/>
      <c r="FD15" s="141"/>
      <c r="FE15" s="141"/>
      <c r="FF15" s="141"/>
      <c r="FG15" s="141"/>
      <c r="FH15" s="141"/>
      <c r="FI15" s="141"/>
      <c r="FJ15" s="141"/>
      <c r="FK15" s="141"/>
      <c r="FL15" s="141"/>
      <c r="FM15" s="141"/>
      <c r="FN15" s="141"/>
      <c r="FO15" s="141"/>
      <c r="FP15" s="141"/>
      <c r="FQ15" s="141"/>
      <c r="FR15" s="141"/>
      <c r="FS15" s="141"/>
      <c r="FT15" s="141"/>
      <c r="FU15" s="141"/>
      <c r="FV15" s="141"/>
      <c r="FW15" s="141"/>
      <c r="FX15" s="141"/>
      <c r="FY15" s="141"/>
      <c r="FZ15" s="141"/>
      <c r="GA15" s="141"/>
      <c r="GB15" s="141"/>
      <c r="GC15" s="141"/>
      <c r="GD15" s="141"/>
      <c r="GE15" s="141"/>
      <c r="GF15" s="141"/>
      <c r="GG15" s="141"/>
      <c r="GH15" s="141"/>
      <c r="GI15" s="141"/>
      <c r="GJ15" s="141"/>
      <c r="GK15" s="141"/>
      <c r="GL15" s="141"/>
      <c r="GM15" s="141"/>
      <c r="GN15" s="141"/>
      <c r="GO15" s="141"/>
      <c r="GP15" s="141"/>
      <c r="GQ15" s="141"/>
      <c r="GR15" s="141"/>
      <c r="GS15" s="141"/>
      <c r="GT15" s="141"/>
      <c r="GU15" s="141"/>
      <c r="GV15" s="141"/>
      <c r="GW15" s="141"/>
      <c r="GX15" s="141"/>
      <c r="GY15" s="141"/>
      <c r="GZ15" s="141"/>
      <c r="HA15" s="141"/>
      <c r="HB15" s="141"/>
      <c r="HC15" s="141"/>
      <c r="HD15" s="141"/>
      <c r="HE15" s="141"/>
      <c r="HF15" s="141"/>
      <c r="HG15" s="141"/>
      <c r="HH15" s="141"/>
      <c r="HI15" s="141"/>
      <c r="HJ15" s="141"/>
      <c r="HK15" s="141"/>
      <c r="HL15" s="141"/>
      <c r="HM15" s="141"/>
      <c r="HN15" s="141"/>
      <c r="HO15" s="141"/>
      <c r="HP15" s="141"/>
      <c r="HQ15" s="141"/>
      <c r="HR15" s="141"/>
      <c r="HS15" s="141"/>
      <c r="HT15" s="141"/>
      <c r="HU15" s="141"/>
      <c r="HV15" s="141"/>
      <c r="HW15" s="141"/>
      <c r="HX15" s="141"/>
      <c r="HY15" s="141"/>
      <c r="HZ15" s="141"/>
      <c r="IA15" s="141"/>
      <c r="IB15" s="141"/>
      <c r="IC15" s="141"/>
      <c r="ID15" s="141"/>
      <c r="IE15" s="141"/>
      <c r="IF15" s="141"/>
      <c r="IG15" s="141"/>
      <c r="IH15" s="141"/>
      <c r="II15" s="141"/>
      <c r="IJ15" s="141"/>
      <c r="IK15" s="141"/>
      <c r="IL15" s="141"/>
      <c r="IM15" s="141"/>
      <c r="IN15" s="141"/>
      <c r="IO15" s="141"/>
      <c r="IP15" s="141"/>
      <c r="IQ15" s="141"/>
      <c r="IR15" s="141"/>
      <c r="IS15" s="141"/>
      <c r="IT15" s="141"/>
      <c r="IU15" s="141"/>
      <c r="IV15" s="141"/>
      <c r="IW15" s="141"/>
      <c r="IX15" s="141"/>
      <c r="IY15" s="141"/>
      <c r="IZ15" s="141"/>
      <c r="JA15" s="141"/>
      <c r="JB15" s="141"/>
      <c r="JC15" s="141"/>
      <c r="JD15" s="141"/>
      <c r="JE15" s="141"/>
      <c r="JF15" s="141"/>
      <c r="JG15" s="141"/>
      <c r="JH15" s="141"/>
    </row>
    <row r="16" spans="1:268" s="142" customFormat="1" ht="12" customHeight="1">
      <c r="A16" s="818"/>
      <c r="B16" s="556" t="s">
        <v>537</v>
      </c>
      <c r="C16" s="148"/>
      <c r="D16" s="148">
        <v>54.103000000000002</v>
      </c>
      <c r="E16" s="148">
        <v>56.5</v>
      </c>
      <c r="F16" s="148">
        <v>53.9</v>
      </c>
      <c r="G16" s="911">
        <v>55</v>
      </c>
      <c r="H16" s="912">
        <f t="shared" si="0"/>
        <v>55</v>
      </c>
      <c r="I16" s="148">
        <v>50.4</v>
      </c>
      <c r="J16" s="148">
        <v>58.5</v>
      </c>
      <c r="K16" s="148">
        <v>58.7</v>
      </c>
      <c r="L16" s="911">
        <v>60</v>
      </c>
      <c r="M16" s="912">
        <f t="shared" si="1"/>
        <v>60</v>
      </c>
      <c r="N16" s="148">
        <v>80.3</v>
      </c>
      <c r="O16" s="148">
        <v>81.3</v>
      </c>
      <c r="P16" s="148">
        <v>337.4</v>
      </c>
      <c r="Q16" s="911">
        <v>407</v>
      </c>
      <c r="R16" s="912">
        <f t="shared" si="2"/>
        <v>407</v>
      </c>
      <c r="S16" s="148">
        <v>405</v>
      </c>
      <c r="T16" s="148">
        <v>508</v>
      </c>
      <c r="U16" s="148">
        <v>478</v>
      </c>
      <c r="V16" s="911">
        <v>504</v>
      </c>
      <c r="W16" s="912">
        <f t="shared" si="3"/>
        <v>504</v>
      </c>
      <c r="X16" s="148">
        <v>450</v>
      </c>
      <c r="Y16" s="148">
        <v>398</v>
      </c>
      <c r="Z16" s="148">
        <v>418</v>
      </c>
      <c r="AA16" s="911">
        <v>413</v>
      </c>
      <c r="AB16" s="912">
        <f t="shared" si="31"/>
        <v>413</v>
      </c>
      <c r="AC16" s="148">
        <v>392</v>
      </c>
      <c r="AD16" s="148">
        <v>387</v>
      </c>
      <c r="AE16" s="148">
        <v>484</v>
      </c>
      <c r="AF16" s="911">
        <v>312</v>
      </c>
      <c r="AG16" s="912">
        <f t="shared" si="32"/>
        <v>312</v>
      </c>
      <c r="AH16" s="148">
        <v>320</v>
      </c>
      <c r="AI16" s="148">
        <v>465</v>
      </c>
      <c r="AJ16" s="148">
        <v>419</v>
      </c>
      <c r="AK16" s="911">
        <v>305</v>
      </c>
      <c r="AL16" s="912">
        <f t="shared" si="4"/>
        <v>305</v>
      </c>
      <c r="AM16" s="148">
        <v>375</v>
      </c>
      <c r="AN16" s="148">
        <v>347</v>
      </c>
      <c r="AO16" s="148">
        <v>402</v>
      </c>
      <c r="AP16" s="911">
        <v>401</v>
      </c>
      <c r="AQ16" s="912">
        <f t="shared" si="5"/>
        <v>401</v>
      </c>
      <c r="AR16" s="148">
        <v>377</v>
      </c>
      <c r="AS16" s="148">
        <v>490</v>
      </c>
      <c r="AT16" s="148">
        <v>401</v>
      </c>
      <c r="AU16" s="913"/>
      <c r="AV16" s="914"/>
      <c r="AW16" s="914"/>
      <c r="AX16" s="914"/>
      <c r="AY16" s="148">
        <v>421</v>
      </c>
      <c r="AZ16" s="915">
        <f t="shared" si="6"/>
        <v>421</v>
      </c>
      <c r="BA16" s="148">
        <v>381</v>
      </c>
      <c r="BB16" s="148">
        <v>334</v>
      </c>
      <c r="BC16" s="148">
        <v>375</v>
      </c>
      <c r="BD16" s="148">
        <v>466</v>
      </c>
      <c r="BE16" s="915">
        <f t="shared" si="7"/>
        <v>466</v>
      </c>
      <c r="BF16" s="148">
        <v>304</v>
      </c>
      <c r="BG16" s="148">
        <v>289</v>
      </c>
      <c r="BH16" s="148">
        <v>305</v>
      </c>
      <c r="BI16" s="148">
        <v>320</v>
      </c>
      <c r="BJ16" s="915">
        <f t="shared" si="8"/>
        <v>320</v>
      </c>
      <c r="BK16" s="148">
        <v>289</v>
      </c>
      <c r="BL16" s="148">
        <v>321</v>
      </c>
      <c r="BM16" s="148">
        <v>284</v>
      </c>
      <c r="BN16" s="148">
        <v>297</v>
      </c>
      <c r="BO16" s="915">
        <f t="shared" si="9"/>
        <v>297</v>
      </c>
      <c r="BP16" s="148">
        <v>273</v>
      </c>
      <c r="BQ16" s="148">
        <f>239+285</f>
        <v>524</v>
      </c>
      <c r="BR16" s="148">
        <v>226</v>
      </c>
      <c r="BS16" s="148">
        <v>246</v>
      </c>
      <c r="BT16" s="915">
        <f t="shared" si="10"/>
        <v>246</v>
      </c>
      <c r="BU16" s="148">
        <v>232</v>
      </c>
      <c r="BV16" s="148">
        <v>215</v>
      </c>
      <c r="BW16" s="148">
        <v>233</v>
      </c>
      <c r="BX16" s="148">
        <v>255</v>
      </c>
      <c r="BY16" s="915">
        <f t="shared" si="11"/>
        <v>255</v>
      </c>
      <c r="BZ16" s="148">
        <v>265</v>
      </c>
      <c r="CA16" s="148">
        <v>266</v>
      </c>
      <c r="CB16" s="148">
        <v>282</v>
      </c>
      <c r="CC16" s="148">
        <v>290</v>
      </c>
      <c r="CD16" s="915">
        <f t="shared" si="12"/>
        <v>290</v>
      </c>
      <c r="CE16" s="148">
        <v>307</v>
      </c>
      <c r="CF16" s="148">
        <v>294</v>
      </c>
      <c r="CG16" s="148">
        <v>324</v>
      </c>
      <c r="CH16" s="148">
        <v>286</v>
      </c>
      <c r="CI16" s="915">
        <f t="shared" si="13"/>
        <v>286</v>
      </c>
      <c r="CJ16" s="148">
        <v>270</v>
      </c>
      <c r="CK16" s="148">
        <v>271</v>
      </c>
      <c r="CL16" s="148">
        <v>415</v>
      </c>
      <c r="CM16" s="148">
        <v>288</v>
      </c>
      <c r="CN16" s="915">
        <f t="shared" si="14"/>
        <v>288</v>
      </c>
      <c r="CO16" s="148">
        <v>412</v>
      </c>
      <c r="CP16" s="148">
        <v>375</v>
      </c>
      <c r="CQ16" s="148">
        <v>357</v>
      </c>
      <c r="CR16" s="148">
        <v>378</v>
      </c>
      <c r="CS16" s="915">
        <f t="shared" si="15"/>
        <v>378</v>
      </c>
      <c r="CT16" s="148">
        <v>386</v>
      </c>
      <c r="CU16" s="148">
        <v>509</v>
      </c>
      <c r="CV16" s="148">
        <v>502</v>
      </c>
      <c r="CW16" s="148">
        <v>458</v>
      </c>
      <c r="CX16" s="915">
        <f t="shared" si="16"/>
        <v>458</v>
      </c>
      <c r="CY16" s="148">
        <v>455</v>
      </c>
      <c r="CZ16" s="148">
        <v>600</v>
      </c>
      <c r="DA16" s="148">
        <v>583</v>
      </c>
      <c r="DB16" s="148">
        <v>716</v>
      </c>
      <c r="DC16" s="915">
        <f t="shared" si="17"/>
        <v>716</v>
      </c>
      <c r="DD16" s="148">
        <v>839</v>
      </c>
      <c r="DE16" s="148">
        <v>700</v>
      </c>
      <c r="DF16" s="148">
        <v>746</v>
      </c>
      <c r="DG16" s="148">
        <v>1095</v>
      </c>
      <c r="DH16" s="915">
        <f t="shared" si="18"/>
        <v>1095</v>
      </c>
      <c r="DI16" s="148">
        <v>1146</v>
      </c>
      <c r="DJ16" s="148">
        <v>1110</v>
      </c>
      <c r="DK16" s="148">
        <v>1202</v>
      </c>
      <c r="DL16" s="148">
        <v>1245</v>
      </c>
      <c r="DM16" s="915">
        <f t="shared" si="19"/>
        <v>1245</v>
      </c>
      <c r="DN16" s="148">
        <v>1280</v>
      </c>
      <c r="DO16" s="148">
        <v>1282</v>
      </c>
      <c r="DP16" s="148">
        <v>1331</v>
      </c>
      <c r="DQ16" s="148">
        <v>1285</v>
      </c>
      <c r="DR16" s="915">
        <f t="shared" si="27"/>
        <v>1285</v>
      </c>
      <c r="DS16" s="148">
        <v>1167</v>
      </c>
      <c r="DT16" s="148">
        <v>1173</v>
      </c>
      <c r="DU16" s="148">
        <v>1160</v>
      </c>
      <c r="DV16" s="148">
        <v>1035</v>
      </c>
      <c r="DW16" s="915">
        <f t="shared" si="20"/>
        <v>1035</v>
      </c>
      <c r="DX16" s="914">
        <f>DW16</f>
        <v>1035</v>
      </c>
      <c r="DY16" s="914">
        <f>DX16</f>
        <v>1035</v>
      </c>
      <c r="DZ16" s="914">
        <f>DY16</f>
        <v>1035</v>
      </c>
      <c r="EA16" s="914">
        <f>DZ16</f>
        <v>1035</v>
      </c>
      <c r="EB16" s="915">
        <f t="shared" si="21"/>
        <v>1035</v>
      </c>
      <c r="EC16" s="914">
        <f>EB16</f>
        <v>1035</v>
      </c>
      <c r="ED16" s="914">
        <f>EC16</f>
        <v>1035</v>
      </c>
      <c r="EE16" s="914">
        <f>ED16</f>
        <v>1035</v>
      </c>
      <c r="EF16" s="914">
        <f>EE16</f>
        <v>1035</v>
      </c>
      <c r="EG16" s="915">
        <f t="shared" si="22"/>
        <v>1035</v>
      </c>
      <c r="EH16" s="914">
        <f>EG16</f>
        <v>1035</v>
      </c>
      <c r="EI16" s="914">
        <f>EH16</f>
        <v>1035</v>
      </c>
      <c r="EJ16" s="914">
        <f>EI16</f>
        <v>1035</v>
      </c>
      <c r="EK16" s="914">
        <f>EJ16</f>
        <v>1035</v>
      </c>
      <c r="EL16" s="915">
        <f t="shared" si="23"/>
        <v>1035</v>
      </c>
      <c r="EM16" s="901"/>
      <c r="EN16"/>
      <c r="EO16"/>
      <c r="EP16"/>
      <c r="EQ16"/>
      <c r="ER16"/>
      <c r="ES16"/>
      <c r="ET16" s="141"/>
      <c r="EU16" s="141"/>
      <c r="EV16" s="141"/>
      <c r="EW16" s="141"/>
      <c r="EX16" s="141"/>
      <c r="EY16" s="141"/>
      <c r="EZ16" s="141"/>
      <c r="FA16" s="141"/>
      <c r="FB16" s="141"/>
      <c r="FC16" s="141"/>
      <c r="FD16" s="141"/>
      <c r="FE16" s="141"/>
      <c r="FF16" s="141"/>
      <c r="FG16" s="141"/>
      <c r="FH16" s="141"/>
      <c r="FI16" s="141"/>
      <c r="FJ16" s="141"/>
      <c r="FK16" s="141"/>
      <c r="FL16" s="141"/>
      <c r="FM16" s="141"/>
      <c r="FN16" s="141"/>
      <c r="FO16" s="141"/>
      <c r="FP16" s="141"/>
      <c r="FQ16" s="141"/>
      <c r="FR16" s="141"/>
      <c r="FS16" s="141"/>
      <c r="FT16" s="141"/>
      <c r="FU16" s="141"/>
      <c r="FV16" s="141"/>
      <c r="FW16" s="141"/>
      <c r="FX16" s="141"/>
      <c r="FY16" s="141"/>
      <c r="FZ16" s="141"/>
      <c r="GA16" s="141"/>
      <c r="GB16" s="141"/>
      <c r="GC16" s="141"/>
      <c r="GD16" s="141"/>
      <c r="GE16" s="141"/>
      <c r="GF16" s="141"/>
      <c r="GG16" s="141"/>
      <c r="GH16" s="141"/>
      <c r="GI16" s="141"/>
      <c r="GJ16" s="141"/>
      <c r="GK16" s="141"/>
      <c r="GL16" s="141"/>
      <c r="GM16" s="141"/>
      <c r="GN16" s="141"/>
      <c r="GO16" s="141"/>
      <c r="GP16" s="141"/>
      <c r="GQ16" s="141"/>
      <c r="GR16" s="141"/>
      <c r="GS16" s="141"/>
      <c r="GT16" s="141"/>
      <c r="GU16" s="141"/>
      <c r="GV16" s="141"/>
      <c r="GW16" s="141"/>
      <c r="GX16" s="141"/>
      <c r="GY16" s="141"/>
      <c r="GZ16" s="141"/>
      <c r="HA16" s="141"/>
      <c r="HB16" s="141"/>
      <c r="HC16" s="141"/>
      <c r="HD16" s="141"/>
      <c r="HE16" s="141"/>
      <c r="HF16" s="141"/>
      <c r="HG16" s="141"/>
      <c r="HH16" s="141"/>
      <c r="HI16" s="141"/>
      <c r="HJ16" s="141"/>
      <c r="HK16" s="141"/>
      <c r="HL16" s="141"/>
      <c r="HM16" s="141"/>
      <c r="HN16" s="141"/>
      <c r="HO16" s="141"/>
      <c r="HP16" s="141"/>
      <c r="HQ16" s="141"/>
      <c r="HR16" s="141"/>
      <c r="HS16" s="141"/>
      <c r="HT16" s="141"/>
      <c r="HU16" s="141"/>
      <c r="HV16" s="141"/>
      <c r="HW16" s="141"/>
      <c r="HX16" s="141"/>
      <c r="HY16" s="141"/>
      <c r="HZ16" s="141"/>
      <c r="IA16" s="141"/>
      <c r="IB16" s="141"/>
      <c r="IC16" s="141"/>
      <c r="ID16" s="141"/>
      <c r="IE16" s="141"/>
      <c r="IF16" s="141"/>
      <c r="IG16" s="141"/>
      <c r="IH16" s="141"/>
      <c r="II16" s="141"/>
      <c r="IJ16" s="141"/>
      <c r="IK16" s="141"/>
      <c r="IL16" s="141"/>
      <c r="IM16" s="141"/>
      <c r="IN16" s="141"/>
      <c r="IO16" s="141"/>
      <c r="IP16" s="141"/>
      <c r="IQ16" s="141"/>
      <c r="IR16" s="141"/>
      <c r="IS16" s="141"/>
      <c r="IT16" s="141"/>
      <c r="IU16" s="141"/>
      <c r="IV16" s="141"/>
      <c r="IW16" s="141"/>
      <c r="IX16" s="141"/>
      <c r="IY16" s="141"/>
      <c r="IZ16" s="141"/>
      <c r="JA16" s="141"/>
      <c r="JB16" s="141"/>
      <c r="JC16" s="141"/>
      <c r="JD16" s="141"/>
      <c r="JE16" s="141"/>
      <c r="JF16" s="141"/>
      <c r="JG16" s="141"/>
      <c r="JH16" s="141"/>
    </row>
    <row r="17" spans="1:268" s="142" customFormat="1" ht="12" customHeight="1">
      <c r="A17" s="803"/>
      <c r="B17" s="804" t="s">
        <v>538</v>
      </c>
      <c r="C17" s="153"/>
      <c r="D17" s="153">
        <f t="shared" ref="D17:AT17" si="35">SUM(D6:D8,D11:D16)</f>
        <v>1054.5650000000001</v>
      </c>
      <c r="E17" s="153">
        <f t="shared" si="35"/>
        <v>1036.4000000000001</v>
      </c>
      <c r="F17" s="153">
        <f t="shared" si="35"/>
        <v>1016.8</v>
      </c>
      <c r="G17" s="153">
        <f t="shared" si="35"/>
        <v>1624</v>
      </c>
      <c r="H17" s="916">
        <f t="shared" si="35"/>
        <v>1624</v>
      </c>
      <c r="I17" s="153">
        <f t="shared" si="35"/>
        <v>1441.7</v>
      </c>
      <c r="J17" s="153">
        <f t="shared" si="35"/>
        <v>1454.6000000000001</v>
      </c>
      <c r="K17" s="153">
        <f t="shared" si="35"/>
        <v>1516.7000000000003</v>
      </c>
      <c r="L17" s="153">
        <f t="shared" si="35"/>
        <v>1545</v>
      </c>
      <c r="M17" s="916">
        <f t="shared" si="35"/>
        <v>1545</v>
      </c>
      <c r="N17" s="153">
        <f t="shared" si="35"/>
        <v>1576.2</v>
      </c>
      <c r="O17" s="153">
        <f t="shared" si="35"/>
        <v>1635.7999999999997</v>
      </c>
      <c r="P17" s="153">
        <f t="shared" si="35"/>
        <v>2376.4</v>
      </c>
      <c r="Q17" s="153">
        <f t="shared" si="35"/>
        <v>2391</v>
      </c>
      <c r="R17" s="916">
        <f t="shared" si="35"/>
        <v>2391</v>
      </c>
      <c r="S17" s="153">
        <f t="shared" si="35"/>
        <v>2418</v>
      </c>
      <c r="T17" s="153">
        <f t="shared" si="35"/>
        <v>2623</v>
      </c>
      <c r="U17" s="153">
        <f t="shared" si="35"/>
        <v>2721</v>
      </c>
      <c r="V17" s="153">
        <f t="shared" si="35"/>
        <v>2890</v>
      </c>
      <c r="W17" s="916">
        <f t="shared" si="35"/>
        <v>2890</v>
      </c>
      <c r="X17" s="153">
        <f t="shared" si="35"/>
        <v>2986</v>
      </c>
      <c r="Y17" s="153">
        <f t="shared" si="35"/>
        <v>3083</v>
      </c>
      <c r="Z17" s="153">
        <f t="shared" si="35"/>
        <v>3322</v>
      </c>
      <c r="AA17" s="153">
        <f t="shared" si="35"/>
        <v>3962</v>
      </c>
      <c r="AB17" s="916">
        <f t="shared" si="35"/>
        <v>3962</v>
      </c>
      <c r="AC17" s="153">
        <f t="shared" si="35"/>
        <v>3951</v>
      </c>
      <c r="AD17" s="153">
        <f t="shared" si="35"/>
        <v>3518</v>
      </c>
      <c r="AE17" s="153">
        <f t="shared" si="35"/>
        <v>3783</v>
      </c>
      <c r="AF17" s="153">
        <f t="shared" si="35"/>
        <v>3594</v>
      </c>
      <c r="AG17" s="916">
        <f t="shared" si="35"/>
        <v>3594</v>
      </c>
      <c r="AH17" s="153">
        <f t="shared" si="35"/>
        <v>3559</v>
      </c>
      <c r="AI17" s="153">
        <f t="shared" si="35"/>
        <v>3529</v>
      </c>
      <c r="AJ17" s="153">
        <f t="shared" si="35"/>
        <v>3579</v>
      </c>
      <c r="AK17" s="153">
        <f t="shared" si="35"/>
        <v>3226</v>
      </c>
      <c r="AL17" s="916">
        <f t="shared" si="35"/>
        <v>3226</v>
      </c>
      <c r="AM17" s="153">
        <f t="shared" si="35"/>
        <v>3281</v>
      </c>
      <c r="AN17" s="153">
        <f t="shared" si="35"/>
        <v>3270</v>
      </c>
      <c r="AO17" s="153">
        <f t="shared" si="35"/>
        <v>3410</v>
      </c>
      <c r="AP17" s="153">
        <f t="shared" si="35"/>
        <v>3394</v>
      </c>
      <c r="AQ17" s="916">
        <f t="shared" si="35"/>
        <v>3394</v>
      </c>
      <c r="AR17" s="153">
        <f t="shared" si="35"/>
        <v>3392</v>
      </c>
      <c r="AS17" s="153">
        <f t="shared" si="35"/>
        <v>3594</v>
      </c>
      <c r="AT17" s="153">
        <f t="shared" si="35"/>
        <v>3706</v>
      </c>
      <c r="AU17" s="802"/>
      <c r="AV17" s="153">
        <f t="shared" ref="AV17:CA17" si="36">SUM(AV6:AV8,AV11:AV16)</f>
        <v>0</v>
      </c>
      <c r="AW17" s="153">
        <f t="shared" si="36"/>
        <v>0</v>
      </c>
      <c r="AX17" s="153">
        <f t="shared" si="36"/>
        <v>0</v>
      </c>
      <c r="AY17" s="153">
        <f t="shared" si="36"/>
        <v>3792</v>
      </c>
      <c r="AZ17" s="916">
        <f t="shared" si="36"/>
        <v>3792</v>
      </c>
      <c r="BA17" s="153">
        <f t="shared" si="36"/>
        <v>4280</v>
      </c>
      <c r="BB17" s="153">
        <f t="shared" si="36"/>
        <v>4281</v>
      </c>
      <c r="BC17" s="153">
        <f t="shared" si="36"/>
        <v>4223</v>
      </c>
      <c r="BD17" s="153">
        <f t="shared" si="36"/>
        <v>4248</v>
      </c>
      <c r="BE17" s="916">
        <f t="shared" si="36"/>
        <v>4248</v>
      </c>
      <c r="BF17" s="153">
        <f t="shared" si="36"/>
        <v>4864</v>
      </c>
      <c r="BG17" s="153">
        <f t="shared" si="36"/>
        <v>4928</v>
      </c>
      <c r="BH17" s="153">
        <f t="shared" si="36"/>
        <v>4887</v>
      </c>
      <c r="BI17" s="153">
        <f t="shared" si="36"/>
        <v>3992</v>
      </c>
      <c r="BJ17" s="916">
        <f t="shared" si="36"/>
        <v>3992</v>
      </c>
      <c r="BK17" s="153">
        <f t="shared" si="36"/>
        <v>4117</v>
      </c>
      <c r="BL17" s="153">
        <f t="shared" si="36"/>
        <v>4123</v>
      </c>
      <c r="BM17" s="153">
        <f t="shared" si="36"/>
        <v>4026</v>
      </c>
      <c r="BN17" s="153">
        <f t="shared" si="36"/>
        <v>3508</v>
      </c>
      <c r="BO17" s="916">
        <f t="shared" si="36"/>
        <v>3508</v>
      </c>
      <c r="BP17" s="153">
        <f t="shared" si="36"/>
        <v>3078</v>
      </c>
      <c r="BQ17" s="153">
        <f t="shared" si="36"/>
        <v>3349</v>
      </c>
      <c r="BR17" s="153">
        <f t="shared" si="36"/>
        <v>3138</v>
      </c>
      <c r="BS17" s="153">
        <f t="shared" si="36"/>
        <v>3025</v>
      </c>
      <c r="BT17" s="916">
        <f t="shared" si="36"/>
        <v>3025</v>
      </c>
      <c r="BU17" s="153">
        <f t="shared" si="36"/>
        <v>2753</v>
      </c>
      <c r="BV17" s="153">
        <f t="shared" si="36"/>
        <v>2608</v>
      </c>
      <c r="BW17" s="153">
        <f t="shared" si="36"/>
        <v>2593</v>
      </c>
      <c r="BX17" s="153">
        <f t="shared" si="36"/>
        <v>2560</v>
      </c>
      <c r="BY17" s="916">
        <f t="shared" si="36"/>
        <v>2560</v>
      </c>
      <c r="BZ17" s="153">
        <f t="shared" si="36"/>
        <v>2317</v>
      </c>
      <c r="CA17" s="153">
        <f t="shared" si="36"/>
        <v>2778</v>
      </c>
      <c r="CB17" s="153">
        <f t="shared" ref="CB17:DG17" si="37">SUM(CB6:CB8,CB11:CB16)</f>
        <v>2836</v>
      </c>
      <c r="CC17" s="153">
        <f t="shared" si="37"/>
        <v>2709</v>
      </c>
      <c r="CD17" s="916">
        <f t="shared" si="37"/>
        <v>2709</v>
      </c>
      <c r="CE17" s="153">
        <f t="shared" si="37"/>
        <v>2631</v>
      </c>
      <c r="CF17" s="153">
        <f t="shared" si="37"/>
        <v>2562</v>
      </c>
      <c r="CG17" s="153">
        <f t="shared" si="37"/>
        <v>2539</v>
      </c>
      <c r="CH17" s="153">
        <f t="shared" si="37"/>
        <v>2472</v>
      </c>
      <c r="CI17" s="916">
        <f t="shared" si="37"/>
        <v>2472</v>
      </c>
      <c r="CJ17" s="153">
        <f t="shared" si="37"/>
        <v>2386</v>
      </c>
      <c r="CK17" s="153">
        <f t="shared" si="37"/>
        <v>2435</v>
      </c>
      <c r="CL17" s="153">
        <f t="shared" si="37"/>
        <v>2444</v>
      </c>
      <c r="CM17" s="153">
        <f t="shared" si="37"/>
        <v>2311</v>
      </c>
      <c r="CN17" s="916">
        <f t="shared" si="37"/>
        <v>2311</v>
      </c>
      <c r="CO17" s="153">
        <f t="shared" si="37"/>
        <v>2393</v>
      </c>
      <c r="CP17" s="153">
        <f t="shared" si="37"/>
        <v>2314</v>
      </c>
      <c r="CQ17" s="153">
        <f t="shared" si="37"/>
        <v>2176</v>
      </c>
      <c r="CR17" s="153">
        <f t="shared" si="37"/>
        <v>2357</v>
      </c>
      <c r="CS17" s="916">
        <f t="shared" si="37"/>
        <v>2357</v>
      </c>
      <c r="CT17" s="153">
        <f t="shared" si="37"/>
        <v>2482</v>
      </c>
      <c r="CU17" s="153">
        <f t="shared" si="37"/>
        <v>2564</v>
      </c>
      <c r="CV17" s="153">
        <f t="shared" si="37"/>
        <v>2484</v>
      </c>
      <c r="CW17" s="153">
        <f t="shared" si="37"/>
        <v>2681</v>
      </c>
      <c r="CX17" s="916">
        <f t="shared" si="37"/>
        <v>2681</v>
      </c>
      <c r="CY17" s="153">
        <f t="shared" si="37"/>
        <v>2443</v>
      </c>
      <c r="CZ17" s="153">
        <f t="shared" si="37"/>
        <v>2574</v>
      </c>
      <c r="DA17" s="153">
        <f t="shared" si="37"/>
        <v>2560</v>
      </c>
      <c r="DB17" s="153">
        <f t="shared" si="37"/>
        <v>3710</v>
      </c>
      <c r="DC17" s="916">
        <f t="shared" si="37"/>
        <v>3710</v>
      </c>
      <c r="DD17" s="153">
        <f t="shared" si="37"/>
        <v>3978</v>
      </c>
      <c r="DE17" s="153">
        <f t="shared" si="37"/>
        <v>4208</v>
      </c>
      <c r="DF17" s="153">
        <f t="shared" si="37"/>
        <v>4201</v>
      </c>
      <c r="DG17" s="153">
        <f t="shared" si="37"/>
        <v>4717</v>
      </c>
      <c r="DH17" s="916">
        <f t="shared" ref="DH17:DR17" si="38">SUM(DH6:DH8,DH11:DH16)</f>
        <v>4717</v>
      </c>
      <c r="DI17" s="153">
        <f t="shared" si="38"/>
        <v>5124</v>
      </c>
      <c r="DJ17" s="153">
        <f t="shared" si="38"/>
        <v>6009</v>
      </c>
      <c r="DK17" s="153">
        <f t="shared" si="38"/>
        <v>6296</v>
      </c>
      <c r="DL17" s="153">
        <f t="shared" si="38"/>
        <v>5171</v>
      </c>
      <c r="DM17" s="916">
        <f>SUM(DM6:DM8,DM11:DM16)</f>
        <v>5171</v>
      </c>
      <c r="DN17" s="153">
        <f t="shared" si="38"/>
        <v>5129</v>
      </c>
      <c r="DO17" s="153">
        <f t="shared" si="38"/>
        <v>4993</v>
      </c>
      <c r="DP17" s="153">
        <f t="shared" si="38"/>
        <v>5116</v>
      </c>
      <c r="DQ17" s="153">
        <f t="shared" si="38"/>
        <v>5257</v>
      </c>
      <c r="DR17" s="916">
        <f t="shared" si="38"/>
        <v>4541</v>
      </c>
      <c r="DS17" s="153">
        <f>SUM(DS6:DS8,DS11:DS16)</f>
        <v>5052</v>
      </c>
      <c r="DT17" s="153">
        <f>SUM(DT6:DT8,DT11:DT16)</f>
        <v>5382</v>
      </c>
      <c r="DU17" s="153">
        <f>SUM(DU6:DU8,DU11:DU16)</f>
        <v>5309</v>
      </c>
      <c r="DV17" s="153">
        <f t="shared" ref="DV17" si="39">SUM(DV6:DV8,DV11:DV16)</f>
        <v>5573</v>
      </c>
      <c r="DW17" s="916">
        <f>SUM(DW6:DW8,DW11:DW16)</f>
        <v>5573</v>
      </c>
      <c r="DX17" s="153">
        <f t="shared" ref="DX17:EG17" si="40">SUM(DX6:DX8,DX11:DX16)</f>
        <v>5675.72149925739</v>
      </c>
      <c r="DY17" s="153">
        <f t="shared" si="40"/>
        <v>5409.3858470860741</v>
      </c>
      <c r="DZ17" s="153">
        <f t="shared" si="40"/>
        <v>5644.9615196460036</v>
      </c>
      <c r="EA17" s="153">
        <f t="shared" si="40"/>
        <v>5511.5997723342462</v>
      </c>
      <c r="EB17" s="916">
        <f t="shared" si="40"/>
        <v>5511.5997723342462</v>
      </c>
      <c r="EC17" s="153">
        <f t="shared" si="40"/>
        <v>5520.0060882466123</v>
      </c>
      <c r="ED17" s="153">
        <f t="shared" si="40"/>
        <v>5672.2125510369078</v>
      </c>
      <c r="EE17" s="153">
        <f t="shared" si="40"/>
        <v>5795.1836047736897</v>
      </c>
      <c r="EF17" s="153">
        <f t="shared" si="40"/>
        <v>6034.6718224619181</v>
      </c>
      <c r="EG17" s="916">
        <f t="shared" si="40"/>
        <v>6034.6718224619181</v>
      </c>
      <c r="EH17" s="153">
        <f t="shared" ref="EH17:EL17" si="41">SUM(EH6:EH8,EH11:EH16)</f>
        <v>5985.0198742386674</v>
      </c>
      <c r="EI17" s="153">
        <f t="shared" si="41"/>
        <v>5972.7566033389121</v>
      </c>
      <c r="EJ17" s="153">
        <f t="shared" si="41"/>
        <v>5905.3445341881634</v>
      </c>
      <c r="EK17" s="153">
        <f t="shared" si="41"/>
        <v>5953.689720594577</v>
      </c>
      <c r="EL17" s="916">
        <f t="shared" si="41"/>
        <v>5953.689720594577</v>
      </c>
      <c r="EM17" s="917"/>
      <c r="EN17"/>
      <c r="EO17"/>
      <c r="EP17"/>
      <c r="EQ17"/>
      <c r="ER17"/>
      <c r="ES17"/>
      <c r="ET17" s="141"/>
      <c r="EU17" s="141"/>
      <c r="EV17" s="141"/>
      <c r="EW17" s="141"/>
      <c r="EX17" s="141"/>
      <c r="EY17" s="141"/>
      <c r="EZ17" s="141"/>
      <c r="FA17" s="141"/>
      <c r="FB17" s="141"/>
      <c r="FC17" s="141"/>
      <c r="FD17" s="141"/>
      <c r="FE17" s="141"/>
      <c r="FF17" s="141"/>
      <c r="FG17" s="141"/>
      <c r="FH17" s="141"/>
      <c r="FI17" s="141"/>
      <c r="FJ17" s="141"/>
      <c r="FK17" s="141"/>
      <c r="FL17" s="141"/>
      <c r="FM17" s="141"/>
      <c r="FN17" s="141"/>
      <c r="FO17" s="141"/>
      <c r="FP17" s="141"/>
      <c r="FQ17" s="141"/>
      <c r="FR17" s="141"/>
      <c r="FS17" s="141"/>
      <c r="FT17" s="141"/>
      <c r="FU17" s="141"/>
      <c r="FV17" s="141"/>
      <c r="FW17" s="141"/>
      <c r="FX17" s="141"/>
      <c r="FY17" s="141"/>
      <c r="FZ17" s="141"/>
      <c r="GA17" s="141"/>
      <c r="GB17" s="141"/>
      <c r="GC17" s="141"/>
      <c r="GD17" s="141"/>
      <c r="GE17" s="141"/>
      <c r="GF17" s="141"/>
      <c r="GG17" s="141"/>
      <c r="GH17" s="141"/>
      <c r="GI17" s="141"/>
      <c r="GJ17" s="141"/>
      <c r="GK17" s="141"/>
      <c r="GL17" s="141"/>
      <c r="GM17" s="141"/>
      <c r="GN17" s="141"/>
      <c r="GO17" s="141"/>
      <c r="GP17" s="141"/>
      <c r="GQ17" s="141"/>
      <c r="GR17" s="141"/>
      <c r="GS17" s="141"/>
      <c r="GT17" s="141"/>
      <c r="GU17" s="141"/>
      <c r="GV17" s="141"/>
      <c r="GW17" s="141"/>
      <c r="GX17" s="141"/>
      <c r="GY17" s="141"/>
      <c r="GZ17" s="141"/>
      <c r="HA17" s="141"/>
      <c r="HB17" s="141"/>
      <c r="HC17" s="141"/>
      <c r="HD17" s="141"/>
      <c r="HE17" s="141"/>
      <c r="HF17" s="141"/>
      <c r="HG17" s="141"/>
      <c r="HH17" s="141"/>
      <c r="HI17" s="141"/>
      <c r="HJ17" s="141"/>
      <c r="HK17" s="141"/>
      <c r="HL17" s="141"/>
      <c r="HM17" s="141"/>
      <c r="HN17" s="141"/>
      <c r="HO17" s="141"/>
      <c r="HP17" s="141"/>
      <c r="HQ17" s="141"/>
      <c r="HR17" s="141"/>
      <c r="HS17" s="141"/>
      <c r="HT17" s="141"/>
      <c r="HU17" s="141"/>
      <c r="HV17" s="141"/>
      <c r="HW17" s="141"/>
      <c r="HX17" s="141"/>
      <c r="HY17" s="141"/>
      <c r="HZ17" s="141"/>
      <c r="IA17" s="141"/>
      <c r="IB17" s="141"/>
      <c r="IC17" s="141"/>
      <c r="ID17" s="141"/>
      <c r="IE17" s="141"/>
      <c r="IF17" s="141"/>
      <c r="IG17" s="141"/>
      <c r="IH17" s="141"/>
      <c r="II17" s="141"/>
      <c r="IJ17" s="141"/>
      <c r="IK17" s="141"/>
      <c r="IL17" s="141"/>
      <c r="IM17" s="141"/>
      <c r="IN17" s="141"/>
      <c r="IO17" s="141"/>
      <c r="IP17" s="141"/>
      <c r="IQ17" s="141"/>
      <c r="IR17" s="141"/>
      <c r="IS17" s="141"/>
      <c r="IT17" s="141"/>
      <c r="IU17" s="141"/>
      <c r="IV17" s="141"/>
      <c r="IW17" s="141"/>
      <c r="IX17" s="141"/>
      <c r="IY17" s="141"/>
      <c r="IZ17" s="141"/>
      <c r="JA17" s="141"/>
      <c r="JB17" s="141"/>
      <c r="JC17" s="141"/>
      <c r="JD17" s="141"/>
      <c r="JE17" s="141"/>
      <c r="JF17" s="141"/>
      <c r="JG17" s="141"/>
      <c r="JH17" s="141"/>
    </row>
    <row r="18" spans="1:268" s="142" customFormat="1" ht="12" customHeight="1">
      <c r="A18" s="801"/>
      <c r="B18" s="555"/>
      <c r="C18" s="555"/>
      <c r="D18" s="555"/>
      <c r="E18" s="555"/>
      <c r="F18" s="555"/>
      <c r="G18" s="918"/>
      <c r="H18" s="900"/>
      <c r="I18" s="555"/>
      <c r="J18" s="555"/>
      <c r="K18" s="555"/>
      <c r="L18" s="918"/>
      <c r="M18" s="900"/>
      <c r="N18" s="555"/>
      <c r="O18" s="555"/>
      <c r="P18" s="555"/>
      <c r="Q18" s="918"/>
      <c r="R18" s="900"/>
      <c r="S18" s="555"/>
      <c r="T18" s="555"/>
      <c r="U18" s="555"/>
      <c r="V18" s="918"/>
      <c r="W18" s="900"/>
      <c r="X18" s="555"/>
      <c r="Y18" s="555"/>
      <c r="Z18" s="555"/>
      <c r="AA18" s="918"/>
      <c r="AB18" s="900"/>
      <c r="AC18" s="555"/>
      <c r="AD18" s="555"/>
      <c r="AE18" s="555"/>
      <c r="AF18" s="918"/>
      <c r="AG18" s="900"/>
      <c r="AH18" s="555"/>
      <c r="AI18" s="555"/>
      <c r="AJ18" s="555"/>
      <c r="AK18" s="918"/>
      <c r="AL18" s="900"/>
      <c r="AM18" s="555"/>
      <c r="AN18" s="555"/>
      <c r="AO18" s="555"/>
      <c r="AP18" s="918"/>
      <c r="AQ18" s="900"/>
      <c r="AR18" s="555"/>
      <c r="AS18" s="555"/>
      <c r="AT18" s="555"/>
      <c r="AU18" s="802"/>
      <c r="AV18" s="561"/>
      <c r="AW18" s="561"/>
      <c r="AX18" s="561"/>
      <c r="AY18" s="557"/>
      <c r="AZ18" s="844"/>
      <c r="BA18" s="555"/>
      <c r="BB18" s="555"/>
      <c r="BC18" s="555"/>
      <c r="BD18" s="555"/>
      <c r="BE18" s="844"/>
      <c r="BF18" s="555"/>
      <c r="BG18" s="555"/>
      <c r="BH18" s="555"/>
      <c r="BI18" s="555"/>
      <c r="BJ18" s="817"/>
      <c r="BK18" s="555"/>
      <c r="BL18" s="555"/>
      <c r="BM18" s="555"/>
      <c r="BN18" s="555"/>
      <c r="BO18" s="817"/>
      <c r="BP18" s="555"/>
      <c r="BQ18" s="555"/>
      <c r="BR18" s="555"/>
      <c r="BS18" s="555"/>
      <c r="BT18" s="817"/>
      <c r="BU18" s="555"/>
      <c r="BV18" s="555"/>
      <c r="BW18" s="555"/>
      <c r="BX18" s="555"/>
      <c r="BY18" s="817"/>
      <c r="BZ18" s="555"/>
      <c r="CA18" s="555"/>
      <c r="CB18" s="555"/>
      <c r="CC18" s="555"/>
      <c r="CD18" s="817"/>
      <c r="CE18" s="555"/>
      <c r="CF18" s="555"/>
      <c r="CG18" s="555"/>
      <c r="CH18" s="555"/>
      <c r="CI18" s="817"/>
      <c r="CJ18" s="555"/>
      <c r="CK18" s="555"/>
      <c r="CL18" s="555"/>
      <c r="CM18" s="555"/>
      <c r="CN18" s="817"/>
      <c r="CO18" s="555"/>
      <c r="CP18" s="555"/>
      <c r="CQ18" s="555"/>
      <c r="CR18" s="555"/>
      <c r="CS18" s="817"/>
      <c r="CT18" s="555"/>
      <c r="CU18" s="555"/>
      <c r="CV18" s="555"/>
      <c r="CW18" s="555"/>
      <c r="CX18" s="817"/>
      <c r="CY18" s="555"/>
      <c r="CZ18" s="555"/>
      <c r="DA18" s="555"/>
      <c r="DB18" s="555"/>
      <c r="DC18" s="817"/>
      <c r="DD18" s="555"/>
      <c r="DE18" s="555"/>
      <c r="DF18" s="555"/>
      <c r="DG18" s="555"/>
      <c r="DH18" s="817"/>
      <c r="DI18" s="555"/>
      <c r="DJ18" s="555"/>
      <c r="DK18" s="555"/>
      <c r="DL18" s="555"/>
      <c r="DM18" s="817"/>
      <c r="DN18" s="555"/>
      <c r="DO18" s="555"/>
      <c r="DP18" s="555"/>
      <c r="DQ18" s="555"/>
      <c r="DR18" s="817"/>
      <c r="DS18" s="555"/>
      <c r="DT18" s="555"/>
      <c r="DU18" s="555"/>
      <c r="DV18" s="555"/>
      <c r="DW18" s="817"/>
      <c r="DX18" s="555"/>
      <c r="DY18" s="555"/>
      <c r="DZ18" s="555"/>
      <c r="EA18" s="555"/>
      <c r="EB18" s="817"/>
      <c r="EC18" s="555"/>
      <c r="ED18" s="555"/>
      <c r="EE18" s="555"/>
      <c r="EF18" s="555"/>
      <c r="EG18" s="817"/>
      <c r="EH18" s="555"/>
      <c r="EI18" s="555"/>
      <c r="EJ18" s="555"/>
      <c r="EK18" s="555"/>
      <c r="EL18" s="817"/>
      <c r="EM18" s="739"/>
      <c r="EN18"/>
      <c r="EO18"/>
      <c r="EP18"/>
      <c r="EQ18"/>
      <c r="ER18"/>
      <c r="ES18"/>
      <c r="ET18" s="141"/>
      <c r="EU18" s="141"/>
      <c r="EV18" s="141"/>
      <c r="EW18" s="141"/>
      <c r="EX18" s="141"/>
      <c r="EY18" s="141"/>
      <c r="EZ18" s="141"/>
      <c r="FA18" s="141"/>
      <c r="FB18" s="141"/>
      <c r="FC18" s="141"/>
      <c r="FD18" s="141"/>
      <c r="FE18" s="141"/>
      <c r="FF18" s="141"/>
      <c r="FG18" s="141"/>
      <c r="FH18" s="141"/>
      <c r="FI18" s="141"/>
      <c r="FJ18" s="141"/>
      <c r="FK18" s="141"/>
      <c r="FL18" s="141"/>
      <c r="FM18" s="141"/>
      <c r="FN18" s="141"/>
      <c r="FO18" s="141"/>
      <c r="FP18" s="141"/>
      <c r="FQ18" s="141"/>
      <c r="FR18" s="141"/>
      <c r="FS18" s="141"/>
      <c r="FT18" s="141"/>
      <c r="FU18" s="141"/>
      <c r="FV18" s="141"/>
      <c r="FW18" s="141"/>
      <c r="FX18" s="141"/>
      <c r="FY18" s="141"/>
      <c r="FZ18" s="141"/>
      <c r="GA18" s="141"/>
      <c r="GB18" s="141"/>
      <c r="GC18" s="141"/>
      <c r="GD18" s="141"/>
      <c r="GE18" s="141"/>
      <c r="GF18" s="141"/>
      <c r="GG18" s="141"/>
      <c r="GH18" s="141"/>
      <c r="GI18" s="141"/>
      <c r="GJ18" s="141"/>
      <c r="GK18" s="141"/>
      <c r="GL18" s="141"/>
      <c r="GM18" s="141"/>
      <c r="GN18" s="141"/>
      <c r="GO18" s="141"/>
      <c r="GP18" s="141"/>
      <c r="GQ18" s="141"/>
      <c r="GR18" s="141"/>
      <c r="GS18" s="141"/>
      <c r="GT18" s="141"/>
      <c r="GU18" s="141"/>
      <c r="GV18" s="141"/>
      <c r="GW18" s="141"/>
      <c r="GX18" s="141"/>
      <c r="GY18" s="141"/>
      <c r="GZ18" s="141"/>
      <c r="HA18" s="141"/>
      <c r="HB18" s="141"/>
      <c r="HC18" s="141"/>
      <c r="HD18" s="141"/>
      <c r="HE18" s="141"/>
      <c r="HF18" s="141"/>
      <c r="HG18" s="141"/>
      <c r="HH18" s="141"/>
      <c r="HI18" s="141"/>
      <c r="HJ18" s="141"/>
      <c r="HK18" s="141"/>
      <c r="HL18" s="141"/>
      <c r="HM18" s="141"/>
      <c r="HN18" s="141"/>
      <c r="HO18" s="141"/>
      <c r="HP18" s="141"/>
      <c r="HQ18" s="141"/>
      <c r="HR18" s="141"/>
      <c r="HS18" s="141"/>
      <c r="HT18" s="141"/>
      <c r="HU18" s="141"/>
      <c r="HV18" s="141"/>
      <c r="HW18" s="141"/>
      <c r="HX18" s="141"/>
      <c r="HY18" s="141"/>
      <c r="HZ18" s="141"/>
      <c r="IA18" s="141"/>
      <c r="IB18" s="141"/>
      <c r="IC18" s="141"/>
      <c r="ID18" s="141"/>
      <c r="IE18" s="141"/>
      <c r="IF18" s="141"/>
      <c r="IG18" s="141"/>
      <c r="IH18" s="141"/>
      <c r="II18" s="141"/>
      <c r="IJ18" s="141"/>
      <c r="IK18" s="141"/>
      <c r="IL18" s="141"/>
      <c r="IM18" s="141"/>
      <c r="IN18" s="141"/>
      <c r="IO18" s="141"/>
      <c r="IP18" s="141"/>
      <c r="IQ18" s="141"/>
      <c r="IR18" s="141"/>
      <c r="IS18" s="141"/>
      <c r="IT18" s="141"/>
      <c r="IU18" s="141"/>
      <c r="IV18" s="141"/>
      <c r="IW18" s="141"/>
      <c r="IX18" s="141"/>
      <c r="IY18" s="141"/>
      <c r="IZ18" s="141"/>
      <c r="JA18" s="141"/>
      <c r="JB18" s="141"/>
      <c r="JC18" s="141"/>
      <c r="JD18" s="141"/>
      <c r="JE18" s="141"/>
      <c r="JF18" s="141"/>
      <c r="JG18" s="141"/>
      <c r="JH18" s="141"/>
    </row>
    <row r="19" spans="1:268" s="142" customFormat="1" ht="12" customHeight="1">
      <c r="A19" s="801"/>
      <c r="B19" s="557" t="s">
        <v>539</v>
      </c>
      <c r="C19" s="147"/>
      <c r="D19" s="147">
        <f>72.148+303.45</f>
        <v>375.59799999999996</v>
      </c>
      <c r="E19" s="147">
        <f>306.2+67.7</f>
        <v>373.9</v>
      </c>
      <c r="F19" s="147">
        <f>67.7+345.2</f>
        <v>412.9</v>
      </c>
      <c r="G19" s="150">
        <v>362</v>
      </c>
      <c r="H19" s="900">
        <f>G19</f>
        <v>362</v>
      </c>
      <c r="I19" s="147">
        <v>370</v>
      </c>
      <c r="J19" s="147">
        <v>510.2</v>
      </c>
      <c r="K19" s="147">
        <v>568.20000000000005</v>
      </c>
      <c r="L19" s="150">
        <v>518</v>
      </c>
      <c r="M19" s="900">
        <f>L19</f>
        <v>518</v>
      </c>
      <c r="N19" s="147">
        <v>521.4</v>
      </c>
      <c r="O19" s="147">
        <v>505.9</v>
      </c>
      <c r="P19" s="147">
        <v>667.6</v>
      </c>
      <c r="Q19" s="150">
        <v>678</v>
      </c>
      <c r="R19" s="900">
        <f>Q19</f>
        <v>678</v>
      </c>
      <c r="S19" s="147">
        <v>662</v>
      </c>
      <c r="T19" s="147">
        <v>565</v>
      </c>
      <c r="U19" s="147">
        <v>642</v>
      </c>
      <c r="V19" s="150">
        <v>498</v>
      </c>
      <c r="W19" s="900">
        <f>V19</f>
        <v>498</v>
      </c>
      <c r="X19" s="147">
        <v>469</v>
      </c>
      <c r="Y19" s="147">
        <v>567</v>
      </c>
      <c r="Z19" s="147">
        <v>524</v>
      </c>
      <c r="AA19" s="150">
        <v>569</v>
      </c>
      <c r="AB19" s="900">
        <f>AA19</f>
        <v>569</v>
      </c>
      <c r="AC19" s="147">
        <v>540</v>
      </c>
      <c r="AD19" s="147">
        <v>546</v>
      </c>
      <c r="AE19" s="147">
        <v>451</v>
      </c>
      <c r="AF19" s="150">
        <v>344</v>
      </c>
      <c r="AG19" s="900">
        <f>AF19</f>
        <v>344</v>
      </c>
      <c r="AH19" s="147">
        <v>377</v>
      </c>
      <c r="AI19" s="147">
        <v>369</v>
      </c>
      <c r="AJ19" s="147">
        <v>444</v>
      </c>
      <c r="AK19" s="150">
        <v>395</v>
      </c>
      <c r="AL19" s="900">
        <f>AK19</f>
        <v>395</v>
      </c>
      <c r="AM19" s="147">
        <v>359</v>
      </c>
      <c r="AN19" s="147">
        <v>360</v>
      </c>
      <c r="AO19" s="147">
        <v>363</v>
      </c>
      <c r="AP19" s="150">
        <v>363</v>
      </c>
      <c r="AQ19" s="900">
        <f>AP19</f>
        <v>363</v>
      </c>
      <c r="AR19" s="147">
        <v>307</v>
      </c>
      <c r="AS19" s="147">
        <v>193</v>
      </c>
      <c r="AT19" s="147">
        <v>292</v>
      </c>
      <c r="AU19" s="802"/>
      <c r="AV19" s="901"/>
      <c r="AW19" s="901"/>
      <c r="AX19" s="901"/>
      <c r="AY19" s="147">
        <v>185</v>
      </c>
      <c r="AZ19" s="902">
        <f>AY19</f>
        <v>185</v>
      </c>
      <c r="BA19" s="147">
        <v>293</v>
      </c>
      <c r="BB19" s="147">
        <v>295</v>
      </c>
      <c r="BC19" s="147">
        <v>299</v>
      </c>
      <c r="BD19" s="147">
        <v>386</v>
      </c>
      <c r="BE19" s="902">
        <f>BD19</f>
        <v>386</v>
      </c>
      <c r="BF19" s="147">
        <v>360</v>
      </c>
      <c r="BG19" s="147">
        <v>305</v>
      </c>
      <c r="BH19" s="147">
        <v>308</v>
      </c>
      <c r="BI19" s="147">
        <v>296</v>
      </c>
      <c r="BJ19" s="902">
        <f>BI19</f>
        <v>296</v>
      </c>
      <c r="BK19" s="147">
        <v>298</v>
      </c>
      <c r="BL19" s="147">
        <v>300</v>
      </c>
      <c r="BM19" s="147">
        <v>302</v>
      </c>
      <c r="BN19" s="147">
        <f>380+263</f>
        <v>643</v>
      </c>
      <c r="BO19" s="902">
        <f>BN19</f>
        <v>643</v>
      </c>
      <c r="BP19" s="147">
        <f>364+263</f>
        <v>627</v>
      </c>
      <c r="BQ19" s="147">
        <f>365+263</f>
        <v>628</v>
      </c>
      <c r="BR19" s="147">
        <f>369+263</f>
        <v>632</v>
      </c>
      <c r="BS19" s="147">
        <v>383</v>
      </c>
      <c r="BT19" s="902">
        <f>BS19</f>
        <v>383</v>
      </c>
      <c r="BU19" s="147">
        <v>390</v>
      </c>
      <c r="BV19" s="147">
        <v>417</v>
      </c>
      <c r="BW19" s="147">
        <v>369</v>
      </c>
      <c r="BX19" s="147">
        <v>288</v>
      </c>
      <c r="BY19" s="902">
        <f>BX19</f>
        <v>288</v>
      </c>
      <c r="BZ19" s="147">
        <v>322</v>
      </c>
      <c r="CA19" s="147">
        <v>271</v>
      </c>
      <c r="CB19" s="147">
        <v>282</v>
      </c>
      <c r="CC19" s="147">
        <v>242</v>
      </c>
      <c r="CD19" s="902">
        <f>CC19</f>
        <v>242</v>
      </c>
      <c r="CE19" s="147">
        <v>255</v>
      </c>
      <c r="CF19" s="147">
        <v>198</v>
      </c>
      <c r="CG19" s="147">
        <v>181</v>
      </c>
      <c r="CH19" s="147">
        <v>182</v>
      </c>
      <c r="CI19" s="902">
        <f>CH19</f>
        <v>182</v>
      </c>
      <c r="CJ19" s="147">
        <v>185</v>
      </c>
      <c r="CK19" s="147">
        <v>180</v>
      </c>
      <c r="CL19" s="147">
        <v>176</v>
      </c>
      <c r="CM19" s="147">
        <v>164</v>
      </c>
      <c r="CN19" s="902">
        <f>CM19</f>
        <v>164</v>
      </c>
      <c r="CO19" s="147">
        <v>162</v>
      </c>
      <c r="CP19" s="147">
        <v>171</v>
      </c>
      <c r="CQ19" s="147">
        <v>159</v>
      </c>
      <c r="CR19" s="147">
        <v>156</v>
      </c>
      <c r="CS19" s="902">
        <f>CR19</f>
        <v>156</v>
      </c>
      <c r="CT19" s="147">
        <v>153</v>
      </c>
      <c r="CU19" s="147">
        <v>120</v>
      </c>
      <c r="CV19" s="147">
        <v>126</v>
      </c>
      <c r="CW19" s="147">
        <v>162</v>
      </c>
      <c r="CX19" s="902">
        <f>CW19</f>
        <v>162</v>
      </c>
      <c r="CY19" s="147">
        <v>163</v>
      </c>
      <c r="CZ19" s="147">
        <v>166</v>
      </c>
      <c r="DA19" s="147">
        <v>184</v>
      </c>
      <c r="DB19" s="147">
        <v>405</v>
      </c>
      <c r="DC19" s="902">
        <f>DB19</f>
        <v>405</v>
      </c>
      <c r="DD19" s="147">
        <v>355</v>
      </c>
      <c r="DE19" s="147">
        <v>362</v>
      </c>
      <c r="DF19" s="147">
        <v>366</v>
      </c>
      <c r="DG19" s="147">
        <v>384</v>
      </c>
      <c r="DH19" s="902">
        <f>DG19</f>
        <v>384</v>
      </c>
      <c r="DI19" s="147">
        <v>355</v>
      </c>
      <c r="DJ19" s="147">
        <v>1017</v>
      </c>
      <c r="DK19" s="147">
        <v>1029</v>
      </c>
      <c r="DL19" s="147">
        <v>1175</v>
      </c>
      <c r="DM19" s="902">
        <f>DL19</f>
        <v>1175</v>
      </c>
      <c r="DN19" s="147">
        <v>1142</v>
      </c>
      <c r="DO19" s="147">
        <v>1317</v>
      </c>
      <c r="DP19" s="147">
        <v>1324</v>
      </c>
      <c r="DQ19" s="147">
        <v>1250</v>
      </c>
      <c r="DR19" s="902">
        <f>DQ19</f>
        <v>1250</v>
      </c>
      <c r="DS19" s="147">
        <v>1260</v>
      </c>
      <c r="DT19" s="147">
        <v>1238</v>
      </c>
      <c r="DU19" s="147">
        <v>1253</v>
      </c>
      <c r="DV19" s="147">
        <v>1543</v>
      </c>
      <c r="DW19" s="902">
        <f t="shared" ref="DW19:EG19" si="42">DV19</f>
        <v>1543</v>
      </c>
      <c r="DX19" s="903">
        <f t="shared" si="42"/>
        <v>1543</v>
      </c>
      <c r="DY19" s="903">
        <f t="shared" si="42"/>
        <v>1543</v>
      </c>
      <c r="DZ19" s="903">
        <f t="shared" si="42"/>
        <v>1543</v>
      </c>
      <c r="EA19" s="903">
        <f t="shared" si="42"/>
        <v>1543</v>
      </c>
      <c r="EB19" s="902">
        <f t="shared" si="42"/>
        <v>1543</v>
      </c>
      <c r="EC19" s="903">
        <f t="shared" si="42"/>
        <v>1543</v>
      </c>
      <c r="ED19" s="903">
        <f t="shared" si="42"/>
        <v>1543</v>
      </c>
      <c r="EE19" s="903">
        <f t="shared" si="42"/>
        <v>1543</v>
      </c>
      <c r="EF19" s="903">
        <f t="shared" si="42"/>
        <v>1543</v>
      </c>
      <c r="EG19" s="902">
        <f t="shared" si="42"/>
        <v>1543</v>
      </c>
      <c r="EH19" s="903">
        <f t="shared" ref="EH19:EL19" si="43">EG19</f>
        <v>1543</v>
      </c>
      <c r="EI19" s="903">
        <f t="shared" si="43"/>
        <v>1543</v>
      </c>
      <c r="EJ19" s="903">
        <f t="shared" si="43"/>
        <v>1543</v>
      </c>
      <c r="EK19" s="903">
        <f t="shared" si="43"/>
        <v>1543</v>
      </c>
      <c r="EL19" s="902">
        <f t="shared" si="43"/>
        <v>1543</v>
      </c>
      <c r="EM19" s="901"/>
      <c r="EN19"/>
      <c r="EO19"/>
      <c r="EP19"/>
      <c r="EQ19"/>
      <c r="ER19"/>
      <c r="ES19"/>
      <c r="ET19" s="141"/>
      <c r="EU19" s="141"/>
      <c r="EV19" s="141"/>
      <c r="EW19" s="141"/>
      <c r="EX19" s="141"/>
      <c r="EY19" s="141"/>
      <c r="EZ19" s="141"/>
      <c r="FA19" s="141"/>
      <c r="FB19" s="141"/>
      <c r="FC19" s="141"/>
      <c r="FD19" s="141"/>
      <c r="FE19" s="141"/>
      <c r="FF19" s="141"/>
      <c r="FG19" s="141"/>
      <c r="FH19" s="141"/>
      <c r="FI19" s="141"/>
      <c r="FJ19" s="141"/>
      <c r="FK19" s="141"/>
      <c r="FL19" s="141"/>
      <c r="FM19" s="141"/>
      <c r="FN19" s="141"/>
      <c r="FO19" s="141"/>
      <c r="FP19" s="141"/>
      <c r="FQ19" s="141"/>
      <c r="FR19" s="141"/>
      <c r="FS19" s="141"/>
      <c r="FT19" s="141"/>
      <c r="FU19" s="141"/>
      <c r="FV19" s="141"/>
      <c r="FW19" s="141"/>
      <c r="FX19" s="141"/>
      <c r="FY19" s="141"/>
      <c r="FZ19" s="141"/>
      <c r="GA19" s="141"/>
      <c r="GB19" s="141"/>
      <c r="GC19" s="141"/>
      <c r="GD19" s="141"/>
      <c r="GE19" s="141"/>
      <c r="GF19" s="141"/>
      <c r="GG19" s="141"/>
      <c r="GH19" s="141"/>
      <c r="GI19" s="141"/>
      <c r="GJ19" s="141"/>
      <c r="GK19" s="141"/>
      <c r="GL19" s="141"/>
      <c r="GM19" s="141"/>
      <c r="GN19" s="141"/>
      <c r="GO19" s="141"/>
      <c r="GP19" s="141"/>
      <c r="GQ19" s="141"/>
      <c r="GR19" s="141"/>
      <c r="GS19" s="141"/>
      <c r="GT19" s="141"/>
      <c r="GU19" s="141"/>
      <c r="GV19" s="141"/>
      <c r="GW19" s="141"/>
      <c r="GX19" s="141"/>
      <c r="GY19" s="141"/>
      <c r="GZ19" s="141"/>
      <c r="HA19" s="141"/>
      <c r="HB19" s="141"/>
      <c r="HC19" s="141"/>
      <c r="HD19" s="141"/>
      <c r="HE19" s="141"/>
      <c r="HF19" s="141"/>
      <c r="HG19" s="141"/>
      <c r="HH19" s="141"/>
      <c r="HI19" s="141"/>
      <c r="HJ19" s="141"/>
      <c r="HK19" s="141"/>
      <c r="HL19" s="141"/>
      <c r="HM19" s="141"/>
      <c r="HN19" s="141"/>
      <c r="HO19" s="141"/>
      <c r="HP19" s="141"/>
      <c r="HQ19" s="141"/>
      <c r="HR19" s="141"/>
      <c r="HS19" s="141"/>
      <c r="HT19" s="141"/>
      <c r="HU19" s="141"/>
      <c r="HV19" s="141"/>
      <c r="HW19" s="141"/>
      <c r="HX19" s="141"/>
      <c r="HY19" s="141"/>
      <c r="HZ19" s="141"/>
      <c r="IA19" s="141"/>
      <c r="IB19" s="141"/>
      <c r="IC19" s="141"/>
      <c r="ID19" s="141"/>
      <c r="IE19" s="141"/>
      <c r="IF19" s="141"/>
      <c r="IG19" s="141"/>
      <c r="IH19" s="141"/>
      <c r="II19" s="141"/>
      <c r="IJ19" s="141"/>
      <c r="IK19" s="141"/>
      <c r="IL19" s="141"/>
      <c r="IM19" s="141"/>
      <c r="IN19" s="141"/>
      <c r="IO19" s="141"/>
      <c r="IP19" s="141"/>
      <c r="IQ19" s="141"/>
      <c r="IR19" s="141"/>
      <c r="IS19" s="141"/>
      <c r="IT19" s="141"/>
      <c r="IU19" s="141"/>
      <c r="IV19" s="141"/>
      <c r="IW19" s="141"/>
      <c r="IX19" s="141"/>
      <c r="IY19" s="141"/>
      <c r="IZ19" s="141"/>
      <c r="JA19" s="141"/>
      <c r="JB19" s="141"/>
      <c r="JC19" s="141"/>
      <c r="JD19" s="141"/>
      <c r="JE19" s="141"/>
      <c r="JF19" s="141"/>
      <c r="JG19" s="141"/>
      <c r="JH19" s="141"/>
    </row>
    <row r="20" spans="1:268" s="142" customFormat="1" ht="12" customHeight="1">
      <c r="A20" s="801"/>
      <c r="B20" s="557" t="s">
        <v>535</v>
      </c>
      <c r="C20" s="147"/>
      <c r="D20" s="147">
        <v>0</v>
      </c>
      <c r="E20" s="147">
        <v>0</v>
      </c>
      <c r="F20" s="147">
        <v>0</v>
      </c>
      <c r="G20" s="150">
        <v>0</v>
      </c>
      <c r="H20" s="900"/>
      <c r="I20" s="147">
        <v>0</v>
      </c>
      <c r="J20" s="147">
        <v>0</v>
      </c>
      <c r="K20" s="147">
        <v>0</v>
      </c>
      <c r="L20" s="150">
        <v>0</v>
      </c>
      <c r="M20" s="900"/>
      <c r="N20" s="147">
        <v>0</v>
      </c>
      <c r="O20" s="147">
        <v>0</v>
      </c>
      <c r="P20" s="147">
        <v>0</v>
      </c>
      <c r="Q20" s="150">
        <v>0</v>
      </c>
      <c r="R20" s="900">
        <f>Q20</f>
        <v>0</v>
      </c>
      <c r="S20" s="147">
        <v>0</v>
      </c>
      <c r="T20" s="147">
        <v>0</v>
      </c>
      <c r="U20" s="147">
        <v>0</v>
      </c>
      <c r="V20" s="150">
        <v>0</v>
      </c>
      <c r="W20" s="900">
        <f>V20</f>
        <v>0</v>
      </c>
      <c r="X20" s="147">
        <v>0</v>
      </c>
      <c r="Y20" s="147">
        <v>0</v>
      </c>
      <c r="Z20" s="147">
        <v>0</v>
      </c>
      <c r="AA20" s="150">
        <v>0</v>
      </c>
      <c r="AB20" s="900">
        <f>AA20</f>
        <v>0</v>
      </c>
      <c r="AC20" s="147">
        <v>0</v>
      </c>
      <c r="AD20" s="147">
        <v>0</v>
      </c>
      <c r="AE20" s="147">
        <v>0</v>
      </c>
      <c r="AF20" s="150">
        <v>0</v>
      </c>
      <c r="AG20" s="900">
        <f>AF20</f>
        <v>0</v>
      </c>
      <c r="AH20" s="147">
        <v>0</v>
      </c>
      <c r="AI20" s="147">
        <v>0</v>
      </c>
      <c r="AJ20" s="147">
        <v>0</v>
      </c>
      <c r="AK20" s="150">
        <v>0</v>
      </c>
      <c r="AL20" s="900">
        <f>AK20</f>
        <v>0</v>
      </c>
      <c r="AM20" s="147">
        <v>0</v>
      </c>
      <c r="AN20" s="147">
        <v>0</v>
      </c>
      <c r="AO20" s="147">
        <v>0</v>
      </c>
      <c r="AP20" s="150">
        <v>0</v>
      </c>
      <c r="AQ20" s="900">
        <f>AP20</f>
        <v>0</v>
      </c>
      <c r="AR20" s="147">
        <v>0</v>
      </c>
      <c r="AS20" s="147">
        <v>0</v>
      </c>
      <c r="AT20" s="147">
        <v>0</v>
      </c>
      <c r="AU20" s="802"/>
      <c r="AV20" s="901"/>
      <c r="AW20" s="901"/>
      <c r="AX20" s="901"/>
      <c r="AY20" s="147">
        <v>0</v>
      </c>
      <c r="AZ20" s="902">
        <f>AY20</f>
        <v>0</v>
      </c>
      <c r="BA20" s="147">
        <v>0</v>
      </c>
      <c r="BB20" s="147">
        <v>0</v>
      </c>
      <c r="BC20" s="147">
        <v>0</v>
      </c>
      <c r="BD20" s="147">
        <v>0</v>
      </c>
      <c r="BE20" s="902"/>
      <c r="BF20" s="147">
        <v>0</v>
      </c>
      <c r="BG20" s="147">
        <v>0</v>
      </c>
      <c r="BH20" s="147">
        <v>0</v>
      </c>
      <c r="BI20" s="147">
        <v>0</v>
      </c>
      <c r="BJ20" s="902">
        <f>BI20</f>
        <v>0</v>
      </c>
      <c r="BK20" s="147">
        <v>0</v>
      </c>
      <c r="BL20" s="147">
        <v>0</v>
      </c>
      <c r="BM20" s="147">
        <v>0</v>
      </c>
      <c r="BN20" s="147">
        <v>0</v>
      </c>
      <c r="BO20" s="902">
        <f>BN20</f>
        <v>0</v>
      </c>
      <c r="BP20" s="147">
        <v>0</v>
      </c>
      <c r="BQ20" s="147">
        <v>0</v>
      </c>
      <c r="BR20" s="147">
        <v>0</v>
      </c>
      <c r="BS20" s="147">
        <v>0</v>
      </c>
      <c r="BT20" s="902">
        <f>BS20</f>
        <v>0</v>
      </c>
      <c r="BU20" s="147">
        <v>0</v>
      </c>
      <c r="BV20" s="147">
        <v>0</v>
      </c>
      <c r="BW20" s="147">
        <v>0</v>
      </c>
      <c r="BX20" s="147">
        <v>0</v>
      </c>
      <c r="BY20" s="902">
        <f>BX20</f>
        <v>0</v>
      </c>
      <c r="BZ20" s="147">
        <v>0</v>
      </c>
      <c r="CA20" s="147">
        <v>0</v>
      </c>
      <c r="CB20" s="147">
        <v>0</v>
      </c>
      <c r="CC20" s="147">
        <v>0</v>
      </c>
      <c r="CD20" s="902">
        <f>CC20</f>
        <v>0</v>
      </c>
      <c r="CE20" s="147">
        <v>0</v>
      </c>
      <c r="CF20" s="147">
        <v>0</v>
      </c>
      <c r="CG20" s="147">
        <v>0</v>
      </c>
      <c r="CH20" s="147">
        <v>0</v>
      </c>
      <c r="CI20" s="902">
        <f>CH20</f>
        <v>0</v>
      </c>
      <c r="CJ20" s="147">
        <v>0</v>
      </c>
      <c r="CK20" s="147">
        <v>0</v>
      </c>
      <c r="CL20" s="147">
        <v>636</v>
      </c>
      <c r="CM20" s="147">
        <v>627</v>
      </c>
      <c r="CN20" s="902">
        <f>CM20</f>
        <v>627</v>
      </c>
      <c r="CO20" s="147">
        <v>589</v>
      </c>
      <c r="CP20" s="147">
        <v>543</v>
      </c>
      <c r="CQ20" s="147">
        <v>533</v>
      </c>
      <c r="CR20" s="147">
        <v>374</v>
      </c>
      <c r="CS20" s="902">
        <f>CR20</f>
        <v>374</v>
      </c>
      <c r="CT20" s="147">
        <v>342</v>
      </c>
      <c r="CU20" s="147">
        <v>345</v>
      </c>
      <c r="CV20" s="147">
        <v>338</v>
      </c>
      <c r="CW20" s="147">
        <v>342</v>
      </c>
      <c r="CX20" s="902">
        <f>CW20</f>
        <v>342</v>
      </c>
      <c r="CY20" s="147">
        <v>395</v>
      </c>
      <c r="CZ20" s="147">
        <v>420</v>
      </c>
      <c r="DA20" s="147">
        <v>396</v>
      </c>
      <c r="DB20" s="147">
        <v>90</v>
      </c>
      <c r="DC20" s="902">
        <f>DB20</f>
        <v>90</v>
      </c>
      <c r="DD20" s="147">
        <v>129</v>
      </c>
      <c r="DE20" s="147">
        <v>125</v>
      </c>
      <c r="DF20" s="147">
        <v>100</v>
      </c>
      <c r="DG20" s="147">
        <v>116</v>
      </c>
      <c r="DH20" s="902">
        <f>DG20</f>
        <v>116</v>
      </c>
      <c r="DI20" s="147">
        <v>66</v>
      </c>
      <c r="DJ20" s="147">
        <v>89</v>
      </c>
      <c r="DK20" s="147">
        <v>82</v>
      </c>
      <c r="DL20" s="147">
        <v>776</v>
      </c>
      <c r="DM20" s="902">
        <f>DL20</f>
        <v>776</v>
      </c>
      <c r="DN20" s="147">
        <v>726</v>
      </c>
      <c r="DO20" s="147">
        <v>797</v>
      </c>
      <c r="DP20" s="147">
        <v>840</v>
      </c>
      <c r="DQ20" s="147">
        <v>871</v>
      </c>
      <c r="DR20" s="902">
        <f>DQ20</f>
        <v>871</v>
      </c>
      <c r="DS20" s="147">
        <v>930</v>
      </c>
      <c r="DT20" s="147">
        <v>1020</v>
      </c>
      <c r="DU20" s="147">
        <v>783</v>
      </c>
      <c r="DV20" s="147">
        <v>455</v>
      </c>
      <c r="DW20" s="902">
        <f>DV20</f>
        <v>455</v>
      </c>
      <c r="DX20" s="843">
        <f>DW20-IS!DX34/2</f>
        <v>434.83169492519824</v>
      </c>
      <c r="DY20" s="843">
        <f>DX20-IS!DY34/2</f>
        <v>407.4907492375205</v>
      </c>
      <c r="DZ20" s="843">
        <f>DY20-IS!DZ34/2</f>
        <v>379.58968076748727</v>
      </c>
      <c r="EA20" s="843">
        <f>DZ20-IS!EA34/2</f>
        <v>353.18837602780076</v>
      </c>
      <c r="EB20" s="902">
        <f>EA20</f>
        <v>353.18837602780076</v>
      </c>
      <c r="EC20" s="843">
        <f>EB20-IS!EC34/2</f>
        <v>325.85928264771456</v>
      </c>
      <c r="ED20" s="843">
        <f>EC20-IS!ED34/2</f>
        <v>299.47967298205674</v>
      </c>
      <c r="EE20" s="843">
        <f>ED20-IS!EE34/2</f>
        <v>272.20809714494914</v>
      </c>
      <c r="EF20" s="843">
        <f>EE20-IS!EF34/2</f>
        <v>241.61904798390685</v>
      </c>
      <c r="EG20" s="902">
        <f>EF20</f>
        <v>241.61904798390685</v>
      </c>
      <c r="EH20" s="843">
        <f>EG20-IS!EH34/2</f>
        <v>211.96215612845799</v>
      </c>
      <c r="EI20" s="843">
        <f>EH20-IS!EI34/2</f>
        <v>181.54276024104718</v>
      </c>
      <c r="EJ20" s="843">
        <f>EI20-IS!EJ34/2</f>
        <v>151.38674288347562</v>
      </c>
      <c r="EK20" s="843">
        <f>EJ20-IS!EK34/2</f>
        <v>122.15656401290423</v>
      </c>
      <c r="EL20" s="902">
        <f>EK20</f>
        <v>122.15656401290423</v>
      </c>
      <c r="EM20" s="901"/>
      <c r="EN20"/>
      <c r="EO20"/>
      <c r="EP20"/>
      <c r="EQ20"/>
      <c r="ER20"/>
      <c r="ES20"/>
      <c r="ET20" s="141"/>
      <c r="EU20" s="141"/>
      <c r="EV20" s="141"/>
      <c r="EW20" s="141"/>
      <c r="EX20" s="141"/>
      <c r="EY20" s="141"/>
      <c r="EZ20" s="141"/>
      <c r="FA20" s="141"/>
      <c r="FB20" s="141"/>
      <c r="FC20" s="141"/>
      <c r="FD20" s="141"/>
      <c r="FE20" s="141"/>
      <c r="FF20" s="141"/>
      <c r="FG20" s="141"/>
      <c r="FH20" s="141"/>
      <c r="FI20" s="141"/>
      <c r="FJ20" s="141"/>
      <c r="FK20" s="141"/>
      <c r="FL20" s="141"/>
      <c r="FM20" s="141"/>
      <c r="FN20" s="141"/>
      <c r="FO20" s="141"/>
      <c r="FP20" s="141"/>
      <c r="FQ20" s="141"/>
      <c r="FR20" s="141"/>
      <c r="FS20" s="141"/>
      <c r="FT20" s="141"/>
      <c r="FU20" s="141"/>
      <c r="FV20" s="141"/>
      <c r="FW20" s="141"/>
      <c r="FX20" s="141"/>
      <c r="FY20" s="141"/>
      <c r="FZ20" s="141"/>
      <c r="GA20" s="141"/>
      <c r="GB20" s="141"/>
      <c r="GC20" s="141"/>
      <c r="GD20" s="141"/>
      <c r="GE20" s="141"/>
      <c r="GF20" s="141"/>
      <c r="GG20" s="141"/>
      <c r="GH20" s="141"/>
      <c r="GI20" s="141"/>
      <c r="GJ20" s="141"/>
      <c r="GK20" s="141"/>
      <c r="GL20" s="141"/>
      <c r="GM20" s="141"/>
      <c r="GN20" s="141"/>
      <c r="GO20" s="141"/>
      <c r="GP20" s="141"/>
      <c r="GQ20" s="141"/>
      <c r="GR20" s="141"/>
      <c r="GS20" s="141"/>
      <c r="GT20" s="141"/>
      <c r="GU20" s="141"/>
      <c r="GV20" s="141"/>
      <c r="GW20" s="141"/>
      <c r="GX20" s="141"/>
      <c r="GY20" s="141"/>
      <c r="GZ20" s="141"/>
      <c r="HA20" s="141"/>
      <c r="HB20" s="141"/>
      <c r="HC20" s="141"/>
      <c r="HD20" s="141"/>
      <c r="HE20" s="141"/>
      <c r="HF20" s="141"/>
      <c r="HG20" s="141"/>
      <c r="HH20" s="141"/>
      <c r="HI20" s="141"/>
      <c r="HJ20" s="141"/>
      <c r="HK20" s="141"/>
      <c r="HL20" s="141"/>
      <c r="HM20" s="141"/>
      <c r="HN20" s="141"/>
      <c r="HO20" s="141"/>
      <c r="HP20" s="141"/>
      <c r="HQ20" s="141"/>
      <c r="HR20" s="141"/>
      <c r="HS20" s="141"/>
      <c r="HT20" s="141"/>
      <c r="HU20" s="141"/>
      <c r="HV20" s="141"/>
      <c r="HW20" s="141"/>
      <c r="HX20" s="141"/>
      <c r="HY20" s="141"/>
      <c r="HZ20" s="141"/>
      <c r="IA20" s="141"/>
      <c r="IB20" s="141"/>
      <c r="IC20" s="141"/>
      <c r="ID20" s="141"/>
      <c r="IE20" s="141"/>
      <c r="IF20" s="141"/>
      <c r="IG20" s="141"/>
      <c r="IH20" s="141"/>
      <c r="II20" s="141"/>
      <c r="IJ20" s="141"/>
      <c r="IK20" s="141"/>
      <c r="IL20" s="141"/>
      <c r="IM20" s="141"/>
      <c r="IN20" s="141"/>
      <c r="IO20" s="141"/>
      <c r="IP20" s="141"/>
      <c r="IQ20" s="141"/>
      <c r="IR20" s="141"/>
      <c r="IS20" s="141"/>
      <c r="IT20" s="141"/>
      <c r="IU20" s="141"/>
      <c r="IV20" s="141"/>
      <c r="IW20" s="141"/>
      <c r="IX20" s="141"/>
      <c r="IY20" s="141"/>
      <c r="IZ20" s="141"/>
      <c r="JA20" s="141"/>
      <c r="JB20" s="141"/>
      <c r="JC20" s="141"/>
      <c r="JD20" s="141"/>
      <c r="JE20" s="141"/>
      <c r="JF20" s="141"/>
      <c r="JG20" s="141"/>
      <c r="JH20" s="141"/>
    </row>
    <row r="21" spans="1:268" s="142" customFormat="1" ht="12" customHeight="1">
      <c r="A21" s="801"/>
      <c r="B21" s="557" t="s">
        <v>540</v>
      </c>
      <c r="C21" s="147"/>
      <c r="D21" s="147">
        <v>1794.4960000000001</v>
      </c>
      <c r="E21" s="147">
        <v>1780.9</v>
      </c>
      <c r="F21" s="898">
        <v>1786.7</v>
      </c>
      <c r="G21" s="899">
        <v>3319</v>
      </c>
      <c r="H21" s="900">
        <f>G21</f>
        <v>3319</v>
      </c>
      <c r="I21" s="147">
        <v>3418</v>
      </c>
      <c r="J21" s="147">
        <v>3563.5</v>
      </c>
      <c r="K21" s="898">
        <v>3590</v>
      </c>
      <c r="L21" s="899">
        <v>3648</v>
      </c>
      <c r="M21" s="900">
        <f>L21</f>
        <v>3648</v>
      </c>
      <c r="N21" s="147">
        <v>3689</v>
      </c>
      <c r="O21" s="147">
        <v>3738.1</v>
      </c>
      <c r="P21" s="898">
        <v>5283.3</v>
      </c>
      <c r="Q21" s="899">
        <v>5490</v>
      </c>
      <c r="R21" s="900">
        <f>Q21</f>
        <v>5490</v>
      </c>
      <c r="S21" s="147">
        <v>5657</v>
      </c>
      <c r="T21" s="147">
        <v>5677</v>
      </c>
      <c r="U21" s="898">
        <v>5835</v>
      </c>
      <c r="V21" s="899">
        <v>5987</v>
      </c>
      <c r="W21" s="900">
        <f>V21</f>
        <v>5987</v>
      </c>
      <c r="X21" s="147">
        <v>6103</v>
      </c>
      <c r="Y21" s="147">
        <v>6422</v>
      </c>
      <c r="Z21" s="898">
        <v>6432</v>
      </c>
      <c r="AA21" s="899">
        <v>5839</v>
      </c>
      <c r="AB21" s="900">
        <f>AA21</f>
        <v>5839</v>
      </c>
      <c r="AC21" s="147">
        <v>5818</v>
      </c>
      <c r="AD21" s="147">
        <v>5843</v>
      </c>
      <c r="AE21" s="898">
        <v>5793</v>
      </c>
      <c r="AF21" s="899">
        <v>5894</v>
      </c>
      <c r="AG21" s="900">
        <f>AF21</f>
        <v>5894</v>
      </c>
      <c r="AH21" s="147">
        <v>5842</v>
      </c>
      <c r="AI21" s="147">
        <v>5863</v>
      </c>
      <c r="AJ21" s="898">
        <v>5892</v>
      </c>
      <c r="AK21" s="899">
        <v>5976</v>
      </c>
      <c r="AL21" s="900">
        <f>AK21</f>
        <v>5976</v>
      </c>
      <c r="AM21" s="147">
        <v>6221</v>
      </c>
      <c r="AN21" s="147">
        <v>6308</v>
      </c>
      <c r="AO21" s="898">
        <v>6391</v>
      </c>
      <c r="AP21" s="899">
        <v>6585</v>
      </c>
      <c r="AQ21" s="900">
        <f>AP21</f>
        <v>6585</v>
      </c>
      <c r="AR21" s="147">
        <v>6564</v>
      </c>
      <c r="AS21" s="147">
        <v>6679</v>
      </c>
      <c r="AT21" s="898">
        <v>6412</v>
      </c>
      <c r="AU21" s="802"/>
      <c r="AV21" s="901"/>
      <c r="AW21" s="901"/>
      <c r="AX21" s="901"/>
      <c r="AY21" s="898">
        <v>6359</v>
      </c>
      <c r="AZ21" s="902">
        <f>AY21</f>
        <v>6359</v>
      </c>
      <c r="BA21" s="147">
        <v>6051</v>
      </c>
      <c r="BB21" s="147">
        <v>5899</v>
      </c>
      <c r="BC21" s="898">
        <v>5914</v>
      </c>
      <c r="BD21" s="898">
        <v>5557</v>
      </c>
      <c r="BE21" s="902">
        <f>BD21</f>
        <v>5557</v>
      </c>
      <c r="BF21" s="147">
        <v>4868</v>
      </c>
      <c r="BG21" s="147">
        <v>4823</v>
      </c>
      <c r="BH21" s="898">
        <v>4837</v>
      </c>
      <c r="BI21" s="898">
        <v>4820</v>
      </c>
      <c r="BJ21" s="902">
        <f>BI21</f>
        <v>4820</v>
      </c>
      <c r="BK21" s="147">
        <v>4817</v>
      </c>
      <c r="BL21" s="147">
        <v>4849</v>
      </c>
      <c r="BM21" s="898">
        <v>4593</v>
      </c>
      <c r="BN21" s="898">
        <v>4620</v>
      </c>
      <c r="BO21" s="902">
        <f>BN21</f>
        <v>4620</v>
      </c>
      <c r="BP21" s="147">
        <v>4601</v>
      </c>
      <c r="BQ21" s="147">
        <v>4276</v>
      </c>
      <c r="BR21" s="898">
        <v>4317</v>
      </c>
      <c r="BS21" s="898">
        <v>4299</v>
      </c>
      <c r="BT21" s="902">
        <f>BS21</f>
        <v>4299</v>
      </c>
      <c r="BU21" s="147">
        <v>4275</v>
      </c>
      <c r="BV21" s="147">
        <v>4354</v>
      </c>
      <c r="BW21" s="898">
        <v>4403</v>
      </c>
      <c r="BX21" s="898">
        <v>4645</v>
      </c>
      <c r="BY21" s="902">
        <f>BX21</f>
        <v>4645</v>
      </c>
      <c r="BZ21" s="147">
        <v>4622</v>
      </c>
      <c r="CA21" s="147">
        <v>4274</v>
      </c>
      <c r="CB21" s="898">
        <v>4239</v>
      </c>
      <c r="CC21" s="898">
        <v>4291</v>
      </c>
      <c r="CD21" s="902">
        <f>CC21</f>
        <v>4291</v>
      </c>
      <c r="CE21" s="147">
        <v>4236</v>
      </c>
      <c r="CF21" s="147">
        <v>4182</v>
      </c>
      <c r="CG21" s="898">
        <v>4172</v>
      </c>
      <c r="CH21" s="898">
        <v>4313</v>
      </c>
      <c r="CI21" s="902">
        <f>CH21</f>
        <v>4313</v>
      </c>
      <c r="CJ21" s="147">
        <v>4249</v>
      </c>
      <c r="CK21" s="147">
        <v>4211</v>
      </c>
      <c r="CL21" s="147">
        <v>4239</v>
      </c>
      <c r="CM21" s="898">
        <v>4304</v>
      </c>
      <c r="CN21" s="902">
        <f>CM21</f>
        <v>4304</v>
      </c>
      <c r="CO21" s="147">
        <v>4262</v>
      </c>
      <c r="CP21" s="147">
        <v>4238</v>
      </c>
      <c r="CQ21" s="898">
        <v>4201</v>
      </c>
      <c r="CR21" s="898">
        <v>4350</v>
      </c>
      <c r="CS21" s="902">
        <f>CR21</f>
        <v>4350</v>
      </c>
      <c r="CT21" s="898">
        <v>4324</v>
      </c>
      <c r="CU21" s="898">
        <v>4181</v>
      </c>
      <c r="CV21" s="898">
        <v>4173</v>
      </c>
      <c r="CW21" s="898">
        <v>4293</v>
      </c>
      <c r="CX21" s="902">
        <f>CW21</f>
        <v>4293</v>
      </c>
      <c r="CY21" s="898">
        <v>4296</v>
      </c>
      <c r="CZ21" s="898">
        <v>4326</v>
      </c>
      <c r="DA21" s="898">
        <v>4354</v>
      </c>
      <c r="DB21" s="898">
        <v>7691</v>
      </c>
      <c r="DC21" s="902">
        <f>DB21</f>
        <v>7691</v>
      </c>
      <c r="DD21" s="898">
        <v>7723</v>
      </c>
      <c r="DE21" s="898">
        <v>7771</v>
      </c>
      <c r="DF21" s="898">
        <v>7749</v>
      </c>
      <c r="DG21" s="898">
        <v>7733</v>
      </c>
      <c r="DH21" s="902">
        <f>DG21</f>
        <v>7733</v>
      </c>
      <c r="DI21" s="898">
        <v>7528</v>
      </c>
      <c r="DJ21" s="898">
        <v>7135</v>
      </c>
      <c r="DK21" s="898">
        <v>7330</v>
      </c>
      <c r="DL21" s="898">
        <v>7915</v>
      </c>
      <c r="DM21" s="902">
        <f>DL21</f>
        <v>7915</v>
      </c>
      <c r="DN21" s="898">
        <v>7961</v>
      </c>
      <c r="DO21" s="898">
        <v>7977</v>
      </c>
      <c r="DP21" s="898">
        <v>7965</v>
      </c>
      <c r="DQ21" s="898">
        <v>8053</v>
      </c>
      <c r="DR21" s="902">
        <f>DQ21</f>
        <v>8053</v>
      </c>
      <c r="DS21" s="898">
        <v>7976</v>
      </c>
      <c r="DT21" s="898">
        <v>7738</v>
      </c>
      <c r="DU21" s="898">
        <v>7077</v>
      </c>
      <c r="DV21" s="898">
        <v>7030</v>
      </c>
      <c r="DW21" s="902">
        <f>DV21</f>
        <v>7030</v>
      </c>
      <c r="DX21" s="919">
        <f>+DW21-DX161-DX138-DX142-DX162-DX165</f>
        <v>6452.2748670944984</v>
      </c>
      <c r="DY21" s="919">
        <f>+DX21-DY161-DY138-DY142-DY162-DY165</f>
        <v>6274.7462818083059</v>
      </c>
      <c r="DZ21" s="919">
        <f>+DY21-DZ161-DZ138-DZ142-DZ162-DZ165</f>
        <v>6092.8062728120449</v>
      </c>
      <c r="EA21" s="919">
        <f>+DZ21-EA161-EA138-EA142-EA162-EA165</f>
        <v>5907.3615308970338</v>
      </c>
      <c r="EB21" s="902">
        <f>EA21</f>
        <v>5907.3615308970338</v>
      </c>
      <c r="EC21" s="919">
        <f>+EB21-EC161-EC138-EC142-EC162-EC165</f>
        <v>5887.3023063251349</v>
      </c>
      <c r="ED21" s="919">
        <f>+EC21-ED161-ED138-ED142-ED162-ED165</f>
        <v>5848.1106706028795</v>
      </c>
      <c r="EE21" s="919">
        <f>+ED21-EE161-EE138-EE142-EE162-EE165</f>
        <v>5810.7531270728077</v>
      </c>
      <c r="EF21" s="919">
        <f>+EE21-EF161-EF138-EF142-EF162-EF165</f>
        <v>5787.4360843187133</v>
      </c>
      <c r="EG21" s="902">
        <f>EF21</f>
        <v>5787.4360843187133</v>
      </c>
      <c r="EH21" s="919">
        <f>+EG21-EH161-EH138-EH142-EH162-EH165</f>
        <v>5755.0755871390093</v>
      </c>
      <c r="EI21" s="919">
        <f>+EH21-EI161-EI138-EI142-EI162-EI165</f>
        <v>5721.8230434515217</v>
      </c>
      <c r="EJ21" s="919">
        <f>+EI21-EJ161-EJ138-EJ142-EJ162-EJ165</f>
        <v>5690.3284118058473</v>
      </c>
      <c r="EK21" s="919">
        <f>+EJ21-EK161-EK138-EK142-EK162-EK165</f>
        <v>5654.0775277179546</v>
      </c>
      <c r="EL21" s="902">
        <f>EK21</f>
        <v>5654.0775277179546</v>
      </c>
      <c r="EM21" s="901"/>
      <c r="EN21"/>
      <c r="EO21"/>
      <c r="EP21"/>
      <c r="EQ21"/>
      <c r="ER21"/>
      <c r="ES21"/>
      <c r="ET21" s="141"/>
      <c r="EU21" s="141"/>
      <c r="EV21" s="141"/>
      <c r="EW21" s="141"/>
      <c r="EX21" s="141"/>
      <c r="EY21" s="141"/>
      <c r="EZ21" s="141"/>
      <c r="FA21" s="141"/>
      <c r="FB21" s="141"/>
      <c r="FC21" s="141"/>
      <c r="FD21" s="141"/>
      <c r="FE21" s="141"/>
      <c r="FF21" s="141"/>
      <c r="FG21" s="141"/>
      <c r="FH21" s="141"/>
      <c r="FI21" s="141"/>
      <c r="FJ21" s="141"/>
      <c r="FK21" s="141"/>
      <c r="FL21" s="141"/>
      <c r="FM21" s="141"/>
      <c r="FN21" s="141"/>
      <c r="FO21" s="141"/>
      <c r="FP21" s="141"/>
      <c r="FQ21" s="141"/>
      <c r="FR21" s="141"/>
      <c r="FS21" s="141"/>
      <c r="FT21" s="141"/>
      <c r="FU21" s="141"/>
      <c r="FV21" s="141"/>
      <c r="FW21" s="141"/>
      <c r="FX21" s="141"/>
      <c r="FY21" s="141"/>
      <c r="FZ21" s="141"/>
      <c r="GA21" s="141"/>
      <c r="GB21" s="141"/>
      <c r="GC21" s="141"/>
      <c r="GD21" s="141"/>
      <c r="GE21" s="141"/>
      <c r="GF21" s="141"/>
      <c r="GG21" s="141"/>
      <c r="GH21" s="141"/>
      <c r="GI21" s="141"/>
      <c r="GJ21" s="141"/>
      <c r="GK21" s="141"/>
      <c r="GL21" s="141"/>
      <c r="GM21" s="141"/>
      <c r="GN21" s="141"/>
      <c r="GO21" s="141"/>
      <c r="GP21" s="141"/>
      <c r="GQ21" s="141"/>
      <c r="GR21" s="141"/>
      <c r="GS21" s="141"/>
      <c r="GT21" s="141"/>
      <c r="GU21" s="141"/>
      <c r="GV21" s="141"/>
      <c r="GW21" s="141"/>
      <c r="GX21" s="141"/>
      <c r="GY21" s="141"/>
      <c r="GZ21" s="141"/>
      <c r="HA21" s="141"/>
      <c r="HB21" s="141"/>
      <c r="HC21" s="141"/>
      <c r="HD21" s="141"/>
      <c r="HE21" s="141"/>
      <c r="HF21" s="141"/>
      <c r="HG21" s="141"/>
      <c r="HH21" s="141"/>
      <c r="HI21" s="141"/>
      <c r="HJ21" s="141"/>
      <c r="HK21" s="141"/>
      <c r="HL21" s="141"/>
      <c r="HM21" s="141"/>
      <c r="HN21" s="141"/>
      <c r="HO21" s="141"/>
      <c r="HP21" s="141"/>
      <c r="HQ21" s="141"/>
      <c r="HR21" s="141"/>
      <c r="HS21" s="141"/>
      <c r="HT21" s="141"/>
      <c r="HU21" s="141"/>
      <c r="HV21" s="141"/>
      <c r="HW21" s="141"/>
      <c r="HX21" s="141"/>
      <c r="HY21" s="141"/>
      <c r="HZ21" s="141"/>
      <c r="IA21" s="141"/>
      <c r="IB21" s="141"/>
      <c r="IC21" s="141"/>
      <c r="ID21" s="141"/>
      <c r="IE21" s="141"/>
      <c r="IF21" s="141"/>
      <c r="IG21" s="141"/>
      <c r="IH21" s="141"/>
      <c r="II21" s="141"/>
      <c r="IJ21" s="141"/>
      <c r="IK21" s="141"/>
      <c r="IL21" s="141"/>
      <c r="IM21" s="141"/>
      <c r="IN21" s="141"/>
      <c r="IO21" s="141"/>
      <c r="IP21" s="141"/>
      <c r="IQ21" s="141"/>
      <c r="IR21" s="141"/>
      <c r="IS21" s="141"/>
      <c r="IT21" s="141"/>
      <c r="IU21" s="141"/>
      <c r="IV21" s="141"/>
      <c r="IW21" s="141"/>
      <c r="IX21" s="141"/>
      <c r="IY21" s="141"/>
      <c r="IZ21" s="141"/>
      <c r="JA21" s="141"/>
      <c r="JB21" s="141"/>
      <c r="JC21" s="141"/>
      <c r="JD21" s="141"/>
      <c r="JE21" s="141"/>
      <c r="JF21" s="141"/>
      <c r="JG21" s="141"/>
      <c r="JH21" s="141"/>
    </row>
    <row r="22" spans="1:268" s="142" customFormat="1" ht="12" customHeight="1">
      <c r="A22" s="801"/>
      <c r="B22" s="557" t="s">
        <v>541</v>
      </c>
      <c r="C22" s="898"/>
      <c r="D22" s="898">
        <v>0</v>
      </c>
      <c r="E22" s="898">
        <v>0</v>
      </c>
      <c r="F22" s="898">
        <v>0</v>
      </c>
      <c r="G22" s="899">
        <v>2511</v>
      </c>
      <c r="H22" s="900">
        <f>G22</f>
        <v>2511</v>
      </c>
      <c r="I22" s="898">
        <v>2655</v>
      </c>
      <c r="J22" s="898">
        <v>2612.1999999999998</v>
      </c>
      <c r="K22" s="898">
        <v>2647.9</v>
      </c>
      <c r="L22" s="899">
        <v>2574</v>
      </c>
      <c r="M22" s="900">
        <f>L22</f>
        <v>2574</v>
      </c>
      <c r="N22" s="898">
        <v>2638.9</v>
      </c>
      <c r="O22" s="898">
        <v>2692.7</v>
      </c>
      <c r="P22" s="898">
        <v>3259.5</v>
      </c>
      <c r="Q22" s="899">
        <v>3072</v>
      </c>
      <c r="R22" s="900">
        <f>Q22</f>
        <v>3072</v>
      </c>
      <c r="S22" s="898">
        <v>3161</v>
      </c>
      <c r="T22" s="898">
        <v>3318</v>
      </c>
      <c r="U22" s="898">
        <v>3517</v>
      </c>
      <c r="V22" s="899">
        <v>3317</v>
      </c>
      <c r="W22" s="900">
        <f>V22</f>
        <v>3317</v>
      </c>
      <c r="X22" s="898">
        <v>3412</v>
      </c>
      <c r="Y22" s="898">
        <v>3557</v>
      </c>
      <c r="Z22" s="898">
        <v>3607</v>
      </c>
      <c r="AA22" s="899">
        <v>3283</v>
      </c>
      <c r="AB22" s="900">
        <f>AA22</f>
        <v>3283</v>
      </c>
      <c r="AC22" s="898">
        <v>3384</v>
      </c>
      <c r="AD22" s="898">
        <v>3368</v>
      </c>
      <c r="AE22" s="898">
        <v>3365</v>
      </c>
      <c r="AF22" s="899">
        <v>3235</v>
      </c>
      <c r="AG22" s="900">
        <f>AF22</f>
        <v>3235</v>
      </c>
      <c r="AH22" s="898">
        <v>3313</v>
      </c>
      <c r="AI22" s="898">
        <v>3360</v>
      </c>
      <c r="AJ22" s="898">
        <v>3334</v>
      </c>
      <c r="AK22" s="899">
        <v>3265</v>
      </c>
      <c r="AL22" s="900">
        <f>AK22</f>
        <v>3265</v>
      </c>
      <c r="AM22" s="898">
        <v>3345</v>
      </c>
      <c r="AN22" s="898">
        <v>3319</v>
      </c>
      <c r="AO22" s="898">
        <v>3300</v>
      </c>
      <c r="AP22" s="899">
        <v>3289</v>
      </c>
      <c r="AQ22" s="900">
        <f>AP22</f>
        <v>3289</v>
      </c>
      <c r="AR22" s="898">
        <v>3472</v>
      </c>
      <c r="AS22" s="898">
        <v>3268</v>
      </c>
      <c r="AT22" s="898">
        <v>3260</v>
      </c>
      <c r="AU22" s="802"/>
      <c r="AV22" s="901"/>
      <c r="AW22" s="901"/>
      <c r="AX22" s="901"/>
      <c r="AY22" s="898">
        <v>3260</v>
      </c>
      <c r="AZ22" s="902">
        <f>AY22</f>
        <v>3260</v>
      </c>
      <c r="BA22" s="898">
        <v>2880</v>
      </c>
      <c r="BB22" s="898">
        <v>2880</v>
      </c>
      <c r="BC22" s="898">
        <v>2885</v>
      </c>
      <c r="BD22" s="898">
        <v>1949</v>
      </c>
      <c r="BE22" s="902">
        <f>BD22</f>
        <v>1949</v>
      </c>
      <c r="BF22" s="898">
        <v>1913</v>
      </c>
      <c r="BG22" s="898">
        <v>1913</v>
      </c>
      <c r="BH22" s="898">
        <v>1913</v>
      </c>
      <c r="BI22" s="898">
        <v>800</v>
      </c>
      <c r="BJ22" s="902">
        <f>BI22</f>
        <v>800</v>
      </c>
      <c r="BK22" s="898">
        <v>800</v>
      </c>
      <c r="BL22" s="898">
        <v>800</v>
      </c>
      <c r="BM22" s="898">
        <v>800</v>
      </c>
      <c r="BN22" s="898">
        <v>800</v>
      </c>
      <c r="BO22" s="902">
        <f>BN22</f>
        <v>800</v>
      </c>
      <c r="BP22" s="898">
        <v>800</v>
      </c>
      <c r="BQ22" s="898">
        <v>753</v>
      </c>
      <c r="BR22" s="898">
        <v>753</v>
      </c>
      <c r="BS22" s="898">
        <v>601</v>
      </c>
      <c r="BT22" s="902">
        <f>BS22</f>
        <v>601</v>
      </c>
      <c r="BU22" s="898">
        <v>601</v>
      </c>
      <c r="BV22" s="898">
        <v>603</v>
      </c>
      <c r="BW22" s="898">
        <v>600</v>
      </c>
      <c r="BX22" s="898">
        <v>607</v>
      </c>
      <c r="BY22" s="902">
        <f>BX22</f>
        <v>607</v>
      </c>
      <c r="BZ22" s="898">
        <v>607</v>
      </c>
      <c r="CA22" s="898">
        <v>610</v>
      </c>
      <c r="CB22" s="898">
        <v>609</v>
      </c>
      <c r="CC22" s="898">
        <v>609</v>
      </c>
      <c r="CD22" s="902">
        <f>CC22</f>
        <v>609</v>
      </c>
      <c r="CE22" s="898">
        <v>609</v>
      </c>
      <c r="CF22" s="898">
        <v>607</v>
      </c>
      <c r="CG22" s="898">
        <v>607</v>
      </c>
      <c r="CH22" s="898">
        <v>607</v>
      </c>
      <c r="CI22" s="902">
        <f>CH22</f>
        <v>607</v>
      </c>
      <c r="CJ22" s="898">
        <v>607</v>
      </c>
      <c r="CK22" s="898">
        <v>609</v>
      </c>
      <c r="CL22" s="898">
        <v>637</v>
      </c>
      <c r="CM22" s="898">
        <v>652</v>
      </c>
      <c r="CN22" s="902">
        <f>CM22</f>
        <v>652</v>
      </c>
      <c r="CO22" s="898">
        <v>677</v>
      </c>
      <c r="CP22" s="898">
        <v>715</v>
      </c>
      <c r="CQ22" s="898">
        <v>724</v>
      </c>
      <c r="CR22" s="898">
        <v>736</v>
      </c>
      <c r="CS22" s="902">
        <f>CR22</f>
        <v>736</v>
      </c>
      <c r="CT22" s="898">
        <v>738</v>
      </c>
      <c r="CU22" s="898">
        <v>749</v>
      </c>
      <c r="CV22" s="898">
        <v>771</v>
      </c>
      <c r="CW22" s="898">
        <v>916</v>
      </c>
      <c r="CX22" s="902">
        <f>CW22</f>
        <v>916</v>
      </c>
      <c r="CY22" s="898">
        <v>948</v>
      </c>
      <c r="CZ22" s="898">
        <v>970</v>
      </c>
      <c r="DA22" s="898">
        <v>1120</v>
      </c>
      <c r="DB22" s="898">
        <v>3042</v>
      </c>
      <c r="DC22" s="902">
        <f>DB22</f>
        <v>3042</v>
      </c>
      <c r="DD22" s="898">
        <v>3070</v>
      </c>
      <c r="DE22" s="898">
        <v>3200</v>
      </c>
      <c r="DF22" s="898">
        <v>3705</v>
      </c>
      <c r="DG22" s="898">
        <v>3913</v>
      </c>
      <c r="DH22" s="902">
        <f>DG22</f>
        <v>3913</v>
      </c>
      <c r="DI22" s="898">
        <v>3874</v>
      </c>
      <c r="DJ22" s="898">
        <v>6602</v>
      </c>
      <c r="DK22" s="898">
        <v>6606</v>
      </c>
      <c r="DL22" s="898">
        <v>6970</v>
      </c>
      <c r="DM22" s="902">
        <f>DL22</f>
        <v>6970</v>
      </c>
      <c r="DN22" s="898">
        <v>7122</v>
      </c>
      <c r="DO22" s="898">
        <v>7291</v>
      </c>
      <c r="DP22" s="898">
        <v>7376</v>
      </c>
      <c r="DQ22" s="898">
        <v>7425</v>
      </c>
      <c r="DR22" s="902">
        <f>DQ22</f>
        <v>7425</v>
      </c>
      <c r="DS22" s="898">
        <v>7429</v>
      </c>
      <c r="DT22" s="898">
        <v>7157</v>
      </c>
      <c r="DU22" s="898">
        <v>7022</v>
      </c>
      <c r="DV22" s="898">
        <v>7018</v>
      </c>
      <c r="DW22" s="902">
        <f>DV22</f>
        <v>7018</v>
      </c>
      <c r="DX22" s="843">
        <f t="shared" ref="DX22:EA23" si="44">+DW22</f>
        <v>7018</v>
      </c>
      <c r="DY22" s="843">
        <f t="shared" si="44"/>
        <v>7018</v>
      </c>
      <c r="DZ22" s="843">
        <f t="shared" si="44"/>
        <v>7018</v>
      </c>
      <c r="EA22" s="843">
        <f t="shared" si="44"/>
        <v>7018</v>
      </c>
      <c r="EB22" s="902">
        <f>EA22</f>
        <v>7018</v>
      </c>
      <c r="EC22" s="843">
        <f t="shared" ref="EC22:EF23" si="45">+EB22</f>
        <v>7018</v>
      </c>
      <c r="ED22" s="843">
        <f t="shared" si="45"/>
        <v>7018</v>
      </c>
      <c r="EE22" s="843">
        <f t="shared" si="45"/>
        <v>7018</v>
      </c>
      <c r="EF22" s="843">
        <f t="shared" si="45"/>
        <v>7018</v>
      </c>
      <c r="EG22" s="902">
        <f>EF22</f>
        <v>7018</v>
      </c>
      <c r="EH22" s="843">
        <f t="shared" ref="EH22:EK22" si="46">+EG22</f>
        <v>7018</v>
      </c>
      <c r="EI22" s="843">
        <f t="shared" si="46"/>
        <v>7018</v>
      </c>
      <c r="EJ22" s="843">
        <f t="shared" si="46"/>
        <v>7018</v>
      </c>
      <c r="EK22" s="843">
        <f t="shared" si="46"/>
        <v>7018</v>
      </c>
      <c r="EL22" s="902">
        <f>EK22</f>
        <v>7018</v>
      </c>
      <c r="EM22" s="901"/>
      <c r="EN22"/>
      <c r="EO22"/>
      <c r="EP22"/>
      <c r="EQ22"/>
      <c r="ER22"/>
      <c r="ES22"/>
      <c r="ET22" s="141"/>
      <c r="EU22" s="141"/>
      <c r="EV22" s="141"/>
      <c r="EW22" s="141"/>
      <c r="EX22" s="141"/>
      <c r="EY22" s="141"/>
      <c r="EZ22" s="141"/>
      <c r="FA22" s="141"/>
      <c r="FB22" s="141"/>
      <c r="FC22" s="141"/>
      <c r="FD22" s="141"/>
      <c r="FE22" s="141"/>
      <c r="FF22" s="141"/>
      <c r="FG22" s="141"/>
      <c r="FH22" s="141"/>
      <c r="FI22" s="141"/>
      <c r="FJ22" s="141"/>
      <c r="FK22" s="141"/>
      <c r="FL22" s="141"/>
      <c r="FM22" s="141"/>
      <c r="FN22" s="141"/>
      <c r="FO22" s="141"/>
      <c r="FP22" s="141"/>
      <c r="FQ22" s="141"/>
      <c r="FR22" s="141"/>
      <c r="FS22" s="141"/>
      <c r="FT22" s="141"/>
      <c r="FU22" s="141"/>
      <c r="FV22" s="141"/>
      <c r="FW22" s="141"/>
      <c r="FX22" s="141"/>
      <c r="FY22" s="141"/>
      <c r="FZ22" s="141"/>
      <c r="GA22" s="141"/>
      <c r="GB22" s="141"/>
      <c r="GC22" s="141"/>
      <c r="GD22" s="141"/>
      <c r="GE22" s="141"/>
      <c r="GF22" s="141"/>
      <c r="GG22" s="141"/>
      <c r="GH22" s="141"/>
      <c r="GI22" s="141"/>
      <c r="GJ22" s="141"/>
      <c r="GK22" s="141"/>
      <c r="GL22" s="141"/>
      <c r="GM22" s="141"/>
      <c r="GN22" s="141"/>
      <c r="GO22" s="141"/>
      <c r="GP22" s="141"/>
      <c r="GQ22" s="141"/>
      <c r="GR22" s="141"/>
      <c r="GS22" s="141"/>
      <c r="GT22" s="141"/>
      <c r="GU22" s="141"/>
      <c r="GV22" s="141"/>
      <c r="GW22" s="141"/>
      <c r="GX22" s="141"/>
      <c r="GY22" s="141"/>
      <c r="GZ22" s="141"/>
      <c r="HA22" s="141"/>
      <c r="HB22" s="141"/>
      <c r="HC22" s="141"/>
      <c r="HD22" s="141"/>
      <c r="HE22" s="141"/>
      <c r="HF22" s="141"/>
      <c r="HG22" s="141"/>
      <c r="HH22" s="141"/>
      <c r="HI22" s="141"/>
      <c r="HJ22" s="141"/>
      <c r="HK22" s="141"/>
      <c r="HL22" s="141"/>
      <c r="HM22" s="141"/>
      <c r="HN22" s="141"/>
      <c r="HO22" s="141"/>
      <c r="HP22" s="141"/>
      <c r="HQ22" s="141"/>
      <c r="HR22" s="141"/>
      <c r="HS22" s="141"/>
      <c r="HT22" s="141"/>
      <c r="HU22" s="141"/>
      <c r="HV22" s="141"/>
      <c r="HW22" s="141"/>
      <c r="HX22" s="141"/>
      <c r="HY22" s="141"/>
      <c r="HZ22" s="141"/>
      <c r="IA22" s="141"/>
      <c r="IB22" s="141"/>
      <c r="IC22" s="141"/>
      <c r="ID22" s="141"/>
      <c r="IE22" s="141"/>
      <c r="IF22" s="141"/>
      <c r="IG22" s="141"/>
      <c r="IH22" s="141"/>
      <c r="II22" s="141"/>
      <c r="IJ22" s="141"/>
      <c r="IK22" s="141"/>
      <c r="IL22" s="141"/>
      <c r="IM22" s="141"/>
      <c r="IN22" s="141"/>
      <c r="IO22" s="141"/>
      <c r="IP22" s="141"/>
      <c r="IQ22" s="141"/>
      <c r="IR22" s="141"/>
      <c r="IS22" s="141"/>
      <c r="IT22" s="141"/>
      <c r="IU22" s="141"/>
      <c r="IV22" s="141"/>
      <c r="IW22" s="141"/>
      <c r="IX22" s="141"/>
      <c r="IY22" s="141"/>
      <c r="IZ22" s="141"/>
      <c r="JA22" s="141"/>
      <c r="JB22" s="141"/>
      <c r="JC22" s="141"/>
      <c r="JD22" s="141"/>
      <c r="JE22" s="141"/>
      <c r="JF22" s="141"/>
      <c r="JG22" s="141"/>
      <c r="JH22" s="141"/>
    </row>
    <row r="23" spans="1:268" s="142" customFormat="1" ht="12" customHeight="1">
      <c r="A23" s="818"/>
      <c r="B23" s="556" t="s">
        <v>542</v>
      </c>
      <c r="C23" s="920"/>
      <c r="D23" s="920">
        <v>111.687</v>
      </c>
      <c r="E23" s="920">
        <v>112.2</v>
      </c>
      <c r="F23" s="920">
        <v>114.3</v>
      </c>
      <c r="G23" s="921">
        <v>102</v>
      </c>
      <c r="H23" s="912">
        <f>G23</f>
        <v>102</v>
      </c>
      <c r="I23" s="920">
        <v>0</v>
      </c>
      <c r="J23" s="920">
        <v>0</v>
      </c>
      <c r="K23" s="920">
        <v>0</v>
      </c>
      <c r="L23" s="921">
        <v>47</v>
      </c>
      <c r="M23" s="912">
        <f>L23</f>
        <v>47</v>
      </c>
      <c r="N23" s="920">
        <v>0</v>
      </c>
      <c r="O23" s="920">
        <v>0</v>
      </c>
      <c r="P23" s="920">
        <v>0</v>
      </c>
      <c r="Q23" s="921">
        <v>74</v>
      </c>
      <c r="R23" s="912">
        <f>Q23</f>
        <v>74</v>
      </c>
      <c r="S23" s="920">
        <v>0</v>
      </c>
      <c r="T23" s="920">
        <v>0</v>
      </c>
      <c r="U23" s="920">
        <v>0</v>
      </c>
      <c r="V23" s="921">
        <v>82</v>
      </c>
      <c r="W23" s="912">
        <f>V23</f>
        <v>82</v>
      </c>
      <c r="X23" s="920">
        <v>0</v>
      </c>
      <c r="Y23" s="920">
        <v>0</v>
      </c>
      <c r="Z23" s="920">
        <v>0</v>
      </c>
      <c r="AA23" s="921">
        <v>118</v>
      </c>
      <c r="AB23" s="912">
        <f>AA23</f>
        <v>118</v>
      </c>
      <c r="AC23" s="920">
        <v>0</v>
      </c>
      <c r="AD23" s="920">
        <v>0</v>
      </c>
      <c r="AE23" s="920">
        <v>0</v>
      </c>
      <c r="AF23" s="921">
        <v>94</v>
      </c>
      <c r="AG23" s="912">
        <f>AF23</f>
        <v>94</v>
      </c>
      <c r="AH23" s="920">
        <v>0</v>
      </c>
      <c r="AI23" s="920">
        <v>0</v>
      </c>
      <c r="AJ23" s="920">
        <v>0</v>
      </c>
      <c r="AK23" s="921">
        <v>133</v>
      </c>
      <c r="AL23" s="912">
        <f>AK23</f>
        <v>133</v>
      </c>
      <c r="AM23" s="920">
        <v>170</v>
      </c>
      <c r="AN23" s="920">
        <v>166</v>
      </c>
      <c r="AO23" s="920">
        <v>176</v>
      </c>
      <c r="AP23" s="921">
        <v>183</v>
      </c>
      <c r="AQ23" s="912">
        <f>AP23</f>
        <v>183</v>
      </c>
      <c r="AR23" s="920">
        <v>0</v>
      </c>
      <c r="AS23" s="920">
        <v>189</v>
      </c>
      <c r="AT23" s="920">
        <v>185</v>
      </c>
      <c r="AU23" s="913"/>
      <c r="AV23" s="914"/>
      <c r="AW23" s="914"/>
      <c r="AX23" s="914"/>
      <c r="AY23" s="920">
        <v>184</v>
      </c>
      <c r="AZ23" s="915">
        <f>AY23</f>
        <v>184</v>
      </c>
      <c r="BA23" s="920">
        <v>180</v>
      </c>
      <c r="BB23" s="920">
        <v>160</v>
      </c>
      <c r="BC23" s="920">
        <v>156</v>
      </c>
      <c r="BD23" s="920">
        <v>158</v>
      </c>
      <c r="BE23" s="915">
        <f>BD23</f>
        <v>158</v>
      </c>
      <c r="BF23" s="920">
        <v>126</v>
      </c>
      <c r="BG23" s="920">
        <v>181</v>
      </c>
      <c r="BH23" s="920">
        <v>181</v>
      </c>
      <c r="BI23" s="920">
        <v>170</v>
      </c>
      <c r="BJ23" s="915">
        <f>BI23</f>
        <v>170</v>
      </c>
      <c r="BK23" s="920">
        <v>178</v>
      </c>
      <c r="BL23" s="920">
        <v>180</v>
      </c>
      <c r="BM23" s="920">
        <v>246</v>
      </c>
      <c r="BN23" s="920">
        <v>241</v>
      </c>
      <c r="BO23" s="915">
        <f>BN23</f>
        <v>241</v>
      </c>
      <c r="BP23" s="920">
        <v>231</v>
      </c>
      <c r="BQ23" s="920">
        <v>194</v>
      </c>
      <c r="BR23" s="920">
        <v>202</v>
      </c>
      <c r="BS23" s="920">
        <v>231</v>
      </c>
      <c r="BT23" s="915">
        <f>BS23</f>
        <v>231</v>
      </c>
      <c r="BU23" s="920">
        <v>256</v>
      </c>
      <c r="BV23" s="920">
        <v>271</v>
      </c>
      <c r="BW23" s="920">
        <v>270</v>
      </c>
      <c r="BX23" s="920">
        <v>293</v>
      </c>
      <c r="BY23" s="915">
        <f>BX23</f>
        <v>293</v>
      </c>
      <c r="BZ23" s="920">
        <v>306</v>
      </c>
      <c r="CA23" s="920">
        <v>310</v>
      </c>
      <c r="CB23" s="920">
        <v>328</v>
      </c>
      <c r="CC23" s="920">
        <v>323</v>
      </c>
      <c r="CD23" s="915">
        <f>CC23</f>
        <v>323</v>
      </c>
      <c r="CE23" s="920">
        <v>361</v>
      </c>
      <c r="CF23" s="920">
        <v>379</v>
      </c>
      <c r="CG23" s="920">
        <v>377</v>
      </c>
      <c r="CH23" s="920">
        <v>379</v>
      </c>
      <c r="CI23" s="915">
        <f>CH23</f>
        <v>379</v>
      </c>
      <c r="CJ23" s="920">
        <v>388</v>
      </c>
      <c r="CK23" s="920">
        <v>399</v>
      </c>
      <c r="CL23" s="920">
        <v>403</v>
      </c>
      <c r="CM23" s="920">
        <v>442</v>
      </c>
      <c r="CN23" s="915">
        <f>CM23</f>
        <v>442</v>
      </c>
      <c r="CO23" s="920">
        <v>441</v>
      </c>
      <c r="CP23" s="920">
        <v>454</v>
      </c>
      <c r="CQ23" s="920">
        <v>500</v>
      </c>
      <c r="CR23" s="920">
        <v>489</v>
      </c>
      <c r="CS23" s="915">
        <f>CR23</f>
        <v>489</v>
      </c>
      <c r="CT23" s="920">
        <v>506</v>
      </c>
      <c r="CU23" s="920">
        <v>526</v>
      </c>
      <c r="CV23" s="920">
        <v>578</v>
      </c>
      <c r="CW23" s="920">
        <v>650</v>
      </c>
      <c r="CX23" s="915">
        <f>CW23</f>
        <v>650</v>
      </c>
      <c r="CY23" s="920">
        <v>670</v>
      </c>
      <c r="CZ23" s="920">
        <v>700</v>
      </c>
      <c r="DA23" s="920">
        <v>723</v>
      </c>
      <c r="DB23" s="920">
        <v>1192</v>
      </c>
      <c r="DC23" s="915">
        <f>DB23</f>
        <v>1192</v>
      </c>
      <c r="DD23" s="920">
        <v>1229</v>
      </c>
      <c r="DE23" s="920">
        <v>1241</v>
      </c>
      <c r="DF23" s="920">
        <v>1191</v>
      </c>
      <c r="DG23" s="920">
        <v>1278</v>
      </c>
      <c r="DH23" s="915">
        <f>DG23</f>
        <v>1278</v>
      </c>
      <c r="DI23" s="920">
        <v>1478</v>
      </c>
      <c r="DJ23" s="920">
        <v>1894</v>
      </c>
      <c r="DK23" s="920">
        <v>1830</v>
      </c>
      <c r="DL23" s="920">
        <v>1675</v>
      </c>
      <c r="DM23" s="915">
        <f>DL23</f>
        <v>1675</v>
      </c>
      <c r="DN23" s="920">
        <v>1686</v>
      </c>
      <c r="DO23" s="920">
        <v>1865</v>
      </c>
      <c r="DP23" s="920">
        <v>1853</v>
      </c>
      <c r="DQ23" s="920">
        <v>1845</v>
      </c>
      <c r="DR23" s="915">
        <f>DQ23</f>
        <v>1845</v>
      </c>
      <c r="DS23" s="920">
        <v>1863</v>
      </c>
      <c r="DT23" s="920">
        <v>1806</v>
      </c>
      <c r="DU23" s="920">
        <v>1764</v>
      </c>
      <c r="DV23" s="920">
        <v>1766</v>
      </c>
      <c r="DW23" s="915">
        <f>DV23</f>
        <v>1766</v>
      </c>
      <c r="DX23" s="922">
        <f t="shared" si="44"/>
        <v>1766</v>
      </c>
      <c r="DY23" s="922">
        <f t="shared" si="44"/>
        <v>1766</v>
      </c>
      <c r="DZ23" s="922">
        <f t="shared" si="44"/>
        <v>1766</v>
      </c>
      <c r="EA23" s="922">
        <f t="shared" si="44"/>
        <v>1766</v>
      </c>
      <c r="EB23" s="915">
        <f>EA23</f>
        <v>1766</v>
      </c>
      <c r="EC23" s="922">
        <f t="shared" si="45"/>
        <v>1766</v>
      </c>
      <c r="ED23" s="922">
        <f t="shared" si="45"/>
        <v>1766</v>
      </c>
      <c r="EE23" s="922">
        <f t="shared" si="45"/>
        <v>1766</v>
      </c>
      <c r="EF23" s="922">
        <f t="shared" si="45"/>
        <v>1766</v>
      </c>
      <c r="EG23" s="915">
        <f>EF23</f>
        <v>1766</v>
      </c>
      <c r="EH23" s="922">
        <f t="shared" ref="EH23:EK23" si="47">+EG23</f>
        <v>1766</v>
      </c>
      <c r="EI23" s="922">
        <f t="shared" si="47"/>
        <v>1766</v>
      </c>
      <c r="EJ23" s="922">
        <f t="shared" si="47"/>
        <v>1766</v>
      </c>
      <c r="EK23" s="922">
        <f t="shared" si="47"/>
        <v>1766</v>
      </c>
      <c r="EL23" s="915">
        <f>EK23</f>
        <v>1766</v>
      </c>
      <c r="EM23" s="901"/>
      <c r="EN23"/>
      <c r="EO23"/>
      <c r="EP23"/>
      <c r="EQ23"/>
      <c r="ER23"/>
      <c r="ES23"/>
      <c r="ET23" s="141"/>
      <c r="EU23" s="141"/>
      <c r="EV23" s="141"/>
      <c r="EW23" s="141"/>
      <c r="EX23" s="141"/>
      <c r="EY23" s="141"/>
      <c r="EZ23" s="141"/>
      <c r="FA23" s="141"/>
      <c r="FB23" s="141"/>
      <c r="FC23" s="141"/>
      <c r="FD23" s="141"/>
      <c r="FE23" s="141"/>
      <c r="FF23" s="141"/>
      <c r="FG23" s="141"/>
      <c r="FH23" s="141"/>
      <c r="FI23" s="141"/>
      <c r="FJ23" s="141"/>
      <c r="FK23" s="141"/>
      <c r="FL23" s="141"/>
      <c r="FM23" s="141"/>
      <c r="FN23" s="141"/>
      <c r="FO23" s="141"/>
      <c r="FP23" s="141"/>
      <c r="FQ23" s="141"/>
      <c r="FR23" s="141"/>
      <c r="FS23" s="141"/>
      <c r="FT23" s="141"/>
      <c r="FU23" s="141"/>
      <c r="FV23" s="141"/>
      <c r="FW23" s="141"/>
      <c r="FX23" s="141"/>
      <c r="FY23" s="141"/>
      <c r="FZ23" s="141"/>
      <c r="GA23" s="141"/>
      <c r="GB23" s="141"/>
      <c r="GC23" s="141"/>
      <c r="GD23" s="141"/>
      <c r="GE23" s="141"/>
      <c r="GF23" s="141"/>
      <c r="GG23" s="141"/>
      <c r="GH23" s="141"/>
      <c r="GI23" s="141"/>
      <c r="GJ23" s="141"/>
      <c r="GK23" s="141"/>
      <c r="GL23" s="141"/>
      <c r="GM23" s="141"/>
      <c r="GN23" s="141"/>
      <c r="GO23" s="141"/>
      <c r="GP23" s="141"/>
      <c r="GQ23" s="141"/>
      <c r="GR23" s="141"/>
      <c r="GS23" s="141"/>
      <c r="GT23" s="141"/>
      <c r="GU23" s="141"/>
      <c r="GV23" s="141"/>
      <c r="GW23" s="141"/>
      <c r="GX23" s="141"/>
      <c r="GY23" s="141"/>
      <c r="GZ23" s="141"/>
      <c r="HA23" s="141"/>
      <c r="HB23" s="141"/>
      <c r="HC23" s="141"/>
      <c r="HD23" s="141"/>
      <c r="HE23" s="141"/>
      <c r="HF23" s="141"/>
      <c r="HG23" s="141"/>
      <c r="HH23" s="141"/>
      <c r="HI23" s="141"/>
      <c r="HJ23" s="141"/>
      <c r="HK23" s="141"/>
      <c r="HL23" s="141"/>
      <c r="HM23" s="141"/>
      <c r="HN23" s="141"/>
      <c r="HO23" s="141"/>
      <c r="HP23" s="141"/>
      <c r="HQ23" s="141"/>
      <c r="HR23" s="141"/>
      <c r="HS23" s="141"/>
      <c r="HT23" s="141"/>
      <c r="HU23" s="141"/>
      <c r="HV23" s="141"/>
      <c r="HW23" s="141"/>
      <c r="HX23" s="141"/>
      <c r="HY23" s="141"/>
      <c r="HZ23" s="141"/>
      <c r="IA23" s="141"/>
      <c r="IB23" s="141"/>
      <c r="IC23" s="141"/>
      <c r="ID23" s="141"/>
      <c r="IE23" s="141"/>
      <c r="IF23" s="141"/>
      <c r="IG23" s="141"/>
      <c r="IH23" s="141"/>
      <c r="II23" s="141"/>
      <c r="IJ23" s="141"/>
      <c r="IK23" s="141"/>
      <c r="IL23" s="141"/>
      <c r="IM23" s="141"/>
      <c r="IN23" s="141"/>
      <c r="IO23" s="141"/>
      <c r="IP23" s="141"/>
      <c r="IQ23" s="141"/>
      <c r="IR23" s="141"/>
      <c r="IS23" s="141"/>
      <c r="IT23" s="141"/>
      <c r="IU23" s="141"/>
      <c r="IV23" s="141"/>
      <c r="IW23" s="141"/>
      <c r="IX23" s="141"/>
      <c r="IY23" s="141"/>
      <c r="IZ23" s="141"/>
      <c r="JA23" s="141"/>
      <c r="JB23" s="141"/>
      <c r="JC23" s="141"/>
      <c r="JD23" s="141"/>
      <c r="JE23" s="141"/>
      <c r="JF23" s="141"/>
      <c r="JG23" s="141"/>
      <c r="JH23" s="141"/>
    </row>
    <row r="24" spans="1:268" s="142" customFormat="1" ht="12" customHeight="1">
      <c r="A24" s="803"/>
      <c r="B24" s="804" t="s">
        <v>543</v>
      </c>
      <c r="C24" s="153"/>
      <c r="D24" s="153">
        <f t="shared" ref="D24:AT24" si="48">SUM(D17,D19:D23)</f>
        <v>3336.346</v>
      </c>
      <c r="E24" s="153">
        <f t="shared" si="48"/>
        <v>3303.4</v>
      </c>
      <c r="F24" s="153">
        <f t="shared" si="48"/>
        <v>3330.7</v>
      </c>
      <c r="G24" s="153">
        <f t="shared" si="48"/>
        <v>7918</v>
      </c>
      <c r="H24" s="916">
        <f t="shared" si="48"/>
        <v>7918</v>
      </c>
      <c r="I24" s="153">
        <f t="shared" si="48"/>
        <v>7884.7</v>
      </c>
      <c r="J24" s="153">
        <f t="shared" si="48"/>
        <v>8140.5</v>
      </c>
      <c r="K24" s="153">
        <f t="shared" si="48"/>
        <v>8322.8000000000011</v>
      </c>
      <c r="L24" s="153">
        <f t="shared" si="48"/>
        <v>8332</v>
      </c>
      <c r="M24" s="916">
        <f t="shared" si="48"/>
        <v>8332</v>
      </c>
      <c r="N24" s="153">
        <f t="shared" si="48"/>
        <v>8425.5</v>
      </c>
      <c r="O24" s="153">
        <f t="shared" si="48"/>
        <v>8572.5</v>
      </c>
      <c r="P24" s="153">
        <f t="shared" si="48"/>
        <v>11586.8</v>
      </c>
      <c r="Q24" s="153">
        <f t="shared" si="48"/>
        <v>11705</v>
      </c>
      <c r="R24" s="916">
        <f t="shared" si="48"/>
        <v>11705</v>
      </c>
      <c r="S24" s="153">
        <f t="shared" si="48"/>
        <v>11898</v>
      </c>
      <c r="T24" s="153">
        <f t="shared" si="48"/>
        <v>12183</v>
      </c>
      <c r="U24" s="153">
        <f t="shared" si="48"/>
        <v>12715</v>
      </c>
      <c r="V24" s="153">
        <f t="shared" si="48"/>
        <v>12774</v>
      </c>
      <c r="W24" s="916">
        <f t="shared" si="48"/>
        <v>12774</v>
      </c>
      <c r="X24" s="153">
        <f t="shared" si="48"/>
        <v>12970</v>
      </c>
      <c r="Y24" s="153">
        <f t="shared" si="48"/>
        <v>13629</v>
      </c>
      <c r="Z24" s="153">
        <f t="shared" si="48"/>
        <v>13885</v>
      </c>
      <c r="AA24" s="153">
        <f t="shared" si="48"/>
        <v>13771</v>
      </c>
      <c r="AB24" s="916">
        <f t="shared" si="48"/>
        <v>13771</v>
      </c>
      <c r="AC24" s="153">
        <f t="shared" si="48"/>
        <v>13693</v>
      </c>
      <c r="AD24" s="153">
        <f t="shared" si="48"/>
        <v>13275</v>
      </c>
      <c r="AE24" s="153">
        <f t="shared" si="48"/>
        <v>13392</v>
      </c>
      <c r="AF24" s="153">
        <f t="shared" si="48"/>
        <v>13161</v>
      </c>
      <c r="AG24" s="916">
        <f t="shared" si="48"/>
        <v>13161</v>
      </c>
      <c r="AH24" s="153">
        <f t="shared" si="48"/>
        <v>13091</v>
      </c>
      <c r="AI24" s="153">
        <f t="shared" si="48"/>
        <v>13121</v>
      </c>
      <c r="AJ24" s="153">
        <f t="shared" si="48"/>
        <v>13249</v>
      </c>
      <c r="AK24" s="153">
        <f t="shared" si="48"/>
        <v>12995</v>
      </c>
      <c r="AL24" s="916">
        <f t="shared" si="48"/>
        <v>12995</v>
      </c>
      <c r="AM24" s="153">
        <f t="shared" si="48"/>
        <v>13376</v>
      </c>
      <c r="AN24" s="153">
        <f t="shared" si="48"/>
        <v>13423</v>
      </c>
      <c r="AO24" s="153">
        <f t="shared" si="48"/>
        <v>13640</v>
      </c>
      <c r="AP24" s="153">
        <f t="shared" si="48"/>
        <v>13814</v>
      </c>
      <c r="AQ24" s="916">
        <f t="shared" si="48"/>
        <v>13814</v>
      </c>
      <c r="AR24" s="153">
        <f t="shared" si="48"/>
        <v>13735</v>
      </c>
      <c r="AS24" s="153">
        <f t="shared" si="48"/>
        <v>13923</v>
      </c>
      <c r="AT24" s="153">
        <f t="shared" si="48"/>
        <v>13855</v>
      </c>
      <c r="AU24" s="802"/>
      <c r="AV24" s="153">
        <f t="shared" ref="AV24:CA24" si="49">SUM(AV17,AV19:AV23)</f>
        <v>0</v>
      </c>
      <c r="AW24" s="153">
        <f t="shared" si="49"/>
        <v>0</v>
      </c>
      <c r="AX24" s="153">
        <f t="shared" si="49"/>
        <v>0</v>
      </c>
      <c r="AY24" s="153">
        <f t="shared" si="49"/>
        <v>13780</v>
      </c>
      <c r="AZ24" s="916">
        <f t="shared" si="49"/>
        <v>13780</v>
      </c>
      <c r="BA24" s="153">
        <f t="shared" si="49"/>
        <v>13684</v>
      </c>
      <c r="BB24" s="153">
        <f t="shared" si="49"/>
        <v>13515</v>
      </c>
      <c r="BC24" s="153">
        <f t="shared" si="49"/>
        <v>13477</v>
      </c>
      <c r="BD24" s="153">
        <f t="shared" si="49"/>
        <v>12298</v>
      </c>
      <c r="BE24" s="916">
        <f t="shared" si="49"/>
        <v>12298</v>
      </c>
      <c r="BF24" s="153">
        <f t="shared" si="49"/>
        <v>12131</v>
      </c>
      <c r="BG24" s="153">
        <f t="shared" si="49"/>
        <v>12150</v>
      </c>
      <c r="BH24" s="153">
        <f t="shared" si="49"/>
        <v>12126</v>
      </c>
      <c r="BI24" s="153">
        <f t="shared" si="49"/>
        <v>10078</v>
      </c>
      <c r="BJ24" s="916">
        <f t="shared" si="49"/>
        <v>10078</v>
      </c>
      <c r="BK24" s="153">
        <f t="shared" si="49"/>
        <v>10210</v>
      </c>
      <c r="BL24" s="153">
        <f t="shared" si="49"/>
        <v>10252</v>
      </c>
      <c r="BM24" s="153">
        <f t="shared" si="49"/>
        <v>9967</v>
      </c>
      <c r="BN24" s="153">
        <f t="shared" si="49"/>
        <v>9812</v>
      </c>
      <c r="BO24" s="916">
        <f t="shared" si="49"/>
        <v>9812</v>
      </c>
      <c r="BP24" s="153">
        <f t="shared" si="49"/>
        <v>9337</v>
      </c>
      <c r="BQ24" s="153">
        <f t="shared" si="49"/>
        <v>9200</v>
      </c>
      <c r="BR24" s="153">
        <f t="shared" si="49"/>
        <v>9042</v>
      </c>
      <c r="BS24" s="153">
        <f t="shared" si="49"/>
        <v>8539</v>
      </c>
      <c r="BT24" s="916">
        <f t="shared" si="49"/>
        <v>8539</v>
      </c>
      <c r="BU24" s="153">
        <f t="shared" si="49"/>
        <v>8275</v>
      </c>
      <c r="BV24" s="153">
        <f t="shared" si="49"/>
        <v>8253</v>
      </c>
      <c r="BW24" s="153">
        <f t="shared" si="49"/>
        <v>8235</v>
      </c>
      <c r="BX24" s="153">
        <f t="shared" si="49"/>
        <v>8393</v>
      </c>
      <c r="BY24" s="916">
        <f t="shared" si="49"/>
        <v>8393</v>
      </c>
      <c r="BZ24" s="153">
        <f t="shared" si="49"/>
        <v>8174</v>
      </c>
      <c r="CA24" s="153">
        <f t="shared" si="49"/>
        <v>8243</v>
      </c>
      <c r="CB24" s="153">
        <f t="shared" ref="CB24:DG24" si="50">SUM(CB17,CB19:CB23)</f>
        <v>8294</v>
      </c>
      <c r="CC24" s="153">
        <f t="shared" si="50"/>
        <v>8174</v>
      </c>
      <c r="CD24" s="916">
        <f t="shared" si="50"/>
        <v>8174</v>
      </c>
      <c r="CE24" s="153">
        <f t="shared" si="50"/>
        <v>8092</v>
      </c>
      <c r="CF24" s="153">
        <f t="shared" si="50"/>
        <v>7928</v>
      </c>
      <c r="CG24" s="153">
        <f t="shared" si="50"/>
        <v>7876</v>
      </c>
      <c r="CH24" s="153">
        <f t="shared" si="50"/>
        <v>7953</v>
      </c>
      <c r="CI24" s="916">
        <f t="shared" si="50"/>
        <v>7953</v>
      </c>
      <c r="CJ24" s="153">
        <f t="shared" si="50"/>
        <v>7815</v>
      </c>
      <c r="CK24" s="153">
        <f t="shared" si="50"/>
        <v>7834</v>
      </c>
      <c r="CL24" s="153">
        <f t="shared" si="50"/>
        <v>8535</v>
      </c>
      <c r="CM24" s="153">
        <f t="shared" si="50"/>
        <v>8500</v>
      </c>
      <c r="CN24" s="916">
        <f t="shared" si="50"/>
        <v>8500</v>
      </c>
      <c r="CO24" s="153">
        <f t="shared" si="50"/>
        <v>8524</v>
      </c>
      <c r="CP24" s="153">
        <f t="shared" si="50"/>
        <v>8435</v>
      </c>
      <c r="CQ24" s="153">
        <f t="shared" si="50"/>
        <v>8293</v>
      </c>
      <c r="CR24" s="153">
        <f t="shared" si="50"/>
        <v>8462</v>
      </c>
      <c r="CS24" s="916">
        <f t="shared" si="50"/>
        <v>8462</v>
      </c>
      <c r="CT24" s="153">
        <f t="shared" si="50"/>
        <v>8545</v>
      </c>
      <c r="CU24" s="153">
        <f t="shared" si="50"/>
        <v>8485</v>
      </c>
      <c r="CV24" s="153">
        <f t="shared" si="50"/>
        <v>8470</v>
      </c>
      <c r="CW24" s="153">
        <f t="shared" si="50"/>
        <v>9044</v>
      </c>
      <c r="CX24" s="916">
        <f t="shared" si="50"/>
        <v>9044</v>
      </c>
      <c r="CY24" s="153">
        <f t="shared" si="50"/>
        <v>8915</v>
      </c>
      <c r="CZ24" s="153">
        <f t="shared" si="50"/>
        <v>9156</v>
      </c>
      <c r="DA24" s="153">
        <f t="shared" si="50"/>
        <v>9337</v>
      </c>
      <c r="DB24" s="153">
        <f t="shared" si="50"/>
        <v>16130</v>
      </c>
      <c r="DC24" s="916">
        <f t="shared" si="50"/>
        <v>16130</v>
      </c>
      <c r="DD24" s="153">
        <f t="shared" si="50"/>
        <v>16484</v>
      </c>
      <c r="DE24" s="153">
        <f t="shared" si="50"/>
        <v>16907</v>
      </c>
      <c r="DF24" s="153">
        <f t="shared" si="50"/>
        <v>17312</v>
      </c>
      <c r="DG24" s="153">
        <f t="shared" si="50"/>
        <v>18141</v>
      </c>
      <c r="DH24" s="916">
        <f t="shared" ref="DH24:DR24" si="51">SUM(DH17,DH19:DH23)</f>
        <v>18141</v>
      </c>
      <c r="DI24" s="153">
        <f t="shared" si="51"/>
        <v>18425</v>
      </c>
      <c r="DJ24" s="153">
        <f t="shared" si="51"/>
        <v>22746</v>
      </c>
      <c r="DK24" s="153">
        <f t="shared" si="51"/>
        <v>23173</v>
      </c>
      <c r="DL24" s="153">
        <f t="shared" si="51"/>
        <v>23682</v>
      </c>
      <c r="DM24" s="916">
        <f>SUM(DM17,DM19:DM23)</f>
        <v>23682</v>
      </c>
      <c r="DN24" s="153">
        <f t="shared" si="51"/>
        <v>23766</v>
      </c>
      <c r="DO24" s="153">
        <f t="shared" si="51"/>
        <v>24240</v>
      </c>
      <c r="DP24" s="153">
        <f t="shared" si="51"/>
        <v>24474</v>
      </c>
      <c r="DQ24" s="153">
        <f t="shared" si="51"/>
        <v>24701</v>
      </c>
      <c r="DR24" s="916">
        <f t="shared" si="51"/>
        <v>23985</v>
      </c>
      <c r="DS24" s="153">
        <f>SUM(DS17,DS19:DS23)</f>
        <v>24510</v>
      </c>
      <c r="DT24" s="153">
        <f>SUM(DT17,DT19:DT23)</f>
        <v>24341</v>
      </c>
      <c r="DU24" s="153">
        <f>SUM(DU17,DU19:DU23)</f>
        <v>23208</v>
      </c>
      <c r="DV24" s="153">
        <f t="shared" ref="DV24" si="52">SUM(DV17,DV19:DV23)</f>
        <v>23385</v>
      </c>
      <c r="DW24" s="916">
        <f>SUM(DW17,DW19:DW23)</f>
        <v>23385</v>
      </c>
      <c r="DX24" s="153">
        <f t="shared" ref="DX24:EG24" si="53">SUM(DX17,DX19:DX23)</f>
        <v>22889.828061277087</v>
      </c>
      <c r="DY24" s="153">
        <f t="shared" si="53"/>
        <v>22418.622878131901</v>
      </c>
      <c r="DZ24" s="153">
        <f t="shared" si="53"/>
        <v>22444.357473225537</v>
      </c>
      <c r="EA24" s="153">
        <f t="shared" si="53"/>
        <v>22099.149679259081</v>
      </c>
      <c r="EB24" s="916">
        <f t="shared" si="53"/>
        <v>22099.149679259081</v>
      </c>
      <c r="EC24" s="153">
        <f t="shared" si="53"/>
        <v>22060.167677219462</v>
      </c>
      <c r="ED24" s="153">
        <f t="shared" si="53"/>
        <v>22146.802894621844</v>
      </c>
      <c r="EE24" s="153">
        <f t="shared" si="53"/>
        <v>22205.144828991448</v>
      </c>
      <c r="EF24" s="153">
        <f t="shared" si="53"/>
        <v>22390.726954764537</v>
      </c>
      <c r="EG24" s="916">
        <f t="shared" si="53"/>
        <v>22390.726954764537</v>
      </c>
      <c r="EH24" s="153">
        <f t="shared" ref="EH24:EL24" si="54">SUM(EH17,EH19:EH23)</f>
        <v>22279.057617506136</v>
      </c>
      <c r="EI24" s="153">
        <f t="shared" si="54"/>
        <v>22203.122407031482</v>
      </c>
      <c r="EJ24" s="153">
        <f t="shared" si="54"/>
        <v>22074.059688877485</v>
      </c>
      <c r="EK24" s="153">
        <f t="shared" si="54"/>
        <v>22056.923812325436</v>
      </c>
      <c r="EL24" s="916">
        <f t="shared" si="54"/>
        <v>22056.923812325436</v>
      </c>
      <c r="EM24" s="917"/>
      <c r="EN24"/>
      <c r="EO24"/>
      <c r="EP24"/>
      <c r="EQ24"/>
      <c r="ER24"/>
      <c r="ES24"/>
      <c r="ET24" s="141"/>
      <c r="EU24" s="141"/>
      <c r="EV24" s="141"/>
      <c r="EW24" s="141"/>
      <c r="EX24" s="141"/>
      <c r="EY24" s="141"/>
      <c r="EZ24" s="141"/>
      <c r="FA24" s="141"/>
      <c r="FB24" s="141"/>
      <c r="FC24" s="141"/>
      <c r="FD24" s="141"/>
      <c r="FE24" s="141"/>
      <c r="FF24" s="141"/>
      <c r="FG24" s="141"/>
      <c r="FH24" s="141"/>
      <c r="FI24" s="141"/>
      <c r="FJ24" s="141"/>
      <c r="FK24" s="141"/>
      <c r="FL24" s="141"/>
      <c r="FM24" s="141"/>
      <c r="FN24" s="141"/>
      <c r="FO24" s="141"/>
      <c r="FP24" s="141"/>
      <c r="FQ24" s="141"/>
      <c r="FR24" s="141"/>
      <c r="FS24" s="141"/>
      <c r="FT24" s="141"/>
      <c r="FU24" s="141"/>
      <c r="FV24" s="141"/>
      <c r="FW24" s="141"/>
      <c r="FX24" s="141"/>
      <c r="FY24" s="141"/>
      <c r="FZ24" s="141"/>
      <c r="GA24" s="141"/>
      <c r="GB24" s="141"/>
      <c r="GC24" s="141"/>
      <c r="GD24" s="141"/>
      <c r="GE24" s="141"/>
      <c r="GF24" s="141"/>
      <c r="GG24" s="141"/>
      <c r="GH24" s="141"/>
      <c r="GI24" s="141"/>
      <c r="GJ24" s="141"/>
      <c r="GK24" s="141"/>
      <c r="GL24" s="141"/>
      <c r="GM24" s="141"/>
      <c r="GN24" s="141"/>
      <c r="GO24" s="141"/>
      <c r="GP24" s="141"/>
      <c r="GQ24" s="141"/>
      <c r="GR24" s="141"/>
      <c r="GS24" s="141"/>
      <c r="GT24" s="141"/>
      <c r="GU24" s="141"/>
      <c r="GV24" s="141"/>
      <c r="GW24" s="141"/>
      <c r="GX24" s="141"/>
      <c r="GY24" s="141"/>
      <c r="GZ24" s="141"/>
      <c r="HA24" s="141"/>
      <c r="HB24" s="141"/>
      <c r="HC24" s="141"/>
      <c r="HD24" s="141"/>
      <c r="HE24" s="141"/>
      <c r="HF24" s="141"/>
      <c r="HG24" s="141"/>
      <c r="HH24" s="141"/>
      <c r="HI24" s="141"/>
      <c r="HJ24" s="141"/>
      <c r="HK24" s="141"/>
      <c r="HL24" s="141"/>
      <c r="HM24" s="141"/>
      <c r="HN24" s="141"/>
      <c r="HO24" s="141"/>
      <c r="HP24" s="141"/>
      <c r="HQ24" s="141"/>
      <c r="HR24" s="141"/>
      <c r="HS24" s="141"/>
      <c r="HT24" s="141"/>
      <c r="HU24" s="141"/>
      <c r="HV24" s="141"/>
      <c r="HW24" s="141"/>
      <c r="HX24" s="141"/>
      <c r="HY24" s="141"/>
      <c r="HZ24" s="141"/>
      <c r="IA24" s="141"/>
      <c r="IB24" s="141"/>
      <c r="IC24" s="141"/>
      <c r="ID24" s="141"/>
      <c r="IE24" s="141"/>
      <c r="IF24" s="141"/>
      <c r="IG24" s="141"/>
      <c r="IH24" s="141"/>
      <c r="II24" s="141"/>
      <c r="IJ24" s="141"/>
      <c r="IK24" s="141"/>
      <c r="IL24" s="141"/>
      <c r="IM24" s="141"/>
      <c r="IN24" s="141"/>
      <c r="IO24" s="141"/>
      <c r="IP24" s="141"/>
      <c r="IQ24" s="141"/>
      <c r="IR24" s="141"/>
      <c r="IS24" s="141"/>
      <c r="IT24" s="141"/>
      <c r="IU24" s="141"/>
      <c r="IV24" s="141"/>
      <c r="IW24" s="141"/>
      <c r="IX24" s="141"/>
      <c r="IY24" s="141"/>
      <c r="IZ24" s="141"/>
      <c r="JA24" s="141"/>
      <c r="JB24" s="141"/>
      <c r="JC24" s="141"/>
      <c r="JD24" s="141"/>
      <c r="JE24" s="141"/>
      <c r="JF24" s="141"/>
      <c r="JG24" s="141"/>
      <c r="JH24" s="141"/>
    </row>
    <row r="25" spans="1:268" s="142" customFormat="1" ht="12" customHeight="1">
      <c r="A25" s="801"/>
      <c r="B25" s="555"/>
      <c r="C25" s="555"/>
      <c r="D25" s="555"/>
      <c r="E25" s="555"/>
      <c r="F25" s="555"/>
      <c r="G25" s="918"/>
      <c r="H25" s="900"/>
      <c r="I25" s="555"/>
      <c r="J25" s="555"/>
      <c r="K25" s="555"/>
      <c r="L25" s="918"/>
      <c r="M25" s="900"/>
      <c r="N25" s="555"/>
      <c r="O25" s="555"/>
      <c r="P25" s="555"/>
      <c r="Q25" s="918"/>
      <c r="R25" s="900"/>
      <c r="S25" s="555"/>
      <c r="T25" s="555"/>
      <c r="U25" s="555"/>
      <c r="V25" s="918"/>
      <c r="W25" s="900"/>
      <c r="X25" s="555"/>
      <c r="Y25" s="555"/>
      <c r="Z25" s="555"/>
      <c r="AA25" s="918"/>
      <c r="AB25" s="900"/>
      <c r="AC25" s="555"/>
      <c r="AD25" s="555"/>
      <c r="AE25" s="555"/>
      <c r="AF25" s="918"/>
      <c r="AG25" s="900"/>
      <c r="AH25" s="555"/>
      <c r="AI25" s="555"/>
      <c r="AJ25" s="555"/>
      <c r="AK25" s="918"/>
      <c r="AL25" s="900"/>
      <c r="AM25" s="555"/>
      <c r="AN25" s="555"/>
      <c r="AO25" s="555"/>
      <c r="AP25" s="918"/>
      <c r="AQ25" s="900"/>
      <c r="AR25" s="555"/>
      <c r="AS25" s="555"/>
      <c r="AT25" s="555"/>
      <c r="AU25" s="802"/>
      <c r="AV25" s="561"/>
      <c r="AW25" s="561"/>
      <c r="AX25" s="561"/>
      <c r="AY25" s="557"/>
      <c r="AZ25" s="844"/>
      <c r="BA25" s="555"/>
      <c r="BB25" s="555"/>
      <c r="BC25" s="555"/>
      <c r="BD25" s="555"/>
      <c r="BE25" s="844"/>
      <c r="BF25" s="555"/>
      <c r="BG25" s="555"/>
      <c r="BH25" s="555"/>
      <c r="BI25" s="555"/>
      <c r="BJ25" s="802"/>
      <c r="BK25" s="555"/>
      <c r="BL25" s="555"/>
      <c r="BM25" s="555"/>
      <c r="BN25" s="555"/>
      <c r="BO25" s="802"/>
      <c r="BP25" s="555"/>
      <c r="BQ25" s="555"/>
      <c r="BR25" s="555"/>
      <c r="BS25" s="555"/>
      <c r="BT25" s="802"/>
      <c r="BU25" s="555"/>
      <c r="BV25" s="555"/>
      <c r="BW25" s="555"/>
      <c r="BX25" s="555"/>
      <c r="BY25" s="802"/>
      <c r="BZ25" s="555"/>
      <c r="CA25" s="555"/>
      <c r="CB25" s="555"/>
      <c r="CC25" s="555"/>
      <c r="CD25" s="802"/>
      <c r="CE25" s="555"/>
      <c r="CF25" s="555"/>
      <c r="CG25" s="555"/>
      <c r="CH25" s="555"/>
      <c r="CI25" s="802"/>
      <c r="CJ25" s="555"/>
      <c r="CK25" s="555"/>
      <c r="CL25" s="555"/>
      <c r="CM25" s="555"/>
      <c r="CN25" s="802"/>
      <c r="CO25" s="555"/>
      <c r="CP25" s="555"/>
      <c r="CQ25" s="555"/>
      <c r="CR25" s="555"/>
      <c r="CS25" s="802"/>
      <c r="CT25" s="555"/>
      <c r="CU25" s="555"/>
      <c r="CV25" s="555"/>
      <c r="CW25" s="555"/>
      <c r="CX25" s="802"/>
      <c r="CY25" s="555"/>
      <c r="CZ25" s="555"/>
      <c r="DA25" s="555"/>
      <c r="DB25" s="555"/>
      <c r="DC25" s="802"/>
      <c r="DD25" s="555"/>
      <c r="DE25" s="555"/>
      <c r="DF25" s="555"/>
      <c r="DG25" s="555"/>
      <c r="DH25" s="802"/>
      <c r="DI25" s="555"/>
      <c r="DJ25" s="555"/>
      <c r="DK25" s="555"/>
      <c r="DL25" s="555"/>
      <c r="DM25" s="802"/>
      <c r="DN25" s="555"/>
      <c r="DO25" s="555"/>
      <c r="DP25" s="555"/>
      <c r="DQ25" s="555"/>
      <c r="DR25" s="802"/>
      <c r="DS25" s="561"/>
      <c r="DT25" s="561"/>
      <c r="DU25" s="555"/>
      <c r="DV25" s="555"/>
      <c r="DW25" s="802"/>
      <c r="DX25" s="555"/>
      <c r="DY25" s="555"/>
      <c r="DZ25" s="555"/>
      <c r="EA25" s="555"/>
      <c r="EB25" s="802"/>
      <c r="EC25" s="555"/>
      <c r="ED25" s="555"/>
      <c r="EE25" s="555"/>
      <c r="EF25" s="555"/>
      <c r="EG25" s="802"/>
      <c r="EH25" s="555"/>
      <c r="EI25" s="555"/>
      <c r="EJ25" s="555"/>
      <c r="EK25" s="555"/>
      <c r="EL25" s="802"/>
      <c r="EM25" s="555"/>
      <c r="EN25"/>
      <c r="EO25"/>
      <c r="EP25"/>
      <c r="EQ25"/>
      <c r="ER25"/>
      <c r="ES25"/>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c r="HU25" s="141"/>
      <c r="HV25" s="141"/>
      <c r="HW25" s="141"/>
      <c r="HX25" s="141"/>
      <c r="HY25" s="141"/>
      <c r="HZ25" s="141"/>
      <c r="IA25" s="141"/>
      <c r="IB25" s="141"/>
      <c r="IC25" s="141"/>
      <c r="ID25" s="141"/>
      <c r="IE25" s="141"/>
      <c r="IF25" s="141"/>
      <c r="IG25" s="141"/>
      <c r="IH25" s="141"/>
      <c r="II25" s="141"/>
      <c r="IJ25" s="141"/>
      <c r="IK25" s="141"/>
      <c r="IL25" s="141"/>
      <c r="IM25" s="141"/>
      <c r="IN25" s="141"/>
      <c r="IO25" s="141"/>
      <c r="IP25" s="141"/>
      <c r="IQ25" s="141"/>
      <c r="IR25" s="141"/>
      <c r="IS25" s="141"/>
      <c r="IT25" s="141"/>
      <c r="IU25" s="141"/>
      <c r="IV25" s="141"/>
      <c r="IW25" s="141"/>
      <c r="IX25" s="141"/>
      <c r="IY25" s="141"/>
      <c r="IZ25" s="141"/>
      <c r="JA25" s="141"/>
      <c r="JB25" s="141"/>
      <c r="JC25" s="141"/>
      <c r="JD25" s="141"/>
      <c r="JE25" s="141"/>
      <c r="JF25" s="141"/>
      <c r="JG25" s="141"/>
      <c r="JH25" s="141"/>
    </row>
    <row r="26" spans="1:268" s="142" customFormat="1" ht="12" customHeight="1">
      <c r="A26" s="801"/>
      <c r="B26" s="557" t="s">
        <v>544</v>
      </c>
      <c r="C26" s="147"/>
      <c r="D26" s="147">
        <f>495.451+110.588</f>
        <v>606.03899999999999</v>
      </c>
      <c r="E26" s="147">
        <f>112.9+495.1</f>
        <v>608</v>
      </c>
      <c r="F26" s="147">
        <f>12.7+114</f>
        <v>126.7</v>
      </c>
      <c r="G26" s="150">
        <f>252+35</f>
        <v>287</v>
      </c>
      <c r="H26" s="900">
        <f t="shared" ref="H26:H33" si="55">G26</f>
        <v>287</v>
      </c>
      <c r="I26" s="147">
        <f>276.6+2.1</f>
        <v>278.70000000000005</v>
      </c>
      <c r="J26" s="147">
        <f>273.4+2.1</f>
        <v>275.5</v>
      </c>
      <c r="K26" s="147">
        <f>90.3+1.8</f>
        <v>92.1</v>
      </c>
      <c r="L26" s="150">
        <v>60</v>
      </c>
      <c r="M26" s="900">
        <f t="shared" ref="M26:M33" si="56">L26</f>
        <v>60</v>
      </c>
      <c r="N26" s="147">
        <f>40.4+18.1</f>
        <v>58.5</v>
      </c>
      <c r="O26" s="147">
        <f>41.6+2.8</f>
        <v>44.4</v>
      </c>
      <c r="P26" s="147">
        <v>50.6</v>
      </c>
      <c r="Q26" s="150">
        <v>28</v>
      </c>
      <c r="R26" s="900">
        <f t="shared" ref="R26:R33" si="57">Q26</f>
        <v>28</v>
      </c>
      <c r="S26" s="147">
        <v>22</v>
      </c>
      <c r="T26" s="147">
        <v>16</v>
      </c>
      <c r="U26" s="147">
        <v>13</v>
      </c>
      <c r="V26" s="150">
        <v>10</v>
      </c>
      <c r="W26" s="900">
        <f t="shared" ref="W26:W33" si="58">V26</f>
        <v>10</v>
      </c>
      <c r="X26" s="147">
        <v>11</v>
      </c>
      <c r="Y26" s="147">
        <v>10</v>
      </c>
      <c r="Z26" s="147">
        <v>35</v>
      </c>
      <c r="AA26" s="150">
        <v>45</v>
      </c>
      <c r="AB26" s="900">
        <f t="shared" ref="AB26:AB33" si="59">AA26</f>
        <v>45</v>
      </c>
      <c r="AC26" s="147">
        <v>44</v>
      </c>
      <c r="AD26" s="147">
        <v>36</v>
      </c>
      <c r="AE26" s="147">
        <v>11</v>
      </c>
      <c r="AF26" s="150">
        <v>9</v>
      </c>
      <c r="AG26" s="900">
        <f t="shared" ref="AG26:AG33" si="60">AF26</f>
        <v>9</v>
      </c>
      <c r="AH26" s="147">
        <v>10</v>
      </c>
      <c r="AI26" s="147">
        <v>9</v>
      </c>
      <c r="AJ26" s="147">
        <v>14</v>
      </c>
      <c r="AK26" s="150">
        <v>25</v>
      </c>
      <c r="AL26" s="900">
        <f t="shared" ref="AL26:AL33" si="61">AK26</f>
        <v>25</v>
      </c>
      <c r="AM26" s="147">
        <v>30</v>
      </c>
      <c r="AN26" s="147">
        <v>35</v>
      </c>
      <c r="AO26" s="147">
        <v>9</v>
      </c>
      <c r="AP26" s="150">
        <v>99</v>
      </c>
      <c r="AQ26" s="900">
        <f t="shared" ref="AQ26:AQ33" si="62">AP26</f>
        <v>99</v>
      </c>
      <c r="AR26" s="147">
        <v>44</v>
      </c>
      <c r="AS26" s="147">
        <v>31</v>
      </c>
      <c r="AT26" s="147">
        <v>41</v>
      </c>
      <c r="AU26" s="802"/>
      <c r="AV26" s="901"/>
      <c r="AW26" s="901"/>
      <c r="AX26" s="901"/>
      <c r="AY26" s="147">
        <v>47</v>
      </c>
      <c r="AZ26" s="902">
        <f t="shared" ref="AZ26:AZ33" si="63">AY26</f>
        <v>47</v>
      </c>
      <c r="BA26" s="147">
        <v>41</v>
      </c>
      <c r="BB26" s="147">
        <v>23</v>
      </c>
      <c r="BC26" s="147">
        <v>23</v>
      </c>
      <c r="BD26" s="147">
        <v>18</v>
      </c>
      <c r="BE26" s="902">
        <f t="shared" ref="BE26:BE33" si="64">BD26</f>
        <v>18</v>
      </c>
      <c r="BF26" s="147">
        <v>39</v>
      </c>
      <c r="BG26" s="147">
        <v>26</v>
      </c>
      <c r="BH26" s="147">
        <v>26</v>
      </c>
      <c r="BI26" s="147">
        <v>41</v>
      </c>
      <c r="BJ26" s="902">
        <f t="shared" ref="BJ26:BJ33" si="65">BI26</f>
        <v>41</v>
      </c>
      <c r="BK26" s="147">
        <v>19</v>
      </c>
      <c r="BL26" s="147">
        <v>20</v>
      </c>
      <c r="BM26" s="147">
        <v>20</v>
      </c>
      <c r="BN26" s="147">
        <v>19</v>
      </c>
      <c r="BO26" s="902">
        <f>+BN26</f>
        <v>19</v>
      </c>
      <c r="BP26" s="147">
        <v>19</v>
      </c>
      <c r="BQ26" s="147">
        <v>19</v>
      </c>
      <c r="BR26" s="147">
        <v>38</v>
      </c>
      <c r="BS26" s="147">
        <v>22</v>
      </c>
      <c r="BT26" s="902">
        <f>+BS26</f>
        <v>22</v>
      </c>
      <c r="BU26" s="147">
        <v>22</v>
      </c>
      <c r="BV26" s="147">
        <v>22</v>
      </c>
      <c r="BW26" s="147">
        <v>1</v>
      </c>
      <c r="BX26" s="147">
        <v>1</v>
      </c>
      <c r="BY26" s="902">
        <f>+BX26</f>
        <v>1</v>
      </c>
      <c r="BZ26" s="147">
        <v>2</v>
      </c>
      <c r="CA26" s="147">
        <v>2</v>
      </c>
      <c r="CB26" s="147">
        <v>2</v>
      </c>
      <c r="CC26" s="147">
        <v>2</v>
      </c>
      <c r="CD26" s="902">
        <f>+CC26</f>
        <v>2</v>
      </c>
      <c r="CE26" s="147">
        <v>2</v>
      </c>
      <c r="CF26" s="147">
        <v>2</v>
      </c>
      <c r="CG26" s="147">
        <v>2</v>
      </c>
      <c r="CH26" s="147">
        <v>2</v>
      </c>
      <c r="CI26" s="902">
        <f>+CH26</f>
        <v>2</v>
      </c>
      <c r="CJ26" s="147">
        <v>2</v>
      </c>
      <c r="CK26" s="147">
        <v>2</v>
      </c>
      <c r="CL26" s="147">
        <v>2</v>
      </c>
      <c r="CM26" s="147">
        <v>67</v>
      </c>
      <c r="CN26" s="902">
        <f>+CM26</f>
        <v>67</v>
      </c>
      <c r="CO26" s="147">
        <v>68</v>
      </c>
      <c r="CP26" s="147">
        <v>128</v>
      </c>
      <c r="CQ26" s="147">
        <v>129</v>
      </c>
      <c r="CR26" s="147">
        <v>66</v>
      </c>
      <c r="CS26" s="902">
        <f>+CR26</f>
        <v>66</v>
      </c>
      <c r="CT26" s="147">
        <v>288</v>
      </c>
      <c r="CU26" s="147">
        <v>237</v>
      </c>
      <c r="CV26" s="147">
        <v>243</v>
      </c>
      <c r="CW26" s="147">
        <v>94</v>
      </c>
      <c r="CX26" s="902">
        <f>+CW26</f>
        <v>94</v>
      </c>
      <c r="CY26" s="147">
        <v>52</v>
      </c>
      <c r="CZ26" s="147">
        <v>71</v>
      </c>
      <c r="DA26" s="147">
        <v>133</v>
      </c>
      <c r="DB26" s="147">
        <v>149</v>
      </c>
      <c r="DC26" s="902">
        <f>+DB26</f>
        <v>149</v>
      </c>
      <c r="DD26" s="147">
        <v>622</v>
      </c>
      <c r="DE26" s="147">
        <v>622</v>
      </c>
      <c r="DF26" s="147">
        <v>98</v>
      </c>
      <c r="DG26" s="147">
        <v>112</v>
      </c>
      <c r="DH26" s="902">
        <f>+DG26</f>
        <v>112</v>
      </c>
      <c r="DI26" s="147">
        <v>110</v>
      </c>
      <c r="DJ26" s="147">
        <v>117</v>
      </c>
      <c r="DK26" s="147">
        <v>112</v>
      </c>
      <c r="DL26" s="147">
        <v>127</v>
      </c>
      <c r="DM26" s="902">
        <f>+DL26</f>
        <v>127</v>
      </c>
      <c r="DN26" s="147">
        <v>172</v>
      </c>
      <c r="DO26" s="147">
        <v>181</v>
      </c>
      <c r="DP26" s="147">
        <v>184</v>
      </c>
      <c r="DQ26" s="147">
        <v>191</v>
      </c>
      <c r="DR26" s="902">
        <f>+DQ26</f>
        <v>191</v>
      </c>
      <c r="DS26" s="147">
        <v>147</v>
      </c>
      <c r="DT26" s="147">
        <v>143</v>
      </c>
      <c r="DU26" s="147">
        <v>140</v>
      </c>
      <c r="DV26" s="147">
        <v>146</v>
      </c>
      <c r="DW26" s="902">
        <f>+DV26</f>
        <v>146</v>
      </c>
      <c r="DX26" s="903">
        <f>Debt!DX22</f>
        <v>0</v>
      </c>
      <c r="DY26" s="903">
        <f>Debt!DY22</f>
        <v>0</v>
      </c>
      <c r="DZ26" s="903">
        <f>Debt!DZ22</f>
        <v>0</v>
      </c>
      <c r="EA26" s="903">
        <f>Debt!EA22</f>
        <v>0</v>
      </c>
      <c r="EB26" s="902">
        <f>+EA26</f>
        <v>0</v>
      </c>
      <c r="EC26" s="903">
        <f>Debt!EC22</f>
        <v>0</v>
      </c>
      <c r="ED26" s="903">
        <f>Debt!ED22</f>
        <v>0</v>
      </c>
      <c r="EE26" s="903">
        <f>Debt!EE22</f>
        <v>0</v>
      </c>
      <c r="EF26" s="903">
        <f>Debt!EF22</f>
        <v>0</v>
      </c>
      <c r="EG26" s="902">
        <f>+EF26</f>
        <v>0</v>
      </c>
      <c r="EH26" s="903">
        <f>Debt!EH22</f>
        <v>0</v>
      </c>
      <c r="EI26" s="903">
        <f>Debt!EI22</f>
        <v>0</v>
      </c>
      <c r="EJ26" s="903">
        <f>Debt!EJ22</f>
        <v>0</v>
      </c>
      <c r="EK26" s="903">
        <f>Debt!EK22</f>
        <v>0</v>
      </c>
      <c r="EL26" s="902">
        <f>+EK26</f>
        <v>0</v>
      </c>
      <c r="EM26" s="901"/>
      <c r="EN26"/>
      <c r="EO26"/>
      <c r="EP26"/>
      <c r="EQ26"/>
      <c r="ER26"/>
      <c r="ES26"/>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c r="HU26" s="141"/>
      <c r="HV26" s="141"/>
      <c r="HW26" s="141"/>
      <c r="HX26" s="141"/>
      <c r="HY26" s="141"/>
      <c r="HZ26" s="141"/>
      <c r="IA26" s="141"/>
      <c r="IB26" s="141"/>
      <c r="IC26" s="141"/>
      <c r="ID26" s="141"/>
      <c r="IE26" s="141"/>
      <c r="IF26" s="141"/>
      <c r="IG26" s="141"/>
      <c r="IH26" s="141"/>
      <c r="II26" s="141"/>
      <c r="IJ26" s="141"/>
      <c r="IK26" s="141"/>
      <c r="IL26" s="141"/>
      <c r="IM26" s="141"/>
      <c r="IN26" s="141"/>
      <c r="IO26" s="141"/>
      <c r="IP26" s="141"/>
      <c r="IQ26" s="141"/>
      <c r="IR26" s="141"/>
      <c r="IS26" s="141"/>
      <c r="IT26" s="141"/>
      <c r="IU26" s="141"/>
      <c r="IV26" s="141"/>
      <c r="IW26" s="141"/>
      <c r="IX26" s="141"/>
      <c r="IY26" s="141"/>
      <c r="IZ26" s="141"/>
      <c r="JA26" s="141"/>
      <c r="JB26" s="141"/>
      <c r="JC26" s="141"/>
      <c r="JD26" s="141"/>
      <c r="JE26" s="141"/>
      <c r="JF26" s="141"/>
      <c r="JG26" s="141"/>
      <c r="JH26" s="141"/>
    </row>
    <row r="27" spans="1:268" s="142" customFormat="1" ht="12" customHeight="1">
      <c r="A27" s="801"/>
      <c r="B27" s="557" t="s">
        <v>545</v>
      </c>
      <c r="C27" s="147"/>
      <c r="D27" s="147">
        <v>144.31800000000001</v>
      </c>
      <c r="E27" s="147">
        <v>139</v>
      </c>
      <c r="F27" s="147">
        <v>129.5</v>
      </c>
      <c r="G27" s="150">
        <v>359</v>
      </c>
      <c r="H27" s="900">
        <f t="shared" si="55"/>
        <v>359</v>
      </c>
      <c r="I27" s="147">
        <v>258.2</v>
      </c>
      <c r="J27" s="147">
        <v>268.10000000000002</v>
      </c>
      <c r="K27" s="147">
        <v>287.10000000000002</v>
      </c>
      <c r="L27" s="150">
        <v>380</v>
      </c>
      <c r="M27" s="900">
        <f t="shared" si="56"/>
        <v>380</v>
      </c>
      <c r="N27" s="147">
        <v>320.5</v>
      </c>
      <c r="O27" s="147">
        <v>266.7</v>
      </c>
      <c r="P27" s="147">
        <v>416.8</v>
      </c>
      <c r="Q27" s="150">
        <v>540</v>
      </c>
      <c r="R27" s="900">
        <f t="shared" si="57"/>
        <v>540</v>
      </c>
      <c r="S27" s="147">
        <v>514</v>
      </c>
      <c r="T27" s="147">
        <v>476</v>
      </c>
      <c r="U27" s="147">
        <v>536</v>
      </c>
      <c r="V27" s="150">
        <v>657</v>
      </c>
      <c r="W27" s="900">
        <f t="shared" si="58"/>
        <v>657</v>
      </c>
      <c r="X27" s="147">
        <v>525</v>
      </c>
      <c r="Y27" s="147">
        <v>554</v>
      </c>
      <c r="Z27" s="147">
        <v>642</v>
      </c>
      <c r="AA27" s="150">
        <v>713</v>
      </c>
      <c r="AB27" s="900">
        <f t="shared" si="59"/>
        <v>713</v>
      </c>
      <c r="AC27" s="147">
        <v>600</v>
      </c>
      <c r="AD27" s="147">
        <v>605</v>
      </c>
      <c r="AE27" s="147">
        <v>608</v>
      </c>
      <c r="AF27" s="150">
        <v>671</v>
      </c>
      <c r="AG27" s="900">
        <f t="shared" si="60"/>
        <v>671</v>
      </c>
      <c r="AH27" s="147">
        <v>601</v>
      </c>
      <c r="AI27" s="147">
        <v>696</v>
      </c>
      <c r="AJ27" s="147">
        <v>684</v>
      </c>
      <c r="AK27" s="150">
        <v>775</v>
      </c>
      <c r="AL27" s="900">
        <f t="shared" si="61"/>
        <v>775</v>
      </c>
      <c r="AM27" s="147">
        <v>801</v>
      </c>
      <c r="AN27" s="147">
        <v>803</v>
      </c>
      <c r="AO27" s="147">
        <v>818</v>
      </c>
      <c r="AP27" s="150">
        <v>968</v>
      </c>
      <c r="AQ27" s="900">
        <f t="shared" si="62"/>
        <v>968</v>
      </c>
      <c r="AR27" s="147">
        <v>955</v>
      </c>
      <c r="AS27" s="147">
        <v>858</v>
      </c>
      <c r="AT27" s="147">
        <v>966</v>
      </c>
      <c r="AU27" s="802"/>
      <c r="AV27" s="901"/>
      <c r="AW27" s="901"/>
      <c r="AX27" s="901"/>
      <c r="AY27" s="147">
        <v>898</v>
      </c>
      <c r="AZ27" s="902">
        <f t="shared" si="63"/>
        <v>898</v>
      </c>
      <c r="BA27" s="147">
        <v>928</v>
      </c>
      <c r="BB27" s="147">
        <v>911</v>
      </c>
      <c r="BC27" s="147">
        <v>870</v>
      </c>
      <c r="BD27" s="147">
        <v>987</v>
      </c>
      <c r="BE27" s="902">
        <f t="shared" si="64"/>
        <v>987</v>
      </c>
      <c r="BF27" s="147">
        <v>889</v>
      </c>
      <c r="BG27" s="147">
        <v>853</v>
      </c>
      <c r="BH27" s="147">
        <v>839</v>
      </c>
      <c r="BI27" s="147">
        <v>937</v>
      </c>
      <c r="BJ27" s="902">
        <f t="shared" si="65"/>
        <v>937</v>
      </c>
      <c r="BK27" s="147">
        <v>774</v>
      </c>
      <c r="BL27" s="147">
        <v>744</v>
      </c>
      <c r="BM27" s="147">
        <v>806</v>
      </c>
      <c r="BN27" s="147">
        <v>857</v>
      </c>
      <c r="BO27" s="902">
        <f t="shared" ref="BO27:BO33" si="66">BN27</f>
        <v>857</v>
      </c>
      <c r="BP27" s="147">
        <v>776</v>
      </c>
      <c r="BQ27" s="147">
        <v>761</v>
      </c>
      <c r="BR27" s="147">
        <v>749</v>
      </c>
      <c r="BS27" s="147">
        <v>775</v>
      </c>
      <c r="BT27" s="902">
        <f t="shared" ref="BT27:BT33" si="67">BS27</f>
        <v>775</v>
      </c>
      <c r="BU27" s="147">
        <v>664</v>
      </c>
      <c r="BV27" s="147">
        <v>642</v>
      </c>
      <c r="BW27" s="147">
        <v>637</v>
      </c>
      <c r="BX27" s="147">
        <v>780</v>
      </c>
      <c r="BY27" s="902">
        <f t="shared" ref="BY27:BY33" si="68">BX27</f>
        <v>780</v>
      </c>
      <c r="BZ27" s="147">
        <v>633</v>
      </c>
      <c r="CA27" s="147">
        <v>643</v>
      </c>
      <c r="CB27" s="147">
        <v>632</v>
      </c>
      <c r="CC27" s="147">
        <v>686</v>
      </c>
      <c r="CD27" s="902">
        <f t="shared" ref="CD27:CD33" si="69">CC27</f>
        <v>686</v>
      </c>
      <c r="CE27" s="147">
        <v>650</v>
      </c>
      <c r="CF27" s="147">
        <v>618</v>
      </c>
      <c r="CG27" s="147">
        <v>638</v>
      </c>
      <c r="CH27" s="147">
        <v>739</v>
      </c>
      <c r="CI27" s="902">
        <f t="shared" ref="CI27:CI33" si="70">CH27</f>
        <v>739</v>
      </c>
      <c r="CJ27" s="147">
        <v>615</v>
      </c>
      <c r="CK27" s="147">
        <v>615</v>
      </c>
      <c r="CL27" s="147">
        <v>601</v>
      </c>
      <c r="CM27" s="147">
        <v>720</v>
      </c>
      <c r="CN27" s="902">
        <f t="shared" ref="CN27:CN33" si="71">CM27</f>
        <v>720</v>
      </c>
      <c r="CO27" s="147">
        <v>638</v>
      </c>
      <c r="CP27" s="147">
        <v>614</v>
      </c>
      <c r="CQ27" s="147">
        <v>629</v>
      </c>
      <c r="CR27" s="147">
        <v>760</v>
      </c>
      <c r="CS27" s="902">
        <f t="shared" ref="CS27:CS33" si="72">CR27</f>
        <v>760</v>
      </c>
      <c r="CT27" s="147">
        <v>640</v>
      </c>
      <c r="CU27" s="147">
        <v>644</v>
      </c>
      <c r="CV27" s="147">
        <v>629</v>
      </c>
      <c r="CW27" s="147">
        <v>722</v>
      </c>
      <c r="CX27" s="902">
        <f t="shared" ref="CX27:CX33" si="73">CW27</f>
        <v>722</v>
      </c>
      <c r="CY27" s="147">
        <v>625</v>
      </c>
      <c r="CZ27" s="147">
        <v>587</v>
      </c>
      <c r="DA27" s="147">
        <v>618</v>
      </c>
      <c r="DB27" s="147">
        <v>1075</v>
      </c>
      <c r="DC27" s="902">
        <f t="shared" ref="DC27:DC33" si="74">DB27</f>
        <v>1075</v>
      </c>
      <c r="DD27" s="147">
        <v>1019</v>
      </c>
      <c r="DE27" s="147">
        <v>1015</v>
      </c>
      <c r="DF27" s="147">
        <v>1068</v>
      </c>
      <c r="DG27" s="147">
        <v>1179</v>
      </c>
      <c r="DH27" s="902">
        <f t="shared" ref="DH27:DH33" si="75">DG27</f>
        <v>1179</v>
      </c>
      <c r="DI27" s="147">
        <v>1098</v>
      </c>
      <c r="DJ27" s="147">
        <v>1149</v>
      </c>
      <c r="DK27" s="147">
        <v>1206</v>
      </c>
      <c r="DL27" s="147">
        <v>1380</v>
      </c>
      <c r="DM27" s="902">
        <f t="shared" ref="DM27:DM33" si="76">DL27</f>
        <v>1380</v>
      </c>
      <c r="DN27" s="147">
        <v>1228</v>
      </c>
      <c r="DO27" s="147">
        <v>1272</v>
      </c>
      <c r="DP27" s="147">
        <v>1228</v>
      </c>
      <c r="DQ27" s="147">
        <v>1329</v>
      </c>
      <c r="DR27" s="902">
        <f t="shared" ref="DR27:DR33" si="77">DQ27</f>
        <v>1329</v>
      </c>
      <c r="DS27" s="147">
        <v>1179</v>
      </c>
      <c r="DT27" s="147">
        <v>1086</v>
      </c>
      <c r="DU27" s="147">
        <v>1100</v>
      </c>
      <c r="DV27" s="147">
        <v>1175</v>
      </c>
      <c r="DW27" s="902">
        <f t="shared" ref="DW27:DW33" si="78">DV27</f>
        <v>1175</v>
      </c>
      <c r="DX27" s="903">
        <f>DX98*(IS!DX17+IS!DX18)/IS!DX6</f>
        <v>1136.3212212344283</v>
      </c>
      <c r="DY27" s="903">
        <f>DY98*(IS!DY17+IS!DY18)/IS!DY6</f>
        <v>1080.3526140562435</v>
      </c>
      <c r="DZ27" s="903">
        <f>DZ98*(IS!DZ17+IS!DZ18)/IS!DZ6</f>
        <v>1018.1019936090677</v>
      </c>
      <c r="EA27" s="903">
        <f>EA98*(IS!EA17+IS!EA18)/IS!EA6</f>
        <v>1093.5355320701533</v>
      </c>
      <c r="EB27" s="902">
        <f t="shared" ref="EB27:EB33" si="79">EA27</f>
        <v>1093.5355320701533</v>
      </c>
      <c r="EC27" s="903">
        <f>EC98*(IS!EC17+IS!EC18)/IS!EC6</f>
        <v>963.07896975001734</v>
      </c>
      <c r="ED27" s="903">
        <f>ED98*(IS!ED17+IS!ED18)/IS!ED6</f>
        <v>963.9365291584536</v>
      </c>
      <c r="EE27" s="903">
        <f>EE98*(IS!EE17+IS!EE18)/IS!EE6</f>
        <v>931.14900850541096</v>
      </c>
      <c r="EF27" s="903">
        <f>EF98*(IS!EF17+IS!EF18)/IS!EF6</f>
        <v>1005.6968393122487</v>
      </c>
      <c r="EG27" s="902">
        <f t="shared" ref="EG27:EK33" si="80">EF27</f>
        <v>1005.6968393122487</v>
      </c>
      <c r="EH27" s="903">
        <f>EH98*(IS!EH17+IS!EH18)/IS!EH6</f>
        <v>988.58615092115292</v>
      </c>
      <c r="EI27" s="903">
        <f>EI98*(IS!EI17+IS!EI18)/IS!EI6</f>
        <v>1002.6345651220341</v>
      </c>
      <c r="EJ27" s="903">
        <f>EJ98*(IS!EJ17+IS!EJ18)/IS!EJ6</f>
        <v>965.13574282260993</v>
      </c>
      <c r="EK27" s="903">
        <f>EK98*(IS!EK17+IS!EK18)/IS!EK6</f>
        <v>1045.1187930471315</v>
      </c>
      <c r="EL27" s="902">
        <f t="shared" ref="EL27:EL33" si="81">EK27</f>
        <v>1045.1187930471315</v>
      </c>
      <c r="EM27" s="901"/>
      <c r="EN27"/>
      <c r="EO27"/>
      <c r="EP27"/>
      <c r="EQ27"/>
      <c r="ER27"/>
      <c r="ES27"/>
      <c r="ET27" s="141"/>
      <c r="EU27" s="141"/>
      <c r="EV27" s="141"/>
      <c r="EW27" s="141"/>
      <c r="EX27" s="141"/>
      <c r="EY27" s="141"/>
      <c r="EZ27" s="141"/>
      <c r="FA27" s="141"/>
      <c r="FB27" s="141"/>
      <c r="FC27" s="141"/>
      <c r="FD27" s="141"/>
      <c r="FE27" s="141"/>
      <c r="FF27" s="141"/>
      <c r="FG27" s="141"/>
      <c r="FH27" s="141"/>
      <c r="FI27" s="141"/>
      <c r="FJ27" s="141"/>
      <c r="FK27" s="141"/>
      <c r="FL27" s="141"/>
      <c r="FM27" s="141"/>
      <c r="FN27" s="141"/>
      <c r="FO27" s="141"/>
      <c r="FP27" s="141"/>
      <c r="FQ27" s="141"/>
      <c r="FR27" s="141"/>
      <c r="FS27" s="141"/>
      <c r="FT27" s="141"/>
      <c r="FU27" s="141"/>
      <c r="FV27" s="141"/>
      <c r="FW27" s="141"/>
      <c r="FX27" s="141"/>
      <c r="FY27" s="141"/>
      <c r="FZ27" s="141"/>
      <c r="GA27" s="141"/>
      <c r="GB27" s="141"/>
      <c r="GC27" s="141"/>
      <c r="GD27" s="141"/>
      <c r="GE27" s="141"/>
      <c r="GF27" s="141"/>
      <c r="GG27" s="141"/>
      <c r="GH27" s="141"/>
      <c r="GI27" s="141"/>
      <c r="GJ27" s="141"/>
      <c r="GK27" s="141"/>
      <c r="GL27" s="141"/>
      <c r="GM27" s="141"/>
      <c r="GN27" s="141"/>
      <c r="GO27" s="141"/>
      <c r="GP27" s="141"/>
      <c r="GQ27" s="141"/>
      <c r="GR27" s="141"/>
      <c r="GS27" s="141"/>
      <c r="GT27" s="141"/>
      <c r="GU27" s="141"/>
      <c r="GV27" s="141"/>
      <c r="GW27" s="141"/>
      <c r="GX27" s="141"/>
      <c r="GY27" s="141"/>
      <c r="GZ27" s="141"/>
      <c r="HA27" s="141"/>
      <c r="HB27" s="141"/>
      <c r="HC27" s="141"/>
      <c r="HD27" s="141"/>
      <c r="HE27" s="141"/>
      <c r="HF27" s="141"/>
      <c r="HG27" s="141"/>
      <c r="HH27" s="141"/>
      <c r="HI27" s="141"/>
      <c r="HJ27" s="141"/>
      <c r="HK27" s="141"/>
      <c r="HL27" s="141"/>
      <c r="HM27" s="141"/>
      <c r="HN27" s="141"/>
      <c r="HO27" s="141"/>
      <c r="HP27" s="141"/>
      <c r="HQ27" s="141"/>
      <c r="HR27" s="141"/>
      <c r="HS27" s="141"/>
      <c r="HT27" s="141"/>
      <c r="HU27" s="141"/>
      <c r="HV27" s="141"/>
      <c r="HW27" s="141"/>
      <c r="HX27" s="141"/>
      <c r="HY27" s="141"/>
      <c r="HZ27" s="141"/>
      <c r="IA27" s="141"/>
      <c r="IB27" s="141"/>
      <c r="IC27" s="141"/>
      <c r="ID27" s="141"/>
      <c r="IE27" s="141"/>
      <c r="IF27" s="141"/>
      <c r="IG27" s="141"/>
      <c r="IH27" s="141"/>
      <c r="II27" s="141"/>
      <c r="IJ27" s="141"/>
      <c r="IK27" s="141"/>
      <c r="IL27" s="141"/>
      <c r="IM27" s="141"/>
      <c r="IN27" s="141"/>
      <c r="IO27" s="141"/>
      <c r="IP27" s="141"/>
      <c r="IQ27" s="141"/>
      <c r="IR27" s="141"/>
      <c r="IS27" s="141"/>
      <c r="IT27" s="141"/>
      <c r="IU27" s="141"/>
      <c r="IV27" s="141"/>
      <c r="IW27" s="141"/>
      <c r="IX27" s="141"/>
      <c r="IY27" s="141"/>
      <c r="IZ27" s="141"/>
      <c r="JA27" s="141"/>
      <c r="JB27" s="141"/>
      <c r="JC27" s="141"/>
      <c r="JD27" s="141"/>
      <c r="JE27" s="141"/>
      <c r="JF27" s="141"/>
      <c r="JG27" s="141"/>
      <c r="JH27" s="141"/>
    </row>
    <row r="28" spans="1:268" s="142" customFormat="1" ht="12" customHeight="1">
      <c r="A28" s="801"/>
      <c r="B28" s="557" t="s">
        <v>546</v>
      </c>
      <c r="C28" s="898"/>
      <c r="D28" s="898">
        <v>72.344999999999999</v>
      </c>
      <c r="E28" s="898">
        <v>82.5</v>
      </c>
      <c r="F28" s="898">
        <v>78</v>
      </c>
      <c r="G28" s="899">
        <v>162</v>
      </c>
      <c r="H28" s="900">
        <f t="shared" si="55"/>
        <v>162</v>
      </c>
      <c r="I28" s="898">
        <v>161.19999999999999</v>
      </c>
      <c r="J28" s="898">
        <v>160.80000000000001</v>
      </c>
      <c r="K28" s="898">
        <v>155.30000000000001</v>
      </c>
      <c r="L28" s="899">
        <v>120</v>
      </c>
      <c r="M28" s="900">
        <f t="shared" si="56"/>
        <v>120</v>
      </c>
      <c r="N28" s="898">
        <v>137.80000000000001</v>
      </c>
      <c r="O28" s="898">
        <v>136.19999999999999</v>
      </c>
      <c r="P28" s="898">
        <v>229.3</v>
      </c>
      <c r="Q28" s="899">
        <v>309</v>
      </c>
      <c r="R28" s="900">
        <f t="shared" si="57"/>
        <v>309</v>
      </c>
      <c r="S28" s="898">
        <v>319</v>
      </c>
      <c r="T28" s="898">
        <v>329</v>
      </c>
      <c r="U28" s="898">
        <v>358</v>
      </c>
      <c r="V28" s="899">
        <v>355</v>
      </c>
      <c r="W28" s="900">
        <f t="shared" si="58"/>
        <v>355</v>
      </c>
      <c r="X28" s="898">
        <v>313</v>
      </c>
      <c r="Y28" s="898">
        <v>344</v>
      </c>
      <c r="Z28" s="898">
        <v>377</v>
      </c>
      <c r="AA28" s="899">
        <v>390</v>
      </c>
      <c r="AB28" s="900">
        <f t="shared" si="59"/>
        <v>390</v>
      </c>
      <c r="AC28" s="898">
        <v>341</v>
      </c>
      <c r="AD28" s="898">
        <v>327</v>
      </c>
      <c r="AE28" s="898">
        <v>383</v>
      </c>
      <c r="AF28" s="899">
        <v>383</v>
      </c>
      <c r="AG28" s="900">
        <f t="shared" si="60"/>
        <v>383</v>
      </c>
      <c r="AH28" s="898">
        <v>350</v>
      </c>
      <c r="AI28" s="898">
        <v>363</v>
      </c>
      <c r="AJ28" s="898">
        <v>445</v>
      </c>
      <c r="AK28" s="899">
        <v>476</v>
      </c>
      <c r="AL28" s="900">
        <f t="shared" si="61"/>
        <v>476</v>
      </c>
      <c r="AM28" s="898">
        <v>409</v>
      </c>
      <c r="AN28" s="898">
        <v>461</v>
      </c>
      <c r="AO28" s="898">
        <v>591</v>
      </c>
      <c r="AP28" s="899">
        <v>591</v>
      </c>
      <c r="AQ28" s="900">
        <f t="shared" si="62"/>
        <v>591</v>
      </c>
      <c r="AR28" s="898">
        <v>542</v>
      </c>
      <c r="AS28" s="898">
        <v>573</v>
      </c>
      <c r="AT28" s="898">
        <v>561</v>
      </c>
      <c r="AU28" s="802"/>
      <c r="AV28" s="901"/>
      <c r="AW28" s="901"/>
      <c r="AX28" s="901"/>
      <c r="AY28" s="898">
        <v>555</v>
      </c>
      <c r="AZ28" s="902">
        <f t="shared" si="63"/>
        <v>555</v>
      </c>
      <c r="BA28" s="898">
        <v>588</v>
      </c>
      <c r="BB28" s="898">
        <v>565</v>
      </c>
      <c r="BC28" s="898">
        <v>480</v>
      </c>
      <c r="BD28" s="898">
        <v>464</v>
      </c>
      <c r="BE28" s="902">
        <f t="shared" si="64"/>
        <v>464</v>
      </c>
      <c r="BF28" s="898">
        <v>488</v>
      </c>
      <c r="BG28" s="898">
        <v>480</v>
      </c>
      <c r="BH28" s="898">
        <v>448</v>
      </c>
      <c r="BI28" s="898">
        <v>390</v>
      </c>
      <c r="BJ28" s="902">
        <f t="shared" si="65"/>
        <v>390</v>
      </c>
      <c r="BK28" s="898">
        <v>347</v>
      </c>
      <c r="BL28" s="898">
        <v>412</v>
      </c>
      <c r="BM28" s="898">
        <v>391</v>
      </c>
      <c r="BN28" s="898">
        <v>441</v>
      </c>
      <c r="BO28" s="902">
        <f t="shared" si="66"/>
        <v>441</v>
      </c>
      <c r="BP28" s="898">
        <v>329</v>
      </c>
      <c r="BQ28" s="898">
        <v>335</v>
      </c>
      <c r="BR28" s="898">
        <v>356</v>
      </c>
      <c r="BS28" s="898">
        <v>390</v>
      </c>
      <c r="BT28" s="902">
        <f t="shared" si="67"/>
        <v>390</v>
      </c>
      <c r="BU28" s="898">
        <v>324</v>
      </c>
      <c r="BV28" s="898">
        <v>333</v>
      </c>
      <c r="BW28" s="898">
        <v>362</v>
      </c>
      <c r="BX28" s="898">
        <v>393</v>
      </c>
      <c r="BY28" s="902">
        <f t="shared" si="68"/>
        <v>393</v>
      </c>
      <c r="BZ28" s="898">
        <v>328</v>
      </c>
      <c r="CA28" s="898">
        <v>338</v>
      </c>
      <c r="CB28" s="898">
        <v>391</v>
      </c>
      <c r="CC28" s="898">
        <v>414</v>
      </c>
      <c r="CD28" s="902">
        <f t="shared" si="69"/>
        <v>414</v>
      </c>
      <c r="CE28" s="898">
        <v>328</v>
      </c>
      <c r="CF28" s="898">
        <v>330</v>
      </c>
      <c r="CG28" s="898">
        <v>380</v>
      </c>
      <c r="CH28" s="898">
        <v>370</v>
      </c>
      <c r="CI28" s="902">
        <f t="shared" si="70"/>
        <v>370</v>
      </c>
      <c r="CJ28" s="898">
        <v>347</v>
      </c>
      <c r="CK28" s="898">
        <v>343</v>
      </c>
      <c r="CL28" s="898">
        <v>385</v>
      </c>
      <c r="CM28" s="898">
        <v>363</v>
      </c>
      <c r="CN28" s="902">
        <f t="shared" si="71"/>
        <v>363</v>
      </c>
      <c r="CO28" s="898">
        <v>368</v>
      </c>
      <c r="CP28" s="898">
        <v>357</v>
      </c>
      <c r="CQ28" s="898">
        <v>349</v>
      </c>
      <c r="CR28" s="898">
        <v>376</v>
      </c>
      <c r="CS28" s="902">
        <f t="shared" si="72"/>
        <v>376</v>
      </c>
      <c r="CT28" s="898">
        <v>338</v>
      </c>
      <c r="CU28" s="898">
        <v>363</v>
      </c>
      <c r="CV28" s="898">
        <v>379</v>
      </c>
      <c r="CW28" s="898">
        <v>415</v>
      </c>
      <c r="CX28" s="902">
        <f t="shared" si="73"/>
        <v>415</v>
      </c>
      <c r="CY28" s="898">
        <v>373</v>
      </c>
      <c r="CZ28" s="898">
        <v>402</v>
      </c>
      <c r="DA28" s="898">
        <v>383</v>
      </c>
      <c r="DB28" s="898">
        <v>631</v>
      </c>
      <c r="DC28" s="902">
        <f t="shared" si="74"/>
        <v>631</v>
      </c>
      <c r="DD28" s="898">
        <v>595</v>
      </c>
      <c r="DE28" s="898">
        <v>669</v>
      </c>
      <c r="DF28" s="898">
        <v>735</v>
      </c>
      <c r="DG28" s="898">
        <v>852</v>
      </c>
      <c r="DH28" s="902">
        <f t="shared" si="75"/>
        <v>852</v>
      </c>
      <c r="DI28" s="898">
        <v>671</v>
      </c>
      <c r="DJ28" s="898">
        <v>770</v>
      </c>
      <c r="DK28" s="898">
        <v>821</v>
      </c>
      <c r="DL28" s="898">
        <v>880</v>
      </c>
      <c r="DM28" s="902">
        <f t="shared" si="76"/>
        <v>880</v>
      </c>
      <c r="DN28" s="898">
        <v>772</v>
      </c>
      <c r="DO28" s="898">
        <v>843</v>
      </c>
      <c r="DP28" s="898">
        <v>809</v>
      </c>
      <c r="DQ28" s="898">
        <v>872</v>
      </c>
      <c r="DR28" s="902">
        <f t="shared" si="77"/>
        <v>872</v>
      </c>
      <c r="DS28" s="898">
        <v>739</v>
      </c>
      <c r="DT28" s="898">
        <v>749</v>
      </c>
      <c r="DU28" s="898">
        <v>800</v>
      </c>
      <c r="DV28" s="898">
        <v>848</v>
      </c>
      <c r="DW28" s="902">
        <f t="shared" si="78"/>
        <v>848</v>
      </c>
      <c r="DX28" s="843">
        <f>+DW28</f>
        <v>848</v>
      </c>
      <c r="DY28" s="843">
        <f>+DX28</f>
        <v>848</v>
      </c>
      <c r="DZ28" s="843">
        <f>+DY28</f>
        <v>848</v>
      </c>
      <c r="EA28" s="843">
        <f>+DZ28</f>
        <v>848</v>
      </c>
      <c r="EB28" s="902">
        <f t="shared" si="79"/>
        <v>848</v>
      </c>
      <c r="EC28" s="843">
        <f>+EB28</f>
        <v>848</v>
      </c>
      <c r="ED28" s="843">
        <f>+EC28</f>
        <v>848</v>
      </c>
      <c r="EE28" s="843">
        <f>+ED28</f>
        <v>848</v>
      </c>
      <c r="EF28" s="843">
        <f>+EE28</f>
        <v>848</v>
      </c>
      <c r="EG28" s="902">
        <f t="shared" si="80"/>
        <v>848</v>
      </c>
      <c r="EH28" s="843">
        <f>+EG28</f>
        <v>848</v>
      </c>
      <c r="EI28" s="843">
        <f>+EH28</f>
        <v>848</v>
      </c>
      <c r="EJ28" s="843">
        <f>+EI28</f>
        <v>848</v>
      </c>
      <c r="EK28" s="843">
        <f>+EJ28</f>
        <v>848</v>
      </c>
      <c r="EL28" s="902">
        <f t="shared" si="81"/>
        <v>848</v>
      </c>
      <c r="EM28" s="901"/>
      <c r="EN28"/>
      <c r="EO28"/>
      <c r="EP28"/>
      <c r="EQ28"/>
      <c r="ER28"/>
      <c r="ES28"/>
      <c r="ET28" s="141"/>
      <c r="EU28" s="141"/>
      <c r="EV28" s="141"/>
      <c r="EW28" s="141"/>
      <c r="EX28" s="141"/>
      <c r="EY28" s="141"/>
      <c r="EZ28" s="141"/>
      <c r="FA28" s="141"/>
      <c r="FB28" s="141"/>
      <c r="FC28" s="141"/>
      <c r="FD28" s="141"/>
      <c r="FE28" s="141"/>
      <c r="FF28" s="141"/>
      <c r="FG28" s="141"/>
      <c r="FH28" s="141"/>
      <c r="FI28" s="141"/>
      <c r="FJ28" s="141"/>
      <c r="FK28" s="141"/>
      <c r="FL28" s="141"/>
      <c r="FM28" s="141"/>
      <c r="FN28" s="141"/>
      <c r="FO28" s="141"/>
      <c r="FP28" s="141"/>
      <c r="FQ28" s="141"/>
      <c r="FR28" s="141"/>
      <c r="FS28" s="141"/>
      <c r="FT28" s="141"/>
      <c r="FU28" s="141"/>
      <c r="FV28" s="141"/>
      <c r="FW28" s="141"/>
      <c r="FX28" s="141"/>
      <c r="FY28" s="141"/>
      <c r="FZ28" s="141"/>
      <c r="GA28" s="141"/>
      <c r="GB28" s="141"/>
      <c r="GC28" s="141"/>
      <c r="GD28" s="141"/>
      <c r="GE28" s="141"/>
      <c r="GF28" s="141"/>
      <c r="GG28" s="141"/>
      <c r="GH28" s="141"/>
      <c r="GI28" s="141"/>
      <c r="GJ28" s="141"/>
      <c r="GK28" s="141"/>
      <c r="GL28" s="141"/>
      <c r="GM28" s="141"/>
      <c r="GN28" s="141"/>
      <c r="GO28" s="141"/>
      <c r="GP28" s="141"/>
      <c r="GQ28" s="141"/>
      <c r="GR28" s="141"/>
      <c r="GS28" s="141"/>
      <c r="GT28" s="141"/>
      <c r="GU28" s="141"/>
      <c r="GV28" s="141"/>
      <c r="GW28" s="141"/>
      <c r="GX28" s="141"/>
      <c r="GY28" s="141"/>
      <c r="GZ28" s="141"/>
      <c r="HA28" s="141"/>
      <c r="HB28" s="141"/>
      <c r="HC28" s="141"/>
      <c r="HD28" s="141"/>
      <c r="HE28" s="141"/>
      <c r="HF28" s="141"/>
      <c r="HG28" s="141"/>
      <c r="HH28" s="141"/>
      <c r="HI28" s="141"/>
      <c r="HJ28" s="141"/>
      <c r="HK28" s="141"/>
      <c r="HL28" s="141"/>
      <c r="HM28" s="141"/>
      <c r="HN28" s="141"/>
      <c r="HO28" s="141"/>
      <c r="HP28" s="141"/>
      <c r="HQ28" s="141"/>
      <c r="HR28" s="141"/>
      <c r="HS28" s="141"/>
      <c r="HT28" s="141"/>
      <c r="HU28" s="141"/>
      <c r="HV28" s="141"/>
      <c r="HW28" s="141"/>
      <c r="HX28" s="141"/>
      <c r="HY28" s="141"/>
      <c r="HZ28" s="141"/>
      <c r="IA28" s="141"/>
      <c r="IB28" s="141"/>
      <c r="IC28" s="141"/>
      <c r="ID28" s="141"/>
      <c r="IE28" s="141"/>
      <c r="IF28" s="141"/>
      <c r="IG28" s="141"/>
      <c r="IH28" s="141"/>
      <c r="II28" s="141"/>
      <c r="IJ28" s="141"/>
      <c r="IK28" s="141"/>
      <c r="IL28" s="141"/>
      <c r="IM28" s="141"/>
      <c r="IN28" s="141"/>
      <c r="IO28" s="141"/>
      <c r="IP28" s="141"/>
      <c r="IQ28" s="141"/>
      <c r="IR28" s="141"/>
      <c r="IS28" s="141"/>
      <c r="IT28" s="141"/>
      <c r="IU28" s="141"/>
      <c r="IV28" s="141"/>
      <c r="IW28" s="141"/>
      <c r="IX28" s="141"/>
      <c r="IY28" s="141"/>
      <c r="IZ28" s="141"/>
      <c r="JA28" s="141"/>
      <c r="JB28" s="141"/>
      <c r="JC28" s="141"/>
      <c r="JD28" s="141"/>
      <c r="JE28" s="141"/>
      <c r="JF28" s="141"/>
      <c r="JG28" s="141"/>
      <c r="JH28" s="141"/>
    </row>
    <row r="29" spans="1:268" s="142" customFormat="1" ht="12" customHeight="1">
      <c r="A29" s="801"/>
      <c r="B29" s="555" t="s">
        <v>547</v>
      </c>
      <c r="C29" s="555"/>
      <c r="D29" s="147">
        <v>0</v>
      </c>
      <c r="E29" s="147">
        <v>0</v>
      </c>
      <c r="F29" s="147">
        <v>0</v>
      </c>
      <c r="G29" s="150">
        <v>0</v>
      </c>
      <c r="H29" s="900">
        <f t="shared" si="55"/>
        <v>0</v>
      </c>
      <c r="I29" s="147">
        <v>0</v>
      </c>
      <c r="J29" s="147">
        <v>0</v>
      </c>
      <c r="K29" s="147">
        <v>0</v>
      </c>
      <c r="L29" s="150">
        <v>0</v>
      </c>
      <c r="M29" s="900">
        <f t="shared" si="56"/>
        <v>0</v>
      </c>
      <c r="N29" s="147">
        <v>0</v>
      </c>
      <c r="O29" s="147">
        <v>0</v>
      </c>
      <c r="P29" s="147">
        <v>0</v>
      </c>
      <c r="Q29" s="150">
        <v>0</v>
      </c>
      <c r="R29" s="900">
        <f t="shared" si="57"/>
        <v>0</v>
      </c>
      <c r="S29" s="147">
        <v>0</v>
      </c>
      <c r="T29" s="147">
        <v>0</v>
      </c>
      <c r="U29" s="147">
        <v>0</v>
      </c>
      <c r="V29" s="150">
        <v>0</v>
      </c>
      <c r="W29" s="900">
        <f t="shared" si="58"/>
        <v>0</v>
      </c>
      <c r="X29" s="147">
        <v>0</v>
      </c>
      <c r="Y29" s="147">
        <v>0</v>
      </c>
      <c r="Z29" s="147">
        <v>0</v>
      </c>
      <c r="AA29" s="150">
        <v>0</v>
      </c>
      <c r="AB29" s="900">
        <f t="shared" si="59"/>
        <v>0</v>
      </c>
      <c r="AC29" s="147">
        <v>0</v>
      </c>
      <c r="AD29" s="147">
        <v>0</v>
      </c>
      <c r="AE29" s="147">
        <v>0</v>
      </c>
      <c r="AF29" s="150">
        <v>0</v>
      </c>
      <c r="AG29" s="900">
        <f t="shared" si="60"/>
        <v>0</v>
      </c>
      <c r="AH29" s="147">
        <v>0</v>
      </c>
      <c r="AI29" s="147">
        <v>0</v>
      </c>
      <c r="AJ29" s="147">
        <v>0</v>
      </c>
      <c r="AK29" s="150">
        <v>0</v>
      </c>
      <c r="AL29" s="900">
        <f t="shared" si="61"/>
        <v>0</v>
      </c>
      <c r="AM29" s="147">
        <v>0</v>
      </c>
      <c r="AN29" s="147">
        <v>0</v>
      </c>
      <c r="AO29" s="147">
        <v>0</v>
      </c>
      <c r="AP29" s="150">
        <v>0</v>
      </c>
      <c r="AQ29" s="900">
        <f t="shared" si="62"/>
        <v>0</v>
      </c>
      <c r="AR29" s="147">
        <v>0</v>
      </c>
      <c r="AS29" s="147">
        <v>0</v>
      </c>
      <c r="AT29" s="147">
        <v>0</v>
      </c>
      <c r="AU29" s="802"/>
      <c r="AV29" s="901"/>
      <c r="AW29" s="901"/>
      <c r="AX29" s="901"/>
      <c r="AY29" s="147">
        <v>0</v>
      </c>
      <c r="AZ29" s="902">
        <f t="shared" si="63"/>
        <v>0</v>
      </c>
      <c r="BA29" s="147">
        <v>0</v>
      </c>
      <c r="BB29" s="147">
        <v>0</v>
      </c>
      <c r="BC29" s="147">
        <v>0</v>
      </c>
      <c r="BD29" s="147">
        <v>115</v>
      </c>
      <c r="BE29" s="902">
        <f t="shared" si="64"/>
        <v>115</v>
      </c>
      <c r="BF29" s="147">
        <v>126</v>
      </c>
      <c r="BG29" s="147">
        <v>116</v>
      </c>
      <c r="BH29" s="147">
        <v>108</v>
      </c>
      <c r="BI29" s="147">
        <v>137</v>
      </c>
      <c r="BJ29" s="902">
        <f t="shared" si="65"/>
        <v>137</v>
      </c>
      <c r="BK29" s="147">
        <v>111</v>
      </c>
      <c r="BL29" s="147">
        <v>132</v>
      </c>
      <c r="BM29" s="147">
        <v>132</v>
      </c>
      <c r="BN29" s="147">
        <v>145</v>
      </c>
      <c r="BO29" s="902">
        <f t="shared" si="66"/>
        <v>145</v>
      </c>
      <c r="BP29" s="147">
        <v>150</v>
      </c>
      <c r="BQ29" s="147">
        <v>136</v>
      </c>
      <c r="BR29" s="147">
        <v>145</v>
      </c>
      <c r="BS29" s="147">
        <v>145</v>
      </c>
      <c r="BT29" s="902">
        <f t="shared" si="67"/>
        <v>145</v>
      </c>
      <c r="BU29" s="147">
        <v>145</v>
      </c>
      <c r="BV29" s="147">
        <v>140</v>
      </c>
      <c r="BW29" s="147">
        <v>148</v>
      </c>
      <c r="BX29" s="147">
        <v>161</v>
      </c>
      <c r="BY29" s="902">
        <f t="shared" si="68"/>
        <v>161</v>
      </c>
      <c r="BZ29" s="147">
        <v>161</v>
      </c>
      <c r="CA29" s="147">
        <v>150</v>
      </c>
      <c r="CB29" s="147">
        <v>150</v>
      </c>
      <c r="CC29" s="147">
        <v>127</v>
      </c>
      <c r="CD29" s="902">
        <f t="shared" si="69"/>
        <v>127</v>
      </c>
      <c r="CE29" s="147">
        <v>116</v>
      </c>
      <c r="CF29" s="147">
        <v>113</v>
      </c>
      <c r="CG29" s="147">
        <v>114</v>
      </c>
      <c r="CH29" s="147">
        <v>106</v>
      </c>
      <c r="CI29" s="902">
        <f t="shared" si="70"/>
        <v>106</v>
      </c>
      <c r="CJ29" s="147">
        <v>106</v>
      </c>
      <c r="CK29" s="147">
        <v>104</v>
      </c>
      <c r="CL29" s="147">
        <v>91</v>
      </c>
      <c r="CM29" s="147">
        <v>84</v>
      </c>
      <c r="CN29" s="902">
        <f t="shared" si="71"/>
        <v>84</v>
      </c>
      <c r="CO29" s="147">
        <v>104</v>
      </c>
      <c r="CP29" s="147">
        <v>96</v>
      </c>
      <c r="CQ29" s="147">
        <v>79</v>
      </c>
      <c r="CR29" s="147">
        <v>75</v>
      </c>
      <c r="CS29" s="902">
        <f t="shared" si="72"/>
        <v>75</v>
      </c>
      <c r="CT29" s="147">
        <v>63</v>
      </c>
      <c r="CU29" s="147">
        <v>73</v>
      </c>
      <c r="CV29" s="147">
        <v>72</v>
      </c>
      <c r="CW29" s="147">
        <v>64</v>
      </c>
      <c r="CX29" s="902">
        <f t="shared" si="73"/>
        <v>64</v>
      </c>
      <c r="CY29" s="147">
        <v>49</v>
      </c>
      <c r="CZ29" s="147">
        <v>84</v>
      </c>
      <c r="DA29" s="147">
        <v>74</v>
      </c>
      <c r="DB29" s="147">
        <v>156</v>
      </c>
      <c r="DC29" s="902">
        <f t="shared" si="74"/>
        <v>156</v>
      </c>
      <c r="DD29" s="147">
        <v>140</v>
      </c>
      <c r="DE29" s="147">
        <v>162</v>
      </c>
      <c r="DF29" s="147">
        <v>175</v>
      </c>
      <c r="DG29" s="147">
        <v>189</v>
      </c>
      <c r="DH29" s="902">
        <f t="shared" si="75"/>
        <v>189</v>
      </c>
      <c r="DI29" s="147">
        <v>188</v>
      </c>
      <c r="DJ29" s="147">
        <v>204</v>
      </c>
      <c r="DK29" s="147">
        <v>185</v>
      </c>
      <c r="DL29" s="147">
        <v>177</v>
      </c>
      <c r="DM29" s="902">
        <f t="shared" si="76"/>
        <v>177</v>
      </c>
      <c r="DN29" s="147">
        <v>161</v>
      </c>
      <c r="DO29" s="147">
        <v>179</v>
      </c>
      <c r="DP29" s="147">
        <v>185</v>
      </c>
      <c r="DQ29" s="147">
        <v>181</v>
      </c>
      <c r="DR29" s="902">
        <f t="shared" si="77"/>
        <v>181</v>
      </c>
      <c r="DS29" s="147">
        <v>201</v>
      </c>
      <c r="DT29" s="147">
        <v>208</v>
      </c>
      <c r="DU29" s="147">
        <v>210</v>
      </c>
      <c r="DV29" s="147">
        <v>200</v>
      </c>
      <c r="DW29" s="902">
        <f t="shared" si="78"/>
        <v>200</v>
      </c>
      <c r="DX29" s="843">
        <f>DW29</f>
        <v>200</v>
      </c>
      <c r="DY29" s="843">
        <f>DX29</f>
        <v>200</v>
      </c>
      <c r="DZ29" s="843">
        <f>DY29</f>
        <v>200</v>
      </c>
      <c r="EA29" s="843">
        <f>DZ29</f>
        <v>200</v>
      </c>
      <c r="EB29" s="902">
        <f t="shared" si="79"/>
        <v>200</v>
      </c>
      <c r="EC29" s="843">
        <f>EB29</f>
        <v>200</v>
      </c>
      <c r="ED29" s="843">
        <f>EC29</f>
        <v>200</v>
      </c>
      <c r="EE29" s="843">
        <f>ED29</f>
        <v>200</v>
      </c>
      <c r="EF29" s="843">
        <f>EE29</f>
        <v>200</v>
      </c>
      <c r="EG29" s="902">
        <f t="shared" si="80"/>
        <v>200</v>
      </c>
      <c r="EH29" s="843">
        <f>EG29</f>
        <v>200</v>
      </c>
      <c r="EI29" s="843">
        <f>EH29</f>
        <v>200</v>
      </c>
      <c r="EJ29" s="843">
        <f>EI29</f>
        <v>200</v>
      </c>
      <c r="EK29" s="843">
        <f>EJ29</f>
        <v>200</v>
      </c>
      <c r="EL29" s="902">
        <f t="shared" si="81"/>
        <v>200</v>
      </c>
      <c r="EM29" s="901"/>
      <c r="EN29"/>
      <c r="EO29"/>
      <c r="EP29"/>
      <c r="EQ29"/>
      <c r="ER29"/>
      <c r="ES29"/>
      <c r="ET29" s="141"/>
      <c r="EU29" s="141"/>
      <c r="EV29" s="141"/>
      <c r="EW29" s="141"/>
      <c r="EX29" s="141"/>
      <c r="EY29" s="141"/>
      <c r="EZ29" s="141"/>
      <c r="FA29" s="141"/>
      <c r="FB29" s="141"/>
      <c r="FC29" s="141"/>
      <c r="FD29" s="141"/>
      <c r="FE29" s="141"/>
      <c r="FF29" s="141"/>
      <c r="FG29" s="141"/>
      <c r="FH29" s="141"/>
      <c r="FI29" s="141"/>
      <c r="FJ29" s="141"/>
      <c r="FK29" s="141"/>
      <c r="FL29" s="141"/>
      <c r="FM29" s="141"/>
      <c r="FN29" s="141"/>
      <c r="FO29" s="141"/>
      <c r="FP29" s="141"/>
      <c r="FQ29" s="141"/>
      <c r="FR29" s="141"/>
      <c r="FS29" s="141"/>
      <c r="FT29" s="141"/>
      <c r="FU29" s="141"/>
      <c r="FV29" s="141"/>
      <c r="FW29" s="141"/>
      <c r="FX29" s="141"/>
      <c r="FY29" s="141"/>
      <c r="FZ29" s="141"/>
      <c r="GA29" s="141"/>
      <c r="GB29" s="141"/>
      <c r="GC29" s="141"/>
      <c r="GD29" s="141"/>
      <c r="GE29" s="141"/>
      <c r="GF29" s="141"/>
      <c r="GG29" s="141"/>
      <c r="GH29" s="141"/>
      <c r="GI29" s="141"/>
      <c r="GJ29" s="141"/>
      <c r="GK29" s="141"/>
      <c r="GL29" s="141"/>
      <c r="GM29" s="141"/>
      <c r="GN29" s="141"/>
      <c r="GO29" s="141"/>
      <c r="GP29" s="141"/>
      <c r="GQ29" s="141"/>
      <c r="GR29" s="141"/>
      <c r="GS29" s="141"/>
      <c r="GT29" s="141"/>
      <c r="GU29" s="141"/>
      <c r="GV29" s="141"/>
      <c r="GW29" s="141"/>
      <c r="GX29" s="141"/>
      <c r="GY29" s="141"/>
      <c r="GZ29" s="141"/>
      <c r="HA29" s="141"/>
      <c r="HB29" s="141"/>
      <c r="HC29" s="141"/>
      <c r="HD29" s="141"/>
      <c r="HE29" s="141"/>
      <c r="HF29" s="141"/>
      <c r="HG29" s="141"/>
      <c r="HH29" s="141"/>
      <c r="HI29" s="141"/>
      <c r="HJ29" s="141"/>
      <c r="HK29" s="141"/>
      <c r="HL29" s="141"/>
      <c r="HM29" s="141"/>
      <c r="HN29" s="141"/>
      <c r="HO29" s="141"/>
      <c r="HP29" s="141"/>
      <c r="HQ29" s="141"/>
      <c r="HR29" s="141"/>
      <c r="HS29" s="141"/>
      <c r="HT29" s="141"/>
      <c r="HU29" s="141"/>
      <c r="HV29" s="141"/>
      <c r="HW29" s="141"/>
      <c r="HX29" s="141"/>
      <c r="HY29" s="141"/>
      <c r="HZ29" s="141"/>
      <c r="IA29" s="141"/>
      <c r="IB29" s="141"/>
      <c r="IC29" s="141"/>
      <c r="ID29" s="141"/>
      <c r="IE29" s="141"/>
      <c r="IF29" s="141"/>
      <c r="IG29" s="141"/>
      <c r="IH29" s="141"/>
      <c r="II29" s="141"/>
      <c r="IJ29" s="141"/>
      <c r="IK29" s="141"/>
      <c r="IL29" s="141"/>
      <c r="IM29" s="141"/>
      <c r="IN29" s="141"/>
      <c r="IO29" s="141"/>
      <c r="IP29" s="141"/>
      <c r="IQ29" s="141"/>
      <c r="IR29" s="141"/>
      <c r="IS29" s="141"/>
      <c r="IT29" s="141"/>
      <c r="IU29" s="141"/>
      <c r="IV29" s="141"/>
      <c r="IW29" s="141"/>
      <c r="IX29" s="141"/>
      <c r="IY29" s="141"/>
      <c r="IZ29" s="141"/>
      <c r="JA29" s="141"/>
      <c r="JB29" s="141"/>
      <c r="JC29" s="141"/>
      <c r="JD29" s="141"/>
      <c r="JE29" s="141"/>
      <c r="JF29" s="141"/>
      <c r="JG29" s="141"/>
      <c r="JH29" s="141"/>
    </row>
    <row r="30" spans="1:268" s="142" customFormat="1" ht="12" customHeight="1">
      <c r="A30" s="801"/>
      <c r="B30" s="557" t="s">
        <v>548</v>
      </c>
      <c r="C30" s="898"/>
      <c r="D30" s="898">
        <v>0</v>
      </c>
      <c r="E30" s="898">
        <v>0</v>
      </c>
      <c r="F30" s="898">
        <v>0</v>
      </c>
      <c r="G30" s="899">
        <v>0</v>
      </c>
      <c r="H30" s="900">
        <f t="shared" si="55"/>
        <v>0</v>
      </c>
      <c r="I30" s="898">
        <v>0</v>
      </c>
      <c r="J30" s="898">
        <v>0</v>
      </c>
      <c r="K30" s="898">
        <v>0</v>
      </c>
      <c r="L30" s="899">
        <v>68</v>
      </c>
      <c r="M30" s="900">
        <f t="shared" si="56"/>
        <v>68</v>
      </c>
      <c r="N30" s="898">
        <v>83.4</v>
      </c>
      <c r="O30" s="898">
        <v>71</v>
      </c>
      <c r="P30" s="898">
        <v>99.7</v>
      </c>
      <c r="Q30" s="899">
        <v>144</v>
      </c>
      <c r="R30" s="900">
        <f t="shared" si="57"/>
        <v>144</v>
      </c>
      <c r="S30" s="898">
        <v>126</v>
      </c>
      <c r="T30" s="898">
        <v>157</v>
      </c>
      <c r="U30" s="898">
        <v>109</v>
      </c>
      <c r="V30" s="899">
        <v>106</v>
      </c>
      <c r="W30" s="900">
        <f t="shared" si="58"/>
        <v>106</v>
      </c>
      <c r="X30" s="898">
        <v>80</v>
      </c>
      <c r="Y30" s="898">
        <v>163</v>
      </c>
      <c r="Z30" s="898">
        <v>80</v>
      </c>
      <c r="AA30" s="899">
        <v>163</v>
      </c>
      <c r="AB30" s="900">
        <f t="shared" si="59"/>
        <v>163</v>
      </c>
      <c r="AC30" s="898">
        <v>73</v>
      </c>
      <c r="AD30" s="898">
        <v>154</v>
      </c>
      <c r="AE30" s="898">
        <v>74</v>
      </c>
      <c r="AF30" s="899">
        <v>155</v>
      </c>
      <c r="AG30" s="900">
        <f t="shared" si="60"/>
        <v>155</v>
      </c>
      <c r="AH30" s="898">
        <v>74</v>
      </c>
      <c r="AI30" s="898">
        <v>154</v>
      </c>
      <c r="AJ30" s="898">
        <v>79</v>
      </c>
      <c r="AK30" s="899">
        <v>132</v>
      </c>
      <c r="AL30" s="900">
        <f t="shared" si="61"/>
        <v>132</v>
      </c>
      <c r="AM30" s="898">
        <v>43</v>
      </c>
      <c r="AN30" s="898">
        <v>52</v>
      </c>
      <c r="AO30" s="898">
        <v>60</v>
      </c>
      <c r="AP30" s="899">
        <v>59</v>
      </c>
      <c r="AQ30" s="900">
        <f t="shared" si="62"/>
        <v>59</v>
      </c>
      <c r="AR30" s="898">
        <v>0</v>
      </c>
      <c r="AS30" s="898">
        <v>0</v>
      </c>
      <c r="AT30" s="898">
        <v>0</v>
      </c>
      <c r="AU30" s="802"/>
      <c r="AV30" s="901"/>
      <c r="AW30" s="901"/>
      <c r="AX30" s="901"/>
      <c r="AY30" s="898">
        <v>24</v>
      </c>
      <c r="AZ30" s="902">
        <f t="shared" si="63"/>
        <v>24</v>
      </c>
      <c r="BA30" s="898">
        <v>0</v>
      </c>
      <c r="BB30" s="898">
        <v>0</v>
      </c>
      <c r="BC30" s="898">
        <v>0</v>
      </c>
      <c r="BD30" s="898">
        <v>53</v>
      </c>
      <c r="BE30" s="902">
        <f t="shared" si="64"/>
        <v>53</v>
      </c>
      <c r="BF30" s="898">
        <v>70</v>
      </c>
      <c r="BG30" s="898">
        <v>50</v>
      </c>
      <c r="BH30" s="898">
        <v>89</v>
      </c>
      <c r="BI30" s="898">
        <v>96</v>
      </c>
      <c r="BJ30" s="902">
        <f t="shared" si="65"/>
        <v>96</v>
      </c>
      <c r="BK30" s="898">
        <v>96</v>
      </c>
      <c r="BL30" s="898">
        <v>125</v>
      </c>
      <c r="BM30" s="898">
        <v>96</v>
      </c>
      <c r="BN30" s="898">
        <v>124</v>
      </c>
      <c r="BO30" s="902">
        <f t="shared" si="66"/>
        <v>124</v>
      </c>
      <c r="BP30" s="898">
        <v>96</v>
      </c>
      <c r="BQ30" s="898">
        <v>125</v>
      </c>
      <c r="BR30" s="898">
        <v>98</v>
      </c>
      <c r="BS30" s="898">
        <v>130</v>
      </c>
      <c r="BT30" s="902">
        <f t="shared" si="67"/>
        <v>130</v>
      </c>
      <c r="BU30" s="898">
        <v>105</v>
      </c>
      <c r="BV30" s="898">
        <v>136</v>
      </c>
      <c r="BW30" s="898">
        <v>110</v>
      </c>
      <c r="BX30" s="898">
        <v>126</v>
      </c>
      <c r="BY30" s="902">
        <f t="shared" si="68"/>
        <v>126</v>
      </c>
      <c r="BZ30" s="898">
        <v>97</v>
      </c>
      <c r="CA30" s="898">
        <v>125</v>
      </c>
      <c r="CB30" s="898">
        <v>97</v>
      </c>
      <c r="CC30" s="898">
        <v>125</v>
      </c>
      <c r="CD30" s="902">
        <f t="shared" si="69"/>
        <v>125</v>
      </c>
      <c r="CE30" s="898">
        <v>77</v>
      </c>
      <c r="CF30" s="898">
        <v>104</v>
      </c>
      <c r="CG30" s="898">
        <v>123</v>
      </c>
      <c r="CH30" s="898">
        <v>127</v>
      </c>
      <c r="CI30" s="902">
        <f t="shared" si="70"/>
        <v>127</v>
      </c>
      <c r="CJ30" s="898">
        <v>114</v>
      </c>
      <c r="CK30" s="898">
        <v>123</v>
      </c>
      <c r="CL30" s="898">
        <v>110</v>
      </c>
      <c r="CM30" s="898">
        <v>115</v>
      </c>
      <c r="CN30" s="902">
        <f t="shared" si="71"/>
        <v>115</v>
      </c>
      <c r="CO30" s="898">
        <v>116</v>
      </c>
      <c r="CP30" s="898">
        <v>117</v>
      </c>
      <c r="CQ30" s="898">
        <v>111</v>
      </c>
      <c r="CR30" s="898">
        <v>112</v>
      </c>
      <c r="CS30" s="902">
        <f t="shared" si="72"/>
        <v>112</v>
      </c>
      <c r="CT30" s="898">
        <v>103</v>
      </c>
      <c r="CU30" s="898">
        <v>121</v>
      </c>
      <c r="CV30" s="898">
        <v>110</v>
      </c>
      <c r="CW30" s="898">
        <v>125</v>
      </c>
      <c r="CX30" s="902">
        <f t="shared" si="73"/>
        <v>125</v>
      </c>
      <c r="CY30" s="898">
        <v>99</v>
      </c>
      <c r="CZ30" s="898">
        <v>91</v>
      </c>
      <c r="DA30" s="898">
        <v>109</v>
      </c>
      <c r="DB30" s="898">
        <v>198</v>
      </c>
      <c r="DC30" s="902">
        <f t="shared" si="74"/>
        <v>198</v>
      </c>
      <c r="DD30" s="898">
        <v>274</v>
      </c>
      <c r="DE30" s="898">
        <v>207</v>
      </c>
      <c r="DF30" s="898">
        <v>265</v>
      </c>
      <c r="DG30" s="898">
        <v>194</v>
      </c>
      <c r="DH30" s="902">
        <f t="shared" si="75"/>
        <v>194</v>
      </c>
      <c r="DI30" s="898">
        <v>268</v>
      </c>
      <c r="DJ30" s="898">
        <v>204</v>
      </c>
      <c r="DK30" s="898">
        <v>307</v>
      </c>
      <c r="DL30" s="898">
        <v>205</v>
      </c>
      <c r="DM30" s="902">
        <f t="shared" si="76"/>
        <v>205</v>
      </c>
      <c r="DN30" s="898">
        <v>307</v>
      </c>
      <c r="DO30" s="898">
        <v>205</v>
      </c>
      <c r="DP30" s="898">
        <v>308</v>
      </c>
      <c r="DQ30" s="898">
        <v>210</v>
      </c>
      <c r="DR30" s="902">
        <f t="shared" si="77"/>
        <v>210</v>
      </c>
      <c r="DS30" s="898">
        <v>327</v>
      </c>
      <c r="DT30" s="898">
        <v>238</v>
      </c>
      <c r="DU30" s="898">
        <v>336</v>
      </c>
      <c r="DV30" s="898">
        <v>256</v>
      </c>
      <c r="DW30" s="902">
        <f t="shared" si="78"/>
        <v>256</v>
      </c>
      <c r="DX30" s="843">
        <f>+DW30</f>
        <v>256</v>
      </c>
      <c r="DY30" s="843">
        <f>+DX30</f>
        <v>256</v>
      </c>
      <c r="DZ30" s="843">
        <f>+DY30</f>
        <v>256</v>
      </c>
      <c r="EA30" s="843">
        <f>+DZ30</f>
        <v>256</v>
      </c>
      <c r="EB30" s="902">
        <f t="shared" si="79"/>
        <v>256</v>
      </c>
      <c r="EC30" s="843">
        <f>+EB30</f>
        <v>256</v>
      </c>
      <c r="ED30" s="843">
        <f>+EC30</f>
        <v>256</v>
      </c>
      <c r="EE30" s="843">
        <f>+ED30</f>
        <v>256</v>
      </c>
      <c r="EF30" s="843">
        <f>+EE30</f>
        <v>256</v>
      </c>
      <c r="EG30" s="902">
        <f t="shared" si="80"/>
        <v>256</v>
      </c>
      <c r="EH30" s="843">
        <f>+EG30</f>
        <v>256</v>
      </c>
      <c r="EI30" s="843">
        <f>+EH30</f>
        <v>256</v>
      </c>
      <c r="EJ30" s="843">
        <f>+EI30</f>
        <v>256</v>
      </c>
      <c r="EK30" s="843">
        <f>+EJ30</f>
        <v>256</v>
      </c>
      <c r="EL30" s="902">
        <f t="shared" si="81"/>
        <v>256</v>
      </c>
      <c r="EM30" s="901"/>
      <c r="EN30"/>
      <c r="EO30"/>
      <c r="EP30"/>
      <c r="EQ30"/>
      <c r="ER30"/>
      <c r="ES30"/>
      <c r="ET30" s="141"/>
      <c r="EU30" s="141"/>
      <c r="EV30" s="141"/>
      <c r="EW30" s="141"/>
      <c r="EX30" s="141"/>
      <c r="EY30" s="141"/>
      <c r="EZ30" s="141"/>
      <c r="FA30" s="141"/>
      <c r="FB30" s="141"/>
      <c r="FC30" s="141"/>
      <c r="FD30" s="141"/>
      <c r="FE30" s="141"/>
      <c r="FF30" s="141"/>
      <c r="FG30" s="141"/>
      <c r="FH30" s="141"/>
      <c r="FI30" s="141"/>
      <c r="FJ30" s="141"/>
      <c r="FK30" s="141"/>
      <c r="FL30" s="141"/>
      <c r="FM30" s="141"/>
      <c r="FN30" s="141"/>
      <c r="FO30" s="141"/>
      <c r="FP30" s="141"/>
      <c r="FQ30" s="141"/>
      <c r="FR30" s="141"/>
      <c r="FS30" s="141"/>
      <c r="FT30" s="141"/>
      <c r="FU30" s="141"/>
      <c r="FV30" s="141"/>
      <c r="FW30" s="141"/>
      <c r="FX30" s="141"/>
      <c r="FY30" s="141"/>
      <c r="FZ30" s="141"/>
      <c r="GA30" s="141"/>
      <c r="GB30" s="141"/>
      <c r="GC30" s="141"/>
      <c r="GD30" s="141"/>
      <c r="GE30" s="141"/>
      <c r="GF30" s="141"/>
      <c r="GG30" s="141"/>
      <c r="GH30" s="141"/>
      <c r="GI30" s="141"/>
      <c r="GJ30" s="141"/>
      <c r="GK30" s="141"/>
      <c r="GL30" s="141"/>
      <c r="GM30" s="141"/>
      <c r="GN30" s="141"/>
      <c r="GO30" s="141"/>
      <c r="GP30" s="141"/>
      <c r="GQ30" s="141"/>
      <c r="GR30" s="141"/>
      <c r="GS30" s="141"/>
      <c r="GT30" s="141"/>
      <c r="GU30" s="141"/>
      <c r="GV30" s="141"/>
      <c r="GW30" s="141"/>
      <c r="GX30" s="141"/>
      <c r="GY30" s="141"/>
      <c r="GZ30" s="141"/>
      <c r="HA30" s="141"/>
      <c r="HB30" s="141"/>
      <c r="HC30" s="141"/>
      <c r="HD30" s="141"/>
      <c r="HE30" s="141"/>
      <c r="HF30" s="141"/>
      <c r="HG30" s="141"/>
      <c r="HH30" s="141"/>
      <c r="HI30" s="141"/>
      <c r="HJ30" s="141"/>
      <c r="HK30" s="141"/>
      <c r="HL30" s="141"/>
      <c r="HM30" s="141"/>
      <c r="HN30" s="141"/>
      <c r="HO30" s="141"/>
      <c r="HP30" s="141"/>
      <c r="HQ30" s="141"/>
      <c r="HR30" s="141"/>
      <c r="HS30" s="141"/>
      <c r="HT30" s="141"/>
      <c r="HU30" s="141"/>
      <c r="HV30" s="141"/>
      <c r="HW30" s="141"/>
      <c r="HX30" s="141"/>
      <c r="HY30" s="141"/>
      <c r="HZ30" s="141"/>
      <c r="IA30" s="141"/>
      <c r="IB30" s="141"/>
      <c r="IC30" s="141"/>
      <c r="ID30" s="141"/>
      <c r="IE30" s="141"/>
      <c r="IF30" s="141"/>
      <c r="IG30" s="141"/>
      <c r="IH30" s="141"/>
      <c r="II30" s="141"/>
      <c r="IJ30" s="141"/>
      <c r="IK30" s="141"/>
      <c r="IL30" s="141"/>
      <c r="IM30" s="141"/>
      <c r="IN30" s="141"/>
      <c r="IO30" s="141"/>
      <c r="IP30" s="141"/>
      <c r="IQ30" s="141"/>
      <c r="IR30" s="141"/>
      <c r="IS30" s="141"/>
      <c r="IT30" s="141"/>
      <c r="IU30" s="141"/>
      <c r="IV30" s="141"/>
      <c r="IW30" s="141"/>
      <c r="IX30" s="141"/>
      <c r="IY30" s="141"/>
      <c r="IZ30" s="141"/>
      <c r="JA30" s="141"/>
      <c r="JB30" s="141"/>
      <c r="JC30" s="141"/>
      <c r="JD30" s="141"/>
      <c r="JE30" s="141"/>
      <c r="JF30" s="141"/>
      <c r="JG30" s="141"/>
      <c r="JH30" s="141"/>
    </row>
    <row r="31" spans="1:268" s="142" customFormat="1" ht="12" customHeight="1">
      <c r="A31" s="801"/>
      <c r="B31" s="557" t="s">
        <v>549</v>
      </c>
      <c r="C31" s="147"/>
      <c r="D31" s="147">
        <v>0</v>
      </c>
      <c r="E31" s="147">
        <v>0</v>
      </c>
      <c r="F31" s="147">
        <v>0</v>
      </c>
      <c r="G31" s="150">
        <v>0</v>
      </c>
      <c r="H31" s="900">
        <f t="shared" si="55"/>
        <v>0</v>
      </c>
      <c r="I31" s="147">
        <v>0</v>
      </c>
      <c r="J31" s="147">
        <v>0</v>
      </c>
      <c r="K31" s="147">
        <v>0</v>
      </c>
      <c r="L31" s="150">
        <v>0</v>
      </c>
      <c r="M31" s="900">
        <f t="shared" si="56"/>
        <v>0</v>
      </c>
      <c r="N31" s="147">
        <v>0</v>
      </c>
      <c r="O31" s="147">
        <v>0</v>
      </c>
      <c r="P31" s="147">
        <v>0</v>
      </c>
      <c r="Q31" s="150">
        <v>0</v>
      </c>
      <c r="R31" s="900">
        <f t="shared" si="57"/>
        <v>0</v>
      </c>
      <c r="S31" s="147">
        <v>0</v>
      </c>
      <c r="T31" s="147">
        <v>0</v>
      </c>
      <c r="U31" s="147">
        <v>0</v>
      </c>
      <c r="V31" s="150">
        <v>0</v>
      </c>
      <c r="W31" s="900">
        <f t="shared" si="58"/>
        <v>0</v>
      </c>
      <c r="X31" s="147">
        <v>0</v>
      </c>
      <c r="Y31" s="147">
        <v>0</v>
      </c>
      <c r="Z31" s="147">
        <v>0</v>
      </c>
      <c r="AA31" s="150">
        <v>0</v>
      </c>
      <c r="AB31" s="900">
        <f t="shared" si="59"/>
        <v>0</v>
      </c>
      <c r="AC31" s="147">
        <v>0</v>
      </c>
      <c r="AD31" s="147">
        <v>0</v>
      </c>
      <c r="AE31" s="147">
        <v>0</v>
      </c>
      <c r="AF31" s="150">
        <v>0</v>
      </c>
      <c r="AG31" s="900">
        <f t="shared" si="60"/>
        <v>0</v>
      </c>
      <c r="AH31" s="147">
        <v>0</v>
      </c>
      <c r="AI31" s="147">
        <v>0</v>
      </c>
      <c r="AJ31" s="147">
        <v>0</v>
      </c>
      <c r="AK31" s="150">
        <v>0</v>
      </c>
      <c r="AL31" s="900">
        <f t="shared" si="61"/>
        <v>0</v>
      </c>
      <c r="AM31" s="147">
        <v>0</v>
      </c>
      <c r="AN31" s="147">
        <v>0</v>
      </c>
      <c r="AO31" s="147">
        <v>0</v>
      </c>
      <c r="AP31" s="150">
        <v>0</v>
      </c>
      <c r="AQ31" s="900">
        <f t="shared" si="62"/>
        <v>0</v>
      </c>
      <c r="AR31" s="147">
        <v>0</v>
      </c>
      <c r="AS31" s="147">
        <v>0</v>
      </c>
      <c r="AT31" s="147">
        <v>0</v>
      </c>
      <c r="AU31" s="802"/>
      <c r="AV31" s="901"/>
      <c r="AW31" s="901"/>
      <c r="AX31" s="901"/>
      <c r="AY31" s="147">
        <v>0</v>
      </c>
      <c r="AZ31" s="902">
        <f t="shared" si="63"/>
        <v>0</v>
      </c>
      <c r="BA31" s="147">
        <v>0</v>
      </c>
      <c r="BB31" s="147">
        <v>0</v>
      </c>
      <c r="BC31" s="147">
        <v>253</v>
      </c>
      <c r="BD31" s="147">
        <v>203</v>
      </c>
      <c r="BE31" s="902">
        <f t="shared" si="64"/>
        <v>203</v>
      </c>
      <c r="BF31" s="147">
        <v>52</v>
      </c>
      <c r="BG31" s="147">
        <v>19</v>
      </c>
      <c r="BH31" s="147">
        <v>11</v>
      </c>
      <c r="BI31" s="147">
        <v>40</v>
      </c>
      <c r="BJ31" s="902">
        <f t="shared" si="65"/>
        <v>40</v>
      </c>
      <c r="BK31" s="147">
        <v>45</v>
      </c>
      <c r="BL31" s="147">
        <v>128</v>
      </c>
      <c r="BM31" s="147">
        <v>130</v>
      </c>
      <c r="BN31" s="147">
        <v>313</v>
      </c>
      <c r="BO31" s="902">
        <f t="shared" si="66"/>
        <v>313</v>
      </c>
      <c r="BP31" s="147">
        <v>90</v>
      </c>
      <c r="BQ31" s="147">
        <v>58</v>
      </c>
      <c r="BR31" s="147">
        <v>47</v>
      </c>
      <c r="BS31" s="147">
        <v>71</v>
      </c>
      <c r="BT31" s="902">
        <f t="shared" si="67"/>
        <v>71</v>
      </c>
      <c r="BU31" s="147">
        <v>88</v>
      </c>
      <c r="BV31" s="147">
        <v>93</v>
      </c>
      <c r="BW31" s="147">
        <v>113</v>
      </c>
      <c r="BX31" s="147">
        <v>119</v>
      </c>
      <c r="BY31" s="902">
        <f t="shared" si="68"/>
        <v>119</v>
      </c>
      <c r="BZ31" s="147">
        <v>167</v>
      </c>
      <c r="CA31" s="147">
        <v>167</v>
      </c>
      <c r="CB31" s="147">
        <v>167</v>
      </c>
      <c r="CC31" s="147">
        <v>168</v>
      </c>
      <c r="CD31" s="902">
        <f t="shared" si="69"/>
        <v>168</v>
      </c>
      <c r="CE31" s="147">
        <f>CD31</f>
        <v>168</v>
      </c>
      <c r="CF31" s="147">
        <v>174</v>
      </c>
      <c r="CG31" s="147">
        <v>96</v>
      </c>
      <c r="CH31" s="147">
        <v>76</v>
      </c>
      <c r="CI31" s="902">
        <f t="shared" si="70"/>
        <v>76</v>
      </c>
      <c r="CJ31" s="147">
        <v>55</v>
      </c>
      <c r="CK31" s="147">
        <v>31</v>
      </c>
      <c r="CL31" s="147">
        <v>8</v>
      </c>
      <c r="CM31" s="147">
        <v>8</v>
      </c>
      <c r="CN31" s="902">
        <f t="shared" si="71"/>
        <v>8</v>
      </c>
      <c r="CO31" s="147">
        <v>13</v>
      </c>
      <c r="CP31" s="147">
        <v>10</v>
      </c>
      <c r="CQ31" s="147">
        <v>10</v>
      </c>
      <c r="CR31" s="147">
        <v>64</v>
      </c>
      <c r="CS31" s="902">
        <f t="shared" si="72"/>
        <v>64</v>
      </c>
      <c r="CT31" s="147">
        <v>56</v>
      </c>
      <c r="CU31" s="147">
        <v>7</v>
      </c>
      <c r="CV31" s="147">
        <v>7</v>
      </c>
      <c r="CW31" s="147">
        <v>8</v>
      </c>
      <c r="CX31" s="902">
        <f t="shared" si="73"/>
        <v>8</v>
      </c>
      <c r="CY31" s="147">
        <v>0</v>
      </c>
      <c r="CZ31" s="147">
        <f>CY31</f>
        <v>0</v>
      </c>
      <c r="DA31" s="147">
        <f>CZ31</f>
        <v>0</v>
      </c>
      <c r="DB31" s="147">
        <v>0</v>
      </c>
      <c r="DC31" s="902">
        <f t="shared" si="74"/>
        <v>0</v>
      </c>
      <c r="DD31" s="147">
        <v>0</v>
      </c>
      <c r="DE31" s="147">
        <f t="shared" ref="DD31:DG32" si="82">DD31</f>
        <v>0</v>
      </c>
      <c r="DF31" s="147">
        <f t="shared" si="82"/>
        <v>0</v>
      </c>
      <c r="DG31" s="147">
        <f t="shared" si="82"/>
        <v>0</v>
      </c>
      <c r="DH31" s="902">
        <f t="shared" si="75"/>
        <v>0</v>
      </c>
      <c r="DI31" s="147">
        <v>0</v>
      </c>
      <c r="DJ31" s="147">
        <f t="shared" ref="DI31:DL32" si="83">DI31</f>
        <v>0</v>
      </c>
      <c r="DK31" s="147">
        <f t="shared" si="83"/>
        <v>0</v>
      </c>
      <c r="DL31" s="147">
        <v>294</v>
      </c>
      <c r="DM31" s="902">
        <f t="shared" si="76"/>
        <v>294</v>
      </c>
      <c r="DN31" s="147">
        <v>423</v>
      </c>
      <c r="DO31" s="147">
        <v>525</v>
      </c>
      <c r="DP31" s="147">
        <v>527</v>
      </c>
      <c r="DQ31" s="147">
        <v>8</v>
      </c>
      <c r="DR31" s="902">
        <f t="shared" si="77"/>
        <v>8</v>
      </c>
      <c r="DS31" s="147">
        <v>11</v>
      </c>
      <c r="DT31" s="147">
        <v>1</v>
      </c>
      <c r="DU31" s="147">
        <v>0</v>
      </c>
      <c r="DV31" s="147">
        <v>0</v>
      </c>
      <c r="DW31" s="902">
        <f t="shared" si="78"/>
        <v>0</v>
      </c>
      <c r="DX31" s="903">
        <f t="shared" ref="DX31:EA32" si="84">DW31</f>
        <v>0</v>
      </c>
      <c r="DY31" s="903">
        <f t="shared" si="84"/>
        <v>0</v>
      </c>
      <c r="DZ31" s="903">
        <f t="shared" si="84"/>
        <v>0</v>
      </c>
      <c r="EA31" s="903">
        <f t="shared" si="84"/>
        <v>0</v>
      </c>
      <c r="EB31" s="902">
        <f t="shared" si="79"/>
        <v>0</v>
      </c>
      <c r="EC31" s="903">
        <f t="shared" ref="EC31:EF32" si="85">EB31</f>
        <v>0</v>
      </c>
      <c r="ED31" s="903">
        <f t="shared" si="85"/>
        <v>0</v>
      </c>
      <c r="EE31" s="903">
        <f t="shared" si="85"/>
        <v>0</v>
      </c>
      <c r="EF31" s="903">
        <f t="shared" si="85"/>
        <v>0</v>
      </c>
      <c r="EG31" s="902">
        <f t="shared" si="80"/>
        <v>0</v>
      </c>
      <c r="EH31" s="903">
        <f t="shared" si="80"/>
        <v>0</v>
      </c>
      <c r="EI31" s="903">
        <f t="shared" si="80"/>
        <v>0</v>
      </c>
      <c r="EJ31" s="903">
        <f t="shared" si="80"/>
        <v>0</v>
      </c>
      <c r="EK31" s="903">
        <f t="shared" si="80"/>
        <v>0</v>
      </c>
      <c r="EL31" s="902">
        <f t="shared" si="81"/>
        <v>0</v>
      </c>
      <c r="EM31" s="901"/>
      <c r="EN31"/>
      <c r="EO31"/>
      <c r="EP31"/>
      <c r="EQ31"/>
      <c r="ER31"/>
      <c r="ES31"/>
      <c r="ET31" s="141"/>
      <c r="EU31" s="141"/>
      <c r="EV31" s="141"/>
      <c r="EW31" s="141"/>
      <c r="EX31" s="141"/>
      <c r="EY31" s="141"/>
      <c r="EZ31" s="141"/>
      <c r="FA31" s="141"/>
      <c r="FB31" s="141"/>
      <c r="FC31" s="141"/>
      <c r="FD31" s="141"/>
      <c r="FE31" s="141"/>
      <c r="FF31" s="141"/>
      <c r="FG31" s="141"/>
      <c r="FH31" s="141"/>
      <c r="FI31" s="141"/>
      <c r="FJ31" s="141"/>
      <c r="FK31" s="141"/>
      <c r="FL31" s="141"/>
      <c r="FM31" s="141"/>
      <c r="FN31" s="141"/>
      <c r="FO31" s="141"/>
      <c r="FP31" s="141"/>
      <c r="FQ31" s="141"/>
      <c r="FR31" s="141"/>
      <c r="FS31" s="141"/>
      <c r="FT31" s="141"/>
      <c r="FU31" s="141"/>
      <c r="FV31" s="141"/>
      <c r="FW31" s="141"/>
      <c r="FX31" s="141"/>
      <c r="FY31" s="141"/>
      <c r="FZ31" s="141"/>
      <c r="GA31" s="141"/>
      <c r="GB31" s="141"/>
      <c r="GC31" s="141"/>
      <c r="GD31" s="141"/>
      <c r="GE31" s="141"/>
      <c r="GF31" s="141"/>
      <c r="GG31" s="141"/>
      <c r="GH31" s="141"/>
      <c r="GI31" s="141"/>
      <c r="GJ31" s="141"/>
      <c r="GK31" s="141"/>
      <c r="GL31" s="141"/>
      <c r="GM31" s="141"/>
      <c r="GN31" s="141"/>
      <c r="GO31" s="141"/>
      <c r="GP31" s="141"/>
      <c r="GQ31" s="141"/>
      <c r="GR31" s="141"/>
      <c r="GS31" s="141"/>
      <c r="GT31" s="141"/>
      <c r="GU31" s="141"/>
      <c r="GV31" s="141"/>
      <c r="GW31" s="141"/>
      <c r="GX31" s="141"/>
      <c r="GY31" s="141"/>
      <c r="GZ31" s="141"/>
      <c r="HA31" s="141"/>
      <c r="HB31" s="141"/>
      <c r="HC31" s="141"/>
      <c r="HD31" s="141"/>
      <c r="HE31" s="141"/>
      <c r="HF31" s="141"/>
      <c r="HG31" s="141"/>
      <c r="HH31" s="141"/>
      <c r="HI31" s="141"/>
      <c r="HJ31" s="141"/>
      <c r="HK31" s="141"/>
      <c r="HL31" s="141"/>
      <c r="HM31" s="141"/>
      <c r="HN31" s="141"/>
      <c r="HO31" s="141"/>
      <c r="HP31" s="141"/>
      <c r="HQ31" s="141"/>
      <c r="HR31" s="141"/>
      <c r="HS31" s="141"/>
      <c r="HT31" s="141"/>
      <c r="HU31" s="141"/>
      <c r="HV31" s="141"/>
      <c r="HW31" s="141"/>
      <c r="HX31" s="141"/>
      <c r="HY31" s="141"/>
      <c r="HZ31" s="141"/>
      <c r="IA31" s="141"/>
      <c r="IB31" s="141"/>
      <c r="IC31" s="141"/>
      <c r="ID31" s="141"/>
      <c r="IE31" s="141"/>
      <c r="IF31" s="141"/>
      <c r="IG31" s="141"/>
      <c r="IH31" s="141"/>
      <c r="II31" s="141"/>
      <c r="IJ31" s="141"/>
      <c r="IK31" s="141"/>
      <c r="IL31" s="141"/>
      <c r="IM31" s="141"/>
      <c r="IN31" s="141"/>
      <c r="IO31" s="141"/>
      <c r="IP31" s="141"/>
      <c r="IQ31" s="141"/>
      <c r="IR31" s="141"/>
      <c r="IS31" s="141"/>
      <c r="IT31" s="141"/>
      <c r="IU31" s="141"/>
      <c r="IV31" s="141"/>
      <c r="IW31" s="141"/>
      <c r="IX31" s="141"/>
      <c r="IY31" s="141"/>
      <c r="IZ31" s="141"/>
      <c r="JA31" s="141"/>
      <c r="JB31" s="141"/>
      <c r="JC31" s="141"/>
      <c r="JD31" s="141"/>
      <c r="JE31" s="141"/>
      <c r="JF31" s="141"/>
      <c r="JG31" s="141"/>
      <c r="JH31" s="141"/>
    </row>
    <row r="32" spans="1:268" s="142" customFormat="1" ht="12" customHeight="1">
      <c r="A32" s="801"/>
      <c r="B32" s="557" t="s">
        <v>684</v>
      </c>
      <c r="C32" s="147"/>
      <c r="D32" s="147">
        <v>23.882000000000001</v>
      </c>
      <c r="E32" s="147">
        <v>22.5</v>
      </c>
      <c r="F32" s="147">
        <v>26.4</v>
      </c>
      <c r="G32" s="150">
        <v>2</v>
      </c>
      <c r="H32" s="900">
        <f t="shared" si="55"/>
        <v>2</v>
      </c>
      <c r="I32" s="147">
        <v>2.1</v>
      </c>
      <c r="J32" s="147">
        <v>0</v>
      </c>
      <c r="K32" s="147">
        <v>0</v>
      </c>
      <c r="L32" s="150">
        <v>33</v>
      </c>
      <c r="M32" s="900">
        <f t="shared" si="56"/>
        <v>33</v>
      </c>
      <c r="N32" s="147">
        <v>49.3</v>
      </c>
      <c r="O32" s="147">
        <v>16</v>
      </c>
      <c r="P32" s="147">
        <v>25.9</v>
      </c>
      <c r="Q32" s="150">
        <v>0</v>
      </c>
      <c r="R32" s="900">
        <f t="shared" si="57"/>
        <v>0</v>
      </c>
      <c r="S32" s="147">
        <v>0</v>
      </c>
      <c r="T32" s="147">
        <v>0</v>
      </c>
      <c r="U32" s="147">
        <v>0</v>
      </c>
      <c r="V32" s="150">
        <v>0</v>
      </c>
      <c r="W32" s="900">
        <f t="shared" si="58"/>
        <v>0</v>
      </c>
      <c r="X32" s="147">
        <v>0</v>
      </c>
      <c r="Y32" s="147">
        <v>0</v>
      </c>
      <c r="Z32" s="147">
        <v>0</v>
      </c>
      <c r="AA32" s="150">
        <v>0</v>
      </c>
      <c r="AB32" s="900">
        <f t="shared" si="59"/>
        <v>0</v>
      </c>
      <c r="AC32" s="147">
        <v>0</v>
      </c>
      <c r="AD32" s="147">
        <v>0</v>
      </c>
      <c r="AE32" s="147">
        <v>0</v>
      </c>
      <c r="AF32" s="150">
        <v>0</v>
      </c>
      <c r="AG32" s="900">
        <f t="shared" si="60"/>
        <v>0</v>
      </c>
      <c r="AH32" s="147">
        <v>0</v>
      </c>
      <c r="AI32" s="147">
        <v>0</v>
      </c>
      <c r="AJ32" s="147">
        <v>0</v>
      </c>
      <c r="AK32" s="150">
        <v>0</v>
      </c>
      <c r="AL32" s="900">
        <f t="shared" si="61"/>
        <v>0</v>
      </c>
      <c r="AM32" s="147">
        <v>0</v>
      </c>
      <c r="AN32" s="147">
        <v>0</v>
      </c>
      <c r="AO32" s="147">
        <v>0</v>
      </c>
      <c r="AP32" s="150">
        <v>0</v>
      </c>
      <c r="AQ32" s="900">
        <f t="shared" si="62"/>
        <v>0</v>
      </c>
      <c r="AR32" s="147">
        <v>152</v>
      </c>
      <c r="AS32" s="147">
        <v>77</v>
      </c>
      <c r="AT32" s="147">
        <v>89</v>
      </c>
      <c r="AU32" s="802"/>
      <c r="AV32" s="901"/>
      <c r="AW32" s="901"/>
      <c r="AX32" s="901"/>
      <c r="AY32" s="147">
        <v>213</v>
      </c>
      <c r="AZ32" s="902">
        <f t="shared" si="63"/>
        <v>213</v>
      </c>
      <c r="BA32" s="147">
        <v>39</v>
      </c>
      <c r="BB32" s="147">
        <v>36</v>
      </c>
      <c r="BC32" s="147">
        <v>1</v>
      </c>
      <c r="BD32" s="147">
        <v>36</v>
      </c>
      <c r="BE32" s="902">
        <f t="shared" si="64"/>
        <v>36</v>
      </c>
      <c r="BF32" s="147">
        <v>0</v>
      </c>
      <c r="BG32" s="147">
        <v>0</v>
      </c>
      <c r="BH32" s="147">
        <v>0</v>
      </c>
      <c r="BI32" s="147">
        <v>0</v>
      </c>
      <c r="BJ32" s="902">
        <f t="shared" si="65"/>
        <v>0</v>
      </c>
      <c r="BK32" s="147">
        <v>0</v>
      </c>
      <c r="BL32" s="147">
        <v>0</v>
      </c>
      <c r="BM32" s="147">
        <v>0</v>
      </c>
      <c r="BN32" s="147">
        <v>0</v>
      </c>
      <c r="BO32" s="902">
        <f t="shared" si="66"/>
        <v>0</v>
      </c>
      <c r="BP32" s="147">
        <v>0</v>
      </c>
      <c r="BQ32" s="147">
        <v>0</v>
      </c>
      <c r="BR32" s="147">
        <v>0</v>
      </c>
      <c r="BS32" s="147">
        <v>0</v>
      </c>
      <c r="BT32" s="902">
        <f t="shared" si="67"/>
        <v>0</v>
      </c>
      <c r="BU32" s="147">
        <v>0</v>
      </c>
      <c r="BV32" s="147">
        <v>0</v>
      </c>
      <c r="BW32" s="147">
        <v>0</v>
      </c>
      <c r="BX32" s="147">
        <v>0</v>
      </c>
      <c r="BY32" s="902">
        <f t="shared" si="68"/>
        <v>0</v>
      </c>
      <c r="BZ32" s="147">
        <v>0</v>
      </c>
      <c r="CA32" s="147">
        <f>BZ32</f>
        <v>0</v>
      </c>
      <c r="CB32" s="147">
        <f>CA32</f>
        <v>0</v>
      </c>
      <c r="CC32" s="147">
        <v>0</v>
      </c>
      <c r="CD32" s="902">
        <f t="shared" si="69"/>
        <v>0</v>
      </c>
      <c r="CE32" s="147">
        <f>CD32</f>
        <v>0</v>
      </c>
      <c r="CF32" s="147">
        <v>0</v>
      </c>
      <c r="CG32" s="147">
        <v>0</v>
      </c>
      <c r="CH32" s="147">
        <v>0</v>
      </c>
      <c r="CI32" s="902">
        <f t="shared" si="70"/>
        <v>0</v>
      </c>
      <c r="CJ32" s="147">
        <f>CI32</f>
        <v>0</v>
      </c>
      <c r="CK32" s="147">
        <v>0</v>
      </c>
      <c r="CL32" s="147">
        <v>0</v>
      </c>
      <c r="CM32" s="147">
        <v>0</v>
      </c>
      <c r="CN32" s="902">
        <f t="shared" si="71"/>
        <v>0</v>
      </c>
      <c r="CO32" s="147">
        <f>CN32</f>
        <v>0</v>
      </c>
      <c r="CP32" s="147">
        <v>0</v>
      </c>
      <c r="CQ32" s="147">
        <f>CP32</f>
        <v>0</v>
      </c>
      <c r="CR32" s="147">
        <f>CQ32</f>
        <v>0</v>
      </c>
      <c r="CS32" s="902">
        <f t="shared" si="72"/>
        <v>0</v>
      </c>
      <c r="CT32" s="147">
        <v>0</v>
      </c>
      <c r="CU32" s="147">
        <v>0</v>
      </c>
      <c r="CV32" s="147">
        <v>0</v>
      </c>
      <c r="CW32" s="147">
        <f>CV32</f>
        <v>0</v>
      </c>
      <c r="CX32" s="902">
        <f t="shared" si="73"/>
        <v>0</v>
      </c>
      <c r="CY32" s="147">
        <v>0</v>
      </c>
      <c r="CZ32" s="147">
        <f>CY32</f>
        <v>0</v>
      </c>
      <c r="DA32" s="147">
        <f>CZ32</f>
        <v>0</v>
      </c>
      <c r="DB32" s="147">
        <v>0</v>
      </c>
      <c r="DC32" s="902">
        <f t="shared" si="74"/>
        <v>0</v>
      </c>
      <c r="DD32" s="147">
        <f t="shared" si="82"/>
        <v>0</v>
      </c>
      <c r="DE32" s="147">
        <f t="shared" si="82"/>
        <v>0</v>
      </c>
      <c r="DF32" s="147">
        <f t="shared" si="82"/>
        <v>0</v>
      </c>
      <c r="DG32" s="147">
        <f t="shared" si="82"/>
        <v>0</v>
      </c>
      <c r="DH32" s="902">
        <f t="shared" si="75"/>
        <v>0</v>
      </c>
      <c r="DI32" s="147">
        <f t="shared" si="83"/>
        <v>0</v>
      </c>
      <c r="DJ32" s="147">
        <f t="shared" si="83"/>
        <v>0</v>
      </c>
      <c r="DK32" s="147">
        <f t="shared" si="83"/>
        <v>0</v>
      </c>
      <c r="DL32" s="147">
        <f t="shared" si="83"/>
        <v>0</v>
      </c>
      <c r="DM32" s="902">
        <f t="shared" si="76"/>
        <v>0</v>
      </c>
      <c r="DN32" s="147">
        <f>DM32</f>
        <v>0</v>
      </c>
      <c r="DO32" s="147">
        <f>DN32</f>
        <v>0</v>
      </c>
      <c r="DP32" s="147">
        <f>DO32</f>
        <v>0</v>
      </c>
      <c r="DQ32" s="147">
        <v>9</v>
      </c>
      <c r="DR32" s="902">
        <f t="shared" si="77"/>
        <v>9</v>
      </c>
      <c r="DS32" s="147">
        <v>0</v>
      </c>
      <c r="DT32" s="147">
        <v>51</v>
      </c>
      <c r="DU32" s="147">
        <v>407</v>
      </c>
      <c r="DV32" s="147">
        <v>480</v>
      </c>
      <c r="DW32" s="902">
        <f t="shared" si="78"/>
        <v>480</v>
      </c>
      <c r="DX32" s="147">
        <f t="shared" si="84"/>
        <v>480</v>
      </c>
      <c r="DY32" s="147">
        <f t="shared" si="84"/>
        <v>480</v>
      </c>
      <c r="DZ32" s="147">
        <f t="shared" si="84"/>
        <v>480</v>
      </c>
      <c r="EA32" s="147">
        <f t="shared" si="84"/>
        <v>480</v>
      </c>
      <c r="EB32" s="902">
        <f t="shared" si="79"/>
        <v>480</v>
      </c>
      <c r="EC32" s="147">
        <f t="shared" si="85"/>
        <v>480</v>
      </c>
      <c r="ED32" s="147">
        <f t="shared" si="85"/>
        <v>480</v>
      </c>
      <c r="EE32" s="147">
        <f t="shared" si="85"/>
        <v>480</v>
      </c>
      <c r="EF32" s="147">
        <f t="shared" si="85"/>
        <v>480</v>
      </c>
      <c r="EG32" s="902">
        <f t="shared" si="80"/>
        <v>480</v>
      </c>
      <c r="EH32" s="147">
        <f t="shared" si="80"/>
        <v>480</v>
      </c>
      <c r="EI32" s="147">
        <f t="shared" si="80"/>
        <v>480</v>
      </c>
      <c r="EJ32" s="147">
        <f t="shared" si="80"/>
        <v>480</v>
      </c>
      <c r="EK32" s="147">
        <f t="shared" si="80"/>
        <v>480</v>
      </c>
      <c r="EL32" s="902">
        <f t="shared" si="81"/>
        <v>480</v>
      </c>
      <c r="EM32" s="901"/>
      <c r="EN32"/>
      <c r="EO32"/>
      <c r="EP32"/>
      <c r="EQ32"/>
      <c r="ER32"/>
      <c r="ES32"/>
      <c r="ET32" s="141"/>
      <c r="EU32" s="141"/>
      <c r="EV32" s="141"/>
      <c r="EW32" s="141"/>
      <c r="EX32" s="141"/>
      <c r="EY32" s="141"/>
      <c r="EZ32" s="141"/>
      <c r="FA32" s="141"/>
      <c r="FB32" s="141"/>
      <c r="FC32" s="141"/>
      <c r="FD32" s="141"/>
      <c r="FE32" s="141"/>
      <c r="FF32" s="141"/>
      <c r="FG32" s="141"/>
      <c r="FH32" s="141"/>
      <c r="FI32" s="141"/>
      <c r="FJ32" s="141"/>
      <c r="FK32" s="141"/>
      <c r="FL32" s="141"/>
      <c r="FM32" s="141"/>
      <c r="FN32" s="141"/>
      <c r="FO32" s="141"/>
      <c r="FP32" s="141"/>
      <c r="FQ32" s="141"/>
      <c r="FR32" s="141"/>
      <c r="FS32" s="141"/>
      <c r="FT32" s="141"/>
      <c r="FU32" s="141"/>
      <c r="FV32" s="141"/>
      <c r="FW32" s="141"/>
      <c r="FX32" s="141"/>
      <c r="FY32" s="141"/>
      <c r="FZ32" s="141"/>
      <c r="GA32" s="141"/>
      <c r="GB32" s="141"/>
      <c r="GC32" s="141"/>
      <c r="GD32" s="141"/>
      <c r="GE32" s="141"/>
      <c r="GF32" s="141"/>
      <c r="GG32" s="141"/>
      <c r="GH32" s="141"/>
      <c r="GI32" s="141"/>
      <c r="GJ32" s="141"/>
      <c r="GK32" s="141"/>
      <c r="GL32" s="141"/>
      <c r="GM32" s="141"/>
      <c r="GN32" s="141"/>
      <c r="GO32" s="141"/>
      <c r="GP32" s="141"/>
      <c r="GQ32" s="141"/>
      <c r="GR32" s="141"/>
      <c r="GS32" s="141"/>
      <c r="GT32" s="141"/>
      <c r="GU32" s="141"/>
      <c r="GV32" s="141"/>
      <c r="GW32" s="141"/>
      <c r="GX32" s="141"/>
      <c r="GY32" s="141"/>
      <c r="GZ32" s="141"/>
      <c r="HA32" s="141"/>
      <c r="HB32" s="141"/>
      <c r="HC32" s="141"/>
      <c r="HD32" s="141"/>
      <c r="HE32" s="141"/>
      <c r="HF32" s="141"/>
      <c r="HG32" s="141"/>
      <c r="HH32" s="141"/>
      <c r="HI32" s="141"/>
      <c r="HJ32" s="141"/>
      <c r="HK32" s="141"/>
      <c r="HL32" s="141"/>
      <c r="HM32" s="141"/>
      <c r="HN32" s="141"/>
      <c r="HO32" s="141"/>
      <c r="HP32" s="141"/>
      <c r="HQ32" s="141"/>
      <c r="HR32" s="141"/>
      <c r="HS32" s="141"/>
      <c r="HT32" s="141"/>
      <c r="HU32" s="141"/>
      <c r="HV32" s="141"/>
      <c r="HW32" s="141"/>
      <c r="HX32" s="141"/>
      <c r="HY32" s="141"/>
      <c r="HZ32" s="141"/>
      <c r="IA32" s="141"/>
      <c r="IB32" s="141"/>
      <c r="IC32" s="141"/>
      <c r="ID32" s="141"/>
      <c r="IE32" s="141"/>
      <c r="IF32" s="141"/>
      <c r="IG32" s="141"/>
      <c r="IH32" s="141"/>
      <c r="II32" s="141"/>
      <c r="IJ32" s="141"/>
      <c r="IK32" s="141"/>
      <c r="IL32" s="141"/>
      <c r="IM32" s="141"/>
      <c r="IN32" s="141"/>
      <c r="IO32" s="141"/>
      <c r="IP32" s="141"/>
      <c r="IQ32" s="141"/>
      <c r="IR32" s="141"/>
      <c r="IS32" s="141"/>
      <c r="IT32" s="141"/>
      <c r="IU32" s="141"/>
      <c r="IV32" s="141"/>
      <c r="IW32" s="141"/>
      <c r="IX32" s="141"/>
      <c r="IY32" s="141"/>
      <c r="IZ32" s="141"/>
      <c r="JA32" s="141"/>
      <c r="JB32" s="141"/>
      <c r="JC32" s="141"/>
      <c r="JD32" s="141"/>
      <c r="JE32" s="141"/>
      <c r="JF32" s="141"/>
      <c r="JG32" s="141"/>
      <c r="JH32" s="141"/>
    </row>
    <row r="33" spans="1:268" s="142" customFormat="1" ht="12" customHeight="1">
      <c r="A33" s="818"/>
      <c r="B33" s="556" t="s">
        <v>550</v>
      </c>
      <c r="C33" s="148"/>
      <c r="D33" s="148">
        <f>230.081+101.595</f>
        <v>331.67599999999999</v>
      </c>
      <c r="E33" s="148">
        <f>203.9+76.5</f>
        <v>280.39999999999998</v>
      </c>
      <c r="F33" s="148">
        <f>76.5+187.8</f>
        <v>264.3</v>
      </c>
      <c r="G33" s="911">
        <f>77+469</f>
        <v>546</v>
      </c>
      <c r="H33" s="912">
        <f t="shared" si="55"/>
        <v>546</v>
      </c>
      <c r="I33" s="148">
        <f>66.3+490.7</f>
        <v>557</v>
      </c>
      <c r="J33" s="148">
        <f>25.4+448.9</f>
        <v>474.29999999999995</v>
      </c>
      <c r="K33" s="148">
        <v>492.8</v>
      </c>
      <c r="L33" s="911">
        <v>473</v>
      </c>
      <c r="M33" s="912">
        <f t="shared" si="56"/>
        <v>473</v>
      </c>
      <c r="N33" s="148">
        <v>373.2</v>
      </c>
      <c r="O33" s="148">
        <v>410.6</v>
      </c>
      <c r="P33" s="148">
        <f>177.3+556.5</f>
        <v>733.8</v>
      </c>
      <c r="Q33" s="911">
        <f>423+425</f>
        <v>848</v>
      </c>
      <c r="R33" s="912">
        <f t="shared" si="57"/>
        <v>848</v>
      </c>
      <c r="S33" s="148">
        <f>183+472</f>
        <v>655</v>
      </c>
      <c r="T33" s="148">
        <f>199+457</f>
        <v>656</v>
      </c>
      <c r="U33" s="148">
        <f>147+477</f>
        <v>624</v>
      </c>
      <c r="V33" s="911">
        <f>78+502</f>
        <v>580</v>
      </c>
      <c r="W33" s="912">
        <f t="shared" si="58"/>
        <v>580</v>
      </c>
      <c r="X33" s="148">
        <f>567+152</f>
        <v>719</v>
      </c>
      <c r="Y33" s="148">
        <f>138+611</f>
        <v>749</v>
      </c>
      <c r="Z33" s="148">
        <f>61+650</f>
        <v>711</v>
      </c>
      <c r="AA33" s="911">
        <v>711</v>
      </c>
      <c r="AB33" s="912">
        <f t="shared" si="59"/>
        <v>711</v>
      </c>
      <c r="AC33" s="148">
        <v>709</v>
      </c>
      <c r="AD33" s="148">
        <v>803</v>
      </c>
      <c r="AE33" s="148">
        <v>724</v>
      </c>
      <c r="AF33" s="911">
        <v>694</v>
      </c>
      <c r="AG33" s="912">
        <f t="shared" si="60"/>
        <v>694</v>
      </c>
      <c r="AH33" s="148">
        <v>801</v>
      </c>
      <c r="AI33" s="148">
        <v>710</v>
      </c>
      <c r="AJ33" s="148">
        <v>678</v>
      </c>
      <c r="AK33" s="911">
        <v>758</v>
      </c>
      <c r="AL33" s="912">
        <f t="shared" si="61"/>
        <v>758</v>
      </c>
      <c r="AM33" s="148">
        <v>813</v>
      </c>
      <c r="AN33" s="148">
        <v>875</v>
      </c>
      <c r="AO33" s="148">
        <v>802</v>
      </c>
      <c r="AP33" s="911">
        <v>867</v>
      </c>
      <c r="AQ33" s="912">
        <f t="shared" si="62"/>
        <v>867</v>
      </c>
      <c r="AR33" s="148">
        <v>766</v>
      </c>
      <c r="AS33" s="148">
        <v>777</v>
      </c>
      <c r="AT33" s="148">
        <v>643</v>
      </c>
      <c r="AU33" s="913"/>
      <c r="AV33" s="914"/>
      <c r="AW33" s="914"/>
      <c r="AX33" s="914"/>
      <c r="AY33" s="148">
        <v>644</v>
      </c>
      <c r="AZ33" s="915">
        <f t="shared" si="63"/>
        <v>644</v>
      </c>
      <c r="BA33" s="148">
        <v>715</v>
      </c>
      <c r="BB33" s="148">
        <v>749</v>
      </c>
      <c r="BC33" s="148">
        <v>746</v>
      </c>
      <c r="BD33" s="148">
        <v>518</v>
      </c>
      <c r="BE33" s="915">
        <f t="shared" si="64"/>
        <v>518</v>
      </c>
      <c r="BF33" s="148">
        <v>534</v>
      </c>
      <c r="BG33" s="148">
        <v>529</v>
      </c>
      <c r="BH33" s="148">
        <v>580</v>
      </c>
      <c r="BI33" s="148">
        <v>489</v>
      </c>
      <c r="BJ33" s="915">
        <f t="shared" si="65"/>
        <v>489</v>
      </c>
      <c r="BK33" s="148">
        <v>451</v>
      </c>
      <c r="BL33" s="148">
        <v>415</v>
      </c>
      <c r="BM33" s="148">
        <v>407</v>
      </c>
      <c r="BN33" s="148">
        <v>393</v>
      </c>
      <c r="BO33" s="915">
        <f t="shared" si="66"/>
        <v>393</v>
      </c>
      <c r="BP33" s="148">
        <v>349</v>
      </c>
      <c r="BQ33" s="148">
        <v>349</v>
      </c>
      <c r="BR33" s="148">
        <f>367+107</f>
        <v>474</v>
      </c>
      <c r="BS33" s="148">
        <v>392</v>
      </c>
      <c r="BT33" s="915">
        <f t="shared" si="67"/>
        <v>392</v>
      </c>
      <c r="BU33" s="148">
        <v>485</v>
      </c>
      <c r="BV33" s="148">
        <v>477</v>
      </c>
      <c r="BW33" s="148">
        <v>502</v>
      </c>
      <c r="BX33" s="148">
        <v>468</v>
      </c>
      <c r="BY33" s="915">
        <f t="shared" si="68"/>
        <v>468</v>
      </c>
      <c r="BZ33" s="148">
        <v>485</v>
      </c>
      <c r="CA33" s="148">
        <v>548</v>
      </c>
      <c r="CB33" s="148">
        <v>536</v>
      </c>
      <c r="CC33" s="148">
        <v>427</v>
      </c>
      <c r="CD33" s="915">
        <f t="shared" si="69"/>
        <v>427</v>
      </c>
      <c r="CE33" s="148">
        <v>494</v>
      </c>
      <c r="CF33" s="148">
        <v>364</v>
      </c>
      <c r="CG33" s="148">
        <v>419</v>
      </c>
      <c r="CH33" s="148">
        <v>363</v>
      </c>
      <c r="CI33" s="915">
        <f t="shared" si="70"/>
        <v>363</v>
      </c>
      <c r="CJ33" s="148">
        <v>340</v>
      </c>
      <c r="CK33" s="148">
        <v>340</v>
      </c>
      <c r="CL33" s="148">
        <v>499</v>
      </c>
      <c r="CM33" s="148">
        <v>368</v>
      </c>
      <c r="CN33" s="915">
        <f t="shared" si="71"/>
        <v>368</v>
      </c>
      <c r="CO33" s="148">
        <v>350</v>
      </c>
      <c r="CP33" s="148">
        <v>340</v>
      </c>
      <c r="CQ33" s="148">
        <v>372</v>
      </c>
      <c r="CR33" s="148">
        <v>362</v>
      </c>
      <c r="CS33" s="915">
        <f t="shared" si="72"/>
        <v>362</v>
      </c>
      <c r="CT33" s="148">
        <v>352</v>
      </c>
      <c r="CU33" s="148">
        <v>427</v>
      </c>
      <c r="CV33" s="148">
        <v>389</v>
      </c>
      <c r="CW33" s="148">
        <v>335</v>
      </c>
      <c r="CX33" s="915">
        <f t="shared" si="73"/>
        <v>335</v>
      </c>
      <c r="CY33" s="148">
        <v>351</v>
      </c>
      <c r="CZ33" s="148">
        <v>423</v>
      </c>
      <c r="DA33" s="148">
        <v>452</v>
      </c>
      <c r="DB33" s="148">
        <v>719</v>
      </c>
      <c r="DC33" s="915">
        <f t="shared" si="74"/>
        <v>719</v>
      </c>
      <c r="DD33" s="148">
        <v>686</v>
      </c>
      <c r="DE33" s="148">
        <v>709</v>
      </c>
      <c r="DF33" s="148">
        <v>804</v>
      </c>
      <c r="DG33" s="148">
        <v>1051</v>
      </c>
      <c r="DH33" s="915">
        <f t="shared" si="75"/>
        <v>1051</v>
      </c>
      <c r="DI33" s="148">
        <f>954+45+400</f>
        <v>1399</v>
      </c>
      <c r="DJ33" s="148">
        <f>1086+244</f>
        <v>1330</v>
      </c>
      <c r="DK33" s="148">
        <f>226+1236</f>
        <v>1462</v>
      </c>
      <c r="DL33" s="148">
        <f>1144+101</f>
        <v>1245</v>
      </c>
      <c r="DM33" s="915">
        <f t="shared" si="76"/>
        <v>1245</v>
      </c>
      <c r="DN33" s="148">
        <v>1205</v>
      </c>
      <c r="DO33" s="148">
        <v>1225</v>
      </c>
      <c r="DP33" s="148">
        <f>1293+13</f>
        <v>1306</v>
      </c>
      <c r="DQ33" s="148">
        <v>1234</v>
      </c>
      <c r="DR33" s="915">
        <f t="shared" si="77"/>
        <v>1234</v>
      </c>
      <c r="DS33" s="148">
        <v>1163</v>
      </c>
      <c r="DT33" s="148">
        <v>1861</v>
      </c>
      <c r="DU33" s="148">
        <v>1146</v>
      </c>
      <c r="DV33" s="148">
        <v>1227</v>
      </c>
      <c r="DW33" s="915">
        <f t="shared" si="78"/>
        <v>1227</v>
      </c>
      <c r="DX33" s="914">
        <f>+DW33-SUM(DX143:DX148)-DX180</f>
        <v>1227</v>
      </c>
      <c r="DY33" s="914">
        <f>+DX33-SUM(DY143:DY148)-DY180</f>
        <v>1227</v>
      </c>
      <c r="DZ33" s="914">
        <f>+DY33-SUM(DZ143:DZ148)-DZ180</f>
        <v>1227</v>
      </c>
      <c r="EA33" s="914">
        <f>+DZ33-SUM(EA143:EA148)-EA180</f>
        <v>1227</v>
      </c>
      <c r="EB33" s="915">
        <f t="shared" si="79"/>
        <v>1227</v>
      </c>
      <c r="EC33" s="914">
        <f>+EB33-SUM(EC143:EC148)-EC180</f>
        <v>1227</v>
      </c>
      <c r="ED33" s="914">
        <f>+EC33-SUM(ED143:ED148)-ED180</f>
        <v>1227</v>
      </c>
      <c r="EE33" s="914">
        <f>+ED33-SUM(EE143:EE148)-EE180</f>
        <v>1227</v>
      </c>
      <c r="EF33" s="914">
        <f>+EE33-SUM(EF143:EF148)-EF180</f>
        <v>1227</v>
      </c>
      <c r="EG33" s="915">
        <f t="shared" si="80"/>
        <v>1227</v>
      </c>
      <c r="EH33" s="914">
        <f>+EG33-SUM(EH143:EH148)-EH180</f>
        <v>1227</v>
      </c>
      <c r="EI33" s="914">
        <f>+EH33-SUM(EI143:EI148)-EI180</f>
        <v>1227</v>
      </c>
      <c r="EJ33" s="914">
        <f>+EI33-SUM(EJ143:EJ148)-EJ180</f>
        <v>1227</v>
      </c>
      <c r="EK33" s="914">
        <f>+EJ33-SUM(EK143:EK148)-EK180</f>
        <v>1227</v>
      </c>
      <c r="EL33" s="915">
        <f t="shared" si="81"/>
        <v>1227</v>
      </c>
      <c r="EM33" s="901"/>
      <c r="EN33"/>
      <c r="EO33"/>
      <c r="EP33"/>
      <c r="EQ33"/>
      <c r="ER33"/>
      <c r="ES33"/>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row>
    <row r="34" spans="1:268" s="142" customFormat="1" ht="12" customHeight="1">
      <c r="A34" s="803"/>
      <c r="B34" s="804" t="s">
        <v>551</v>
      </c>
      <c r="C34" s="923"/>
      <c r="D34" s="923">
        <f t="shared" ref="D34:AT34" si="86">SUM(D26:D33)</f>
        <v>1178.26</v>
      </c>
      <c r="E34" s="923">
        <f t="shared" si="86"/>
        <v>1132.4000000000001</v>
      </c>
      <c r="F34" s="923">
        <f t="shared" si="86"/>
        <v>624.9</v>
      </c>
      <c r="G34" s="923">
        <f t="shared" si="86"/>
        <v>1356</v>
      </c>
      <c r="H34" s="916">
        <f t="shared" si="86"/>
        <v>1356</v>
      </c>
      <c r="I34" s="923">
        <f t="shared" si="86"/>
        <v>1257.2000000000003</v>
      </c>
      <c r="J34" s="923">
        <f t="shared" si="86"/>
        <v>1178.7</v>
      </c>
      <c r="K34" s="923">
        <f t="shared" si="86"/>
        <v>1027.3</v>
      </c>
      <c r="L34" s="923">
        <f t="shared" si="86"/>
        <v>1134</v>
      </c>
      <c r="M34" s="916">
        <f t="shared" si="86"/>
        <v>1134</v>
      </c>
      <c r="N34" s="923">
        <f t="shared" si="86"/>
        <v>1022.6999999999998</v>
      </c>
      <c r="O34" s="923">
        <f t="shared" si="86"/>
        <v>944.9</v>
      </c>
      <c r="P34" s="923">
        <f t="shared" si="86"/>
        <v>1556.1</v>
      </c>
      <c r="Q34" s="923">
        <f t="shared" si="86"/>
        <v>1869</v>
      </c>
      <c r="R34" s="916">
        <f t="shared" si="86"/>
        <v>1869</v>
      </c>
      <c r="S34" s="923">
        <f t="shared" si="86"/>
        <v>1636</v>
      </c>
      <c r="T34" s="923">
        <f t="shared" si="86"/>
        <v>1634</v>
      </c>
      <c r="U34" s="923">
        <f t="shared" si="86"/>
        <v>1640</v>
      </c>
      <c r="V34" s="923">
        <f t="shared" si="86"/>
        <v>1708</v>
      </c>
      <c r="W34" s="916">
        <f t="shared" si="86"/>
        <v>1708</v>
      </c>
      <c r="X34" s="923">
        <f t="shared" si="86"/>
        <v>1648</v>
      </c>
      <c r="Y34" s="923">
        <f t="shared" si="86"/>
        <v>1820</v>
      </c>
      <c r="Z34" s="923">
        <f t="shared" si="86"/>
        <v>1845</v>
      </c>
      <c r="AA34" s="923">
        <f t="shared" si="86"/>
        <v>2022</v>
      </c>
      <c r="AB34" s="916">
        <f t="shared" si="86"/>
        <v>2022</v>
      </c>
      <c r="AC34" s="923">
        <f t="shared" si="86"/>
        <v>1767</v>
      </c>
      <c r="AD34" s="923">
        <f t="shared" si="86"/>
        <v>1925</v>
      </c>
      <c r="AE34" s="923">
        <f t="shared" si="86"/>
        <v>1800</v>
      </c>
      <c r="AF34" s="923">
        <f t="shared" si="86"/>
        <v>1912</v>
      </c>
      <c r="AG34" s="916">
        <f t="shared" si="86"/>
        <v>1912</v>
      </c>
      <c r="AH34" s="923">
        <f t="shared" si="86"/>
        <v>1836</v>
      </c>
      <c r="AI34" s="923">
        <f t="shared" si="86"/>
        <v>1932</v>
      </c>
      <c r="AJ34" s="923">
        <f t="shared" si="86"/>
        <v>1900</v>
      </c>
      <c r="AK34" s="923">
        <f t="shared" si="86"/>
        <v>2166</v>
      </c>
      <c r="AL34" s="916">
        <f t="shared" si="86"/>
        <v>2166</v>
      </c>
      <c r="AM34" s="923">
        <f t="shared" si="86"/>
        <v>2096</v>
      </c>
      <c r="AN34" s="923">
        <f t="shared" si="86"/>
        <v>2226</v>
      </c>
      <c r="AO34" s="923">
        <f t="shared" si="86"/>
        <v>2280</v>
      </c>
      <c r="AP34" s="923">
        <f t="shared" si="86"/>
        <v>2584</v>
      </c>
      <c r="AQ34" s="916">
        <f t="shared" si="86"/>
        <v>2584</v>
      </c>
      <c r="AR34" s="923">
        <f t="shared" si="86"/>
        <v>2459</v>
      </c>
      <c r="AS34" s="923">
        <f t="shared" si="86"/>
        <v>2316</v>
      </c>
      <c r="AT34" s="923">
        <f t="shared" si="86"/>
        <v>2300</v>
      </c>
      <c r="AU34" s="802"/>
      <c r="AV34" s="153">
        <f t="shared" ref="AV34:CA34" si="87">SUM(AV26:AV33)</f>
        <v>0</v>
      </c>
      <c r="AW34" s="153">
        <f t="shared" si="87"/>
        <v>0</v>
      </c>
      <c r="AX34" s="153">
        <f t="shared" si="87"/>
        <v>0</v>
      </c>
      <c r="AY34" s="923">
        <f t="shared" si="87"/>
        <v>2381</v>
      </c>
      <c r="AZ34" s="916">
        <f t="shared" si="87"/>
        <v>2381</v>
      </c>
      <c r="BA34" s="923">
        <f t="shared" si="87"/>
        <v>2311</v>
      </c>
      <c r="BB34" s="923">
        <f t="shared" si="87"/>
        <v>2284</v>
      </c>
      <c r="BC34" s="923">
        <f t="shared" si="87"/>
        <v>2373</v>
      </c>
      <c r="BD34" s="923">
        <f t="shared" si="87"/>
        <v>2394</v>
      </c>
      <c r="BE34" s="916">
        <f t="shared" si="87"/>
        <v>2394</v>
      </c>
      <c r="BF34" s="923">
        <f t="shared" si="87"/>
        <v>2198</v>
      </c>
      <c r="BG34" s="923">
        <f t="shared" si="87"/>
        <v>2073</v>
      </c>
      <c r="BH34" s="923">
        <f t="shared" si="87"/>
        <v>2101</v>
      </c>
      <c r="BI34" s="923">
        <f t="shared" si="87"/>
        <v>2130</v>
      </c>
      <c r="BJ34" s="924">
        <f t="shared" si="87"/>
        <v>2130</v>
      </c>
      <c r="BK34" s="923">
        <f t="shared" si="87"/>
        <v>1843</v>
      </c>
      <c r="BL34" s="923">
        <f t="shared" si="87"/>
        <v>1976</v>
      </c>
      <c r="BM34" s="923">
        <f t="shared" si="87"/>
        <v>1982</v>
      </c>
      <c r="BN34" s="923">
        <f t="shared" si="87"/>
        <v>2292</v>
      </c>
      <c r="BO34" s="924">
        <f t="shared" si="87"/>
        <v>2292</v>
      </c>
      <c r="BP34" s="923">
        <f t="shared" si="87"/>
        <v>1809</v>
      </c>
      <c r="BQ34" s="923">
        <f t="shared" si="87"/>
        <v>1783</v>
      </c>
      <c r="BR34" s="923">
        <f t="shared" si="87"/>
        <v>1907</v>
      </c>
      <c r="BS34" s="923">
        <f t="shared" si="87"/>
        <v>1925</v>
      </c>
      <c r="BT34" s="924">
        <f t="shared" si="87"/>
        <v>1925</v>
      </c>
      <c r="BU34" s="923">
        <f t="shared" si="87"/>
        <v>1833</v>
      </c>
      <c r="BV34" s="923">
        <f t="shared" si="87"/>
        <v>1843</v>
      </c>
      <c r="BW34" s="923">
        <f t="shared" si="87"/>
        <v>1873</v>
      </c>
      <c r="BX34" s="923">
        <f t="shared" si="87"/>
        <v>2048</v>
      </c>
      <c r="BY34" s="924">
        <f t="shared" si="87"/>
        <v>2048</v>
      </c>
      <c r="BZ34" s="923">
        <f t="shared" si="87"/>
        <v>1873</v>
      </c>
      <c r="CA34" s="923">
        <f t="shared" si="87"/>
        <v>1973</v>
      </c>
      <c r="CB34" s="923">
        <f t="shared" ref="CB34:DG34" si="88">SUM(CB26:CB33)</f>
        <v>1975</v>
      </c>
      <c r="CC34" s="923">
        <f t="shared" si="88"/>
        <v>1949</v>
      </c>
      <c r="CD34" s="924">
        <f t="shared" si="88"/>
        <v>1949</v>
      </c>
      <c r="CE34" s="923">
        <f t="shared" si="88"/>
        <v>1835</v>
      </c>
      <c r="CF34" s="923">
        <f t="shared" si="88"/>
        <v>1705</v>
      </c>
      <c r="CG34" s="923">
        <f t="shared" si="88"/>
        <v>1772</v>
      </c>
      <c r="CH34" s="923">
        <f t="shared" si="88"/>
        <v>1783</v>
      </c>
      <c r="CI34" s="924">
        <f t="shared" si="88"/>
        <v>1783</v>
      </c>
      <c r="CJ34" s="923">
        <f t="shared" si="88"/>
        <v>1579</v>
      </c>
      <c r="CK34" s="923">
        <f t="shared" si="88"/>
        <v>1558</v>
      </c>
      <c r="CL34" s="923">
        <f t="shared" si="88"/>
        <v>1696</v>
      </c>
      <c r="CM34" s="923">
        <f t="shared" si="88"/>
        <v>1725</v>
      </c>
      <c r="CN34" s="924">
        <f t="shared" si="88"/>
        <v>1725</v>
      </c>
      <c r="CO34" s="923">
        <f t="shared" si="88"/>
        <v>1657</v>
      </c>
      <c r="CP34" s="923">
        <f t="shared" si="88"/>
        <v>1662</v>
      </c>
      <c r="CQ34" s="923">
        <f t="shared" si="88"/>
        <v>1679</v>
      </c>
      <c r="CR34" s="923">
        <f t="shared" si="88"/>
        <v>1815</v>
      </c>
      <c r="CS34" s="924">
        <f t="shared" si="88"/>
        <v>1815</v>
      </c>
      <c r="CT34" s="923">
        <f t="shared" si="88"/>
        <v>1840</v>
      </c>
      <c r="CU34" s="923">
        <f t="shared" si="88"/>
        <v>1872</v>
      </c>
      <c r="CV34" s="923">
        <f t="shared" si="88"/>
        <v>1829</v>
      </c>
      <c r="CW34" s="923">
        <f t="shared" si="88"/>
        <v>1763</v>
      </c>
      <c r="CX34" s="924">
        <f t="shared" si="88"/>
        <v>1763</v>
      </c>
      <c r="CY34" s="923">
        <f t="shared" si="88"/>
        <v>1549</v>
      </c>
      <c r="CZ34" s="923">
        <f t="shared" si="88"/>
        <v>1658</v>
      </c>
      <c r="DA34" s="923">
        <f t="shared" si="88"/>
        <v>1769</v>
      </c>
      <c r="DB34" s="923">
        <f t="shared" si="88"/>
        <v>2928</v>
      </c>
      <c r="DC34" s="924">
        <f t="shared" si="88"/>
        <v>2928</v>
      </c>
      <c r="DD34" s="923">
        <f t="shared" si="88"/>
        <v>3336</v>
      </c>
      <c r="DE34" s="923">
        <f t="shared" si="88"/>
        <v>3384</v>
      </c>
      <c r="DF34" s="923">
        <f t="shared" si="88"/>
        <v>3145</v>
      </c>
      <c r="DG34" s="923">
        <f t="shared" si="88"/>
        <v>3577</v>
      </c>
      <c r="DH34" s="924">
        <f t="shared" ref="DH34:DR34" si="89">SUM(DH26:DH33)</f>
        <v>3577</v>
      </c>
      <c r="DI34" s="923">
        <f t="shared" si="89"/>
        <v>3734</v>
      </c>
      <c r="DJ34" s="923">
        <f t="shared" si="89"/>
        <v>3774</v>
      </c>
      <c r="DK34" s="923">
        <f t="shared" si="89"/>
        <v>4093</v>
      </c>
      <c r="DL34" s="923">
        <f t="shared" si="89"/>
        <v>4308</v>
      </c>
      <c r="DM34" s="924">
        <f>SUM(DM26:DM33)</f>
        <v>4308</v>
      </c>
      <c r="DN34" s="923">
        <f t="shared" si="89"/>
        <v>4268</v>
      </c>
      <c r="DO34" s="923">
        <f t="shared" si="89"/>
        <v>4430</v>
      </c>
      <c r="DP34" s="923">
        <f t="shared" si="89"/>
        <v>4547</v>
      </c>
      <c r="DQ34" s="923">
        <f t="shared" si="89"/>
        <v>4034</v>
      </c>
      <c r="DR34" s="924">
        <f t="shared" si="89"/>
        <v>4034</v>
      </c>
      <c r="DS34" s="923">
        <f>SUM(DS26:DS33)</f>
        <v>3767</v>
      </c>
      <c r="DT34" s="923">
        <f>SUM(DT26:DT33)</f>
        <v>4337</v>
      </c>
      <c r="DU34" s="923">
        <f>SUM(DU26:DU33)</f>
        <v>4139</v>
      </c>
      <c r="DV34" s="923">
        <f t="shared" ref="DV34" si="90">SUM(DV26:DV33)</f>
        <v>4332</v>
      </c>
      <c r="DW34" s="924">
        <f>SUM(DW26:DW33)</f>
        <v>4332</v>
      </c>
      <c r="DX34" s="923">
        <f t="shared" ref="DX34:EG34" si="91">SUM(DX26:DX33)</f>
        <v>4147.3212212344279</v>
      </c>
      <c r="DY34" s="923">
        <f t="shared" si="91"/>
        <v>4091.3526140562435</v>
      </c>
      <c r="DZ34" s="923">
        <f t="shared" si="91"/>
        <v>4029.1019936090679</v>
      </c>
      <c r="EA34" s="923">
        <f t="shared" si="91"/>
        <v>4104.5355320701528</v>
      </c>
      <c r="EB34" s="924">
        <f t="shared" si="91"/>
        <v>4104.5355320701528</v>
      </c>
      <c r="EC34" s="923">
        <f t="shared" si="91"/>
        <v>3974.0789697500172</v>
      </c>
      <c r="ED34" s="923">
        <f t="shared" si="91"/>
        <v>3974.9365291584536</v>
      </c>
      <c r="EE34" s="923">
        <f t="shared" si="91"/>
        <v>3942.1490085054111</v>
      </c>
      <c r="EF34" s="923">
        <f t="shared" si="91"/>
        <v>4016.6968393122488</v>
      </c>
      <c r="EG34" s="924">
        <f t="shared" si="91"/>
        <v>4016.6968393122488</v>
      </c>
      <c r="EH34" s="923">
        <f t="shared" ref="EH34:EL34" si="92">SUM(EH26:EH33)</f>
        <v>3999.5861509211527</v>
      </c>
      <c r="EI34" s="923">
        <f t="shared" si="92"/>
        <v>4013.634565122034</v>
      </c>
      <c r="EJ34" s="923">
        <f t="shared" si="92"/>
        <v>3976.1357428226102</v>
      </c>
      <c r="EK34" s="923">
        <f t="shared" si="92"/>
        <v>4056.1187930471315</v>
      </c>
      <c r="EL34" s="924">
        <f t="shared" si="92"/>
        <v>4056.1187930471315</v>
      </c>
      <c r="EM34" s="925"/>
      <c r="EN34"/>
      <c r="EO34"/>
      <c r="EP34"/>
      <c r="EQ34"/>
      <c r="ER34"/>
      <c r="ES34"/>
      <c r="ET34" s="141"/>
      <c r="EU34" s="141"/>
      <c r="EV34" s="141"/>
      <c r="EW34" s="141"/>
      <c r="EX34" s="141"/>
      <c r="EY34" s="141"/>
      <c r="EZ34" s="141"/>
      <c r="FA34" s="141"/>
      <c r="FB34" s="141"/>
      <c r="FC34" s="141"/>
      <c r="FD34" s="141"/>
      <c r="FE34" s="141"/>
      <c r="FF34" s="141"/>
      <c r="FG34" s="141"/>
      <c r="FH34" s="141"/>
      <c r="FI34" s="141"/>
      <c r="FJ34" s="141"/>
      <c r="FK34" s="141"/>
      <c r="FL34" s="141"/>
      <c r="FM34" s="141"/>
      <c r="FN34" s="141"/>
      <c r="FO34" s="141"/>
      <c r="FP34" s="141"/>
      <c r="FQ34" s="141"/>
      <c r="FR34" s="141"/>
      <c r="FS34" s="141"/>
      <c r="FT34" s="141"/>
      <c r="FU34" s="141"/>
      <c r="FV34" s="141"/>
      <c r="FW34" s="141"/>
      <c r="FX34" s="141"/>
      <c r="FY34" s="141"/>
      <c r="FZ34" s="141"/>
      <c r="GA34" s="141"/>
      <c r="GB34" s="141"/>
      <c r="GC34" s="141"/>
      <c r="GD34" s="141"/>
      <c r="GE34" s="141"/>
      <c r="GF34" s="141"/>
      <c r="GG34" s="141"/>
      <c r="GH34" s="141"/>
      <c r="GI34" s="141"/>
      <c r="GJ34" s="141"/>
      <c r="GK34" s="141"/>
      <c r="GL34" s="141"/>
      <c r="GM34" s="141"/>
      <c r="GN34" s="141"/>
      <c r="GO34" s="141"/>
      <c r="GP34" s="141"/>
      <c r="GQ34" s="141"/>
      <c r="GR34" s="141"/>
      <c r="GS34" s="141"/>
      <c r="GT34" s="141"/>
      <c r="GU34" s="141"/>
      <c r="GV34" s="141"/>
      <c r="GW34" s="141"/>
      <c r="GX34" s="141"/>
      <c r="GY34" s="141"/>
      <c r="GZ34" s="141"/>
      <c r="HA34" s="141"/>
      <c r="HB34" s="141"/>
      <c r="HC34" s="141"/>
      <c r="HD34" s="141"/>
      <c r="HE34" s="141"/>
      <c r="HF34" s="141"/>
      <c r="HG34" s="141"/>
      <c r="HH34" s="141"/>
      <c r="HI34" s="141"/>
      <c r="HJ34" s="141"/>
      <c r="HK34" s="141"/>
      <c r="HL34" s="141"/>
      <c r="HM34" s="141"/>
      <c r="HN34" s="141"/>
      <c r="HO34" s="141"/>
      <c r="HP34" s="141"/>
      <c r="HQ34" s="141"/>
      <c r="HR34" s="141"/>
      <c r="HS34" s="141"/>
      <c r="HT34" s="141"/>
      <c r="HU34" s="141"/>
      <c r="HV34" s="141"/>
      <c r="HW34" s="141"/>
      <c r="HX34" s="141"/>
      <c r="HY34" s="141"/>
      <c r="HZ34" s="141"/>
      <c r="IA34" s="141"/>
      <c r="IB34" s="141"/>
      <c r="IC34" s="141"/>
      <c r="ID34" s="141"/>
      <c r="IE34" s="141"/>
      <c r="IF34" s="141"/>
      <c r="IG34" s="141"/>
      <c r="IH34" s="141"/>
      <c r="II34" s="141"/>
      <c r="IJ34" s="141"/>
      <c r="IK34" s="141"/>
      <c r="IL34" s="141"/>
      <c r="IM34" s="141"/>
      <c r="IN34" s="141"/>
      <c r="IO34" s="141"/>
      <c r="IP34" s="141"/>
      <c r="IQ34" s="141"/>
      <c r="IR34" s="141"/>
      <c r="IS34" s="141"/>
      <c r="IT34" s="141"/>
      <c r="IU34" s="141"/>
      <c r="IV34" s="141"/>
      <c r="IW34" s="141"/>
      <c r="IX34" s="141"/>
      <c r="IY34" s="141"/>
      <c r="IZ34" s="141"/>
      <c r="JA34" s="141"/>
      <c r="JB34" s="141"/>
      <c r="JC34" s="141"/>
      <c r="JD34" s="141"/>
      <c r="JE34" s="141"/>
      <c r="JF34" s="141"/>
      <c r="JG34" s="141"/>
      <c r="JH34" s="141"/>
    </row>
    <row r="35" spans="1:268" s="142" customFormat="1" ht="12" customHeight="1">
      <c r="A35" s="801"/>
      <c r="B35" s="555"/>
      <c r="C35" s="555"/>
      <c r="D35" s="555"/>
      <c r="E35" s="557"/>
      <c r="F35" s="557"/>
      <c r="G35" s="918"/>
      <c r="H35" s="900"/>
      <c r="I35" s="557"/>
      <c r="J35" s="557"/>
      <c r="K35" s="557"/>
      <c r="L35" s="918"/>
      <c r="M35" s="900"/>
      <c r="N35" s="557"/>
      <c r="O35" s="557"/>
      <c r="P35" s="557"/>
      <c r="Q35" s="918"/>
      <c r="R35" s="900"/>
      <c r="S35" s="557"/>
      <c r="T35" s="557"/>
      <c r="U35" s="557"/>
      <c r="V35" s="918"/>
      <c r="W35" s="900"/>
      <c r="X35" s="557"/>
      <c r="Y35" s="557"/>
      <c r="Z35" s="557"/>
      <c r="AA35" s="918"/>
      <c r="AB35" s="900"/>
      <c r="AC35" s="557"/>
      <c r="AD35" s="557"/>
      <c r="AE35" s="557"/>
      <c r="AF35" s="918"/>
      <c r="AG35" s="900"/>
      <c r="AH35" s="557"/>
      <c r="AI35" s="557"/>
      <c r="AJ35" s="557"/>
      <c r="AK35" s="918"/>
      <c r="AL35" s="900"/>
      <c r="AM35" s="557"/>
      <c r="AN35" s="557"/>
      <c r="AO35" s="557"/>
      <c r="AP35" s="918"/>
      <c r="AQ35" s="900"/>
      <c r="AR35" s="557"/>
      <c r="AS35" s="557"/>
      <c r="AT35" s="557"/>
      <c r="AU35" s="802"/>
      <c r="AV35" s="555"/>
      <c r="AW35" s="555"/>
      <c r="AX35" s="555"/>
      <c r="AY35" s="555"/>
      <c r="AZ35" s="802"/>
      <c r="BA35" s="557"/>
      <c r="BB35" s="557"/>
      <c r="BC35" s="555"/>
      <c r="BD35" s="555"/>
      <c r="BE35" s="844"/>
      <c r="BF35" s="557"/>
      <c r="BG35" s="557"/>
      <c r="BH35" s="555"/>
      <c r="BI35" s="555"/>
      <c r="BJ35" s="802"/>
      <c r="BK35" s="557"/>
      <c r="BL35" s="557"/>
      <c r="BM35" s="555"/>
      <c r="BN35" s="555"/>
      <c r="BO35" s="802"/>
      <c r="BP35" s="557"/>
      <c r="BQ35" s="557"/>
      <c r="BR35" s="555"/>
      <c r="BS35" s="555"/>
      <c r="BT35" s="802"/>
      <c r="BU35" s="557"/>
      <c r="BV35" s="557"/>
      <c r="BW35" s="555"/>
      <c r="BX35" s="555"/>
      <c r="BY35" s="802"/>
      <c r="BZ35" s="557"/>
      <c r="CA35" s="557"/>
      <c r="CB35" s="555"/>
      <c r="CC35" s="555"/>
      <c r="CD35" s="802"/>
      <c r="CE35" s="557"/>
      <c r="CF35" s="557"/>
      <c r="CG35" s="555"/>
      <c r="CH35" s="555"/>
      <c r="CI35" s="802"/>
      <c r="CJ35" s="555"/>
      <c r="CK35" s="555"/>
      <c r="CL35" s="555"/>
      <c r="CM35" s="555"/>
      <c r="CN35" s="802"/>
      <c r="CO35" s="555"/>
      <c r="CP35" s="555"/>
      <c r="CQ35" s="555"/>
      <c r="CR35" s="555"/>
      <c r="CS35" s="802"/>
      <c r="CT35" s="555"/>
      <c r="CU35" s="555"/>
      <c r="CV35" s="843"/>
      <c r="CW35" s="557"/>
      <c r="CX35" s="802"/>
      <c r="CY35" s="555"/>
      <c r="CZ35" s="555"/>
      <c r="DA35" s="555"/>
      <c r="DB35" s="555"/>
      <c r="DC35" s="802"/>
      <c r="DD35" s="555"/>
      <c r="DE35" s="555"/>
      <c r="DF35" s="555"/>
      <c r="DG35" s="555"/>
      <c r="DH35" s="802"/>
      <c r="DI35" s="555"/>
      <c r="DJ35" s="555"/>
      <c r="DK35" s="555"/>
      <c r="DL35" s="555"/>
      <c r="DM35" s="802"/>
      <c r="DN35" s="555"/>
      <c r="DO35" s="555"/>
      <c r="DP35" s="555"/>
      <c r="DQ35" s="555"/>
      <c r="DR35" s="802"/>
      <c r="DS35" s="555"/>
      <c r="DT35" s="555"/>
      <c r="DU35" s="555"/>
      <c r="DV35" s="555"/>
      <c r="DW35" s="802"/>
      <c r="DX35" s="555"/>
      <c r="DY35" s="555"/>
      <c r="DZ35" s="555"/>
      <c r="EA35" s="555"/>
      <c r="EB35" s="802"/>
      <c r="EC35" s="555"/>
      <c r="ED35" s="555"/>
      <c r="EE35" s="555"/>
      <c r="EF35" s="555"/>
      <c r="EG35" s="802"/>
      <c r="EH35" s="555"/>
      <c r="EI35" s="555"/>
      <c r="EJ35" s="555"/>
      <c r="EK35" s="555"/>
      <c r="EL35" s="802"/>
      <c r="EM35" s="555"/>
      <c r="EN35"/>
      <c r="EO35"/>
      <c r="EP35"/>
      <c r="EQ35"/>
      <c r="ER35"/>
      <c r="ES35"/>
      <c r="ET35" s="141"/>
      <c r="EU35" s="141"/>
      <c r="EV35" s="141"/>
      <c r="EW35" s="141"/>
      <c r="EX35" s="141"/>
      <c r="EY35" s="141"/>
      <c r="EZ35" s="141"/>
      <c r="FA35" s="141"/>
      <c r="FB35" s="141"/>
      <c r="FC35" s="141"/>
      <c r="FD35" s="141"/>
      <c r="FE35" s="141"/>
      <c r="FF35" s="141"/>
      <c r="FG35" s="141"/>
      <c r="FH35" s="141"/>
      <c r="FI35" s="141"/>
      <c r="FJ35" s="141"/>
      <c r="FK35" s="141"/>
      <c r="FL35" s="141"/>
      <c r="FM35" s="141"/>
      <c r="FN35" s="141"/>
      <c r="FO35" s="141"/>
      <c r="FP35" s="141"/>
      <c r="FQ35" s="141"/>
      <c r="FR35" s="141"/>
      <c r="FS35" s="141"/>
      <c r="FT35" s="141"/>
      <c r="FU35" s="141"/>
      <c r="FV35" s="141"/>
      <c r="FW35" s="141"/>
      <c r="FX35" s="141"/>
      <c r="FY35" s="141"/>
      <c r="FZ35" s="141"/>
      <c r="GA35" s="141"/>
      <c r="GB35" s="141"/>
      <c r="GC35" s="141"/>
      <c r="GD35" s="141"/>
      <c r="GE35" s="141"/>
      <c r="GF35" s="141"/>
      <c r="GG35" s="141"/>
      <c r="GH35" s="141"/>
      <c r="GI35" s="141"/>
      <c r="GJ35" s="141"/>
      <c r="GK35" s="141"/>
      <c r="GL35" s="141"/>
      <c r="GM35" s="141"/>
      <c r="GN35" s="141"/>
      <c r="GO35" s="141"/>
      <c r="GP35" s="141"/>
      <c r="GQ35" s="141"/>
      <c r="GR35" s="141"/>
      <c r="GS35" s="141"/>
      <c r="GT35" s="141"/>
      <c r="GU35" s="141"/>
      <c r="GV35" s="141"/>
      <c r="GW35" s="141"/>
      <c r="GX35" s="141"/>
      <c r="GY35" s="141"/>
      <c r="GZ35" s="141"/>
      <c r="HA35" s="141"/>
      <c r="HB35" s="141"/>
      <c r="HC35" s="141"/>
      <c r="HD35" s="141"/>
      <c r="HE35" s="141"/>
      <c r="HF35" s="141"/>
      <c r="HG35" s="141"/>
      <c r="HH35" s="141"/>
      <c r="HI35" s="141"/>
      <c r="HJ35" s="141"/>
      <c r="HK35" s="141"/>
      <c r="HL35" s="141"/>
      <c r="HM35" s="141"/>
      <c r="HN35" s="141"/>
      <c r="HO35" s="141"/>
      <c r="HP35" s="141"/>
      <c r="HQ35" s="141"/>
      <c r="HR35" s="141"/>
      <c r="HS35" s="141"/>
      <c r="HT35" s="141"/>
      <c r="HU35" s="141"/>
      <c r="HV35" s="141"/>
      <c r="HW35" s="141"/>
      <c r="HX35" s="141"/>
      <c r="HY35" s="141"/>
      <c r="HZ35" s="141"/>
      <c r="IA35" s="141"/>
      <c r="IB35" s="141"/>
      <c r="IC35" s="141"/>
      <c r="ID35" s="141"/>
      <c r="IE35" s="141"/>
      <c r="IF35" s="141"/>
      <c r="IG35" s="141"/>
      <c r="IH35" s="141"/>
      <c r="II35" s="141"/>
      <c r="IJ35" s="141"/>
      <c r="IK35" s="141"/>
      <c r="IL35" s="141"/>
      <c r="IM35" s="141"/>
      <c r="IN35" s="141"/>
      <c r="IO35" s="141"/>
      <c r="IP35" s="141"/>
      <c r="IQ35" s="141"/>
      <c r="IR35" s="141"/>
      <c r="IS35" s="141"/>
      <c r="IT35" s="141"/>
      <c r="IU35" s="141"/>
      <c r="IV35" s="141"/>
      <c r="IW35" s="141"/>
      <c r="IX35" s="141"/>
      <c r="IY35" s="141"/>
      <c r="IZ35" s="141"/>
      <c r="JA35" s="141"/>
      <c r="JB35" s="141"/>
      <c r="JC35" s="141"/>
      <c r="JD35" s="141"/>
      <c r="JE35" s="141"/>
      <c r="JF35" s="141"/>
      <c r="JG35" s="141"/>
      <c r="JH35" s="141"/>
    </row>
    <row r="36" spans="1:268" s="142" customFormat="1" ht="12" customHeight="1">
      <c r="A36" s="801"/>
      <c r="B36" s="557" t="s">
        <v>552</v>
      </c>
      <c r="C36" s="147"/>
      <c r="D36" s="147">
        <v>243.85599999999999</v>
      </c>
      <c r="E36" s="147">
        <v>236.3</v>
      </c>
      <c r="F36" s="147">
        <v>725.6</v>
      </c>
      <c r="G36" s="150">
        <v>3273</v>
      </c>
      <c r="H36" s="900">
        <f>G36</f>
        <v>3273</v>
      </c>
      <c r="I36" s="147">
        <v>3226.1</v>
      </c>
      <c r="J36" s="147">
        <v>3254.9</v>
      </c>
      <c r="K36" s="147">
        <v>3270</v>
      </c>
      <c r="L36" s="150">
        <v>3191</v>
      </c>
      <c r="M36" s="900">
        <f>L36</f>
        <v>3191</v>
      </c>
      <c r="N36" s="147">
        <v>3183.4</v>
      </c>
      <c r="O36" s="147">
        <v>3332.5</v>
      </c>
      <c r="P36" s="147">
        <v>4855.5</v>
      </c>
      <c r="Q36" s="150">
        <v>5022</v>
      </c>
      <c r="R36" s="900">
        <f>Q36</f>
        <v>5022</v>
      </c>
      <c r="S36" s="147">
        <v>5293</v>
      </c>
      <c r="T36" s="147">
        <v>5520</v>
      </c>
      <c r="U36" s="147">
        <v>5755</v>
      </c>
      <c r="V36" s="150">
        <v>5829</v>
      </c>
      <c r="W36" s="900">
        <f>V36</f>
        <v>5829</v>
      </c>
      <c r="X36" s="147">
        <v>6025</v>
      </c>
      <c r="Y36" s="147">
        <v>6309</v>
      </c>
      <c r="Z36" s="147">
        <v>6496</v>
      </c>
      <c r="AA36" s="150">
        <v>6391</v>
      </c>
      <c r="AB36" s="900">
        <f>AA36</f>
        <v>6391</v>
      </c>
      <c r="AC36" s="147">
        <v>6525</v>
      </c>
      <c r="AD36" s="147">
        <v>5780</v>
      </c>
      <c r="AE36" s="147">
        <v>5997</v>
      </c>
      <c r="AF36" s="150">
        <v>5668</v>
      </c>
      <c r="AG36" s="900">
        <f>AF36</f>
        <v>5668</v>
      </c>
      <c r="AH36" s="147">
        <v>5424</v>
      </c>
      <c r="AI36" s="147">
        <v>5047</v>
      </c>
      <c r="AJ36" s="147">
        <v>4856</v>
      </c>
      <c r="AK36" s="150">
        <v>4202</v>
      </c>
      <c r="AL36" s="900">
        <f>AK36</f>
        <v>4202</v>
      </c>
      <c r="AM36" s="147">
        <v>4362</v>
      </c>
      <c r="AN36" s="147">
        <v>4321</v>
      </c>
      <c r="AO36" s="147">
        <v>4288</v>
      </c>
      <c r="AP36" s="150">
        <v>3919</v>
      </c>
      <c r="AQ36" s="900">
        <f>AP36</f>
        <v>3919</v>
      </c>
      <c r="AR36" s="147">
        <v>3551</v>
      </c>
      <c r="AS36" s="147">
        <v>3888</v>
      </c>
      <c r="AT36" s="147">
        <v>4024</v>
      </c>
      <c r="AU36" s="802"/>
      <c r="AV36" s="161"/>
      <c r="AW36" s="561"/>
      <c r="AX36" s="561"/>
      <c r="AY36" s="147">
        <v>3872</v>
      </c>
      <c r="AZ36" s="844">
        <f>AY36</f>
        <v>3872</v>
      </c>
      <c r="BA36" s="147">
        <v>4025</v>
      </c>
      <c r="BB36" s="147">
        <v>4026</v>
      </c>
      <c r="BC36" s="147">
        <v>4032</v>
      </c>
      <c r="BD36" s="147">
        <v>4039</v>
      </c>
      <c r="BE36" s="902">
        <f>BD36</f>
        <v>4039</v>
      </c>
      <c r="BF36" s="147">
        <v>4009</v>
      </c>
      <c r="BG36" s="147">
        <v>4488</v>
      </c>
      <c r="BH36" s="147">
        <v>4487</v>
      </c>
      <c r="BI36" s="147">
        <v>4395</v>
      </c>
      <c r="BJ36" s="844">
        <f>BI36</f>
        <v>4395</v>
      </c>
      <c r="BK36" s="147">
        <v>4782</v>
      </c>
      <c r="BL36" s="147">
        <v>4784</v>
      </c>
      <c r="BM36" s="147">
        <v>4783</v>
      </c>
      <c r="BN36" s="147">
        <v>4784</v>
      </c>
      <c r="BO36" s="844">
        <f>BN36</f>
        <v>4784</v>
      </c>
      <c r="BP36" s="147">
        <v>4785</v>
      </c>
      <c r="BQ36" s="147">
        <v>4787</v>
      </c>
      <c r="BR36" s="147">
        <v>4759</v>
      </c>
      <c r="BS36" s="147">
        <v>4760</v>
      </c>
      <c r="BT36" s="844">
        <f>BS36</f>
        <v>4760</v>
      </c>
      <c r="BU36" s="147">
        <v>4762</v>
      </c>
      <c r="BV36" s="147">
        <v>4764</v>
      </c>
      <c r="BW36" s="147">
        <v>4766</v>
      </c>
      <c r="BX36" s="147">
        <v>4771</v>
      </c>
      <c r="BY36" s="844">
        <f>BX36</f>
        <v>4771</v>
      </c>
      <c r="BZ36" s="147">
        <v>4773</v>
      </c>
      <c r="CA36" s="147">
        <v>4775</v>
      </c>
      <c r="CB36" s="147">
        <v>4777</v>
      </c>
      <c r="CC36" s="147">
        <v>4778</v>
      </c>
      <c r="CD36" s="844">
        <f>CC36</f>
        <v>4778</v>
      </c>
      <c r="CE36" s="147">
        <v>4639</v>
      </c>
      <c r="CF36" s="147">
        <v>4624</v>
      </c>
      <c r="CG36" s="147">
        <v>4267</v>
      </c>
      <c r="CH36" s="147">
        <v>4272</v>
      </c>
      <c r="CI36" s="844">
        <f>CH36</f>
        <v>4272</v>
      </c>
      <c r="CJ36" s="147">
        <v>4271</v>
      </c>
      <c r="CK36" s="147">
        <v>4272</v>
      </c>
      <c r="CL36" s="147">
        <v>4057</v>
      </c>
      <c r="CM36" s="147">
        <v>3997</v>
      </c>
      <c r="CN36" s="844">
        <f>CM36</f>
        <v>3997</v>
      </c>
      <c r="CO36" s="147">
        <v>4014</v>
      </c>
      <c r="CP36" s="147">
        <v>3989</v>
      </c>
      <c r="CQ36" s="898">
        <v>3966</v>
      </c>
      <c r="CR36" s="898">
        <v>4294</v>
      </c>
      <c r="CS36" s="844">
        <f>CR36</f>
        <v>4294</v>
      </c>
      <c r="CT36" s="898">
        <v>4295</v>
      </c>
      <c r="CU36" s="898">
        <v>4511</v>
      </c>
      <c r="CV36" s="898">
        <v>4508</v>
      </c>
      <c r="CW36" s="898">
        <v>5158</v>
      </c>
      <c r="CX36" s="844">
        <f>CW36</f>
        <v>5158</v>
      </c>
      <c r="CY36" s="898">
        <v>5375</v>
      </c>
      <c r="CZ36" s="898">
        <v>5564</v>
      </c>
      <c r="DA36" s="898">
        <v>5690</v>
      </c>
      <c r="DB36" s="898">
        <v>10690</v>
      </c>
      <c r="DC36" s="844">
        <f>DB36</f>
        <v>10690</v>
      </c>
      <c r="DD36" s="898">
        <v>10612</v>
      </c>
      <c r="DE36" s="898">
        <v>10942</v>
      </c>
      <c r="DF36" s="898">
        <v>11455</v>
      </c>
      <c r="DG36" s="898">
        <v>11695</v>
      </c>
      <c r="DH36" s="844">
        <f>DG36</f>
        <v>11695</v>
      </c>
      <c r="DI36" s="898">
        <v>11824</v>
      </c>
      <c r="DJ36" s="898">
        <v>14637</v>
      </c>
      <c r="DK36" s="898">
        <v>14642</v>
      </c>
      <c r="DL36" s="898">
        <v>14383</v>
      </c>
      <c r="DM36" s="844">
        <f>DL36</f>
        <v>14383</v>
      </c>
      <c r="DN36" s="898">
        <v>14350</v>
      </c>
      <c r="DO36" s="898">
        <v>14320</v>
      </c>
      <c r="DP36" s="898">
        <v>14323</v>
      </c>
      <c r="DQ36" s="898">
        <v>15064</v>
      </c>
      <c r="DR36" s="844">
        <f>DQ36</f>
        <v>15064</v>
      </c>
      <c r="DS36" s="898">
        <v>15071</v>
      </c>
      <c r="DT36" s="898">
        <v>15012</v>
      </c>
      <c r="DU36" s="898">
        <v>14741</v>
      </c>
      <c r="DV36" s="898">
        <v>14791</v>
      </c>
      <c r="DW36" s="844">
        <f>DV36</f>
        <v>14791</v>
      </c>
      <c r="DX36" s="843">
        <f>Debt!DX21-Debt!DX22</f>
        <v>14437</v>
      </c>
      <c r="DY36" s="843">
        <f>Debt!DY21-Debt!DY22</f>
        <v>13937</v>
      </c>
      <c r="DZ36" s="843">
        <f>Debt!DZ21-Debt!DZ22</f>
        <v>13937</v>
      </c>
      <c r="EA36" s="843">
        <f>Debt!EA21-Debt!EA22</f>
        <v>13437</v>
      </c>
      <c r="EB36" s="844">
        <f>EA36</f>
        <v>13437</v>
      </c>
      <c r="EC36" s="843">
        <f>Debt!EC21-Debt!EC22</f>
        <v>13437</v>
      </c>
      <c r="ED36" s="843">
        <f>Debt!ED21-Debt!ED22</f>
        <v>13437</v>
      </c>
      <c r="EE36" s="843">
        <f>Debt!EE21-Debt!EE22</f>
        <v>13437</v>
      </c>
      <c r="EF36" s="843">
        <f>Debt!EF21-Debt!EF22</f>
        <v>13437</v>
      </c>
      <c r="EG36" s="844">
        <f>EF36</f>
        <v>13437</v>
      </c>
      <c r="EH36" s="843">
        <f>Debt!EH21-Debt!EH22</f>
        <v>13237</v>
      </c>
      <c r="EI36" s="843">
        <f>Debt!EI21-Debt!EI22</f>
        <v>13037</v>
      </c>
      <c r="EJ36" s="843">
        <f>Debt!EJ21-Debt!EJ22</f>
        <v>12837</v>
      </c>
      <c r="EK36" s="843">
        <f>Debt!EK21-Debt!EK22</f>
        <v>12637</v>
      </c>
      <c r="EL36" s="844">
        <f>EK36</f>
        <v>12637</v>
      </c>
      <c r="EM36" s="561"/>
      <c r="EN36"/>
      <c r="EO36"/>
      <c r="EP36"/>
      <c r="EQ36"/>
      <c r="ER36"/>
      <c r="ES36"/>
      <c r="ET36" s="141"/>
      <c r="EU36" s="141"/>
      <c r="EV36" s="141"/>
      <c r="EW36" s="141"/>
      <c r="EX36" s="141"/>
      <c r="EY36" s="141"/>
      <c r="EZ36" s="141"/>
      <c r="FA36" s="141"/>
      <c r="FB36" s="141"/>
      <c r="FC36" s="141"/>
      <c r="FD36" s="141"/>
      <c r="FE36" s="141"/>
      <c r="FF36" s="141"/>
      <c r="FG36" s="141"/>
      <c r="FH36" s="141"/>
      <c r="FI36" s="141"/>
      <c r="FJ36" s="141"/>
      <c r="FK36" s="141"/>
      <c r="FL36" s="141"/>
      <c r="FM36" s="141"/>
      <c r="FN36" s="141"/>
      <c r="FO36" s="141"/>
      <c r="FP36" s="141"/>
      <c r="FQ36" s="141"/>
      <c r="FR36" s="141"/>
      <c r="FS36" s="141"/>
      <c r="FT36" s="141"/>
      <c r="FU36" s="141"/>
      <c r="FV36" s="141"/>
      <c r="FW36" s="141"/>
      <c r="FX36" s="141"/>
      <c r="FY36" s="141"/>
      <c r="FZ36" s="141"/>
      <c r="GA36" s="141"/>
      <c r="GB36" s="141"/>
      <c r="GC36" s="141"/>
      <c r="GD36" s="141"/>
      <c r="GE36" s="141"/>
      <c r="GF36" s="141"/>
      <c r="GG36" s="141"/>
      <c r="GH36" s="141"/>
      <c r="GI36" s="141"/>
      <c r="GJ36" s="141"/>
      <c r="GK36" s="141"/>
      <c r="GL36" s="141"/>
      <c r="GM36" s="141"/>
      <c r="GN36" s="141"/>
      <c r="GO36" s="141"/>
      <c r="GP36" s="141"/>
      <c r="GQ36" s="141"/>
      <c r="GR36" s="141"/>
      <c r="GS36" s="141"/>
      <c r="GT36" s="141"/>
      <c r="GU36" s="141"/>
      <c r="GV36" s="141"/>
      <c r="GW36" s="141"/>
      <c r="GX36" s="141"/>
      <c r="GY36" s="141"/>
      <c r="GZ36" s="141"/>
      <c r="HA36" s="141"/>
      <c r="HB36" s="141"/>
      <c r="HC36" s="141"/>
      <c r="HD36" s="141"/>
      <c r="HE36" s="141"/>
      <c r="HF36" s="141"/>
      <c r="HG36" s="141"/>
      <c r="HH36" s="141"/>
      <c r="HI36" s="141"/>
      <c r="HJ36" s="141"/>
      <c r="HK36" s="141"/>
      <c r="HL36" s="141"/>
      <c r="HM36" s="141"/>
      <c r="HN36" s="141"/>
      <c r="HO36" s="141"/>
      <c r="HP36" s="141"/>
      <c r="HQ36" s="141"/>
      <c r="HR36" s="141"/>
      <c r="HS36" s="141"/>
      <c r="HT36" s="141"/>
      <c r="HU36" s="141"/>
      <c r="HV36" s="141"/>
      <c r="HW36" s="141"/>
      <c r="HX36" s="141"/>
      <c r="HY36" s="141"/>
      <c r="HZ36" s="141"/>
      <c r="IA36" s="141"/>
      <c r="IB36" s="141"/>
      <c r="IC36" s="141"/>
      <c r="ID36" s="141"/>
      <c r="IE36" s="141"/>
      <c r="IF36" s="141"/>
      <c r="IG36" s="141"/>
      <c r="IH36" s="141"/>
      <c r="II36" s="141"/>
      <c r="IJ36" s="141"/>
      <c r="IK36" s="141"/>
      <c r="IL36" s="141"/>
      <c r="IM36" s="141"/>
      <c r="IN36" s="141"/>
      <c r="IO36" s="141"/>
      <c r="IP36" s="141"/>
      <c r="IQ36" s="141"/>
      <c r="IR36" s="141"/>
      <c r="IS36" s="141"/>
      <c r="IT36" s="141"/>
      <c r="IU36" s="141"/>
      <c r="IV36" s="141"/>
      <c r="IW36" s="141"/>
      <c r="IX36" s="141"/>
      <c r="IY36" s="141"/>
      <c r="IZ36" s="141"/>
      <c r="JA36" s="141"/>
      <c r="JB36" s="141"/>
      <c r="JC36" s="141"/>
      <c r="JD36" s="141"/>
      <c r="JE36" s="141"/>
      <c r="JF36" s="141"/>
      <c r="JG36" s="141"/>
      <c r="JH36" s="141"/>
    </row>
    <row r="37" spans="1:268" s="142" customFormat="1" ht="12" customHeight="1">
      <c r="A37" s="801"/>
      <c r="B37" s="555" t="s">
        <v>547</v>
      </c>
      <c r="C37" s="555"/>
      <c r="D37" s="147">
        <v>0</v>
      </c>
      <c r="E37" s="147">
        <v>0</v>
      </c>
      <c r="F37" s="147">
        <v>0</v>
      </c>
      <c r="G37" s="150">
        <v>0</v>
      </c>
      <c r="H37" s="900">
        <f>G37</f>
        <v>0</v>
      </c>
      <c r="I37" s="147">
        <v>0</v>
      </c>
      <c r="J37" s="147">
        <v>0</v>
      </c>
      <c r="K37" s="147">
        <v>0</v>
      </c>
      <c r="L37" s="150">
        <v>0</v>
      </c>
      <c r="M37" s="900">
        <f>L37</f>
        <v>0</v>
      </c>
      <c r="N37" s="147">
        <v>0</v>
      </c>
      <c r="O37" s="147">
        <v>0</v>
      </c>
      <c r="P37" s="147">
        <v>0</v>
      </c>
      <c r="Q37" s="150">
        <v>0</v>
      </c>
      <c r="R37" s="900">
        <f>Q37</f>
        <v>0</v>
      </c>
      <c r="S37" s="147">
        <v>0</v>
      </c>
      <c r="T37" s="147">
        <v>0</v>
      </c>
      <c r="U37" s="147">
        <v>0</v>
      </c>
      <c r="V37" s="150">
        <v>0</v>
      </c>
      <c r="W37" s="900">
        <f>V37</f>
        <v>0</v>
      </c>
      <c r="X37" s="147">
        <v>0</v>
      </c>
      <c r="Y37" s="147">
        <v>0</v>
      </c>
      <c r="Z37" s="147">
        <v>0</v>
      </c>
      <c r="AA37" s="150">
        <v>0</v>
      </c>
      <c r="AB37" s="900">
        <f>AA37</f>
        <v>0</v>
      </c>
      <c r="AC37" s="147">
        <v>0</v>
      </c>
      <c r="AD37" s="147">
        <v>0</v>
      </c>
      <c r="AE37" s="147">
        <v>0</v>
      </c>
      <c r="AF37" s="150">
        <v>0</v>
      </c>
      <c r="AG37" s="900">
        <f>AF37</f>
        <v>0</v>
      </c>
      <c r="AH37" s="147">
        <v>0</v>
      </c>
      <c r="AI37" s="147">
        <v>0</v>
      </c>
      <c r="AJ37" s="147">
        <v>0</v>
      </c>
      <c r="AK37" s="150">
        <v>0</v>
      </c>
      <c r="AL37" s="900">
        <f>AK37</f>
        <v>0</v>
      </c>
      <c r="AM37" s="147">
        <v>0</v>
      </c>
      <c r="AN37" s="147">
        <v>0</v>
      </c>
      <c r="AO37" s="147">
        <v>0</v>
      </c>
      <c r="AP37" s="150">
        <v>0</v>
      </c>
      <c r="AQ37" s="900">
        <f>AP37</f>
        <v>0</v>
      </c>
      <c r="AR37" s="147">
        <v>0</v>
      </c>
      <c r="AS37" s="147">
        <v>0</v>
      </c>
      <c r="AT37" s="147">
        <v>0</v>
      </c>
      <c r="AU37" s="802"/>
      <c r="AV37" s="161"/>
      <c r="AW37" s="561"/>
      <c r="AX37" s="561"/>
      <c r="AY37" s="147">
        <v>0</v>
      </c>
      <c r="AZ37" s="844">
        <f>AY37</f>
        <v>0</v>
      </c>
      <c r="BA37" s="147">
        <v>0</v>
      </c>
      <c r="BB37" s="147">
        <v>0</v>
      </c>
      <c r="BC37" s="147">
        <v>0</v>
      </c>
      <c r="BD37" s="147">
        <v>511</v>
      </c>
      <c r="BE37" s="902">
        <f>BD37</f>
        <v>511</v>
      </c>
      <c r="BF37" s="147">
        <v>529</v>
      </c>
      <c r="BG37" s="147">
        <v>603</v>
      </c>
      <c r="BH37" s="147">
        <v>624</v>
      </c>
      <c r="BI37" s="147">
        <v>591</v>
      </c>
      <c r="BJ37" s="844">
        <f>BI37</f>
        <v>591</v>
      </c>
      <c r="BK37" s="147">
        <v>609</v>
      </c>
      <c r="BL37" s="147">
        <v>600</v>
      </c>
      <c r="BM37" s="147">
        <v>606</v>
      </c>
      <c r="BN37" s="147">
        <v>594</v>
      </c>
      <c r="BO37" s="844">
        <f>BN37</f>
        <v>594</v>
      </c>
      <c r="BP37" s="147">
        <v>590</v>
      </c>
      <c r="BQ37" s="147">
        <v>593</v>
      </c>
      <c r="BR37" s="147">
        <v>583</v>
      </c>
      <c r="BS37" s="147">
        <v>586</v>
      </c>
      <c r="BT37" s="844">
        <f>BS37</f>
        <v>586</v>
      </c>
      <c r="BU37" s="147">
        <v>588</v>
      </c>
      <c r="BV37" s="147">
        <v>577</v>
      </c>
      <c r="BW37" s="147">
        <v>565</v>
      </c>
      <c r="BX37" s="147">
        <v>555</v>
      </c>
      <c r="BY37" s="844">
        <f>BX37</f>
        <v>555</v>
      </c>
      <c r="BZ37" s="147">
        <v>553</v>
      </c>
      <c r="CA37" s="147">
        <v>547</v>
      </c>
      <c r="CB37" s="147">
        <v>548</v>
      </c>
      <c r="CC37" s="147">
        <v>536</v>
      </c>
      <c r="CD37" s="844">
        <f>CC37</f>
        <v>536</v>
      </c>
      <c r="CE37" s="147">
        <v>527</v>
      </c>
      <c r="CF37" s="147">
        <v>509</v>
      </c>
      <c r="CG37" s="147">
        <v>486</v>
      </c>
      <c r="CH37" s="147">
        <v>466</v>
      </c>
      <c r="CI37" s="844">
        <f>CH37</f>
        <v>466</v>
      </c>
      <c r="CJ37" s="147">
        <v>441</v>
      </c>
      <c r="CK37" s="147">
        <v>427</v>
      </c>
      <c r="CL37" s="147">
        <v>425</v>
      </c>
      <c r="CM37" s="147">
        <v>383</v>
      </c>
      <c r="CN37" s="844">
        <f>CM37</f>
        <v>383</v>
      </c>
      <c r="CO37" s="147">
        <v>373</v>
      </c>
      <c r="CP37" s="147">
        <v>369</v>
      </c>
      <c r="CQ37" s="147">
        <v>347</v>
      </c>
      <c r="CR37" s="147">
        <v>337</v>
      </c>
      <c r="CS37" s="844">
        <f>CR37</f>
        <v>337</v>
      </c>
      <c r="CT37" s="147">
        <v>335</v>
      </c>
      <c r="CU37" s="147">
        <v>336</v>
      </c>
      <c r="CV37" s="147">
        <v>322</v>
      </c>
      <c r="CW37" s="147">
        <v>292</v>
      </c>
      <c r="CX37" s="844">
        <f>CW37</f>
        <v>292</v>
      </c>
      <c r="CY37" s="147">
        <v>298</v>
      </c>
      <c r="CZ37" s="147">
        <v>265</v>
      </c>
      <c r="DA37" s="147">
        <v>255</v>
      </c>
      <c r="DB37" s="147">
        <v>543</v>
      </c>
      <c r="DC37" s="844">
        <f>DB37</f>
        <v>543</v>
      </c>
      <c r="DD37" s="147">
        <v>567</v>
      </c>
      <c r="DE37" s="147">
        <v>567</v>
      </c>
      <c r="DF37" s="147">
        <v>525</v>
      </c>
      <c r="DG37" s="147">
        <v>492</v>
      </c>
      <c r="DH37" s="844">
        <f>DG37</f>
        <v>492</v>
      </c>
      <c r="DI37" s="147">
        <v>524</v>
      </c>
      <c r="DJ37" s="147">
        <v>546</v>
      </c>
      <c r="DK37" s="147">
        <v>566</v>
      </c>
      <c r="DL37" s="147">
        <v>578</v>
      </c>
      <c r="DM37" s="844">
        <f>DL37</f>
        <v>578</v>
      </c>
      <c r="DN37" s="147">
        <v>623</v>
      </c>
      <c r="DO37" s="147">
        <v>613</v>
      </c>
      <c r="DP37" s="147">
        <v>620</v>
      </c>
      <c r="DQ37" s="147">
        <v>613</v>
      </c>
      <c r="DR37" s="844">
        <f>DQ37</f>
        <v>613</v>
      </c>
      <c r="DS37" s="147">
        <v>614</v>
      </c>
      <c r="DT37" s="147">
        <v>644</v>
      </c>
      <c r="DU37" s="147">
        <v>617</v>
      </c>
      <c r="DV37" s="147">
        <v>654</v>
      </c>
      <c r="DW37" s="844">
        <f>DV37</f>
        <v>654</v>
      </c>
      <c r="DX37" s="843">
        <f t="shared" ref="DX37:EA38" si="93">DW37</f>
        <v>654</v>
      </c>
      <c r="DY37" s="843">
        <f t="shared" si="93"/>
        <v>654</v>
      </c>
      <c r="DZ37" s="843">
        <f t="shared" si="93"/>
        <v>654</v>
      </c>
      <c r="EA37" s="843">
        <f t="shared" si="93"/>
        <v>654</v>
      </c>
      <c r="EB37" s="844">
        <f>EA37</f>
        <v>654</v>
      </c>
      <c r="EC37" s="843">
        <f t="shared" ref="EC37:EF38" si="94">EB37</f>
        <v>654</v>
      </c>
      <c r="ED37" s="843">
        <f t="shared" si="94"/>
        <v>654</v>
      </c>
      <c r="EE37" s="843">
        <f t="shared" si="94"/>
        <v>654</v>
      </c>
      <c r="EF37" s="843">
        <f t="shared" si="94"/>
        <v>654</v>
      </c>
      <c r="EG37" s="844">
        <f>EF37</f>
        <v>654</v>
      </c>
      <c r="EH37" s="843">
        <f t="shared" ref="EH37:EK37" si="95">EG37</f>
        <v>654</v>
      </c>
      <c r="EI37" s="843">
        <f t="shared" si="95"/>
        <v>654</v>
      </c>
      <c r="EJ37" s="843">
        <f t="shared" si="95"/>
        <v>654</v>
      </c>
      <c r="EK37" s="843">
        <f t="shared" si="95"/>
        <v>654</v>
      </c>
      <c r="EL37" s="844">
        <f>EK37</f>
        <v>654</v>
      </c>
      <c r="EM37" s="561"/>
      <c r="EN37"/>
      <c r="EO37"/>
      <c r="EP37"/>
      <c r="EQ37"/>
      <c r="ER37"/>
      <c r="ES37"/>
      <c r="ET37" s="141"/>
      <c r="EU37" s="141"/>
      <c r="EV37" s="141"/>
      <c r="EW37" s="141"/>
      <c r="EX37" s="141"/>
      <c r="EY37" s="141"/>
      <c r="EZ37" s="141"/>
      <c r="FA37" s="141"/>
      <c r="FB37" s="141"/>
      <c r="FC37" s="141"/>
      <c r="FD37" s="141"/>
      <c r="FE37" s="141"/>
      <c r="FF37" s="141"/>
      <c r="FG37" s="141"/>
      <c r="FH37" s="141"/>
      <c r="FI37" s="141"/>
      <c r="FJ37" s="141"/>
      <c r="FK37" s="141"/>
      <c r="FL37" s="141"/>
      <c r="FM37" s="141"/>
      <c r="FN37" s="141"/>
      <c r="FO37" s="141"/>
      <c r="FP37" s="141"/>
      <c r="FQ37" s="141"/>
      <c r="FR37" s="141"/>
      <c r="FS37" s="141"/>
      <c r="FT37" s="141"/>
      <c r="FU37" s="141"/>
      <c r="FV37" s="141"/>
      <c r="FW37" s="141"/>
      <c r="FX37" s="141"/>
      <c r="FY37" s="141"/>
      <c r="FZ37" s="141"/>
      <c r="GA37" s="141"/>
      <c r="GB37" s="141"/>
      <c r="GC37" s="141"/>
      <c r="GD37" s="141"/>
      <c r="GE37" s="141"/>
      <c r="GF37" s="141"/>
      <c r="GG37" s="141"/>
      <c r="GH37" s="141"/>
      <c r="GI37" s="141"/>
      <c r="GJ37" s="141"/>
      <c r="GK37" s="141"/>
      <c r="GL37" s="141"/>
      <c r="GM37" s="141"/>
      <c r="GN37" s="141"/>
      <c r="GO37" s="141"/>
      <c r="GP37" s="141"/>
      <c r="GQ37" s="141"/>
      <c r="GR37" s="141"/>
      <c r="GS37" s="141"/>
      <c r="GT37" s="141"/>
      <c r="GU37" s="141"/>
      <c r="GV37" s="141"/>
      <c r="GW37" s="141"/>
      <c r="GX37" s="141"/>
      <c r="GY37" s="141"/>
      <c r="GZ37" s="141"/>
      <c r="HA37" s="141"/>
      <c r="HB37" s="141"/>
      <c r="HC37" s="141"/>
      <c r="HD37" s="141"/>
      <c r="HE37" s="141"/>
      <c r="HF37" s="141"/>
      <c r="HG37" s="141"/>
      <c r="HH37" s="141"/>
      <c r="HI37" s="141"/>
      <c r="HJ37" s="141"/>
      <c r="HK37" s="141"/>
      <c r="HL37" s="141"/>
      <c r="HM37" s="141"/>
      <c r="HN37" s="141"/>
      <c r="HO37" s="141"/>
      <c r="HP37" s="141"/>
      <c r="HQ37" s="141"/>
      <c r="HR37" s="141"/>
      <c r="HS37" s="141"/>
      <c r="HT37" s="141"/>
      <c r="HU37" s="141"/>
      <c r="HV37" s="141"/>
      <c r="HW37" s="141"/>
      <c r="HX37" s="141"/>
      <c r="HY37" s="141"/>
      <c r="HZ37" s="141"/>
      <c r="IA37" s="141"/>
      <c r="IB37" s="141"/>
      <c r="IC37" s="141"/>
      <c r="ID37" s="141"/>
      <c r="IE37" s="141"/>
      <c r="IF37" s="141"/>
      <c r="IG37" s="141"/>
      <c r="IH37" s="141"/>
      <c r="II37" s="141"/>
      <c r="IJ37" s="141"/>
      <c r="IK37" s="141"/>
      <c r="IL37" s="141"/>
      <c r="IM37" s="141"/>
      <c r="IN37" s="141"/>
      <c r="IO37" s="141"/>
      <c r="IP37" s="141"/>
      <c r="IQ37" s="141"/>
      <c r="IR37" s="141"/>
      <c r="IS37" s="141"/>
      <c r="IT37" s="141"/>
      <c r="IU37" s="141"/>
      <c r="IV37" s="141"/>
      <c r="IW37" s="141"/>
      <c r="IX37" s="141"/>
      <c r="IY37" s="141"/>
      <c r="IZ37" s="141"/>
      <c r="JA37" s="141"/>
      <c r="JB37" s="141"/>
      <c r="JC37" s="141"/>
      <c r="JD37" s="141"/>
      <c r="JE37" s="141"/>
      <c r="JF37" s="141"/>
      <c r="JG37" s="141"/>
      <c r="JH37" s="141"/>
    </row>
    <row r="38" spans="1:268" s="142" customFormat="1" ht="12" customHeight="1">
      <c r="A38" s="801"/>
      <c r="B38" s="557" t="s">
        <v>590</v>
      </c>
      <c r="C38" s="147"/>
      <c r="D38" s="147">
        <v>0</v>
      </c>
      <c r="E38" s="147">
        <v>0</v>
      </c>
      <c r="F38" s="147">
        <v>0</v>
      </c>
      <c r="G38" s="150">
        <v>0</v>
      </c>
      <c r="H38" s="900">
        <f>G38</f>
        <v>0</v>
      </c>
      <c r="I38" s="147">
        <v>0</v>
      </c>
      <c r="J38" s="147">
        <v>0</v>
      </c>
      <c r="K38" s="147">
        <v>0</v>
      </c>
      <c r="L38" s="150">
        <v>0</v>
      </c>
      <c r="M38" s="900">
        <f>L38</f>
        <v>0</v>
      </c>
      <c r="N38" s="147">
        <v>0</v>
      </c>
      <c r="O38" s="147">
        <v>0</v>
      </c>
      <c r="P38" s="147">
        <v>0</v>
      </c>
      <c r="Q38" s="150">
        <v>0</v>
      </c>
      <c r="R38" s="900">
        <f>Q38</f>
        <v>0</v>
      </c>
      <c r="S38" s="147">
        <v>0</v>
      </c>
      <c r="T38" s="147">
        <v>0</v>
      </c>
      <c r="U38" s="147">
        <v>0</v>
      </c>
      <c r="V38" s="150">
        <v>0</v>
      </c>
      <c r="W38" s="900">
        <f>V38</f>
        <v>0</v>
      </c>
      <c r="X38" s="147">
        <v>0</v>
      </c>
      <c r="Y38" s="147">
        <v>0</v>
      </c>
      <c r="Z38" s="147">
        <v>0</v>
      </c>
      <c r="AA38" s="150">
        <v>0</v>
      </c>
      <c r="AB38" s="900">
        <f>AA38</f>
        <v>0</v>
      </c>
      <c r="AC38" s="147">
        <v>0</v>
      </c>
      <c r="AD38" s="147">
        <v>0</v>
      </c>
      <c r="AE38" s="147">
        <v>0</v>
      </c>
      <c r="AF38" s="150">
        <v>0</v>
      </c>
      <c r="AG38" s="900">
        <f>AF38</f>
        <v>0</v>
      </c>
      <c r="AH38" s="147">
        <v>0</v>
      </c>
      <c r="AI38" s="147">
        <v>0</v>
      </c>
      <c r="AJ38" s="147">
        <v>0</v>
      </c>
      <c r="AK38" s="150">
        <v>0</v>
      </c>
      <c r="AL38" s="900">
        <f>AK38</f>
        <v>0</v>
      </c>
      <c r="AM38" s="147">
        <v>0</v>
      </c>
      <c r="AN38" s="147">
        <v>0</v>
      </c>
      <c r="AO38" s="147">
        <v>0</v>
      </c>
      <c r="AP38" s="150">
        <v>0</v>
      </c>
      <c r="AQ38" s="900">
        <f>AP38</f>
        <v>0</v>
      </c>
      <c r="AR38" s="147">
        <v>0</v>
      </c>
      <c r="AS38" s="147">
        <v>0</v>
      </c>
      <c r="AT38" s="147">
        <v>0</v>
      </c>
      <c r="AU38" s="802"/>
      <c r="AV38" s="161"/>
      <c r="AW38" s="561"/>
      <c r="AX38" s="561"/>
      <c r="AY38" s="147">
        <v>0</v>
      </c>
      <c r="AZ38" s="844">
        <f>AY38</f>
        <v>0</v>
      </c>
      <c r="BA38" s="147">
        <v>0</v>
      </c>
      <c r="BB38" s="147">
        <v>0</v>
      </c>
      <c r="BC38" s="147">
        <v>0</v>
      </c>
      <c r="BD38" s="147">
        <v>0</v>
      </c>
      <c r="BE38" s="902">
        <f>BD38</f>
        <v>0</v>
      </c>
      <c r="BF38" s="147">
        <v>0</v>
      </c>
      <c r="BG38" s="147">
        <v>0</v>
      </c>
      <c r="BH38" s="147">
        <v>0</v>
      </c>
      <c r="BI38" s="147">
        <v>0</v>
      </c>
      <c r="BJ38" s="844">
        <f>BI38</f>
        <v>0</v>
      </c>
      <c r="BK38" s="147">
        <v>0</v>
      </c>
      <c r="BL38" s="147">
        <v>0</v>
      </c>
      <c r="BM38" s="147">
        <v>0</v>
      </c>
      <c r="BN38" s="147">
        <v>0</v>
      </c>
      <c r="BO38" s="844">
        <f>BN38</f>
        <v>0</v>
      </c>
      <c r="BP38" s="147">
        <v>0</v>
      </c>
      <c r="BQ38" s="147">
        <v>275</v>
      </c>
      <c r="BR38" s="147">
        <v>275</v>
      </c>
      <c r="BS38" s="147">
        <v>251</v>
      </c>
      <c r="BT38" s="844">
        <f>BS38</f>
        <v>251</v>
      </c>
      <c r="BU38" s="147">
        <v>229</v>
      </c>
      <c r="BV38" s="147">
        <v>207</v>
      </c>
      <c r="BW38" s="147">
        <v>185</v>
      </c>
      <c r="BX38" s="147">
        <v>163</v>
      </c>
      <c r="BY38" s="844">
        <f>BX38</f>
        <v>163</v>
      </c>
      <c r="BZ38" s="147">
        <v>140</v>
      </c>
      <c r="CA38" s="147">
        <v>118</v>
      </c>
      <c r="CB38" s="147">
        <v>95</v>
      </c>
      <c r="CC38" s="147">
        <v>72</v>
      </c>
      <c r="CD38" s="844">
        <f>CC38</f>
        <v>72</v>
      </c>
      <c r="CE38" s="147">
        <v>49</v>
      </c>
      <c r="CF38" s="147">
        <v>25</v>
      </c>
      <c r="CG38" s="147">
        <v>0</v>
      </c>
      <c r="CH38" s="147">
        <v>19</v>
      </c>
      <c r="CI38" s="844">
        <f>CH38</f>
        <v>19</v>
      </c>
      <c r="CJ38" s="147">
        <v>19</v>
      </c>
      <c r="CK38" s="147">
        <v>19</v>
      </c>
      <c r="CL38" s="147">
        <v>22</v>
      </c>
      <c r="CM38" s="147">
        <v>22</v>
      </c>
      <c r="CN38" s="844">
        <f>CM38</f>
        <v>22</v>
      </c>
      <c r="CO38" s="147">
        <v>22</v>
      </c>
      <c r="CP38" s="147">
        <v>22</v>
      </c>
      <c r="CQ38" s="147">
        <v>22</v>
      </c>
      <c r="CR38" s="147">
        <v>2</v>
      </c>
      <c r="CS38" s="844">
        <f>CR38</f>
        <v>2</v>
      </c>
      <c r="CT38" s="147">
        <v>2</v>
      </c>
      <c r="CU38" s="147">
        <v>2</v>
      </c>
      <c r="CV38" s="147">
        <v>2</v>
      </c>
      <c r="CW38" s="147">
        <v>2</v>
      </c>
      <c r="CX38" s="844">
        <f>CW38</f>
        <v>2</v>
      </c>
      <c r="CY38" s="147">
        <v>0</v>
      </c>
      <c r="CZ38" s="147">
        <f>CY38</f>
        <v>0</v>
      </c>
      <c r="DA38" s="147">
        <f>CZ38</f>
        <v>0</v>
      </c>
      <c r="DB38" s="147">
        <v>398</v>
      </c>
      <c r="DC38" s="844">
        <f>DB38</f>
        <v>398</v>
      </c>
      <c r="DD38" s="147">
        <v>395</v>
      </c>
      <c r="DE38" s="147">
        <v>380</v>
      </c>
      <c r="DF38" s="147">
        <v>381</v>
      </c>
      <c r="DG38" s="147">
        <v>633</v>
      </c>
      <c r="DH38" s="844">
        <f>DG38</f>
        <v>633</v>
      </c>
      <c r="DI38" s="147">
        <v>629</v>
      </c>
      <c r="DJ38" s="147">
        <v>627</v>
      </c>
      <c r="DK38" s="147">
        <v>621</v>
      </c>
      <c r="DL38" s="147">
        <v>595</v>
      </c>
      <c r="DM38" s="844">
        <f>DL38</f>
        <v>595</v>
      </c>
      <c r="DN38" s="147">
        <v>593</v>
      </c>
      <c r="DO38" s="147">
        <v>594</v>
      </c>
      <c r="DP38" s="147">
        <v>586</v>
      </c>
      <c r="DQ38" s="147">
        <v>626</v>
      </c>
      <c r="DR38" s="844">
        <f>DQ38</f>
        <v>626</v>
      </c>
      <c r="DS38" s="147">
        <v>624</v>
      </c>
      <c r="DT38" s="147">
        <v>618</v>
      </c>
      <c r="DU38" s="147">
        <v>596</v>
      </c>
      <c r="DV38" s="147">
        <v>536</v>
      </c>
      <c r="DW38" s="844">
        <f>DV38</f>
        <v>536</v>
      </c>
      <c r="DX38" s="903">
        <f t="shared" si="93"/>
        <v>536</v>
      </c>
      <c r="DY38" s="903">
        <f t="shared" si="93"/>
        <v>536</v>
      </c>
      <c r="DZ38" s="903">
        <f t="shared" si="93"/>
        <v>536</v>
      </c>
      <c r="EA38" s="903">
        <f t="shared" si="93"/>
        <v>536</v>
      </c>
      <c r="EB38" s="844">
        <f>EA38</f>
        <v>536</v>
      </c>
      <c r="EC38" s="903">
        <f t="shared" si="94"/>
        <v>536</v>
      </c>
      <c r="ED38" s="903">
        <f t="shared" si="94"/>
        <v>536</v>
      </c>
      <c r="EE38" s="903">
        <f t="shared" si="94"/>
        <v>536</v>
      </c>
      <c r="EF38" s="903">
        <f t="shared" si="94"/>
        <v>536</v>
      </c>
      <c r="EG38" s="844">
        <f>EF38</f>
        <v>536</v>
      </c>
      <c r="EH38" s="903">
        <f t="shared" ref="EH38:EK38" si="96">EG38</f>
        <v>536</v>
      </c>
      <c r="EI38" s="903">
        <f t="shared" si="96"/>
        <v>536</v>
      </c>
      <c r="EJ38" s="903">
        <f t="shared" si="96"/>
        <v>536</v>
      </c>
      <c r="EK38" s="903">
        <f t="shared" si="96"/>
        <v>536</v>
      </c>
      <c r="EL38" s="844">
        <f>EK38</f>
        <v>536</v>
      </c>
      <c r="EM38" s="561"/>
      <c r="EN38"/>
      <c r="EO38"/>
      <c r="EP38"/>
      <c r="EQ38"/>
      <c r="ER38"/>
      <c r="ES38"/>
      <c r="ET38" s="141"/>
      <c r="EU38" s="141"/>
      <c r="EV38" s="141"/>
      <c r="EW38" s="141"/>
      <c r="EX38" s="141"/>
      <c r="EY38" s="141"/>
      <c r="EZ38" s="141"/>
      <c r="FA38" s="141"/>
      <c r="FB38" s="141"/>
      <c r="FC38" s="141"/>
      <c r="FD38" s="141"/>
      <c r="FE38" s="141"/>
      <c r="FF38" s="141"/>
      <c r="FG38" s="141"/>
      <c r="FH38" s="141"/>
      <c r="FI38" s="141"/>
      <c r="FJ38" s="141"/>
      <c r="FK38" s="141"/>
      <c r="FL38" s="141"/>
      <c r="FM38" s="141"/>
      <c r="FN38" s="141"/>
      <c r="FO38" s="141"/>
      <c r="FP38" s="141"/>
      <c r="FQ38" s="141"/>
      <c r="FR38" s="141"/>
      <c r="FS38" s="141"/>
      <c r="FT38" s="141"/>
      <c r="FU38" s="141"/>
      <c r="FV38" s="141"/>
      <c r="FW38" s="141"/>
      <c r="FX38" s="141"/>
      <c r="FY38" s="141"/>
      <c r="FZ38" s="141"/>
      <c r="GA38" s="141"/>
      <c r="GB38" s="141"/>
      <c r="GC38" s="141"/>
      <c r="GD38" s="141"/>
      <c r="GE38" s="141"/>
      <c r="GF38" s="141"/>
      <c r="GG38" s="141"/>
      <c r="GH38" s="141"/>
      <c r="GI38" s="141"/>
      <c r="GJ38" s="141"/>
      <c r="GK38" s="141"/>
      <c r="GL38" s="141"/>
      <c r="GM38" s="141"/>
      <c r="GN38" s="141"/>
      <c r="GO38" s="141"/>
      <c r="GP38" s="141"/>
      <c r="GQ38" s="141"/>
      <c r="GR38" s="141"/>
      <c r="GS38" s="141"/>
      <c r="GT38" s="141"/>
      <c r="GU38" s="141"/>
      <c r="GV38" s="141"/>
      <c r="GW38" s="141"/>
      <c r="GX38" s="141"/>
      <c r="GY38" s="141"/>
      <c r="GZ38" s="141"/>
      <c r="HA38" s="141"/>
      <c r="HB38" s="141"/>
      <c r="HC38" s="141"/>
      <c r="HD38" s="141"/>
      <c r="HE38" s="141"/>
      <c r="HF38" s="141"/>
      <c r="HG38" s="141"/>
      <c r="HH38" s="141"/>
      <c r="HI38" s="141"/>
      <c r="HJ38" s="141"/>
      <c r="HK38" s="141"/>
      <c r="HL38" s="141"/>
      <c r="HM38" s="141"/>
      <c r="HN38" s="141"/>
      <c r="HO38" s="141"/>
      <c r="HP38" s="141"/>
      <c r="HQ38" s="141"/>
      <c r="HR38" s="141"/>
      <c r="HS38" s="141"/>
      <c r="HT38" s="141"/>
      <c r="HU38" s="141"/>
      <c r="HV38" s="141"/>
      <c r="HW38" s="141"/>
      <c r="HX38" s="141"/>
      <c r="HY38" s="141"/>
      <c r="HZ38" s="141"/>
      <c r="IA38" s="141"/>
      <c r="IB38" s="141"/>
      <c r="IC38" s="141"/>
      <c r="ID38" s="141"/>
      <c r="IE38" s="141"/>
      <c r="IF38" s="141"/>
      <c r="IG38" s="141"/>
      <c r="IH38" s="141"/>
      <c r="II38" s="141"/>
      <c r="IJ38" s="141"/>
      <c r="IK38" s="141"/>
      <c r="IL38" s="141"/>
      <c r="IM38" s="141"/>
      <c r="IN38" s="141"/>
      <c r="IO38" s="141"/>
      <c r="IP38" s="141"/>
      <c r="IQ38" s="141"/>
      <c r="IR38" s="141"/>
      <c r="IS38" s="141"/>
      <c r="IT38" s="141"/>
      <c r="IU38" s="141"/>
      <c r="IV38" s="141"/>
      <c r="IW38" s="141"/>
      <c r="IX38" s="141"/>
      <c r="IY38" s="141"/>
      <c r="IZ38" s="141"/>
      <c r="JA38" s="141"/>
      <c r="JB38" s="141"/>
      <c r="JC38" s="141"/>
      <c r="JD38" s="141"/>
      <c r="JE38" s="141"/>
      <c r="JF38" s="141"/>
      <c r="JG38" s="141"/>
      <c r="JH38" s="141"/>
    </row>
    <row r="39" spans="1:268" s="142" customFormat="1" ht="12" hidden="1" customHeight="1" outlineLevel="1">
      <c r="A39" s="801"/>
      <c r="B39" s="557" t="s">
        <v>535</v>
      </c>
      <c r="C39" s="147"/>
      <c r="D39" s="147">
        <v>126</v>
      </c>
      <c r="E39" s="147">
        <v>126</v>
      </c>
      <c r="F39" s="147">
        <v>136.1</v>
      </c>
      <c r="G39" s="150">
        <v>301</v>
      </c>
      <c r="H39" s="900">
        <f>G39</f>
        <v>301</v>
      </c>
      <c r="I39" s="147">
        <v>307</v>
      </c>
      <c r="J39" s="147">
        <v>384.1</v>
      </c>
      <c r="K39" s="147">
        <v>394.5</v>
      </c>
      <c r="L39" s="150">
        <v>394</v>
      </c>
      <c r="M39" s="900">
        <f>L39</f>
        <v>394</v>
      </c>
      <c r="N39" s="147">
        <v>429.9</v>
      </c>
      <c r="O39" s="147">
        <v>424.5</v>
      </c>
      <c r="P39" s="147">
        <v>451.3</v>
      </c>
      <c r="Q39" s="150">
        <v>308</v>
      </c>
      <c r="R39" s="900">
        <f>Q39</f>
        <v>308</v>
      </c>
      <c r="S39" s="147">
        <v>325</v>
      </c>
      <c r="T39" s="147">
        <v>309</v>
      </c>
      <c r="U39" s="147">
        <v>334</v>
      </c>
      <c r="V39" s="150">
        <v>423</v>
      </c>
      <c r="W39" s="900">
        <f>V39</f>
        <v>423</v>
      </c>
      <c r="X39" s="147">
        <v>408</v>
      </c>
      <c r="Y39" s="147">
        <v>435</v>
      </c>
      <c r="Z39" s="147">
        <v>437</v>
      </c>
      <c r="AA39" s="150">
        <v>440</v>
      </c>
      <c r="AB39" s="900">
        <f>AA39</f>
        <v>440</v>
      </c>
      <c r="AC39" s="147">
        <v>401</v>
      </c>
      <c r="AD39" s="147">
        <v>427</v>
      </c>
      <c r="AE39" s="147">
        <v>443</v>
      </c>
      <c r="AF39" s="150">
        <v>491</v>
      </c>
      <c r="AG39" s="900">
        <f>AF39</f>
        <v>491</v>
      </c>
      <c r="AH39" s="147">
        <v>500</v>
      </c>
      <c r="AI39" s="147">
        <v>497</v>
      </c>
      <c r="AJ39" s="147">
        <v>529</v>
      </c>
      <c r="AK39" s="150">
        <v>554</v>
      </c>
      <c r="AL39" s="900">
        <f>AK39</f>
        <v>554</v>
      </c>
      <c r="AM39" s="147">
        <v>589</v>
      </c>
      <c r="AN39" s="147">
        <v>546</v>
      </c>
      <c r="AO39" s="147">
        <v>551</v>
      </c>
      <c r="AP39" s="150">
        <v>689</v>
      </c>
      <c r="AQ39" s="900">
        <f>AP39</f>
        <v>689</v>
      </c>
      <c r="AR39" s="147">
        <v>704</v>
      </c>
      <c r="AS39" s="147">
        <v>682</v>
      </c>
      <c r="AT39" s="147">
        <v>471</v>
      </c>
      <c r="AU39" s="802"/>
      <c r="AV39" s="161"/>
      <c r="AW39" s="901"/>
      <c r="AX39" s="901"/>
      <c r="AY39" s="147">
        <v>526</v>
      </c>
      <c r="AZ39" s="902">
        <f>AY39</f>
        <v>526</v>
      </c>
      <c r="BA39" s="147">
        <v>322</v>
      </c>
      <c r="BB39" s="147">
        <v>171</v>
      </c>
      <c r="BC39" s="147">
        <v>252</v>
      </c>
      <c r="BD39" s="147">
        <v>4</v>
      </c>
      <c r="BE39" s="902">
        <f>BD39</f>
        <v>4</v>
      </c>
      <c r="BF39" s="147">
        <v>114</v>
      </c>
      <c r="BG39" s="147">
        <v>108</v>
      </c>
      <c r="BH39" s="147">
        <v>85</v>
      </c>
      <c r="BI39" s="147">
        <v>311</v>
      </c>
      <c r="BJ39" s="902">
        <f>BI39</f>
        <v>311</v>
      </c>
      <c r="BK39" s="147">
        <v>284</v>
      </c>
      <c r="BL39" s="147">
        <v>273</v>
      </c>
      <c r="BM39" s="147">
        <v>347</v>
      </c>
      <c r="BN39" s="147">
        <v>212</v>
      </c>
      <c r="BO39" s="844">
        <f>BN39</f>
        <v>212</v>
      </c>
      <c r="BP39" s="147">
        <v>136</v>
      </c>
      <c r="BQ39" s="147">
        <v>141</v>
      </c>
      <c r="BR39" s="147">
        <v>161</v>
      </c>
      <c r="BS39" s="147">
        <v>107</v>
      </c>
      <c r="BT39" s="844">
        <f>BS39</f>
        <v>107</v>
      </c>
      <c r="BU39" s="147">
        <v>78</v>
      </c>
      <c r="BV39" s="147">
        <v>82</v>
      </c>
      <c r="BW39" s="147">
        <v>99</v>
      </c>
      <c r="BX39" s="147">
        <v>119</v>
      </c>
      <c r="BY39" s="844">
        <f>BX39</f>
        <v>119</v>
      </c>
      <c r="BZ39" s="147">
        <v>139</v>
      </c>
      <c r="CA39" s="147">
        <v>147</v>
      </c>
      <c r="CB39" s="147">
        <v>114</v>
      </c>
      <c r="CC39" s="147">
        <v>101</v>
      </c>
      <c r="CD39" s="844">
        <f>CC39</f>
        <v>101</v>
      </c>
      <c r="CE39" s="147">
        <v>106</v>
      </c>
      <c r="CF39" s="147">
        <v>114</v>
      </c>
      <c r="CG39" s="147">
        <v>116</v>
      </c>
      <c r="CH39" s="147">
        <v>148</v>
      </c>
      <c r="CI39" s="844">
        <f>CH39</f>
        <v>148</v>
      </c>
      <c r="CJ39" s="147">
        <v>153</v>
      </c>
      <c r="CK39" s="147">
        <v>160</v>
      </c>
      <c r="CL39" s="147">
        <v>0</v>
      </c>
      <c r="CM39" s="147">
        <v>0</v>
      </c>
      <c r="CN39" s="844">
        <f>CM39</f>
        <v>0</v>
      </c>
      <c r="CO39" s="147">
        <v>0</v>
      </c>
      <c r="CP39" s="147">
        <v>0</v>
      </c>
      <c r="CQ39" s="147">
        <v>0</v>
      </c>
      <c r="CR39" s="147">
        <v>0</v>
      </c>
      <c r="CS39" s="844">
        <f>CR39</f>
        <v>0</v>
      </c>
      <c r="CT39" s="147">
        <v>0</v>
      </c>
      <c r="CU39" s="147">
        <v>0</v>
      </c>
      <c r="CV39" s="147">
        <v>0</v>
      </c>
      <c r="CW39" s="147">
        <v>0</v>
      </c>
      <c r="CX39" s="902">
        <f>CW39</f>
        <v>0</v>
      </c>
      <c r="CY39" s="147">
        <f>+CX39</f>
        <v>0</v>
      </c>
      <c r="CZ39" s="147">
        <f>+CY39</f>
        <v>0</v>
      </c>
      <c r="DA39" s="147">
        <f>+CZ39</f>
        <v>0</v>
      </c>
      <c r="DB39" s="147">
        <v>0</v>
      </c>
      <c r="DC39" s="902">
        <f>DB39</f>
        <v>0</v>
      </c>
      <c r="DD39" s="147">
        <f>+DC39</f>
        <v>0</v>
      </c>
      <c r="DE39" s="147">
        <f>+DD39</f>
        <v>0</v>
      </c>
      <c r="DF39" s="147">
        <f>+DE39</f>
        <v>0</v>
      </c>
      <c r="DG39" s="147">
        <f>+DF39</f>
        <v>0</v>
      </c>
      <c r="DH39" s="902">
        <f>DG39</f>
        <v>0</v>
      </c>
      <c r="DI39" s="147">
        <f>+DH39</f>
        <v>0</v>
      </c>
      <c r="DJ39" s="147">
        <v>0</v>
      </c>
      <c r="DK39" s="147">
        <f>+DJ39</f>
        <v>0</v>
      </c>
      <c r="DL39" s="147">
        <f>+DK39</f>
        <v>0</v>
      </c>
      <c r="DM39" s="902">
        <f>DL39</f>
        <v>0</v>
      </c>
      <c r="DN39" s="147">
        <f>+DM39</f>
        <v>0</v>
      </c>
      <c r="DO39" s="147">
        <f>+DN39</f>
        <v>0</v>
      </c>
      <c r="DP39" s="147">
        <v>320</v>
      </c>
      <c r="DQ39" s="147">
        <v>279</v>
      </c>
      <c r="DR39" s="902">
        <f>DQ39</f>
        <v>279</v>
      </c>
      <c r="DS39" s="147">
        <v>289</v>
      </c>
      <c r="DT39" s="147">
        <v>296</v>
      </c>
      <c r="DU39" s="147">
        <v>0</v>
      </c>
      <c r="DV39" s="147">
        <v>36</v>
      </c>
      <c r="DW39" s="902">
        <f>DV39</f>
        <v>36</v>
      </c>
      <c r="DX39" s="903">
        <f>+DW39</f>
        <v>36</v>
      </c>
      <c r="DY39" s="903">
        <f>+DX39</f>
        <v>36</v>
      </c>
      <c r="DZ39" s="903">
        <f>+DY39</f>
        <v>36</v>
      </c>
      <c r="EA39" s="903">
        <f>+DZ39</f>
        <v>36</v>
      </c>
      <c r="EB39" s="902">
        <f>EA39</f>
        <v>36</v>
      </c>
      <c r="EC39" s="903">
        <f>+EB39</f>
        <v>36</v>
      </c>
      <c r="ED39" s="903">
        <f>+EC39</f>
        <v>36</v>
      </c>
      <c r="EE39" s="903">
        <f>+ED39</f>
        <v>36</v>
      </c>
      <c r="EF39" s="903">
        <f>+EE39</f>
        <v>36</v>
      </c>
      <c r="EG39" s="902">
        <f>EF39</f>
        <v>36</v>
      </c>
      <c r="EH39" s="903">
        <f>+EG39</f>
        <v>36</v>
      </c>
      <c r="EI39" s="903">
        <f>+EH39</f>
        <v>36</v>
      </c>
      <c r="EJ39" s="903">
        <f>+EI39</f>
        <v>36</v>
      </c>
      <c r="EK39" s="903">
        <f>+EJ39</f>
        <v>36</v>
      </c>
      <c r="EL39" s="902">
        <f>EK39</f>
        <v>36</v>
      </c>
      <c r="EM39" s="901"/>
      <c r="EN39"/>
      <c r="EO39"/>
      <c r="EP39"/>
      <c r="EQ39"/>
      <c r="ER39"/>
      <c r="ES39"/>
      <c r="ET39" s="141"/>
      <c r="EU39" s="141"/>
      <c r="EV39" s="141"/>
      <c r="EW39" s="141"/>
      <c r="EX39" s="141"/>
      <c r="EY39" s="141"/>
      <c r="EZ39" s="141"/>
      <c r="FA39" s="141"/>
      <c r="FB39" s="141"/>
      <c r="FC39" s="141"/>
      <c r="FD39" s="141"/>
      <c r="FE39" s="141"/>
      <c r="FF39" s="141"/>
      <c r="FG39" s="141"/>
      <c r="FH39" s="141"/>
      <c r="FI39" s="141"/>
      <c r="FJ39" s="141"/>
      <c r="FK39" s="141"/>
      <c r="FL39" s="141"/>
      <c r="FM39" s="141"/>
      <c r="FN39" s="141"/>
      <c r="FO39" s="141"/>
      <c r="FP39" s="141"/>
      <c r="FQ39" s="141"/>
      <c r="FR39" s="141"/>
      <c r="FS39" s="141"/>
      <c r="FT39" s="141"/>
      <c r="FU39" s="141"/>
      <c r="FV39" s="141"/>
      <c r="FW39" s="141"/>
      <c r="FX39" s="141"/>
      <c r="FY39" s="141"/>
      <c r="FZ39" s="141"/>
      <c r="GA39" s="141"/>
      <c r="GB39" s="141"/>
      <c r="GC39" s="141"/>
      <c r="GD39" s="141"/>
      <c r="GE39" s="141"/>
      <c r="GF39" s="141"/>
      <c r="GG39" s="141"/>
      <c r="GH39" s="141"/>
      <c r="GI39" s="141"/>
      <c r="GJ39" s="141"/>
      <c r="GK39" s="141"/>
      <c r="GL39" s="141"/>
      <c r="GM39" s="141"/>
      <c r="GN39" s="141"/>
      <c r="GO39" s="141"/>
      <c r="GP39" s="141"/>
      <c r="GQ39" s="141"/>
      <c r="GR39" s="141"/>
      <c r="GS39" s="141"/>
      <c r="GT39" s="141"/>
      <c r="GU39" s="141"/>
      <c r="GV39" s="141"/>
      <c r="GW39" s="141"/>
      <c r="GX39" s="141"/>
      <c r="GY39" s="141"/>
      <c r="GZ39" s="141"/>
      <c r="HA39" s="141"/>
      <c r="HB39" s="141"/>
      <c r="HC39" s="141"/>
      <c r="HD39" s="141"/>
      <c r="HE39" s="141"/>
      <c r="HF39" s="141"/>
      <c r="HG39" s="141"/>
      <c r="HH39" s="141"/>
      <c r="HI39" s="141"/>
      <c r="HJ39" s="141"/>
      <c r="HK39" s="141"/>
      <c r="HL39" s="141"/>
      <c r="HM39" s="141"/>
      <c r="HN39" s="141"/>
      <c r="HO39" s="141"/>
      <c r="HP39" s="141"/>
      <c r="HQ39" s="141"/>
      <c r="HR39" s="141"/>
      <c r="HS39" s="141"/>
      <c r="HT39" s="141"/>
      <c r="HU39" s="141"/>
      <c r="HV39" s="141"/>
      <c r="HW39" s="141"/>
      <c r="HX39" s="141"/>
      <c r="HY39" s="141"/>
      <c r="HZ39" s="141"/>
      <c r="IA39" s="141"/>
      <c r="IB39" s="141"/>
      <c r="IC39" s="141"/>
      <c r="ID39" s="141"/>
      <c r="IE39" s="141"/>
      <c r="IF39" s="141"/>
      <c r="IG39" s="141"/>
      <c r="IH39" s="141"/>
      <c r="II39" s="141"/>
      <c r="IJ39" s="141"/>
      <c r="IK39" s="141"/>
      <c r="IL39" s="141"/>
      <c r="IM39" s="141"/>
      <c r="IN39" s="141"/>
      <c r="IO39" s="141"/>
      <c r="IP39" s="141"/>
      <c r="IQ39" s="141"/>
      <c r="IR39" s="141"/>
      <c r="IS39" s="141"/>
      <c r="IT39" s="141"/>
      <c r="IU39" s="141"/>
      <c r="IV39" s="141"/>
      <c r="IW39" s="141"/>
      <c r="IX39" s="141"/>
      <c r="IY39" s="141"/>
      <c r="IZ39" s="141"/>
      <c r="JA39" s="141"/>
      <c r="JB39" s="141"/>
      <c r="JC39" s="141"/>
      <c r="JD39" s="141"/>
      <c r="JE39" s="141"/>
      <c r="JF39" s="141"/>
      <c r="JG39" s="141"/>
      <c r="JH39" s="141"/>
    </row>
    <row r="40" spans="1:268" s="151" customFormat="1" ht="12" customHeight="1" collapsed="1">
      <c r="A40" s="818"/>
      <c r="B40" s="556" t="s">
        <v>553</v>
      </c>
      <c r="C40" s="148"/>
      <c r="D40" s="148">
        <f>340.585+59.481</f>
        <v>400.06599999999997</v>
      </c>
      <c r="E40" s="148">
        <v>374.1</v>
      </c>
      <c r="F40" s="148">
        <v>359.1</v>
      </c>
      <c r="G40" s="911">
        <v>1002</v>
      </c>
      <c r="H40" s="912">
        <f>G40</f>
        <v>1002</v>
      </c>
      <c r="I40" s="148">
        <v>988.5</v>
      </c>
      <c r="J40" s="148">
        <v>967.8</v>
      </c>
      <c r="K40" s="148">
        <v>975.2</v>
      </c>
      <c r="L40" s="911">
        <v>977</v>
      </c>
      <c r="M40" s="912">
        <f>L40</f>
        <v>977</v>
      </c>
      <c r="N40" s="148">
        <v>1025.7</v>
      </c>
      <c r="O40" s="148">
        <v>1024.4000000000001</v>
      </c>
      <c r="P40" s="148">
        <v>1249.0999999999999</v>
      </c>
      <c r="Q40" s="911">
        <v>1282</v>
      </c>
      <c r="R40" s="912">
        <f>Q40</f>
        <v>1282</v>
      </c>
      <c r="S40" s="148">
        <v>1263</v>
      </c>
      <c r="T40" s="148">
        <v>1260</v>
      </c>
      <c r="U40" s="148">
        <v>1293</v>
      </c>
      <c r="V40" s="911">
        <v>1256</v>
      </c>
      <c r="W40" s="912">
        <f>V40</f>
        <v>1256</v>
      </c>
      <c r="X40" s="148">
        <v>1226</v>
      </c>
      <c r="Y40" s="148">
        <v>1201</v>
      </c>
      <c r="Z40" s="148">
        <v>1134</v>
      </c>
      <c r="AA40" s="911">
        <v>1048</v>
      </c>
      <c r="AB40" s="912">
        <f>AA40</f>
        <v>1048</v>
      </c>
      <c r="AC40" s="148">
        <v>1048</v>
      </c>
      <c r="AD40" s="148">
        <v>1054</v>
      </c>
      <c r="AE40" s="148">
        <v>1049</v>
      </c>
      <c r="AF40" s="911">
        <v>1024</v>
      </c>
      <c r="AG40" s="912">
        <f>AF40</f>
        <v>1024</v>
      </c>
      <c r="AH40" s="148">
        <v>1038</v>
      </c>
      <c r="AI40" s="148">
        <v>1061</v>
      </c>
      <c r="AJ40" s="148">
        <v>1024</v>
      </c>
      <c r="AK40" s="911">
        <v>994</v>
      </c>
      <c r="AL40" s="912">
        <f>AK40</f>
        <v>994</v>
      </c>
      <c r="AM40" s="148">
        <v>1045</v>
      </c>
      <c r="AN40" s="148">
        <v>1029</v>
      </c>
      <c r="AO40" s="148">
        <v>1056</v>
      </c>
      <c r="AP40" s="911">
        <v>1003</v>
      </c>
      <c r="AQ40" s="912">
        <f>AP40</f>
        <v>1003</v>
      </c>
      <c r="AR40" s="148">
        <v>1140</v>
      </c>
      <c r="AS40" s="148">
        <v>1144</v>
      </c>
      <c r="AT40" s="148">
        <v>1298</v>
      </c>
      <c r="AU40" s="913"/>
      <c r="AV40" s="822"/>
      <c r="AW40" s="922"/>
      <c r="AX40" s="922"/>
      <c r="AY40" s="148">
        <v>1278</v>
      </c>
      <c r="AZ40" s="926">
        <f>AY40</f>
        <v>1278</v>
      </c>
      <c r="BA40" s="148">
        <v>1283</v>
      </c>
      <c r="BB40" s="148">
        <v>1503</v>
      </c>
      <c r="BC40" s="148">
        <v>1548</v>
      </c>
      <c r="BD40" s="148">
        <v>989</v>
      </c>
      <c r="BE40" s="915">
        <f>BD40</f>
        <v>989</v>
      </c>
      <c r="BF40" s="148">
        <v>1013</v>
      </c>
      <c r="BG40" s="148">
        <v>991</v>
      </c>
      <c r="BH40" s="148">
        <v>980</v>
      </c>
      <c r="BI40" s="148">
        <v>919</v>
      </c>
      <c r="BJ40" s="926">
        <f>BI40</f>
        <v>919</v>
      </c>
      <c r="BK40" s="148">
        <f>969</f>
        <v>969</v>
      </c>
      <c r="BL40" s="148">
        <f>910</f>
        <v>910</v>
      </c>
      <c r="BM40" s="148">
        <f>925</f>
        <v>925</v>
      </c>
      <c r="BN40" s="148">
        <f>909</f>
        <v>909</v>
      </c>
      <c r="BO40" s="926">
        <f>BN40</f>
        <v>909</v>
      </c>
      <c r="BP40" s="148">
        <f>918</f>
        <v>918</v>
      </c>
      <c r="BQ40" s="148">
        <f>914</f>
        <v>914</v>
      </c>
      <c r="BR40" s="148">
        <f>726</f>
        <v>726</v>
      </c>
      <c r="BS40" s="148">
        <f>646</f>
        <v>646</v>
      </c>
      <c r="BT40" s="926">
        <f>BS40</f>
        <v>646</v>
      </c>
      <c r="BU40" s="148">
        <f>618</f>
        <v>618</v>
      </c>
      <c r="BV40" s="148">
        <f>631</f>
        <v>631</v>
      </c>
      <c r="BW40" s="148">
        <f>646</f>
        <v>646</v>
      </c>
      <c r="BX40" s="148">
        <f>683</f>
        <v>683</v>
      </c>
      <c r="BY40" s="926">
        <f>BX40</f>
        <v>683</v>
      </c>
      <c r="BZ40" s="148">
        <f>664</f>
        <v>664</v>
      </c>
      <c r="CA40" s="148">
        <f>654</f>
        <v>654</v>
      </c>
      <c r="CB40" s="148">
        <f>649</f>
        <v>649</v>
      </c>
      <c r="CC40" s="148">
        <f>635</f>
        <v>635</v>
      </c>
      <c r="CD40" s="926">
        <f>CC40</f>
        <v>635</v>
      </c>
      <c r="CE40" s="148">
        <f>598</f>
        <v>598</v>
      </c>
      <c r="CF40" s="148">
        <f>618</f>
        <v>618</v>
      </c>
      <c r="CG40" s="148">
        <f>562</f>
        <v>562</v>
      </c>
      <c r="CH40" s="148">
        <f>568</f>
        <v>568</v>
      </c>
      <c r="CI40" s="926">
        <f>CH40</f>
        <v>568</v>
      </c>
      <c r="CJ40" s="148">
        <f>561</f>
        <v>561</v>
      </c>
      <c r="CK40" s="148">
        <f>572</f>
        <v>572</v>
      </c>
      <c r="CL40" s="148">
        <v>571</v>
      </c>
      <c r="CM40" s="148">
        <v>554</v>
      </c>
      <c r="CN40" s="926">
        <f>CM40</f>
        <v>554</v>
      </c>
      <c r="CO40" s="148">
        <v>550</v>
      </c>
      <c r="CP40" s="148">
        <v>503</v>
      </c>
      <c r="CQ40" s="148">
        <v>502</v>
      </c>
      <c r="CR40" s="148">
        <v>506</v>
      </c>
      <c r="CS40" s="926">
        <f>CR40</f>
        <v>506</v>
      </c>
      <c r="CT40" s="148">
        <v>526</v>
      </c>
      <c r="CU40" s="148">
        <v>519</v>
      </c>
      <c r="CV40" s="148">
        <v>524</v>
      </c>
      <c r="CW40" s="148">
        <v>595</v>
      </c>
      <c r="CX40" s="926">
        <f>CW40</f>
        <v>595</v>
      </c>
      <c r="CY40" s="148">
        <v>611</v>
      </c>
      <c r="CZ40" s="148">
        <v>608</v>
      </c>
      <c r="DA40" s="148">
        <v>620</v>
      </c>
      <c r="DB40" s="148">
        <v>446</v>
      </c>
      <c r="DC40" s="926">
        <f>DB40</f>
        <v>446</v>
      </c>
      <c r="DD40" s="148">
        <v>453</v>
      </c>
      <c r="DE40" s="148">
        <v>484</v>
      </c>
      <c r="DF40" s="148">
        <v>544</v>
      </c>
      <c r="DG40" s="148">
        <v>558</v>
      </c>
      <c r="DH40" s="926">
        <f>DG40</f>
        <v>558</v>
      </c>
      <c r="DI40" s="148">
        <v>534</v>
      </c>
      <c r="DJ40" s="148">
        <v>553</v>
      </c>
      <c r="DK40" s="148">
        <v>551</v>
      </c>
      <c r="DL40" s="148">
        <v>594</v>
      </c>
      <c r="DM40" s="926">
        <f>DL40</f>
        <v>594</v>
      </c>
      <c r="DN40" s="148">
        <v>625</v>
      </c>
      <c r="DO40" s="148">
        <f>582+274</f>
        <v>856</v>
      </c>
      <c r="DP40" s="148">
        <v>606</v>
      </c>
      <c r="DQ40" s="148">
        <v>610</v>
      </c>
      <c r="DR40" s="926">
        <f>DQ40</f>
        <v>610</v>
      </c>
      <c r="DS40" s="148">
        <v>621</v>
      </c>
      <c r="DT40" s="148">
        <v>598</v>
      </c>
      <c r="DU40" s="148">
        <v>604</v>
      </c>
      <c r="DV40" s="148">
        <v>631</v>
      </c>
      <c r="DW40" s="926">
        <f>DV40</f>
        <v>631</v>
      </c>
      <c r="DX40" s="914">
        <f>DW40</f>
        <v>631</v>
      </c>
      <c r="DY40" s="914">
        <f>DX40</f>
        <v>631</v>
      </c>
      <c r="DZ40" s="914">
        <f>DY40</f>
        <v>631</v>
      </c>
      <c r="EA40" s="914">
        <f>DZ40</f>
        <v>631</v>
      </c>
      <c r="EB40" s="926">
        <f>EA40</f>
        <v>631</v>
      </c>
      <c r="EC40" s="914">
        <f>EB40</f>
        <v>631</v>
      </c>
      <c r="ED40" s="914">
        <f>EC40</f>
        <v>631</v>
      </c>
      <c r="EE40" s="914">
        <f>ED40</f>
        <v>631</v>
      </c>
      <c r="EF40" s="914">
        <f>EE40</f>
        <v>631</v>
      </c>
      <c r="EG40" s="926">
        <f>EF40</f>
        <v>631</v>
      </c>
      <c r="EH40" s="914">
        <f>EG40</f>
        <v>631</v>
      </c>
      <c r="EI40" s="914">
        <f>EH40</f>
        <v>631</v>
      </c>
      <c r="EJ40" s="914">
        <f>EI40</f>
        <v>631</v>
      </c>
      <c r="EK40" s="914">
        <f>EJ40</f>
        <v>631</v>
      </c>
      <c r="EL40" s="926">
        <f>EK40</f>
        <v>631</v>
      </c>
      <c r="EM40" s="561"/>
      <c r="EN40"/>
      <c r="EO40"/>
      <c r="EP40"/>
      <c r="EQ40"/>
      <c r="ER40"/>
      <c r="ES40"/>
      <c r="ET40" s="152"/>
      <c r="EU40" s="152"/>
      <c r="EV40" s="152"/>
      <c r="EW40" s="152"/>
      <c r="EX40" s="152"/>
      <c r="EY40" s="152"/>
      <c r="EZ40" s="152"/>
      <c r="FA40" s="152"/>
      <c r="FB40" s="152"/>
      <c r="FC40" s="152"/>
      <c r="FD40" s="152"/>
      <c r="FE40" s="152"/>
      <c r="FF40" s="152"/>
      <c r="FG40" s="152"/>
      <c r="FH40" s="152"/>
      <c r="FI40" s="152"/>
      <c r="FJ40" s="152"/>
      <c r="FK40" s="152"/>
      <c r="FL40" s="152"/>
      <c r="FM40" s="152"/>
      <c r="FN40" s="152"/>
      <c r="FO40" s="152"/>
      <c r="FP40" s="152"/>
      <c r="FQ40" s="152"/>
      <c r="FR40" s="152"/>
      <c r="FS40" s="152"/>
      <c r="FT40" s="152"/>
      <c r="FU40" s="152"/>
      <c r="FV40" s="152"/>
      <c r="FW40" s="152"/>
      <c r="FX40" s="152"/>
      <c r="FY40" s="152"/>
      <c r="FZ40" s="152"/>
      <c r="GA40" s="152"/>
      <c r="GB40" s="152"/>
      <c r="GC40" s="152"/>
      <c r="GD40" s="152"/>
      <c r="GE40" s="152"/>
      <c r="GF40" s="152"/>
      <c r="GG40" s="152"/>
      <c r="GH40" s="152"/>
      <c r="GI40" s="152"/>
      <c r="GJ40" s="152"/>
      <c r="GK40" s="152"/>
      <c r="GL40" s="152"/>
      <c r="GM40" s="152"/>
      <c r="GN40" s="152"/>
      <c r="GO40" s="152"/>
      <c r="GP40" s="152"/>
      <c r="GQ40" s="152"/>
      <c r="GR40" s="152"/>
      <c r="GS40" s="152"/>
      <c r="GT40" s="152"/>
      <c r="GU40" s="152"/>
      <c r="GV40" s="152"/>
      <c r="GW40" s="152"/>
      <c r="GX40" s="152"/>
      <c r="GY40" s="152"/>
      <c r="GZ40" s="152"/>
      <c r="HA40" s="152"/>
      <c r="HB40" s="152"/>
      <c r="HC40" s="152"/>
      <c r="HD40" s="152"/>
      <c r="HE40" s="152"/>
      <c r="HF40" s="152"/>
      <c r="HG40" s="152"/>
      <c r="HH40" s="152"/>
      <c r="HI40" s="152"/>
      <c r="HJ40" s="152"/>
      <c r="HK40" s="152"/>
      <c r="HL40" s="152"/>
      <c r="HM40" s="152"/>
      <c r="HN40" s="152"/>
      <c r="HO40" s="152"/>
      <c r="HP40" s="152"/>
      <c r="HQ40" s="152"/>
      <c r="HR40" s="152"/>
      <c r="HS40" s="152"/>
      <c r="HT40" s="152"/>
      <c r="HU40" s="152"/>
      <c r="HV40" s="152"/>
      <c r="HW40" s="152"/>
      <c r="HX40" s="152"/>
      <c r="HY40" s="152"/>
      <c r="HZ40" s="152"/>
      <c r="IA40" s="152"/>
      <c r="IB40" s="152"/>
      <c r="IC40" s="152"/>
      <c r="ID40" s="152"/>
      <c r="IE40" s="152"/>
      <c r="IF40" s="152"/>
      <c r="IG40" s="152"/>
      <c r="IH40" s="152"/>
      <c r="II40" s="152"/>
      <c r="IJ40" s="152"/>
      <c r="IK40" s="152"/>
      <c r="IL40" s="152"/>
      <c r="IM40" s="152"/>
      <c r="IN40" s="152"/>
      <c r="IO40" s="152"/>
      <c r="IP40" s="152"/>
      <c r="IQ40" s="152"/>
      <c r="IR40" s="152"/>
      <c r="IS40" s="152"/>
      <c r="IT40" s="152"/>
      <c r="IU40" s="152"/>
      <c r="IV40" s="152"/>
      <c r="IW40" s="152"/>
      <c r="IX40" s="152"/>
      <c r="IY40" s="152"/>
      <c r="IZ40" s="152"/>
      <c r="JA40" s="152"/>
      <c r="JB40" s="152"/>
      <c r="JC40" s="152"/>
      <c r="JD40" s="152"/>
      <c r="JE40" s="152"/>
      <c r="JF40" s="152"/>
      <c r="JG40" s="152"/>
      <c r="JH40" s="152"/>
    </row>
    <row r="41" spans="1:268" s="142" customFormat="1" ht="12" customHeight="1">
      <c r="A41" s="803"/>
      <c r="B41" s="804" t="s">
        <v>554</v>
      </c>
      <c r="C41" s="153"/>
      <c r="D41" s="153">
        <f t="shared" ref="D41:AT41" si="97">SUM(D34,D36:D40)</f>
        <v>1948.182</v>
      </c>
      <c r="E41" s="153">
        <f t="shared" si="97"/>
        <v>1868.8000000000002</v>
      </c>
      <c r="F41" s="153">
        <f t="shared" si="97"/>
        <v>1845.6999999999998</v>
      </c>
      <c r="G41" s="153">
        <f t="shared" si="97"/>
        <v>5932</v>
      </c>
      <c r="H41" s="916">
        <f t="shared" si="97"/>
        <v>5932</v>
      </c>
      <c r="I41" s="153">
        <f t="shared" si="97"/>
        <v>5778.8</v>
      </c>
      <c r="J41" s="153">
        <f t="shared" si="97"/>
        <v>5785.5000000000009</v>
      </c>
      <c r="K41" s="153">
        <f t="shared" si="97"/>
        <v>5667</v>
      </c>
      <c r="L41" s="153">
        <f t="shared" si="97"/>
        <v>5696</v>
      </c>
      <c r="M41" s="916">
        <f t="shared" si="97"/>
        <v>5696</v>
      </c>
      <c r="N41" s="153">
        <f t="shared" si="97"/>
        <v>5661.7</v>
      </c>
      <c r="O41" s="153">
        <f t="shared" si="97"/>
        <v>5726.2999999999993</v>
      </c>
      <c r="P41" s="153">
        <f t="shared" si="97"/>
        <v>8112</v>
      </c>
      <c r="Q41" s="153">
        <f t="shared" si="97"/>
        <v>8481</v>
      </c>
      <c r="R41" s="916">
        <f t="shared" si="97"/>
        <v>8481</v>
      </c>
      <c r="S41" s="153">
        <f t="shared" si="97"/>
        <v>8517</v>
      </c>
      <c r="T41" s="153">
        <f t="shared" si="97"/>
        <v>8723</v>
      </c>
      <c r="U41" s="153">
        <f t="shared" si="97"/>
        <v>9022</v>
      </c>
      <c r="V41" s="153">
        <f t="shared" si="97"/>
        <v>9216</v>
      </c>
      <c r="W41" s="916">
        <f t="shared" si="97"/>
        <v>9216</v>
      </c>
      <c r="X41" s="153">
        <f t="shared" si="97"/>
        <v>9307</v>
      </c>
      <c r="Y41" s="153">
        <f t="shared" si="97"/>
        <v>9765</v>
      </c>
      <c r="Z41" s="153">
        <f t="shared" si="97"/>
        <v>9912</v>
      </c>
      <c r="AA41" s="153">
        <f t="shared" si="97"/>
        <v>9901</v>
      </c>
      <c r="AB41" s="916">
        <f t="shared" si="97"/>
        <v>9901</v>
      </c>
      <c r="AC41" s="153">
        <f t="shared" si="97"/>
        <v>9741</v>
      </c>
      <c r="AD41" s="153">
        <f t="shared" si="97"/>
        <v>9186</v>
      </c>
      <c r="AE41" s="153">
        <f t="shared" si="97"/>
        <v>9289</v>
      </c>
      <c r="AF41" s="153">
        <f t="shared" si="97"/>
        <v>9095</v>
      </c>
      <c r="AG41" s="916">
        <f t="shared" si="97"/>
        <v>9095</v>
      </c>
      <c r="AH41" s="153">
        <f t="shared" si="97"/>
        <v>8798</v>
      </c>
      <c r="AI41" s="153">
        <f t="shared" si="97"/>
        <v>8537</v>
      </c>
      <c r="AJ41" s="153">
        <f t="shared" si="97"/>
        <v>8309</v>
      </c>
      <c r="AK41" s="153">
        <f t="shared" si="97"/>
        <v>7916</v>
      </c>
      <c r="AL41" s="916">
        <f t="shared" si="97"/>
        <v>7916</v>
      </c>
      <c r="AM41" s="153">
        <f t="shared" si="97"/>
        <v>8092</v>
      </c>
      <c r="AN41" s="153">
        <f t="shared" si="97"/>
        <v>8122</v>
      </c>
      <c r="AO41" s="153">
        <f t="shared" si="97"/>
        <v>8175</v>
      </c>
      <c r="AP41" s="153">
        <f t="shared" si="97"/>
        <v>8195</v>
      </c>
      <c r="AQ41" s="916">
        <f t="shared" si="97"/>
        <v>8195</v>
      </c>
      <c r="AR41" s="153">
        <f t="shared" si="97"/>
        <v>7854</v>
      </c>
      <c r="AS41" s="153">
        <f t="shared" si="97"/>
        <v>8030</v>
      </c>
      <c r="AT41" s="153">
        <f t="shared" si="97"/>
        <v>8093</v>
      </c>
      <c r="AU41" s="802"/>
      <c r="AV41" s="927">
        <f t="shared" ref="AV41:CA41" si="98">SUM(AV34,AV36:AV40)</f>
        <v>0</v>
      </c>
      <c r="AW41" s="153">
        <f t="shared" si="98"/>
        <v>0</v>
      </c>
      <c r="AX41" s="153">
        <f t="shared" si="98"/>
        <v>0</v>
      </c>
      <c r="AY41" s="153">
        <f t="shared" si="98"/>
        <v>8057</v>
      </c>
      <c r="AZ41" s="916">
        <f t="shared" si="98"/>
        <v>8057</v>
      </c>
      <c r="BA41" s="153">
        <f t="shared" si="98"/>
        <v>7941</v>
      </c>
      <c r="BB41" s="153">
        <f t="shared" si="98"/>
        <v>7984</v>
      </c>
      <c r="BC41" s="153">
        <f t="shared" si="98"/>
        <v>8205</v>
      </c>
      <c r="BD41" s="153">
        <f t="shared" si="98"/>
        <v>7937</v>
      </c>
      <c r="BE41" s="916">
        <f t="shared" si="98"/>
        <v>7937</v>
      </c>
      <c r="BF41" s="153">
        <f t="shared" si="98"/>
        <v>7863</v>
      </c>
      <c r="BG41" s="153">
        <f t="shared" si="98"/>
        <v>8263</v>
      </c>
      <c r="BH41" s="153">
        <f t="shared" si="98"/>
        <v>8277</v>
      </c>
      <c r="BI41" s="153">
        <f t="shared" si="98"/>
        <v>8346</v>
      </c>
      <c r="BJ41" s="916">
        <f t="shared" si="98"/>
        <v>8346</v>
      </c>
      <c r="BK41" s="153">
        <f t="shared" si="98"/>
        <v>8487</v>
      </c>
      <c r="BL41" s="153">
        <f t="shared" si="98"/>
        <v>8543</v>
      </c>
      <c r="BM41" s="153">
        <f t="shared" si="98"/>
        <v>8643</v>
      </c>
      <c r="BN41" s="153">
        <f t="shared" si="98"/>
        <v>8791</v>
      </c>
      <c r="BO41" s="916">
        <f t="shared" si="98"/>
        <v>8791</v>
      </c>
      <c r="BP41" s="153">
        <f t="shared" si="98"/>
        <v>8238</v>
      </c>
      <c r="BQ41" s="153">
        <f t="shared" si="98"/>
        <v>8493</v>
      </c>
      <c r="BR41" s="153">
        <f t="shared" si="98"/>
        <v>8411</v>
      </c>
      <c r="BS41" s="153">
        <f t="shared" si="98"/>
        <v>8275</v>
      </c>
      <c r="BT41" s="916">
        <f t="shared" si="98"/>
        <v>8275</v>
      </c>
      <c r="BU41" s="153">
        <f t="shared" si="98"/>
        <v>8108</v>
      </c>
      <c r="BV41" s="153">
        <f t="shared" si="98"/>
        <v>8104</v>
      </c>
      <c r="BW41" s="153">
        <f t="shared" si="98"/>
        <v>8134</v>
      </c>
      <c r="BX41" s="153">
        <f t="shared" si="98"/>
        <v>8339</v>
      </c>
      <c r="BY41" s="916">
        <f t="shared" si="98"/>
        <v>8339</v>
      </c>
      <c r="BZ41" s="153">
        <f t="shared" si="98"/>
        <v>8142</v>
      </c>
      <c r="CA41" s="153">
        <f t="shared" si="98"/>
        <v>8214</v>
      </c>
      <c r="CB41" s="153">
        <f t="shared" ref="CB41:DG41" si="99">SUM(CB34,CB36:CB40)</f>
        <v>8158</v>
      </c>
      <c r="CC41" s="153">
        <f t="shared" si="99"/>
        <v>8071</v>
      </c>
      <c r="CD41" s="916">
        <f t="shared" si="99"/>
        <v>8071</v>
      </c>
      <c r="CE41" s="153">
        <f t="shared" si="99"/>
        <v>7754</v>
      </c>
      <c r="CF41" s="153">
        <f t="shared" si="99"/>
        <v>7595</v>
      </c>
      <c r="CG41" s="153">
        <f t="shared" si="99"/>
        <v>7203</v>
      </c>
      <c r="CH41" s="153">
        <f t="shared" si="99"/>
        <v>7256</v>
      </c>
      <c r="CI41" s="916">
        <f t="shared" si="99"/>
        <v>7256</v>
      </c>
      <c r="CJ41" s="153">
        <f t="shared" si="99"/>
        <v>7024</v>
      </c>
      <c r="CK41" s="153">
        <f t="shared" si="99"/>
        <v>7008</v>
      </c>
      <c r="CL41" s="153">
        <f t="shared" si="99"/>
        <v>6771</v>
      </c>
      <c r="CM41" s="153">
        <f t="shared" si="99"/>
        <v>6681</v>
      </c>
      <c r="CN41" s="916">
        <f t="shared" si="99"/>
        <v>6681</v>
      </c>
      <c r="CO41" s="153">
        <f t="shared" si="99"/>
        <v>6616</v>
      </c>
      <c r="CP41" s="153">
        <f t="shared" si="99"/>
        <v>6545</v>
      </c>
      <c r="CQ41" s="153">
        <f t="shared" si="99"/>
        <v>6516</v>
      </c>
      <c r="CR41" s="153">
        <f t="shared" si="99"/>
        <v>6954</v>
      </c>
      <c r="CS41" s="916">
        <f t="shared" si="99"/>
        <v>6954</v>
      </c>
      <c r="CT41" s="153">
        <f t="shared" si="99"/>
        <v>6998</v>
      </c>
      <c r="CU41" s="153">
        <f t="shared" si="99"/>
        <v>7240</v>
      </c>
      <c r="CV41" s="153">
        <f t="shared" si="99"/>
        <v>7185</v>
      </c>
      <c r="CW41" s="153">
        <f t="shared" si="99"/>
        <v>7810</v>
      </c>
      <c r="CX41" s="916">
        <f t="shared" si="99"/>
        <v>7810</v>
      </c>
      <c r="CY41" s="153">
        <f t="shared" si="99"/>
        <v>7833</v>
      </c>
      <c r="CZ41" s="153">
        <f t="shared" si="99"/>
        <v>8095</v>
      </c>
      <c r="DA41" s="153">
        <f t="shared" si="99"/>
        <v>8334</v>
      </c>
      <c r="DB41" s="153">
        <f t="shared" si="99"/>
        <v>15005</v>
      </c>
      <c r="DC41" s="916">
        <f t="shared" si="99"/>
        <v>15005</v>
      </c>
      <c r="DD41" s="153">
        <f t="shared" si="99"/>
        <v>15363</v>
      </c>
      <c r="DE41" s="153">
        <f t="shared" si="99"/>
        <v>15757</v>
      </c>
      <c r="DF41" s="153">
        <f t="shared" si="99"/>
        <v>16050</v>
      </c>
      <c r="DG41" s="153">
        <f t="shared" si="99"/>
        <v>16955</v>
      </c>
      <c r="DH41" s="916">
        <f t="shared" ref="DH41:DR41" si="100">SUM(DH34,DH36:DH40)</f>
        <v>16955</v>
      </c>
      <c r="DI41" s="153">
        <f t="shared" si="100"/>
        <v>17245</v>
      </c>
      <c r="DJ41" s="153">
        <f t="shared" si="100"/>
        <v>20137</v>
      </c>
      <c r="DK41" s="153">
        <f t="shared" si="100"/>
        <v>20473</v>
      </c>
      <c r="DL41" s="153">
        <f t="shared" si="100"/>
        <v>20458</v>
      </c>
      <c r="DM41" s="916">
        <f>SUM(DM34,DM36:DM40)</f>
        <v>20458</v>
      </c>
      <c r="DN41" s="153">
        <f t="shared" si="100"/>
        <v>20459</v>
      </c>
      <c r="DO41" s="153">
        <f t="shared" si="100"/>
        <v>20813</v>
      </c>
      <c r="DP41" s="153">
        <f t="shared" si="100"/>
        <v>21002</v>
      </c>
      <c r="DQ41" s="153">
        <f t="shared" si="100"/>
        <v>21226</v>
      </c>
      <c r="DR41" s="916">
        <f t="shared" si="100"/>
        <v>21226</v>
      </c>
      <c r="DS41" s="153">
        <f>SUM(DS34,DS36:DS40)</f>
        <v>20986</v>
      </c>
      <c r="DT41" s="153">
        <f>SUM(DT34,DT36:DT40)</f>
        <v>21505</v>
      </c>
      <c r="DU41" s="153">
        <f>SUM(DU34,DU36:DU40)</f>
        <v>20697</v>
      </c>
      <c r="DV41" s="153">
        <f t="shared" ref="DV41" si="101">SUM(DV34,DV36:DV40)</f>
        <v>20980</v>
      </c>
      <c r="DW41" s="916">
        <f>SUM(DW34,DW36:DW40)</f>
        <v>20980</v>
      </c>
      <c r="DX41" s="153">
        <f t="shared" ref="DX41:EG41" si="102">SUM(DX34,DX36:DX40)</f>
        <v>20441.32122123443</v>
      </c>
      <c r="DY41" s="153">
        <f t="shared" si="102"/>
        <v>19885.352614056243</v>
      </c>
      <c r="DZ41" s="153">
        <f t="shared" si="102"/>
        <v>19823.101993609067</v>
      </c>
      <c r="EA41" s="153">
        <f t="shared" si="102"/>
        <v>19398.535532070153</v>
      </c>
      <c r="EB41" s="916">
        <f t="shared" si="102"/>
        <v>19398.535532070153</v>
      </c>
      <c r="EC41" s="153">
        <f t="shared" si="102"/>
        <v>19268.078969750019</v>
      </c>
      <c r="ED41" s="153">
        <f t="shared" si="102"/>
        <v>19268.936529158455</v>
      </c>
      <c r="EE41" s="153">
        <f t="shared" si="102"/>
        <v>19236.14900850541</v>
      </c>
      <c r="EF41" s="153">
        <f t="shared" si="102"/>
        <v>19310.696839312248</v>
      </c>
      <c r="EG41" s="916">
        <f t="shared" si="102"/>
        <v>19310.696839312248</v>
      </c>
      <c r="EH41" s="153">
        <f t="shared" ref="EH41:EL41" si="103">SUM(EH34,EH36:EH40)</f>
        <v>19093.586150921154</v>
      </c>
      <c r="EI41" s="153">
        <f t="shared" si="103"/>
        <v>18907.634565122033</v>
      </c>
      <c r="EJ41" s="153">
        <f t="shared" si="103"/>
        <v>18670.135742822611</v>
      </c>
      <c r="EK41" s="153">
        <f t="shared" si="103"/>
        <v>18550.118793047131</v>
      </c>
      <c r="EL41" s="916">
        <f t="shared" si="103"/>
        <v>18550.118793047131</v>
      </c>
      <c r="EM41" s="928"/>
      <c r="EN41"/>
      <c r="EO41"/>
      <c r="EP41"/>
      <c r="EQ41"/>
      <c r="ER41"/>
      <c r="ES41"/>
      <c r="ET41" s="141"/>
      <c r="EU41" s="141"/>
      <c r="EV41" s="141"/>
      <c r="EW41" s="141"/>
      <c r="EX41" s="141"/>
      <c r="EY41" s="141"/>
      <c r="EZ41" s="141"/>
      <c r="FA41" s="141"/>
      <c r="FB41" s="141"/>
      <c r="FC41" s="141"/>
      <c r="FD41" s="141"/>
      <c r="FE41" s="141"/>
      <c r="FF41" s="141"/>
      <c r="FG41" s="141"/>
      <c r="FH41" s="141"/>
      <c r="FI41" s="141"/>
      <c r="FJ41" s="141"/>
      <c r="FK41" s="141"/>
      <c r="FL41" s="141"/>
      <c r="FM41" s="141"/>
      <c r="FN41" s="141"/>
      <c r="FO41" s="141"/>
      <c r="FP41" s="141"/>
      <c r="FQ41" s="141"/>
      <c r="FR41" s="141"/>
      <c r="FS41" s="141"/>
      <c r="FT41" s="141"/>
      <c r="FU41" s="141"/>
      <c r="FV41" s="141"/>
      <c r="FW41" s="141"/>
      <c r="FX41" s="141"/>
      <c r="FY41" s="141"/>
      <c r="FZ41" s="141"/>
      <c r="GA41" s="141"/>
      <c r="GB41" s="141"/>
      <c r="GC41" s="141"/>
      <c r="GD41" s="141"/>
      <c r="GE41" s="141"/>
      <c r="GF41" s="141"/>
      <c r="GG41" s="141"/>
      <c r="GH41" s="141"/>
      <c r="GI41" s="141"/>
      <c r="GJ41" s="141"/>
      <c r="GK41" s="141"/>
      <c r="GL41" s="141"/>
      <c r="GM41" s="141"/>
      <c r="GN41" s="141"/>
      <c r="GO41" s="141"/>
      <c r="GP41" s="141"/>
      <c r="GQ41" s="141"/>
      <c r="GR41" s="141"/>
      <c r="GS41" s="141"/>
      <c r="GT41" s="141"/>
      <c r="GU41" s="141"/>
      <c r="GV41" s="141"/>
      <c r="GW41" s="141"/>
      <c r="GX41" s="141"/>
      <c r="GY41" s="141"/>
      <c r="GZ41" s="141"/>
      <c r="HA41" s="141"/>
      <c r="HB41" s="141"/>
      <c r="HC41" s="141"/>
      <c r="HD41" s="141"/>
      <c r="HE41" s="141"/>
      <c r="HF41" s="141"/>
      <c r="HG41" s="141"/>
      <c r="HH41" s="141"/>
      <c r="HI41" s="141"/>
      <c r="HJ41" s="141"/>
      <c r="HK41" s="141"/>
      <c r="HL41" s="141"/>
      <c r="HM41" s="141"/>
      <c r="HN41" s="141"/>
      <c r="HO41" s="141"/>
      <c r="HP41" s="141"/>
      <c r="HQ41" s="141"/>
      <c r="HR41" s="141"/>
      <c r="HS41" s="141"/>
      <c r="HT41" s="141"/>
      <c r="HU41" s="141"/>
      <c r="HV41" s="141"/>
      <c r="HW41" s="141"/>
      <c r="HX41" s="141"/>
      <c r="HY41" s="141"/>
      <c r="HZ41" s="141"/>
      <c r="IA41" s="141"/>
      <c r="IB41" s="141"/>
      <c r="IC41" s="141"/>
      <c r="ID41" s="141"/>
      <c r="IE41" s="141"/>
      <c r="IF41" s="141"/>
      <c r="IG41" s="141"/>
      <c r="IH41" s="141"/>
      <c r="II41" s="141"/>
      <c r="IJ41" s="141"/>
      <c r="IK41" s="141"/>
      <c r="IL41" s="141"/>
      <c r="IM41" s="141"/>
      <c r="IN41" s="141"/>
      <c r="IO41" s="141"/>
      <c r="IP41" s="141"/>
      <c r="IQ41" s="141"/>
      <c r="IR41" s="141"/>
      <c r="IS41" s="141"/>
      <c r="IT41" s="141"/>
      <c r="IU41" s="141"/>
      <c r="IV41" s="141"/>
      <c r="IW41" s="141"/>
      <c r="IX41" s="141"/>
      <c r="IY41" s="141"/>
      <c r="IZ41" s="141"/>
      <c r="JA41" s="141"/>
      <c r="JB41" s="141"/>
      <c r="JC41" s="141"/>
      <c r="JD41" s="141"/>
      <c r="JE41" s="141"/>
      <c r="JF41" s="141"/>
      <c r="JG41" s="141"/>
      <c r="JH41" s="141"/>
    </row>
    <row r="42" spans="1:268" s="142" customFormat="1" ht="12" customHeight="1">
      <c r="A42" s="803"/>
      <c r="B42" s="804"/>
      <c r="C42" s="917"/>
      <c r="D42" s="917"/>
      <c r="E42" s="153"/>
      <c r="F42" s="153"/>
      <c r="G42" s="929"/>
      <c r="H42" s="929"/>
      <c r="I42" s="153"/>
      <c r="J42" s="153"/>
      <c r="K42" s="153"/>
      <c r="L42" s="929"/>
      <c r="M42" s="929"/>
      <c r="N42" s="153"/>
      <c r="O42" s="153"/>
      <c r="P42" s="153"/>
      <c r="Q42" s="929"/>
      <c r="R42" s="929"/>
      <c r="S42" s="153"/>
      <c r="T42" s="153"/>
      <c r="U42" s="153"/>
      <c r="V42" s="929"/>
      <c r="W42" s="929"/>
      <c r="X42" s="153"/>
      <c r="Y42" s="153"/>
      <c r="Z42" s="153"/>
      <c r="AA42" s="929"/>
      <c r="AB42" s="929"/>
      <c r="AC42" s="153"/>
      <c r="AD42" s="153"/>
      <c r="AE42" s="153"/>
      <c r="AF42" s="929"/>
      <c r="AG42" s="929"/>
      <c r="AH42" s="153"/>
      <c r="AI42" s="153"/>
      <c r="AJ42" s="153"/>
      <c r="AK42" s="929"/>
      <c r="AL42" s="929"/>
      <c r="AM42" s="153"/>
      <c r="AN42" s="153"/>
      <c r="AO42" s="153"/>
      <c r="AP42" s="929"/>
      <c r="AQ42" s="929"/>
      <c r="AR42" s="153"/>
      <c r="AS42" s="153"/>
      <c r="AT42" s="153"/>
      <c r="AU42" s="802"/>
      <c r="AV42" s="927"/>
      <c r="AW42" s="917"/>
      <c r="AX42" s="917"/>
      <c r="AY42" s="917"/>
      <c r="AZ42" s="916"/>
      <c r="BA42" s="153"/>
      <c r="BB42" s="153"/>
      <c r="BC42" s="917"/>
      <c r="BD42" s="917"/>
      <c r="BE42" s="916"/>
      <c r="BF42" s="153"/>
      <c r="BG42" s="153"/>
      <c r="BH42" s="917"/>
      <c r="BI42" s="917"/>
      <c r="BJ42" s="916"/>
      <c r="BK42" s="153"/>
      <c r="BL42" s="153"/>
      <c r="BM42" s="917"/>
      <c r="BN42" s="917"/>
      <c r="BO42" s="916"/>
      <c r="BP42" s="153"/>
      <c r="BQ42" s="153"/>
      <c r="BR42" s="917"/>
      <c r="BS42" s="917"/>
      <c r="BT42" s="916"/>
      <c r="BU42" s="153"/>
      <c r="BV42" s="153"/>
      <c r="BW42" s="917"/>
      <c r="BX42" s="917"/>
      <c r="BY42" s="916"/>
      <c r="BZ42" s="153"/>
      <c r="CA42" s="153"/>
      <c r="CB42" s="917"/>
      <c r="CC42" s="917"/>
      <c r="CD42" s="916"/>
      <c r="CE42" s="153"/>
      <c r="CF42" s="153"/>
      <c r="CG42" s="917"/>
      <c r="CH42" s="917"/>
      <c r="CI42" s="916"/>
      <c r="CJ42" s="917"/>
      <c r="CK42" s="917"/>
      <c r="CL42" s="917"/>
      <c r="CM42" s="917"/>
      <c r="CN42" s="916"/>
      <c r="CO42" s="917"/>
      <c r="CP42" s="917"/>
      <c r="CQ42" s="917"/>
      <c r="CR42" s="917"/>
      <c r="CS42" s="916"/>
      <c r="CT42" s="917"/>
      <c r="CU42" s="917"/>
      <c r="CV42" s="917"/>
      <c r="CW42" s="917"/>
      <c r="CX42" s="916"/>
      <c r="CY42" s="917"/>
      <c r="CZ42" s="917"/>
      <c r="DA42" s="917"/>
      <c r="DB42" s="917"/>
      <c r="DC42" s="916"/>
      <c r="DD42" s="917"/>
      <c r="DE42" s="917"/>
      <c r="DF42" s="917"/>
      <c r="DG42" s="917"/>
      <c r="DH42" s="916"/>
      <c r="DI42" s="917"/>
      <c r="DJ42" s="917"/>
      <c r="DK42" s="917"/>
      <c r="DL42" s="917"/>
      <c r="DM42" s="916"/>
      <c r="DN42" s="917"/>
      <c r="DO42" s="917"/>
      <c r="DP42" s="917"/>
      <c r="DQ42" s="917"/>
      <c r="DR42" s="916"/>
      <c r="DS42" s="917"/>
      <c r="DT42" s="917"/>
      <c r="DU42" s="917"/>
      <c r="DV42" s="917"/>
      <c r="DW42" s="916"/>
      <c r="DX42" s="917"/>
      <c r="DY42" s="917"/>
      <c r="DZ42" s="917"/>
      <c r="EA42" s="917"/>
      <c r="EB42" s="916"/>
      <c r="EC42" s="917"/>
      <c r="ED42" s="917"/>
      <c r="EE42" s="917"/>
      <c r="EF42" s="917"/>
      <c r="EG42" s="916"/>
      <c r="EH42" s="917"/>
      <c r="EI42" s="917"/>
      <c r="EJ42" s="917"/>
      <c r="EK42" s="917"/>
      <c r="EL42" s="916"/>
      <c r="EM42" s="917"/>
      <c r="EN42"/>
      <c r="EO42"/>
      <c r="EP42"/>
      <c r="EQ42"/>
      <c r="ER42"/>
      <c r="ES42"/>
      <c r="ET42" s="141"/>
      <c r="EU42" s="141"/>
      <c r="EV42" s="141"/>
      <c r="EW42" s="141"/>
      <c r="EX42" s="141"/>
      <c r="EY42" s="141"/>
      <c r="EZ42" s="141"/>
      <c r="FA42" s="141"/>
      <c r="FB42" s="141"/>
      <c r="FC42" s="141"/>
      <c r="FD42" s="141"/>
      <c r="FE42" s="141"/>
      <c r="FF42" s="141"/>
      <c r="FG42" s="141"/>
      <c r="FH42" s="141"/>
      <c r="FI42" s="141"/>
      <c r="FJ42" s="141"/>
      <c r="FK42" s="141"/>
      <c r="FL42" s="141"/>
      <c r="FM42" s="141"/>
      <c r="FN42" s="141"/>
      <c r="FO42" s="141"/>
      <c r="FP42" s="141"/>
      <c r="FQ42" s="141"/>
      <c r="FR42" s="141"/>
      <c r="FS42" s="141"/>
      <c r="FT42" s="141"/>
      <c r="FU42" s="141"/>
      <c r="FV42" s="141"/>
      <c r="FW42" s="141"/>
      <c r="FX42" s="141"/>
      <c r="FY42" s="141"/>
      <c r="FZ42" s="141"/>
      <c r="GA42" s="141"/>
      <c r="GB42" s="141"/>
      <c r="GC42" s="141"/>
      <c r="GD42" s="141"/>
      <c r="GE42" s="141"/>
      <c r="GF42" s="141"/>
      <c r="GG42" s="141"/>
      <c r="GH42" s="141"/>
      <c r="GI42" s="141"/>
      <c r="GJ42" s="141"/>
      <c r="GK42" s="141"/>
      <c r="GL42" s="141"/>
      <c r="GM42" s="141"/>
      <c r="GN42" s="141"/>
      <c r="GO42" s="141"/>
      <c r="GP42" s="141"/>
      <c r="GQ42" s="141"/>
      <c r="GR42" s="141"/>
      <c r="GS42" s="141"/>
      <c r="GT42" s="141"/>
      <c r="GU42" s="141"/>
      <c r="GV42" s="141"/>
      <c r="GW42" s="141"/>
      <c r="GX42" s="141"/>
      <c r="GY42" s="141"/>
      <c r="GZ42" s="141"/>
      <c r="HA42" s="141"/>
      <c r="HB42" s="141"/>
      <c r="HC42" s="141"/>
      <c r="HD42" s="141"/>
      <c r="HE42" s="141"/>
      <c r="HF42" s="141"/>
      <c r="HG42" s="141"/>
      <c r="HH42" s="141"/>
      <c r="HI42" s="141"/>
      <c r="HJ42" s="141"/>
      <c r="HK42" s="141"/>
      <c r="HL42" s="141"/>
      <c r="HM42" s="141"/>
      <c r="HN42" s="141"/>
      <c r="HO42" s="141"/>
      <c r="HP42" s="141"/>
      <c r="HQ42" s="141"/>
      <c r="HR42" s="141"/>
      <c r="HS42" s="141"/>
      <c r="HT42" s="141"/>
      <c r="HU42" s="141"/>
      <c r="HV42" s="141"/>
      <c r="HW42" s="141"/>
      <c r="HX42" s="141"/>
      <c r="HY42" s="141"/>
      <c r="HZ42" s="141"/>
      <c r="IA42" s="141"/>
      <c r="IB42" s="141"/>
      <c r="IC42" s="141"/>
      <c r="ID42" s="141"/>
      <c r="IE42" s="141"/>
      <c r="IF42" s="141"/>
      <c r="IG42" s="141"/>
      <c r="IH42" s="141"/>
      <c r="II42" s="141"/>
      <c r="IJ42" s="141"/>
      <c r="IK42" s="141"/>
      <c r="IL42" s="141"/>
      <c r="IM42" s="141"/>
      <c r="IN42" s="141"/>
      <c r="IO42" s="141"/>
      <c r="IP42" s="141"/>
      <c r="IQ42" s="141"/>
      <c r="IR42" s="141"/>
      <c r="IS42" s="141"/>
      <c r="IT42" s="141"/>
      <c r="IU42" s="141"/>
      <c r="IV42" s="141"/>
      <c r="IW42" s="141"/>
      <c r="IX42" s="141"/>
      <c r="IY42" s="141"/>
      <c r="IZ42" s="141"/>
      <c r="JA42" s="141"/>
      <c r="JB42" s="141"/>
      <c r="JC42" s="141"/>
      <c r="JD42" s="141"/>
      <c r="JE42" s="141"/>
      <c r="JF42" s="141"/>
      <c r="JG42" s="141"/>
      <c r="JH42" s="141"/>
    </row>
    <row r="43" spans="1:268" s="142" customFormat="1" ht="12" customHeight="1">
      <c r="A43" s="801"/>
      <c r="B43" s="555" t="s">
        <v>555</v>
      </c>
      <c r="C43" s="555"/>
      <c r="D43" s="147">
        <v>0</v>
      </c>
      <c r="E43" s="147">
        <v>0</v>
      </c>
      <c r="F43" s="147">
        <v>0</v>
      </c>
      <c r="G43" s="150">
        <v>0</v>
      </c>
      <c r="H43" s="900">
        <f>G43</f>
        <v>0</v>
      </c>
      <c r="I43" s="147">
        <v>0</v>
      </c>
      <c r="J43" s="147">
        <v>0</v>
      </c>
      <c r="K43" s="147">
        <v>0</v>
      </c>
      <c r="L43" s="150">
        <v>0</v>
      </c>
      <c r="M43" s="900">
        <f>L43</f>
        <v>0</v>
      </c>
      <c r="N43" s="147">
        <v>0</v>
      </c>
      <c r="O43" s="147">
        <v>0</v>
      </c>
      <c r="P43" s="147">
        <v>0</v>
      </c>
      <c r="Q43" s="150">
        <v>0</v>
      </c>
      <c r="R43" s="900">
        <f>Q43</f>
        <v>0</v>
      </c>
      <c r="S43" s="147">
        <v>0</v>
      </c>
      <c r="T43" s="147">
        <v>0</v>
      </c>
      <c r="U43" s="147">
        <v>0</v>
      </c>
      <c r="V43" s="150">
        <v>0</v>
      </c>
      <c r="W43" s="900">
        <f>V43</f>
        <v>0</v>
      </c>
      <c r="X43" s="147">
        <v>0</v>
      </c>
      <c r="Y43" s="147">
        <v>0</v>
      </c>
      <c r="Z43" s="147">
        <v>0</v>
      </c>
      <c r="AA43" s="150">
        <v>0</v>
      </c>
      <c r="AB43" s="900">
        <f>AA43</f>
        <v>0</v>
      </c>
      <c r="AC43" s="147">
        <v>0</v>
      </c>
      <c r="AD43" s="147">
        <v>0</v>
      </c>
      <c r="AE43" s="147">
        <v>0</v>
      </c>
      <c r="AF43" s="150">
        <v>0</v>
      </c>
      <c r="AG43" s="900">
        <f>AF43</f>
        <v>0</v>
      </c>
      <c r="AH43" s="147">
        <v>0</v>
      </c>
      <c r="AI43" s="147">
        <v>0</v>
      </c>
      <c r="AJ43" s="147">
        <v>0</v>
      </c>
      <c r="AK43" s="150">
        <v>0</v>
      </c>
      <c r="AL43" s="900">
        <f>AK43</f>
        <v>0</v>
      </c>
      <c r="AM43" s="147">
        <v>0</v>
      </c>
      <c r="AN43" s="147">
        <v>0</v>
      </c>
      <c r="AO43" s="147">
        <v>0</v>
      </c>
      <c r="AP43" s="150">
        <v>0</v>
      </c>
      <c r="AQ43" s="900">
        <f>AP43</f>
        <v>0</v>
      </c>
      <c r="AR43" s="147">
        <v>0</v>
      </c>
      <c r="AS43" s="147">
        <v>0</v>
      </c>
      <c r="AT43" s="147">
        <v>0</v>
      </c>
      <c r="AU43" s="802"/>
      <c r="AV43" s="161"/>
      <c r="AW43" s="561"/>
      <c r="AX43" s="561"/>
      <c r="AY43" s="147">
        <v>0</v>
      </c>
      <c r="AZ43" s="844">
        <f>AY43</f>
        <v>0</v>
      </c>
      <c r="BA43" s="147">
        <v>0</v>
      </c>
      <c r="BB43" s="147">
        <v>0</v>
      </c>
      <c r="BC43" s="147">
        <v>0</v>
      </c>
      <c r="BD43" s="147">
        <v>0</v>
      </c>
      <c r="BE43" s="844">
        <f>BD43</f>
        <v>0</v>
      </c>
      <c r="BF43" s="147">
        <v>0</v>
      </c>
      <c r="BG43" s="147">
        <v>0</v>
      </c>
      <c r="BH43" s="147">
        <v>0</v>
      </c>
      <c r="BI43" s="147">
        <v>0</v>
      </c>
      <c r="BJ43" s="844">
        <f>BI43</f>
        <v>0</v>
      </c>
      <c r="BK43" s="147">
        <v>0</v>
      </c>
      <c r="BL43" s="147">
        <v>0</v>
      </c>
      <c r="BM43" s="147">
        <v>0</v>
      </c>
      <c r="BN43" s="147">
        <v>0</v>
      </c>
      <c r="BO43" s="844">
        <f>+BN43</f>
        <v>0</v>
      </c>
      <c r="BP43" s="147">
        <v>0</v>
      </c>
      <c r="BQ43" s="147">
        <v>0</v>
      </c>
      <c r="BR43" s="147">
        <v>0</v>
      </c>
      <c r="BS43" s="147">
        <v>0</v>
      </c>
      <c r="BT43" s="844">
        <f>+BS43</f>
        <v>0</v>
      </c>
      <c r="BU43" s="147">
        <v>0</v>
      </c>
      <c r="BV43" s="147">
        <v>0</v>
      </c>
      <c r="BW43" s="147">
        <v>0</v>
      </c>
      <c r="BX43" s="147">
        <v>0</v>
      </c>
      <c r="BY43" s="844">
        <f>+BX43</f>
        <v>0</v>
      </c>
      <c r="BZ43" s="147">
        <v>0</v>
      </c>
      <c r="CA43" s="147">
        <v>0</v>
      </c>
      <c r="CB43" s="147">
        <v>0</v>
      </c>
      <c r="CC43" s="147">
        <v>0</v>
      </c>
      <c r="CD43" s="844">
        <f>+CC43</f>
        <v>0</v>
      </c>
      <c r="CE43" s="147">
        <v>0</v>
      </c>
      <c r="CF43" s="147">
        <v>0</v>
      </c>
      <c r="CG43" s="147">
        <v>0</v>
      </c>
      <c r="CH43" s="147">
        <v>0</v>
      </c>
      <c r="CI43" s="844">
        <f>+CH43</f>
        <v>0</v>
      </c>
      <c r="CJ43" s="147">
        <v>0</v>
      </c>
      <c r="CK43" s="147">
        <v>0</v>
      </c>
      <c r="CL43" s="147">
        <v>0</v>
      </c>
      <c r="CM43" s="147">
        <v>0</v>
      </c>
      <c r="CN43" s="844">
        <f>CM43</f>
        <v>0</v>
      </c>
      <c r="CO43" s="147">
        <v>0</v>
      </c>
      <c r="CP43" s="147">
        <v>16</v>
      </c>
      <c r="CQ43" s="147">
        <v>16</v>
      </c>
      <c r="CR43" s="147">
        <v>16</v>
      </c>
      <c r="CS43" s="844">
        <f>CR43</f>
        <v>16</v>
      </c>
      <c r="CT43" s="147">
        <v>16</v>
      </c>
      <c r="CU43" s="147">
        <v>16</v>
      </c>
      <c r="CV43" s="147">
        <v>16</v>
      </c>
      <c r="CW43" s="147">
        <v>16</v>
      </c>
      <c r="CX43" s="844">
        <f>CW43</f>
        <v>16</v>
      </c>
      <c r="CY43" s="147">
        <v>36</v>
      </c>
      <c r="CZ43" s="147">
        <v>80</v>
      </c>
      <c r="DA43" s="147">
        <v>83</v>
      </c>
      <c r="DB43" s="147">
        <v>247</v>
      </c>
      <c r="DC43" s="902">
        <f>DB43</f>
        <v>247</v>
      </c>
      <c r="DD43" s="147">
        <v>267</v>
      </c>
      <c r="DE43" s="147">
        <v>277</v>
      </c>
      <c r="DF43" s="147">
        <v>396</v>
      </c>
      <c r="DG43" s="147">
        <v>401</v>
      </c>
      <c r="DH43" s="902">
        <f>DG43</f>
        <v>401</v>
      </c>
      <c r="DI43" s="147">
        <v>208</v>
      </c>
      <c r="DJ43" s="147">
        <v>1591</v>
      </c>
      <c r="DK43" s="147">
        <v>1682</v>
      </c>
      <c r="DL43" s="147">
        <v>2266</v>
      </c>
      <c r="DM43" s="902">
        <f>DL43</f>
        <v>2266</v>
      </c>
      <c r="DN43" s="147">
        <v>2381</v>
      </c>
      <c r="DO43" s="147">
        <v>2275</v>
      </c>
      <c r="DP43" s="147">
        <v>2307</v>
      </c>
      <c r="DQ43" s="147">
        <v>2393</v>
      </c>
      <c r="DR43" s="902">
        <f>DQ43</f>
        <v>2393</v>
      </c>
      <c r="DS43" s="147">
        <v>2430</v>
      </c>
      <c r="DT43" s="147">
        <v>1781</v>
      </c>
      <c r="DU43" s="147">
        <v>1816</v>
      </c>
      <c r="DV43" s="147">
        <v>1866</v>
      </c>
      <c r="DW43" s="902">
        <f>DV43</f>
        <v>1866</v>
      </c>
      <c r="DX43" s="903">
        <f>DW43+DX164</f>
        <v>1793.5</v>
      </c>
      <c r="DY43" s="903">
        <f>DX43+DY164</f>
        <v>1721</v>
      </c>
      <c r="DZ43" s="903">
        <f>DY43+DZ164</f>
        <v>1648.5</v>
      </c>
      <c r="EA43" s="903">
        <f>DZ43+EA164</f>
        <v>1576</v>
      </c>
      <c r="EB43" s="902">
        <f>EA43</f>
        <v>1576</v>
      </c>
      <c r="EC43" s="903">
        <f>EB43+EC164</f>
        <v>1503.5</v>
      </c>
      <c r="ED43" s="903">
        <f>EC43+ED164</f>
        <v>1431</v>
      </c>
      <c r="EE43" s="903">
        <f>ED43+EE164</f>
        <v>1358.5</v>
      </c>
      <c r="EF43" s="903">
        <f>EE43+EF164</f>
        <v>1286</v>
      </c>
      <c r="EG43" s="902">
        <f>EF43</f>
        <v>1286</v>
      </c>
      <c r="EH43" s="903">
        <f>EG43+EH164</f>
        <v>1213.5</v>
      </c>
      <c r="EI43" s="903">
        <f>EH43+EI164</f>
        <v>1141</v>
      </c>
      <c r="EJ43" s="903">
        <f>EI43+EJ164</f>
        <v>1068.5</v>
      </c>
      <c r="EK43" s="903">
        <f>EJ43+EK164</f>
        <v>996</v>
      </c>
      <c r="EL43" s="902">
        <f>EK43</f>
        <v>996</v>
      </c>
      <c r="EM43" s="561"/>
      <c r="EN43"/>
      <c r="EO43"/>
      <c r="EP43"/>
      <c r="EQ43"/>
      <c r="ER43"/>
      <c r="ES43"/>
      <c r="ET43" s="141"/>
      <c r="EU43" s="141"/>
      <c r="EV43" s="141"/>
      <c r="EW43" s="141"/>
      <c r="EX43" s="141"/>
      <c r="EY43" s="141"/>
      <c r="EZ43" s="141"/>
      <c r="FA43" s="141"/>
      <c r="FB43" s="141"/>
      <c r="FC43" s="141"/>
      <c r="FD43" s="141"/>
      <c r="FE43" s="141"/>
      <c r="FF43" s="141"/>
      <c r="FG43" s="141"/>
      <c r="FH43" s="141"/>
      <c r="FI43" s="141"/>
      <c r="FJ43" s="141"/>
      <c r="FK43" s="141"/>
      <c r="FL43" s="141"/>
      <c r="FM43" s="141"/>
      <c r="FN43" s="141"/>
      <c r="FO43" s="141"/>
      <c r="FP43" s="141"/>
      <c r="FQ43" s="141"/>
      <c r="FR43" s="141"/>
      <c r="FS43" s="141"/>
      <c r="FT43" s="141"/>
      <c r="FU43" s="141"/>
      <c r="FV43" s="141"/>
      <c r="FW43" s="141"/>
      <c r="FX43" s="141"/>
      <c r="FY43" s="141"/>
      <c r="FZ43" s="141"/>
      <c r="GA43" s="141"/>
      <c r="GB43" s="141"/>
      <c r="GC43" s="141"/>
      <c r="GD43" s="141"/>
      <c r="GE43" s="141"/>
      <c r="GF43" s="141"/>
      <c r="GG43" s="141"/>
      <c r="GH43" s="141"/>
      <c r="GI43" s="141"/>
      <c r="GJ43" s="141"/>
      <c r="GK43" s="141"/>
      <c r="GL43" s="141"/>
      <c r="GM43" s="141"/>
      <c r="GN43" s="141"/>
      <c r="GO43" s="141"/>
      <c r="GP43" s="141"/>
      <c r="GQ43" s="141"/>
      <c r="GR43" s="141"/>
      <c r="GS43" s="141"/>
      <c r="GT43" s="141"/>
      <c r="GU43" s="141"/>
      <c r="GV43" s="141"/>
      <c r="GW43" s="141"/>
      <c r="GX43" s="141"/>
      <c r="GY43" s="141"/>
      <c r="GZ43" s="141"/>
      <c r="HA43" s="141"/>
      <c r="HB43" s="141"/>
      <c r="HC43" s="141"/>
      <c r="HD43" s="141"/>
      <c r="HE43" s="141"/>
      <c r="HF43" s="141"/>
      <c r="HG43" s="141"/>
      <c r="HH43" s="141"/>
      <c r="HI43" s="141"/>
      <c r="HJ43" s="141"/>
      <c r="HK43" s="141"/>
      <c r="HL43" s="141"/>
      <c r="HM43" s="141"/>
      <c r="HN43" s="141"/>
      <c r="HO43" s="141"/>
      <c r="HP43" s="141"/>
      <c r="HQ43" s="141"/>
      <c r="HR43" s="141"/>
      <c r="HS43" s="141"/>
      <c r="HT43" s="141"/>
      <c r="HU43" s="141"/>
      <c r="HV43" s="141"/>
      <c r="HW43" s="141"/>
      <c r="HX43" s="141"/>
      <c r="HY43" s="141"/>
      <c r="HZ43" s="141"/>
      <c r="IA43" s="141"/>
      <c r="IB43" s="141"/>
      <c r="IC43" s="141"/>
      <c r="ID43" s="141"/>
      <c r="IE43" s="141"/>
      <c r="IF43" s="141"/>
      <c r="IG43" s="141"/>
      <c r="IH43" s="141"/>
      <c r="II43" s="141"/>
      <c r="IJ43" s="141"/>
      <c r="IK43" s="141"/>
      <c r="IL43" s="141"/>
      <c r="IM43" s="141"/>
      <c r="IN43" s="141"/>
      <c r="IO43" s="141"/>
      <c r="IP43" s="141"/>
      <c r="IQ43" s="141"/>
      <c r="IR43" s="141"/>
      <c r="IS43" s="141"/>
      <c r="IT43" s="141"/>
      <c r="IU43" s="141"/>
      <c r="IV43" s="141"/>
      <c r="IW43" s="141"/>
      <c r="IX43" s="141"/>
      <c r="IY43" s="141"/>
      <c r="IZ43" s="141"/>
      <c r="JA43" s="141"/>
      <c r="JB43" s="141"/>
      <c r="JC43" s="141"/>
      <c r="JD43" s="141"/>
      <c r="JE43" s="141"/>
      <c r="JF43" s="141"/>
      <c r="JG43" s="141"/>
      <c r="JH43" s="141"/>
    </row>
    <row r="44" spans="1:268" s="142" customFormat="1" ht="12" customHeight="1">
      <c r="A44" s="801"/>
      <c r="B44" s="557" t="s">
        <v>556</v>
      </c>
      <c r="C44" s="898"/>
      <c r="D44" s="898">
        <v>0</v>
      </c>
      <c r="E44" s="898">
        <v>0</v>
      </c>
      <c r="F44" s="898">
        <v>0</v>
      </c>
      <c r="G44" s="899">
        <v>0</v>
      </c>
      <c r="H44" s="900">
        <f t="shared" ref="H44:H49" si="104">G44</f>
        <v>0</v>
      </c>
      <c r="I44" s="898">
        <v>0</v>
      </c>
      <c r="J44" s="898">
        <v>0</v>
      </c>
      <c r="K44" s="898">
        <v>0</v>
      </c>
      <c r="L44" s="899">
        <v>0</v>
      </c>
      <c r="M44" s="900">
        <f t="shared" ref="M44:M49" si="105">L44</f>
        <v>0</v>
      </c>
      <c r="N44" s="898">
        <v>0</v>
      </c>
      <c r="O44" s="898">
        <v>0</v>
      </c>
      <c r="P44" s="898">
        <v>0</v>
      </c>
      <c r="Q44" s="899">
        <v>0</v>
      </c>
      <c r="R44" s="900">
        <f t="shared" ref="R44:R49" si="106">Q44</f>
        <v>0</v>
      </c>
      <c r="S44" s="898">
        <v>0</v>
      </c>
      <c r="T44" s="898">
        <v>0</v>
      </c>
      <c r="U44" s="898">
        <v>0</v>
      </c>
      <c r="V44" s="899">
        <v>0</v>
      </c>
      <c r="W44" s="900">
        <f t="shared" ref="W44:W49" si="107">V44</f>
        <v>0</v>
      </c>
      <c r="X44" s="898">
        <v>0</v>
      </c>
      <c r="Y44" s="898">
        <v>0</v>
      </c>
      <c r="Z44" s="898">
        <v>0</v>
      </c>
      <c r="AA44" s="899">
        <v>0</v>
      </c>
      <c r="AB44" s="900">
        <f t="shared" ref="AB44:AB49" si="108">AA44</f>
        <v>0</v>
      </c>
      <c r="AC44" s="898">
        <v>0</v>
      </c>
      <c r="AD44" s="898">
        <v>0</v>
      </c>
      <c r="AE44" s="898">
        <v>0</v>
      </c>
      <c r="AF44" s="899">
        <v>0</v>
      </c>
      <c r="AG44" s="900">
        <f t="shared" ref="AG44:AG49" si="109">AF44</f>
        <v>0</v>
      </c>
      <c r="AH44" s="898">
        <v>0</v>
      </c>
      <c r="AI44" s="898">
        <v>0</v>
      </c>
      <c r="AJ44" s="898">
        <v>0</v>
      </c>
      <c r="AK44" s="899">
        <v>0</v>
      </c>
      <c r="AL44" s="900">
        <f t="shared" ref="AL44:AL49" si="110">AK44</f>
        <v>0</v>
      </c>
      <c r="AM44" s="898">
        <v>0</v>
      </c>
      <c r="AN44" s="898">
        <v>0</v>
      </c>
      <c r="AO44" s="898">
        <v>0</v>
      </c>
      <c r="AP44" s="899">
        <v>0</v>
      </c>
      <c r="AQ44" s="900">
        <f t="shared" ref="AQ44:AQ49" si="111">AP44</f>
        <v>0</v>
      </c>
      <c r="AR44" s="898">
        <v>0</v>
      </c>
      <c r="AS44" s="898">
        <v>0</v>
      </c>
      <c r="AT44" s="898">
        <v>0</v>
      </c>
      <c r="AU44" s="802"/>
      <c r="AV44" s="555"/>
      <c r="AW44" s="555"/>
      <c r="AX44" s="555"/>
      <c r="AY44" s="898">
        <v>0</v>
      </c>
      <c r="AZ44" s="844">
        <f t="shared" ref="AZ44:AZ49" si="112">AY44</f>
        <v>0</v>
      </c>
      <c r="BA44" s="898">
        <v>0</v>
      </c>
      <c r="BB44" s="898">
        <v>0</v>
      </c>
      <c r="BC44" s="898">
        <v>0</v>
      </c>
      <c r="BD44" s="898">
        <v>0</v>
      </c>
      <c r="BE44" s="844">
        <f t="shared" ref="BE44:BE49" si="113">BD44</f>
        <v>0</v>
      </c>
      <c r="BF44" s="898">
        <v>0</v>
      </c>
      <c r="BG44" s="898">
        <v>0</v>
      </c>
      <c r="BH44" s="898">
        <v>0</v>
      </c>
      <c r="BI44" s="898">
        <v>0</v>
      </c>
      <c r="BJ44" s="844">
        <f t="shared" ref="BJ44:BJ49" si="114">BI44</f>
        <v>0</v>
      </c>
      <c r="BK44" s="898">
        <v>0</v>
      </c>
      <c r="BL44" s="898">
        <v>0</v>
      </c>
      <c r="BM44" s="898">
        <v>0</v>
      </c>
      <c r="BN44" s="898">
        <v>0</v>
      </c>
      <c r="BO44" s="844">
        <f t="shared" ref="BO44:BO49" si="115">+BN44</f>
        <v>0</v>
      </c>
      <c r="BP44" s="898">
        <v>0</v>
      </c>
      <c r="BQ44" s="898">
        <v>0</v>
      </c>
      <c r="BR44" s="898">
        <v>0</v>
      </c>
      <c r="BS44" s="898">
        <v>0</v>
      </c>
      <c r="BT44" s="844">
        <f t="shared" ref="BT44:BT49" si="116">+BS44</f>
        <v>0</v>
      </c>
      <c r="BU44" s="898">
        <v>0</v>
      </c>
      <c r="BV44" s="898">
        <v>0</v>
      </c>
      <c r="BW44" s="898">
        <v>0</v>
      </c>
      <c r="BX44" s="898">
        <v>0</v>
      </c>
      <c r="BY44" s="844">
        <f t="shared" ref="BY44:BY49" si="117">+BX44</f>
        <v>0</v>
      </c>
      <c r="BZ44" s="898">
        <v>0</v>
      </c>
      <c r="CA44" s="898">
        <v>0</v>
      </c>
      <c r="CB44" s="898">
        <v>0</v>
      </c>
      <c r="CC44" s="898">
        <v>0</v>
      </c>
      <c r="CD44" s="844">
        <f t="shared" ref="CD44:CD49" si="118">+CC44</f>
        <v>0</v>
      </c>
      <c r="CE44" s="898">
        <v>0</v>
      </c>
      <c r="CF44" s="898">
        <v>0</v>
      </c>
      <c r="CG44" s="898">
        <v>334</v>
      </c>
      <c r="CH44" s="898">
        <v>334</v>
      </c>
      <c r="CI44" s="844">
        <f t="shared" ref="CI44:CI49" si="119">+CH44</f>
        <v>334</v>
      </c>
      <c r="CJ44" s="898">
        <v>334</v>
      </c>
      <c r="CK44" s="898">
        <v>334</v>
      </c>
      <c r="CL44" s="898">
        <v>334</v>
      </c>
      <c r="CM44" s="898">
        <v>334</v>
      </c>
      <c r="CN44" s="844">
        <f t="shared" ref="CN44:CN49" si="120">+CM44</f>
        <v>334</v>
      </c>
      <c r="CO44" s="898">
        <v>334</v>
      </c>
      <c r="CP44" s="898">
        <v>334</v>
      </c>
      <c r="CQ44" s="898">
        <v>334</v>
      </c>
      <c r="CR44" s="898">
        <v>334</v>
      </c>
      <c r="CS44" s="844">
        <f t="shared" ref="CS44:CS49" si="121">+CR44</f>
        <v>334</v>
      </c>
      <c r="CT44" s="898">
        <v>334</v>
      </c>
      <c r="CU44" s="898">
        <v>45</v>
      </c>
      <c r="CV44" s="898">
        <v>45</v>
      </c>
      <c r="CW44" s="898">
        <v>0</v>
      </c>
      <c r="CX44" s="844">
        <f t="shared" ref="CX44:CX49" si="122">+CW44</f>
        <v>0</v>
      </c>
      <c r="CY44" s="898">
        <v>0</v>
      </c>
      <c r="CZ44" s="898">
        <v>0</v>
      </c>
      <c r="DA44" s="898">
        <f>CZ44</f>
        <v>0</v>
      </c>
      <c r="DB44" s="898">
        <f>DA44</f>
        <v>0</v>
      </c>
      <c r="DC44" s="844">
        <f>+DB44</f>
        <v>0</v>
      </c>
      <c r="DD44" s="898">
        <f>+DC44</f>
        <v>0</v>
      </c>
      <c r="DE44" s="898">
        <f>DD44</f>
        <v>0</v>
      </c>
      <c r="DF44" s="898">
        <f>DE44</f>
        <v>0</v>
      </c>
      <c r="DG44" s="898">
        <f>DF44</f>
        <v>0</v>
      </c>
      <c r="DH44" s="844">
        <f>+DG44</f>
        <v>0</v>
      </c>
      <c r="DI44" s="898">
        <f>+DH44</f>
        <v>0</v>
      </c>
      <c r="DJ44" s="898">
        <f>DI44</f>
        <v>0</v>
      </c>
      <c r="DK44" s="898">
        <f>DJ44</f>
        <v>0</v>
      </c>
      <c r="DL44" s="898">
        <f>DK44</f>
        <v>0</v>
      </c>
      <c r="DM44" s="844">
        <f>+DL44</f>
        <v>0</v>
      </c>
      <c r="DN44" s="898">
        <f>+DM44</f>
        <v>0</v>
      </c>
      <c r="DO44" s="898">
        <f>DN44</f>
        <v>0</v>
      </c>
      <c r="DP44" s="898">
        <f>DO44</f>
        <v>0</v>
      </c>
      <c r="DQ44" s="898">
        <f>DP44</f>
        <v>0</v>
      </c>
      <c r="DR44" s="844">
        <f t="shared" ref="DR44:DR49" si="123">+DQ44</f>
        <v>0</v>
      </c>
      <c r="DS44" s="898">
        <f>+DR44</f>
        <v>0</v>
      </c>
      <c r="DT44" s="843">
        <f t="shared" ref="DT44:DU44" si="124">DS44</f>
        <v>0</v>
      </c>
      <c r="DU44" s="898">
        <f t="shared" si="124"/>
        <v>0</v>
      </c>
      <c r="DV44" s="898">
        <f>DU44</f>
        <v>0</v>
      </c>
      <c r="DW44" s="844">
        <f t="shared" ref="DW44:DW49" si="125">+DV44</f>
        <v>0</v>
      </c>
      <c r="DX44" s="843">
        <f>+DW44</f>
        <v>0</v>
      </c>
      <c r="DY44" s="843">
        <f t="shared" ref="DY44:EA45" si="126">DX44</f>
        <v>0</v>
      </c>
      <c r="DZ44" s="843">
        <f t="shared" si="126"/>
        <v>0</v>
      </c>
      <c r="EA44" s="843">
        <f t="shared" si="126"/>
        <v>0</v>
      </c>
      <c r="EB44" s="844">
        <f t="shared" ref="EB44:EB49" si="127">+EA44</f>
        <v>0</v>
      </c>
      <c r="EC44" s="843">
        <f>+EB44</f>
        <v>0</v>
      </c>
      <c r="ED44" s="843">
        <f t="shared" ref="ED44:EF45" si="128">EC44</f>
        <v>0</v>
      </c>
      <c r="EE44" s="843">
        <f t="shared" si="128"/>
        <v>0</v>
      </c>
      <c r="EF44" s="843">
        <f t="shared" si="128"/>
        <v>0</v>
      </c>
      <c r="EG44" s="844">
        <f t="shared" ref="EG44:EG49" si="129">+EF44</f>
        <v>0</v>
      </c>
      <c r="EH44" s="843">
        <f>+EG44</f>
        <v>0</v>
      </c>
      <c r="EI44" s="843">
        <f t="shared" ref="EI44:EK44" si="130">EH44</f>
        <v>0</v>
      </c>
      <c r="EJ44" s="843">
        <f t="shared" si="130"/>
        <v>0</v>
      </c>
      <c r="EK44" s="843">
        <f t="shared" si="130"/>
        <v>0</v>
      </c>
      <c r="EL44" s="844">
        <f t="shared" ref="EL44:EL49" si="131">+EK44</f>
        <v>0</v>
      </c>
      <c r="EM44" s="561"/>
      <c r="EN44"/>
      <c r="EO44"/>
      <c r="EP44"/>
      <c r="EQ44"/>
      <c r="ER44"/>
      <c r="ES44"/>
      <c r="ET44" s="141"/>
      <c r="EU44" s="141"/>
      <c r="EV44" s="141"/>
      <c r="EW44" s="141"/>
      <c r="EX44" s="141"/>
      <c r="EY44" s="141"/>
      <c r="EZ44" s="141"/>
      <c r="FA44" s="141"/>
      <c r="FB44" s="141"/>
      <c r="FC44" s="141"/>
      <c r="FD44" s="141"/>
      <c r="FE44" s="141"/>
      <c r="FF44" s="141"/>
      <c r="FG44" s="141"/>
      <c r="FH44" s="141"/>
      <c r="FI44" s="141"/>
      <c r="FJ44" s="141"/>
      <c r="FK44" s="141"/>
      <c r="FL44" s="141"/>
      <c r="FM44" s="141"/>
      <c r="FN44" s="141"/>
      <c r="FO44" s="141"/>
      <c r="FP44" s="141"/>
      <c r="FQ44" s="141"/>
      <c r="FR44" s="141"/>
      <c r="FS44" s="141"/>
      <c r="FT44" s="141"/>
      <c r="FU44" s="141"/>
      <c r="FV44" s="141"/>
      <c r="FW44" s="141"/>
      <c r="FX44" s="141"/>
      <c r="FY44" s="141"/>
      <c r="FZ44" s="141"/>
      <c r="GA44" s="141"/>
      <c r="GB44" s="141"/>
      <c r="GC44" s="141"/>
      <c r="GD44" s="141"/>
      <c r="GE44" s="141"/>
      <c r="GF44" s="141"/>
      <c r="GG44" s="141"/>
      <c r="GH44" s="141"/>
      <c r="GI44" s="141"/>
      <c r="GJ44" s="141"/>
      <c r="GK44" s="141"/>
      <c r="GL44" s="141"/>
      <c r="GM44" s="141"/>
      <c r="GN44" s="141"/>
      <c r="GO44" s="141"/>
      <c r="GP44" s="141"/>
      <c r="GQ44" s="141"/>
      <c r="GR44" s="141"/>
      <c r="GS44" s="141"/>
      <c r="GT44" s="141"/>
      <c r="GU44" s="141"/>
      <c r="GV44" s="141"/>
      <c r="GW44" s="141"/>
      <c r="GX44" s="141"/>
      <c r="GY44" s="141"/>
      <c r="GZ44" s="141"/>
      <c r="HA44" s="141"/>
      <c r="HB44" s="141"/>
      <c r="HC44" s="141"/>
      <c r="HD44" s="141"/>
      <c r="HE44" s="141"/>
      <c r="HF44" s="141"/>
      <c r="HG44" s="141"/>
      <c r="HH44" s="141"/>
      <c r="HI44" s="141"/>
      <c r="HJ44" s="141"/>
      <c r="HK44" s="141"/>
      <c r="HL44" s="141"/>
      <c r="HM44" s="141"/>
      <c r="HN44" s="141"/>
      <c r="HO44" s="141"/>
      <c r="HP44" s="141"/>
      <c r="HQ44" s="141"/>
      <c r="HR44" s="141"/>
      <c r="HS44" s="141"/>
      <c r="HT44" s="141"/>
      <c r="HU44" s="141"/>
      <c r="HV44" s="141"/>
      <c r="HW44" s="141"/>
      <c r="HX44" s="141"/>
      <c r="HY44" s="141"/>
      <c r="HZ44" s="141"/>
      <c r="IA44" s="141"/>
      <c r="IB44" s="141"/>
      <c r="IC44" s="141"/>
      <c r="ID44" s="141"/>
      <c r="IE44" s="141"/>
      <c r="IF44" s="141"/>
      <c r="IG44" s="141"/>
      <c r="IH44" s="141"/>
      <c r="II44" s="141"/>
      <c r="IJ44" s="141"/>
      <c r="IK44" s="141"/>
      <c r="IL44" s="141"/>
      <c r="IM44" s="141"/>
      <c r="IN44" s="141"/>
      <c r="IO44" s="141"/>
      <c r="IP44" s="141"/>
      <c r="IQ44" s="141"/>
      <c r="IR44" s="141"/>
      <c r="IS44" s="141"/>
      <c r="IT44" s="141"/>
      <c r="IU44" s="141"/>
      <c r="IV44" s="141"/>
      <c r="IW44" s="141"/>
      <c r="IX44" s="141"/>
      <c r="IY44" s="141"/>
      <c r="IZ44" s="141"/>
      <c r="JA44" s="141"/>
      <c r="JB44" s="141"/>
      <c r="JC44" s="141"/>
      <c r="JD44" s="141"/>
      <c r="JE44" s="141"/>
      <c r="JF44" s="141"/>
      <c r="JG44" s="141"/>
      <c r="JH44" s="141"/>
    </row>
    <row r="45" spans="1:268" s="142" customFormat="1" ht="12" customHeight="1">
      <c r="A45" s="801"/>
      <c r="B45" s="557" t="s">
        <v>557</v>
      </c>
      <c r="C45" s="898"/>
      <c r="D45" s="898">
        <v>13.919</v>
      </c>
      <c r="E45" s="898">
        <v>13.9</v>
      </c>
      <c r="F45" s="898">
        <v>13.9</v>
      </c>
      <c r="G45" s="899">
        <v>16</v>
      </c>
      <c r="H45" s="900">
        <f t="shared" si="104"/>
        <v>16</v>
      </c>
      <c r="I45" s="898">
        <v>16.399999999999999</v>
      </c>
      <c r="J45" s="898">
        <v>16.399999999999999</v>
      </c>
      <c r="K45" s="898">
        <v>16.399999999999999</v>
      </c>
      <c r="L45" s="899">
        <v>16</v>
      </c>
      <c r="M45" s="900">
        <f t="shared" si="105"/>
        <v>16</v>
      </c>
      <c r="N45" s="898">
        <v>16.399999999999999</v>
      </c>
      <c r="O45" s="898">
        <v>16.5</v>
      </c>
      <c r="P45" s="898">
        <v>22.8</v>
      </c>
      <c r="Q45" s="899">
        <v>23</v>
      </c>
      <c r="R45" s="900">
        <f t="shared" si="106"/>
        <v>23</v>
      </c>
      <c r="S45" s="898">
        <v>23</v>
      </c>
      <c r="T45" s="898">
        <v>23</v>
      </c>
      <c r="U45" s="898">
        <v>23</v>
      </c>
      <c r="V45" s="899">
        <v>23</v>
      </c>
      <c r="W45" s="900">
        <f t="shared" si="107"/>
        <v>23</v>
      </c>
      <c r="X45" s="898">
        <v>24</v>
      </c>
      <c r="Y45" s="898">
        <v>24</v>
      </c>
      <c r="Z45" s="898">
        <v>24</v>
      </c>
      <c r="AA45" s="899">
        <v>24</v>
      </c>
      <c r="AB45" s="900">
        <f t="shared" si="108"/>
        <v>24</v>
      </c>
      <c r="AC45" s="898">
        <v>24</v>
      </c>
      <c r="AD45" s="898">
        <v>24</v>
      </c>
      <c r="AE45" s="898">
        <v>24</v>
      </c>
      <c r="AF45" s="899">
        <v>24</v>
      </c>
      <c r="AG45" s="900">
        <f t="shared" si="109"/>
        <v>24</v>
      </c>
      <c r="AH45" s="898">
        <v>24</v>
      </c>
      <c r="AI45" s="898">
        <v>24</v>
      </c>
      <c r="AJ45" s="898">
        <v>25</v>
      </c>
      <c r="AK45" s="899">
        <v>25</v>
      </c>
      <c r="AL45" s="900">
        <f t="shared" si="110"/>
        <v>25</v>
      </c>
      <c r="AM45" s="898">
        <v>25</v>
      </c>
      <c r="AN45" s="898">
        <v>25</v>
      </c>
      <c r="AO45" s="898">
        <v>25</v>
      </c>
      <c r="AP45" s="899">
        <v>26</v>
      </c>
      <c r="AQ45" s="900">
        <f t="shared" si="111"/>
        <v>26</v>
      </c>
      <c r="AR45" s="898">
        <v>0</v>
      </c>
      <c r="AS45" s="898">
        <v>0</v>
      </c>
      <c r="AT45" s="898">
        <v>0</v>
      </c>
      <c r="AU45" s="802"/>
      <c r="AV45" s="561"/>
      <c r="AW45" s="561"/>
      <c r="AX45" s="561"/>
      <c r="AY45" s="898">
        <v>26</v>
      </c>
      <c r="AZ45" s="844">
        <f t="shared" si="112"/>
        <v>26</v>
      </c>
      <c r="BA45" s="898">
        <v>0</v>
      </c>
      <c r="BB45" s="898">
        <v>0</v>
      </c>
      <c r="BC45" s="898">
        <v>0</v>
      </c>
      <c r="BD45" s="898">
        <v>26</v>
      </c>
      <c r="BE45" s="844">
        <f t="shared" si="113"/>
        <v>26</v>
      </c>
      <c r="BF45" s="898">
        <v>0</v>
      </c>
      <c r="BG45" s="898">
        <v>0</v>
      </c>
      <c r="BH45" s="898">
        <v>0</v>
      </c>
      <c r="BI45" s="898">
        <v>26</v>
      </c>
      <c r="BJ45" s="844">
        <f t="shared" si="114"/>
        <v>26</v>
      </c>
      <c r="BK45" s="898">
        <v>26</v>
      </c>
      <c r="BL45" s="898">
        <v>26</v>
      </c>
      <c r="BM45" s="898">
        <v>26</v>
      </c>
      <c r="BN45" s="898">
        <v>26</v>
      </c>
      <c r="BO45" s="844">
        <f t="shared" si="115"/>
        <v>26</v>
      </c>
      <c r="BP45" s="898">
        <v>26</v>
      </c>
      <c r="BQ45" s="898">
        <v>26</v>
      </c>
      <c r="BR45" s="898">
        <v>26</v>
      </c>
      <c r="BS45" s="898">
        <v>26</v>
      </c>
      <c r="BT45" s="844">
        <f t="shared" si="116"/>
        <v>26</v>
      </c>
      <c r="BU45" s="898">
        <v>26</v>
      </c>
      <c r="BV45" s="898">
        <v>26</v>
      </c>
      <c r="BW45" s="898">
        <v>26</v>
      </c>
      <c r="BX45" s="898">
        <v>26</v>
      </c>
      <c r="BY45" s="844">
        <f t="shared" si="117"/>
        <v>26</v>
      </c>
      <c r="BZ45" s="898">
        <v>27</v>
      </c>
      <c r="CA45" s="898">
        <v>26</v>
      </c>
      <c r="CB45" s="898">
        <v>26</v>
      </c>
      <c r="CC45" s="898">
        <v>26</v>
      </c>
      <c r="CD45" s="844">
        <f t="shared" si="118"/>
        <v>26</v>
      </c>
      <c r="CE45" s="898">
        <v>26</v>
      </c>
      <c r="CF45" s="898">
        <v>26</v>
      </c>
      <c r="CG45" s="898">
        <v>26</v>
      </c>
      <c r="CH45" s="898">
        <v>27</v>
      </c>
      <c r="CI45" s="844">
        <f t="shared" si="119"/>
        <v>27</v>
      </c>
      <c r="CJ45" s="898">
        <v>27</v>
      </c>
      <c r="CK45" s="898">
        <v>27</v>
      </c>
      <c r="CL45" s="898">
        <v>27</v>
      </c>
      <c r="CM45" s="898">
        <v>27</v>
      </c>
      <c r="CN45" s="844">
        <f t="shared" si="120"/>
        <v>27</v>
      </c>
      <c r="CO45" s="898">
        <v>27</v>
      </c>
      <c r="CP45" s="898">
        <v>27</v>
      </c>
      <c r="CQ45" s="898">
        <v>27</v>
      </c>
      <c r="CR45" s="898">
        <v>27</v>
      </c>
      <c r="CS45" s="844">
        <f t="shared" si="121"/>
        <v>27</v>
      </c>
      <c r="CT45" s="898">
        <v>27</v>
      </c>
      <c r="CU45" s="898">
        <v>27</v>
      </c>
      <c r="CV45" s="898">
        <v>7</v>
      </c>
      <c r="CW45" s="898">
        <v>7</v>
      </c>
      <c r="CX45" s="844">
        <f t="shared" si="122"/>
        <v>7</v>
      </c>
      <c r="CY45" s="898">
        <v>7</v>
      </c>
      <c r="CZ45" s="898">
        <v>7</v>
      </c>
      <c r="DA45" s="898">
        <v>7</v>
      </c>
      <c r="DB45" s="898">
        <f>DA45</f>
        <v>7</v>
      </c>
      <c r="DC45" s="844">
        <f>+DB45</f>
        <v>7</v>
      </c>
      <c r="DD45" s="898">
        <f>DC45</f>
        <v>7</v>
      </c>
      <c r="DE45" s="898">
        <v>7</v>
      </c>
      <c r="DF45" s="898">
        <v>7</v>
      </c>
      <c r="DG45" s="898">
        <v>7</v>
      </c>
      <c r="DH45" s="844">
        <f>+DG45</f>
        <v>7</v>
      </c>
      <c r="DI45" s="898">
        <v>7</v>
      </c>
      <c r="DJ45" s="898">
        <v>7</v>
      </c>
      <c r="DK45" s="898">
        <v>7</v>
      </c>
      <c r="DL45" s="898">
        <v>7</v>
      </c>
      <c r="DM45" s="844">
        <f>+DL45</f>
        <v>7</v>
      </c>
      <c r="DN45" s="898">
        <v>7</v>
      </c>
      <c r="DO45" s="898">
        <v>7</v>
      </c>
      <c r="DP45" s="898">
        <v>7</v>
      </c>
      <c r="DQ45" s="898">
        <v>7</v>
      </c>
      <c r="DR45" s="844">
        <f t="shared" si="123"/>
        <v>7</v>
      </c>
      <c r="DS45" s="898">
        <v>7</v>
      </c>
      <c r="DT45" s="898">
        <v>7</v>
      </c>
      <c r="DU45" s="898">
        <v>7</v>
      </c>
      <c r="DV45" s="898">
        <v>7</v>
      </c>
      <c r="DW45" s="844">
        <f t="shared" si="125"/>
        <v>7</v>
      </c>
      <c r="DX45" s="843">
        <f>DW45</f>
        <v>7</v>
      </c>
      <c r="DY45" s="843">
        <f t="shared" si="126"/>
        <v>7</v>
      </c>
      <c r="DZ45" s="843">
        <f t="shared" si="126"/>
        <v>7</v>
      </c>
      <c r="EA45" s="843">
        <f t="shared" si="126"/>
        <v>7</v>
      </c>
      <c r="EB45" s="844">
        <f t="shared" si="127"/>
        <v>7</v>
      </c>
      <c r="EC45" s="843">
        <f>EB45</f>
        <v>7</v>
      </c>
      <c r="ED45" s="843">
        <f t="shared" si="128"/>
        <v>7</v>
      </c>
      <c r="EE45" s="843">
        <f t="shared" si="128"/>
        <v>7</v>
      </c>
      <c r="EF45" s="843">
        <f t="shared" si="128"/>
        <v>7</v>
      </c>
      <c r="EG45" s="844">
        <f t="shared" si="129"/>
        <v>7</v>
      </c>
      <c r="EH45" s="843">
        <f>EG45</f>
        <v>7</v>
      </c>
      <c r="EI45" s="843">
        <f t="shared" ref="EI45:EK45" si="132">EH45</f>
        <v>7</v>
      </c>
      <c r="EJ45" s="843">
        <f t="shared" si="132"/>
        <v>7</v>
      </c>
      <c r="EK45" s="843">
        <f t="shared" si="132"/>
        <v>7</v>
      </c>
      <c r="EL45" s="844">
        <f t="shared" si="131"/>
        <v>7</v>
      </c>
      <c r="EM45" s="561"/>
      <c r="EN45"/>
      <c r="EO45"/>
      <c r="EP45"/>
      <c r="EQ45"/>
      <c r="ER45"/>
      <c r="ES45"/>
      <c r="ET45" s="141"/>
      <c r="EU45" s="141"/>
      <c r="EV45" s="141"/>
      <c r="EW45" s="141"/>
      <c r="EX45" s="141"/>
      <c r="EY45" s="141"/>
      <c r="EZ45" s="141"/>
      <c r="FA45" s="141"/>
      <c r="FB45" s="141"/>
      <c r="FC45" s="141"/>
      <c r="FD45" s="141"/>
      <c r="FE45" s="141"/>
      <c r="FF45" s="141"/>
      <c r="FG45" s="141"/>
      <c r="FH45" s="141"/>
      <c r="FI45" s="141"/>
      <c r="FJ45" s="141"/>
      <c r="FK45" s="141"/>
      <c r="FL45" s="141"/>
      <c r="FM45" s="141"/>
      <c r="FN45" s="141"/>
      <c r="FO45" s="141"/>
      <c r="FP45" s="141"/>
      <c r="FQ45" s="141"/>
      <c r="FR45" s="141"/>
      <c r="FS45" s="141"/>
      <c r="FT45" s="141"/>
      <c r="FU45" s="141"/>
      <c r="FV45" s="141"/>
      <c r="FW45" s="141"/>
      <c r="FX45" s="141"/>
      <c r="FY45" s="141"/>
      <c r="FZ45" s="141"/>
      <c r="GA45" s="141"/>
      <c r="GB45" s="141"/>
      <c r="GC45" s="141"/>
      <c r="GD45" s="141"/>
      <c r="GE45" s="141"/>
      <c r="GF45" s="141"/>
      <c r="GG45" s="141"/>
      <c r="GH45" s="141"/>
      <c r="GI45" s="141"/>
      <c r="GJ45" s="141"/>
      <c r="GK45" s="141"/>
      <c r="GL45" s="141"/>
      <c r="GM45" s="141"/>
      <c r="GN45" s="141"/>
      <c r="GO45" s="141"/>
      <c r="GP45" s="141"/>
      <c r="GQ45" s="141"/>
      <c r="GR45" s="141"/>
      <c r="GS45" s="141"/>
      <c r="GT45" s="141"/>
      <c r="GU45" s="141"/>
      <c r="GV45" s="141"/>
      <c r="GW45" s="141"/>
      <c r="GX45" s="141"/>
      <c r="GY45" s="141"/>
      <c r="GZ45" s="141"/>
      <c r="HA45" s="141"/>
      <c r="HB45" s="141"/>
      <c r="HC45" s="141"/>
      <c r="HD45" s="141"/>
      <c r="HE45" s="141"/>
      <c r="HF45" s="141"/>
      <c r="HG45" s="141"/>
      <c r="HH45" s="141"/>
      <c r="HI45" s="141"/>
      <c r="HJ45" s="141"/>
      <c r="HK45" s="141"/>
      <c r="HL45" s="141"/>
      <c r="HM45" s="141"/>
      <c r="HN45" s="141"/>
      <c r="HO45" s="141"/>
      <c r="HP45" s="141"/>
      <c r="HQ45" s="141"/>
      <c r="HR45" s="141"/>
      <c r="HS45" s="141"/>
      <c r="HT45" s="141"/>
      <c r="HU45" s="141"/>
      <c r="HV45" s="141"/>
      <c r="HW45" s="141"/>
      <c r="HX45" s="141"/>
      <c r="HY45" s="141"/>
      <c r="HZ45" s="141"/>
      <c r="IA45" s="141"/>
      <c r="IB45" s="141"/>
      <c r="IC45" s="141"/>
      <c r="ID45" s="141"/>
      <c r="IE45" s="141"/>
      <c r="IF45" s="141"/>
      <c r="IG45" s="141"/>
      <c r="IH45" s="141"/>
      <c r="II45" s="141"/>
      <c r="IJ45" s="141"/>
      <c r="IK45" s="141"/>
      <c r="IL45" s="141"/>
      <c r="IM45" s="141"/>
      <c r="IN45" s="141"/>
      <c r="IO45" s="141"/>
      <c r="IP45" s="141"/>
      <c r="IQ45" s="141"/>
      <c r="IR45" s="141"/>
      <c r="IS45" s="141"/>
      <c r="IT45" s="141"/>
      <c r="IU45" s="141"/>
      <c r="IV45" s="141"/>
      <c r="IW45" s="141"/>
      <c r="IX45" s="141"/>
      <c r="IY45" s="141"/>
      <c r="IZ45" s="141"/>
      <c r="JA45" s="141"/>
      <c r="JB45" s="141"/>
      <c r="JC45" s="141"/>
      <c r="JD45" s="141"/>
      <c r="JE45" s="141"/>
      <c r="JF45" s="141"/>
      <c r="JG45" s="141"/>
      <c r="JH45" s="141"/>
    </row>
    <row r="46" spans="1:268" s="142" customFormat="1" ht="12" customHeight="1">
      <c r="A46" s="801"/>
      <c r="B46" s="557" t="s">
        <v>558</v>
      </c>
      <c r="C46" s="898"/>
      <c r="D46" s="898">
        <v>1653.62</v>
      </c>
      <c r="E46" s="898">
        <v>1698.8</v>
      </c>
      <c r="F46" s="898">
        <v>1747.3</v>
      </c>
      <c r="G46" s="899">
        <f>1502</f>
        <v>1502</v>
      </c>
      <c r="H46" s="900">
        <f t="shared" si="104"/>
        <v>1502</v>
      </c>
      <c r="I46" s="898">
        <v>2359.5</v>
      </c>
      <c r="J46" s="898">
        <v>2557.9</v>
      </c>
      <c r="K46" s="898">
        <v>2697.9</v>
      </c>
      <c r="L46" s="899">
        <v>1542</v>
      </c>
      <c r="M46" s="900">
        <f t="shared" si="105"/>
        <v>1542</v>
      </c>
      <c r="N46" s="898">
        <v>2786.1</v>
      </c>
      <c r="O46" s="898">
        <v>2868.4</v>
      </c>
      <c r="P46" s="898">
        <v>3490.7</v>
      </c>
      <c r="Q46" s="899">
        <v>2311</v>
      </c>
      <c r="R46" s="900">
        <f t="shared" si="106"/>
        <v>2311</v>
      </c>
      <c r="S46" s="898">
        <v>3428</v>
      </c>
      <c r="T46" s="898">
        <v>3507</v>
      </c>
      <c r="U46" s="898">
        <v>3740</v>
      </c>
      <c r="V46" s="899">
        <v>2475</v>
      </c>
      <c r="W46" s="900">
        <f t="shared" si="107"/>
        <v>2475</v>
      </c>
      <c r="X46" s="898">
        <v>3709</v>
      </c>
      <c r="Y46" s="898">
        <v>3910</v>
      </c>
      <c r="Z46" s="898">
        <v>4019</v>
      </c>
      <c r="AA46" s="899">
        <v>2510</v>
      </c>
      <c r="AB46" s="900">
        <f t="shared" si="108"/>
        <v>2510</v>
      </c>
      <c r="AC46" s="898">
        <v>3998</v>
      </c>
      <c r="AD46" s="898">
        <v>4135</v>
      </c>
      <c r="AE46" s="898">
        <v>4149</v>
      </c>
      <c r="AF46" s="899">
        <v>2555</v>
      </c>
      <c r="AG46" s="900">
        <f t="shared" si="109"/>
        <v>2555</v>
      </c>
      <c r="AH46" s="898">
        <v>4339</v>
      </c>
      <c r="AI46" s="898">
        <v>4630</v>
      </c>
      <c r="AJ46" s="898">
        <v>4985</v>
      </c>
      <c r="AK46" s="899">
        <v>2898</v>
      </c>
      <c r="AL46" s="900">
        <f t="shared" si="110"/>
        <v>2898</v>
      </c>
      <c r="AM46" s="898">
        <v>3025</v>
      </c>
      <c r="AN46" s="898">
        <v>3063</v>
      </c>
      <c r="AO46" s="898">
        <v>3239</v>
      </c>
      <c r="AP46" s="899">
        <v>3367</v>
      </c>
      <c r="AQ46" s="900">
        <f t="shared" si="111"/>
        <v>3367</v>
      </c>
      <c r="AR46" s="898">
        <v>3434</v>
      </c>
      <c r="AS46" s="898">
        <v>3486</v>
      </c>
      <c r="AT46" s="898">
        <v>3519</v>
      </c>
      <c r="AU46" s="802"/>
      <c r="AV46" s="561"/>
      <c r="AW46" s="561"/>
      <c r="AX46" s="561"/>
      <c r="AY46" s="898">
        <v>3483</v>
      </c>
      <c r="AZ46" s="844">
        <f t="shared" si="112"/>
        <v>3483</v>
      </c>
      <c r="BA46" s="898">
        <v>3987</v>
      </c>
      <c r="BB46" s="898">
        <v>4066</v>
      </c>
      <c r="BC46" s="898">
        <v>4112</v>
      </c>
      <c r="BD46" s="898">
        <v>4124</v>
      </c>
      <c r="BE46" s="844">
        <f t="shared" si="113"/>
        <v>4124</v>
      </c>
      <c r="BF46" s="898">
        <v>4180</v>
      </c>
      <c r="BG46" s="898">
        <v>4230</v>
      </c>
      <c r="BH46" s="898">
        <v>4260</v>
      </c>
      <c r="BI46" s="898">
        <v>4131</v>
      </c>
      <c r="BJ46" s="844">
        <f t="shared" si="114"/>
        <v>4131</v>
      </c>
      <c r="BK46" s="898">
        <v>4278</v>
      </c>
      <c r="BL46" s="898">
        <v>4294</v>
      </c>
      <c r="BM46" s="898">
        <v>4311</v>
      </c>
      <c r="BN46" s="898">
        <v>4320</v>
      </c>
      <c r="BO46" s="844">
        <f t="shared" si="115"/>
        <v>4320</v>
      </c>
      <c r="BP46" s="898">
        <v>4329</v>
      </c>
      <c r="BQ46" s="898">
        <v>4335</v>
      </c>
      <c r="BR46" s="898">
        <v>4347</v>
      </c>
      <c r="BS46" s="898">
        <v>4372</v>
      </c>
      <c r="BT46" s="844">
        <f t="shared" si="116"/>
        <v>4372</v>
      </c>
      <c r="BU46" s="898">
        <v>4379</v>
      </c>
      <c r="BV46" s="898">
        <v>4391</v>
      </c>
      <c r="BW46" s="898">
        <v>4401</v>
      </c>
      <c r="BX46" s="898">
        <v>4412</v>
      </c>
      <c r="BY46" s="844">
        <f t="shared" si="117"/>
        <v>4412</v>
      </c>
      <c r="BZ46" s="898">
        <v>4420</v>
      </c>
      <c r="CA46" s="898">
        <v>4431</v>
      </c>
      <c r="CB46" s="898">
        <v>4437</v>
      </c>
      <c r="CC46" s="898">
        <v>4445</v>
      </c>
      <c r="CD46" s="844">
        <f t="shared" si="118"/>
        <v>4445</v>
      </c>
      <c r="CE46" s="898">
        <v>4450</v>
      </c>
      <c r="CF46" s="898">
        <v>4457</v>
      </c>
      <c r="CG46" s="898">
        <v>4464</v>
      </c>
      <c r="CH46" s="898">
        <v>4461</v>
      </c>
      <c r="CI46" s="844">
        <f t="shared" si="119"/>
        <v>4461</v>
      </c>
      <c r="CJ46" s="898">
        <v>4459</v>
      </c>
      <c r="CK46" s="898">
        <v>4461</v>
      </c>
      <c r="CL46" s="898">
        <v>4461</v>
      </c>
      <c r="CM46" s="898">
        <v>4449</v>
      </c>
      <c r="CN46" s="844">
        <f t="shared" si="120"/>
        <v>4449</v>
      </c>
      <c r="CO46" s="898">
        <v>4448</v>
      </c>
      <c r="CP46" s="898">
        <v>4425</v>
      </c>
      <c r="CQ46" s="898">
        <v>4425</v>
      </c>
      <c r="CR46" s="898">
        <v>4407</v>
      </c>
      <c r="CS46" s="844">
        <f t="shared" si="121"/>
        <v>4407</v>
      </c>
      <c r="CT46" s="898">
        <v>4403</v>
      </c>
      <c r="CU46" s="898">
        <v>4410</v>
      </c>
      <c r="CV46" s="898">
        <v>4437</v>
      </c>
      <c r="CW46" s="898">
        <v>4471</v>
      </c>
      <c r="CX46" s="844">
        <f t="shared" si="122"/>
        <v>4471</v>
      </c>
      <c r="CY46" s="898">
        <v>4484</v>
      </c>
      <c r="CZ46" s="898">
        <v>4552</v>
      </c>
      <c r="DA46" s="898">
        <v>4562</v>
      </c>
      <c r="DB46" s="898">
        <v>4572</v>
      </c>
      <c r="DC46" s="844">
        <f>+DB46</f>
        <v>4572</v>
      </c>
      <c r="DD46" s="898">
        <v>4576</v>
      </c>
      <c r="DE46" s="898">
        <v>4594</v>
      </c>
      <c r="DF46" s="898">
        <v>4597</v>
      </c>
      <c r="DG46" s="898">
        <v>4614</v>
      </c>
      <c r="DH46" s="844">
        <f>+DG46</f>
        <v>4614</v>
      </c>
      <c r="DI46" s="898">
        <v>4751</v>
      </c>
      <c r="DJ46" s="898">
        <v>4774</v>
      </c>
      <c r="DK46" s="898">
        <v>4798</v>
      </c>
      <c r="DL46" s="898">
        <v>4815</v>
      </c>
      <c r="DM46" s="844">
        <f>+DL46</f>
        <v>4815</v>
      </c>
      <c r="DN46" s="898">
        <v>4804</v>
      </c>
      <c r="DO46" s="898">
        <v>4791</v>
      </c>
      <c r="DP46" s="898">
        <v>4801</v>
      </c>
      <c r="DQ46" s="898">
        <v>4827</v>
      </c>
      <c r="DR46" s="844">
        <f t="shared" si="123"/>
        <v>4827</v>
      </c>
      <c r="DS46" s="898">
        <v>4834</v>
      </c>
      <c r="DT46" s="898">
        <v>4819</v>
      </c>
      <c r="DU46" s="898">
        <v>4835</v>
      </c>
      <c r="DV46" s="898">
        <v>4859</v>
      </c>
      <c r="DW46" s="844">
        <f t="shared" si="125"/>
        <v>4859</v>
      </c>
      <c r="DX46" s="843">
        <f>DW46+'BS &amp; CF'!DX141</f>
        <v>4859</v>
      </c>
      <c r="DY46" s="843">
        <f>DX46+'BS &amp; CF'!DY141</f>
        <v>4859</v>
      </c>
      <c r="DZ46" s="843">
        <f>DY46+'BS &amp; CF'!DZ141</f>
        <v>4859</v>
      </c>
      <c r="EA46" s="843">
        <f>DZ46+'BS &amp; CF'!EA141</f>
        <v>4859</v>
      </c>
      <c r="EB46" s="844">
        <f t="shared" si="127"/>
        <v>4859</v>
      </c>
      <c r="EC46" s="843">
        <f>EB46+'BS &amp; CF'!EC141</f>
        <v>4859</v>
      </c>
      <c r="ED46" s="843">
        <f>EC46+'BS &amp; CF'!ED141</f>
        <v>4859</v>
      </c>
      <c r="EE46" s="843">
        <f>ED46+'BS &amp; CF'!EE141</f>
        <v>4859</v>
      </c>
      <c r="EF46" s="843">
        <f>EE46+'BS &amp; CF'!EF141</f>
        <v>4859</v>
      </c>
      <c r="EG46" s="844">
        <f t="shared" si="129"/>
        <v>4859</v>
      </c>
      <c r="EH46" s="843">
        <f>EG46+'BS &amp; CF'!EH141</f>
        <v>4859</v>
      </c>
      <c r="EI46" s="843">
        <f>EH46+'BS &amp; CF'!EI141</f>
        <v>4859</v>
      </c>
      <c r="EJ46" s="843">
        <f>EI46+'BS &amp; CF'!EJ141</f>
        <v>4859</v>
      </c>
      <c r="EK46" s="843">
        <f>EJ46+'BS &amp; CF'!EK141</f>
        <v>4859</v>
      </c>
      <c r="EL46" s="844">
        <f t="shared" si="131"/>
        <v>4859</v>
      </c>
      <c r="EM46" s="561"/>
      <c r="EN46"/>
      <c r="EO46"/>
      <c r="EP46"/>
      <c r="EQ46"/>
      <c r="ER46"/>
      <c r="ES46"/>
      <c r="ET46" s="141"/>
      <c r="EU46" s="141"/>
      <c r="EV46" s="141"/>
      <c r="EW46" s="141"/>
      <c r="EX46" s="141"/>
      <c r="EY46" s="141"/>
      <c r="EZ46" s="141"/>
      <c r="FA46" s="141"/>
      <c r="FB46" s="141"/>
      <c r="FC46" s="141"/>
      <c r="FD46" s="141"/>
      <c r="FE46" s="141"/>
      <c r="FF46" s="141"/>
      <c r="FG46" s="141"/>
      <c r="FH46" s="141"/>
      <c r="FI46" s="141"/>
      <c r="FJ46" s="141"/>
      <c r="FK46" s="141"/>
      <c r="FL46" s="141"/>
      <c r="FM46" s="141"/>
      <c r="FN46" s="141"/>
      <c r="FO46" s="141"/>
      <c r="FP46" s="141"/>
      <c r="FQ46" s="141"/>
      <c r="FR46" s="141"/>
      <c r="FS46" s="141"/>
      <c r="FT46" s="141"/>
      <c r="FU46" s="141"/>
      <c r="FV46" s="141"/>
      <c r="FW46" s="141"/>
      <c r="FX46" s="141"/>
      <c r="FY46" s="141"/>
      <c r="FZ46" s="141"/>
      <c r="GA46" s="141"/>
      <c r="GB46" s="141"/>
      <c r="GC46" s="141"/>
      <c r="GD46" s="141"/>
      <c r="GE46" s="141"/>
      <c r="GF46" s="141"/>
      <c r="GG46" s="141"/>
      <c r="GH46" s="141"/>
      <c r="GI46" s="141"/>
      <c r="GJ46" s="141"/>
      <c r="GK46" s="141"/>
      <c r="GL46" s="141"/>
      <c r="GM46" s="141"/>
      <c r="GN46" s="141"/>
      <c r="GO46" s="141"/>
      <c r="GP46" s="141"/>
      <c r="GQ46" s="141"/>
      <c r="GR46" s="141"/>
      <c r="GS46" s="141"/>
      <c r="GT46" s="141"/>
      <c r="GU46" s="141"/>
      <c r="GV46" s="141"/>
      <c r="GW46" s="141"/>
      <c r="GX46" s="141"/>
      <c r="GY46" s="141"/>
      <c r="GZ46" s="141"/>
      <c r="HA46" s="141"/>
      <c r="HB46" s="141"/>
      <c r="HC46" s="141"/>
      <c r="HD46" s="141"/>
      <c r="HE46" s="141"/>
      <c r="HF46" s="141"/>
      <c r="HG46" s="141"/>
      <c r="HH46" s="141"/>
      <c r="HI46" s="141"/>
      <c r="HJ46" s="141"/>
      <c r="HK46" s="141"/>
      <c r="HL46" s="141"/>
      <c r="HM46" s="141"/>
      <c r="HN46" s="141"/>
      <c r="HO46" s="141"/>
      <c r="HP46" s="141"/>
      <c r="HQ46" s="141"/>
      <c r="HR46" s="141"/>
      <c r="HS46" s="141"/>
      <c r="HT46" s="141"/>
      <c r="HU46" s="141"/>
      <c r="HV46" s="141"/>
      <c r="HW46" s="141"/>
      <c r="HX46" s="141"/>
      <c r="HY46" s="141"/>
      <c r="HZ46" s="141"/>
      <c r="IA46" s="141"/>
      <c r="IB46" s="141"/>
      <c r="IC46" s="141"/>
      <c r="ID46" s="141"/>
      <c r="IE46" s="141"/>
      <c r="IF46" s="141"/>
      <c r="IG46" s="141"/>
      <c r="IH46" s="141"/>
      <c r="II46" s="141"/>
      <c r="IJ46" s="141"/>
      <c r="IK46" s="141"/>
      <c r="IL46" s="141"/>
      <c r="IM46" s="141"/>
      <c r="IN46" s="141"/>
      <c r="IO46" s="141"/>
      <c r="IP46" s="141"/>
      <c r="IQ46" s="141"/>
      <c r="IR46" s="141"/>
      <c r="IS46" s="141"/>
      <c r="IT46" s="141"/>
      <c r="IU46" s="141"/>
      <c r="IV46" s="141"/>
      <c r="IW46" s="141"/>
      <c r="IX46" s="141"/>
      <c r="IY46" s="141"/>
      <c r="IZ46" s="141"/>
      <c r="JA46" s="141"/>
      <c r="JB46" s="141"/>
      <c r="JC46" s="141"/>
      <c r="JD46" s="141"/>
      <c r="JE46" s="141"/>
      <c r="JF46" s="141"/>
      <c r="JG46" s="141"/>
      <c r="JH46" s="141"/>
    </row>
    <row r="47" spans="1:268" s="142" customFormat="1" ht="12" customHeight="1">
      <c r="A47" s="801"/>
      <c r="B47" s="555" t="s">
        <v>559</v>
      </c>
      <c r="C47" s="555"/>
      <c r="D47" s="898">
        <v>0</v>
      </c>
      <c r="E47" s="898">
        <v>0</v>
      </c>
      <c r="F47" s="898">
        <v>0</v>
      </c>
      <c r="G47" s="899">
        <v>0</v>
      </c>
      <c r="H47" s="900">
        <f t="shared" si="104"/>
        <v>0</v>
      </c>
      <c r="I47" s="898">
        <v>0</v>
      </c>
      <c r="J47" s="898">
        <v>0</v>
      </c>
      <c r="K47" s="898">
        <v>0</v>
      </c>
      <c r="L47" s="899">
        <v>28</v>
      </c>
      <c r="M47" s="900">
        <f t="shared" si="105"/>
        <v>28</v>
      </c>
      <c r="N47" s="898">
        <v>0</v>
      </c>
      <c r="O47" s="898">
        <v>0</v>
      </c>
      <c r="P47" s="898">
        <v>0</v>
      </c>
      <c r="Q47" s="899">
        <v>110</v>
      </c>
      <c r="R47" s="900">
        <f t="shared" si="106"/>
        <v>110</v>
      </c>
      <c r="S47" s="898">
        <v>0</v>
      </c>
      <c r="T47" s="898">
        <v>0</v>
      </c>
      <c r="U47" s="898">
        <v>0</v>
      </c>
      <c r="V47" s="899">
        <v>50</v>
      </c>
      <c r="W47" s="900">
        <f t="shared" si="107"/>
        <v>50</v>
      </c>
      <c r="X47" s="898">
        <v>0</v>
      </c>
      <c r="Y47" s="898">
        <v>0</v>
      </c>
      <c r="Z47" s="898">
        <v>0</v>
      </c>
      <c r="AA47" s="899">
        <v>77</v>
      </c>
      <c r="AB47" s="900">
        <f t="shared" si="108"/>
        <v>77</v>
      </c>
      <c r="AC47" s="898">
        <v>0</v>
      </c>
      <c r="AD47" s="898">
        <v>0</v>
      </c>
      <c r="AE47" s="898">
        <v>0</v>
      </c>
      <c r="AF47" s="899">
        <v>-70</v>
      </c>
      <c r="AG47" s="900">
        <f t="shared" si="109"/>
        <v>-70</v>
      </c>
      <c r="AH47" s="898">
        <v>0</v>
      </c>
      <c r="AI47" s="898">
        <v>0</v>
      </c>
      <c r="AJ47" s="898">
        <v>0</v>
      </c>
      <c r="AK47" s="899">
        <v>-44</v>
      </c>
      <c r="AL47" s="900">
        <f t="shared" si="110"/>
        <v>-44</v>
      </c>
      <c r="AM47" s="898">
        <v>-28</v>
      </c>
      <c r="AN47" s="898">
        <v>-44</v>
      </c>
      <c r="AO47" s="898">
        <v>-43</v>
      </c>
      <c r="AP47" s="899">
        <v>-44</v>
      </c>
      <c r="AQ47" s="900">
        <f t="shared" si="111"/>
        <v>-44</v>
      </c>
      <c r="AR47" s="898">
        <v>-42</v>
      </c>
      <c r="AS47" s="898">
        <v>-16</v>
      </c>
      <c r="AT47" s="898">
        <v>-15</v>
      </c>
      <c r="AU47" s="802"/>
      <c r="AV47" s="561"/>
      <c r="AW47" s="561"/>
      <c r="AX47" s="561"/>
      <c r="AY47" s="898">
        <v>-15</v>
      </c>
      <c r="AZ47" s="844">
        <f t="shared" si="112"/>
        <v>-15</v>
      </c>
      <c r="BA47" s="898">
        <v>-14</v>
      </c>
      <c r="BB47" s="898">
        <v>-12</v>
      </c>
      <c r="BC47" s="898">
        <v>-11</v>
      </c>
      <c r="BD47" s="898">
        <v>-8</v>
      </c>
      <c r="BE47" s="844">
        <f t="shared" si="113"/>
        <v>-8</v>
      </c>
      <c r="BF47" s="898">
        <v>-9</v>
      </c>
      <c r="BG47" s="898">
        <v>-14</v>
      </c>
      <c r="BH47" s="898">
        <v>-13</v>
      </c>
      <c r="BI47" s="898">
        <v>-13</v>
      </c>
      <c r="BJ47" s="844">
        <f t="shared" si="114"/>
        <v>-13</v>
      </c>
      <c r="BK47" s="898">
        <v>-13</v>
      </c>
      <c r="BL47" s="898">
        <v>-12</v>
      </c>
      <c r="BM47" s="898">
        <v>-12</v>
      </c>
      <c r="BN47" s="898">
        <v>-39</v>
      </c>
      <c r="BO47" s="844">
        <f t="shared" si="115"/>
        <v>-39</v>
      </c>
      <c r="BP47" s="898">
        <v>-40</v>
      </c>
      <c r="BQ47" s="898">
        <v>-40</v>
      </c>
      <c r="BR47" s="898">
        <v>-39</v>
      </c>
      <c r="BS47" s="898">
        <v>-45</v>
      </c>
      <c r="BT47" s="844">
        <f t="shared" si="116"/>
        <v>-45</v>
      </c>
      <c r="BU47" s="898">
        <v>-46</v>
      </c>
      <c r="BV47" s="898">
        <v>-46</v>
      </c>
      <c r="BW47" s="898">
        <v>-45</v>
      </c>
      <c r="BX47" s="898">
        <v>-28</v>
      </c>
      <c r="BY47" s="844">
        <f t="shared" si="117"/>
        <v>-28</v>
      </c>
      <c r="BZ47" s="898">
        <v>-28</v>
      </c>
      <c r="CA47" s="898">
        <v>-26</v>
      </c>
      <c r="CB47" s="898">
        <v>-29</v>
      </c>
      <c r="CC47" s="898">
        <v>-37</v>
      </c>
      <c r="CD47" s="844">
        <f t="shared" si="118"/>
        <v>-37</v>
      </c>
      <c r="CE47" s="898">
        <v>-34</v>
      </c>
      <c r="CF47" s="898">
        <v>-31</v>
      </c>
      <c r="CG47" s="898">
        <v>-27</v>
      </c>
      <c r="CH47" s="898">
        <v>-32</v>
      </c>
      <c r="CI47" s="844">
        <f t="shared" si="119"/>
        <v>-32</v>
      </c>
      <c r="CJ47" s="898">
        <v>-31</v>
      </c>
      <c r="CK47" s="898">
        <v>-31</v>
      </c>
      <c r="CL47" s="898">
        <v>-30</v>
      </c>
      <c r="CM47" s="898">
        <v>-43</v>
      </c>
      <c r="CN47" s="844">
        <f t="shared" si="120"/>
        <v>-43</v>
      </c>
      <c r="CO47" s="898">
        <v>-43</v>
      </c>
      <c r="CP47" s="898">
        <v>-43</v>
      </c>
      <c r="CQ47" s="898">
        <v>-43</v>
      </c>
      <c r="CR47" s="898">
        <v>-52</v>
      </c>
      <c r="CS47" s="844">
        <f t="shared" si="121"/>
        <v>-52</v>
      </c>
      <c r="CT47" s="898">
        <v>-49</v>
      </c>
      <c r="CU47" s="898">
        <v>-49</v>
      </c>
      <c r="CV47" s="898">
        <v>-49</v>
      </c>
      <c r="CW47" s="898">
        <v>-68</v>
      </c>
      <c r="CX47" s="844">
        <f t="shared" si="122"/>
        <v>-68</v>
      </c>
      <c r="CY47" s="898">
        <v>-68</v>
      </c>
      <c r="CZ47" s="898">
        <v>-68</v>
      </c>
      <c r="DA47" s="898">
        <v>-68</v>
      </c>
      <c r="DB47" s="898">
        <v>-24</v>
      </c>
      <c r="DC47" s="844">
        <f>+DB47</f>
        <v>-24</v>
      </c>
      <c r="DD47" s="898">
        <v>-23</v>
      </c>
      <c r="DE47" s="898">
        <v>-20</v>
      </c>
      <c r="DF47" s="898">
        <v>-20</v>
      </c>
      <c r="DG47" s="898">
        <v>-182</v>
      </c>
      <c r="DH47" s="844">
        <f>+DG47</f>
        <v>-182</v>
      </c>
      <c r="DI47" s="898">
        <v>-179</v>
      </c>
      <c r="DJ47" s="898">
        <v>-177</v>
      </c>
      <c r="DK47" s="898">
        <v>-173</v>
      </c>
      <c r="DL47" s="898">
        <v>-164</v>
      </c>
      <c r="DM47" s="844">
        <f>+DL47</f>
        <v>-164</v>
      </c>
      <c r="DN47" s="898">
        <v>-160</v>
      </c>
      <c r="DO47" s="898">
        <v>-203</v>
      </c>
      <c r="DP47" s="898">
        <v>-200</v>
      </c>
      <c r="DQ47" s="898">
        <v>-258</v>
      </c>
      <c r="DR47" s="844">
        <f t="shared" si="123"/>
        <v>-258</v>
      </c>
      <c r="DS47" s="898">
        <v>-255</v>
      </c>
      <c r="DT47" s="898">
        <v>-242</v>
      </c>
      <c r="DU47" s="898">
        <v>-238</v>
      </c>
      <c r="DV47" s="898">
        <v>-204</v>
      </c>
      <c r="DW47" s="844">
        <f t="shared" si="125"/>
        <v>-204</v>
      </c>
      <c r="DX47" s="843">
        <f>DW47</f>
        <v>-204</v>
      </c>
      <c r="DY47" s="843">
        <f>DX47</f>
        <v>-204</v>
      </c>
      <c r="DZ47" s="843">
        <f>DY47</f>
        <v>-204</v>
      </c>
      <c r="EA47" s="843">
        <f>DZ47</f>
        <v>-204</v>
      </c>
      <c r="EB47" s="844">
        <f t="shared" si="127"/>
        <v>-204</v>
      </c>
      <c r="EC47" s="843">
        <f>EB47</f>
        <v>-204</v>
      </c>
      <c r="ED47" s="843">
        <f>EC47</f>
        <v>-204</v>
      </c>
      <c r="EE47" s="843">
        <f>ED47</f>
        <v>-204</v>
      </c>
      <c r="EF47" s="843">
        <f>EE47</f>
        <v>-204</v>
      </c>
      <c r="EG47" s="844">
        <f t="shared" si="129"/>
        <v>-204</v>
      </c>
      <c r="EH47" s="843">
        <f>EG47</f>
        <v>-204</v>
      </c>
      <c r="EI47" s="843">
        <f>EH47</f>
        <v>-204</v>
      </c>
      <c r="EJ47" s="843">
        <f>EI47</f>
        <v>-204</v>
      </c>
      <c r="EK47" s="843">
        <f>EJ47</f>
        <v>-204</v>
      </c>
      <c r="EL47" s="844">
        <f t="shared" si="131"/>
        <v>-204</v>
      </c>
      <c r="EM47" s="561"/>
      <c r="EN47"/>
      <c r="EO47"/>
      <c r="EP47"/>
      <c r="EQ47"/>
      <c r="ER47"/>
      <c r="ES47"/>
      <c r="ET47" s="141"/>
      <c r="EU47" s="141"/>
      <c r="EV47" s="141"/>
      <c r="EW47" s="141"/>
      <c r="EX47" s="141"/>
      <c r="EY47" s="141"/>
      <c r="EZ47" s="141"/>
      <c r="FA47" s="141"/>
      <c r="FB47" s="141"/>
      <c r="FC47" s="141"/>
      <c r="FD47" s="141"/>
      <c r="FE47" s="141"/>
      <c r="FF47" s="141"/>
      <c r="FG47" s="141"/>
      <c r="FH47" s="141"/>
      <c r="FI47" s="141"/>
      <c r="FJ47" s="141"/>
      <c r="FK47" s="141"/>
      <c r="FL47" s="141"/>
      <c r="FM47" s="141"/>
      <c r="FN47" s="141"/>
      <c r="FO47" s="141"/>
      <c r="FP47" s="141"/>
      <c r="FQ47" s="141"/>
      <c r="FR47" s="141"/>
      <c r="FS47" s="141"/>
      <c r="FT47" s="141"/>
      <c r="FU47" s="141"/>
      <c r="FV47" s="141"/>
      <c r="FW47" s="141"/>
      <c r="FX47" s="141"/>
      <c r="FY47" s="141"/>
      <c r="FZ47" s="141"/>
      <c r="GA47" s="141"/>
      <c r="GB47" s="141"/>
      <c r="GC47" s="141"/>
      <c r="GD47" s="141"/>
      <c r="GE47" s="141"/>
      <c r="GF47" s="141"/>
      <c r="GG47" s="141"/>
      <c r="GH47" s="141"/>
      <c r="GI47" s="141"/>
      <c r="GJ47" s="141"/>
      <c r="GK47" s="141"/>
      <c r="GL47" s="141"/>
      <c r="GM47" s="141"/>
      <c r="GN47" s="141"/>
      <c r="GO47" s="141"/>
      <c r="GP47" s="141"/>
      <c r="GQ47" s="141"/>
      <c r="GR47" s="141"/>
      <c r="GS47" s="141"/>
      <c r="GT47" s="141"/>
      <c r="GU47" s="141"/>
      <c r="GV47" s="141"/>
      <c r="GW47" s="141"/>
      <c r="GX47" s="141"/>
      <c r="GY47" s="141"/>
      <c r="GZ47" s="141"/>
      <c r="HA47" s="141"/>
      <c r="HB47" s="141"/>
      <c r="HC47" s="141"/>
      <c r="HD47" s="141"/>
      <c r="HE47" s="141"/>
      <c r="HF47" s="141"/>
      <c r="HG47" s="141"/>
      <c r="HH47" s="141"/>
      <c r="HI47" s="141"/>
      <c r="HJ47" s="141"/>
      <c r="HK47" s="141"/>
      <c r="HL47" s="141"/>
      <c r="HM47" s="141"/>
      <c r="HN47" s="141"/>
      <c r="HO47" s="141"/>
      <c r="HP47" s="141"/>
      <c r="HQ47" s="141"/>
      <c r="HR47" s="141"/>
      <c r="HS47" s="141"/>
      <c r="HT47" s="141"/>
      <c r="HU47" s="141"/>
      <c r="HV47" s="141"/>
      <c r="HW47" s="141"/>
      <c r="HX47" s="141"/>
      <c r="HY47" s="141"/>
      <c r="HZ47" s="141"/>
      <c r="IA47" s="141"/>
      <c r="IB47" s="141"/>
      <c r="IC47" s="141"/>
      <c r="ID47" s="141"/>
      <c r="IE47" s="141"/>
      <c r="IF47" s="141"/>
      <c r="IG47" s="141"/>
      <c r="IH47" s="141"/>
      <c r="II47" s="141"/>
      <c r="IJ47" s="141"/>
      <c r="IK47" s="141"/>
      <c r="IL47" s="141"/>
      <c r="IM47" s="141"/>
      <c r="IN47" s="141"/>
      <c r="IO47" s="141"/>
      <c r="IP47" s="141"/>
      <c r="IQ47" s="141"/>
      <c r="IR47" s="141"/>
      <c r="IS47" s="141"/>
      <c r="IT47" s="141"/>
      <c r="IU47" s="141"/>
      <c r="IV47" s="141"/>
      <c r="IW47" s="141"/>
      <c r="IX47" s="141"/>
      <c r="IY47" s="141"/>
      <c r="IZ47" s="141"/>
      <c r="JA47" s="141"/>
      <c r="JB47" s="141"/>
      <c r="JC47" s="141"/>
      <c r="JD47" s="141"/>
      <c r="JE47" s="141"/>
      <c r="JF47" s="141"/>
      <c r="JG47" s="141"/>
      <c r="JH47" s="141"/>
    </row>
    <row r="48" spans="1:268" s="142" customFormat="1" ht="12" customHeight="1">
      <c r="A48" s="801"/>
      <c r="B48" s="557" t="s">
        <v>560</v>
      </c>
      <c r="C48" s="898"/>
      <c r="D48" s="898">
        <v>0</v>
      </c>
      <c r="E48" s="898">
        <v>0</v>
      </c>
      <c r="F48" s="898">
        <v>0</v>
      </c>
      <c r="G48" s="899">
        <v>740</v>
      </c>
      <c r="H48" s="900">
        <f t="shared" si="104"/>
        <v>740</v>
      </c>
      <c r="I48" s="898">
        <v>0</v>
      </c>
      <c r="J48" s="898">
        <v>0</v>
      </c>
      <c r="K48" s="898">
        <v>0</v>
      </c>
      <c r="L48" s="899">
        <v>1090</v>
      </c>
      <c r="M48" s="900">
        <f t="shared" si="105"/>
        <v>1090</v>
      </c>
      <c r="N48" s="898">
        <v>0</v>
      </c>
      <c r="O48" s="898">
        <v>0</v>
      </c>
      <c r="P48" s="898">
        <v>0</v>
      </c>
      <c r="Q48" s="899">
        <v>819</v>
      </c>
      <c r="R48" s="900">
        <f t="shared" si="106"/>
        <v>819</v>
      </c>
      <c r="S48" s="898">
        <v>0</v>
      </c>
      <c r="T48" s="898">
        <v>0</v>
      </c>
      <c r="U48" s="898">
        <v>0</v>
      </c>
      <c r="V48" s="899">
        <v>1080</v>
      </c>
      <c r="W48" s="900">
        <f t="shared" si="107"/>
        <v>1080</v>
      </c>
      <c r="X48" s="898">
        <v>0</v>
      </c>
      <c r="Y48" s="898">
        <v>0</v>
      </c>
      <c r="Z48" s="898">
        <v>0</v>
      </c>
      <c r="AA48" s="899">
        <v>1329</v>
      </c>
      <c r="AB48" s="900">
        <f t="shared" si="108"/>
        <v>1329</v>
      </c>
      <c r="AC48" s="898">
        <v>0</v>
      </c>
      <c r="AD48" s="898">
        <v>0</v>
      </c>
      <c r="AE48" s="898">
        <v>0</v>
      </c>
      <c r="AF48" s="899">
        <v>1627</v>
      </c>
      <c r="AG48" s="900">
        <f t="shared" si="109"/>
        <v>1627</v>
      </c>
      <c r="AH48" s="898">
        <v>0</v>
      </c>
      <c r="AI48" s="898">
        <v>0</v>
      </c>
      <c r="AJ48" s="898">
        <v>0</v>
      </c>
      <c r="AK48" s="899">
        <v>2270</v>
      </c>
      <c r="AL48" s="900">
        <f t="shared" si="110"/>
        <v>2270</v>
      </c>
      <c r="AM48" s="898">
        <v>2426</v>
      </c>
      <c r="AN48" s="898">
        <v>2514</v>
      </c>
      <c r="AO48" s="898">
        <v>2794</v>
      </c>
      <c r="AP48" s="899">
        <v>3055</v>
      </c>
      <c r="AQ48" s="900">
        <f t="shared" si="111"/>
        <v>3055</v>
      </c>
      <c r="AR48" s="898">
        <v>3393</v>
      </c>
      <c r="AS48" s="898">
        <v>3708</v>
      </c>
      <c r="AT48" s="898">
        <v>3653</v>
      </c>
      <c r="AU48" s="802"/>
      <c r="AV48" s="561"/>
      <c r="AW48" s="561"/>
      <c r="AX48" s="561"/>
      <c r="AY48" s="898">
        <v>3514</v>
      </c>
      <c r="AZ48" s="844">
        <f t="shared" si="112"/>
        <v>3514</v>
      </c>
      <c r="BA48" s="898">
        <v>3165</v>
      </c>
      <c r="BB48" s="898">
        <v>2970</v>
      </c>
      <c r="BC48" s="898">
        <v>2662</v>
      </c>
      <c r="BD48" s="898">
        <v>1710</v>
      </c>
      <c r="BE48" s="844">
        <f t="shared" si="113"/>
        <v>1710</v>
      </c>
      <c r="BF48" s="898">
        <v>1588</v>
      </c>
      <c r="BG48" s="898">
        <v>1162</v>
      </c>
      <c r="BH48" s="898">
        <v>1092</v>
      </c>
      <c r="BI48" s="898">
        <v>-930</v>
      </c>
      <c r="BJ48" s="844">
        <f t="shared" si="114"/>
        <v>-930</v>
      </c>
      <c r="BK48" s="898">
        <v>-1087</v>
      </c>
      <c r="BL48" s="898">
        <v>-1120</v>
      </c>
      <c r="BM48" s="898">
        <v>-1521</v>
      </c>
      <c r="BN48" s="898">
        <v>-1807</v>
      </c>
      <c r="BO48" s="844">
        <f t="shared" si="115"/>
        <v>-1807</v>
      </c>
      <c r="BP48" s="898">
        <v>-1737</v>
      </c>
      <c r="BQ48" s="898">
        <v>-2135</v>
      </c>
      <c r="BR48" s="898">
        <v>-2224</v>
      </c>
      <c r="BS48" s="898">
        <v>-2610</v>
      </c>
      <c r="BT48" s="844">
        <f t="shared" si="116"/>
        <v>-2610</v>
      </c>
      <c r="BU48" s="898">
        <v>-2713</v>
      </c>
      <c r="BV48" s="898">
        <v>-2743</v>
      </c>
      <c r="BW48" s="898">
        <v>-2802</v>
      </c>
      <c r="BX48" s="898">
        <v>-2877</v>
      </c>
      <c r="BY48" s="844">
        <f t="shared" si="117"/>
        <v>-2877</v>
      </c>
      <c r="BZ48" s="898">
        <v>-2908</v>
      </c>
      <c r="CA48" s="898">
        <v>-2923</v>
      </c>
      <c r="CB48" s="898">
        <v>-2819</v>
      </c>
      <c r="CC48" s="898">
        <v>-2852</v>
      </c>
      <c r="CD48" s="844">
        <f t="shared" si="118"/>
        <v>-2852</v>
      </c>
      <c r="CE48" s="898">
        <v>-2674</v>
      </c>
      <c r="CF48" s="898">
        <v>-2689</v>
      </c>
      <c r="CG48" s="898">
        <v>-2692</v>
      </c>
      <c r="CH48" s="898">
        <v>-2665</v>
      </c>
      <c r="CI48" s="844">
        <f t="shared" si="119"/>
        <v>-2665</v>
      </c>
      <c r="CJ48" s="898">
        <v>-2571</v>
      </c>
      <c r="CK48" s="898">
        <v>-2540</v>
      </c>
      <c r="CL48" s="898">
        <v>-1602</v>
      </c>
      <c r="CM48" s="898">
        <v>-1522</v>
      </c>
      <c r="CN48" s="844">
        <f t="shared" si="120"/>
        <v>-1522</v>
      </c>
      <c r="CO48" s="898">
        <v>-1443</v>
      </c>
      <c r="CP48" s="898">
        <v>-1382</v>
      </c>
      <c r="CQ48" s="898">
        <v>-1370</v>
      </c>
      <c r="CR48" s="898">
        <v>-1440</v>
      </c>
      <c r="CS48" s="844">
        <f t="shared" si="121"/>
        <v>-1440</v>
      </c>
      <c r="CT48" s="898">
        <v>-1376</v>
      </c>
      <c r="CU48" s="898">
        <v>-1378</v>
      </c>
      <c r="CV48" s="898">
        <v>-1337</v>
      </c>
      <c r="CW48" s="898">
        <v>-1288</v>
      </c>
      <c r="CX48" s="844">
        <f t="shared" si="122"/>
        <v>-1288</v>
      </c>
      <c r="CY48" s="898">
        <v>-1376</v>
      </c>
      <c r="CZ48" s="898">
        <v>-1426</v>
      </c>
      <c r="DA48" s="898">
        <v>-1398</v>
      </c>
      <c r="DB48" s="898">
        <v>-1422</v>
      </c>
      <c r="DC48" s="844">
        <f>+DB48</f>
        <v>-1422</v>
      </c>
      <c r="DD48" s="898">
        <v>-1454</v>
      </c>
      <c r="DE48" s="898">
        <v>-1480</v>
      </c>
      <c r="DF48" s="898">
        <v>-1471</v>
      </c>
      <c r="DG48" s="898">
        <v>-1410</v>
      </c>
      <c r="DH48" s="844">
        <f>+DG48</f>
        <v>-1410</v>
      </c>
      <c r="DI48" s="898">
        <v>-1363</v>
      </c>
      <c r="DJ48" s="898">
        <v>-1424</v>
      </c>
      <c r="DK48" s="898">
        <v>-1453</v>
      </c>
      <c r="DL48" s="898">
        <v>-1550</v>
      </c>
      <c r="DM48" s="844">
        <f>+DL48</f>
        <v>-1550</v>
      </c>
      <c r="DN48" s="898">
        <v>-1609</v>
      </c>
      <c r="DO48" s="898">
        <v>-1655</v>
      </c>
      <c r="DP48" s="898">
        <v>-1663</v>
      </c>
      <c r="DQ48" s="898">
        <v>-1742</v>
      </c>
      <c r="DR48" s="844">
        <f t="shared" si="123"/>
        <v>-1742</v>
      </c>
      <c r="DS48" s="898">
        <v>-1739</v>
      </c>
      <c r="DT48" s="898">
        <v>-1794</v>
      </c>
      <c r="DU48" s="898">
        <v>-2161</v>
      </c>
      <c r="DV48" s="898">
        <v>-2390</v>
      </c>
      <c r="DW48" s="844">
        <f t="shared" si="125"/>
        <v>-2390</v>
      </c>
      <c r="DX48" s="843">
        <f>DW48+'BS &amp; CF'!DX136-DX180</f>
        <v>-2273.9931599573415</v>
      </c>
      <c r="DY48" s="843">
        <f>DX48+'BS &amp; CF'!DY136-DY180</f>
        <v>-2116.7297359243425</v>
      </c>
      <c r="DZ48" s="843">
        <f>DY48+'BS &amp; CF'!DZ136-DZ180</f>
        <v>-1956.2445203835312</v>
      </c>
      <c r="EA48" s="843">
        <f>DZ48+'BS &amp; CF'!EA136-EA180</f>
        <v>-1804.3858528110709</v>
      </c>
      <c r="EB48" s="844">
        <f t="shared" si="127"/>
        <v>-1804.3858528110709</v>
      </c>
      <c r="EC48" s="843">
        <f>EB48+'BS &amp; CF'!EC136-EC180</f>
        <v>-1640.4112925305537</v>
      </c>
      <c r="ED48" s="843">
        <f>EC48+'BS &amp; CF'!ED136-ED180</f>
        <v>-1482.1336345366069</v>
      </c>
      <c r="EE48" s="843">
        <f>ED48+'BS &amp; CF'!EE136-EE180</f>
        <v>-1318.5041795139612</v>
      </c>
      <c r="EF48" s="843">
        <f>EE48+'BS &amp; CF'!EF136-EF180</f>
        <v>-1134.9698845477074</v>
      </c>
      <c r="EG48" s="844">
        <f t="shared" si="129"/>
        <v>-1134.9698845477074</v>
      </c>
      <c r="EH48" s="843">
        <f>EG48+'BS &amp; CF'!EH136-EH180</f>
        <v>-957.02853341501418</v>
      </c>
      <c r="EI48" s="843">
        <f>EH48+'BS &amp; CF'!EI136-EI180</f>
        <v>-774.51215809054929</v>
      </c>
      <c r="EJ48" s="843">
        <f>EI48+'BS &amp; CF'!EJ136-EJ180</f>
        <v>-593.57605394511984</v>
      </c>
      <c r="EK48" s="843">
        <f>EJ48+'BS &amp; CF'!EK136-EK180</f>
        <v>-418.19498072169142</v>
      </c>
      <c r="EL48" s="844">
        <f t="shared" si="131"/>
        <v>-418.19498072169142</v>
      </c>
      <c r="EM48" s="561"/>
      <c r="EN48"/>
      <c r="EO48"/>
      <c r="EP48"/>
      <c r="EQ48"/>
      <c r="ER48"/>
      <c r="ES48"/>
      <c r="ET48" s="141"/>
      <c r="EU48" s="141"/>
      <c r="EV48" s="141"/>
      <c r="EW48" s="141"/>
      <c r="EX48" s="141"/>
      <c r="EY48" s="141"/>
      <c r="EZ48" s="141"/>
      <c r="FA48" s="141"/>
      <c r="FB48" s="141"/>
      <c r="FC48" s="141"/>
      <c r="FD48" s="141"/>
      <c r="FE48" s="141"/>
      <c r="FF48" s="141"/>
      <c r="FG48" s="141"/>
      <c r="FH48" s="141"/>
      <c r="FI48" s="141"/>
      <c r="FJ48" s="141"/>
      <c r="FK48" s="141"/>
      <c r="FL48" s="141"/>
      <c r="FM48" s="141"/>
      <c r="FN48" s="141"/>
      <c r="FO48" s="141"/>
      <c r="FP48" s="141"/>
      <c r="FQ48" s="141"/>
      <c r="FR48" s="141"/>
      <c r="FS48" s="141"/>
      <c r="FT48" s="141"/>
      <c r="FU48" s="141"/>
      <c r="FV48" s="141"/>
      <c r="FW48" s="141"/>
      <c r="FX48" s="141"/>
      <c r="FY48" s="141"/>
      <c r="FZ48" s="141"/>
      <c r="GA48" s="141"/>
      <c r="GB48" s="141"/>
      <c r="GC48" s="141"/>
      <c r="GD48" s="141"/>
      <c r="GE48" s="141"/>
      <c r="GF48" s="141"/>
      <c r="GG48" s="141"/>
      <c r="GH48" s="141"/>
      <c r="GI48" s="141"/>
      <c r="GJ48" s="141"/>
      <c r="GK48" s="141"/>
      <c r="GL48" s="141"/>
      <c r="GM48" s="141"/>
      <c r="GN48" s="141"/>
      <c r="GO48" s="141"/>
      <c r="GP48" s="141"/>
      <c r="GQ48" s="141"/>
      <c r="GR48" s="141"/>
      <c r="GS48" s="141"/>
      <c r="GT48" s="141"/>
      <c r="GU48" s="141"/>
      <c r="GV48" s="141"/>
      <c r="GW48" s="141"/>
      <c r="GX48" s="141"/>
      <c r="GY48" s="141"/>
      <c r="GZ48" s="141"/>
      <c r="HA48" s="141"/>
      <c r="HB48" s="141"/>
      <c r="HC48" s="141"/>
      <c r="HD48" s="141"/>
      <c r="HE48" s="141"/>
      <c r="HF48" s="141"/>
      <c r="HG48" s="141"/>
      <c r="HH48" s="141"/>
      <c r="HI48" s="141"/>
      <c r="HJ48" s="141"/>
      <c r="HK48" s="141"/>
      <c r="HL48" s="141"/>
      <c r="HM48" s="141"/>
      <c r="HN48" s="141"/>
      <c r="HO48" s="141"/>
      <c r="HP48" s="141"/>
      <c r="HQ48" s="141"/>
      <c r="HR48" s="141"/>
      <c r="HS48" s="141"/>
      <c r="HT48" s="141"/>
      <c r="HU48" s="141"/>
      <c r="HV48" s="141"/>
      <c r="HW48" s="141"/>
      <c r="HX48" s="141"/>
      <c r="HY48" s="141"/>
      <c r="HZ48" s="141"/>
      <c r="IA48" s="141"/>
      <c r="IB48" s="141"/>
      <c r="IC48" s="141"/>
      <c r="ID48" s="141"/>
      <c r="IE48" s="141"/>
      <c r="IF48" s="141"/>
      <c r="IG48" s="141"/>
      <c r="IH48" s="141"/>
      <c r="II48" s="141"/>
      <c r="IJ48" s="141"/>
      <c r="IK48" s="141"/>
      <c r="IL48" s="141"/>
      <c r="IM48" s="141"/>
      <c r="IN48" s="141"/>
      <c r="IO48" s="141"/>
      <c r="IP48" s="141"/>
      <c r="IQ48" s="141"/>
      <c r="IR48" s="141"/>
      <c r="IS48" s="141"/>
      <c r="IT48" s="141"/>
      <c r="IU48" s="141"/>
      <c r="IV48" s="141"/>
      <c r="IW48" s="141"/>
      <c r="IX48" s="141"/>
      <c r="IY48" s="141"/>
      <c r="IZ48" s="141"/>
      <c r="JA48" s="141"/>
      <c r="JB48" s="141"/>
      <c r="JC48" s="141"/>
      <c r="JD48" s="141"/>
      <c r="JE48" s="141"/>
      <c r="JF48" s="141"/>
      <c r="JG48" s="141"/>
      <c r="JH48" s="141"/>
    </row>
    <row r="49" spans="1:271" s="142" customFormat="1" ht="12" customHeight="1">
      <c r="A49" s="801"/>
      <c r="B49" s="557" t="s">
        <v>561</v>
      </c>
      <c r="C49" s="898"/>
      <c r="D49" s="898">
        <v>-279.375</v>
      </c>
      <c r="E49" s="898">
        <v>-278.10000000000002</v>
      </c>
      <c r="F49" s="898">
        <v>-276.2</v>
      </c>
      <c r="G49" s="899">
        <v>-272</v>
      </c>
      <c r="H49" s="900">
        <f t="shared" si="104"/>
        <v>-272</v>
      </c>
      <c r="I49" s="898">
        <v>-270</v>
      </c>
      <c r="J49" s="898">
        <v>-219.3</v>
      </c>
      <c r="K49" s="898">
        <v>-58.5</v>
      </c>
      <c r="L49" s="899">
        <v>-40</v>
      </c>
      <c r="M49" s="900">
        <f t="shared" si="105"/>
        <v>-40</v>
      </c>
      <c r="N49" s="898">
        <v>-38.700000000000003</v>
      </c>
      <c r="O49" s="898">
        <v>-38.700000000000003</v>
      </c>
      <c r="P49" s="898">
        <v>-38.700000000000003</v>
      </c>
      <c r="Q49" s="899">
        <v>-39</v>
      </c>
      <c r="R49" s="900">
        <f t="shared" si="106"/>
        <v>-39</v>
      </c>
      <c r="S49" s="898">
        <v>-70</v>
      </c>
      <c r="T49" s="898">
        <v>-70</v>
      </c>
      <c r="U49" s="898">
        <v>-70</v>
      </c>
      <c r="V49" s="899">
        <v>-70</v>
      </c>
      <c r="W49" s="900">
        <f t="shared" si="107"/>
        <v>-70</v>
      </c>
      <c r="X49" s="898">
        <v>-70</v>
      </c>
      <c r="Y49" s="898">
        <v>-70</v>
      </c>
      <c r="Z49" s="898">
        <v>-70</v>
      </c>
      <c r="AA49" s="899">
        <v>-70</v>
      </c>
      <c r="AB49" s="900">
        <f t="shared" si="108"/>
        <v>-70</v>
      </c>
      <c r="AC49" s="898">
        <v>-70</v>
      </c>
      <c r="AD49" s="898">
        <v>-70</v>
      </c>
      <c r="AE49" s="898">
        <v>-70</v>
      </c>
      <c r="AF49" s="899">
        <v>-70</v>
      </c>
      <c r="AG49" s="900">
        <f t="shared" si="109"/>
        <v>-70</v>
      </c>
      <c r="AH49" s="898">
        <v>-70</v>
      </c>
      <c r="AI49" s="898">
        <v>-70</v>
      </c>
      <c r="AJ49" s="898">
        <v>-70</v>
      </c>
      <c r="AK49" s="899">
        <v>-70</v>
      </c>
      <c r="AL49" s="900">
        <f t="shared" si="110"/>
        <v>-70</v>
      </c>
      <c r="AM49" s="898">
        <v>-164</v>
      </c>
      <c r="AN49" s="898">
        <v>-257</v>
      </c>
      <c r="AO49" s="898">
        <v>-550</v>
      </c>
      <c r="AP49" s="899">
        <v>-785</v>
      </c>
      <c r="AQ49" s="900">
        <f t="shared" si="111"/>
        <v>-785</v>
      </c>
      <c r="AR49" s="898">
        <v>-904</v>
      </c>
      <c r="AS49" s="898">
        <v>-1285</v>
      </c>
      <c r="AT49" s="898">
        <v>-1395</v>
      </c>
      <c r="AU49" s="802"/>
      <c r="AV49" s="561"/>
      <c r="AW49" s="561"/>
      <c r="AX49" s="561"/>
      <c r="AY49" s="898">
        <v>-1285</v>
      </c>
      <c r="AZ49" s="844">
        <f t="shared" si="112"/>
        <v>-1285</v>
      </c>
      <c r="BA49" s="898">
        <v>-1395</v>
      </c>
      <c r="BB49" s="898">
        <v>-1493</v>
      </c>
      <c r="BC49" s="898">
        <v>-1491</v>
      </c>
      <c r="BD49" s="898">
        <v>-1491</v>
      </c>
      <c r="BE49" s="844">
        <f t="shared" si="113"/>
        <v>-1491</v>
      </c>
      <c r="BF49" s="898">
        <v>-1491</v>
      </c>
      <c r="BG49" s="898">
        <v>-1491</v>
      </c>
      <c r="BH49" s="898">
        <v>-1490</v>
      </c>
      <c r="BI49" s="898">
        <v>-1482</v>
      </c>
      <c r="BJ49" s="844">
        <f t="shared" si="114"/>
        <v>-1482</v>
      </c>
      <c r="BK49" s="898">
        <v>-1481</v>
      </c>
      <c r="BL49" s="898">
        <v>-1479</v>
      </c>
      <c r="BM49" s="898">
        <v>-1480</v>
      </c>
      <c r="BN49" s="898">
        <v>-1479</v>
      </c>
      <c r="BO49" s="844">
        <f t="shared" si="115"/>
        <v>-1479</v>
      </c>
      <c r="BP49" s="898">
        <v>-1479</v>
      </c>
      <c r="BQ49" s="898">
        <v>-1479</v>
      </c>
      <c r="BR49" s="898">
        <v>-1479</v>
      </c>
      <c r="BS49" s="898">
        <v>-1479</v>
      </c>
      <c r="BT49" s="844">
        <f t="shared" si="116"/>
        <v>-1479</v>
      </c>
      <c r="BU49" s="898">
        <v>-1479</v>
      </c>
      <c r="BV49" s="898">
        <v>-1479</v>
      </c>
      <c r="BW49" s="898">
        <v>-1479</v>
      </c>
      <c r="BX49" s="898">
        <v>-1479</v>
      </c>
      <c r="BY49" s="844">
        <f t="shared" si="117"/>
        <v>-1479</v>
      </c>
      <c r="BZ49" s="898">
        <v>-1479</v>
      </c>
      <c r="CA49" s="898">
        <v>-1479</v>
      </c>
      <c r="CB49" s="898">
        <v>-1479</v>
      </c>
      <c r="CC49" s="898">
        <v>-1479</v>
      </c>
      <c r="CD49" s="844">
        <f t="shared" si="118"/>
        <v>-1479</v>
      </c>
      <c r="CE49" s="898">
        <v>-1477</v>
      </c>
      <c r="CF49" s="898">
        <v>-1477</v>
      </c>
      <c r="CG49" s="898">
        <v>-1479</v>
      </c>
      <c r="CH49" s="898">
        <v>-1479</v>
      </c>
      <c r="CI49" s="844">
        <f t="shared" si="119"/>
        <v>-1479</v>
      </c>
      <c r="CJ49" s="898">
        <v>-1479</v>
      </c>
      <c r="CK49" s="898">
        <v>-1479</v>
      </c>
      <c r="CL49" s="898">
        <v>-1479</v>
      </c>
      <c r="CM49" s="898">
        <v>-1479</v>
      </c>
      <c r="CN49" s="844">
        <f t="shared" si="120"/>
        <v>-1479</v>
      </c>
      <c r="CO49" s="898">
        <v>-1479</v>
      </c>
      <c r="CP49" s="898">
        <v>-1551</v>
      </c>
      <c r="CQ49" s="898">
        <v>-1675</v>
      </c>
      <c r="CR49" s="898">
        <v>-1853</v>
      </c>
      <c r="CS49" s="844">
        <f t="shared" si="121"/>
        <v>-1853</v>
      </c>
      <c r="CT49" s="898">
        <v>-1879</v>
      </c>
      <c r="CU49" s="898">
        <v>-1879</v>
      </c>
      <c r="CV49" s="898">
        <v>-1879</v>
      </c>
      <c r="CW49" s="898">
        <v>-1979</v>
      </c>
      <c r="CX49" s="844">
        <f t="shared" si="122"/>
        <v>-1979</v>
      </c>
      <c r="CY49" s="898">
        <v>-2078</v>
      </c>
      <c r="CZ49" s="898">
        <v>-2170</v>
      </c>
      <c r="DA49" s="898">
        <v>-2278</v>
      </c>
      <c r="DB49" s="898">
        <v>-2378</v>
      </c>
      <c r="DC49" s="844">
        <f>+DB49</f>
        <v>-2378</v>
      </c>
      <c r="DD49" s="898">
        <v>-2378</v>
      </c>
      <c r="DE49" s="898">
        <v>-2378</v>
      </c>
      <c r="DF49" s="898">
        <v>-2378</v>
      </c>
      <c r="DG49" s="898">
        <v>-2378</v>
      </c>
      <c r="DH49" s="844">
        <f>+DG49</f>
        <v>-2378</v>
      </c>
      <c r="DI49" s="898">
        <v>-2377</v>
      </c>
      <c r="DJ49" s="898">
        <v>-2377</v>
      </c>
      <c r="DK49" s="898">
        <v>-2377</v>
      </c>
      <c r="DL49" s="898">
        <v>-2417</v>
      </c>
      <c r="DM49" s="844">
        <f>+DL49</f>
        <v>-2417</v>
      </c>
      <c r="DN49" s="898">
        <v>-2417</v>
      </c>
      <c r="DO49" s="898">
        <v>-2417</v>
      </c>
      <c r="DP49" s="898">
        <v>-2417</v>
      </c>
      <c r="DQ49" s="898">
        <v>-2417</v>
      </c>
      <c r="DR49" s="844">
        <f t="shared" si="123"/>
        <v>-2417</v>
      </c>
      <c r="DS49" s="898">
        <v>-2417</v>
      </c>
      <c r="DT49" s="898">
        <v>-2417</v>
      </c>
      <c r="DU49" s="898">
        <v>-2419</v>
      </c>
      <c r="DV49" s="898">
        <v>-2419</v>
      </c>
      <c r="DW49" s="844">
        <f t="shared" si="125"/>
        <v>-2419</v>
      </c>
      <c r="DX49" s="843">
        <f>DW49+'BS &amp; CF'!DX177</f>
        <v>-2419</v>
      </c>
      <c r="DY49" s="843">
        <f>DX49+'BS &amp; CF'!DY177</f>
        <v>-2419</v>
      </c>
      <c r="DZ49" s="843">
        <f>DY49+'BS &amp; CF'!DZ177</f>
        <v>-2419</v>
      </c>
      <c r="EA49" s="843">
        <f>DZ49+'BS &amp; CF'!EA177</f>
        <v>-2419</v>
      </c>
      <c r="EB49" s="844">
        <f t="shared" si="127"/>
        <v>-2419</v>
      </c>
      <c r="EC49" s="843">
        <f>EB49+'BS &amp; CF'!EC177</f>
        <v>-2419</v>
      </c>
      <c r="ED49" s="843">
        <f>EC49+'BS &amp; CF'!ED177</f>
        <v>-2419</v>
      </c>
      <c r="EE49" s="843">
        <f>ED49+'BS &amp; CF'!EE177</f>
        <v>-2419</v>
      </c>
      <c r="EF49" s="843">
        <f>EE49+'BS &amp; CF'!EF177</f>
        <v>-2419</v>
      </c>
      <c r="EG49" s="844">
        <f t="shared" si="129"/>
        <v>-2419</v>
      </c>
      <c r="EH49" s="843">
        <f>EG49+'BS &amp; CF'!EH177</f>
        <v>-2419</v>
      </c>
      <c r="EI49" s="843">
        <f>EH49+'BS &amp; CF'!EI177</f>
        <v>-2419</v>
      </c>
      <c r="EJ49" s="843">
        <f>EI49+'BS &amp; CF'!EJ177</f>
        <v>-2419</v>
      </c>
      <c r="EK49" s="843">
        <f>EJ49+'BS &amp; CF'!EK177</f>
        <v>-2419</v>
      </c>
      <c r="EL49" s="844">
        <f t="shared" si="131"/>
        <v>-2419</v>
      </c>
      <c r="EM49" s="561"/>
      <c r="EN49"/>
      <c r="EO49"/>
      <c r="EP49"/>
      <c r="EQ49"/>
      <c r="ER49"/>
      <c r="ES49"/>
      <c r="ET49" s="141"/>
      <c r="EU49" s="141"/>
      <c r="EV49" s="141"/>
      <c r="EW49" s="141"/>
      <c r="EX49" s="141"/>
      <c r="EY49" s="141"/>
      <c r="EZ49" s="141"/>
      <c r="FA49" s="141"/>
      <c r="FB49" s="141"/>
      <c r="FC49" s="141"/>
      <c r="FD49" s="141"/>
      <c r="FE49" s="141"/>
      <c r="FF49" s="141"/>
      <c r="FG49" s="141"/>
      <c r="FH49" s="141"/>
      <c r="FI49" s="141"/>
      <c r="FJ49" s="141"/>
      <c r="FK49" s="141"/>
      <c r="FL49" s="141"/>
      <c r="FM49" s="141"/>
      <c r="FN49" s="141"/>
      <c r="FO49" s="141"/>
      <c r="FP49" s="141"/>
      <c r="FQ49" s="141"/>
      <c r="FR49" s="141"/>
      <c r="FS49" s="141"/>
      <c r="FT49" s="141"/>
      <c r="FU49" s="141"/>
      <c r="FV49" s="141"/>
      <c r="FW49" s="141"/>
      <c r="FX49" s="141"/>
      <c r="FY49" s="141"/>
      <c r="FZ49" s="141"/>
      <c r="GA49" s="141"/>
      <c r="GB49" s="141"/>
      <c r="GC49" s="141"/>
      <c r="GD49" s="141"/>
      <c r="GE49" s="141"/>
      <c r="GF49" s="141"/>
      <c r="GG49" s="141"/>
      <c r="GH49" s="141"/>
      <c r="GI49" s="141"/>
      <c r="GJ49" s="141"/>
      <c r="GK49" s="141"/>
      <c r="GL49" s="141"/>
      <c r="GM49" s="141"/>
      <c r="GN49" s="141"/>
      <c r="GO49" s="141"/>
      <c r="GP49" s="141"/>
      <c r="GQ49" s="141"/>
      <c r="GR49" s="141"/>
      <c r="GS49" s="141"/>
      <c r="GT49" s="141"/>
      <c r="GU49" s="141"/>
      <c r="GV49" s="141"/>
      <c r="GW49" s="141"/>
      <c r="GX49" s="141"/>
      <c r="GY49" s="141"/>
      <c r="GZ49" s="141"/>
      <c r="HA49" s="141"/>
      <c r="HB49" s="141"/>
      <c r="HC49" s="141"/>
      <c r="HD49" s="141"/>
      <c r="HE49" s="141"/>
      <c r="HF49" s="141"/>
      <c r="HG49" s="141"/>
      <c r="HH49" s="141"/>
      <c r="HI49" s="141"/>
      <c r="HJ49" s="141"/>
      <c r="HK49" s="141"/>
      <c r="HL49" s="141"/>
      <c r="HM49" s="141"/>
      <c r="HN49" s="141"/>
      <c r="HO49" s="141"/>
      <c r="HP49" s="141"/>
      <c r="HQ49" s="141"/>
      <c r="HR49" s="141"/>
      <c r="HS49" s="141"/>
      <c r="HT49" s="141"/>
      <c r="HU49" s="141"/>
      <c r="HV49" s="141"/>
      <c r="HW49" s="141"/>
      <c r="HX49" s="141"/>
      <c r="HY49" s="141"/>
      <c r="HZ49" s="141"/>
      <c r="IA49" s="141"/>
      <c r="IB49" s="141"/>
      <c r="IC49" s="141"/>
      <c r="ID49" s="141"/>
      <c r="IE49" s="141"/>
      <c r="IF49" s="141"/>
      <c r="IG49" s="141"/>
      <c r="IH49" s="141"/>
      <c r="II49" s="141"/>
      <c r="IJ49" s="141"/>
      <c r="IK49" s="141"/>
      <c r="IL49" s="141"/>
      <c r="IM49" s="141"/>
      <c r="IN49" s="141"/>
      <c r="IO49" s="141"/>
      <c r="IP49" s="141"/>
      <c r="IQ49" s="141"/>
      <c r="IR49" s="141"/>
      <c r="IS49" s="141"/>
      <c r="IT49" s="141"/>
      <c r="IU49" s="141"/>
      <c r="IV49" s="141"/>
      <c r="IW49" s="141"/>
      <c r="IX49" s="141"/>
      <c r="IY49" s="141"/>
      <c r="IZ49" s="141"/>
      <c r="JA49" s="141"/>
      <c r="JB49" s="141"/>
      <c r="JC49" s="141"/>
      <c r="JD49" s="141"/>
      <c r="JE49" s="141"/>
      <c r="JF49" s="141"/>
      <c r="JG49" s="141"/>
      <c r="JH49" s="141"/>
    </row>
    <row r="50" spans="1:271" s="142" customFormat="1" ht="12" customHeight="1">
      <c r="A50" s="801"/>
      <c r="B50" s="557" t="s">
        <v>562</v>
      </c>
      <c r="C50" s="843"/>
      <c r="D50" s="843">
        <f t="shared" ref="D50:AT50" si="133">SUM(D44:D49)</f>
        <v>1388.164</v>
      </c>
      <c r="E50" s="843">
        <f t="shared" si="133"/>
        <v>1434.6</v>
      </c>
      <c r="F50" s="843">
        <f t="shared" si="133"/>
        <v>1485</v>
      </c>
      <c r="G50" s="843">
        <f t="shared" si="133"/>
        <v>1986</v>
      </c>
      <c r="H50" s="902">
        <f t="shared" si="133"/>
        <v>1986</v>
      </c>
      <c r="I50" s="843">
        <f t="shared" si="133"/>
        <v>2105.9</v>
      </c>
      <c r="J50" s="843">
        <f t="shared" si="133"/>
        <v>2355</v>
      </c>
      <c r="K50" s="843">
        <f t="shared" si="133"/>
        <v>2655.8</v>
      </c>
      <c r="L50" s="843">
        <f t="shared" si="133"/>
        <v>2636</v>
      </c>
      <c r="M50" s="902">
        <f t="shared" si="133"/>
        <v>2636</v>
      </c>
      <c r="N50" s="843">
        <f t="shared" si="133"/>
        <v>2763.8</v>
      </c>
      <c r="O50" s="843">
        <f t="shared" si="133"/>
        <v>2846.2000000000003</v>
      </c>
      <c r="P50" s="843">
        <f t="shared" si="133"/>
        <v>3474.8</v>
      </c>
      <c r="Q50" s="843">
        <f t="shared" si="133"/>
        <v>3224</v>
      </c>
      <c r="R50" s="902">
        <f t="shared" si="133"/>
        <v>3224</v>
      </c>
      <c r="S50" s="843">
        <f t="shared" si="133"/>
        <v>3381</v>
      </c>
      <c r="T50" s="843">
        <f t="shared" si="133"/>
        <v>3460</v>
      </c>
      <c r="U50" s="843">
        <f t="shared" si="133"/>
        <v>3693</v>
      </c>
      <c r="V50" s="843">
        <f t="shared" si="133"/>
        <v>3558</v>
      </c>
      <c r="W50" s="902">
        <f t="shared" si="133"/>
        <v>3558</v>
      </c>
      <c r="X50" s="843">
        <f t="shared" si="133"/>
        <v>3663</v>
      </c>
      <c r="Y50" s="843">
        <f t="shared" si="133"/>
        <v>3864</v>
      </c>
      <c r="Z50" s="843">
        <f t="shared" si="133"/>
        <v>3973</v>
      </c>
      <c r="AA50" s="843">
        <f t="shared" si="133"/>
        <v>3870</v>
      </c>
      <c r="AB50" s="902">
        <f t="shared" si="133"/>
        <v>3870</v>
      </c>
      <c r="AC50" s="843">
        <f t="shared" si="133"/>
        <v>3952</v>
      </c>
      <c r="AD50" s="843">
        <f t="shared" si="133"/>
        <v>4089</v>
      </c>
      <c r="AE50" s="843">
        <f t="shared" si="133"/>
        <v>4103</v>
      </c>
      <c r="AF50" s="843">
        <f t="shared" si="133"/>
        <v>4066</v>
      </c>
      <c r="AG50" s="902">
        <f t="shared" si="133"/>
        <v>4066</v>
      </c>
      <c r="AH50" s="843">
        <f t="shared" si="133"/>
        <v>4293</v>
      </c>
      <c r="AI50" s="843">
        <f t="shared" si="133"/>
        <v>4584</v>
      </c>
      <c r="AJ50" s="843">
        <f t="shared" si="133"/>
        <v>4940</v>
      </c>
      <c r="AK50" s="843">
        <f t="shared" si="133"/>
        <v>5079</v>
      </c>
      <c r="AL50" s="902">
        <f t="shared" si="133"/>
        <v>5079</v>
      </c>
      <c r="AM50" s="843">
        <f t="shared" si="133"/>
        <v>5284</v>
      </c>
      <c r="AN50" s="843">
        <f t="shared" si="133"/>
        <v>5301</v>
      </c>
      <c r="AO50" s="843">
        <f t="shared" si="133"/>
        <v>5465</v>
      </c>
      <c r="AP50" s="843">
        <f t="shared" si="133"/>
        <v>5619</v>
      </c>
      <c r="AQ50" s="902">
        <f t="shared" si="133"/>
        <v>5619</v>
      </c>
      <c r="AR50" s="843">
        <f t="shared" si="133"/>
        <v>5881</v>
      </c>
      <c r="AS50" s="843">
        <f t="shared" si="133"/>
        <v>5893</v>
      </c>
      <c r="AT50" s="843">
        <f t="shared" si="133"/>
        <v>5762</v>
      </c>
      <c r="AU50" s="802"/>
      <c r="AV50" s="843">
        <f t="shared" ref="AV50:CA50" si="134">SUM(AV44:AV49)</f>
        <v>0</v>
      </c>
      <c r="AW50" s="843">
        <f t="shared" si="134"/>
        <v>0</v>
      </c>
      <c r="AX50" s="843">
        <f t="shared" si="134"/>
        <v>0</v>
      </c>
      <c r="AY50" s="843">
        <f t="shared" si="134"/>
        <v>5723</v>
      </c>
      <c r="AZ50" s="844">
        <f t="shared" si="134"/>
        <v>5723</v>
      </c>
      <c r="BA50" s="843">
        <f t="shared" si="134"/>
        <v>5743</v>
      </c>
      <c r="BB50" s="843">
        <f t="shared" si="134"/>
        <v>5531</v>
      </c>
      <c r="BC50" s="843">
        <f t="shared" si="134"/>
        <v>5272</v>
      </c>
      <c r="BD50" s="843">
        <f t="shared" si="134"/>
        <v>4361</v>
      </c>
      <c r="BE50" s="844">
        <f t="shared" si="134"/>
        <v>4361</v>
      </c>
      <c r="BF50" s="843">
        <f t="shared" si="134"/>
        <v>4268</v>
      </c>
      <c r="BG50" s="843">
        <f t="shared" si="134"/>
        <v>3887</v>
      </c>
      <c r="BH50" s="843">
        <f t="shared" si="134"/>
        <v>3849</v>
      </c>
      <c r="BI50" s="843">
        <f t="shared" si="134"/>
        <v>1732</v>
      </c>
      <c r="BJ50" s="844">
        <f t="shared" si="134"/>
        <v>1732</v>
      </c>
      <c r="BK50" s="843">
        <f t="shared" si="134"/>
        <v>1723</v>
      </c>
      <c r="BL50" s="843">
        <f t="shared" si="134"/>
        <v>1709</v>
      </c>
      <c r="BM50" s="843">
        <f t="shared" si="134"/>
        <v>1324</v>
      </c>
      <c r="BN50" s="843">
        <f t="shared" si="134"/>
        <v>1021</v>
      </c>
      <c r="BO50" s="844">
        <f t="shared" si="134"/>
        <v>1021</v>
      </c>
      <c r="BP50" s="843">
        <f t="shared" si="134"/>
        <v>1099</v>
      </c>
      <c r="BQ50" s="843">
        <f t="shared" si="134"/>
        <v>707</v>
      </c>
      <c r="BR50" s="843">
        <f t="shared" si="134"/>
        <v>631</v>
      </c>
      <c r="BS50" s="843">
        <f t="shared" si="134"/>
        <v>264</v>
      </c>
      <c r="BT50" s="844">
        <f t="shared" si="134"/>
        <v>264</v>
      </c>
      <c r="BU50" s="843">
        <f t="shared" si="134"/>
        <v>167</v>
      </c>
      <c r="BV50" s="843">
        <f t="shared" si="134"/>
        <v>149</v>
      </c>
      <c r="BW50" s="843">
        <f t="shared" si="134"/>
        <v>101</v>
      </c>
      <c r="BX50" s="843">
        <f t="shared" si="134"/>
        <v>54</v>
      </c>
      <c r="BY50" s="844">
        <f t="shared" si="134"/>
        <v>54</v>
      </c>
      <c r="BZ50" s="843">
        <f t="shared" si="134"/>
        <v>32</v>
      </c>
      <c r="CA50" s="843">
        <f t="shared" si="134"/>
        <v>29</v>
      </c>
      <c r="CB50" s="843">
        <f t="shared" ref="CB50:DG50" si="135">SUM(CB44:CB49)</f>
        <v>136</v>
      </c>
      <c r="CC50" s="843">
        <f t="shared" si="135"/>
        <v>103</v>
      </c>
      <c r="CD50" s="844">
        <f t="shared" si="135"/>
        <v>103</v>
      </c>
      <c r="CE50" s="843">
        <f t="shared" si="135"/>
        <v>291</v>
      </c>
      <c r="CF50" s="843">
        <f t="shared" si="135"/>
        <v>286</v>
      </c>
      <c r="CG50" s="843">
        <f t="shared" si="135"/>
        <v>626</v>
      </c>
      <c r="CH50" s="843">
        <f t="shared" si="135"/>
        <v>646</v>
      </c>
      <c r="CI50" s="844">
        <f t="shared" si="135"/>
        <v>646</v>
      </c>
      <c r="CJ50" s="843">
        <f t="shared" si="135"/>
        <v>739</v>
      </c>
      <c r="CK50" s="843">
        <f t="shared" si="135"/>
        <v>772</v>
      </c>
      <c r="CL50" s="843">
        <f t="shared" si="135"/>
        <v>1711</v>
      </c>
      <c r="CM50" s="843">
        <f t="shared" si="135"/>
        <v>1766</v>
      </c>
      <c r="CN50" s="844">
        <f t="shared" si="135"/>
        <v>1766</v>
      </c>
      <c r="CO50" s="843">
        <f t="shared" si="135"/>
        <v>1844</v>
      </c>
      <c r="CP50" s="843">
        <f t="shared" si="135"/>
        <v>1810</v>
      </c>
      <c r="CQ50" s="843">
        <f t="shared" si="135"/>
        <v>1698</v>
      </c>
      <c r="CR50" s="843">
        <f t="shared" si="135"/>
        <v>1423</v>
      </c>
      <c r="CS50" s="844">
        <f t="shared" si="135"/>
        <v>1423</v>
      </c>
      <c r="CT50" s="843">
        <f t="shared" si="135"/>
        <v>1460</v>
      </c>
      <c r="CU50" s="843">
        <f t="shared" si="135"/>
        <v>1176</v>
      </c>
      <c r="CV50" s="843">
        <f t="shared" si="135"/>
        <v>1224</v>
      </c>
      <c r="CW50" s="843">
        <f t="shared" si="135"/>
        <v>1143</v>
      </c>
      <c r="CX50" s="844">
        <f t="shared" si="135"/>
        <v>1143</v>
      </c>
      <c r="CY50" s="843">
        <f t="shared" si="135"/>
        <v>969</v>
      </c>
      <c r="CZ50" s="843">
        <f t="shared" si="135"/>
        <v>895</v>
      </c>
      <c r="DA50" s="843">
        <f t="shared" si="135"/>
        <v>825</v>
      </c>
      <c r="DB50" s="843">
        <f t="shared" si="135"/>
        <v>755</v>
      </c>
      <c r="DC50" s="844">
        <f t="shared" si="135"/>
        <v>755</v>
      </c>
      <c r="DD50" s="843">
        <v>728</v>
      </c>
      <c r="DE50" s="843">
        <f t="shared" si="135"/>
        <v>723</v>
      </c>
      <c r="DF50" s="843">
        <f t="shared" si="135"/>
        <v>735</v>
      </c>
      <c r="DG50" s="843">
        <f t="shared" si="135"/>
        <v>651</v>
      </c>
      <c r="DH50" s="844">
        <f t="shared" ref="DH50:DR50" si="136">SUM(DH44:DH49)</f>
        <v>651</v>
      </c>
      <c r="DI50" s="843">
        <f t="shared" si="136"/>
        <v>839</v>
      </c>
      <c r="DJ50" s="843">
        <f t="shared" si="136"/>
        <v>803</v>
      </c>
      <c r="DK50" s="843">
        <f t="shared" si="136"/>
        <v>802</v>
      </c>
      <c r="DL50" s="843">
        <f t="shared" si="136"/>
        <v>691</v>
      </c>
      <c r="DM50" s="844">
        <f>SUM(DM44:DM49)</f>
        <v>691</v>
      </c>
      <c r="DN50" s="843">
        <f t="shared" si="136"/>
        <v>625</v>
      </c>
      <c r="DO50" s="843">
        <f t="shared" si="136"/>
        <v>523</v>
      </c>
      <c r="DP50" s="843">
        <f t="shared" si="136"/>
        <v>528</v>
      </c>
      <c r="DQ50" s="843">
        <f t="shared" si="136"/>
        <v>417</v>
      </c>
      <c r="DR50" s="844">
        <f t="shared" si="136"/>
        <v>417</v>
      </c>
      <c r="DS50" s="843">
        <f>SUM(DS44:DS49)</f>
        <v>430</v>
      </c>
      <c r="DT50" s="843">
        <f>SUM(DT44:DT49)</f>
        <v>373</v>
      </c>
      <c r="DU50" s="843">
        <f>SUM(DU44:DU49)</f>
        <v>24</v>
      </c>
      <c r="DV50" s="843">
        <f t="shared" ref="DV50" si="137">SUM(DV44:DV49)</f>
        <v>-147</v>
      </c>
      <c r="DW50" s="844">
        <f>SUM(DW44:DW49)</f>
        <v>-147</v>
      </c>
      <c r="DX50" s="843">
        <f t="shared" ref="DX50:EG50" si="138">SUM(DX44:DX49)</f>
        <v>-30.993159957341504</v>
      </c>
      <c r="DY50" s="843">
        <f t="shared" si="138"/>
        <v>126.27026407565745</v>
      </c>
      <c r="DZ50" s="843">
        <f t="shared" si="138"/>
        <v>286.75547961646862</v>
      </c>
      <c r="EA50" s="843">
        <f t="shared" si="138"/>
        <v>438.61414718892911</v>
      </c>
      <c r="EB50" s="844">
        <f t="shared" si="138"/>
        <v>438.61414718892911</v>
      </c>
      <c r="EC50" s="843">
        <f t="shared" si="138"/>
        <v>602.58870746944649</v>
      </c>
      <c r="ED50" s="843">
        <f t="shared" si="138"/>
        <v>760.86636546339287</v>
      </c>
      <c r="EE50" s="843">
        <f t="shared" si="138"/>
        <v>924.49582048603861</v>
      </c>
      <c r="EF50" s="843">
        <f t="shared" si="138"/>
        <v>1108.0301154522926</v>
      </c>
      <c r="EG50" s="844">
        <f t="shared" si="138"/>
        <v>1108.0301154522926</v>
      </c>
      <c r="EH50" s="843">
        <f t="shared" ref="EH50:EL50" si="139">SUM(EH44:EH49)</f>
        <v>1285.971466584986</v>
      </c>
      <c r="EI50" s="843">
        <f t="shared" si="139"/>
        <v>1468.4878419094507</v>
      </c>
      <c r="EJ50" s="843">
        <f t="shared" si="139"/>
        <v>1649.4239460548802</v>
      </c>
      <c r="EK50" s="843">
        <f t="shared" si="139"/>
        <v>1824.8050192783085</v>
      </c>
      <c r="EL50" s="844">
        <f t="shared" si="139"/>
        <v>1824.8050192783085</v>
      </c>
      <c r="EM50" s="561"/>
      <c r="EN50"/>
      <c r="EO50"/>
      <c r="EP50"/>
      <c r="EQ50"/>
      <c r="ER50"/>
      <c r="ES50"/>
      <c r="ET50" s="141"/>
      <c r="EU50" s="141"/>
      <c r="EV50" s="141"/>
      <c r="EW50" s="141"/>
      <c r="EX50" s="141"/>
      <c r="EY50" s="141"/>
      <c r="EZ50" s="141"/>
      <c r="FA50" s="141"/>
      <c r="FB50" s="141"/>
      <c r="FC50" s="141"/>
      <c r="FD50" s="141"/>
      <c r="FE50" s="141"/>
      <c r="FF50" s="141"/>
      <c r="FG50" s="141"/>
      <c r="FH50" s="141"/>
      <c r="FI50" s="141"/>
      <c r="FJ50" s="141"/>
      <c r="FK50" s="141"/>
      <c r="FL50" s="141"/>
      <c r="FM50" s="141"/>
      <c r="FN50" s="141"/>
      <c r="FO50" s="141"/>
      <c r="FP50" s="141"/>
      <c r="FQ50" s="141"/>
      <c r="FR50" s="141"/>
      <c r="FS50" s="141"/>
      <c r="FT50" s="141"/>
      <c r="FU50" s="141"/>
      <c r="FV50" s="141"/>
      <c r="FW50" s="141"/>
      <c r="FX50" s="141"/>
      <c r="FY50" s="141"/>
      <c r="FZ50" s="141"/>
      <c r="GA50" s="141"/>
      <c r="GB50" s="141"/>
      <c r="GC50" s="141"/>
      <c r="GD50" s="141"/>
      <c r="GE50" s="141"/>
      <c r="GF50" s="141"/>
      <c r="GG50" s="141"/>
      <c r="GH50" s="141"/>
      <c r="GI50" s="141"/>
      <c r="GJ50" s="141"/>
      <c r="GK50" s="141"/>
      <c r="GL50" s="141"/>
      <c r="GM50" s="141"/>
      <c r="GN50" s="141"/>
      <c r="GO50" s="141"/>
      <c r="GP50" s="141"/>
      <c r="GQ50" s="141"/>
      <c r="GR50" s="141"/>
      <c r="GS50" s="141"/>
      <c r="GT50" s="141"/>
      <c r="GU50" s="141"/>
      <c r="GV50" s="141"/>
      <c r="GW50" s="141"/>
      <c r="GX50" s="141"/>
      <c r="GY50" s="141"/>
      <c r="GZ50" s="141"/>
      <c r="HA50" s="141"/>
      <c r="HB50" s="141"/>
      <c r="HC50" s="141"/>
      <c r="HD50" s="141"/>
      <c r="HE50" s="141"/>
      <c r="HF50" s="141"/>
      <c r="HG50" s="141"/>
      <c r="HH50" s="141"/>
      <c r="HI50" s="141"/>
      <c r="HJ50" s="141"/>
      <c r="HK50" s="141"/>
      <c r="HL50" s="141"/>
      <c r="HM50" s="141"/>
      <c r="HN50" s="141"/>
      <c r="HO50" s="141"/>
      <c r="HP50" s="141"/>
      <c r="HQ50" s="141"/>
      <c r="HR50" s="141"/>
      <c r="HS50" s="141"/>
      <c r="HT50" s="141"/>
      <c r="HU50" s="141"/>
      <c r="HV50" s="141"/>
      <c r="HW50" s="141"/>
      <c r="HX50" s="141"/>
      <c r="HY50" s="141"/>
      <c r="HZ50" s="141"/>
      <c r="IA50" s="141"/>
      <c r="IB50" s="141"/>
      <c r="IC50" s="141"/>
      <c r="ID50" s="141"/>
      <c r="IE50" s="141"/>
      <c r="IF50" s="141"/>
      <c r="IG50" s="141"/>
      <c r="IH50" s="141"/>
      <c r="II50" s="141"/>
      <c r="IJ50" s="141"/>
      <c r="IK50" s="141"/>
      <c r="IL50" s="141"/>
      <c r="IM50" s="141"/>
      <c r="IN50" s="141"/>
      <c r="IO50" s="141"/>
      <c r="IP50" s="141"/>
      <c r="IQ50" s="141"/>
      <c r="IR50" s="141"/>
      <c r="IS50" s="141"/>
      <c r="IT50" s="141"/>
      <c r="IU50" s="141"/>
      <c r="IV50" s="141"/>
      <c r="IW50" s="141"/>
      <c r="IX50" s="141"/>
      <c r="IY50" s="141"/>
      <c r="IZ50" s="141"/>
      <c r="JA50" s="141"/>
      <c r="JB50" s="141"/>
      <c r="JC50" s="141"/>
      <c r="JD50" s="141"/>
      <c r="JE50" s="141"/>
      <c r="JF50" s="141"/>
      <c r="JG50" s="141"/>
      <c r="JH50" s="141"/>
    </row>
    <row r="51" spans="1:271" s="142" customFormat="1" ht="12" customHeight="1">
      <c r="A51" s="818"/>
      <c r="B51" s="556" t="s">
        <v>563</v>
      </c>
      <c r="C51" s="920"/>
      <c r="D51" s="920">
        <v>0</v>
      </c>
      <c r="E51" s="920">
        <v>0</v>
      </c>
      <c r="F51" s="920">
        <v>0</v>
      </c>
      <c r="G51" s="921">
        <v>0</v>
      </c>
      <c r="H51" s="912"/>
      <c r="I51" s="920">
        <v>0</v>
      </c>
      <c r="J51" s="920">
        <v>0</v>
      </c>
      <c r="K51" s="920">
        <v>0</v>
      </c>
      <c r="L51" s="921">
        <v>0</v>
      </c>
      <c r="M51" s="912"/>
      <c r="N51" s="920">
        <v>0</v>
      </c>
      <c r="O51" s="920">
        <v>0</v>
      </c>
      <c r="P51" s="920">
        <v>0</v>
      </c>
      <c r="Q51" s="921">
        <v>0</v>
      </c>
      <c r="R51" s="912"/>
      <c r="S51" s="920">
        <v>0</v>
      </c>
      <c r="T51" s="920">
        <v>0</v>
      </c>
      <c r="U51" s="920">
        <v>0</v>
      </c>
      <c r="V51" s="921">
        <v>0</v>
      </c>
      <c r="W51" s="912"/>
      <c r="X51" s="920">
        <v>0</v>
      </c>
      <c r="Y51" s="920">
        <v>0</v>
      </c>
      <c r="Z51" s="920">
        <v>0</v>
      </c>
      <c r="AA51" s="921">
        <v>0</v>
      </c>
      <c r="AB51" s="912"/>
      <c r="AC51" s="920">
        <v>0</v>
      </c>
      <c r="AD51" s="920">
        <v>0</v>
      </c>
      <c r="AE51" s="920">
        <v>0</v>
      </c>
      <c r="AF51" s="921">
        <v>0</v>
      </c>
      <c r="AG51" s="912"/>
      <c r="AH51" s="920">
        <v>0</v>
      </c>
      <c r="AI51" s="920">
        <v>0</v>
      </c>
      <c r="AJ51" s="920">
        <v>0</v>
      </c>
      <c r="AK51" s="921">
        <v>0</v>
      </c>
      <c r="AL51" s="912"/>
      <c r="AM51" s="920">
        <v>0</v>
      </c>
      <c r="AN51" s="920">
        <v>0</v>
      </c>
      <c r="AO51" s="920">
        <v>0</v>
      </c>
      <c r="AP51" s="921">
        <v>0</v>
      </c>
      <c r="AQ51" s="912"/>
      <c r="AR51" s="920">
        <v>0</v>
      </c>
      <c r="AS51" s="920">
        <v>0</v>
      </c>
      <c r="AT51" s="920">
        <v>0</v>
      </c>
      <c r="AU51" s="913"/>
      <c r="AV51" s="922"/>
      <c r="AW51" s="922"/>
      <c r="AX51" s="922"/>
      <c r="AY51" s="920">
        <v>0</v>
      </c>
      <c r="AZ51" s="926">
        <f>AY51</f>
        <v>0</v>
      </c>
      <c r="BA51" s="920">
        <v>0</v>
      </c>
      <c r="BB51" s="920">
        <v>0</v>
      </c>
      <c r="BC51" s="920">
        <v>0</v>
      </c>
      <c r="BD51" s="920">
        <v>0</v>
      </c>
      <c r="BE51" s="926">
        <f>BD51</f>
        <v>0</v>
      </c>
      <c r="BF51" s="920">
        <v>0</v>
      </c>
      <c r="BG51" s="920">
        <v>0</v>
      </c>
      <c r="BH51" s="920">
        <v>0</v>
      </c>
      <c r="BI51" s="920">
        <v>0</v>
      </c>
      <c r="BJ51" s="926">
        <f>BI51</f>
        <v>0</v>
      </c>
      <c r="BK51" s="920">
        <v>0</v>
      </c>
      <c r="BL51" s="920">
        <v>0</v>
      </c>
      <c r="BM51" s="920">
        <v>0</v>
      </c>
      <c r="BN51" s="920">
        <v>0</v>
      </c>
      <c r="BO51" s="926">
        <f>BN51</f>
        <v>0</v>
      </c>
      <c r="BP51" s="920">
        <v>0</v>
      </c>
      <c r="BQ51" s="920">
        <v>0</v>
      </c>
      <c r="BR51" s="920">
        <v>0</v>
      </c>
      <c r="BS51" s="920">
        <v>0</v>
      </c>
      <c r="BT51" s="926">
        <f>BS51</f>
        <v>0</v>
      </c>
      <c r="BU51" s="920">
        <v>0</v>
      </c>
      <c r="BV51" s="920">
        <v>0</v>
      </c>
      <c r="BW51" s="920">
        <v>0</v>
      </c>
      <c r="BX51" s="920">
        <v>0</v>
      </c>
      <c r="BY51" s="926">
        <f>BX51</f>
        <v>0</v>
      </c>
      <c r="BZ51" s="920">
        <v>0</v>
      </c>
      <c r="CA51" s="920">
        <v>0</v>
      </c>
      <c r="CB51" s="920">
        <v>0</v>
      </c>
      <c r="CC51" s="920">
        <v>0</v>
      </c>
      <c r="CD51" s="926">
        <f>CC51</f>
        <v>0</v>
      </c>
      <c r="CE51" s="920">
        <v>47</v>
      </c>
      <c r="CF51" s="920">
        <v>47</v>
      </c>
      <c r="CG51" s="920">
        <v>47</v>
      </c>
      <c r="CH51" s="920">
        <v>51</v>
      </c>
      <c r="CI51" s="926">
        <f>CH51</f>
        <v>51</v>
      </c>
      <c r="CJ51" s="920">
        <v>52</v>
      </c>
      <c r="CK51" s="920">
        <v>54</v>
      </c>
      <c r="CL51" s="920">
        <v>53</v>
      </c>
      <c r="CM51" s="920">
        <v>53</v>
      </c>
      <c r="CN51" s="926">
        <f>CM51</f>
        <v>53</v>
      </c>
      <c r="CO51" s="920">
        <v>64</v>
      </c>
      <c r="CP51" s="920">
        <v>64</v>
      </c>
      <c r="CQ51" s="920">
        <v>63</v>
      </c>
      <c r="CR51" s="920">
        <v>69</v>
      </c>
      <c r="CS51" s="926">
        <f>CR51</f>
        <v>69</v>
      </c>
      <c r="CT51" s="920">
        <v>71</v>
      </c>
      <c r="CU51" s="920">
        <v>53</v>
      </c>
      <c r="CV51" s="920">
        <v>45</v>
      </c>
      <c r="CW51" s="920">
        <v>75</v>
      </c>
      <c r="CX51" s="926">
        <f>CW51</f>
        <v>75</v>
      </c>
      <c r="CY51" s="920">
        <v>77</v>
      </c>
      <c r="CZ51" s="920">
        <v>86</v>
      </c>
      <c r="DA51" s="920">
        <v>95</v>
      </c>
      <c r="DB51" s="920">
        <v>123</v>
      </c>
      <c r="DC51" s="926">
        <f>DB51</f>
        <v>123</v>
      </c>
      <c r="DD51" s="920">
        <v>126</v>
      </c>
      <c r="DE51" s="920">
        <v>150</v>
      </c>
      <c r="DF51" s="920">
        <v>131</v>
      </c>
      <c r="DG51" s="920">
        <v>134</v>
      </c>
      <c r="DH51" s="926">
        <f>DG51</f>
        <v>134</v>
      </c>
      <c r="DI51" s="920">
        <v>133</v>
      </c>
      <c r="DJ51" s="920">
        <v>215</v>
      </c>
      <c r="DK51" s="920">
        <v>216</v>
      </c>
      <c r="DL51" s="920">
        <v>267</v>
      </c>
      <c r="DM51" s="926">
        <f>DL51</f>
        <v>267</v>
      </c>
      <c r="DN51" s="920">
        <v>301</v>
      </c>
      <c r="DO51" s="920">
        <v>629</v>
      </c>
      <c r="DP51" s="920">
        <v>637</v>
      </c>
      <c r="DQ51" s="920">
        <v>665</v>
      </c>
      <c r="DR51" s="926">
        <f>DQ51</f>
        <v>665</v>
      </c>
      <c r="DS51" s="920">
        <v>664</v>
      </c>
      <c r="DT51" s="920">
        <v>682</v>
      </c>
      <c r="DU51" s="920">
        <v>671</v>
      </c>
      <c r="DV51" s="920">
        <v>686</v>
      </c>
      <c r="DW51" s="926">
        <f t="shared" ref="DW51:EG51" si="140">DV51</f>
        <v>686</v>
      </c>
      <c r="DX51" s="922">
        <f t="shared" si="140"/>
        <v>686</v>
      </c>
      <c r="DY51" s="922">
        <f t="shared" si="140"/>
        <v>686</v>
      </c>
      <c r="DZ51" s="922">
        <f t="shared" si="140"/>
        <v>686</v>
      </c>
      <c r="EA51" s="922">
        <f t="shared" si="140"/>
        <v>686</v>
      </c>
      <c r="EB51" s="926">
        <f t="shared" si="140"/>
        <v>686</v>
      </c>
      <c r="EC51" s="922">
        <f t="shared" si="140"/>
        <v>686</v>
      </c>
      <c r="ED51" s="922">
        <f t="shared" si="140"/>
        <v>686</v>
      </c>
      <c r="EE51" s="922">
        <f t="shared" si="140"/>
        <v>686</v>
      </c>
      <c r="EF51" s="922">
        <f t="shared" si="140"/>
        <v>686</v>
      </c>
      <c r="EG51" s="926">
        <f t="shared" si="140"/>
        <v>686</v>
      </c>
      <c r="EH51" s="922">
        <f t="shared" ref="EH51:EL51" si="141">EG51</f>
        <v>686</v>
      </c>
      <c r="EI51" s="922">
        <f t="shared" si="141"/>
        <v>686</v>
      </c>
      <c r="EJ51" s="922">
        <f t="shared" si="141"/>
        <v>686</v>
      </c>
      <c r="EK51" s="922">
        <f t="shared" si="141"/>
        <v>686</v>
      </c>
      <c r="EL51" s="926">
        <f t="shared" si="141"/>
        <v>686</v>
      </c>
      <c r="EM51" s="561"/>
      <c r="EN51"/>
      <c r="EO51"/>
      <c r="EP51"/>
      <c r="EQ51"/>
      <c r="ER51"/>
      <c r="ES51"/>
      <c r="ET51" s="141"/>
      <c r="EU51" s="141"/>
      <c r="EV51" s="141"/>
      <c r="EW51" s="141"/>
      <c r="EX51" s="141"/>
      <c r="EY51" s="141"/>
      <c r="EZ51" s="141"/>
      <c r="FA51" s="141"/>
      <c r="FB51" s="141"/>
      <c r="FC51" s="141"/>
      <c r="FD51" s="141"/>
      <c r="FE51" s="141"/>
      <c r="FF51" s="141"/>
      <c r="FG51" s="141"/>
      <c r="FH51" s="141"/>
      <c r="FI51" s="141"/>
      <c r="FJ51" s="141"/>
      <c r="FK51" s="141"/>
      <c r="FL51" s="141"/>
      <c r="FM51" s="141"/>
      <c r="FN51" s="141"/>
      <c r="FO51" s="141"/>
      <c r="FP51" s="141"/>
      <c r="FQ51" s="141"/>
      <c r="FR51" s="141"/>
      <c r="FS51" s="141"/>
      <c r="FT51" s="141"/>
      <c r="FU51" s="141"/>
      <c r="FV51" s="141"/>
      <c r="FW51" s="141"/>
      <c r="FX51" s="141"/>
      <c r="FY51" s="141"/>
      <c r="FZ51" s="141"/>
      <c r="GA51" s="141"/>
      <c r="GB51" s="141"/>
      <c r="GC51" s="141"/>
      <c r="GD51" s="141"/>
      <c r="GE51" s="141"/>
      <c r="GF51" s="141"/>
      <c r="GG51" s="141"/>
      <c r="GH51" s="141"/>
      <c r="GI51" s="141"/>
      <c r="GJ51" s="141"/>
      <c r="GK51" s="141"/>
      <c r="GL51" s="141"/>
      <c r="GM51" s="141"/>
      <c r="GN51" s="141"/>
      <c r="GO51" s="141"/>
      <c r="GP51" s="141"/>
      <c r="GQ51" s="141"/>
      <c r="GR51" s="141"/>
      <c r="GS51" s="141"/>
      <c r="GT51" s="141"/>
      <c r="GU51" s="141"/>
      <c r="GV51" s="141"/>
      <c r="GW51" s="141"/>
      <c r="GX51" s="141"/>
      <c r="GY51" s="141"/>
      <c r="GZ51" s="141"/>
      <c r="HA51" s="141"/>
      <c r="HB51" s="141"/>
      <c r="HC51" s="141"/>
      <c r="HD51" s="141"/>
      <c r="HE51" s="141"/>
      <c r="HF51" s="141"/>
      <c r="HG51" s="141"/>
      <c r="HH51" s="141"/>
      <c r="HI51" s="141"/>
      <c r="HJ51" s="141"/>
      <c r="HK51" s="141"/>
      <c r="HL51" s="141"/>
      <c r="HM51" s="141"/>
      <c r="HN51" s="141"/>
      <c r="HO51" s="141"/>
      <c r="HP51" s="141"/>
      <c r="HQ51" s="141"/>
      <c r="HR51" s="141"/>
      <c r="HS51" s="141"/>
      <c r="HT51" s="141"/>
      <c r="HU51" s="141"/>
      <c r="HV51" s="141"/>
      <c r="HW51" s="141"/>
      <c r="HX51" s="141"/>
      <c r="HY51" s="141"/>
      <c r="HZ51" s="141"/>
      <c r="IA51" s="141"/>
      <c r="IB51" s="141"/>
      <c r="IC51" s="141"/>
      <c r="ID51" s="141"/>
      <c r="IE51" s="141"/>
      <c r="IF51" s="141"/>
      <c r="IG51" s="141"/>
      <c r="IH51" s="141"/>
      <c r="II51" s="141"/>
      <c r="IJ51" s="141"/>
      <c r="IK51" s="141"/>
      <c r="IL51" s="141"/>
      <c r="IM51" s="141"/>
      <c r="IN51" s="141"/>
      <c r="IO51" s="141"/>
      <c r="IP51" s="141"/>
      <c r="IQ51" s="141"/>
      <c r="IR51" s="141"/>
      <c r="IS51" s="141"/>
      <c r="IT51" s="141"/>
      <c r="IU51" s="141"/>
      <c r="IV51" s="141"/>
      <c r="IW51" s="141"/>
      <c r="IX51" s="141"/>
      <c r="IY51" s="141"/>
      <c r="IZ51" s="141"/>
      <c r="JA51" s="141"/>
      <c r="JB51" s="141"/>
      <c r="JC51" s="141"/>
      <c r="JD51" s="141"/>
      <c r="JE51" s="141"/>
      <c r="JF51" s="141"/>
      <c r="JG51" s="141"/>
      <c r="JH51" s="141"/>
    </row>
    <row r="52" spans="1:271" s="142" customFormat="1" ht="12" customHeight="1" thickBot="1">
      <c r="A52" s="931"/>
      <c r="B52" s="932" t="s">
        <v>564</v>
      </c>
      <c r="C52" s="933"/>
      <c r="D52" s="933">
        <f t="shared" ref="D52:AT52" si="142">SUM(D41,D43,D50,D51)</f>
        <v>3336.346</v>
      </c>
      <c r="E52" s="933">
        <f t="shared" si="142"/>
        <v>3303.4</v>
      </c>
      <c r="F52" s="933">
        <f t="shared" si="142"/>
        <v>3330.7</v>
      </c>
      <c r="G52" s="934">
        <f t="shared" si="142"/>
        <v>7918</v>
      </c>
      <c r="H52" s="935">
        <f t="shared" si="142"/>
        <v>7918</v>
      </c>
      <c r="I52" s="933">
        <f t="shared" si="142"/>
        <v>7884.7000000000007</v>
      </c>
      <c r="J52" s="933">
        <f t="shared" si="142"/>
        <v>8140.5000000000009</v>
      </c>
      <c r="K52" s="933">
        <f t="shared" si="142"/>
        <v>8322.7999999999993</v>
      </c>
      <c r="L52" s="934">
        <f t="shared" si="142"/>
        <v>8332</v>
      </c>
      <c r="M52" s="935">
        <f t="shared" si="142"/>
        <v>8332</v>
      </c>
      <c r="N52" s="933">
        <f t="shared" si="142"/>
        <v>8425.5</v>
      </c>
      <c r="O52" s="933">
        <f t="shared" si="142"/>
        <v>8572.5</v>
      </c>
      <c r="P52" s="933">
        <f t="shared" si="142"/>
        <v>11586.8</v>
      </c>
      <c r="Q52" s="934">
        <f t="shared" si="142"/>
        <v>11705</v>
      </c>
      <c r="R52" s="935">
        <f t="shared" si="142"/>
        <v>11705</v>
      </c>
      <c r="S52" s="933">
        <f t="shared" si="142"/>
        <v>11898</v>
      </c>
      <c r="T52" s="933">
        <f t="shared" si="142"/>
        <v>12183</v>
      </c>
      <c r="U52" s="933">
        <f t="shared" si="142"/>
        <v>12715</v>
      </c>
      <c r="V52" s="934">
        <f t="shared" si="142"/>
        <v>12774</v>
      </c>
      <c r="W52" s="935">
        <f t="shared" si="142"/>
        <v>12774</v>
      </c>
      <c r="X52" s="933">
        <f t="shared" si="142"/>
        <v>12970</v>
      </c>
      <c r="Y52" s="933">
        <f t="shared" si="142"/>
        <v>13629</v>
      </c>
      <c r="Z52" s="933">
        <f t="shared" si="142"/>
        <v>13885</v>
      </c>
      <c r="AA52" s="934">
        <f t="shared" si="142"/>
        <v>13771</v>
      </c>
      <c r="AB52" s="935">
        <f t="shared" si="142"/>
        <v>13771</v>
      </c>
      <c r="AC52" s="933">
        <f t="shared" si="142"/>
        <v>13693</v>
      </c>
      <c r="AD52" s="933">
        <f t="shared" si="142"/>
        <v>13275</v>
      </c>
      <c r="AE52" s="933">
        <f t="shared" si="142"/>
        <v>13392</v>
      </c>
      <c r="AF52" s="934">
        <f t="shared" si="142"/>
        <v>13161</v>
      </c>
      <c r="AG52" s="935">
        <f t="shared" si="142"/>
        <v>13161</v>
      </c>
      <c r="AH52" s="933">
        <f t="shared" si="142"/>
        <v>13091</v>
      </c>
      <c r="AI52" s="933">
        <f t="shared" si="142"/>
        <v>13121</v>
      </c>
      <c r="AJ52" s="933">
        <f t="shared" si="142"/>
        <v>13249</v>
      </c>
      <c r="AK52" s="934">
        <f t="shared" si="142"/>
        <v>12995</v>
      </c>
      <c r="AL52" s="935">
        <f t="shared" si="142"/>
        <v>12995</v>
      </c>
      <c r="AM52" s="933">
        <f t="shared" si="142"/>
        <v>13376</v>
      </c>
      <c r="AN52" s="933">
        <f t="shared" si="142"/>
        <v>13423</v>
      </c>
      <c r="AO52" s="933">
        <f t="shared" si="142"/>
        <v>13640</v>
      </c>
      <c r="AP52" s="934">
        <f t="shared" si="142"/>
        <v>13814</v>
      </c>
      <c r="AQ52" s="935">
        <f t="shared" si="142"/>
        <v>13814</v>
      </c>
      <c r="AR52" s="933">
        <f t="shared" si="142"/>
        <v>13735</v>
      </c>
      <c r="AS52" s="933">
        <f t="shared" si="142"/>
        <v>13923</v>
      </c>
      <c r="AT52" s="933">
        <f t="shared" si="142"/>
        <v>13855</v>
      </c>
      <c r="AU52" s="913"/>
      <c r="AV52" s="933">
        <f t="shared" ref="AV52:CA52" si="143">SUM(AV41,AV43,AV50,AV51)</f>
        <v>0</v>
      </c>
      <c r="AW52" s="933">
        <f t="shared" si="143"/>
        <v>0</v>
      </c>
      <c r="AX52" s="933">
        <f t="shared" si="143"/>
        <v>0</v>
      </c>
      <c r="AY52" s="933">
        <f t="shared" si="143"/>
        <v>13780</v>
      </c>
      <c r="AZ52" s="936">
        <f t="shared" si="143"/>
        <v>13780</v>
      </c>
      <c r="BA52" s="933">
        <f t="shared" si="143"/>
        <v>13684</v>
      </c>
      <c r="BB52" s="933">
        <f t="shared" si="143"/>
        <v>13515</v>
      </c>
      <c r="BC52" s="933">
        <f t="shared" si="143"/>
        <v>13477</v>
      </c>
      <c r="BD52" s="933">
        <f t="shared" si="143"/>
        <v>12298</v>
      </c>
      <c r="BE52" s="936">
        <f t="shared" si="143"/>
        <v>12298</v>
      </c>
      <c r="BF52" s="933">
        <f t="shared" si="143"/>
        <v>12131</v>
      </c>
      <c r="BG52" s="933">
        <f t="shared" si="143"/>
        <v>12150</v>
      </c>
      <c r="BH52" s="933">
        <f t="shared" si="143"/>
        <v>12126</v>
      </c>
      <c r="BI52" s="933">
        <f t="shared" si="143"/>
        <v>10078</v>
      </c>
      <c r="BJ52" s="936">
        <f t="shared" si="143"/>
        <v>10078</v>
      </c>
      <c r="BK52" s="933">
        <f t="shared" si="143"/>
        <v>10210</v>
      </c>
      <c r="BL52" s="933">
        <f t="shared" si="143"/>
        <v>10252</v>
      </c>
      <c r="BM52" s="933">
        <f t="shared" si="143"/>
        <v>9967</v>
      </c>
      <c r="BN52" s="933">
        <f t="shared" si="143"/>
        <v>9812</v>
      </c>
      <c r="BO52" s="936">
        <f t="shared" si="143"/>
        <v>9812</v>
      </c>
      <c r="BP52" s="933">
        <f t="shared" si="143"/>
        <v>9337</v>
      </c>
      <c r="BQ52" s="933">
        <f t="shared" si="143"/>
        <v>9200</v>
      </c>
      <c r="BR52" s="933">
        <f t="shared" si="143"/>
        <v>9042</v>
      </c>
      <c r="BS52" s="933">
        <f t="shared" si="143"/>
        <v>8539</v>
      </c>
      <c r="BT52" s="936">
        <f t="shared" si="143"/>
        <v>8539</v>
      </c>
      <c r="BU52" s="933">
        <f t="shared" si="143"/>
        <v>8275</v>
      </c>
      <c r="BV52" s="933">
        <f t="shared" si="143"/>
        <v>8253</v>
      </c>
      <c r="BW52" s="933">
        <f t="shared" si="143"/>
        <v>8235</v>
      </c>
      <c r="BX52" s="933">
        <f t="shared" si="143"/>
        <v>8393</v>
      </c>
      <c r="BY52" s="936">
        <f t="shared" si="143"/>
        <v>8393</v>
      </c>
      <c r="BZ52" s="933">
        <f t="shared" si="143"/>
        <v>8174</v>
      </c>
      <c r="CA52" s="933">
        <f t="shared" si="143"/>
        <v>8243</v>
      </c>
      <c r="CB52" s="933">
        <f t="shared" ref="CB52:DG52" si="144">SUM(CB41,CB43,CB50,CB51)</f>
        <v>8294</v>
      </c>
      <c r="CC52" s="933">
        <f t="shared" si="144"/>
        <v>8174</v>
      </c>
      <c r="CD52" s="936">
        <f t="shared" si="144"/>
        <v>8174</v>
      </c>
      <c r="CE52" s="933">
        <f t="shared" si="144"/>
        <v>8092</v>
      </c>
      <c r="CF52" s="933">
        <f t="shared" si="144"/>
        <v>7928</v>
      </c>
      <c r="CG52" s="933">
        <f t="shared" si="144"/>
        <v>7876</v>
      </c>
      <c r="CH52" s="933">
        <f t="shared" si="144"/>
        <v>7953</v>
      </c>
      <c r="CI52" s="936">
        <f t="shared" si="144"/>
        <v>7953</v>
      </c>
      <c r="CJ52" s="933">
        <f t="shared" si="144"/>
        <v>7815</v>
      </c>
      <c r="CK52" s="933">
        <f t="shared" si="144"/>
        <v>7834</v>
      </c>
      <c r="CL52" s="933">
        <f t="shared" si="144"/>
        <v>8535</v>
      </c>
      <c r="CM52" s="933">
        <f t="shared" si="144"/>
        <v>8500</v>
      </c>
      <c r="CN52" s="936">
        <f t="shared" si="144"/>
        <v>8500</v>
      </c>
      <c r="CO52" s="933">
        <f t="shared" si="144"/>
        <v>8524</v>
      </c>
      <c r="CP52" s="933">
        <f t="shared" si="144"/>
        <v>8435</v>
      </c>
      <c r="CQ52" s="933">
        <f t="shared" si="144"/>
        <v>8293</v>
      </c>
      <c r="CR52" s="933">
        <f t="shared" si="144"/>
        <v>8462</v>
      </c>
      <c r="CS52" s="936">
        <f t="shared" si="144"/>
        <v>8462</v>
      </c>
      <c r="CT52" s="933">
        <f t="shared" si="144"/>
        <v>8545</v>
      </c>
      <c r="CU52" s="933">
        <f t="shared" si="144"/>
        <v>8485</v>
      </c>
      <c r="CV52" s="933">
        <f t="shared" si="144"/>
        <v>8470</v>
      </c>
      <c r="CW52" s="933">
        <f t="shared" si="144"/>
        <v>9044</v>
      </c>
      <c r="CX52" s="936">
        <f t="shared" si="144"/>
        <v>9044</v>
      </c>
      <c r="CY52" s="933">
        <f t="shared" si="144"/>
        <v>8915</v>
      </c>
      <c r="CZ52" s="933">
        <f t="shared" si="144"/>
        <v>9156</v>
      </c>
      <c r="DA52" s="933">
        <f t="shared" si="144"/>
        <v>9337</v>
      </c>
      <c r="DB52" s="933">
        <f t="shared" si="144"/>
        <v>16130</v>
      </c>
      <c r="DC52" s="936">
        <f t="shared" si="144"/>
        <v>16130</v>
      </c>
      <c r="DD52" s="933">
        <f t="shared" si="144"/>
        <v>16484</v>
      </c>
      <c r="DE52" s="933">
        <f t="shared" si="144"/>
        <v>16907</v>
      </c>
      <c r="DF52" s="933">
        <f t="shared" si="144"/>
        <v>17312</v>
      </c>
      <c r="DG52" s="933">
        <f t="shared" si="144"/>
        <v>18141</v>
      </c>
      <c r="DH52" s="936">
        <f t="shared" ref="DH52:EG52" si="145">SUM(DH41,DH43,DH50,DH51)</f>
        <v>18141</v>
      </c>
      <c r="DI52" s="933">
        <f t="shared" si="145"/>
        <v>18425</v>
      </c>
      <c r="DJ52" s="933">
        <f t="shared" si="145"/>
        <v>22746</v>
      </c>
      <c r="DK52" s="933">
        <f t="shared" si="145"/>
        <v>23173</v>
      </c>
      <c r="DL52" s="933">
        <f t="shared" si="145"/>
        <v>23682</v>
      </c>
      <c r="DM52" s="936">
        <f t="shared" si="145"/>
        <v>23682</v>
      </c>
      <c r="DN52" s="933">
        <f t="shared" si="145"/>
        <v>23766</v>
      </c>
      <c r="DO52" s="933">
        <f t="shared" si="145"/>
        <v>24240</v>
      </c>
      <c r="DP52" s="933">
        <f t="shared" si="145"/>
        <v>24474</v>
      </c>
      <c r="DQ52" s="933">
        <f t="shared" si="145"/>
        <v>24701</v>
      </c>
      <c r="DR52" s="936">
        <f t="shared" si="145"/>
        <v>24701</v>
      </c>
      <c r="DS52" s="933">
        <f t="shared" si="145"/>
        <v>24510</v>
      </c>
      <c r="DT52" s="933">
        <f>SUM(DT41,DT43,DT50,DT51)</f>
        <v>24341</v>
      </c>
      <c r="DU52" s="933">
        <f>SUM(DU41,DU43,DU50,DU51)</f>
        <v>23208</v>
      </c>
      <c r="DV52" s="933">
        <f t="shared" si="145"/>
        <v>23385</v>
      </c>
      <c r="DW52" s="936">
        <f t="shared" si="145"/>
        <v>23385</v>
      </c>
      <c r="DX52" s="933">
        <f t="shared" si="145"/>
        <v>22889.828061277087</v>
      </c>
      <c r="DY52" s="933">
        <f t="shared" si="145"/>
        <v>22418.622878131901</v>
      </c>
      <c r="DZ52" s="933">
        <f t="shared" si="145"/>
        <v>22444.357473225537</v>
      </c>
      <c r="EA52" s="933">
        <f t="shared" si="145"/>
        <v>22099.149679259081</v>
      </c>
      <c r="EB52" s="936">
        <f t="shared" si="145"/>
        <v>22099.149679259081</v>
      </c>
      <c r="EC52" s="933">
        <f t="shared" si="145"/>
        <v>22060.167677219466</v>
      </c>
      <c r="ED52" s="933">
        <f t="shared" si="145"/>
        <v>22146.802894621847</v>
      </c>
      <c r="EE52" s="933">
        <f t="shared" si="145"/>
        <v>22205.144828991448</v>
      </c>
      <c r="EF52" s="933">
        <f t="shared" si="145"/>
        <v>22390.726954764541</v>
      </c>
      <c r="EG52" s="936">
        <f t="shared" si="145"/>
        <v>22390.726954764541</v>
      </c>
      <c r="EH52" s="933">
        <f t="shared" ref="EH52:EL52" si="146">SUM(EH41,EH43,EH50,EH51)</f>
        <v>22279.05761750614</v>
      </c>
      <c r="EI52" s="933">
        <f t="shared" si="146"/>
        <v>22203.122407031482</v>
      </c>
      <c r="EJ52" s="933">
        <f t="shared" si="146"/>
        <v>22074.059688877493</v>
      </c>
      <c r="EK52" s="933">
        <f t="shared" si="146"/>
        <v>22056.92381232544</v>
      </c>
      <c r="EL52" s="936">
        <f t="shared" si="146"/>
        <v>22056.92381232544</v>
      </c>
      <c r="EM52" s="925"/>
      <c r="EN52"/>
      <c r="EO52"/>
      <c r="EP52"/>
      <c r="EQ52"/>
      <c r="ER52"/>
      <c r="ES52"/>
      <c r="ET52" s="141"/>
      <c r="EU52" s="141"/>
      <c r="EV52" s="141"/>
      <c r="EW52" s="141"/>
      <c r="EX52" s="141"/>
      <c r="EY52" s="141"/>
      <c r="EZ52" s="141"/>
      <c r="FA52" s="141"/>
      <c r="FB52" s="141"/>
      <c r="FC52" s="141"/>
      <c r="FD52" s="141"/>
      <c r="FE52" s="141"/>
      <c r="FF52" s="141"/>
      <c r="FG52" s="141"/>
      <c r="FH52" s="141"/>
      <c r="FI52" s="141"/>
      <c r="FJ52" s="141"/>
      <c r="FK52" s="141"/>
      <c r="FL52" s="141"/>
      <c r="FM52" s="141"/>
      <c r="FN52" s="141"/>
      <c r="FO52" s="141"/>
      <c r="FP52" s="141"/>
      <c r="FQ52" s="141"/>
      <c r="FR52" s="141"/>
      <c r="FS52" s="141"/>
      <c r="FT52" s="141"/>
      <c r="FU52" s="141"/>
      <c r="FV52" s="141"/>
      <c r="FW52" s="141"/>
      <c r="FX52" s="141"/>
      <c r="FY52" s="141"/>
      <c r="FZ52" s="141"/>
      <c r="GA52" s="141"/>
      <c r="GB52" s="141"/>
      <c r="GC52" s="141"/>
      <c r="GD52" s="141"/>
      <c r="GE52" s="141"/>
      <c r="GF52" s="141"/>
      <c r="GG52" s="141"/>
      <c r="GH52" s="141"/>
      <c r="GI52" s="141"/>
      <c r="GJ52" s="141"/>
      <c r="GK52" s="141"/>
      <c r="GL52" s="141"/>
      <c r="GM52" s="141"/>
      <c r="GN52" s="141"/>
      <c r="GO52" s="141"/>
      <c r="GP52" s="141"/>
      <c r="GQ52" s="141"/>
      <c r="GR52" s="141"/>
      <c r="GS52" s="141"/>
      <c r="GT52" s="141"/>
      <c r="GU52" s="141"/>
      <c r="GV52" s="141"/>
      <c r="GW52" s="141"/>
      <c r="GX52" s="141"/>
      <c r="GY52" s="141"/>
      <c r="GZ52" s="141"/>
      <c r="HA52" s="141"/>
      <c r="HB52" s="141"/>
      <c r="HC52" s="141"/>
      <c r="HD52" s="141"/>
      <c r="HE52" s="141"/>
      <c r="HF52" s="141"/>
      <c r="HG52" s="141"/>
      <c r="HH52" s="141"/>
      <c r="HI52" s="141"/>
      <c r="HJ52" s="141"/>
      <c r="HK52" s="141"/>
      <c r="HL52" s="141"/>
      <c r="HM52" s="141"/>
      <c r="HN52" s="141"/>
      <c r="HO52" s="141"/>
      <c r="HP52" s="141"/>
      <c r="HQ52" s="141"/>
      <c r="HR52" s="141"/>
      <c r="HS52" s="141"/>
      <c r="HT52" s="141"/>
      <c r="HU52" s="141"/>
      <c r="HV52" s="141"/>
      <c r="HW52" s="141"/>
      <c r="HX52" s="141"/>
      <c r="HY52" s="141"/>
      <c r="HZ52" s="141"/>
      <c r="IA52" s="141"/>
      <c r="IB52" s="141"/>
      <c r="IC52" s="141"/>
      <c r="ID52" s="141"/>
      <c r="IE52" s="141"/>
      <c r="IF52" s="141"/>
      <c r="IG52" s="141"/>
      <c r="IH52" s="141"/>
      <c r="II52" s="141"/>
      <c r="IJ52" s="141"/>
      <c r="IK52" s="141"/>
      <c r="IL52" s="141"/>
      <c r="IM52" s="141"/>
      <c r="IN52" s="141"/>
      <c r="IO52" s="141"/>
      <c r="IP52" s="141"/>
      <c r="IQ52" s="141"/>
      <c r="IR52" s="141"/>
      <c r="IS52" s="141"/>
      <c r="IT52" s="141"/>
      <c r="IU52" s="141"/>
      <c r="IV52" s="141"/>
      <c r="IW52" s="141"/>
      <c r="IX52" s="141"/>
      <c r="IY52" s="141"/>
      <c r="IZ52" s="141"/>
      <c r="JA52" s="141"/>
      <c r="JB52" s="141"/>
      <c r="JC52" s="141"/>
      <c r="JD52" s="141"/>
      <c r="JE52" s="141"/>
      <c r="JF52" s="141"/>
      <c r="JG52" s="141"/>
      <c r="JH52" s="141"/>
    </row>
    <row r="53" spans="1:271" s="571" customFormat="1" ht="12" hidden="1" customHeight="1" outlineLevel="1" thickBot="1">
      <c r="A53" s="937"/>
      <c r="B53" s="938" t="s">
        <v>576</v>
      </c>
      <c r="C53" s="917"/>
      <c r="D53" s="917"/>
      <c r="E53" s="153"/>
      <c r="F53" s="153"/>
      <c r="G53" s="929"/>
      <c r="H53" s="929"/>
      <c r="I53" s="153"/>
      <c r="J53" s="153"/>
      <c r="K53" s="153"/>
      <c r="L53" s="929"/>
      <c r="M53" s="929"/>
      <c r="N53" s="153"/>
      <c r="O53" s="153"/>
      <c r="P53" s="153"/>
      <c r="Q53" s="929"/>
      <c r="R53" s="929"/>
      <c r="S53" s="153"/>
      <c r="T53" s="153"/>
      <c r="U53" s="153"/>
      <c r="V53" s="929"/>
      <c r="W53" s="929"/>
      <c r="X53" s="153"/>
      <c r="Y53" s="153"/>
      <c r="Z53" s="153"/>
      <c r="AA53" s="929"/>
      <c r="AB53" s="929"/>
      <c r="AC53" s="153"/>
      <c r="AD53" s="153"/>
      <c r="AE53" s="153"/>
      <c r="AF53" s="929"/>
      <c r="AG53" s="929"/>
      <c r="AH53" s="153"/>
      <c r="AI53" s="153"/>
      <c r="AJ53" s="153"/>
      <c r="AK53" s="929"/>
      <c r="AL53" s="929"/>
      <c r="AM53" s="153"/>
      <c r="AN53" s="153"/>
      <c r="AO53" s="153"/>
      <c r="AP53" s="929"/>
      <c r="AQ53" s="929"/>
      <c r="AR53" s="153"/>
      <c r="AS53" s="153"/>
      <c r="AT53" s="153"/>
      <c r="AU53" s="676"/>
      <c r="AV53" s="927"/>
      <c r="AW53" s="917"/>
      <c r="AX53" s="917"/>
      <c r="AY53" s="917"/>
      <c r="AZ53" s="916"/>
      <c r="BA53" s="153"/>
      <c r="BB53" s="153"/>
      <c r="BC53" s="917"/>
      <c r="BD53" s="917"/>
      <c r="BE53" s="916"/>
      <c r="BF53" s="153"/>
      <c r="BG53" s="153"/>
      <c r="BH53" s="917"/>
      <c r="BI53" s="917"/>
      <c r="BJ53" s="916"/>
      <c r="BK53" s="153"/>
      <c r="BL53" s="153"/>
      <c r="BM53" s="917"/>
      <c r="BN53" s="917"/>
      <c r="BO53" s="916"/>
      <c r="BP53" s="153"/>
      <c r="BQ53" s="153"/>
      <c r="BR53" s="917"/>
      <c r="BS53" s="917"/>
      <c r="BT53" s="916"/>
      <c r="BU53" s="153"/>
      <c r="BV53" s="153"/>
      <c r="BW53" s="917"/>
      <c r="BX53" s="917"/>
      <c r="BY53" s="916"/>
      <c r="BZ53" s="153"/>
      <c r="CA53" s="153"/>
      <c r="CB53" s="917"/>
      <c r="CC53" s="917"/>
      <c r="CD53" s="916"/>
      <c r="CE53" s="153"/>
      <c r="CF53" s="153"/>
      <c r="CG53" s="917"/>
      <c r="CH53" s="917"/>
      <c r="CI53" s="916"/>
      <c r="CJ53" s="917"/>
      <c r="CK53" s="917"/>
      <c r="CL53" s="917"/>
      <c r="CM53" s="917"/>
      <c r="CN53" s="916"/>
      <c r="CO53" s="917"/>
      <c r="CP53" s="917"/>
      <c r="CQ53" s="917"/>
      <c r="CR53" s="917"/>
      <c r="CS53" s="916"/>
      <c r="CT53" s="917"/>
      <c r="CU53" s="917"/>
      <c r="CV53" s="917"/>
      <c r="CW53" s="917"/>
      <c r="CX53" s="916"/>
      <c r="CY53" s="917"/>
      <c r="CZ53" s="917"/>
      <c r="DA53" s="917"/>
      <c r="DB53" s="917"/>
      <c r="DC53" s="916"/>
      <c r="DD53" s="917"/>
      <c r="DE53" s="917"/>
      <c r="DF53" s="917"/>
      <c r="DG53" s="917"/>
      <c r="DH53" s="916"/>
      <c r="DI53" s="917"/>
      <c r="DJ53" s="917"/>
      <c r="DK53" s="917"/>
      <c r="DL53" s="917"/>
      <c r="DM53" s="939" t="str">
        <f>IF(ABS(DM52-DM24)&lt;0.01,"ok",DM52-DM24)</f>
        <v>ok</v>
      </c>
      <c r="DN53" s="1492" t="str">
        <f>IF(ABS(DN52-DN24)&lt;0.01,"ok",DN52-DN24)</f>
        <v>ok</v>
      </c>
      <c r="DO53" s="1494" t="str">
        <f>IF(ABS(DO52-DO24)&lt;0.01,"ok",DO52-DO24)</f>
        <v>ok</v>
      </c>
      <c r="DP53" s="1494" t="str">
        <f>IF(ABS(DP52-DP24)&lt;0.01,"ok",DP52-DP24)</f>
        <v>ok</v>
      </c>
      <c r="DQ53" s="1493" t="str">
        <f>IF(ABS(DQ52-DQ24)&lt;0.01,"ok",DQ52-DQ24)</f>
        <v>ok</v>
      </c>
      <c r="DR53" s="939">
        <f t="shared" ref="DR53:EG53" si="147">IF(ABS(DR52-DR24)&lt;0.01,"ok",DR52-DR24)</f>
        <v>716</v>
      </c>
      <c r="DS53" s="1492" t="str">
        <f t="shared" si="147"/>
        <v>ok</v>
      </c>
      <c r="DT53" s="1494" t="str">
        <f t="shared" si="147"/>
        <v>ok</v>
      </c>
      <c r="DU53" s="1494" t="str">
        <f t="shared" si="147"/>
        <v>ok</v>
      </c>
      <c r="DV53" s="1493" t="str">
        <f t="shared" si="147"/>
        <v>ok</v>
      </c>
      <c r="DW53" s="939" t="str">
        <f t="shared" si="147"/>
        <v>ok</v>
      </c>
      <c r="DX53" s="1492" t="str">
        <f t="shared" si="147"/>
        <v>ok</v>
      </c>
      <c r="DY53" s="1494" t="str">
        <f t="shared" si="147"/>
        <v>ok</v>
      </c>
      <c r="DZ53" s="1494" t="str">
        <f t="shared" si="147"/>
        <v>ok</v>
      </c>
      <c r="EA53" s="1493" t="str">
        <f t="shared" si="147"/>
        <v>ok</v>
      </c>
      <c r="EB53" s="939" t="str">
        <f t="shared" si="147"/>
        <v>ok</v>
      </c>
      <c r="EC53" s="939" t="str">
        <f t="shared" si="147"/>
        <v>ok</v>
      </c>
      <c r="ED53" s="939" t="str">
        <f t="shared" si="147"/>
        <v>ok</v>
      </c>
      <c r="EE53" s="939" t="str">
        <f t="shared" si="147"/>
        <v>ok</v>
      </c>
      <c r="EF53" s="939" t="str">
        <f t="shared" si="147"/>
        <v>ok</v>
      </c>
      <c r="EG53" s="939" t="str">
        <f t="shared" si="147"/>
        <v>ok</v>
      </c>
      <c r="EH53" s="939" t="str">
        <f t="shared" ref="EH53:EL53" si="148">IF(ABS(EH52-EH24)&lt;0.01,"ok",EH52-EH24)</f>
        <v>ok</v>
      </c>
      <c r="EI53" s="939" t="str">
        <f t="shared" si="148"/>
        <v>ok</v>
      </c>
      <c r="EJ53" s="939" t="str">
        <f t="shared" si="148"/>
        <v>ok</v>
      </c>
      <c r="EK53" s="939" t="str">
        <f t="shared" si="148"/>
        <v>ok</v>
      </c>
      <c r="EL53" s="939" t="str">
        <f t="shared" si="148"/>
        <v>ok</v>
      </c>
      <c r="EM53" s="940"/>
      <c r="EN53"/>
      <c r="EO53"/>
      <c r="EP53"/>
      <c r="EQ53"/>
      <c r="ER53"/>
      <c r="ES53"/>
      <c r="ET53" s="569"/>
      <c r="EU53" s="569"/>
      <c r="EV53" s="570"/>
      <c r="EW53" s="570"/>
      <c r="EX53" s="570"/>
      <c r="EY53" s="570"/>
      <c r="EZ53" s="570"/>
      <c r="FA53" s="570"/>
      <c r="FB53" s="570"/>
      <c r="FC53" s="570"/>
      <c r="FD53" s="570"/>
      <c r="FE53" s="570"/>
      <c r="FF53" s="570"/>
      <c r="FG53" s="570"/>
      <c r="FH53" s="570"/>
      <c r="FI53" s="570"/>
      <c r="FJ53" s="570"/>
      <c r="FK53" s="570"/>
      <c r="FL53" s="570"/>
      <c r="FM53" s="570"/>
      <c r="FN53" s="570"/>
      <c r="FO53" s="570"/>
      <c r="FP53" s="570"/>
      <c r="FQ53" s="570"/>
      <c r="FR53" s="570"/>
      <c r="FS53" s="570"/>
      <c r="FT53" s="570"/>
      <c r="FU53" s="570"/>
      <c r="FV53" s="570"/>
      <c r="FW53" s="570"/>
      <c r="FX53" s="570"/>
      <c r="FY53" s="570"/>
      <c r="FZ53" s="570"/>
      <c r="GA53" s="570"/>
      <c r="GB53" s="570"/>
      <c r="GC53" s="570"/>
      <c r="GD53" s="570"/>
      <c r="GE53" s="570"/>
      <c r="GF53" s="570"/>
      <c r="GG53" s="570"/>
      <c r="GH53" s="570"/>
      <c r="GI53" s="570"/>
      <c r="GJ53" s="570"/>
      <c r="GK53" s="570"/>
      <c r="GL53" s="570"/>
      <c r="GM53" s="570"/>
      <c r="GN53" s="570"/>
      <c r="GO53" s="570"/>
      <c r="GP53" s="570"/>
      <c r="GQ53" s="570"/>
      <c r="GR53" s="570"/>
      <c r="GS53" s="570"/>
      <c r="GT53" s="570"/>
      <c r="GU53" s="570"/>
      <c r="GV53" s="570"/>
      <c r="GW53" s="570"/>
      <c r="GX53" s="570"/>
      <c r="GY53" s="570"/>
      <c r="GZ53" s="570"/>
      <c r="HA53" s="570"/>
      <c r="HB53" s="570"/>
      <c r="HC53" s="570"/>
      <c r="HD53" s="570"/>
      <c r="HE53" s="570"/>
      <c r="HF53" s="570"/>
      <c r="HG53" s="570"/>
      <c r="HH53" s="570"/>
      <c r="HI53" s="570"/>
      <c r="HJ53" s="570"/>
      <c r="HK53" s="570"/>
      <c r="HL53" s="570"/>
      <c r="HM53" s="570"/>
      <c r="HN53" s="570"/>
      <c r="HO53" s="570"/>
      <c r="HP53" s="570"/>
      <c r="HQ53" s="570"/>
      <c r="HR53" s="570"/>
      <c r="HS53" s="570"/>
      <c r="HT53" s="570"/>
      <c r="HU53" s="570"/>
      <c r="HV53" s="570"/>
      <c r="HW53" s="570"/>
      <c r="HX53" s="570"/>
      <c r="HY53" s="570"/>
      <c r="HZ53" s="570"/>
      <c r="IA53" s="570"/>
      <c r="IB53" s="570"/>
      <c r="IC53" s="570"/>
      <c r="ID53" s="570"/>
      <c r="IE53" s="570"/>
      <c r="IF53" s="570"/>
      <c r="IG53" s="570"/>
      <c r="IH53" s="570"/>
      <c r="II53" s="570"/>
      <c r="IJ53" s="570"/>
      <c r="IK53" s="570"/>
      <c r="IL53" s="570"/>
      <c r="IM53" s="570"/>
      <c r="IN53" s="570"/>
      <c r="IO53" s="570"/>
      <c r="IP53" s="570"/>
      <c r="IQ53" s="570"/>
      <c r="IR53" s="570"/>
      <c r="IS53" s="570"/>
      <c r="IT53" s="570"/>
      <c r="IU53" s="570"/>
      <c r="IV53" s="570"/>
      <c r="IW53" s="570"/>
      <c r="IX53" s="570"/>
      <c r="IY53" s="570"/>
      <c r="IZ53" s="570"/>
      <c r="JA53" s="570"/>
      <c r="JB53" s="570"/>
      <c r="JC53" s="570"/>
      <c r="JD53" s="570"/>
      <c r="JE53" s="570"/>
      <c r="JF53" s="570"/>
      <c r="JG53" s="570"/>
      <c r="JH53" s="570"/>
      <c r="JI53" s="570"/>
      <c r="JJ53" s="570"/>
      <c r="JK53" s="570"/>
    </row>
    <row r="54" spans="1:271" s="135" customFormat="1" collapsed="1">
      <c r="A54" s="856"/>
      <c r="B54" s="857" t="s">
        <v>565</v>
      </c>
      <c r="C54" s="941"/>
      <c r="D54" s="941"/>
      <c r="E54" s="941"/>
      <c r="F54" s="941"/>
      <c r="G54" s="941"/>
      <c r="H54" s="942"/>
      <c r="I54" s="941"/>
      <c r="J54" s="941"/>
      <c r="K54" s="941"/>
      <c r="L54" s="942"/>
      <c r="M54" s="943"/>
      <c r="N54" s="941"/>
      <c r="O54" s="941"/>
      <c r="P54" s="941"/>
      <c r="Q54" s="941"/>
      <c r="R54" s="942"/>
      <c r="S54" s="941"/>
      <c r="T54" s="941"/>
      <c r="U54" s="941"/>
      <c r="V54" s="941"/>
      <c r="W54" s="942"/>
      <c r="X54" s="941"/>
      <c r="Y54" s="941"/>
      <c r="Z54" s="941"/>
      <c r="AA54" s="941"/>
      <c r="AB54" s="942"/>
      <c r="AC54" s="941"/>
      <c r="AD54" s="941"/>
      <c r="AE54" s="941"/>
      <c r="AF54" s="941"/>
      <c r="AG54" s="942"/>
      <c r="AH54" s="941"/>
      <c r="AI54" s="941"/>
      <c r="AJ54" s="941"/>
      <c r="AK54" s="941"/>
      <c r="AL54" s="942"/>
      <c r="AM54" s="941"/>
      <c r="AN54" s="941"/>
      <c r="AO54" s="941"/>
      <c r="AP54" s="941"/>
      <c r="AQ54" s="942"/>
      <c r="AR54" s="941"/>
      <c r="AS54" s="941"/>
      <c r="AT54" s="944"/>
      <c r="AU54" s="942"/>
      <c r="AV54" s="941"/>
      <c r="AW54" s="941"/>
      <c r="AX54" s="941"/>
      <c r="AY54" s="941"/>
      <c r="AZ54" s="942"/>
      <c r="BA54" s="941"/>
      <c r="BB54" s="941"/>
      <c r="BC54" s="941"/>
      <c r="BD54" s="941"/>
      <c r="BE54" s="942"/>
      <c r="BF54" s="941"/>
      <c r="BG54" s="941"/>
      <c r="BH54" s="941"/>
      <c r="BI54" s="941"/>
      <c r="BJ54" s="942"/>
      <c r="BK54" s="941"/>
      <c r="BL54" s="941"/>
      <c r="BM54" s="941"/>
      <c r="BN54" s="941"/>
      <c r="BO54" s="942"/>
      <c r="BP54" s="941"/>
      <c r="BQ54" s="941"/>
      <c r="BR54" s="941"/>
      <c r="BS54" s="941"/>
      <c r="BT54" s="942"/>
      <c r="BU54" s="941"/>
      <c r="BV54" s="941"/>
      <c r="BW54" s="941"/>
      <c r="BX54" s="941"/>
      <c r="BY54" s="942"/>
      <c r="BZ54" s="941"/>
      <c r="CA54" s="941"/>
      <c r="CB54" s="941"/>
      <c r="CC54" s="941"/>
      <c r="CD54" s="942"/>
      <c r="CE54" s="941"/>
      <c r="CF54" s="941"/>
      <c r="CG54" s="941"/>
      <c r="CH54" s="941"/>
      <c r="CI54" s="942"/>
      <c r="CJ54" s="941"/>
      <c r="CK54" s="941"/>
      <c r="CL54" s="941"/>
      <c r="CM54" s="941"/>
      <c r="CN54" s="942"/>
      <c r="CO54" s="941"/>
      <c r="CP54" s="941"/>
      <c r="CQ54" s="941"/>
      <c r="CR54" s="941"/>
      <c r="CS54" s="942"/>
      <c r="CT54" s="941"/>
      <c r="CU54" s="941"/>
      <c r="CV54" s="941"/>
      <c r="CW54" s="941"/>
      <c r="CX54" s="942"/>
      <c r="CY54" s="941"/>
      <c r="CZ54" s="941"/>
      <c r="DA54" s="941"/>
      <c r="DB54" s="941"/>
      <c r="DC54" s="942"/>
      <c r="DD54" s="941"/>
      <c r="DE54" s="941"/>
      <c r="DF54" s="941"/>
      <c r="DG54" s="941"/>
      <c r="DH54" s="942"/>
      <c r="DI54" s="941"/>
      <c r="DJ54" s="941"/>
      <c r="DK54" s="941"/>
      <c r="DL54" s="941"/>
      <c r="DM54" s="942"/>
      <c r="DN54" s="941"/>
      <c r="DO54" s="941"/>
      <c r="DP54" s="941"/>
      <c r="DQ54" s="941"/>
      <c r="DR54" s="942"/>
      <c r="DS54" s="941"/>
      <c r="DT54" s="941"/>
      <c r="DU54" s="941"/>
      <c r="DV54" s="941"/>
      <c r="DW54" s="942"/>
      <c r="DX54" s="941"/>
      <c r="DY54" s="941"/>
      <c r="DZ54" s="941"/>
      <c r="EA54" s="941"/>
      <c r="EB54" s="942"/>
      <c r="EC54" s="941"/>
      <c r="ED54" s="941"/>
      <c r="EE54" s="941"/>
      <c r="EF54" s="941"/>
      <c r="EG54" s="942"/>
      <c r="EH54" s="941"/>
      <c r="EI54" s="941"/>
      <c r="EJ54" s="941"/>
      <c r="EK54" s="941"/>
      <c r="EL54" s="942"/>
      <c r="EM54" s="141"/>
      <c r="EN54"/>
      <c r="EO54"/>
      <c r="EP54"/>
      <c r="EQ54"/>
      <c r="ER54"/>
      <c r="ES54"/>
    </row>
    <row r="55" spans="1:271" s="4" customFormat="1" ht="12" customHeight="1">
      <c r="A55" s="945"/>
      <c r="B55" s="946" t="s">
        <v>566</v>
      </c>
      <c r="C55" s="947"/>
      <c r="D55" s="947">
        <f t="shared" ref="D55:AT55" si="149">+(D36+D26)/(D26+D36+D50)</f>
        <v>0.37974646780982979</v>
      </c>
      <c r="E55" s="947">
        <f t="shared" si="149"/>
        <v>0.37048576067400946</v>
      </c>
      <c r="F55" s="948">
        <f t="shared" si="149"/>
        <v>0.36465152098575282</v>
      </c>
      <c r="G55" s="947">
        <f t="shared" si="149"/>
        <v>0.64190407500901547</v>
      </c>
      <c r="H55" s="949">
        <f t="shared" si="149"/>
        <v>0.64190407500901547</v>
      </c>
      <c r="I55" s="947">
        <f t="shared" si="149"/>
        <v>0.6246635892134671</v>
      </c>
      <c r="J55" s="947">
        <f t="shared" si="149"/>
        <v>0.5998572739321032</v>
      </c>
      <c r="K55" s="948">
        <f t="shared" si="149"/>
        <v>0.55868326160288473</v>
      </c>
      <c r="L55" s="947">
        <f t="shared" si="149"/>
        <v>0.55223373534907427</v>
      </c>
      <c r="M55" s="949">
        <f t="shared" si="149"/>
        <v>0.55223373534907427</v>
      </c>
      <c r="N55" s="947">
        <f t="shared" si="149"/>
        <v>0.53980385300631062</v>
      </c>
      <c r="O55" s="947">
        <f t="shared" si="149"/>
        <v>0.54263952049621567</v>
      </c>
      <c r="P55" s="948">
        <f t="shared" si="149"/>
        <v>0.58539059050937248</v>
      </c>
      <c r="Q55" s="947">
        <f t="shared" si="149"/>
        <v>0.61034566110708244</v>
      </c>
      <c r="R55" s="949">
        <f t="shared" si="149"/>
        <v>0.61034566110708244</v>
      </c>
      <c r="S55" s="947">
        <f t="shared" si="149"/>
        <v>0.61120055197792089</v>
      </c>
      <c r="T55" s="947">
        <f t="shared" si="149"/>
        <v>0.61538461538461542</v>
      </c>
      <c r="U55" s="948">
        <f t="shared" si="149"/>
        <v>0.60966071239826658</v>
      </c>
      <c r="V55" s="947">
        <f t="shared" si="149"/>
        <v>0.62136852186868152</v>
      </c>
      <c r="W55" s="949">
        <f t="shared" si="149"/>
        <v>0.62136852186868152</v>
      </c>
      <c r="X55" s="947">
        <f t="shared" si="149"/>
        <v>0.62233219919579341</v>
      </c>
      <c r="Y55" s="947">
        <f t="shared" si="149"/>
        <v>0.62054404399489349</v>
      </c>
      <c r="Z55" s="948">
        <f t="shared" si="149"/>
        <v>0.62176313785224679</v>
      </c>
      <c r="AA55" s="947">
        <f t="shared" si="149"/>
        <v>0.6244905880069862</v>
      </c>
      <c r="AB55" s="949">
        <f t="shared" si="149"/>
        <v>0.6244905880069862</v>
      </c>
      <c r="AC55" s="947">
        <f t="shared" si="149"/>
        <v>0.62437030700503759</v>
      </c>
      <c r="AD55" s="947">
        <f t="shared" si="149"/>
        <v>0.58717819283190309</v>
      </c>
      <c r="AE55" s="948">
        <f t="shared" si="149"/>
        <v>0.5942043319157353</v>
      </c>
      <c r="AF55" s="947">
        <f t="shared" si="149"/>
        <v>0.58267474083957715</v>
      </c>
      <c r="AG55" s="949">
        <f t="shared" si="149"/>
        <v>0.58267474083957715</v>
      </c>
      <c r="AH55" s="947">
        <f t="shared" si="149"/>
        <v>0.55865117713580759</v>
      </c>
      <c r="AI55" s="947">
        <f t="shared" si="149"/>
        <v>0.5244813278008299</v>
      </c>
      <c r="AJ55" s="948">
        <f t="shared" si="149"/>
        <v>0.49643221202854232</v>
      </c>
      <c r="AK55" s="947">
        <f t="shared" si="149"/>
        <v>0.45422308188265637</v>
      </c>
      <c r="AL55" s="949">
        <f t="shared" si="149"/>
        <v>0.45422308188265637</v>
      </c>
      <c r="AM55" s="947">
        <f t="shared" si="149"/>
        <v>0.45390657296403475</v>
      </c>
      <c r="AN55" s="947">
        <f t="shared" si="149"/>
        <v>0.451071761416589</v>
      </c>
      <c r="AO55" s="948">
        <f t="shared" si="149"/>
        <v>0.44017619340299119</v>
      </c>
      <c r="AP55" s="947">
        <f t="shared" si="149"/>
        <v>0.41693473072532944</v>
      </c>
      <c r="AQ55" s="949">
        <f t="shared" si="149"/>
        <v>0.41693473072532944</v>
      </c>
      <c r="AR55" s="947">
        <f t="shared" si="149"/>
        <v>0.37937948501477414</v>
      </c>
      <c r="AS55" s="947">
        <f t="shared" si="149"/>
        <v>0.39940888707704852</v>
      </c>
      <c r="AT55" s="948">
        <f t="shared" si="149"/>
        <v>0.41365625318001426</v>
      </c>
      <c r="AU55" s="802"/>
      <c r="AV55" s="950"/>
      <c r="AW55" s="950"/>
      <c r="AX55" s="948"/>
      <c r="AY55" s="947">
        <f t="shared" ref="AY55:CD55" si="150">+(AY36+AY26)/(AY26+AY36+AY50)</f>
        <v>0.40645094378759594</v>
      </c>
      <c r="AZ55" s="949">
        <f t="shared" si="150"/>
        <v>0.40645094378759594</v>
      </c>
      <c r="BA55" s="947">
        <f t="shared" si="150"/>
        <v>0.41451728004893468</v>
      </c>
      <c r="BB55" s="947">
        <f t="shared" si="150"/>
        <v>0.42265135699373696</v>
      </c>
      <c r="BC55" s="948">
        <f t="shared" si="150"/>
        <v>0.43475930095421894</v>
      </c>
      <c r="BD55" s="947">
        <f t="shared" si="150"/>
        <v>0.48194345450225706</v>
      </c>
      <c r="BE55" s="949">
        <f t="shared" si="150"/>
        <v>0.48194345450225706</v>
      </c>
      <c r="BF55" s="947">
        <f t="shared" si="150"/>
        <v>0.48677248677248675</v>
      </c>
      <c r="BG55" s="947">
        <f t="shared" si="150"/>
        <v>0.53731698607308653</v>
      </c>
      <c r="BH55" s="948">
        <f t="shared" si="150"/>
        <v>0.53970342023439366</v>
      </c>
      <c r="BI55" s="947">
        <f t="shared" si="150"/>
        <v>0.7191958495460441</v>
      </c>
      <c r="BJ55" s="949">
        <f t="shared" si="150"/>
        <v>0.7191958495460441</v>
      </c>
      <c r="BK55" s="947">
        <f t="shared" si="150"/>
        <v>0.7358982219497241</v>
      </c>
      <c r="BL55" s="947">
        <f t="shared" si="150"/>
        <v>0.73760171963764776</v>
      </c>
      <c r="BM55" s="948">
        <f t="shared" si="150"/>
        <v>0.78390729557695449</v>
      </c>
      <c r="BN55" s="947">
        <f t="shared" si="150"/>
        <v>0.82469093406593408</v>
      </c>
      <c r="BO55" s="949">
        <f t="shared" si="150"/>
        <v>0.82469093406593408</v>
      </c>
      <c r="BP55" s="947">
        <f t="shared" si="150"/>
        <v>0.81382347958665091</v>
      </c>
      <c r="BQ55" s="947">
        <f t="shared" si="150"/>
        <v>0.87175766370397245</v>
      </c>
      <c r="BR55" s="948">
        <f t="shared" si="150"/>
        <v>0.88375092114959475</v>
      </c>
      <c r="BS55" s="947">
        <f t="shared" si="150"/>
        <v>0.94768133174791913</v>
      </c>
      <c r="BT55" s="949">
        <f t="shared" si="150"/>
        <v>0.94768133174791913</v>
      </c>
      <c r="BU55" s="947">
        <f t="shared" si="150"/>
        <v>0.96626944051706731</v>
      </c>
      <c r="BV55" s="947">
        <f t="shared" si="150"/>
        <v>0.96980749746707196</v>
      </c>
      <c r="BW55" s="948">
        <f t="shared" si="150"/>
        <v>0.97925225965488905</v>
      </c>
      <c r="BX55" s="947">
        <f t="shared" si="150"/>
        <v>0.98881060920016572</v>
      </c>
      <c r="BY55" s="949">
        <f t="shared" si="150"/>
        <v>0.98881060920016572</v>
      </c>
      <c r="BZ55" s="947">
        <f t="shared" si="150"/>
        <v>0.99334304139796126</v>
      </c>
      <c r="CA55" s="947">
        <f t="shared" si="150"/>
        <v>0.99396587598834785</v>
      </c>
      <c r="CB55" s="948">
        <f t="shared" si="150"/>
        <v>0.97232960325534079</v>
      </c>
      <c r="CC55" s="947">
        <f t="shared" si="150"/>
        <v>0.97890640999385625</v>
      </c>
      <c r="CD55" s="949">
        <f t="shared" si="150"/>
        <v>0.97890640999385625</v>
      </c>
      <c r="CE55" s="947">
        <f t="shared" ref="CE55:DJ55" si="151">+(CE36+CE26)/(CE26+CE36+CE50)</f>
        <v>0.94099756690997571</v>
      </c>
      <c r="CF55" s="947">
        <f t="shared" si="151"/>
        <v>0.9417752442996743</v>
      </c>
      <c r="CG55" s="948">
        <f t="shared" si="151"/>
        <v>0.87211440245148109</v>
      </c>
      <c r="CH55" s="947">
        <f t="shared" si="151"/>
        <v>0.86869918699186988</v>
      </c>
      <c r="CI55" s="949">
        <f t="shared" si="151"/>
        <v>0.86869918699186988</v>
      </c>
      <c r="CJ55" s="947">
        <f t="shared" si="151"/>
        <v>0.85255387071029531</v>
      </c>
      <c r="CK55" s="947">
        <f t="shared" si="151"/>
        <v>0.84700753071739987</v>
      </c>
      <c r="CL55" s="948">
        <f t="shared" si="151"/>
        <v>0.7034662045060659</v>
      </c>
      <c r="CM55" s="947">
        <f t="shared" si="151"/>
        <v>0.69708404802744428</v>
      </c>
      <c r="CN55" s="949">
        <f t="shared" si="151"/>
        <v>0.69708404802744428</v>
      </c>
      <c r="CO55" s="947">
        <f t="shared" si="151"/>
        <v>0.68882888963887956</v>
      </c>
      <c r="CP55" s="947">
        <f t="shared" si="151"/>
        <v>0.69461785051459424</v>
      </c>
      <c r="CQ55" s="948">
        <f t="shared" si="151"/>
        <v>0.70688762299326768</v>
      </c>
      <c r="CR55" s="947">
        <f t="shared" si="151"/>
        <v>0.75393394431955729</v>
      </c>
      <c r="CS55" s="949">
        <f t="shared" si="151"/>
        <v>0.75393394431955729</v>
      </c>
      <c r="CT55" s="947">
        <f t="shared" si="151"/>
        <v>0.7583981466159192</v>
      </c>
      <c r="CU55" s="947">
        <f t="shared" si="151"/>
        <v>0.80148548278190412</v>
      </c>
      <c r="CV55" s="947">
        <f t="shared" si="151"/>
        <v>0.79514644351464436</v>
      </c>
      <c r="CW55" s="947">
        <f t="shared" si="151"/>
        <v>0.82126661454261141</v>
      </c>
      <c r="CX55" s="949">
        <f t="shared" si="151"/>
        <v>0.82126661454261141</v>
      </c>
      <c r="CY55" s="947">
        <f t="shared" si="151"/>
        <v>0.84849906191369606</v>
      </c>
      <c r="CZ55" s="947">
        <f t="shared" si="151"/>
        <v>0.8629402756508423</v>
      </c>
      <c r="DA55" s="947">
        <f t="shared" si="151"/>
        <v>0.87590252707581229</v>
      </c>
      <c r="DB55" s="947">
        <f t="shared" si="151"/>
        <v>0.93488011040193209</v>
      </c>
      <c r="DC55" s="949">
        <f t="shared" si="151"/>
        <v>0.93488011040193209</v>
      </c>
      <c r="DD55" s="947">
        <f t="shared" si="151"/>
        <v>0.93914061193780307</v>
      </c>
      <c r="DE55" s="947">
        <f t="shared" si="151"/>
        <v>0.9411573207455034</v>
      </c>
      <c r="DF55" s="947">
        <f t="shared" si="151"/>
        <v>0.940185546875</v>
      </c>
      <c r="DG55" s="947">
        <f t="shared" si="151"/>
        <v>0.94774442125541825</v>
      </c>
      <c r="DH55" s="949">
        <f t="shared" si="151"/>
        <v>0.94774442125541825</v>
      </c>
      <c r="DI55" s="947">
        <f t="shared" si="151"/>
        <v>0.93431456979566274</v>
      </c>
      <c r="DJ55" s="947">
        <f t="shared" si="151"/>
        <v>0.94838336440187698</v>
      </c>
      <c r="DK55" s="947">
        <f t="shared" ref="DK55:EG55" si="152">+(DK36+DK26)/(DK26+DK36+DK50)</f>
        <v>0.94844433016199536</v>
      </c>
      <c r="DL55" s="947">
        <f t="shared" si="152"/>
        <v>0.95454246431155843</v>
      </c>
      <c r="DM55" s="949">
        <f t="shared" si="152"/>
        <v>0.95454246431155843</v>
      </c>
      <c r="DN55" s="947">
        <f t="shared" si="152"/>
        <v>0.95873770383574308</v>
      </c>
      <c r="DO55" s="947">
        <f t="shared" si="152"/>
        <v>0.96518903088391905</v>
      </c>
      <c r="DP55" s="947">
        <f t="shared" si="152"/>
        <v>0.96488194213501832</v>
      </c>
      <c r="DQ55" s="947">
        <f t="shared" si="152"/>
        <v>0.97339203675344566</v>
      </c>
      <c r="DR55" s="949">
        <f t="shared" si="152"/>
        <v>0.97339203675344566</v>
      </c>
      <c r="DS55" s="947">
        <f t="shared" si="152"/>
        <v>0.97252044989775055</v>
      </c>
      <c r="DT55" s="947">
        <f t="shared" si="152"/>
        <v>0.97597887686759399</v>
      </c>
      <c r="DU55" s="947">
        <f t="shared" si="152"/>
        <v>0.99838980207983896</v>
      </c>
      <c r="DV55" s="947">
        <f t="shared" si="152"/>
        <v>1.0099391480730222</v>
      </c>
      <c r="DW55" s="949">
        <f t="shared" si="152"/>
        <v>1.0099391480730222</v>
      </c>
      <c r="DX55" s="947">
        <f t="shared" si="152"/>
        <v>1.0021514053340024</v>
      </c>
      <c r="DY55" s="947">
        <f t="shared" si="152"/>
        <v>0.99102127302507914</v>
      </c>
      <c r="DZ55" s="947">
        <f t="shared" si="152"/>
        <v>0.97983967876645461</v>
      </c>
      <c r="EA55" s="947">
        <f t="shared" si="152"/>
        <v>0.96838956874007709</v>
      </c>
      <c r="EB55" s="949">
        <f t="shared" si="152"/>
        <v>0.96838956874007709</v>
      </c>
      <c r="EC55" s="947">
        <f t="shared" si="152"/>
        <v>0.95707931905805377</v>
      </c>
      <c r="ED55" s="947">
        <f t="shared" si="152"/>
        <v>0.94640980934190111</v>
      </c>
      <c r="EE55" s="947">
        <f t="shared" si="152"/>
        <v>0.93562677369809311</v>
      </c>
      <c r="EF55" s="947">
        <f t="shared" si="152"/>
        <v>0.92382070668419258</v>
      </c>
      <c r="EG55" s="949">
        <f t="shared" si="152"/>
        <v>0.92382070668419258</v>
      </c>
      <c r="EH55" s="947">
        <f t="shared" ref="EH55:EL55" si="153">+(EH36+EH26)/(EH26+EH36+EH50)</f>
        <v>0.91145259291159531</v>
      </c>
      <c r="EI55" s="947">
        <f t="shared" si="153"/>
        <v>0.89876329166491897</v>
      </c>
      <c r="EJ55" s="947">
        <f t="shared" si="153"/>
        <v>0.88614001963513767</v>
      </c>
      <c r="EK55" s="947">
        <f t="shared" si="153"/>
        <v>0.87381899999026735</v>
      </c>
      <c r="EL55" s="949">
        <f t="shared" si="153"/>
        <v>0.87381899999026735</v>
      </c>
      <c r="EM55" s="950"/>
      <c r="EN55"/>
      <c r="EO55"/>
      <c r="EP55"/>
      <c r="EQ55"/>
      <c r="ER55"/>
      <c r="ES5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row>
    <row r="56" spans="1:271" s="4" customFormat="1" ht="12" customHeight="1">
      <c r="A56" s="945"/>
      <c r="B56" s="946" t="s">
        <v>566</v>
      </c>
      <c r="C56" s="947"/>
      <c r="D56" s="947">
        <f t="shared" ref="D56:AT56" si="154">+(D36+D26-D6)/(D26+D36+D50)</f>
        <v>0.32956727235519706</v>
      </c>
      <c r="E56" s="947">
        <f t="shared" si="154"/>
        <v>0.31265084031769719</v>
      </c>
      <c r="F56" s="948">
        <f t="shared" si="154"/>
        <v>0.30282804945877723</v>
      </c>
      <c r="G56" s="947">
        <f t="shared" si="154"/>
        <v>0.61395600432744324</v>
      </c>
      <c r="H56" s="949">
        <f t="shared" si="154"/>
        <v>0.61395600432744324</v>
      </c>
      <c r="I56" s="947">
        <f t="shared" si="154"/>
        <v>0.60569982355142848</v>
      </c>
      <c r="J56" s="947">
        <f t="shared" si="154"/>
        <v>0.58306996975566661</v>
      </c>
      <c r="K56" s="948">
        <f t="shared" si="154"/>
        <v>0.53970654214925473</v>
      </c>
      <c r="L56" s="947">
        <f t="shared" si="154"/>
        <v>0.53711567861389498</v>
      </c>
      <c r="M56" s="949">
        <f t="shared" si="154"/>
        <v>0.53711567861389498</v>
      </c>
      <c r="N56" s="947">
        <f t="shared" si="154"/>
        <v>0.52247031986279702</v>
      </c>
      <c r="O56" s="947">
        <f t="shared" si="154"/>
        <v>0.53351223666661307</v>
      </c>
      <c r="P56" s="948">
        <f t="shared" si="154"/>
        <v>0.57807634024985377</v>
      </c>
      <c r="Q56" s="947">
        <f t="shared" si="154"/>
        <v>0.60611554266376599</v>
      </c>
      <c r="R56" s="949">
        <f t="shared" si="154"/>
        <v>0.60611554266376599</v>
      </c>
      <c r="S56" s="947">
        <f t="shared" si="154"/>
        <v>0.59935602575896962</v>
      </c>
      <c r="T56" s="947">
        <f t="shared" si="154"/>
        <v>0.61382836816362829</v>
      </c>
      <c r="U56" s="948">
        <f t="shared" si="154"/>
        <v>0.60786386217101784</v>
      </c>
      <c r="V56" s="947">
        <f t="shared" si="154"/>
        <v>0.61892093221240818</v>
      </c>
      <c r="W56" s="949">
        <f t="shared" si="154"/>
        <v>0.61892093221240818</v>
      </c>
      <c r="X56" s="947">
        <f t="shared" si="154"/>
        <v>0.62016702752861119</v>
      </c>
      <c r="Y56" s="947">
        <f t="shared" si="154"/>
        <v>0.61740155160561716</v>
      </c>
      <c r="Z56" s="948">
        <f t="shared" si="154"/>
        <v>0.61595582635186596</v>
      </c>
      <c r="AA56" s="947">
        <f t="shared" si="154"/>
        <v>0.62167669318843388</v>
      </c>
      <c r="AB56" s="949">
        <f t="shared" si="154"/>
        <v>0.62167669318843388</v>
      </c>
      <c r="AC56" s="947">
        <f t="shared" si="154"/>
        <v>0.62208915502328677</v>
      </c>
      <c r="AD56" s="947">
        <f t="shared" si="154"/>
        <v>0.58404846037354874</v>
      </c>
      <c r="AE56" s="948">
        <f t="shared" si="154"/>
        <v>0.59044604885767971</v>
      </c>
      <c r="AF56" s="947">
        <f t="shared" si="154"/>
        <v>0.56881863902288821</v>
      </c>
      <c r="AG56" s="949">
        <f t="shared" si="154"/>
        <v>0.56881863902288821</v>
      </c>
      <c r="AH56" s="947">
        <f t="shared" si="154"/>
        <v>0.55011822761385831</v>
      </c>
      <c r="AI56" s="947">
        <f t="shared" si="154"/>
        <v>0.51597510373443989</v>
      </c>
      <c r="AJ56" s="948">
        <f t="shared" si="154"/>
        <v>0.49062181447502551</v>
      </c>
      <c r="AK56" s="947">
        <f t="shared" si="154"/>
        <v>0.44756071351816035</v>
      </c>
      <c r="AL56" s="949">
        <f t="shared" si="154"/>
        <v>0.44756071351816035</v>
      </c>
      <c r="AM56" s="947">
        <f t="shared" si="154"/>
        <v>0.44708557255064074</v>
      </c>
      <c r="AN56" s="947">
        <f t="shared" si="154"/>
        <v>0.4445479962721342</v>
      </c>
      <c r="AO56" s="948">
        <f t="shared" si="154"/>
        <v>0.4348494161032575</v>
      </c>
      <c r="AP56" s="947">
        <f t="shared" si="154"/>
        <v>0.41299159489467674</v>
      </c>
      <c r="AQ56" s="949">
        <f t="shared" si="154"/>
        <v>0.41299159489467674</v>
      </c>
      <c r="AR56" s="947">
        <f t="shared" si="154"/>
        <v>0.37494723512030392</v>
      </c>
      <c r="AS56" s="947">
        <f t="shared" si="154"/>
        <v>0.39533224622910723</v>
      </c>
      <c r="AT56" s="948">
        <f t="shared" si="154"/>
        <v>0.40164851938536683</v>
      </c>
      <c r="AU56" s="802"/>
      <c r="AV56" s="950"/>
      <c r="AW56" s="950"/>
      <c r="AX56" s="948"/>
      <c r="AY56" s="947">
        <f t="shared" ref="AY56:CD56" si="155">+(AY36+AY26-AY6)/(AY26+AY36+AY50)</f>
        <v>0.38467123003526238</v>
      </c>
      <c r="AZ56" s="949">
        <f t="shared" si="155"/>
        <v>0.38467123003526238</v>
      </c>
      <c r="BA56" s="947">
        <f t="shared" si="155"/>
        <v>0.40075440921602612</v>
      </c>
      <c r="BB56" s="947">
        <f t="shared" si="155"/>
        <v>0.39958246346555326</v>
      </c>
      <c r="BC56" s="948">
        <f t="shared" si="155"/>
        <v>0.41127908223437332</v>
      </c>
      <c r="BD56" s="947">
        <f t="shared" si="155"/>
        <v>0.40841054882394867</v>
      </c>
      <c r="BE56" s="949">
        <f t="shared" si="155"/>
        <v>0.40841054882394867</v>
      </c>
      <c r="BF56" s="947">
        <f t="shared" si="155"/>
        <v>0.4258056758056758</v>
      </c>
      <c r="BG56" s="947">
        <f t="shared" si="155"/>
        <v>0.39531008213307939</v>
      </c>
      <c r="BH56" s="948">
        <f t="shared" si="155"/>
        <v>0.38148768237263814</v>
      </c>
      <c r="BI56" s="947">
        <f t="shared" si="155"/>
        <v>0.61316472114137488</v>
      </c>
      <c r="BJ56" s="949">
        <f t="shared" si="155"/>
        <v>0.61316472114137488</v>
      </c>
      <c r="BK56" s="947">
        <f t="shared" si="155"/>
        <v>0.50643776824034337</v>
      </c>
      <c r="BL56" s="947">
        <f t="shared" si="155"/>
        <v>0.49286043298019344</v>
      </c>
      <c r="BM56" s="948">
        <f t="shared" si="155"/>
        <v>0.54235351721886726</v>
      </c>
      <c r="BN56" s="947">
        <f t="shared" si="155"/>
        <v>0.58894230769230771</v>
      </c>
      <c r="BO56" s="949">
        <f t="shared" si="155"/>
        <v>0.58894230769230771</v>
      </c>
      <c r="BP56" s="947">
        <f t="shared" si="155"/>
        <v>0.64865322717262408</v>
      </c>
      <c r="BQ56" s="947">
        <f t="shared" si="155"/>
        <v>0.76872846000362782</v>
      </c>
      <c r="BR56" s="948">
        <f t="shared" si="155"/>
        <v>0.73470891672807659</v>
      </c>
      <c r="BS56" s="947">
        <f t="shared" si="155"/>
        <v>0.79231074118113354</v>
      </c>
      <c r="BT56" s="949">
        <f t="shared" si="155"/>
        <v>0.79231074118113354</v>
      </c>
      <c r="BU56" s="947">
        <f t="shared" si="155"/>
        <v>0.84831347202585339</v>
      </c>
      <c r="BV56" s="947">
        <f t="shared" si="155"/>
        <v>0.83302938196555221</v>
      </c>
      <c r="BW56" s="948">
        <f t="shared" si="155"/>
        <v>0.84470008216926873</v>
      </c>
      <c r="BX56" s="947">
        <f t="shared" si="155"/>
        <v>0.87028595109821794</v>
      </c>
      <c r="BY56" s="949">
        <f t="shared" si="155"/>
        <v>0.87028595109821794</v>
      </c>
      <c r="BZ56" s="947">
        <f t="shared" si="155"/>
        <v>0.93551071354275017</v>
      </c>
      <c r="CA56" s="947">
        <f t="shared" si="155"/>
        <v>0.92072409488139828</v>
      </c>
      <c r="CB56" s="948">
        <f t="shared" si="155"/>
        <v>0.8681586978636826</v>
      </c>
      <c r="CC56" s="947">
        <f t="shared" si="155"/>
        <v>0.87507679705099328</v>
      </c>
      <c r="CD56" s="949">
        <f t="shared" si="155"/>
        <v>0.87507679705099328</v>
      </c>
      <c r="CE56" s="947">
        <f t="shared" ref="CE56:DJ56" si="156">+(CE36+CE26-CE6)/(CE26+CE36+CE50)</f>
        <v>0.8087996755879967</v>
      </c>
      <c r="CF56" s="947">
        <f t="shared" si="156"/>
        <v>0.78745928338762217</v>
      </c>
      <c r="CG56" s="948">
        <f t="shared" si="156"/>
        <v>0.72277834525025542</v>
      </c>
      <c r="CH56" s="947">
        <f t="shared" si="156"/>
        <v>0.72845528455284558</v>
      </c>
      <c r="CI56" s="949">
        <f t="shared" si="156"/>
        <v>0.72845528455284558</v>
      </c>
      <c r="CJ56" s="947">
        <f t="shared" si="156"/>
        <v>0.73503591380686351</v>
      </c>
      <c r="CK56" s="947">
        <f t="shared" si="156"/>
        <v>0.70610384462940945</v>
      </c>
      <c r="CL56" s="948">
        <f t="shared" si="156"/>
        <v>0.63448873483535528</v>
      </c>
      <c r="CM56" s="947">
        <f t="shared" si="156"/>
        <v>0.62761578044596911</v>
      </c>
      <c r="CN56" s="949">
        <f t="shared" si="156"/>
        <v>0.62761578044596911</v>
      </c>
      <c r="CO56" s="947">
        <f t="shared" si="156"/>
        <v>0.64377320283496453</v>
      </c>
      <c r="CP56" s="947">
        <f t="shared" si="156"/>
        <v>0.65007592373882239</v>
      </c>
      <c r="CQ56" s="948">
        <f t="shared" si="156"/>
        <v>0.67495252891420676</v>
      </c>
      <c r="CR56" s="947">
        <f t="shared" si="156"/>
        <v>0.73439391319384406</v>
      </c>
      <c r="CS56" s="949">
        <f t="shared" si="156"/>
        <v>0.73439391319384406</v>
      </c>
      <c r="CT56" s="947">
        <f t="shared" si="156"/>
        <v>0.7411881515803409</v>
      </c>
      <c r="CU56" s="947">
        <f t="shared" si="156"/>
        <v>0.78764348413234297</v>
      </c>
      <c r="CV56" s="947">
        <f t="shared" si="156"/>
        <v>0.781255230125523</v>
      </c>
      <c r="CW56" s="947">
        <f t="shared" si="156"/>
        <v>0.76434714620797495</v>
      </c>
      <c r="CX56" s="949">
        <f t="shared" si="156"/>
        <v>0.76434714620797495</v>
      </c>
      <c r="CY56" s="947">
        <f t="shared" si="156"/>
        <v>0.83364602876798</v>
      </c>
      <c r="CZ56" s="947">
        <f t="shared" si="156"/>
        <v>0.84915773353751911</v>
      </c>
      <c r="DA56" s="947">
        <f t="shared" si="156"/>
        <v>0.86356799037304455</v>
      </c>
      <c r="DB56" s="947">
        <f t="shared" si="156"/>
        <v>0.92513368983957223</v>
      </c>
      <c r="DC56" s="949">
        <f t="shared" si="156"/>
        <v>0.92513368983957223</v>
      </c>
      <c r="DD56" s="947">
        <f t="shared" si="156"/>
        <v>0.92735328540377859</v>
      </c>
      <c r="DE56" s="947">
        <f t="shared" si="156"/>
        <v>0.90811426711158139</v>
      </c>
      <c r="DF56" s="947">
        <f t="shared" si="156"/>
        <v>0.92390950520833337</v>
      </c>
      <c r="DG56" s="947">
        <f t="shared" si="156"/>
        <v>0.93225236795633326</v>
      </c>
      <c r="DH56" s="949">
        <f t="shared" si="156"/>
        <v>0.93225236795633326</v>
      </c>
      <c r="DI56" s="947">
        <f t="shared" si="156"/>
        <v>0.91983089329053469</v>
      </c>
      <c r="DJ56" s="947">
        <f t="shared" si="156"/>
        <v>0.92916372051166674</v>
      </c>
      <c r="DK56" s="947">
        <f t="shared" ref="DK56:EG56" si="157">+(DK36+DK26-DK6)/(DK26+DK36+DK50)</f>
        <v>0.91951658524042168</v>
      </c>
      <c r="DL56" s="947">
        <f t="shared" si="157"/>
        <v>0.93112295243733967</v>
      </c>
      <c r="DM56" s="949">
        <f t="shared" si="157"/>
        <v>0.93112295243733967</v>
      </c>
      <c r="DN56" s="947">
        <f t="shared" si="157"/>
        <v>0.91067538126361658</v>
      </c>
      <c r="DO56" s="947">
        <f t="shared" si="157"/>
        <v>0.92152555910543132</v>
      </c>
      <c r="DP56" s="947">
        <f t="shared" si="157"/>
        <v>0.92171599600931164</v>
      </c>
      <c r="DQ56" s="947">
        <f t="shared" si="157"/>
        <v>0.92770546197039305</v>
      </c>
      <c r="DR56" s="949">
        <f t="shared" si="157"/>
        <v>0.97339203675344566</v>
      </c>
      <c r="DS56" s="947">
        <f t="shared" si="157"/>
        <v>0.93596625766871167</v>
      </c>
      <c r="DT56" s="947">
        <f t="shared" si="157"/>
        <v>0.94538897475528083</v>
      </c>
      <c r="DU56" s="947">
        <f t="shared" si="157"/>
        <v>0.96960751425696079</v>
      </c>
      <c r="DV56" s="947">
        <f t="shared" si="157"/>
        <v>0.96862745098039216</v>
      </c>
      <c r="DW56" s="949">
        <f t="shared" si="157"/>
        <v>0.96862745098039216</v>
      </c>
      <c r="DX56" s="947">
        <f t="shared" si="157"/>
        <v>0.9445802568981575</v>
      </c>
      <c r="DY56" s="947">
        <f t="shared" si="157"/>
        <v>0.94797462569575131</v>
      </c>
      <c r="DZ56" s="947">
        <f t="shared" si="157"/>
        <v>0.91985419366696664</v>
      </c>
      <c r="EA56" s="947">
        <f t="shared" si="157"/>
        <v>0.92747528069758856</v>
      </c>
      <c r="EB56" s="949">
        <f t="shared" si="157"/>
        <v>0.92747528069758856</v>
      </c>
      <c r="EC56" s="947">
        <f t="shared" si="157"/>
        <v>0.93022851972029252</v>
      </c>
      <c r="ED56" s="947">
        <f t="shared" si="157"/>
        <v>0.90974600961871699</v>
      </c>
      <c r="EE56" s="947">
        <f t="shared" si="157"/>
        <v>0.88758287723565332</v>
      </c>
      <c r="EF56" s="947">
        <f t="shared" si="157"/>
        <v>0.87468841747125725</v>
      </c>
      <c r="EG56" s="949">
        <f t="shared" si="157"/>
        <v>0.87468841747125725</v>
      </c>
      <c r="EH56" s="947">
        <f t="shared" ref="EH56:EL56" si="158">+(EH36+EH26-EH6)/(EH26+EH36+EH50)</f>
        <v>0.86614726782558282</v>
      </c>
      <c r="EI56" s="947">
        <f t="shared" si="158"/>
        <v>0.85719937149369607</v>
      </c>
      <c r="EJ56" s="947">
        <f t="shared" si="158"/>
        <v>0.84110323571054835</v>
      </c>
      <c r="EK56" s="947">
        <f t="shared" si="158"/>
        <v>0.84123260218248508</v>
      </c>
      <c r="EL56" s="949">
        <f t="shared" si="158"/>
        <v>0.84123260218248508</v>
      </c>
      <c r="EM56" s="950"/>
      <c r="EN56"/>
      <c r="EO56"/>
      <c r="EP56"/>
      <c r="EQ56"/>
      <c r="ER56"/>
      <c r="ES56"/>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row>
    <row r="57" spans="1:271" s="4" customFormat="1" ht="5.25" customHeight="1">
      <c r="A57" s="945"/>
      <c r="B57" s="946"/>
      <c r="C57" s="950"/>
      <c r="D57" s="950"/>
      <c r="E57" s="950"/>
      <c r="F57" s="948"/>
      <c r="G57" s="947"/>
      <c r="H57" s="949"/>
      <c r="I57" s="950"/>
      <c r="J57" s="950"/>
      <c r="K57" s="948"/>
      <c r="L57" s="947"/>
      <c r="M57" s="949"/>
      <c r="N57" s="950"/>
      <c r="O57" s="950"/>
      <c r="P57" s="948"/>
      <c r="Q57" s="947"/>
      <c r="R57" s="949"/>
      <c r="S57" s="950"/>
      <c r="T57" s="950"/>
      <c r="U57" s="948"/>
      <c r="V57" s="947"/>
      <c r="W57" s="949"/>
      <c r="X57" s="950"/>
      <c r="Y57" s="950"/>
      <c r="Z57" s="948"/>
      <c r="AA57" s="947"/>
      <c r="AB57" s="949"/>
      <c r="AC57" s="950"/>
      <c r="AD57" s="950"/>
      <c r="AE57" s="948"/>
      <c r="AF57" s="947"/>
      <c r="AG57" s="949"/>
      <c r="AH57" s="950"/>
      <c r="AI57" s="950"/>
      <c r="AJ57" s="948"/>
      <c r="AK57" s="947"/>
      <c r="AL57" s="949"/>
      <c r="AM57" s="950"/>
      <c r="AN57" s="950"/>
      <c r="AO57" s="948"/>
      <c r="AP57" s="947"/>
      <c r="AQ57" s="949"/>
      <c r="AR57" s="950"/>
      <c r="AS57" s="950"/>
      <c r="AT57" s="948"/>
      <c r="AU57" s="802"/>
      <c r="AV57" s="950"/>
      <c r="AW57" s="950"/>
      <c r="AX57" s="948"/>
      <c r="AY57" s="947"/>
      <c r="AZ57" s="949"/>
      <c r="BA57" s="950"/>
      <c r="BB57" s="950"/>
      <c r="BC57" s="948"/>
      <c r="BD57" s="947"/>
      <c r="BE57" s="949"/>
      <c r="BF57" s="950"/>
      <c r="BG57" s="950"/>
      <c r="BH57" s="948"/>
      <c r="BI57" s="947"/>
      <c r="BJ57" s="949"/>
      <c r="BK57" s="950"/>
      <c r="BL57" s="950"/>
      <c r="BM57" s="948"/>
      <c r="BN57" s="947"/>
      <c r="BO57" s="949"/>
      <c r="BP57" s="950"/>
      <c r="BQ57" s="950"/>
      <c r="BR57" s="948"/>
      <c r="BS57" s="947"/>
      <c r="BT57" s="949"/>
      <c r="BU57" s="950"/>
      <c r="BV57" s="950"/>
      <c r="BW57" s="948"/>
      <c r="BX57" s="947"/>
      <c r="BY57" s="949"/>
      <c r="BZ57" s="950"/>
      <c r="CA57" s="950"/>
      <c r="CB57" s="948"/>
      <c r="CC57" s="947"/>
      <c r="CD57" s="949"/>
      <c r="CE57" s="950"/>
      <c r="CF57" s="950"/>
      <c r="CG57" s="948"/>
      <c r="CH57" s="947"/>
      <c r="CI57" s="949"/>
      <c r="CJ57" s="950"/>
      <c r="CK57" s="950"/>
      <c r="CL57" s="948"/>
      <c r="CM57" s="947"/>
      <c r="CN57" s="949"/>
      <c r="CO57" s="950"/>
      <c r="CP57" s="950"/>
      <c r="CQ57" s="948"/>
      <c r="CR57" s="947"/>
      <c r="CS57" s="949"/>
      <c r="CT57" s="950"/>
      <c r="CU57" s="950"/>
      <c r="CV57" s="950"/>
      <c r="CW57" s="950"/>
      <c r="CX57" s="949"/>
      <c r="CY57" s="950"/>
      <c r="CZ57" s="950"/>
      <c r="DA57" s="950"/>
      <c r="DB57" s="950"/>
      <c r="DC57" s="949"/>
      <c r="DD57" s="950"/>
      <c r="DE57" s="950"/>
      <c r="DF57" s="950"/>
      <c r="DG57" s="950"/>
      <c r="DH57" s="949"/>
      <c r="DI57" s="950"/>
      <c r="DJ57" s="950"/>
      <c r="DK57" s="950"/>
      <c r="DL57" s="950"/>
      <c r="DM57" s="949"/>
      <c r="DN57" s="950"/>
      <c r="DO57" s="950"/>
      <c r="DP57" s="950"/>
      <c r="DQ57" s="950"/>
      <c r="DR57" s="949"/>
      <c r="DS57" s="950"/>
      <c r="DT57" s="950"/>
      <c r="DU57" s="950"/>
      <c r="DV57" s="950"/>
      <c r="DW57" s="949"/>
      <c r="DX57" s="950"/>
      <c r="DY57" s="950"/>
      <c r="DZ57" s="950"/>
      <c r="EA57" s="950"/>
      <c r="EB57" s="949"/>
      <c r="EC57" s="950"/>
      <c r="ED57" s="950"/>
      <c r="EE57" s="950"/>
      <c r="EF57" s="950"/>
      <c r="EG57" s="949"/>
      <c r="EH57" s="950"/>
      <c r="EI57" s="950"/>
      <c r="EJ57" s="950"/>
      <c r="EK57" s="950"/>
      <c r="EL57" s="949"/>
      <c r="EM57" s="950"/>
      <c r="EN57"/>
      <c r="EO57"/>
      <c r="EP57"/>
      <c r="EQ57"/>
      <c r="ER57"/>
      <c r="ES57"/>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row>
    <row r="58" spans="1:271" s="4" customFormat="1" ht="12" customHeight="1">
      <c r="A58" s="945"/>
      <c r="B58" s="946" t="s">
        <v>567</v>
      </c>
      <c r="C58" s="951"/>
      <c r="D58" s="951"/>
      <c r="E58" s="951"/>
      <c r="F58" s="951"/>
      <c r="G58" s="952">
        <f t="shared" ref="G58:AT58" si="159">G67/G50</f>
        <v>1.7925478348439075</v>
      </c>
      <c r="H58" s="953">
        <f t="shared" si="159"/>
        <v>1.7925478348439075</v>
      </c>
      <c r="I58" s="952">
        <f t="shared" si="159"/>
        <v>1.6642765563417066</v>
      </c>
      <c r="J58" s="952">
        <f t="shared" si="159"/>
        <v>1.499108280254777</v>
      </c>
      <c r="K58" s="952">
        <f t="shared" si="159"/>
        <v>1.2659462308908802</v>
      </c>
      <c r="L58" s="952">
        <f t="shared" si="159"/>
        <v>1.2333080424886191</v>
      </c>
      <c r="M58" s="953">
        <f t="shared" si="159"/>
        <v>1.2333080424886191</v>
      </c>
      <c r="N58" s="952">
        <f t="shared" si="159"/>
        <v>1.1729864679065054</v>
      </c>
      <c r="O58" s="952">
        <f t="shared" si="159"/>
        <v>1.1864591385004566</v>
      </c>
      <c r="P58" s="952">
        <f t="shared" si="159"/>
        <v>1.4119085990560609</v>
      </c>
      <c r="Q58" s="952">
        <f t="shared" si="159"/>
        <v>1.5663771712158809</v>
      </c>
      <c r="R58" s="953">
        <f t="shared" si="159"/>
        <v>1.5663771712158809</v>
      </c>
      <c r="S58" s="952">
        <f t="shared" si="159"/>
        <v>1.5720201123927833</v>
      </c>
      <c r="T58" s="952">
        <f t="shared" si="159"/>
        <v>1.6</v>
      </c>
      <c r="U58" s="952">
        <f t="shared" si="159"/>
        <v>1.561873815326293</v>
      </c>
      <c r="V58" s="952">
        <f t="shared" si="159"/>
        <v>1.6410905002810567</v>
      </c>
      <c r="W58" s="953">
        <f t="shared" si="159"/>
        <v>1.6410905002810567</v>
      </c>
      <c r="X58" s="952">
        <f t="shared" si="159"/>
        <v>1.6478296478296479</v>
      </c>
      <c r="Y58" s="952">
        <f t="shared" si="159"/>
        <v>1.635351966873706</v>
      </c>
      <c r="Z58" s="952">
        <f t="shared" si="159"/>
        <v>1.6438459602315632</v>
      </c>
      <c r="AA58" s="952">
        <f t="shared" si="159"/>
        <v>1.6630490956072352</v>
      </c>
      <c r="AB58" s="953">
        <f t="shared" si="159"/>
        <v>1.6630490956072352</v>
      </c>
      <c r="AC58" s="952">
        <f t="shared" si="159"/>
        <v>1.6621963562753037</v>
      </c>
      <c r="AD58" s="952">
        <f t="shared" si="159"/>
        <v>1.4223526534605038</v>
      </c>
      <c r="AE58" s="952">
        <f t="shared" si="159"/>
        <v>1.4642944187180111</v>
      </c>
      <c r="AF58" s="952">
        <f t="shared" si="159"/>
        <v>1.3962124938514511</v>
      </c>
      <c r="AG58" s="953">
        <f t="shared" si="159"/>
        <v>1.3962124938514511</v>
      </c>
      <c r="AH58" s="952">
        <f t="shared" si="159"/>
        <v>1.2657815047752154</v>
      </c>
      <c r="AI58" s="952">
        <f t="shared" si="159"/>
        <v>1.1029668411867364</v>
      </c>
      <c r="AJ58" s="952">
        <f t="shared" si="159"/>
        <v>0.98582995951417007</v>
      </c>
      <c r="AK58" s="952">
        <f t="shared" si="159"/>
        <v>0.8322504430005907</v>
      </c>
      <c r="AL58" s="953">
        <f t="shared" si="159"/>
        <v>0.8322504430005907</v>
      </c>
      <c r="AM58" s="952">
        <f t="shared" si="159"/>
        <v>0.83118849356548075</v>
      </c>
      <c r="AN58" s="952">
        <f t="shared" si="159"/>
        <v>0.82173174872665533</v>
      </c>
      <c r="AO58" s="952">
        <f t="shared" si="159"/>
        <v>0.78627630375114366</v>
      </c>
      <c r="AP58" s="952">
        <f t="shared" si="159"/>
        <v>0.7150738565581064</v>
      </c>
      <c r="AQ58" s="953">
        <f t="shared" si="159"/>
        <v>0.7150738565581064</v>
      </c>
      <c r="AR58" s="952">
        <f t="shared" si="159"/>
        <v>0.6112905968372726</v>
      </c>
      <c r="AS58" s="952">
        <f t="shared" si="159"/>
        <v>0.66502630239266924</v>
      </c>
      <c r="AT58" s="952">
        <f t="shared" si="159"/>
        <v>0.70548420687261371</v>
      </c>
      <c r="AU58" s="802"/>
      <c r="AV58" s="951"/>
      <c r="AW58" s="951"/>
      <c r="AX58" s="951"/>
      <c r="AY58" s="952">
        <f t="shared" ref="AY58:CD58" si="160">AY67/AY50</f>
        <v>0.68478070941813729</v>
      </c>
      <c r="AZ58" s="953">
        <f t="shared" si="160"/>
        <v>0.68478070941813729</v>
      </c>
      <c r="BA58" s="952">
        <f t="shared" si="160"/>
        <v>0.70799233849904231</v>
      </c>
      <c r="BB58" s="952">
        <f t="shared" si="160"/>
        <v>0.73205568613270655</v>
      </c>
      <c r="BC58" s="952">
        <f t="shared" si="160"/>
        <v>0.76915781487101664</v>
      </c>
      <c r="BD58" s="952">
        <f t="shared" si="160"/>
        <v>0.93029121761063971</v>
      </c>
      <c r="BE58" s="953">
        <f t="shared" si="160"/>
        <v>0.93029121761063971</v>
      </c>
      <c r="BF58" s="952">
        <f t="shared" si="160"/>
        <v>0.94845360824742264</v>
      </c>
      <c r="BG58" s="952">
        <f t="shared" si="160"/>
        <v>1.161306920504245</v>
      </c>
      <c r="BH58" s="952">
        <f t="shared" si="160"/>
        <v>1.1725123408677578</v>
      </c>
      <c r="BI58" s="952">
        <f t="shared" si="160"/>
        <v>2.5612009237875291</v>
      </c>
      <c r="BJ58" s="953">
        <f t="shared" si="160"/>
        <v>2.5612009237875291</v>
      </c>
      <c r="BK58" s="952">
        <f t="shared" si="160"/>
        <v>2.7864190365641321</v>
      </c>
      <c r="BL58" s="952">
        <f t="shared" si="160"/>
        <v>2.8110005851375073</v>
      </c>
      <c r="BM58" s="952">
        <f t="shared" si="160"/>
        <v>3.6276435045317221</v>
      </c>
      <c r="BN58" s="952">
        <f t="shared" si="160"/>
        <v>4.7042115572967678</v>
      </c>
      <c r="BO58" s="953">
        <f t="shared" si="160"/>
        <v>4.7042115572967678</v>
      </c>
      <c r="BP58" s="952">
        <f t="shared" si="160"/>
        <v>4.3712465878070974</v>
      </c>
      <c r="BQ58" s="952">
        <f t="shared" si="160"/>
        <v>6.7977369165487973</v>
      </c>
      <c r="BR58" s="952">
        <f t="shared" si="160"/>
        <v>7.6022187004754356</v>
      </c>
      <c r="BS58" s="952">
        <f t="shared" si="160"/>
        <v>18.113636363636363</v>
      </c>
      <c r="BT58" s="953">
        <f t="shared" si="160"/>
        <v>18.113636363636363</v>
      </c>
      <c r="BU58" s="952">
        <f t="shared" si="160"/>
        <v>28.646706586826348</v>
      </c>
      <c r="BV58" s="952">
        <f t="shared" si="160"/>
        <v>32.120805369127517</v>
      </c>
      <c r="BW58" s="952">
        <f t="shared" si="160"/>
        <v>47.198019801980195</v>
      </c>
      <c r="BX58" s="952">
        <f t="shared" si="160"/>
        <v>88.370370370370367</v>
      </c>
      <c r="BY58" s="953">
        <f t="shared" si="160"/>
        <v>88.370370370370367</v>
      </c>
      <c r="BZ58" s="952">
        <f t="shared" si="160"/>
        <v>149.21875</v>
      </c>
      <c r="CA58" s="952">
        <f t="shared" si="160"/>
        <v>164.72413793103448</v>
      </c>
      <c r="CB58" s="952">
        <f t="shared" si="160"/>
        <v>35.139705882352942</v>
      </c>
      <c r="CC58" s="952">
        <f t="shared" si="160"/>
        <v>46.407766990291265</v>
      </c>
      <c r="CD58" s="953">
        <f t="shared" si="160"/>
        <v>46.407766990291265</v>
      </c>
      <c r="CE58" s="952">
        <f t="shared" ref="CE58:DJ58" si="161">CE67/CE50</f>
        <v>15.948453608247423</v>
      </c>
      <c r="CF58" s="952">
        <f t="shared" si="161"/>
        <v>16.174825174825173</v>
      </c>
      <c r="CG58" s="952">
        <f t="shared" si="161"/>
        <v>6.819488817891374</v>
      </c>
      <c r="CH58" s="952">
        <f t="shared" si="161"/>
        <v>6.6160990712074303</v>
      </c>
      <c r="CI58" s="953">
        <f t="shared" si="161"/>
        <v>6.6160990712074303</v>
      </c>
      <c r="CJ58" s="952">
        <f t="shared" si="161"/>
        <v>5.7821380243572396</v>
      </c>
      <c r="CK58" s="952">
        <f t="shared" si="161"/>
        <v>5.5362694300518136</v>
      </c>
      <c r="CL58" s="952">
        <f t="shared" si="161"/>
        <v>2.3722969023962595</v>
      </c>
      <c r="CM58" s="952">
        <f t="shared" si="161"/>
        <v>2.3012457531143826</v>
      </c>
      <c r="CN58" s="953">
        <f t="shared" si="161"/>
        <v>2.3012457531143826</v>
      </c>
      <c r="CO58" s="952">
        <f t="shared" si="161"/>
        <v>2.2136659436008679</v>
      </c>
      <c r="CP58" s="952">
        <f t="shared" si="161"/>
        <v>2.2745856353591161</v>
      </c>
      <c r="CQ58" s="952">
        <f t="shared" si="161"/>
        <v>2.4116607773851588</v>
      </c>
      <c r="CR58" s="952">
        <f t="shared" si="161"/>
        <v>3.0639494026704148</v>
      </c>
      <c r="CS58" s="953">
        <f t="shared" si="161"/>
        <v>3.0639494026704148</v>
      </c>
      <c r="CT58" s="952">
        <f t="shared" si="161"/>
        <v>3.1390410958904109</v>
      </c>
      <c r="CU58" s="952">
        <f t="shared" si="161"/>
        <v>4.0374149659863949</v>
      </c>
      <c r="CV58" s="952">
        <f t="shared" si="161"/>
        <v>3.8815359477124183</v>
      </c>
      <c r="CW58" s="952">
        <f t="shared" si="161"/>
        <v>4.5949256342957128</v>
      </c>
      <c r="CX58" s="953">
        <f t="shared" si="161"/>
        <v>4.5949256342957128</v>
      </c>
      <c r="CY58" s="952">
        <f t="shared" si="161"/>
        <v>5.6006191950464395</v>
      </c>
      <c r="CZ58" s="952">
        <f t="shared" si="161"/>
        <v>6.2960893854748603</v>
      </c>
      <c r="DA58" s="952">
        <f t="shared" si="161"/>
        <v>7.0581818181818186</v>
      </c>
      <c r="DB58" s="952">
        <f t="shared" si="161"/>
        <v>14.356291390728478</v>
      </c>
      <c r="DC58" s="953">
        <f t="shared" si="161"/>
        <v>14.356291390728478</v>
      </c>
      <c r="DD58" s="952">
        <f t="shared" si="161"/>
        <v>15.431318681318681</v>
      </c>
      <c r="DE58" s="952">
        <f t="shared" si="161"/>
        <v>15.994467496542185</v>
      </c>
      <c r="DF58" s="952">
        <f t="shared" si="161"/>
        <v>15.718367346938775</v>
      </c>
      <c r="DG58" s="952">
        <f t="shared" si="161"/>
        <v>18.136712749615974</v>
      </c>
      <c r="DH58" s="953">
        <f t="shared" si="161"/>
        <v>18.136712749615974</v>
      </c>
      <c r="DI58" s="952">
        <f t="shared" si="161"/>
        <v>14.224076281287246</v>
      </c>
      <c r="DJ58" s="952">
        <f t="shared" si="161"/>
        <v>18.37359900373599</v>
      </c>
      <c r="DK58" s="952">
        <f t="shared" ref="DK58:DR58" si="162">DK67/DK50</f>
        <v>18.396508728179551</v>
      </c>
      <c r="DL58" s="952">
        <f t="shared" si="162"/>
        <v>20.998552821997105</v>
      </c>
      <c r="DM58" s="953">
        <f t="shared" si="162"/>
        <v>20.998552821997105</v>
      </c>
      <c r="DN58" s="952">
        <f t="shared" si="162"/>
        <v>23.235199999999999</v>
      </c>
      <c r="DO58" s="952">
        <f t="shared" si="162"/>
        <v>27.726577437858509</v>
      </c>
      <c r="DP58" s="952">
        <f t="shared" si="162"/>
        <v>27.475378787878789</v>
      </c>
      <c r="DQ58" s="952">
        <f>DQ67/DQ50</f>
        <v>36.582733812949641</v>
      </c>
      <c r="DR58" s="953">
        <f t="shared" si="162"/>
        <v>36.582733812949641</v>
      </c>
      <c r="DS58" s="952">
        <f>DS67/DS50</f>
        <v>35.390697674418604</v>
      </c>
      <c r="DT58" s="952">
        <f>DT67/DT50</f>
        <v>40.630026809651476</v>
      </c>
      <c r="DU58" s="952">
        <f>DU67/DU50</f>
        <v>620.04166666666663</v>
      </c>
      <c r="DV58" s="952">
        <f>DV67/DV50</f>
        <v>-101.61224489795919</v>
      </c>
      <c r="DW58" s="953">
        <f>DW67/DW50</f>
        <v>-101.61224489795919</v>
      </c>
      <c r="DX58" s="952">
        <f t="shared" ref="DX58:EG58" si="163">DX67/DX50</f>
        <v>-465.81245732512781</v>
      </c>
      <c r="DY58" s="952">
        <f t="shared" si="163"/>
        <v>110.37436329149797</v>
      </c>
      <c r="DZ58" s="952">
        <f t="shared" si="163"/>
        <v>48.602384228683405</v>
      </c>
      <c r="EA58" s="952">
        <f t="shared" si="163"/>
        <v>30.635126764874123</v>
      </c>
      <c r="EB58" s="953">
        <f t="shared" si="163"/>
        <v>30.635126764874123</v>
      </c>
      <c r="EC58" s="952">
        <f t="shared" si="163"/>
        <v>22.298791586102379</v>
      </c>
      <c r="ED58" s="952">
        <f t="shared" si="163"/>
        <v>17.660131410614294</v>
      </c>
      <c r="EE58" s="952">
        <f t="shared" si="163"/>
        <v>14.534408595742182</v>
      </c>
      <c r="EF58" s="952">
        <f t="shared" si="163"/>
        <v>12.126926707687074</v>
      </c>
      <c r="EG58" s="953">
        <f t="shared" si="163"/>
        <v>12.126926707687074</v>
      </c>
      <c r="EH58" s="952">
        <f t="shared" ref="EH58:EL58" si="164">EH67/EH50</f>
        <v>10.293385463016575</v>
      </c>
      <c r="EI58" s="952">
        <f t="shared" si="164"/>
        <v>8.8778399302565578</v>
      </c>
      <c r="EJ58" s="952">
        <f t="shared" si="164"/>
        <v>7.7827171302464428</v>
      </c>
      <c r="EK58" s="952">
        <f t="shared" si="164"/>
        <v>6.9251234331861946</v>
      </c>
      <c r="EL58" s="953">
        <f t="shared" si="164"/>
        <v>6.9251234331861946</v>
      </c>
      <c r="EM58" s="951"/>
      <c r="EN58"/>
      <c r="EO58"/>
      <c r="EP58"/>
      <c r="EQ58"/>
      <c r="ER58"/>
      <c r="ES58"/>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row>
    <row r="59" spans="1:271" s="4" customFormat="1" ht="12" customHeight="1">
      <c r="A59" s="945"/>
      <c r="B59" s="946" t="s">
        <v>568</v>
      </c>
      <c r="C59" s="951"/>
      <c r="D59" s="951"/>
      <c r="E59" s="951"/>
      <c r="F59" s="951"/>
      <c r="G59" s="952">
        <f t="shared" ref="G59:AT59" si="165">G66/G50</f>
        <v>1.7145015105740182</v>
      </c>
      <c r="H59" s="953">
        <f t="shared" si="165"/>
        <v>1.7145015105740182</v>
      </c>
      <c r="I59" s="952">
        <f t="shared" si="165"/>
        <v>1.6137518400683792</v>
      </c>
      <c r="J59" s="952">
        <f t="shared" si="165"/>
        <v>1.4571549893842888</v>
      </c>
      <c r="K59" s="952">
        <f t="shared" si="165"/>
        <v>1.2229460049702536</v>
      </c>
      <c r="L59" s="952">
        <f t="shared" si="165"/>
        <v>1.199544764795144</v>
      </c>
      <c r="M59" s="953">
        <f t="shared" si="165"/>
        <v>1.199544764795144</v>
      </c>
      <c r="N59" s="952">
        <f t="shared" si="165"/>
        <v>1.1353209349446414</v>
      </c>
      <c r="O59" s="952">
        <f t="shared" si="165"/>
        <v>1.1665027053615344</v>
      </c>
      <c r="P59" s="952">
        <f t="shared" si="165"/>
        <v>1.3942672959594797</v>
      </c>
      <c r="Q59" s="952">
        <f t="shared" si="165"/>
        <v>1.5555210918114144</v>
      </c>
      <c r="R59" s="953">
        <f t="shared" si="165"/>
        <v>1.5555210918114144</v>
      </c>
      <c r="S59" s="952">
        <f t="shared" si="165"/>
        <v>1.541555752735877</v>
      </c>
      <c r="T59" s="952">
        <f t="shared" si="165"/>
        <v>1.5959537572254334</v>
      </c>
      <c r="U59" s="952">
        <f t="shared" si="165"/>
        <v>1.5572705117790415</v>
      </c>
      <c r="V59" s="952">
        <f t="shared" si="165"/>
        <v>1.6346261944912872</v>
      </c>
      <c r="W59" s="953">
        <f t="shared" si="165"/>
        <v>1.6346261944912872</v>
      </c>
      <c r="X59" s="952">
        <f t="shared" si="165"/>
        <v>1.6420966420966421</v>
      </c>
      <c r="Y59" s="952">
        <f t="shared" si="165"/>
        <v>1.6270703933747412</v>
      </c>
      <c r="Z59" s="952">
        <f t="shared" si="165"/>
        <v>1.628492323181475</v>
      </c>
      <c r="AA59" s="952">
        <f t="shared" si="165"/>
        <v>1.6555555555555554</v>
      </c>
      <c r="AB59" s="953">
        <f t="shared" si="165"/>
        <v>1.6555555555555554</v>
      </c>
      <c r="AC59" s="952">
        <f t="shared" si="165"/>
        <v>1.6561234817813766</v>
      </c>
      <c r="AD59" s="952">
        <f t="shared" si="165"/>
        <v>1.4147713377353877</v>
      </c>
      <c r="AE59" s="952">
        <f t="shared" si="165"/>
        <v>1.4550329027540825</v>
      </c>
      <c r="AF59" s="952">
        <f t="shared" si="165"/>
        <v>1.3630103295622233</v>
      </c>
      <c r="AG59" s="953">
        <f t="shared" si="165"/>
        <v>1.3630103295622233</v>
      </c>
      <c r="AH59" s="952">
        <f t="shared" si="165"/>
        <v>1.2464477055672025</v>
      </c>
      <c r="AI59" s="952">
        <f t="shared" si="165"/>
        <v>1.0850785340314135</v>
      </c>
      <c r="AJ59" s="952">
        <f t="shared" si="165"/>
        <v>0.97429149797570846</v>
      </c>
      <c r="AK59" s="952">
        <f t="shared" si="165"/>
        <v>0.82004331561330968</v>
      </c>
      <c r="AL59" s="953">
        <f t="shared" si="165"/>
        <v>0.82004331561330968</v>
      </c>
      <c r="AM59" s="952">
        <f t="shared" si="165"/>
        <v>0.81869795609386831</v>
      </c>
      <c r="AN59" s="952">
        <f t="shared" si="165"/>
        <v>0.80984719864176569</v>
      </c>
      <c r="AO59" s="952">
        <f t="shared" si="165"/>
        <v>0.77676120768526991</v>
      </c>
      <c r="AP59" s="952">
        <f t="shared" si="165"/>
        <v>0.70831108738209647</v>
      </c>
      <c r="AQ59" s="953">
        <f t="shared" si="165"/>
        <v>0.70831108738209647</v>
      </c>
      <c r="AR59" s="952">
        <f t="shared" si="165"/>
        <v>0.60414895425947968</v>
      </c>
      <c r="AS59" s="952">
        <f t="shared" si="165"/>
        <v>0.65823858815543868</v>
      </c>
      <c r="AT59" s="952">
        <f t="shared" si="165"/>
        <v>0.685005206525512</v>
      </c>
      <c r="AU59" s="802"/>
      <c r="AV59" s="951"/>
      <c r="AW59" s="951"/>
      <c r="AX59" s="951"/>
      <c r="AY59" s="952">
        <f t="shared" ref="AY59:CD59" si="166">AY66/AY50</f>
        <v>0.64808666783155688</v>
      </c>
      <c r="AZ59" s="953">
        <f t="shared" si="166"/>
        <v>0.64808666783155688</v>
      </c>
      <c r="BA59" s="952">
        <f t="shared" si="166"/>
        <v>0.6844854605606826</v>
      </c>
      <c r="BB59" s="952">
        <f t="shared" si="166"/>
        <v>0.69209907792442593</v>
      </c>
      <c r="BC59" s="952">
        <f t="shared" si="166"/>
        <v>0.72761760242792106</v>
      </c>
      <c r="BD59" s="952">
        <f t="shared" si="166"/>
        <v>0.78835129557440953</v>
      </c>
      <c r="BE59" s="953">
        <f t="shared" si="166"/>
        <v>0.78835129557440953</v>
      </c>
      <c r="BF59" s="952">
        <f t="shared" si="166"/>
        <v>0.82966260543580128</v>
      </c>
      <c r="BG59" s="952">
        <f t="shared" si="166"/>
        <v>0.85438641625932599</v>
      </c>
      <c r="BH59" s="952">
        <f t="shared" si="166"/>
        <v>0.82878669784359571</v>
      </c>
      <c r="BI59" s="952">
        <f t="shared" si="166"/>
        <v>2.0317551963048497</v>
      </c>
      <c r="BJ59" s="953">
        <f t="shared" si="166"/>
        <v>2.0317551963048497</v>
      </c>
      <c r="BK59" s="952">
        <f t="shared" si="166"/>
        <v>1.7649448636099825</v>
      </c>
      <c r="BL59" s="952">
        <f t="shared" si="166"/>
        <v>1.7244002340550029</v>
      </c>
      <c r="BM59" s="952">
        <f t="shared" si="166"/>
        <v>2.3111782477341389</v>
      </c>
      <c r="BN59" s="952">
        <f t="shared" si="166"/>
        <v>3.3594515181194908</v>
      </c>
      <c r="BO59" s="953">
        <f t="shared" si="166"/>
        <v>3.3594515181194908</v>
      </c>
      <c r="BP59" s="952">
        <f t="shared" si="166"/>
        <v>3.484076433121019</v>
      </c>
      <c r="BQ59" s="952">
        <f t="shared" si="166"/>
        <v>5.9943422913719946</v>
      </c>
      <c r="BR59" s="952">
        <f t="shared" si="166"/>
        <v>6.3201267828843104</v>
      </c>
      <c r="BS59" s="952">
        <f t="shared" si="166"/>
        <v>15.143939393939394</v>
      </c>
      <c r="BT59" s="953">
        <f t="shared" si="166"/>
        <v>15.143939393939394</v>
      </c>
      <c r="BU59" s="952">
        <f t="shared" si="166"/>
        <v>25.149700598802394</v>
      </c>
      <c r="BV59" s="952">
        <f t="shared" si="166"/>
        <v>27.590604026845636</v>
      </c>
      <c r="BW59" s="952">
        <f t="shared" si="166"/>
        <v>40.712871287128714</v>
      </c>
      <c r="BX59" s="952">
        <f t="shared" si="166"/>
        <v>77.777777777777771</v>
      </c>
      <c r="BY59" s="953">
        <f t="shared" si="166"/>
        <v>77.777777777777771</v>
      </c>
      <c r="BZ59" s="952">
        <f t="shared" si="166"/>
        <v>140.53125</v>
      </c>
      <c r="CA59" s="952">
        <f t="shared" si="166"/>
        <v>152.58620689655172</v>
      </c>
      <c r="CB59" s="952">
        <f t="shared" si="166"/>
        <v>31.022058823529413</v>
      </c>
      <c r="CC59" s="952">
        <f t="shared" si="166"/>
        <v>41.349514563106794</v>
      </c>
      <c r="CD59" s="953">
        <f t="shared" si="166"/>
        <v>41.349514563106794</v>
      </c>
      <c r="CE59" s="952">
        <f t="shared" ref="CE59:DJ59" si="167">CE66/CE50</f>
        <v>13.687285223367697</v>
      </c>
      <c r="CF59" s="952">
        <f t="shared" si="167"/>
        <v>13.503496503496503</v>
      </c>
      <c r="CG59" s="952">
        <f t="shared" si="167"/>
        <v>5.6469648562300323</v>
      </c>
      <c r="CH59" s="952">
        <f t="shared" si="167"/>
        <v>5.5448916408668731</v>
      </c>
      <c r="CI59" s="953">
        <f t="shared" si="167"/>
        <v>5.5448916408668731</v>
      </c>
      <c r="CJ59" s="952">
        <f t="shared" si="167"/>
        <v>4.9824086603518269</v>
      </c>
      <c r="CK59" s="952">
        <f t="shared" si="167"/>
        <v>4.6139896373056999</v>
      </c>
      <c r="CL59" s="952">
        <f t="shared" si="167"/>
        <v>2.1390999415546466</v>
      </c>
      <c r="CM59" s="952">
        <f t="shared" si="167"/>
        <v>2.0713476783691958</v>
      </c>
      <c r="CN59" s="953">
        <f t="shared" si="167"/>
        <v>2.0713476783691958</v>
      </c>
      <c r="CO59" s="952">
        <f t="shared" si="167"/>
        <v>2.0677874186550977</v>
      </c>
      <c r="CP59" s="952">
        <f t="shared" si="167"/>
        <v>2.1287292817679559</v>
      </c>
      <c r="CQ59" s="952">
        <f t="shared" si="167"/>
        <v>2.3027090694935217</v>
      </c>
      <c r="CR59" s="952">
        <f t="shared" si="167"/>
        <v>2.9845397048489106</v>
      </c>
      <c r="CS59" s="953">
        <f t="shared" si="167"/>
        <v>2.9845397048489106</v>
      </c>
      <c r="CT59" s="952">
        <f t="shared" si="167"/>
        <v>3.0678082191780822</v>
      </c>
      <c r="CU59" s="952">
        <f t="shared" si="167"/>
        <v>3.9676870748299318</v>
      </c>
      <c r="CV59" s="952">
        <f t="shared" si="167"/>
        <v>3.8137254901960786</v>
      </c>
      <c r="CW59" s="952">
        <f t="shared" si="167"/>
        <v>4.2764654418197727</v>
      </c>
      <c r="CX59" s="953">
        <f t="shared" si="167"/>
        <v>4.2764654418197727</v>
      </c>
      <c r="CY59" s="952">
        <f t="shared" si="167"/>
        <v>5.5025799793601653</v>
      </c>
      <c r="CZ59" s="952">
        <f t="shared" si="167"/>
        <v>6.1955307262569832</v>
      </c>
      <c r="DA59" s="952">
        <f t="shared" si="167"/>
        <v>6.958787878787879</v>
      </c>
      <c r="DB59" s="952">
        <f t="shared" si="167"/>
        <v>14.206622516556292</v>
      </c>
      <c r="DC59" s="953">
        <f t="shared" si="167"/>
        <v>14.206622516556292</v>
      </c>
      <c r="DD59" s="952">
        <f t="shared" si="167"/>
        <v>15.237637362637363</v>
      </c>
      <c r="DE59" s="952">
        <f t="shared" si="167"/>
        <v>15.432918395573997</v>
      </c>
      <c r="DF59" s="952">
        <f t="shared" si="167"/>
        <v>15.44625850340136</v>
      </c>
      <c r="DG59" s="952">
        <f t="shared" si="167"/>
        <v>17.840245775729645</v>
      </c>
      <c r="DH59" s="953">
        <f t="shared" si="167"/>
        <v>17.840245775729645</v>
      </c>
      <c r="DI59" s="952">
        <f t="shared" si="167"/>
        <v>14.00357568533969</v>
      </c>
      <c r="DJ59" s="952">
        <f t="shared" si="167"/>
        <v>18.001245330012452</v>
      </c>
      <c r="DK59" s="952">
        <f t="shared" ref="DK59:DR59" si="168">DK66/DK50</f>
        <v>17.835411471321695</v>
      </c>
      <c r="DL59" s="952">
        <f t="shared" si="168"/>
        <v>20.483357452966715</v>
      </c>
      <c r="DM59" s="953">
        <f t="shared" si="168"/>
        <v>20.483357452966715</v>
      </c>
      <c r="DN59" s="952">
        <f t="shared" si="168"/>
        <v>22.070399999999999</v>
      </c>
      <c r="DO59" s="952">
        <f t="shared" si="168"/>
        <v>26.472275334608032</v>
      </c>
      <c r="DP59" s="952">
        <f t="shared" si="168"/>
        <v>26.246212121212121</v>
      </c>
      <c r="DQ59" s="952">
        <f>DQ66/DQ50</f>
        <v>34.865707434052759</v>
      </c>
      <c r="DR59" s="953">
        <f t="shared" si="168"/>
        <v>36.582733812949641</v>
      </c>
      <c r="DS59" s="952">
        <f>DS66/DS50</f>
        <v>34.060465116279069</v>
      </c>
      <c r="DT59" s="952">
        <f>DT66/DT50</f>
        <v>39.356568364611263</v>
      </c>
      <c r="DU59" s="952">
        <f>DU66/DU50</f>
        <v>602.16666666666663</v>
      </c>
      <c r="DV59" s="952">
        <f>DV66/DV50</f>
        <v>-97.455782312925166</v>
      </c>
      <c r="DW59" s="953">
        <f>DW66/DW50</f>
        <v>-97.455782312925166</v>
      </c>
      <c r="DX59" s="952">
        <f t="shared" ref="DX59:EG59" si="169">DX66/DX50</f>
        <v>-439.0526703496331</v>
      </c>
      <c r="DY59" s="952">
        <f t="shared" si="169"/>
        <v>105.58007035336041</v>
      </c>
      <c r="DZ59" s="952">
        <f t="shared" si="169"/>
        <v>45.626961148634642</v>
      </c>
      <c r="EA59" s="952">
        <f t="shared" si="169"/>
        <v>29.340798076155423</v>
      </c>
      <c r="EB59" s="953">
        <f t="shared" si="169"/>
        <v>29.340798076155423</v>
      </c>
      <c r="EC59" s="952">
        <f t="shared" si="169"/>
        <v>21.673200408411621</v>
      </c>
      <c r="ED59" s="952">
        <f t="shared" si="169"/>
        <v>16.975980089767233</v>
      </c>
      <c r="EE59" s="952">
        <f t="shared" si="169"/>
        <v>13.788075077563109</v>
      </c>
      <c r="EF59" s="952">
        <f t="shared" si="169"/>
        <v>11.481970748207988</v>
      </c>
      <c r="EG59" s="953">
        <f t="shared" si="169"/>
        <v>11.481970748207988</v>
      </c>
      <c r="EH59" s="952">
        <f t="shared" ref="EH59:EL59" si="170">EH66/EH50</f>
        <v>9.7817349632929602</v>
      </c>
      <c r="EI59" s="952">
        <f t="shared" si="170"/>
        <v>8.467278179931256</v>
      </c>
      <c r="EJ59" s="952">
        <f t="shared" si="170"/>
        <v>7.387171796580744</v>
      </c>
      <c r="EK59" s="952">
        <f t="shared" si="170"/>
        <v>6.6668722083166125</v>
      </c>
      <c r="EL59" s="953">
        <f t="shared" si="170"/>
        <v>6.6668722083166125</v>
      </c>
      <c r="EM59" s="951"/>
      <c r="EN59"/>
      <c r="EO59"/>
      <c r="EP59"/>
      <c r="EQ59"/>
      <c r="ER59"/>
      <c r="ES59"/>
      <c r="ET59" s="135"/>
      <c r="EU59" s="135"/>
      <c r="EV59" s="135"/>
      <c r="EW59" s="135"/>
      <c r="EX59" s="135"/>
      <c r="EY59" s="135"/>
      <c r="EZ59" s="135"/>
      <c r="FA59" s="135"/>
      <c r="FB59" s="135"/>
      <c r="FC59" s="135"/>
      <c r="FD59" s="135"/>
      <c r="FE59" s="135"/>
      <c r="FF59" s="135"/>
      <c r="FG59" s="135"/>
      <c r="FH59" s="135"/>
      <c r="FI59" s="135"/>
      <c r="FJ59" s="135"/>
      <c r="FK59" s="135"/>
      <c r="FL59" s="135"/>
      <c r="FM59" s="135"/>
      <c r="FN59" s="135"/>
      <c r="FO59" s="135"/>
      <c r="FP59" s="135"/>
      <c r="FQ59" s="135"/>
      <c r="FR59" s="135"/>
      <c r="FS59" s="135"/>
      <c r="FT59" s="135"/>
      <c r="FU59" s="135"/>
      <c r="FV59" s="135"/>
      <c r="FW59" s="135"/>
      <c r="FX59" s="135"/>
      <c r="FY59" s="135"/>
      <c r="FZ59" s="135"/>
      <c r="GA59" s="135"/>
      <c r="GB59" s="135"/>
      <c r="GC59" s="135"/>
      <c r="GD59" s="135"/>
      <c r="GE59" s="135"/>
      <c r="GF59" s="135"/>
      <c r="GG59" s="135"/>
      <c r="GH59" s="135"/>
      <c r="GI59" s="135"/>
      <c r="GJ59" s="135"/>
      <c r="GK59" s="135"/>
      <c r="GL59" s="135"/>
      <c r="GM59" s="135"/>
      <c r="GN59" s="135"/>
      <c r="GO59" s="135"/>
      <c r="GP59" s="135"/>
      <c r="GQ59" s="135"/>
      <c r="GR59" s="135"/>
      <c r="GS59" s="135"/>
      <c r="GT59" s="135"/>
      <c r="GU59" s="135"/>
      <c r="GV59" s="135"/>
      <c r="GW59" s="135"/>
      <c r="GX59" s="135"/>
      <c r="GY59" s="135"/>
      <c r="GZ59" s="135"/>
      <c r="HA59" s="135"/>
      <c r="HB59" s="135"/>
      <c r="HC59" s="135"/>
      <c r="HD59" s="135"/>
      <c r="HE59" s="135"/>
      <c r="HF59" s="135"/>
      <c r="HG59" s="135"/>
      <c r="HH59" s="135"/>
      <c r="HI59" s="135"/>
      <c r="HJ59" s="135"/>
      <c r="HK59" s="135"/>
      <c r="HL59" s="135"/>
      <c r="HM59" s="135"/>
      <c r="HN59" s="135"/>
      <c r="HO59" s="135"/>
      <c r="HP59" s="135"/>
      <c r="HQ59" s="135"/>
      <c r="HR59" s="135"/>
      <c r="HS59" s="135"/>
      <c r="HT59" s="135"/>
      <c r="HU59" s="135"/>
      <c r="HV59" s="135"/>
      <c r="HW59" s="135"/>
      <c r="HX59" s="135"/>
      <c r="HY59" s="135"/>
      <c r="HZ59" s="135"/>
      <c r="IA59" s="135"/>
      <c r="IB59" s="135"/>
      <c r="IC59" s="135"/>
      <c r="ID59" s="135"/>
      <c r="IE59" s="135"/>
      <c r="IF59" s="135"/>
      <c r="IG59" s="135"/>
      <c r="IH59" s="135"/>
      <c r="II59" s="135"/>
      <c r="IJ59" s="135"/>
      <c r="IK59" s="135"/>
      <c r="IL59" s="135"/>
      <c r="IM59" s="135"/>
      <c r="IN59" s="135"/>
      <c r="IO59" s="135"/>
      <c r="IP59" s="135"/>
      <c r="IQ59" s="135"/>
      <c r="IR59" s="135"/>
      <c r="IS59" s="135"/>
      <c r="IT59" s="135"/>
      <c r="IU59" s="135"/>
      <c r="IV59" s="135"/>
      <c r="IW59" s="135"/>
      <c r="IX59" s="135"/>
      <c r="IY59" s="135"/>
      <c r="IZ59" s="135"/>
      <c r="JA59" s="135"/>
      <c r="JB59" s="135"/>
      <c r="JC59" s="135"/>
      <c r="JD59" s="135"/>
      <c r="JE59" s="135"/>
      <c r="JF59" s="135"/>
      <c r="JG59" s="135"/>
      <c r="JH59" s="135"/>
    </row>
    <row r="60" spans="1:271" s="4" customFormat="1" ht="5.25" customHeight="1">
      <c r="A60" s="945"/>
      <c r="B60" s="946"/>
      <c r="C60" s="951"/>
      <c r="D60" s="951"/>
      <c r="E60" s="951"/>
      <c r="F60" s="951"/>
      <c r="G60" s="951"/>
      <c r="H60" s="953"/>
      <c r="I60" s="951"/>
      <c r="J60" s="951"/>
      <c r="K60" s="951"/>
      <c r="L60" s="951"/>
      <c r="M60" s="953"/>
      <c r="N60" s="951"/>
      <c r="O60" s="951"/>
      <c r="P60" s="951"/>
      <c r="Q60" s="951"/>
      <c r="R60" s="953"/>
      <c r="S60" s="951"/>
      <c r="T60" s="951"/>
      <c r="U60" s="951"/>
      <c r="V60" s="951"/>
      <c r="W60" s="953"/>
      <c r="X60" s="951"/>
      <c r="Y60" s="951"/>
      <c r="Z60" s="951"/>
      <c r="AA60" s="951"/>
      <c r="AB60" s="953"/>
      <c r="AC60" s="951"/>
      <c r="AD60" s="951"/>
      <c r="AE60" s="951"/>
      <c r="AF60" s="951"/>
      <c r="AG60" s="953"/>
      <c r="AH60" s="951"/>
      <c r="AI60" s="951"/>
      <c r="AJ60" s="951"/>
      <c r="AK60" s="951"/>
      <c r="AL60" s="953"/>
      <c r="AM60" s="951"/>
      <c r="AN60" s="951"/>
      <c r="AO60" s="951"/>
      <c r="AP60" s="951"/>
      <c r="AQ60" s="953"/>
      <c r="AR60" s="951"/>
      <c r="AS60" s="951"/>
      <c r="AT60" s="951"/>
      <c r="AU60" s="802"/>
      <c r="AV60" s="951"/>
      <c r="AW60" s="951"/>
      <c r="AX60" s="951"/>
      <c r="AY60" s="951"/>
      <c r="AZ60" s="953"/>
      <c r="BA60" s="951"/>
      <c r="BB60" s="951"/>
      <c r="BC60" s="951"/>
      <c r="BD60" s="951"/>
      <c r="BE60" s="953"/>
      <c r="BF60" s="951"/>
      <c r="BG60" s="951"/>
      <c r="BH60" s="951"/>
      <c r="BI60" s="951"/>
      <c r="BJ60" s="953"/>
      <c r="BK60" s="951"/>
      <c r="BL60" s="951"/>
      <c r="BM60" s="951"/>
      <c r="BN60" s="951"/>
      <c r="BO60" s="953"/>
      <c r="BP60" s="951"/>
      <c r="BQ60" s="951"/>
      <c r="BR60" s="951"/>
      <c r="BS60" s="951"/>
      <c r="BT60" s="953"/>
      <c r="BU60" s="951"/>
      <c r="BV60" s="951"/>
      <c r="BW60" s="951"/>
      <c r="BX60" s="951"/>
      <c r="BY60" s="953"/>
      <c r="BZ60" s="951"/>
      <c r="CA60" s="951"/>
      <c r="CB60" s="951"/>
      <c r="CC60" s="951"/>
      <c r="CD60" s="953"/>
      <c r="CE60" s="951"/>
      <c r="CF60" s="951"/>
      <c r="CG60" s="951"/>
      <c r="CH60" s="951"/>
      <c r="CI60" s="953"/>
      <c r="CJ60" s="951"/>
      <c r="CK60" s="951"/>
      <c r="CL60" s="951"/>
      <c r="CM60" s="951"/>
      <c r="CN60" s="953"/>
      <c r="CO60" s="951"/>
      <c r="CP60" s="951"/>
      <c r="CQ60" s="951"/>
      <c r="CR60" s="951"/>
      <c r="CS60" s="953"/>
      <c r="CT60" s="951"/>
      <c r="CU60" s="951"/>
      <c r="CV60" s="951"/>
      <c r="CW60" s="951"/>
      <c r="CX60" s="953"/>
      <c r="CY60" s="951"/>
      <c r="CZ60" s="951"/>
      <c r="DA60" s="951"/>
      <c r="DB60" s="951"/>
      <c r="DC60" s="953"/>
      <c r="DD60" s="951"/>
      <c r="DE60" s="951"/>
      <c r="DF60" s="951"/>
      <c r="DG60" s="951"/>
      <c r="DH60" s="953"/>
      <c r="DI60" s="951"/>
      <c r="DJ60" s="951"/>
      <c r="DK60" s="951"/>
      <c r="DL60" s="951"/>
      <c r="DM60" s="953"/>
      <c r="DN60" s="951"/>
      <c r="DO60" s="951"/>
      <c r="DP60" s="951"/>
      <c r="DQ60" s="951"/>
      <c r="DR60" s="953"/>
      <c r="DS60" s="951"/>
      <c r="DT60" s="951"/>
      <c r="DU60" s="951"/>
      <c r="DV60" s="951"/>
      <c r="DW60" s="953"/>
      <c r="DX60" s="951"/>
      <c r="DY60" s="951"/>
      <c r="DZ60" s="951"/>
      <c r="EA60" s="951"/>
      <c r="EB60" s="953"/>
      <c r="EC60" s="951"/>
      <c r="ED60" s="951"/>
      <c r="EE60" s="951"/>
      <c r="EF60" s="951"/>
      <c r="EG60" s="953"/>
      <c r="EH60" s="951"/>
      <c r="EI60" s="951"/>
      <c r="EJ60" s="951"/>
      <c r="EK60" s="951"/>
      <c r="EL60" s="953"/>
      <c r="EM60" s="951"/>
      <c r="EN60"/>
      <c r="EO60"/>
      <c r="EP60"/>
      <c r="EQ60"/>
      <c r="ER60"/>
      <c r="ES60"/>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row>
    <row r="61" spans="1:271" s="4" customFormat="1" ht="12" customHeight="1">
      <c r="A61" s="945"/>
      <c r="B61" s="946" t="s">
        <v>569</v>
      </c>
      <c r="C61" s="951"/>
      <c r="D61" s="951"/>
      <c r="E61" s="951"/>
      <c r="F61" s="951"/>
      <c r="G61" s="952">
        <f t="shared" ref="G61:AT61" si="171">+G67/G64</f>
        <v>5.7142857142857144</v>
      </c>
      <c r="H61" s="953">
        <f t="shared" si="171"/>
        <v>5.7142857142857144</v>
      </c>
      <c r="I61" s="952">
        <f t="shared" si="171"/>
        <v>4.6457496586736662</v>
      </c>
      <c r="J61" s="952">
        <f t="shared" si="171"/>
        <v>3.8957857450259872</v>
      </c>
      <c r="K61" s="952">
        <f t="shared" si="171"/>
        <v>3.1732593368632664</v>
      </c>
      <c r="L61" s="952">
        <f t="shared" si="171"/>
        <v>2.9581437670609647</v>
      </c>
      <c r="M61" s="953">
        <f t="shared" si="171"/>
        <v>2.9581437670609647</v>
      </c>
      <c r="N61" s="952">
        <f t="shared" si="171"/>
        <v>2.8750443419652369</v>
      </c>
      <c r="O61" s="952">
        <f t="shared" si="171"/>
        <v>2.9479703186381507</v>
      </c>
      <c r="P61" s="952">
        <f t="shared" si="171"/>
        <v>3.840391389432487</v>
      </c>
      <c r="Q61" s="952">
        <f t="shared" si="171"/>
        <v>3.1621790857858501</v>
      </c>
      <c r="R61" s="953">
        <f t="shared" si="171"/>
        <v>3.1621790857858501</v>
      </c>
      <c r="S61" s="952">
        <f t="shared" si="171"/>
        <v>3.0824102534361781</v>
      </c>
      <c r="T61" s="952">
        <f t="shared" si="171"/>
        <v>2.9500159863583084</v>
      </c>
      <c r="U61" s="952">
        <f t="shared" si="171"/>
        <v>2.9686052496139999</v>
      </c>
      <c r="V61" s="952">
        <f t="shared" si="171"/>
        <v>3.2277501381978992</v>
      </c>
      <c r="W61" s="953">
        <f t="shared" si="171"/>
        <v>3.2277501381978992</v>
      </c>
      <c r="X61" s="952">
        <f t="shared" si="171"/>
        <v>3.2381974248927037</v>
      </c>
      <c r="Y61" s="952">
        <f t="shared" si="171"/>
        <v>3.377338321753073</v>
      </c>
      <c r="Z61" s="952">
        <f t="shared" si="171"/>
        <v>3.528363047001621</v>
      </c>
      <c r="AA61" s="952">
        <f t="shared" si="171"/>
        <v>3.4639397201291713</v>
      </c>
      <c r="AB61" s="953">
        <f t="shared" si="171"/>
        <v>3.4639397201291713</v>
      </c>
      <c r="AC61" s="952">
        <f t="shared" si="171"/>
        <v>3.5508108108108107</v>
      </c>
      <c r="AD61" s="952">
        <f t="shared" si="171"/>
        <v>3.1134903640256959</v>
      </c>
      <c r="AE61" s="952">
        <f t="shared" si="171"/>
        <v>3.1455497382198954</v>
      </c>
      <c r="AF61" s="952">
        <f t="shared" si="171"/>
        <v>2.9338501291989663</v>
      </c>
      <c r="AG61" s="953">
        <f t="shared" si="171"/>
        <v>2.9338501291989663</v>
      </c>
      <c r="AH61" s="952">
        <f t="shared" si="171"/>
        <v>2.7238095238095239</v>
      </c>
      <c r="AI61" s="952">
        <f t="shared" si="171"/>
        <v>2.4507998061076104</v>
      </c>
      <c r="AJ61" s="952">
        <f t="shared" si="171"/>
        <v>2.2746380196170013</v>
      </c>
      <c r="AK61" s="952">
        <f t="shared" si="171"/>
        <v>1.8836898395721926</v>
      </c>
      <c r="AL61" s="953">
        <f t="shared" si="171"/>
        <v>1.8836898395721926</v>
      </c>
      <c r="AM61" s="952">
        <f t="shared" si="171"/>
        <v>1.8665533361665958</v>
      </c>
      <c r="AN61" s="952">
        <f t="shared" si="171"/>
        <v>1.7465918203688853</v>
      </c>
      <c r="AO61" s="952">
        <f t="shared" si="171"/>
        <v>1.6295032233598787</v>
      </c>
      <c r="AP61" s="952">
        <f t="shared" si="171"/>
        <v>1.4365391490883088</v>
      </c>
      <c r="AQ61" s="953">
        <f t="shared" si="171"/>
        <v>1.4365391490883088</v>
      </c>
      <c r="AR61" s="952">
        <f t="shared" si="171"/>
        <v>1.2282200204988043</v>
      </c>
      <c r="AS61" s="952">
        <f t="shared" si="171"/>
        <v>1.2959656084656084</v>
      </c>
      <c r="AT61" s="952">
        <f t="shared" si="171"/>
        <v>1.442512420156139</v>
      </c>
      <c r="AU61" s="802"/>
      <c r="AV61" s="951"/>
      <c r="AW61" s="951"/>
      <c r="AX61" s="951"/>
      <c r="AY61" s="952">
        <f t="shared" ref="AY61:CD61" si="172">+AY67/AY64</f>
        <v>1.4850322091701402</v>
      </c>
      <c r="AZ61" s="953">
        <f t="shared" si="172"/>
        <v>1.4850322091701402</v>
      </c>
      <c r="BA61" s="952">
        <f t="shared" si="172"/>
        <v>1.671875</v>
      </c>
      <c r="BB61" s="952">
        <f t="shared" si="172"/>
        <v>1.9475709475709475</v>
      </c>
      <c r="BC61" s="952">
        <f t="shared" si="172"/>
        <v>2.7888583218707015</v>
      </c>
      <c r="BD61" s="952">
        <f t="shared" si="172"/>
        <v>3.838221381267739</v>
      </c>
      <c r="BE61" s="953">
        <f t="shared" si="172"/>
        <v>3.838221381267739</v>
      </c>
      <c r="BF61" s="952">
        <f t="shared" si="172"/>
        <v>4.985221674876847</v>
      </c>
      <c r="BG61" s="952">
        <f t="shared" si="172"/>
        <v>12.333333333333334</v>
      </c>
      <c r="BH61" s="952">
        <f t="shared" si="172"/>
        <v>10.874698795180723</v>
      </c>
      <c r="BI61" s="952">
        <f t="shared" si="172"/>
        <v>11.522077922077923</v>
      </c>
      <c r="BJ61" s="953">
        <f t="shared" si="172"/>
        <v>11.522077922077923</v>
      </c>
      <c r="BK61" s="952">
        <f t="shared" si="172"/>
        <v>12.341902313624679</v>
      </c>
      <c r="BL61" s="952">
        <f t="shared" si="172"/>
        <v>7.334351145038168</v>
      </c>
      <c r="BM61" s="952">
        <f t="shared" si="172"/>
        <v>7.8097560975609754</v>
      </c>
      <c r="BN61" s="952">
        <f t="shared" si="172"/>
        <v>8.4115586690017512</v>
      </c>
      <c r="BO61" s="953">
        <f t="shared" si="172"/>
        <v>8.4115586690017512</v>
      </c>
      <c r="BP61" s="952">
        <f t="shared" si="172"/>
        <v>8.5632798573975037</v>
      </c>
      <c r="BQ61" s="952">
        <f t="shared" si="172"/>
        <v>7.8657937806873974</v>
      </c>
      <c r="BR61" s="952">
        <f t="shared" si="172"/>
        <v>7.6142857142857139</v>
      </c>
      <c r="BS61" s="952">
        <f t="shared" si="172"/>
        <v>6.9708454810495626</v>
      </c>
      <c r="BT61" s="953">
        <f t="shared" si="172"/>
        <v>6.9708454810495626</v>
      </c>
      <c r="BU61" s="952">
        <f t="shared" si="172"/>
        <v>7.25948406676783</v>
      </c>
      <c r="BV61" s="952">
        <f t="shared" si="172"/>
        <v>7.8976897689768979</v>
      </c>
      <c r="BW61" s="952">
        <f t="shared" si="172"/>
        <v>7.0622222222222222</v>
      </c>
      <c r="BX61" s="952">
        <f t="shared" si="172"/>
        <v>6.9360465116279073</v>
      </c>
      <c r="BY61" s="953">
        <f t="shared" si="172"/>
        <v>6.9360465116279073</v>
      </c>
      <c r="BZ61" s="952">
        <f t="shared" si="172"/>
        <v>6.5143246930422922</v>
      </c>
      <c r="CA61" s="952">
        <f t="shared" si="172"/>
        <v>6.4554054054054051</v>
      </c>
      <c r="CB61" s="952">
        <f t="shared" si="172"/>
        <v>6.6467315716272601</v>
      </c>
      <c r="CC61" s="952">
        <f t="shared" si="172"/>
        <v>6.3563829787234045</v>
      </c>
      <c r="CD61" s="953">
        <f t="shared" si="172"/>
        <v>6.3563829787234045</v>
      </c>
      <c r="CE61" s="952">
        <f t="shared" ref="CE61:DJ61" si="173">+CE67/CE64</f>
        <v>5.8450881612090679</v>
      </c>
      <c r="CF61" s="952">
        <f t="shared" si="173"/>
        <v>5.2748004561003423</v>
      </c>
      <c r="CG61" s="952">
        <f t="shared" si="173"/>
        <v>4.4422476586888662</v>
      </c>
      <c r="CH61" s="952">
        <f t="shared" si="173"/>
        <v>4.3612244897959185</v>
      </c>
      <c r="CI61" s="953">
        <f t="shared" si="173"/>
        <v>4.3612244897959185</v>
      </c>
      <c r="CJ61" s="952">
        <f t="shared" si="173"/>
        <v>4.264471057884232</v>
      </c>
      <c r="CK61" s="952">
        <f t="shared" si="173"/>
        <v>4.173828125</v>
      </c>
      <c r="CL61" s="952">
        <f t="shared" si="173"/>
        <v>4.1124620060790278</v>
      </c>
      <c r="CM61" s="952">
        <f t="shared" si="173"/>
        <v>3.8704761904761904</v>
      </c>
      <c r="CN61" s="953">
        <f t="shared" si="173"/>
        <v>3.8704761904761904</v>
      </c>
      <c r="CO61" s="952">
        <f t="shared" si="173"/>
        <v>3.6349065004452359</v>
      </c>
      <c r="CP61" s="952">
        <f t="shared" si="173"/>
        <v>3.6433628318584073</v>
      </c>
      <c r="CQ61" s="952">
        <f t="shared" si="173"/>
        <v>3.6595174262734584</v>
      </c>
      <c r="CR61" s="952">
        <f t="shared" si="173"/>
        <v>3.8721136767317939</v>
      </c>
      <c r="CS61" s="953">
        <f t="shared" si="173"/>
        <v>3.8721136767317939</v>
      </c>
      <c r="CT61" s="952">
        <f t="shared" si="173"/>
        <v>4.3032863849765262</v>
      </c>
      <c r="CU61" s="952">
        <f t="shared" si="173"/>
        <v>4.404452690166976</v>
      </c>
      <c r="CV61" s="952">
        <f t="shared" si="173"/>
        <v>4.1134199134199134</v>
      </c>
      <c r="CW61" s="952">
        <f t="shared" si="173"/>
        <v>4.3657522859517872</v>
      </c>
      <c r="CX61" s="953">
        <f t="shared" si="173"/>
        <v>4.3657522859517872</v>
      </c>
      <c r="CY61" s="952">
        <f t="shared" si="173"/>
        <v>4.6503856041131106</v>
      </c>
      <c r="CZ61" s="952">
        <f t="shared" si="173"/>
        <v>4.6378600823045266</v>
      </c>
      <c r="DA61" s="952">
        <f t="shared" si="173"/>
        <v>4.7188006482982168</v>
      </c>
      <c r="DB61" s="952">
        <f t="shared" si="173"/>
        <v>8.0767511177347249</v>
      </c>
      <c r="DC61" s="953">
        <f t="shared" si="173"/>
        <v>8.0767511177347249</v>
      </c>
      <c r="DD61" s="952">
        <f t="shared" si="173"/>
        <v>7.7209621993127149</v>
      </c>
      <c r="DE61" s="952">
        <f t="shared" si="173"/>
        <v>7.3236225459151365</v>
      </c>
      <c r="DF61" s="952">
        <f t="shared" si="173"/>
        <v>6.6017142857142854</v>
      </c>
      <c r="DG61" s="952">
        <f t="shared" si="173"/>
        <v>6.0486680327868854</v>
      </c>
      <c r="DH61" s="953">
        <f t="shared" si="173"/>
        <v>6.0486680327868854</v>
      </c>
      <c r="DI61" s="952">
        <f t="shared" si="173"/>
        <v>5.6991404011461322</v>
      </c>
      <c r="DJ61" s="952">
        <f t="shared" si="173"/>
        <v>6.7002724795640329</v>
      </c>
      <c r="DK61" s="952">
        <f t="shared" ref="DK61:DR61" si="174">+DK67/DK64</f>
        <v>6.3897791251624083</v>
      </c>
      <c r="DL61" s="952">
        <f t="shared" si="174"/>
        <v>5.8935824532900085</v>
      </c>
      <c r="DM61" s="953">
        <f t="shared" si="174"/>
        <v>5.8935824532900085</v>
      </c>
      <c r="DN61" s="952">
        <f t="shared" si="174"/>
        <v>5.7038491751767477</v>
      </c>
      <c r="DO61" s="952">
        <f t="shared" si="174"/>
        <v>5.588053949903661</v>
      </c>
      <c r="DP61" s="952">
        <f t="shared" si="174"/>
        <v>5.5817622162370144</v>
      </c>
      <c r="DQ61" s="952">
        <f>+DQ67/DQ64</f>
        <v>6.3220058019063403</v>
      </c>
      <c r="DR61" s="953">
        <f t="shared" si="174"/>
        <v>6.3220058019063403</v>
      </c>
      <c r="DS61" s="952">
        <f>+DS67/DS64</f>
        <v>6.5397507520412548</v>
      </c>
      <c r="DT61" s="952">
        <f>+DT67/DT64</f>
        <v>6.6469298245614032</v>
      </c>
      <c r="DU61" s="952">
        <f>+DU67/DU64</f>
        <v>6.7122237257555257</v>
      </c>
      <c r="DV61" s="952">
        <f>+DV67/DV64</f>
        <v>6.1117021276595747</v>
      </c>
      <c r="DW61" s="953">
        <f>+DW67/DW64</f>
        <v>6.1117021276595747</v>
      </c>
      <c r="DX61" s="952">
        <f t="shared" ref="DX61:EG61" si="175">+DX67/DX64</f>
        <v>5.7269524549883704</v>
      </c>
      <c r="DY61" s="952">
        <f t="shared" si="175"/>
        <v>5.3557253733361696</v>
      </c>
      <c r="DZ61" s="952">
        <f t="shared" si="175"/>
        <v>5.0885811909812464</v>
      </c>
      <c r="EA61" s="952">
        <f t="shared" si="175"/>
        <v>5.2969364407547728</v>
      </c>
      <c r="EB61" s="953">
        <f t="shared" si="175"/>
        <v>5.2969364407547728</v>
      </c>
      <c r="EC61" s="952">
        <f t="shared" si="175"/>
        <v>5.2221978287401152</v>
      </c>
      <c r="ED61" s="952">
        <f t="shared" si="175"/>
        <v>5.217652635483927</v>
      </c>
      <c r="EE61" s="952">
        <f t="shared" si="175"/>
        <v>5.1934824778143467</v>
      </c>
      <c r="EF61" s="952">
        <f t="shared" si="175"/>
        <v>5.1152993747019053</v>
      </c>
      <c r="EG61" s="953">
        <f t="shared" si="175"/>
        <v>5.1152993747019053</v>
      </c>
      <c r="EH61" s="952">
        <f t="shared" ref="EH61:EL61" si="176">+EH67/EH64</f>
        <v>4.971176969683496</v>
      </c>
      <c r="EI61" s="952">
        <f t="shared" si="176"/>
        <v>4.843164578323651</v>
      </c>
      <c r="EJ61" s="952">
        <f t="shared" si="176"/>
        <v>4.7382542358139155</v>
      </c>
      <c r="EK61" s="952">
        <f t="shared" si="176"/>
        <v>4.6635084374908571</v>
      </c>
      <c r="EL61" s="953">
        <f t="shared" si="176"/>
        <v>4.6635084374908571</v>
      </c>
      <c r="EM61" s="951"/>
      <c r="EN61"/>
      <c r="EO61"/>
      <c r="EP61"/>
      <c r="EQ61"/>
      <c r="ER61"/>
      <c r="ES61"/>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row>
    <row r="62" spans="1:271" s="4" customFormat="1" ht="12" customHeight="1">
      <c r="A62" s="945"/>
      <c r="B62" s="946" t="s">
        <v>570</v>
      </c>
      <c r="C62" s="951"/>
      <c r="D62" s="951"/>
      <c r="E62" s="951"/>
      <c r="F62" s="951"/>
      <c r="G62" s="952">
        <f t="shared" ref="G62:AT62" si="177">+G66/G64</f>
        <v>5.4654895666131624</v>
      </c>
      <c r="H62" s="953">
        <f t="shared" si="177"/>
        <v>5.4654895666131624</v>
      </c>
      <c r="I62" s="952">
        <f t="shared" si="177"/>
        <v>4.5047122917246591</v>
      </c>
      <c r="J62" s="952">
        <f t="shared" si="177"/>
        <v>3.7867602432107343</v>
      </c>
      <c r="K62" s="952">
        <f t="shared" si="177"/>
        <v>3.0654736623533516</v>
      </c>
      <c r="L62" s="952">
        <f t="shared" si="177"/>
        <v>2.8771610555050047</v>
      </c>
      <c r="M62" s="953">
        <f t="shared" si="177"/>
        <v>2.8771610555050047</v>
      </c>
      <c r="N62" s="952">
        <f t="shared" si="177"/>
        <v>2.7827243703440945</v>
      </c>
      <c r="O62" s="952">
        <f t="shared" si="177"/>
        <v>2.8983849847228296</v>
      </c>
      <c r="P62" s="952">
        <f t="shared" si="177"/>
        <v>3.7924070450097864</v>
      </c>
      <c r="Q62" s="952">
        <f t="shared" si="177"/>
        <v>3.1402629931120871</v>
      </c>
      <c r="R62" s="953">
        <f t="shared" si="177"/>
        <v>3.1402629931120871</v>
      </c>
      <c r="S62" s="952">
        <f t="shared" si="177"/>
        <v>3.0226758684683652</v>
      </c>
      <c r="T62" s="952">
        <f t="shared" si="177"/>
        <v>2.9425556858147721</v>
      </c>
      <c r="U62" s="952">
        <f t="shared" si="177"/>
        <v>2.959855892949049</v>
      </c>
      <c r="V62" s="952">
        <f t="shared" si="177"/>
        <v>3.2150359314538419</v>
      </c>
      <c r="W62" s="953">
        <f t="shared" si="177"/>
        <v>3.2150359314538419</v>
      </c>
      <c r="X62" s="952">
        <f t="shared" si="177"/>
        <v>3.226931330472103</v>
      </c>
      <c r="Y62" s="952">
        <f t="shared" si="177"/>
        <v>3.360235168359166</v>
      </c>
      <c r="Z62" s="952">
        <f t="shared" si="177"/>
        <v>3.4954078876283092</v>
      </c>
      <c r="AA62" s="952">
        <f t="shared" si="177"/>
        <v>3.4483315392895588</v>
      </c>
      <c r="AB62" s="953">
        <f t="shared" si="177"/>
        <v>3.4483315392895588</v>
      </c>
      <c r="AC62" s="952">
        <f t="shared" si="177"/>
        <v>3.5378378378378379</v>
      </c>
      <c r="AD62" s="952">
        <f t="shared" si="177"/>
        <v>3.0968950749464668</v>
      </c>
      <c r="AE62" s="952">
        <f t="shared" si="177"/>
        <v>3.1256544502617802</v>
      </c>
      <c r="AF62" s="952">
        <f t="shared" si="177"/>
        <v>2.8640826873385015</v>
      </c>
      <c r="AG62" s="953">
        <f t="shared" si="177"/>
        <v>2.8640826873385015</v>
      </c>
      <c r="AH62" s="952">
        <f t="shared" si="177"/>
        <v>2.6822055137844614</v>
      </c>
      <c r="AI62" s="952">
        <f t="shared" si="177"/>
        <v>2.411051866214251</v>
      </c>
      <c r="AJ62" s="952">
        <f t="shared" si="177"/>
        <v>2.2480149462867818</v>
      </c>
      <c r="AK62" s="952">
        <f t="shared" si="177"/>
        <v>1.856060606060606</v>
      </c>
      <c r="AL62" s="953">
        <f t="shared" si="177"/>
        <v>1.856060606060606</v>
      </c>
      <c r="AM62" s="952">
        <f t="shared" si="177"/>
        <v>1.8385040373990651</v>
      </c>
      <c r="AN62" s="952">
        <f t="shared" si="177"/>
        <v>1.7213311948676824</v>
      </c>
      <c r="AO62" s="952">
        <f t="shared" si="177"/>
        <v>1.6097838452787259</v>
      </c>
      <c r="AP62" s="952">
        <f t="shared" si="177"/>
        <v>1.4229531641043975</v>
      </c>
      <c r="AQ62" s="953">
        <f t="shared" si="177"/>
        <v>1.4229531641043975</v>
      </c>
      <c r="AR62" s="952">
        <f t="shared" si="177"/>
        <v>1.2138708575333106</v>
      </c>
      <c r="AS62" s="952">
        <f t="shared" si="177"/>
        <v>1.2827380952380953</v>
      </c>
      <c r="AT62" s="952">
        <f t="shared" si="177"/>
        <v>1.4006387508871541</v>
      </c>
      <c r="AU62" s="802"/>
      <c r="AV62" s="951"/>
      <c r="AW62" s="951"/>
      <c r="AX62" s="951"/>
      <c r="AY62" s="952">
        <f t="shared" ref="AY62:CD62" si="178">+AY66/AY64</f>
        <v>1.405456612353164</v>
      </c>
      <c r="AZ62" s="953">
        <f t="shared" si="178"/>
        <v>1.405456612353164</v>
      </c>
      <c r="BA62" s="952">
        <f t="shared" si="178"/>
        <v>1.6163651315789473</v>
      </c>
      <c r="BB62" s="952">
        <f t="shared" si="178"/>
        <v>1.8412698412698412</v>
      </c>
      <c r="BC62" s="952">
        <f t="shared" si="178"/>
        <v>2.6382393397524071</v>
      </c>
      <c r="BD62" s="952">
        <f t="shared" si="178"/>
        <v>3.2526017029328287</v>
      </c>
      <c r="BE62" s="953">
        <f t="shared" si="178"/>
        <v>3.2526017029328287</v>
      </c>
      <c r="BF62" s="952">
        <f t="shared" si="178"/>
        <v>4.360837438423645</v>
      </c>
      <c r="BG62" s="952">
        <f t="shared" si="178"/>
        <v>9.0737704918032787</v>
      </c>
      <c r="BH62" s="952">
        <f t="shared" si="178"/>
        <v>7.6867469879518069</v>
      </c>
      <c r="BI62" s="952">
        <f t="shared" si="178"/>
        <v>9.1402597402597401</v>
      </c>
      <c r="BJ62" s="953">
        <f t="shared" si="178"/>
        <v>9.1402597402597401</v>
      </c>
      <c r="BK62" s="952">
        <f t="shared" si="178"/>
        <v>7.8174807197943448</v>
      </c>
      <c r="BL62" s="952">
        <f t="shared" si="178"/>
        <v>4.4992366412213745</v>
      </c>
      <c r="BM62" s="952">
        <f t="shared" si="178"/>
        <v>4.975609756097561</v>
      </c>
      <c r="BN62" s="952">
        <f t="shared" si="178"/>
        <v>6.0070052539404557</v>
      </c>
      <c r="BO62" s="953">
        <f t="shared" si="178"/>
        <v>6.0070052539404557</v>
      </c>
      <c r="BP62" s="952">
        <f t="shared" si="178"/>
        <v>6.8253119429590017</v>
      </c>
      <c r="BQ62" s="952">
        <f t="shared" si="178"/>
        <v>6.9361702127659575</v>
      </c>
      <c r="BR62" s="952">
        <f t="shared" si="178"/>
        <v>6.3301587301587299</v>
      </c>
      <c r="BS62" s="952">
        <f t="shared" si="178"/>
        <v>5.8279883381924202</v>
      </c>
      <c r="BT62" s="953">
        <f t="shared" si="178"/>
        <v>5.8279883381924202</v>
      </c>
      <c r="BU62" s="952">
        <f t="shared" si="178"/>
        <v>6.3732928679817906</v>
      </c>
      <c r="BV62" s="952">
        <f t="shared" si="178"/>
        <v>6.7838283828382835</v>
      </c>
      <c r="BW62" s="952">
        <f t="shared" si="178"/>
        <v>6.0918518518518523</v>
      </c>
      <c r="BX62" s="952">
        <f t="shared" si="178"/>
        <v>6.1046511627906979</v>
      </c>
      <c r="BY62" s="953">
        <f t="shared" si="178"/>
        <v>6.1046511627906979</v>
      </c>
      <c r="BZ62" s="952">
        <f t="shared" si="178"/>
        <v>6.1350613915416101</v>
      </c>
      <c r="CA62" s="952">
        <f t="shared" si="178"/>
        <v>5.9797297297297298</v>
      </c>
      <c r="CB62" s="952">
        <f t="shared" si="178"/>
        <v>5.8678720445062584</v>
      </c>
      <c r="CC62" s="952">
        <f t="shared" si="178"/>
        <v>5.6635638297872344</v>
      </c>
      <c r="CD62" s="953">
        <f t="shared" si="178"/>
        <v>5.6635638297872344</v>
      </c>
      <c r="CE62" s="952">
        <f t="shared" ref="CE62:DJ62" si="179">+CE66/CE64</f>
        <v>5.0163727959697733</v>
      </c>
      <c r="CF62" s="952">
        <f t="shared" si="179"/>
        <v>4.4036488027366021</v>
      </c>
      <c r="CG62" s="952">
        <f t="shared" si="179"/>
        <v>3.6784599375650364</v>
      </c>
      <c r="CH62" s="952">
        <f t="shared" si="179"/>
        <v>3.6551020408163266</v>
      </c>
      <c r="CI62" s="953">
        <f t="shared" si="179"/>
        <v>3.6551020408163266</v>
      </c>
      <c r="CJ62" s="952">
        <f t="shared" si="179"/>
        <v>3.6746506986027945</v>
      </c>
      <c r="CK62" s="952">
        <f t="shared" si="179"/>
        <v>3.478515625</v>
      </c>
      <c r="CL62" s="952">
        <f t="shared" si="179"/>
        <v>3.7082066869300911</v>
      </c>
      <c r="CM62" s="952">
        <f t="shared" si="179"/>
        <v>3.4838095238095237</v>
      </c>
      <c r="CN62" s="953">
        <f t="shared" si="179"/>
        <v>3.4838095238095237</v>
      </c>
      <c r="CO62" s="952">
        <f t="shared" si="179"/>
        <v>3.3953695458593054</v>
      </c>
      <c r="CP62" s="952">
        <f t="shared" si="179"/>
        <v>3.4097345132743362</v>
      </c>
      <c r="CQ62" s="952">
        <f t="shared" si="179"/>
        <v>3.4941912421805181</v>
      </c>
      <c r="CR62" s="952">
        <f t="shared" si="179"/>
        <v>3.7717584369449377</v>
      </c>
      <c r="CS62" s="953">
        <f t="shared" si="179"/>
        <v>3.7717584369449377</v>
      </c>
      <c r="CT62" s="952">
        <f t="shared" si="179"/>
        <v>4.2056338028169016</v>
      </c>
      <c r="CU62" s="952">
        <f t="shared" si="179"/>
        <v>4.3283858998144709</v>
      </c>
      <c r="CV62" s="952">
        <f t="shared" si="179"/>
        <v>4.0415584415584416</v>
      </c>
      <c r="CW62" s="952">
        <f t="shared" si="179"/>
        <v>4.0631753948462181</v>
      </c>
      <c r="CX62" s="953">
        <f t="shared" si="179"/>
        <v>4.0631753948462181</v>
      </c>
      <c r="CY62" s="952">
        <f t="shared" si="179"/>
        <v>4.5689802913453299</v>
      </c>
      <c r="CZ62" s="952">
        <f t="shared" si="179"/>
        <v>4.5637860082304531</v>
      </c>
      <c r="DA62" s="952">
        <f t="shared" si="179"/>
        <v>4.6523500810372775</v>
      </c>
      <c r="DB62" s="952">
        <f t="shared" si="179"/>
        <v>7.9925484351713862</v>
      </c>
      <c r="DC62" s="953">
        <f t="shared" si="179"/>
        <v>7.9925484351713862</v>
      </c>
      <c r="DD62" s="952">
        <f t="shared" si="179"/>
        <v>7.624054982817869</v>
      </c>
      <c r="DE62" s="952">
        <f t="shared" si="179"/>
        <v>7.06649778340722</v>
      </c>
      <c r="DF62" s="952">
        <f t="shared" si="179"/>
        <v>6.4874285714285715</v>
      </c>
      <c r="DG62" s="952">
        <f t="shared" si="179"/>
        <v>5.9497950819672134</v>
      </c>
      <c r="DH62" s="953">
        <f t="shared" si="179"/>
        <v>5.9497950819672134</v>
      </c>
      <c r="DI62" s="952">
        <f t="shared" si="179"/>
        <v>5.6107927411652341</v>
      </c>
      <c r="DJ62" s="952">
        <f t="shared" si="179"/>
        <v>6.5644868301544053</v>
      </c>
      <c r="DK62" s="952">
        <f t="shared" ref="DK62:DR62" si="180">+DK66/DK64</f>
        <v>6.1948895625812037</v>
      </c>
      <c r="DL62" s="952">
        <f t="shared" si="180"/>
        <v>5.7489845653939886</v>
      </c>
      <c r="DM62" s="953">
        <f t="shared" si="180"/>
        <v>5.7489845653939886</v>
      </c>
      <c r="DN62" s="952">
        <f t="shared" si="180"/>
        <v>5.4179104477611943</v>
      </c>
      <c r="DO62" s="952">
        <f t="shared" si="180"/>
        <v>5.3352601156069364</v>
      </c>
      <c r="DP62" s="952">
        <f t="shared" si="180"/>
        <v>5.33205078876491</v>
      </c>
      <c r="DQ62" s="952">
        <f>+DQ66/DQ64</f>
        <v>6.0252797347699962</v>
      </c>
      <c r="DR62" s="953">
        <f t="shared" si="180"/>
        <v>6.3220058019063403</v>
      </c>
      <c r="DS62" s="952">
        <f>+DS66/DS64</f>
        <v>6.2939406961753335</v>
      </c>
      <c r="DT62" s="952">
        <f>+DT66/DT64</f>
        <v>6.4385964912280702</v>
      </c>
      <c r="DU62" s="952">
        <f>+DU66/DU64</f>
        <v>6.5187189896256204</v>
      </c>
      <c r="DV62" s="952">
        <f>+DV66/DV64</f>
        <v>5.8617021276595747</v>
      </c>
      <c r="DW62" s="953">
        <f>+DW66/DW64</f>
        <v>5.8617021276595747</v>
      </c>
      <c r="DX62" s="952">
        <f t="shared" ref="DX62:EG62" si="181">+DX66/DX64</f>
        <v>5.3979530362216277</v>
      </c>
      <c r="DY62" s="952">
        <f t="shared" si="181"/>
        <v>5.1230905877729942</v>
      </c>
      <c r="DZ62" s="952">
        <f t="shared" si="181"/>
        <v>4.7770598086328437</v>
      </c>
      <c r="EA62" s="952">
        <f t="shared" si="181"/>
        <v>5.073141812770749</v>
      </c>
      <c r="EB62" s="953">
        <f t="shared" si="181"/>
        <v>5.073141812770749</v>
      </c>
      <c r="EC62" s="952">
        <f t="shared" si="181"/>
        <v>5.0756894012676712</v>
      </c>
      <c r="ED62" s="952">
        <f t="shared" si="181"/>
        <v>5.0155214135077415</v>
      </c>
      <c r="EE62" s="952">
        <f t="shared" si="181"/>
        <v>4.9268001409489832</v>
      </c>
      <c r="EF62" s="952">
        <f t="shared" si="181"/>
        <v>4.8432483517380769</v>
      </c>
      <c r="EG62" s="953">
        <f t="shared" si="181"/>
        <v>4.8432483517380769</v>
      </c>
      <c r="EH62" s="952">
        <f t="shared" ref="EH62:EL62" si="182">+EH66/EH64</f>
        <v>4.7240760338551695</v>
      </c>
      <c r="EI62" s="952">
        <f t="shared" si="182"/>
        <v>4.6191891358724604</v>
      </c>
      <c r="EJ62" s="952">
        <f t="shared" si="182"/>
        <v>4.497439322290445</v>
      </c>
      <c r="EK62" s="952">
        <f t="shared" si="182"/>
        <v>4.4895972028693638</v>
      </c>
      <c r="EL62" s="953">
        <f t="shared" si="182"/>
        <v>4.4895972028693638</v>
      </c>
      <c r="EM62" s="951"/>
      <c r="EN62"/>
      <c r="EO62"/>
      <c r="EP62"/>
      <c r="EQ62"/>
      <c r="ER62"/>
      <c r="ES62"/>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row>
    <row r="63" spans="1:271" s="4" customFormat="1" ht="12" customHeight="1">
      <c r="A63" s="954"/>
      <c r="B63" s="955" t="s">
        <v>571</v>
      </c>
      <c r="C63" s="956"/>
      <c r="D63" s="956"/>
      <c r="E63" s="956"/>
      <c r="F63" s="956"/>
      <c r="G63" s="956">
        <f t="shared" ref="G63:AT63" si="183">+G64/G65</f>
        <v>1.8293399107352595</v>
      </c>
      <c r="H63" s="957">
        <f t="shared" si="183"/>
        <v>4.5144927536231885</v>
      </c>
      <c r="I63" s="956">
        <f t="shared" si="183"/>
        <v>2.446206225680934</v>
      </c>
      <c r="J63" s="956">
        <f t="shared" si="183"/>
        <v>2.7866236162361626</v>
      </c>
      <c r="K63" s="956">
        <f t="shared" si="183"/>
        <v>3.3317924528301894</v>
      </c>
      <c r="L63" s="956">
        <f t="shared" si="183"/>
        <v>3.7078272604588385</v>
      </c>
      <c r="M63" s="957">
        <f t="shared" si="183"/>
        <v>3.5224358974358974</v>
      </c>
      <c r="N63" s="956">
        <f t="shared" si="183"/>
        <v>3.9704225352112665</v>
      </c>
      <c r="O63" s="956">
        <f t="shared" si="183"/>
        <v>4.0852353780313821</v>
      </c>
      <c r="P63" s="956">
        <f t="shared" si="183"/>
        <v>3.0129716981132066</v>
      </c>
      <c r="Q63" s="956">
        <f t="shared" si="183"/>
        <v>2.3499117127722173</v>
      </c>
      <c r="R63" s="957">
        <f t="shared" si="183"/>
        <v>3.829736211031173</v>
      </c>
      <c r="S63" s="956">
        <f t="shared" si="183"/>
        <v>3.8488839285714271</v>
      </c>
      <c r="T63" s="956">
        <f t="shared" si="183"/>
        <v>3.9758474576271174</v>
      </c>
      <c r="U63" s="956">
        <f t="shared" si="183"/>
        <v>4.2609649122807003</v>
      </c>
      <c r="V63" s="956">
        <f t="shared" si="183"/>
        <v>3.7687499999999998</v>
      </c>
      <c r="W63" s="957">
        <f t="shared" si="183"/>
        <v>3.8987068965517242</v>
      </c>
      <c r="X63" s="956">
        <f t="shared" si="183"/>
        <v>3.9159663865546217</v>
      </c>
      <c r="Y63" s="956">
        <f t="shared" si="183"/>
        <v>3.9306722689075628</v>
      </c>
      <c r="Z63" s="956">
        <f t="shared" si="183"/>
        <v>3.793032786885246</v>
      </c>
      <c r="AA63" s="956">
        <f t="shared" si="183"/>
        <v>3.7160000000000002</v>
      </c>
      <c r="AB63" s="957">
        <f t="shared" si="183"/>
        <v>3.8309278350515465</v>
      </c>
      <c r="AC63" s="956">
        <f t="shared" si="183"/>
        <v>3.7298387096774195</v>
      </c>
      <c r="AD63" s="956">
        <f t="shared" si="183"/>
        <v>3.8916666666666666</v>
      </c>
      <c r="AE63" s="956">
        <f t="shared" si="183"/>
        <v>4.0811965811965809</v>
      </c>
      <c r="AF63" s="956">
        <f t="shared" si="183"/>
        <v>4.0995762711864403</v>
      </c>
      <c r="AG63" s="957">
        <f t="shared" si="183"/>
        <v>4.0396659707724423</v>
      </c>
      <c r="AH63" s="956">
        <f t="shared" si="183"/>
        <v>4.0548780487804876</v>
      </c>
      <c r="AI63" s="956">
        <f t="shared" si="183"/>
        <v>4.3707627118644066</v>
      </c>
      <c r="AJ63" s="956">
        <f t="shared" si="183"/>
        <v>4.7367256637168138</v>
      </c>
      <c r="AK63" s="956">
        <f t="shared" si="183"/>
        <v>5.5</v>
      </c>
      <c r="AL63" s="957">
        <f t="shared" si="183"/>
        <v>4.9210526315789478</v>
      </c>
      <c r="AM63" s="956">
        <f t="shared" si="183"/>
        <v>6.0644329896907214</v>
      </c>
      <c r="AN63" s="956">
        <f t="shared" si="183"/>
        <v>7.25</v>
      </c>
      <c r="AO63" s="956">
        <f t="shared" si="183"/>
        <v>8.7899999999999991</v>
      </c>
      <c r="AP63" s="956">
        <f t="shared" si="183"/>
        <v>10.134057971014492</v>
      </c>
      <c r="AQ63" s="957">
        <f t="shared" si="183"/>
        <v>8.5535168195718647</v>
      </c>
      <c r="AR63" s="956">
        <f t="shared" si="183"/>
        <v>11.43359375</v>
      </c>
      <c r="AS63" s="956">
        <f t="shared" si="183"/>
        <v>12.193548387096774</v>
      </c>
      <c r="AT63" s="956">
        <f t="shared" si="183"/>
        <v>10.514925373134329</v>
      </c>
      <c r="AU63" s="913"/>
      <c r="AV63" s="956">
        <f t="shared" ref="AV63:CA63" si="184">+AV64/AV65</f>
        <v>9.3150684931506849</v>
      </c>
      <c r="AW63" s="956">
        <f t="shared" si="184"/>
        <v>9.764705882352942</v>
      </c>
      <c r="AX63" s="956">
        <f t="shared" si="184"/>
        <v>10.42741935483871</v>
      </c>
      <c r="AY63" s="956">
        <f t="shared" si="184"/>
        <v>10.641129032258064</v>
      </c>
      <c r="AZ63" s="957">
        <f t="shared" si="184"/>
        <v>9.9584905660377352</v>
      </c>
      <c r="BA63" s="956">
        <f t="shared" si="184"/>
        <v>8.3287671232876708</v>
      </c>
      <c r="BB63" s="956">
        <f t="shared" si="184"/>
        <v>7.1198630136986303</v>
      </c>
      <c r="BC63" s="956">
        <f t="shared" si="184"/>
        <v>4.9121621621621623</v>
      </c>
      <c r="BD63" s="956">
        <f t="shared" si="184"/>
        <v>3.4769736842105261</v>
      </c>
      <c r="BE63" s="957">
        <f t="shared" si="184"/>
        <v>3.5709459459459461</v>
      </c>
      <c r="BF63" s="956">
        <f t="shared" si="184"/>
        <v>2.6363636363636362</v>
      </c>
      <c r="BG63" s="956">
        <f t="shared" si="184"/>
        <v>1.2534246575342465</v>
      </c>
      <c r="BH63" s="956">
        <f t="shared" si="184"/>
        <v>1.1401098901098901</v>
      </c>
      <c r="BI63" s="956">
        <f t="shared" si="184"/>
        <v>1.0576923076923077</v>
      </c>
      <c r="BJ63" s="957">
        <f t="shared" si="184"/>
        <v>1.1596385542168675</v>
      </c>
      <c r="BK63" s="956">
        <f t="shared" si="184"/>
        <v>0.96287128712871284</v>
      </c>
      <c r="BL63" s="956">
        <f t="shared" si="184"/>
        <v>1.6053921568627452</v>
      </c>
      <c r="BM63" s="956">
        <f t="shared" si="184"/>
        <v>1.5073529411764706</v>
      </c>
      <c r="BN63" s="956">
        <f t="shared" si="184"/>
        <v>1.4275</v>
      </c>
      <c r="BO63" s="957">
        <f t="shared" si="184"/>
        <v>1.4098765432098765</v>
      </c>
      <c r="BP63" s="956">
        <f t="shared" si="184"/>
        <v>1.375</v>
      </c>
      <c r="BQ63" s="956">
        <f t="shared" si="184"/>
        <v>1.5123762376237624</v>
      </c>
      <c r="BR63" s="956">
        <f t="shared" si="184"/>
        <v>1.5144230769230769</v>
      </c>
      <c r="BS63" s="956">
        <f t="shared" si="184"/>
        <v>1.6813725490196079</v>
      </c>
      <c r="BT63" s="957">
        <f t="shared" si="184"/>
        <v>1.6772616136919316</v>
      </c>
      <c r="BU63" s="956">
        <f t="shared" si="184"/>
        <v>1.554245283018868</v>
      </c>
      <c r="BV63" s="956">
        <f t="shared" si="184"/>
        <v>1.4428571428571428</v>
      </c>
      <c r="BW63" s="956">
        <f t="shared" si="184"/>
        <v>1.6071428571428572</v>
      </c>
      <c r="BX63" s="956">
        <f t="shared" si="184"/>
        <v>1.6538461538461537</v>
      </c>
      <c r="BY63" s="957">
        <f t="shared" si="184"/>
        <v>1.638095238095238</v>
      </c>
      <c r="BZ63" s="956">
        <f t="shared" si="184"/>
        <v>1.7620192307692308</v>
      </c>
      <c r="CA63" s="956">
        <f t="shared" si="184"/>
        <v>1.8137254901960784</v>
      </c>
      <c r="CB63" s="956">
        <f t="shared" ref="CB63:DG63" si="185">+CB64/CB65</f>
        <v>1.695754716981132</v>
      </c>
      <c r="CC63" s="956">
        <f t="shared" si="185"/>
        <v>1.7735849056603774</v>
      </c>
      <c r="CD63" s="957">
        <f t="shared" si="185"/>
        <v>1.799043062200957</v>
      </c>
      <c r="CE63" s="956">
        <f t="shared" si="185"/>
        <v>1.8045454545454545</v>
      </c>
      <c r="CF63" s="956">
        <f t="shared" si="185"/>
        <v>1.8270833333333334</v>
      </c>
      <c r="CG63" s="956">
        <f t="shared" si="185"/>
        <v>2.1450892857142856</v>
      </c>
      <c r="CH63" s="956">
        <f t="shared" si="185"/>
        <v>2.378640776699029</v>
      </c>
      <c r="CI63" s="957">
        <f t="shared" si="185"/>
        <v>2.202247191011236</v>
      </c>
      <c r="CJ63" s="956">
        <f t="shared" si="185"/>
        <v>2.2981651376146788</v>
      </c>
      <c r="CK63" s="956">
        <f t="shared" si="185"/>
        <v>2.3925233644859811</v>
      </c>
      <c r="CL63" s="956">
        <f t="shared" si="185"/>
        <v>2.30607476635514</v>
      </c>
      <c r="CM63" s="956">
        <f t="shared" si="185"/>
        <v>2.5990099009900991</v>
      </c>
      <c r="CN63" s="957">
        <f t="shared" si="185"/>
        <v>2.4764150943396226</v>
      </c>
      <c r="CO63" s="956">
        <f t="shared" si="185"/>
        <v>2.3792372881355934</v>
      </c>
      <c r="CP63" s="956">
        <f t="shared" si="185"/>
        <v>2.8826530612244898</v>
      </c>
      <c r="CQ63" s="956">
        <f t="shared" si="185"/>
        <v>4.7415254237288131</v>
      </c>
      <c r="CR63" s="956">
        <f t="shared" si="185"/>
        <v>2.8149999999999999</v>
      </c>
      <c r="CS63" s="957">
        <f t="shared" si="185"/>
        <v>3.0026666666666668</v>
      </c>
      <c r="CT63" s="956">
        <f t="shared" si="185"/>
        <v>2.7168367346938775</v>
      </c>
      <c r="CU63" s="956">
        <f t="shared" si="185"/>
        <v>2.642156862745098</v>
      </c>
      <c r="CV63" s="956">
        <f t="shared" si="185"/>
        <v>2.8033980582524274</v>
      </c>
      <c r="CW63" s="956">
        <f t="shared" si="185"/>
        <v>2.7591743119266057</v>
      </c>
      <c r="CX63" s="957">
        <f t="shared" si="185"/>
        <v>2.9199029126213594</v>
      </c>
      <c r="CY63" s="956">
        <f t="shared" si="185"/>
        <v>2.8325242718446604</v>
      </c>
      <c r="CZ63" s="956">
        <f t="shared" si="185"/>
        <v>3.0994897959183674</v>
      </c>
      <c r="DA63" s="956">
        <f t="shared" si="185"/>
        <v>3.3901098901098901</v>
      </c>
      <c r="DB63" s="956">
        <f t="shared" si="185"/>
        <v>1.8434065934065933</v>
      </c>
      <c r="DC63" s="957">
        <f t="shared" si="185"/>
        <v>2.831223628691983</v>
      </c>
      <c r="DD63" s="956">
        <f t="shared" si="185"/>
        <v>1.9986263736263736</v>
      </c>
      <c r="DE63" s="956">
        <f t="shared" si="185"/>
        <v>2.0776315789473685</v>
      </c>
      <c r="DF63" s="956">
        <f t="shared" si="185"/>
        <v>2.3521505376344085</v>
      </c>
      <c r="DG63" s="956">
        <f t="shared" si="185"/>
        <v>2.489795918367347</v>
      </c>
      <c r="DH63" s="957">
        <f t="shared" ref="DH63:DR63" si="186">+DH64/DH65</f>
        <v>2.5888594164456236</v>
      </c>
      <c r="DI63" s="956">
        <f t="shared" si="186"/>
        <v>2.7159533073929962</v>
      </c>
      <c r="DJ63" s="956">
        <f t="shared" si="186"/>
        <v>2.7593984962406015</v>
      </c>
      <c r="DK63" s="956">
        <f t="shared" si="186"/>
        <v>2.6848837209302325</v>
      </c>
      <c r="DL63" s="956">
        <f t="shared" si="186"/>
        <v>2.6995614035087718</v>
      </c>
      <c r="DM63" s="957">
        <f>+DM64/DM65</f>
        <v>2.6995614035087718</v>
      </c>
      <c r="DN63" s="956">
        <f t="shared" si="186"/>
        <v>2.6631799163179917</v>
      </c>
      <c r="DO63" s="956">
        <f t="shared" si="186"/>
        <v>2.6398779247202442</v>
      </c>
      <c r="DP63" s="956">
        <f t="shared" si="186"/>
        <v>2.6574642126789367</v>
      </c>
      <c r="DQ63" s="956">
        <f>+DQ64/DQ65</f>
        <v>2.4647599591419818</v>
      </c>
      <c r="DR63" s="957">
        <f t="shared" si="186"/>
        <v>2.4647599591419818</v>
      </c>
      <c r="DS63" s="956">
        <f>+DS64/DS65</f>
        <v>2.3410462776659959</v>
      </c>
      <c r="DT63" s="956">
        <f>+DT64/DT65</f>
        <v>2.2574257425742572</v>
      </c>
      <c r="DU63" s="956">
        <f>+DU64/DU65</f>
        <v>2.1650390625</v>
      </c>
      <c r="DV63" s="956">
        <f>+DV64/DV65</f>
        <v>2.377431906614786</v>
      </c>
      <c r="DW63" s="957">
        <f>+DW64/DW65</f>
        <v>2.377431906614786</v>
      </c>
      <c r="DX63" s="956">
        <f t="shared" ref="DX63:EG63" si="187">+DX64/DX65</f>
        <v>2.4816771230281831</v>
      </c>
      <c r="DY63" s="956">
        <f t="shared" si="187"/>
        <v>2.617799834881779</v>
      </c>
      <c r="DZ63" s="956">
        <f t="shared" si="187"/>
        <v>2.8189953579885763</v>
      </c>
      <c r="EA63" s="956">
        <f t="shared" si="187"/>
        <v>2.6721076197923033</v>
      </c>
      <c r="EB63" s="957">
        <f t="shared" si="187"/>
        <v>2.6721076197923033</v>
      </c>
      <c r="EC63" s="956">
        <f t="shared" si="187"/>
        <v>2.765063335228541</v>
      </c>
      <c r="ED63" s="956">
        <f t="shared" si="187"/>
        <v>2.8013388396817409</v>
      </c>
      <c r="EE63" s="956">
        <f t="shared" si="187"/>
        <v>2.8375254920442368</v>
      </c>
      <c r="EF63" s="956">
        <f t="shared" si="187"/>
        <v>2.8927919080584825</v>
      </c>
      <c r="EG63" s="957">
        <f t="shared" si="187"/>
        <v>2.8927919080584825</v>
      </c>
      <c r="EH63" s="956">
        <f t="shared" ref="EH63:EL63" si="188">+EH64/EH65</f>
        <v>2.9359906047005047</v>
      </c>
      <c r="EI63" s="956">
        <f t="shared" si="188"/>
        <v>2.9791469245088837</v>
      </c>
      <c r="EJ63" s="956">
        <f t="shared" si="188"/>
        <v>3.0171768399412815</v>
      </c>
      <c r="EK63" s="956">
        <f t="shared" si="188"/>
        <v>3.0444750735133779</v>
      </c>
      <c r="EL63" s="957">
        <f t="shared" si="188"/>
        <v>3.0444750735133779</v>
      </c>
      <c r="EM63" s="951"/>
      <c r="EN63"/>
      <c r="EO63"/>
      <c r="EP63"/>
      <c r="EQ63"/>
      <c r="ER63"/>
      <c r="ES63"/>
      <c r="ET63" s="135"/>
      <c r="EU63" s="135"/>
      <c r="EV63" s="135"/>
      <c r="EW63" s="135"/>
      <c r="EX63" s="135"/>
      <c r="EY63" s="135"/>
      <c r="EZ63" s="135"/>
      <c r="FA63" s="135"/>
      <c r="FB63" s="135"/>
      <c r="FC63" s="135"/>
      <c r="FD63" s="135"/>
      <c r="FE63" s="135"/>
      <c r="FF63" s="135"/>
      <c r="FG63" s="135"/>
      <c r="FH63" s="135"/>
      <c r="FI63" s="135"/>
      <c r="FJ63" s="135"/>
      <c r="FK63" s="135"/>
      <c r="FL63" s="135"/>
      <c r="FM63" s="135"/>
      <c r="FN63" s="135"/>
      <c r="FO63" s="135"/>
      <c r="FP63" s="135"/>
      <c r="FQ63" s="135"/>
      <c r="FR63" s="135"/>
      <c r="FS63" s="135"/>
      <c r="FT63" s="135"/>
      <c r="FU63" s="135"/>
      <c r="FV63" s="135"/>
      <c r="FW63" s="135"/>
      <c r="FX63" s="135"/>
      <c r="FY63" s="135"/>
      <c r="FZ63" s="135"/>
      <c r="GA63" s="135"/>
      <c r="GB63" s="135"/>
      <c r="GC63" s="135"/>
      <c r="GD63" s="135"/>
      <c r="GE63" s="135"/>
      <c r="GF63" s="135"/>
      <c r="GG63" s="135"/>
      <c r="GH63" s="135"/>
      <c r="GI63" s="135"/>
      <c r="GJ63" s="135"/>
      <c r="GK63" s="135"/>
      <c r="GL63" s="135"/>
      <c r="GM63" s="135"/>
      <c r="GN63" s="135"/>
      <c r="GO63" s="135"/>
      <c r="GP63" s="135"/>
      <c r="GQ63" s="135"/>
      <c r="GR63" s="135"/>
      <c r="GS63" s="135"/>
      <c r="GT63" s="135"/>
      <c r="GU63" s="135"/>
      <c r="GV63" s="135"/>
      <c r="GW63" s="135"/>
      <c r="GX63" s="135"/>
      <c r="GY63" s="135"/>
      <c r="GZ63" s="135"/>
      <c r="HA63" s="135"/>
      <c r="HB63" s="135"/>
      <c r="HC63" s="135"/>
      <c r="HD63" s="135"/>
      <c r="HE63" s="135"/>
      <c r="HF63" s="135"/>
      <c r="HG63" s="135"/>
      <c r="HH63" s="135"/>
      <c r="HI63" s="135"/>
      <c r="HJ63" s="135"/>
      <c r="HK63" s="135"/>
      <c r="HL63" s="135"/>
      <c r="HM63" s="135"/>
      <c r="HN63" s="135"/>
      <c r="HO63" s="135"/>
      <c r="HP63" s="135"/>
      <c r="HQ63" s="135"/>
      <c r="HR63" s="135"/>
      <c r="HS63" s="135"/>
      <c r="HT63" s="135"/>
      <c r="HU63" s="135"/>
      <c r="HV63" s="135"/>
      <c r="HW63" s="135"/>
      <c r="HX63" s="135"/>
      <c r="HY63" s="135"/>
      <c r="HZ63" s="135"/>
      <c r="IA63" s="135"/>
      <c r="IB63" s="135"/>
      <c r="IC63" s="135"/>
      <c r="ID63" s="135"/>
      <c r="IE63" s="135"/>
      <c r="IF63" s="135"/>
      <c r="IG63" s="135"/>
      <c r="IH63" s="135"/>
      <c r="II63" s="135"/>
      <c r="IJ63" s="135"/>
      <c r="IK63" s="135"/>
      <c r="IL63" s="135"/>
      <c r="IM63" s="135"/>
      <c r="IN63" s="135"/>
      <c r="IO63" s="135"/>
      <c r="IP63" s="135"/>
      <c r="IQ63" s="135"/>
      <c r="IR63" s="135"/>
      <c r="IS63" s="135"/>
      <c r="IT63" s="135"/>
      <c r="IU63" s="135"/>
      <c r="IV63" s="135"/>
      <c r="IW63" s="135"/>
      <c r="IX63" s="135"/>
      <c r="IY63" s="135"/>
      <c r="IZ63" s="135"/>
      <c r="JA63" s="135"/>
      <c r="JB63" s="135"/>
      <c r="JC63" s="135"/>
      <c r="JD63" s="135"/>
      <c r="JE63" s="135"/>
      <c r="JF63" s="135"/>
      <c r="JG63" s="135"/>
      <c r="JH63" s="135"/>
    </row>
    <row r="64" spans="1:271" s="4" customFormat="1" ht="12" hidden="1" customHeight="1" outlineLevel="1">
      <c r="A64" s="945"/>
      <c r="B64" s="1228" t="s">
        <v>572</v>
      </c>
      <c r="C64" s="1229"/>
      <c r="D64" s="1229"/>
      <c r="E64" s="1229"/>
      <c r="F64" s="1229"/>
      <c r="G64" s="1230">
        <f>+IS!H85</f>
        <v>623</v>
      </c>
      <c r="H64" s="1231">
        <f>+G64</f>
        <v>623</v>
      </c>
      <c r="I64" s="1230">
        <f>+IS!I85+IS!G85+IS!F85+IS!E85</f>
        <v>754.41</v>
      </c>
      <c r="J64" s="1230">
        <f>+SUM(IS!F85,IS!G85,IS!I85,IS!J85)</f>
        <v>906.21</v>
      </c>
      <c r="K64" s="1230">
        <f>+SUM(IS!G85,IS!I85,IS!J85,IS!K85)</f>
        <v>1059.5100000000002</v>
      </c>
      <c r="L64" s="1230">
        <f>+IS!M85</f>
        <v>1099</v>
      </c>
      <c r="M64" s="1231">
        <f>+L64</f>
        <v>1099</v>
      </c>
      <c r="N64" s="1230">
        <f>+IS!N85+IS!L85+IS!K85+IS!J85</f>
        <v>1127.5999999999997</v>
      </c>
      <c r="O64" s="1230">
        <f>+SUM(IS!K85,IS!L85,IS!N85,IS!O85)</f>
        <v>1145.4999999999995</v>
      </c>
      <c r="P64" s="1230">
        <f>+SUM(IS!L85,IS!N85,IS!O85,IS!P85)</f>
        <v>1277.4999999999995</v>
      </c>
      <c r="Q64" s="1230">
        <f>+IS!R85</f>
        <v>1596.9999999999991</v>
      </c>
      <c r="R64" s="1231">
        <f>+Q64</f>
        <v>1596.9999999999991</v>
      </c>
      <c r="S64" s="1230">
        <f>+IS!S85+IS!Q85+IS!P85+IS!O85</f>
        <v>1724.2999999999993</v>
      </c>
      <c r="T64" s="1230">
        <f>+SUM(IS!P85,IS!Q85,IS!S85,IS!T85)</f>
        <v>1876.5999999999995</v>
      </c>
      <c r="U64" s="1230">
        <f>+SUM(IS!Q85,IS!S85,IS!T85,IS!U85)</f>
        <v>1942.9999999999993</v>
      </c>
      <c r="V64" s="1230">
        <f>+IS!W85</f>
        <v>1809</v>
      </c>
      <c r="W64" s="1231">
        <f>+V64</f>
        <v>1809</v>
      </c>
      <c r="X64" s="1230">
        <f>+IS!X85+IS!V85+IS!U85+IS!T85</f>
        <v>1864</v>
      </c>
      <c r="Y64" s="1230">
        <f>+SUM(IS!U85,IS!V85,IS!X85,IS!Y85)</f>
        <v>1871</v>
      </c>
      <c r="Z64" s="1230">
        <f>+SUM(IS!V85,IS!X85,IS!Y85,IS!Z85)</f>
        <v>1851</v>
      </c>
      <c r="AA64" s="1230">
        <f>+IS!AB85</f>
        <v>1858</v>
      </c>
      <c r="AB64" s="1231">
        <f>+AA64</f>
        <v>1858</v>
      </c>
      <c r="AC64" s="1230">
        <f>+IS!AC85+IS!AA85+IS!Z85+IS!Y85</f>
        <v>1850</v>
      </c>
      <c r="AD64" s="1230">
        <f>+SUM(IS!Z85,IS!AA85,IS!AC85,IS!AD85)</f>
        <v>1868</v>
      </c>
      <c r="AE64" s="1230">
        <f>+SUM(IS!AA85,IS!AC85,IS!AD85,IS!AE85)</f>
        <v>1910</v>
      </c>
      <c r="AF64" s="1230">
        <f>+IS!AG85</f>
        <v>1935</v>
      </c>
      <c r="AG64" s="1231">
        <f>+AF64</f>
        <v>1935</v>
      </c>
      <c r="AH64" s="1230">
        <f>+IS!AH85+IS!AF85+IS!AE85+IS!AD85</f>
        <v>1995</v>
      </c>
      <c r="AI64" s="1230">
        <f>+SUM(IS!AE85,IS!AF85,IS!AH85,IS!AI85)</f>
        <v>2063</v>
      </c>
      <c r="AJ64" s="1230">
        <f>+SUM(IS!AF85,IS!AH85,IS!AI85,IS!AJ85)</f>
        <v>2141</v>
      </c>
      <c r="AK64" s="1230">
        <f>+IS!AL85</f>
        <v>2244</v>
      </c>
      <c r="AL64" s="1231">
        <f>+AK64</f>
        <v>2244</v>
      </c>
      <c r="AM64" s="1230">
        <f>+IS!AM85+IS!AK85+IS!AJ85+IS!AI85</f>
        <v>2353</v>
      </c>
      <c r="AN64" s="1230">
        <f>+SUM(IS!AJ85,IS!AK85,IS!AM85,IS!AN85)</f>
        <v>2494</v>
      </c>
      <c r="AO64" s="1230">
        <f>+SUM(IS!AK85,IS!AM85,IS!AN85,IS!AO85)</f>
        <v>2637</v>
      </c>
      <c r="AP64" s="1230">
        <f>+IS!AQ85</f>
        <v>2797</v>
      </c>
      <c r="AQ64" s="1231">
        <f>+AP64</f>
        <v>2797</v>
      </c>
      <c r="AR64" s="1230">
        <f>+IS!AR85+IS!AP85+IS!AO85+IS!AN85</f>
        <v>2927</v>
      </c>
      <c r="AS64" s="1230">
        <f>+SUM(IS!AO85,IS!AP85,IS!AR85,IS!AS85)</f>
        <v>3024</v>
      </c>
      <c r="AT64" s="1230">
        <f>+SUM(IS!AP85,IS!AR85,IS!AS85,IS!AT85)</f>
        <v>2818</v>
      </c>
      <c r="AU64" s="1232"/>
      <c r="AV64" s="1230">
        <f>+IS!AV85+IS!AT85+IS!AS85+IS!AR85</f>
        <v>2720</v>
      </c>
      <c r="AW64" s="1230">
        <f>+SUM(IS!AS85,IS!AT85,IS!AV85,IS!AW85)</f>
        <v>2656</v>
      </c>
      <c r="AX64" s="1230">
        <f>+SUM(IS!AT85,IS!AV85,IS!AW85,IS!AX85)</f>
        <v>2586</v>
      </c>
      <c r="AY64" s="1230">
        <f>+IS!AZ85</f>
        <v>2639</v>
      </c>
      <c r="AZ64" s="1231">
        <f>+AY64</f>
        <v>2639</v>
      </c>
      <c r="BA64" s="1230">
        <f>+IS!BA85+IS!AY85+IS!AX85+IS!AW85</f>
        <v>2432</v>
      </c>
      <c r="BB64" s="1230">
        <f>+SUM(IS!AX85,IS!AY85,IS!BA85,IS!BB85)</f>
        <v>2079</v>
      </c>
      <c r="BC64" s="1230">
        <f>+SUM(IS!AY85,IS!BA85,IS!BB85,IS!BC85)</f>
        <v>1454</v>
      </c>
      <c r="BD64" s="1230">
        <f>+IS!BE85</f>
        <v>1057</v>
      </c>
      <c r="BE64" s="1231">
        <f>+BD64</f>
        <v>1057</v>
      </c>
      <c r="BF64" s="1230">
        <f>+IS!BF85+IS!BD85+IS!BC85+IS!BB85</f>
        <v>812</v>
      </c>
      <c r="BG64" s="1230">
        <f>+SUM(IS!BC85,IS!BD85,IS!BF85,IS!BG85)</f>
        <v>366</v>
      </c>
      <c r="BH64" s="1230">
        <f>+SUM(IS!BD85,IS!BF85,IS!BG85,IS!BH85)</f>
        <v>415</v>
      </c>
      <c r="BI64" s="1230">
        <f>+IS!BJ85</f>
        <v>385</v>
      </c>
      <c r="BJ64" s="1231">
        <f>+BI64</f>
        <v>385</v>
      </c>
      <c r="BK64" s="1230">
        <f>+IS!BK85+IS!BI85+IS!BH85+IS!BG85</f>
        <v>389</v>
      </c>
      <c r="BL64" s="1230">
        <f>+SUM(IS!BH85,IS!BI85,IS!BK85,IS!BL85)</f>
        <v>655</v>
      </c>
      <c r="BM64" s="1230">
        <f>+SUM(IS!BI85,IS!BK85,IS!BL85,IS!BM85)</f>
        <v>615</v>
      </c>
      <c r="BN64" s="1230">
        <f>+IS!BO85</f>
        <v>571</v>
      </c>
      <c r="BO64" s="1231">
        <f>+BN64</f>
        <v>571</v>
      </c>
      <c r="BP64" s="1230">
        <f>+IS!BP85+IS!BN85+IS!BM85+IS!BL85</f>
        <v>561</v>
      </c>
      <c r="BQ64" s="1230">
        <f>+SUM(IS!BM85,IS!BN85,IS!BP85,IS!BQ85)</f>
        <v>611</v>
      </c>
      <c r="BR64" s="1230">
        <f>+SUM(IS!BN85,IS!BP85,IS!BQ85,IS!BR85)</f>
        <v>630</v>
      </c>
      <c r="BS64" s="1230">
        <f>+IS!BT85</f>
        <v>686</v>
      </c>
      <c r="BT64" s="1231">
        <f>+BS64</f>
        <v>686</v>
      </c>
      <c r="BU64" s="1230">
        <f>+IS!BU85+IS!BS85+IS!BR85+IS!BQ85</f>
        <v>659</v>
      </c>
      <c r="BV64" s="1230">
        <f>+SUM(IS!BR85,IS!BS85,IS!BU85,IS!BV85)</f>
        <v>606</v>
      </c>
      <c r="BW64" s="1230">
        <f>+SUM(IS!BS85,IS!BU85,IS!BV85,IS!BW85)</f>
        <v>675</v>
      </c>
      <c r="BX64" s="1230">
        <f>+IS!BY85</f>
        <v>688</v>
      </c>
      <c r="BY64" s="1231">
        <f>+BX64</f>
        <v>688</v>
      </c>
      <c r="BZ64" s="1230">
        <f>+IS!BZ85+IS!BX85+IS!BW85+IS!BV85</f>
        <v>733</v>
      </c>
      <c r="CA64" s="1230">
        <f>+SUM(IS!BW85,IS!BX85,IS!BZ85,IS!CA85)</f>
        <v>740</v>
      </c>
      <c r="CB64" s="1230">
        <f>+SUM(IS!BX85,IS!BZ85,IS!CA85,IS!CB85)</f>
        <v>719</v>
      </c>
      <c r="CC64" s="1230">
        <f>+IS!CD85</f>
        <v>752</v>
      </c>
      <c r="CD64" s="1231">
        <f>+CC64</f>
        <v>752</v>
      </c>
      <c r="CE64" s="1230">
        <f>+IS!CE85+IS!CC85+IS!CB85+IS!CA85</f>
        <v>794</v>
      </c>
      <c r="CF64" s="1230">
        <f>+SUM(IS!CB85,IS!CC85,IS!CE85,IS!CF85)</f>
        <v>877</v>
      </c>
      <c r="CG64" s="1230">
        <f>+SUM(IS!CC85,IS!CE85,IS!CF85,IS!CG85)</f>
        <v>961</v>
      </c>
      <c r="CH64" s="1230">
        <f>+IS!CI85</f>
        <v>980</v>
      </c>
      <c r="CI64" s="1231">
        <f>+CH64</f>
        <v>980</v>
      </c>
      <c r="CJ64" s="1230">
        <f>+IS!CJ85+IS!CH85+IS!CG85+IS!CF85</f>
        <v>1002</v>
      </c>
      <c r="CK64" s="1230">
        <f>+SUM(IS!CG85,IS!CH85,IS!CJ85,IS!CK85)</f>
        <v>1024</v>
      </c>
      <c r="CL64" s="1230">
        <f>+SUM(IS!CH85,IS!CJ85,IS!CK85,IS!CL85)</f>
        <v>987</v>
      </c>
      <c r="CM64" s="1230">
        <f>+IS!CN85</f>
        <v>1050</v>
      </c>
      <c r="CN64" s="1231">
        <f>+CM64</f>
        <v>1050</v>
      </c>
      <c r="CO64" s="1230">
        <f>+IS!CO85+IS!CM85+IS!CL85+IS!CK85</f>
        <v>1123</v>
      </c>
      <c r="CP64" s="1230">
        <f>+SUM(IS!CL85,IS!CM85,IS!CO85,IS!CP85)</f>
        <v>1130</v>
      </c>
      <c r="CQ64" s="1230">
        <f>+SUM(IS!CM85,IS!CO85,IS!CP85,IS!CQ85)</f>
        <v>1119</v>
      </c>
      <c r="CR64" s="1230">
        <f>+IS!CS85</f>
        <v>1126</v>
      </c>
      <c r="CS64" s="1231">
        <f>+CR64</f>
        <v>1126</v>
      </c>
      <c r="CT64" s="1230">
        <f>+IS!CT85+IS!CR85+IS!CQ85+IS!CP85</f>
        <v>1065</v>
      </c>
      <c r="CU64" s="1230">
        <f>+SUM(IS!CQ85,IS!CR85,IS!CT85,IS!CU85)</f>
        <v>1078</v>
      </c>
      <c r="CV64" s="1230">
        <f>+SUM(IS!CR85,IS!CT85,IS!CU85,IS!CV85)</f>
        <v>1155</v>
      </c>
      <c r="CW64" s="1230">
        <f>+IS!CX85</f>
        <v>1203</v>
      </c>
      <c r="CX64" s="1231">
        <f>+CW64</f>
        <v>1203</v>
      </c>
      <c r="CY64" s="1230">
        <f>+IS!CY85+IS!CW85+IS!CV85+IS!CU85</f>
        <v>1167</v>
      </c>
      <c r="CZ64" s="1230">
        <f>+SUM(IS!CV85,IS!CW85,IS!CY85,IS!CZ85)</f>
        <v>1215</v>
      </c>
      <c r="DA64" s="1230">
        <f>+SUM(IS!CW85,IS!CY85,IS!CZ85,IS!DA85)</f>
        <v>1234</v>
      </c>
      <c r="DB64" s="1230">
        <f>+IS!DC85</f>
        <v>1342</v>
      </c>
      <c r="DC64" s="1231">
        <f>+DB64</f>
        <v>1342</v>
      </c>
      <c r="DD64" s="1230">
        <f>+IS!DD85+IS!DB85+IS!DA85+IS!CZ85</f>
        <v>1455</v>
      </c>
      <c r="DE64" s="1230">
        <f>+SUM(IS!DA85,IS!DB85,IS!DD85,IS!DE85)</f>
        <v>1579</v>
      </c>
      <c r="DF64" s="1230">
        <f>+SUM(IS!DB85,IS!DD85,IS!DE85,IS!DF85)</f>
        <v>1750</v>
      </c>
      <c r="DG64" s="1230">
        <f>+IS!DH85</f>
        <v>1952</v>
      </c>
      <c r="DH64" s="1231">
        <f>+DG64</f>
        <v>1952</v>
      </c>
      <c r="DI64" s="1230">
        <f>+IS!DI85+IS!DG85+IS!DF85+IS!DE85</f>
        <v>2094</v>
      </c>
      <c r="DJ64" s="1230">
        <f>+SUM(IS!DF85,IS!DG85,IS!DI85,IS!DJ85)</f>
        <v>2202</v>
      </c>
      <c r="DK64" s="1230">
        <f>+SUM(IS!DG85,IS!DI85,IS!DJ85,IS!DK85)</f>
        <v>2309</v>
      </c>
      <c r="DL64" s="1230">
        <f>+IS!DM85</f>
        <v>2462</v>
      </c>
      <c r="DM64" s="1231">
        <f>+DL64</f>
        <v>2462</v>
      </c>
      <c r="DN64" s="1230">
        <f>+IS!DN85+IS!DL85+IS!DK85+IS!DJ85</f>
        <v>2546</v>
      </c>
      <c r="DO64" s="1230">
        <f>+SUM(IS!DK85,IS!DL85,IS!DN85,IS!DO85)</f>
        <v>2595</v>
      </c>
      <c r="DP64" s="1230">
        <f>+SUM(IS!DL85,IS!DN85,IS!DO85,IS!DP85)</f>
        <v>2599</v>
      </c>
      <c r="DQ64" s="1230">
        <f>+SUM(IS!DN85,IS!DO85,IS!DP85,IS!DQ85)</f>
        <v>2413</v>
      </c>
      <c r="DR64" s="1231">
        <f>+DQ64</f>
        <v>2413</v>
      </c>
      <c r="DS64" s="1230">
        <f>+IS!DS85+IS!DQ85+IS!DP85+IS!DO85</f>
        <v>2327</v>
      </c>
      <c r="DT64" s="1230">
        <f>+SUM(IS!DT85,IS!DS85,IS!DQ85,IS!DP85)</f>
        <v>2280</v>
      </c>
      <c r="DU64" s="1230">
        <f>+SUM(IS!DU85,IS!DT85,IS!DS85,IS!DQ85)</f>
        <v>2217</v>
      </c>
      <c r="DV64" s="1230">
        <f>+SUM(IS!DV85,IS!DU85,IS!DT85,IS!DS85)</f>
        <v>2444</v>
      </c>
      <c r="DW64" s="1231">
        <f>DV64</f>
        <v>2444</v>
      </c>
      <c r="DX64" s="1230">
        <f>+IS!DX85+IS!DV85+IS!DU85+IS!DT85</f>
        <v>2520.8870011527479</v>
      </c>
      <c r="DY64" s="1230">
        <f>+SUM(IS!DY85,IS!DX85,IS!DV85,IS!DU85)</f>
        <v>2602.2618839618381</v>
      </c>
      <c r="DZ64" s="1230">
        <f>+SUM(IS!DZ85,IS!DY85,IS!DX85,IS!DV85)</f>
        <v>2738.8773956680225</v>
      </c>
      <c r="EA64" s="1230">
        <f>+SUM(IS!EA85,IS!DZ85,IS!DY85,IS!DX85)</f>
        <v>2536.7493362041041</v>
      </c>
      <c r="EB64" s="1231">
        <f>+EA64</f>
        <v>2536.7493362041041</v>
      </c>
      <c r="EC64" s="1230">
        <f>+IS!EC85+IS!EA85+IS!DZ85+IS!DY85</f>
        <v>2573.0545721669359</v>
      </c>
      <c r="ED64" s="1230">
        <f>+SUM(IS!ED85,IS!EC85,IS!EA85,IS!DZ85)</f>
        <v>2575.2960073689815</v>
      </c>
      <c r="EE64" s="1230">
        <f>+SUM(IS!EE85,IS!ED85,IS!EC85,IS!EA85)</f>
        <v>2587.2812813753635</v>
      </c>
      <c r="EF64" s="1230">
        <f>+SUM(IS!EF85,IS!EE85,IS!ED85,IS!EC85)</f>
        <v>2626.8257272396777</v>
      </c>
      <c r="EG64" s="1231">
        <f>+EF64</f>
        <v>2626.8257272396777</v>
      </c>
      <c r="EH64" s="1230">
        <f>+IS!EH85+IS!EF85+IS!EE85+IS!ED85</f>
        <v>2662.7497030834475</v>
      </c>
      <c r="EI64" s="1230">
        <f>+SUM(IS!EI85,IS!EH85,IS!EF85,IS!EE85)</f>
        <v>2691.8350159623224</v>
      </c>
      <c r="EJ64" s="1230">
        <f>+SUM(IS!EJ85,IS!EI85,IS!EH85,IS!EF85)</f>
        <v>2709.2256685958346</v>
      </c>
      <c r="EK64" s="1230">
        <f>+SUM(IS!EK85,IS!EJ85,IS!EI85,IS!EH85)</f>
        <v>2709.7624394562436</v>
      </c>
      <c r="EL64" s="1231">
        <f>+EK64</f>
        <v>2709.7624394562436</v>
      </c>
      <c r="EM64" s="958"/>
      <c r="EN64"/>
      <c r="EO64"/>
      <c r="EP64"/>
      <c r="EQ64"/>
      <c r="ER64"/>
      <c r="ES64"/>
      <c r="ET64" s="135"/>
      <c r="EU64" s="135"/>
      <c r="EV64" s="135"/>
      <c r="EW64" s="135"/>
      <c r="EX64" s="135"/>
      <c r="EY64" s="135"/>
      <c r="EZ64" s="135"/>
      <c r="FA64" s="135"/>
      <c r="FB64" s="135"/>
      <c r="FC64" s="135"/>
      <c r="FD64" s="135"/>
      <c r="FE64" s="135"/>
      <c r="FF64" s="135"/>
      <c r="FG64" s="135"/>
      <c r="FH64" s="135"/>
      <c r="FI64" s="135"/>
      <c r="FJ64" s="135"/>
      <c r="FK64" s="135"/>
      <c r="FL64" s="135"/>
      <c r="FM64" s="135"/>
      <c r="FN64" s="135"/>
      <c r="FO64" s="135"/>
      <c r="FP64" s="135"/>
      <c r="FQ64" s="135"/>
      <c r="FR64" s="135"/>
      <c r="FS64" s="135"/>
      <c r="FT64" s="135"/>
      <c r="FU64" s="135"/>
      <c r="FV64" s="135"/>
      <c r="FW64" s="135"/>
      <c r="FX64" s="135"/>
      <c r="FY64" s="135"/>
      <c r="FZ64" s="135"/>
      <c r="GA64" s="135"/>
      <c r="GB64" s="135"/>
      <c r="GC64" s="135"/>
      <c r="GD64" s="135"/>
      <c r="GE64" s="135"/>
      <c r="GF64" s="135"/>
      <c r="GG64" s="135"/>
      <c r="GH64" s="135"/>
      <c r="GI64" s="135"/>
      <c r="GJ64" s="135"/>
      <c r="GK64" s="135"/>
      <c r="GL64" s="135"/>
      <c r="GM64" s="135"/>
      <c r="GN64" s="135"/>
      <c r="GO64" s="135"/>
      <c r="GP64" s="135"/>
      <c r="GQ64" s="135"/>
      <c r="GR64" s="135"/>
      <c r="GS64" s="135"/>
      <c r="GT64" s="135"/>
      <c r="GU64" s="135"/>
      <c r="GV64" s="135"/>
      <c r="GW64" s="135"/>
      <c r="GX64" s="135"/>
      <c r="GY64" s="135"/>
      <c r="GZ64" s="135"/>
      <c r="HA64" s="135"/>
      <c r="HB64" s="135"/>
      <c r="HC64" s="135"/>
      <c r="HD64" s="135"/>
      <c r="HE64" s="135"/>
      <c r="HF64" s="135"/>
      <c r="HG64" s="135"/>
      <c r="HH64" s="135"/>
      <c r="HI64" s="135"/>
      <c r="HJ64" s="135"/>
      <c r="HK64" s="135"/>
      <c r="HL64" s="135"/>
      <c r="HM64" s="135"/>
      <c r="HN64" s="135"/>
      <c r="HO64" s="135"/>
      <c r="HP64" s="135"/>
      <c r="HQ64" s="135"/>
      <c r="HR64" s="135"/>
      <c r="HS64" s="135"/>
      <c r="HT64" s="135"/>
      <c r="HU64" s="135"/>
      <c r="HV64" s="135"/>
      <c r="HW64" s="135"/>
      <c r="HX64" s="135"/>
      <c r="HY64" s="135"/>
      <c r="HZ64" s="135"/>
      <c r="IA64" s="135"/>
      <c r="IB64" s="135"/>
      <c r="IC64" s="135"/>
      <c r="ID64" s="135"/>
      <c r="IE64" s="135"/>
      <c r="IF64" s="135"/>
      <c r="IG64" s="135"/>
      <c r="IH64" s="135"/>
      <c r="II64" s="135"/>
      <c r="IJ64" s="135"/>
      <c r="IK64" s="135"/>
      <c r="IL64" s="135"/>
      <c r="IM64" s="135"/>
      <c r="IN64" s="135"/>
      <c r="IO64" s="135"/>
      <c r="IP64" s="135"/>
      <c r="IQ64" s="135"/>
      <c r="IR64" s="135"/>
      <c r="IS64" s="135"/>
      <c r="IT64" s="135"/>
      <c r="IU64" s="135"/>
      <c r="IV64" s="135"/>
      <c r="IW64" s="135"/>
      <c r="IX64" s="135"/>
      <c r="IY64" s="135"/>
      <c r="IZ64" s="135"/>
      <c r="JA64" s="135"/>
      <c r="JB64" s="135"/>
      <c r="JC64" s="135"/>
      <c r="JD64" s="135"/>
      <c r="JE64" s="135"/>
      <c r="JF64" s="135"/>
      <c r="JG64" s="135"/>
      <c r="JH64" s="135"/>
    </row>
    <row r="65" spans="1:268" s="4" customFormat="1" ht="12" hidden="1" customHeight="1" outlineLevel="1">
      <c r="A65" s="945"/>
      <c r="B65" s="1228" t="s">
        <v>573</v>
      </c>
      <c r="C65" s="1233"/>
      <c r="D65" s="1233"/>
      <c r="E65" s="1233"/>
      <c r="F65" s="1233"/>
      <c r="G65" s="1234">
        <f>+IS!G28*4</f>
        <v>340.56</v>
      </c>
      <c r="H65" s="1235">
        <f>+IS!H28</f>
        <v>138</v>
      </c>
      <c r="I65" s="1234">
        <f>+IS!I28*4</f>
        <v>308.39999999999998</v>
      </c>
      <c r="J65" s="1234">
        <f>+IS!J28*4</f>
        <v>325.2</v>
      </c>
      <c r="K65" s="1234">
        <f>+IS!K28*4</f>
        <v>318</v>
      </c>
      <c r="L65" s="1234">
        <f>+IS!L28*4</f>
        <v>296.40000000000009</v>
      </c>
      <c r="M65" s="1235">
        <f>+IS!M28</f>
        <v>312</v>
      </c>
      <c r="N65" s="1234">
        <f>+IS!N28*4</f>
        <v>284</v>
      </c>
      <c r="O65" s="1234">
        <f>+IS!O28*4</f>
        <v>280.39999999999998</v>
      </c>
      <c r="P65" s="1234">
        <f>+IS!P28*4</f>
        <v>424</v>
      </c>
      <c r="Q65" s="1234">
        <f>+IS!Q28*4</f>
        <v>679.6</v>
      </c>
      <c r="R65" s="1235">
        <f>+IS!R28</f>
        <v>417</v>
      </c>
      <c r="S65" s="1234">
        <f>+IS!S28*4</f>
        <v>448</v>
      </c>
      <c r="T65" s="1234">
        <f>+IS!T28*4</f>
        <v>472</v>
      </c>
      <c r="U65" s="1234">
        <f>+IS!U28*4</f>
        <v>456</v>
      </c>
      <c r="V65" s="1234">
        <f>+IS!V28*4</f>
        <v>480</v>
      </c>
      <c r="W65" s="1235">
        <f>+IS!W28</f>
        <v>464</v>
      </c>
      <c r="X65" s="1234">
        <f>+IS!X28*4</f>
        <v>476</v>
      </c>
      <c r="Y65" s="1234">
        <f>+IS!Y28*4</f>
        <v>476</v>
      </c>
      <c r="Z65" s="1234">
        <f>+IS!Z28*4</f>
        <v>488</v>
      </c>
      <c r="AA65" s="1234">
        <f>+IS!AA28*4</f>
        <v>500</v>
      </c>
      <c r="AB65" s="1235">
        <f>+IS!AB28</f>
        <v>485</v>
      </c>
      <c r="AC65" s="1234">
        <f>+IS!AC28*4</f>
        <v>496</v>
      </c>
      <c r="AD65" s="1234">
        <f>+IS!AD28*4</f>
        <v>480</v>
      </c>
      <c r="AE65" s="1234">
        <f>+IS!AE28*4</f>
        <v>468</v>
      </c>
      <c r="AF65" s="1234">
        <f>+IS!AF28*4</f>
        <v>472</v>
      </c>
      <c r="AG65" s="1235">
        <f>+IS!AG28</f>
        <v>479</v>
      </c>
      <c r="AH65" s="1234">
        <f>+IS!AH28*4</f>
        <v>492</v>
      </c>
      <c r="AI65" s="1234">
        <f>+IS!AI28*4</f>
        <v>472</v>
      </c>
      <c r="AJ65" s="1234">
        <f>+IS!AJ28*4</f>
        <v>452</v>
      </c>
      <c r="AK65" s="1234">
        <f>+IS!AK28*4</f>
        <v>408</v>
      </c>
      <c r="AL65" s="1235">
        <f>+IS!AL28</f>
        <v>456</v>
      </c>
      <c r="AM65" s="1234">
        <f>+IS!AM28*4</f>
        <v>388</v>
      </c>
      <c r="AN65" s="1234">
        <f>+IS!AN28*4</f>
        <v>344</v>
      </c>
      <c r="AO65" s="1234">
        <f>+IS!AO28*4</f>
        <v>300</v>
      </c>
      <c r="AP65" s="1234">
        <f>+IS!AP28*4</f>
        <v>276</v>
      </c>
      <c r="AQ65" s="1235">
        <f>+IS!AQ28</f>
        <v>327</v>
      </c>
      <c r="AR65" s="1234">
        <f>+IS!AR28*4</f>
        <v>256</v>
      </c>
      <c r="AS65" s="1234">
        <f>+IS!AS28*4</f>
        <v>248</v>
      </c>
      <c r="AT65" s="1234">
        <f>+IS!AT28*4</f>
        <v>268</v>
      </c>
      <c r="AU65" s="1232"/>
      <c r="AV65" s="1234">
        <f>+IS!AV28*4</f>
        <v>292</v>
      </c>
      <c r="AW65" s="1234">
        <f>+IS!AW28*4</f>
        <v>272</v>
      </c>
      <c r="AX65" s="1234">
        <f>+IS!AX28*4</f>
        <v>248</v>
      </c>
      <c r="AY65" s="1234">
        <f>+IS!AY28*4</f>
        <v>248</v>
      </c>
      <c r="AZ65" s="1235">
        <f>+IS!AZ28</f>
        <v>265</v>
      </c>
      <c r="BA65" s="1234">
        <f>+IS!BA28*4</f>
        <v>292</v>
      </c>
      <c r="BB65" s="1234">
        <f>+IS!BB28*4</f>
        <v>292</v>
      </c>
      <c r="BC65" s="1234">
        <f>+IS!BC28*4</f>
        <v>296</v>
      </c>
      <c r="BD65" s="1234">
        <f>+IS!BD28*4</f>
        <v>304</v>
      </c>
      <c r="BE65" s="1235">
        <f>+IS!BE28</f>
        <v>296</v>
      </c>
      <c r="BF65" s="1234">
        <f>+IS!BF28*4</f>
        <v>308</v>
      </c>
      <c r="BG65" s="1234">
        <f>+IS!BG28*4</f>
        <v>292</v>
      </c>
      <c r="BH65" s="1234">
        <f>+IS!BH28*4</f>
        <v>364</v>
      </c>
      <c r="BI65" s="1234">
        <f>+IS!BI28*4</f>
        <v>364</v>
      </c>
      <c r="BJ65" s="1235">
        <f>+IS!BJ28</f>
        <v>332</v>
      </c>
      <c r="BK65" s="1234">
        <f>+IS!BK28*4</f>
        <v>404</v>
      </c>
      <c r="BL65" s="1234">
        <f>+IS!BL28*4</f>
        <v>408</v>
      </c>
      <c r="BM65" s="1234">
        <f>+IS!BM28*4</f>
        <v>408</v>
      </c>
      <c r="BN65" s="1234">
        <f>+IS!BN28*4</f>
        <v>400</v>
      </c>
      <c r="BO65" s="1235">
        <f>+IS!BO28</f>
        <v>405</v>
      </c>
      <c r="BP65" s="1234">
        <f>+IS!BP28*4</f>
        <v>408</v>
      </c>
      <c r="BQ65" s="1234">
        <f>+IS!BQ28*4</f>
        <v>404</v>
      </c>
      <c r="BR65" s="1234">
        <f>+IS!BR28*4</f>
        <v>416</v>
      </c>
      <c r="BS65" s="1234">
        <f>+IS!BS28*4</f>
        <v>408</v>
      </c>
      <c r="BT65" s="1235">
        <f>+IS!BT28</f>
        <v>409</v>
      </c>
      <c r="BU65" s="1234">
        <f>+IS!BU28*4</f>
        <v>424</v>
      </c>
      <c r="BV65" s="1234">
        <f>+IS!BV28*4</f>
        <v>420</v>
      </c>
      <c r="BW65" s="1234">
        <f>+IS!BW28*4</f>
        <v>420</v>
      </c>
      <c r="BX65" s="1234">
        <f>+IS!BX28*4</f>
        <v>416</v>
      </c>
      <c r="BY65" s="1235">
        <f>+IS!BY28</f>
        <v>420</v>
      </c>
      <c r="BZ65" s="1234">
        <f>+IS!BZ28*4</f>
        <v>416</v>
      </c>
      <c r="CA65" s="1234">
        <f>+IS!CA28*4</f>
        <v>408</v>
      </c>
      <c r="CB65" s="1234">
        <f>+IS!CB28*4</f>
        <v>424</v>
      </c>
      <c r="CC65" s="1234">
        <f>+IS!CC28*4</f>
        <v>424</v>
      </c>
      <c r="CD65" s="1235">
        <f>+IS!CD28</f>
        <v>418</v>
      </c>
      <c r="CE65" s="1234">
        <f>+IS!CE28*4</f>
        <v>440</v>
      </c>
      <c r="CF65" s="1234">
        <f>+IS!CF28*4</f>
        <v>480</v>
      </c>
      <c r="CG65" s="1234">
        <f>+IS!CG28*4</f>
        <v>448</v>
      </c>
      <c r="CH65" s="1234">
        <f>+IS!CH28*4</f>
        <v>412</v>
      </c>
      <c r="CI65" s="1235">
        <f>+IS!CI28</f>
        <v>445</v>
      </c>
      <c r="CJ65" s="1234">
        <f>+IS!CJ28*4</f>
        <v>436</v>
      </c>
      <c r="CK65" s="1234">
        <f>+IS!CK28*4</f>
        <v>428</v>
      </c>
      <c r="CL65" s="1234">
        <f>+IS!CL28*4</f>
        <v>428</v>
      </c>
      <c r="CM65" s="1234">
        <f>+IS!CM28*4</f>
        <v>404</v>
      </c>
      <c r="CN65" s="1235">
        <f>+IS!CN28</f>
        <v>424</v>
      </c>
      <c r="CO65" s="1234">
        <f>+IS!CO28*4</f>
        <v>472</v>
      </c>
      <c r="CP65" s="1234">
        <f>+IS!CP28*4</f>
        <v>392</v>
      </c>
      <c r="CQ65" s="1234">
        <f>+IS!CQ28*4</f>
        <v>236</v>
      </c>
      <c r="CR65" s="1234">
        <f>+IS!CR28*4</f>
        <v>400</v>
      </c>
      <c r="CS65" s="1235">
        <f>+IS!CS28</f>
        <v>375</v>
      </c>
      <c r="CT65" s="1234">
        <f>+IS!CT28*4</f>
        <v>392</v>
      </c>
      <c r="CU65" s="1234">
        <f>+IS!CU28*4</f>
        <v>408</v>
      </c>
      <c r="CV65" s="1234">
        <f>+IS!CV28*4</f>
        <v>412</v>
      </c>
      <c r="CW65" s="1234">
        <f>+IS!CW28*4</f>
        <v>436</v>
      </c>
      <c r="CX65" s="1235">
        <f>+IS!CX28</f>
        <v>412</v>
      </c>
      <c r="CY65" s="1234">
        <f>+IS!CY28*4</f>
        <v>412</v>
      </c>
      <c r="CZ65" s="1234">
        <f>+IS!CZ28*4</f>
        <v>392</v>
      </c>
      <c r="DA65" s="1234">
        <f>+IS!DA28*4</f>
        <v>364</v>
      </c>
      <c r="DB65" s="1234">
        <f>+IS!DB28*4</f>
        <v>728</v>
      </c>
      <c r="DC65" s="1235">
        <f>+IS!DC28</f>
        <v>474</v>
      </c>
      <c r="DD65" s="1234">
        <f>+IS!DD28*4</f>
        <v>728</v>
      </c>
      <c r="DE65" s="1234">
        <f>+IS!DE28*4</f>
        <v>760</v>
      </c>
      <c r="DF65" s="1234">
        <f>+IS!DF28*4</f>
        <v>744</v>
      </c>
      <c r="DG65" s="1234">
        <f>+IS!DG28*4</f>
        <v>784</v>
      </c>
      <c r="DH65" s="1235">
        <f>+IS!DH28</f>
        <v>754</v>
      </c>
      <c r="DI65" s="1230">
        <f>+IS!DI28+IS!DG28+IS!DF28+IS!DE28</f>
        <v>771</v>
      </c>
      <c r="DJ65" s="1230">
        <f>+SUM(IS!DJ28,IS!DI28,IS!DG28,IS!DF28)</f>
        <v>798</v>
      </c>
      <c r="DK65" s="1230">
        <f>+SUM(IS!DK28,IS!DJ28,IS!DI28,IS!DG28)</f>
        <v>860</v>
      </c>
      <c r="DL65" s="1230">
        <f>+SUM(IS!DL28,IS!DK28,IS!DJ28,IS!DI28)</f>
        <v>912</v>
      </c>
      <c r="DM65" s="1235">
        <f>+IS!DM28</f>
        <v>912</v>
      </c>
      <c r="DN65" s="1230">
        <f>+IS!DN28+IS!DL28+IS!DK28+IS!DJ28</f>
        <v>956</v>
      </c>
      <c r="DO65" s="1230">
        <f>+SUM(IS!DO28,IS!DN28,IS!DL28,IS!DK28)</f>
        <v>983</v>
      </c>
      <c r="DP65" s="1230">
        <f>+SUM(IS!DP28,IS!DO28,IS!DN28,IS!DL28)</f>
        <v>978</v>
      </c>
      <c r="DQ65" s="1230">
        <f>+SUM(IS!DQ28,IS!DP28,IS!DO28,IS!DN28)</f>
        <v>979</v>
      </c>
      <c r="DR65" s="1235">
        <f>+IS!DR28</f>
        <v>979</v>
      </c>
      <c r="DS65" s="1230">
        <f>+IS!DS28+IS!DQ28+IS!DP28+IS!DO28</f>
        <v>994</v>
      </c>
      <c r="DT65" s="1230">
        <f>+SUM(IS!DT28,IS!DS28,IS!DQ28,IS!DP28)</f>
        <v>1010</v>
      </c>
      <c r="DU65" s="1230">
        <f>+SUM(IS!DU28,IS!DT28,IS!DS28,IS!DQ28)</f>
        <v>1024</v>
      </c>
      <c r="DV65" s="1230">
        <f>+SUM(IS!DV28,IS!DU28,IS!DT28,IS!DS28)</f>
        <v>1028</v>
      </c>
      <c r="DW65" s="1231">
        <f>DV65</f>
        <v>1028</v>
      </c>
      <c r="DX65" s="1230">
        <f>+IS!DX28+IS!DV28+IS!DU28+IS!DT28</f>
        <v>1015.79975</v>
      </c>
      <c r="DY65" s="1230">
        <f>+SUM(IS!DY28,IS!DX28,IS!DV28,IS!DU28)</f>
        <v>994.06449999999995</v>
      </c>
      <c r="DZ65" s="1230">
        <f>+SUM(IS!DZ28,IS!DY28,IS!DX28,IS!DV28)</f>
        <v>971.57925</v>
      </c>
      <c r="EA65" s="1230">
        <f>+SUM(IS!EA28,IS!DZ28,IS!DY28,IS!DX28)</f>
        <v>949.34399999999994</v>
      </c>
      <c r="EB65" s="1231">
        <f>+EA65</f>
        <v>949.34399999999994</v>
      </c>
      <c r="EC65" s="1230">
        <f>+IS!EC28+IS!EA28+IS!DZ28+IS!DY28</f>
        <v>930.55899999999997</v>
      </c>
      <c r="ED65" s="1230">
        <f>+SUM(IS!ED28,IS!EC28,IS!EA28,IS!DZ28)</f>
        <v>919.30899999999997</v>
      </c>
      <c r="EE65" s="1230">
        <f>+SUM(IS!EE28,IS!ED28,IS!EC28,IS!EA28)</f>
        <v>911.80899999999997</v>
      </c>
      <c r="EF65" s="1230">
        <f>+SUM(IS!EF28,IS!EE28,IS!ED28,IS!EC28)</f>
        <v>908.05899999999997</v>
      </c>
      <c r="EG65" s="1231">
        <f>+EF65</f>
        <v>908.05899999999997</v>
      </c>
      <c r="EH65" s="1230">
        <f>+IS!EH28+IS!EF28+IS!EE28+IS!ED28</f>
        <v>906.93399999999997</v>
      </c>
      <c r="EI65" s="1230">
        <f>+SUM(IS!EI28,IS!EH28,IS!EF28,IS!EE28)</f>
        <v>903.55899999999997</v>
      </c>
      <c r="EJ65" s="1230">
        <f>+SUM(IS!EJ28,IS!EI28,IS!EH28,IS!EF28)</f>
        <v>897.93399999999997</v>
      </c>
      <c r="EK65" s="1230">
        <f>+SUM(IS!EK28,IS!EJ28,IS!EI28,IS!EH28)</f>
        <v>890.05899999999997</v>
      </c>
      <c r="EL65" s="1231">
        <f>+EK65</f>
        <v>890.05899999999997</v>
      </c>
      <c r="EM65" s="959"/>
      <c r="EN65"/>
      <c r="EO65"/>
      <c r="EP65"/>
      <c r="EQ65"/>
      <c r="ER65"/>
      <c r="ES65"/>
      <c r="ET65" s="135"/>
      <c r="EU65" s="135"/>
      <c r="EV65" s="135"/>
      <c r="EW65" s="135"/>
      <c r="EX65" s="135"/>
      <c r="EY65" s="135"/>
      <c r="EZ65" s="135"/>
      <c r="FA65" s="135"/>
      <c r="FB65" s="135"/>
      <c r="FC65" s="135"/>
      <c r="FD65" s="135"/>
      <c r="FE65" s="135"/>
      <c r="FF65" s="135"/>
      <c r="FG65" s="135"/>
      <c r="FH65" s="135"/>
      <c r="FI65" s="135"/>
      <c r="FJ65" s="135"/>
      <c r="FK65" s="135"/>
      <c r="FL65" s="135"/>
      <c r="FM65" s="135"/>
      <c r="FN65" s="135"/>
      <c r="FO65" s="135"/>
      <c r="FP65" s="135"/>
      <c r="FQ65" s="135"/>
      <c r="FR65" s="135"/>
      <c r="FS65" s="135"/>
      <c r="FT65" s="135"/>
      <c r="FU65" s="135"/>
      <c r="FV65" s="135"/>
      <c r="FW65" s="135"/>
      <c r="FX65" s="135"/>
      <c r="FY65" s="135"/>
      <c r="FZ65" s="135"/>
      <c r="GA65" s="135"/>
      <c r="GB65" s="135"/>
      <c r="GC65" s="135"/>
      <c r="GD65" s="135"/>
      <c r="GE65" s="135"/>
      <c r="GF65" s="135"/>
      <c r="GG65" s="135"/>
      <c r="GH65" s="135"/>
      <c r="GI65" s="135"/>
      <c r="GJ65" s="135"/>
      <c r="GK65" s="135"/>
      <c r="GL65" s="135"/>
      <c r="GM65" s="135"/>
      <c r="GN65" s="135"/>
      <c r="GO65" s="135"/>
      <c r="GP65" s="135"/>
      <c r="GQ65" s="135"/>
      <c r="GR65" s="135"/>
      <c r="GS65" s="135"/>
      <c r="GT65" s="135"/>
      <c r="GU65" s="135"/>
      <c r="GV65" s="135"/>
      <c r="GW65" s="135"/>
      <c r="GX65" s="135"/>
      <c r="GY65" s="135"/>
      <c r="GZ65" s="135"/>
      <c r="HA65" s="135"/>
      <c r="HB65" s="135"/>
      <c r="HC65" s="135"/>
      <c r="HD65" s="135"/>
      <c r="HE65" s="135"/>
      <c r="HF65" s="135"/>
      <c r="HG65" s="135"/>
      <c r="HH65" s="135"/>
      <c r="HI65" s="135"/>
      <c r="HJ65" s="135"/>
      <c r="HK65" s="135"/>
      <c r="HL65" s="135"/>
      <c r="HM65" s="135"/>
      <c r="HN65" s="135"/>
      <c r="HO65" s="135"/>
      <c r="HP65" s="135"/>
      <c r="HQ65" s="135"/>
      <c r="HR65" s="135"/>
      <c r="HS65" s="135"/>
      <c r="HT65" s="135"/>
      <c r="HU65" s="135"/>
      <c r="HV65" s="135"/>
      <c r="HW65" s="135"/>
      <c r="HX65" s="135"/>
      <c r="HY65" s="135"/>
      <c r="HZ65" s="135"/>
      <c r="IA65" s="135"/>
      <c r="IB65" s="135"/>
      <c r="IC65" s="135"/>
      <c r="ID65" s="135"/>
      <c r="IE65" s="135"/>
      <c r="IF65" s="135"/>
      <c r="IG65" s="135"/>
      <c r="IH65" s="135"/>
      <c r="II65" s="135"/>
      <c r="IJ65" s="135"/>
      <c r="IK65" s="135"/>
      <c r="IL65" s="135"/>
      <c r="IM65" s="135"/>
      <c r="IN65" s="135"/>
      <c r="IO65" s="135"/>
      <c r="IP65" s="135"/>
      <c r="IQ65" s="135"/>
      <c r="IR65" s="135"/>
      <c r="IS65" s="135"/>
      <c r="IT65" s="135"/>
      <c r="IU65" s="135"/>
      <c r="IV65" s="135"/>
      <c r="IW65" s="135"/>
      <c r="IX65" s="135"/>
      <c r="IY65" s="135"/>
      <c r="IZ65" s="135"/>
      <c r="JA65" s="135"/>
      <c r="JB65" s="135"/>
      <c r="JC65" s="135"/>
      <c r="JD65" s="135"/>
      <c r="JE65" s="135"/>
      <c r="JF65" s="135"/>
      <c r="JG65" s="135"/>
      <c r="JH65" s="135"/>
    </row>
    <row r="66" spans="1:268" s="4" customFormat="1" ht="12" hidden="1" customHeight="1" outlineLevel="1">
      <c r="A66" s="945"/>
      <c r="B66" s="946" t="s">
        <v>574</v>
      </c>
      <c r="C66" s="959"/>
      <c r="D66" s="959"/>
      <c r="E66" s="959"/>
      <c r="F66" s="959"/>
      <c r="G66" s="960">
        <f t="shared" ref="G66:AT66" si="189">+G67-G6-G7</f>
        <v>3405</v>
      </c>
      <c r="H66" s="961">
        <f t="shared" si="189"/>
        <v>3405</v>
      </c>
      <c r="I66" s="960">
        <f t="shared" si="189"/>
        <v>3398.4</v>
      </c>
      <c r="J66" s="960">
        <f t="shared" si="189"/>
        <v>3431.6</v>
      </c>
      <c r="K66" s="960">
        <f t="shared" si="189"/>
        <v>3247.9</v>
      </c>
      <c r="L66" s="960">
        <f t="shared" si="189"/>
        <v>3162</v>
      </c>
      <c r="M66" s="961">
        <f t="shared" si="189"/>
        <v>3162</v>
      </c>
      <c r="N66" s="960">
        <f t="shared" si="189"/>
        <v>3137.8</v>
      </c>
      <c r="O66" s="960">
        <f t="shared" si="189"/>
        <v>3320.1</v>
      </c>
      <c r="P66" s="960">
        <f t="shared" si="189"/>
        <v>4844.8</v>
      </c>
      <c r="Q66" s="960">
        <f t="shared" si="189"/>
        <v>5015</v>
      </c>
      <c r="R66" s="961">
        <f t="shared" si="189"/>
        <v>5015</v>
      </c>
      <c r="S66" s="960">
        <f t="shared" si="189"/>
        <v>5212</v>
      </c>
      <c r="T66" s="960">
        <f t="shared" si="189"/>
        <v>5522</v>
      </c>
      <c r="U66" s="960">
        <f t="shared" si="189"/>
        <v>5751</v>
      </c>
      <c r="V66" s="960">
        <f t="shared" si="189"/>
        <v>5816</v>
      </c>
      <c r="W66" s="961">
        <f t="shared" si="189"/>
        <v>5816</v>
      </c>
      <c r="X66" s="960">
        <f t="shared" si="189"/>
        <v>6015</v>
      </c>
      <c r="Y66" s="960">
        <f t="shared" si="189"/>
        <v>6287</v>
      </c>
      <c r="Z66" s="960">
        <f t="shared" si="189"/>
        <v>6470</v>
      </c>
      <c r="AA66" s="960">
        <f t="shared" si="189"/>
        <v>6407</v>
      </c>
      <c r="AB66" s="961">
        <f t="shared" si="189"/>
        <v>6407</v>
      </c>
      <c r="AC66" s="960">
        <f t="shared" si="189"/>
        <v>6545</v>
      </c>
      <c r="AD66" s="960">
        <f t="shared" si="189"/>
        <v>5785</v>
      </c>
      <c r="AE66" s="960">
        <f t="shared" si="189"/>
        <v>5970</v>
      </c>
      <c r="AF66" s="960">
        <f t="shared" si="189"/>
        <v>5542</v>
      </c>
      <c r="AG66" s="961">
        <f t="shared" si="189"/>
        <v>5542</v>
      </c>
      <c r="AH66" s="960">
        <f t="shared" si="189"/>
        <v>5351</v>
      </c>
      <c r="AI66" s="960">
        <f t="shared" si="189"/>
        <v>4974</v>
      </c>
      <c r="AJ66" s="960">
        <f t="shared" si="189"/>
        <v>4813</v>
      </c>
      <c r="AK66" s="960">
        <f t="shared" si="189"/>
        <v>4165</v>
      </c>
      <c r="AL66" s="961">
        <f t="shared" si="189"/>
        <v>4165</v>
      </c>
      <c r="AM66" s="960">
        <f t="shared" si="189"/>
        <v>4326</v>
      </c>
      <c r="AN66" s="960">
        <f t="shared" si="189"/>
        <v>4293</v>
      </c>
      <c r="AO66" s="960">
        <f t="shared" si="189"/>
        <v>4245</v>
      </c>
      <c r="AP66" s="960">
        <f t="shared" si="189"/>
        <v>3980</v>
      </c>
      <c r="AQ66" s="961">
        <f t="shared" si="189"/>
        <v>3980</v>
      </c>
      <c r="AR66" s="960">
        <f t="shared" si="189"/>
        <v>3553</v>
      </c>
      <c r="AS66" s="960">
        <f t="shared" si="189"/>
        <v>3879</v>
      </c>
      <c r="AT66" s="960">
        <f t="shared" si="189"/>
        <v>3947</v>
      </c>
      <c r="AU66" s="802"/>
      <c r="AV66" s="959"/>
      <c r="AW66" s="959"/>
      <c r="AX66" s="959"/>
      <c r="AY66" s="960">
        <f t="shared" ref="AY66:CD66" si="190">+AY67-AY6-AY7</f>
        <v>3709</v>
      </c>
      <c r="AZ66" s="961">
        <f t="shared" si="190"/>
        <v>3709</v>
      </c>
      <c r="BA66" s="960">
        <f t="shared" si="190"/>
        <v>3931</v>
      </c>
      <c r="BB66" s="960">
        <f t="shared" si="190"/>
        <v>3828</v>
      </c>
      <c r="BC66" s="960">
        <f t="shared" si="190"/>
        <v>3836</v>
      </c>
      <c r="BD66" s="960">
        <f t="shared" si="190"/>
        <v>3438</v>
      </c>
      <c r="BE66" s="961">
        <f t="shared" si="190"/>
        <v>3438</v>
      </c>
      <c r="BF66" s="960">
        <f t="shared" si="190"/>
        <v>3541</v>
      </c>
      <c r="BG66" s="960">
        <f t="shared" si="190"/>
        <v>3321</v>
      </c>
      <c r="BH66" s="960">
        <f t="shared" si="190"/>
        <v>3190</v>
      </c>
      <c r="BI66" s="960">
        <f t="shared" si="190"/>
        <v>3519</v>
      </c>
      <c r="BJ66" s="961">
        <f t="shared" si="190"/>
        <v>3519</v>
      </c>
      <c r="BK66" s="960">
        <f t="shared" si="190"/>
        <v>3041</v>
      </c>
      <c r="BL66" s="960">
        <f t="shared" si="190"/>
        <v>2947</v>
      </c>
      <c r="BM66" s="960">
        <f t="shared" si="190"/>
        <v>3060</v>
      </c>
      <c r="BN66" s="960">
        <f t="shared" si="190"/>
        <v>3430</v>
      </c>
      <c r="BO66" s="961">
        <f t="shared" si="190"/>
        <v>3430</v>
      </c>
      <c r="BP66" s="960">
        <f t="shared" si="190"/>
        <v>3829</v>
      </c>
      <c r="BQ66" s="960">
        <f t="shared" si="190"/>
        <v>4238</v>
      </c>
      <c r="BR66" s="960">
        <f t="shared" si="190"/>
        <v>3988</v>
      </c>
      <c r="BS66" s="960">
        <f t="shared" si="190"/>
        <v>3998</v>
      </c>
      <c r="BT66" s="961">
        <f t="shared" si="190"/>
        <v>3998</v>
      </c>
      <c r="BU66" s="960">
        <f t="shared" si="190"/>
        <v>4200</v>
      </c>
      <c r="BV66" s="960">
        <f t="shared" si="190"/>
        <v>4111</v>
      </c>
      <c r="BW66" s="960">
        <f t="shared" si="190"/>
        <v>4112</v>
      </c>
      <c r="BX66" s="960">
        <f t="shared" si="190"/>
        <v>4200</v>
      </c>
      <c r="BY66" s="961">
        <f t="shared" si="190"/>
        <v>4200</v>
      </c>
      <c r="BZ66" s="960">
        <f t="shared" si="190"/>
        <v>4497</v>
      </c>
      <c r="CA66" s="960">
        <f t="shared" si="190"/>
        <v>4425</v>
      </c>
      <c r="CB66" s="960">
        <f t="shared" si="190"/>
        <v>4219</v>
      </c>
      <c r="CC66" s="960">
        <f t="shared" si="190"/>
        <v>4259</v>
      </c>
      <c r="CD66" s="961">
        <f t="shared" si="190"/>
        <v>4259</v>
      </c>
      <c r="CE66" s="960">
        <f t="shared" ref="CE66:DJ66" si="191">+CE67-CE6-CE7</f>
        <v>3983</v>
      </c>
      <c r="CF66" s="960">
        <f t="shared" si="191"/>
        <v>3862</v>
      </c>
      <c r="CG66" s="960">
        <f t="shared" si="191"/>
        <v>3535</v>
      </c>
      <c r="CH66" s="960">
        <f t="shared" si="191"/>
        <v>3582</v>
      </c>
      <c r="CI66" s="961">
        <f t="shared" si="191"/>
        <v>3582</v>
      </c>
      <c r="CJ66" s="960">
        <f t="shared" si="191"/>
        <v>3682</v>
      </c>
      <c r="CK66" s="960">
        <f t="shared" si="191"/>
        <v>3562</v>
      </c>
      <c r="CL66" s="960">
        <f t="shared" si="191"/>
        <v>3660</v>
      </c>
      <c r="CM66" s="960">
        <f t="shared" si="191"/>
        <v>3658</v>
      </c>
      <c r="CN66" s="961">
        <f t="shared" si="191"/>
        <v>3658</v>
      </c>
      <c r="CO66" s="960">
        <f t="shared" si="191"/>
        <v>3813</v>
      </c>
      <c r="CP66" s="960">
        <f t="shared" si="191"/>
        <v>3853</v>
      </c>
      <c r="CQ66" s="960">
        <f t="shared" si="191"/>
        <v>3910</v>
      </c>
      <c r="CR66" s="960">
        <f t="shared" si="191"/>
        <v>4247</v>
      </c>
      <c r="CS66" s="961">
        <f t="shared" si="191"/>
        <v>4247</v>
      </c>
      <c r="CT66" s="960">
        <f t="shared" si="191"/>
        <v>4479</v>
      </c>
      <c r="CU66" s="960">
        <f t="shared" si="191"/>
        <v>4666</v>
      </c>
      <c r="CV66" s="960">
        <f t="shared" si="191"/>
        <v>4668</v>
      </c>
      <c r="CW66" s="960">
        <f t="shared" si="191"/>
        <v>4888</v>
      </c>
      <c r="CX66" s="961">
        <f t="shared" si="191"/>
        <v>4888</v>
      </c>
      <c r="CY66" s="960">
        <f t="shared" si="191"/>
        <v>5332</v>
      </c>
      <c r="CZ66" s="960">
        <f t="shared" si="191"/>
        <v>5545</v>
      </c>
      <c r="DA66" s="960">
        <f t="shared" si="191"/>
        <v>5741</v>
      </c>
      <c r="DB66" s="960">
        <f t="shared" si="191"/>
        <v>10726</v>
      </c>
      <c r="DC66" s="961">
        <f t="shared" si="191"/>
        <v>10726</v>
      </c>
      <c r="DD66" s="960">
        <f t="shared" si="191"/>
        <v>11093</v>
      </c>
      <c r="DE66" s="960">
        <f t="shared" si="191"/>
        <v>11158</v>
      </c>
      <c r="DF66" s="960">
        <f t="shared" si="191"/>
        <v>11353</v>
      </c>
      <c r="DG66" s="960">
        <f t="shared" si="191"/>
        <v>11614</v>
      </c>
      <c r="DH66" s="961">
        <f t="shared" si="191"/>
        <v>11614</v>
      </c>
      <c r="DI66" s="960">
        <f t="shared" si="191"/>
        <v>11749</v>
      </c>
      <c r="DJ66" s="960">
        <f t="shared" si="191"/>
        <v>14455</v>
      </c>
      <c r="DK66" s="960">
        <f t="shared" ref="DK66:EG66" si="192">+DK67-DK6-DK7</f>
        <v>14304</v>
      </c>
      <c r="DL66" s="960">
        <f t="shared" si="192"/>
        <v>14154</v>
      </c>
      <c r="DM66" s="961">
        <f t="shared" si="192"/>
        <v>14154</v>
      </c>
      <c r="DN66" s="960">
        <f t="shared" si="192"/>
        <v>13794</v>
      </c>
      <c r="DO66" s="960">
        <f t="shared" si="192"/>
        <v>13845</v>
      </c>
      <c r="DP66" s="960">
        <f t="shared" si="192"/>
        <v>13858</v>
      </c>
      <c r="DQ66" s="960">
        <f t="shared" si="192"/>
        <v>14539</v>
      </c>
      <c r="DR66" s="961">
        <f t="shared" si="192"/>
        <v>15255</v>
      </c>
      <c r="DS66" s="960">
        <f t="shared" si="192"/>
        <v>14646</v>
      </c>
      <c r="DT66" s="960">
        <f t="shared" si="192"/>
        <v>14680</v>
      </c>
      <c r="DU66" s="960">
        <f t="shared" si="192"/>
        <v>14452</v>
      </c>
      <c r="DV66" s="960">
        <f t="shared" si="192"/>
        <v>14326</v>
      </c>
      <c r="DW66" s="961">
        <f t="shared" si="192"/>
        <v>14326</v>
      </c>
      <c r="DX66" s="960">
        <f t="shared" si="192"/>
        <v>13607.629641844109</v>
      </c>
      <c r="DY66" s="960">
        <f t="shared" si="192"/>
        <v>13331.623364645311</v>
      </c>
      <c r="DZ66" s="960">
        <f t="shared" si="192"/>
        <v>13083.781127618706</v>
      </c>
      <c r="EA66" s="960">
        <f t="shared" si="192"/>
        <v>12869.289126015483</v>
      </c>
      <c r="EB66" s="961">
        <f t="shared" si="192"/>
        <v>12869.289126015483</v>
      </c>
      <c r="EC66" s="960">
        <f t="shared" si="192"/>
        <v>13060.025820831039</v>
      </c>
      <c r="ED66" s="960">
        <f t="shared" si="192"/>
        <v>12916.452271080117</v>
      </c>
      <c r="EE66" s="960">
        <f t="shared" si="192"/>
        <v>12747.017781754806</v>
      </c>
      <c r="EF66" s="960">
        <f t="shared" si="192"/>
        <v>12722.369373756745</v>
      </c>
      <c r="EG66" s="961">
        <f t="shared" si="192"/>
        <v>12722.369373756745</v>
      </c>
      <c r="EH66" s="960">
        <f t="shared" ref="EH66:EL66" si="193">+EH67-EH6-EH7</f>
        <v>12579.032056491484</v>
      </c>
      <c r="EI66" s="960">
        <f t="shared" si="193"/>
        <v>12434.095061294231</v>
      </c>
      <c r="EJ66" s="960">
        <f t="shared" si="193"/>
        <v>12184.578054901529</v>
      </c>
      <c r="EK66" s="960">
        <f t="shared" si="193"/>
        <v>12165.741868623216</v>
      </c>
      <c r="EL66" s="961">
        <f t="shared" si="193"/>
        <v>12165.741868623216</v>
      </c>
      <c r="EM66" s="959"/>
      <c r="EN66"/>
      <c r="EO66"/>
      <c r="EP66"/>
      <c r="EQ66"/>
      <c r="ER66"/>
      <c r="ES66"/>
      <c r="ET66" s="135"/>
      <c r="EU66" s="135"/>
      <c r="EV66" s="135"/>
      <c r="EW66" s="135"/>
      <c r="EX66" s="135"/>
      <c r="EY66" s="135"/>
      <c r="EZ66" s="135"/>
      <c r="FA66" s="135"/>
      <c r="FB66" s="135"/>
      <c r="FC66" s="135"/>
      <c r="FD66" s="135"/>
      <c r="FE66" s="135"/>
      <c r="FF66" s="135"/>
      <c r="FG66" s="135"/>
      <c r="FH66" s="135"/>
      <c r="FI66" s="135"/>
      <c r="FJ66" s="135"/>
      <c r="FK66" s="135"/>
      <c r="FL66" s="135"/>
      <c r="FM66" s="135"/>
      <c r="FN66" s="135"/>
      <c r="FO66" s="135"/>
      <c r="FP66" s="135"/>
      <c r="FQ66" s="135"/>
      <c r="FR66" s="135"/>
      <c r="FS66" s="135"/>
      <c r="FT66" s="135"/>
      <c r="FU66" s="135"/>
      <c r="FV66" s="135"/>
      <c r="FW66" s="135"/>
      <c r="FX66" s="135"/>
      <c r="FY66" s="135"/>
      <c r="FZ66" s="135"/>
      <c r="GA66" s="135"/>
      <c r="GB66" s="135"/>
      <c r="GC66" s="135"/>
      <c r="GD66" s="135"/>
      <c r="GE66" s="135"/>
      <c r="GF66" s="135"/>
      <c r="GG66" s="135"/>
      <c r="GH66" s="135"/>
      <c r="GI66" s="135"/>
      <c r="GJ66" s="135"/>
      <c r="GK66" s="135"/>
      <c r="GL66" s="135"/>
      <c r="GM66" s="135"/>
      <c r="GN66" s="135"/>
      <c r="GO66" s="135"/>
      <c r="GP66" s="135"/>
      <c r="GQ66" s="135"/>
      <c r="GR66" s="135"/>
      <c r="GS66" s="135"/>
      <c r="GT66" s="135"/>
      <c r="GU66" s="135"/>
      <c r="GV66" s="135"/>
      <c r="GW66" s="135"/>
      <c r="GX66" s="135"/>
      <c r="GY66" s="135"/>
      <c r="GZ66" s="135"/>
      <c r="HA66" s="135"/>
      <c r="HB66" s="135"/>
      <c r="HC66" s="135"/>
      <c r="HD66" s="135"/>
      <c r="HE66" s="135"/>
      <c r="HF66" s="135"/>
      <c r="HG66" s="135"/>
      <c r="HH66" s="135"/>
      <c r="HI66" s="135"/>
      <c r="HJ66" s="135"/>
      <c r="HK66" s="135"/>
      <c r="HL66" s="135"/>
      <c r="HM66" s="135"/>
      <c r="HN66" s="135"/>
      <c r="HO66" s="135"/>
      <c r="HP66" s="135"/>
      <c r="HQ66" s="135"/>
      <c r="HR66" s="135"/>
      <c r="HS66" s="135"/>
      <c r="HT66" s="135"/>
      <c r="HU66" s="135"/>
      <c r="HV66" s="135"/>
      <c r="HW66" s="135"/>
      <c r="HX66" s="135"/>
      <c r="HY66" s="135"/>
      <c r="HZ66" s="135"/>
      <c r="IA66" s="135"/>
      <c r="IB66" s="135"/>
      <c r="IC66" s="135"/>
      <c r="ID66" s="135"/>
      <c r="IE66" s="135"/>
      <c r="IF66" s="135"/>
      <c r="IG66" s="135"/>
      <c r="IH66" s="135"/>
      <c r="II66" s="135"/>
      <c r="IJ66" s="135"/>
      <c r="IK66" s="135"/>
      <c r="IL66" s="135"/>
      <c r="IM66" s="135"/>
      <c r="IN66" s="135"/>
      <c r="IO66" s="135"/>
      <c r="IP66" s="135"/>
      <c r="IQ66" s="135"/>
      <c r="IR66" s="135"/>
      <c r="IS66" s="135"/>
      <c r="IT66" s="135"/>
      <c r="IU66" s="135"/>
      <c r="IV66" s="135"/>
      <c r="IW66" s="135"/>
      <c r="IX66" s="135"/>
      <c r="IY66" s="135"/>
      <c r="IZ66" s="135"/>
      <c r="JA66" s="135"/>
      <c r="JB66" s="135"/>
      <c r="JC66" s="135"/>
      <c r="JD66" s="135"/>
      <c r="JE66" s="135"/>
      <c r="JF66" s="135"/>
      <c r="JG66" s="135"/>
      <c r="JH66" s="135"/>
    </row>
    <row r="67" spans="1:268" s="4" customFormat="1" ht="12" hidden="1" customHeight="1" outlineLevel="1">
      <c r="A67" s="945"/>
      <c r="B67" s="946" t="s">
        <v>575</v>
      </c>
      <c r="C67" s="959"/>
      <c r="D67" s="959"/>
      <c r="E67" s="959"/>
      <c r="F67" s="962"/>
      <c r="G67" s="960">
        <f t="shared" ref="G67:AT67" si="194">+SUM(G26+G36)</f>
        <v>3560</v>
      </c>
      <c r="H67" s="961">
        <f t="shared" si="194"/>
        <v>3560</v>
      </c>
      <c r="I67" s="960">
        <f t="shared" si="194"/>
        <v>3504.8</v>
      </c>
      <c r="J67" s="960">
        <f t="shared" si="194"/>
        <v>3530.4</v>
      </c>
      <c r="K67" s="962">
        <f t="shared" si="194"/>
        <v>3362.1</v>
      </c>
      <c r="L67" s="960">
        <f t="shared" si="194"/>
        <v>3251</v>
      </c>
      <c r="M67" s="961">
        <f t="shared" si="194"/>
        <v>3251</v>
      </c>
      <c r="N67" s="960">
        <f t="shared" si="194"/>
        <v>3241.9</v>
      </c>
      <c r="O67" s="960">
        <f t="shared" si="194"/>
        <v>3376.9</v>
      </c>
      <c r="P67" s="962">
        <f t="shared" si="194"/>
        <v>4906.1000000000004</v>
      </c>
      <c r="Q67" s="960">
        <f t="shared" si="194"/>
        <v>5050</v>
      </c>
      <c r="R67" s="961">
        <f t="shared" si="194"/>
        <v>5050</v>
      </c>
      <c r="S67" s="960">
        <f t="shared" si="194"/>
        <v>5315</v>
      </c>
      <c r="T67" s="960">
        <f t="shared" si="194"/>
        <v>5536</v>
      </c>
      <c r="U67" s="962">
        <f t="shared" si="194"/>
        <v>5768</v>
      </c>
      <c r="V67" s="960">
        <f t="shared" si="194"/>
        <v>5839</v>
      </c>
      <c r="W67" s="961">
        <f t="shared" si="194"/>
        <v>5839</v>
      </c>
      <c r="X67" s="960">
        <f t="shared" si="194"/>
        <v>6036</v>
      </c>
      <c r="Y67" s="960">
        <f t="shared" si="194"/>
        <v>6319</v>
      </c>
      <c r="Z67" s="962">
        <f t="shared" si="194"/>
        <v>6531</v>
      </c>
      <c r="AA67" s="960">
        <f t="shared" si="194"/>
        <v>6436</v>
      </c>
      <c r="AB67" s="961">
        <f t="shared" si="194"/>
        <v>6436</v>
      </c>
      <c r="AC67" s="960">
        <f t="shared" si="194"/>
        <v>6569</v>
      </c>
      <c r="AD67" s="960">
        <f t="shared" si="194"/>
        <v>5816</v>
      </c>
      <c r="AE67" s="962">
        <f t="shared" si="194"/>
        <v>6008</v>
      </c>
      <c r="AF67" s="960">
        <f t="shared" si="194"/>
        <v>5677</v>
      </c>
      <c r="AG67" s="961">
        <f t="shared" si="194"/>
        <v>5677</v>
      </c>
      <c r="AH67" s="960">
        <f t="shared" si="194"/>
        <v>5434</v>
      </c>
      <c r="AI67" s="960">
        <f t="shared" si="194"/>
        <v>5056</v>
      </c>
      <c r="AJ67" s="962">
        <f t="shared" si="194"/>
        <v>4870</v>
      </c>
      <c r="AK67" s="960">
        <f t="shared" si="194"/>
        <v>4227</v>
      </c>
      <c r="AL67" s="961">
        <f t="shared" si="194"/>
        <v>4227</v>
      </c>
      <c r="AM67" s="960">
        <f t="shared" si="194"/>
        <v>4392</v>
      </c>
      <c r="AN67" s="960">
        <f t="shared" si="194"/>
        <v>4356</v>
      </c>
      <c r="AO67" s="962">
        <f t="shared" si="194"/>
        <v>4297</v>
      </c>
      <c r="AP67" s="960">
        <f t="shared" si="194"/>
        <v>4018</v>
      </c>
      <c r="AQ67" s="961">
        <f t="shared" si="194"/>
        <v>4018</v>
      </c>
      <c r="AR67" s="960">
        <f t="shared" si="194"/>
        <v>3595</v>
      </c>
      <c r="AS67" s="960">
        <f t="shared" si="194"/>
        <v>3919</v>
      </c>
      <c r="AT67" s="962">
        <f t="shared" si="194"/>
        <v>4065</v>
      </c>
      <c r="AU67" s="802"/>
      <c r="AV67" s="959"/>
      <c r="AW67" s="959"/>
      <c r="AX67" s="962"/>
      <c r="AY67" s="960">
        <f t="shared" ref="AY67:CD67" si="195">+SUM(AY26+AY36)</f>
        <v>3919</v>
      </c>
      <c r="AZ67" s="961">
        <f t="shared" si="195"/>
        <v>3919</v>
      </c>
      <c r="BA67" s="960">
        <f t="shared" si="195"/>
        <v>4066</v>
      </c>
      <c r="BB67" s="960">
        <f t="shared" si="195"/>
        <v>4049</v>
      </c>
      <c r="BC67" s="962">
        <f t="shared" si="195"/>
        <v>4055</v>
      </c>
      <c r="BD67" s="960">
        <f t="shared" si="195"/>
        <v>4057</v>
      </c>
      <c r="BE67" s="961">
        <f t="shared" si="195"/>
        <v>4057</v>
      </c>
      <c r="BF67" s="960">
        <f t="shared" si="195"/>
        <v>4048</v>
      </c>
      <c r="BG67" s="960">
        <f t="shared" si="195"/>
        <v>4514</v>
      </c>
      <c r="BH67" s="962">
        <f t="shared" si="195"/>
        <v>4513</v>
      </c>
      <c r="BI67" s="960">
        <f t="shared" si="195"/>
        <v>4436</v>
      </c>
      <c r="BJ67" s="961">
        <f t="shared" si="195"/>
        <v>4436</v>
      </c>
      <c r="BK67" s="960">
        <f t="shared" si="195"/>
        <v>4801</v>
      </c>
      <c r="BL67" s="960">
        <f t="shared" si="195"/>
        <v>4804</v>
      </c>
      <c r="BM67" s="962">
        <f t="shared" si="195"/>
        <v>4803</v>
      </c>
      <c r="BN67" s="960">
        <f t="shared" si="195"/>
        <v>4803</v>
      </c>
      <c r="BO67" s="961">
        <f t="shared" si="195"/>
        <v>4803</v>
      </c>
      <c r="BP67" s="960">
        <f t="shared" si="195"/>
        <v>4804</v>
      </c>
      <c r="BQ67" s="960">
        <f t="shared" si="195"/>
        <v>4806</v>
      </c>
      <c r="BR67" s="962">
        <f t="shared" si="195"/>
        <v>4797</v>
      </c>
      <c r="BS67" s="960">
        <f t="shared" si="195"/>
        <v>4782</v>
      </c>
      <c r="BT67" s="961">
        <f t="shared" si="195"/>
        <v>4782</v>
      </c>
      <c r="BU67" s="960">
        <f t="shared" si="195"/>
        <v>4784</v>
      </c>
      <c r="BV67" s="960">
        <f t="shared" si="195"/>
        <v>4786</v>
      </c>
      <c r="BW67" s="962">
        <f t="shared" si="195"/>
        <v>4767</v>
      </c>
      <c r="BX67" s="960">
        <f t="shared" si="195"/>
        <v>4772</v>
      </c>
      <c r="BY67" s="961">
        <f t="shared" si="195"/>
        <v>4772</v>
      </c>
      <c r="BZ67" s="960">
        <f t="shared" si="195"/>
        <v>4775</v>
      </c>
      <c r="CA67" s="960">
        <f t="shared" si="195"/>
        <v>4777</v>
      </c>
      <c r="CB67" s="962">
        <f t="shared" si="195"/>
        <v>4779</v>
      </c>
      <c r="CC67" s="960">
        <f t="shared" si="195"/>
        <v>4780</v>
      </c>
      <c r="CD67" s="961">
        <f t="shared" si="195"/>
        <v>4780</v>
      </c>
      <c r="CE67" s="960">
        <f t="shared" ref="CE67:DJ67" si="196">+SUM(CE26+CE36)</f>
        <v>4641</v>
      </c>
      <c r="CF67" s="960">
        <f t="shared" si="196"/>
        <v>4626</v>
      </c>
      <c r="CG67" s="962">
        <f t="shared" si="196"/>
        <v>4269</v>
      </c>
      <c r="CH67" s="960">
        <f t="shared" si="196"/>
        <v>4274</v>
      </c>
      <c r="CI67" s="961">
        <f t="shared" si="196"/>
        <v>4274</v>
      </c>
      <c r="CJ67" s="960">
        <f t="shared" si="196"/>
        <v>4273</v>
      </c>
      <c r="CK67" s="960">
        <f t="shared" si="196"/>
        <v>4274</v>
      </c>
      <c r="CL67" s="962">
        <f t="shared" si="196"/>
        <v>4059</v>
      </c>
      <c r="CM67" s="960">
        <f t="shared" si="196"/>
        <v>4064</v>
      </c>
      <c r="CN67" s="961">
        <f t="shared" si="196"/>
        <v>4064</v>
      </c>
      <c r="CO67" s="960">
        <f t="shared" si="196"/>
        <v>4082</v>
      </c>
      <c r="CP67" s="960">
        <f t="shared" si="196"/>
        <v>4117</v>
      </c>
      <c r="CQ67" s="962">
        <f t="shared" si="196"/>
        <v>4095</v>
      </c>
      <c r="CR67" s="960">
        <f t="shared" si="196"/>
        <v>4360</v>
      </c>
      <c r="CS67" s="961">
        <f t="shared" si="196"/>
        <v>4360</v>
      </c>
      <c r="CT67" s="960">
        <f t="shared" si="196"/>
        <v>4583</v>
      </c>
      <c r="CU67" s="960">
        <f t="shared" si="196"/>
        <v>4748</v>
      </c>
      <c r="CV67" s="960">
        <f t="shared" si="196"/>
        <v>4751</v>
      </c>
      <c r="CW67" s="960">
        <f t="shared" si="196"/>
        <v>5252</v>
      </c>
      <c r="CX67" s="961">
        <f t="shared" si="196"/>
        <v>5252</v>
      </c>
      <c r="CY67" s="960">
        <f t="shared" si="196"/>
        <v>5427</v>
      </c>
      <c r="CZ67" s="960">
        <f t="shared" si="196"/>
        <v>5635</v>
      </c>
      <c r="DA67" s="960">
        <f t="shared" si="196"/>
        <v>5823</v>
      </c>
      <c r="DB67" s="960">
        <f t="shared" si="196"/>
        <v>10839</v>
      </c>
      <c r="DC67" s="961">
        <f t="shared" si="196"/>
        <v>10839</v>
      </c>
      <c r="DD67" s="960">
        <f t="shared" si="196"/>
        <v>11234</v>
      </c>
      <c r="DE67" s="960">
        <f t="shared" si="196"/>
        <v>11564</v>
      </c>
      <c r="DF67" s="960">
        <f t="shared" si="196"/>
        <v>11553</v>
      </c>
      <c r="DG67" s="960">
        <f t="shared" si="196"/>
        <v>11807</v>
      </c>
      <c r="DH67" s="961">
        <f t="shared" si="196"/>
        <v>11807</v>
      </c>
      <c r="DI67" s="960">
        <f t="shared" si="196"/>
        <v>11934</v>
      </c>
      <c r="DJ67" s="960">
        <f t="shared" si="196"/>
        <v>14754</v>
      </c>
      <c r="DK67" s="960">
        <f t="shared" ref="DK67:EG67" si="197">+SUM(DK26+DK36)</f>
        <v>14754</v>
      </c>
      <c r="DL67" s="960">
        <f t="shared" si="197"/>
        <v>14510</v>
      </c>
      <c r="DM67" s="961">
        <f t="shared" si="197"/>
        <v>14510</v>
      </c>
      <c r="DN67" s="960">
        <f t="shared" si="197"/>
        <v>14522</v>
      </c>
      <c r="DO67" s="960">
        <f t="shared" si="197"/>
        <v>14501</v>
      </c>
      <c r="DP67" s="960">
        <f t="shared" si="197"/>
        <v>14507</v>
      </c>
      <c r="DQ67" s="960">
        <f t="shared" si="197"/>
        <v>15255</v>
      </c>
      <c r="DR67" s="961">
        <f t="shared" si="197"/>
        <v>15255</v>
      </c>
      <c r="DS67" s="960">
        <f t="shared" si="197"/>
        <v>15218</v>
      </c>
      <c r="DT67" s="960">
        <f t="shared" si="197"/>
        <v>15155</v>
      </c>
      <c r="DU67" s="960">
        <f t="shared" si="197"/>
        <v>14881</v>
      </c>
      <c r="DV67" s="960">
        <f t="shared" si="197"/>
        <v>14937</v>
      </c>
      <c r="DW67" s="961">
        <f t="shared" si="197"/>
        <v>14937</v>
      </c>
      <c r="DX67" s="960">
        <f t="shared" si="197"/>
        <v>14437</v>
      </c>
      <c r="DY67" s="960">
        <f t="shared" si="197"/>
        <v>13937</v>
      </c>
      <c r="DZ67" s="960">
        <f t="shared" si="197"/>
        <v>13937</v>
      </c>
      <c r="EA67" s="960">
        <f t="shared" si="197"/>
        <v>13437</v>
      </c>
      <c r="EB67" s="961">
        <f t="shared" si="197"/>
        <v>13437</v>
      </c>
      <c r="EC67" s="960">
        <f t="shared" si="197"/>
        <v>13437</v>
      </c>
      <c r="ED67" s="960">
        <f t="shared" si="197"/>
        <v>13437</v>
      </c>
      <c r="EE67" s="960">
        <f t="shared" si="197"/>
        <v>13437</v>
      </c>
      <c r="EF67" s="960">
        <f t="shared" si="197"/>
        <v>13437</v>
      </c>
      <c r="EG67" s="961">
        <f t="shared" si="197"/>
        <v>13437</v>
      </c>
      <c r="EH67" s="960">
        <f t="shared" ref="EH67:EL67" si="198">+SUM(EH26+EH36)</f>
        <v>13237</v>
      </c>
      <c r="EI67" s="960">
        <f t="shared" si="198"/>
        <v>13037</v>
      </c>
      <c r="EJ67" s="960">
        <f t="shared" si="198"/>
        <v>12837</v>
      </c>
      <c r="EK67" s="960">
        <f t="shared" si="198"/>
        <v>12637</v>
      </c>
      <c r="EL67" s="961">
        <f t="shared" si="198"/>
        <v>12637</v>
      </c>
      <c r="EM67" s="959"/>
      <c r="EN67"/>
      <c r="EO67"/>
      <c r="EP67"/>
      <c r="EQ67"/>
      <c r="ER67"/>
      <c r="ES67"/>
      <c r="ET67" s="135"/>
      <c r="EU67" s="135"/>
      <c r="EV67" s="135"/>
      <c r="EW67" s="135"/>
      <c r="EX67" s="135"/>
      <c r="EY67" s="135"/>
      <c r="EZ67" s="135"/>
      <c r="FA67" s="135"/>
      <c r="FB67" s="135"/>
      <c r="FC67" s="135"/>
      <c r="FD67" s="135"/>
      <c r="FE67" s="135"/>
      <c r="FF67" s="135"/>
      <c r="FG67" s="135"/>
      <c r="FH67" s="135"/>
      <c r="FI67" s="135"/>
      <c r="FJ67" s="135"/>
      <c r="FK67" s="135"/>
      <c r="FL67" s="135"/>
      <c r="FM67" s="135"/>
      <c r="FN67" s="135"/>
      <c r="FO67" s="135"/>
      <c r="FP67" s="135"/>
      <c r="FQ67" s="135"/>
      <c r="FR67" s="135"/>
      <c r="FS67" s="135"/>
      <c r="FT67" s="135"/>
      <c r="FU67" s="135"/>
      <c r="FV67" s="135"/>
      <c r="FW67" s="135"/>
      <c r="FX67" s="135"/>
      <c r="FY67" s="135"/>
      <c r="FZ67" s="135"/>
      <c r="GA67" s="135"/>
      <c r="GB67" s="135"/>
      <c r="GC67" s="135"/>
      <c r="GD67" s="135"/>
      <c r="GE67" s="135"/>
      <c r="GF67" s="135"/>
      <c r="GG67" s="135"/>
      <c r="GH67" s="135"/>
      <c r="GI67" s="135"/>
      <c r="GJ67" s="135"/>
      <c r="GK67" s="135"/>
      <c r="GL67" s="135"/>
      <c r="GM67" s="135"/>
      <c r="GN67" s="135"/>
      <c r="GO67" s="135"/>
      <c r="GP67" s="135"/>
      <c r="GQ67" s="135"/>
      <c r="GR67" s="135"/>
      <c r="GS67" s="135"/>
      <c r="GT67" s="135"/>
      <c r="GU67" s="135"/>
      <c r="GV67" s="135"/>
      <c r="GW67" s="135"/>
      <c r="GX67" s="135"/>
      <c r="GY67" s="135"/>
      <c r="GZ67" s="135"/>
      <c r="HA67" s="135"/>
      <c r="HB67" s="135"/>
      <c r="HC67" s="135"/>
      <c r="HD67" s="135"/>
      <c r="HE67" s="135"/>
      <c r="HF67" s="135"/>
      <c r="HG67" s="135"/>
      <c r="HH67" s="135"/>
      <c r="HI67" s="135"/>
      <c r="HJ67" s="135"/>
      <c r="HK67" s="135"/>
      <c r="HL67" s="135"/>
      <c r="HM67" s="135"/>
      <c r="HN67" s="135"/>
      <c r="HO67" s="135"/>
      <c r="HP67" s="135"/>
      <c r="HQ67" s="135"/>
      <c r="HR67" s="135"/>
      <c r="HS67" s="135"/>
      <c r="HT67" s="135"/>
      <c r="HU67" s="135"/>
      <c r="HV67" s="135"/>
      <c r="HW67" s="135"/>
      <c r="HX67" s="135"/>
      <c r="HY67" s="135"/>
      <c r="HZ67" s="135"/>
      <c r="IA67" s="135"/>
      <c r="IB67" s="135"/>
      <c r="IC67" s="135"/>
      <c r="ID67" s="135"/>
      <c r="IE67" s="135"/>
      <c r="IF67" s="135"/>
      <c r="IG67" s="135"/>
      <c r="IH67" s="135"/>
      <c r="II67" s="135"/>
      <c r="IJ67" s="135"/>
      <c r="IK67" s="135"/>
      <c r="IL67" s="135"/>
      <c r="IM67" s="135"/>
      <c r="IN67" s="135"/>
      <c r="IO67" s="135"/>
      <c r="IP67" s="135"/>
      <c r="IQ67" s="135"/>
      <c r="IR67" s="135"/>
      <c r="IS67" s="135"/>
      <c r="IT67" s="135"/>
      <c r="IU67" s="135"/>
      <c r="IV67" s="135"/>
      <c r="IW67" s="135"/>
      <c r="IX67" s="135"/>
      <c r="IY67" s="135"/>
      <c r="IZ67" s="135"/>
      <c r="JA67" s="135"/>
      <c r="JB67" s="135"/>
      <c r="JC67" s="135"/>
      <c r="JD67" s="135"/>
      <c r="JE67" s="135"/>
      <c r="JF67" s="135"/>
      <c r="JG67" s="135"/>
      <c r="JH67" s="135"/>
    </row>
    <row r="68" spans="1:268" s="142" customFormat="1" ht="11.25" customHeight="1" collapsed="1">
      <c r="A68" s="801"/>
      <c r="B68" s="555"/>
      <c r="C68" s="555"/>
      <c r="D68" s="555"/>
      <c r="E68" s="555"/>
      <c r="F68" s="555"/>
      <c r="G68" s="555"/>
      <c r="H68" s="802"/>
      <c r="I68" s="555"/>
      <c r="J68" s="555"/>
      <c r="K68" s="555"/>
      <c r="L68" s="555"/>
      <c r="M68" s="802"/>
      <c r="N68" s="555"/>
      <c r="O68" s="555"/>
      <c r="P68" s="555"/>
      <c r="Q68" s="555"/>
      <c r="R68" s="802"/>
      <c r="S68" s="555"/>
      <c r="T68" s="555"/>
      <c r="U68" s="555"/>
      <c r="V68" s="555"/>
      <c r="W68" s="802"/>
      <c r="X68" s="555"/>
      <c r="Y68" s="555"/>
      <c r="Z68" s="555"/>
      <c r="AA68" s="555"/>
      <c r="AB68" s="802"/>
      <c r="AC68" s="555"/>
      <c r="AD68" s="555"/>
      <c r="AE68" s="555"/>
      <c r="AF68" s="555"/>
      <c r="AG68" s="802"/>
      <c r="AH68" s="555"/>
      <c r="AI68" s="555"/>
      <c r="AJ68" s="555"/>
      <c r="AK68" s="555"/>
      <c r="AL68" s="802"/>
      <c r="AM68" s="555"/>
      <c r="AN68" s="555"/>
      <c r="AO68" s="555"/>
      <c r="AP68" s="555"/>
      <c r="AQ68" s="802"/>
      <c r="AR68" s="555"/>
      <c r="AS68" s="555"/>
      <c r="AT68" s="555"/>
      <c r="AU68" s="802"/>
      <c r="AV68" s="555"/>
      <c r="AW68" s="555"/>
      <c r="AX68" s="555"/>
      <c r="AY68" s="555"/>
      <c r="AZ68" s="802"/>
      <c r="BA68" s="555"/>
      <c r="BB68" s="555"/>
      <c r="BC68" s="555"/>
      <c r="BD68" s="555"/>
      <c r="BE68" s="802"/>
      <c r="BF68" s="555"/>
      <c r="BG68" s="555"/>
      <c r="BH68" s="555"/>
      <c r="BI68" s="555"/>
      <c r="BJ68" s="802"/>
      <c r="BK68" s="555"/>
      <c r="BL68" s="555"/>
      <c r="BM68" s="555"/>
      <c r="BN68" s="555"/>
      <c r="BO68" s="802"/>
      <c r="BP68" s="555"/>
      <c r="BQ68" s="555"/>
      <c r="BR68" s="555"/>
      <c r="BS68" s="555"/>
      <c r="BT68" s="802"/>
      <c r="BU68" s="555"/>
      <c r="BV68" s="555"/>
      <c r="BW68" s="555"/>
      <c r="BX68" s="555"/>
      <c r="BY68" s="802"/>
      <c r="BZ68" s="557"/>
      <c r="CA68" s="555"/>
      <c r="CB68" s="555"/>
      <c r="CC68" s="555"/>
      <c r="CD68" s="802"/>
      <c r="CE68" s="555"/>
      <c r="CF68" s="555"/>
      <c r="CG68" s="555"/>
      <c r="CH68" s="555"/>
      <c r="CI68" s="802"/>
      <c r="CJ68" s="555"/>
      <c r="CK68" s="555"/>
      <c r="CL68" s="555"/>
      <c r="CM68" s="555"/>
      <c r="CN68" s="802"/>
      <c r="CO68" s="555"/>
      <c r="CP68" s="555"/>
      <c r="CQ68" s="555"/>
      <c r="CR68" s="555"/>
      <c r="CS68" s="802"/>
      <c r="CT68" s="555"/>
      <c r="CU68" s="555"/>
      <c r="CV68" s="555"/>
      <c r="CW68" s="555"/>
      <c r="CX68" s="802"/>
      <c r="CY68" s="555"/>
      <c r="CZ68" s="555"/>
      <c r="DA68" s="555"/>
      <c r="DB68" s="555"/>
      <c r="DC68" s="802"/>
      <c r="DD68" s="555"/>
      <c r="DE68" s="555"/>
      <c r="DF68" s="555"/>
      <c r="DG68" s="555"/>
      <c r="DH68" s="802"/>
      <c r="DI68" s="555"/>
      <c r="DJ68" s="555"/>
      <c r="DK68" s="555"/>
      <c r="DL68" s="555"/>
      <c r="DM68" s="802"/>
      <c r="DN68" s="555"/>
      <c r="DO68" s="555"/>
      <c r="DP68" s="555"/>
      <c r="DQ68" s="555"/>
      <c r="DR68" s="802"/>
      <c r="DS68" s="555"/>
      <c r="DT68" s="555"/>
      <c r="DU68" s="555"/>
      <c r="DV68" s="555"/>
      <c r="DW68" s="802"/>
      <c r="DX68" s="555"/>
      <c r="DY68" s="555"/>
      <c r="DZ68" s="555"/>
      <c r="EA68" s="555"/>
      <c r="EB68" s="802"/>
      <c r="EC68" s="555"/>
      <c r="ED68" s="555"/>
      <c r="EE68" s="555"/>
      <c r="EF68" s="555"/>
      <c r="EG68" s="802"/>
      <c r="EH68" s="555"/>
      <c r="EI68" s="555"/>
      <c r="EJ68" s="555"/>
      <c r="EK68" s="555"/>
      <c r="EL68" s="802"/>
      <c r="EM68" s="555"/>
      <c r="EN68"/>
      <c r="EO68"/>
      <c r="EP68"/>
      <c r="EQ68"/>
      <c r="ER68"/>
      <c r="ES68"/>
      <c r="ET68" s="141"/>
      <c r="EU68" s="141"/>
      <c r="EV68" s="141"/>
      <c r="EW68" s="141"/>
      <c r="EX68" s="141"/>
      <c r="EY68" s="141"/>
      <c r="EZ68" s="141"/>
      <c r="FA68" s="141"/>
      <c r="FB68" s="141"/>
      <c r="FC68" s="141"/>
      <c r="FD68" s="141"/>
      <c r="FE68" s="141"/>
      <c r="FF68" s="141"/>
      <c r="FG68" s="141"/>
      <c r="FH68" s="141"/>
      <c r="FI68" s="141"/>
      <c r="FJ68" s="141"/>
      <c r="FK68" s="141"/>
      <c r="FL68" s="141"/>
      <c r="FM68" s="141"/>
      <c r="FN68" s="141"/>
      <c r="FO68" s="141"/>
      <c r="FP68" s="141"/>
      <c r="FQ68" s="141"/>
      <c r="FR68" s="141"/>
      <c r="FS68" s="141"/>
      <c r="FT68" s="141"/>
      <c r="FU68" s="141"/>
      <c r="FV68" s="141"/>
      <c r="FW68" s="141"/>
      <c r="FX68" s="141"/>
      <c r="FY68" s="141"/>
      <c r="FZ68" s="141"/>
      <c r="GA68" s="141"/>
      <c r="GB68" s="141"/>
      <c r="GC68" s="141"/>
      <c r="GD68" s="141"/>
      <c r="GE68" s="141"/>
      <c r="GF68" s="141"/>
      <c r="GG68" s="141"/>
      <c r="GH68" s="141"/>
      <c r="GI68" s="141"/>
      <c r="GJ68" s="141"/>
      <c r="GK68" s="141"/>
      <c r="GL68" s="141"/>
      <c r="GM68" s="141"/>
      <c r="GN68" s="141"/>
      <c r="GO68" s="141"/>
      <c r="GP68" s="141"/>
      <c r="GQ68" s="141"/>
      <c r="GR68" s="141"/>
      <c r="GS68" s="141"/>
      <c r="GT68" s="141"/>
      <c r="GU68" s="141"/>
      <c r="GV68" s="141"/>
      <c r="GW68" s="141"/>
      <c r="GX68" s="141"/>
      <c r="GY68" s="141"/>
      <c r="GZ68" s="141"/>
      <c r="HA68" s="141"/>
      <c r="HB68" s="141"/>
      <c r="HC68" s="141"/>
      <c r="HD68" s="141"/>
      <c r="HE68" s="141"/>
      <c r="HF68" s="141"/>
      <c r="HG68" s="141"/>
      <c r="HH68" s="141"/>
      <c r="HI68" s="141"/>
      <c r="HJ68" s="141"/>
      <c r="HK68" s="141"/>
      <c r="HL68" s="141"/>
      <c r="HM68" s="141"/>
      <c r="HN68" s="141"/>
      <c r="HO68" s="141"/>
      <c r="HP68" s="141"/>
      <c r="HQ68" s="141"/>
      <c r="HR68" s="141"/>
      <c r="HS68" s="141"/>
      <c r="HT68" s="141"/>
      <c r="HU68" s="141"/>
      <c r="HV68" s="141"/>
      <c r="HW68" s="141"/>
      <c r="HX68" s="141"/>
      <c r="HY68" s="141"/>
      <c r="HZ68" s="141"/>
      <c r="IA68" s="141"/>
      <c r="IB68" s="141"/>
      <c r="IC68" s="141"/>
      <c r="ID68" s="141"/>
      <c r="IE68" s="141"/>
      <c r="IF68" s="141"/>
      <c r="IG68" s="141"/>
      <c r="IH68" s="141"/>
      <c r="II68" s="141"/>
      <c r="IJ68" s="141"/>
      <c r="IK68" s="141"/>
      <c r="IL68" s="141"/>
      <c r="IM68" s="141"/>
      <c r="IN68" s="141"/>
      <c r="IO68" s="141"/>
      <c r="IP68" s="141"/>
      <c r="IQ68" s="141"/>
      <c r="IR68" s="141"/>
      <c r="IS68" s="141"/>
      <c r="IT68" s="141"/>
      <c r="IU68" s="141"/>
      <c r="IV68" s="141"/>
      <c r="IW68" s="141"/>
      <c r="IX68" s="141"/>
      <c r="IY68" s="141"/>
      <c r="IZ68" s="141"/>
      <c r="JA68" s="141"/>
      <c r="JB68" s="141"/>
      <c r="JC68" s="141"/>
      <c r="JD68" s="141"/>
      <c r="JE68" s="141"/>
      <c r="JF68" s="141"/>
      <c r="JG68" s="141"/>
      <c r="JH68" s="141"/>
    </row>
    <row r="69" spans="1:268" s="142" customFormat="1" hidden="1" outlineLevel="1">
      <c r="A69" s="963"/>
      <c r="B69" s="964" t="s">
        <v>576</v>
      </c>
      <c r="C69" s="965"/>
      <c r="D69" s="965" t="str">
        <f t="shared" ref="D69:AT69" si="199">IF(D24=D52,"ok",D24-D52)</f>
        <v>ok</v>
      </c>
      <c r="E69" s="965" t="str">
        <f t="shared" si="199"/>
        <v>ok</v>
      </c>
      <c r="F69" s="965" t="str">
        <f t="shared" si="199"/>
        <v>ok</v>
      </c>
      <c r="G69" s="965" t="str">
        <f t="shared" si="199"/>
        <v>ok</v>
      </c>
      <c r="H69" s="966" t="str">
        <f t="shared" si="199"/>
        <v>ok</v>
      </c>
      <c r="I69" s="965" t="str">
        <f t="shared" si="199"/>
        <v>ok</v>
      </c>
      <c r="J69" s="965" t="str">
        <f t="shared" si="199"/>
        <v>ok</v>
      </c>
      <c r="K69" s="965" t="str">
        <f t="shared" si="199"/>
        <v>ok</v>
      </c>
      <c r="L69" s="965" t="str">
        <f t="shared" si="199"/>
        <v>ok</v>
      </c>
      <c r="M69" s="966" t="str">
        <f t="shared" si="199"/>
        <v>ok</v>
      </c>
      <c r="N69" s="965" t="str">
        <f t="shared" si="199"/>
        <v>ok</v>
      </c>
      <c r="O69" s="965" t="str">
        <f t="shared" si="199"/>
        <v>ok</v>
      </c>
      <c r="P69" s="965" t="str">
        <f t="shared" si="199"/>
        <v>ok</v>
      </c>
      <c r="Q69" s="965" t="str">
        <f t="shared" si="199"/>
        <v>ok</v>
      </c>
      <c r="R69" s="966" t="str">
        <f t="shared" si="199"/>
        <v>ok</v>
      </c>
      <c r="S69" s="965" t="str">
        <f t="shared" si="199"/>
        <v>ok</v>
      </c>
      <c r="T69" s="965" t="str">
        <f t="shared" si="199"/>
        <v>ok</v>
      </c>
      <c r="U69" s="965" t="str">
        <f t="shared" si="199"/>
        <v>ok</v>
      </c>
      <c r="V69" s="965" t="str">
        <f t="shared" si="199"/>
        <v>ok</v>
      </c>
      <c r="W69" s="966" t="str">
        <f t="shared" si="199"/>
        <v>ok</v>
      </c>
      <c r="X69" s="965" t="str">
        <f t="shared" si="199"/>
        <v>ok</v>
      </c>
      <c r="Y69" s="965" t="str">
        <f t="shared" si="199"/>
        <v>ok</v>
      </c>
      <c r="Z69" s="965" t="str">
        <f t="shared" si="199"/>
        <v>ok</v>
      </c>
      <c r="AA69" s="965" t="str">
        <f t="shared" si="199"/>
        <v>ok</v>
      </c>
      <c r="AB69" s="966" t="str">
        <f t="shared" si="199"/>
        <v>ok</v>
      </c>
      <c r="AC69" s="965" t="str">
        <f t="shared" si="199"/>
        <v>ok</v>
      </c>
      <c r="AD69" s="965" t="str">
        <f t="shared" si="199"/>
        <v>ok</v>
      </c>
      <c r="AE69" s="965" t="str">
        <f t="shared" si="199"/>
        <v>ok</v>
      </c>
      <c r="AF69" s="965" t="str">
        <f t="shared" si="199"/>
        <v>ok</v>
      </c>
      <c r="AG69" s="966" t="str">
        <f t="shared" si="199"/>
        <v>ok</v>
      </c>
      <c r="AH69" s="965" t="str">
        <f t="shared" si="199"/>
        <v>ok</v>
      </c>
      <c r="AI69" s="965" t="str">
        <f t="shared" si="199"/>
        <v>ok</v>
      </c>
      <c r="AJ69" s="965" t="str">
        <f t="shared" si="199"/>
        <v>ok</v>
      </c>
      <c r="AK69" s="965" t="str">
        <f t="shared" si="199"/>
        <v>ok</v>
      </c>
      <c r="AL69" s="966" t="str">
        <f t="shared" si="199"/>
        <v>ok</v>
      </c>
      <c r="AM69" s="965" t="str">
        <f t="shared" si="199"/>
        <v>ok</v>
      </c>
      <c r="AN69" s="965" t="str">
        <f t="shared" si="199"/>
        <v>ok</v>
      </c>
      <c r="AO69" s="965" t="str">
        <f t="shared" si="199"/>
        <v>ok</v>
      </c>
      <c r="AP69" s="965" t="str">
        <f t="shared" si="199"/>
        <v>ok</v>
      </c>
      <c r="AQ69" s="966" t="str">
        <f t="shared" si="199"/>
        <v>ok</v>
      </c>
      <c r="AR69" s="965" t="str">
        <f t="shared" si="199"/>
        <v>ok</v>
      </c>
      <c r="AS69" s="965" t="str">
        <f t="shared" si="199"/>
        <v>ok</v>
      </c>
      <c r="AT69" s="965" t="str">
        <f t="shared" si="199"/>
        <v>ok</v>
      </c>
      <c r="AU69" s="967"/>
      <c r="AV69" s="965" t="str">
        <f t="shared" ref="AV69:BZ69" si="200">IF(AV24=AV52,"ok",AV24-AV52)</f>
        <v>ok</v>
      </c>
      <c r="AW69" s="965" t="str">
        <f t="shared" si="200"/>
        <v>ok</v>
      </c>
      <c r="AX69" s="965" t="str">
        <f t="shared" si="200"/>
        <v>ok</v>
      </c>
      <c r="AY69" s="965" t="str">
        <f t="shared" si="200"/>
        <v>ok</v>
      </c>
      <c r="AZ69" s="966" t="str">
        <f t="shared" si="200"/>
        <v>ok</v>
      </c>
      <c r="BA69" s="965" t="str">
        <f t="shared" si="200"/>
        <v>ok</v>
      </c>
      <c r="BB69" s="965" t="str">
        <f t="shared" si="200"/>
        <v>ok</v>
      </c>
      <c r="BC69" s="965" t="str">
        <f t="shared" si="200"/>
        <v>ok</v>
      </c>
      <c r="BD69" s="965" t="str">
        <f t="shared" si="200"/>
        <v>ok</v>
      </c>
      <c r="BE69" s="966" t="str">
        <f t="shared" si="200"/>
        <v>ok</v>
      </c>
      <c r="BF69" s="965" t="str">
        <f t="shared" si="200"/>
        <v>ok</v>
      </c>
      <c r="BG69" s="965" t="str">
        <f t="shared" si="200"/>
        <v>ok</v>
      </c>
      <c r="BH69" s="965" t="str">
        <f t="shared" si="200"/>
        <v>ok</v>
      </c>
      <c r="BI69" s="965" t="str">
        <f t="shared" si="200"/>
        <v>ok</v>
      </c>
      <c r="BJ69" s="966" t="str">
        <f t="shared" si="200"/>
        <v>ok</v>
      </c>
      <c r="BK69" s="965" t="str">
        <f t="shared" si="200"/>
        <v>ok</v>
      </c>
      <c r="BL69" s="965" t="str">
        <f t="shared" si="200"/>
        <v>ok</v>
      </c>
      <c r="BM69" s="965" t="str">
        <f t="shared" si="200"/>
        <v>ok</v>
      </c>
      <c r="BN69" s="965" t="str">
        <f t="shared" si="200"/>
        <v>ok</v>
      </c>
      <c r="BO69" s="966" t="str">
        <f t="shared" si="200"/>
        <v>ok</v>
      </c>
      <c r="BP69" s="965" t="str">
        <f t="shared" si="200"/>
        <v>ok</v>
      </c>
      <c r="BQ69" s="965" t="str">
        <f t="shared" si="200"/>
        <v>ok</v>
      </c>
      <c r="BR69" s="965" t="str">
        <f t="shared" si="200"/>
        <v>ok</v>
      </c>
      <c r="BS69" s="965" t="str">
        <f t="shared" si="200"/>
        <v>ok</v>
      </c>
      <c r="BT69" s="966" t="str">
        <f t="shared" si="200"/>
        <v>ok</v>
      </c>
      <c r="BU69" s="965" t="str">
        <f t="shared" si="200"/>
        <v>ok</v>
      </c>
      <c r="BV69" s="965" t="str">
        <f t="shared" si="200"/>
        <v>ok</v>
      </c>
      <c r="BW69" s="965" t="str">
        <f t="shared" si="200"/>
        <v>ok</v>
      </c>
      <c r="BX69" s="965" t="str">
        <f t="shared" si="200"/>
        <v>ok</v>
      </c>
      <c r="BY69" s="966" t="str">
        <f t="shared" si="200"/>
        <v>ok</v>
      </c>
      <c r="BZ69" s="965" t="str">
        <f t="shared" si="200"/>
        <v>ok</v>
      </c>
      <c r="CA69" s="968" t="str">
        <f t="shared" ref="CA69:DF69" si="201">IF(ROUND(CA24,3)=ROUND(CA52,3),"ok",CA24-CA52)</f>
        <v>ok</v>
      </c>
      <c r="CB69" s="969" t="str">
        <f t="shared" si="201"/>
        <v>ok</v>
      </c>
      <c r="CC69" s="968" t="str">
        <f t="shared" si="201"/>
        <v>ok</v>
      </c>
      <c r="CD69" s="970" t="str">
        <f t="shared" si="201"/>
        <v>ok</v>
      </c>
      <c r="CE69" s="968" t="str">
        <f t="shared" si="201"/>
        <v>ok</v>
      </c>
      <c r="CF69" s="968" t="str">
        <f t="shared" si="201"/>
        <v>ok</v>
      </c>
      <c r="CG69" s="968" t="str">
        <f t="shared" si="201"/>
        <v>ok</v>
      </c>
      <c r="CH69" s="968" t="str">
        <f t="shared" si="201"/>
        <v>ok</v>
      </c>
      <c r="CI69" s="970" t="str">
        <f t="shared" si="201"/>
        <v>ok</v>
      </c>
      <c r="CJ69" s="968" t="str">
        <f t="shared" si="201"/>
        <v>ok</v>
      </c>
      <c r="CK69" s="968" t="str">
        <f t="shared" si="201"/>
        <v>ok</v>
      </c>
      <c r="CL69" s="968" t="str">
        <f t="shared" si="201"/>
        <v>ok</v>
      </c>
      <c r="CM69" s="968" t="str">
        <f t="shared" si="201"/>
        <v>ok</v>
      </c>
      <c r="CN69" s="970" t="str">
        <f t="shared" si="201"/>
        <v>ok</v>
      </c>
      <c r="CO69" s="968" t="str">
        <f t="shared" si="201"/>
        <v>ok</v>
      </c>
      <c r="CP69" s="968" t="str">
        <f t="shared" si="201"/>
        <v>ok</v>
      </c>
      <c r="CQ69" s="968" t="str">
        <f t="shared" si="201"/>
        <v>ok</v>
      </c>
      <c r="CR69" s="968" t="str">
        <f t="shared" si="201"/>
        <v>ok</v>
      </c>
      <c r="CS69" s="970" t="str">
        <f t="shared" si="201"/>
        <v>ok</v>
      </c>
      <c r="CT69" s="968" t="str">
        <f t="shared" si="201"/>
        <v>ok</v>
      </c>
      <c r="CU69" s="968" t="str">
        <f t="shared" si="201"/>
        <v>ok</v>
      </c>
      <c r="CV69" s="968" t="str">
        <f t="shared" si="201"/>
        <v>ok</v>
      </c>
      <c r="CW69" s="968" t="str">
        <f t="shared" si="201"/>
        <v>ok</v>
      </c>
      <c r="CX69" s="970" t="str">
        <f t="shared" si="201"/>
        <v>ok</v>
      </c>
      <c r="CY69" s="968" t="str">
        <f t="shared" si="201"/>
        <v>ok</v>
      </c>
      <c r="CZ69" s="968" t="str">
        <f t="shared" si="201"/>
        <v>ok</v>
      </c>
      <c r="DA69" s="968" t="str">
        <f t="shared" si="201"/>
        <v>ok</v>
      </c>
      <c r="DB69" s="968" t="str">
        <f t="shared" si="201"/>
        <v>ok</v>
      </c>
      <c r="DC69" s="970" t="str">
        <f t="shared" si="201"/>
        <v>ok</v>
      </c>
      <c r="DD69" s="968" t="str">
        <f t="shared" si="201"/>
        <v>ok</v>
      </c>
      <c r="DE69" s="968" t="str">
        <f t="shared" si="201"/>
        <v>ok</v>
      </c>
      <c r="DF69" s="968" t="str">
        <f t="shared" si="201"/>
        <v>ok</v>
      </c>
      <c r="DG69" s="968" t="str">
        <f t="shared" ref="DG69:EG69" si="202">IF(ROUND(DG24,3)=ROUND(DG52,3),"ok",DG24-DG52)</f>
        <v>ok</v>
      </c>
      <c r="DH69" s="970" t="str">
        <f t="shared" si="202"/>
        <v>ok</v>
      </c>
      <c r="DI69" s="968" t="str">
        <f t="shared" si="202"/>
        <v>ok</v>
      </c>
      <c r="DJ69" s="968" t="str">
        <f t="shared" si="202"/>
        <v>ok</v>
      </c>
      <c r="DK69" s="968" t="str">
        <f t="shared" si="202"/>
        <v>ok</v>
      </c>
      <c r="DL69" s="968" t="str">
        <f t="shared" si="202"/>
        <v>ok</v>
      </c>
      <c r="DM69" s="970" t="str">
        <f t="shared" si="202"/>
        <v>ok</v>
      </c>
      <c r="DN69" s="968" t="str">
        <f t="shared" si="202"/>
        <v>ok</v>
      </c>
      <c r="DO69" s="968" t="str">
        <f t="shared" si="202"/>
        <v>ok</v>
      </c>
      <c r="DP69" s="968" t="str">
        <f t="shared" si="202"/>
        <v>ok</v>
      </c>
      <c r="DQ69" s="968" t="str">
        <f t="shared" si="202"/>
        <v>ok</v>
      </c>
      <c r="DR69" s="970">
        <f t="shared" si="202"/>
        <v>-716</v>
      </c>
      <c r="DS69" s="968" t="str">
        <f t="shared" si="202"/>
        <v>ok</v>
      </c>
      <c r="DT69" s="968" t="str">
        <f t="shared" si="202"/>
        <v>ok</v>
      </c>
      <c r="DU69" s="968" t="str">
        <f t="shared" si="202"/>
        <v>ok</v>
      </c>
      <c r="DV69" s="968" t="str">
        <f t="shared" si="202"/>
        <v>ok</v>
      </c>
      <c r="DW69" s="970" t="str">
        <f t="shared" si="202"/>
        <v>ok</v>
      </c>
      <c r="DX69" s="968" t="str">
        <f t="shared" si="202"/>
        <v>ok</v>
      </c>
      <c r="DY69" s="968" t="str">
        <f t="shared" si="202"/>
        <v>ok</v>
      </c>
      <c r="DZ69" s="968" t="str">
        <f t="shared" si="202"/>
        <v>ok</v>
      </c>
      <c r="EA69" s="968" t="str">
        <f t="shared" si="202"/>
        <v>ok</v>
      </c>
      <c r="EB69" s="970" t="str">
        <f t="shared" si="202"/>
        <v>ok</v>
      </c>
      <c r="EC69" s="968" t="str">
        <f t="shared" si="202"/>
        <v>ok</v>
      </c>
      <c r="ED69" s="968" t="str">
        <f t="shared" si="202"/>
        <v>ok</v>
      </c>
      <c r="EE69" s="968" t="str">
        <f t="shared" si="202"/>
        <v>ok</v>
      </c>
      <c r="EF69" s="968" t="str">
        <f t="shared" si="202"/>
        <v>ok</v>
      </c>
      <c r="EG69" s="970" t="str">
        <f t="shared" si="202"/>
        <v>ok</v>
      </c>
      <c r="EH69" s="968" t="str">
        <f t="shared" ref="EH69:EL69" si="203">IF(ROUND(EH24,3)=ROUND(EH52,3),"ok",EH24-EH52)</f>
        <v>ok</v>
      </c>
      <c r="EI69" s="968" t="str">
        <f t="shared" si="203"/>
        <v>ok</v>
      </c>
      <c r="EJ69" s="968" t="str">
        <f t="shared" si="203"/>
        <v>ok</v>
      </c>
      <c r="EK69" s="968" t="str">
        <f t="shared" si="203"/>
        <v>ok</v>
      </c>
      <c r="EL69" s="970" t="str">
        <f t="shared" si="203"/>
        <v>ok</v>
      </c>
      <c r="EM69" s="971"/>
      <c r="EN69"/>
      <c r="EO69"/>
      <c r="EP69"/>
      <c r="EQ69"/>
      <c r="ER69"/>
      <c r="ES69"/>
      <c r="ET69" s="141"/>
      <c r="EU69" s="141"/>
      <c r="EV69" s="141"/>
      <c r="EW69" s="141"/>
      <c r="EX69" s="141"/>
      <c r="EY69" s="141"/>
      <c r="EZ69" s="141"/>
      <c r="FA69" s="141"/>
      <c r="FB69" s="141"/>
      <c r="FC69" s="141"/>
      <c r="FD69" s="141"/>
      <c r="FE69" s="141"/>
      <c r="FF69" s="141"/>
      <c r="FG69" s="141"/>
      <c r="FH69" s="141"/>
      <c r="FI69" s="141"/>
      <c r="FJ69" s="141"/>
      <c r="FK69" s="141"/>
      <c r="FL69" s="141"/>
      <c r="FM69" s="141"/>
      <c r="FN69" s="141"/>
      <c r="FO69" s="141"/>
      <c r="FP69" s="141"/>
      <c r="FQ69" s="141"/>
      <c r="FR69" s="141"/>
      <c r="FS69" s="141"/>
      <c r="FT69" s="141"/>
      <c r="FU69" s="141"/>
      <c r="FV69" s="141"/>
      <c r="FW69" s="141"/>
      <c r="FX69" s="141"/>
      <c r="FY69" s="141"/>
      <c r="FZ69" s="141"/>
      <c r="GA69" s="141"/>
      <c r="GB69" s="141"/>
      <c r="GC69" s="141"/>
      <c r="GD69" s="141"/>
      <c r="GE69" s="141"/>
      <c r="GF69" s="141"/>
      <c r="GG69" s="141"/>
      <c r="GH69" s="141"/>
      <c r="GI69" s="141"/>
      <c r="GJ69" s="141"/>
      <c r="GK69" s="141"/>
      <c r="GL69" s="141"/>
      <c r="GM69" s="141"/>
      <c r="GN69" s="141"/>
      <c r="GO69" s="141"/>
      <c r="GP69" s="141"/>
      <c r="GQ69" s="141"/>
      <c r="GR69" s="141"/>
      <c r="GS69" s="141"/>
      <c r="GT69" s="141"/>
      <c r="GU69" s="141"/>
      <c r="GV69" s="141"/>
      <c r="GW69" s="141"/>
      <c r="GX69" s="141"/>
      <c r="GY69" s="141"/>
      <c r="GZ69" s="141"/>
      <c r="HA69" s="141"/>
      <c r="HB69" s="141"/>
      <c r="HC69" s="141"/>
      <c r="HD69" s="141"/>
      <c r="HE69" s="141"/>
      <c r="HF69" s="141"/>
      <c r="HG69" s="141"/>
      <c r="HH69" s="141"/>
      <c r="HI69" s="141"/>
      <c r="HJ69" s="141"/>
      <c r="HK69" s="141"/>
      <c r="HL69" s="141"/>
      <c r="HM69" s="141"/>
      <c r="HN69" s="141"/>
      <c r="HO69" s="141"/>
      <c r="HP69" s="141"/>
      <c r="HQ69" s="141"/>
      <c r="HR69" s="141"/>
      <c r="HS69" s="141"/>
      <c r="HT69" s="141"/>
      <c r="HU69" s="141"/>
      <c r="HV69" s="141"/>
      <c r="HW69" s="141"/>
      <c r="HX69" s="141"/>
      <c r="HY69" s="141"/>
      <c r="HZ69" s="141"/>
      <c r="IA69" s="141"/>
      <c r="IB69" s="141"/>
      <c r="IC69" s="141"/>
      <c r="ID69" s="141"/>
      <c r="IE69" s="141"/>
      <c r="IF69" s="141"/>
      <c r="IG69" s="141"/>
      <c r="IH69" s="141"/>
      <c r="II69" s="141"/>
      <c r="IJ69" s="141"/>
      <c r="IK69" s="141"/>
      <c r="IL69" s="141"/>
      <c r="IM69" s="141"/>
      <c r="IN69" s="141"/>
      <c r="IO69" s="141"/>
      <c r="IP69" s="141"/>
      <c r="IQ69" s="141"/>
      <c r="IR69" s="141"/>
      <c r="IS69" s="141"/>
      <c r="IT69" s="141"/>
      <c r="IU69" s="141"/>
      <c r="IV69" s="141"/>
      <c r="IW69" s="141"/>
      <c r="IX69" s="141"/>
      <c r="IY69" s="141"/>
      <c r="IZ69" s="141"/>
      <c r="JA69" s="141"/>
      <c r="JB69" s="141"/>
      <c r="JC69" s="141"/>
      <c r="JD69" s="141"/>
      <c r="JE69" s="141"/>
      <c r="JF69" s="141"/>
      <c r="JG69" s="141"/>
      <c r="JH69" s="141"/>
    </row>
    <row r="70" spans="1:268" s="142" customFormat="1" ht="10.5" customHeight="1" collapsed="1">
      <c r="A70" s="801"/>
      <c r="B70" s="555"/>
      <c r="C70" s="555"/>
      <c r="D70" s="555"/>
      <c r="E70" s="555"/>
      <c r="F70" s="555"/>
      <c r="G70" s="555"/>
      <c r="H70" s="802"/>
      <c r="I70" s="555"/>
      <c r="J70" s="555"/>
      <c r="K70" s="555"/>
      <c r="L70" s="555"/>
      <c r="M70" s="802"/>
      <c r="N70" s="555"/>
      <c r="O70" s="555"/>
      <c r="P70" s="555"/>
      <c r="Q70" s="555"/>
      <c r="R70" s="802"/>
      <c r="S70" s="555"/>
      <c r="T70" s="555"/>
      <c r="U70" s="555"/>
      <c r="V70" s="555"/>
      <c r="W70" s="802"/>
      <c r="X70" s="555"/>
      <c r="Y70" s="555"/>
      <c r="Z70" s="555"/>
      <c r="AA70" s="555"/>
      <c r="AB70" s="802"/>
      <c r="AC70" s="555"/>
      <c r="AD70" s="555"/>
      <c r="AE70" s="555"/>
      <c r="AF70" s="555"/>
      <c r="AG70" s="802"/>
      <c r="AH70" s="555"/>
      <c r="AI70" s="555"/>
      <c r="AJ70" s="555"/>
      <c r="AK70" s="555"/>
      <c r="AL70" s="802"/>
      <c r="AM70" s="555"/>
      <c r="AN70" s="555"/>
      <c r="AO70" s="555"/>
      <c r="AP70" s="555"/>
      <c r="AQ70" s="802"/>
      <c r="AR70" s="555"/>
      <c r="AS70" s="555"/>
      <c r="AT70" s="555"/>
      <c r="AU70" s="802"/>
      <c r="AV70" s="555"/>
      <c r="AW70" s="555"/>
      <c r="AX70" s="555"/>
      <c r="AY70" s="555"/>
      <c r="AZ70" s="802"/>
      <c r="BA70" s="555"/>
      <c r="BB70" s="555"/>
      <c r="BC70" s="555"/>
      <c r="BD70" s="555"/>
      <c r="BE70" s="802"/>
      <c r="BF70" s="555"/>
      <c r="BG70" s="555"/>
      <c r="BH70" s="555"/>
      <c r="BI70" s="555"/>
      <c r="BJ70" s="802"/>
      <c r="BK70" s="555"/>
      <c r="BL70" s="555"/>
      <c r="BM70" s="555"/>
      <c r="BN70" s="555"/>
      <c r="BO70" s="802"/>
      <c r="BP70" s="555"/>
      <c r="BQ70" s="555"/>
      <c r="BR70" s="555"/>
      <c r="BS70" s="555"/>
      <c r="BT70" s="802"/>
      <c r="BU70" s="555"/>
      <c r="BV70" s="555"/>
      <c r="BW70" s="555"/>
      <c r="BX70" s="555"/>
      <c r="BY70" s="802"/>
      <c r="BZ70" s="557"/>
      <c r="CA70" s="555"/>
      <c r="CB70" s="555"/>
      <c r="CC70" s="555"/>
      <c r="CD70" s="802"/>
      <c r="CE70" s="555"/>
      <c r="CF70" s="555"/>
      <c r="CG70" s="555"/>
      <c r="CH70" s="555"/>
      <c r="CI70" s="802"/>
      <c r="CJ70" s="555"/>
      <c r="CK70" s="555"/>
      <c r="CL70" s="555"/>
      <c r="CM70" s="555"/>
      <c r="CN70" s="802"/>
      <c r="CO70" s="555"/>
      <c r="CP70" s="555"/>
      <c r="CQ70" s="555"/>
      <c r="CR70" s="555"/>
      <c r="CS70" s="802"/>
      <c r="CT70" s="555"/>
      <c r="CU70" s="555"/>
      <c r="CV70" s="555"/>
      <c r="CW70" s="555"/>
      <c r="CX70" s="802"/>
      <c r="CY70" s="555"/>
      <c r="CZ70" s="555"/>
      <c r="DA70" s="555"/>
      <c r="DB70" s="555"/>
      <c r="DC70" s="802"/>
      <c r="DD70" s="555"/>
      <c r="DE70" s="555"/>
      <c r="DF70" s="555"/>
      <c r="DG70" s="555"/>
      <c r="DH70" s="802"/>
      <c r="DI70" s="555"/>
      <c r="DJ70" s="555"/>
      <c r="DK70" s="555"/>
      <c r="DL70" s="555"/>
      <c r="DM70" s="802"/>
      <c r="DN70" s="555"/>
      <c r="DO70" s="555"/>
      <c r="DP70" s="555"/>
      <c r="DQ70" s="555"/>
      <c r="DR70" s="802"/>
      <c r="DS70" s="555"/>
      <c r="DT70" s="555"/>
      <c r="DU70" s="555"/>
      <c r="DV70" s="555"/>
      <c r="DW70" s="802"/>
      <c r="DX70" s="555"/>
      <c r="DY70" s="555"/>
      <c r="DZ70" s="555"/>
      <c r="EA70" s="555"/>
      <c r="EB70" s="802"/>
      <c r="EC70" s="555"/>
      <c r="ED70" s="555"/>
      <c r="EE70" s="555"/>
      <c r="EF70" s="555"/>
      <c r="EG70" s="802"/>
      <c r="EH70" s="555"/>
      <c r="EI70" s="555"/>
      <c r="EJ70" s="555"/>
      <c r="EK70" s="555"/>
      <c r="EL70" s="802"/>
      <c r="EM70" s="555"/>
      <c r="EN70"/>
      <c r="EO70"/>
      <c r="EP70"/>
      <c r="EQ70"/>
      <c r="ER70"/>
      <c r="ES70"/>
      <c r="ET70" s="141"/>
      <c r="EU70" s="141"/>
      <c r="EV70" s="141"/>
      <c r="EW70" s="141"/>
      <c r="EX70" s="141"/>
      <c r="EY70" s="141"/>
      <c r="EZ70" s="141"/>
      <c r="FA70" s="141"/>
      <c r="FB70" s="141"/>
      <c r="FC70" s="141"/>
      <c r="FD70" s="141"/>
      <c r="FE70" s="141"/>
      <c r="FF70" s="141"/>
      <c r="FG70" s="141"/>
      <c r="FH70" s="141"/>
      <c r="FI70" s="141"/>
      <c r="FJ70" s="141"/>
      <c r="FK70" s="141"/>
      <c r="FL70" s="141"/>
      <c r="FM70" s="141"/>
      <c r="FN70" s="141"/>
      <c r="FO70" s="141"/>
      <c r="FP70" s="141"/>
      <c r="FQ70" s="141"/>
      <c r="FR70" s="141"/>
      <c r="FS70" s="141"/>
      <c r="FT70" s="141"/>
      <c r="FU70" s="141"/>
      <c r="FV70" s="141"/>
      <c r="FW70" s="141"/>
      <c r="FX70" s="141"/>
      <c r="FY70" s="141"/>
      <c r="FZ70" s="141"/>
      <c r="GA70" s="141"/>
      <c r="GB70" s="141"/>
      <c r="GC70" s="141"/>
      <c r="GD70" s="141"/>
      <c r="GE70" s="141"/>
      <c r="GF70" s="141"/>
      <c r="GG70" s="141"/>
      <c r="GH70" s="141"/>
      <c r="GI70" s="141"/>
      <c r="GJ70" s="141"/>
      <c r="GK70" s="141"/>
      <c r="GL70" s="141"/>
      <c r="GM70" s="141"/>
      <c r="GN70" s="141"/>
      <c r="GO70" s="141"/>
      <c r="GP70" s="141"/>
      <c r="GQ70" s="141"/>
      <c r="GR70" s="141"/>
      <c r="GS70" s="141"/>
      <c r="GT70" s="141"/>
      <c r="GU70" s="141"/>
      <c r="GV70" s="141"/>
      <c r="GW70" s="141"/>
      <c r="GX70" s="141"/>
      <c r="GY70" s="141"/>
      <c r="GZ70" s="141"/>
      <c r="HA70" s="141"/>
      <c r="HB70" s="141"/>
      <c r="HC70" s="141"/>
      <c r="HD70" s="141"/>
      <c r="HE70" s="141"/>
      <c r="HF70" s="141"/>
      <c r="HG70" s="141"/>
      <c r="HH70" s="141"/>
      <c r="HI70" s="141"/>
      <c r="HJ70" s="141"/>
      <c r="HK70" s="141"/>
      <c r="HL70" s="141"/>
      <c r="HM70" s="141"/>
      <c r="HN70" s="141"/>
      <c r="HO70" s="141"/>
      <c r="HP70" s="141"/>
      <c r="HQ70" s="141"/>
      <c r="HR70" s="141"/>
      <c r="HS70" s="141"/>
      <c r="HT70" s="141"/>
      <c r="HU70" s="141"/>
      <c r="HV70" s="141"/>
      <c r="HW70" s="141"/>
      <c r="HX70" s="141"/>
      <c r="HY70" s="141"/>
      <c r="HZ70" s="141"/>
      <c r="IA70" s="141"/>
      <c r="IB70" s="141"/>
      <c r="IC70" s="141"/>
      <c r="ID70" s="141"/>
      <c r="IE70" s="141"/>
      <c r="IF70" s="141"/>
      <c r="IG70" s="141"/>
      <c r="IH70" s="141"/>
      <c r="II70" s="141"/>
      <c r="IJ70" s="141"/>
      <c r="IK70" s="141"/>
      <c r="IL70" s="141"/>
      <c r="IM70" s="141"/>
      <c r="IN70" s="141"/>
      <c r="IO70" s="141"/>
      <c r="IP70" s="141"/>
      <c r="IQ70" s="141"/>
      <c r="IR70" s="141"/>
      <c r="IS70" s="141"/>
      <c r="IT70" s="141"/>
      <c r="IU70" s="141"/>
      <c r="IV70" s="141"/>
      <c r="IW70" s="141"/>
      <c r="IX70" s="141"/>
      <c r="IY70" s="141"/>
      <c r="IZ70" s="141"/>
      <c r="JA70" s="141"/>
      <c r="JB70" s="141"/>
      <c r="JC70" s="141"/>
      <c r="JD70" s="141"/>
      <c r="JE70" s="141"/>
      <c r="JF70" s="141"/>
      <c r="JG70" s="141"/>
      <c r="JH70" s="141"/>
    </row>
    <row r="71" spans="1:268" s="135" customFormat="1" hidden="1" outlineLevel="1">
      <c r="A71" s="856"/>
      <c r="B71" s="857" t="s">
        <v>0</v>
      </c>
      <c r="C71" s="941"/>
      <c r="D71" s="941"/>
      <c r="E71" s="941"/>
      <c r="F71" s="941"/>
      <c r="G71" s="941"/>
      <c r="H71" s="942"/>
      <c r="I71" s="941"/>
      <c r="J71" s="941"/>
      <c r="K71" s="941"/>
      <c r="L71" s="942"/>
      <c r="M71" s="943"/>
      <c r="N71" s="941"/>
      <c r="O71" s="941"/>
      <c r="P71" s="941"/>
      <c r="Q71" s="941"/>
      <c r="R71" s="942"/>
      <c r="S71" s="941"/>
      <c r="T71" s="941"/>
      <c r="U71" s="941"/>
      <c r="V71" s="941"/>
      <c r="W71" s="942"/>
      <c r="X71" s="941"/>
      <c r="Y71" s="941"/>
      <c r="Z71" s="941"/>
      <c r="AA71" s="941"/>
      <c r="AB71" s="942"/>
      <c r="AC71" s="941"/>
      <c r="AD71" s="941"/>
      <c r="AE71" s="941"/>
      <c r="AF71" s="941"/>
      <c r="AG71" s="942"/>
      <c r="AH71" s="941"/>
      <c r="AI71" s="941"/>
      <c r="AJ71" s="941"/>
      <c r="AK71" s="941"/>
      <c r="AL71" s="942"/>
      <c r="AM71" s="941"/>
      <c r="AN71" s="941"/>
      <c r="AO71" s="941"/>
      <c r="AP71" s="941"/>
      <c r="AQ71" s="942"/>
      <c r="AR71" s="941"/>
      <c r="AS71" s="941"/>
      <c r="AT71" s="944"/>
      <c r="AU71" s="942"/>
      <c r="AV71" s="941"/>
      <c r="AW71" s="941"/>
      <c r="AX71" s="941"/>
      <c r="AY71" s="941"/>
      <c r="AZ71" s="942"/>
      <c r="BA71" s="941"/>
      <c r="BB71" s="941"/>
      <c r="BC71" s="941"/>
      <c r="BD71" s="941"/>
      <c r="BE71" s="942"/>
      <c r="BF71" s="941"/>
      <c r="BG71" s="941"/>
      <c r="BH71" s="941"/>
      <c r="BI71" s="941"/>
      <c r="BJ71" s="942"/>
      <c r="BK71" s="941"/>
      <c r="BL71" s="941"/>
      <c r="BM71" s="941"/>
      <c r="BN71" s="941"/>
      <c r="BO71" s="942"/>
      <c r="BP71" s="941"/>
      <c r="BQ71" s="941"/>
      <c r="BR71" s="941"/>
      <c r="BS71" s="941"/>
      <c r="BT71" s="942"/>
      <c r="BU71" s="941"/>
      <c r="BV71" s="941"/>
      <c r="BW71" s="941"/>
      <c r="BX71" s="941"/>
      <c r="BY71" s="942"/>
      <c r="BZ71" s="941"/>
      <c r="CA71" s="941"/>
      <c r="CB71" s="941"/>
      <c r="CC71" s="941"/>
      <c r="CD71" s="942"/>
      <c r="CE71" s="941"/>
      <c r="CF71" s="941"/>
      <c r="CG71" s="941"/>
      <c r="CH71" s="941"/>
      <c r="CI71" s="942"/>
      <c r="CJ71" s="941"/>
      <c r="CK71" s="941"/>
      <c r="CL71" s="941"/>
      <c r="CM71" s="941"/>
      <c r="CN71" s="942"/>
      <c r="CO71" s="941"/>
      <c r="CP71" s="941"/>
      <c r="CQ71" s="941"/>
      <c r="CR71" s="941"/>
      <c r="CS71" s="942"/>
      <c r="CT71" s="941"/>
      <c r="CU71" s="941"/>
      <c r="CV71" s="941"/>
      <c r="CW71" s="941"/>
      <c r="CX71" s="942"/>
      <c r="CY71" s="941"/>
      <c r="CZ71" s="941"/>
      <c r="DA71" s="941"/>
      <c r="DB71" s="941"/>
      <c r="DC71" s="942"/>
      <c r="DD71" s="941"/>
      <c r="DE71" s="941"/>
      <c r="DF71" s="941"/>
      <c r="DG71" s="941"/>
      <c r="DH71" s="942"/>
      <c r="DI71" s="941"/>
      <c r="DJ71" s="941"/>
      <c r="DK71" s="941"/>
      <c r="DL71" s="941"/>
      <c r="DM71" s="942"/>
      <c r="DN71" s="941"/>
      <c r="DO71" s="941"/>
      <c r="DP71" s="941"/>
      <c r="DQ71" s="941"/>
      <c r="DR71" s="942"/>
      <c r="DS71" s="941"/>
      <c r="DT71" s="941"/>
      <c r="DU71" s="941"/>
      <c r="DV71" s="941"/>
      <c r="DW71" s="942"/>
      <c r="DX71" s="941"/>
      <c r="DY71" s="941"/>
      <c r="DZ71" s="941"/>
      <c r="EA71" s="941"/>
      <c r="EB71" s="942"/>
      <c r="EC71" s="941"/>
      <c r="ED71" s="941"/>
      <c r="EE71" s="941"/>
      <c r="EF71" s="941"/>
      <c r="EG71" s="942"/>
      <c r="EH71" s="941"/>
      <c r="EI71" s="941"/>
      <c r="EJ71" s="941"/>
      <c r="EK71" s="941"/>
      <c r="EL71" s="942"/>
      <c r="EM71" s="141"/>
      <c r="EN71"/>
      <c r="EO71"/>
      <c r="EP71"/>
      <c r="EQ71"/>
      <c r="ER71"/>
      <c r="ES71"/>
    </row>
    <row r="72" spans="1:268" s="142" customFormat="1" hidden="1" outlineLevel="1">
      <c r="A72" s="972"/>
      <c r="B72" s="973" t="s">
        <v>1</v>
      </c>
      <c r="C72" s="563"/>
      <c r="D72" s="563"/>
      <c r="E72" s="563"/>
      <c r="F72" s="563"/>
      <c r="G72" s="563"/>
      <c r="H72" s="815"/>
      <c r="I72" s="563"/>
      <c r="J72" s="563"/>
      <c r="K72" s="563"/>
      <c r="L72" s="563"/>
      <c r="M72" s="815"/>
      <c r="N72" s="563"/>
      <c r="O72" s="563"/>
      <c r="P72" s="563"/>
      <c r="Q72" s="563"/>
      <c r="R72" s="815"/>
      <c r="S72" s="563"/>
      <c r="T72" s="563"/>
      <c r="U72" s="563"/>
      <c r="V72" s="563"/>
      <c r="W72" s="815"/>
      <c r="X72" s="563"/>
      <c r="Y72" s="563"/>
      <c r="Z72" s="563"/>
      <c r="AA72" s="563"/>
      <c r="AB72" s="815"/>
      <c r="AC72" s="563"/>
      <c r="AD72" s="563"/>
      <c r="AE72" s="563"/>
      <c r="AF72" s="563"/>
      <c r="AG72" s="815"/>
      <c r="AH72" s="563"/>
      <c r="AI72" s="563"/>
      <c r="AJ72" s="563"/>
      <c r="AK72" s="563"/>
      <c r="AL72" s="974"/>
      <c r="AM72" s="563"/>
      <c r="AN72" s="563"/>
      <c r="AO72" s="563"/>
      <c r="AP72" s="563"/>
      <c r="AQ72" s="974"/>
      <c r="AR72" s="563"/>
      <c r="AS72" s="563"/>
      <c r="AT72" s="563"/>
      <c r="AU72" s="815"/>
      <c r="AV72" s="706"/>
      <c r="AW72" s="557"/>
      <c r="AX72" s="563"/>
      <c r="AY72" s="563"/>
      <c r="AZ72" s="815"/>
      <c r="BA72" s="706"/>
      <c r="BB72" s="557"/>
      <c r="BC72" s="563"/>
      <c r="BD72" s="563"/>
      <c r="BE72" s="815"/>
      <c r="BF72" s="706"/>
      <c r="BG72" s="557"/>
      <c r="BH72" s="563"/>
      <c r="BI72" s="563"/>
      <c r="BJ72" s="815"/>
      <c r="BK72" s="706"/>
      <c r="BL72" s="557"/>
      <c r="BM72" s="563"/>
      <c r="BN72" s="563"/>
      <c r="BO72" s="815"/>
      <c r="BP72" s="706"/>
      <c r="BQ72" s="557"/>
      <c r="BR72" s="706"/>
      <c r="BS72" s="767"/>
      <c r="BT72" s="815"/>
      <c r="BU72" s="563"/>
      <c r="BV72" s="563"/>
      <c r="BW72" s="563"/>
      <c r="BX72" s="563"/>
      <c r="BY72" s="815"/>
      <c r="BZ72" s="767"/>
      <c r="CA72" s="563"/>
      <c r="CB72" s="563"/>
      <c r="CC72" s="563"/>
      <c r="CD72" s="815"/>
      <c r="CE72" s="563"/>
      <c r="CF72" s="563"/>
      <c r="CG72" s="563"/>
      <c r="CH72" s="563"/>
      <c r="CI72" s="815"/>
      <c r="CJ72" s="767"/>
      <c r="CK72" s="557"/>
      <c r="CL72" s="767"/>
      <c r="CM72" s="557"/>
      <c r="CN72" s="802"/>
      <c r="CO72" s="767"/>
      <c r="CP72" s="555"/>
      <c r="CQ72" s="555"/>
      <c r="CR72" s="555"/>
      <c r="CS72" s="802"/>
      <c r="CT72" s="555"/>
      <c r="CU72" s="555"/>
      <c r="CV72" s="555"/>
      <c r="CW72" s="555"/>
      <c r="CX72" s="802"/>
      <c r="CY72" s="555"/>
      <c r="CZ72" s="555"/>
      <c r="DA72" s="555"/>
      <c r="DB72" s="555"/>
      <c r="DC72" s="802"/>
      <c r="DD72" s="555"/>
      <c r="DE72" s="555"/>
      <c r="DF72" s="555"/>
      <c r="DG72" s="555"/>
      <c r="DH72" s="802"/>
      <c r="DI72" s="555"/>
      <c r="DJ72" s="555"/>
      <c r="DK72" s="555"/>
      <c r="DL72" s="670"/>
      <c r="DM72" s="802"/>
      <c r="DN72" s="555"/>
      <c r="DO72" s="555"/>
      <c r="DP72" s="555"/>
      <c r="DQ72" s="555"/>
      <c r="DR72" s="802"/>
      <c r="DS72" s="555"/>
      <c r="DT72" s="555"/>
      <c r="DU72" s="555"/>
      <c r="DV72" s="555"/>
      <c r="DW72" s="802"/>
      <c r="DX72" s="555"/>
      <c r="DY72" s="555"/>
      <c r="DZ72" s="555"/>
      <c r="EA72" s="555"/>
      <c r="EB72" s="802"/>
      <c r="EC72" s="555"/>
      <c r="ED72" s="555"/>
      <c r="EE72" s="555"/>
      <c r="EF72" s="555"/>
      <c r="EG72" s="802"/>
      <c r="EH72" s="555"/>
      <c r="EI72" s="555"/>
      <c r="EJ72" s="555"/>
      <c r="EK72" s="555"/>
      <c r="EL72" s="802"/>
      <c r="EM72" s="555"/>
      <c r="EN72"/>
      <c r="EO72"/>
      <c r="EP72"/>
      <c r="EQ72"/>
      <c r="ER72"/>
      <c r="ES72"/>
      <c r="ET72" s="141"/>
      <c r="EU72" s="141"/>
      <c r="EV72" s="141"/>
      <c r="EW72" s="141"/>
      <c r="EX72" s="141"/>
      <c r="EY72" s="141"/>
      <c r="EZ72" s="141"/>
      <c r="FA72" s="141"/>
      <c r="FB72" s="141"/>
      <c r="FC72" s="141"/>
      <c r="FD72" s="141"/>
      <c r="FE72" s="141"/>
      <c r="FF72" s="141"/>
      <c r="FG72" s="141"/>
      <c r="FH72" s="141"/>
      <c r="FI72" s="141"/>
      <c r="FJ72" s="141"/>
      <c r="FK72" s="141"/>
      <c r="FL72" s="141"/>
      <c r="FM72" s="141"/>
      <c r="FN72" s="141"/>
      <c r="FO72" s="141"/>
      <c r="FP72" s="141"/>
      <c r="FQ72" s="141"/>
      <c r="FR72" s="141"/>
      <c r="FS72" s="141"/>
      <c r="FT72" s="141"/>
      <c r="FU72" s="141"/>
      <c r="FV72" s="141"/>
      <c r="FW72" s="141"/>
      <c r="FX72" s="141"/>
      <c r="FY72" s="141"/>
      <c r="FZ72" s="141"/>
      <c r="GA72" s="141"/>
      <c r="GB72" s="141"/>
      <c r="GC72" s="141"/>
      <c r="GD72" s="141"/>
      <c r="GE72" s="141"/>
      <c r="GF72" s="141"/>
      <c r="GG72" s="141"/>
      <c r="GH72" s="141"/>
      <c r="GI72" s="141"/>
      <c r="GJ72" s="141"/>
      <c r="GK72" s="141"/>
      <c r="GL72" s="141"/>
      <c r="GM72" s="141"/>
      <c r="GN72" s="141"/>
      <c r="GO72" s="141"/>
      <c r="GP72" s="141"/>
      <c r="GQ72" s="141"/>
      <c r="GR72" s="141"/>
      <c r="GS72" s="141"/>
      <c r="GT72" s="141"/>
      <c r="GU72" s="141"/>
      <c r="GV72" s="141"/>
      <c r="GW72" s="141"/>
      <c r="GX72" s="141"/>
      <c r="GY72" s="141"/>
      <c r="GZ72" s="141"/>
      <c r="HA72" s="141"/>
      <c r="HB72" s="141"/>
      <c r="HC72" s="141"/>
      <c r="HD72" s="141"/>
      <c r="HE72" s="141"/>
      <c r="HF72" s="141"/>
      <c r="HG72" s="141"/>
      <c r="HH72" s="141"/>
      <c r="HI72" s="141"/>
      <c r="HJ72" s="141"/>
      <c r="HK72" s="141"/>
      <c r="HL72" s="141"/>
      <c r="HM72" s="141"/>
      <c r="HN72" s="141"/>
      <c r="HO72" s="141"/>
      <c r="HP72" s="141"/>
      <c r="HQ72" s="141"/>
      <c r="HR72" s="141"/>
      <c r="HS72" s="141"/>
      <c r="HT72" s="141"/>
      <c r="HU72" s="141"/>
      <c r="HV72" s="141"/>
      <c r="HW72" s="141"/>
      <c r="HX72" s="141"/>
      <c r="HY72" s="141"/>
      <c r="HZ72" s="141"/>
      <c r="IA72" s="141"/>
      <c r="IB72" s="141"/>
      <c r="IC72" s="141"/>
      <c r="ID72" s="141"/>
      <c r="IE72" s="141"/>
      <c r="IF72" s="141"/>
      <c r="IG72" s="141"/>
      <c r="IH72" s="141"/>
      <c r="II72" s="141"/>
      <c r="IJ72" s="141"/>
      <c r="IK72" s="141"/>
      <c r="IL72" s="141"/>
      <c r="IM72" s="141"/>
      <c r="IN72" s="141"/>
      <c r="IO72" s="141"/>
      <c r="IP72" s="141"/>
      <c r="IQ72" s="141"/>
      <c r="IR72" s="141"/>
      <c r="IS72" s="141"/>
      <c r="IT72" s="141"/>
      <c r="IU72" s="141"/>
      <c r="IV72" s="141"/>
      <c r="IW72" s="141"/>
      <c r="IX72" s="141"/>
      <c r="IY72" s="141"/>
      <c r="IZ72" s="141"/>
      <c r="JA72" s="141"/>
      <c r="JB72" s="141"/>
      <c r="JC72" s="141"/>
      <c r="JD72" s="141"/>
      <c r="JE72" s="141"/>
      <c r="JF72" s="141"/>
      <c r="JG72" s="141"/>
      <c r="JH72" s="141"/>
    </row>
    <row r="73" spans="1:268" s="142" customFormat="1" ht="12" hidden="1" customHeight="1" outlineLevel="1">
      <c r="A73" s="801"/>
      <c r="B73" s="557" t="s">
        <v>2</v>
      </c>
      <c r="C73" s="558"/>
      <c r="D73" s="558"/>
      <c r="E73" s="558"/>
      <c r="F73" s="558"/>
      <c r="G73" s="558"/>
      <c r="H73" s="78"/>
      <c r="I73" s="700">
        <f>IS!I12/IS!D12-1</f>
        <v>0.9369828086929628</v>
      </c>
      <c r="J73" s="700">
        <f>IS!J12/IS!E12-1</f>
        <v>1.146055103318723</v>
      </c>
      <c r="K73" s="700">
        <f>IS!K12/IS!F12-1</f>
        <v>1.1679031037093113</v>
      </c>
      <c r="L73" s="700">
        <f>IS!L12/IS!G12-1</f>
        <v>8.587506868309136E-2</v>
      </c>
      <c r="M73" s="78">
        <f>IS!M12/IS!H12-1</f>
        <v>0.67540687160940327</v>
      </c>
      <c r="N73" s="700">
        <f>IS!N12/IS!I12-1</f>
        <v>0.12049225017524723</v>
      </c>
      <c r="O73" s="700">
        <f>IS!O12/IS!J12-1</f>
        <v>7.6737909402582183E-2</v>
      </c>
      <c r="P73" s="700">
        <f>IS!P12/IS!K12-1</f>
        <v>0.56219009707381806</v>
      </c>
      <c r="Q73" s="700">
        <f>IS!Q12/IS!L12-1</f>
        <v>1.4039937512735179</v>
      </c>
      <c r="R73" s="78">
        <f>IS!R12/IS!M12-1</f>
        <v>0.56341068537506755</v>
      </c>
      <c r="S73" s="700">
        <f>IS!S12/IS!N12-1</f>
        <v>0.62032531627971643</v>
      </c>
      <c r="T73" s="700">
        <f>IS!T12/IS!O12-1</f>
        <v>0.64555246934489552</v>
      </c>
      <c r="U73" s="700">
        <f>IS!U12/IS!P12-1</f>
        <v>0.14622915642183365</v>
      </c>
      <c r="V73" s="700">
        <f>IS!V12/IS!Q12-1</f>
        <v>-0.27360569588065764</v>
      </c>
      <c r="W73" s="78">
        <f>IS!W12/IS!R12-1</f>
        <v>0.13853411575192731</v>
      </c>
      <c r="X73" s="700">
        <f>IS!X12/IS!S12-1</f>
        <v>9.5238095238095344E-2</v>
      </c>
      <c r="Y73" s="700">
        <f>IS!Y12/IS!T12-1</f>
        <v>5.5166735282009105E-2</v>
      </c>
      <c r="Z73" s="700">
        <f>IS!Z12/IS!U12-1</f>
        <v>0.10062402496099843</v>
      </c>
      <c r="AA73" s="700">
        <f>IS!AA12/IS!V12-1</f>
        <v>0.14430182808245817</v>
      </c>
      <c r="AB73" s="78">
        <f>IS!AB12/IS!W12-1</f>
        <v>9.9545224861040893E-2</v>
      </c>
      <c r="AC73" s="700">
        <f>IS!AC12/IS!X12-1</f>
        <v>0.12534273403838614</v>
      </c>
      <c r="AD73" s="700">
        <f>IS!AD12/IS!Y12-1</f>
        <v>8.4666406554818607E-2</v>
      </c>
      <c r="AE73" s="700">
        <f>IS!AE12/IS!Z12-1</f>
        <v>9.9220411055989111E-3</v>
      </c>
      <c r="AF73" s="700">
        <f>IS!AF12/IS!AA12-1</f>
        <v>-1.0537049626104689E-2</v>
      </c>
      <c r="AG73" s="78">
        <f>IS!AG12/IS!AB12-1</f>
        <v>4.9080882352941169E-2</v>
      </c>
      <c r="AH73" s="700">
        <f>IS!AH12/IS!AC12-1</f>
        <v>6.9613644274277853E-3</v>
      </c>
      <c r="AI73" s="700">
        <f>IS!AI12/IS!AD12-1</f>
        <v>4.8561151079136611E-2</v>
      </c>
      <c r="AJ73" s="700">
        <f>IS!AJ12/IS!AE12-1</f>
        <v>6.5263157894736912E-2</v>
      </c>
      <c r="AK73" s="700">
        <f>IS!AK12/IS!AF12-1</f>
        <v>0.1023703194778427</v>
      </c>
      <c r="AL73" s="78">
        <f>IS!AL12/IS!AG12-1</f>
        <v>5.5983879446294127E-2</v>
      </c>
      <c r="AM73" s="700">
        <f>IS!AM12/IS!AH12-1</f>
        <v>0.13964742481852754</v>
      </c>
      <c r="AN73" s="700">
        <f>IS!AN12/IS!AI12-1</f>
        <v>0.16432246998284739</v>
      </c>
      <c r="AO73" s="700">
        <f>IS!AO12/IS!AJ12-1</f>
        <v>0.14756258234519115</v>
      </c>
      <c r="AP73" s="700">
        <f>IS!AP12/IS!AK12-1</f>
        <v>0.16484886257401055</v>
      </c>
      <c r="AQ73" s="78">
        <f>IS!AQ12/IS!AL12-1</f>
        <v>0.15431842694764786</v>
      </c>
      <c r="AR73" s="700">
        <f>IS!S12/IS!N12-1</f>
        <v>0.62032531627971643</v>
      </c>
      <c r="AS73" s="700">
        <f>IS!T12/IS!O12-1</f>
        <v>0.64555246934489552</v>
      </c>
      <c r="AT73" s="700">
        <f>IS!U12/IS!P12-1</f>
        <v>0.14622915642183365</v>
      </c>
      <c r="AU73" s="802"/>
      <c r="AV73" s="555"/>
      <c r="AW73" s="555"/>
      <c r="AX73" s="555"/>
      <c r="AY73" s="555"/>
      <c r="AZ73" s="802"/>
      <c r="BA73" s="700">
        <f>IS!BA12/IS!AV12-1</f>
        <v>2.2814814814814843E-2</v>
      </c>
      <c r="BB73" s="700">
        <f>IS!BB12/IS!AW12-1</f>
        <v>-1.4868804664723068E-2</v>
      </c>
      <c r="BC73" s="700">
        <f>IS!BC12/IS!AX12-1</f>
        <v>-6.3618290258449339E-2</v>
      </c>
      <c r="BD73" s="700">
        <f>IS!BD12/IS!AY12-1</f>
        <v>-8.932150014314344E-2</v>
      </c>
      <c r="BE73" s="78">
        <f>IS!BE12/IS!AZ12-1</f>
        <v>-3.6905709530356767E-2</v>
      </c>
      <c r="BF73" s="700">
        <f>IS!BF12/IS!BA12-1</f>
        <v>-0.22682502896871382</v>
      </c>
      <c r="BG73" s="700">
        <f>IS!BG12/IS!BB12-1</f>
        <v>-0.23941994672980171</v>
      </c>
      <c r="BH73" s="700">
        <f>IS!BH12/IS!BC12-1</f>
        <v>-0.25993327267212618</v>
      </c>
      <c r="BI73" s="700">
        <f>IS!BI12/IS!BD12-1</f>
        <v>-0.24174787802577802</v>
      </c>
      <c r="BJ73" s="78">
        <f>IS!BJ12/IS!BE12-1</f>
        <v>-0.24179126906604553</v>
      </c>
      <c r="BK73" s="700">
        <f>IS!BK12/IS!BF12-1</f>
        <v>-6.2944923192206792E-2</v>
      </c>
      <c r="BL73" s="700">
        <f>IS!BL12/IS!BG12-1</f>
        <v>-5.8365758754863828E-2</v>
      </c>
      <c r="BM73" s="700">
        <f>IS!BM12/IS!BH12-1</f>
        <v>-1.885245901639343E-2</v>
      </c>
      <c r="BN73" s="700">
        <f>IS!BN12/IS!BI12-1</f>
        <v>-4.6849087893863994E-2</v>
      </c>
      <c r="BO73" s="78">
        <f>IS!BO12/IS!BJ12-1</f>
        <v>-4.7269844415816054E-2</v>
      </c>
      <c r="BP73" s="700">
        <f>IS!BP12/IS!BK12-1</f>
        <v>-3.4786085565773672E-2</v>
      </c>
      <c r="BQ73" s="700">
        <f>IS!BQ12/IS!BL12-1</f>
        <v>-9.2975206611570216E-2</v>
      </c>
      <c r="BR73" s="700">
        <f>IS!BR12/IS!BM12-1</f>
        <v>-0.1157059314954052</v>
      </c>
      <c r="BS73" s="700">
        <f>IS!BS12/IS!BN12-1</f>
        <v>-5.2196607220530655E-2</v>
      </c>
      <c r="BT73" s="78">
        <f>IS!BT12/IS!BO12-1</f>
        <v>-7.3746619513209932E-2</v>
      </c>
      <c r="BU73" s="700">
        <f>IS!BU12/IS!BP12-1</f>
        <v>-5.5923777961888965E-2</v>
      </c>
      <c r="BV73" s="700">
        <f>IS!BV12/IS!BQ12-1</f>
        <v>1.5034168564920236E-2</v>
      </c>
      <c r="BW73" s="700">
        <f>IS!BW12/IS!BR12-1</f>
        <v>4.4874822862541297E-2</v>
      </c>
      <c r="BX73" s="700">
        <f>IS!BX12/IS!BS12-1</f>
        <v>3.3042680128499313E-2</v>
      </c>
      <c r="BY73" s="78">
        <f>IS!BY12/IS!BT12-1</f>
        <v>7.2992700729928028E-3</v>
      </c>
      <c r="BZ73" s="700">
        <f>IS!BZ12/IS!BU12-1</f>
        <v>4.0368582711715728E-2</v>
      </c>
      <c r="CA73" s="700">
        <f>IS!CA12/IS!BV12-1</f>
        <v>-1.9748653500897717E-2</v>
      </c>
      <c r="CB73" s="700">
        <f>IS!CB12/IS!BW12-1</f>
        <v>-2.4412296564195302E-2</v>
      </c>
      <c r="CC73" s="700">
        <f>IS!CC12/IS!BX12-1</f>
        <v>-2.4877832074633455E-2</v>
      </c>
      <c r="CD73" s="78">
        <f>IS!CD12/IS!BY12-1</f>
        <v>-6.9119286510590516E-3</v>
      </c>
      <c r="CE73" s="700">
        <f>IS!CE12/IS!BZ12-1</f>
        <v>-3.8802193167439936E-2</v>
      </c>
      <c r="CF73" s="700">
        <f>IS!CF12/IS!CA12-1</f>
        <v>2.0604395604395531E-2</v>
      </c>
      <c r="CG73" s="700">
        <f>IS!CG12/IS!CB12-1</f>
        <v>4.8192771084337283E-2</v>
      </c>
      <c r="CH73" s="700">
        <f>IS!CH12/IS!CC12-1</f>
        <v>3.0068337129840472E-2</v>
      </c>
      <c r="CI73" s="78">
        <f>IS!CI12/IS!CD12-1</f>
        <v>1.3807813201616614E-2</v>
      </c>
      <c r="CJ73" s="700">
        <f>IS!CJ12/IS!CE12-1</f>
        <v>2.6327336551118963E-2</v>
      </c>
      <c r="CK73" s="700">
        <f>IS!CK12/IS!CF12-1</f>
        <v>3.3198743831314381E-2</v>
      </c>
      <c r="CL73" s="700">
        <f>IS!CL12/IS!CG12-1</f>
        <v>0</v>
      </c>
      <c r="CM73" s="700">
        <f>IS!CM12/IS!CH12-1</f>
        <v>1.769128704113232E-2</v>
      </c>
      <c r="CN73" s="78">
        <f>IS!CN12/IS!CI12-1</f>
        <v>1.9266969327870642E-2</v>
      </c>
      <c r="CO73" s="700">
        <f>IS!CO12/IS!CJ12-1</f>
        <v>3.8477982043608305E-2</v>
      </c>
      <c r="CP73" s="700">
        <f>IS!CP12/IS!CK12-1</f>
        <v>-1.3026487190620495E-3</v>
      </c>
      <c r="CQ73" s="700">
        <f>IS!CQ12/IS!CL12-1</f>
        <v>1.1936339522546469E-2</v>
      </c>
      <c r="CR73" s="700">
        <f>IS!CR12/IS!CM12-1</f>
        <v>2.2598870056497189E-2</v>
      </c>
      <c r="CS73" s="78">
        <f>IS!CS12/IS!CN12-1</f>
        <v>1.8033677349266641E-2</v>
      </c>
      <c r="CT73" s="700">
        <f>IS!CT12/IS!CO12-1</f>
        <v>2.5524907369287808E-2</v>
      </c>
      <c r="CU73" s="700">
        <f>IS!CU12/IS!CP12-1</f>
        <v>6.7391304347826031E-2</v>
      </c>
      <c r="CV73" s="700">
        <f>IS!CV12/IS!CQ12-1</f>
        <v>6.0288335517693303E-2</v>
      </c>
      <c r="CW73" s="700">
        <f>IS!CW12/IS!CR12-1</f>
        <v>7.5648108797280011E-2</v>
      </c>
      <c r="CX73" s="78">
        <f>IS!CX12/IS!CS12-1</f>
        <v>5.6877601109806886E-2</v>
      </c>
      <c r="CY73" s="700">
        <f>IS!CY12/IS!CT12-1</f>
        <v>4.1348855881172319E-2</v>
      </c>
      <c r="CZ73" s="700">
        <f>IS!CZ12/IS!CU12-1</f>
        <v>7.087576374745419E-2</v>
      </c>
      <c r="DA73" s="700">
        <f>IS!DA12/IS!CV12-1</f>
        <v>7.8697981046559562E-2</v>
      </c>
      <c r="DB73" s="700">
        <f>IS!DB12/IS!CW12-1</f>
        <v>0.67246147767680764</v>
      </c>
      <c r="DC73" s="78">
        <f>IS!DC12/IS!CX12-1</f>
        <v>0.21910339256865918</v>
      </c>
      <c r="DD73" s="700">
        <f>IS!DD12/IS!CY12-1</f>
        <v>0.6599845797995374</v>
      </c>
      <c r="DE73" s="700">
        <f>IS!DE12/IS!CZ12-1</f>
        <v>0.65918600228223667</v>
      </c>
      <c r="DF73" s="700">
        <f>IS!DF12/IS!DA12-1</f>
        <v>0.69136745607333849</v>
      </c>
      <c r="DG73" s="700">
        <f>IS!DG12/IS!DB12-1</f>
        <v>0.13961729270021261</v>
      </c>
      <c r="DH73" s="78">
        <f>IS!DH12/IS!DC12-1</f>
        <v>0.48418088454530395</v>
      </c>
      <c r="DI73" s="700">
        <f>IS!DI12/IS!DD12-1</f>
        <v>0.11263353460287973</v>
      </c>
      <c r="DJ73" s="700">
        <f>IS!DJ12/IS!DE12-1</f>
        <v>0.11049977074736361</v>
      </c>
      <c r="DK73" s="700">
        <f>IS!DK12/IS!DF12-1</f>
        <v>0.14340560072267383</v>
      </c>
      <c r="DL73" s="700">
        <f>IS!DL12/IS!DG12-1</f>
        <v>0.1229270315091211</v>
      </c>
      <c r="DM73" s="78">
        <f>IS!DM12/IS!DH12-1</f>
        <v>0.12226562500000004</v>
      </c>
      <c r="DN73" s="700">
        <f>IS!DN12/IS!DI12-1</f>
        <v>0.13128783135044886</v>
      </c>
      <c r="DO73" s="700">
        <f>IS!DO12/IS!DJ12-1</f>
        <v>7.7621800165152743E-2</v>
      </c>
      <c r="DP73" s="700">
        <f>IS!DP12/IS!DK12-1</f>
        <v>3.0219237606162297E-2</v>
      </c>
      <c r="DQ73" s="700">
        <f>IS!DQ12/IS!DL12-1</f>
        <v>-3.7474616946649442E-2</v>
      </c>
      <c r="DR73" s="78">
        <f>IS!DR12/IS!DM12-1</f>
        <v>4.7685346327880351E-2</v>
      </c>
      <c r="DS73" s="700">
        <f>IS!DS12/IS!DN12-1</f>
        <v>-4.1328413284132837E-2</v>
      </c>
      <c r="DT73" s="700">
        <f>IS!DT12/IS!DO12-1</f>
        <v>-9.0038314176245082E-3</v>
      </c>
      <c r="DU73" s="700">
        <f>IS!DU12/IS!DP12-1</f>
        <v>-5.2722392638036797E-2</v>
      </c>
      <c r="DV73" s="700">
        <f>IS!DV12/IS!DQ12-1</f>
        <v>1.7069428461833569E-2</v>
      </c>
      <c r="DW73" s="78">
        <f>IS!DW12/IS!DR12-1</f>
        <v>-2.1689606074988155E-2</v>
      </c>
      <c r="DX73" s="700">
        <f>IS!DX12/IS!DS12-1</f>
        <v>-4.458906812943475E-2</v>
      </c>
      <c r="DY73" s="700">
        <f>IS!DY12/IS!DT12-1</f>
        <v>-4.3029491488720151E-2</v>
      </c>
      <c r="DZ73" s="700">
        <f>IS!DZ12/IS!DU12-1</f>
        <v>-3.9641615454316881E-2</v>
      </c>
      <c r="EA73" s="700">
        <f>IS!EA12/IS!DV12-1</f>
        <v>-6.075536656147007E-2</v>
      </c>
      <c r="EB73" s="78">
        <f>IS!EB12/IS!DW12-1</f>
        <v>-4.7170780008099156E-2</v>
      </c>
      <c r="EC73" s="700">
        <f>IS!EC12/IS!DX12-1</f>
        <v>-1.4498548073236472E-2</v>
      </c>
      <c r="ED73" s="700">
        <f>IS!ED12/IS!DY12-1</f>
        <v>1.8874245569393544E-3</v>
      </c>
      <c r="EE73" s="700">
        <f>IS!EE12/IS!DZ12-1</f>
        <v>2.0263055107283989E-2</v>
      </c>
      <c r="EF73" s="700">
        <f>IS!EF12/IS!EA12-1</f>
        <v>3.8787405678077702E-2</v>
      </c>
      <c r="EG73" s="78">
        <f>IS!EG12/IS!EB12-1</f>
        <v>1.1542981257017138E-2</v>
      </c>
      <c r="EH73" s="700">
        <f>IS!EH12/IS!EC12-1</f>
        <v>4.4715059183974226E-2</v>
      </c>
      <c r="EI73" s="700">
        <f>IS!EI12/IS!ED12-1</f>
        <v>4.3789021140289597E-2</v>
      </c>
      <c r="EJ73" s="700">
        <f>IS!EJ12/IS!EE12-1</f>
        <v>4.2809150878311719E-2</v>
      </c>
      <c r="EK73" s="700">
        <f>IS!EK12/IS!EF12-1</f>
        <v>4.3824086572092913E-2</v>
      </c>
      <c r="EL73" s="78">
        <f>IS!EL12/IS!EG12-1</f>
        <v>4.3787415176957944E-2</v>
      </c>
      <c r="EM73" s="558"/>
      <c r="EN73"/>
      <c r="EO73"/>
      <c r="EP73"/>
      <c r="EQ73"/>
      <c r="ER73"/>
      <c r="ES73"/>
      <c r="ET73" s="141"/>
      <c r="EU73" s="141"/>
      <c r="EV73" s="141"/>
      <c r="EW73" s="141"/>
      <c r="EX73" s="141"/>
      <c r="EY73" s="141"/>
      <c r="EZ73" s="141"/>
      <c r="FA73" s="141"/>
      <c r="FB73" s="141"/>
      <c r="FC73" s="141"/>
      <c r="FD73" s="141"/>
      <c r="FE73" s="141"/>
      <c r="FF73" s="141"/>
      <c r="FG73" s="141"/>
      <c r="FH73" s="141"/>
      <c r="FI73" s="141"/>
      <c r="FJ73" s="141"/>
      <c r="FK73" s="141"/>
      <c r="FL73" s="141"/>
      <c r="FM73" s="141"/>
      <c r="FN73" s="141"/>
      <c r="FO73" s="141"/>
      <c r="FP73" s="141"/>
      <c r="FQ73" s="141"/>
      <c r="FR73" s="141"/>
      <c r="FS73" s="141"/>
      <c r="FT73" s="141"/>
      <c r="FU73" s="141"/>
      <c r="FV73" s="141"/>
      <c r="FW73" s="141"/>
      <c r="FX73" s="141"/>
      <c r="FY73" s="141"/>
      <c r="FZ73" s="141"/>
      <c r="GA73" s="141"/>
      <c r="GB73" s="141"/>
      <c r="GC73" s="141"/>
      <c r="GD73" s="141"/>
      <c r="GE73" s="141"/>
      <c r="GF73" s="141"/>
      <c r="GG73" s="141"/>
      <c r="GH73" s="141"/>
      <c r="GI73" s="141"/>
      <c r="GJ73" s="141"/>
      <c r="GK73" s="141"/>
      <c r="GL73" s="141"/>
      <c r="GM73" s="141"/>
      <c r="GN73" s="141"/>
      <c r="GO73" s="141"/>
      <c r="GP73" s="141"/>
      <c r="GQ73" s="141"/>
      <c r="GR73" s="141"/>
      <c r="GS73" s="141"/>
      <c r="GT73" s="141"/>
      <c r="GU73" s="141"/>
      <c r="GV73" s="141"/>
      <c r="GW73" s="141"/>
      <c r="GX73" s="141"/>
      <c r="GY73" s="141"/>
      <c r="GZ73" s="141"/>
      <c r="HA73" s="141"/>
      <c r="HB73" s="141"/>
      <c r="HC73" s="141"/>
      <c r="HD73" s="141"/>
      <c r="HE73" s="141"/>
      <c r="HF73" s="141"/>
      <c r="HG73" s="141"/>
      <c r="HH73" s="141"/>
      <c r="HI73" s="141"/>
      <c r="HJ73" s="141"/>
      <c r="HK73" s="141"/>
      <c r="HL73" s="141"/>
      <c r="HM73" s="141"/>
      <c r="HN73" s="141"/>
      <c r="HO73" s="141"/>
      <c r="HP73" s="141"/>
      <c r="HQ73" s="141"/>
      <c r="HR73" s="141"/>
      <c r="HS73" s="141"/>
      <c r="HT73" s="141"/>
      <c r="HU73" s="141"/>
      <c r="HV73" s="141"/>
      <c r="HW73" s="141"/>
      <c r="HX73" s="141"/>
      <c r="HY73" s="141"/>
      <c r="HZ73" s="141"/>
      <c r="IA73" s="141"/>
      <c r="IB73" s="141"/>
      <c r="IC73" s="141"/>
      <c r="ID73" s="141"/>
      <c r="IE73" s="141"/>
      <c r="IF73" s="141"/>
      <c r="IG73" s="141"/>
      <c r="IH73" s="141"/>
      <c r="II73" s="141"/>
      <c r="IJ73" s="141"/>
      <c r="IK73" s="141"/>
      <c r="IL73" s="141"/>
      <c r="IM73" s="141"/>
      <c r="IN73" s="141"/>
      <c r="IO73" s="141"/>
      <c r="IP73" s="141"/>
      <c r="IQ73" s="141"/>
      <c r="IR73" s="141"/>
      <c r="IS73" s="141"/>
      <c r="IT73" s="141"/>
      <c r="IU73" s="141"/>
      <c r="IV73" s="141"/>
      <c r="IW73" s="141"/>
      <c r="IX73" s="141"/>
      <c r="IY73" s="141"/>
      <c r="IZ73" s="141"/>
      <c r="JA73" s="141"/>
      <c r="JB73" s="141"/>
      <c r="JC73" s="141"/>
      <c r="JD73" s="141"/>
      <c r="JE73" s="141"/>
      <c r="JF73" s="141"/>
      <c r="JG73" s="141"/>
      <c r="JH73" s="141"/>
    </row>
    <row r="74" spans="1:268" s="142" customFormat="1" ht="12" hidden="1" customHeight="1" outlineLevel="1">
      <c r="A74" s="801"/>
      <c r="B74" s="557" t="s">
        <v>3</v>
      </c>
      <c r="C74" s="558"/>
      <c r="D74" s="558"/>
      <c r="E74" s="558"/>
      <c r="F74" s="558"/>
      <c r="G74" s="558"/>
      <c r="H74" s="78"/>
      <c r="I74" s="700">
        <f t="shared" ref="I74:AT74" si="204">I9/D9-1</f>
        <v>0.74872924008898134</v>
      </c>
      <c r="J74" s="700">
        <f t="shared" si="204"/>
        <v>0.86439615545340609</v>
      </c>
      <c r="K74" s="700">
        <f t="shared" si="204"/>
        <v>0.98735489220563832</v>
      </c>
      <c r="L74" s="700">
        <f t="shared" si="204"/>
        <v>0.32710280373831768</v>
      </c>
      <c r="M74" s="78">
        <f t="shared" si="204"/>
        <v>0.32710280373831768</v>
      </c>
      <c r="N74" s="700">
        <f t="shared" si="204"/>
        <v>0.35083160083160081</v>
      </c>
      <c r="O74" s="700">
        <f t="shared" si="204"/>
        <v>0.33195113750980609</v>
      </c>
      <c r="P74" s="700">
        <f t="shared" si="204"/>
        <v>0.64462292688015022</v>
      </c>
      <c r="Q74" s="700">
        <f t="shared" si="204"/>
        <v>0.57947686116700203</v>
      </c>
      <c r="R74" s="78">
        <f t="shared" si="204"/>
        <v>0.57947686116700203</v>
      </c>
      <c r="S74" s="700">
        <f t="shared" si="204"/>
        <v>0.52270103886110064</v>
      </c>
      <c r="T74" s="700">
        <f t="shared" si="204"/>
        <v>0.49263777871266301</v>
      </c>
      <c r="U74" s="700">
        <f t="shared" si="204"/>
        <v>0.22344136487600674</v>
      </c>
      <c r="V74" s="700">
        <f t="shared" si="204"/>
        <v>0.23121019108280261</v>
      </c>
      <c r="W74" s="78">
        <f t="shared" si="204"/>
        <v>0.23121019108280261</v>
      </c>
      <c r="X74" s="700">
        <f t="shared" si="204"/>
        <v>0.30574857864813643</v>
      </c>
      <c r="Y74" s="700">
        <f t="shared" si="204"/>
        <v>0.26662908680947006</v>
      </c>
      <c r="Z74" s="700">
        <f t="shared" si="204"/>
        <v>0.32037325038880238</v>
      </c>
      <c r="AA74" s="700">
        <f t="shared" si="204"/>
        <v>0.34764614588722198</v>
      </c>
      <c r="AB74" s="78">
        <f t="shared" si="204"/>
        <v>0.34764614588722198</v>
      </c>
      <c r="AC74" s="700">
        <f t="shared" si="204"/>
        <v>0.32607643928398655</v>
      </c>
      <c r="AD74" s="700">
        <f t="shared" si="204"/>
        <v>0.22874944370271466</v>
      </c>
      <c r="AE74" s="700">
        <f t="shared" si="204"/>
        <v>0.15037298782881825</v>
      </c>
      <c r="AF74" s="700">
        <f t="shared" si="204"/>
        <v>9.9424184261036386E-2</v>
      </c>
      <c r="AG74" s="78">
        <f t="shared" si="204"/>
        <v>9.9424184261036386E-2</v>
      </c>
      <c r="AH74" s="700">
        <f t="shared" si="204"/>
        <v>4.7063115651222232E-2</v>
      </c>
      <c r="AI74" s="700">
        <f t="shared" si="204"/>
        <v>4.9981890619340774E-2</v>
      </c>
      <c r="AJ74" s="700">
        <f t="shared" si="204"/>
        <v>2.1843003412969297E-2</v>
      </c>
      <c r="AK74" s="700">
        <f t="shared" si="204"/>
        <v>-5.0628491620111737E-2</v>
      </c>
      <c r="AL74" s="78">
        <f t="shared" si="204"/>
        <v>-5.0628491620111737E-2</v>
      </c>
      <c r="AM74" s="700">
        <f t="shared" si="204"/>
        <v>-6.3763066202090601E-2</v>
      </c>
      <c r="AN74" s="700">
        <f t="shared" si="204"/>
        <v>-6.7954467057606105E-2</v>
      </c>
      <c r="AO74" s="700">
        <f t="shared" si="204"/>
        <v>-6.7468269873079523E-2</v>
      </c>
      <c r="AP74" s="700">
        <f t="shared" si="204"/>
        <v>7.7234277307833832E-3</v>
      </c>
      <c r="AQ74" s="78">
        <f t="shared" si="204"/>
        <v>7.7234277307833832E-3</v>
      </c>
      <c r="AR74" s="700">
        <f t="shared" si="204"/>
        <v>4.5031633792333547E-2</v>
      </c>
      <c r="AS74" s="700">
        <f t="shared" si="204"/>
        <v>8.5862324204293072E-2</v>
      </c>
      <c r="AT74" s="700">
        <f t="shared" si="204"/>
        <v>7.5931232091690504E-2</v>
      </c>
      <c r="AU74" s="802"/>
      <c r="AV74" s="555"/>
      <c r="AW74" s="555"/>
      <c r="AX74" s="555"/>
      <c r="AY74" s="555"/>
      <c r="AZ74" s="802"/>
      <c r="BA74" s="558"/>
      <c r="BB74" s="558"/>
      <c r="BC74" s="558"/>
      <c r="BD74" s="700">
        <f t="shared" ref="BD74:CI74" si="205">BD9/AY9-1</f>
        <v>-8.5034013605441716E-3</v>
      </c>
      <c r="BE74" s="78">
        <f t="shared" si="205"/>
        <v>-8.5034013605441716E-3</v>
      </c>
      <c r="BF74" s="700">
        <f t="shared" si="205"/>
        <v>-7.4110032362459499E-2</v>
      </c>
      <c r="BG74" s="700">
        <f t="shared" si="205"/>
        <v>-8.3167660702451962E-2</v>
      </c>
      <c r="BH74" s="700">
        <f t="shared" si="205"/>
        <v>-0.12613827993254634</v>
      </c>
      <c r="BI74" s="700">
        <f t="shared" si="205"/>
        <v>-0.18147512864493998</v>
      </c>
      <c r="BJ74" s="78">
        <f t="shared" si="205"/>
        <v>-0.18147512864493998</v>
      </c>
      <c r="BK74" s="700">
        <f t="shared" si="205"/>
        <v>-0.20517301642782249</v>
      </c>
      <c r="BL74" s="700">
        <f t="shared" si="205"/>
        <v>-0.22623780267437654</v>
      </c>
      <c r="BM74" s="700">
        <f t="shared" si="205"/>
        <v>-0.16441528367425706</v>
      </c>
      <c r="BN74" s="700">
        <f t="shared" si="205"/>
        <v>-0.11190276613579209</v>
      </c>
      <c r="BO74" s="78">
        <f t="shared" si="205"/>
        <v>-0.11190276613579209</v>
      </c>
      <c r="BP74" s="700">
        <f t="shared" si="205"/>
        <v>-5.0571679859278795E-2</v>
      </c>
      <c r="BQ74" s="700">
        <f t="shared" si="205"/>
        <v>-6.4455861746847254E-2</v>
      </c>
      <c r="BR74" s="700">
        <f t="shared" si="205"/>
        <v>-9.8383371824480315E-2</v>
      </c>
      <c r="BS74" s="700">
        <f t="shared" si="205"/>
        <v>-9.8159509202453976E-2</v>
      </c>
      <c r="BT74" s="78">
        <f t="shared" si="205"/>
        <v>-9.8159509202453976E-2</v>
      </c>
      <c r="BU74" s="700">
        <f t="shared" si="205"/>
        <v>-0.11533117183881425</v>
      </c>
      <c r="BV74" s="700">
        <f t="shared" si="205"/>
        <v>-7.8382426360459334E-2</v>
      </c>
      <c r="BW74" s="700">
        <f t="shared" si="205"/>
        <v>-6.1475409836065587E-2</v>
      </c>
      <c r="BX74" s="700">
        <f t="shared" si="205"/>
        <v>-4.447933019361594E-2</v>
      </c>
      <c r="BY74" s="78">
        <f t="shared" si="205"/>
        <v>-4.447933019361594E-2</v>
      </c>
      <c r="BZ74" s="700">
        <f t="shared" si="205"/>
        <v>-7.3298429319371694E-3</v>
      </c>
      <c r="CA74" s="700">
        <f t="shared" si="205"/>
        <v>7.5839653304441423E-3</v>
      </c>
      <c r="CB74" s="700">
        <f t="shared" si="205"/>
        <v>-4.2576419213973815E-2</v>
      </c>
      <c r="CC74" s="700">
        <f t="shared" si="205"/>
        <v>-5.0930996714129262E-2</v>
      </c>
      <c r="CD74" s="78">
        <f t="shared" si="205"/>
        <v>-5.0930996714129262E-2</v>
      </c>
      <c r="CE74" s="700">
        <f t="shared" si="205"/>
        <v>-6.3291139240506333E-2</v>
      </c>
      <c r="CF74" s="700">
        <f t="shared" si="205"/>
        <v>-0.1225806451612903</v>
      </c>
      <c r="CG74" s="700">
        <f t="shared" si="205"/>
        <v>-0.10034207525655647</v>
      </c>
      <c r="CH74" s="700">
        <f t="shared" si="205"/>
        <v>-0.11886901327178301</v>
      </c>
      <c r="CI74" s="78">
        <f t="shared" si="205"/>
        <v>-0.11886901327178301</v>
      </c>
      <c r="CJ74" s="700">
        <f t="shared" ref="CJ74:DO74" si="206">CJ9/CE9-1</f>
        <v>-0.11655405405405406</v>
      </c>
      <c r="CK74" s="700">
        <f t="shared" si="206"/>
        <v>-6.6176470588235281E-2</v>
      </c>
      <c r="CL74" s="700">
        <f t="shared" si="206"/>
        <v>-5.9569074778200282E-2</v>
      </c>
      <c r="CM74" s="700">
        <f t="shared" si="206"/>
        <v>-2.095612311722328E-2</v>
      </c>
      <c r="CN74" s="78">
        <f t="shared" si="206"/>
        <v>-2.095612311722328E-2</v>
      </c>
      <c r="CO74" s="700">
        <f t="shared" si="206"/>
        <v>1.7208413001912115E-2</v>
      </c>
      <c r="CP74" s="700">
        <f t="shared" si="206"/>
        <v>6.4304461942257252E-2</v>
      </c>
      <c r="CQ74" s="700">
        <f t="shared" si="206"/>
        <v>7.6819407008086316E-2</v>
      </c>
      <c r="CR74" s="700">
        <f t="shared" si="206"/>
        <v>0.12040133779264206</v>
      </c>
      <c r="CS74" s="78">
        <f t="shared" si="206"/>
        <v>0.12040133779264206</v>
      </c>
      <c r="CT74" s="700">
        <f t="shared" si="206"/>
        <v>0.12593984962406024</v>
      </c>
      <c r="CU74" s="700">
        <f t="shared" si="206"/>
        <v>8.323057953144275E-2</v>
      </c>
      <c r="CV74" s="700">
        <f t="shared" si="206"/>
        <v>8.8861076345431833E-2</v>
      </c>
      <c r="CW74" s="700">
        <f t="shared" si="206"/>
        <v>4.2388059701492509E-2</v>
      </c>
      <c r="CX74" s="78">
        <f t="shared" si="206"/>
        <v>4.2388059701492509E-2</v>
      </c>
      <c r="CY74" s="700">
        <f t="shared" si="206"/>
        <v>-3.8953811908736258E-3</v>
      </c>
      <c r="CZ74" s="700">
        <f t="shared" ca="1" si="206"/>
        <v>7.3989755264656232E-3</v>
      </c>
      <c r="DA74" s="700">
        <f t="shared" si="206"/>
        <v>-0.45977011494252873</v>
      </c>
      <c r="DB74" s="700">
        <f t="shared" ca="1" si="206"/>
        <v>0.39690721649484528</v>
      </c>
      <c r="DC74" s="78">
        <f t="shared" ca="1" si="206"/>
        <v>0.39690721649484528</v>
      </c>
      <c r="DD74" s="700">
        <f t="shared" si="206"/>
        <v>0.57094972067039107</v>
      </c>
      <c r="DE74" s="700">
        <f t="shared" ca="1" si="206"/>
        <v>0.65197740112994351</v>
      </c>
      <c r="DF74" s="700">
        <f t="shared" si="206"/>
        <v>2.2031914893617022</v>
      </c>
      <c r="DG74" s="700">
        <f t="shared" ca="1" si="206"/>
        <v>0.33497334973349724</v>
      </c>
      <c r="DH74" s="78">
        <f t="shared" ca="1" si="206"/>
        <v>0.33497334973349724</v>
      </c>
      <c r="DI74" s="700">
        <f t="shared" ca="1" si="206"/>
        <v>0.1162873399715505</v>
      </c>
      <c r="DJ74" s="700">
        <f t="shared" ca="1" si="206"/>
        <v>0.11422708618331057</v>
      </c>
      <c r="DK74" s="700">
        <f t="shared" si="206"/>
        <v>0.1418133510461641</v>
      </c>
      <c r="DL74" s="700">
        <f t="shared" si="206"/>
        <v>0.10288697788697787</v>
      </c>
      <c r="DM74" s="78">
        <f t="shared" si="206"/>
        <v>0.10288697788697787</v>
      </c>
      <c r="DN74" s="700">
        <f t="shared" ca="1" si="206"/>
        <v>0.10799617712647347</v>
      </c>
      <c r="DO74" s="700">
        <f t="shared" ca="1" si="206"/>
        <v>0.12952731737262124</v>
      </c>
      <c r="DP74" s="700">
        <f t="shared" ref="DP74:EG74" si="207">DP9/DK9-1</f>
        <v>9.5695171611402063E-2</v>
      </c>
      <c r="DQ74" s="700">
        <f t="shared" si="207"/>
        <v>9.3845725424672732E-2</v>
      </c>
      <c r="DR74" s="78">
        <f t="shared" si="207"/>
        <v>9.3845725424672732E-2</v>
      </c>
      <c r="DS74" s="700">
        <f t="shared" ca="1" si="207"/>
        <v>0.1503737780333525</v>
      </c>
      <c r="DT74" s="700">
        <f t="shared" si="207"/>
        <v>-2.1739130434782483E-3</v>
      </c>
      <c r="DU74" s="700">
        <f t="shared" si="207"/>
        <v>-7.0613220069020488E-2</v>
      </c>
      <c r="DV74" s="700">
        <f t="shared" si="207"/>
        <v>-0.10539714867617112</v>
      </c>
      <c r="DW74" s="78">
        <f t="shared" si="207"/>
        <v>-0.10539714867617112</v>
      </c>
      <c r="DX74" s="700">
        <f t="shared" ca="1" si="207"/>
        <v>-0.10508742979178232</v>
      </c>
      <c r="DY74" s="700">
        <f t="shared" ca="1" si="207"/>
        <v>-2.3851536157546538E-2</v>
      </c>
      <c r="DZ74" s="700">
        <f t="shared" ca="1" si="207"/>
        <v>3.1951318237371185E-2</v>
      </c>
      <c r="EA74" s="700">
        <f t="shared" ca="1" si="207"/>
        <v>5.8120815226912148E-2</v>
      </c>
      <c r="EB74" s="78">
        <f t="shared" ca="1" si="207"/>
        <v>5.8120815226912148E-2</v>
      </c>
      <c r="EC74" s="700">
        <f t="shared" ca="1" si="207"/>
        <v>9.1025965778536166E-2</v>
      </c>
      <c r="ED74" s="700">
        <f t="shared" ca="1" si="207"/>
        <v>9.24494027945435E-2</v>
      </c>
      <c r="EE74" s="700">
        <f t="shared" ca="1" si="207"/>
        <v>7.0289992445591754E-2</v>
      </c>
      <c r="EF74" s="700">
        <f t="shared" ca="1" si="207"/>
        <v>9.5800301813019351E-2</v>
      </c>
      <c r="EG74" s="78">
        <f t="shared" ca="1" si="207"/>
        <v>9.5800301813019351E-2</v>
      </c>
      <c r="EH74" s="700">
        <f t="shared" ref="EH74" ca="1" si="208">EH9/EC9-1</f>
        <v>3.9824535142926054E-2</v>
      </c>
      <c r="EI74" s="700">
        <f t="shared" ref="EI74" ca="1" si="209">EI9/ED9-1</f>
        <v>4.6146599730805038E-2</v>
      </c>
      <c r="EJ74" s="700">
        <f t="shared" ref="EJ74" ca="1" si="210">EJ9/EE9-1</f>
        <v>2.8915836233873948E-2</v>
      </c>
      <c r="EK74" s="700">
        <f t="shared" ref="EK74" ca="1" si="211">EK9/EF9-1</f>
        <v>3.0148045937525181E-2</v>
      </c>
      <c r="EL74" s="78">
        <f t="shared" ref="EL74" ca="1" si="212">EL9/EG9-1</f>
        <v>3.0148045937525181E-2</v>
      </c>
      <c r="EM74" s="558"/>
      <c r="EN74"/>
      <c r="EO74"/>
      <c r="EP74"/>
      <c r="EQ74"/>
      <c r="ER74"/>
      <c r="ES74"/>
      <c r="ET74" s="141"/>
      <c r="EU74" s="141"/>
      <c r="EV74" s="141"/>
      <c r="EW74" s="141"/>
      <c r="EX74" s="141"/>
      <c r="EY74" s="141"/>
      <c r="EZ74" s="141"/>
      <c r="FA74" s="141"/>
      <c r="FB74" s="141"/>
      <c r="FC74" s="141"/>
      <c r="FD74" s="141"/>
      <c r="FE74" s="141"/>
      <c r="FF74" s="141"/>
      <c r="FG74" s="141"/>
      <c r="FH74" s="141"/>
      <c r="FI74" s="141"/>
      <c r="FJ74" s="141"/>
      <c r="FK74" s="141"/>
      <c r="FL74" s="141"/>
      <c r="FM74" s="141"/>
      <c r="FN74" s="141"/>
      <c r="FO74" s="141"/>
      <c r="FP74" s="141"/>
      <c r="FQ74" s="141"/>
      <c r="FR74" s="141"/>
      <c r="FS74" s="141"/>
      <c r="FT74" s="141"/>
      <c r="FU74" s="141"/>
      <c r="FV74" s="141"/>
      <c r="FW74" s="141"/>
      <c r="FX74" s="141"/>
      <c r="FY74" s="141"/>
      <c r="FZ74" s="141"/>
      <c r="GA74" s="141"/>
      <c r="GB74" s="141"/>
      <c r="GC74" s="141"/>
      <c r="GD74" s="141"/>
      <c r="GE74" s="141"/>
      <c r="GF74" s="141"/>
      <c r="GG74" s="141"/>
      <c r="GH74" s="141"/>
      <c r="GI74" s="141"/>
      <c r="GJ74" s="141"/>
      <c r="GK74" s="141"/>
      <c r="GL74" s="141"/>
      <c r="GM74" s="141"/>
      <c r="GN74" s="141"/>
      <c r="GO74" s="141"/>
      <c r="GP74" s="141"/>
      <c r="GQ74" s="141"/>
      <c r="GR74" s="141"/>
      <c r="GS74" s="141"/>
      <c r="GT74" s="141"/>
      <c r="GU74" s="141"/>
      <c r="GV74" s="141"/>
      <c r="GW74" s="141"/>
      <c r="GX74" s="141"/>
      <c r="GY74" s="141"/>
      <c r="GZ74" s="141"/>
      <c r="HA74" s="141"/>
      <c r="HB74" s="141"/>
      <c r="HC74" s="141"/>
      <c r="HD74" s="141"/>
      <c r="HE74" s="141"/>
      <c r="HF74" s="141"/>
      <c r="HG74" s="141"/>
      <c r="HH74" s="141"/>
      <c r="HI74" s="141"/>
      <c r="HJ74" s="141"/>
      <c r="HK74" s="141"/>
      <c r="HL74" s="141"/>
      <c r="HM74" s="141"/>
      <c r="HN74" s="141"/>
      <c r="HO74" s="141"/>
      <c r="HP74" s="141"/>
      <c r="HQ74" s="141"/>
      <c r="HR74" s="141"/>
      <c r="HS74" s="141"/>
      <c r="HT74" s="141"/>
      <c r="HU74" s="141"/>
      <c r="HV74" s="141"/>
      <c r="HW74" s="141"/>
      <c r="HX74" s="141"/>
      <c r="HY74" s="141"/>
      <c r="HZ74" s="141"/>
      <c r="IA74" s="141"/>
      <c r="IB74" s="141"/>
      <c r="IC74" s="141"/>
      <c r="ID74" s="141"/>
      <c r="IE74" s="141"/>
      <c r="IF74" s="141"/>
      <c r="IG74" s="141"/>
      <c r="IH74" s="141"/>
      <c r="II74" s="141"/>
      <c r="IJ74" s="141"/>
      <c r="IK74" s="141"/>
      <c r="IL74" s="141"/>
      <c r="IM74" s="141"/>
      <c r="IN74" s="141"/>
      <c r="IO74" s="141"/>
      <c r="IP74" s="141"/>
      <c r="IQ74" s="141"/>
      <c r="IR74" s="141"/>
      <c r="IS74" s="141"/>
      <c r="IT74" s="141"/>
      <c r="IU74" s="141"/>
      <c r="IV74" s="141"/>
      <c r="IW74" s="141"/>
      <c r="IX74" s="141"/>
      <c r="IY74" s="141"/>
      <c r="IZ74" s="141"/>
      <c r="JA74" s="141"/>
      <c r="JB74" s="141"/>
      <c r="JC74" s="141"/>
      <c r="JD74" s="141"/>
      <c r="JE74" s="141"/>
      <c r="JF74" s="141"/>
      <c r="JG74" s="141"/>
      <c r="JH74" s="141"/>
    </row>
    <row r="75" spans="1:268" s="142" customFormat="1" ht="12" hidden="1" customHeight="1" outlineLevel="1">
      <c r="A75" s="805"/>
      <c r="B75" s="806" t="s">
        <v>4</v>
      </c>
      <c r="C75" s="975"/>
      <c r="D75" s="975"/>
      <c r="E75" s="975"/>
      <c r="F75" s="975"/>
      <c r="G75" s="975"/>
      <c r="H75" s="976"/>
      <c r="I75" s="977">
        <f t="shared" ref="I75:AT75" si="213">I73/I74</f>
        <v>1.2514307689941544</v>
      </c>
      <c r="J75" s="977">
        <f t="shared" si="213"/>
        <v>1.3258447484852323</v>
      </c>
      <c r="K75" s="977">
        <f t="shared" si="213"/>
        <v>1.1828605022661596</v>
      </c>
      <c r="L75" s="977">
        <f t="shared" si="213"/>
        <v>0.26253235283116505</v>
      </c>
      <c r="M75" s="976">
        <f t="shared" si="213"/>
        <v>2.0648152932058905</v>
      </c>
      <c r="N75" s="977">
        <f t="shared" si="213"/>
        <v>0.34344753975877879</v>
      </c>
      <c r="O75" s="977">
        <f t="shared" si="213"/>
        <v>0.23117230438867012</v>
      </c>
      <c r="P75" s="977">
        <f t="shared" si="213"/>
        <v>0.87212240463538737</v>
      </c>
      <c r="Q75" s="977">
        <f t="shared" si="213"/>
        <v>2.422864216607425</v>
      </c>
      <c r="R75" s="976">
        <f t="shared" si="213"/>
        <v>0.97227468969239084</v>
      </c>
      <c r="S75" s="977">
        <f t="shared" si="213"/>
        <v>1.1867688605159974</v>
      </c>
      <c r="T75" s="977">
        <f t="shared" si="213"/>
        <v>1.3103998459716624</v>
      </c>
      <c r="U75" s="977">
        <f t="shared" si="213"/>
        <v>0.6544408485106592</v>
      </c>
      <c r="V75" s="977">
        <f t="shared" si="213"/>
        <v>-1.1833634780513289</v>
      </c>
      <c r="W75" s="976">
        <f t="shared" si="213"/>
        <v>0.59916959154414828</v>
      </c>
      <c r="X75" s="977">
        <f t="shared" si="213"/>
        <v>0.31149153876426638</v>
      </c>
      <c r="Y75" s="977">
        <f t="shared" si="213"/>
        <v>0.20690441520144645</v>
      </c>
      <c r="Z75" s="977">
        <f t="shared" si="213"/>
        <v>0.31408372839767967</v>
      </c>
      <c r="AA75" s="977">
        <f t="shared" si="213"/>
        <v>0.41508249060028513</v>
      </c>
      <c r="AB75" s="976">
        <f t="shared" si="213"/>
        <v>0.28634065425058336</v>
      </c>
      <c r="AC75" s="977">
        <f t="shared" si="213"/>
        <v>0.38439678228092594</v>
      </c>
      <c r="AD75" s="977">
        <f t="shared" si="213"/>
        <v>0.37012726756552039</v>
      </c>
      <c r="AE75" s="977">
        <f t="shared" si="213"/>
        <v>6.5982868657860114E-2</v>
      </c>
      <c r="AF75" s="977">
        <f t="shared" si="213"/>
        <v>-0.10598075010039666</v>
      </c>
      <c r="AG75" s="976">
        <f t="shared" si="213"/>
        <v>0.49365134567340485</v>
      </c>
      <c r="AH75" s="977">
        <f t="shared" si="213"/>
        <v>0.14791550306650805</v>
      </c>
      <c r="AI75" s="977">
        <f t="shared" si="213"/>
        <v>0.97157491398185725</v>
      </c>
      <c r="AJ75" s="977">
        <f t="shared" si="213"/>
        <v>2.9878289473684223</v>
      </c>
      <c r="AK75" s="977">
        <f t="shared" si="213"/>
        <v>-2.0219903102382171</v>
      </c>
      <c r="AL75" s="976">
        <f t="shared" si="213"/>
        <v>-1.1057781429943887</v>
      </c>
      <c r="AM75" s="977">
        <f t="shared" si="213"/>
        <v>-2.19009895753647</v>
      </c>
      <c r="AN75" s="977">
        <f t="shared" si="213"/>
        <v>-2.4181260938084992</v>
      </c>
      <c r="AO75" s="977">
        <f t="shared" si="213"/>
        <v>-2.1871404531757528</v>
      </c>
      <c r="AP75" s="977">
        <f t="shared" si="213"/>
        <v>21.344002730415919</v>
      </c>
      <c r="AQ75" s="976">
        <f t="shared" si="213"/>
        <v>19.98056204145972</v>
      </c>
      <c r="AR75" s="977">
        <f t="shared" si="213"/>
        <v>13.775323345814833</v>
      </c>
      <c r="AS75" s="977">
        <f t="shared" si="213"/>
        <v>7.5184602248702959</v>
      </c>
      <c r="AT75" s="977">
        <f t="shared" si="213"/>
        <v>1.9258103996686782</v>
      </c>
      <c r="AU75" s="802"/>
      <c r="AV75" s="881"/>
      <c r="AW75" s="881"/>
      <c r="AX75" s="881"/>
      <c r="AY75" s="881"/>
      <c r="AZ75" s="885"/>
      <c r="BA75" s="975"/>
      <c r="BB75" s="975"/>
      <c r="BC75" s="975"/>
      <c r="BD75" s="977">
        <f t="shared" ref="BD75:CI75" si="214">BD73/BD74</f>
        <v>10.504208416833725</v>
      </c>
      <c r="BE75" s="976">
        <f t="shared" si="214"/>
        <v>4.340111440769979</v>
      </c>
      <c r="BF75" s="977">
        <f t="shared" si="214"/>
        <v>3.0606521376127778</v>
      </c>
      <c r="BG75" s="977">
        <f t="shared" si="214"/>
        <v>2.8787625467352251</v>
      </c>
      <c r="BH75" s="977">
        <f t="shared" si="214"/>
        <v>2.0607009451145837</v>
      </c>
      <c r="BI75" s="977">
        <f t="shared" si="214"/>
        <v>1.332126775888739</v>
      </c>
      <c r="BJ75" s="976">
        <f t="shared" si="214"/>
        <v>1.3323658777457896</v>
      </c>
      <c r="BK75" s="977">
        <f t="shared" si="214"/>
        <v>0.30678948083969948</v>
      </c>
      <c r="BL75" s="977">
        <f t="shared" si="214"/>
        <v>0.25798411257940612</v>
      </c>
      <c r="BM75" s="977">
        <f t="shared" si="214"/>
        <v>0.11466366505041167</v>
      </c>
      <c r="BN75" s="977">
        <f t="shared" si="214"/>
        <v>0.4186588903174514</v>
      </c>
      <c r="BO75" s="976">
        <f t="shared" si="214"/>
        <v>0.42241890927392184</v>
      </c>
      <c r="BP75" s="977">
        <f t="shared" si="214"/>
        <v>0.68785703110060303</v>
      </c>
      <c r="BQ75" s="977">
        <f t="shared" si="214"/>
        <v>1.4424631692418253</v>
      </c>
      <c r="BR75" s="977">
        <f t="shared" si="214"/>
        <v>1.1760720267021239</v>
      </c>
      <c r="BS75" s="977">
        <f t="shared" si="214"/>
        <v>0.53175293605915608</v>
      </c>
      <c r="BT75" s="976">
        <f t="shared" si="214"/>
        <v>0.75129368629082627</v>
      </c>
      <c r="BU75" s="977">
        <f t="shared" si="214"/>
        <v>0.48489733582216182</v>
      </c>
      <c r="BV75" s="977">
        <f t="shared" si="214"/>
        <v>-0.19180534799703963</v>
      </c>
      <c r="BW75" s="977">
        <f t="shared" si="214"/>
        <v>-0.72996378523067162</v>
      </c>
      <c r="BX75" s="977">
        <f t="shared" si="214"/>
        <v>-0.74287719677131936</v>
      </c>
      <c r="BY75" s="976">
        <f t="shared" si="214"/>
        <v>-0.16410476599399101</v>
      </c>
      <c r="BZ75" s="977">
        <f t="shared" si="214"/>
        <v>-5.5074280699555054</v>
      </c>
      <c r="CA75" s="977">
        <f t="shared" si="214"/>
        <v>-2.6040010259041058</v>
      </c>
      <c r="CB75" s="977">
        <f t="shared" si="214"/>
        <v>0.57337599109750992</v>
      </c>
      <c r="CC75" s="977">
        <f t="shared" si="214"/>
        <v>0.48846152008903948</v>
      </c>
      <c r="CD75" s="976">
        <f t="shared" si="214"/>
        <v>0.13571163136380457</v>
      </c>
      <c r="CE75" s="977">
        <f t="shared" si="214"/>
        <v>0.61307465204555089</v>
      </c>
      <c r="CF75" s="977">
        <f t="shared" si="214"/>
        <v>-0.16808849045691093</v>
      </c>
      <c r="CG75" s="977">
        <f t="shared" si="214"/>
        <v>-0.48028477546549753</v>
      </c>
      <c r="CH75" s="977">
        <f t="shared" si="214"/>
        <v>-0.25295353517482305</v>
      </c>
      <c r="CI75" s="976">
        <f t="shared" si="214"/>
        <v>-0.11615990426408543</v>
      </c>
      <c r="CJ75" s="977">
        <f t="shared" ref="CJ75:DO75" si="215">CJ73/CJ74</f>
        <v>-0.22588091649655689</v>
      </c>
      <c r="CK75" s="977">
        <f t="shared" si="215"/>
        <v>-0.50166990678430634</v>
      </c>
      <c r="CL75" s="977">
        <f t="shared" si="215"/>
        <v>0</v>
      </c>
      <c r="CM75" s="977">
        <f t="shared" si="215"/>
        <v>-0.84420610349403424</v>
      </c>
      <c r="CN75" s="976">
        <f t="shared" si="215"/>
        <v>-0.91939569261432874</v>
      </c>
      <c r="CO75" s="977">
        <f t="shared" si="215"/>
        <v>2.2359982898674513</v>
      </c>
      <c r="CP75" s="977">
        <f t="shared" si="215"/>
        <v>-2.0257516814801656E-2</v>
      </c>
      <c r="CQ75" s="977">
        <f t="shared" si="215"/>
        <v>0.15538182325841179</v>
      </c>
      <c r="CR75" s="977">
        <f t="shared" si="215"/>
        <v>0.18769617074701844</v>
      </c>
      <c r="CS75" s="976">
        <f t="shared" si="215"/>
        <v>0.14977970909529803</v>
      </c>
      <c r="CT75" s="977">
        <f t="shared" si="215"/>
        <v>0.20267538388747916</v>
      </c>
      <c r="CU75" s="977">
        <f t="shared" si="215"/>
        <v>0.80969404186795335</v>
      </c>
      <c r="CV75" s="977">
        <f t="shared" si="215"/>
        <v>0.67845605744559045</v>
      </c>
      <c r="CW75" s="977">
        <f t="shared" si="215"/>
        <v>1.7846560878231563</v>
      </c>
      <c r="CX75" s="976">
        <f t="shared" si="215"/>
        <v>1.3418307304074168</v>
      </c>
      <c r="CY75" s="977">
        <f t="shared" si="215"/>
        <v>-10.614842002638238</v>
      </c>
      <c r="CZ75" s="977">
        <f t="shared" ca="1" si="215"/>
        <v>9.5791320695596962</v>
      </c>
      <c r="DA75" s="977">
        <f t="shared" si="215"/>
        <v>-0.17116810877626704</v>
      </c>
      <c r="DB75" s="977">
        <f t="shared" ca="1" si="215"/>
        <v>1.6942535931078013</v>
      </c>
      <c r="DC75" s="976">
        <f t="shared" ca="1" si="215"/>
        <v>0.55202672932882979</v>
      </c>
      <c r="DD75" s="977">
        <f t="shared" si="215"/>
        <v>1.1559416808622034</v>
      </c>
      <c r="DE75" s="977">
        <f t="shared" ca="1" si="215"/>
        <v>1.0110565199649557</v>
      </c>
      <c r="DF75" s="977">
        <f t="shared" si="215"/>
        <v>0.31380270821291073</v>
      </c>
      <c r="DG75" s="977">
        <f ca="1">DG73/DG74</f>
        <v>0.41680119571091634</v>
      </c>
      <c r="DH75" s="976">
        <f t="shared" ca="1" si="215"/>
        <v>1.4454310616964463</v>
      </c>
      <c r="DI75" s="977">
        <f ca="1">DI73/DI74</f>
        <v>0.96857950857277608</v>
      </c>
      <c r="DJ75" s="977">
        <f ca="1">DJ73/DJ74</f>
        <v>0.96736925049488354</v>
      </c>
      <c r="DK75" s="977">
        <f>DK73/DK74</f>
        <v>1.011227784018667</v>
      </c>
      <c r="DL75" s="977">
        <f>DL73/DL74</f>
        <v>1.1947773569961144</v>
      </c>
      <c r="DM75" s="976">
        <f>DM73/DM74</f>
        <v>1.1883488805970155</v>
      </c>
      <c r="DN75" s="977">
        <f t="shared" ca="1" si="215"/>
        <v>1.2156710991417661</v>
      </c>
      <c r="DO75" s="977">
        <f t="shared" ca="1" si="215"/>
        <v>0.5992697273413925</v>
      </c>
      <c r="DP75" s="977">
        <f t="shared" ref="DP75:DW75" si="216">DP73/DP74</f>
        <v>0.31578644039509385</v>
      </c>
      <c r="DQ75" s="977">
        <f>DQ73/DQ74</f>
        <v>-0.39932151173714608</v>
      </c>
      <c r="DR75" s="976">
        <f t="shared" si="216"/>
        <v>0.50812486250272537</v>
      </c>
      <c r="DS75" s="977">
        <f t="shared" ca="1" si="216"/>
        <v>-0.27483789943061954</v>
      </c>
      <c r="DT75" s="977">
        <f>DT73/DT74</f>
        <v>4.1417624521072973</v>
      </c>
      <c r="DU75" s="977">
        <f>DU73/DU74</f>
        <v>0.74663628972738527</v>
      </c>
      <c r="DV75" s="977">
        <f>DV73/DV74</f>
        <v>-0.16195341786976386</v>
      </c>
      <c r="DW75" s="976">
        <f t="shared" si="216"/>
        <v>0.20578930594819672</v>
      </c>
      <c r="DX75" s="977">
        <f t="shared" ref="DX75:EG75" ca="1" si="217">DX73/DX74</f>
        <v>0.42430448834634599</v>
      </c>
      <c r="DY75" s="977">
        <f t="shared" ca="1" si="217"/>
        <v>1.8040553532693859</v>
      </c>
      <c r="DZ75" s="977">
        <f t="shared" ca="1" si="217"/>
        <v>-1.2406879478277959</v>
      </c>
      <c r="EA75" s="977">
        <f t="shared" ca="1" si="217"/>
        <v>-1.0453288778602339</v>
      </c>
      <c r="EB75" s="976">
        <f t="shared" ca="1" si="217"/>
        <v>-0.81159873315502451</v>
      </c>
      <c r="EC75" s="977">
        <f t="shared" ca="1" si="217"/>
        <v>-0.15927925564130863</v>
      </c>
      <c r="ED75" s="977">
        <f t="shared" ca="1" si="217"/>
        <v>2.0415757158906742E-2</v>
      </c>
      <c r="EE75" s="977">
        <f t="shared" ca="1" si="217"/>
        <v>0.28827795255446481</v>
      </c>
      <c r="EF75" s="977">
        <f t="shared" ca="1" si="217"/>
        <v>0.40487769812857161</v>
      </c>
      <c r="EG75" s="976">
        <f t="shared" ca="1" si="217"/>
        <v>0.12049003018327063</v>
      </c>
      <c r="EH75" s="977">
        <f t="shared" ref="EH75:EL75" ca="1" si="218">EH73/EH74</f>
        <v>1.1228017859718036</v>
      </c>
      <c r="EI75" s="977">
        <f t="shared" ca="1" si="218"/>
        <v>0.94891110928501099</v>
      </c>
      <c r="EJ75" s="977">
        <f t="shared" ca="1" si="218"/>
        <v>1.480474247124218</v>
      </c>
      <c r="EK75" s="977">
        <f t="shared" ca="1" si="218"/>
        <v>1.4536294213863197</v>
      </c>
      <c r="EL75" s="976">
        <f t="shared" ca="1" si="218"/>
        <v>1.4524130442051597</v>
      </c>
      <c r="EM75" s="975"/>
      <c r="EN75"/>
      <c r="EO75"/>
      <c r="EP75"/>
      <c r="EQ75"/>
      <c r="ER75"/>
      <c r="ES75"/>
      <c r="ET75" s="141"/>
      <c r="EU75" s="141"/>
      <c r="EV75" s="141"/>
      <c r="EW75" s="141"/>
      <c r="EX75" s="141"/>
      <c r="EY75" s="141"/>
      <c r="EZ75" s="141"/>
      <c r="FA75" s="141"/>
      <c r="FB75" s="141"/>
      <c r="FC75" s="141"/>
      <c r="FD75" s="141"/>
      <c r="FE75" s="141"/>
      <c r="FF75" s="141"/>
      <c r="FG75" s="141"/>
      <c r="FH75" s="141"/>
      <c r="FI75" s="141"/>
      <c r="FJ75" s="141"/>
      <c r="FK75" s="141"/>
      <c r="FL75" s="141"/>
      <c r="FM75" s="141"/>
      <c r="FN75" s="141"/>
      <c r="FO75" s="141"/>
      <c r="FP75" s="141"/>
      <c r="FQ75" s="141"/>
      <c r="FR75" s="141"/>
      <c r="FS75" s="141"/>
      <c r="FT75" s="141"/>
      <c r="FU75" s="141"/>
      <c r="FV75" s="141"/>
      <c r="FW75" s="141"/>
      <c r="FX75" s="141"/>
      <c r="FY75" s="141"/>
      <c r="FZ75" s="141"/>
      <c r="GA75" s="141"/>
      <c r="GB75" s="141"/>
      <c r="GC75" s="141"/>
      <c r="GD75" s="141"/>
      <c r="GE75" s="141"/>
      <c r="GF75" s="141"/>
      <c r="GG75" s="141"/>
      <c r="GH75" s="141"/>
      <c r="GI75" s="141"/>
      <c r="GJ75" s="141"/>
      <c r="GK75" s="141"/>
      <c r="GL75" s="141"/>
      <c r="GM75" s="141"/>
      <c r="GN75" s="141"/>
      <c r="GO75" s="141"/>
      <c r="GP75" s="141"/>
      <c r="GQ75" s="141"/>
      <c r="GR75" s="141"/>
      <c r="GS75" s="141"/>
      <c r="GT75" s="141"/>
      <c r="GU75" s="141"/>
      <c r="GV75" s="141"/>
      <c r="GW75" s="141"/>
      <c r="GX75" s="141"/>
      <c r="GY75" s="141"/>
      <c r="GZ75" s="141"/>
      <c r="HA75" s="141"/>
      <c r="HB75" s="141"/>
      <c r="HC75" s="141"/>
      <c r="HD75" s="141"/>
      <c r="HE75" s="141"/>
      <c r="HF75" s="141"/>
      <c r="HG75" s="141"/>
      <c r="HH75" s="141"/>
      <c r="HI75" s="141"/>
      <c r="HJ75" s="141"/>
      <c r="HK75" s="141"/>
      <c r="HL75" s="141"/>
      <c r="HM75" s="141"/>
      <c r="HN75" s="141"/>
      <c r="HO75" s="141"/>
      <c r="HP75" s="141"/>
      <c r="HQ75" s="141"/>
      <c r="HR75" s="141"/>
      <c r="HS75" s="141"/>
      <c r="HT75" s="141"/>
      <c r="HU75" s="141"/>
      <c r="HV75" s="141"/>
      <c r="HW75" s="141"/>
      <c r="HX75" s="141"/>
      <c r="HY75" s="141"/>
      <c r="HZ75" s="141"/>
      <c r="IA75" s="141"/>
      <c r="IB75" s="141"/>
      <c r="IC75" s="141"/>
      <c r="ID75" s="141"/>
      <c r="IE75" s="141"/>
      <c r="IF75" s="141"/>
      <c r="IG75" s="141"/>
      <c r="IH75" s="141"/>
      <c r="II75" s="141"/>
      <c r="IJ75" s="141"/>
      <c r="IK75" s="141"/>
      <c r="IL75" s="141"/>
      <c r="IM75" s="141"/>
      <c r="IN75" s="141"/>
      <c r="IO75" s="141"/>
      <c r="IP75" s="141"/>
      <c r="IQ75" s="141"/>
      <c r="IR75" s="141"/>
      <c r="IS75" s="141"/>
      <c r="IT75" s="141"/>
      <c r="IU75" s="141"/>
      <c r="IV75" s="141"/>
      <c r="IW75" s="141"/>
      <c r="IX75" s="141"/>
      <c r="IY75" s="141"/>
      <c r="IZ75" s="141"/>
      <c r="JA75" s="141"/>
      <c r="JB75" s="141"/>
      <c r="JC75" s="141"/>
      <c r="JD75" s="141"/>
      <c r="JE75" s="141"/>
      <c r="JF75" s="141"/>
      <c r="JG75" s="141"/>
      <c r="JH75" s="141"/>
    </row>
    <row r="76" spans="1:268" s="142" customFormat="1" ht="12" hidden="1" customHeight="1" outlineLevel="1">
      <c r="A76" s="978"/>
      <c r="B76" s="979"/>
      <c r="C76" s="555"/>
      <c r="D76" s="555"/>
      <c r="E76" s="555"/>
      <c r="F76" s="555"/>
      <c r="G76" s="555"/>
      <c r="H76" s="802"/>
      <c r="I76" s="555"/>
      <c r="J76" s="555"/>
      <c r="K76" s="555"/>
      <c r="L76" s="555"/>
      <c r="M76" s="802"/>
      <c r="N76" s="555"/>
      <c r="O76" s="555"/>
      <c r="P76" s="555"/>
      <c r="Q76" s="555"/>
      <c r="R76" s="802"/>
      <c r="S76" s="555"/>
      <c r="T76" s="555"/>
      <c r="U76" s="555"/>
      <c r="V76" s="555"/>
      <c r="W76" s="802"/>
      <c r="X76" s="555"/>
      <c r="Y76" s="555"/>
      <c r="Z76" s="555"/>
      <c r="AA76" s="555"/>
      <c r="AB76" s="802"/>
      <c r="AC76" s="555"/>
      <c r="AD76" s="555"/>
      <c r="AE76" s="555"/>
      <c r="AF76" s="555"/>
      <c r="AG76" s="802"/>
      <c r="AH76" s="555"/>
      <c r="AI76" s="555"/>
      <c r="AJ76" s="555"/>
      <c r="AK76" s="555"/>
      <c r="AL76" s="802"/>
      <c r="AM76" s="555"/>
      <c r="AN76" s="555"/>
      <c r="AO76" s="555"/>
      <c r="AP76" s="555"/>
      <c r="AQ76" s="802"/>
      <c r="AR76" s="555"/>
      <c r="AS76" s="555"/>
      <c r="AT76" s="555"/>
      <c r="AU76" s="802"/>
      <c r="AV76" s="555"/>
      <c r="AW76" s="555"/>
      <c r="AX76" s="555"/>
      <c r="AY76" s="555"/>
      <c r="AZ76" s="802"/>
      <c r="BA76" s="555"/>
      <c r="BB76" s="555"/>
      <c r="BC76" s="555"/>
      <c r="BD76" s="555"/>
      <c r="BE76" s="802"/>
      <c r="BF76" s="555"/>
      <c r="BG76" s="555"/>
      <c r="BH76" s="555"/>
      <c r="BI76" s="555"/>
      <c r="BJ76" s="802"/>
      <c r="BK76" s="555"/>
      <c r="BL76" s="555"/>
      <c r="BM76" s="555"/>
      <c r="BN76" s="555"/>
      <c r="BO76" s="802"/>
      <c r="BP76" s="555"/>
      <c r="BQ76" s="555"/>
      <c r="BR76" s="555"/>
      <c r="BS76" s="555"/>
      <c r="BT76" s="802"/>
      <c r="BU76" s="555"/>
      <c r="BV76" s="555"/>
      <c r="BW76" s="555"/>
      <c r="BX76" s="555"/>
      <c r="BY76" s="802"/>
      <c r="BZ76" s="557"/>
      <c r="CA76" s="555"/>
      <c r="CB76" s="555"/>
      <c r="CC76" s="555"/>
      <c r="CD76" s="802"/>
      <c r="CE76" s="555"/>
      <c r="CF76" s="555"/>
      <c r="CG76" s="555"/>
      <c r="CH76" s="555"/>
      <c r="CI76" s="802"/>
      <c r="CJ76" s="555"/>
      <c r="CK76" s="555"/>
      <c r="CL76" s="555"/>
      <c r="CM76" s="555"/>
      <c r="CN76" s="802"/>
      <c r="CO76" s="555"/>
      <c r="CP76" s="555"/>
      <c r="CQ76" s="555"/>
      <c r="CR76" s="555"/>
      <c r="CS76" s="802"/>
      <c r="CT76" s="555"/>
      <c r="CU76" s="555"/>
      <c r="CV76" s="555"/>
      <c r="CW76" s="555"/>
      <c r="CX76" s="802"/>
      <c r="CY76" s="555"/>
      <c r="CZ76" s="555"/>
      <c r="DA76" s="555"/>
      <c r="DB76" s="555"/>
      <c r="DC76" s="802"/>
      <c r="DD76" s="555"/>
      <c r="DE76" s="555"/>
      <c r="DF76" s="555"/>
      <c r="DG76" s="555"/>
      <c r="DH76" s="802"/>
      <c r="DI76" s="555"/>
      <c r="DJ76" s="555"/>
      <c r="DK76" s="555"/>
      <c r="DL76" s="555"/>
      <c r="DM76" s="802"/>
      <c r="DN76" s="555"/>
      <c r="DO76" s="555"/>
      <c r="DP76" s="555"/>
      <c r="DQ76" s="555"/>
      <c r="DR76" s="802"/>
      <c r="DS76" s="555"/>
      <c r="DT76" s="555"/>
      <c r="DU76" s="555"/>
      <c r="DV76" s="555"/>
      <c r="DW76" s="802"/>
      <c r="DX76" s="555"/>
      <c r="DY76" s="555"/>
      <c r="DZ76" s="555"/>
      <c r="EA76" s="555"/>
      <c r="EB76" s="802"/>
      <c r="EC76" s="555"/>
      <c r="ED76" s="555"/>
      <c r="EE76" s="555"/>
      <c r="EF76" s="555"/>
      <c r="EG76" s="802"/>
      <c r="EH76" s="555"/>
      <c r="EI76" s="555"/>
      <c r="EJ76" s="555"/>
      <c r="EK76" s="555"/>
      <c r="EL76" s="802"/>
      <c r="EM76" s="555"/>
      <c r="EN76"/>
      <c r="EO76"/>
      <c r="EP76"/>
      <c r="EQ76"/>
      <c r="ER76"/>
      <c r="ES76"/>
      <c r="ET76" s="141"/>
      <c r="EU76" s="141"/>
      <c r="EV76" s="141"/>
      <c r="EW76" s="141"/>
      <c r="EX76" s="141"/>
      <c r="EY76" s="141"/>
      <c r="EZ76" s="141"/>
      <c r="FA76" s="141"/>
      <c r="FB76" s="141"/>
      <c r="FC76" s="141"/>
      <c r="FD76" s="141"/>
      <c r="FE76" s="141"/>
      <c r="FF76" s="141"/>
      <c r="FG76" s="141"/>
      <c r="FH76" s="141"/>
      <c r="FI76" s="141"/>
      <c r="FJ76" s="141"/>
      <c r="FK76" s="141"/>
      <c r="FL76" s="141"/>
      <c r="FM76" s="141"/>
      <c r="FN76" s="141"/>
      <c r="FO76" s="141"/>
      <c r="FP76" s="141"/>
      <c r="FQ76" s="141"/>
      <c r="FR76" s="141"/>
      <c r="FS76" s="141"/>
      <c r="FT76" s="141"/>
      <c r="FU76" s="141"/>
      <c r="FV76" s="141"/>
      <c r="FW76" s="141"/>
      <c r="FX76" s="141"/>
      <c r="FY76" s="141"/>
      <c r="FZ76" s="141"/>
      <c r="GA76" s="141"/>
      <c r="GB76" s="141"/>
      <c r="GC76" s="141"/>
      <c r="GD76" s="141"/>
      <c r="GE76" s="141"/>
      <c r="GF76" s="141"/>
      <c r="GG76" s="141"/>
      <c r="GH76" s="141"/>
      <c r="GI76" s="141"/>
      <c r="GJ76" s="141"/>
      <c r="GK76" s="141"/>
      <c r="GL76" s="141"/>
      <c r="GM76" s="141"/>
      <c r="GN76" s="141"/>
      <c r="GO76" s="141"/>
      <c r="GP76" s="141"/>
      <c r="GQ76" s="141"/>
      <c r="GR76" s="141"/>
      <c r="GS76" s="141"/>
      <c r="GT76" s="141"/>
      <c r="GU76" s="141"/>
      <c r="GV76" s="141"/>
      <c r="GW76" s="141"/>
      <c r="GX76" s="141"/>
      <c r="GY76" s="141"/>
      <c r="GZ76" s="141"/>
      <c r="HA76" s="141"/>
      <c r="HB76" s="141"/>
      <c r="HC76" s="141"/>
      <c r="HD76" s="141"/>
      <c r="HE76" s="141"/>
      <c r="HF76" s="141"/>
      <c r="HG76" s="141"/>
      <c r="HH76" s="141"/>
      <c r="HI76" s="141"/>
      <c r="HJ76" s="141"/>
      <c r="HK76" s="141"/>
      <c r="HL76" s="141"/>
      <c r="HM76" s="141"/>
      <c r="HN76" s="141"/>
      <c r="HO76" s="141"/>
      <c r="HP76" s="141"/>
      <c r="HQ76" s="141"/>
      <c r="HR76" s="141"/>
      <c r="HS76" s="141"/>
      <c r="HT76" s="141"/>
      <c r="HU76" s="141"/>
      <c r="HV76" s="141"/>
      <c r="HW76" s="141"/>
      <c r="HX76" s="141"/>
      <c r="HY76" s="141"/>
      <c r="HZ76" s="141"/>
      <c r="IA76" s="141"/>
      <c r="IB76" s="141"/>
      <c r="IC76" s="141"/>
      <c r="ID76" s="141"/>
      <c r="IE76" s="141"/>
      <c r="IF76" s="141"/>
      <c r="IG76" s="141"/>
      <c r="IH76" s="141"/>
      <c r="II76" s="141"/>
      <c r="IJ76" s="141"/>
      <c r="IK76" s="141"/>
      <c r="IL76" s="141"/>
      <c r="IM76" s="141"/>
      <c r="IN76" s="141"/>
      <c r="IO76" s="141"/>
      <c r="IP76" s="141"/>
      <c r="IQ76" s="141"/>
      <c r="IR76" s="141"/>
      <c r="IS76" s="141"/>
      <c r="IT76" s="141"/>
      <c r="IU76" s="141"/>
      <c r="IV76" s="141"/>
      <c r="IW76" s="141"/>
      <c r="IX76" s="141"/>
      <c r="IY76" s="141"/>
      <c r="IZ76" s="141"/>
      <c r="JA76" s="141"/>
      <c r="JB76" s="141"/>
      <c r="JC76" s="141"/>
      <c r="JD76" s="141"/>
      <c r="JE76" s="141"/>
      <c r="JF76" s="141"/>
      <c r="JG76" s="141"/>
      <c r="JH76" s="141"/>
    </row>
    <row r="77" spans="1:268" s="142" customFormat="1" ht="12" hidden="1" customHeight="1" outlineLevel="1">
      <c r="A77" s="803"/>
      <c r="B77" s="804" t="s">
        <v>5</v>
      </c>
      <c r="C77" s="158"/>
      <c r="D77" s="158">
        <v>-77.162000000000006</v>
      </c>
      <c r="E77" s="153">
        <f>D83</f>
        <v>-67.247</v>
      </c>
      <c r="F77" s="153">
        <f>E83</f>
        <v>-67.2</v>
      </c>
      <c r="G77" s="153">
        <f>F83</f>
        <v>-71.3</v>
      </c>
      <c r="H77" s="916">
        <f>D77</f>
        <v>-77.162000000000006</v>
      </c>
      <c r="I77" s="153">
        <f>H83</f>
        <v>-184</v>
      </c>
      <c r="J77" s="153">
        <f>I83</f>
        <v>-167.8</v>
      </c>
      <c r="K77" s="153">
        <f>J83</f>
        <v>-161.1</v>
      </c>
      <c r="L77" s="153">
        <f>K83</f>
        <v>-154.1</v>
      </c>
      <c r="M77" s="916">
        <f>H83</f>
        <v>-184</v>
      </c>
      <c r="N77" s="153">
        <f>M83</f>
        <v>-156</v>
      </c>
      <c r="O77" s="153">
        <f>N83</f>
        <v>-154.80000000000001</v>
      </c>
      <c r="P77" s="153">
        <f>O83</f>
        <v>-182.2</v>
      </c>
      <c r="Q77" s="153">
        <f>P83</f>
        <v>-228.4</v>
      </c>
      <c r="R77" s="916">
        <f>M83</f>
        <v>-156</v>
      </c>
      <c r="S77" s="153">
        <f>R83</f>
        <v>-224</v>
      </c>
      <c r="T77" s="153">
        <f>S83</f>
        <v>-236</v>
      </c>
      <c r="U77" s="153">
        <f>T83</f>
        <v>-215</v>
      </c>
      <c r="V77" s="153">
        <f>U83</f>
        <v>-204</v>
      </c>
      <c r="W77" s="916">
        <f>R83</f>
        <v>-224</v>
      </c>
      <c r="X77" s="153">
        <f>W83</f>
        <v>-191</v>
      </c>
      <c r="Y77" s="153">
        <f>X83</f>
        <v>-182</v>
      </c>
      <c r="Z77" s="153">
        <f>Y83</f>
        <v>-203</v>
      </c>
      <c r="AA77" s="153">
        <f>Z83</f>
        <v>-244</v>
      </c>
      <c r="AB77" s="916">
        <f>W83</f>
        <v>-191</v>
      </c>
      <c r="AC77" s="153">
        <f>AB83</f>
        <v>-287</v>
      </c>
      <c r="AD77" s="153">
        <f>AC83</f>
        <v>-317</v>
      </c>
      <c r="AE77" s="153">
        <f>AD83</f>
        <v>-293</v>
      </c>
      <c r="AF77" s="153">
        <f>AE83</f>
        <v>-361</v>
      </c>
      <c r="AG77" s="916">
        <f>AB83</f>
        <v>-287</v>
      </c>
      <c r="AH77" s="153">
        <f>AG83</f>
        <v>-358</v>
      </c>
      <c r="AI77" s="153">
        <f>AH83</f>
        <v>-355</v>
      </c>
      <c r="AJ77" s="153">
        <f>AI83</f>
        <v>-354</v>
      </c>
      <c r="AK77" s="153">
        <f>AJ83</f>
        <v>-347</v>
      </c>
      <c r="AL77" s="916">
        <f>AG83</f>
        <v>-358</v>
      </c>
      <c r="AM77" s="153">
        <f>AL83</f>
        <v>-333</v>
      </c>
      <c r="AN77" s="153">
        <f>AM83</f>
        <v>-339</v>
      </c>
      <c r="AO77" s="153">
        <f>AN83</f>
        <v>-325</v>
      </c>
      <c r="AP77" s="153">
        <f>AO83</f>
        <v>-315</v>
      </c>
      <c r="AQ77" s="916">
        <f>AL83</f>
        <v>-333</v>
      </c>
      <c r="AR77" s="153">
        <f>AQ83</f>
        <v>-315</v>
      </c>
      <c r="AS77" s="153">
        <f>AR83</f>
        <v>-328</v>
      </c>
      <c r="AT77" s="153">
        <f>AS83</f>
        <v>-350</v>
      </c>
      <c r="AU77" s="802"/>
      <c r="AV77" s="892"/>
      <c r="AW77" s="892"/>
      <c r="AX77" s="892"/>
      <c r="AY77" s="892"/>
      <c r="AZ77" s="980"/>
      <c r="BA77" s="153">
        <f>AZ83</f>
        <v>-350</v>
      </c>
      <c r="BB77" s="153">
        <f>BA83</f>
        <v>-357</v>
      </c>
      <c r="BC77" s="153">
        <f>BB83</f>
        <v>-351</v>
      </c>
      <c r="BD77" s="153">
        <f>BC83</f>
        <v>-500</v>
      </c>
      <c r="BE77" s="916">
        <f>AZ83</f>
        <v>-350</v>
      </c>
      <c r="BF77" s="153">
        <f>BE83</f>
        <v>-500</v>
      </c>
      <c r="BG77" s="153">
        <f>BF83</f>
        <v>-514</v>
      </c>
      <c r="BH77" s="153">
        <f>BG83</f>
        <v>-838</v>
      </c>
      <c r="BI77" s="153">
        <f>BH83</f>
        <v>-800</v>
      </c>
      <c r="BJ77" s="916">
        <f>BE83</f>
        <v>-500</v>
      </c>
      <c r="BK77" s="153">
        <f>BJ83</f>
        <v>-698</v>
      </c>
      <c r="BL77" s="153">
        <f>BK83</f>
        <v>-683</v>
      </c>
      <c r="BM77" s="153">
        <f>BL83</f>
        <v>-642</v>
      </c>
      <c r="BN77" s="153">
        <f>BM83</f>
        <v>-642</v>
      </c>
      <c r="BO77" s="916">
        <f>BJ83</f>
        <v>-698</v>
      </c>
      <c r="BP77" s="153">
        <f>BO83</f>
        <v>-594</v>
      </c>
      <c r="BQ77" s="153">
        <f>BP83</f>
        <v>-575</v>
      </c>
      <c r="BR77" s="153">
        <f>BQ83</f>
        <v>-519</v>
      </c>
      <c r="BS77" s="153">
        <f>BR83</f>
        <v>-499</v>
      </c>
      <c r="BT77" s="916">
        <f>BO83</f>
        <v>-594</v>
      </c>
      <c r="BU77" s="153">
        <f>BT83</f>
        <v>-498</v>
      </c>
      <c r="BV77" s="153">
        <f>BU83</f>
        <v>-483</v>
      </c>
      <c r="BW77" s="153">
        <f>BV83</f>
        <v>-483</v>
      </c>
      <c r="BX77" s="153">
        <f>BW83</f>
        <v>-478</v>
      </c>
      <c r="BY77" s="916">
        <f>BT83</f>
        <v>-498</v>
      </c>
      <c r="BZ77" s="153">
        <f>BY83</f>
        <v>-441</v>
      </c>
      <c r="CA77" s="153">
        <f>BZ83</f>
        <v>-428</v>
      </c>
      <c r="CB77" s="153">
        <f>CA83</f>
        <v>-410</v>
      </c>
      <c r="CC77" s="153">
        <f>CB83</f>
        <v>-398</v>
      </c>
      <c r="CD77" s="916">
        <f>BY83</f>
        <v>-441</v>
      </c>
      <c r="CE77" s="153">
        <f>CD83</f>
        <v>-396</v>
      </c>
      <c r="CF77" s="153">
        <f>CE83</f>
        <v>-391</v>
      </c>
      <c r="CG77" s="153">
        <f>CF83</f>
        <v>-407</v>
      </c>
      <c r="CH77" s="153">
        <f>CG83</f>
        <v>-383</v>
      </c>
      <c r="CI77" s="916">
        <f>CD83</f>
        <v>-396</v>
      </c>
      <c r="CJ77" s="153">
        <f>CI83</f>
        <v>-369</v>
      </c>
      <c r="CK77" s="153">
        <f>CJ83</f>
        <v>-361</v>
      </c>
      <c r="CL77" s="153">
        <f>CK83</f>
        <v>-364</v>
      </c>
      <c r="CM77" s="153">
        <f>CL83</f>
        <v>-355</v>
      </c>
      <c r="CN77" s="916">
        <f>CI83</f>
        <v>-369</v>
      </c>
      <c r="CO77" s="153">
        <f>CN83</f>
        <v>-352</v>
      </c>
      <c r="CP77" s="153">
        <f>CO83</f>
        <v>-359</v>
      </c>
      <c r="CQ77" s="153">
        <f>CP83</f>
        <v>-364</v>
      </c>
      <c r="CR77" s="153">
        <f>CQ83</f>
        <v>-377</v>
      </c>
      <c r="CS77" s="916">
        <f>CN83</f>
        <v>-352</v>
      </c>
      <c r="CT77" s="153">
        <f>CS83</f>
        <v>-397</v>
      </c>
      <c r="CU77" s="153">
        <f>CT83</f>
        <v>-380</v>
      </c>
      <c r="CV77" s="153">
        <f>CU83</f>
        <v>-401</v>
      </c>
      <c r="CW77" s="153">
        <f>CV83</f>
        <v>-402</v>
      </c>
      <c r="CX77" s="916">
        <f>CS83</f>
        <v>-397</v>
      </c>
      <c r="CY77" s="153">
        <f>CX83</f>
        <v>-401</v>
      </c>
      <c r="CZ77" s="153">
        <f>CY83</f>
        <v>-407</v>
      </c>
      <c r="DA77" s="153">
        <f ca="1">CZ83</f>
        <v>-401</v>
      </c>
      <c r="DB77" s="153">
        <f>DA83</f>
        <v>440</v>
      </c>
      <c r="DC77" s="916">
        <f>CX83</f>
        <v>-401</v>
      </c>
      <c r="DD77" s="153">
        <f ca="1">DC83</f>
        <v>-401</v>
      </c>
      <c r="DE77" s="153">
        <f>DD83</f>
        <v>-671</v>
      </c>
      <c r="DF77" s="153">
        <f>DE83</f>
        <v>-753</v>
      </c>
      <c r="DG77" s="153">
        <f>DF83</f>
        <v>-773</v>
      </c>
      <c r="DH77" s="916">
        <f ca="1">DC83</f>
        <v>-401</v>
      </c>
      <c r="DI77" s="153">
        <f ca="1">DH83</f>
        <v>-852</v>
      </c>
      <c r="DJ77" s="153">
        <f ca="1">DI83</f>
        <v>-671</v>
      </c>
      <c r="DK77" s="153">
        <f ca="1">DJ83</f>
        <v>-753</v>
      </c>
      <c r="DL77" s="153">
        <f>DK83</f>
        <v>-913</v>
      </c>
      <c r="DM77" s="916">
        <f ca="1">DH83</f>
        <v>-852</v>
      </c>
      <c r="DN77" s="153">
        <f ca="1">DM83</f>
        <v>-887</v>
      </c>
      <c r="DO77" s="153">
        <f ca="1">DN83</f>
        <v>-671</v>
      </c>
      <c r="DP77" s="153">
        <f>DO83</f>
        <v>-946</v>
      </c>
      <c r="DQ77" s="153">
        <f>DP83</f>
        <v>-981</v>
      </c>
      <c r="DR77" s="916">
        <f ca="1">DM83</f>
        <v>-887</v>
      </c>
      <c r="DS77" s="153">
        <f ca="1">DR83</f>
        <v>-1031</v>
      </c>
      <c r="DT77" s="153">
        <f>DS83</f>
        <v>-1041</v>
      </c>
      <c r="DU77" s="153">
        <f>DT83</f>
        <v>-966</v>
      </c>
      <c r="DV77" s="153">
        <f>DU83</f>
        <v>-934</v>
      </c>
      <c r="DW77" s="916">
        <f ca="1">DR83</f>
        <v>-1031</v>
      </c>
      <c r="DX77" s="153">
        <f ca="1">DW83</f>
        <v>-1030.925152749491</v>
      </c>
      <c r="DY77" s="153">
        <f ca="1">DX83</f>
        <v>-1076.3239692833527</v>
      </c>
      <c r="DZ77" s="153">
        <f ca="1">DY83</f>
        <v>-1114.6529482403707</v>
      </c>
      <c r="EA77" s="153">
        <f ca="1">DZ83</f>
        <v>-1137.1411592150084</v>
      </c>
      <c r="EB77" s="916">
        <f ca="1">DW83</f>
        <v>-1030.925152749491</v>
      </c>
      <c r="EC77" s="153">
        <f ca="1">EB83</f>
        <v>-1173.6901133720144</v>
      </c>
      <c r="ED77" s="153">
        <f ca="1">EC83</f>
        <v>-1188.5012002059739</v>
      </c>
      <c r="EE77" s="153">
        <f ca="1">ED83</f>
        <v>-1190.6559437654594</v>
      </c>
      <c r="EF77" s="153">
        <f ca="1">EE83</f>
        <v>-1183.0556332612775</v>
      </c>
      <c r="EG77" s="916">
        <f ca="1">EB83</f>
        <v>-1173.6901133720144</v>
      </c>
      <c r="EH77" s="153">
        <f ca="1">EG83</f>
        <v>-1206.2451090142893</v>
      </c>
      <c r="EI77" s="153">
        <f ca="1">EH83</f>
        <v>-1197.5777843724738</v>
      </c>
      <c r="EJ77" s="153">
        <f ca="1">EI83</f>
        <v>-1195.1360033444096</v>
      </c>
      <c r="EK77" s="153">
        <f ca="1">EJ83</f>
        <v>-1179.9784382358546</v>
      </c>
      <c r="EL77" s="916">
        <f ca="1">EG83</f>
        <v>-1206.2451090142893</v>
      </c>
      <c r="EM77" s="917"/>
      <c r="EN77"/>
      <c r="EO77"/>
      <c r="EP77"/>
      <c r="EQ77"/>
      <c r="ER77"/>
      <c r="ES77"/>
      <c r="ET77" s="141"/>
      <c r="EU77" s="141"/>
      <c r="EV77" s="141"/>
      <c r="EW77" s="141"/>
      <c r="EX77" s="141"/>
      <c r="EY77" s="141"/>
      <c r="EZ77" s="141"/>
      <c r="FA77" s="141"/>
      <c r="FB77" s="141"/>
      <c r="FC77" s="141"/>
      <c r="FD77" s="141"/>
      <c r="FE77" s="141"/>
      <c r="FF77" s="141"/>
      <c r="FG77" s="141"/>
      <c r="FH77" s="141"/>
      <c r="FI77" s="141"/>
      <c r="FJ77" s="141"/>
      <c r="FK77" s="141"/>
      <c r="FL77" s="141"/>
      <c r="FM77" s="141"/>
      <c r="FN77" s="141"/>
      <c r="FO77" s="141"/>
      <c r="FP77" s="141"/>
      <c r="FQ77" s="141"/>
      <c r="FR77" s="141"/>
      <c r="FS77" s="141"/>
      <c r="FT77" s="141"/>
      <c r="FU77" s="141"/>
      <c r="FV77" s="141"/>
      <c r="FW77" s="141"/>
      <c r="FX77" s="141"/>
      <c r="FY77" s="141"/>
      <c r="FZ77" s="141"/>
      <c r="GA77" s="141"/>
      <c r="GB77" s="141"/>
      <c r="GC77" s="141"/>
      <c r="GD77" s="141"/>
      <c r="GE77" s="141"/>
      <c r="GF77" s="141"/>
      <c r="GG77" s="141"/>
      <c r="GH77" s="141"/>
      <c r="GI77" s="141"/>
      <c r="GJ77" s="141"/>
      <c r="GK77" s="141"/>
      <c r="GL77" s="141"/>
      <c r="GM77" s="141"/>
      <c r="GN77" s="141"/>
      <c r="GO77" s="141"/>
      <c r="GP77" s="141"/>
      <c r="GQ77" s="141"/>
      <c r="GR77" s="141"/>
      <c r="GS77" s="141"/>
      <c r="GT77" s="141"/>
      <c r="GU77" s="141"/>
      <c r="GV77" s="141"/>
      <c r="GW77" s="141"/>
      <c r="GX77" s="141"/>
      <c r="GY77" s="141"/>
      <c r="GZ77" s="141"/>
      <c r="HA77" s="141"/>
      <c r="HB77" s="141"/>
      <c r="HC77" s="141"/>
      <c r="HD77" s="141"/>
      <c r="HE77" s="141"/>
      <c r="HF77" s="141"/>
      <c r="HG77" s="141"/>
      <c r="HH77" s="141"/>
      <c r="HI77" s="141"/>
      <c r="HJ77" s="141"/>
      <c r="HK77" s="141"/>
      <c r="HL77" s="141"/>
      <c r="HM77" s="141"/>
      <c r="HN77" s="141"/>
      <c r="HO77" s="141"/>
      <c r="HP77" s="141"/>
      <c r="HQ77" s="141"/>
      <c r="HR77" s="141"/>
      <c r="HS77" s="141"/>
      <c r="HT77" s="141"/>
      <c r="HU77" s="141"/>
      <c r="HV77" s="141"/>
      <c r="HW77" s="141"/>
      <c r="HX77" s="141"/>
      <c r="HY77" s="141"/>
      <c r="HZ77" s="141"/>
      <c r="IA77" s="141"/>
      <c r="IB77" s="141"/>
      <c r="IC77" s="141"/>
      <c r="ID77" s="141"/>
      <c r="IE77" s="141"/>
      <c r="IF77" s="141"/>
      <c r="IG77" s="141"/>
      <c r="IH77" s="141"/>
      <c r="II77" s="141"/>
      <c r="IJ77" s="141"/>
      <c r="IK77" s="141"/>
      <c r="IL77" s="141"/>
      <c r="IM77" s="141"/>
      <c r="IN77" s="141"/>
      <c r="IO77" s="141"/>
      <c r="IP77" s="141"/>
      <c r="IQ77" s="141"/>
      <c r="IR77" s="141"/>
      <c r="IS77" s="141"/>
      <c r="IT77" s="141"/>
      <c r="IU77" s="141"/>
      <c r="IV77" s="141"/>
      <c r="IW77" s="141"/>
      <c r="IX77" s="141"/>
      <c r="IY77" s="141"/>
      <c r="IZ77" s="141"/>
      <c r="JA77" s="141"/>
      <c r="JB77" s="141"/>
      <c r="JC77" s="141"/>
      <c r="JD77" s="141"/>
      <c r="JE77" s="141"/>
      <c r="JF77" s="141"/>
      <c r="JG77" s="141"/>
      <c r="JH77" s="141"/>
    </row>
    <row r="78" spans="1:268" s="142" customFormat="1" ht="12" hidden="1" customHeight="1" outlineLevel="1">
      <c r="A78" s="845"/>
      <c r="B78" s="846" t="s">
        <v>6</v>
      </c>
      <c r="C78" s="898"/>
      <c r="D78" s="898">
        <v>-26.117000000000001</v>
      </c>
      <c r="E78" s="898">
        <v>-20.7</v>
      </c>
      <c r="F78" s="898">
        <v>-22.1</v>
      </c>
      <c r="G78" s="898">
        <f>-137-SUM(D78:F78)</f>
        <v>-68.082999999999998</v>
      </c>
      <c r="H78" s="844">
        <f>SUM(D78:G78)</f>
        <v>-137</v>
      </c>
      <c r="I78" s="898">
        <v>-67.3</v>
      </c>
      <c r="J78" s="898">
        <v>-69.7</v>
      </c>
      <c r="K78" s="898">
        <v>-71.900000000000006</v>
      </c>
      <c r="L78" s="898">
        <f>-290-SUM(I78:K78)</f>
        <v>-81.099999999999994</v>
      </c>
      <c r="M78" s="844">
        <f>SUM(I78:L78)</f>
        <v>-290</v>
      </c>
      <c r="N78" s="898">
        <v>-74.5</v>
      </c>
      <c r="O78" s="898">
        <v>-78.7</v>
      </c>
      <c r="P78" s="898">
        <v>-128.1</v>
      </c>
      <c r="Q78" s="898">
        <f>-494-SUM(N78:P78)</f>
        <v>-212.70000000000005</v>
      </c>
      <c r="R78" s="844">
        <f>SUM(N78:Q78)</f>
        <v>-494</v>
      </c>
      <c r="S78" s="898">
        <v>-148</v>
      </c>
      <c r="T78" s="898">
        <v>-136</v>
      </c>
      <c r="U78" s="898">
        <v>-163</v>
      </c>
      <c r="V78" s="898">
        <f>-588-SUM(S78:U78)</f>
        <v>-141</v>
      </c>
      <c r="W78" s="844">
        <f>SUM(S78:V78)</f>
        <v>-588</v>
      </c>
      <c r="X78" s="843">
        <f>-'BS &amp; CF'!X139</f>
        <v>-159</v>
      </c>
      <c r="Y78" s="843">
        <f>-'BS &amp; CF'!Y139</f>
        <v>-184</v>
      </c>
      <c r="Z78" s="843">
        <f>-'BS &amp; CF'!Z139</f>
        <v>-190</v>
      </c>
      <c r="AA78" s="843">
        <f>-'BS &amp; CF'!AA139</f>
        <v>-210</v>
      </c>
      <c r="AB78" s="844">
        <f>SUM(X78:AA78)</f>
        <v>-743</v>
      </c>
      <c r="AC78" s="843">
        <f>-'BS &amp; CF'!AC139</f>
        <v>-223</v>
      </c>
      <c r="AD78" s="843">
        <f>-'BS &amp; CF'!AD139</f>
        <v>-210</v>
      </c>
      <c r="AE78" s="843">
        <f>-'BS &amp; CF'!AE139</f>
        <v>-214</v>
      </c>
      <c r="AF78" s="843">
        <f>-'BS &amp; CF'!AF139</f>
        <v>-204</v>
      </c>
      <c r="AG78" s="844">
        <f>SUM(AC78:AF78)</f>
        <v>-851</v>
      </c>
      <c r="AH78" s="843">
        <f>-'BS &amp; CF'!AH139</f>
        <v>-213</v>
      </c>
      <c r="AI78" s="843">
        <f>-'BS &amp; CF'!AI139</f>
        <v>-206</v>
      </c>
      <c r="AJ78" s="843">
        <f>-'BS &amp; CF'!AJ139</f>
        <v>-219</v>
      </c>
      <c r="AK78" s="843">
        <f>-'BS &amp; CF'!AK139</f>
        <v>-211</v>
      </c>
      <c r="AL78" s="844">
        <f>SUM(AH78:AK78)</f>
        <v>-849</v>
      </c>
      <c r="AM78" s="843">
        <f>-'BS &amp; CF'!AM139</f>
        <v>-246</v>
      </c>
      <c r="AN78" s="843">
        <f>-'BS &amp; CF'!AN139</f>
        <v>-258</v>
      </c>
      <c r="AO78" s="843">
        <f>-'BS &amp; CF'!AO139</f>
        <v>-236</v>
      </c>
      <c r="AP78" s="843">
        <f>-'BS &amp; CF'!AP139</f>
        <v>-246</v>
      </c>
      <c r="AQ78" s="844">
        <f>SUM(AM78:AP78)</f>
        <v>-986</v>
      </c>
      <c r="AR78" s="843">
        <f>-'BS &amp; CF'!AR139</f>
        <v>-277</v>
      </c>
      <c r="AS78" s="843">
        <f>-'BS &amp; CF'!AS139</f>
        <v>-291</v>
      </c>
      <c r="AT78" s="843">
        <f>-'BS &amp; CF'!AT139</f>
        <v>-304</v>
      </c>
      <c r="AU78" s="802"/>
      <c r="AV78" s="561"/>
      <c r="AW78" s="561"/>
      <c r="AX78" s="561"/>
      <c r="AY78" s="561"/>
      <c r="AZ78" s="844"/>
      <c r="BA78" s="843">
        <f>-'BS &amp; CF'!BA139</f>
        <v>-300</v>
      </c>
      <c r="BB78" s="843">
        <f>-'BS &amp; CF'!BB139</f>
        <v>-316</v>
      </c>
      <c r="BC78" s="843">
        <f>-'BS &amp; CF'!BC139</f>
        <v>-552</v>
      </c>
      <c r="BD78" s="843">
        <f>-'BS &amp; CF'!BD139</f>
        <v>-407</v>
      </c>
      <c r="BE78" s="844">
        <f>SUM(BA78:BD78)</f>
        <v>-1575</v>
      </c>
      <c r="BF78" s="843">
        <f>-'BS &amp; CF'!BF139</f>
        <v>-293</v>
      </c>
      <c r="BG78" s="843">
        <f>-'BS &amp; CF'!BG139</f>
        <v>-497</v>
      </c>
      <c r="BH78" s="843">
        <f>-'BS &amp; CF'!BH139</f>
        <v>-228</v>
      </c>
      <c r="BI78" s="843">
        <f>-'BS &amp; CF'!BI139</f>
        <v>-187</v>
      </c>
      <c r="BJ78" s="844">
        <f>SUM(BF78:BI78)</f>
        <v>-1205</v>
      </c>
      <c r="BK78" s="843">
        <f>-'BS &amp; CF'!BK139</f>
        <v>-167</v>
      </c>
      <c r="BL78" s="843">
        <f>-'BS &amp; CF'!BL139</f>
        <v>-153</v>
      </c>
      <c r="BM78" s="843">
        <f>-'BS &amp; CF'!BM139</f>
        <v>-206</v>
      </c>
      <c r="BN78" s="843">
        <f>-'BS &amp; CF'!BN139</f>
        <v>-172</v>
      </c>
      <c r="BO78" s="844">
        <f>SUM(BK78:BN78)</f>
        <v>-698</v>
      </c>
      <c r="BP78" s="843">
        <f>-IS!BP13</f>
        <v>-138</v>
      </c>
      <c r="BQ78" s="843">
        <f>-IS!BQ13</f>
        <v>-128</v>
      </c>
      <c r="BR78" s="843">
        <f>-IS!BR13</f>
        <v>-157</v>
      </c>
      <c r="BS78" s="843">
        <f>-IS!BS13</f>
        <v>-124</v>
      </c>
      <c r="BT78" s="844">
        <f>SUM(BP78:BS78)</f>
        <v>-547</v>
      </c>
      <c r="BU78" s="981">
        <f>-+IS!BU13</f>
        <v>-141</v>
      </c>
      <c r="BV78" s="981">
        <f>-+IS!BV13</f>
        <v>-151</v>
      </c>
      <c r="BW78" s="981">
        <f>-+IS!BW13</f>
        <v>-159</v>
      </c>
      <c r="BX78" s="981">
        <f>-+IS!BX13</f>
        <v>-134</v>
      </c>
      <c r="BY78" s="844">
        <f>SUM(BU78:BX78)</f>
        <v>-585</v>
      </c>
      <c r="BZ78" s="981">
        <f>-+IS!BZ13</f>
        <v>-149</v>
      </c>
      <c r="CA78" s="981">
        <f>-+IS!CA13</f>
        <v>-154</v>
      </c>
      <c r="CB78" s="981">
        <f>-+IS!CB13</f>
        <v>-166</v>
      </c>
      <c r="CC78" s="981">
        <f>-+IS!CC13</f>
        <v>-166</v>
      </c>
      <c r="CD78" s="844">
        <f>SUM(BZ78:CC78)</f>
        <v>-635</v>
      </c>
      <c r="CE78" s="981">
        <f>-+IS!CE13</f>
        <v>-156</v>
      </c>
      <c r="CF78" s="981">
        <f>-+IS!CF13</f>
        <v>-167</v>
      </c>
      <c r="CG78" s="981">
        <f>-+IS!CG13</f>
        <v>-193</v>
      </c>
      <c r="CH78" s="981">
        <f>-+IS!CH13</f>
        <v>-181</v>
      </c>
      <c r="CI78" s="844">
        <f>SUM(CE78:CH78)</f>
        <v>-697</v>
      </c>
      <c r="CJ78" s="981">
        <f>-+IS!CJ13</f>
        <v>-189</v>
      </c>
      <c r="CK78" s="981">
        <f>-+IS!CK13</f>
        <v>-173</v>
      </c>
      <c r="CL78" s="981">
        <f>-+IS!CL13</f>
        <v>-187</v>
      </c>
      <c r="CM78" s="981">
        <f>-+IS!CM13</f>
        <v>-191</v>
      </c>
      <c r="CN78" s="844">
        <f>SUM(CJ78:CM78)</f>
        <v>-740</v>
      </c>
      <c r="CO78" s="981">
        <f>-+IS!CO13</f>
        <v>-179</v>
      </c>
      <c r="CP78" s="981">
        <f>-+IS!CP13</f>
        <v>-168</v>
      </c>
      <c r="CQ78" s="981">
        <f>-+IS!CQ13</f>
        <v>-189</v>
      </c>
      <c r="CR78" s="981">
        <f>-+IS!CR13</f>
        <v>-181</v>
      </c>
      <c r="CS78" s="844">
        <f>SUM(CO78:CR78)</f>
        <v>-717</v>
      </c>
      <c r="CT78" s="981">
        <f>-+IS!CT13</f>
        <v>-189</v>
      </c>
      <c r="CU78" s="981">
        <f>-+IS!CU13</f>
        <v>-190</v>
      </c>
      <c r="CV78" s="981">
        <f>-+IS!CV13</f>
        <v>-206</v>
      </c>
      <c r="CW78" s="981">
        <f>-+IS!CW13</f>
        <v>-200</v>
      </c>
      <c r="CX78" s="844">
        <f>SUM(CT78:CW78)</f>
        <v>-785</v>
      </c>
      <c r="CY78" s="981">
        <f>-+IS!CY13</f>
        <v>-207</v>
      </c>
      <c r="CZ78" s="981">
        <f>-+IS!CZ13</f>
        <v>-207</v>
      </c>
      <c r="DA78" s="981">
        <f>-+IS!DA13</f>
        <v>-210</v>
      </c>
      <c r="DB78" s="981">
        <f>-+IS!DB13</f>
        <v>-348</v>
      </c>
      <c r="DC78" s="844">
        <f>SUM(CY78:DB78)</f>
        <v>-972</v>
      </c>
      <c r="DD78" s="981">
        <f>-+IS!DD13</f>
        <v>-380</v>
      </c>
      <c r="DE78" s="981">
        <f>-+IS!DE13</f>
        <v>-320</v>
      </c>
      <c r="DF78" s="981">
        <f>-+IS!DF13</f>
        <v>-249</v>
      </c>
      <c r="DG78" s="981">
        <f>-+IS!DG13</f>
        <v>-356</v>
      </c>
      <c r="DH78" s="844">
        <f>SUM(DD78:DG78)</f>
        <v>-1305</v>
      </c>
      <c r="DI78" s="981">
        <f>-+IS!DI13</f>
        <v>-363</v>
      </c>
      <c r="DJ78" s="981">
        <f>-+IS!DJ13</f>
        <v>-352</v>
      </c>
      <c r="DK78" s="981">
        <f>-+IS!DK13</f>
        <v>-371</v>
      </c>
      <c r="DL78" s="981">
        <f>-+IS!DL13</f>
        <v>-391</v>
      </c>
      <c r="DM78" s="844">
        <f>SUM(DI78:DL78)</f>
        <v>-1477</v>
      </c>
      <c r="DN78" s="981">
        <f>-+IS!DN13</f>
        <v>-376</v>
      </c>
      <c r="DO78" s="981">
        <f>-+IS!DO13</f>
        <v>-352</v>
      </c>
      <c r="DP78" s="981">
        <f>-+IS!DP13</f>
        <v>-367</v>
      </c>
      <c r="DQ78" s="981">
        <f>-+IS!DQ13</f>
        <v>-354</v>
      </c>
      <c r="DR78" s="844">
        <f>SUM(DN78:DQ78)</f>
        <v>-1449</v>
      </c>
      <c r="DS78" s="981">
        <f>-+IS!DS13</f>
        <v>-383</v>
      </c>
      <c r="DT78" s="981">
        <f>-+IS!DT13</f>
        <v>-371</v>
      </c>
      <c r="DU78" s="981">
        <f>-+IS!DU13</f>
        <v>-355</v>
      </c>
      <c r="DV78" s="981">
        <f>-+IS!DV13</f>
        <v>-325</v>
      </c>
      <c r="DW78" s="844">
        <f>SUM(DS78:DV78)</f>
        <v>-1434</v>
      </c>
      <c r="DX78" s="981">
        <f>-+IS!DX13</f>
        <v>-379.2288165338615</v>
      </c>
      <c r="DY78" s="981">
        <f>-+IS!DY13</f>
        <v>-378.48077233031057</v>
      </c>
      <c r="DZ78" s="981">
        <f>-+IS!DZ13</f>
        <v>-363.00784110143934</v>
      </c>
      <c r="EA78" s="981">
        <f>-+IS!EA13</f>
        <v>-379.77080284616454</v>
      </c>
      <c r="EB78" s="844">
        <f>SUM(DX78:EA78)</f>
        <v>-1500.4882328117758</v>
      </c>
      <c r="EC78" s="981">
        <f>-+IS!EC13</f>
        <v>-368.0435585811594</v>
      </c>
      <c r="ED78" s="981">
        <f>-+IS!ED13</f>
        <v>-373.26918243588312</v>
      </c>
      <c r="EE78" s="981">
        <f>-+IS!EE13</f>
        <v>-364.40015606766138</v>
      </c>
      <c r="EF78" s="981">
        <f>-+IS!EF13</f>
        <v>-390.53638559369347</v>
      </c>
      <c r="EG78" s="844">
        <f>SUM(EC78:EF78)</f>
        <v>-1496.2492826783973</v>
      </c>
      <c r="EH78" s="981">
        <f>-+IS!EH13</f>
        <v>-378.40492450892515</v>
      </c>
      <c r="EI78" s="981">
        <f>-+IS!EI13</f>
        <v>-383.45211786141363</v>
      </c>
      <c r="EJ78" s="981">
        <f>-+IS!EJ13</f>
        <v>-374.00945809385172</v>
      </c>
      <c r="EK78" s="981">
        <f>-+IS!EK13</f>
        <v>-401.37604212760067</v>
      </c>
      <c r="EL78" s="844">
        <f>SUM(EH78:EK78)</f>
        <v>-1537.2425425917911</v>
      </c>
      <c r="EM78" s="561"/>
      <c r="EN78"/>
      <c r="EO78"/>
      <c r="EP78"/>
      <c r="EQ78"/>
      <c r="ER78"/>
      <c r="ES78"/>
      <c r="ET78" s="141"/>
      <c r="EU78" s="141"/>
      <c r="EV78" s="141"/>
      <c r="EW78" s="141"/>
      <c r="EX78" s="141"/>
      <c r="EY78" s="141"/>
      <c r="EZ78" s="141"/>
      <c r="FA78" s="141"/>
      <c r="FB78" s="141"/>
      <c r="FC78" s="141"/>
      <c r="FD78" s="141"/>
      <c r="FE78" s="141"/>
      <c r="FF78" s="141"/>
      <c r="FG78" s="141"/>
      <c r="FH78" s="141"/>
      <c r="FI78" s="141"/>
      <c r="FJ78" s="141"/>
      <c r="FK78" s="141"/>
      <c r="FL78" s="141"/>
      <c r="FM78" s="141"/>
      <c r="FN78" s="141"/>
      <c r="FO78" s="141"/>
      <c r="FP78" s="141"/>
      <c r="FQ78" s="141"/>
      <c r="FR78" s="141"/>
      <c r="FS78" s="141"/>
      <c r="FT78" s="141"/>
      <c r="FU78" s="141"/>
      <c r="FV78" s="141"/>
      <c r="FW78" s="141"/>
      <c r="FX78" s="141"/>
      <c r="FY78" s="141"/>
      <c r="FZ78" s="141"/>
      <c r="GA78" s="141"/>
      <c r="GB78" s="141"/>
      <c r="GC78" s="141"/>
      <c r="GD78" s="141"/>
      <c r="GE78" s="141"/>
      <c r="GF78" s="141"/>
      <c r="GG78" s="141"/>
      <c r="GH78" s="141"/>
      <c r="GI78" s="141"/>
      <c r="GJ78" s="141"/>
      <c r="GK78" s="141"/>
      <c r="GL78" s="141"/>
      <c r="GM78" s="141"/>
      <c r="GN78" s="141"/>
      <c r="GO78" s="141"/>
      <c r="GP78" s="141"/>
      <c r="GQ78" s="141"/>
      <c r="GR78" s="141"/>
      <c r="GS78" s="141"/>
      <c r="GT78" s="141"/>
      <c r="GU78" s="141"/>
      <c r="GV78" s="141"/>
      <c r="GW78" s="141"/>
      <c r="GX78" s="141"/>
      <c r="GY78" s="141"/>
      <c r="GZ78" s="141"/>
      <c r="HA78" s="141"/>
      <c r="HB78" s="141"/>
      <c r="HC78" s="141"/>
      <c r="HD78" s="141"/>
      <c r="HE78" s="141"/>
      <c r="HF78" s="141"/>
      <c r="HG78" s="141"/>
      <c r="HH78" s="141"/>
      <c r="HI78" s="141"/>
      <c r="HJ78" s="141"/>
      <c r="HK78" s="141"/>
      <c r="HL78" s="141"/>
      <c r="HM78" s="141"/>
      <c r="HN78" s="141"/>
      <c r="HO78" s="141"/>
      <c r="HP78" s="141"/>
      <c r="HQ78" s="141"/>
      <c r="HR78" s="141"/>
      <c r="HS78" s="141"/>
      <c r="HT78" s="141"/>
      <c r="HU78" s="141"/>
      <c r="HV78" s="141"/>
      <c r="HW78" s="141"/>
      <c r="HX78" s="141"/>
      <c r="HY78" s="141"/>
      <c r="HZ78" s="141"/>
      <c r="IA78" s="141"/>
      <c r="IB78" s="141"/>
      <c r="IC78" s="141"/>
      <c r="ID78" s="141"/>
      <c r="IE78" s="141"/>
      <c r="IF78" s="141"/>
      <c r="IG78" s="141"/>
      <c r="IH78" s="141"/>
      <c r="II78" s="141"/>
      <c r="IJ78" s="141"/>
      <c r="IK78" s="141"/>
      <c r="IL78" s="141"/>
      <c r="IM78" s="141"/>
      <c r="IN78" s="141"/>
      <c r="IO78" s="141"/>
      <c r="IP78" s="141"/>
      <c r="IQ78" s="141"/>
      <c r="IR78" s="141"/>
      <c r="IS78" s="141"/>
      <c r="IT78" s="141"/>
      <c r="IU78" s="141"/>
      <c r="IV78" s="141"/>
      <c r="IW78" s="141"/>
      <c r="IX78" s="141"/>
      <c r="IY78" s="141"/>
      <c r="IZ78" s="141"/>
      <c r="JA78" s="141"/>
      <c r="JB78" s="141"/>
      <c r="JC78" s="141"/>
      <c r="JD78" s="141"/>
      <c r="JE78" s="141"/>
      <c r="JF78" s="141"/>
      <c r="JG78" s="141"/>
      <c r="JH78" s="141"/>
    </row>
    <row r="79" spans="1:268" s="142" customFormat="1" ht="12" hidden="1" customHeight="1" outlineLevel="1">
      <c r="A79" s="982"/>
      <c r="B79" s="983" t="s">
        <v>7</v>
      </c>
      <c r="C79" s="984"/>
      <c r="D79" s="984">
        <f>-(D78/IS!D$12)</f>
        <v>3.9401962781084279E-2</v>
      </c>
      <c r="E79" s="984">
        <f>-(E78/IS!E$12)</f>
        <v>3.240450845335003E-2</v>
      </c>
      <c r="F79" s="984">
        <f>-(F78/IS!F$12)</f>
        <v>3.3459500378501136E-2</v>
      </c>
      <c r="G79" s="984">
        <f>-(G78/IS!G$12)</f>
        <v>5.0213701216566542E-2</v>
      </c>
      <c r="H79" s="985">
        <f>-(H78/IS!H$12)</f>
        <v>4.1289933694996984E-2</v>
      </c>
      <c r="I79" s="984">
        <f>-(I78/IS!I$12)</f>
        <v>5.2418412648960196E-2</v>
      </c>
      <c r="J79" s="984">
        <f>-(J78/IS!J$12)</f>
        <v>5.0842512218250785E-2</v>
      </c>
      <c r="K79" s="984">
        <f>-(K78/IS!K$12)</f>
        <v>5.0213003701375797E-2</v>
      </c>
      <c r="L79" s="984">
        <f>-(L78/IS!L$12)</f>
        <v>5.5083882360931882E-2</v>
      </c>
      <c r="M79" s="985">
        <f>-(M78/IS!M$12)</f>
        <v>5.216765605324699E-2</v>
      </c>
      <c r="N79" s="984">
        <f>-(N78/IS!N$12)</f>
        <v>5.1786459057416939E-2</v>
      </c>
      <c r="O79" s="984">
        <f>-(O78/IS!O$12)</f>
        <v>5.3316170991125268E-2</v>
      </c>
      <c r="P79" s="984">
        <f>-(P78/IS!P$12)</f>
        <v>5.7266753095802224E-2</v>
      </c>
      <c r="Q79" s="984">
        <f>-(Q78/IS!Q$12)</f>
        <v>6.0094931344295666E-2</v>
      </c>
      <c r="R79" s="985">
        <f>-(R78/IS!R$12)</f>
        <v>5.6840409619146243E-2</v>
      </c>
      <c r="S79" s="984">
        <f>-(S78/IS!S$12)</f>
        <v>6.3492063492063489E-2</v>
      </c>
      <c r="T79" s="984">
        <f>-(T78/IS!T$12)</f>
        <v>5.5990119390695758E-2</v>
      </c>
      <c r="U79" s="984">
        <f>-(U78/IS!U$12)</f>
        <v>6.3572542901716073E-2</v>
      </c>
      <c r="V79" s="984">
        <f>-(V78/IS!V$12)</f>
        <v>5.4842473745624273E-2</v>
      </c>
      <c r="W79" s="985">
        <f>-(W78/IS!W$12)</f>
        <v>5.9423951490651841E-2</v>
      </c>
      <c r="X79" s="984">
        <f>-(X78/IS!X$12)</f>
        <v>6.2279670975323151E-2</v>
      </c>
      <c r="Y79" s="984">
        <f>-(Y78/IS!Y$12)</f>
        <v>7.1790870074131874E-2</v>
      </c>
      <c r="Z79" s="984">
        <f>-(Z78/IS!Z$12)</f>
        <v>6.7328136073706593E-2</v>
      </c>
      <c r="AA79" s="984">
        <f>-(AA78/IS!AA$12)</f>
        <v>7.1380013596193059E-2</v>
      </c>
      <c r="AB79" s="985">
        <f>-(AB78/IS!AB$12)</f>
        <v>6.8290441176470582E-2</v>
      </c>
      <c r="AC79" s="984">
        <f>-(AC78/IS!AC$12)</f>
        <v>7.76192133658197E-2</v>
      </c>
      <c r="AD79" s="984">
        <f>-(AD78/IS!AD$12)</f>
        <v>7.5539568345323743E-2</v>
      </c>
      <c r="AE79" s="984">
        <f>-(AE78/IS!AE$12)</f>
        <v>7.508771929824562E-2</v>
      </c>
      <c r="AF79" s="984">
        <f>-(AF78/IS!AF$12)</f>
        <v>7.007901064926142E-2</v>
      </c>
      <c r="AG79" s="985">
        <f>-(AG78/IS!AG$12)</f>
        <v>7.4557560890134919E-2</v>
      </c>
      <c r="AH79" s="984">
        <f>-(AH78/IS!AH$12)</f>
        <v>7.3625993778085028E-2</v>
      </c>
      <c r="AI79" s="984">
        <f>-(AI78/IS!AI$12)</f>
        <v>7.0668953687821612E-2</v>
      </c>
      <c r="AJ79" s="984">
        <f>-(AJ78/IS!AJ$12)</f>
        <v>7.2134387351778656E-2</v>
      </c>
      <c r="AK79" s="984">
        <f>-(AK78/IS!AK$12)</f>
        <v>6.575257089435961E-2</v>
      </c>
      <c r="AL79" s="985">
        <f>-(AL78/IS!AL$12)</f>
        <v>7.0438894880942501E-2</v>
      </c>
      <c r="AM79" s="984">
        <f>-(AM78/IS!AM$12)</f>
        <v>7.4613284804367602E-2</v>
      </c>
      <c r="AN79" s="984">
        <f>-(AN78/IS!AN$12)</f>
        <v>7.6016499705362409E-2</v>
      </c>
      <c r="AO79" s="984">
        <f>-(AO78/IS!AO$12)</f>
        <v>6.7738231917336397E-2</v>
      </c>
      <c r="AP79" s="984">
        <f>-(AP78/IS!AP$12)</f>
        <v>6.5810593900481537E-2</v>
      </c>
      <c r="AQ79" s="985">
        <f>-(AQ78/IS!AQ$12)</f>
        <v>7.0868971465535835E-2</v>
      </c>
      <c r="AR79" s="984">
        <f>-(AR78/IS!S$12)</f>
        <v>0.11883311883311884</v>
      </c>
      <c r="AS79" s="984">
        <f>-(AS78/IS!T$12)</f>
        <v>0.1198023878139152</v>
      </c>
      <c r="AT79" s="984">
        <f>-(AT78/IS!U$12)</f>
        <v>0.11856474258970359</v>
      </c>
      <c r="AU79" s="802"/>
      <c r="AV79" s="986"/>
      <c r="AW79" s="986"/>
      <c r="AX79" s="986"/>
      <c r="AY79" s="986"/>
      <c r="AZ79" s="985"/>
      <c r="BA79" s="984">
        <f>-(BA78/IS!BA$12)</f>
        <v>8.6906141367323289E-2</v>
      </c>
      <c r="BB79" s="984">
        <f>-(BB78/IS!BB$12)</f>
        <v>9.3518792542172241E-2</v>
      </c>
      <c r="BC79" s="984">
        <f>-(BC78/IS!BC$12)</f>
        <v>0.16742493175614195</v>
      </c>
      <c r="BD79" s="984">
        <f>-(BD78/IS!BD$12)</f>
        <v>0.12794718641936498</v>
      </c>
      <c r="BE79" s="985">
        <f>-(BE78/IS!BE$12)</f>
        <v>0.11834097227440078</v>
      </c>
      <c r="BF79" s="984">
        <f>-(BF78/IS!BF$12)</f>
        <v>0.10977894342450356</v>
      </c>
      <c r="BG79" s="984">
        <f>-(BG78/IS!BG$12)</f>
        <v>0.19338521400778211</v>
      </c>
      <c r="BH79" s="984">
        <f>-(BH78/IS!BH$12)</f>
        <v>9.3442622950819676E-2</v>
      </c>
      <c r="BI79" s="984">
        <f>-(BI78/IS!BI$12)</f>
        <v>7.7529021558872299E-2</v>
      </c>
      <c r="BJ79" s="985">
        <f>-(BJ78/IS!BJ$12)</f>
        <v>0.11941333861857101</v>
      </c>
      <c r="BK79" s="984">
        <f>-(BK78/IS!BK$12)</f>
        <v>6.6773290683726505E-2</v>
      </c>
      <c r="BL79" s="984">
        <f>-(BL78/IS!BL$12)</f>
        <v>6.3223140495867775E-2</v>
      </c>
      <c r="BM79" s="984">
        <f>-(BM78/IS!BM$12)</f>
        <v>8.6048454469507096E-2</v>
      </c>
      <c r="BN79" s="984">
        <f>-(BN78/IS!BN$12)</f>
        <v>7.4815137016093949E-2</v>
      </c>
      <c r="BO79" s="985">
        <f>-(BO78/IS!BO$12)</f>
        <v>7.2602454753484508E-2</v>
      </c>
      <c r="BP79" s="984">
        <f>-(BP78/IS!BP$12)</f>
        <v>5.7166528583264292E-2</v>
      </c>
      <c r="BQ79" s="984">
        <f>-(BQ78/IS!BQ$12)</f>
        <v>5.8314350797266518E-2</v>
      </c>
      <c r="BR79" s="984">
        <f>-(BR78/IS!BR$12)</f>
        <v>7.4161549362305151E-2</v>
      </c>
      <c r="BS79" s="984">
        <f>-(BS78/IS!BS$12)</f>
        <v>5.6906837999082145E-2</v>
      </c>
      <c r="BT79" s="985">
        <f>-(BT78/IS!BT$12)</f>
        <v>6.1426165075800114E-2</v>
      </c>
      <c r="BU79" s="984">
        <f>-(BU78/IS!BU$12)</f>
        <v>6.1869240895129442E-2</v>
      </c>
      <c r="BV79" s="984">
        <f>-(BV78/IS!BV$12)</f>
        <v>6.7773788150807895E-2</v>
      </c>
      <c r="BW79" s="984">
        <f>-(BW78/IS!BW$12)</f>
        <v>7.1880650994575052E-2</v>
      </c>
      <c r="BX79" s="984">
        <f>-(BX78/IS!BX$12)</f>
        <v>5.9529098178587293E-2</v>
      </c>
      <c r="BY79" s="985">
        <f>-(BY78/IS!BY$12)</f>
        <v>6.5217391304347824E-2</v>
      </c>
      <c r="BZ79" s="984">
        <f>-(BZ78/IS!BZ$12)</f>
        <v>6.2842682412484183E-2</v>
      </c>
      <c r="CA79" s="984">
        <f>-(CA78/IS!CA$12)</f>
        <v>7.0512820512820512E-2</v>
      </c>
      <c r="CB79" s="984">
        <f>-(CB78/IS!CB$12)</f>
        <v>7.6923076923076927E-2</v>
      </c>
      <c r="CC79" s="984">
        <f>-(CC78/IS!CC$12)</f>
        <v>7.5626423690205016E-2</v>
      </c>
      <c r="CD79" s="985">
        <f>-(CD78/IS!CD$12)</f>
        <v>7.1284238886394249E-2</v>
      </c>
      <c r="CE79" s="984">
        <f>-(CE78/IS!CE$12)</f>
        <v>6.8451075032909175E-2</v>
      </c>
      <c r="CF79" s="984">
        <f>-(CF78/IS!CF$12)</f>
        <v>7.4921489457155668E-2</v>
      </c>
      <c r="CG79" s="984">
        <f>-(CG78/IS!CG$12)</f>
        <v>8.532272325375774E-2</v>
      </c>
      <c r="CH79" s="984">
        <f>-(CH78/IS!CH$12)</f>
        <v>8.0053073861123397E-2</v>
      </c>
      <c r="CI79" s="985">
        <f>-(CI78/IS!CI$12)</f>
        <v>7.7178607020263537E-2</v>
      </c>
      <c r="CJ79" s="984">
        <f>-(CJ78/IS!CJ$12)</f>
        <v>8.0803762291577597E-2</v>
      </c>
      <c r="CK79" s="984">
        <f>-(CK78/IS!CK$12)</f>
        <v>7.5119409465914028E-2</v>
      </c>
      <c r="CL79" s="984">
        <f>-(CL78/IS!CL$12)</f>
        <v>8.267020335985853E-2</v>
      </c>
      <c r="CM79" s="984">
        <f>-(CM78/IS!CM$12)</f>
        <v>8.3007388092133857E-2</v>
      </c>
      <c r="CN79" s="985">
        <f>-(CN78/IS!CN$12)</f>
        <v>8.039109179793591E-2</v>
      </c>
      <c r="CO79" s="984">
        <f>-(CO78/IS!CO$12)</f>
        <v>7.369287772745986E-2</v>
      </c>
      <c r="CP79" s="984">
        <f>-(CP78/IS!CP$12)</f>
        <v>7.3043478260869571E-2</v>
      </c>
      <c r="CQ79" s="984">
        <f>-(CQ78/IS!CQ$12)</f>
        <v>8.2568807339449546E-2</v>
      </c>
      <c r="CR79" s="984">
        <f>-(CR78/IS!CR$12)</f>
        <v>7.6923076923076927E-2</v>
      </c>
      <c r="CS79" s="985">
        <f>-(CS78/IS!CS$12)</f>
        <v>7.6512645395368686E-2</v>
      </c>
      <c r="CT79" s="984">
        <f>-(CT78/IS!CT$12)</f>
        <v>7.5873143315937377E-2</v>
      </c>
      <c r="CU79" s="984">
        <f>-(CU78/IS!CU$12)</f>
        <v>7.7393075356415472E-2</v>
      </c>
      <c r="CV79" s="984">
        <f>-(CV78/IS!CV$12)</f>
        <v>8.4878450762257932E-2</v>
      </c>
      <c r="CW79" s="984">
        <f>-(CW78/IS!CW$12)</f>
        <v>7.9020150138285269E-2</v>
      </c>
      <c r="CX79" s="985">
        <f>-(CX78/IS!CX$12)</f>
        <v>7.9260904684975764E-2</v>
      </c>
      <c r="CY79" s="984">
        <f>-(CY78/IS!CY$12)</f>
        <v>7.9799537393986125E-2</v>
      </c>
      <c r="CZ79" s="984">
        <f>-(CZ78/IS!CZ$12)</f>
        <v>7.8737162419170781E-2</v>
      </c>
      <c r="DA79" s="984">
        <f>-(DA78/IS!DA$12)</f>
        <v>8.0213903743315509E-2</v>
      </c>
      <c r="DB79" s="984">
        <f>-(DB78/IS!DB$12)</f>
        <v>8.221119773210489E-2</v>
      </c>
      <c r="DC79" s="985">
        <f>-(DC78/IS!DC$12)</f>
        <v>8.0503561371542159E-2</v>
      </c>
      <c r="DD79" s="984">
        <f>-(DD78/IS!DD$12)</f>
        <v>8.8248954946586161E-2</v>
      </c>
      <c r="DE79" s="984">
        <f>-(DE78/IS!DE$12)</f>
        <v>7.3360843649701968E-2</v>
      </c>
      <c r="DF79" s="984">
        <f>-(DF78/IS!DF$12)</f>
        <v>5.6233062330623307E-2</v>
      </c>
      <c r="DG79" s="984">
        <f>-(DG78/IS!DG$12)</f>
        <v>7.3797678275290213E-2</v>
      </c>
      <c r="DH79" s="985">
        <f>-(DH78/IS!DH$12)</f>
        <v>7.2823660714285712E-2</v>
      </c>
      <c r="DI79" s="984">
        <f>-(DI78/IS!DI$12)</f>
        <v>7.576706324358172E-2</v>
      </c>
      <c r="DJ79" s="984">
        <f>-(DJ78/IS!DJ$12)</f>
        <v>7.2667217175887699E-2</v>
      </c>
      <c r="DK79" s="984">
        <f>-(DK78/IS!DK$12)</f>
        <v>7.3276713411021127E-2</v>
      </c>
      <c r="DL79" s="984">
        <f>-(DL78/IS!DL$12)</f>
        <v>7.2180173527782901E-2</v>
      </c>
      <c r="DM79" s="985">
        <f>-(DM78/IS!DM$12)</f>
        <v>7.3442394709363035E-2</v>
      </c>
      <c r="DN79" s="984">
        <f>-(DN78/IS!DN$12)</f>
        <v>6.9372693726937273E-2</v>
      </c>
      <c r="DO79" s="984">
        <f>-(DO78/IS!DO$12)</f>
        <v>6.7432950191570876E-2</v>
      </c>
      <c r="DP79" s="984">
        <f>-(DP78/IS!DP$12)</f>
        <v>7.0360429447852757E-2</v>
      </c>
      <c r="DQ79" s="984">
        <f>-(DQ78/IS!DQ$12)</f>
        <v>6.789413118527042E-2</v>
      </c>
      <c r="DR79" s="985">
        <f>-(DR78/IS!DR$12)</f>
        <v>6.8770764119601327E-2</v>
      </c>
      <c r="DS79" s="984">
        <f>-(DS78/IS!DS$12)</f>
        <v>7.3710546574287911E-2</v>
      </c>
      <c r="DT79" s="984">
        <f>-(DT78/IS!DT$12)</f>
        <v>7.1718538565629222E-2</v>
      </c>
      <c r="DU79" s="984">
        <f>-(DU78/IS!DU$12)</f>
        <v>7.1847804088241249E-2</v>
      </c>
      <c r="DV79" s="984">
        <f>-(DV78/IS!DV$12)</f>
        <v>6.1286064491797097E-2</v>
      </c>
      <c r="DW79" s="985">
        <f>-(DW78/IS!DW$12)</f>
        <v>6.9567748508222962E-2</v>
      </c>
      <c r="DX79" s="984">
        <f>-(DX78/IS!DX$12)</f>
        <v>7.6390962520091601E-2</v>
      </c>
      <c r="DY79" s="984">
        <f>-(DY78/IS!DY$12)</f>
        <v>7.6454453582395235E-2</v>
      </c>
      <c r="DZ79" s="984">
        <f>-(DZ78/IS!DZ$12)</f>
        <v>7.6501124643684679E-2</v>
      </c>
      <c r="EA79" s="984">
        <f>-(EA78/IS!EA$12)</f>
        <v>7.6246730082446673E-2</v>
      </c>
      <c r="EB79" s="985">
        <f>-(EB78/IS!EB$12)</f>
        <v>7.6397003321911419E-2</v>
      </c>
      <c r="EC79" s="984">
        <f>-(EC78/IS!EC$12)</f>
        <v>7.5228534947166623E-2</v>
      </c>
      <c r="ED79" s="984">
        <f>-(ED78/IS!ED$12)</f>
        <v>7.5259647099595858E-2</v>
      </c>
      <c r="EE79" s="984">
        <f>-(EE78/IS!EE$12)</f>
        <v>7.5269357234775749E-2</v>
      </c>
      <c r="EF79" s="984">
        <f>-(EF78/IS!EF$12)</f>
        <v>7.5480449455480103E-2</v>
      </c>
      <c r="EG79" s="985">
        <f>-(EG78/IS!EG$12)</f>
        <v>7.5311854849944182E-2</v>
      </c>
      <c r="EH79" s="984">
        <f>-(EH78/IS!EH$12)</f>
        <v>7.403589104296443E-2</v>
      </c>
      <c r="EI79" s="984">
        <f>-(EI78/IS!EI$12)</f>
        <v>7.4069337173762337E-2</v>
      </c>
      <c r="EJ79" s="984">
        <f>-(EJ78/IS!EJ$12)</f>
        <v>7.408280274537464E-2</v>
      </c>
      <c r="EK79" s="984">
        <f>-(EK78/IS!EK$12)</f>
        <v>7.4318529349657755E-2</v>
      </c>
      <c r="EL79" s="985">
        <f>-(EL78/IS!EL$12)</f>
        <v>7.4129270674275188E-2</v>
      </c>
      <c r="EM79" s="986"/>
      <c r="EN79"/>
      <c r="EO79"/>
      <c r="EP79"/>
      <c r="EQ79"/>
      <c r="ER79"/>
      <c r="ES79"/>
      <c r="ET79" s="141"/>
      <c r="EU79" s="141"/>
      <c r="EV79" s="141"/>
      <c r="EW79" s="141"/>
      <c r="EX79" s="141"/>
      <c r="EY79" s="141"/>
      <c r="EZ79" s="141"/>
      <c r="FA79" s="141"/>
      <c r="FB79" s="141"/>
      <c r="FC79" s="141"/>
      <c r="FD79" s="141"/>
      <c r="FE79" s="141"/>
      <c r="FF79" s="141"/>
      <c r="FG79" s="141"/>
      <c r="FH79" s="141"/>
      <c r="FI79" s="141"/>
      <c r="FJ79" s="141"/>
      <c r="FK79" s="141"/>
      <c r="FL79" s="141"/>
      <c r="FM79" s="141"/>
      <c r="FN79" s="141"/>
      <c r="FO79" s="141"/>
      <c r="FP79" s="141"/>
      <c r="FQ79" s="141"/>
      <c r="FR79" s="141"/>
      <c r="FS79" s="141"/>
      <c r="FT79" s="141"/>
      <c r="FU79" s="141"/>
      <c r="FV79" s="141"/>
      <c r="FW79" s="141"/>
      <c r="FX79" s="141"/>
      <c r="FY79" s="141"/>
      <c r="FZ79" s="141"/>
      <c r="GA79" s="141"/>
      <c r="GB79" s="141"/>
      <c r="GC79" s="141"/>
      <c r="GD79" s="141"/>
      <c r="GE79" s="141"/>
      <c r="GF79" s="141"/>
      <c r="GG79" s="141"/>
      <c r="GH79" s="141"/>
      <c r="GI79" s="141"/>
      <c r="GJ79" s="141"/>
      <c r="GK79" s="141"/>
      <c r="GL79" s="141"/>
      <c r="GM79" s="141"/>
      <c r="GN79" s="141"/>
      <c r="GO79" s="141"/>
      <c r="GP79" s="141"/>
      <c r="GQ79" s="141"/>
      <c r="GR79" s="141"/>
      <c r="GS79" s="141"/>
      <c r="GT79" s="141"/>
      <c r="GU79" s="141"/>
      <c r="GV79" s="141"/>
      <c r="GW79" s="141"/>
      <c r="GX79" s="141"/>
      <c r="GY79" s="141"/>
      <c r="GZ79" s="141"/>
      <c r="HA79" s="141"/>
      <c r="HB79" s="141"/>
      <c r="HC79" s="141"/>
      <c r="HD79" s="141"/>
      <c r="HE79" s="141"/>
      <c r="HF79" s="141"/>
      <c r="HG79" s="141"/>
      <c r="HH79" s="141"/>
      <c r="HI79" s="141"/>
      <c r="HJ79" s="141"/>
      <c r="HK79" s="141"/>
      <c r="HL79" s="141"/>
      <c r="HM79" s="141"/>
      <c r="HN79" s="141"/>
      <c r="HO79" s="141"/>
      <c r="HP79" s="141"/>
      <c r="HQ79" s="141"/>
      <c r="HR79" s="141"/>
      <c r="HS79" s="141"/>
      <c r="HT79" s="141"/>
      <c r="HU79" s="141"/>
      <c r="HV79" s="141"/>
      <c r="HW79" s="141"/>
      <c r="HX79" s="141"/>
      <c r="HY79" s="141"/>
      <c r="HZ79" s="141"/>
      <c r="IA79" s="141"/>
      <c r="IB79" s="141"/>
      <c r="IC79" s="141"/>
      <c r="ID79" s="141"/>
      <c r="IE79" s="141"/>
      <c r="IF79" s="141"/>
      <c r="IG79" s="141"/>
      <c r="IH79" s="141"/>
      <c r="II79" s="141"/>
      <c r="IJ79" s="141"/>
      <c r="IK79" s="141"/>
      <c r="IL79" s="141"/>
      <c r="IM79" s="141"/>
      <c r="IN79" s="141"/>
      <c r="IO79" s="141"/>
      <c r="IP79" s="141"/>
      <c r="IQ79" s="141"/>
      <c r="IR79" s="141"/>
      <c r="IS79" s="141"/>
      <c r="IT79" s="141"/>
      <c r="IU79" s="141"/>
      <c r="IV79" s="141"/>
      <c r="IW79" s="141"/>
      <c r="IX79" s="141"/>
      <c r="IY79" s="141"/>
      <c r="IZ79" s="141"/>
      <c r="JA79" s="141"/>
      <c r="JB79" s="141"/>
      <c r="JC79" s="141"/>
      <c r="JD79" s="141"/>
      <c r="JE79" s="141"/>
      <c r="JF79" s="141"/>
      <c r="JG79" s="141"/>
      <c r="JH79" s="141"/>
    </row>
    <row r="80" spans="1:268" s="142" customFormat="1" ht="12" hidden="1" customHeight="1" outlineLevel="1">
      <c r="A80" s="845"/>
      <c r="B80" s="846" t="s">
        <v>8</v>
      </c>
      <c r="C80" s="555"/>
      <c r="D80" s="555"/>
      <c r="E80" s="555"/>
      <c r="F80" s="555"/>
      <c r="G80" s="555"/>
      <c r="H80" s="802"/>
      <c r="I80" s="555"/>
      <c r="J80" s="555"/>
      <c r="K80" s="555"/>
      <c r="L80" s="555"/>
      <c r="M80" s="802"/>
      <c r="N80" s="555"/>
      <c r="O80" s="555"/>
      <c r="P80" s="555"/>
      <c r="Q80" s="555"/>
      <c r="R80" s="802"/>
      <c r="S80" s="555"/>
      <c r="T80" s="555"/>
      <c r="U80" s="555"/>
      <c r="V80" s="555"/>
      <c r="W80" s="802"/>
      <c r="X80" s="555"/>
      <c r="Y80" s="555"/>
      <c r="Z80" s="555"/>
      <c r="AA80" s="555"/>
      <c r="AB80" s="802"/>
      <c r="AC80" s="555"/>
      <c r="AD80" s="555"/>
      <c r="AE80" s="555"/>
      <c r="AF80" s="555"/>
      <c r="AG80" s="802"/>
      <c r="AH80" s="555"/>
      <c r="AI80" s="555"/>
      <c r="AJ80" s="555"/>
      <c r="AK80" s="555"/>
      <c r="AL80" s="802"/>
      <c r="AM80" s="555"/>
      <c r="AN80" s="555"/>
      <c r="AO80" s="555"/>
      <c r="AP80" s="555"/>
      <c r="AQ80" s="802"/>
      <c r="AR80" s="555"/>
      <c r="AS80" s="555"/>
      <c r="AT80" s="555"/>
      <c r="AU80" s="802"/>
      <c r="AV80" s="555"/>
      <c r="AW80" s="555"/>
      <c r="AX80" s="555"/>
      <c r="AY80" s="555"/>
      <c r="AZ80" s="802"/>
      <c r="BA80" s="555"/>
      <c r="BB80" s="555"/>
      <c r="BC80" s="555"/>
      <c r="BD80" s="555"/>
      <c r="BE80" s="802"/>
      <c r="BF80" s="555"/>
      <c r="BG80" s="555"/>
      <c r="BH80" s="555"/>
      <c r="BI80" s="555"/>
      <c r="BJ80" s="802"/>
      <c r="BK80" s="555"/>
      <c r="BL80" s="555"/>
      <c r="BM80" s="555"/>
      <c r="BN80" s="555"/>
      <c r="BO80" s="802"/>
      <c r="BP80" s="555"/>
      <c r="BQ80" s="555"/>
      <c r="BR80" s="555"/>
      <c r="BS80" s="555"/>
      <c r="BT80" s="802"/>
      <c r="BU80" s="555"/>
      <c r="BV80" s="555"/>
      <c r="BW80" s="555"/>
      <c r="BX80" s="555"/>
      <c r="BY80" s="802"/>
      <c r="BZ80" s="557"/>
      <c r="CA80" s="555"/>
      <c r="CB80" s="555"/>
      <c r="CC80" s="555"/>
      <c r="CD80" s="802"/>
      <c r="CE80" s="555"/>
      <c r="CF80" s="555"/>
      <c r="CG80" s="555"/>
      <c r="CH80" s="555"/>
      <c r="CI80" s="802"/>
      <c r="CJ80" s="555"/>
      <c r="CK80" s="555"/>
      <c r="CL80" s="555"/>
      <c r="CM80" s="555"/>
      <c r="CN80" s="802"/>
      <c r="CO80" s="555"/>
      <c r="CP80" s="555"/>
      <c r="CQ80" s="555"/>
      <c r="CR80" s="555"/>
      <c r="CS80" s="802"/>
      <c r="CT80" s="555"/>
      <c r="CU80" s="555"/>
      <c r="CV80" s="555"/>
      <c r="CW80" s="555"/>
      <c r="CX80" s="802"/>
      <c r="CY80" s="555"/>
      <c r="CZ80" s="555"/>
      <c r="DA80" s="555"/>
      <c r="DB80" s="555"/>
      <c r="DC80" s="802"/>
      <c r="DD80" s="555"/>
      <c r="DE80" s="555"/>
      <c r="DF80" s="555"/>
      <c r="DG80" s="555"/>
      <c r="DH80" s="802"/>
      <c r="DI80" s="555"/>
      <c r="DJ80" s="555"/>
      <c r="DK80" s="555"/>
      <c r="DL80" s="555"/>
      <c r="DM80" s="802"/>
      <c r="DN80" s="555"/>
      <c r="DO80" s="555"/>
      <c r="DP80" s="555"/>
      <c r="DQ80" s="555"/>
      <c r="DR80" s="802"/>
      <c r="DS80" s="555"/>
      <c r="DT80" s="555"/>
      <c r="DU80" s="555"/>
      <c r="DV80" s="555"/>
      <c r="DW80" s="802"/>
      <c r="DX80" s="555"/>
      <c r="DY80" s="555"/>
      <c r="DZ80" s="555"/>
      <c r="EA80" s="555"/>
      <c r="EB80" s="802"/>
      <c r="EC80" s="555"/>
      <c r="ED80" s="555"/>
      <c r="EE80" s="555"/>
      <c r="EF80" s="555"/>
      <c r="EG80" s="802"/>
      <c r="EH80" s="555"/>
      <c r="EI80" s="555"/>
      <c r="EJ80" s="555"/>
      <c r="EK80" s="555"/>
      <c r="EL80" s="802"/>
      <c r="EM80" s="555"/>
      <c r="EN80"/>
      <c r="EO80"/>
      <c r="EP80"/>
      <c r="EQ80"/>
      <c r="ER80"/>
      <c r="ES80"/>
      <c r="ET80" s="141"/>
      <c r="EU80" s="141"/>
      <c r="EV80" s="141"/>
      <c r="EW80" s="141"/>
      <c r="EX80" s="141"/>
      <c r="EY80" s="141"/>
      <c r="EZ80" s="141"/>
      <c r="FA80" s="141"/>
      <c r="FB80" s="141"/>
      <c r="FC80" s="141"/>
      <c r="FD80" s="141"/>
      <c r="FE80" s="141"/>
      <c r="FF80" s="141"/>
      <c r="FG80" s="141"/>
      <c r="FH80" s="141"/>
      <c r="FI80" s="141"/>
      <c r="FJ80" s="141"/>
      <c r="FK80" s="141"/>
      <c r="FL80" s="141"/>
      <c r="FM80" s="141"/>
      <c r="FN80" s="141"/>
      <c r="FO80" s="141"/>
      <c r="FP80" s="141"/>
      <c r="FQ80" s="141"/>
      <c r="FR80" s="141"/>
      <c r="FS80" s="141"/>
      <c r="FT80" s="141"/>
      <c r="FU80" s="141"/>
      <c r="FV80" s="141"/>
      <c r="FW80" s="141"/>
      <c r="FX80" s="141"/>
      <c r="FY80" s="141"/>
      <c r="FZ80" s="141"/>
      <c r="GA80" s="141"/>
      <c r="GB80" s="141"/>
      <c r="GC80" s="141"/>
      <c r="GD80" s="141"/>
      <c r="GE80" s="141"/>
      <c r="GF80" s="141"/>
      <c r="GG80" s="141"/>
      <c r="GH80" s="141"/>
      <c r="GI80" s="141"/>
      <c r="GJ80" s="141"/>
      <c r="GK80" s="141"/>
      <c r="GL80" s="141"/>
      <c r="GM80" s="141"/>
      <c r="GN80" s="141"/>
      <c r="GO80" s="141"/>
      <c r="GP80" s="141"/>
      <c r="GQ80" s="141"/>
      <c r="GR80" s="141"/>
      <c r="GS80" s="141"/>
      <c r="GT80" s="141"/>
      <c r="GU80" s="141"/>
      <c r="GV80" s="141"/>
      <c r="GW80" s="141"/>
      <c r="GX80" s="141"/>
      <c r="GY80" s="141"/>
      <c r="GZ80" s="141"/>
      <c r="HA80" s="141"/>
      <c r="HB80" s="141"/>
      <c r="HC80" s="141"/>
      <c r="HD80" s="141"/>
      <c r="HE80" s="141"/>
      <c r="HF80" s="141"/>
      <c r="HG80" s="141"/>
      <c r="HH80" s="141"/>
      <c r="HI80" s="141"/>
      <c r="HJ80" s="141"/>
      <c r="HK80" s="141"/>
      <c r="HL80" s="141"/>
      <c r="HM80" s="141"/>
      <c r="HN80" s="141"/>
      <c r="HO80" s="141"/>
      <c r="HP80" s="141"/>
      <c r="HQ80" s="141"/>
      <c r="HR80" s="141"/>
      <c r="HS80" s="141"/>
      <c r="HT80" s="141"/>
      <c r="HU80" s="141"/>
      <c r="HV80" s="141"/>
      <c r="HW80" s="141"/>
      <c r="HX80" s="141"/>
      <c r="HY80" s="141"/>
      <c r="HZ80" s="141"/>
      <c r="IA80" s="141"/>
      <c r="IB80" s="141"/>
      <c r="IC80" s="141"/>
      <c r="ID80" s="141"/>
      <c r="IE80" s="141"/>
      <c r="IF80" s="141"/>
      <c r="IG80" s="141"/>
      <c r="IH80" s="141"/>
      <c r="II80" s="141"/>
      <c r="IJ80" s="141"/>
      <c r="IK80" s="141"/>
      <c r="IL80" s="141"/>
      <c r="IM80" s="141"/>
      <c r="IN80" s="141"/>
      <c r="IO80" s="141"/>
      <c r="IP80" s="141"/>
      <c r="IQ80" s="141"/>
      <c r="IR80" s="141"/>
      <c r="IS80" s="141"/>
      <c r="IT80" s="141"/>
      <c r="IU80" s="141"/>
      <c r="IV80" s="141"/>
      <c r="IW80" s="141"/>
      <c r="IX80" s="141"/>
      <c r="IY80" s="141"/>
      <c r="IZ80" s="141"/>
      <c r="JA80" s="141"/>
      <c r="JB80" s="141"/>
      <c r="JC80" s="141"/>
      <c r="JD80" s="141"/>
      <c r="JE80" s="141"/>
      <c r="JF80" s="141"/>
      <c r="JG80" s="141"/>
      <c r="JH80" s="141"/>
    </row>
    <row r="81" spans="1:268" s="142" customFormat="1" ht="12" hidden="1" customHeight="1" outlineLevel="1">
      <c r="A81" s="845"/>
      <c r="B81" s="846" t="s">
        <v>9</v>
      </c>
      <c r="C81" s="987"/>
      <c r="D81" s="987">
        <f>D83-D78-D77</f>
        <v>36.032000000000011</v>
      </c>
      <c r="E81" s="987">
        <f>E83-E78-E77</f>
        <v>20.747</v>
      </c>
      <c r="F81" s="987">
        <f>F83-F78-F77</f>
        <v>18.000000000000007</v>
      </c>
      <c r="G81" s="987">
        <f>G83-G78-G77</f>
        <v>-44.617000000000004</v>
      </c>
      <c r="H81" s="844">
        <f>SUM(D81:G81)</f>
        <v>30.16200000000002</v>
      </c>
      <c r="I81" s="987">
        <f>I83-I78-I77</f>
        <v>83.499999999999986</v>
      </c>
      <c r="J81" s="987">
        <f>J83-J78-J77</f>
        <v>76.40000000000002</v>
      </c>
      <c r="K81" s="987">
        <f>K83-K78-K77</f>
        <v>78.900000000000006</v>
      </c>
      <c r="L81" s="987">
        <f>L83-L78-L77</f>
        <v>79.199999999999989</v>
      </c>
      <c r="M81" s="844">
        <f>SUM(I81:L81)</f>
        <v>318</v>
      </c>
      <c r="N81" s="987">
        <f>N83-N78-N77</f>
        <v>75.699999999999989</v>
      </c>
      <c r="O81" s="987">
        <f>O83-O78-O77</f>
        <v>51.300000000000026</v>
      </c>
      <c r="P81" s="987">
        <f>P83-P78-P77</f>
        <v>81.899999999999977</v>
      </c>
      <c r="Q81" s="987">
        <f>Q83-Q78-Q77</f>
        <v>217.10000000000005</v>
      </c>
      <c r="R81" s="844">
        <f>SUM(N81:Q81)</f>
        <v>426</v>
      </c>
      <c r="S81" s="987">
        <f>S83-S78-S77</f>
        <v>136</v>
      </c>
      <c r="T81" s="987">
        <f>T83-T78-T77</f>
        <v>157</v>
      </c>
      <c r="U81" s="987">
        <f>U83-U78-U77</f>
        <v>174</v>
      </c>
      <c r="V81" s="987">
        <f>V83-V78-V77</f>
        <v>154</v>
      </c>
      <c r="W81" s="844">
        <f>SUM(S81:V81)</f>
        <v>621</v>
      </c>
      <c r="X81" s="987">
        <f>X83-X78-X77</f>
        <v>168</v>
      </c>
      <c r="Y81" s="987">
        <f>Y83-Y78-Y77</f>
        <v>163</v>
      </c>
      <c r="Z81" s="987">
        <f>Z83-Z78-Z77</f>
        <v>149</v>
      </c>
      <c r="AA81" s="987">
        <f>AA83-AA78-AA77</f>
        <v>167</v>
      </c>
      <c r="AB81" s="844">
        <f>SUM(X81:AA81)</f>
        <v>647</v>
      </c>
      <c r="AC81" s="987">
        <f>AC83-AC78-AC77</f>
        <v>193</v>
      </c>
      <c r="AD81" s="987">
        <f>AD83-AD78-AD77</f>
        <v>234</v>
      </c>
      <c r="AE81" s="987">
        <f>AE83-AE78-AE77</f>
        <v>146</v>
      </c>
      <c r="AF81" s="987">
        <f>AF83-AF78-AF77</f>
        <v>207</v>
      </c>
      <c r="AG81" s="844">
        <f>SUM(AC81:AF81)</f>
        <v>780</v>
      </c>
      <c r="AH81" s="987">
        <f>AH83-AH78-AH77</f>
        <v>216</v>
      </c>
      <c r="AI81" s="987">
        <f>AI83-AI78-AI77</f>
        <v>207</v>
      </c>
      <c r="AJ81" s="987">
        <f>AJ83-AJ78-AJ77</f>
        <v>226</v>
      </c>
      <c r="AK81" s="987">
        <f>AK83-AK78-AK77</f>
        <v>225</v>
      </c>
      <c r="AL81" s="844">
        <f>SUM(AH81:AK81)</f>
        <v>874</v>
      </c>
      <c r="AM81" s="987">
        <f>AM83-AM78-AM77</f>
        <v>240</v>
      </c>
      <c r="AN81" s="987">
        <f>AN83-AN78-AN77</f>
        <v>272</v>
      </c>
      <c r="AO81" s="987">
        <f>AO83-AO78-AO77</f>
        <v>246</v>
      </c>
      <c r="AP81" s="987">
        <f>AP83-AP78-AP77</f>
        <v>246</v>
      </c>
      <c r="AQ81" s="844">
        <f>SUM(AM81:AP81)</f>
        <v>1004</v>
      </c>
      <c r="AR81" s="987">
        <f>AR83-AR78-AR77</f>
        <v>264</v>
      </c>
      <c r="AS81" s="987">
        <f>AS83-AS78-AS77</f>
        <v>269</v>
      </c>
      <c r="AT81" s="987">
        <f>AT83-AT78-AT77</f>
        <v>312</v>
      </c>
      <c r="AU81" s="802"/>
      <c r="AV81" s="555"/>
      <c r="AW81" s="555"/>
      <c r="AX81" s="843"/>
      <c r="AY81" s="987"/>
      <c r="AZ81" s="844"/>
      <c r="BA81" s="987">
        <f>BA83-BA78-BA77</f>
        <v>293</v>
      </c>
      <c r="BB81" s="987">
        <f>BB83-BB78-BB77</f>
        <v>322</v>
      </c>
      <c r="BC81" s="987">
        <f>BC83-BC78-BC77</f>
        <v>403</v>
      </c>
      <c r="BD81" s="987">
        <f>BD83-BD78-BD77</f>
        <v>407</v>
      </c>
      <c r="BE81" s="844">
        <f>SUM(BA81:BD81)</f>
        <v>1425</v>
      </c>
      <c r="BF81" s="987">
        <f>BF83-BF78-BF77</f>
        <v>279</v>
      </c>
      <c r="BG81" s="987">
        <f>BG83-BG78-BG77</f>
        <v>173</v>
      </c>
      <c r="BH81" s="987">
        <f>BH83-BH78-BH77</f>
        <v>266</v>
      </c>
      <c r="BI81" s="987">
        <f>BI83-BI78-BI77</f>
        <v>289</v>
      </c>
      <c r="BJ81" s="844">
        <f>SUM(BF81:BI81)</f>
        <v>1007</v>
      </c>
      <c r="BK81" s="987">
        <f>BK83-BK78-BK77</f>
        <v>182</v>
      </c>
      <c r="BL81" s="987">
        <f>BL83-BL78-BL77</f>
        <v>194</v>
      </c>
      <c r="BM81" s="987">
        <f>BM83-BM78-BM77</f>
        <v>206</v>
      </c>
      <c r="BN81" s="987">
        <f>BN83-BN78-BN77</f>
        <v>220</v>
      </c>
      <c r="BO81" s="844">
        <f>SUM(BK81:BN81)</f>
        <v>802</v>
      </c>
      <c r="BP81" s="987">
        <f>BP83-BP78-BP77</f>
        <v>157</v>
      </c>
      <c r="BQ81" s="987">
        <f>BQ83-BQ78-BQ77</f>
        <v>184</v>
      </c>
      <c r="BR81" s="987">
        <f>BR83-BR78-BR77</f>
        <v>177</v>
      </c>
      <c r="BS81" s="987">
        <f>BS83-BS78-BS77</f>
        <v>125</v>
      </c>
      <c r="BT81" s="844">
        <f>SUM(BP81:BS81)</f>
        <v>643</v>
      </c>
      <c r="BU81" s="903">
        <f>BU83-BU78-BU77</f>
        <v>156</v>
      </c>
      <c r="BV81" s="903">
        <f>BV83-BV78-BV77</f>
        <v>151</v>
      </c>
      <c r="BW81" s="903">
        <f>BW83-BW78-BW77</f>
        <v>164</v>
      </c>
      <c r="BX81" s="903">
        <f>BX83-BX78-BX77</f>
        <v>171</v>
      </c>
      <c r="BY81" s="844">
        <f>SUM(BU81:BX81)</f>
        <v>642</v>
      </c>
      <c r="BZ81" s="903">
        <f>BZ83-BZ78-BZ77</f>
        <v>162</v>
      </c>
      <c r="CA81" s="903">
        <f>CA83-CA78-CA77</f>
        <v>172</v>
      </c>
      <c r="CB81" s="903">
        <f>CB83-CB78-CB77</f>
        <v>178</v>
      </c>
      <c r="CC81" s="903">
        <f>CC83-CC78-CC77</f>
        <v>168</v>
      </c>
      <c r="CD81" s="844">
        <f>SUM(BZ81:CC81)</f>
        <v>680</v>
      </c>
      <c r="CE81" s="903">
        <f>CE83-CE78-CE77</f>
        <v>161</v>
      </c>
      <c r="CF81" s="903">
        <f>CF83-CF78-CF77</f>
        <v>151</v>
      </c>
      <c r="CG81" s="903">
        <f>CG83-CG78-CG77</f>
        <v>217</v>
      </c>
      <c r="CH81" s="903">
        <f>CH83-CH78-CH77</f>
        <v>195</v>
      </c>
      <c r="CI81" s="844">
        <f>SUM(CE81:CH81)</f>
        <v>724</v>
      </c>
      <c r="CJ81" s="903">
        <f>CJ83-CJ78-CJ77</f>
        <v>197</v>
      </c>
      <c r="CK81" s="903">
        <f>CK83-CK78-CK77</f>
        <v>170</v>
      </c>
      <c r="CL81" s="903">
        <f>CL83-CL78-CL77</f>
        <v>196</v>
      </c>
      <c r="CM81" s="903">
        <f>CM83-CM78-CM77</f>
        <v>194</v>
      </c>
      <c r="CN81" s="844">
        <f>SUM(CJ81:CM81)</f>
        <v>757</v>
      </c>
      <c r="CO81" s="903">
        <f>CO83-CO78-CO77</f>
        <v>172</v>
      </c>
      <c r="CP81" s="903">
        <f>CP83-CP78-CP77</f>
        <v>163</v>
      </c>
      <c r="CQ81" s="903">
        <f>CQ83-CQ78-CQ77</f>
        <v>176</v>
      </c>
      <c r="CR81" s="903">
        <f>CR83-CR78-CR77</f>
        <v>161</v>
      </c>
      <c r="CS81" s="844">
        <f>SUM(CO81:CR81)</f>
        <v>672</v>
      </c>
      <c r="CT81" s="903">
        <f>CT83-CT78-CT77</f>
        <v>206</v>
      </c>
      <c r="CU81" s="903">
        <f>CU83-CU78-CU77</f>
        <v>169</v>
      </c>
      <c r="CV81" s="903">
        <f>CV83-CV78-CV77</f>
        <v>205</v>
      </c>
      <c r="CW81" s="903">
        <f>CW83-CW78-CW77</f>
        <v>201</v>
      </c>
      <c r="CX81" s="844">
        <f>SUM(CT81:CW81)</f>
        <v>781</v>
      </c>
      <c r="CY81" s="903">
        <f>CY83-CY78-CY77</f>
        <v>201</v>
      </c>
      <c r="CZ81" s="903">
        <f ca="1">CZ83-CZ78-CZ77</f>
        <v>213</v>
      </c>
      <c r="DA81" s="903">
        <f ca="1">DA83-DA78-DA77</f>
        <v>1051</v>
      </c>
      <c r="DB81" s="903">
        <f ca="1">DB83-DB78-DB77</f>
        <v>-493</v>
      </c>
      <c r="DC81" s="844">
        <f ca="1">SUM(CY81:DB81)</f>
        <v>972</v>
      </c>
      <c r="DD81" s="903">
        <f ca="1">DD83-DD78-DD77</f>
        <v>110</v>
      </c>
      <c r="DE81" s="903">
        <f>DE83-DE78-DE77</f>
        <v>238</v>
      </c>
      <c r="DF81" s="903">
        <f>DF83-DF78-DF77</f>
        <v>229</v>
      </c>
      <c r="DG81" s="903">
        <f>DG83-DG78-DG77</f>
        <v>277</v>
      </c>
      <c r="DH81" s="844">
        <f ca="1">SUM(DD81:DG81)</f>
        <v>854</v>
      </c>
      <c r="DI81" s="903">
        <f ca="1">DI83-DI78-DI77</f>
        <v>544</v>
      </c>
      <c r="DJ81" s="903">
        <f ca="1">DJ83-DJ78-DJ77</f>
        <v>270</v>
      </c>
      <c r="DK81" s="903">
        <f ca="1">DK83-DK78-DK77</f>
        <v>211</v>
      </c>
      <c r="DL81" s="903">
        <f>DL83-DL78-DL77</f>
        <v>417</v>
      </c>
      <c r="DM81" s="844">
        <f ca="1">SUM(DI81:DL81)</f>
        <v>1442</v>
      </c>
      <c r="DN81" s="903">
        <f ca="1">DN83-DN78-DN77</f>
        <v>592</v>
      </c>
      <c r="DO81" s="903">
        <f ca="1">DO83-DO78-DO77</f>
        <v>77</v>
      </c>
      <c r="DP81" s="903">
        <f>DP83-DP78-DP77</f>
        <v>332</v>
      </c>
      <c r="DQ81" s="903">
        <f>DQ83-DQ78-DQ77</f>
        <v>304</v>
      </c>
      <c r="DR81" s="844">
        <f ca="1">SUM(DN81:DQ81)</f>
        <v>1305</v>
      </c>
      <c r="DS81" s="903">
        <f ca="1">DS83-DS78-DS77</f>
        <v>373</v>
      </c>
      <c r="DT81" s="903">
        <f ca="1">DT82*DS9*0.25</f>
        <v>379.93202647657841</v>
      </c>
      <c r="DU81" s="903">
        <f ca="1">DU82*DT9*0.25</f>
        <v>348.6904276985743</v>
      </c>
      <c r="DV81" s="903">
        <f ca="1">DV82*DU9*0.25</f>
        <v>332.45239307535638</v>
      </c>
      <c r="DW81" s="844">
        <f ca="1">SUM(DS81:DV81)</f>
        <v>1434.074847250509</v>
      </c>
      <c r="DX81" s="903">
        <f>DX82*DW9*0.25</f>
        <v>333.83</v>
      </c>
      <c r="DY81" s="903">
        <f ca="1">DY82*DX9*0.25</f>
        <v>340.15179337329249</v>
      </c>
      <c r="DZ81" s="903">
        <f ca="1">DZ82*DY9*0.25</f>
        <v>340.51963012680147</v>
      </c>
      <c r="EA81" s="903">
        <f ca="1">EA82*DZ9*0.25</f>
        <v>343.22184868915843</v>
      </c>
      <c r="EB81" s="844">
        <f ca="1">SUM(DX81:EA81)</f>
        <v>1357.7232721892524</v>
      </c>
      <c r="EC81" s="903">
        <f ca="1">EC82*EB9*0.25</f>
        <v>353.23247174720007</v>
      </c>
      <c r="ED81" s="903">
        <f ca="1">ED82*EC9*0.25</f>
        <v>371.11443887639757</v>
      </c>
      <c r="EE81" s="903">
        <f ca="1">EE82*ED9*0.25</f>
        <v>372.00046657184316</v>
      </c>
      <c r="EF81" s="903">
        <f ca="1">EF82*EE9*0.25</f>
        <v>367.34690984068146</v>
      </c>
      <c r="EG81" s="844">
        <f ca="1">SUM(EC81:EF81)</f>
        <v>1463.6942870361224</v>
      </c>
      <c r="EH81" s="903">
        <f ca="1">EH82*EG9*0.25</f>
        <v>387.07224915074067</v>
      </c>
      <c r="EI81" s="903">
        <f ca="1">EI82*EH9*0.25</f>
        <v>385.8938988894779</v>
      </c>
      <c r="EJ81" s="903">
        <f ca="1">EJ82*EI9*0.25</f>
        <v>389.16702320240671</v>
      </c>
      <c r="EK81" s="903">
        <f ca="1">EK82*EJ9*0.25</f>
        <v>377.96905292665429</v>
      </c>
      <c r="EL81" s="844">
        <f ca="1">SUM(EH81:EK81)</f>
        <v>1540.1022241692795</v>
      </c>
      <c r="EM81" s="561"/>
      <c r="EN81"/>
      <c r="EO81"/>
      <c r="EP81"/>
      <c r="EQ81"/>
      <c r="ER81"/>
      <c r="ES81"/>
      <c r="ET81" s="141"/>
      <c r="EU81" s="141"/>
      <c r="EV81" s="141"/>
      <c r="EW81" s="141"/>
      <c r="EX81" s="141"/>
      <c r="EY81" s="141"/>
      <c r="EZ81" s="141"/>
      <c r="FA81" s="141"/>
      <c r="FB81" s="141"/>
      <c r="FC81" s="141"/>
      <c r="FD81" s="141"/>
      <c r="FE81" s="141"/>
      <c r="FF81" s="141"/>
      <c r="FG81" s="141"/>
      <c r="FH81" s="141"/>
      <c r="FI81" s="141"/>
      <c r="FJ81" s="141"/>
      <c r="FK81" s="141"/>
      <c r="FL81" s="141"/>
      <c r="FM81" s="141"/>
      <c r="FN81" s="141"/>
      <c r="FO81" s="141"/>
      <c r="FP81" s="141"/>
      <c r="FQ81" s="141"/>
      <c r="FR81" s="141"/>
      <c r="FS81" s="141"/>
      <c r="FT81" s="141"/>
      <c r="FU81" s="141"/>
      <c r="FV81" s="141"/>
      <c r="FW81" s="141"/>
      <c r="FX81" s="141"/>
      <c r="FY81" s="141"/>
      <c r="FZ81" s="141"/>
      <c r="GA81" s="141"/>
      <c r="GB81" s="141"/>
      <c r="GC81" s="141"/>
      <c r="GD81" s="141"/>
      <c r="GE81" s="141"/>
      <c r="GF81" s="141"/>
      <c r="GG81" s="141"/>
      <c r="GH81" s="141"/>
      <c r="GI81" s="141"/>
      <c r="GJ81" s="141"/>
      <c r="GK81" s="141"/>
      <c r="GL81" s="141"/>
      <c r="GM81" s="141"/>
      <c r="GN81" s="141"/>
      <c r="GO81" s="141"/>
      <c r="GP81" s="141"/>
      <c r="GQ81" s="141"/>
      <c r="GR81" s="141"/>
      <c r="GS81" s="141"/>
      <c r="GT81" s="141"/>
      <c r="GU81" s="141"/>
      <c r="GV81" s="141"/>
      <c r="GW81" s="141"/>
      <c r="GX81" s="141"/>
      <c r="GY81" s="141"/>
      <c r="GZ81" s="141"/>
      <c r="HA81" s="141"/>
      <c r="HB81" s="141"/>
      <c r="HC81" s="141"/>
      <c r="HD81" s="141"/>
      <c r="HE81" s="141"/>
      <c r="HF81" s="141"/>
      <c r="HG81" s="141"/>
      <c r="HH81" s="141"/>
      <c r="HI81" s="141"/>
      <c r="HJ81" s="141"/>
      <c r="HK81" s="141"/>
      <c r="HL81" s="141"/>
      <c r="HM81" s="141"/>
      <c r="HN81" s="141"/>
      <c r="HO81" s="141"/>
      <c r="HP81" s="141"/>
      <c r="HQ81" s="141"/>
      <c r="HR81" s="141"/>
      <c r="HS81" s="141"/>
      <c r="HT81" s="141"/>
      <c r="HU81" s="141"/>
      <c r="HV81" s="141"/>
      <c r="HW81" s="141"/>
      <c r="HX81" s="141"/>
      <c r="HY81" s="141"/>
      <c r="HZ81" s="141"/>
      <c r="IA81" s="141"/>
      <c r="IB81" s="141"/>
      <c r="IC81" s="141"/>
      <c r="ID81" s="141"/>
      <c r="IE81" s="141"/>
      <c r="IF81" s="141"/>
      <c r="IG81" s="141"/>
      <c r="IH81" s="141"/>
      <c r="II81" s="141"/>
      <c r="IJ81" s="141"/>
      <c r="IK81" s="141"/>
      <c r="IL81" s="141"/>
      <c r="IM81" s="141"/>
      <c r="IN81" s="141"/>
      <c r="IO81" s="141"/>
      <c r="IP81" s="141"/>
      <c r="IQ81" s="141"/>
      <c r="IR81" s="141"/>
      <c r="IS81" s="141"/>
      <c r="IT81" s="141"/>
      <c r="IU81" s="141"/>
      <c r="IV81" s="141"/>
      <c r="IW81" s="141"/>
      <c r="IX81" s="141"/>
      <c r="IY81" s="141"/>
      <c r="IZ81" s="141"/>
      <c r="JA81" s="141"/>
      <c r="JB81" s="141"/>
      <c r="JC81" s="141"/>
      <c r="JD81" s="141"/>
      <c r="JE81" s="141"/>
      <c r="JF81" s="141"/>
      <c r="JG81" s="141"/>
      <c r="JH81" s="141"/>
    </row>
    <row r="82" spans="1:268" s="142" customFormat="1" ht="12" hidden="1" customHeight="1" outlineLevel="1">
      <c r="A82" s="982"/>
      <c r="B82" s="983" t="s">
        <v>10</v>
      </c>
      <c r="C82" s="988"/>
      <c r="D82" s="988"/>
      <c r="E82" s="988">
        <f>(E81/D9)*4</f>
        <v>0.1885700911856866</v>
      </c>
      <c r="F82" s="988">
        <f>(F81/E9)*4</f>
        <v>0.15043877977434189</v>
      </c>
      <c r="G82" s="988">
        <f>(G81/F9)*4</f>
        <v>-0.36995854063018241</v>
      </c>
      <c r="H82" s="989" t="str">
        <f>IF(ISERROR(H81/C9),"nm",H81/C9)</f>
        <v>nm</v>
      </c>
      <c r="I82" s="988">
        <f>(I81/H9)*4</f>
        <v>0.44592790387182901</v>
      </c>
      <c r="J82" s="988">
        <f>(J81/I9)*4</f>
        <v>0.39708939708939722</v>
      </c>
      <c r="K82" s="988">
        <f>(K81/J9)*4</f>
        <v>0.35369270424745042</v>
      </c>
      <c r="L82" s="988">
        <f>(L81/K9)*4</f>
        <v>0.33044748096380511</v>
      </c>
      <c r="M82" s="990">
        <f>M81/H9</f>
        <v>0.42456608811748997</v>
      </c>
      <c r="N82" s="988">
        <f>(N81/M9)*4</f>
        <v>0.30462776659959756</v>
      </c>
      <c r="O82" s="988">
        <f>(O81/N9)*4</f>
        <v>0.19738360908041566</v>
      </c>
      <c r="P82" s="988">
        <f>(P81/O9)*4</f>
        <v>0.27564156499789644</v>
      </c>
      <c r="Q82" s="988">
        <f>(Q81/P9)*4</f>
        <v>0.55077059681613505</v>
      </c>
      <c r="R82" s="990">
        <f>R81/M9</f>
        <v>0.42857142857142855</v>
      </c>
      <c r="S82" s="988">
        <f>(S81/R9)*4</f>
        <v>0.34649681528662418</v>
      </c>
      <c r="T82" s="988">
        <f>(T81/S9)*4</f>
        <v>0.39671509791535059</v>
      </c>
      <c r="U82" s="988">
        <f>(U81/T9)*4</f>
        <v>0.39233370913190529</v>
      </c>
      <c r="V82" s="988">
        <f>(V81/U9)*4</f>
        <v>0.31933644375324</v>
      </c>
      <c r="W82" s="990">
        <f>W81/R9</f>
        <v>0.39554140127388537</v>
      </c>
      <c r="X82" s="988">
        <f>(X81/W9)*4</f>
        <v>0.34764614588722192</v>
      </c>
      <c r="Y82" s="988">
        <f>(Y81/X9)*4</f>
        <v>0.31543299467827768</v>
      </c>
      <c r="Z82" s="988">
        <f>(Z81/Y9)*4</f>
        <v>0.26524254561637739</v>
      </c>
      <c r="AA82" s="988">
        <f>(AA81/Z9)*4</f>
        <v>0.26226933647428347</v>
      </c>
      <c r="AB82" s="990">
        <f>AB81/W9</f>
        <v>0.33471288153129852</v>
      </c>
      <c r="AC82" s="988">
        <f>(AC81/AB9)*4</f>
        <v>0.29635316698656428</v>
      </c>
      <c r="AD82" s="988">
        <f>(AD81/AC9)*4</f>
        <v>0.34148121123677488</v>
      </c>
      <c r="AE82" s="988">
        <f>(AE81/AD9)*4</f>
        <v>0.21151756609923941</v>
      </c>
      <c r="AF82" s="988">
        <f>(AF81/AE9)*4</f>
        <v>0.28259385665529008</v>
      </c>
      <c r="AG82" s="990">
        <f>AG81/AB9</f>
        <v>0.29942418426103645</v>
      </c>
      <c r="AH82" s="988">
        <f>(AH81/AG9)*4</f>
        <v>0.3016759776536313</v>
      </c>
      <c r="AI82" s="988">
        <f>(AI81/AH9)*4</f>
        <v>0.28850174216027874</v>
      </c>
      <c r="AJ82" s="988">
        <f>(AJ81/AI9)*4</f>
        <v>0.31183166609175578</v>
      </c>
      <c r="AK82" s="988">
        <f>(AK81/AJ9)*4</f>
        <v>0.30060120240480964</v>
      </c>
      <c r="AL82" s="990">
        <f>AL81/AG9</f>
        <v>0.30516759776536312</v>
      </c>
      <c r="AM82" s="988">
        <f>(AM81/AL9)*4</f>
        <v>0.35307098197866865</v>
      </c>
      <c r="AN82" s="988">
        <f>(AN81/AM9)*4</f>
        <v>0.40491254186825454</v>
      </c>
      <c r="AO82" s="988">
        <f>(AO81/AN9)*4</f>
        <v>0.36417468541820874</v>
      </c>
      <c r="AP82" s="988">
        <f>(AP81/AO9)*4</f>
        <v>0.3524355300859599</v>
      </c>
      <c r="AQ82" s="990">
        <f>AQ81/AL9</f>
        <v>0.3692534019860243</v>
      </c>
      <c r="AR82" s="988">
        <f>(AR81/AQ9)*4</f>
        <v>0.38540145985401458</v>
      </c>
      <c r="AS82" s="988">
        <f>(AS81/AR9)*4</f>
        <v>0.38319088319088318</v>
      </c>
      <c r="AT82" s="988">
        <f>(AT81/AS9)*4</f>
        <v>0.42535787321063395</v>
      </c>
      <c r="AU82" s="802"/>
      <c r="AV82" s="988"/>
      <c r="AW82" s="988"/>
      <c r="AX82" s="988"/>
      <c r="AY82" s="988"/>
      <c r="AZ82" s="990"/>
      <c r="BA82" s="988">
        <f>(BA81/AZ9)*4</f>
        <v>0.39863945578231291</v>
      </c>
      <c r="BB82" s="988">
        <f>(BB81/BA9)*4</f>
        <v>0.41682847896440128</v>
      </c>
      <c r="BC82" s="988">
        <f>(BC81/BB9)*4</f>
        <v>0.534128561961564</v>
      </c>
      <c r="BD82" s="988">
        <f>(BD81/BC9)*4</f>
        <v>0.54907251264755486</v>
      </c>
      <c r="BE82" s="990">
        <f>BE81/AZ9</f>
        <v>0.48469387755102039</v>
      </c>
      <c r="BF82" s="988">
        <f>(BF81/BE9)*4</f>
        <v>0.38284734133790738</v>
      </c>
      <c r="BG82" s="988">
        <f>(BG81/BF9)*4</f>
        <v>0.24187347081440055</v>
      </c>
      <c r="BH82" s="988">
        <f>(BH81/BG9)*4</f>
        <v>0.38453198409830142</v>
      </c>
      <c r="BI82" s="988">
        <f>(BI81/BH9)*4</f>
        <v>0.44615978386723271</v>
      </c>
      <c r="BJ82" s="990">
        <f>BJ81/BE9</f>
        <v>0.34545454545454546</v>
      </c>
      <c r="BK82" s="988">
        <f>(BK81/BJ9)*4</f>
        <v>0.30511316010058676</v>
      </c>
      <c r="BL82" s="988">
        <f>(BL81/BK9)*4</f>
        <v>0.34124890061565522</v>
      </c>
      <c r="BM82" s="988">
        <f>(BM81/BL9)*4</f>
        <v>0.38486688463334889</v>
      </c>
      <c r="BN82" s="988">
        <f>(BN81/BM9)*4</f>
        <v>0.40646651270207851</v>
      </c>
      <c r="BO82" s="990">
        <f>BO81/BJ9</f>
        <v>0.33612740989103101</v>
      </c>
      <c r="BP82" s="988">
        <f>(BP81/BO9)*4</f>
        <v>0.29636621047663991</v>
      </c>
      <c r="BQ82" s="988">
        <f>(BQ81/BP9)*4</f>
        <v>0.34089856415006947</v>
      </c>
      <c r="BR82" s="988">
        <f>(BR81/BQ9)*4</f>
        <v>0.35346979530703942</v>
      </c>
      <c r="BS82" s="988">
        <f>(BS81/BR9)*4</f>
        <v>0.25614754098360654</v>
      </c>
      <c r="BT82" s="990">
        <f>BT81/BO9</f>
        <v>0.3034450212364323</v>
      </c>
      <c r="BU82" s="988">
        <f>(BU81/BT9)*4</f>
        <v>0.32653061224489793</v>
      </c>
      <c r="BV82" s="988">
        <f>(BV81/BU9)*4</f>
        <v>0.31623036649214659</v>
      </c>
      <c r="BW82" s="988">
        <f>(BW81/BV9)*4</f>
        <v>0.35536294691224268</v>
      </c>
      <c r="BX82" s="988">
        <f>(BX81/BW9)*4</f>
        <v>0.37336244541484714</v>
      </c>
      <c r="BY82" s="990">
        <f>BY81/BT9</f>
        <v>0.33594976452119307</v>
      </c>
      <c r="BZ82" s="988">
        <f>(BZ81/BY9)*4</f>
        <v>0.35487404162102959</v>
      </c>
      <c r="CA82" s="988">
        <f>(CA81/BZ9)*4</f>
        <v>0.3628691983122363</v>
      </c>
      <c r="CB82" s="988">
        <f>(CB81/CA9)*4</f>
        <v>0.3827956989247312</v>
      </c>
      <c r="CC82" s="988">
        <f>(CC81/CB9)*4</f>
        <v>0.38312428734321552</v>
      </c>
      <c r="CD82" s="990">
        <f>CD81/BY9</f>
        <v>0.3723986856516977</v>
      </c>
      <c r="CE82" s="988">
        <f>(CE81/CD9)*4</f>
        <v>0.37160992498557416</v>
      </c>
      <c r="CF82" s="988">
        <f>(CF81/CE9)*4</f>
        <v>0.34009009009009011</v>
      </c>
      <c r="CG82" s="988">
        <f>(CG81/CF9)*4</f>
        <v>0.53186274509803921</v>
      </c>
      <c r="CH82" s="988">
        <f>(CH81/CG9)*4</f>
        <v>0.49429657794676807</v>
      </c>
      <c r="CI82" s="990">
        <f>CI81/CD9</f>
        <v>0.41777264858626662</v>
      </c>
      <c r="CJ82" s="988">
        <f>(CJ81/CI9)*4</f>
        <v>0.51604453176162413</v>
      </c>
      <c r="CK82" s="988">
        <f>(CK81/CJ9)*4</f>
        <v>0.43339706819630336</v>
      </c>
      <c r="CL82" s="988">
        <f>(CL81/CK9)*4</f>
        <v>0.51443569553805779</v>
      </c>
      <c r="CM82" s="988">
        <f>(CM81/CL9)*4</f>
        <v>0.52291105121293802</v>
      </c>
      <c r="CN82" s="990">
        <f>CN81/CI9</f>
        <v>0.49574328749181401</v>
      </c>
      <c r="CO82" s="988">
        <f>(CO81/CN9)*4</f>
        <v>0.46020066889632105</v>
      </c>
      <c r="CP82" s="988">
        <f>(CP81/CO9)*4</f>
        <v>0.40852130325814534</v>
      </c>
      <c r="CQ82" s="988">
        <f>(CQ81/CP9)*4</f>
        <v>0.43403205918618987</v>
      </c>
      <c r="CR82" s="988">
        <f>(CR81/CQ9)*4</f>
        <v>0.40300375469336669</v>
      </c>
      <c r="CS82" s="990">
        <f>CS81/CN9</f>
        <v>0.44949832775919735</v>
      </c>
      <c r="CT82" s="988">
        <f>(CT81/CS9)*4</f>
        <v>0.49194029850746268</v>
      </c>
      <c r="CU82" s="988">
        <f>(CU81/CT9)*4</f>
        <v>0.37618252643294381</v>
      </c>
      <c r="CV82" s="988">
        <f>(CV81/CU9)*4</f>
        <v>0.46670461013090497</v>
      </c>
      <c r="CW82" s="988">
        <f>(CW81/CV9)*4</f>
        <v>0.46206896551724136</v>
      </c>
      <c r="CX82" s="990">
        <f>CX81/CS9</f>
        <v>0.46626865671641793</v>
      </c>
      <c r="CY82" s="988">
        <f>(CY81/CX9)*4</f>
        <v>0.46048109965635736</v>
      </c>
      <c r="CZ82" s="988">
        <f ca="1">(CZ81/CY9)*4</f>
        <v>0.47597765363128491</v>
      </c>
      <c r="DA82" s="988">
        <f ca="1">(DA81/CZ9)*4</f>
        <v>2.3751412429378531</v>
      </c>
      <c r="DB82" s="988">
        <f ca="1">(DB81/DA9)*4</f>
        <v>-2.0978723404255319</v>
      </c>
      <c r="DC82" s="990">
        <f ca="1">DC81/CX9</f>
        <v>0.55670103092783507</v>
      </c>
      <c r="DD82" s="988">
        <f ca="1">(DD81/DC9)*4</f>
        <v>0.18040180401804018</v>
      </c>
      <c r="DE82" s="988">
        <f>(DE81/DD9)*4</f>
        <v>0.33854907539118068</v>
      </c>
      <c r="DF82" s="988">
        <f>(DF81/DE9)*4</f>
        <v>0.31326949384404923</v>
      </c>
      <c r="DG82" s="988">
        <f>(DG81/DF9)*4</f>
        <v>0.36798405845234139</v>
      </c>
      <c r="DH82" s="990">
        <f ca="1">DH81/DC9</f>
        <v>0.35014350143501433</v>
      </c>
      <c r="DI82" s="988">
        <f ca="1">(DI81/DH9)*4</f>
        <v>0.66830466830466828</v>
      </c>
      <c r="DJ82" s="988">
        <f ca="1">(DJ81/DI9)*4</f>
        <v>0.34405861739407456</v>
      </c>
      <c r="DK82" s="988">
        <f ca="1">(DK81/DJ9)*4</f>
        <v>0.25905463474524248</v>
      </c>
      <c r="DL82" s="988">
        <f>(DL81/DK9)*4</f>
        <v>0.4851657940663176</v>
      </c>
      <c r="DM82" s="990">
        <f ca="1">DM81/DH9</f>
        <v>0.44287469287469289</v>
      </c>
      <c r="DN82" s="988">
        <f ca="1">(DN81/DM9)*4</f>
        <v>0.65942634363686992</v>
      </c>
      <c r="DO82" s="988">
        <f ca="1">(DO81/DN9)*4</f>
        <v>8.8556641748131104E-2</v>
      </c>
      <c r="DP82" s="988">
        <f>(DP81/DO9)*4</f>
        <v>0.36086956521739133</v>
      </c>
      <c r="DQ82" s="988">
        <f>(DQ81/DP9)*4</f>
        <v>0.32280329174409345</v>
      </c>
      <c r="DR82" s="990">
        <f ca="1">DR81/DM9</f>
        <v>0.36340852130325813</v>
      </c>
      <c r="DS82" s="988">
        <f ca="1">(DS81/DR9)*4</f>
        <v>0.37983706720977595</v>
      </c>
      <c r="DT82" s="988">
        <f ca="1">(DT81/DS9)*4</f>
        <v>0.37983706720977595</v>
      </c>
      <c r="DU82" s="988">
        <f ca="1">(DU81/DT9)*4</f>
        <v>0.37983706720977595</v>
      </c>
      <c r="DV82" s="988">
        <f ca="1">(DV81/DU9)*4</f>
        <v>0.37983706720977595</v>
      </c>
      <c r="DW82" s="990">
        <f ca="1">DW81/DR9</f>
        <v>0.36509033789473244</v>
      </c>
      <c r="DX82" s="991">
        <v>0.38</v>
      </c>
      <c r="DY82" s="991">
        <f>DX82</f>
        <v>0.38</v>
      </c>
      <c r="DZ82" s="991">
        <f>DY82</f>
        <v>0.38</v>
      </c>
      <c r="EA82" s="991">
        <f>DZ82</f>
        <v>0.38</v>
      </c>
      <c r="EB82" s="990">
        <f ca="1">EB81/DW9</f>
        <v>0.38637543317850098</v>
      </c>
      <c r="EC82" s="991">
        <f>EA82</f>
        <v>0.38</v>
      </c>
      <c r="ED82" s="991">
        <f>EC82</f>
        <v>0.38</v>
      </c>
      <c r="EE82" s="991">
        <f>ED82</f>
        <v>0.38</v>
      </c>
      <c r="EF82" s="991">
        <f>EE82</f>
        <v>0.38</v>
      </c>
      <c r="EG82" s="990">
        <f ca="1">EG81/EB9</f>
        <v>0.39365281617695397</v>
      </c>
      <c r="EH82" s="991">
        <f>EF82</f>
        <v>0.38</v>
      </c>
      <c r="EI82" s="991">
        <f>EH82</f>
        <v>0.38</v>
      </c>
      <c r="EJ82" s="991">
        <f>EI82</f>
        <v>0.38</v>
      </c>
      <c r="EK82" s="991">
        <f>EJ82</f>
        <v>0.38</v>
      </c>
      <c r="EL82" s="990">
        <f ca="1">EL81/EG9</f>
        <v>0.37799070229677706</v>
      </c>
      <c r="EM82" s="986"/>
      <c r="EN82"/>
      <c r="EO82"/>
      <c r="EP82"/>
      <c r="EQ82"/>
      <c r="ER82"/>
      <c r="ES82"/>
      <c r="ET82" s="141"/>
      <c r="EU82" s="141"/>
      <c r="EV82" s="141"/>
      <c r="EW82" s="141"/>
      <c r="EX82" s="141"/>
      <c r="EY82" s="141"/>
      <c r="EZ82" s="141"/>
      <c r="FA82" s="141"/>
      <c r="FB82" s="141"/>
      <c r="FC82" s="141"/>
      <c r="FD82" s="141"/>
      <c r="FE82" s="141"/>
      <c r="FF82" s="141"/>
      <c r="FG82" s="141"/>
      <c r="FH82" s="141"/>
      <c r="FI82" s="141"/>
      <c r="FJ82" s="141"/>
      <c r="FK82" s="141"/>
      <c r="FL82" s="141"/>
      <c r="FM82" s="141"/>
      <c r="FN82" s="141"/>
      <c r="FO82" s="141"/>
      <c r="FP82" s="141"/>
      <c r="FQ82" s="141"/>
      <c r="FR82" s="141"/>
      <c r="FS82" s="141"/>
      <c r="FT82" s="141"/>
      <c r="FU82" s="141"/>
      <c r="FV82" s="141"/>
      <c r="FW82" s="141"/>
      <c r="FX82" s="141"/>
      <c r="FY82" s="141"/>
      <c r="FZ82" s="141"/>
      <c r="GA82" s="141"/>
      <c r="GB82" s="141"/>
      <c r="GC82" s="141"/>
      <c r="GD82" s="141"/>
      <c r="GE82" s="141"/>
      <c r="GF82" s="141"/>
      <c r="GG82" s="141"/>
      <c r="GH82" s="141"/>
      <c r="GI82" s="141"/>
      <c r="GJ82" s="141"/>
      <c r="GK82" s="141"/>
      <c r="GL82" s="141"/>
      <c r="GM82" s="141"/>
      <c r="GN82" s="141"/>
      <c r="GO82" s="141"/>
      <c r="GP82" s="141"/>
      <c r="GQ82" s="141"/>
      <c r="GR82" s="141"/>
      <c r="GS82" s="141"/>
      <c r="GT82" s="141"/>
      <c r="GU82" s="141"/>
      <c r="GV82" s="141"/>
      <c r="GW82" s="141"/>
      <c r="GX82" s="141"/>
      <c r="GY82" s="141"/>
      <c r="GZ82" s="141"/>
      <c r="HA82" s="141"/>
      <c r="HB82" s="141"/>
      <c r="HC82" s="141"/>
      <c r="HD82" s="141"/>
      <c r="HE82" s="141"/>
      <c r="HF82" s="141"/>
      <c r="HG82" s="141"/>
      <c r="HH82" s="141"/>
      <c r="HI82" s="141"/>
      <c r="HJ82" s="141"/>
      <c r="HK82" s="141"/>
      <c r="HL82" s="141"/>
      <c r="HM82" s="141"/>
      <c r="HN82" s="141"/>
      <c r="HO82" s="141"/>
      <c r="HP82" s="141"/>
      <c r="HQ82" s="141"/>
      <c r="HR82" s="141"/>
      <c r="HS82" s="141"/>
      <c r="HT82" s="141"/>
      <c r="HU82" s="141"/>
      <c r="HV82" s="141"/>
      <c r="HW82" s="141"/>
      <c r="HX82" s="141"/>
      <c r="HY82" s="141"/>
      <c r="HZ82" s="141"/>
      <c r="IA82" s="141"/>
      <c r="IB82" s="141"/>
      <c r="IC82" s="141"/>
      <c r="ID82" s="141"/>
      <c r="IE82" s="141"/>
      <c r="IF82" s="141"/>
      <c r="IG82" s="141"/>
      <c r="IH82" s="141"/>
      <c r="II82" s="141"/>
      <c r="IJ82" s="141"/>
      <c r="IK82" s="141"/>
      <c r="IL82" s="141"/>
      <c r="IM82" s="141"/>
      <c r="IN82" s="141"/>
      <c r="IO82" s="141"/>
      <c r="IP82" s="141"/>
      <c r="IQ82" s="141"/>
      <c r="IR82" s="141"/>
      <c r="IS82" s="141"/>
      <c r="IT82" s="141"/>
      <c r="IU82" s="141"/>
      <c r="IV82" s="141"/>
      <c r="IW82" s="141"/>
      <c r="IX82" s="141"/>
      <c r="IY82" s="141"/>
      <c r="IZ82" s="141"/>
      <c r="JA82" s="141"/>
      <c r="JB82" s="141"/>
      <c r="JC82" s="141"/>
      <c r="JD82" s="141"/>
      <c r="JE82" s="141"/>
      <c r="JF82" s="141"/>
      <c r="JG82" s="141"/>
      <c r="JH82" s="141"/>
    </row>
    <row r="83" spans="1:268" s="142" customFormat="1" ht="12" hidden="1" customHeight="1" outlineLevel="1">
      <c r="A83" s="803"/>
      <c r="B83" s="804" t="s">
        <v>11</v>
      </c>
      <c r="C83" s="153"/>
      <c r="D83" s="153">
        <f>D10</f>
        <v>-67.247</v>
      </c>
      <c r="E83" s="153">
        <f>E10</f>
        <v>-67.2</v>
      </c>
      <c r="F83" s="153">
        <f>F10</f>
        <v>-71.3</v>
      </c>
      <c r="G83" s="153">
        <f>G10</f>
        <v>-184</v>
      </c>
      <c r="H83" s="916">
        <f>SUM(H77,H78,H80,H81)</f>
        <v>-184</v>
      </c>
      <c r="I83" s="153">
        <f>I10</f>
        <v>-167.8</v>
      </c>
      <c r="J83" s="153">
        <f>J10</f>
        <v>-161.1</v>
      </c>
      <c r="K83" s="153">
        <f>K10</f>
        <v>-154.1</v>
      </c>
      <c r="L83" s="153">
        <f>L10</f>
        <v>-156</v>
      </c>
      <c r="M83" s="916">
        <f>SUM(M77,M78,M80,M81)</f>
        <v>-156</v>
      </c>
      <c r="N83" s="153">
        <f>N10</f>
        <v>-154.80000000000001</v>
      </c>
      <c r="O83" s="153">
        <f>O10</f>
        <v>-182.2</v>
      </c>
      <c r="P83" s="153">
        <f>P10</f>
        <v>-228.4</v>
      </c>
      <c r="Q83" s="153">
        <f>Q10</f>
        <v>-224</v>
      </c>
      <c r="R83" s="916">
        <f>SUM(R77,R78,R80,R81)</f>
        <v>-224</v>
      </c>
      <c r="S83" s="153">
        <f>S10</f>
        <v>-236</v>
      </c>
      <c r="T83" s="153">
        <f>T10</f>
        <v>-215</v>
      </c>
      <c r="U83" s="153">
        <f>U10</f>
        <v>-204</v>
      </c>
      <c r="V83" s="153">
        <f>V10</f>
        <v>-191</v>
      </c>
      <c r="W83" s="916">
        <f>SUM(W77,W78,W80,W81)</f>
        <v>-191</v>
      </c>
      <c r="X83" s="153">
        <f>X10</f>
        <v>-182</v>
      </c>
      <c r="Y83" s="153">
        <f>Y10</f>
        <v>-203</v>
      </c>
      <c r="Z83" s="153">
        <f>Z10</f>
        <v>-244</v>
      </c>
      <c r="AA83" s="153">
        <f>AA10</f>
        <v>-287</v>
      </c>
      <c r="AB83" s="916">
        <f>SUM(AB77,AB78,AB80,AB81)</f>
        <v>-287</v>
      </c>
      <c r="AC83" s="153">
        <f>AC10</f>
        <v>-317</v>
      </c>
      <c r="AD83" s="153">
        <f>AD10</f>
        <v>-293</v>
      </c>
      <c r="AE83" s="153">
        <f>AE10</f>
        <v>-361</v>
      </c>
      <c r="AF83" s="153">
        <f>AF10</f>
        <v>-358</v>
      </c>
      <c r="AG83" s="916">
        <f>SUM(AG77,AG78,AG80,AG81)</f>
        <v>-358</v>
      </c>
      <c r="AH83" s="153">
        <f>AH10</f>
        <v>-355</v>
      </c>
      <c r="AI83" s="153">
        <f>AI10</f>
        <v>-354</v>
      </c>
      <c r="AJ83" s="153">
        <f>AJ10</f>
        <v>-347</v>
      </c>
      <c r="AK83" s="153">
        <f>AK10</f>
        <v>-333</v>
      </c>
      <c r="AL83" s="916">
        <f>SUM(AL77,AL78,AL80,AL81)</f>
        <v>-333</v>
      </c>
      <c r="AM83" s="153">
        <f>AM10</f>
        <v>-339</v>
      </c>
      <c r="AN83" s="153">
        <f>AN10</f>
        <v>-325</v>
      </c>
      <c r="AO83" s="153">
        <f>AO10</f>
        <v>-315</v>
      </c>
      <c r="AP83" s="153">
        <f>AP10</f>
        <v>-315</v>
      </c>
      <c r="AQ83" s="916">
        <f>SUM(AQ77,AQ78,AQ80,AQ81)</f>
        <v>-315</v>
      </c>
      <c r="AR83" s="153">
        <f>AR10</f>
        <v>-328</v>
      </c>
      <c r="AS83" s="153">
        <f>AS10</f>
        <v>-350</v>
      </c>
      <c r="AT83" s="153">
        <f>AT10</f>
        <v>-342</v>
      </c>
      <c r="AU83" s="802"/>
      <c r="AV83" s="892"/>
      <c r="AW83" s="892"/>
      <c r="AX83" s="992"/>
      <c r="AY83" s="992"/>
      <c r="AZ83" s="916">
        <f>AZ10</f>
        <v>-350</v>
      </c>
      <c r="BA83" s="153">
        <f>BA10</f>
        <v>-357</v>
      </c>
      <c r="BB83" s="153">
        <f>BB10</f>
        <v>-351</v>
      </c>
      <c r="BC83" s="153">
        <f>BC10</f>
        <v>-500</v>
      </c>
      <c r="BD83" s="153">
        <f>BD10</f>
        <v>-500</v>
      </c>
      <c r="BE83" s="916">
        <f>SUM(BE77,BE78,BE80,BE81)</f>
        <v>-500</v>
      </c>
      <c r="BF83" s="153">
        <f>BF10</f>
        <v>-514</v>
      </c>
      <c r="BG83" s="153">
        <f>BG10</f>
        <v>-838</v>
      </c>
      <c r="BH83" s="153">
        <f>BH10</f>
        <v>-800</v>
      </c>
      <c r="BI83" s="153">
        <f>BI10</f>
        <v>-698</v>
      </c>
      <c r="BJ83" s="916">
        <f>SUM(BJ77,BJ78,BJ80,BJ81)</f>
        <v>-698</v>
      </c>
      <c r="BK83" s="153">
        <f>BK10</f>
        <v>-683</v>
      </c>
      <c r="BL83" s="153">
        <f>BL10</f>
        <v>-642</v>
      </c>
      <c r="BM83" s="153">
        <f>BM10</f>
        <v>-642</v>
      </c>
      <c r="BN83" s="153">
        <f>BN10</f>
        <v>-594</v>
      </c>
      <c r="BO83" s="916">
        <f>SUM(BO77,BO78,BO80,BO81)</f>
        <v>-594</v>
      </c>
      <c r="BP83" s="158">
        <f>BP10</f>
        <v>-575</v>
      </c>
      <c r="BQ83" s="158">
        <f>BQ10</f>
        <v>-519</v>
      </c>
      <c r="BR83" s="158">
        <f>BR10</f>
        <v>-499</v>
      </c>
      <c r="BS83" s="158">
        <f>BS10</f>
        <v>-498</v>
      </c>
      <c r="BT83" s="916">
        <f>SUM(BT77,BT78,BT80,BT81)</f>
        <v>-498</v>
      </c>
      <c r="BU83" s="158">
        <f>BU10</f>
        <v>-483</v>
      </c>
      <c r="BV83" s="158">
        <f>BV10</f>
        <v>-483</v>
      </c>
      <c r="BW83" s="158">
        <f>BW10</f>
        <v>-478</v>
      </c>
      <c r="BX83" s="158">
        <f>BX10</f>
        <v>-441</v>
      </c>
      <c r="BY83" s="916">
        <f>SUM(BY77,BY78,BY80,BY81)</f>
        <v>-441</v>
      </c>
      <c r="BZ83" s="923">
        <f>BZ10</f>
        <v>-428</v>
      </c>
      <c r="CA83" s="923">
        <f>CA10</f>
        <v>-410</v>
      </c>
      <c r="CB83" s="923">
        <f>CB10</f>
        <v>-398</v>
      </c>
      <c r="CC83" s="923">
        <f>CC10</f>
        <v>-396</v>
      </c>
      <c r="CD83" s="916">
        <f>SUM(CD77,CD78,CD80,CD81)</f>
        <v>-396</v>
      </c>
      <c r="CE83" s="923">
        <f>CE10</f>
        <v>-391</v>
      </c>
      <c r="CF83" s="923">
        <f>CF10</f>
        <v>-407</v>
      </c>
      <c r="CG83" s="923">
        <f>CG10</f>
        <v>-383</v>
      </c>
      <c r="CH83" s="923">
        <f>CH10</f>
        <v>-369</v>
      </c>
      <c r="CI83" s="916">
        <f>SUM(CI77,CI78,CI80,CI81)</f>
        <v>-369</v>
      </c>
      <c r="CJ83" s="923">
        <f>CJ10</f>
        <v>-361</v>
      </c>
      <c r="CK83" s="923">
        <f>CK10</f>
        <v>-364</v>
      </c>
      <c r="CL83" s="923">
        <f>CL10</f>
        <v>-355</v>
      </c>
      <c r="CM83" s="923">
        <f>CM10</f>
        <v>-352</v>
      </c>
      <c r="CN83" s="916">
        <f>SUM(CN77,CN78,CN80,CN81)</f>
        <v>-352</v>
      </c>
      <c r="CO83" s="923">
        <f>CO10</f>
        <v>-359</v>
      </c>
      <c r="CP83" s="923">
        <f>CP10</f>
        <v>-364</v>
      </c>
      <c r="CQ83" s="923">
        <f>CQ10</f>
        <v>-377</v>
      </c>
      <c r="CR83" s="923">
        <f>CR10</f>
        <v>-397</v>
      </c>
      <c r="CS83" s="916">
        <f>SUM(CS77,CS78,CS80,CS81)</f>
        <v>-397</v>
      </c>
      <c r="CT83" s="923">
        <f>CT10</f>
        <v>-380</v>
      </c>
      <c r="CU83" s="923">
        <f>CU10</f>
        <v>-401</v>
      </c>
      <c r="CV83" s="923">
        <f>CV10</f>
        <v>-402</v>
      </c>
      <c r="CW83" s="923">
        <f>CW10</f>
        <v>-401</v>
      </c>
      <c r="CX83" s="916">
        <f>SUM(CX77,CX78,CX80,CX81)</f>
        <v>-401</v>
      </c>
      <c r="CY83" s="923">
        <f>CY10</f>
        <v>-407</v>
      </c>
      <c r="CZ83" s="923">
        <f ca="1">CZ10</f>
        <v>-401</v>
      </c>
      <c r="DA83" s="923">
        <f>DA10</f>
        <v>440</v>
      </c>
      <c r="DB83" s="923">
        <f ca="1">DB10</f>
        <v>-401</v>
      </c>
      <c r="DC83" s="916">
        <f ca="1">SUM(DC77,DC78,DC80,DC81)</f>
        <v>-401</v>
      </c>
      <c r="DD83" s="923">
        <f>DD10</f>
        <v>-671</v>
      </c>
      <c r="DE83" s="923">
        <f>DE10</f>
        <v>-753</v>
      </c>
      <c r="DF83" s="923">
        <f>DF10</f>
        <v>-773</v>
      </c>
      <c r="DG83" s="923">
        <f>DG10</f>
        <v>-852</v>
      </c>
      <c r="DH83" s="916">
        <f ca="1">SUM(DH77,DH78,DH80,DH81)</f>
        <v>-852</v>
      </c>
      <c r="DI83" s="923">
        <f ca="1">DI10</f>
        <v>-671</v>
      </c>
      <c r="DJ83" s="923">
        <f ca="1">DJ10</f>
        <v>-753</v>
      </c>
      <c r="DK83" s="923">
        <f>DK10</f>
        <v>-913</v>
      </c>
      <c r="DL83" s="923">
        <f>DL10</f>
        <v>-887</v>
      </c>
      <c r="DM83" s="916">
        <f ca="1">SUM(DM77,DM78,DM80,DM81)</f>
        <v>-887</v>
      </c>
      <c r="DN83" s="923">
        <f ca="1">DN10</f>
        <v>-671</v>
      </c>
      <c r="DO83" s="923">
        <f>DO10</f>
        <v>-946</v>
      </c>
      <c r="DP83" s="923">
        <f>DP10</f>
        <v>-981</v>
      </c>
      <c r="DQ83" s="923">
        <f>DQ10</f>
        <v>-1031</v>
      </c>
      <c r="DR83" s="916">
        <f ca="1">SUM(DR77,DR78,DR80,DR81)</f>
        <v>-1031</v>
      </c>
      <c r="DS83" s="923">
        <f>DS10</f>
        <v>-1041</v>
      </c>
      <c r="DT83" s="923">
        <f>DT10</f>
        <v>-966</v>
      </c>
      <c r="DU83" s="923">
        <f>DU10</f>
        <v>-934</v>
      </c>
      <c r="DV83" s="923">
        <f>DV10</f>
        <v>-898</v>
      </c>
      <c r="DW83" s="916">
        <f ca="1">SUM(DW77,DW78,DW80,DW81)</f>
        <v>-1030.925152749491</v>
      </c>
      <c r="DX83" s="153">
        <f t="shared" ref="DX83:EG83" ca="1" si="219">SUM(DX77,DX78,DX80,DX81)</f>
        <v>-1076.3239692833527</v>
      </c>
      <c r="DY83" s="153">
        <f t="shared" ca="1" si="219"/>
        <v>-1114.6529482403707</v>
      </c>
      <c r="DZ83" s="153">
        <f t="shared" ca="1" si="219"/>
        <v>-1137.1411592150084</v>
      </c>
      <c r="EA83" s="153">
        <f t="shared" ca="1" si="219"/>
        <v>-1173.6901133720146</v>
      </c>
      <c r="EB83" s="916">
        <f t="shared" ca="1" si="219"/>
        <v>-1173.6901133720144</v>
      </c>
      <c r="EC83" s="153">
        <f t="shared" ca="1" si="219"/>
        <v>-1188.5012002059739</v>
      </c>
      <c r="ED83" s="153">
        <f t="shared" ca="1" si="219"/>
        <v>-1190.6559437654594</v>
      </c>
      <c r="EE83" s="153">
        <f t="shared" ca="1" si="219"/>
        <v>-1183.0556332612775</v>
      </c>
      <c r="EF83" s="153">
        <f t="shared" ca="1" si="219"/>
        <v>-1206.2451090142895</v>
      </c>
      <c r="EG83" s="916">
        <f t="shared" ca="1" si="219"/>
        <v>-1206.2451090142893</v>
      </c>
      <c r="EH83" s="153">
        <f t="shared" ref="EH83:EL83" ca="1" si="220">SUM(EH77,EH78,EH80,EH81)</f>
        <v>-1197.5777843724738</v>
      </c>
      <c r="EI83" s="153">
        <f t="shared" ca="1" si="220"/>
        <v>-1195.1360033444096</v>
      </c>
      <c r="EJ83" s="153">
        <f t="shared" ca="1" si="220"/>
        <v>-1179.9784382358546</v>
      </c>
      <c r="EK83" s="153">
        <f t="shared" ca="1" si="220"/>
        <v>-1203.3854274368009</v>
      </c>
      <c r="EL83" s="916">
        <f t="shared" ca="1" si="220"/>
        <v>-1203.3854274368009</v>
      </c>
      <c r="EM83" s="917"/>
      <c r="EN83"/>
      <c r="EO83"/>
      <c r="EP83"/>
      <c r="EQ83"/>
      <c r="ER83"/>
      <c r="ES83"/>
      <c r="ET83" s="141"/>
      <c r="EU83" s="141"/>
      <c r="EV83" s="141"/>
      <c r="EW83" s="141"/>
      <c r="EX83" s="141"/>
      <c r="EY83" s="141"/>
      <c r="EZ83" s="141"/>
      <c r="FA83" s="141"/>
      <c r="FB83" s="141"/>
      <c r="FC83" s="141"/>
      <c r="FD83" s="141"/>
      <c r="FE83" s="141"/>
      <c r="FF83" s="141"/>
      <c r="FG83" s="141"/>
      <c r="FH83" s="141"/>
      <c r="FI83" s="141"/>
      <c r="FJ83" s="141"/>
      <c r="FK83" s="141"/>
      <c r="FL83" s="141"/>
      <c r="FM83" s="141"/>
      <c r="FN83" s="141"/>
      <c r="FO83" s="141"/>
      <c r="FP83" s="141"/>
      <c r="FQ83" s="141"/>
      <c r="FR83" s="141"/>
      <c r="FS83" s="141"/>
      <c r="FT83" s="141"/>
      <c r="FU83" s="141"/>
      <c r="FV83" s="141"/>
      <c r="FW83" s="141"/>
      <c r="FX83" s="141"/>
      <c r="FY83" s="141"/>
      <c r="FZ83" s="141"/>
      <c r="GA83" s="141"/>
      <c r="GB83" s="141"/>
      <c r="GC83" s="141"/>
      <c r="GD83" s="141"/>
      <c r="GE83" s="141"/>
      <c r="GF83" s="141"/>
      <c r="GG83" s="141"/>
      <c r="GH83" s="141"/>
      <c r="GI83" s="141"/>
      <c r="GJ83" s="141"/>
      <c r="GK83" s="141"/>
      <c r="GL83" s="141"/>
      <c r="GM83" s="141"/>
      <c r="GN83" s="141"/>
      <c r="GO83" s="141"/>
      <c r="GP83" s="141"/>
      <c r="GQ83" s="141"/>
      <c r="GR83" s="141"/>
      <c r="GS83" s="141"/>
      <c r="GT83" s="141"/>
      <c r="GU83" s="141"/>
      <c r="GV83" s="141"/>
      <c r="GW83" s="141"/>
      <c r="GX83" s="141"/>
      <c r="GY83" s="141"/>
      <c r="GZ83" s="141"/>
      <c r="HA83" s="141"/>
      <c r="HB83" s="141"/>
      <c r="HC83" s="141"/>
      <c r="HD83" s="141"/>
      <c r="HE83" s="141"/>
      <c r="HF83" s="141"/>
      <c r="HG83" s="141"/>
      <c r="HH83" s="141"/>
      <c r="HI83" s="141"/>
      <c r="HJ83" s="141"/>
      <c r="HK83" s="141"/>
      <c r="HL83" s="141"/>
      <c r="HM83" s="141"/>
      <c r="HN83" s="141"/>
      <c r="HO83" s="141"/>
      <c r="HP83" s="141"/>
      <c r="HQ83" s="141"/>
      <c r="HR83" s="141"/>
      <c r="HS83" s="141"/>
      <c r="HT83" s="141"/>
      <c r="HU83" s="141"/>
      <c r="HV83" s="141"/>
      <c r="HW83" s="141"/>
      <c r="HX83" s="141"/>
      <c r="HY83" s="141"/>
      <c r="HZ83" s="141"/>
      <c r="IA83" s="141"/>
      <c r="IB83" s="141"/>
      <c r="IC83" s="141"/>
      <c r="ID83" s="141"/>
      <c r="IE83" s="141"/>
      <c r="IF83" s="141"/>
      <c r="IG83" s="141"/>
      <c r="IH83" s="141"/>
      <c r="II83" s="141"/>
      <c r="IJ83" s="141"/>
      <c r="IK83" s="141"/>
      <c r="IL83" s="141"/>
      <c r="IM83" s="141"/>
      <c r="IN83" s="141"/>
      <c r="IO83" s="141"/>
      <c r="IP83" s="141"/>
      <c r="IQ83" s="141"/>
      <c r="IR83" s="141"/>
      <c r="IS83" s="141"/>
      <c r="IT83" s="141"/>
      <c r="IU83" s="141"/>
      <c r="IV83" s="141"/>
      <c r="IW83" s="141"/>
      <c r="IX83" s="141"/>
      <c r="IY83" s="141"/>
      <c r="IZ83" s="141"/>
      <c r="JA83" s="141"/>
      <c r="JB83" s="141"/>
      <c r="JC83" s="141"/>
      <c r="JD83" s="141"/>
      <c r="JE83" s="141"/>
      <c r="JF83" s="141"/>
      <c r="JG83" s="141"/>
      <c r="JH83" s="141"/>
    </row>
    <row r="84" spans="1:268" s="142" customFormat="1" ht="12" hidden="1" customHeight="1" outlineLevel="1">
      <c r="A84" s="805"/>
      <c r="B84" s="806" t="s">
        <v>12</v>
      </c>
      <c r="C84" s="993"/>
      <c r="D84" s="993">
        <f t="shared" ref="D84:AT84" si="221">-D83/D9</f>
        <v>0.15280248857622628</v>
      </c>
      <c r="E84" s="993">
        <f t="shared" si="221"/>
        <v>0.14040952778938573</v>
      </c>
      <c r="F84" s="993">
        <f t="shared" si="221"/>
        <v>0.1478026533996683</v>
      </c>
      <c r="G84" s="993">
        <f t="shared" si="221"/>
        <v>0.24566088117489987</v>
      </c>
      <c r="H84" s="994">
        <f t="shared" si="221"/>
        <v>0.24566088117489987</v>
      </c>
      <c r="I84" s="993">
        <f t="shared" si="221"/>
        <v>0.21803534303534308</v>
      </c>
      <c r="J84" s="993">
        <f t="shared" si="221"/>
        <v>0.18054465986775747</v>
      </c>
      <c r="K84" s="993">
        <f t="shared" si="221"/>
        <v>0.16073850005215395</v>
      </c>
      <c r="L84" s="993">
        <f t="shared" si="221"/>
        <v>0.15694164989939638</v>
      </c>
      <c r="M84" s="994">
        <f t="shared" si="221"/>
        <v>0.15694164989939638</v>
      </c>
      <c r="N84" s="993">
        <f t="shared" si="221"/>
        <v>0.1489034243939977</v>
      </c>
      <c r="O84" s="993">
        <f t="shared" si="221"/>
        <v>0.15330248212031972</v>
      </c>
      <c r="P84" s="993">
        <f t="shared" si="221"/>
        <v>0.14485951671212025</v>
      </c>
      <c r="Q84" s="993">
        <f t="shared" si="221"/>
        <v>0.14267515923566879</v>
      </c>
      <c r="R84" s="994">
        <f t="shared" si="221"/>
        <v>0.14267515923566879</v>
      </c>
      <c r="S84" s="993">
        <f t="shared" si="221"/>
        <v>0.14908401768793431</v>
      </c>
      <c r="T84" s="993">
        <f t="shared" si="221"/>
        <v>0.12119503945885006</v>
      </c>
      <c r="U84" s="993">
        <f t="shared" si="221"/>
        <v>0.10575427682737169</v>
      </c>
      <c r="V84" s="993">
        <f t="shared" si="221"/>
        <v>9.8810139679255046E-2</v>
      </c>
      <c r="W84" s="994">
        <f t="shared" si="221"/>
        <v>9.8810139679255046E-2</v>
      </c>
      <c r="X84" s="993">
        <f t="shared" si="221"/>
        <v>8.8050314465408799E-2</v>
      </c>
      <c r="Y84" s="993">
        <f t="shared" si="221"/>
        <v>9.0342679127725853E-2</v>
      </c>
      <c r="Z84" s="993">
        <f t="shared" si="221"/>
        <v>9.5798979191205336E-2</v>
      </c>
      <c r="AA84" s="993">
        <f t="shared" si="221"/>
        <v>0.11017274472168906</v>
      </c>
      <c r="AB84" s="994">
        <f t="shared" si="221"/>
        <v>0.11017274472168906</v>
      </c>
      <c r="AC84" s="993">
        <f t="shared" si="221"/>
        <v>0.11565122218168551</v>
      </c>
      <c r="AD84" s="993">
        <f t="shared" si="221"/>
        <v>0.10612097066280334</v>
      </c>
      <c r="AE84" s="993">
        <f t="shared" si="221"/>
        <v>0.12320819112627987</v>
      </c>
      <c r="AF84" s="993">
        <f t="shared" si="221"/>
        <v>0.125</v>
      </c>
      <c r="AG84" s="994">
        <f t="shared" si="221"/>
        <v>0.125</v>
      </c>
      <c r="AH84" s="993">
        <f t="shared" si="221"/>
        <v>0.12369337979094076</v>
      </c>
      <c r="AI84" s="993">
        <f t="shared" si="221"/>
        <v>0.12211107278371852</v>
      </c>
      <c r="AJ84" s="993">
        <f t="shared" si="221"/>
        <v>0.11589846359385438</v>
      </c>
      <c r="AK84" s="993">
        <f t="shared" si="221"/>
        <v>0.12247149687385069</v>
      </c>
      <c r="AL84" s="994">
        <f t="shared" si="221"/>
        <v>0.12247149687385069</v>
      </c>
      <c r="AM84" s="993">
        <f t="shared" si="221"/>
        <v>0.12616300707108299</v>
      </c>
      <c r="AN84" s="993">
        <f t="shared" si="221"/>
        <v>0.12028127313101407</v>
      </c>
      <c r="AO84" s="993">
        <f t="shared" si="221"/>
        <v>0.11282234957020057</v>
      </c>
      <c r="AP84" s="993">
        <f t="shared" si="221"/>
        <v>0.11496350364963503</v>
      </c>
      <c r="AQ84" s="994">
        <f t="shared" si="221"/>
        <v>0.11496350364963503</v>
      </c>
      <c r="AR84" s="993">
        <f t="shared" si="221"/>
        <v>0.11680911680911681</v>
      </c>
      <c r="AS84" s="993">
        <f t="shared" si="221"/>
        <v>0.11929107021131562</v>
      </c>
      <c r="AT84" s="993">
        <f t="shared" si="221"/>
        <v>0.11384820239680427</v>
      </c>
      <c r="AU84" s="802"/>
      <c r="AV84" s="881"/>
      <c r="AW84" s="881"/>
      <c r="AX84" s="881"/>
      <c r="AY84" s="881"/>
      <c r="AZ84" s="994">
        <f t="shared" ref="AZ84:CE84" si="222">-AZ83/AZ9</f>
        <v>0.11904761904761904</v>
      </c>
      <c r="BA84" s="993">
        <f t="shared" si="222"/>
        <v>0.11553398058252427</v>
      </c>
      <c r="BB84" s="993">
        <f t="shared" si="222"/>
        <v>0.11630218687872763</v>
      </c>
      <c r="BC84" s="993">
        <f t="shared" si="222"/>
        <v>0.16863406408094436</v>
      </c>
      <c r="BD84" s="993">
        <f t="shared" si="222"/>
        <v>0.17152658662092624</v>
      </c>
      <c r="BE84" s="994">
        <f t="shared" si="222"/>
        <v>0.17152658662092624</v>
      </c>
      <c r="BF84" s="993">
        <f t="shared" si="222"/>
        <v>0.17965746242572528</v>
      </c>
      <c r="BG84" s="993">
        <f t="shared" si="222"/>
        <v>0.30285507770148173</v>
      </c>
      <c r="BH84" s="993">
        <f t="shared" si="222"/>
        <v>0.30876109610189117</v>
      </c>
      <c r="BI84" s="993">
        <f t="shared" si="222"/>
        <v>0.29253981559094722</v>
      </c>
      <c r="BJ84" s="994">
        <f t="shared" si="222"/>
        <v>0.29253981559094722</v>
      </c>
      <c r="BK84" s="993">
        <f t="shared" si="222"/>
        <v>0.30035180299032543</v>
      </c>
      <c r="BL84" s="993">
        <f t="shared" si="222"/>
        <v>0.29985987856141988</v>
      </c>
      <c r="BM84" s="993">
        <f t="shared" si="222"/>
        <v>0.29653579676674363</v>
      </c>
      <c r="BN84" s="993">
        <f t="shared" si="222"/>
        <v>0.28032090608777727</v>
      </c>
      <c r="BO84" s="994">
        <f t="shared" si="222"/>
        <v>0.28032090608777727</v>
      </c>
      <c r="BP84" s="993">
        <f t="shared" si="222"/>
        <v>0.26632700324224179</v>
      </c>
      <c r="BQ84" s="993">
        <f t="shared" si="222"/>
        <v>0.25911133300049927</v>
      </c>
      <c r="BR84" s="993">
        <f t="shared" si="222"/>
        <v>0.25563524590163933</v>
      </c>
      <c r="BS84" s="993">
        <f t="shared" si="222"/>
        <v>0.26059654631083201</v>
      </c>
      <c r="BT84" s="994">
        <f t="shared" si="222"/>
        <v>0.26059654631083201</v>
      </c>
      <c r="BU84" s="993">
        <f t="shared" si="222"/>
        <v>0.25287958115183246</v>
      </c>
      <c r="BV84" s="993">
        <f t="shared" si="222"/>
        <v>0.26164680390032502</v>
      </c>
      <c r="BW84" s="993">
        <f t="shared" si="222"/>
        <v>0.26091703056768561</v>
      </c>
      <c r="BX84" s="993">
        <f t="shared" si="222"/>
        <v>0.24151150054764511</v>
      </c>
      <c r="BY84" s="994">
        <f t="shared" si="222"/>
        <v>0.24151150054764511</v>
      </c>
      <c r="BZ84" s="993">
        <f t="shared" si="222"/>
        <v>0.22573839662447256</v>
      </c>
      <c r="CA84" s="993">
        <f t="shared" si="222"/>
        <v>0.22043010752688172</v>
      </c>
      <c r="CB84" s="993">
        <f t="shared" si="222"/>
        <v>0.22690992018244013</v>
      </c>
      <c r="CC84" s="993">
        <f t="shared" si="222"/>
        <v>0.22850548182342759</v>
      </c>
      <c r="CD84" s="994">
        <f t="shared" si="222"/>
        <v>0.22850548182342759</v>
      </c>
      <c r="CE84" s="993">
        <f t="shared" si="222"/>
        <v>0.22015765765765766</v>
      </c>
      <c r="CF84" s="993">
        <f t="shared" ref="CF84:DK84" si="223">-CF83/CF9</f>
        <v>0.24938725490196079</v>
      </c>
      <c r="CG84" s="993">
        <f t="shared" si="223"/>
        <v>0.24271229404309252</v>
      </c>
      <c r="CH84" s="993">
        <f t="shared" si="223"/>
        <v>0.24165029469548133</v>
      </c>
      <c r="CI84" s="994">
        <f t="shared" si="223"/>
        <v>0.24165029469548133</v>
      </c>
      <c r="CJ84" s="993">
        <f t="shared" si="223"/>
        <v>0.23008285532186107</v>
      </c>
      <c r="CK84" s="993">
        <f t="shared" si="223"/>
        <v>0.23884514435695539</v>
      </c>
      <c r="CL84" s="993">
        <f t="shared" si="223"/>
        <v>0.23921832884097036</v>
      </c>
      <c r="CM84" s="993">
        <f t="shared" si="223"/>
        <v>0.23545150501672241</v>
      </c>
      <c r="CN84" s="994">
        <f t="shared" si="223"/>
        <v>0.23545150501672241</v>
      </c>
      <c r="CO84" s="993">
        <f t="shared" si="223"/>
        <v>0.22493734335839599</v>
      </c>
      <c r="CP84" s="993">
        <f t="shared" si="223"/>
        <v>0.22441430332922319</v>
      </c>
      <c r="CQ84" s="993">
        <f t="shared" si="223"/>
        <v>0.23591989987484355</v>
      </c>
      <c r="CR84" s="993">
        <f t="shared" si="223"/>
        <v>0.23701492537313432</v>
      </c>
      <c r="CS84" s="994">
        <f t="shared" si="223"/>
        <v>0.23701492537313432</v>
      </c>
      <c r="CT84" s="993">
        <f t="shared" si="223"/>
        <v>0.21146355036171396</v>
      </c>
      <c r="CU84" s="993">
        <f t="shared" si="223"/>
        <v>0.22822993739328401</v>
      </c>
      <c r="CV84" s="993">
        <f t="shared" si="223"/>
        <v>0.23103448275862068</v>
      </c>
      <c r="CW84" s="993">
        <f t="shared" si="223"/>
        <v>0.22966781214203894</v>
      </c>
      <c r="CX84" s="994">
        <f t="shared" si="223"/>
        <v>0.22966781214203894</v>
      </c>
      <c r="CY84" s="993">
        <f t="shared" si="223"/>
        <v>0.22737430167597766</v>
      </c>
      <c r="CZ84" s="993">
        <f t="shared" ca="1" si="223"/>
        <v>0.22655367231638418</v>
      </c>
      <c r="DA84" s="993">
        <f t="shared" si="223"/>
        <v>-0.46808510638297873</v>
      </c>
      <c r="DB84" s="993">
        <f t="shared" ca="1" si="223"/>
        <v>0.16441164411644116</v>
      </c>
      <c r="DC84" s="994">
        <f t="shared" ca="1" si="223"/>
        <v>0.16441164411644116</v>
      </c>
      <c r="DD84" s="993">
        <f t="shared" si="223"/>
        <v>0.23862019914651494</v>
      </c>
      <c r="DE84" s="993">
        <f t="shared" si="223"/>
        <v>0.25752393980848154</v>
      </c>
      <c r="DF84" s="993">
        <f t="shared" si="223"/>
        <v>0.25672534041846562</v>
      </c>
      <c r="DG84" s="993">
        <f t="shared" si="223"/>
        <v>0.2616707616707617</v>
      </c>
      <c r="DH84" s="994">
        <f t="shared" ca="1" si="223"/>
        <v>0.2616707616707617</v>
      </c>
      <c r="DI84" s="993">
        <f t="shared" ca="1" si="223"/>
        <v>0.21376234469576297</v>
      </c>
      <c r="DJ84" s="993">
        <f t="shared" ca="1" si="223"/>
        <v>0.23112338858195211</v>
      </c>
      <c r="DK84" s="993">
        <f t="shared" si="223"/>
        <v>0.26556137289121584</v>
      </c>
      <c r="DL84" s="993">
        <f t="shared" ref="DL84:EG84" si="224">-DL83/DL9</f>
        <v>0.24700640490114173</v>
      </c>
      <c r="DM84" s="994">
        <f t="shared" ca="1" si="224"/>
        <v>0.24700640490114173</v>
      </c>
      <c r="DN84" s="993">
        <f t="shared" ca="1" si="224"/>
        <v>0.19292696952271421</v>
      </c>
      <c r="DO84" s="993">
        <f t="shared" si="224"/>
        <v>0.25706521739130433</v>
      </c>
      <c r="DP84" s="993">
        <f t="shared" si="224"/>
        <v>0.26041943190868067</v>
      </c>
      <c r="DQ84" s="993">
        <f t="shared" si="224"/>
        <v>0.26247454175152751</v>
      </c>
      <c r="DR84" s="994">
        <f t="shared" ca="1" si="224"/>
        <v>0.26247454175152751</v>
      </c>
      <c r="DS84" s="993">
        <f t="shared" si="224"/>
        <v>0.26018495376155959</v>
      </c>
      <c r="DT84" s="993">
        <f t="shared" si="224"/>
        <v>0.26307189542483661</v>
      </c>
      <c r="DU84" s="993">
        <f>-DU83/DU9</f>
        <v>0.26678091973721796</v>
      </c>
      <c r="DV84" s="993">
        <f>-DV83/DV9</f>
        <v>0.25554923164484916</v>
      </c>
      <c r="DW84" s="994">
        <f t="shared" ca="1" si="224"/>
        <v>0.29337653749274073</v>
      </c>
      <c r="DX84" s="993">
        <f t="shared" ca="1" si="224"/>
        <v>0.30060337494591871</v>
      </c>
      <c r="DY84" s="993">
        <f t="shared" ca="1" si="224"/>
        <v>0.31097188154293343</v>
      </c>
      <c r="DZ84" s="993">
        <f t="shared" ca="1" si="224"/>
        <v>0.31474805738041045</v>
      </c>
      <c r="EA84" s="993">
        <f t="shared" ca="1" si="224"/>
        <v>0.31565773163159144</v>
      </c>
      <c r="EB84" s="994">
        <f t="shared" ca="1" si="224"/>
        <v>0.31565773163159139</v>
      </c>
      <c r="EC84" s="993">
        <f t="shared" ca="1" si="224"/>
        <v>0.30423934558141041</v>
      </c>
      <c r="ED84" s="993">
        <f t="shared" ca="1" si="224"/>
        <v>0.3040649806170973</v>
      </c>
      <c r="EE84" s="993">
        <f t="shared" ca="1" si="224"/>
        <v>0.30595135592283895</v>
      </c>
      <c r="EF84" s="993">
        <f t="shared" ca="1" si="224"/>
        <v>0.29605141057717754</v>
      </c>
      <c r="EG84" s="994">
        <f t="shared" ca="1" si="224"/>
        <v>0.29605141057717749</v>
      </c>
      <c r="EH84" s="993">
        <f t="shared" ref="EH84:EL84" ca="1" si="225">-EH83/EH9</f>
        <v>0.29482168503516382</v>
      </c>
      <c r="EI84" s="993">
        <f t="shared" ca="1" si="225"/>
        <v>0.29174599477476171</v>
      </c>
      <c r="EJ84" s="993">
        <f t="shared" ca="1" si="225"/>
        <v>0.29657970874710488</v>
      </c>
      <c r="EK84" s="993">
        <f t="shared" ca="1" si="225"/>
        <v>0.28670592906938969</v>
      </c>
      <c r="EL84" s="994">
        <f t="shared" ca="1" si="225"/>
        <v>0.28670592906938969</v>
      </c>
      <c r="EM84" s="995"/>
      <c r="EN84"/>
      <c r="EO84"/>
      <c r="EP84"/>
      <c r="EQ84"/>
      <c r="ER84"/>
      <c r="ES84"/>
      <c r="ET84" s="141"/>
      <c r="EU84" s="141"/>
      <c r="EV84" s="141"/>
      <c r="EW84" s="141"/>
      <c r="EX84" s="141"/>
      <c r="EY84" s="141"/>
      <c r="EZ84" s="141"/>
      <c r="FA84" s="141"/>
      <c r="FB84" s="141"/>
      <c r="FC84" s="141"/>
      <c r="FD84" s="141"/>
      <c r="FE84" s="141"/>
      <c r="FF84" s="141"/>
      <c r="FG84" s="141"/>
      <c r="FH84" s="141"/>
      <c r="FI84" s="141"/>
      <c r="FJ84" s="141"/>
      <c r="FK84" s="141"/>
      <c r="FL84" s="141"/>
      <c r="FM84" s="141"/>
      <c r="FN84" s="141"/>
      <c r="FO84" s="141"/>
      <c r="FP84" s="141"/>
      <c r="FQ84" s="141"/>
      <c r="FR84" s="141"/>
      <c r="FS84" s="141"/>
      <c r="FT84" s="141"/>
      <c r="FU84" s="141"/>
      <c r="FV84" s="141"/>
      <c r="FW84" s="141"/>
      <c r="FX84" s="141"/>
      <c r="FY84" s="141"/>
      <c r="FZ84" s="141"/>
      <c r="GA84" s="141"/>
      <c r="GB84" s="141"/>
      <c r="GC84" s="141"/>
      <c r="GD84" s="141"/>
      <c r="GE84" s="141"/>
      <c r="GF84" s="141"/>
      <c r="GG84" s="141"/>
      <c r="GH84" s="141"/>
      <c r="GI84" s="141"/>
      <c r="GJ84" s="141"/>
      <c r="GK84" s="141"/>
      <c r="GL84" s="141"/>
      <c r="GM84" s="141"/>
      <c r="GN84" s="141"/>
      <c r="GO84" s="141"/>
      <c r="GP84" s="141"/>
      <c r="GQ84" s="141"/>
      <c r="GR84" s="141"/>
      <c r="GS84" s="141"/>
      <c r="GT84" s="141"/>
      <c r="GU84" s="141"/>
      <c r="GV84" s="141"/>
      <c r="GW84" s="141"/>
      <c r="GX84" s="141"/>
      <c r="GY84" s="141"/>
      <c r="GZ84" s="141"/>
      <c r="HA84" s="141"/>
      <c r="HB84" s="141"/>
      <c r="HC84" s="141"/>
      <c r="HD84" s="141"/>
      <c r="HE84" s="141"/>
      <c r="HF84" s="141"/>
      <c r="HG84" s="141"/>
      <c r="HH84" s="141"/>
      <c r="HI84" s="141"/>
      <c r="HJ84" s="141"/>
      <c r="HK84" s="141"/>
      <c r="HL84" s="141"/>
      <c r="HM84" s="141"/>
      <c r="HN84" s="141"/>
      <c r="HO84" s="141"/>
      <c r="HP84" s="141"/>
      <c r="HQ84" s="141"/>
      <c r="HR84" s="141"/>
      <c r="HS84" s="141"/>
      <c r="HT84" s="141"/>
      <c r="HU84" s="141"/>
      <c r="HV84" s="141"/>
      <c r="HW84" s="141"/>
      <c r="HX84" s="141"/>
      <c r="HY84" s="141"/>
      <c r="HZ84" s="141"/>
      <c r="IA84" s="141"/>
      <c r="IB84" s="141"/>
      <c r="IC84" s="141"/>
      <c r="ID84" s="141"/>
      <c r="IE84" s="141"/>
      <c r="IF84" s="141"/>
      <c r="IG84" s="141"/>
      <c r="IH84" s="141"/>
      <c r="II84" s="141"/>
      <c r="IJ84" s="141"/>
      <c r="IK84" s="141"/>
      <c r="IL84" s="141"/>
      <c r="IM84" s="141"/>
      <c r="IN84" s="141"/>
      <c r="IO84" s="141"/>
      <c r="IP84" s="141"/>
      <c r="IQ84" s="141"/>
      <c r="IR84" s="141"/>
      <c r="IS84" s="141"/>
      <c r="IT84" s="141"/>
      <c r="IU84" s="141"/>
      <c r="IV84" s="141"/>
      <c r="IW84" s="141"/>
      <c r="IX84" s="141"/>
      <c r="IY84" s="141"/>
      <c r="IZ84" s="141"/>
      <c r="JA84" s="141"/>
      <c r="JB84" s="141"/>
      <c r="JC84" s="141"/>
      <c r="JD84" s="141"/>
      <c r="JE84" s="141"/>
      <c r="JF84" s="141"/>
      <c r="JG84" s="141"/>
      <c r="JH84" s="141"/>
    </row>
    <row r="85" spans="1:268" s="142" customFormat="1" ht="12" hidden="1" customHeight="1" outlineLevel="1">
      <c r="A85" s="847"/>
      <c r="B85" s="848"/>
      <c r="C85" s="555"/>
      <c r="D85" s="555"/>
      <c r="E85" s="555"/>
      <c r="F85" s="555"/>
      <c r="G85" s="555"/>
      <c r="H85" s="802"/>
      <c r="I85" s="555"/>
      <c r="J85" s="555"/>
      <c r="K85" s="555"/>
      <c r="L85" s="555"/>
      <c r="M85" s="802"/>
      <c r="N85" s="555"/>
      <c r="O85" s="555"/>
      <c r="P85" s="555"/>
      <c r="Q85" s="555"/>
      <c r="R85" s="802"/>
      <c r="S85" s="555"/>
      <c r="T85" s="555"/>
      <c r="U85" s="555"/>
      <c r="V85" s="555"/>
      <c r="W85" s="802"/>
      <c r="X85" s="555"/>
      <c r="Y85" s="555"/>
      <c r="Z85" s="555"/>
      <c r="AA85" s="555"/>
      <c r="AB85" s="802"/>
      <c r="AC85" s="555"/>
      <c r="AD85" s="555"/>
      <c r="AE85" s="555"/>
      <c r="AF85" s="555"/>
      <c r="AG85" s="802"/>
      <c r="AH85" s="555"/>
      <c r="AI85" s="555"/>
      <c r="AJ85" s="555"/>
      <c r="AK85" s="555"/>
      <c r="AL85" s="802"/>
      <c r="AM85" s="555"/>
      <c r="AN85" s="555"/>
      <c r="AO85" s="555"/>
      <c r="AP85" s="555"/>
      <c r="AQ85" s="802"/>
      <c r="AR85" s="555"/>
      <c r="AS85" s="555"/>
      <c r="AT85" s="555"/>
      <c r="AU85" s="802"/>
      <c r="AV85" s="555"/>
      <c r="AW85" s="555"/>
      <c r="AX85" s="555"/>
      <c r="AY85" s="555"/>
      <c r="AZ85" s="802"/>
      <c r="BA85" s="555"/>
      <c r="BB85" s="555"/>
      <c r="BC85" s="555"/>
      <c r="BD85" s="555"/>
      <c r="BE85" s="802"/>
      <c r="BF85" s="555"/>
      <c r="BG85" s="555"/>
      <c r="BH85" s="555"/>
      <c r="BI85" s="555"/>
      <c r="BJ85" s="802"/>
      <c r="BK85" s="555"/>
      <c r="BL85" s="555"/>
      <c r="BM85" s="555"/>
      <c r="BN85" s="555"/>
      <c r="BO85" s="802"/>
      <c r="BP85" s="555"/>
      <c r="BQ85" s="555"/>
      <c r="BR85" s="555"/>
      <c r="BS85" s="555"/>
      <c r="BT85" s="802"/>
      <c r="BU85" s="555"/>
      <c r="BV85" s="555"/>
      <c r="BW85" s="555"/>
      <c r="BX85" s="555"/>
      <c r="BY85" s="802"/>
      <c r="BZ85" s="557"/>
      <c r="CA85" s="555"/>
      <c r="CB85" s="555"/>
      <c r="CC85" s="555"/>
      <c r="CD85" s="802"/>
      <c r="CE85" s="555"/>
      <c r="CF85" s="555"/>
      <c r="CG85" s="555"/>
      <c r="CH85" s="555"/>
      <c r="CI85" s="802"/>
      <c r="CJ85" s="555"/>
      <c r="CK85" s="555"/>
      <c r="CL85" s="555"/>
      <c r="CM85" s="555"/>
      <c r="CN85" s="802"/>
      <c r="CO85" s="555"/>
      <c r="CP85" s="555"/>
      <c r="CQ85" s="555"/>
      <c r="CR85" s="555"/>
      <c r="CS85" s="802"/>
      <c r="CT85" s="555"/>
      <c r="CU85" s="555"/>
      <c r="CV85" s="555"/>
      <c r="CW85" s="555"/>
      <c r="CX85" s="802"/>
      <c r="CY85" s="555"/>
      <c r="CZ85" s="555"/>
      <c r="DA85" s="555"/>
      <c r="DB85" s="555"/>
      <c r="DC85" s="802"/>
      <c r="DD85" s="555"/>
      <c r="DE85" s="555"/>
      <c r="DF85" s="555"/>
      <c r="DG85" s="555"/>
      <c r="DH85" s="802"/>
      <c r="DI85" s="555"/>
      <c r="DJ85" s="555"/>
      <c r="DK85" s="555"/>
      <c r="DL85" s="555"/>
      <c r="DM85" s="802"/>
      <c r="DN85" s="555"/>
      <c r="DO85" s="555"/>
      <c r="DP85" s="555"/>
      <c r="DQ85" s="555"/>
      <c r="DR85" s="802"/>
      <c r="DS85" s="555"/>
      <c r="DT85" s="555"/>
      <c r="DU85" s="555"/>
      <c r="DV85" s="555"/>
      <c r="DW85" s="802"/>
      <c r="DX85" s="555"/>
      <c r="DY85" s="555"/>
      <c r="DZ85" s="555"/>
      <c r="EA85" s="555"/>
      <c r="EB85" s="802"/>
      <c r="EC85" s="555"/>
      <c r="ED85" s="555"/>
      <c r="EE85" s="555"/>
      <c r="EF85" s="555"/>
      <c r="EG85" s="802"/>
      <c r="EH85" s="555"/>
      <c r="EI85" s="555"/>
      <c r="EJ85" s="555"/>
      <c r="EK85" s="555"/>
      <c r="EL85" s="802"/>
      <c r="EM85" s="555"/>
      <c r="EN85"/>
      <c r="EO85"/>
      <c r="EP85"/>
      <c r="EQ85"/>
      <c r="ER85"/>
      <c r="ES85"/>
      <c r="ET85" s="141"/>
      <c r="EU85" s="141"/>
      <c r="EV85" s="141"/>
      <c r="EW85" s="141"/>
      <c r="EX85" s="141"/>
      <c r="EY85" s="141"/>
      <c r="EZ85" s="141"/>
      <c r="FA85" s="141"/>
      <c r="FB85" s="141"/>
      <c r="FC85" s="141"/>
      <c r="FD85" s="141"/>
      <c r="FE85" s="141"/>
      <c r="FF85" s="141"/>
      <c r="FG85" s="141"/>
      <c r="FH85" s="141"/>
      <c r="FI85" s="141"/>
      <c r="FJ85" s="141"/>
      <c r="FK85" s="141"/>
      <c r="FL85" s="141"/>
      <c r="FM85" s="141"/>
      <c r="FN85" s="141"/>
      <c r="FO85" s="141"/>
      <c r="FP85" s="141"/>
      <c r="FQ85" s="141"/>
      <c r="FR85" s="141"/>
      <c r="FS85" s="141"/>
      <c r="FT85" s="141"/>
      <c r="FU85" s="141"/>
      <c r="FV85" s="141"/>
      <c r="FW85" s="141"/>
      <c r="FX85" s="141"/>
      <c r="FY85" s="141"/>
      <c r="FZ85" s="141"/>
      <c r="GA85" s="141"/>
      <c r="GB85" s="141"/>
      <c r="GC85" s="141"/>
      <c r="GD85" s="141"/>
      <c r="GE85" s="141"/>
      <c r="GF85" s="141"/>
      <c r="GG85" s="141"/>
      <c r="GH85" s="141"/>
      <c r="GI85" s="141"/>
      <c r="GJ85" s="141"/>
      <c r="GK85" s="141"/>
      <c r="GL85" s="141"/>
      <c r="GM85" s="141"/>
      <c r="GN85" s="141"/>
      <c r="GO85" s="141"/>
      <c r="GP85" s="141"/>
      <c r="GQ85" s="141"/>
      <c r="GR85" s="141"/>
      <c r="GS85" s="141"/>
      <c r="GT85" s="141"/>
      <c r="GU85" s="141"/>
      <c r="GV85" s="141"/>
      <c r="GW85" s="141"/>
      <c r="GX85" s="141"/>
      <c r="GY85" s="141"/>
      <c r="GZ85" s="141"/>
      <c r="HA85" s="141"/>
      <c r="HB85" s="141"/>
      <c r="HC85" s="141"/>
      <c r="HD85" s="141"/>
      <c r="HE85" s="141"/>
      <c r="HF85" s="141"/>
      <c r="HG85" s="141"/>
      <c r="HH85" s="141"/>
      <c r="HI85" s="141"/>
      <c r="HJ85" s="141"/>
      <c r="HK85" s="141"/>
      <c r="HL85" s="141"/>
      <c r="HM85" s="141"/>
      <c r="HN85" s="141"/>
      <c r="HO85" s="141"/>
      <c r="HP85" s="141"/>
      <c r="HQ85" s="141"/>
      <c r="HR85" s="141"/>
      <c r="HS85" s="141"/>
      <c r="HT85" s="141"/>
      <c r="HU85" s="141"/>
      <c r="HV85" s="141"/>
      <c r="HW85" s="141"/>
      <c r="HX85" s="141"/>
      <c r="HY85" s="141"/>
      <c r="HZ85" s="141"/>
      <c r="IA85" s="141"/>
      <c r="IB85" s="141"/>
      <c r="IC85" s="141"/>
      <c r="ID85" s="141"/>
      <c r="IE85" s="141"/>
      <c r="IF85" s="141"/>
      <c r="IG85" s="141"/>
      <c r="IH85" s="141"/>
      <c r="II85" s="141"/>
      <c r="IJ85" s="141"/>
      <c r="IK85" s="141"/>
      <c r="IL85" s="141"/>
      <c r="IM85" s="141"/>
      <c r="IN85" s="141"/>
      <c r="IO85" s="141"/>
      <c r="IP85" s="141"/>
      <c r="IQ85" s="141"/>
      <c r="IR85" s="141"/>
      <c r="IS85" s="141"/>
      <c r="IT85" s="141"/>
      <c r="IU85" s="141"/>
      <c r="IV85" s="141"/>
      <c r="IW85" s="141"/>
      <c r="IX85" s="141"/>
      <c r="IY85" s="141"/>
      <c r="IZ85" s="141"/>
      <c r="JA85" s="141"/>
      <c r="JB85" s="141"/>
      <c r="JC85" s="141"/>
      <c r="JD85" s="141"/>
      <c r="JE85" s="141"/>
      <c r="JF85" s="141"/>
      <c r="JG85" s="141"/>
      <c r="JH85" s="141"/>
    </row>
    <row r="86" spans="1:268" s="142" customFormat="1" ht="12" hidden="1" customHeight="1" outlineLevel="1">
      <c r="A86" s="872"/>
      <c r="B86" s="996" t="s">
        <v>13</v>
      </c>
      <c r="C86" s="996"/>
      <c r="D86" s="161">
        <f>(IS!D12/D11)*(IS!H6/IS!D6)</f>
        <v>7.1111242235358496</v>
      </c>
      <c r="E86" s="161">
        <f>IS!E12/AVERAGE(E11,D11)*(IS!H6/IS!E6)</f>
        <v>6.5163393025639982</v>
      </c>
      <c r="F86" s="161">
        <f>IS!F12/AVERAGE(F11,E11)*(IS!H6/IS!F6)</f>
        <v>6.4956973995271863</v>
      </c>
      <c r="G86" s="161">
        <f>IS!G12/AVERAGE(G11,F11)*(IS!H6/IS!G6)</f>
        <v>10.991720823329754</v>
      </c>
      <c r="H86" s="817">
        <f>IS!H12/AVERAGE(D11:G11,C11)</f>
        <v>7.5394354739755407</v>
      </c>
      <c r="I86" s="161">
        <f>IS!I12/AVERAGE(I11,H11)*(IS!M6/IS!I6)</f>
        <v>8.755037933552936</v>
      </c>
      <c r="J86" s="161">
        <f>IS!J12/AVERAGE(J11,I11)*(IS!M6/IS!J6)</f>
        <v>8.2726626711622977</v>
      </c>
      <c r="K86" s="161">
        <f>IS!K12/AVERAGE(K11,J11)*(IS!M6/IS!K6)</f>
        <v>7.5830967573902841</v>
      </c>
      <c r="L86" s="161">
        <f>IS!L12/AVERAGE(L11,K11)*(IS!M6/IS!L6)</f>
        <v>7.0549286536293749</v>
      </c>
      <c r="M86" s="817">
        <f>IS!M12/AVERAGE(I11:L11,H11)</f>
        <v>7.850364345026267</v>
      </c>
      <c r="N86" s="161">
        <f>IS!N12/AVERAGE(N11,M11)*(IS!R6/IS!N6)</f>
        <v>6.6258290346352249</v>
      </c>
      <c r="O86" s="161">
        <f>IS!O12/AVERAGE(O11,N11)*(IS!R6/IS!O6)</f>
        <v>6.261562983576626</v>
      </c>
      <c r="P86" s="161">
        <f>IS!P12/AVERAGE(P11,O11)*(IS!R6/IS!P6)</f>
        <v>7.7056588993648374</v>
      </c>
      <c r="Q86" s="161">
        <f>IS!Q12/AVERAGE(Q11,P11)*(IS!R6/IS!Q6)</f>
        <v>10.423623785479489</v>
      </c>
      <c r="R86" s="817">
        <f>IS!R12/AVERAGE(N11:Q11,M11)</f>
        <v>8.012501382896339</v>
      </c>
      <c r="S86" s="161">
        <f>IS!S12/AVERAGE(S11,R11)*(IS!W6/IS!S6)</f>
        <v>6.8681686820904435</v>
      </c>
      <c r="T86" s="161">
        <f>IS!T12/AVERAGE(T11,S11)*(IS!W6/IS!T6)</f>
        <v>6.7052252633808029</v>
      </c>
      <c r="U86" s="161">
        <f>IS!U12/AVERAGE(U11,T11)*(IS!W6/IS!U6)</f>
        <v>6.3327919880904044</v>
      </c>
      <c r="V86" s="161">
        <f>IS!V12/AVERAGE(V11,U11)*(IS!W6/IS!V6)</f>
        <v>5.884143665115813</v>
      </c>
      <c r="W86" s="817">
        <f>IS!W12/AVERAGE(S11:V11,R11)</f>
        <v>6.4095090037569635</v>
      </c>
      <c r="X86" s="161">
        <f>IS!X12/AVERAGE(X11,W11)*(IS!AB6/IS!X6)</f>
        <v>5.5851943755169557</v>
      </c>
      <c r="Y86" s="161">
        <f>IS!Y12/AVERAGE(Y11,X11)*(IS!AB6/IS!Y6)</f>
        <v>5.2329675923465686</v>
      </c>
      <c r="Z86" s="161">
        <f>IS!Z12/AVERAGE(Z11,Y11)*(IS!AB6/IS!Z6)</f>
        <v>5.2655982414436515</v>
      </c>
      <c r="AA86" s="161">
        <f>IS!AA12/AVERAGE(AA11,Z11)*(IS!AB6/IS!AA6)</f>
        <v>5.0517486333656372</v>
      </c>
      <c r="AB86" s="817">
        <f>IS!AB12/AVERAGE(X11:AA11,W11)</f>
        <v>5.2856587640886126</v>
      </c>
      <c r="AC86" s="161">
        <f>IS!AC12/AVERAGE(AC11,AB11)*(IS!AG6/IS!AC6)</f>
        <v>4.8602157016328249</v>
      </c>
      <c r="AD86" s="161">
        <f>IS!AD12/AVERAGE(AD11,AC11)*(IS!AG6/IS!AD6)</f>
        <v>4.558687428679252</v>
      </c>
      <c r="AE86" s="161">
        <f>IS!AE12/AVERAGE(AE11,AD11)*(IS!AG6/IS!AE6)</f>
        <v>4.5893719806763276</v>
      </c>
      <c r="AF86" s="161">
        <f>IS!AF12/AVERAGE(AF11,AE11)*(IS!AG6/IS!AF6)</f>
        <v>4.502420679061391</v>
      </c>
      <c r="AG86" s="817">
        <f>IS!AG12/AVERAGE(AC11:AF11,AB11)</f>
        <v>4.6455026455026456</v>
      </c>
      <c r="AH86" s="161">
        <f>IS!AH12/AVERAGE(AH11,AG11)*(IS!AL6/IS!AH6)</f>
        <v>4.5718633911484803</v>
      </c>
      <c r="AI86" s="161">
        <f>IS!AI12/AVERAGE(AI11,AH11)*(IS!AL6/IS!AI6)</f>
        <v>4.6213569039655997</v>
      </c>
      <c r="AJ86" s="161">
        <f>IS!AJ12/AVERAGE(AJ11,AI11)*(IS!AL6/IS!AJ6)</f>
        <v>4.7429378531073443</v>
      </c>
      <c r="AK86" s="161">
        <f>IS!AK12/AVERAGE(AK11,AJ11)*(IS!AL6/IS!AK6)</f>
        <v>5.0591530680119909</v>
      </c>
      <c r="AL86" s="817">
        <f>IS!AL12/AVERAGE(AH11:AK11,AG11)</f>
        <v>4.783316136201285</v>
      </c>
      <c r="AM86" s="161">
        <f>IS!AM12/AVERAGE(AM11,AL11)*(IS!AQ6/IS!AM6)</f>
        <v>5.5261889017468455</v>
      </c>
      <c r="AN86" s="161">
        <f>IS!AN12/AVERAGE(AN11,AM11)*(IS!AQ6/IS!AN6)</f>
        <v>5.7622419908134193</v>
      </c>
      <c r="AO86" s="161">
        <f>IS!AO12/AVERAGE(AO11,AN11)*(IS!AQ6/IS!AO6)</f>
        <v>5.8218193471592725</v>
      </c>
      <c r="AP86" s="161">
        <f>IS!AP12/AVERAGE(AP11,AO11)*(IS!AQ6/IS!AP6)</f>
        <v>6.0506359427385457</v>
      </c>
      <c r="AQ86" s="817">
        <f>IS!AQ12/AVERAGE(AM11:AP11,AL11)</f>
        <v>5.7908099558811292</v>
      </c>
      <c r="AR86" s="161">
        <f>IS!AR12/AVERAGE(AR11,AQ11)*(365/IS!AR6)</f>
        <v>5.9903160040774717</v>
      </c>
      <c r="AS86" s="161">
        <f>IS!AS12/AVERAGE(AS11,AR11)*(365/IS!AS6)</f>
        <v>5.9848011388295745</v>
      </c>
      <c r="AT86" s="161">
        <f>IS!AT12/AVERAGE(AT11,AS11)*(365/IS!AT6)</f>
        <v>5.6991146693777264</v>
      </c>
      <c r="AU86" s="802"/>
      <c r="AV86" s="555"/>
      <c r="AW86" s="555"/>
      <c r="AX86" s="555"/>
      <c r="AY86" s="555"/>
      <c r="AZ86" s="817"/>
      <c r="BA86" s="161">
        <f>IS!BA12/AVERAGE(BA11,AZ11)*(IS!BE6/IS!BA6)</f>
        <v>5.2601081261611036</v>
      </c>
      <c r="BB86" s="161">
        <f>IS!BB12/AVERAGE(BB11,BA11)*(IS!BE6/IS!BB6)</f>
        <v>5.0196784696784693</v>
      </c>
      <c r="BC86" s="161">
        <f>IS!BC12/AVERAGE(BC11,BB11)*(IS!BE6/IS!BC6)</f>
        <v>5.0976185231624251</v>
      </c>
      <c r="BD86" s="161">
        <f>IS!BD12/AVERAGE(BD11,BC11)*(IS!BE6/IS!BD6)</f>
        <v>5.1722425160370635</v>
      </c>
      <c r="BE86" s="817">
        <f>IS!BE12/AVERAGE(BA11:BD11,AZ11)</f>
        <v>5.1705516705516708</v>
      </c>
      <c r="BF86" s="161">
        <f>IS!BF12/AVERAGE(BF11,BE11)*(IS!BJ6/IS!BF6)</f>
        <v>4.5084667537418479</v>
      </c>
      <c r="BG86" s="161">
        <f>IS!BG12/AVERAGE(BG11,BF11)*(IS!BJ6/IS!BG6)</f>
        <v>4.8346508496181091</v>
      </c>
      <c r="BH86" s="161">
        <f>IS!BH12/AVERAGE(BH11,BG11)*(IS!BJ6/IS!BH6)</f>
        <v>5.2187938288920055</v>
      </c>
      <c r="BI86" s="161">
        <f>IS!BI12/AVERAGE(BI11,BH11)*(IS!BJ6/IS!BI6)</f>
        <v>5.5162777909694185</v>
      </c>
      <c r="BJ86" s="817">
        <f>IS!BJ12/AVERAGE(BF11:BI11,BE11)</f>
        <v>4.9611602753195676</v>
      </c>
      <c r="BK86" s="161">
        <f>IS!BK12/AVERAGE(BK11,BJ11)*(IS!BO6/IS!BK6)</f>
        <v>6.1866083833146961</v>
      </c>
      <c r="BL86" s="161">
        <f>IS!BL12/AVERAGE(BL11,BK11)*(IS!BO6/IS!BL6)</f>
        <v>6.282584729186671</v>
      </c>
      <c r="BM86" s="161">
        <f>IS!BM12/AVERAGE(BM11,BL11)*(IS!BO6/IS!BM6)</f>
        <v>6.2858602135067478</v>
      </c>
      <c r="BN86" s="161">
        <f>IS!BN12/AVERAGE(BN11,BM11)*(IS!BO6/IS!BN6)</f>
        <v>5.9849295332648635</v>
      </c>
      <c r="BO86" s="817">
        <f>IS!BO12/AVERAGE(BK11:BN11,BJ11)</f>
        <v>6.1423460260669565</v>
      </c>
      <c r="BP86" s="161">
        <f>IS!BP12/AVERAGE(BP11,BO11)*(IS!BT6/IS!BP6)</f>
        <v>6.297916443300811</v>
      </c>
      <c r="BQ86" s="161">
        <f>IS!BQ12/AVERAGE(BQ11,BP11)*(IS!BT6/IS!BQ6)</f>
        <v>5.7393226069888392</v>
      </c>
      <c r="BR86" s="161">
        <f>IS!BR12/AVERAGE(BR11,BQ11)*(IS!BT6/IS!BR6)</f>
        <v>5.7194194016372819</v>
      </c>
      <c r="BS86" s="161">
        <f>IS!BS12/AVERAGE(BS11,BR11)*(IS!BT6/IS!BS6)</f>
        <v>6.0327603992839585</v>
      </c>
      <c r="BT86" s="817">
        <f>IS!BT12/AVERAGE(BP11:BS11,BO11)</f>
        <v>5.9692988336238102</v>
      </c>
      <c r="BU86" s="161">
        <f>IS!BU12/AVERAGE(BU11,BT11)*(IS!BY6/IS!BU6)</f>
        <v>6.5088810641627539</v>
      </c>
      <c r="BV86" s="161">
        <f>IS!BV12/AVERAGE(BV11,BU11)*(IS!BY6/IS!BV6)</f>
        <v>6.4060813738233096</v>
      </c>
      <c r="BW86" s="161">
        <f>IS!BW12/AVERAGE(BW11,BV11)*(IS!BY6/IS!BW6)</f>
        <v>6.4599702357139428</v>
      </c>
      <c r="BX86" s="161">
        <f>IS!BX12/AVERAGE(BX11,BW11)*(IS!BY6/IS!BX6)</f>
        <v>6.5210644951346888</v>
      </c>
      <c r="BY86" s="817">
        <f>IS!BY12/AVERAGE(BU11:BX11,BT11)</f>
        <v>6.4606741573033704</v>
      </c>
      <c r="BZ86" s="161">
        <f>IS!BZ12/AVERAGE(BZ11,BY11)*(IS!CD6/IS!BZ6)</f>
        <v>6.6849701297650821</v>
      </c>
      <c r="CA86" s="161">
        <f>IS!CA12/AVERAGE(CA11,BZ11)*(IS!CD6/IS!CA6)</f>
        <v>6.0205620287868404</v>
      </c>
      <c r="CB86" s="161">
        <f>IS!CB12/AVERAGE(CB11,CA11)*(IS!CD6/IS!CB6)</f>
        <v>6.119092627599243</v>
      </c>
      <c r="CC86" s="161">
        <f>IS!CC12/AVERAGE(CC11,CB11)*(IS!CD6/IS!CC6)</f>
        <v>6.4851708939440416</v>
      </c>
      <c r="CD86" s="817">
        <f>IS!CD12/AVERAGE(BZ11:CC11,BY11)</f>
        <v>6.3664951400800458</v>
      </c>
      <c r="CE86" s="161">
        <f>IS!CE12/AVERAGE(CE11,CD11)*(IS!CI6/IS!CE6)</f>
        <v>6.7910441668707646</v>
      </c>
      <c r="CF86" s="161">
        <f>IS!CF12/AVERAGE(CF11,CE11)*(IS!CI6/IS!CF6)</f>
        <v>6.8509536440570917</v>
      </c>
      <c r="CG86" s="161">
        <f>IS!CG12/AVERAGE(CG11,CF11)*(IS!CI6/IS!CG6)</f>
        <v>7.4167265540783323</v>
      </c>
      <c r="CH86" s="161">
        <f>IS!CH12/AVERAGE(CH11,CG11)*(IS!CI6/IS!CH6)</f>
        <v>7.6245403647517511</v>
      </c>
      <c r="CI86" s="817">
        <f>IS!CI12/AVERAGE(CE11:CH11,CD11)</f>
        <v>7.1674603174603178</v>
      </c>
      <c r="CJ86" s="161">
        <f>IS!CJ12/CJ11*(IS!CN6/IS!CJ6)</f>
        <v>7.8526030169242089</v>
      </c>
      <c r="CK86" s="161">
        <f>IS!CK12/CK11*(IS!CN6/IS!CK6)</f>
        <v>7.9631962864721482</v>
      </c>
      <c r="CL86" s="161">
        <f>IS!CL12/CL11*(IS!CN6/IS!CL6)</f>
        <v>7.9488389109254056</v>
      </c>
      <c r="CM86" s="161">
        <f>IS!CM12/AVERAGE(CM11,CL11)*(IS!CN6/IS!CM6)</f>
        <v>8.0360628444580531</v>
      </c>
      <c r="CN86" s="817">
        <f>IS!CN12/AVERAGE(CJ11:CM11,CI11)</f>
        <v>7.9380820972749229</v>
      </c>
      <c r="CO86" s="161">
        <f>IS!CO12/CO11*(IS!CS6/IS!CO6)</f>
        <v>7.9635767537950235</v>
      </c>
      <c r="CP86" s="161">
        <f>IS!CP12/CP11*(IS!CS6/IS!CP6)</f>
        <v>7.3332867450514509</v>
      </c>
      <c r="CQ86" s="161">
        <f>IS!CQ12/CQ11*(IS!CS6/IS!CQ6)</f>
        <v>7.4376402093793397</v>
      </c>
      <c r="CR86" s="161">
        <f>IS!CR12/AVERAGE(CR11,CQ11)*(IS!CS6/IS!CR6)</f>
        <v>7.4712058736538101</v>
      </c>
      <c r="CS86" s="817">
        <f>IS!CS12/AVERAGE(CO11:CR11,CN11)</f>
        <v>7.6348378686654712</v>
      </c>
      <c r="CT86" s="161">
        <f>IS!CT12/CT11*(IS!CX6/IS!CT6)</f>
        <v>7.0703932623480963</v>
      </c>
      <c r="CU86" s="161">
        <f>IS!CU12/CU11*(IS!CX6/IS!CU6)</f>
        <v>7.2816784984926572</v>
      </c>
      <c r="CV86" s="161">
        <f>IS!CV12/CV11*(IS!CY6/IS!CV6)</f>
        <v>1.7744687073503607</v>
      </c>
      <c r="CW86" s="161">
        <f>IS!CW12/CW11*(IS!CZ6/IS!CW6)</f>
        <v>1.8613302085016972</v>
      </c>
      <c r="CX86" s="817">
        <f>IS!CX12/AVERAGE(CT11:CW11,CS11)</f>
        <v>7.3537273537273542</v>
      </c>
      <c r="CY86" s="161">
        <f>IS!CY12/CY11*(IS!DC6/IS!CY6)</f>
        <v>7.606732545995019</v>
      </c>
      <c r="CZ86" s="161">
        <f>IS!CZ12/CZ11*(IS!DC6/IS!CZ6)</f>
        <v>7.7026224323521619</v>
      </c>
      <c r="DA86" s="161">
        <f>IS!DA12/DA11*(IS!DD6/IS!DA6)</f>
        <v>1.8558601134215502</v>
      </c>
      <c r="DB86" s="161">
        <f>IS!DB12/DB11*(IS!DE6/IS!DB6)</f>
        <v>2.0544598284763405</v>
      </c>
      <c r="DC86" s="817">
        <f>IS!DC12/AVERAGE(CY11:DB11,CX11)</f>
        <v>8.033266799733866</v>
      </c>
      <c r="DD86" s="161">
        <f>IS!DD12/DD11*(IS!DH6/IS!DD6)</f>
        <v>8.156572733405989</v>
      </c>
      <c r="DE86" s="161">
        <f>IS!DE12/DE11*(IS!DH6/IS!DE6)</f>
        <v>8.0589286347001696</v>
      </c>
      <c r="DF86" s="161">
        <f>IS!DF12/DF11*(IS!DI6/IS!DF6)</f>
        <v>1.9355402727590629</v>
      </c>
      <c r="DG86" s="161">
        <f>IS!DG12/DG11*(IS!DJ6/IS!DG6)</f>
        <v>1.984844100412356</v>
      </c>
      <c r="DH86" s="817">
        <f>IS!DH12/AVERAGE(DD11:DG11,DC11)</f>
        <v>8.1513828238719057</v>
      </c>
      <c r="DI86" s="161">
        <f>IS!DI12/DI11*(IS!DM6/IS!DI6)</f>
        <v>7.8728390059427333</v>
      </c>
      <c r="DJ86" s="161">
        <f>IS!DJ12/DJ11*(IS!DM6/IS!DJ6)</f>
        <v>7.7561799477967144</v>
      </c>
      <c r="DK86" s="161">
        <f>IS!DK12/DK11*(IS!DN6/IS!DK6)</f>
        <v>1.9833534222987514</v>
      </c>
      <c r="DL86" s="161">
        <f>IS!DL12/DL11*(IS!DO6/IS!DL6)</f>
        <v>1.981553093645485</v>
      </c>
      <c r="DM86" s="817">
        <f>IS!DM12/AVERAGE(DI11:DL11,DH11)</f>
        <v>7.9767570997937494</v>
      </c>
      <c r="DN86" s="161">
        <f>IS!DN12/DN11*(IS!DR6/IS!DN6)</f>
        <v>7.7659853505952539</v>
      </c>
      <c r="DO86" s="161">
        <f>IS!DO12/DO11*(IS!DR6/IS!DO6)</f>
        <v>7.679124094632507</v>
      </c>
      <c r="DP86" s="161">
        <f>IS!DP12/DP11*(IS!DS6/IS!DP6)</f>
        <v>1.831517837635382</v>
      </c>
      <c r="DQ86" s="161">
        <f>IS!DQ12/DQ11*(IS!DT6/IS!DQ6)</f>
        <v>1.7802299230088097</v>
      </c>
      <c r="DR86" s="817">
        <f>IS!DR12/AVERAGE(DN11:DQ11,DM11)</f>
        <v>7.5639000574382544</v>
      </c>
      <c r="DS86" s="161">
        <f>IS!DS12/DS11*(IS!DW6/IS!DS6)</f>
        <v>7.1191441441441432</v>
      </c>
      <c r="DT86" s="161">
        <f>IS!DT12/DT11*(IS!DX6/IS!DT6)</f>
        <v>1.8906703053044516</v>
      </c>
      <c r="DU86" s="161">
        <f>IS!DU12/DU11*(IS!DY6/IS!DU6)</f>
        <v>1.9038930573669146</v>
      </c>
      <c r="DV86" s="161">
        <f>IS!DV12/DV11*(IS!DZ6/IS!DV6)</f>
        <v>2.0271406727828745</v>
      </c>
      <c r="DW86" s="817">
        <f>IS!DW12/AVERAGE(DS11:DV11,DR11)</f>
        <v>7.4978175469227413</v>
      </c>
      <c r="DX86" s="161">
        <f>IS!DX12/DX11*(IS!EB6/IS!DX6)</f>
        <v>8.0396475770925093</v>
      </c>
      <c r="DY86" s="161">
        <f>IS!DY12/DY11*(IS!EB6/IS!DY6)</f>
        <v>8.0396475770925111</v>
      </c>
      <c r="DZ86" s="161">
        <f>IS!DZ12/DZ11*(IS!EB6/IS!DZ6)</f>
        <v>7.604166666666667</v>
      </c>
      <c r="EA86" s="161">
        <f>IS!EA12/AVERAGE(EA11,DZ11)*(IS!EB6/IS!EA6)</f>
        <v>7.8724258879940772</v>
      </c>
      <c r="EB86" s="817">
        <f>IS!EB12/AVERAGE(DX11:EA11,DW11)</f>
        <v>7.7875796167513647</v>
      </c>
      <c r="EC86" s="161">
        <f>IS!EC12/EC11*(IS!EG6/IS!EC6)</f>
        <v>7.3</v>
      </c>
      <c r="ED86" s="161">
        <f>IS!ED12/ED11*(IS!EG6/IS!ED6)</f>
        <v>7.2999999999999989</v>
      </c>
      <c r="EE86" s="161">
        <f>IS!EE12/EE11*(IS!EG6/IS!EE6)</f>
        <v>7.1568627450980387</v>
      </c>
      <c r="EF86" s="161">
        <f>IS!EF12/AVERAGE(EF11,EE11)*(IS!EG6/IS!EF6)</f>
        <v>7.3946263294080765</v>
      </c>
      <c r="EG86" s="817">
        <f>IS!EG12/AVERAGE(EC11:EF11,EB11)</f>
        <v>7.3367652023882144</v>
      </c>
      <c r="EH86" s="161">
        <f>IS!EH12/EH11*(IS!EL6/IS!EH6)</f>
        <v>7.1764705882352935</v>
      </c>
      <c r="EI86" s="161">
        <f>IS!EI12/EI11*(IS!EL6/IS!EI6)</f>
        <v>7.1764705882352944</v>
      </c>
      <c r="EJ86" s="161">
        <f>IS!EJ12/EJ11*(IS!EL6/IS!EJ6)</f>
        <v>7.1764705882352944</v>
      </c>
      <c r="EK86" s="161">
        <f>IS!EK12/AVERAGE(EK11,EJ11)*(IS!EL6/IS!EK6)</f>
        <v>7.4183722966944519</v>
      </c>
      <c r="EL86" s="817">
        <f>IS!EL12/AVERAGE(EH11:EK11,EG11)</f>
        <v>7.1872021365804795</v>
      </c>
      <c r="EM86" s="739"/>
      <c r="EN86"/>
      <c r="EO86"/>
      <c r="EP86"/>
      <c r="EQ86"/>
      <c r="ER86"/>
      <c r="ES86"/>
      <c r="ET86" s="141"/>
      <c r="EU86" s="141"/>
      <c r="EV86" s="141"/>
      <c r="EW86" s="141"/>
      <c r="EX86" s="141"/>
      <c r="EY86" s="141"/>
      <c r="EZ86" s="141"/>
      <c r="FA86" s="141"/>
      <c r="FB86" s="141"/>
      <c r="FC86" s="141"/>
      <c r="FD86" s="141"/>
      <c r="FE86" s="141"/>
      <c r="FF86" s="141"/>
      <c r="FG86" s="141"/>
      <c r="FH86" s="141"/>
      <c r="FI86" s="141"/>
      <c r="FJ86" s="141"/>
      <c r="FK86" s="141"/>
      <c r="FL86" s="141"/>
      <c r="FM86" s="141"/>
      <c r="FN86" s="141"/>
      <c r="FO86" s="141"/>
      <c r="FP86" s="141"/>
      <c r="FQ86" s="141"/>
      <c r="FR86" s="141"/>
      <c r="FS86" s="141"/>
      <c r="FT86" s="141"/>
      <c r="FU86" s="141"/>
      <c r="FV86" s="141"/>
      <c r="FW86" s="141"/>
      <c r="FX86" s="141"/>
      <c r="FY86" s="141"/>
      <c r="FZ86" s="141"/>
      <c r="GA86" s="141"/>
      <c r="GB86" s="141"/>
      <c r="GC86" s="141"/>
      <c r="GD86" s="141"/>
      <c r="GE86" s="141"/>
      <c r="GF86" s="141"/>
      <c r="GG86" s="141"/>
      <c r="GH86" s="141"/>
      <c r="GI86" s="141"/>
      <c r="GJ86" s="141"/>
      <c r="GK86" s="141"/>
      <c r="GL86" s="141"/>
      <c r="GM86" s="141"/>
      <c r="GN86" s="141"/>
      <c r="GO86" s="141"/>
      <c r="GP86" s="141"/>
      <c r="GQ86" s="141"/>
      <c r="GR86" s="141"/>
      <c r="GS86" s="141"/>
      <c r="GT86" s="141"/>
      <c r="GU86" s="141"/>
      <c r="GV86" s="141"/>
      <c r="GW86" s="141"/>
      <c r="GX86" s="141"/>
      <c r="GY86" s="141"/>
      <c r="GZ86" s="141"/>
      <c r="HA86" s="141"/>
      <c r="HB86" s="141"/>
      <c r="HC86" s="141"/>
      <c r="HD86" s="141"/>
      <c r="HE86" s="141"/>
      <c r="HF86" s="141"/>
      <c r="HG86" s="141"/>
      <c r="HH86" s="141"/>
      <c r="HI86" s="141"/>
      <c r="HJ86" s="141"/>
      <c r="HK86" s="141"/>
      <c r="HL86" s="141"/>
      <c r="HM86" s="141"/>
      <c r="HN86" s="141"/>
      <c r="HO86" s="141"/>
      <c r="HP86" s="141"/>
      <c r="HQ86" s="141"/>
      <c r="HR86" s="141"/>
      <c r="HS86" s="141"/>
      <c r="HT86" s="141"/>
      <c r="HU86" s="141"/>
      <c r="HV86" s="141"/>
      <c r="HW86" s="141"/>
      <c r="HX86" s="141"/>
      <c r="HY86" s="141"/>
      <c r="HZ86" s="141"/>
      <c r="IA86" s="141"/>
      <c r="IB86" s="141"/>
      <c r="IC86" s="141"/>
      <c r="ID86" s="141"/>
      <c r="IE86" s="141"/>
      <c r="IF86" s="141"/>
      <c r="IG86" s="141"/>
      <c r="IH86" s="141"/>
      <c r="II86" s="141"/>
      <c r="IJ86" s="141"/>
      <c r="IK86" s="141"/>
      <c r="IL86" s="141"/>
      <c r="IM86" s="141"/>
      <c r="IN86" s="141"/>
      <c r="IO86" s="141"/>
      <c r="IP86" s="141"/>
      <c r="IQ86" s="141"/>
      <c r="IR86" s="141"/>
      <c r="IS86" s="141"/>
      <c r="IT86" s="141"/>
      <c r="IU86" s="141"/>
      <c r="IV86" s="141"/>
      <c r="IW86" s="141"/>
      <c r="IX86" s="141"/>
      <c r="IY86" s="141"/>
      <c r="IZ86" s="141"/>
      <c r="JA86" s="141"/>
      <c r="JB86" s="141"/>
      <c r="JC86" s="141"/>
      <c r="JD86" s="141"/>
      <c r="JE86" s="141"/>
      <c r="JF86" s="141"/>
      <c r="JG86" s="141"/>
      <c r="JH86" s="141"/>
    </row>
    <row r="87" spans="1:268" s="142" customFormat="1" ht="12" hidden="1" customHeight="1" outlineLevel="1">
      <c r="A87" s="872"/>
      <c r="B87" s="996" t="s">
        <v>14</v>
      </c>
      <c r="C87" s="996"/>
      <c r="D87" s="161">
        <f>D11/IS!D12*IS!D6</f>
        <v>51.187405613765108</v>
      </c>
      <c r="E87" s="161">
        <f>E11/IS!E12*IS!E6</f>
        <v>58.605823418910454</v>
      </c>
      <c r="F87" s="161">
        <f>F11/IS!F12*IS!F6</f>
        <v>56.016654049962156</v>
      </c>
      <c r="G87" s="161">
        <f>G11/IS!G12*IS!G6</f>
        <v>38.337150085001092</v>
      </c>
      <c r="H87" s="817">
        <f>H11/IS!H12*IS!H6</f>
        <v>61.983122362869196</v>
      </c>
      <c r="I87" s="161">
        <f>I11/IS!I12*IS!I6</f>
        <v>43.122984656125858</v>
      </c>
      <c r="J87" s="161">
        <f>J11/IS!J12*IS!J6</f>
        <v>48.536873586694867</v>
      </c>
      <c r="K87" s="161">
        <f>K11/IS!K12*IS!K6</f>
        <v>50.571967316153362</v>
      </c>
      <c r="L87" s="161">
        <f>L11/IS!L12*IS!L6</f>
        <v>52.93350539971474</v>
      </c>
      <c r="M87" s="817">
        <f>M11/IS!M12*IS!M6</f>
        <v>55.173232595790608</v>
      </c>
      <c r="N87" s="161">
        <f>N11/IS!N12*IS!N6</f>
        <v>56.583901014875572</v>
      </c>
      <c r="O87" s="161">
        <f>O11/IS!O12*IS!O6</f>
        <v>62.037328094302552</v>
      </c>
      <c r="P87" s="161">
        <f>P11/IS!P12*IS!P6</f>
        <v>54.247842997004781</v>
      </c>
      <c r="Q87" s="161">
        <f>Q11/IS!Q12*IS!Q6</f>
        <v>34.986720913149128</v>
      </c>
      <c r="R87" s="817">
        <f>R11/IS!R12*IS!R6</f>
        <v>56.528592797146473</v>
      </c>
      <c r="S87" s="161">
        <f>S11/IS!S12*IS!S6</f>
        <v>53.163449163449165</v>
      </c>
      <c r="T87" s="161">
        <f>T11/IS!T12*IS!T6</f>
        <v>58.406340057636889</v>
      </c>
      <c r="U87" s="161">
        <f>U11/IS!U12*IS!U6</f>
        <v>60.549921996879881</v>
      </c>
      <c r="V87" s="161">
        <f>V11/IS!V12*IS!V6</f>
        <v>62.335278101905871</v>
      </c>
      <c r="W87" s="817">
        <f>W11/IS!W12*IS!W6</f>
        <v>64.257705912076801</v>
      </c>
      <c r="X87" s="161">
        <f>X11/IS!X12*IS!X6</f>
        <v>67.927927927927925</v>
      </c>
      <c r="Y87" s="161">
        <f>Y11/IS!Y12*IS!Y6</f>
        <v>72.572766289504486</v>
      </c>
      <c r="Z87" s="161">
        <f>Z11/IS!Z12*IS!Z6</f>
        <v>73.447909284195603</v>
      </c>
      <c r="AA87" s="161">
        <f>AA11/IS!AA12*IS!AA6</f>
        <v>72.48674371176071</v>
      </c>
      <c r="AB87" s="817">
        <f>AB11/IS!AB12*IS!AB6</f>
        <v>77.763786764705884</v>
      </c>
      <c r="AC87" s="161">
        <f>AC11/IS!AC12*IS!AC6</f>
        <v>76.778280542986423</v>
      </c>
      <c r="AD87" s="161">
        <f>AD11/IS!AD12*IS!AD6</f>
        <v>80.787050359712225</v>
      </c>
      <c r="AE87" s="161">
        <f>AE11/IS!AE12*IS!AE6</f>
        <v>81.126315789473693</v>
      </c>
      <c r="AF87" s="161">
        <f>AF11/IS!AF12*IS!AF6</f>
        <v>80.061147372037098</v>
      </c>
      <c r="AG87" s="817">
        <f>AG11/IS!AG12*IS!AG6</f>
        <v>80.137550376730331</v>
      </c>
      <c r="AH87" s="161">
        <f>AH11/IS!AH12*IS!AH6</f>
        <v>79.979260283442798</v>
      </c>
      <c r="AI87" s="161">
        <f>AI11/IS!AI12*IS!AI6</f>
        <v>79.449399656946824</v>
      </c>
      <c r="AJ87" s="161">
        <f>AJ11/IS!AJ12*IS!AJ6</f>
        <v>78.468379446640313</v>
      </c>
      <c r="AK87" s="161">
        <f>AK11/IS!AK12*IS!AK6</f>
        <v>68.405110626363353</v>
      </c>
      <c r="AL87" s="817">
        <f>AL11/IS!AL12*IS!AL6</f>
        <v>72.255040238944659</v>
      </c>
      <c r="AM87" s="161">
        <f>AM11/IS!AM12*IS!AM6</f>
        <v>65.518956627236889</v>
      </c>
      <c r="AN87" s="161">
        <f>AN11/IS!AN12*IS!AN6</f>
        <v>63.732174425456684</v>
      </c>
      <c r="AO87" s="161">
        <f>AO11/IS!AO12*IS!AO6</f>
        <v>63.986796785304243</v>
      </c>
      <c r="AP87" s="161">
        <f>AP11/IS!AP12*IS!AP6</f>
        <v>59.68432316746923</v>
      </c>
      <c r="AQ87" s="817">
        <f>AQ11/IS!AQ12*IS!AQ6</f>
        <v>63.61855818299432</v>
      </c>
      <c r="AR87" s="161">
        <f>AR11/IS!AR12*IS!AR6</f>
        <v>61.614906832298139</v>
      </c>
      <c r="AS87" s="161">
        <f>AS11/IS!AS12*IS!AS6</f>
        <v>62.240338803599791</v>
      </c>
      <c r="AT87" s="161">
        <f>AT11/IS!AT12*IS!AT6</f>
        <v>64.99728703201302</v>
      </c>
      <c r="AU87" s="802"/>
      <c r="AV87" s="555"/>
      <c r="AW87" s="555"/>
      <c r="AX87" s="555"/>
      <c r="AY87" s="555"/>
      <c r="AZ87" s="817">
        <f>AZ11/IS!AA12*IS!AA6</f>
        <v>80.992522093813733</v>
      </c>
      <c r="BA87" s="161">
        <f>BA11/IS!BA12*IS!BA6</f>
        <v>71.254345307068363</v>
      </c>
      <c r="BB87" s="161">
        <f>BB11/IS!BB12*IS!BB6</f>
        <v>71.82509618230246</v>
      </c>
      <c r="BC87" s="161">
        <f>BC11/IS!BC12*IS!BC6</f>
        <v>68.783742796481647</v>
      </c>
      <c r="BD87" s="161">
        <f>BD11/IS!BD12*IS!BD6</f>
        <v>69.845960389814522</v>
      </c>
      <c r="BE87" s="817">
        <f>BE11/IS!BE12*IS!BE6</f>
        <v>66.231497482906306</v>
      </c>
      <c r="BF87" s="161">
        <f>BF11/IS!BF12*IS!BF6</f>
        <v>80.021356313225937</v>
      </c>
      <c r="BG87" s="161">
        <f>BG11/IS!BG12*IS!BG6</f>
        <v>68.303112840466923</v>
      </c>
      <c r="BH87" s="161">
        <f>BH11/IS!BH12*IS!BH6</f>
        <v>67.529508196721309</v>
      </c>
      <c r="BI87" s="161">
        <f>BI11/IS!BI12*IS!BI6</f>
        <v>64.384742951907128</v>
      </c>
      <c r="BJ87" s="817">
        <f>BJ11/IS!BJ12*IS!BJ6</f>
        <v>61.223664651669807</v>
      </c>
      <c r="BK87" s="161">
        <f>BK11/IS!BK12*IS!BK6</f>
        <v>57.253098760495796</v>
      </c>
      <c r="BL87" s="161">
        <f>BL11/IS!BL12*IS!BL6</f>
        <v>56.367355371900821</v>
      </c>
      <c r="BM87" s="161">
        <f>BM11/IS!BM12*IS!BM6</f>
        <v>58.527986633249796</v>
      </c>
      <c r="BN87" s="161">
        <f>BN11/IS!BN12*IS!BN6</f>
        <v>61.026533275337101</v>
      </c>
      <c r="BO87" s="817"/>
      <c r="BP87" s="161">
        <f>BP11/IS!BP12*IS!BP6</f>
        <v>59.055509527754758</v>
      </c>
      <c r="BQ87" s="161">
        <f>BQ11/IS!BQ12*IS!BQ6</f>
        <v>61.523462414578589</v>
      </c>
      <c r="BR87" s="161">
        <f>BR11/IS!BR12*IS!BR6</f>
        <v>63.144071799716578</v>
      </c>
      <c r="BS87" s="161">
        <f>BS11/IS!BS12*IS!BS6</f>
        <v>59.658558972005508</v>
      </c>
      <c r="BT87" s="817"/>
      <c r="BU87" s="161">
        <f>BU11/IS!BU12*IS!BU6</f>
        <v>56.353663887670031</v>
      </c>
      <c r="BV87" s="161">
        <f>BV11/IS!BV12*IS!BV6</f>
        <v>55.670107719928183</v>
      </c>
      <c r="BW87" s="161">
        <f>BW11/IS!BW12*IS!BW6</f>
        <v>56.31464737793852</v>
      </c>
      <c r="BX87" s="161">
        <f>BX11/IS!BX12*IS!BX6</f>
        <v>56.605952909817866</v>
      </c>
      <c r="BY87" s="817"/>
      <c r="BZ87" s="161">
        <f>BZ11/IS!BZ12*IS!BZ6</f>
        <v>56.342471530999575</v>
      </c>
      <c r="CA87" s="161">
        <f>CA11/IS!CA12*IS!CA6</f>
        <v>60.416666666666664</v>
      </c>
      <c r="CB87" s="161">
        <f>CB11/IS!CB12*IS!CB6</f>
        <v>57.809082483781282</v>
      </c>
      <c r="CC87" s="161">
        <f>CC11/IS!CC12*IS!CC6</f>
        <v>56.038268792710703</v>
      </c>
      <c r="CD87" s="817">
        <f>CD11/IS!CD12*IS!CD6</f>
        <v>54.93286933093848</v>
      </c>
      <c r="CE87" s="161">
        <f>CE11/IS!CE12*IS!CE6</f>
        <v>54.695041684949537</v>
      </c>
      <c r="CF87" s="161">
        <f>CF11/IS!CF12*IS!CF6</f>
        <v>50.0112157918349</v>
      </c>
      <c r="CG87" s="161">
        <f>CG11/IS!CG12*IS!CG6</f>
        <v>48.603006189213083</v>
      </c>
      <c r="CH87" s="161">
        <f>CH11/IS!CH12*IS!CH6</f>
        <v>47.118973905351616</v>
      </c>
      <c r="CI87" s="817">
        <f>CI11/IS!CI12*IS!CI6</f>
        <v>46.802126010408593</v>
      </c>
      <c r="CJ87" s="161">
        <f>CJ11/IS!CJ12*IS!CJ6</f>
        <v>46.481402308678923</v>
      </c>
      <c r="CK87" s="161">
        <f>CK11/IS!CK12*IS!CK6</f>
        <v>45.835866261398174</v>
      </c>
      <c r="CL87" s="161">
        <f>CL11/IS!CL12*IS!CL6</f>
        <v>45.918656056587089</v>
      </c>
      <c r="CM87" s="161">
        <f>CM11/IS!CM12*IS!CM6</f>
        <v>45.700130378096482</v>
      </c>
      <c r="CN87" s="817">
        <f>CN11/IS!CN12*IS!CN6</f>
        <v>45.322650733297124</v>
      </c>
      <c r="CO87" s="161">
        <f>CO11/IS!CO12*IS!CO6</f>
        <v>45.833676410045285</v>
      </c>
      <c r="CP87" s="161">
        <f>CP11/IS!CP12*IS!CP6</f>
        <v>49.773043478260874</v>
      </c>
      <c r="CQ87" s="161">
        <f>CQ11/IS!CQ12*IS!CQ6</f>
        <v>49.074705111402366</v>
      </c>
      <c r="CR87" s="161">
        <f>CR11/IS!CR12*IS!CR6</f>
        <v>49.968550786230345</v>
      </c>
      <c r="CS87" s="817">
        <f>CS11/IS!CS12*IS!CS6</f>
        <v>49.778038629815384</v>
      </c>
      <c r="CT87" s="161">
        <f>CT11/IS!CT12*IS!CT6</f>
        <v>51.765154556403047</v>
      </c>
      <c r="CU87" s="161">
        <f>CU11/IS!CU12*IS!CU6</f>
        <v>50.263136456211811</v>
      </c>
      <c r="CV87" s="161">
        <f>CV11/IS!CV12*IS!CV6</f>
        <v>50.71940667490729</v>
      </c>
      <c r="CW87" s="161">
        <f>CW11/IS!CW12*IS!CW6</f>
        <v>48.889766890557091</v>
      </c>
      <c r="CX87" s="817">
        <f>CX11/IS!CX12*IS!CX6</f>
        <v>49.70415993537965</v>
      </c>
      <c r="CY87" s="161">
        <f>CY11/IS!CY12*IS!CY6</f>
        <v>47.983808789514256</v>
      </c>
      <c r="CZ87" s="161">
        <f>CZ11/IS!CZ12*IS!CZ6</f>
        <v>47.386458729554967</v>
      </c>
      <c r="DA87" s="161">
        <f>DA11/IS!DA12*IS!DA6</f>
        <v>48.49503437738732</v>
      </c>
      <c r="DB87" s="161">
        <f>DB11/IS!DB12*IS!DB6</f>
        <v>44.293881407984884</v>
      </c>
      <c r="DC87" s="817">
        <f>DC11/IS!DC12*IS!DC6</f>
        <v>61.60924300149081</v>
      </c>
      <c r="DD87" s="161">
        <f>DD11/IS!DD12*IS!DD6</f>
        <v>44.749187180678121</v>
      </c>
      <c r="DE87" s="161">
        <f>DE11/IS!DE12*IS!DE6</f>
        <v>45.291380100871159</v>
      </c>
      <c r="DF87" s="161">
        <f>DF11/IS!DF12*IS!DF6</f>
        <v>46.498644986449868</v>
      </c>
      <c r="DG87" s="161">
        <f>DG11/IS!DG12*IS!DG6</f>
        <v>45.847429519071312</v>
      </c>
      <c r="DH87" s="817">
        <f>DH11/IS!DH12*IS!DH6</f>
        <v>48.965401785714285</v>
      </c>
      <c r="DI87" s="161">
        <f>DI11/IS!DI12*IS!DI6</f>
        <v>46.361928616155296</v>
      </c>
      <c r="DJ87" s="161">
        <f>DJ11/IS!DJ12*IS!DJ6</f>
        <v>47.059248554913289</v>
      </c>
      <c r="DK87" s="161">
        <f>DK11/IS!DK12*IS!DK6</f>
        <v>45.881888208571993</v>
      </c>
      <c r="DL87" s="161">
        <f>DL11/IS!DL12*IS!DL6</f>
        <v>45.923573933911761</v>
      </c>
      <c r="DM87" s="817">
        <f>DM11/IS!DM12*IS!DM6</f>
        <v>49.075630252100837</v>
      </c>
      <c r="DN87" s="161">
        <f>DN11/IS!DN12*IS!DN6</f>
        <v>47.12859778597786</v>
      </c>
      <c r="DO87" s="161">
        <f>DO11/IS!DO12*IS!DO6</f>
        <v>47.661685823754794</v>
      </c>
      <c r="DP87" s="161">
        <f>DP11/IS!DP12*IS!DP6</f>
        <v>49.139570552147241</v>
      </c>
      <c r="DQ87" s="161">
        <f>DQ11/IS!DQ12*IS!DQ6</f>
        <v>51.11699271192942</v>
      </c>
      <c r="DR87" s="817">
        <f>DR11/IS!DR12*IS!DR6</f>
        <v>50.322828666350262</v>
      </c>
      <c r="DS87" s="161">
        <f>DS11/IS!DS12*IS!DS6</f>
        <v>51.270207852193998</v>
      </c>
      <c r="DT87" s="161">
        <f>DT11/IS!DT12*IS!DT6</f>
        <v>47.602165087956699</v>
      </c>
      <c r="DU87" s="161">
        <f>DU11/IS!DU12*IS!DU6</f>
        <v>47.796802266747626</v>
      </c>
      <c r="DV87" s="161">
        <f>DV11/IS!DV12*IS!DV6</f>
        <v>45.384122194983973</v>
      </c>
      <c r="DW87" s="817">
        <f>DW11/IS!DW12*IS!DW6</f>
        <v>46.322223839324693</v>
      </c>
      <c r="DX87" s="737">
        <v>45.4</v>
      </c>
      <c r="DY87" s="737">
        <v>45.4</v>
      </c>
      <c r="DZ87" s="737">
        <v>48</v>
      </c>
      <c r="EA87" s="737">
        <v>47</v>
      </c>
      <c r="EB87" s="817">
        <f>EB11/IS!EB12*IS!EB6</f>
        <v>47.287567499393155</v>
      </c>
      <c r="EC87" s="737">
        <v>50</v>
      </c>
      <c r="ED87" s="737">
        <v>50</v>
      </c>
      <c r="EE87" s="737">
        <v>51</v>
      </c>
      <c r="EF87" s="737">
        <v>51</v>
      </c>
      <c r="EG87" s="817">
        <f>EG11/IS!EG12*IS!EG6</f>
        <v>52.694055793946212</v>
      </c>
      <c r="EH87" s="737">
        <v>51</v>
      </c>
      <c r="EI87" s="737">
        <v>51</v>
      </c>
      <c r="EJ87" s="737">
        <v>51</v>
      </c>
      <c r="EK87" s="737">
        <v>51</v>
      </c>
      <c r="EL87" s="817">
        <f>EL11/IS!EL12*IS!EL6</f>
        <v>52.840279443012996</v>
      </c>
      <c r="EM87" s="555"/>
      <c r="EN87"/>
      <c r="EO87"/>
      <c r="EP87"/>
      <c r="EQ87"/>
      <c r="ER87"/>
      <c r="ES87"/>
      <c r="ET87" s="141"/>
      <c r="EU87" s="141"/>
      <c r="EV87" s="141"/>
      <c r="EW87" s="141"/>
      <c r="EX87" s="141"/>
      <c r="EY87" s="141"/>
      <c r="EZ87" s="141"/>
      <c r="FA87" s="141"/>
      <c r="FB87" s="141"/>
      <c r="FC87" s="141"/>
      <c r="FD87" s="141"/>
      <c r="FE87" s="141"/>
      <c r="FF87" s="141"/>
      <c r="FG87" s="141"/>
      <c r="FH87" s="141"/>
      <c r="FI87" s="141"/>
      <c r="FJ87" s="141"/>
      <c r="FK87" s="141"/>
      <c r="FL87" s="141"/>
      <c r="FM87" s="141"/>
      <c r="FN87" s="141"/>
      <c r="FO87" s="141"/>
      <c r="FP87" s="141"/>
      <c r="FQ87" s="141"/>
      <c r="FR87" s="141"/>
      <c r="FS87" s="141"/>
      <c r="FT87" s="141"/>
      <c r="FU87" s="141"/>
      <c r="FV87" s="141"/>
      <c r="FW87" s="141"/>
      <c r="FX87" s="141"/>
      <c r="FY87" s="141"/>
      <c r="FZ87" s="141"/>
      <c r="GA87" s="141"/>
      <c r="GB87" s="141"/>
      <c r="GC87" s="141"/>
      <c r="GD87" s="141"/>
      <c r="GE87" s="141"/>
      <c r="GF87" s="141"/>
      <c r="GG87" s="141"/>
      <c r="GH87" s="141"/>
      <c r="GI87" s="141"/>
      <c r="GJ87" s="141"/>
      <c r="GK87" s="141"/>
      <c r="GL87" s="141"/>
      <c r="GM87" s="141"/>
      <c r="GN87" s="141"/>
      <c r="GO87" s="141"/>
      <c r="GP87" s="141"/>
      <c r="GQ87" s="141"/>
      <c r="GR87" s="141"/>
      <c r="GS87" s="141"/>
      <c r="GT87" s="141"/>
      <c r="GU87" s="141"/>
      <c r="GV87" s="141"/>
      <c r="GW87" s="141"/>
      <c r="GX87" s="141"/>
      <c r="GY87" s="141"/>
      <c r="GZ87" s="141"/>
      <c r="HA87" s="141"/>
      <c r="HB87" s="141"/>
      <c r="HC87" s="141"/>
      <c r="HD87" s="141"/>
      <c r="HE87" s="141"/>
      <c r="HF87" s="141"/>
      <c r="HG87" s="141"/>
      <c r="HH87" s="141"/>
      <c r="HI87" s="141"/>
      <c r="HJ87" s="141"/>
      <c r="HK87" s="141"/>
      <c r="HL87" s="141"/>
      <c r="HM87" s="141"/>
      <c r="HN87" s="141"/>
      <c r="HO87" s="141"/>
      <c r="HP87" s="141"/>
      <c r="HQ87" s="141"/>
      <c r="HR87" s="141"/>
      <c r="HS87" s="141"/>
      <c r="HT87" s="141"/>
      <c r="HU87" s="141"/>
      <c r="HV87" s="141"/>
      <c r="HW87" s="141"/>
      <c r="HX87" s="141"/>
      <c r="HY87" s="141"/>
      <c r="HZ87" s="141"/>
      <c r="IA87" s="141"/>
      <c r="IB87" s="141"/>
      <c r="IC87" s="141"/>
      <c r="ID87" s="141"/>
      <c r="IE87" s="141"/>
      <c r="IF87" s="141"/>
      <c r="IG87" s="141"/>
      <c r="IH87" s="141"/>
      <c r="II87" s="141"/>
      <c r="IJ87" s="141"/>
      <c r="IK87" s="141"/>
      <c r="IL87" s="141"/>
      <c r="IM87" s="141"/>
      <c r="IN87" s="141"/>
      <c r="IO87" s="141"/>
      <c r="IP87" s="141"/>
      <c r="IQ87" s="141"/>
      <c r="IR87" s="141"/>
      <c r="IS87" s="141"/>
      <c r="IT87" s="141"/>
      <c r="IU87" s="141"/>
      <c r="IV87" s="141"/>
      <c r="IW87" s="141"/>
      <c r="IX87" s="141"/>
      <c r="IY87" s="141"/>
      <c r="IZ87" s="141"/>
      <c r="JA87" s="141"/>
      <c r="JB87" s="141"/>
      <c r="JC87" s="141"/>
      <c r="JD87" s="141"/>
      <c r="JE87" s="141"/>
      <c r="JF87" s="141"/>
      <c r="JG87" s="141"/>
      <c r="JH87" s="141"/>
    </row>
    <row r="88" spans="1:268" s="142" customFormat="1" hidden="1" outlineLevel="1">
      <c r="A88" s="972"/>
      <c r="B88" s="973" t="s">
        <v>15</v>
      </c>
      <c r="C88" s="871"/>
      <c r="D88" s="871"/>
      <c r="E88" s="557"/>
      <c r="F88" s="563"/>
      <c r="G88" s="563"/>
      <c r="H88" s="815"/>
      <c r="I88" s="706"/>
      <c r="J88" s="557"/>
      <c r="K88" s="563"/>
      <c r="L88" s="563"/>
      <c r="M88" s="815"/>
      <c r="N88" s="706"/>
      <c r="O88" s="557"/>
      <c r="P88" s="563"/>
      <c r="Q88" s="563"/>
      <c r="R88" s="815"/>
      <c r="S88" s="706"/>
      <c r="T88" s="557"/>
      <c r="U88" s="563"/>
      <c r="V88" s="563"/>
      <c r="W88" s="815"/>
      <c r="X88" s="706"/>
      <c r="Y88" s="557"/>
      <c r="Z88" s="563"/>
      <c r="AA88" s="563"/>
      <c r="AB88" s="815"/>
      <c r="AC88" s="706"/>
      <c r="AD88" s="557"/>
      <c r="AE88" s="563"/>
      <c r="AF88" s="563"/>
      <c r="AG88" s="815"/>
      <c r="AH88" s="706"/>
      <c r="AI88" s="557"/>
      <c r="AJ88" s="563"/>
      <c r="AK88" s="563"/>
      <c r="AL88" s="815"/>
      <c r="AM88" s="706"/>
      <c r="AN88" s="557"/>
      <c r="AO88" s="563"/>
      <c r="AP88" s="563"/>
      <c r="AQ88" s="815"/>
      <c r="AR88" s="706"/>
      <c r="AS88" s="557"/>
      <c r="AT88" s="767"/>
      <c r="AU88" s="815"/>
      <c r="AV88" s="706"/>
      <c r="AW88" s="557"/>
      <c r="AX88" s="563"/>
      <c r="AY88" s="563"/>
      <c r="AZ88" s="815"/>
      <c r="BA88" s="706"/>
      <c r="BB88" s="557"/>
      <c r="BC88" s="563"/>
      <c r="BD88" s="563"/>
      <c r="BE88" s="815"/>
      <c r="BF88" s="706"/>
      <c r="BG88" s="557"/>
      <c r="BH88" s="563"/>
      <c r="BI88" s="563"/>
      <c r="BJ88" s="815"/>
      <c r="BK88" s="706"/>
      <c r="BL88" s="557"/>
      <c r="BM88" s="563"/>
      <c r="BN88" s="563"/>
      <c r="BO88" s="815"/>
      <c r="BP88" s="706"/>
      <c r="BQ88" s="557"/>
      <c r="BR88" s="706"/>
      <c r="BS88" s="767"/>
      <c r="BT88" s="815"/>
      <c r="BU88" s="563"/>
      <c r="BV88" s="563"/>
      <c r="BW88" s="563"/>
      <c r="BX88" s="563"/>
      <c r="BY88" s="815"/>
      <c r="BZ88" s="767"/>
      <c r="CA88" s="563"/>
      <c r="CB88" s="563"/>
      <c r="CC88" s="563"/>
      <c r="CD88" s="815"/>
      <c r="CE88" s="563"/>
      <c r="CF88" s="563"/>
      <c r="CG88" s="563"/>
      <c r="CH88" s="563"/>
      <c r="CI88" s="815"/>
      <c r="CJ88" s="563"/>
      <c r="CK88" s="563"/>
      <c r="CL88" s="563"/>
      <c r="CM88" s="563"/>
      <c r="CN88" s="802"/>
      <c r="CO88" s="563"/>
      <c r="CP88" s="563"/>
      <c r="CQ88" s="555"/>
      <c r="CR88" s="555"/>
      <c r="CS88" s="802"/>
      <c r="CT88" s="555"/>
      <c r="CU88" s="555"/>
      <c r="CV88" s="555"/>
      <c r="CW88" s="555"/>
      <c r="CX88" s="802"/>
      <c r="CY88" s="555"/>
      <c r="CZ88" s="555"/>
      <c r="DA88" s="555"/>
      <c r="DB88" s="555"/>
      <c r="DC88" s="802"/>
      <c r="DD88" s="555"/>
      <c r="DE88" s="555"/>
      <c r="DF88" s="555"/>
      <c r="DG88" s="555"/>
      <c r="DH88" s="802"/>
      <c r="DI88" s="555"/>
      <c r="DJ88" s="555"/>
      <c r="DK88" s="555"/>
      <c r="DL88" s="555"/>
      <c r="DM88" s="802"/>
      <c r="DN88" s="555"/>
      <c r="DO88" s="555"/>
      <c r="DP88" s="555"/>
      <c r="DQ88" s="555"/>
      <c r="DR88" s="802"/>
      <c r="DS88" s="555"/>
      <c r="DT88" s="555"/>
      <c r="DU88" s="555"/>
      <c r="DV88" s="555"/>
      <c r="DW88" s="802"/>
      <c r="DX88" s="555"/>
      <c r="DY88" s="555"/>
      <c r="DZ88" s="555"/>
      <c r="EA88" s="555"/>
      <c r="EB88" s="802"/>
      <c r="EC88" s="555"/>
      <c r="ED88" s="555"/>
      <c r="EE88" s="555"/>
      <c r="EF88" s="555"/>
      <c r="EG88" s="802"/>
      <c r="EH88" s="555"/>
      <c r="EI88" s="555"/>
      <c r="EJ88" s="555"/>
      <c r="EK88" s="555"/>
      <c r="EL88" s="802"/>
      <c r="EM88" s="555"/>
      <c r="EN88"/>
      <c r="EO88"/>
      <c r="EP88"/>
      <c r="EQ88"/>
      <c r="ER88"/>
      <c r="ES88"/>
      <c r="ET88" s="141"/>
      <c r="EU88" s="141"/>
      <c r="EV88" s="141"/>
      <c r="EW88" s="141"/>
      <c r="EX88" s="141"/>
      <c r="EY88" s="141"/>
      <c r="EZ88" s="141"/>
      <c r="FA88" s="141"/>
      <c r="FB88" s="141"/>
      <c r="FC88" s="141"/>
      <c r="FD88" s="141"/>
      <c r="FE88" s="141"/>
      <c r="FF88" s="141"/>
      <c r="FG88" s="141"/>
      <c r="FH88" s="141"/>
      <c r="FI88" s="141"/>
      <c r="FJ88" s="141"/>
      <c r="FK88" s="141"/>
      <c r="FL88" s="141"/>
      <c r="FM88" s="141"/>
      <c r="FN88" s="141"/>
      <c r="FO88" s="141"/>
      <c r="FP88" s="141"/>
      <c r="FQ88" s="141"/>
      <c r="FR88" s="141"/>
      <c r="FS88" s="141"/>
      <c r="FT88" s="141"/>
      <c r="FU88" s="141"/>
      <c r="FV88" s="141"/>
      <c r="FW88" s="141"/>
      <c r="FX88" s="141"/>
      <c r="FY88" s="141"/>
      <c r="FZ88" s="141"/>
      <c r="GA88" s="141"/>
      <c r="GB88" s="141"/>
      <c r="GC88" s="141"/>
      <c r="GD88" s="141"/>
      <c r="GE88" s="141"/>
      <c r="GF88" s="141"/>
      <c r="GG88" s="141"/>
      <c r="GH88" s="141"/>
      <c r="GI88" s="141"/>
      <c r="GJ88" s="141"/>
      <c r="GK88" s="141"/>
      <c r="GL88" s="141"/>
      <c r="GM88" s="141"/>
      <c r="GN88" s="141"/>
      <c r="GO88" s="141"/>
      <c r="GP88" s="141"/>
      <c r="GQ88" s="141"/>
      <c r="GR88" s="141"/>
      <c r="GS88" s="141"/>
      <c r="GT88" s="141"/>
      <c r="GU88" s="141"/>
      <c r="GV88" s="141"/>
      <c r="GW88" s="141"/>
      <c r="GX88" s="141"/>
      <c r="GY88" s="141"/>
      <c r="GZ88" s="141"/>
      <c r="HA88" s="141"/>
      <c r="HB88" s="141"/>
      <c r="HC88" s="141"/>
      <c r="HD88" s="141"/>
      <c r="HE88" s="141"/>
      <c r="HF88" s="141"/>
      <c r="HG88" s="141"/>
      <c r="HH88" s="141"/>
      <c r="HI88" s="141"/>
      <c r="HJ88" s="141"/>
      <c r="HK88" s="141"/>
      <c r="HL88" s="141"/>
      <c r="HM88" s="141"/>
      <c r="HN88" s="141"/>
      <c r="HO88" s="141"/>
      <c r="HP88" s="141"/>
      <c r="HQ88" s="141"/>
      <c r="HR88" s="141"/>
      <c r="HS88" s="141"/>
      <c r="HT88" s="141"/>
      <c r="HU88" s="141"/>
      <c r="HV88" s="141"/>
      <c r="HW88" s="141"/>
      <c r="HX88" s="141"/>
      <c r="HY88" s="141"/>
      <c r="HZ88" s="141"/>
      <c r="IA88" s="141"/>
      <c r="IB88" s="141"/>
      <c r="IC88" s="141"/>
      <c r="ID88" s="141"/>
      <c r="IE88" s="141"/>
      <c r="IF88" s="141"/>
      <c r="IG88" s="141"/>
      <c r="IH88" s="141"/>
      <c r="II88" s="141"/>
      <c r="IJ88" s="141"/>
      <c r="IK88" s="141"/>
      <c r="IL88" s="141"/>
      <c r="IM88" s="141"/>
      <c r="IN88" s="141"/>
      <c r="IO88" s="141"/>
      <c r="IP88" s="141"/>
      <c r="IQ88" s="141"/>
      <c r="IR88" s="141"/>
      <c r="IS88" s="141"/>
      <c r="IT88" s="141"/>
      <c r="IU88" s="141"/>
      <c r="IV88" s="141"/>
      <c r="IW88" s="141"/>
      <c r="IX88" s="141"/>
      <c r="IY88" s="141"/>
      <c r="IZ88" s="141"/>
      <c r="JA88" s="141"/>
      <c r="JB88" s="141"/>
      <c r="JC88" s="141"/>
      <c r="JD88" s="141"/>
      <c r="JE88" s="141"/>
      <c r="JF88" s="141"/>
      <c r="JG88" s="141"/>
      <c r="JH88" s="141"/>
    </row>
    <row r="89" spans="1:268" s="142" customFormat="1" ht="12" hidden="1" customHeight="1" outlineLevel="1">
      <c r="A89" s="801"/>
      <c r="B89" s="557" t="s">
        <v>2</v>
      </c>
      <c r="C89" s="558"/>
      <c r="D89" s="558"/>
      <c r="E89" s="558"/>
      <c r="F89" s="558"/>
      <c r="G89" s="558"/>
      <c r="H89" s="78"/>
      <c r="I89" s="700">
        <f>IS!I12/IS!D12-1</f>
        <v>0.9369828086929628</v>
      </c>
      <c r="J89" s="700">
        <f>IS!J12/IS!E12-1</f>
        <v>1.146055103318723</v>
      </c>
      <c r="K89" s="700">
        <f>IS!K12/IS!F12-1</f>
        <v>1.1679031037093113</v>
      </c>
      <c r="L89" s="700">
        <f>IS!L12/IS!G12-1</f>
        <v>8.587506868309136E-2</v>
      </c>
      <c r="M89" s="78">
        <f>IS!M12/IS!H12-1</f>
        <v>0.67540687160940327</v>
      </c>
      <c r="N89" s="700">
        <f>IS!N12/IS!I12-1</f>
        <v>0.12049225017524723</v>
      </c>
      <c r="O89" s="700">
        <f>IS!O12/IS!J12-1</f>
        <v>7.6737909402582183E-2</v>
      </c>
      <c r="P89" s="700">
        <f>IS!P12/IS!K12-1</f>
        <v>0.56219009707381806</v>
      </c>
      <c r="Q89" s="700">
        <f>IS!Q12/IS!L12-1</f>
        <v>1.4039937512735179</v>
      </c>
      <c r="R89" s="78">
        <f>IS!R12/IS!M12-1</f>
        <v>0.56341068537506755</v>
      </c>
      <c r="S89" s="700">
        <f>IS!S12/IS!N12-1</f>
        <v>0.62032531627971643</v>
      </c>
      <c r="T89" s="700">
        <f>IS!T12/IS!O12-1</f>
        <v>0.64555246934489552</v>
      </c>
      <c r="U89" s="700">
        <f>IS!U12/IS!P12-1</f>
        <v>0.14622915642183365</v>
      </c>
      <c r="V89" s="700">
        <f>IS!V12/IS!Q12-1</f>
        <v>-0.27360569588065764</v>
      </c>
      <c r="W89" s="78">
        <f>IS!W12/IS!R12-1</f>
        <v>0.13853411575192731</v>
      </c>
      <c r="X89" s="700">
        <f>IS!X12/IS!S12-1</f>
        <v>9.5238095238095344E-2</v>
      </c>
      <c r="Y89" s="700">
        <f>IS!Y12/IS!T12-1</f>
        <v>5.5166735282009105E-2</v>
      </c>
      <c r="Z89" s="700">
        <f>IS!Z12/IS!U12-1</f>
        <v>0.10062402496099843</v>
      </c>
      <c r="AA89" s="700">
        <f>IS!AA12/IS!V12-1</f>
        <v>0.14430182808245817</v>
      </c>
      <c r="AB89" s="78">
        <f>IS!AB12/IS!W12-1</f>
        <v>9.9545224861040893E-2</v>
      </c>
      <c r="AC89" s="700">
        <f>IS!AC12/IS!X12-1</f>
        <v>0.12534273403838614</v>
      </c>
      <c r="AD89" s="700">
        <f>IS!AD12/IS!Y12-1</f>
        <v>8.4666406554818607E-2</v>
      </c>
      <c r="AE89" s="700">
        <f>IS!AE12/IS!Z12-1</f>
        <v>9.9220411055989111E-3</v>
      </c>
      <c r="AF89" s="700">
        <f>IS!AF12/IS!AA12-1</f>
        <v>-1.0537049626104689E-2</v>
      </c>
      <c r="AG89" s="78">
        <f>IS!AG12/IS!AB12-1</f>
        <v>4.9080882352941169E-2</v>
      </c>
      <c r="AH89" s="700">
        <f>IS!AH12/IS!AC12-1</f>
        <v>6.9613644274277853E-3</v>
      </c>
      <c r="AI89" s="700">
        <f>IS!AI12/IS!AD12-1</f>
        <v>4.8561151079136611E-2</v>
      </c>
      <c r="AJ89" s="700">
        <f>IS!AJ12/IS!AE12-1</f>
        <v>6.5263157894736912E-2</v>
      </c>
      <c r="AK89" s="700">
        <f>IS!AK12/IS!AF12-1</f>
        <v>0.1023703194778427</v>
      </c>
      <c r="AL89" s="78">
        <f>IS!AL12/IS!AG12-1</f>
        <v>5.5983879446294127E-2</v>
      </c>
      <c r="AM89" s="700">
        <f>IS!AM12/IS!AH12-1</f>
        <v>0.13964742481852754</v>
      </c>
      <c r="AN89" s="700">
        <f>IS!AN12/IS!AI12-1</f>
        <v>0.16432246998284739</v>
      </c>
      <c r="AO89" s="700">
        <f>IS!AO12/IS!AJ12-1</f>
        <v>0.14756258234519115</v>
      </c>
      <c r="AP89" s="700">
        <f>IS!AP12/IS!AK12-1</f>
        <v>0.16484886257401055</v>
      </c>
      <c r="AQ89" s="78">
        <f>IS!AQ12/IS!AL12-1</f>
        <v>0.15431842694764786</v>
      </c>
      <c r="AR89" s="700">
        <f>IS!AR12/IS!AM12-1</f>
        <v>0.12314225053078554</v>
      </c>
      <c r="AS89" s="700">
        <f>IS!AS12/IS!AN12-1</f>
        <v>0.11314083677077202</v>
      </c>
      <c r="AT89" s="700">
        <f>IS!AT12/IS!AO12-1</f>
        <v>5.7979334098737123E-2</v>
      </c>
      <c r="AU89" s="802"/>
      <c r="AV89" s="555"/>
      <c r="AW89" s="555"/>
      <c r="AX89" s="555"/>
      <c r="AY89" s="555"/>
      <c r="AZ89" s="802"/>
      <c r="BA89" s="700">
        <f>IS!BA12/IS!AV12-1</f>
        <v>2.2814814814814843E-2</v>
      </c>
      <c r="BB89" s="700">
        <f>IS!BB12/IS!AW12-1</f>
        <v>-1.4868804664723068E-2</v>
      </c>
      <c r="BC89" s="700">
        <f>IS!BC12/IS!AX12-1</f>
        <v>-6.3618290258449339E-2</v>
      </c>
      <c r="BD89" s="700">
        <f>IS!BD12/IS!AY12-1</f>
        <v>-8.932150014314344E-2</v>
      </c>
      <c r="BE89" s="78">
        <f>IS!BE12/IS!AZ12-1</f>
        <v>-3.6905709530356767E-2</v>
      </c>
      <c r="BF89" s="700">
        <f>IS!BF12/IS!BA12-1</f>
        <v>-0.22682502896871382</v>
      </c>
      <c r="BG89" s="700">
        <f>IS!BG12/IS!BB12-1</f>
        <v>-0.23941994672980171</v>
      </c>
      <c r="BH89" s="700">
        <f>IS!BH12/IS!BC12-1</f>
        <v>-0.25993327267212618</v>
      </c>
      <c r="BI89" s="700">
        <f>IS!BI12/IS!BD12-1</f>
        <v>-0.24174787802577802</v>
      </c>
      <c r="BJ89" s="78">
        <f>IS!BJ12/IS!BE12-1</f>
        <v>-0.24179126906604553</v>
      </c>
      <c r="BK89" s="700">
        <f>IS!BK12/IS!BF12-1</f>
        <v>-6.2944923192206792E-2</v>
      </c>
      <c r="BL89" s="700">
        <f>IS!BL12/IS!BG12-1</f>
        <v>-5.8365758754863828E-2</v>
      </c>
      <c r="BM89" s="700">
        <f>IS!BM12/IS!BH12-1</f>
        <v>-1.885245901639343E-2</v>
      </c>
      <c r="BN89" s="700">
        <f>IS!BN12/IS!BI12-1</f>
        <v>-4.6849087893863994E-2</v>
      </c>
      <c r="BO89" s="78">
        <f>IS!BO12/IS!BJ12-1</f>
        <v>-4.7269844415816054E-2</v>
      </c>
      <c r="BP89" s="700">
        <f>IS!BP12/IS!BK12-1</f>
        <v>-3.4786085565773672E-2</v>
      </c>
      <c r="BQ89" s="700">
        <f>IS!BQ12/IS!BL12-1</f>
        <v>-9.2975206611570216E-2</v>
      </c>
      <c r="BR89" s="700">
        <f>IS!BR12/IS!BM12-1</f>
        <v>-0.1157059314954052</v>
      </c>
      <c r="BS89" s="700">
        <f>IS!BS12/IS!BN12-1</f>
        <v>-5.2196607220530655E-2</v>
      </c>
      <c r="BT89" s="78">
        <f>IS!BT12/IS!BO12-1</f>
        <v>-7.3746619513209932E-2</v>
      </c>
      <c r="BU89" s="700">
        <f>IS!BU12/IS!BP12-1</f>
        <v>-5.5923777961888965E-2</v>
      </c>
      <c r="BV89" s="700">
        <f>IS!BV12/IS!BQ12-1</f>
        <v>1.5034168564920236E-2</v>
      </c>
      <c r="BW89" s="700">
        <f>IS!BW12/IS!BR12-1</f>
        <v>4.4874822862541297E-2</v>
      </c>
      <c r="BX89" s="700">
        <f>IS!BX12/IS!BS12-1</f>
        <v>3.3042680128499313E-2</v>
      </c>
      <c r="BY89" s="78">
        <f>IS!BY12/IS!BT12-1</f>
        <v>7.2992700729928028E-3</v>
      </c>
      <c r="BZ89" s="700">
        <f>IS!BZ12/IS!BU12-1</f>
        <v>4.0368582711715728E-2</v>
      </c>
      <c r="CA89" s="700">
        <f>IS!CA12/IS!BV12-1</f>
        <v>-1.9748653500897717E-2</v>
      </c>
      <c r="CB89" s="700">
        <f>IS!CB12/IS!BW12-1</f>
        <v>-2.4412296564195302E-2</v>
      </c>
      <c r="CC89" s="700">
        <f>IS!CC12/IS!BX12-1</f>
        <v>-2.4877832074633455E-2</v>
      </c>
      <c r="CD89" s="78">
        <f>IS!CD12/IS!BY12-1</f>
        <v>-6.9119286510590516E-3</v>
      </c>
      <c r="CE89" s="700">
        <f>IS!CE12/IS!BZ12-1</f>
        <v>-3.8802193167439936E-2</v>
      </c>
      <c r="CF89" s="700">
        <f>IS!CF12/IS!CA12-1</f>
        <v>2.0604395604395531E-2</v>
      </c>
      <c r="CG89" s="700">
        <f>IS!CG12/IS!CB12-1</f>
        <v>4.8192771084337283E-2</v>
      </c>
      <c r="CH89" s="700">
        <f>IS!CH12/IS!CC12-1</f>
        <v>3.0068337129840472E-2</v>
      </c>
      <c r="CI89" s="78">
        <f>IS!CI12/IS!CD12-1</f>
        <v>1.3807813201616614E-2</v>
      </c>
      <c r="CJ89" s="700">
        <f>IS!CJ12/IS!CE12-1</f>
        <v>2.6327336551118963E-2</v>
      </c>
      <c r="CK89" s="700">
        <f>IS!CK12/IS!CF12-1</f>
        <v>3.3198743831314381E-2</v>
      </c>
      <c r="CL89" s="700">
        <f>IS!CL12/IS!CG12-1</f>
        <v>0</v>
      </c>
      <c r="CM89" s="700">
        <f>IS!CM12/IS!CH12-1</f>
        <v>1.769128704113232E-2</v>
      </c>
      <c r="CN89" s="78">
        <f>IS!CN12/IS!CI12-1</f>
        <v>1.9266969327870642E-2</v>
      </c>
      <c r="CO89" s="700">
        <f>IS!CO12/IS!CJ12-1</f>
        <v>3.8477982043608305E-2</v>
      </c>
      <c r="CP89" s="700">
        <f>IS!CP12/IS!CK12-1</f>
        <v>-1.3026487190620495E-3</v>
      </c>
      <c r="CQ89" s="700">
        <f>IS!CQ12/IS!CL12-1</f>
        <v>1.1936339522546469E-2</v>
      </c>
      <c r="CR89" s="700">
        <f>IS!CR12/IS!CM12-1</f>
        <v>2.2598870056497189E-2</v>
      </c>
      <c r="CS89" s="78">
        <f>IS!CS12/IS!CN12-1</f>
        <v>1.8033677349266641E-2</v>
      </c>
      <c r="CT89" s="700">
        <f>IS!CT12/IS!CO12-1</f>
        <v>2.5524907369287808E-2</v>
      </c>
      <c r="CU89" s="700">
        <f>IS!CU12/IS!CP12-1</f>
        <v>6.7391304347826031E-2</v>
      </c>
      <c r="CV89" s="700">
        <f>IS!CV12/IS!CQ12-1</f>
        <v>6.0288335517693303E-2</v>
      </c>
      <c r="CW89" s="700">
        <f>IS!CW12/IS!CR12-1</f>
        <v>7.5648108797280011E-2</v>
      </c>
      <c r="CX89" s="78">
        <f>IS!CX12/IS!CS12-1</f>
        <v>5.6877601109806886E-2</v>
      </c>
      <c r="CY89" s="700">
        <f>IS!CY12/IS!CT12-1</f>
        <v>4.1348855881172319E-2</v>
      </c>
      <c r="CZ89" s="700">
        <f>IS!CZ12/IS!CU12-1</f>
        <v>7.087576374745419E-2</v>
      </c>
      <c r="DA89" s="700">
        <f>IS!DA12/IS!CV12-1</f>
        <v>7.8697981046559562E-2</v>
      </c>
      <c r="DB89" s="700">
        <f>IS!DB12/IS!CW12-1</f>
        <v>0.67246147767680764</v>
      </c>
      <c r="DC89" s="78">
        <f>IS!DC12/IS!CX12-1</f>
        <v>0.21910339256865918</v>
      </c>
      <c r="DD89" s="700">
        <f>IS!DD12/IS!CY12-1</f>
        <v>0.6599845797995374</v>
      </c>
      <c r="DE89" s="700">
        <f>IS!DE12/IS!CZ12-1</f>
        <v>0.65918600228223667</v>
      </c>
      <c r="DF89" s="700">
        <f>IS!DF12/IS!DA12-1</f>
        <v>0.69136745607333849</v>
      </c>
      <c r="DG89" s="700">
        <f>IS!DG12/IS!DB12-1</f>
        <v>0.13961729270021261</v>
      </c>
      <c r="DH89" s="78">
        <f>IS!DH12/IS!DC12-1</f>
        <v>0.48418088454530395</v>
      </c>
      <c r="DI89" s="700">
        <f>IS!DI12/IS!DD12-1</f>
        <v>0.11263353460287973</v>
      </c>
      <c r="DJ89" s="700">
        <f>IS!DJ12/IS!DE12-1</f>
        <v>0.11049977074736361</v>
      </c>
      <c r="DK89" s="700">
        <f>IS!DK12/IS!DF12-1</f>
        <v>0.14340560072267383</v>
      </c>
      <c r="DL89" s="700">
        <f>IS!DL12/IS!DG12-1</f>
        <v>0.1229270315091211</v>
      </c>
      <c r="DM89" s="78">
        <f>IS!DM12/IS!DH12-1</f>
        <v>0.12226562500000004</v>
      </c>
      <c r="DN89" s="700">
        <f>IS!DN12/IS!DI12-1</f>
        <v>0.13128783135044886</v>
      </c>
      <c r="DO89" s="700">
        <f>IS!DO12/IS!DJ12-1</f>
        <v>7.7621800165152743E-2</v>
      </c>
      <c r="DP89" s="700">
        <f>IS!DP12/IS!DK12-1</f>
        <v>3.0219237606162297E-2</v>
      </c>
      <c r="DQ89" s="700">
        <f>IS!DQ12/IS!DL12-1</f>
        <v>-3.7474616946649442E-2</v>
      </c>
      <c r="DR89" s="78">
        <f>IS!DR12/IS!DM12-1</f>
        <v>4.7685346327880351E-2</v>
      </c>
      <c r="DS89" s="700">
        <f>IS!DS12/IS!DN12-1</f>
        <v>-4.1328413284132837E-2</v>
      </c>
      <c r="DT89" s="700">
        <f>IS!DT12/IS!DO12-1</f>
        <v>-9.0038314176245082E-3</v>
      </c>
      <c r="DU89" s="700">
        <f>IS!DU12/IS!DP12-1</f>
        <v>-5.2722392638036797E-2</v>
      </c>
      <c r="DV89" s="700">
        <f>IS!DV12/IS!DQ12-1</f>
        <v>1.7069428461833569E-2</v>
      </c>
      <c r="DW89" s="78">
        <f>IS!DW12/IS!DR12-1</f>
        <v>-2.1689606074988155E-2</v>
      </c>
      <c r="DX89" s="700">
        <f>IS!DX12/IS!DS12-1</f>
        <v>-4.458906812943475E-2</v>
      </c>
      <c r="DY89" s="700">
        <f>IS!DY12/IS!DT12-1</f>
        <v>-4.3029491488720151E-2</v>
      </c>
      <c r="DZ89" s="700">
        <f>IS!DZ12/IS!DU12-1</f>
        <v>-3.9641615454316881E-2</v>
      </c>
      <c r="EA89" s="700">
        <f>IS!EA12/IS!DV12-1</f>
        <v>-6.075536656147007E-2</v>
      </c>
      <c r="EB89" s="78">
        <f>IS!EB12/IS!DW12-1</f>
        <v>-4.7170780008099156E-2</v>
      </c>
      <c r="EC89" s="700">
        <f>IS!EC12/IS!DX12-1</f>
        <v>-1.4498548073236472E-2</v>
      </c>
      <c r="ED89" s="700">
        <f>IS!ED12/IS!DY12-1</f>
        <v>1.8874245569393544E-3</v>
      </c>
      <c r="EE89" s="700">
        <f>IS!EE12/IS!DZ12-1</f>
        <v>2.0263055107283989E-2</v>
      </c>
      <c r="EF89" s="700">
        <f>IS!EF12/IS!EA12-1</f>
        <v>3.8787405678077702E-2</v>
      </c>
      <c r="EG89" s="78">
        <f>IS!EG12/IS!EB12-1</f>
        <v>1.1542981257017138E-2</v>
      </c>
      <c r="EH89" s="700">
        <f>IS!EH12/IS!EC12-1</f>
        <v>4.4715059183974226E-2</v>
      </c>
      <c r="EI89" s="700">
        <f>IS!EI12/IS!ED12-1</f>
        <v>4.3789021140289597E-2</v>
      </c>
      <c r="EJ89" s="700">
        <f>IS!EJ12/IS!EE12-1</f>
        <v>4.2809150878311719E-2</v>
      </c>
      <c r="EK89" s="700">
        <f>IS!EK12/IS!EF12-1</f>
        <v>4.3824086572092913E-2</v>
      </c>
      <c r="EL89" s="78">
        <f>IS!EL12/IS!EG12-1</f>
        <v>4.3787415176957944E-2</v>
      </c>
      <c r="EM89" s="558"/>
      <c r="EN89"/>
      <c r="EO89"/>
      <c r="EP89"/>
      <c r="EQ89"/>
      <c r="ER89"/>
      <c r="ES89"/>
      <c r="ET89" s="141"/>
      <c r="EU89" s="141"/>
      <c r="EV89" s="141"/>
      <c r="EW89" s="141"/>
      <c r="EX89" s="141"/>
      <c r="EY89" s="141"/>
      <c r="EZ89" s="141"/>
      <c r="FA89" s="141"/>
      <c r="FB89" s="141"/>
      <c r="FC89" s="141"/>
      <c r="FD89" s="141"/>
      <c r="FE89" s="141"/>
      <c r="FF89" s="141"/>
      <c r="FG89" s="141"/>
      <c r="FH89" s="141"/>
      <c r="FI89" s="141"/>
      <c r="FJ89" s="141"/>
      <c r="FK89" s="141"/>
      <c r="FL89" s="141"/>
      <c r="FM89" s="141"/>
      <c r="FN89" s="141"/>
      <c r="FO89" s="141"/>
      <c r="FP89" s="141"/>
      <c r="FQ89" s="141"/>
      <c r="FR89" s="141"/>
      <c r="FS89" s="141"/>
      <c r="FT89" s="141"/>
      <c r="FU89" s="141"/>
      <c r="FV89" s="141"/>
      <c r="FW89" s="141"/>
      <c r="FX89" s="141"/>
      <c r="FY89" s="141"/>
      <c r="FZ89" s="141"/>
      <c r="GA89" s="141"/>
      <c r="GB89" s="141"/>
      <c r="GC89" s="141"/>
      <c r="GD89" s="141"/>
      <c r="GE89" s="141"/>
      <c r="GF89" s="141"/>
      <c r="GG89" s="141"/>
      <c r="GH89" s="141"/>
      <c r="GI89" s="141"/>
      <c r="GJ89" s="141"/>
      <c r="GK89" s="141"/>
      <c r="GL89" s="141"/>
      <c r="GM89" s="141"/>
      <c r="GN89" s="141"/>
      <c r="GO89" s="141"/>
      <c r="GP89" s="141"/>
      <c r="GQ89" s="141"/>
      <c r="GR89" s="141"/>
      <c r="GS89" s="141"/>
      <c r="GT89" s="141"/>
      <c r="GU89" s="141"/>
      <c r="GV89" s="141"/>
      <c r="GW89" s="141"/>
      <c r="GX89" s="141"/>
      <c r="GY89" s="141"/>
      <c r="GZ89" s="141"/>
      <c r="HA89" s="141"/>
      <c r="HB89" s="141"/>
      <c r="HC89" s="141"/>
      <c r="HD89" s="141"/>
      <c r="HE89" s="141"/>
      <c r="HF89" s="141"/>
      <c r="HG89" s="141"/>
      <c r="HH89" s="141"/>
      <c r="HI89" s="141"/>
      <c r="HJ89" s="141"/>
      <c r="HK89" s="141"/>
      <c r="HL89" s="141"/>
      <c r="HM89" s="141"/>
      <c r="HN89" s="141"/>
      <c r="HO89" s="141"/>
      <c r="HP89" s="141"/>
      <c r="HQ89" s="141"/>
      <c r="HR89" s="141"/>
      <c r="HS89" s="141"/>
      <c r="HT89" s="141"/>
      <c r="HU89" s="141"/>
      <c r="HV89" s="141"/>
      <c r="HW89" s="141"/>
      <c r="HX89" s="141"/>
      <c r="HY89" s="141"/>
      <c r="HZ89" s="141"/>
      <c r="IA89" s="141"/>
      <c r="IB89" s="141"/>
      <c r="IC89" s="141"/>
      <c r="ID89" s="141"/>
      <c r="IE89" s="141"/>
      <c r="IF89" s="141"/>
      <c r="IG89" s="141"/>
      <c r="IH89" s="141"/>
      <c r="II89" s="141"/>
      <c r="IJ89" s="141"/>
      <c r="IK89" s="141"/>
      <c r="IL89" s="141"/>
      <c r="IM89" s="141"/>
      <c r="IN89" s="141"/>
      <c r="IO89" s="141"/>
      <c r="IP89" s="141"/>
      <c r="IQ89" s="141"/>
      <c r="IR89" s="141"/>
      <c r="IS89" s="141"/>
      <c r="IT89" s="141"/>
      <c r="IU89" s="141"/>
      <c r="IV89" s="141"/>
      <c r="IW89" s="141"/>
      <c r="IX89" s="141"/>
      <c r="IY89" s="141"/>
      <c r="IZ89" s="141"/>
      <c r="JA89" s="141"/>
      <c r="JB89" s="141"/>
      <c r="JC89" s="141"/>
      <c r="JD89" s="141"/>
      <c r="JE89" s="141"/>
      <c r="JF89" s="141"/>
      <c r="JG89" s="141"/>
      <c r="JH89" s="141"/>
    </row>
    <row r="90" spans="1:268" s="142" customFormat="1" ht="12" hidden="1" customHeight="1" outlineLevel="1">
      <c r="A90" s="801"/>
      <c r="B90" s="557" t="s">
        <v>16</v>
      </c>
      <c r="C90" s="558"/>
      <c r="D90" s="558"/>
      <c r="E90" s="558"/>
      <c r="F90" s="558"/>
      <c r="G90" s="558"/>
      <c r="H90" s="78"/>
      <c r="I90" s="700">
        <f t="shared" ref="I90:AT90" si="226">I12/D12-1</f>
        <v>1.2227165711955212</v>
      </c>
      <c r="J90" s="700">
        <f t="shared" si="226"/>
        <v>1.2828467153284673</v>
      </c>
      <c r="K90" s="700">
        <f t="shared" si="226"/>
        <v>1.2947558770343583</v>
      </c>
      <c r="L90" s="700">
        <f t="shared" si="226"/>
        <v>0.10344827586206895</v>
      </c>
      <c r="M90" s="78">
        <f t="shared" si="226"/>
        <v>0.10344827586206895</v>
      </c>
      <c r="N90" s="700">
        <f t="shared" si="226"/>
        <v>0.1000834028356965</v>
      </c>
      <c r="O90" s="700">
        <f t="shared" si="226"/>
        <v>7.6738609112709799E-2</v>
      </c>
      <c r="P90" s="700">
        <f t="shared" si="226"/>
        <v>0.46493301812450749</v>
      </c>
      <c r="Q90" s="700">
        <f t="shared" si="226"/>
        <v>0.5078125</v>
      </c>
      <c r="R90" s="78">
        <f t="shared" si="226"/>
        <v>0.5078125</v>
      </c>
      <c r="S90" s="700">
        <f t="shared" si="226"/>
        <v>0.50871872630780879</v>
      </c>
      <c r="T90" s="700">
        <f t="shared" si="226"/>
        <v>0.51447661469933204</v>
      </c>
      <c r="U90" s="700">
        <f t="shared" si="226"/>
        <v>0.1350188273265196</v>
      </c>
      <c r="V90" s="700">
        <f t="shared" si="226"/>
        <v>0.10880829015544036</v>
      </c>
      <c r="W90" s="78">
        <f t="shared" si="226"/>
        <v>0.10880829015544036</v>
      </c>
      <c r="X90" s="700">
        <f t="shared" si="226"/>
        <v>9.5477386934673447E-2</v>
      </c>
      <c r="Y90" s="700">
        <f t="shared" si="226"/>
        <v>0.16176470588235303</v>
      </c>
      <c r="Z90" s="700">
        <f t="shared" si="226"/>
        <v>0.15639810426540279</v>
      </c>
      <c r="AA90" s="700">
        <f t="shared" si="226"/>
        <v>3.2710280373831724E-2</v>
      </c>
      <c r="AB90" s="78">
        <f t="shared" si="226"/>
        <v>3.2710280373831724E-2</v>
      </c>
      <c r="AC90" s="700">
        <f t="shared" si="226"/>
        <v>3.669724770642202E-2</v>
      </c>
      <c r="AD90" s="700">
        <f t="shared" si="226"/>
        <v>-8.0168776371308037E-2</v>
      </c>
      <c r="AE90" s="700">
        <f t="shared" si="226"/>
        <v>-0.10655737704918034</v>
      </c>
      <c r="AF90" s="700">
        <f t="shared" si="226"/>
        <v>9.0497737556560764E-3</v>
      </c>
      <c r="AG90" s="78">
        <f t="shared" si="226"/>
        <v>9.0497737556560764E-3</v>
      </c>
      <c r="AH90" s="700">
        <f t="shared" si="226"/>
        <v>0</v>
      </c>
      <c r="AI90" s="700">
        <f t="shared" si="226"/>
        <v>4.5871559633028358E-3</v>
      </c>
      <c r="AJ90" s="700">
        <f t="shared" si="226"/>
        <v>4.5871559633028358E-3</v>
      </c>
      <c r="AK90" s="700">
        <f t="shared" si="226"/>
        <v>-4.035874439461884E-2</v>
      </c>
      <c r="AL90" s="78">
        <f t="shared" si="226"/>
        <v>-4.035874439461884E-2</v>
      </c>
      <c r="AM90" s="700">
        <f t="shared" si="226"/>
        <v>-1.3274336283185861E-2</v>
      </c>
      <c r="AN90" s="700">
        <f t="shared" si="226"/>
        <v>4.5662100456620447E-3</v>
      </c>
      <c r="AO90" s="700">
        <f t="shared" si="226"/>
        <v>3.6529680365296802E-2</v>
      </c>
      <c r="AP90" s="700">
        <f t="shared" si="226"/>
        <v>7.9439252336448662E-2</v>
      </c>
      <c r="AQ90" s="78">
        <f t="shared" si="226"/>
        <v>7.9439252336448662E-2</v>
      </c>
      <c r="AR90" s="700">
        <f t="shared" si="226"/>
        <v>5.3811659192825045E-2</v>
      </c>
      <c r="AS90" s="700">
        <f t="shared" si="226"/>
        <v>7.2727272727272751E-2</v>
      </c>
      <c r="AT90" s="700">
        <f t="shared" si="226"/>
        <v>6.6079295154185091E-2</v>
      </c>
      <c r="AU90" s="802"/>
      <c r="AV90" s="555"/>
      <c r="AW90" s="555"/>
      <c r="AX90" s="555"/>
      <c r="AY90" s="555"/>
      <c r="AZ90" s="802"/>
      <c r="BA90" s="706" t="str">
        <f>IF(ISERROR(BA12/AV12-1),"nm",BA12/AV12-1)</f>
        <v>nm</v>
      </c>
      <c r="BB90" s="706" t="str">
        <f>IF(ISERROR(BB12/AW12-1),"nm",BB12/AW12-1)</f>
        <v>nm</v>
      </c>
      <c r="BC90" s="706" t="str">
        <f>IF(ISERROR(BC12/AX12-1),"nm",BC12/AX12-1)</f>
        <v>nm</v>
      </c>
      <c r="BD90" s="700">
        <f t="shared" ref="BD90:CI90" si="227">BD12/AY12-1</f>
        <v>-7.0539419087136901E-2</v>
      </c>
      <c r="BE90" s="78">
        <f t="shared" si="227"/>
        <v>-7.0539419087136901E-2</v>
      </c>
      <c r="BF90" s="700">
        <f t="shared" si="227"/>
        <v>-0.16289592760180993</v>
      </c>
      <c r="BG90" s="700">
        <f t="shared" si="227"/>
        <v>-0.15000000000000002</v>
      </c>
      <c r="BH90" s="700">
        <f t="shared" si="227"/>
        <v>-0.1651785714285714</v>
      </c>
      <c r="BI90" s="700">
        <f t="shared" si="227"/>
        <v>-0.1607142857142857</v>
      </c>
      <c r="BJ90" s="78">
        <f t="shared" si="227"/>
        <v>-0.1607142857142857</v>
      </c>
      <c r="BK90" s="700">
        <f t="shared" si="227"/>
        <v>2.7027027027026973E-2</v>
      </c>
      <c r="BL90" s="700">
        <f t="shared" si="227"/>
        <v>3.2085561497326109E-2</v>
      </c>
      <c r="BM90" s="700">
        <f t="shared" si="227"/>
        <v>0</v>
      </c>
      <c r="BN90" s="700">
        <f t="shared" si="227"/>
        <v>1.0638297872340496E-2</v>
      </c>
      <c r="BO90" s="78">
        <f t="shared" si="227"/>
        <v>1.0638297872340496E-2</v>
      </c>
      <c r="BP90" s="700">
        <f t="shared" si="227"/>
        <v>2.1052631578947434E-2</v>
      </c>
      <c r="BQ90" s="700">
        <f t="shared" si="227"/>
        <v>-9.8445595854922296E-2</v>
      </c>
      <c r="BR90" s="700">
        <f t="shared" si="227"/>
        <v>-5.3475935828876997E-2</v>
      </c>
      <c r="BS90" s="700">
        <f t="shared" si="227"/>
        <v>-3.157894736842104E-2</v>
      </c>
      <c r="BT90" s="78">
        <f t="shared" si="227"/>
        <v>-3.157894736842104E-2</v>
      </c>
      <c r="BU90" s="700">
        <f t="shared" si="227"/>
        <v>-7.2164948453608213E-2</v>
      </c>
      <c r="BV90" s="700">
        <f t="shared" si="227"/>
        <v>5.7471264367816133E-2</v>
      </c>
      <c r="BW90" s="700">
        <f t="shared" si="227"/>
        <v>2.2598870056497189E-2</v>
      </c>
      <c r="BX90" s="700">
        <f t="shared" si="227"/>
        <v>-5.4347826086956763E-3</v>
      </c>
      <c r="BY90" s="78">
        <f t="shared" si="227"/>
        <v>-5.4347826086956763E-3</v>
      </c>
      <c r="BZ90" s="700">
        <f t="shared" si="227"/>
        <v>1.1111111111111072E-2</v>
      </c>
      <c r="CA90" s="700">
        <f t="shared" si="227"/>
        <v>-7.6086956521739135E-2</v>
      </c>
      <c r="CB90" s="700">
        <f t="shared" si="227"/>
        <v>-8.8397790055248615E-2</v>
      </c>
      <c r="CC90" s="700">
        <f t="shared" si="227"/>
        <v>-0.1202185792349727</v>
      </c>
      <c r="CD90" s="78">
        <f t="shared" si="227"/>
        <v>-0.1202185792349727</v>
      </c>
      <c r="CE90" s="700">
        <f t="shared" si="227"/>
        <v>-0.13186813186813184</v>
      </c>
      <c r="CF90" s="700">
        <f t="shared" si="227"/>
        <v>-9.4117647058823528E-2</v>
      </c>
      <c r="CG90" s="700">
        <f t="shared" si="227"/>
        <v>-7.2727272727272751E-2</v>
      </c>
      <c r="CH90" s="700">
        <f t="shared" si="227"/>
        <v>-4.9689440993788803E-2</v>
      </c>
      <c r="CI90" s="78">
        <f t="shared" si="227"/>
        <v>-4.9689440993788803E-2</v>
      </c>
      <c r="CJ90" s="700">
        <f t="shared" ref="CJ90:DO90" si="228">CJ12/CE12-1</f>
        <v>-4.4303797468354444E-2</v>
      </c>
      <c r="CK90" s="700">
        <f t="shared" si="228"/>
        <v>-1.2987012987012991E-2</v>
      </c>
      <c r="CL90" s="700">
        <f t="shared" si="228"/>
        <v>-6.5359477124182774E-3</v>
      </c>
      <c r="CM90" s="700">
        <f t="shared" si="228"/>
        <v>1.9607843137254832E-2</v>
      </c>
      <c r="CN90" s="78">
        <f t="shared" si="228"/>
        <v>1.9607843137254832E-2</v>
      </c>
      <c r="CO90" s="700">
        <f t="shared" si="228"/>
        <v>3.3112582781456901E-2</v>
      </c>
      <c r="CP90" s="700">
        <f t="shared" si="228"/>
        <v>2.6315789473684292E-2</v>
      </c>
      <c r="CQ90" s="700">
        <f t="shared" si="228"/>
        <v>3.289473684210531E-2</v>
      </c>
      <c r="CR90" s="700">
        <f t="shared" si="228"/>
        <v>3.2051282051282159E-2</v>
      </c>
      <c r="CS90" s="78">
        <f t="shared" si="228"/>
        <v>3.2051282051282159E-2</v>
      </c>
      <c r="CT90" s="700">
        <f t="shared" si="228"/>
        <v>6.4102564102563875E-3</v>
      </c>
      <c r="CU90" s="700">
        <f t="shared" si="228"/>
        <v>-1.2820512820512775E-2</v>
      </c>
      <c r="CV90" s="700">
        <f t="shared" si="228"/>
        <v>-1.9108280254777066E-2</v>
      </c>
      <c r="CW90" s="700">
        <f t="shared" si="228"/>
        <v>-4.9689440993788803E-2</v>
      </c>
      <c r="CX90" s="78">
        <f t="shared" si="228"/>
        <v>-4.9689440993788803E-2</v>
      </c>
      <c r="CY90" s="700">
        <f t="shared" si="228"/>
        <v>-3.1847133757961776E-2</v>
      </c>
      <c r="CZ90" s="700">
        <f t="shared" si="228"/>
        <v>-6.4935064935064402E-3</v>
      </c>
      <c r="DA90" s="700">
        <f t="shared" si="228"/>
        <v>0</v>
      </c>
      <c r="DB90" s="700">
        <f t="shared" si="228"/>
        <v>0.71241830065359468</v>
      </c>
      <c r="DC90" s="78">
        <f t="shared" si="228"/>
        <v>0.71241830065359468</v>
      </c>
      <c r="DD90" s="700">
        <f t="shared" si="228"/>
        <v>0.71710526315789469</v>
      </c>
      <c r="DE90" s="700">
        <f t="shared" si="228"/>
        <v>0.72549019607843146</v>
      </c>
      <c r="DF90" s="700">
        <f t="shared" si="228"/>
        <v>0.75324675324675328</v>
      </c>
      <c r="DG90" s="700">
        <f t="shared" si="228"/>
        <v>5.3435114503816772E-2</v>
      </c>
      <c r="DH90" s="78">
        <f t="shared" si="228"/>
        <v>5.3435114503816772E-2</v>
      </c>
      <c r="DI90" s="700">
        <f t="shared" si="228"/>
        <v>2.6819923371647514E-2</v>
      </c>
      <c r="DJ90" s="700">
        <f t="shared" si="228"/>
        <v>-1.1363636363636354E-2</v>
      </c>
      <c r="DK90" s="700">
        <f t="shared" si="228"/>
        <v>1.8518518518518601E-2</v>
      </c>
      <c r="DL90" s="700">
        <f t="shared" si="228"/>
        <v>0.11956521739130443</v>
      </c>
      <c r="DM90" s="78">
        <f t="shared" si="228"/>
        <v>0.11956521739130443</v>
      </c>
      <c r="DN90" s="700">
        <f t="shared" si="228"/>
        <v>0.16417910447761197</v>
      </c>
      <c r="DO90" s="700">
        <f t="shared" si="228"/>
        <v>0.21072796934865901</v>
      </c>
      <c r="DP90" s="700">
        <f t="shared" ref="DP90:EG90" si="229">DP12/DK12-1</f>
        <v>0.1709090909090909</v>
      </c>
      <c r="DQ90" s="700">
        <f t="shared" si="229"/>
        <v>5.5016181229773364E-2</v>
      </c>
      <c r="DR90" s="78">
        <f t="shared" si="229"/>
        <v>5.5016181229773364E-2</v>
      </c>
      <c r="DS90" s="700">
        <f t="shared" si="229"/>
        <v>3.8461538461538547E-2</v>
      </c>
      <c r="DT90" s="700">
        <f t="shared" si="229"/>
        <v>0</v>
      </c>
      <c r="DU90" s="700">
        <f t="shared" si="229"/>
        <v>-7.7639751552795011E-2</v>
      </c>
      <c r="DV90" s="700">
        <f t="shared" si="229"/>
        <v>-0.11349693251533743</v>
      </c>
      <c r="DW90" s="78">
        <f t="shared" si="229"/>
        <v>-0.11349693251533743</v>
      </c>
      <c r="DX90" s="700">
        <f t="shared" si="229"/>
        <v>-0.11996939203156531</v>
      </c>
      <c r="DY90" s="700">
        <f t="shared" si="229"/>
        <v>-0.12264240271434734</v>
      </c>
      <c r="DZ90" s="700">
        <f t="shared" si="229"/>
        <v>-0.12787124131083483</v>
      </c>
      <c r="EA90" s="700">
        <f t="shared" si="229"/>
        <v>0.18457601043036043</v>
      </c>
      <c r="EB90" s="78">
        <f t="shared" si="229"/>
        <v>0.18457601043036043</v>
      </c>
      <c r="EC90" s="700">
        <f t="shared" si="229"/>
        <v>0.29086886263451683</v>
      </c>
      <c r="ED90" s="700">
        <f t="shared" si="229"/>
        <v>0.33285137667544351</v>
      </c>
      <c r="EE90" s="700">
        <f t="shared" si="229"/>
        <v>0.40701215713043504</v>
      </c>
      <c r="EF90" s="700">
        <f t="shared" si="229"/>
        <v>0.15335260849726939</v>
      </c>
      <c r="EG90" s="78">
        <f t="shared" si="229"/>
        <v>0.15335260849726939</v>
      </c>
      <c r="EH90" s="700">
        <f t="shared" ref="EH90" si="230">EH12/EC12-1</f>
        <v>0.10194750577701628</v>
      </c>
      <c r="EI90" s="700">
        <f t="shared" ref="EI90" si="231">EI12/ED12-1</f>
        <v>0.11356782127402121</v>
      </c>
      <c r="EJ90" s="700">
        <f t="shared" ref="EJ90" si="232">EJ12/EE12-1</f>
        <v>9.0086995328813479E-2</v>
      </c>
      <c r="EK90" s="700">
        <f t="shared" ref="EK90" si="233">EK12/EF12-1</f>
        <v>9.2933892228429515E-2</v>
      </c>
      <c r="EL90" s="78">
        <f t="shared" ref="EL90" si="234">EL12/EG12-1</f>
        <v>9.2933892228429515E-2</v>
      </c>
      <c r="EM90" s="558"/>
      <c r="EN90"/>
      <c r="EO90"/>
      <c r="EP90"/>
      <c r="EQ90"/>
      <c r="ER90"/>
      <c r="ES90"/>
      <c r="ET90" s="141"/>
      <c r="EU90" s="141"/>
      <c r="EV90" s="141"/>
      <c r="EW90" s="141"/>
      <c r="EX90" s="141"/>
      <c r="EY90" s="141"/>
      <c r="EZ90" s="141"/>
      <c r="FA90" s="141"/>
      <c r="FB90" s="141"/>
      <c r="FC90" s="141"/>
      <c r="FD90" s="141"/>
      <c r="FE90" s="141"/>
      <c r="FF90" s="141"/>
      <c r="FG90" s="141"/>
      <c r="FH90" s="141"/>
      <c r="FI90" s="141"/>
      <c r="FJ90" s="141"/>
      <c r="FK90" s="141"/>
      <c r="FL90" s="141"/>
      <c r="FM90" s="141"/>
      <c r="FN90" s="141"/>
      <c r="FO90" s="141"/>
      <c r="FP90" s="141"/>
      <c r="FQ90" s="141"/>
      <c r="FR90" s="141"/>
      <c r="FS90" s="141"/>
      <c r="FT90" s="141"/>
      <c r="FU90" s="141"/>
      <c r="FV90" s="141"/>
      <c r="FW90" s="141"/>
      <c r="FX90" s="141"/>
      <c r="FY90" s="141"/>
      <c r="FZ90" s="141"/>
      <c r="GA90" s="141"/>
      <c r="GB90" s="141"/>
      <c r="GC90" s="141"/>
      <c r="GD90" s="141"/>
      <c r="GE90" s="141"/>
      <c r="GF90" s="141"/>
      <c r="GG90" s="141"/>
      <c r="GH90" s="141"/>
      <c r="GI90" s="141"/>
      <c r="GJ90" s="141"/>
      <c r="GK90" s="141"/>
      <c r="GL90" s="141"/>
      <c r="GM90" s="141"/>
      <c r="GN90" s="141"/>
      <c r="GO90" s="141"/>
      <c r="GP90" s="141"/>
      <c r="GQ90" s="141"/>
      <c r="GR90" s="141"/>
      <c r="GS90" s="141"/>
      <c r="GT90" s="141"/>
      <c r="GU90" s="141"/>
      <c r="GV90" s="141"/>
      <c r="GW90" s="141"/>
      <c r="GX90" s="141"/>
      <c r="GY90" s="141"/>
      <c r="GZ90" s="141"/>
      <c r="HA90" s="141"/>
      <c r="HB90" s="141"/>
      <c r="HC90" s="141"/>
      <c r="HD90" s="141"/>
      <c r="HE90" s="141"/>
      <c r="HF90" s="141"/>
      <c r="HG90" s="141"/>
      <c r="HH90" s="141"/>
      <c r="HI90" s="141"/>
      <c r="HJ90" s="141"/>
      <c r="HK90" s="141"/>
      <c r="HL90" s="141"/>
      <c r="HM90" s="141"/>
      <c r="HN90" s="141"/>
      <c r="HO90" s="141"/>
      <c r="HP90" s="141"/>
      <c r="HQ90" s="141"/>
      <c r="HR90" s="141"/>
      <c r="HS90" s="141"/>
      <c r="HT90" s="141"/>
      <c r="HU90" s="141"/>
      <c r="HV90" s="141"/>
      <c r="HW90" s="141"/>
      <c r="HX90" s="141"/>
      <c r="HY90" s="141"/>
      <c r="HZ90" s="141"/>
      <c r="IA90" s="141"/>
      <c r="IB90" s="141"/>
      <c r="IC90" s="141"/>
      <c r="ID90" s="141"/>
      <c r="IE90" s="141"/>
      <c r="IF90" s="141"/>
      <c r="IG90" s="141"/>
      <c r="IH90" s="141"/>
      <c r="II90" s="141"/>
      <c r="IJ90" s="141"/>
      <c r="IK90" s="141"/>
      <c r="IL90" s="141"/>
      <c r="IM90" s="141"/>
      <c r="IN90" s="141"/>
      <c r="IO90" s="141"/>
      <c r="IP90" s="141"/>
      <c r="IQ90" s="141"/>
      <c r="IR90" s="141"/>
      <c r="IS90" s="141"/>
      <c r="IT90" s="141"/>
      <c r="IU90" s="141"/>
      <c r="IV90" s="141"/>
      <c r="IW90" s="141"/>
      <c r="IX90" s="141"/>
      <c r="IY90" s="141"/>
      <c r="IZ90" s="141"/>
      <c r="JA90" s="141"/>
      <c r="JB90" s="141"/>
      <c r="JC90" s="141"/>
      <c r="JD90" s="141"/>
      <c r="JE90" s="141"/>
      <c r="JF90" s="141"/>
      <c r="JG90" s="141"/>
      <c r="JH90" s="141"/>
    </row>
    <row r="91" spans="1:268" s="142" customFormat="1" ht="12" hidden="1" customHeight="1" outlineLevel="1">
      <c r="A91" s="847"/>
      <c r="B91" s="848" t="s">
        <v>4</v>
      </c>
      <c r="C91" s="975"/>
      <c r="D91" s="975"/>
      <c r="E91" s="975"/>
      <c r="F91" s="975"/>
      <c r="G91" s="975"/>
      <c r="H91" s="976"/>
      <c r="I91" s="977">
        <f t="shared" ref="I91:AG91" si="235">I89/I90</f>
        <v>0.76631234970244999</v>
      </c>
      <c r="J91" s="977">
        <f t="shared" si="235"/>
        <v>0.89336870073778107</v>
      </c>
      <c r="K91" s="977">
        <f t="shared" si="235"/>
        <v>0.90202572116096225</v>
      </c>
      <c r="L91" s="977">
        <f t="shared" si="235"/>
        <v>0.83012566393654996</v>
      </c>
      <c r="M91" s="976">
        <f t="shared" si="235"/>
        <v>6.528933092224233</v>
      </c>
      <c r="N91" s="977">
        <f t="shared" si="235"/>
        <v>1.2039183996676774</v>
      </c>
      <c r="O91" s="977">
        <f t="shared" si="235"/>
        <v>0.99999088190239949</v>
      </c>
      <c r="P91" s="977">
        <f t="shared" si="235"/>
        <v>1.2091851409943646</v>
      </c>
      <c r="Q91" s="977">
        <f t="shared" si="235"/>
        <v>2.764787694815543</v>
      </c>
      <c r="R91" s="976">
        <f t="shared" si="235"/>
        <v>1.1094856573539791</v>
      </c>
      <c r="S91" s="977">
        <f t="shared" si="235"/>
        <v>1.2193876187376247</v>
      </c>
      <c r="T91" s="977">
        <f t="shared" si="235"/>
        <v>1.2547751460426753</v>
      </c>
      <c r="U91" s="977">
        <f t="shared" si="235"/>
        <v>1.0830278955704735</v>
      </c>
      <c r="V91" s="977">
        <f t="shared" si="235"/>
        <v>-2.5145666335698547</v>
      </c>
      <c r="W91" s="976">
        <f t="shared" si="235"/>
        <v>1.2731944923867613</v>
      </c>
      <c r="X91" s="977">
        <f t="shared" si="235"/>
        <v>0.99749373433583988</v>
      </c>
      <c r="Y91" s="977">
        <f t="shared" si="235"/>
        <v>0.34103072719787425</v>
      </c>
      <c r="Z91" s="977">
        <f t="shared" si="235"/>
        <v>0.64338391717486898</v>
      </c>
      <c r="AA91" s="977">
        <f t="shared" si="235"/>
        <v>4.4115130299494423</v>
      </c>
      <c r="AB91" s="976">
        <f t="shared" si="235"/>
        <v>3.0432397314661119</v>
      </c>
      <c r="AC91" s="977">
        <f t="shared" si="235"/>
        <v>3.4155895025460219</v>
      </c>
      <c r="AD91" s="977">
        <f t="shared" si="235"/>
        <v>-1.0561020186048424</v>
      </c>
      <c r="AE91" s="977">
        <f t="shared" si="235"/>
        <v>-9.3114539606389768E-2</v>
      </c>
      <c r="AF91" s="977">
        <f t="shared" si="235"/>
        <v>-1.1643439836845721</v>
      </c>
      <c r="AG91" s="976">
        <f t="shared" si="235"/>
        <v>5.4234375000000181</v>
      </c>
      <c r="AH91" s="997" t="str">
        <f>IF(ISERROR(AH89/AH90),"nm",AH89/AH90)</f>
        <v>nm</v>
      </c>
      <c r="AI91" s="977">
        <f t="shared" ref="AI91:AT91" si="236">AI89/AI90</f>
        <v>10.586330935251588</v>
      </c>
      <c r="AJ91" s="977">
        <f t="shared" si="236"/>
        <v>14.227368421052388</v>
      </c>
      <c r="AK91" s="977">
        <f t="shared" si="236"/>
        <v>-2.536509027062102</v>
      </c>
      <c r="AL91" s="976">
        <f t="shared" si="236"/>
        <v>-1.3871561240581765</v>
      </c>
      <c r="AM91" s="977">
        <f t="shared" si="236"/>
        <v>-10.520106002995725</v>
      </c>
      <c r="AN91" s="977">
        <f t="shared" si="236"/>
        <v>35.986620926244015</v>
      </c>
      <c r="AO91" s="977">
        <f t="shared" si="236"/>
        <v>4.0395256916996081</v>
      </c>
      <c r="AP91" s="977">
        <f t="shared" si="236"/>
        <v>2.0751562700493076</v>
      </c>
      <c r="AQ91" s="976">
        <f t="shared" si="236"/>
        <v>1.9425966686350951</v>
      </c>
      <c r="AR91" s="977">
        <f t="shared" si="236"/>
        <v>2.288393489030434</v>
      </c>
      <c r="AS91" s="977">
        <f t="shared" si="236"/>
        <v>1.5556865055981148</v>
      </c>
      <c r="AT91" s="977">
        <f t="shared" si="236"/>
        <v>0.87742058936088752</v>
      </c>
      <c r="AU91" s="802"/>
      <c r="AV91" s="881"/>
      <c r="AW91" s="881"/>
      <c r="AX91" s="881"/>
      <c r="AY91" s="881"/>
      <c r="AZ91" s="885"/>
      <c r="BA91" s="998" t="str">
        <f>IF(ISERROR(BA89/BA90),"nm",BA89/BA90)</f>
        <v>nm</v>
      </c>
      <c r="BB91" s="998" t="str">
        <f>IF(ISERROR(BB89/BB90),"nm",BB89/BB90)</f>
        <v>nm</v>
      </c>
      <c r="BC91" s="998" t="str">
        <f>IF(ISERROR(BC89/BC90),"nm",BC89/BC90)</f>
        <v>nm</v>
      </c>
      <c r="BD91" s="977">
        <f t="shared" ref="BD91:BL91" si="237">BD89/BD90</f>
        <v>1.2662636196763282</v>
      </c>
      <c r="BE91" s="976">
        <f t="shared" si="237"/>
        <v>0.52319270569505794</v>
      </c>
      <c r="BF91" s="977">
        <f t="shared" si="237"/>
        <v>1.3924536500579379</v>
      </c>
      <c r="BG91" s="977">
        <f t="shared" si="237"/>
        <v>1.5961329781986779</v>
      </c>
      <c r="BH91" s="977">
        <f t="shared" si="237"/>
        <v>1.5736500832042237</v>
      </c>
      <c r="BI91" s="977">
        <f t="shared" si="237"/>
        <v>1.5042090188270634</v>
      </c>
      <c r="BJ91" s="976">
        <f t="shared" si="237"/>
        <v>1.5044790075220613</v>
      </c>
      <c r="BK91" s="977">
        <f t="shared" si="237"/>
        <v>-2.328962158111656</v>
      </c>
      <c r="BL91" s="977">
        <f t="shared" si="237"/>
        <v>-1.8190661478599279</v>
      </c>
      <c r="BM91" s="998" t="str">
        <f>IF(ISERROR(BM89/BM90),"nm",BM89/BM90)</f>
        <v>nm</v>
      </c>
      <c r="BN91" s="977">
        <f t="shared" ref="BN91:CZ91" si="238">BN89/BN90</f>
        <v>-4.4038142620231859</v>
      </c>
      <c r="BO91" s="976">
        <f t="shared" si="238"/>
        <v>-4.4433653750866791</v>
      </c>
      <c r="BP91" s="977">
        <f t="shared" si="238"/>
        <v>-1.6523390643742444</v>
      </c>
      <c r="BQ91" s="977">
        <f t="shared" si="238"/>
        <v>0.94443236189647628</v>
      </c>
      <c r="BR91" s="977">
        <f t="shared" si="238"/>
        <v>2.1637009189640777</v>
      </c>
      <c r="BS91" s="977">
        <f t="shared" si="238"/>
        <v>1.6528925619834713</v>
      </c>
      <c r="BT91" s="976">
        <f t="shared" si="238"/>
        <v>2.3353096179183153</v>
      </c>
      <c r="BU91" s="977">
        <f t="shared" si="238"/>
        <v>0.77494378032903322</v>
      </c>
      <c r="BV91" s="977">
        <f t="shared" si="238"/>
        <v>0.26159453302961194</v>
      </c>
      <c r="BW91" s="977">
        <f t="shared" si="238"/>
        <v>1.9857109116674512</v>
      </c>
      <c r="BX91" s="977">
        <f t="shared" si="238"/>
        <v>-6.079853143643847</v>
      </c>
      <c r="BY91" s="976">
        <f t="shared" si="238"/>
        <v>-1.3430656934306697</v>
      </c>
      <c r="BZ91" s="977">
        <f t="shared" si="238"/>
        <v>3.6331724440544284</v>
      </c>
      <c r="CA91" s="977">
        <f t="shared" si="238"/>
        <v>0.25955373172608426</v>
      </c>
      <c r="CB91" s="977">
        <f t="shared" si="238"/>
        <v>0.27616410488245935</v>
      </c>
      <c r="CC91" s="977">
        <f t="shared" si="238"/>
        <v>0.20693833043899643</v>
      </c>
      <c r="CD91" s="976">
        <f t="shared" si="238"/>
        <v>5.7494679233809375E-2</v>
      </c>
      <c r="CE91" s="977">
        <f t="shared" si="238"/>
        <v>0.29424996485308624</v>
      </c>
      <c r="CF91" s="977">
        <f t="shared" si="238"/>
        <v>-0.21892170329670252</v>
      </c>
      <c r="CG91" s="977">
        <f t="shared" si="238"/>
        <v>-0.66265060240963747</v>
      </c>
      <c r="CH91" s="977">
        <f t="shared" si="238"/>
        <v>-0.60512528473803973</v>
      </c>
      <c r="CI91" s="976">
        <f t="shared" si="238"/>
        <v>-0.27788224068253448</v>
      </c>
      <c r="CJ91" s="977">
        <f t="shared" si="238"/>
        <v>-0.59424559643954211</v>
      </c>
      <c r="CK91" s="977">
        <f t="shared" si="238"/>
        <v>-2.5563032750112065</v>
      </c>
      <c r="CL91" s="977">
        <f t="shared" si="238"/>
        <v>0</v>
      </c>
      <c r="CM91" s="977">
        <f t="shared" si="238"/>
        <v>0.90225563909775153</v>
      </c>
      <c r="CN91" s="976">
        <f t="shared" si="238"/>
        <v>0.98261543572140619</v>
      </c>
      <c r="CO91" s="977">
        <f t="shared" si="238"/>
        <v>1.1620350577169727</v>
      </c>
      <c r="CP91" s="977">
        <f t="shared" si="238"/>
        <v>-4.9500651324357728E-2</v>
      </c>
      <c r="CQ91" s="977">
        <f t="shared" si="238"/>
        <v>0.36286472148541216</v>
      </c>
      <c r="CR91" s="977">
        <f t="shared" si="238"/>
        <v>0.70508474576270996</v>
      </c>
      <c r="CS91" s="976">
        <f t="shared" si="238"/>
        <v>0.56265073329711734</v>
      </c>
      <c r="CT91" s="977">
        <f t="shared" si="238"/>
        <v>3.9818855496089123</v>
      </c>
      <c r="CU91" s="977">
        <f t="shared" si="238"/>
        <v>-5.2565217391304495</v>
      </c>
      <c r="CV91" s="977">
        <f t="shared" si="238"/>
        <v>-3.1550895587592835</v>
      </c>
      <c r="CW91" s="977">
        <f t="shared" si="238"/>
        <v>-1.5224181895452609</v>
      </c>
      <c r="CX91" s="976">
        <f t="shared" si="238"/>
        <v>-1.1446617223348641</v>
      </c>
      <c r="CY91" s="977">
        <f t="shared" si="238"/>
        <v>-1.2983540746688111</v>
      </c>
      <c r="CZ91" s="977">
        <f t="shared" si="238"/>
        <v>-10.914867617108035</v>
      </c>
      <c r="DA91" s="998" t="s">
        <v>17</v>
      </c>
      <c r="DB91" s="977">
        <f t="shared" ref="DB91:DS91" si="239">DB89/DB90</f>
        <v>0.943913817289464</v>
      </c>
      <c r="DC91" s="976">
        <f t="shared" si="239"/>
        <v>0.30754879874316382</v>
      </c>
      <c r="DD91" s="977">
        <f t="shared" si="239"/>
        <v>0.9203454690782541</v>
      </c>
      <c r="DE91" s="977">
        <f t="shared" si="239"/>
        <v>0.90860773287551533</v>
      </c>
      <c r="DF91" s="998">
        <f t="shared" si="239"/>
        <v>0.91784989858012178</v>
      </c>
      <c r="DG91" s="998">
        <f t="shared" si="239"/>
        <v>2.612837906246837</v>
      </c>
      <c r="DH91" s="976">
        <f t="shared" si="239"/>
        <v>9.0610994107764053</v>
      </c>
      <c r="DI91" s="977">
        <f t="shared" si="239"/>
        <v>4.1996217901930866</v>
      </c>
      <c r="DJ91" s="977">
        <f t="shared" si="239"/>
        <v>-9.7239798257680068</v>
      </c>
      <c r="DK91" s="998">
        <f t="shared" si="239"/>
        <v>7.7439024390243523</v>
      </c>
      <c r="DL91" s="998">
        <f t="shared" si="239"/>
        <v>1.0281169908035575</v>
      </c>
      <c r="DM91" s="976">
        <f t="shared" si="239"/>
        <v>1.0225852272727269</v>
      </c>
      <c r="DN91" s="977">
        <f t="shared" si="239"/>
        <v>0.79966224549818832</v>
      </c>
      <c r="DO91" s="977">
        <f t="shared" si="239"/>
        <v>0.36835072442008848</v>
      </c>
      <c r="DP91" s="998">
        <f t="shared" si="239"/>
        <v>0.17681468812116238</v>
      </c>
      <c r="DQ91" s="998">
        <f t="shared" si="239"/>
        <v>-0.68115627273615875</v>
      </c>
      <c r="DR91" s="976">
        <f t="shared" si="239"/>
        <v>0.86675129501853265</v>
      </c>
      <c r="DS91" s="977">
        <f t="shared" si="239"/>
        <v>-1.0745387453874513</v>
      </c>
      <c r="DT91" s="998" t="str">
        <f>IFERROR(DT89/DT90,"nm")</f>
        <v>nm</v>
      </c>
      <c r="DU91" s="998">
        <f>IFERROR(DU89/DU90,"nm")</f>
        <v>0.6790644171779141</v>
      </c>
      <c r="DV91" s="998">
        <f>IFERROR(DV89/DV90,"nm")</f>
        <v>-0.15039550482588496</v>
      </c>
      <c r="DW91" s="976">
        <f>DW89/DW90</f>
        <v>0.19110301568773344</v>
      </c>
      <c r="DX91" s="977">
        <f t="shared" ref="DX91:EG91" si="240">DX89/DX90</f>
        <v>0.37167036836948258</v>
      </c>
      <c r="DY91" s="977">
        <f t="shared" si="240"/>
        <v>0.3508532981773223</v>
      </c>
      <c r="DZ91" s="977">
        <f t="shared" si="240"/>
        <v>0.31001197022835153</v>
      </c>
      <c r="EA91" s="977">
        <f t="shared" si="240"/>
        <v>-0.32916177145562886</v>
      </c>
      <c r="EB91" s="976">
        <f t="shared" si="240"/>
        <v>-0.25556289735656867</v>
      </c>
      <c r="EC91" s="977">
        <f t="shared" si="240"/>
        <v>-4.9845651892461998E-2</v>
      </c>
      <c r="ED91" s="977">
        <f t="shared" si="240"/>
        <v>5.6704724366507366E-3</v>
      </c>
      <c r="EE91" s="977">
        <f t="shared" si="240"/>
        <v>4.9784889105389293E-2</v>
      </c>
      <c r="EF91" s="977">
        <f t="shared" si="240"/>
        <v>0.2529295462148487</v>
      </c>
      <c r="EG91" s="976">
        <f t="shared" si="240"/>
        <v>7.5270850428492533E-2</v>
      </c>
      <c r="EH91" s="977">
        <f t="shared" ref="EH91:EL91" si="241">EH89/EH90</f>
        <v>0.43860866279334798</v>
      </c>
      <c r="EI91" s="977">
        <f t="shared" si="241"/>
        <v>0.38557595495852304</v>
      </c>
      <c r="EJ91" s="977">
        <f t="shared" si="241"/>
        <v>0.47519789867627671</v>
      </c>
      <c r="EK91" s="977">
        <f t="shared" si="241"/>
        <v>0.47156194065749713</v>
      </c>
      <c r="EL91" s="976">
        <f t="shared" si="241"/>
        <v>0.47116734408722943</v>
      </c>
      <c r="EM91" s="975"/>
      <c r="EN91"/>
      <c r="EO91"/>
      <c r="EP91"/>
      <c r="EQ91"/>
      <c r="ER91"/>
      <c r="ES91"/>
      <c r="ET91" s="141"/>
      <c r="EU91" s="141"/>
      <c r="EV91" s="141"/>
      <c r="EW91" s="141"/>
      <c r="EX91" s="141"/>
      <c r="EY91" s="141"/>
      <c r="EZ91" s="141"/>
      <c r="FA91" s="141"/>
      <c r="FB91" s="141"/>
      <c r="FC91" s="141"/>
      <c r="FD91" s="141"/>
      <c r="FE91" s="141"/>
      <c r="FF91" s="141"/>
      <c r="FG91" s="141"/>
      <c r="FH91" s="141"/>
      <c r="FI91" s="141"/>
      <c r="FJ91" s="141"/>
      <c r="FK91" s="141"/>
      <c r="FL91" s="141"/>
      <c r="FM91" s="141"/>
      <c r="FN91" s="141"/>
      <c r="FO91" s="141"/>
      <c r="FP91" s="141"/>
      <c r="FQ91" s="141"/>
      <c r="FR91" s="141"/>
      <c r="FS91" s="141"/>
      <c r="FT91" s="141"/>
      <c r="FU91" s="141"/>
      <c r="FV91" s="141"/>
      <c r="FW91" s="141"/>
      <c r="FX91" s="141"/>
      <c r="FY91" s="141"/>
      <c r="FZ91" s="141"/>
      <c r="GA91" s="141"/>
      <c r="GB91" s="141"/>
      <c r="GC91" s="141"/>
      <c r="GD91" s="141"/>
      <c r="GE91" s="141"/>
      <c r="GF91" s="141"/>
      <c r="GG91" s="141"/>
      <c r="GH91" s="141"/>
      <c r="GI91" s="141"/>
      <c r="GJ91" s="141"/>
      <c r="GK91" s="141"/>
      <c r="GL91" s="141"/>
      <c r="GM91" s="141"/>
      <c r="GN91" s="141"/>
      <c r="GO91" s="141"/>
      <c r="GP91" s="141"/>
      <c r="GQ91" s="141"/>
      <c r="GR91" s="141"/>
      <c r="GS91" s="141"/>
      <c r="GT91" s="141"/>
      <c r="GU91" s="141"/>
      <c r="GV91" s="141"/>
      <c r="GW91" s="141"/>
      <c r="GX91" s="141"/>
      <c r="GY91" s="141"/>
      <c r="GZ91" s="141"/>
      <c r="HA91" s="141"/>
      <c r="HB91" s="141"/>
      <c r="HC91" s="141"/>
      <c r="HD91" s="141"/>
      <c r="HE91" s="141"/>
      <c r="HF91" s="141"/>
      <c r="HG91" s="141"/>
      <c r="HH91" s="141"/>
      <c r="HI91" s="141"/>
      <c r="HJ91" s="141"/>
      <c r="HK91" s="141"/>
      <c r="HL91" s="141"/>
      <c r="HM91" s="141"/>
      <c r="HN91" s="141"/>
      <c r="HO91" s="141"/>
      <c r="HP91" s="141"/>
      <c r="HQ91" s="141"/>
      <c r="HR91" s="141"/>
      <c r="HS91" s="141"/>
      <c r="HT91" s="141"/>
      <c r="HU91" s="141"/>
      <c r="HV91" s="141"/>
      <c r="HW91" s="141"/>
      <c r="HX91" s="141"/>
      <c r="HY91" s="141"/>
      <c r="HZ91" s="141"/>
      <c r="IA91" s="141"/>
      <c r="IB91" s="141"/>
      <c r="IC91" s="141"/>
      <c r="ID91" s="141"/>
      <c r="IE91" s="141"/>
      <c r="IF91" s="141"/>
      <c r="IG91" s="141"/>
      <c r="IH91" s="141"/>
      <c r="II91" s="141"/>
      <c r="IJ91" s="141"/>
      <c r="IK91" s="141"/>
      <c r="IL91" s="141"/>
      <c r="IM91" s="141"/>
      <c r="IN91" s="141"/>
      <c r="IO91" s="141"/>
      <c r="IP91" s="141"/>
      <c r="IQ91" s="141"/>
      <c r="IR91" s="141"/>
      <c r="IS91" s="141"/>
      <c r="IT91" s="141"/>
      <c r="IU91" s="141"/>
      <c r="IV91" s="141"/>
      <c r="IW91" s="141"/>
      <c r="IX91" s="141"/>
      <c r="IY91" s="141"/>
      <c r="IZ91" s="141"/>
      <c r="JA91" s="141"/>
      <c r="JB91" s="141"/>
      <c r="JC91" s="141"/>
      <c r="JD91" s="141"/>
      <c r="JE91" s="141"/>
      <c r="JF91" s="141"/>
      <c r="JG91" s="141"/>
      <c r="JH91" s="141"/>
    </row>
    <row r="92" spans="1:268" s="142" customFormat="1" ht="12" hidden="1" customHeight="1" outlineLevel="1">
      <c r="A92" s="978"/>
      <c r="B92" s="979"/>
      <c r="C92" s="555"/>
      <c r="D92" s="555"/>
      <c r="E92" s="555"/>
      <c r="F92" s="555"/>
      <c r="G92" s="555"/>
      <c r="H92" s="802"/>
      <c r="I92" s="555"/>
      <c r="J92" s="555"/>
      <c r="K92" s="555"/>
      <c r="L92" s="555"/>
      <c r="M92" s="802"/>
      <c r="N92" s="555"/>
      <c r="O92" s="555"/>
      <c r="P92" s="555"/>
      <c r="Q92" s="555"/>
      <c r="R92" s="802"/>
      <c r="S92" s="555"/>
      <c r="T92" s="555"/>
      <c r="U92" s="555"/>
      <c r="V92" s="555"/>
      <c r="W92" s="802"/>
      <c r="X92" s="555"/>
      <c r="Y92" s="555"/>
      <c r="Z92" s="555"/>
      <c r="AA92" s="555"/>
      <c r="AB92" s="802"/>
      <c r="AC92" s="555"/>
      <c r="AD92" s="555"/>
      <c r="AE92" s="555"/>
      <c r="AF92" s="555"/>
      <c r="AG92" s="802"/>
      <c r="AH92" s="555"/>
      <c r="AI92" s="555"/>
      <c r="AJ92" s="555"/>
      <c r="AK92" s="555"/>
      <c r="AL92" s="802"/>
      <c r="AM92" s="555"/>
      <c r="AN92" s="555"/>
      <c r="AO92" s="555"/>
      <c r="AP92" s="555"/>
      <c r="AQ92" s="802"/>
      <c r="AR92" s="555"/>
      <c r="AS92" s="555"/>
      <c r="AT92" s="555"/>
      <c r="AU92" s="802"/>
      <c r="AV92" s="555"/>
      <c r="AW92" s="555"/>
      <c r="AX92" s="555"/>
      <c r="AY92" s="555"/>
      <c r="AZ92" s="802"/>
      <c r="BA92" s="555"/>
      <c r="BB92" s="555"/>
      <c r="BC92" s="555"/>
      <c r="BD92" s="555"/>
      <c r="BE92" s="802"/>
      <c r="BF92" s="555"/>
      <c r="BG92" s="555"/>
      <c r="BH92" s="555"/>
      <c r="BI92" s="555"/>
      <c r="BJ92" s="802"/>
      <c r="BK92" s="555"/>
      <c r="BL92" s="555"/>
      <c r="BM92" s="555"/>
      <c r="BN92" s="555"/>
      <c r="BO92" s="802"/>
      <c r="BP92" s="555"/>
      <c r="BQ92" s="555"/>
      <c r="BR92" s="555"/>
      <c r="BS92" s="555"/>
      <c r="BT92" s="802"/>
      <c r="BU92" s="555"/>
      <c r="BV92" s="555"/>
      <c r="BW92" s="555"/>
      <c r="BX92" s="555"/>
      <c r="BY92" s="802"/>
      <c r="BZ92" s="557"/>
      <c r="CA92" s="555"/>
      <c r="CB92" s="555"/>
      <c r="CC92" s="555"/>
      <c r="CD92" s="802"/>
      <c r="CE92" s="555"/>
      <c r="CF92" s="555"/>
      <c r="CG92" s="555"/>
      <c r="CH92" s="555"/>
      <c r="CI92" s="802"/>
      <c r="CJ92" s="555"/>
      <c r="CK92" s="555"/>
      <c r="CL92" s="555"/>
      <c r="CM92" s="555"/>
      <c r="CN92" s="802"/>
      <c r="CO92" s="555"/>
      <c r="CP92" s="555"/>
      <c r="CQ92" s="555"/>
      <c r="CR92" s="555"/>
      <c r="CS92" s="802"/>
      <c r="CT92" s="555"/>
      <c r="CU92" s="555"/>
      <c r="CV92" s="555"/>
      <c r="CW92" s="555"/>
      <c r="CX92" s="802"/>
      <c r="CY92" s="555"/>
      <c r="CZ92" s="555"/>
      <c r="DA92" s="555"/>
      <c r="DB92" s="555"/>
      <c r="DC92" s="802"/>
      <c r="DD92" s="555"/>
      <c r="DE92" s="555"/>
      <c r="DF92" s="555"/>
      <c r="DG92" s="555"/>
      <c r="DH92" s="802"/>
      <c r="DI92" s="555"/>
      <c r="DJ92" s="555"/>
      <c r="DK92" s="555"/>
      <c r="DL92" s="555"/>
      <c r="DM92" s="802"/>
      <c r="DN92" s="555"/>
      <c r="DO92" s="555"/>
      <c r="DP92" s="555"/>
      <c r="DQ92" s="555"/>
      <c r="DR92" s="802"/>
      <c r="DS92" s="555"/>
      <c r="DT92" s="555"/>
      <c r="DU92" s="555"/>
      <c r="DV92" s="555"/>
      <c r="DW92" s="802"/>
      <c r="DX92" s="555"/>
      <c r="DY92" s="555"/>
      <c r="DZ92" s="555"/>
      <c r="EA92" s="555"/>
      <c r="EB92" s="802"/>
      <c r="EC92" s="555"/>
      <c r="ED92" s="555"/>
      <c r="EE92" s="555"/>
      <c r="EF92" s="555"/>
      <c r="EG92" s="802"/>
      <c r="EH92" s="555"/>
      <c r="EI92" s="555"/>
      <c r="EJ92" s="555"/>
      <c r="EK92" s="555"/>
      <c r="EL92" s="802"/>
      <c r="EM92" s="555"/>
      <c r="EN92"/>
      <c r="EO92"/>
      <c r="EP92"/>
      <c r="EQ92"/>
      <c r="ER92"/>
      <c r="ES92"/>
      <c r="ET92" s="141"/>
      <c r="EU92" s="141"/>
      <c r="EV92" s="141"/>
      <c r="EW92" s="141"/>
      <c r="EX92" s="141"/>
      <c r="EY92" s="141"/>
      <c r="EZ92" s="141"/>
      <c r="FA92" s="141"/>
      <c r="FB92" s="141"/>
      <c r="FC92" s="141"/>
      <c r="FD92" s="141"/>
      <c r="FE92" s="141"/>
      <c r="FF92" s="141"/>
      <c r="FG92" s="141"/>
      <c r="FH92" s="141"/>
      <c r="FI92" s="141"/>
      <c r="FJ92" s="141"/>
      <c r="FK92" s="141"/>
      <c r="FL92" s="141"/>
      <c r="FM92" s="141"/>
      <c r="FN92" s="141"/>
      <c r="FO92" s="141"/>
      <c r="FP92" s="141"/>
      <c r="FQ92" s="141"/>
      <c r="FR92" s="141"/>
      <c r="FS92" s="141"/>
      <c r="FT92" s="141"/>
      <c r="FU92" s="141"/>
      <c r="FV92" s="141"/>
      <c r="FW92" s="141"/>
      <c r="FX92" s="141"/>
      <c r="FY92" s="141"/>
      <c r="FZ92" s="141"/>
      <c r="GA92" s="141"/>
      <c r="GB92" s="141"/>
      <c r="GC92" s="141"/>
      <c r="GD92" s="141"/>
      <c r="GE92" s="141"/>
      <c r="GF92" s="141"/>
      <c r="GG92" s="141"/>
      <c r="GH92" s="141"/>
      <c r="GI92" s="141"/>
      <c r="GJ92" s="141"/>
      <c r="GK92" s="141"/>
      <c r="GL92" s="141"/>
      <c r="GM92" s="141"/>
      <c r="GN92" s="141"/>
      <c r="GO92" s="141"/>
      <c r="GP92" s="141"/>
      <c r="GQ92" s="141"/>
      <c r="GR92" s="141"/>
      <c r="GS92" s="141"/>
      <c r="GT92" s="141"/>
      <c r="GU92" s="141"/>
      <c r="GV92" s="141"/>
      <c r="GW92" s="141"/>
      <c r="GX92" s="141"/>
      <c r="GY92" s="141"/>
      <c r="GZ92" s="141"/>
      <c r="HA92" s="141"/>
      <c r="HB92" s="141"/>
      <c r="HC92" s="141"/>
      <c r="HD92" s="141"/>
      <c r="HE92" s="141"/>
      <c r="HF92" s="141"/>
      <c r="HG92" s="141"/>
      <c r="HH92" s="141"/>
      <c r="HI92" s="141"/>
      <c r="HJ92" s="141"/>
      <c r="HK92" s="141"/>
      <c r="HL92" s="141"/>
      <c r="HM92" s="141"/>
      <c r="HN92" s="141"/>
      <c r="HO92" s="141"/>
      <c r="HP92" s="141"/>
      <c r="HQ92" s="141"/>
      <c r="HR92" s="141"/>
      <c r="HS92" s="141"/>
      <c r="HT92" s="141"/>
      <c r="HU92" s="141"/>
      <c r="HV92" s="141"/>
      <c r="HW92" s="141"/>
      <c r="HX92" s="141"/>
      <c r="HY92" s="141"/>
      <c r="HZ92" s="141"/>
      <c r="IA92" s="141"/>
      <c r="IB92" s="141"/>
      <c r="IC92" s="141"/>
      <c r="ID92" s="141"/>
      <c r="IE92" s="141"/>
      <c r="IF92" s="141"/>
      <c r="IG92" s="141"/>
      <c r="IH92" s="141"/>
      <c r="II92" s="141"/>
      <c r="IJ92" s="141"/>
      <c r="IK92" s="141"/>
      <c r="IL92" s="141"/>
      <c r="IM92" s="141"/>
      <c r="IN92" s="141"/>
      <c r="IO92" s="141"/>
      <c r="IP92" s="141"/>
      <c r="IQ92" s="141"/>
      <c r="IR92" s="141"/>
      <c r="IS92" s="141"/>
      <c r="IT92" s="141"/>
      <c r="IU92" s="141"/>
      <c r="IV92" s="141"/>
      <c r="IW92" s="141"/>
      <c r="IX92" s="141"/>
      <c r="IY92" s="141"/>
      <c r="IZ92" s="141"/>
      <c r="JA92" s="141"/>
      <c r="JB92" s="141"/>
      <c r="JC92" s="141"/>
      <c r="JD92" s="141"/>
      <c r="JE92" s="141"/>
      <c r="JF92" s="141"/>
      <c r="JG92" s="141"/>
      <c r="JH92" s="141"/>
    </row>
    <row r="93" spans="1:268" s="142" customFormat="1" ht="12" hidden="1" customHeight="1" outlineLevel="1">
      <c r="A93" s="801"/>
      <c r="B93" s="557" t="s">
        <v>18</v>
      </c>
      <c r="C93" s="739"/>
      <c r="D93" s="739"/>
      <c r="E93" s="161">
        <f>IS!E17/AVERAGE(D12,E12)*(IS!H6/IS!E6)</f>
        <v>5.7750843732470143</v>
      </c>
      <c r="F93" s="161">
        <f>IS!F17/AVERAGE(E12,F12)*(IS!H6/IS!F6)</f>
        <v>6.1713593702694522</v>
      </c>
      <c r="G93" s="161">
        <f>IS!G17/AVERAGE(F12,G12)*(IS!H6/IS!G6)</f>
        <v>12.449300743673696</v>
      </c>
      <c r="H93" s="817">
        <f>IS!H17/AVERAGE(C12,D12:G12)</f>
        <v>6.1704809618522871</v>
      </c>
      <c r="I93" s="161">
        <f>IS!I17/AVERAGE(H12,I12)*(IS!M6/IS!I6)</f>
        <v>6.0272591555006718</v>
      </c>
      <c r="J93" s="161">
        <f>IS!J17/AVERAGE(I12,J12)*(IS!M6/IS!J6)</f>
        <v>6.106840098676833</v>
      </c>
      <c r="K93" s="161">
        <f>IS!K17/AVERAGE(J12,K12)*(IS!M6/IS!K6)</f>
        <v>6.455026455026454</v>
      </c>
      <c r="L93" s="161">
        <f>IS!L17/AVERAGE(K12,L12)*(IS!M6/IS!L6)</f>
        <v>6.1541148331413948</v>
      </c>
      <c r="M93" s="817">
        <f>IS!M17/AVERAGE(H12,I12:L12)</f>
        <v>6.2023055690858913</v>
      </c>
      <c r="N93" s="161">
        <f>IS!N17/AVERAGE(M12,N12)*(IS!R6/IS!N6)</f>
        <v>5.8312561687605609</v>
      </c>
      <c r="O93" s="161">
        <f>IS!O17/AVERAGE(N12,O12)*(IS!R6/IS!O6)</f>
        <v>6.1413567677633685</v>
      </c>
      <c r="P93" s="161">
        <f>IS!P17/AVERAGE(O12,P12)*(IS!R6/IS!P6)</f>
        <v>7.9820822069730353</v>
      </c>
      <c r="Q93" s="161">
        <f>IS!Q17/AVERAGE(P12,Q12)*(IS!R6/IS!Q6)</f>
        <v>10.186007550460717</v>
      </c>
      <c r="R93" s="817">
        <f>IS!R17/AVERAGE(M12,N12:Q12)</f>
        <v>7.7375565610859738</v>
      </c>
      <c r="S93" s="161">
        <f>IS!S17/AVERAGE(R12,S12)*(IS!W6/IS!S6)</f>
        <v>6.4976153504880214</v>
      </c>
      <c r="T93" s="161">
        <f>IS!T17/AVERAGE(S12,T12)*(IS!W6/IS!T6)</f>
        <v>6.5688653777983799</v>
      </c>
      <c r="U93" s="161">
        <f>IS!U17/AVERAGE(T12,U12)*(IS!W6/IS!U6)</f>
        <v>7.1338688085676027</v>
      </c>
      <c r="V93" s="161">
        <f>IS!V17/AVERAGE(U12,V12)*(IS!W6/IS!V6)</f>
        <v>6.7025575447570338</v>
      </c>
      <c r="W93" s="817">
        <f>IS!W17/AVERAGE(R12,S12:V12)</f>
        <v>6.7335945151811956</v>
      </c>
      <c r="X93" s="161">
        <f>IS!X17/AVERAGE(W12,X12)*(IS!AB6/IS!X6)</f>
        <v>6.4286433172302742</v>
      </c>
      <c r="Y93" s="161">
        <f>IS!Y17/AVERAGE(X12,Y12)*(IS!AB6/IS!Y6)</f>
        <v>6.188383045525903</v>
      </c>
      <c r="Z93" s="161">
        <f>IS!Z17/AVERAGE(Y12,Z12)*(IS!AB6/IS!Z6)</f>
        <v>6.7957957957957955</v>
      </c>
      <c r="AA93" s="161">
        <f>IS!AA17/AVERAGE(Z12,AA12)*(IS!AB6/IS!AA6)</f>
        <v>7.1839644693782141</v>
      </c>
      <c r="AB93" s="817">
        <f>IS!AB17/AVERAGE(W12,X12:AA12)</f>
        <v>6.7239858906525569</v>
      </c>
      <c r="AC93" s="161">
        <f>IS!AC17/AVERAGE(AB12,AC12)*(IS!AG6/IS!AC6)</f>
        <v>7.304127639698109</v>
      </c>
      <c r="AD93" s="161">
        <f>IS!AD17/AVERAGE(AC12,AD12)*(IS!AG6/IS!AD6)</f>
        <v>6.9921294921294921</v>
      </c>
      <c r="AE93" s="161">
        <f>IS!AE17/AVERAGE(AD12,AE12)*(IS!AG6/IS!AE6)</f>
        <v>7.4599898063200811</v>
      </c>
      <c r="AF93" s="161">
        <f>IS!AF17/AVERAGE(AE12,AF12)*(IS!AG6/IS!AF6)</f>
        <v>7.1196937556384565</v>
      </c>
      <c r="AG93" s="817">
        <f>IS!AG17/AVERAGE(AB12,AC12:AF12)</f>
        <v>7.2106690777576858</v>
      </c>
      <c r="AH93" s="161">
        <f>IS!AH17/AVERAGE(AG12,AH12)*(IS!AL6/IS!AH6)</f>
        <v>7.1395371356637938</v>
      </c>
      <c r="AI93" s="161">
        <f>IS!AI17/AVERAGE(AH12,AI12)*(IS!AL6/IS!AI6)</f>
        <v>7.3009013458451664</v>
      </c>
      <c r="AJ93" s="161">
        <f>IS!AJ17/AVERAGE(AI12,AJ12)*(IS!AL6/IS!AJ6)</f>
        <v>7.7777777777777768</v>
      </c>
      <c r="AK93" s="161">
        <f>IS!AK17/AVERAGE(AJ12,AK12)*(IS!AL6/IS!AK6)</f>
        <v>8.2096596043779506</v>
      </c>
      <c r="AL93" s="817">
        <f>IS!AL17/AVERAGE(AG12,AH12:AK12)</f>
        <v>7.6158038147138969</v>
      </c>
      <c r="AM93" s="161">
        <f>IS!AM17/AVERAGE(AL12,AM12)*(IS!AQ6/IS!AM6)</f>
        <v>8.4613471296388418</v>
      </c>
      <c r="AN93" s="161">
        <f>IS!AN17/AVERAGE(AM12,AN12)*(IS!AQ6/IS!AN6)</f>
        <v>8.5652270979584753</v>
      </c>
      <c r="AO93" s="161">
        <f>IS!AO17/AVERAGE(AN12,AO12)*(IS!AQ6/IS!AO6)</f>
        <v>9.0002485707183695</v>
      </c>
      <c r="AP93" s="161">
        <f>IS!AP17/AVERAGE(AO12,AP12)*(IS!AQ6/IS!AP6)</f>
        <v>9.095547750142396</v>
      </c>
      <c r="AQ93" s="817">
        <f>IS!AQ17/AVERAGE(AL12,AM12:AP12)</f>
        <v>8.7892376681614355</v>
      </c>
      <c r="AR93" s="161">
        <f>IS!AR17/AVERAGE(AQ12,AR12)*(365/IS!AR6)</f>
        <v>9.0075107296137329</v>
      </c>
      <c r="AS93" s="161">
        <f>IS!AS17/AVERAGE(AR12,AS12)*(365/IS!AS6)</f>
        <v>9.1290450526119304</v>
      </c>
      <c r="AT93" s="161">
        <f>IS!AT17/AVERAGE(AS12,AT12)*(365/IS!AT6)</f>
        <v>9.468619246861925</v>
      </c>
      <c r="AU93" s="802"/>
      <c r="AV93" s="555"/>
      <c r="AW93" s="555"/>
      <c r="AX93" s="555"/>
      <c r="AY93" s="555"/>
      <c r="AZ93" s="802"/>
      <c r="BA93" s="161">
        <f>IS!BA17/AVERAGE(AZ12,BA12)*(IS!BE6/IS!BA6)</f>
        <v>9.2522847522847531</v>
      </c>
      <c r="BB93" s="161">
        <f>IS!BB17/AVERAGE(BA12,BB12)*(IS!BE6/IS!BB6)</f>
        <v>9.549973835688121</v>
      </c>
      <c r="BC93" s="161">
        <f>IS!BC17/AVERAGE(BB12,BC12)*(IS!BE6/IS!BC6)</f>
        <v>9.3108597728162934</v>
      </c>
      <c r="BD93" s="161">
        <f>IS!BD17/AVERAGE(BC12,BD12)*(IS!BE6/IS!BD6)</f>
        <v>9.4402659161490678</v>
      </c>
      <c r="BE93" s="817">
        <f>IS!BE17/AVERAGE(AZ12,BA12:BD12)</f>
        <v>9.3185840707964598</v>
      </c>
      <c r="BF93" s="161">
        <f>IS!BF17/AVERAGE(BE12,BF12)*(IS!BJ6/IS!BF6)</f>
        <v>8.8306510115801071</v>
      </c>
      <c r="BG93" s="161">
        <f>IS!BG17/AVERAGE(BF12,BG12)*(IS!BJ6/IS!BG6)</f>
        <v>9.4494859978730954</v>
      </c>
      <c r="BH93" s="161">
        <f>IS!BH17/AVERAGE(BG12,BH12)*(IS!BJ6/IS!BH6)</f>
        <v>8.998953731690305</v>
      </c>
      <c r="BI93" s="161">
        <f>IS!BI17/AVERAGE(BH12,BI12)*(IS!BJ6/IS!BI6)</f>
        <v>9.4205217391304341</v>
      </c>
      <c r="BJ93" s="817">
        <f>IS!BJ17/AVERAGE(BE12,BF12:BI12)</f>
        <v>9.0267765190525235</v>
      </c>
      <c r="BK93" s="161">
        <f>IS!BK17/AVERAGE(BJ12,BK12)*(IS!BO6/IS!BK6)</f>
        <v>9.8062904174015291</v>
      </c>
      <c r="BL93" s="161">
        <f>IS!BL17/AVERAGE(BK12,BL12)*(IS!BO6/IS!BL6)</f>
        <v>9.3624652110291784</v>
      </c>
      <c r="BM93" s="161">
        <f>IS!BM17/AVERAGE(BL12,BM12)*(IS!BO6/IS!BM6)</f>
        <v>9.3129290617848977</v>
      </c>
      <c r="BN93" s="161">
        <f>IS!BN17/AVERAGE(BM12,BN12)*(IS!BO6/IS!BN6)</f>
        <v>8.9239995386921915</v>
      </c>
      <c r="BO93" s="817">
        <f>IS!BO17/AVERAGE(BJ12,BK12:BN12)</f>
        <v>9.3565400843881861</v>
      </c>
      <c r="BP93" s="161">
        <f>IS!BP17/AVERAGE(BO12,BP12)*(IS!BT6/IS!BP6)</f>
        <v>9.484085648148147</v>
      </c>
      <c r="BQ93" s="161">
        <f>IS!BQ17/AVERAGE(BP12,BQ12)*(IS!BT6/IS!BQ6)</f>
        <v>8.6759436215957955</v>
      </c>
      <c r="BR93" s="161">
        <f>IS!BR17/AVERAGE(BQ12,BR12)*(IS!BT6/IS!BR6)</f>
        <v>8.7260002477393783</v>
      </c>
      <c r="BS93" s="161">
        <f>IS!BS17/AVERAGE(BR12,BS12)*(IS!BT6/IS!BS6)</f>
        <v>8.6161628327110691</v>
      </c>
      <c r="BT93" s="817">
        <f>IS!BT17/AVERAGE(BO12,BP12:BS12)</f>
        <v>8.8411316648531013</v>
      </c>
      <c r="BU93" s="161">
        <f>IS!BU17/AVERAGE(BT12,BU12)*(IS!BY6/IS!BU6)</f>
        <v>9.0915750915750912</v>
      </c>
      <c r="BV93" s="161">
        <f>IS!BV17/AVERAGE(BU12,BV12)*(IS!BY6/IS!BV6)</f>
        <v>8.7933220625528321</v>
      </c>
      <c r="BW93" s="161">
        <f>IS!BW17/AVERAGE(BV12,BW12)*(IS!BY6/IS!BW6)</f>
        <v>8.3260869565217401</v>
      </c>
      <c r="BX93" s="161">
        <f>IS!BX17/AVERAGE(BW12,BX12)*(IS!BY6/IS!BX6)</f>
        <v>8.8503344481605364</v>
      </c>
      <c r="BY93" s="817">
        <f>IS!BY17/AVERAGE(BT12,BU12:BX12)</f>
        <v>8.75</v>
      </c>
      <c r="BZ93" s="161">
        <f>IS!BZ17/AVERAGE(BY12,BZ12)*(IS!CD6/IS!BZ6)</f>
        <v>9.2560590094836659</v>
      </c>
      <c r="CA93" s="161">
        <f>IS!CA17/AVERAGE(BZ12,CA12)*(IS!CD6/IS!CA6)</f>
        <v>8.9580419580419566</v>
      </c>
      <c r="CB93" s="161">
        <f>IS!CB17/AVERAGE(CA12,CB12)*(IS!CD6/IS!CB6)</f>
        <v>9.025308241401687</v>
      </c>
      <c r="CC93" s="161">
        <f>IS!CC17/AVERAGE(CB12,CC12)*(IS!CD6/IS!CC6)</f>
        <v>9.4697252600693513</v>
      </c>
      <c r="CD93" s="817">
        <f>IS!CD17/AVERAGE(BY12,BZ12:CC12)</f>
        <v>9.175377468060395</v>
      </c>
      <c r="CE93" s="161">
        <f>IS!CE17/AVERAGE(CD12,CE12)*(IS!CI6/IS!CE6)</f>
        <v>10.043538836642284</v>
      </c>
      <c r="CF93" s="161">
        <f>IS!CF17/AVERAGE(CE12,CF12)*(IS!CI6/IS!CF6)</f>
        <v>10.156029867568328</v>
      </c>
      <c r="CG93" s="161">
        <f>IS!CG17/AVERAGE(CF12,CG12)*(IS!CI6/IS!CG6)</f>
        <v>10.054170797337488</v>
      </c>
      <c r="CH93" s="161">
        <f>IS!CH17/AVERAGE(CG12,CH12)*(IS!CI6/IS!CH6)</f>
        <v>10.216680875248651</v>
      </c>
      <c r="CI93" s="817">
        <f>IS!CI17/AVERAGE(CD12,CE12:CH12)</f>
        <v>10.096277278562258</v>
      </c>
      <c r="CJ93" s="161">
        <f>IS!CJ17/AVERAGE(CI12,CJ12)*(IS!CN6/IS!CJ6)</f>
        <v>10.619152046783624</v>
      </c>
      <c r="CK93" s="161">
        <f>IS!CK17/AVERAGE(CJ12,CK12)*(IS!CN6/IS!CK6)</f>
        <v>10.457694121060456</v>
      </c>
      <c r="CL93" s="161">
        <f>IS!CL17/AVERAGE(CK12,CL12)*(IS!CN6/IS!CL6)</f>
        <v>10.179490846681922</v>
      </c>
      <c r="CM93" s="161">
        <f>IS!CM17/AVERAGE(CL12,CM12)*(IS!CN6/IS!CM6)</f>
        <v>10.15033879164314</v>
      </c>
      <c r="CN93" s="817">
        <f>IS!CN17/AVERAGE(CI12,CJ12:CM12)</f>
        <v>10.320680628272251</v>
      </c>
      <c r="CO93" s="161">
        <f>IS!CO17/AVERAGE(CN12,CO12)*(IS!CS6/IS!CO6)</f>
        <v>10.294871794871794</v>
      </c>
      <c r="CP93" s="161">
        <f>IS!CP17/AVERAGE(CO12,CP12)*(IS!CS6/IS!CP6)</f>
        <v>10.078895463510849</v>
      </c>
      <c r="CQ93" s="161">
        <f>IS!CQ17/AVERAGE(CP12,CQ12)*(IS!CS6/IS!CQ6)</f>
        <v>9.6079316571746087</v>
      </c>
      <c r="CR93" s="161">
        <f>IS!CR17/AVERAGE(CQ12,CR12)*(IS!CS6/IS!CR6)</f>
        <v>9.5067678424938489</v>
      </c>
      <c r="CS93" s="817">
        <f>IS!CS17/AVERAGE(CN12,CO12:CR12)</f>
        <v>9.8473282442748094</v>
      </c>
      <c r="CT93" s="161">
        <f>IS!CT17/AVERAGE(CS12,CT12)*(IS!CX6/IS!CT6)</f>
        <v>10.09288824383164</v>
      </c>
      <c r="CU93" s="161">
        <f>IS!CU17/AVERAGE(CT12,CU12)*(IS!CX6/IS!CU6)</f>
        <v>10.061411257552736</v>
      </c>
      <c r="CV93" s="161">
        <f>IS!CV17/AVERAGE(CU12,CV12)*(IS!CY6/IS!CV6)</f>
        <v>2.3884810841332582</v>
      </c>
      <c r="CW93" s="161">
        <f>IS!CW17/AVERAGE(CV12,CW12)*(IS!CZ6/IS!CW6)</f>
        <v>2.5002124344993621</v>
      </c>
      <c r="CX93" s="817">
        <f>IS!CX17/AVERAGE(CS12,CT12:CW12)</f>
        <v>9.961489088575096</v>
      </c>
      <c r="CY93" s="161">
        <f>IS!CY17/AVERAGE(CX12,CY12)*(IS!DC6/IS!CY6)</f>
        <v>10.212021857923498</v>
      </c>
      <c r="CZ93" s="161">
        <f>IS!CZ17/AVERAGE(CY12,CZ12)*(IS!DC6/IS!CZ6)</f>
        <v>10.178706539362278</v>
      </c>
      <c r="DA93" s="161">
        <f>IS!DA17/AVERAGE(CZ12,DA12)*(IS!DD6/IS!DA6)</f>
        <v>2.466364537600906</v>
      </c>
      <c r="DB93" s="161">
        <f>IS!DB17/AVERAGE(DA12,DB12)*(IS!DE6/IS!DB6)</f>
        <v>2.9769021739130435</v>
      </c>
      <c r="DC93" s="817">
        <f>IS!DC17/AVERAGE(CX12,CY12:DB12)</f>
        <v>10.205949656750571</v>
      </c>
      <c r="DD93" s="161">
        <f>IS!DD17/AVERAGE(DC12,DD12)*(IS!DH6/IS!DD6)</f>
        <v>9.7395368599957504</v>
      </c>
      <c r="DE93" s="161">
        <f>IS!DE17/AVERAGE(DD12,DE12)*(IS!DH6/IS!DE6)</f>
        <v>9.9166928309785458</v>
      </c>
      <c r="DF93" s="161">
        <f>IS!DF17/AVERAGE(DE12,DF12)*(IS!DI6/IS!DF6)</f>
        <v>2.4364924279433318</v>
      </c>
      <c r="DG93" s="161">
        <f>IS!DG17/AVERAGE(DF12,DG12)*(IS!DJ6/IS!DG6)</f>
        <v>2.4927536231884058</v>
      </c>
      <c r="DH93" s="817">
        <f>IS!DH17/AVERAGE(DC12,DD12:DG12)</f>
        <v>9.8649662415603885</v>
      </c>
      <c r="DI93" s="161">
        <f>IS!DI17/AVERAGE(DH12,DI12)*(IS!DM6/IS!DI6)</f>
        <v>10.243259803921569</v>
      </c>
      <c r="DJ93" s="161">
        <f>IS!DJ17/AVERAGE(DI12,DJ12)*(IS!DM6/IS!DJ6)</f>
        <v>10.721244728806166</v>
      </c>
      <c r="DK93" s="161">
        <f>IS!DK17/AVERAGE(DJ12,DK12)*(IS!DN6/IS!DK6)</f>
        <v>2.7754704737183649</v>
      </c>
      <c r="DL93" s="161">
        <f>IS!DL17/AVERAGE(DK12,DL12)*(IS!DO6/IS!DL6)</f>
        <v>2.7675327575938056</v>
      </c>
      <c r="DM93" s="817">
        <f>IS!DM17/AVERAGE(DH12,DI12:DL12)</f>
        <v>10.665946724262058</v>
      </c>
      <c r="DN93" s="161">
        <f>IS!DN17/AVERAGE(DM12,DN12)*(IS!DR6/IS!DN6)</f>
        <v>10.505069809417636</v>
      </c>
      <c r="DO93" s="161">
        <f>IS!DO17/AVERAGE(DN12,DO12)*(IS!DR6/IS!DO6)</f>
        <v>9.9012388885000355</v>
      </c>
      <c r="DP93" s="161">
        <f>IS!DP17/AVERAGE(DO12,DP12)*(IS!DS6/IS!DP6)</f>
        <v>2.3521193948480303</v>
      </c>
      <c r="DQ93" s="161">
        <f>IS!DQ17/AVERAGE(DP12,DQ12)*(IS!DT6/IS!DQ6)</f>
        <v>2.3598698336017176</v>
      </c>
      <c r="DR93" s="817">
        <f>IS!DR17/AVERAGE(DM12,DN12:DQ12)</f>
        <v>9.8548895899053619</v>
      </c>
      <c r="DS93" s="161">
        <f>IS!DS17/AVERAGE(DR12,DS12)*(IS!DW6/IS!DS6)</f>
        <v>9.546153846153846</v>
      </c>
      <c r="DT93" s="161">
        <f>IS!DT17/AVERAGE(DS12,DT12)*(IS!DX6/IS!DT6)</f>
        <v>2.4107142857142856</v>
      </c>
      <c r="DU93" s="161">
        <f>IS!DU17/AVERAGE(DT12,DU12)*(IS!DY6/IS!DU6)</f>
        <v>2.3881126321015675</v>
      </c>
      <c r="DV93" s="161">
        <f>IS!DV17/AVERAGE(DU12,DV12)*(IS!DZ6/IS!DV6)</f>
        <v>2.7303754266211606</v>
      </c>
      <c r="DW93" s="817">
        <f>IS!DW17/AVERAGE(DR12,DS12:DV12)</f>
        <v>9.9387886597938149</v>
      </c>
      <c r="DX93" s="161">
        <f>IS!DX17/AVERAGE(DW12,DX12)*(IS!EB6/IS!DX6)</f>
        <v>10.070544877277618</v>
      </c>
      <c r="DY93" s="161">
        <f>IS!DY17/AVERAGE(DX12,DY12)*(IS!EB6/IS!DY6)</f>
        <v>9.9967340965413012</v>
      </c>
      <c r="DZ93" s="161">
        <f>IS!DZ17/AVERAGE(DY12,DZ12)*(IS!EB6/IS!DZ6)</f>
        <v>9.7943619097491226</v>
      </c>
      <c r="EA93" s="161">
        <f>IS!EA17/AVERAGE(DZ12,EA12)*(IS!EB6/IS!EA6)</f>
        <v>9.2349210037520049</v>
      </c>
      <c r="EB93" s="817">
        <f>IS!EB17/AVERAGE(DW12,DX12:EA12)</f>
        <v>9.5525873224467546</v>
      </c>
      <c r="EC93" s="161">
        <f>IS!EC17/AVERAGE(EB12,EC12)*(IS!EG6/IS!EC6)</f>
        <v>7.8795028188152409</v>
      </c>
      <c r="ED93" s="161">
        <f>IS!ED17/AVERAGE(EC12,ED12)*(IS!EG6/IS!ED6)</f>
        <v>7.6192292846868011</v>
      </c>
      <c r="EE93" s="161">
        <f>IS!EE17/AVERAGE(ED12,EE12)*(IS!EG6/IS!EE6)</f>
        <v>7.3974342815626537</v>
      </c>
      <c r="EF93" s="161">
        <f>IS!EF17/AVERAGE(EE12,EF12)*(IS!EG6/IS!EF6)</f>
        <v>7.7471602371505073</v>
      </c>
      <c r="EG93" s="817">
        <f>IS!EG17/AVERAGE(EB12,EC12:EF12)</f>
        <v>7.6561855086488171</v>
      </c>
      <c r="EH93" s="161">
        <f>IS!EH17/AVERAGE(EG12,EH12)*(IS!EL6/IS!EH6)</f>
        <v>7.4182830779464943</v>
      </c>
      <c r="EI93" s="161">
        <f>IS!EI17/AVERAGE(EH12,EI12)*(IS!EL6/IS!EI6)</f>
        <v>7.3728923743801706</v>
      </c>
      <c r="EJ93" s="161">
        <f>IS!EJ17/AVERAGE(EI12,EJ12)*(IS!EL6/IS!EJ6)</f>
        <v>7.1913591493722588</v>
      </c>
      <c r="EK93" s="161">
        <f>IS!EK17/AVERAGE(EJ12,EK12)*(IS!EL6/IS!EK6)</f>
        <v>7.6225479099875386</v>
      </c>
      <c r="EL93" s="817">
        <f>IS!EL17/AVERAGE(EG12,EH12:EK12)</f>
        <v>7.3799474163828567</v>
      </c>
      <c r="EM93" s="739"/>
      <c r="EN93"/>
      <c r="EO93"/>
      <c r="EP93"/>
      <c r="EQ93"/>
      <c r="ER93"/>
      <c r="ES93"/>
      <c r="ET93" s="141"/>
      <c r="EU93" s="141"/>
      <c r="EV93" s="141"/>
      <c r="EW93" s="141"/>
      <c r="EX93" s="141"/>
      <c r="EY93" s="141"/>
      <c r="EZ93" s="141"/>
      <c r="FA93" s="141"/>
      <c r="FB93" s="141"/>
      <c r="FC93" s="141"/>
      <c r="FD93" s="141"/>
      <c r="FE93" s="141"/>
      <c r="FF93" s="141"/>
      <c r="FG93" s="141"/>
      <c r="FH93" s="141"/>
      <c r="FI93" s="141"/>
      <c r="FJ93" s="141"/>
      <c r="FK93" s="141"/>
      <c r="FL93" s="141"/>
      <c r="FM93" s="141"/>
      <c r="FN93" s="141"/>
      <c r="FO93" s="141"/>
      <c r="FP93" s="141"/>
      <c r="FQ93" s="141"/>
      <c r="FR93" s="141"/>
      <c r="FS93" s="141"/>
      <c r="FT93" s="141"/>
      <c r="FU93" s="141"/>
      <c r="FV93" s="141"/>
      <c r="FW93" s="141"/>
      <c r="FX93" s="141"/>
      <c r="FY93" s="141"/>
      <c r="FZ93" s="141"/>
      <c r="GA93" s="141"/>
      <c r="GB93" s="141"/>
      <c r="GC93" s="141"/>
      <c r="GD93" s="141"/>
      <c r="GE93" s="141"/>
      <c r="GF93" s="141"/>
      <c r="GG93" s="141"/>
      <c r="GH93" s="141"/>
      <c r="GI93" s="141"/>
      <c r="GJ93" s="141"/>
      <c r="GK93" s="141"/>
      <c r="GL93" s="141"/>
      <c r="GM93" s="141"/>
      <c r="GN93" s="141"/>
      <c r="GO93" s="141"/>
      <c r="GP93" s="141"/>
      <c r="GQ93" s="141"/>
      <c r="GR93" s="141"/>
      <c r="GS93" s="141"/>
      <c r="GT93" s="141"/>
      <c r="GU93" s="141"/>
      <c r="GV93" s="141"/>
      <c r="GW93" s="141"/>
      <c r="GX93" s="141"/>
      <c r="GY93" s="141"/>
      <c r="GZ93" s="141"/>
      <c r="HA93" s="141"/>
      <c r="HB93" s="141"/>
      <c r="HC93" s="141"/>
      <c r="HD93" s="141"/>
      <c r="HE93" s="141"/>
      <c r="HF93" s="141"/>
      <c r="HG93" s="141"/>
      <c r="HH93" s="141"/>
      <c r="HI93" s="141"/>
      <c r="HJ93" s="141"/>
      <c r="HK93" s="141"/>
      <c r="HL93" s="141"/>
      <c r="HM93" s="141"/>
      <c r="HN93" s="141"/>
      <c r="HO93" s="141"/>
      <c r="HP93" s="141"/>
      <c r="HQ93" s="141"/>
      <c r="HR93" s="141"/>
      <c r="HS93" s="141"/>
      <c r="HT93" s="141"/>
      <c r="HU93" s="141"/>
      <c r="HV93" s="141"/>
      <c r="HW93" s="141"/>
      <c r="HX93" s="141"/>
      <c r="HY93" s="141"/>
      <c r="HZ93" s="141"/>
      <c r="IA93" s="141"/>
      <c r="IB93" s="141"/>
      <c r="IC93" s="141"/>
      <c r="ID93" s="141"/>
      <c r="IE93" s="141"/>
      <c r="IF93" s="141"/>
      <c r="IG93" s="141"/>
      <c r="IH93" s="141"/>
      <c r="II93" s="141"/>
      <c r="IJ93" s="141"/>
      <c r="IK93" s="141"/>
      <c r="IL93" s="141"/>
      <c r="IM93" s="141"/>
      <c r="IN93" s="141"/>
      <c r="IO93" s="141"/>
      <c r="IP93" s="141"/>
      <c r="IQ93" s="141"/>
      <c r="IR93" s="141"/>
      <c r="IS93" s="141"/>
      <c r="IT93" s="141"/>
      <c r="IU93" s="141"/>
      <c r="IV93" s="141"/>
      <c r="IW93" s="141"/>
      <c r="IX93" s="141"/>
      <c r="IY93" s="141"/>
      <c r="IZ93" s="141"/>
      <c r="JA93" s="141"/>
      <c r="JB93" s="141"/>
      <c r="JC93" s="141"/>
      <c r="JD93" s="141"/>
      <c r="JE93" s="141"/>
      <c r="JF93" s="141"/>
      <c r="JG93" s="141"/>
      <c r="JH93" s="141"/>
    </row>
    <row r="94" spans="1:268" s="142" customFormat="1" ht="12" hidden="1" customHeight="1" outlineLevel="1">
      <c r="A94" s="872"/>
      <c r="B94" s="996" t="s">
        <v>19</v>
      </c>
      <c r="C94" s="996"/>
      <c r="D94" s="999" t="str">
        <f>IF(ISERROR(D12/IS!D17*IS!D6),"nm",D12/IS!D17*IS!D6)</f>
        <v>nm</v>
      </c>
      <c r="E94" s="161">
        <f>E12/IS!E17*IS!E6</f>
        <v>63.526114649681524</v>
      </c>
      <c r="F94" s="161">
        <f>F12/IS!F17*IS!F6</f>
        <v>59.25</v>
      </c>
      <c r="G94" s="161">
        <f>G12/IS!G17*IS!G6</f>
        <v>39.599257884972168</v>
      </c>
      <c r="H94" s="817">
        <f>H12/IS!H17*IS!H6</f>
        <v>97.740740740740748</v>
      </c>
      <c r="I94" s="161">
        <f>I12/IS!I17*IS!I6</f>
        <v>61.728035814213769</v>
      </c>
      <c r="J94" s="161">
        <f>J12/IS!J17*IS!J6</f>
        <v>61.204838709677425</v>
      </c>
      <c r="K94" s="161">
        <f>K12/IS!K17*IS!K6</f>
        <v>57.105000000000004</v>
      </c>
      <c r="L94" s="161">
        <f>L12/IS!L17*IS!L6</f>
        <v>59.729051680883103</v>
      </c>
      <c r="M94" s="817">
        <f>M12/IS!M17*IS!M6</f>
        <v>61.319371727748695</v>
      </c>
      <c r="N94" s="161">
        <f>N12/IS!N17*IS!N6</f>
        <v>63.532984293193721</v>
      </c>
      <c r="O94" s="161">
        <f>O12/IS!O17*IS!O6</f>
        <v>60.057324840764323</v>
      </c>
      <c r="P94" s="161">
        <f>P12/IS!P17*IS!P6</f>
        <v>53.030110935023778</v>
      </c>
      <c r="Q94" s="161">
        <f>Q12/IS!Q17*IS!Q6</f>
        <v>36.504934210526315</v>
      </c>
      <c r="R94" s="817">
        <f>R12/IS!R17*IS!R6</f>
        <v>58.85129490392648</v>
      </c>
      <c r="S94" s="161">
        <f>S12/IS!S17*IS!S6</f>
        <v>57.034267912772584</v>
      </c>
      <c r="T94" s="161">
        <f>T12/IS!T17*IS!T6</f>
        <v>56.25454545454545</v>
      </c>
      <c r="U94" s="161">
        <f>U12/IS!U17*IS!U6</f>
        <v>52.027397260273972</v>
      </c>
      <c r="V94" s="161">
        <f>V12/IS!V17*IS!V6</f>
        <v>54.841225626740943</v>
      </c>
      <c r="W94" s="817">
        <f>W12/IS!W17*IS!W6</f>
        <v>56.807272727272725</v>
      </c>
      <c r="X94" s="161">
        <f>X12/IS!X17*IS!X6</f>
        <v>57.302857142857142</v>
      </c>
      <c r="Y94" s="161">
        <f>Y12/IS!Y17*IS!Y6</f>
        <v>61.44444444444445</v>
      </c>
      <c r="Z94" s="161">
        <f>Z12/IS!Z17*IS!Z6</f>
        <v>54.49131513647643</v>
      </c>
      <c r="AA94" s="161">
        <f>AA12/IS!AA17*IS!AA6</f>
        <v>48.294536817102134</v>
      </c>
      <c r="AB94" s="817">
        <f>AB12/IS!AB17*IS!AB6</f>
        <v>52.895081967213116</v>
      </c>
      <c r="AC94" s="161">
        <f>AC12/IS!AC17*IS!AC6</f>
        <v>50.530712530712535</v>
      </c>
      <c r="AD94" s="161">
        <f>AD12/IS!AD17*IS!AD6</f>
        <v>51.260981912144707</v>
      </c>
      <c r="AE94" s="161">
        <f>AE12/IS!AE17*IS!AE6</f>
        <v>48.927680798004985</v>
      </c>
      <c r="AF94" s="161">
        <f>AF12/IS!AF17*IS!AF6</f>
        <v>51.847499999999997</v>
      </c>
      <c r="AG94" s="817">
        <f>AG12/IS!AG17*IS!AG6</f>
        <v>51.031347962382441</v>
      </c>
      <c r="AH94" s="161">
        <f>AH12/IS!AH17*IS!AH6</f>
        <v>51.46534653465347</v>
      </c>
      <c r="AI94" s="161">
        <f>AI12/IS!AI17*IS!AI6</f>
        <v>49.207407407407409</v>
      </c>
      <c r="AJ94" s="161">
        <f>AJ12/IS!AJ17*IS!AJ6</f>
        <v>46.928571428571431</v>
      </c>
      <c r="AK94" s="161">
        <f>AK12/IS!AK17*IS!AK6</f>
        <v>43.946428571428577</v>
      </c>
      <c r="AL94" s="817">
        <f>AL12/IS!AL17*IS!AL6</f>
        <v>46.577221228384019</v>
      </c>
      <c r="AM94" s="161">
        <f>AM12/IS!AM17*IS!AM6</f>
        <v>44.025751072961377</v>
      </c>
      <c r="AN94" s="161">
        <f>AN12/IS!AN17*IS!AN6</f>
        <v>42.325581395348834</v>
      </c>
      <c r="AO94" s="161">
        <f>AO12/IS!AO17*IS!AO6</f>
        <v>41.189516129032256</v>
      </c>
      <c r="AP94" s="161">
        <f>AP12/IS!AP17*IS!AP6</f>
        <v>40.479999999999997</v>
      </c>
      <c r="AQ94" s="817">
        <f>AQ12/IS!AQ17*IS!AQ6</f>
        <v>43.017857142857139</v>
      </c>
      <c r="AR94" s="161">
        <f>AR12/IS!AR17*IS!AR6</f>
        <v>40.869565217391305</v>
      </c>
      <c r="AS94" s="161">
        <f>AS12/IS!AS17*IS!AS6</f>
        <v>40.067164179104481</v>
      </c>
      <c r="AT94" s="161">
        <f>AT12/IS!AT17*IS!AT6</f>
        <v>39.032258064516128</v>
      </c>
      <c r="AU94" s="802"/>
      <c r="AV94" s="555"/>
      <c r="AW94" s="555"/>
      <c r="AX94" s="555"/>
      <c r="AY94" s="555"/>
      <c r="AZ94" s="817">
        <f>AZ12/IS!AA17*IS!AA6</f>
        <v>52.665083135391924</v>
      </c>
      <c r="BA94" s="161">
        <f>BA12/IS!BA17*IS!BA6</f>
        <v>37.741935483870968</v>
      </c>
      <c r="BB94" s="161">
        <f>BB12/IS!BB17*IS!BB6</f>
        <v>38.133333333333333</v>
      </c>
      <c r="BC94" s="161">
        <f>BC12/IS!BC17*IS!BC6</f>
        <v>39.554702495201532</v>
      </c>
      <c r="BD94" s="161">
        <f>BD12/IS!BD17*IS!BD6</f>
        <v>38.664165103189497</v>
      </c>
      <c r="BE94" s="817">
        <f>BE12/IS!BE17*IS!BE6</f>
        <v>38.822412155745489</v>
      </c>
      <c r="BF94" s="161">
        <f>BF12/IS!BF17*IS!BF6</f>
        <v>37.494432071269486</v>
      </c>
      <c r="BG94" s="161">
        <f>BG12/IS!BG17*IS!BG6</f>
        <v>38.940503432494282</v>
      </c>
      <c r="BH94" s="161">
        <f>BH12/IS!BH17*IS!BH6</f>
        <v>40.671394799054376</v>
      </c>
      <c r="BI94" s="161">
        <f>BI12/IS!BI17*IS!BI6</f>
        <v>38.954954954954957</v>
      </c>
      <c r="BJ94" s="817">
        <f>BJ12/IS!BJ17*IS!BJ6</f>
        <v>39.251568739304048</v>
      </c>
      <c r="BK94" s="161">
        <f>BK12/IS!BK17*IS!BK6</f>
        <v>37.417943107221006</v>
      </c>
      <c r="BL94" s="161">
        <f>BL12/IS!BL17*IS!BL6</f>
        <v>39.290827740492169</v>
      </c>
      <c r="BM94" s="161">
        <f>BM12/IS!BM17*IS!BM6</f>
        <v>38.573991031390136</v>
      </c>
      <c r="BN94" s="161">
        <f>BN12/IS!BN17*IS!BN6</f>
        <v>41.226415094339622</v>
      </c>
      <c r="BO94" s="802"/>
      <c r="BP94" s="161">
        <f>BP12/IS!BP17*IS!BP6</f>
        <v>38.886414253897549</v>
      </c>
      <c r="BQ94" s="161">
        <f>BQ12/IS!BQ17*IS!BQ6</f>
        <v>39.78391959798995</v>
      </c>
      <c r="BR94" s="161">
        <f>BR12/IS!BR17*IS!BR6</f>
        <v>42.186528497409327</v>
      </c>
      <c r="BS94" s="161">
        <f>BS12/IS!BS17*IS!BS6</f>
        <v>43.183673469387756</v>
      </c>
      <c r="BT94" s="802"/>
      <c r="BU94" s="161">
        <f>BU12/IS!BU17*IS!BU6</f>
        <v>39.705882352941174</v>
      </c>
      <c r="BV94" s="161">
        <f>BV12/IS!BV17*IS!BV6</f>
        <v>41.964912280701753</v>
      </c>
      <c r="BW94" s="161">
        <f>BW12/IS!BW17*IS!BW6</f>
        <v>43.477806788511749</v>
      </c>
      <c r="BX94" s="161">
        <f>BX12/IS!BX17*IS!BX6</f>
        <v>41.467980295566505</v>
      </c>
      <c r="BY94" s="802"/>
      <c r="BZ94" s="161">
        <f>BZ12/IS!BZ17*IS!BZ6</f>
        <v>39.433333333333337</v>
      </c>
      <c r="CA94" s="161">
        <f>CA12/IS!CA17*IS!CA6</f>
        <v>39.464285714285715</v>
      </c>
      <c r="CB94" s="161">
        <f>CB12/IS!CB17*IS!CB6</f>
        <v>39.94736842105263</v>
      </c>
      <c r="CC94" s="161">
        <f>CC12/IS!CC17*IS!CC6</f>
        <v>38.175257731958766</v>
      </c>
      <c r="CD94" s="802"/>
      <c r="CE94" s="161">
        <f>CE12/IS!CE17*IS!CE6</f>
        <v>36</v>
      </c>
      <c r="CF94" s="161">
        <f>CF12/IS!CF17*IS!CF6</f>
        <v>35.478481012658229</v>
      </c>
      <c r="CG94" s="161">
        <f>CG12/IS!CG17*IS!CG6</f>
        <v>36.185089974293057</v>
      </c>
      <c r="CH94" s="161">
        <f>CH12/IS!CH17*IS!CH6</f>
        <v>35.725888324873097</v>
      </c>
      <c r="CI94" s="802"/>
      <c r="CJ94" s="161">
        <f>CJ12/IS!CJ17*IS!CJ6</f>
        <v>34.145728643216081</v>
      </c>
      <c r="CK94" s="161">
        <f>CK12/IS!CK17*IS!CK6</f>
        <v>35.017721518987344</v>
      </c>
      <c r="CL94" s="161">
        <f>CL12/IS!CL17*IS!CL6</f>
        <v>35.856410256410257</v>
      </c>
      <c r="CM94" s="161">
        <f>CM12/IS!CM17*IS!CM6</f>
        <v>36.426395939086298</v>
      </c>
      <c r="CN94" s="815">
        <f>AVERAGE(CJ94:CM94)</f>
        <v>35.361564089424995</v>
      </c>
      <c r="CO94" s="161">
        <f>CO12/IS!CO17*IS!CO6</f>
        <v>35.454545454545453</v>
      </c>
      <c r="CP94" s="161">
        <f>CP12/IS!CP17*IS!CP6</f>
        <v>36.214285714285715</v>
      </c>
      <c r="CQ94" s="161">
        <f>CQ12/IS!CQ17*IS!CQ6</f>
        <v>38.110817941952504</v>
      </c>
      <c r="CR94" s="161">
        <f>CR12/IS!CR17*IS!CR6</f>
        <v>38.876640419947506</v>
      </c>
      <c r="CS94" s="817">
        <f>CS12/IS!CS17*IS!CS6</f>
        <v>37.961886304909562</v>
      </c>
      <c r="CT94" s="161">
        <f>CT12/IS!CT17*IS!CT6</f>
        <v>35.807017543859644</v>
      </c>
      <c r="CU94" s="161">
        <f>CU12/IS!CU17*IS!CU6</f>
        <v>36.025706940874038</v>
      </c>
      <c r="CV94" s="161">
        <f>CV12/IS!CV17*IS!CV6</f>
        <v>37.680851063829785</v>
      </c>
      <c r="CW94" s="161">
        <f>CW12/IS!CW17*IS!CW6</f>
        <v>36.278350515463913</v>
      </c>
      <c r="CX94" s="817">
        <f>CX12/IS!CX17*IS!CX6</f>
        <v>36.081185567010309</v>
      </c>
      <c r="CY94" s="161">
        <f>CY12/IS!CY17*IS!CY6</f>
        <v>35.625</v>
      </c>
      <c r="CZ94" s="161">
        <f>CZ12/IS!CZ17*IS!CZ6</f>
        <v>35.97674418604651</v>
      </c>
      <c r="DA94" s="161">
        <f>DA12/IS!DA17*IS!DA6</f>
        <v>36.609819121447032</v>
      </c>
      <c r="DB94" s="161">
        <f>DB12/IS!DB17*IS!DB6</f>
        <v>38.504792332268373</v>
      </c>
      <c r="DC94" s="817">
        <f>DC12/IS!DC17*IS!DC6</f>
        <v>53.6042600896861</v>
      </c>
      <c r="DD94" s="161">
        <f>DD12/IS!DD17*IS!DD6</f>
        <v>37.404458598726116</v>
      </c>
      <c r="DE94" s="161">
        <f>DE12/IS!DE17*IS!DE6</f>
        <v>37.016949152542374</v>
      </c>
      <c r="DF94" s="161">
        <f>DF12/IS!DF17*IS!DF6</f>
        <v>37.353383458646611</v>
      </c>
      <c r="DG94" s="161">
        <f>DG12/IS!DG17*IS!DG6</f>
        <v>36.906976744186046</v>
      </c>
      <c r="DH94" s="817">
        <f>DH12/IS!DH17*IS!DH6</f>
        <v>38.304182509505708</v>
      </c>
      <c r="DI94" s="161">
        <f>DI12/IS!DI17*IS!DI6</f>
        <v>35.109170305676855</v>
      </c>
      <c r="DJ94" s="161">
        <f>DJ12/IS!DJ17*IS!DJ6</f>
        <v>33.594059405940591</v>
      </c>
      <c r="DK94" s="161">
        <f>DK12/IS!DK17*IS!DK6</f>
        <v>33.643617021276597</v>
      </c>
      <c r="DL94" s="161">
        <f>DL12/IS!DL17*IS!DL6</f>
        <v>34.795593635250917</v>
      </c>
      <c r="DM94" s="817">
        <f>DM12/IS!DM17*IS!DM6</f>
        <v>38.064461694228825</v>
      </c>
      <c r="DN94" s="161">
        <f>DN12/IS!DN17*IS!DN6</f>
        <v>35.008631319358813</v>
      </c>
      <c r="DO94" s="161">
        <f>DO12/IS!DO17*IS!DO6</f>
        <v>37.200517464424323</v>
      </c>
      <c r="DP94" s="161">
        <f>DP12/IS!DP17*IS!DP6</f>
        <v>38.623207301173402</v>
      </c>
      <c r="DQ94" s="161">
        <f>DQ12/IS!DQ17*IS!DQ6</f>
        <v>38.799482535575677</v>
      </c>
      <c r="DR94" s="817">
        <f>DR12/IS!DR17*IS!DR6</f>
        <v>38.193341869398203</v>
      </c>
      <c r="DS94" s="161">
        <f>DS12/IS!DS17*IS!DS6</f>
        <v>38.117647058823529</v>
      </c>
      <c r="DT94" s="161">
        <f>DT12/IS!DT17*IS!DT6</f>
        <v>36.866666666666667</v>
      </c>
      <c r="DU94" s="161">
        <f>DU12/IS!DU17*IS!DU6</f>
        <v>36.924324324324324</v>
      </c>
      <c r="DV94" s="161">
        <f>DV12/IS!DV17*IS!DV6</f>
        <v>33.234999999999999</v>
      </c>
      <c r="DW94" s="817">
        <f>DW12/IS!DW17*IS!DW6</f>
        <v>34.19286871961102</v>
      </c>
      <c r="DX94" s="737">
        <v>36</v>
      </c>
      <c r="DY94" s="737">
        <f>DX94</f>
        <v>36</v>
      </c>
      <c r="DZ94" s="737">
        <f>DY94</f>
        <v>36</v>
      </c>
      <c r="EA94" s="737">
        <v>45</v>
      </c>
      <c r="EB94" s="817">
        <f>EB12/IS!EB17*IS!EB6</f>
        <v>45.020969761692086</v>
      </c>
      <c r="EC94" s="737">
        <v>48</v>
      </c>
      <c r="ED94" s="737">
        <v>48</v>
      </c>
      <c r="EE94" s="737">
        <v>49</v>
      </c>
      <c r="EF94" s="737">
        <v>49</v>
      </c>
      <c r="EG94" s="817">
        <f>EG12/IS!EG17*IS!EG6</f>
        <v>51.172762539160914</v>
      </c>
      <c r="EH94" s="737">
        <v>50</v>
      </c>
      <c r="EI94" s="737">
        <v>50</v>
      </c>
      <c r="EJ94" s="737">
        <v>50</v>
      </c>
      <c r="EK94" s="737">
        <v>50</v>
      </c>
      <c r="EL94" s="817">
        <f>EL12/IS!EL17*IS!EL6</f>
        <v>52.435730420721072</v>
      </c>
      <c r="EM94" s="555"/>
      <c r="EN94"/>
      <c r="EO94"/>
      <c r="EP94"/>
      <c r="EQ94"/>
      <c r="ER94"/>
      <c r="ES94"/>
      <c r="ET94" s="141"/>
      <c r="EU94" s="141"/>
      <c r="EV94" s="141"/>
      <c r="EW94" s="141"/>
      <c r="EX94" s="141"/>
      <c r="EY94" s="141"/>
      <c r="EZ94" s="141"/>
      <c r="FA94" s="141"/>
      <c r="FB94" s="141"/>
      <c r="FC94" s="141"/>
      <c r="FD94" s="141"/>
      <c r="FE94" s="141"/>
      <c r="FF94" s="141"/>
      <c r="FG94" s="141"/>
      <c r="FH94" s="141"/>
      <c r="FI94" s="141"/>
      <c r="FJ94" s="141"/>
      <c r="FK94" s="141"/>
      <c r="FL94" s="141"/>
      <c r="FM94" s="141"/>
      <c r="FN94" s="141"/>
      <c r="FO94" s="141"/>
      <c r="FP94" s="141"/>
      <c r="FQ94" s="141"/>
      <c r="FR94" s="141"/>
      <c r="FS94" s="141"/>
      <c r="FT94" s="141"/>
      <c r="FU94" s="141"/>
      <c r="FV94" s="141"/>
      <c r="FW94" s="141"/>
      <c r="FX94" s="141"/>
      <c r="FY94" s="141"/>
      <c r="FZ94" s="141"/>
      <c r="GA94" s="141"/>
      <c r="GB94" s="141"/>
      <c r="GC94" s="141"/>
      <c r="GD94" s="141"/>
      <c r="GE94" s="141"/>
      <c r="GF94" s="141"/>
      <c r="GG94" s="141"/>
      <c r="GH94" s="141"/>
      <c r="GI94" s="141"/>
      <c r="GJ94" s="141"/>
      <c r="GK94" s="141"/>
      <c r="GL94" s="141"/>
      <c r="GM94" s="141"/>
      <c r="GN94" s="141"/>
      <c r="GO94" s="141"/>
      <c r="GP94" s="141"/>
      <c r="GQ94" s="141"/>
      <c r="GR94" s="141"/>
      <c r="GS94" s="141"/>
      <c r="GT94" s="141"/>
      <c r="GU94" s="141"/>
      <c r="GV94" s="141"/>
      <c r="GW94" s="141"/>
      <c r="GX94" s="141"/>
      <c r="GY94" s="141"/>
      <c r="GZ94" s="141"/>
      <c r="HA94" s="141"/>
      <c r="HB94" s="141"/>
      <c r="HC94" s="141"/>
      <c r="HD94" s="141"/>
      <c r="HE94" s="141"/>
      <c r="HF94" s="141"/>
      <c r="HG94" s="141"/>
      <c r="HH94" s="141"/>
      <c r="HI94" s="141"/>
      <c r="HJ94" s="141"/>
      <c r="HK94" s="141"/>
      <c r="HL94" s="141"/>
      <c r="HM94" s="141"/>
      <c r="HN94" s="141"/>
      <c r="HO94" s="141"/>
      <c r="HP94" s="141"/>
      <c r="HQ94" s="141"/>
      <c r="HR94" s="141"/>
      <c r="HS94" s="141"/>
      <c r="HT94" s="141"/>
      <c r="HU94" s="141"/>
      <c r="HV94" s="141"/>
      <c r="HW94" s="141"/>
      <c r="HX94" s="141"/>
      <c r="HY94" s="141"/>
      <c r="HZ94" s="141"/>
      <c r="IA94" s="141"/>
      <c r="IB94" s="141"/>
      <c r="IC94" s="141"/>
      <c r="ID94" s="141"/>
      <c r="IE94" s="141"/>
      <c r="IF94" s="141"/>
      <c r="IG94" s="141"/>
      <c r="IH94" s="141"/>
      <c r="II94" s="141"/>
      <c r="IJ94" s="141"/>
      <c r="IK94" s="141"/>
      <c r="IL94" s="141"/>
      <c r="IM94" s="141"/>
      <c r="IN94" s="141"/>
      <c r="IO94" s="141"/>
      <c r="IP94" s="141"/>
      <c r="IQ94" s="141"/>
      <c r="IR94" s="141"/>
      <c r="IS94" s="141"/>
      <c r="IT94" s="141"/>
      <c r="IU94" s="141"/>
      <c r="IV94" s="141"/>
      <c r="IW94" s="141"/>
      <c r="IX94" s="141"/>
      <c r="IY94" s="141"/>
      <c r="IZ94" s="141"/>
      <c r="JA94" s="141"/>
      <c r="JB94" s="141"/>
      <c r="JC94" s="141"/>
      <c r="JD94" s="141"/>
      <c r="JE94" s="141"/>
      <c r="JF94" s="141"/>
      <c r="JG94" s="141"/>
      <c r="JH94" s="141"/>
    </row>
    <row r="95" spans="1:268" s="142" customFormat="1" ht="12" hidden="1" customHeight="1" outlineLevel="1">
      <c r="A95" s="801"/>
      <c r="B95" s="555"/>
      <c r="C95" s="555"/>
      <c r="D95" s="555"/>
      <c r="E95" s="555"/>
      <c r="F95" s="555"/>
      <c r="G95" s="555"/>
      <c r="H95" s="802"/>
      <c r="I95" s="555"/>
      <c r="J95" s="555"/>
      <c r="K95" s="555"/>
      <c r="L95" s="555"/>
      <c r="M95" s="802"/>
      <c r="N95" s="555"/>
      <c r="O95" s="555"/>
      <c r="P95" s="555"/>
      <c r="Q95" s="555"/>
      <c r="R95" s="802"/>
      <c r="S95" s="555"/>
      <c r="T95" s="555"/>
      <c r="U95" s="555"/>
      <c r="V95" s="555"/>
      <c r="W95" s="802"/>
      <c r="X95" s="555"/>
      <c r="Y95" s="555"/>
      <c r="Z95" s="555"/>
      <c r="AA95" s="555"/>
      <c r="AB95" s="802"/>
      <c r="AC95" s="555"/>
      <c r="AD95" s="555"/>
      <c r="AE95" s="555"/>
      <c r="AF95" s="555"/>
      <c r="AG95" s="802"/>
      <c r="AH95" s="555"/>
      <c r="AI95" s="555"/>
      <c r="AJ95" s="555"/>
      <c r="AK95" s="555"/>
      <c r="AL95" s="802"/>
      <c r="AM95" s="555"/>
      <c r="AN95" s="555"/>
      <c r="AO95" s="555"/>
      <c r="AP95" s="555"/>
      <c r="AQ95" s="802"/>
      <c r="AR95" s="555"/>
      <c r="AS95" s="555"/>
      <c r="AT95" s="555"/>
      <c r="AU95" s="802"/>
      <c r="AV95" s="555"/>
      <c r="AW95" s="555"/>
      <c r="AX95" s="555"/>
      <c r="AY95" s="555"/>
      <c r="AZ95" s="802"/>
      <c r="BA95" s="555"/>
      <c r="BB95" s="555"/>
      <c r="BC95" s="555"/>
      <c r="BD95" s="555"/>
      <c r="BE95" s="802"/>
      <c r="BF95" s="555"/>
      <c r="BG95" s="555"/>
      <c r="BH95" s="555"/>
      <c r="BI95" s="555"/>
      <c r="BJ95" s="802"/>
      <c r="BK95" s="555"/>
      <c r="BL95" s="555"/>
      <c r="BM95" s="555"/>
      <c r="BN95" s="555"/>
      <c r="BO95" s="802"/>
      <c r="BP95" s="555"/>
      <c r="BQ95" s="555"/>
      <c r="BR95" s="555"/>
      <c r="BS95" s="555"/>
      <c r="BT95" s="802"/>
      <c r="BU95" s="555"/>
      <c r="BV95" s="555"/>
      <c r="BW95" s="555"/>
      <c r="BX95" s="555"/>
      <c r="BY95" s="802"/>
      <c r="BZ95" s="557"/>
      <c r="CA95" s="555"/>
      <c r="CB95" s="555"/>
      <c r="CC95" s="555"/>
      <c r="CD95" s="802"/>
      <c r="CE95" s="555"/>
      <c r="CF95" s="555"/>
      <c r="CG95" s="555"/>
      <c r="CH95" s="555"/>
      <c r="CI95" s="802"/>
      <c r="CJ95" s="555"/>
      <c r="CK95" s="555"/>
      <c r="CL95" s="555"/>
      <c r="CM95" s="555"/>
      <c r="CN95" s="802"/>
      <c r="CO95" s="555"/>
      <c r="CP95" s="555"/>
      <c r="CQ95" s="555"/>
      <c r="CR95" s="555"/>
      <c r="CS95" s="802"/>
      <c r="CT95" s="555"/>
      <c r="CU95" s="555"/>
      <c r="CV95" s="555"/>
      <c r="CW95" s="555"/>
      <c r="CX95" s="802"/>
      <c r="CY95" s="555"/>
      <c r="CZ95" s="555"/>
      <c r="DA95" s="555"/>
      <c r="DB95" s="555"/>
      <c r="DC95" s="802"/>
      <c r="DD95" s="555"/>
      <c r="DE95" s="555"/>
      <c r="DF95" s="555"/>
      <c r="DG95" s="555"/>
      <c r="DH95" s="802"/>
      <c r="DI95" s="555"/>
      <c r="DJ95" s="555"/>
      <c r="DK95" s="555"/>
      <c r="DL95" s="555"/>
      <c r="DM95" s="802"/>
      <c r="DN95" s="555"/>
      <c r="DO95" s="555"/>
      <c r="DP95" s="555"/>
      <c r="DQ95" s="555"/>
      <c r="DR95" s="802"/>
      <c r="DS95" s="555"/>
      <c r="DT95" s="555"/>
      <c r="DU95" s="555"/>
      <c r="DV95" s="555"/>
      <c r="DW95" s="802"/>
      <c r="DX95" s="555"/>
      <c r="DY95" s="555"/>
      <c r="DZ95" s="555"/>
      <c r="EA95" s="555"/>
      <c r="EB95" s="802"/>
      <c r="EC95" s="555"/>
      <c r="ED95" s="555"/>
      <c r="EE95" s="555"/>
      <c r="EF95" s="555"/>
      <c r="EG95" s="802"/>
      <c r="EH95" s="555"/>
      <c r="EI95" s="555"/>
      <c r="EJ95" s="555"/>
      <c r="EK95" s="555"/>
      <c r="EL95" s="802"/>
      <c r="EM95" s="555"/>
      <c r="EN95"/>
      <c r="EO95"/>
      <c r="EP95"/>
      <c r="EQ95"/>
      <c r="ER95"/>
      <c r="ES95"/>
      <c r="ET95" s="141"/>
      <c r="EU95" s="141"/>
      <c r="EV95" s="141"/>
      <c r="EW95" s="141"/>
      <c r="EX95" s="141"/>
      <c r="EY95" s="141"/>
      <c r="EZ95" s="141"/>
      <c r="FA95" s="141"/>
      <c r="FB95" s="141"/>
      <c r="FC95" s="141"/>
      <c r="FD95" s="141"/>
      <c r="FE95" s="141"/>
      <c r="FF95" s="141"/>
      <c r="FG95" s="141"/>
      <c r="FH95" s="141"/>
      <c r="FI95" s="141"/>
      <c r="FJ95" s="141"/>
      <c r="FK95" s="141"/>
      <c r="FL95" s="141"/>
      <c r="FM95" s="141"/>
      <c r="FN95" s="141"/>
      <c r="FO95" s="141"/>
      <c r="FP95" s="141"/>
      <c r="FQ95" s="141"/>
      <c r="FR95" s="141"/>
      <c r="FS95" s="141"/>
      <c r="FT95" s="141"/>
      <c r="FU95" s="141"/>
      <c r="FV95" s="141"/>
      <c r="FW95" s="141"/>
      <c r="FX95" s="141"/>
      <c r="FY95" s="141"/>
      <c r="FZ95" s="141"/>
      <c r="GA95" s="141"/>
      <c r="GB95" s="141"/>
      <c r="GC95" s="141"/>
      <c r="GD95" s="141"/>
      <c r="GE95" s="141"/>
      <c r="GF95" s="141"/>
      <c r="GG95" s="141"/>
      <c r="GH95" s="141"/>
      <c r="GI95" s="141"/>
      <c r="GJ95" s="141"/>
      <c r="GK95" s="141"/>
      <c r="GL95" s="141"/>
      <c r="GM95" s="141"/>
      <c r="GN95" s="141"/>
      <c r="GO95" s="141"/>
      <c r="GP95" s="141"/>
      <c r="GQ95" s="141"/>
      <c r="GR95" s="141"/>
      <c r="GS95" s="141"/>
      <c r="GT95" s="141"/>
      <c r="GU95" s="141"/>
      <c r="GV95" s="141"/>
      <c r="GW95" s="141"/>
      <c r="GX95" s="141"/>
      <c r="GY95" s="141"/>
      <c r="GZ95" s="141"/>
      <c r="HA95" s="141"/>
      <c r="HB95" s="141"/>
      <c r="HC95" s="141"/>
      <c r="HD95" s="141"/>
      <c r="HE95" s="141"/>
      <c r="HF95" s="141"/>
      <c r="HG95" s="141"/>
      <c r="HH95" s="141"/>
      <c r="HI95" s="141"/>
      <c r="HJ95" s="141"/>
      <c r="HK95" s="141"/>
      <c r="HL95" s="141"/>
      <c r="HM95" s="141"/>
      <c r="HN95" s="141"/>
      <c r="HO95" s="141"/>
      <c r="HP95" s="141"/>
      <c r="HQ95" s="141"/>
      <c r="HR95" s="141"/>
      <c r="HS95" s="141"/>
      <c r="HT95" s="141"/>
      <c r="HU95" s="141"/>
      <c r="HV95" s="141"/>
      <c r="HW95" s="141"/>
      <c r="HX95" s="141"/>
      <c r="HY95" s="141"/>
      <c r="HZ95" s="141"/>
      <c r="IA95" s="141"/>
      <c r="IB95" s="141"/>
      <c r="IC95" s="141"/>
      <c r="ID95" s="141"/>
      <c r="IE95" s="141"/>
      <c r="IF95" s="141"/>
      <c r="IG95" s="141"/>
      <c r="IH95" s="141"/>
      <c r="II95" s="141"/>
      <c r="IJ95" s="141"/>
      <c r="IK95" s="141"/>
      <c r="IL95" s="141"/>
      <c r="IM95" s="141"/>
      <c r="IN95" s="141"/>
      <c r="IO95" s="141"/>
      <c r="IP95" s="141"/>
      <c r="IQ95" s="141"/>
      <c r="IR95" s="141"/>
      <c r="IS95" s="141"/>
      <c r="IT95" s="141"/>
      <c r="IU95" s="141"/>
      <c r="IV95" s="141"/>
      <c r="IW95" s="141"/>
      <c r="IX95" s="141"/>
      <c r="IY95" s="141"/>
      <c r="IZ95" s="141"/>
      <c r="JA95" s="141"/>
      <c r="JB95" s="141"/>
      <c r="JC95" s="141"/>
      <c r="JD95" s="141"/>
      <c r="JE95" s="141"/>
      <c r="JF95" s="141"/>
      <c r="JG95" s="141"/>
      <c r="JH95" s="141"/>
    </row>
    <row r="96" spans="1:268" s="142" customFormat="1" hidden="1" outlineLevel="1">
      <c r="A96" s="972"/>
      <c r="B96" s="973" t="s">
        <v>20</v>
      </c>
      <c r="C96" s="871"/>
      <c r="D96" s="871"/>
      <c r="E96" s="557"/>
      <c r="F96" s="563"/>
      <c r="G96" s="563"/>
      <c r="H96" s="815"/>
      <c r="I96" s="706"/>
      <c r="J96" s="557"/>
      <c r="K96" s="563"/>
      <c r="L96" s="563"/>
      <c r="M96" s="815"/>
      <c r="N96" s="706"/>
      <c r="O96" s="557"/>
      <c r="P96" s="563"/>
      <c r="Q96" s="563"/>
      <c r="R96" s="815"/>
      <c r="S96" s="706"/>
      <c r="T96" s="557"/>
      <c r="U96" s="563"/>
      <c r="V96" s="563"/>
      <c r="W96" s="815"/>
      <c r="X96" s="706"/>
      <c r="Y96" s="557"/>
      <c r="Z96" s="563"/>
      <c r="AA96" s="563"/>
      <c r="AB96" s="815"/>
      <c r="AC96" s="706"/>
      <c r="AD96" s="557"/>
      <c r="AE96" s="563"/>
      <c r="AF96" s="563"/>
      <c r="AG96" s="815"/>
      <c r="AH96" s="706"/>
      <c r="AI96" s="557"/>
      <c r="AJ96" s="563"/>
      <c r="AK96" s="563"/>
      <c r="AL96" s="815"/>
      <c r="AM96" s="706"/>
      <c r="AN96" s="557"/>
      <c r="AO96" s="563"/>
      <c r="AP96" s="563"/>
      <c r="AQ96" s="815"/>
      <c r="AR96" s="706"/>
      <c r="AS96" s="557"/>
      <c r="AT96" s="767"/>
      <c r="AU96" s="815"/>
      <c r="AV96" s="706"/>
      <c r="AW96" s="557"/>
      <c r="AX96" s="563"/>
      <c r="AY96" s="563"/>
      <c r="AZ96" s="815"/>
      <c r="BA96" s="706"/>
      <c r="BB96" s="557"/>
      <c r="BC96" s="563"/>
      <c r="BD96" s="563"/>
      <c r="BE96" s="815"/>
      <c r="BF96" s="706"/>
      <c r="BG96" s="557"/>
      <c r="BH96" s="563"/>
      <c r="BI96" s="563"/>
      <c r="BJ96" s="815"/>
      <c r="BK96" s="706"/>
      <c r="BL96" s="557"/>
      <c r="BM96" s="563"/>
      <c r="BN96" s="563"/>
      <c r="BO96" s="815"/>
      <c r="BP96" s="706"/>
      <c r="BQ96" s="557"/>
      <c r="BR96" s="706"/>
      <c r="BS96" s="767"/>
      <c r="BT96" s="815"/>
      <c r="BU96" s="563"/>
      <c r="BV96" s="563"/>
      <c r="BW96" s="563"/>
      <c r="BX96" s="563"/>
      <c r="BY96" s="815"/>
      <c r="BZ96" s="767"/>
      <c r="CA96" s="563"/>
      <c r="CB96" s="563"/>
      <c r="CC96" s="563"/>
      <c r="CD96" s="815"/>
      <c r="CE96" s="563"/>
      <c r="CF96" s="563"/>
      <c r="CG96" s="563"/>
      <c r="CH96" s="563"/>
      <c r="CI96" s="815"/>
      <c r="CJ96" s="563"/>
      <c r="CK96" s="563"/>
      <c r="CL96" s="563"/>
      <c r="CM96" s="563"/>
      <c r="CN96" s="802"/>
      <c r="CO96" s="563"/>
      <c r="CP96" s="563"/>
      <c r="CQ96" s="555"/>
      <c r="CR96" s="555"/>
      <c r="CS96" s="802"/>
      <c r="CT96" s="555"/>
      <c r="CU96" s="555"/>
      <c r="CV96" s="555"/>
      <c r="CW96" s="555"/>
      <c r="CX96" s="802"/>
      <c r="CY96" s="555"/>
      <c r="CZ96" s="555"/>
      <c r="DA96" s="555"/>
      <c r="DB96" s="555"/>
      <c r="DC96" s="802"/>
      <c r="DD96" s="555"/>
      <c r="DE96" s="555"/>
      <c r="DF96" s="555"/>
      <c r="DG96" s="555"/>
      <c r="DH96" s="802"/>
      <c r="DI96" s="555"/>
      <c r="DJ96" s="555"/>
      <c r="DK96" s="555"/>
      <c r="DL96" s="555"/>
      <c r="DM96" s="802"/>
      <c r="DN96" s="555"/>
      <c r="DO96" s="555"/>
      <c r="DP96" s="555"/>
      <c r="DQ96" s="555"/>
      <c r="DR96" s="802"/>
      <c r="DS96" s="555"/>
      <c r="DT96" s="555"/>
      <c r="DU96" s="555"/>
      <c r="DV96" s="555"/>
      <c r="DW96" s="802"/>
      <c r="DX96" s="555"/>
      <c r="DY96" s="555"/>
      <c r="DZ96" s="555"/>
      <c r="EA96" s="555"/>
      <c r="EB96" s="802"/>
      <c r="EC96" s="555"/>
      <c r="ED96" s="555"/>
      <c r="EE96" s="555"/>
      <c r="EF96" s="555"/>
      <c r="EG96" s="802"/>
      <c r="EH96" s="555"/>
      <c r="EI96" s="555"/>
      <c r="EJ96" s="555"/>
      <c r="EK96" s="555"/>
      <c r="EL96" s="802"/>
      <c r="EM96" s="555"/>
      <c r="EN96"/>
      <c r="EO96"/>
      <c r="EP96"/>
      <c r="EQ96"/>
      <c r="ER96"/>
      <c r="ES96"/>
      <c r="ET96" s="141"/>
      <c r="EU96" s="141"/>
      <c r="EV96" s="141"/>
      <c r="EW96" s="141"/>
      <c r="EX96" s="141"/>
      <c r="EY96" s="141"/>
      <c r="EZ96" s="141"/>
      <c r="FA96" s="141"/>
      <c r="FB96" s="141"/>
      <c r="FC96" s="141"/>
      <c r="FD96" s="141"/>
      <c r="FE96" s="141"/>
      <c r="FF96" s="141"/>
      <c r="FG96" s="141"/>
      <c r="FH96" s="141"/>
      <c r="FI96" s="141"/>
      <c r="FJ96" s="141"/>
      <c r="FK96" s="141"/>
      <c r="FL96" s="141"/>
      <c r="FM96" s="141"/>
      <c r="FN96" s="141"/>
      <c r="FO96" s="141"/>
      <c r="FP96" s="141"/>
      <c r="FQ96" s="141"/>
      <c r="FR96" s="141"/>
      <c r="FS96" s="141"/>
      <c r="FT96" s="141"/>
      <c r="FU96" s="141"/>
      <c r="FV96" s="141"/>
      <c r="FW96" s="141"/>
      <c r="FX96" s="141"/>
      <c r="FY96" s="141"/>
      <c r="FZ96" s="141"/>
      <c r="GA96" s="141"/>
      <c r="GB96" s="141"/>
      <c r="GC96" s="141"/>
      <c r="GD96" s="141"/>
      <c r="GE96" s="141"/>
      <c r="GF96" s="141"/>
      <c r="GG96" s="141"/>
      <c r="GH96" s="141"/>
      <c r="GI96" s="141"/>
      <c r="GJ96" s="141"/>
      <c r="GK96" s="141"/>
      <c r="GL96" s="141"/>
      <c r="GM96" s="141"/>
      <c r="GN96" s="141"/>
      <c r="GO96" s="141"/>
      <c r="GP96" s="141"/>
      <c r="GQ96" s="141"/>
      <c r="GR96" s="141"/>
      <c r="GS96" s="141"/>
      <c r="GT96" s="141"/>
      <c r="GU96" s="141"/>
      <c r="GV96" s="141"/>
      <c r="GW96" s="141"/>
      <c r="GX96" s="141"/>
      <c r="GY96" s="141"/>
      <c r="GZ96" s="141"/>
      <c r="HA96" s="141"/>
      <c r="HB96" s="141"/>
      <c r="HC96" s="141"/>
      <c r="HD96" s="141"/>
      <c r="HE96" s="141"/>
      <c r="HF96" s="141"/>
      <c r="HG96" s="141"/>
      <c r="HH96" s="141"/>
      <c r="HI96" s="141"/>
      <c r="HJ96" s="141"/>
      <c r="HK96" s="141"/>
      <c r="HL96" s="141"/>
      <c r="HM96" s="141"/>
      <c r="HN96" s="141"/>
      <c r="HO96" s="141"/>
      <c r="HP96" s="141"/>
      <c r="HQ96" s="141"/>
      <c r="HR96" s="141"/>
      <c r="HS96" s="141"/>
      <c r="HT96" s="141"/>
      <c r="HU96" s="141"/>
      <c r="HV96" s="141"/>
      <c r="HW96" s="141"/>
      <c r="HX96" s="141"/>
      <c r="HY96" s="141"/>
      <c r="HZ96" s="141"/>
      <c r="IA96" s="141"/>
      <c r="IB96" s="141"/>
      <c r="IC96" s="141"/>
      <c r="ID96" s="141"/>
      <c r="IE96" s="141"/>
      <c r="IF96" s="141"/>
      <c r="IG96" s="141"/>
      <c r="IH96" s="141"/>
      <c r="II96" s="141"/>
      <c r="IJ96" s="141"/>
      <c r="IK96" s="141"/>
      <c r="IL96" s="141"/>
      <c r="IM96" s="141"/>
      <c r="IN96" s="141"/>
      <c r="IO96" s="141"/>
      <c r="IP96" s="141"/>
      <c r="IQ96" s="141"/>
      <c r="IR96" s="141"/>
      <c r="IS96" s="141"/>
      <c r="IT96" s="141"/>
      <c r="IU96" s="141"/>
      <c r="IV96" s="141"/>
      <c r="IW96" s="141"/>
      <c r="IX96" s="141"/>
      <c r="IY96" s="141"/>
      <c r="IZ96" s="141"/>
      <c r="JA96" s="141"/>
      <c r="JB96" s="141"/>
      <c r="JC96" s="141"/>
      <c r="JD96" s="141"/>
      <c r="JE96" s="141"/>
      <c r="JF96" s="141"/>
      <c r="JG96" s="141"/>
      <c r="JH96" s="141"/>
    </row>
    <row r="97" spans="1:268" s="142" customFormat="1" ht="12" hidden="1" customHeight="1" outlineLevel="1">
      <c r="A97" s="801"/>
      <c r="B97" s="557" t="s">
        <v>21</v>
      </c>
      <c r="C97" s="739"/>
      <c r="D97" s="739"/>
      <c r="E97" s="161">
        <f>(IS!E17+IS!E18)/AVERAGE(E27,D27)*(IS!H6/IS!E6)</f>
        <v>6.2996350390727027</v>
      </c>
      <c r="F97" s="161">
        <f>(IS!F17+IS!F18)/AVERAGE(F27,E27)*(IS!H6/IS!F6)</f>
        <v>7.1338878543347821</v>
      </c>
      <c r="G97" s="161">
        <f>(IS!G17+IS!G18)/AVERAGE(G27,F27)*(IS!H6/IS!G6)</f>
        <v>11.842837434916115</v>
      </c>
      <c r="H97" s="817">
        <f>(IS!H17+IS!H18)/AVERAGE(D27:H27,C27)</f>
        <v>5.2660994076854104</v>
      </c>
      <c r="I97" s="161">
        <f>(IS!I17+IS!I18)/AVERAGE(I27,H27)*(IS!M6/IS!I6)</f>
        <v>5.9338738764124086</v>
      </c>
      <c r="J97" s="161">
        <f>(IS!J17+IS!J18)/AVERAGE(J27,I27)*(IS!M6/IS!J6)</f>
        <v>7.3775747338354218</v>
      </c>
      <c r="K97" s="161">
        <f>(IS!K17+IS!K18)/AVERAGE(K27,J27)*(IS!M6/IS!K6)</f>
        <v>7.4799711815561958</v>
      </c>
      <c r="L97" s="161">
        <f>(IS!L17+IS!L18)/AVERAGE(L27,K27)*(IS!M6/IS!L6)</f>
        <v>6.1636839280274272</v>
      </c>
      <c r="M97" s="817">
        <f>(IS!M17+IS!M18)/AVERAGE(I27:L27,H27)</f>
        <v>6.3643390878639519</v>
      </c>
      <c r="N97" s="161">
        <f>(IS!N17+IS!N18)/AVERAGE(N27,M27)*(IS!R6/IS!N6)</f>
        <v>5.807513266921144</v>
      </c>
      <c r="O97" s="161">
        <f>(IS!O17+IS!O18)/AVERAGE(O27,N27)*(IS!R6/IS!O6)</f>
        <v>7.1626755397191344</v>
      </c>
      <c r="P97" s="161">
        <f>(IS!P17+IS!P18)/AVERAGE(P27,O27)*(IS!R6/IS!P6)</f>
        <v>9.3298545070308059</v>
      </c>
      <c r="Q97" s="161">
        <f>(IS!Q17+IS!Q18)/AVERAGE(Q27,P27)*(IS!R6/IS!Q6)</f>
        <v>9.9748709466337093</v>
      </c>
      <c r="R97" s="817">
        <f>(IS!R17+IS!R18)/AVERAGE(N27:Q27,M27)</f>
        <v>7.8638253638253639</v>
      </c>
      <c r="S97" s="161">
        <f>(IS!S17+IS!S18)/AVERAGE(S27,R27)*(IS!W6/IS!S6)</f>
        <v>6.0753031928058743</v>
      </c>
      <c r="T97" s="161">
        <f>(IS!T17+IS!T18)/AVERAGE(T27,S27)*(IS!W6/IS!T6)</f>
        <v>6.8227328227328226</v>
      </c>
      <c r="U97" s="161">
        <f>(IS!U17+IS!U18)/AVERAGE(U27,T27)*(IS!W6/IS!U6)</f>
        <v>7.0771848924022827</v>
      </c>
      <c r="V97" s="161">
        <f>(IS!V17+IS!V18)/AVERAGE(V27,U27)*(IS!W6/IS!V6)</f>
        <v>6.0791209592186313</v>
      </c>
      <c r="W97" s="817">
        <f>(IS!W17+IS!W18)/AVERAGE(S27:V27,R27)</f>
        <v>6.3275798751377152</v>
      </c>
      <c r="X97" s="161">
        <f>(IS!X17+IS!X18)/AVERAGE(X27,W27)*(IS!AB6/IS!X6)</f>
        <v>6.1155558007798136</v>
      </c>
      <c r="Y97" s="161">
        <f>(IS!Y17+IS!Y18)/AVERAGE(Y27,X27)*(IS!AB6/IS!Y6)</f>
        <v>6.6093961645398158</v>
      </c>
      <c r="Z97" s="161">
        <f>(IS!Z17+IS!Z18)/AVERAGE(Z27,Y27)*(IS!AB6/IS!Z6)</f>
        <v>6.8768115942028984</v>
      </c>
      <c r="AA97" s="161">
        <f>(IS!AA17+IS!AA18)/AVERAGE(AA27,Z27)*(IS!AB6/IS!AA6)</f>
        <v>6.1662923150970643</v>
      </c>
      <c r="AB97" s="817">
        <f>(IS!AB17+IS!AB18)/AVERAGE(X27:AA27,W27)</f>
        <v>6.2552571983176959</v>
      </c>
      <c r="AC97" s="161">
        <f>(IS!AC17+IS!AC18)/AVERAGE(AC27,AB27)*(IS!AG6/IS!AC6)</f>
        <v>6.3051647514709206</v>
      </c>
      <c r="AD97" s="161">
        <f>(IS!AD17+IS!AD18)/AVERAGE(AD27,AC27)*(IS!AG6/IS!AD6)</f>
        <v>6.5973279832200991</v>
      </c>
      <c r="AE97" s="161">
        <f>(IS!AE17+IS!AE18)/AVERAGE(AE27,AD27)*(IS!AG6/IS!AE6)</f>
        <v>6.787121003938811</v>
      </c>
      <c r="AF97" s="161">
        <f>(IS!AF17+IS!AF18)/AVERAGE(AF27,AE27)*(IS!AG6/IS!AF6)</f>
        <v>6.6404364969272027</v>
      </c>
      <c r="AG97" s="817">
        <f>(IS!AG17+IS!AG18)/AVERAGE(AC27:AF27,AB27)</f>
        <v>6.443540819518299</v>
      </c>
      <c r="AH97" s="161">
        <f>(IS!AH17+IS!AH18)/AVERAGE(AH27,AG27)*(IS!AL6/IS!AH6)</f>
        <v>6.4875581077385842</v>
      </c>
      <c r="AI97" s="161">
        <f>(IS!AI17+IS!AI18)/AVERAGE(AI27,AH27)*(IS!AL6/IS!AI6)</f>
        <v>6.4447965296076326</v>
      </c>
      <c r="AJ97" s="161">
        <f>(IS!AJ17+IS!AJ18)/AVERAGE(AJ27,AI27)*(IS!AL6/IS!AJ6)</f>
        <v>6.2361513687600647</v>
      </c>
      <c r="AK97" s="161">
        <f>(IS!AK17+IS!AK18)/AVERAGE(AK27,AJ27)*(IS!AL6/IS!AK6)</f>
        <v>6.1835831570164199</v>
      </c>
      <c r="AL97" s="817">
        <f>(IS!AL17+IS!AL18)/AVERAGE(AH27:AK27,AG27)</f>
        <v>6.2445287423402398</v>
      </c>
      <c r="AM97" s="161">
        <f>(IS!AM17+IS!AM18)/AVERAGE(AM27,AL27)*(IS!AQ6/IS!AM6)</f>
        <v>5.8151484219819025</v>
      </c>
      <c r="AN97" s="161">
        <f>(IS!AN17+IS!AN18)/AVERAGE(AN27,AM27)*(IS!AQ6/IS!AN6)</f>
        <v>5.7914280233482236</v>
      </c>
      <c r="AO97" s="161">
        <f>(IS!AO17+IS!AO18)/AVERAGE(AO27,AN27)*(IS!AQ6/IS!AO6)</f>
        <v>5.8844334772774003</v>
      </c>
      <c r="AP97" s="161">
        <f>(IS!AP17+IS!AP18)/AVERAGE(AP27,AO27)*(IS!AQ6/IS!AP6)</f>
        <v>5.7533838064170597</v>
      </c>
      <c r="AQ97" s="817">
        <f>(IS!AQ17+IS!AQ18)/AVERAGE(AM27:AP27,AL27)</f>
        <v>5.7430972388955581</v>
      </c>
      <c r="AR97" s="161">
        <f>(IS!AR17+IS!AR18)/AVERAGE(AR27,AQ27)*(365/IS!AR6)</f>
        <v>5.145436252232698</v>
      </c>
      <c r="AS97" s="161">
        <f>(IS!AS17+IS!AS18)/AVERAGE(AS27,AR27)*(365/IS!AS6)</f>
        <v>5.5972433523453926</v>
      </c>
      <c r="AT97" s="161">
        <f>(IS!AT17+IS!AT18)/AVERAGE(AT27,AS27)*(365/IS!AT6)</f>
        <v>6.2967836257309937</v>
      </c>
      <c r="AU97" s="802"/>
      <c r="AV97" s="555"/>
      <c r="AW97" s="555"/>
      <c r="AX97" s="555"/>
      <c r="AY97" s="555"/>
      <c r="AZ97" s="802"/>
      <c r="BA97" s="161">
        <f>(IS!BA17+IS!BA18)/AVERAGE(BA27,AZ27)*(IS!BE6/IS!BA6)</f>
        <v>5.548071072167458</v>
      </c>
      <c r="BB97" s="161">
        <f>(IS!BB17+IS!BB18)/AVERAGE(BB27,BA27)*(IS!BE6/IS!BB6)</f>
        <v>5.5748167004284461</v>
      </c>
      <c r="BC97" s="161">
        <f>(IS!BC17+IS!BC18)/AVERAGE(BC27,BB27)*(IS!BE6/IS!BC6)</f>
        <v>5.6804311207675218</v>
      </c>
      <c r="BD97" s="161">
        <f>(IS!BD17+IS!BD18)/AVERAGE(BD27,BC27)*(IS!BE6/IS!BD6)</f>
        <v>5.2941279763995217</v>
      </c>
      <c r="BE97" s="817">
        <f>(IS!BE17+IS!BE18)/AVERAGE(BA27:BD27,AZ27)</f>
        <v>5.4865041358293425</v>
      </c>
      <c r="BF97" s="161">
        <f>(IS!BF17+IS!BF18)/AVERAGE(BF27,BE27)*(IS!BJ6/IS!BF6)</f>
        <v>4.3221256355584714</v>
      </c>
      <c r="BG97" s="161">
        <f>(IS!BG17+IS!BG18)/AVERAGE(BG27,BF27)*(IS!BJ6/IS!BG6)</f>
        <v>4.8346854064420084</v>
      </c>
      <c r="BH97" s="161">
        <f>(IS!BH17+IS!BH18)/AVERAGE(BH27,BG27)*(IS!BJ6/IS!BH6)</f>
        <v>4.608387295713845</v>
      </c>
      <c r="BI97" s="161">
        <f>(IS!BI17+IS!BI18)/AVERAGE(BI27,BH27)*(IS!BJ6/IS!BI6)</f>
        <v>4.4800235017626324</v>
      </c>
      <c r="BJ97" s="817">
        <f>(IS!BJ17+IS!BJ18)/AVERAGE(BF27:BI27,BE27)</f>
        <v>4.4783573806881245</v>
      </c>
      <c r="BK97" s="161">
        <f>(IS!BK17+IS!BK18)/AVERAGE(BK27,BJ27)*(IS!BO6/IS!BK6)</f>
        <v>4.66471848821352</v>
      </c>
      <c r="BL97" s="161">
        <f>(IS!BL17+IS!BL18)/AVERAGE(BL27,BK27)*(IS!BO6/IS!BL6)</f>
        <v>5.2528630789500355</v>
      </c>
      <c r="BM97" s="161">
        <f>(IS!BM17+IS!BM18)/AVERAGE(BM27,BL27)*(IS!BO6/IS!BM6)</f>
        <v>5.1192145862552598</v>
      </c>
      <c r="BN97" s="161">
        <f>(IS!BN17+IS!BN18)/AVERAGE(BN27,BM27)*(IS!BO6/IS!BN6)</f>
        <v>4.6711678736698996</v>
      </c>
      <c r="BO97" s="817">
        <f>(IS!BO17+IS!BO18)/AVERAGE(BK27:BO27,BJ27)</f>
        <v>4.7722613065326636</v>
      </c>
      <c r="BP97" s="161">
        <f>(IS!BP17+IS!BP18)/AVERAGE(BP27,BO27)*(IS!BT6/IS!BP6)</f>
        <v>4.8924950670204801</v>
      </c>
      <c r="BQ97" s="161">
        <f>(IS!BQ17+IS!BQ18)/AVERAGE(BQ27,BP27)*(IS!BT6/IS!BQ6)</f>
        <v>4.6712233764933835</v>
      </c>
      <c r="BR97" s="161">
        <f>(IS!BR17+IS!BR18)/AVERAGE(BR27,BQ27)*(IS!BT6/IS!BR6)</f>
        <v>4.7240858047797296</v>
      </c>
      <c r="BS97" s="161">
        <f>(IS!BS17+IS!BS18)/AVERAGE(BS27,BR27)*(IS!BT6/IS!BS6)</f>
        <v>4.7692000456464685</v>
      </c>
      <c r="BT97" s="817">
        <f>(IS!BT17+IS!BT18)/AVERAGE(BP27:BT27,BO27)</f>
        <v>4.7240571063285746</v>
      </c>
      <c r="BU97" s="161">
        <f>(IS!BU17+IS!BU18)/AVERAGE(BU27,BT27)*(IS!BY6/IS!BU6)</f>
        <v>5.2420662497104464</v>
      </c>
      <c r="BV97" s="161">
        <f>(IS!BV17+IS!BV18)/AVERAGE(BV27,BU27)*(IS!BY6/IS!BV6)</f>
        <v>5.7001497736566646</v>
      </c>
      <c r="BW97" s="161">
        <f>(IS!BW17+IS!BW18)/AVERAGE(BW27,BV27)*(IS!BY6/IS!BW6)</f>
        <v>5.5400788659618589</v>
      </c>
      <c r="BX97" s="161">
        <f>(IS!BX17+IS!BX18)/AVERAGE(BX27,BW27)*(IS!BY6/IS!BX6)</f>
        <v>5.1965266484612318</v>
      </c>
      <c r="BY97" s="817">
        <f>(IS!BY17+IS!BY18)/AVERAGE(BU27:BY27,BT27)</f>
        <v>5.1598877980364657</v>
      </c>
      <c r="BZ97" s="161">
        <f>(IS!BZ17+IS!BZ18)/AVERAGE(BZ27,BY27)*(IS!CD6/IS!BZ6)</f>
        <v>5.4195655724318144</v>
      </c>
      <c r="CA97" s="161">
        <f>(IS!CA17+IS!CA18)/AVERAGE(CA27,BZ27)*(IS!CD6/IS!CA6)</f>
        <v>5.6736367081194672</v>
      </c>
      <c r="CB97" s="161">
        <f>(IS!CB17+IS!CB18)/AVERAGE(CB27,CA27)*(IS!CD6/IS!CB6)</f>
        <v>5.5165217391304351</v>
      </c>
      <c r="CC97" s="161">
        <f>(IS!CC17+IS!CC18)/AVERAGE(CC27,CB27)*(IS!CD6/IS!CC6)</f>
        <v>5.2097710628752392</v>
      </c>
      <c r="CD97" s="817">
        <f>(IS!CD17+IS!CD18)/AVERAGE(BZ27:CD27,BY27)</f>
        <v>5.3187192118226605</v>
      </c>
      <c r="CE97" s="161">
        <f>(IS!CE17+IS!CE18)/AVERAGE(CE27,CD27)*(IS!CI6/IS!CE6)</f>
        <v>5.2940785096473721</v>
      </c>
      <c r="CF97" s="161">
        <f>(IS!CF17+IS!CF18)/AVERAGE(CF27,CE27)*(IS!CI6/IS!CF6)</f>
        <v>5.4850591049329216</v>
      </c>
      <c r="CG97" s="161">
        <f>(IS!CG17+IS!CG18)/AVERAGE(CG27,CF27)*(IS!CI6/IS!CG6)</f>
        <v>5.5278143173636112</v>
      </c>
      <c r="CH97" s="161">
        <f>(IS!CH17+IS!CH18)/AVERAGE(CH27,CG27)*(IS!CI6/IS!CH6)</f>
        <v>5.030548451264564</v>
      </c>
      <c r="CI97" s="817">
        <f>(IS!CI17+IS!CI18)/AVERAGE(CE27:CI27,CD27)</f>
        <v>5.14054054054054</v>
      </c>
      <c r="CJ97" s="161">
        <f>(IS!CJ17+IS!CJ18)/AVERAGE(CJ27,CI27)*(IS!CN6/IS!CJ6)</f>
        <v>5.1817659609387823</v>
      </c>
      <c r="CK97" s="161">
        <f>(IS!CK17+IS!CK18)/AVERAGE(CK27,CJ27)*(IS!CN6/IS!CK6)</f>
        <v>5.8240864826230681</v>
      </c>
      <c r="CL97" s="161">
        <f>(IS!CL17+IS!CL18)/AVERAGE(CL27,CK27)*(IS!CN6/IS!CL6)</f>
        <v>5.8401566075514877</v>
      </c>
      <c r="CM97" s="161">
        <f>(IS!CM17+IS!CM18)/AVERAGE(CM27,CL27)*(IS!CN6/IS!CM6)</f>
        <v>5.1777309679755135</v>
      </c>
      <c r="CN97" s="817">
        <f>(IS!CN17+IS!CN18)/AVERAGE(CJ27:CN27,CI27)</f>
        <v>5.2593516209476308</v>
      </c>
      <c r="CO97" s="161">
        <f>(IS!CO17+IS!CO18)/AVERAGE(CO27,CN27)*(IS!CS6/IS!CO6)</f>
        <v>5.2979054164621173</v>
      </c>
      <c r="CP97" s="161">
        <f>(IS!CP17+IS!CP18)/AVERAGE(CP27,CO27)*(IS!CS6/IS!CP6)</f>
        <v>5.7665976196327637</v>
      </c>
      <c r="CQ97" s="161">
        <f>(IS!CQ17+IS!CQ18)/AVERAGE(CQ27,CP27)*(IS!CS6/IS!CQ6)</f>
        <v>5.7835181363461476</v>
      </c>
      <c r="CR97" s="161">
        <f>(IS!CR17+IS!CR18)/AVERAGE(CR27,CQ27)*(IS!CS6/IS!CR6)</f>
        <v>4.998513162425267</v>
      </c>
      <c r="CS97" s="817">
        <f>(IS!CS17+IS!CS18)/AVERAGE(CO27:CS27,CN27)</f>
        <v>5.1948556175685514</v>
      </c>
      <c r="CT97" s="161">
        <f>(IS!CT17+IS!CT18)/AVERAGE(CT27,CS27)*(IS!CX6/IS!CT6)</f>
        <v>5.3434850863422287</v>
      </c>
      <c r="CU97" s="161">
        <f>(IS!CU17+IS!CU18)/AVERAGE(CU27,CT27)*(IS!CX6/IS!CU6)</f>
        <v>5.7823765020026698</v>
      </c>
      <c r="CV97" s="161">
        <f>(IS!CV17+IS!CV18)/AVERAGE(CV27,CU27)*(IS!CY6/IS!CV6)</f>
        <v>1.4062980293042797</v>
      </c>
      <c r="CW97" s="161">
        <f>(IS!CW17+IS!CW18)/AVERAGE(CW27,CV27)*(IS!CZ6/IS!CW6)</f>
        <v>1.3632574904257715</v>
      </c>
      <c r="CX97" s="817">
        <f>(IS!CX17+IS!CX18)/AVERAGE(CT27:CX27,CS27)</f>
        <v>5.3908185572018459</v>
      </c>
      <c r="CY97" s="161">
        <f>(IS!CY17+IS!CY18)/AVERAGE(CY27,CX27)*(IS!DC6/IS!CY6)</f>
        <v>5.7325744452693224</v>
      </c>
      <c r="CZ97" s="161">
        <f>(IS!CZ17+IS!CZ18)/AVERAGE(CZ27,CY27)*(IS!DC6/IS!CZ6)</f>
        <v>6.3143292351213143</v>
      </c>
      <c r="DA97" s="161">
        <f>(IS!DA17+IS!DA18)/AVERAGE(DA27,CZ27)*(IS!DD6/IS!DA6)</f>
        <v>1.5619700523182394</v>
      </c>
      <c r="DB97" s="161">
        <f>(IS!DB17+IS!DB18)/AVERAGE(DB27,DA27)*(IS!DE6/IS!DB6)</f>
        <v>1.8894553018824314</v>
      </c>
      <c r="DC97" s="817">
        <f>(IS!DC17+IS!DC18)/AVERAGE(CY27:DC27,CX27)</f>
        <v>5.7230965546575927</v>
      </c>
      <c r="DD97" s="161">
        <f>(IS!DD17+IS!DD18)/AVERAGE(DD27,DC27)*(IS!DH6/IS!DD6)</f>
        <v>6.3021861402950226</v>
      </c>
      <c r="DE97" s="161">
        <f>(IS!DE17+IS!DE18)/AVERAGE(DE27,DD27)*(IS!DH6/IS!DE6)</f>
        <v>6.6415983230142528</v>
      </c>
      <c r="DF97" s="161">
        <f>(IS!DF17+IS!DF18)/AVERAGE(DF27,DE27)*(IS!DI6/IS!DF6)</f>
        <v>1.5939593813270994</v>
      </c>
      <c r="DG97" s="161">
        <f>(IS!DG17+IS!DG18)/AVERAGE(DG27,DF27)*(IS!DJ6/IS!DG6)</f>
        <v>1.5283759989164296</v>
      </c>
      <c r="DH97" s="817">
        <f>(IS!DH17+IS!DH18)/AVERAGE(DD27:DH27,DC27)</f>
        <v>6.1918898240244831</v>
      </c>
      <c r="DI97" s="161">
        <f>(IS!DI17+IS!DI18)/AVERAGE(DI27,DH27)*(IS!DM6/IS!DI6)</f>
        <v>6.3407017030205433</v>
      </c>
      <c r="DJ97" s="161">
        <f>(IS!DJ17+IS!DJ18)/AVERAGE(DJ27,DI27)*(IS!DM6/IS!DJ6)</f>
        <v>6.3833096142842471</v>
      </c>
      <c r="DK97" s="161">
        <f>(IS!DK17+IS!DK18)/AVERAGE(DK27,DJ27)*(IS!DN6/IS!DK6)</f>
        <v>1.5985691867442076</v>
      </c>
      <c r="DL97" s="161">
        <f>(IS!DL17+IS!DL18)/AVERAGE(DL27,DK27)*(IS!DO6/IS!DL6)</f>
        <v>1.5659319412219643</v>
      </c>
      <c r="DM97" s="817">
        <f>(IS!DM17+IS!DM18)/AVERAGE(DI27:DM27,DH27)</f>
        <v>6.1022727272727275</v>
      </c>
      <c r="DN97" s="161">
        <f>(IS!DN17+IS!DN18)/AVERAGE(DN27,DM27)*(IS!DR6/IS!DN6)</f>
        <v>6.3321479134362564</v>
      </c>
      <c r="DO97" s="161">
        <f>(IS!DO17+IS!DO18)/AVERAGE(DO27,DN27)*(IS!DR6/IS!DO6)</f>
        <v>6.3901186813186808</v>
      </c>
      <c r="DP97" s="161">
        <f>(IS!DP17+IS!DP18)/AVERAGE(DP27,DO27)*(IS!DR6/IS!DP6)</f>
        <v>6.3588521739130437</v>
      </c>
      <c r="DQ97" s="161">
        <f>(IS!DQ17+IS!DQ18)/AVERAGE(DQ27,DP27)*(IS!DS6/IS!DQ6)</f>
        <v>1.5134923738756356</v>
      </c>
      <c r="DR97" s="817">
        <f>(IS!DR17+IS!DR18)/AVERAGE(DN27:DR27,DM27)</f>
        <v>6.1923770280710793</v>
      </c>
      <c r="DS97" s="161">
        <f>(IS!DS17+IS!DS18)/AVERAGE(DS27,DR27)*(IS!DW6/IS!DS6)</f>
        <v>6.3129541024277867</v>
      </c>
      <c r="DT97" s="161">
        <f>(IS!DT17+IS!DT18)/AVERAGE(DT27,DS27)*(IS!DX6/IS!DT6)</f>
        <v>1.6933265410086602</v>
      </c>
      <c r="DU97" s="161">
        <f>(IS!DU17+IS!DU18)/AVERAGE(DU27,DT27)*(IS!DY6/IS!DU6)</f>
        <v>1.6832411790445125</v>
      </c>
      <c r="DV97" s="161">
        <f>(IS!DV17+IS!DV18)/AVERAGE(DV27,DU27)*(IS!DZ6/IS!DV6)</f>
        <v>1.6738461538461538</v>
      </c>
      <c r="DW97" s="817">
        <f>(IS!DW17+IS!DW18)/AVERAGE(DS27:DW27,DR27)</f>
        <v>6.5204429301533215</v>
      </c>
      <c r="DX97" s="161">
        <f>(IS!DX17+IS!DX18)/AVERAGE(DX27,DW27)*(IS!EB6/IS!DX6)</f>
        <v>6.3185195711131197</v>
      </c>
      <c r="DY97" s="161">
        <f>(IS!DY17+IS!DY18)/AVERAGE(DY27,DX27)*(IS!EB6/IS!DY6)</f>
        <v>6.3532883279668528</v>
      </c>
      <c r="DZ97" s="161">
        <f>(IS!DZ17+IS!DZ18)/AVERAGE(DZ27,DY27)*(IS!EB6/IS!DZ6)</f>
        <v>6.3245050209447546</v>
      </c>
      <c r="EA97" s="161">
        <f>(IS!EA17+IS!EA18)/AVERAGE(EA27,DZ27)*(IS!EB6/IS!EA6)</f>
        <v>6.6556128608844451</v>
      </c>
      <c r="EB97" s="817">
        <f>(IS!EB17+IS!EB18)/AVERAGE(DX27:EB27,DW27)</f>
        <v>6.3665848955821724</v>
      </c>
      <c r="EC97" s="161">
        <f>(IS!EC17+IS!EC18)/AVERAGE(EC27,EB27)*(IS!EG6/IS!EC6)</f>
        <v>6.9764708793464631</v>
      </c>
      <c r="ED97" s="161">
        <f>(IS!ED17+IS!ED18)/AVERAGE(ED27,EC27)*(IS!EG6/IS!ED6)</f>
        <v>7.452294532757473</v>
      </c>
      <c r="EE97" s="161">
        <f>(IS!EE17+IS!EE18)/AVERAGE(EE27,ED27)*(IS!EG6/IS!EE6)</f>
        <v>7.3201022576175543</v>
      </c>
      <c r="EF97" s="161">
        <f>(IS!EF17+IS!EF18)/AVERAGE(EF27,EE27)*(IS!EG6/IS!EF6)</f>
        <v>7.7356855632600787</v>
      </c>
      <c r="EG97" s="817">
        <f>(IS!EG17+IS!EG18)/AVERAGE(EC27:EG27,EB27)</f>
        <v>7.2401497960443093</v>
      </c>
      <c r="EH97" s="161">
        <f>(IS!EH17+IS!EH18)/AVERAGE(EH27,EG27)*(IS!EL6/IS!EH6)</f>
        <v>7.4053013807129888</v>
      </c>
      <c r="EI97" s="161">
        <f>(IS!EI17+IS!EI18)/AVERAGE(EI27,EH27)*(IS!EL6/IS!EI6)</f>
        <v>7.5220856063071935</v>
      </c>
      <c r="EJ97" s="161">
        <f>(IS!EJ17+IS!EJ18)/AVERAGE(EJ27,EI27)*(IS!EL6/IS!EJ6)</f>
        <v>7.327047339158562</v>
      </c>
      <c r="EK97" s="161">
        <f>(IS!EK17+IS!EK18)/AVERAGE(EK27,EJ27)*(IS!EL6/IS!EK6)</f>
        <v>7.7665761983079529</v>
      </c>
      <c r="EL97" s="817">
        <f>(IS!EL17+IS!EL18)/AVERAGE(EH27:EL27,EG27)</f>
        <v>7.4077769173138055</v>
      </c>
      <c r="EM97" s="739"/>
      <c r="EN97"/>
      <c r="EO97"/>
      <c r="EP97"/>
      <c r="EQ97"/>
      <c r="ER97"/>
      <c r="ES97"/>
      <c r="ET97" s="141"/>
      <c r="EU97" s="141"/>
      <c r="EV97" s="141"/>
      <c r="EW97" s="141"/>
      <c r="EX97" s="141"/>
      <c r="EY97" s="141"/>
      <c r="EZ97" s="141"/>
      <c r="FA97" s="141"/>
      <c r="FB97" s="141"/>
      <c r="FC97" s="141"/>
      <c r="FD97" s="141"/>
      <c r="FE97" s="141"/>
      <c r="FF97" s="141"/>
      <c r="FG97" s="141"/>
      <c r="FH97" s="141"/>
      <c r="FI97" s="141"/>
      <c r="FJ97" s="141"/>
      <c r="FK97" s="141"/>
      <c r="FL97" s="141"/>
      <c r="FM97" s="141"/>
      <c r="FN97" s="141"/>
      <c r="FO97" s="141"/>
      <c r="FP97" s="141"/>
      <c r="FQ97" s="141"/>
      <c r="FR97" s="141"/>
      <c r="FS97" s="141"/>
      <c r="FT97" s="141"/>
      <c r="FU97" s="141"/>
      <c r="FV97" s="141"/>
      <c r="FW97" s="141"/>
      <c r="FX97" s="141"/>
      <c r="FY97" s="141"/>
      <c r="FZ97" s="141"/>
      <c r="GA97" s="141"/>
      <c r="GB97" s="141"/>
      <c r="GC97" s="141"/>
      <c r="GD97" s="141"/>
      <c r="GE97" s="141"/>
      <c r="GF97" s="141"/>
      <c r="GG97" s="141"/>
      <c r="GH97" s="141"/>
      <c r="GI97" s="141"/>
      <c r="GJ97" s="141"/>
      <c r="GK97" s="141"/>
      <c r="GL97" s="141"/>
      <c r="GM97" s="141"/>
      <c r="GN97" s="141"/>
      <c r="GO97" s="141"/>
      <c r="GP97" s="141"/>
      <c r="GQ97" s="141"/>
      <c r="GR97" s="141"/>
      <c r="GS97" s="141"/>
      <c r="GT97" s="141"/>
      <c r="GU97" s="141"/>
      <c r="GV97" s="141"/>
      <c r="GW97" s="141"/>
      <c r="GX97" s="141"/>
      <c r="GY97" s="141"/>
      <c r="GZ97" s="141"/>
      <c r="HA97" s="141"/>
      <c r="HB97" s="141"/>
      <c r="HC97" s="141"/>
      <c r="HD97" s="141"/>
      <c r="HE97" s="141"/>
      <c r="HF97" s="141"/>
      <c r="HG97" s="141"/>
      <c r="HH97" s="141"/>
      <c r="HI97" s="141"/>
      <c r="HJ97" s="141"/>
      <c r="HK97" s="141"/>
      <c r="HL97" s="141"/>
      <c r="HM97" s="141"/>
      <c r="HN97" s="141"/>
      <c r="HO97" s="141"/>
      <c r="HP97" s="141"/>
      <c r="HQ97" s="141"/>
      <c r="HR97" s="141"/>
      <c r="HS97" s="141"/>
      <c r="HT97" s="141"/>
      <c r="HU97" s="141"/>
      <c r="HV97" s="141"/>
      <c r="HW97" s="141"/>
      <c r="HX97" s="141"/>
      <c r="HY97" s="141"/>
      <c r="HZ97" s="141"/>
      <c r="IA97" s="141"/>
      <c r="IB97" s="141"/>
      <c r="IC97" s="141"/>
      <c r="ID97" s="141"/>
      <c r="IE97" s="141"/>
      <c r="IF97" s="141"/>
      <c r="IG97" s="141"/>
      <c r="IH97" s="141"/>
      <c r="II97" s="141"/>
      <c r="IJ97" s="141"/>
      <c r="IK97" s="141"/>
      <c r="IL97" s="141"/>
      <c r="IM97" s="141"/>
      <c r="IN97" s="141"/>
      <c r="IO97" s="141"/>
      <c r="IP97" s="141"/>
      <c r="IQ97" s="141"/>
      <c r="IR97" s="141"/>
      <c r="IS97" s="141"/>
      <c r="IT97" s="141"/>
      <c r="IU97" s="141"/>
      <c r="IV97" s="141"/>
      <c r="IW97" s="141"/>
      <c r="IX97" s="141"/>
      <c r="IY97" s="141"/>
      <c r="IZ97" s="141"/>
      <c r="JA97" s="141"/>
      <c r="JB97" s="141"/>
      <c r="JC97" s="141"/>
      <c r="JD97" s="141"/>
      <c r="JE97" s="141"/>
      <c r="JF97" s="141"/>
      <c r="JG97" s="141"/>
      <c r="JH97" s="141"/>
    </row>
    <row r="98" spans="1:268" s="142" customFormat="1" ht="12" hidden="1" customHeight="1" outlineLevel="1">
      <c r="A98" s="872"/>
      <c r="B98" s="996" t="s">
        <v>22</v>
      </c>
      <c r="C98" s="996"/>
      <c r="D98" s="999" t="str">
        <f>IF(ISERROR(D27/(IS!D17+IS!D18)*IS!D6),"nm",D27/(IS!D17+IS!D18)*IS!D6)</f>
        <v>nm</v>
      </c>
      <c r="E98" s="161">
        <f>E27/(IS!E17+IS!E18)*IS!E6</f>
        <v>56.696548632900047</v>
      </c>
      <c r="F98" s="161">
        <f>F27/(IS!F17+IS!F18)*IS!F6</f>
        <v>49.21875</v>
      </c>
      <c r="G98" s="161">
        <f>G27/(IS!G17+IS!G18)*IS!G6</f>
        <v>45.175762549582814</v>
      </c>
      <c r="H98" s="817"/>
      <c r="I98" s="161">
        <f>I27/(IS!I17+IS!I18)*IS!I6</f>
        <v>51.606343688898534</v>
      </c>
      <c r="J98" s="161">
        <f>J27/(IS!J17+IS!J18)*IS!J6</f>
        <v>50.542987362751191</v>
      </c>
      <c r="K98" s="161">
        <f>K27/(IS!K17+IS!K18)*IS!K6</f>
        <v>50.605170387779083</v>
      </c>
      <c r="L98" s="161">
        <f>L27/(IS!L17+IS!L18)*IS!L6</f>
        <v>67.649310872894347</v>
      </c>
      <c r="M98" s="817">
        <f>M27/(IS!M17+IS!M18)*IS!M6</f>
        <v>70.384615384615387</v>
      </c>
      <c r="N98" s="161">
        <f>N27/(IS!N17+IS!N18)*IS!N6</f>
        <v>57.511215135556853</v>
      </c>
      <c r="O98" s="161">
        <f>O27/(IS!O17+IS!O18)*IS!O6</f>
        <v>46.289719626168221</v>
      </c>
      <c r="P98" s="161">
        <f>P27/(IS!P17+IS!P18)*IS!P6</f>
        <v>47.71305011447469</v>
      </c>
      <c r="Q98" s="161">
        <f>Q27/(IS!Q17+IS!Q18)*IS!Q6</f>
        <v>41.303624875290978</v>
      </c>
      <c r="R98" s="817">
        <f>R27/(IS!R17+IS!R18)*IS!R6</f>
        <v>65.135492399206868</v>
      </c>
      <c r="S98" s="161">
        <f>S27/(IS!S17+IS!S18)*IS!S6</f>
        <v>58.597273853779427</v>
      </c>
      <c r="T98" s="161">
        <f>T27/(IS!T17+IS!T18)*IS!T6</f>
        <v>51.444180522565318</v>
      </c>
      <c r="U98" s="161">
        <f>U27/(IS!U17+IS!U18)*IS!U6</f>
        <v>54.631936579841444</v>
      </c>
      <c r="V98" s="161">
        <f>V27/(IS!V17+IS!V18)*IS!V6</f>
        <v>66.131291028446398</v>
      </c>
      <c r="W98" s="817">
        <f>W27/(IS!W17+IS!W18)*IS!W6</f>
        <v>69.589378990133497</v>
      </c>
      <c r="X98" s="161">
        <f>X27/(IS!X17+IS!X18)*IS!X6</f>
        <v>53.018660812294179</v>
      </c>
      <c r="Y98" s="161">
        <f>Y27/(IS!Y17+IS!Y18)*IS!Y6</f>
        <v>56.70866141732283</v>
      </c>
      <c r="Z98" s="161">
        <f>Z27/(IS!Z17+IS!Z18)*IS!Z6</f>
        <v>56.982248520710058</v>
      </c>
      <c r="AA98" s="161">
        <f>AA27/(IS!AA17+IS!AA18)*IS!AA6</f>
        <v>62.294396961063626</v>
      </c>
      <c r="AB98" s="817">
        <f>AB27/(IS!AB17+IS!AB18)*IS!AB6</f>
        <v>67.298939746573581</v>
      </c>
      <c r="AC98" s="161">
        <f>AC27/(IS!AC17+IS!AC18)*IS!AC6</f>
        <v>52.906976744186046</v>
      </c>
      <c r="AD98" s="161">
        <f>AD27/(IS!AD17+IS!AD18)*IS!AD6</f>
        <v>55.554994954591322</v>
      </c>
      <c r="AE98" s="161">
        <f>AE27/(IS!AE17+IS!AE18)*IS!AE6</f>
        <v>53.911330049261089</v>
      </c>
      <c r="AF98" s="161">
        <f>AF27/(IS!AF17+IS!AF18)*IS!AF6</f>
        <v>57.673752310536038</v>
      </c>
      <c r="AG98" s="817">
        <f>AG27/(IS!AG17+IS!AG18)*IS!AG6</f>
        <v>59.445388349514559</v>
      </c>
      <c r="AH98" s="161">
        <f>AH27/(IS!AH17+IS!AH18)*IS!AH6</f>
        <v>53.16538461538461</v>
      </c>
      <c r="AI98" s="161">
        <f>AI27/(IS!AI17+IS!AI18)*IS!AI6</f>
        <v>60.783109404990405</v>
      </c>
      <c r="AJ98" s="161">
        <f>AJ27/(IS!AJ17+IS!AJ18)*IS!AJ6</f>
        <v>58.02073515551367</v>
      </c>
      <c r="AK98" s="161">
        <f>AK27/(IS!AK17+IS!AK18)*IS!AK6</f>
        <v>62.708883025505713</v>
      </c>
      <c r="AL98" s="817">
        <f>AL27/(IS!AL17+IS!AL18)*IS!AL6</f>
        <v>66.092289719626166</v>
      </c>
      <c r="AM98" s="161">
        <f>AM27/(IS!AM17+IS!AM18)*IS!AM6</f>
        <v>63.802597402597407</v>
      </c>
      <c r="AN98" s="161">
        <f>AN27/(IS!AN17+IS!AN18)*IS!AN6</f>
        <v>63.102763385146801</v>
      </c>
      <c r="AO98" s="161">
        <f>AO27/(IS!AO17+IS!AO18)*IS!AO6</f>
        <v>62.602040816326536</v>
      </c>
      <c r="AP98" s="161">
        <f>AP27/(IS!AP17+IS!AP18)*IS!AP6</f>
        <v>68.769111969111975</v>
      </c>
      <c r="AQ98" s="817">
        <f>AQ27/(IS!AQ17+IS!AQ18)*IS!AQ6</f>
        <v>73.854515050167223</v>
      </c>
      <c r="AR98" s="161">
        <f>AR27/(IS!AR17+IS!AR18)*IS!AR6</f>
        <v>70.457097032878906</v>
      </c>
      <c r="AS98" s="161">
        <f>AS27/(IS!AS17+IS!AS18)*IS!AS6</f>
        <v>61.721739130434777</v>
      </c>
      <c r="AT98" s="161">
        <f>AT27/(IS!AT17+IS!AT18)*IS!AT6</f>
        <v>61.398305084745758</v>
      </c>
      <c r="AU98" s="802"/>
      <c r="AV98" s="555"/>
      <c r="AW98" s="555"/>
      <c r="AX98" s="555"/>
      <c r="AY98" s="555"/>
      <c r="AZ98" s="817">
        <f>AZ27/(IS!AA17+IS!AA18)*IS!AA6</f>
        <v>78.457739791073124</v>
      </c>
      <c r="BA98" s="161">
        <f>BA27/(IS!BA17+IS!BA18)*IS!BA6</f>
        <v>66.869495596477179</v>
      </c>
      <c r="BB98" s="161">
        <f>BB27/(IS!BB17+IS!BB18)*IS!BB6</f>
        <v>64.867762128325509</v>
      </c>
      <c r="BC98" s="161">
        <f>BC27/(IS!BC17+IS!BC18)*IS!BC6</f>
        <v>62.776470588235298</v>
      </c>
      <c r="BD98" s="161">
        <f>BD27/(IS!BD17+IS!BD18)*IS!BD6</f>
        <v>73.288135593220332</v>
      </c>
      <c r="BE98" s="817">
        <f>BE27/(IS!BE17+IS!BE18)*IS!BE6</f>
        <v>71.464987105732988</v>
      </c>
      <c r="BF98" s="161">
        <f>BF27/(IS!BF17+IS!BF18)*IS!BF6</f>
        <v>80.256944444444443</v>
      </c>
      <c r="BG98" s="161">
        <f>BG27/(IS!BG17+IS!BG18)*IS!BG6</f>
        <v>74.138490926456541</v>
      </c>
      <c r="BH98" s="161">
        <f>BH27/(IS!BH17+IS!BH18)*IS!BH6</f>
        <v>78.763265306122449</v>
      </c>
      <c r="BI98" s="161">
        <f>BI27/(IS!BI17+IS!BI18)*IS!BI6</f>
        <v>86.204000000000008</v>
      </c>
      <c r="BJ98" s="817">
        <f>BJ27/(IS!BJ17+IS!BJ18)*IS!BJ6</f>
        <v>84.991821561338284</v>
      </c>
      <c r="BK98" s="161">
        <f>BK27/(IS!BK17+IS!BK18)*IS!BK6</f>
        <v>70.792682926829272</v>
      </c>
      <c r="BL98" s="161">
        <f>BL27/(IS!BL17+IS!BL18)*IS!BL6</f>
        <v>68.112676056338032</v>
      </c>
      <c r="BM98" s="161">
        <f>BM27/(IS!BM17+IS!BM18)*IS!BM6</f>
        <v>74.152000000000001</v>
      </c>
      <c r="BN98" s="161">
        <f>BN27/(IS!BN17+IS!BN18)*IS!BN6</f>
        <v>80.535240040858014</v>
      </c>
      <c r="BO98" s="802"/>
      <c r="BP98" s="161">
        <f>BP27/(IS!BP17+IS!BP18)*IS!BP6</f>
        <v>70.903553299492387</v>
      </c>
      <c r="BQ98" s="161">
        <f>BQ27/(IS!BQ17+IS!BQ18)*IS!BQ6</f>
        <v>77.375418994413408</v>
      </c>
      <c r="BR98" s="161">
        <f>BR27/(IS!BR17+IS!BR18)*IS!BR6</f>
        <v>76.649610678531701</v>
      </c>
      <c r="BS98" s="161">
        <f>BS27/(IS!BS17+IS!BS18)*IS!BS6</f>
        <v>77.838427947598248</v>
      </c>
      <c r="BT98" s="802"/>
      <c r="BU98" s="161">
        <f>BU27/(IS!BU17+IS!BU18)*IS!BU6</f>
        <v>64.258064516129039</v>
      </c>
      <c r="BV98" s="161">
        <f>BV27/(IS!BV17+IS!BV18)*IS!BV6</f>
        <v>62.954741379310342</v>
      </c>
      <c r="BW98" s="161">
        <f>BW27/(IS!BW17+IS!BW18)*IS!BW6</f>
        <v>65.625979843225082</v>
      </c>
      <c r="BX98" s="161">
        <f>BX27/(IS!BX17+IS!BX18)*IS!BX6</f>
        <v>77.327586206896555</v>
      </c>
      <c r="BY98" s="802"/>
      <c r="BZ98" s="161">
        <f>BZ27/(IS!BZ17+IS!BZ18)*IS!BZ6</f>
        <v>60.507352941176471</v>
      </c>
      <c r="CA98" s="161">
        <f>CA27/(IS!CA17+IS!CA18)*IS!CA6</f>
        <v>65.01444444444445</v>
      </c>
      <c r="CB98" s="161">
        <f>CB27/(IS!CB17+IS!CB18)*IS!CB6</f>
        <v>65.773755656108605</v>
      </c>
      <c r="CC98" s="161">
        <f>CC27/(IS!CC17+IS!CC18)*IS!CC6</f>
        <v>73.130938586326778</v>
      </c>
      <c r="CD98" s="802"/>
      <c r="CE98" s="161">
        <f>CE27/(IS!CE17+IS!CE18)*IS!CE6</f>
        <v>67.087155963302749</v>
      </c>
      <c r="CF98" s="161">
        <f>CF27/(IS!CF17+IS!CF18)*IS!CF6</f>
        <v>64.865051903114193</v>
      </c>
      <c r="CG98" s="161">
        <f>CG27/(IS!CG17+IS!CG18)*IS!CG6</f>
        <v>67.081142857142851</v>
      </c>
      <c r="CH98" s="161">
        <f>CH27/(IS!CH17+IS!CH18)*IS!CH6</f>
        <v>77.878579610538367</v>
      </c>
      <c r="CI98" s="802"/>
      <c r="CJ98" s="161">
        <f>CJ27/(IS!CJ17+IS!CJ18)*IS!CJ6</f>
        <v>63.988439306358387</v>
      </c>
      <c r="CK98" s="161">
        <f>CK27/(IS!CK17+IS!CK18)*IS!CK6</f>
        <v>62.670772676371783</v>
      </c>
      <c r="CL98" s="161">
        <f>CL27/(IS!CL17+IS!CL18)*IS!CL6</f>
        <v>61.778770949720673</v>
      </c>
      <c r="CM98" s="161">
        <f>CM27/(IS!CM17+IS!CM18)*IS!CM6</f>
        <v>76.844547563805108</v>
      </c>
      <c r="CN98" s="815">
        <f>AVERAGE(CJ98:CM98)</f>
        <v>66.32063262406399</v>
      </c>
      <c r="CO98" s="161">
        <f>CO27/(IS!CO17+IS!CO18)*IS!CO6</f>
        <v>64.73506200676438</v>
      </c>
      <c r="CP98" s="161">
        <f>CP27/(IS!CP17+IS!CP18)*IS!CP6</f>
        <v>62.082222222222221</v>
      </c>
      <c r="CQ98" s="161">
        <f>CQ27/(IS!CQ17+IS!CQ18)*IS!CQ6</f>
        <v>63.871964679911699</v>
      </c>
      <c r="CR98" s="161">
        <f>CR27/(IS!CR17+IS!CR18)*IS!CR6</f>
        <v>79.90857142857142</v>
      </c>
      <c r="CS98" s="817">
        <f>CS27/(IS!CS17+IS!CS18)*IS!CS6</f>
        <v>77.746636771300444</v>
      </c>
      <c r="CT98" s="161">
        <f>CT27/(IS!CT17+IS!CT18)*IS!CT6</f>
        <v>62.623655913978503</v>
      </c>
      <c r="CU98" s="161">
        <f>CU27/(IS!CU17+IS!CU18)*IS!CU6</f>
        <v>63.492957746478872</v>
      </c>
      <c r="CV98" s="161">
        <f>CV27/(IS!CV17+IS!CV18)*IS!CV6</f>
        <v>63.243715846994533</v>
      </c>
      <c r="CW98" s="161">
        <f>CW27/(IS!CW17+IS!CW18)*IS!CW6</f>
        <v>71.346938775510196</v>
      </c>
      <c r="CX98" s="817">
        <f>CX27/(IS!CX17+IS!CX18)*IS!CX6</f>
        <v>71.438767234387669</v>
      </c>
      <c r="CY98" s="161">
        <f>CY27/(IS!CY17+IS!CY18)*IS!CY6</f>
        <v>59.086134453781511</v>
      </c>
      <c r="CZ98" s="161">
        <f>CZ27/(IS!CZ17+IS!CZ18)*IS!CZ6</f>
        <v>55.992662473794553</v>
      </c>
      <c r="DA98" s="161">
        <f>DA27/(IS!DA17+IS!DA18)*IS!DA6</f>
        <v>59.101871101871097</v>
      </c>
      <c r="DB98" s="161">
        <f>DB27/(IS!DB17+IS!DB18)*IS!DB6</f>
        <v>61.162646876932598</v>
      </c>
      <c r="DC98" s="817">
        <f>DC27/(IS!DC17+IS!DC18)*IS!DC6</f>
        <v>87.4860646599777</v>
      </c>
      <c r="DD98" s="161">
        <f>DD27/(IS!DD17+IS!DD18)*IS!DD6</f>
        <v>56.367547633681617</v>
      </c>
      <c r="DE98" s="161">
        <f>DE27/(IS!DE17+IS!DE18)*IS!DE6</f>
        <v>54.848574821852729</v>
      </c>
      <c r="DF98" s="161">
        <f>DF27/(IS!DF17+IS!DF18)*IS!DF6</f>
        <v>57.899823217442545</v>
      </c>
      <c r="DG98" s="161">
        <f>DG27/(IS!DG17+IS!DG18)*IS!DG6</f>
        <v>62.481566820276498</v>
      </c>
      <c r="DH98" s="802"/>
      <c r="DI98" s="161">
        <f>DI27/(IS!DI17+IS!DI18)*IS!DI6</f>
        <v>55.516853932584269</v>
      </c>
      <c r="DJ98" s="161">
        <f>DJ27/(IS!DJ17+IS!DJ18)*IS!DJ6</f>
        <v>58.478187919463089</v>
      </c>
      <c r="DK98" s="161">
        <f>DK27/(IS!DK17+IS!DK18)*IS!DK6</f>
        <v>58.303730951129793</v>
      </c>
      <c r="DL98" s="161">
        <f>DL27/(IS!DL17+IS!DL18)*IS!DL6</f>
        <v>62.022471910112358</v>
      </c>
      <c r="DM98" s="802"/>
      <c r="DN98" s="161">
        <f>DN27/(IS!DN17+IS!DN18)*IS!DN6</f>
        <v>54.431563565513883</v>
      </c>
      <c r="DO98" s="161">
        <f>DO27/(IS!DO17+IS!DO18)*IS!DO6</f>
        <v>58.283987915407856</v>
      </c>
      <c r="DP98" s="161">
        <f>DP27/(IS!DP17+IS!DP18)*IS!DP6</f>
        <v>56.54454454454455</v>
      </c>
      <c r="DQ98" s="161">
        <f>DQ27/(IS!DQ17+IS!DQ18)*IS!DQ6</f>
        <v>61.813953488372093</v>
      </c>
      <c r="DR98" s="802"/>
      <c r="DS98" s="161">
        <f>DS27/(IS!DS17+IS!DS18)*IS!DS6</f>
        <v>54.359631147540981</v>
      </c>
      <c r="DT98" s="161">
        <f>DT27/(IS!DT17+IS!DT18)*IS!DT6</f>
        <v>50.967509025270758</v>
      </c>
      <c r="DU98" s="161">
        <f>DU27/(IS!DU17+IS!DU18)*IS!DU6</f>
        <v>54.408602150537639</v>
      </c>
      <c r="DV98" s="161">
        <f>DV27/(IS!DV17+IS!DV18)*IS!DV6</f>
        <v>56.775210084033617</v>
      </c>
      <c r="DW98" s="802"/>
      <c r="DX98" s="737">
        <v>56.8</v>
      </c>
      <c r="DY98" s="737">
        <v>56</v>
      </c>
      <c r="DZ98" s="737">
        <v>56</v>
      </c>
      <c r="EA98" s="737">
        <v>56.8</v>
      </c>
      <c r="EB98" s="802"/>
      <c r="EC98" s="737">
        <v>49</v>
      </c>
      <c r="ED98" s="737">
        <v>49</v>
      </c>
      <c r="EE98" s="737">
        <v>49</v>
      </c>
      <c r="EF98" s="737">
        <v>49</v>
      </c>
      <c r="EG98" s="802"/>
      <c r="EH98" s="737">
        <f>EF98</f>
        <v>49</v>
      </c>
      <c r="EI98" s="737">
        <f>EH98</f>
        <v>49</v>
      </c>
      <c r="EJ98" s="737">
        <f>EI98</f>
        <v>49</v>
      </c>
      <c r="EK98" s="737">
        <v>49</v>
      </c>
      <c r="EL98" s="802"/>
      <c r="EM98" s="555"/>
      <c r="EN98"/>
      <c r="EO98"/>
      <c r="EP98"/>
      <c r="EQ98"/>
      <c r="ER98"/>
      <c r="ES98"/>
      <c r="ET98" s="141"/>
      <c r="EU98" s="141"/>
      <c r="EV98" s="141"/>
      <c r="EW98" s="141"/>
      <c r="EX98" s="141"/>
      <c r="EY98" s="141"/>
      <c r="EZ98" s="141"/>
      <c r="FA98" s="141"/>
      <c r="FB98" s="141"/>
      <c r="FC98" s="141"/>
      <c r="FD98" s="141"/>
      <c r="FE98" s="141"/>
      <c r="FF98" s="141"/>
      <c r="FG98" s="141"/>
      <c r="FH98" s="141"/>
      <c r="FI98" s="141"/>
      <c r="FJ98" s="141"/>
      <c r="FK98" s="141"/>
      <c r="FL98" s="141"/>
      <c r="FM98" s="141"/>
      <c r="FN98" s="141"/>
      <c r="FO98" s="141"/>
      <c r="FP98" s="141"/>
      <c r="FQ98" s="141"/>
      <c r="FR98" s="141"/>
      <c r="FS98" s="141"/>
      <c r="FT98" s="141"/>
      <c r="FU98" s="141"/>
      <c r="FV98" s="141"/>
      <c r="FW98" s="141"/>
      <c r="FX98" s="141"/>
      <c r="FY98" s="141"/>
      <c r="FZ98" s="141"/>
      <c r="GA98" s="141"/>
      <c r="GB98" s="141"/>
      <c r="GC98" s="141"/>
      <c r="GD98" s="141"/>
      <c r="GE98" s="141"/>
      <c r="GF98" s="141"/>
      <c r="GG98" s="141"/>
      <c r="GH98" s="141"/>
      <c r="GI98" s="141"/>
      <c r="GJ98" s="141"/>
      <c r="GK98" s="141"/>
      <c r="GL98" s="141"/>
      <c r="GM98" s="141"/>
      <c r="GN98" s="141"/>
      <c r="GO98" s="141"/>
      <c r="GP98" s="141"/>
      <c r="GQ98" s="141"/>
      <c r="GR98" s="141"/>
      <c r="GS98" s="141"/>
      <c r="GT98" s="141"/>
      <c r="GU98" s="141"/>
      <c r="GV98" s="141"/>
      <c r="GW98" s="141"/>
      <c r="GX98" s="141"/>
      <c r="GY98" s="141"/>
      <c r="GZ98" s="141"/>
      <c r="HA98" s="141"/>
      <c r="HB98" s="141"/>
      <c r="HC98" s="141"/>
      <c r="HD98" s="141"/>
      <c r="HE98" s="141"/>
      <c r="HF98" s="141"/>
      <c r="HG98" s="141"/>
      <c r="HH98" s="141"/>
      <c r="HI98" s="141"/>
      <c r="HJ98" s="141"/>
      <c r="HK98" s="141"/>
      <c r="HL98" s="141"/>
      <c r="HM98" s="141"/>
      <c r="HN98" s="141"/>
      <c r="HO98" s="141"/>
      <c r="HP98" s="141"/>
      <c r="HQ98" s="141"/>
      <c r="HR98" s="141"/>
      <c r="HS98" s="141"/>
      <c r="HT98" s="141"/>
      <c r="HU98" s="141"/>
      <c r="HV98" s="141"/>
      <c r="HW98" s="141"/>
      <c r="HX98" s="141"/>
      <c r="HY98" s="141"/>
      <c r="HZ98" s="141"/>
      <c r="IA98" s="141"/>
      <c r="IB98" s="141"/>
      <c r="IC98" s="141"/>
      <c r="ID98" s="141"/>
      <c r="IE98" s="141"/>
      <c r="IF98" s="141"/>
      <c r="IG98" s="141"/>
      <c r="IH98" s="141"/>
      <c r="II98" s="141"/>
      <c r="IJ98" s="141"/>
      <c r="IK98" s="141"/>
      <c r="IL98" s="141"/>
      <c r="IM98" s="141"/>
      <c r="IN98" s="141"/>
      <c r="IO98" s="141"/>
      <c r="IP98" s="141"/>
      <c r="IQ98" s="141"/>
      <c r="IR98" s="141"/>
      <c r="IS98" s="141"/>
      <c r="IT98" s="141"/>
      <c r="IU98" s="141"/>
      <c r="IV98" s="141"/>
      <c r="IW98" s="141"/>
      <c r="IX98" s="141"/>
      <c r="IY98" s="141"/>
      <c r="IZ98" s="141"/>
      <c r="JA98" s="141"/>
      <c r="JB98" s="141"/>
      <c r="JC98" s="141"/>
      <c r="JD98" s="141"/>
      <c r="JE98" s="141"/>
      <c r="JF98" s="141"/>
      <c r="JG98" s="141"/>
      <c r="JH98" s="141"/>
    </row>
    <row r="99" spans="1:268" s="142" customFormat="1" ht="12" hidden="1" customHeight="1" outlineLevel="1">
      <c r="A99" s="801"/>
      <c r="B99" s="555"/>
      <c r="C99" s="555"/>
      <c r="D99" s="555"/>
      <c r="E99" s="555"/>
      <c r="F99" s="555"/>
      <c r="G99" s="555"/>
      <c r="H99" s="802"/>
      <c r="I99" s="555"/>
      <c r="J99" s="555"/>
      <c r="K99" s="555"/>
      <c r="L99" s="555"/>
      <c r="M99" s="802"/>
      <c r="N99" s="555"/>
      <c r="O99" s="555"/>
      <c r="P99" s="555"/>
      <c r="Q99" s="555"/>
      <c r="R99" s="802"/>
      <c r="S99" s="555"/>
      <c r="T99" s="555"/>
      <c r="U99" s="555"/>
      <c r="V99" s="555"/>
      <c r="W99" s="802"/>
      <c r="X99" s="555"/>
      <c r="Y99" s="555"/>
      <c r="Z99" s="555"/>
      <c r="AA99" s="555"/>
      <c r="AB99" s="802"/>
      <c r="AC99" s="555"/>
      <c r="AD99" s="555"/>
      <c r="AE99" s="555"/>
      <c r="AF99" s="555"/>
      <c r="AG99" s="802"/>
      <c r="AH99" s="555"/>
      <c r="AI99" s="555"/>
      <c r="AJ99" s="555"/>
      <c r="AK99" s="555"/>
      <c r="AL99" s="802"/>
      <c r="AM99" s="555"/>
      <c r="AN99" s="555"/>
      <c r="AO99" s="555"/>
      <c r="AP99" s="555"/>
      <c r="AQ99" s="802"/>
      <c r="AR99" s="555"/>
      <c r="AS99" s="555"/>
      <c r="AT99" s="555"/>
      <c r="AU99" s="802"/>
      <c r="AV99" s="555"/>
      <c r="AW99" s="555"/>
      <c r="AX99" s="555"/>
      <c r="AY99" s="555"/>
      <c r="AZ99" s="802"/>
      <c r="BA99" s="555"/>
      <c r="BB99" s="555"/>
      <c r="BC99" s="555"/>
      <c r="BD99" s="555"/>
      <c r="BE99" s="802"/>
      <c r="BF99" s="555"/>
      <c r="BG99" s="555"/>
      <c r="BH99" s="555"/>
      <c r="BI99" s="555"/>
      <c r="BJ99" s="802"/>
      <c r="BK99" s="555"/>
      <c r="BL99" s="555"/>
      <c r="BM99" s="555"/>
      <c r="BN99" s="555"/>
      <c r="BO99" s="802"/>
      <c r="BP99" s="555"/>
      <c r="BQ99" s="555"/>
      <c r="BR99" s="555"/>
      <c r="BS99" s="555"/>
      <c r="BT99" s="802"/>
      <c r="BU99" s="555"/>
      <c r="BV99" s="555"/>
      <c r="BW99" s="555"/>
      <c r="BX99" s="555"/>
      <c r="BY99" s="802"/>
      <c r="BZ99" s="557"/>
      <c r="CA99" s="555"/>
      <c r="CB99" s="555"/>
      <c r="CC99" s="555"/>
      <c r="CD99" s="802"/>
      <c r="CE99" s="555"/>
      <c r="CF99" s="555"/>
      <c r="CG99" s="555"/>
      <c r="CH99" s="555"/>
      <c r="CI99" s="802"/>
      <c r="CJ99" s="555"/>
      <c r="CK99" s="555"/>
      <c r="CL99" s="555"/>
      <c r="CM99" s="555"/>
      <c r="CN99" s="802"/>
      <c r="CO99" s="555"/>
      <c r="CP99" s="555"/>
      <c r="CQ99" s="555"/>
      <c r="CR99" s="555"/>
      <c r="CS99" s="802"/>
      <c r="CT99" s="555"/>
      <c r="CU99" s="555"/>
      <c r="CV99" s="555"/>
      <c r="CW99" s="555"/>
      <c r="CX99" s="802"/>
      <c r="CY99" s="555"/>
      <c r="CZ99" s="555"/>
      <c r="DA99" s="555"/>
      <c r="DB99" s="555"/>
      <c r="DC99" s="802"/>
      <c r="DD99" s="555"/>
      <c r="DE99" s="555"/>
      <c r="DF99" s="555"/>
      <c r="DG99" s="555"/>
      <c r="DH99" s="802"/>
      <c r="DI99" s="555"/>
      <c r="DJ99" s="555"/>
      <c r="DK99" s="555"/>
      <c r="DL99" s="555"/>
      <c r="DM99" s="802"/>
      <c r="DN99" s="555"/>
      <c r="DO99" s="555"/>
      <c r="DP99" s="555"/>
      <c r="DQ99" s="555"/>
      <c r="DR99" s="802"/>
      <c r="DS99" s="555"/>
      <c r="DT99" s="555" t="s">
        <v>115</v>
      </c>
      <c r="DU99" s="555" t="s">
        <v>115</v>
      </c>
      <c r="DV99" s="555" t="s">
        <v>115</v>
      </c>
      <c r="DW99" s="802"/>
      <c r="DX99" s="555"/>
      <c r="DY99" s="555"/>
      <c r="DZ99" s="555"/>
      <c r="EA99" s="555"/>
      <c r="EB99" s="802"/>
      <c r="EC99" s="555"/>
      <c r="ED99" s="555"/>
      <c r="EE99" s="555"/>
      <c r="EF99" s="555"/>
      <c r="EG99" s="802"/>
      <c r="EH99" s="555"/>
      <c r="EI99" s="555"/>
      <c r="EJ99" s="555"/>
      <c r="EK99" s="555"/>
      <c r="EL99" s="802"/>
      <c r="EM99" s="555"/>
      <c r="EN99"/>
      <c r="EO99"/>
      <c r="EP99"/>
      <c r="EQ99"/>
      <c r="ER99"/>
      <c r="ES99"/>
      <c r="ET99" s="141"/>
      <c r="EU99" s="141"/>
      <c r="EV99" s="141"/>
      <c r="EW99" s="141"/>
      <c r="EX99" s="141"/>
      <c r="EY99" s="141"/>
      <c r="EZ99" s="141"/>
      <c r="FA99" s="141"/>
      <c r="FB99" s="141"/>
      <c r="FC99" s="141"/>
      <c r="FD99" s="141"/>
      <c r="FE99" s="141"/>
      <c r="FF99" s="141"/>
      <c r="FG99" s="141"/>
      <c r="FH99" s="141"/>
      <c r="FI99" s="141"/>
      <c r="FJ99" s="141"/>
      <c r="FK99" s="141"/>
      <c r="FL99" s="141"/>
      <c r="FM99" s="141"/>
      <c r="FN99" s="141"/>
      <c r="FO99" s="141"/>
      <c r="FP99" s="141"/>
      <c r="FQ99" s="141"/>
      <c r="FR99" s="141"/>
      <c r="FS99" s="141"/>
      <c r="FT99" s="141"/>
      <c r="FU99" s="141"/>
      <c r="FV99" s="141"/>
      <c r="FW99" s="141"/>
      <c r="FX99" s="141"/>
      <c r="FY99" s="141"/>
      <c r="FZ99" s="141"/>
      <c r="GA99" s="141"/>
      <c r="GB99" s="141"/>
      <c r="GC99" s="141"/>
      <c r="GD99" s="141"/>
      <c r="GE99" s="141"/>
      <c r="GF99" s="141"/>
      <c r="GG99" s="141"/>
      <c r="GH99" s="141"/>
      <c r="GI99" s="141"/>
      <c r="GJ99" s="141"/>
      <c r="GK99" s="141"/>
      <c r="GL99" s="141"/>
      <c r="GM99" s="141"/>
      <c r="GN99" s="141"/>
      <c r="GO99" s="141"/>
      <c r="GP99" s="141"/>
      <c r="GQ99" s="141"/>
      <c r="GR99" s="141"/>
      <c r="GS99" s="141"/>
      <c r="GT99" s="141"/>
      <c r="GU99" s="141"/>
      <c r="GV99" s="141"/>
      <c r="GW99" s="141"/>
      <c r="GX99" s="141"/>
      <c r="GY99" s="141"/>
      <c r="GZ99" s="141"/>
      <c r="HA99" s="141"/>
      <c r="HB99" s="141"/>
      <c r="HC99" s="141"/>
      <c r="HD99" s="141"/>
      <c r="HE99" s="141"/>
      <c r="HF99" s="141"/>
      <c r="HG99" s="141"/>
      <c r="HH99" s="141"/>
      <c r="HI99" s="141"/>
      <c r="HJ99" s="141"/>
      <c r="HK99" s="141"/>
      <c r="HL99" s="141"/>
      <c r="HM99" s="141"/>
      <c r="HN99" s="141"/>
      <c r="HO99" s="141"/>
      <c r="HP99" s="141"/>
      <c r="HQ99" s="141"/>
      <c r="HR99" s="141"/>
      <c r="HS99" s="141"/>
      <c r="HT99" s="141"/>
      <c r="HU99" s="141"/>
      <c r="HV99" s="141"/>
      <c r="HW99" s="141"/>
      <c r="HX99" s="141"/>
      <c r="HY99" s="141"/>
      <c r="HZ99" s="141"/>
      <c r="IA99" s="141"/>
      <c r="IB99" s="141"/>
      <c r="IC99" s="141"/>
      <c r="ID99" s="141"/>
      <c r="IE99" s="141"/>
      <c r="IF99" s="141"/>
      <c r="IG99" s="141"/>
      <c r="IH99" s="141"/>
      <c r="II99" s="141"/>
      <c r="IJ99" s="141"/>
      <c r="IK99" s="141"/>
      <c r="IL99" s="141"/>
      <c r="IM99" s="141"/>
      <c r="IN99" s="141"/>
      <c r="IO99" s="141"/>
      <c r="IP99" s="141"/>
      <c r="IQ99" s="141"/>
      <c r="IR99" s="141"/>
      <c r="IS99" s="141"/>
      <c r="IT99" s="141"/>
      <c r="IU99" s="141"/>
      <c r="IV99" s="141"/>
      <c r="IW99" s="141"/>
      <c r="IX99" s="141"/>
      <c r="IY99" s="141"/>
      <c r="IZ99" s="141"/>
      <c r="JA99" s="141"/>
      <c r="JB99" s="141"/>
      <c r="JC99" s="141"/>
      <c r="JD99" s="141"/>
      <c r="JE99" s="141"/>
      <c r="JF99" s="141"/>
      <c r="JG99" s="141"/>
      <c r="JH99" s="141"/>
    </row>
    <row r="100" spans="1:268" s="142" customFormat="1" ht="12" hidden="1" customHeight="1" outlineLevel="1">
      <c r="A100" s="803"/>
      <c r="B100" s="804" t="s">
        <v>23</v>
      </c>
      <c r="C100" s="1000"/>
      <c r="D100" s="1000">
        <v>1320</v>
      </c>
      <c r="E100" s="923">
        <f>D109</f>
        <v>1388.164</v>
      </c>
      <c r="F100" s="923">
        <f>E109</f>
        <v>1434.6</v>
      </c>
      <c r="G100" s="923">
        <f>F109</f>
        <v>1485</v>
      </c>
      <c r="H100" s="924">
        <f>D100</f>
        <v>1320</v>
      </c>
      <c r="I100" s="923">
        <f>H108</f>
        <v>1986</v>
      </c>
      <c r="J100" s="923">
        <f>I109</f>
        <v>2105.9</v>
      </c>
      <c r="K100" s="923">
        <f>J109</f>
        <v>2355</v>
      </c>
      <c r="L100" s="923">
        <f>K109</f>
        <v>2655.8</v>
      </c>
      <c r="M100" s="924">
        <f>H108</f>
        <v>1986</v>
      </c>
      <c r="N100" s="923">
        <f>M108</f>
        <v>2636</v>
      </c>
      <c r="O100" s="923">
        <f>N109</f>
        <v>2763.8</v>
      </c>
      <c r="P100" s="923">
        <f>O109</f>
        <v>2846.2000000000003</v>
      </c>
      <c r="Q100" s="923">
        <f>P109</f>
        <v>3474.8</v>
      </c>
      <c r="R100" s="924">
        <f>M108</f>
        <v>2636</v>
      </c>
      <c r="S100" s="923">
        <f>R108</f>
        <v>3224</v>
      </c>
      <c r="T100" s="923">
        <f>S109</f>
        <v>3381</v>
      </c>
      <c r="U100" s="923">
        <f>T109</f>
        <v>3460</v>
      </c>
      <c r="V100" s="923">
        <f>U109</f>
        <v>3693</v>
      </c>
      <c r="W100" s="924">
        <f>R108</f>
        <v>3224</v>
      </c>
      <c r="X100" s="923">
        <f>W108</f>
        <v>3558</v>
      </c>
      <c r="Y100" s="923">
        <f>X109</f>
        <v>3663</v>
      </c>
      <c r="Z100" s="923">
        <f>Y109</f>
        <v>3864</v>
      </c>
      <c r="AA100" s="923">
        <f>Z109</f>
        <v>3973</v>
      </c>
      <c r="AB100" s="924">
        <f>W108</f>
        <v>3558</v>
      </c>
      <c r="AC100" s="923">
        <f>AB108</f>
        <v>3870</v>
      </c>
      <c r="AD100" s="923">
        <f>AC109</f>
        <v>3952</v>
      </c>
      <c r="AE100" s="923">
        <f>AD109</f>
        <v>4089</v>
      </c>
      <c r="AF100" s="923">
        <f>AE109</f>
        <v>4103</v>
      </c>
      <c r="AG100" s="924">
        <f>AB108</f>
        <v>3870</v>
      </c>
      <c r="AH100" s="923">
        <f>AG108</f>
        <v>4066</v>
      </c>
      <c r="AI100" s="923">
        <f>AH109</f>
        <v>4293</v>
      </c>
      <c r="AJ100" s="923">
        <f>AI109</f>
        <v>4584</v>
      </c>
      <c r="AK100" s="923">
        <f>AJ109</f>
        <v>4940</v>
      </c>
      <c r="AL100" s="924">
        <f>AG108</f>
        <v>4066</v>
      </c>
      <c r="AM100" s="923">
        <f>AL108</f>
        <v>5079</v>
      </c>
      <c r="AN100" s="923">
        <f>AM109</f>
        <v>5284</v>
      </c>
      <c r="AO100" s="923">
        <f>AN109</f>
        <v>5301</v>
      </c>
      <c r="AP100" s="923">
        <f>AO109</f>
        <v>5465</v>
      </c>
      <c r="AQ100" s="924">
        <f>AL108</f>
        <v>5079</v>
      </c>
      <c r="AR100" s="923">
        <f>AQ108</f>
        <v>5619</v>
      </c>
      <c r="AS100" s="923">
        <f>AR109</f>
        <v>5881</v>
      </c>
      <c r="AT100" s="923">
        <f>AS109</f>
        <v>5893</v>
      </c>
      <c r="AU100" s="1001"/>
      <c r="AV100" s="892"/>
      <c r="AW100" s="892"/>
      <c r="AX100" s="892"/>
      <c r="AY100" s="892"/>
      <c r="AZ100" s="924"/>
      <c r="BA100" s="923">
        <f>AZ108</f>
        <v>5723</v>
      </c>
      <c r="BB100" s="923">
        <f>BA109</f>
        <v>5743</v>
      </c>
      <c r="BC100" s="923">
        <f>BB109</f>
        <v>5531</v>
      </c>
      <c r="BD100" s="923">
        <f>BC109</f>
        <v>5272</v>
      </c>
      <c r="BE100" s="924">
        <f>AZ108</f>
        <v>5723</v>
      </c>
      <c r="BF100" s="923">
        <f>BE108</f>
        <v>4361</v>
      </c>
      <c r="BG100" s="923">
        <f>BF109</f>
        <v>4268</v>
      </c>
      <c r="BH100" s="923">
        <f>BG109</f>
        <v>3887</v>
      </c>
      <c r="BI100" s="923">
        <f>BH109</f>
        <v>3849</v>
      </c>
      <c r="BJ100" s="924">
        <f>BE108</f>
        <v>4361</v>
      </c>
      <c r="BK100" s="923">
        <f>BJ108</f>
        <v>1732</v>
      </c>
      <c r="BL100" s="923">
        <f>BK109</f>
        <v>1723</v>
      </c>
      <c r="BM100" s="923">
        <f>BL109</f>
        <v>1709</v>
      </c>
      <c r="BN100" s="923">
        <f>BM109</f>
        <v>1324</v>
      </c>
      <c r="BO100" s="924">
        <f>BJ108</f>
        <v>1732</v>
      </c>
      <c r="BP100" s="923">
        <f>BO108</f>
        <v>1021</v>
      </c>
      <c r="BQ100" s="923">
        <f>BP109</f>
        <v>1099</v>
      </c>
      <c r="BR100" s="923">
        <f>BQ109</f>
        <v>707</v>
      </c>
      <c r="BS100" s="923">
        <f>BR109</f>
        <v>631</v>
      </c>
      <c r="BT100" s="924">
        <f>BO108</f>
        <v>1021</v>
      </c>
      <c r="BU100" s="923">
        <f>BT108</f>
        <v>264</v>
      </c>
      <c r="BV100" s="923">
        <f>BU109</f>
        <v>167</v>
      </c>
      <c r="BW100" s="923">
        <f>BV109</f>
        <v>149</v>
      </c>
      <c r="BX100" s="923">
        <f>BW109</f>
        <v>101</v>
      </c>
      <c r="BY100" s="924">
        <f>BT108</f>
        <v>264</v>
      </c>
      <c r="BZ100" s="923">
        <f>BY108</f>
        <v>54</v>
      </c>
      <c r="CA100" s="923">
        <f>BZ109</f>
        <v>32</v>
      </c>
      <c r="CB100" s="923">
        <f>CA109</f>
        <v>29</v>
      </c>
      <c r="CC100" s="923">
        <f>CB109</f>
        <v>136</v>
      </c>
      <c r="CD100" s="924">
        <f>BY108</f>
        <v>54</v>
      </c>
      <c r="CE100" s="923">
        <f>CC109</f>
        <v>103</v>
      </c>
      <c r="CF100" s="923">
        <f>CE109</f>
        <v>291</v>
      </c>
      <c r="CG100" s="923">
        <f>CF109</f>
        <v>286</v>
      </c>
      <c r="CH100" s="923">
        <f>CG109</f>
        <v>626</v>
      </c>
      <c r="CI100" s="924">
        <f>CD108</f>
        <v>103</v>
      </c>
      <c r="CJ100" s="923">
        <f>CH109</f>
        <v>646</v>
      </c>
      <c r="CK100" s="923">
        <f>CJ109</f>
        <v>739</v>
      </c>
      <c r="CL100" s="923">
        <f>CK109</f>
        <v>772</v>
      </c>
      <c r="CM100" s="923">
        <f>CL109</f>
        <v>1711</v>
      </c>
      <c r="CN100" s="924">
        <f>CI108</f>
        <v>646</v>
      </c>
      <c r="CO100" s="923">
        <f>CM109</f>
        <v>1766</v>
      </c>
      <c r="CP100" s="923">
        <f>CO109</f>
        <v>1844</v>
      </c>
      <c r="CQ100" s="923">
        <f>CP109</f>
        <v>1810</v>
      </c>
      <c r="CR100" s="923">
        <f>CQ109</f>
        <v>1698</v>
      </c>
      <c r="CS100" s="924">
        <f>CN108</f>
        <v>1766</v>
      </c>
      <c r="CT100" s="923">
        <f>CR109</f>
        <v>1423</v>
      </c>
      <c r="CU100" s="923">
        <f>CT109</f>
        <v>1460</v>
      </c>
      <c r="CV100" s="923">
        <f>CU109</f>
        <v>1176</v>
      </c>
      <c r="CW100" s="923">
        <f>CV109</f>
        <v>1224</v>
      </c>
      <c r="CX100" s="924">
        <f>CS108</f>
        <v>1423</v>
      </c>
      <c r="CY100" s="923">
        <f>CW109</f>
        <v>1143</v>
      </c>
      <c r="CZ100" s="923">
        <f>CY109</f>
        <v>969</v>
      </c>
      <c r="DA100" s="923">
        <f>CZ109</f>
        <v>895</v>
      </c>
      <c r="DB100" s="923">
        <f>DA109</f>
        <v>825</v>
      </c>
      <c r="DC100" s="924">
        <f>CX108</f>
        <v>1143</v>
      </c>
      <c r="DD100" s="923">
        <f>DB109</f>
        <v>755</v>
      </c>
      <c r="DE100" s="923">
        <f>DD109</f>
        <v>728</v>
      </c>
      <c r="DF100" s="923">
        <f>DE109</f>
        <v>723</v>
      </c>
      <c r="DG100" s="923">
        <f>DF109</f>
        <v>735</v>
      </c>
      <c r="DH100" s="924">
        <f>DC108</f>
        <v>755</v>
      </c>
      <c r="DI100" s="923">
        <f>DG109</f>
        <v>651</v>
      </c>
      <c r="DJ100" s="923">
        <f>DI109</f>
        <v>839</v>
      </c>
      <c r="DK100" s="923">
        <f>DJ109</f>
        <v>803</v>
      </c>
      <c r="DL100" s="923">
        <f>DK109</f>
        <v>802</v>
      </c>
      <c r="DM100" s="924">
        <f>DH108</f>
        <v>651</v>
      </c>
      <c r="DN100" s="923">
        <f>DL109</f>
        <v>691</v>
      </c>
      <c r="DO100" s="923">
        <f>DN109</f>
        <v>625</v>
      </c>
      <c r="DP100" s="923">
        <f>DO109</f>
        <v>523</v>
      </c>
      <c r="DQ100" s="923">
        <f>DP109</f>
        <v>528</v>
      </c>
      <c r="DR100" s="924">
        <f>DM108</f>
        <v>691</v>
      </c>
      <c r="DS100" s="923">
        <f>DQ109</f>
        <v>417</v>
      </c>
      <c r="DT100" s="923">
        <f>DR109</f>
        <v>417</v>
      </c>
      <c r="DU100" s="923">
        <f>DS109</f>
        <v>430</v>
      </c>
      <c r="DV100" s="923">
        <f>DT109</f>
        <v>373</v>
      </c>
      <c r="DW100" s="924">
        <f>DR108</f>
        <v>417</v>
      </c>
      <c r="DX100" s="923">
        <f>DV109</f>
        <v>-147</v>
      </c>
      <c r="DY100" s="923">
        <f>DX109</f>
        <v>-30.993159957341504</v>
      </c>
      <c r="DZ100" s="923">
        <f>DY109</f>
        <v>126.27026407565745</v>
      </c>
      <c r="EA100" s="923">
        <f>DZ109</f>
        <v>286.75547961646862</v>
      </c>
      <c r="EB100" s="924">
        <f>DW108</f>
        <v>-147</v>
      </c>
      <c r="EC100" s="923">
        <f>EA109</f>
        <v>438.61414718892911</v>
      </c>
      <c r="ED100" s="923">
        <f>EC109</f>
        <v>602.58870746944649</v>
      </c>
      <c r="EE100" s="923">
        <f>ED109</f>
        <v>760.86636546339287</v>
      </c>
      <c r="EF100" s="923">
        <f>EE109</f>
        <v>924.49582048603861</v>
      </c>
      <c r="EG100" s="924">
        <f>EB108</f>
        <v>438.61414718892911</v>
      </c>
      <c r="EH100" s="923">
        <f>EF109</f>
        <v>1108.0301154522926</v>
      </c>
      <c r="EI100" s="923">
        <f>EH109</f>
        <v>1285.971466584986</v>
      </c>
      <c r="EJ100" s="923">
        <f>EI109</f>
        <v>1468.4878419094507</v>
      </c>
      <c r="EK100" s="923">
        <f>EJ109</f>
        <v>1649.4239460548802</v>
      </c>
      <c r="EL100" s="924">
        <f>EG108</f>
        <v>1108.0301154522926</v>
      </c>
      <c r="EM100" s="925"/>
      <c r="EN100"/>
      <c r="EO100"/>
      <c r="EP100"/>
      <c r="EQ100"/>
      <c r="ER100"/>
      <c r="ES100"/>
      <c r="ET100" s="141"/>
      <c r="EU100" s="141"/>
      <c r="EV100" s="141"/>
      <c r="EW100" s="141"/>
      <c r="EX100" s="141"/>
      <c r="EY100" s="141"/>
      <c r="EZ100" s="141"/>
      <c r="FA100" s="141"/>
      <c r="FB100" s="141"/>
      <c r="FC100" s="141"/>
      <c r="FD100" s="141"/>
      <c r="FE100" s="141"/>
      <c r="FF100" s="141"/>
      <c r="FG100" s="141"/>
      <c r="FH100" s="141"/>
      <c r="FI100" s="141"/>
      <c r="FJ100" s="141"/>
      <c r="FK100" s="141"/>
      <c r="FL100" s="141"/>
      <c r="FM100" s="141"/>
      <c r="FN100" s="141"/>
      <c r="FO100" s="141"/>
      <c r="FP100" s="141"/>
      <c r="FQ100" s="141"/>
      <c r="FR100" s="141"/>
      <c r="FS100" s="141"/>
      <c r="FT100" s="141"/>
      <c r="FU100" s="141"/>
      <c r="FV100" s="141"/>
      <c r="FW100" s="141"/>
      <c r="FX100" s="141"/>
      <c r="FY100" s="141"/>
      <c r="FZ100" s="141"/>
      <c r="GA100" s="141"/>
      <c r="GB100" s="141"/>
      <c r="GC100" s="141"/>
      <c r="GD100" s="141"/>
      <c r="GE100" s="141"/>
      <c r="GF100" s="141"/>
      <c r="GG100" s="141"/>
      <c r="GH100" s="141"/>
      <c r="GI100" s="141"/>
      <c r="GJ100" s="141"/>
      <c r="GK100" s="141"/>
      <c r="GL100" s="141"/>
      <c r="GM100" s="141"/>
      <c r="GN100" s="141"/>
      <c r="GO100" s="141"/>
      <c r="GP100" s="141"/>
      <c r="GQ100" s="141"/>
      <c r="GR100" s="141"/>
      <c r="GS100" s="141"/>
      <c r="GT100" s="141"/>
      <c r="GU100" s="141"/>
      <c r="GV100" s="141"/>
      <c r="GW100" s="141"/>
      <c r="GX100" s="141"/>
      <c r="GY100" s="141"/>
      <c r="GZ100" s="141"/>
      <c r="HA100" s="141"/>
      <c r="HB100" s="141"/>
      <c r="HC100" s="141"/>
      <c r="HD100" s="141"/>
      <c r="HE100" s="141"/>
      <c r="HF100" s="141"/>
      <c r="HG100" s="141"/>
      <c r="HH100" s="141"/>
      <c r="HI100" s="141"/>
      <c r="HJ100" s="141"/>
      <c r="HK100" s="141"/>
      <c r="HL100" s="141"/>
      <c r="HM100" s="141"/>
      <c r="HN100" s="141"/>
      <c r="HO100" s="141"/>
      <c r="HP100" s="141"/>
      <c r="HQ100" s="141"/>
      <c r="HR100" s="141"/>
      <c r="HS100" s="141"/>
      <c r="HT100" s="141"/>
      <c r="HU100" s="141"/>
      <c r="HV100" s="141"/>
      <c r="HW100" s="141"/>
      <c r="HX100" s="141"/>
      <c r="HY100" s="141"/>
      <c r="HZ100" s="141"/>
      <c r="IA100" s="141"/>
      <c r="IB100" s="141"/>
      <c r="IC100" s="141"/>
      <c r="ID100" s="141"/>
      <c r="IE100" s="141"/>
      <c r="IF100" s="141"/>
      <c r="IG100" s="141"/>
      <c r="IH100" s="141"/>
      <c r="II100" s="141"/>
      <c r="IJ100" s="141"/>
      <c r="IK100" s="141"/>
      <c r="IL100" s="141"/>
      <c r="IM100" s="141"/>
      <c r="IN100" s="141"/>
      <c r="IO100" s="141"/>
      <c r="IP100" s="141"/>
      <c r="IQ100" s="141"/>
      <c r="IR100" s="141"/>
      <c r="IS100" s="141"/>
      <c r="IT100" s="141"/>
      <c r="IU100" s="141"/>
      <c r="IV100" s="141"/>
      <c r="IW100" s="141"/>
      <c r="IX100" s="141"/>
      <c r="IY100" s="141"/>
      <c r="IZ100" s="141"/>
      <c r="JA100" s="141"/>
      <c r="JB100" s="141"/>
      <c r="JC100" s="141"/>
      <c r="JD100" s="141"/>
      <c r="JE100" s="141"/>
      <c r="JF100" s="141"/>
      <c r="JG100" s="141"/>
      <c r="JH100" s="141"/>
    </row>
    <row r="101" spans="1:268" s="142" customFormat="1" ht="12" hidden="1" customHeight="1" outlineLevel="1">
      <c r="A101" s="1002"/>
      <c r="B101" s="1003" t="s">
        <v>24</v>
      </c>
      <c r="C101" s="1003"/>
      <c r="D101" s="1003">
        <f>IS!D47</f>
        <v>64.02800000000002</v>
      </c>
      <c r="E101" s="1003">
        <f>IS!E47</f>
        <v>46.199999999999974</v>
      </c>
      <c r="F101" s="1003">
        <f>IS!F47</f>
        <v>48.899999999999949</v>
      </c>
      <c r="G101" s="1003">
        <f>IS!G47</f>
        <v>5.8719999999999937</v>
      </c>
      <c r="H101" s="1004">
        <f t="shared" ref="H101:H107" si="242">SUM(D101:G101)</f>
        <v>164.99999999999991</v>
      </c>
      <c r="I101" s="1003">
        <f>IS!I47</f>
        <v>118.30000000000004</v>
      </c>
      <c r="J101" s="1003">
        <f>IS!J47</f>
        <v>182.79999999999998</v>
      </c>
      <c r="K101" s="1003">
        <f>IS!K47</f>
        <v>70.700000000000117</v>
      </c>
      <c r="L101" s="1003">
        <f>IS!L47</f>
        <v>-21.800000000000257</v>
      </c>
      <c r="M101" s="1004">
        <f>IS!M47</f>
        <v>350</v>
      </c>
      <c r="N101" s="1003">
        <f>IS!N47</f>
        <v>72.399999999999892</v>
      </c>
      <c r="O101" s="1003">
        <f>IS!O47</f>
        <v>76.799999999999869</v>
      </c>
      <c r="P101" s="1003">
        <f>IS!P47</f>
        <v>-113.29999999999993</v>
      </c>
      <c r="Q101" s="1003">
        <f>IS!Q47</f>
        <v>-289.90000000000066</v>
      </c>
      <c r="R101" s="1004">
        <f>IS!R47</f>
        <v>-254</v>
      </c>
      <c r="S101" s="1003">
        <f>IS!S47</f>
        <v>116</v>
      </c>
      <c r="T101" s="1003">
        <f>IS!T47</f>
        <v>138</v>
      </c>
      <c r="U101" s="1003">
        <f>IS!U47</f>
        <v>148</v>
      </c>
      <c r="V101" s="1003">
        <f>IS!V47</f>
        <v>-141</v>
      </c>
      <c r="W101" s="1004">
        <f>IS!W47</f>
        <v>261</v>
      </c>
      <c r="X101" s="1003">
        <f>IS!X47</f>
        <v>137</v>
      </c>
      <c r="Y101" s="1003">
        <f>IS!Y47</f>
        <v>125</v>
      </c>
      <c r="Z101" s="1003">
        <f>IS!Z47</f>
        <v>124</v>
      </c>
      <c r="AA101" s="1003">
        <f>IS!AA47</f>
        <v>-137</v>
      </c>
      <c r="AB101" s="1004">
        <f>IS!AB47</f>
        <v>249</v>
      </c>
      <c r="AC101" s="1003">
        <f>IS!AC47</f>
        <v>109</v>
      </c>
      <c r="AD101" s="1003">
        <f>IS!AD47</f>
        <v>135</v>
      </c>
      <c r="AE101" s="1003">
        <f>IS!AE47</f>
        <v>38</v>
      </c>
      <c r="AF101" s="1003">
        <f>IS!AF47</f>
        <v>20</v>
      </c>
      <c r="AG101" s="1004">
        <f>IS!AG47</f>
        <v>302</v>
      </c>
      <c r="AH101" s="1003">
        <f>IS!AH47</f>
        <v>154</v>
      </c>
      <c r="AI101" s="1003">
        <f>IS!AI47</f>
        <v>175</v>
      </c>
      <c r="AJ101" s="1003">
        <f>IS!AJ47</f>
        <v>198</v>
      </c>
      <c r="AK101" s="1003">
        <f>IS!AK47</f>
        <v>116</v>
      </c>
      <c r="AL101" s="1004">
        <f>IS!AL47</f>
        <v>643</v>
      </c>
      <c r="AM101" s="1003">
        <f>IS!AM47</f>
        <v>155</v>
      </c>
      <c r="AN101" s="1003">
        <f>IS!AN47</f>
        <v>89</v>
      </c>
      <c r="AO101" s="1003">
        <f>IS!AO47</f>
        <v>280</v>
      </c>
      <c r="AP101" s="1003">
        <f>IS!AP47</f>
        <v>261</v>
      </c>
      <c r="AQ101" s="1004">
        <f>IS!AQ47</f>
        <v>785</v>
      </c>
      <c r="AR101" s="1003">
        <f>IS!AR47</f>
        <v>338</v>
      </c>
      <c r="AS101" s="1003">
        <f>IS!AS47</f>
        <v>315</v>
      </c>
      <c r="AT101" s="1003">
        <f>IS!AT47</f>
        <v>-55</v>
      </c>
      <c r="AU101" s="1004"/>
      <c r="AV101" s="1005"/>
      <c r="AW101" s="1005"/>
      <c r="AX101" s="1005"/>
      <c r="AY101" s="1005"/>
      <c r="AZ101" s="1004"/>
      <c r="BA101" s="1003">
        <f>IS!BA47</f>
        <v>-20</v>
      </c>
      <c r="BB101" s="1003">
        <f>IS!BB47</f>
        <v>-195</v>
      </c>
      <c r="BC101" s="1003">
        <f>IS!BC47</f>
        <v>-308</v>
      </c>
      <c r="BD101" s="1003">
        <f>IS!BD47</f>
        <v>-954</v>
      </c>
      <c r="BE101" s="1004">
        <f>IS!BE47</f>
        <v>-1477</v>
      </c>
      <c r="BF101" s="1003">
        <f>IS!BF47</f>
        <v>-122</v>
      </c>
      <c r="BG101" s="1003">
        <f>IS!BG47</f>
        <v>-426</v>
      </c>
      <c r="BH101" s="1003">
        <f>IS!BH47</f>
        <v>-70</v>
      </c>
      <c r="BI101" s="1003">
        <f>IS!BI47</f>
        <v>-2022</v>
      </c>
      <c r="BJ101" s="1004">
        <f>IS!BJ47</f>
        <v>-2640</v>
      </c>
      <c r="BK101" s="1003">
        <f>IS!BK47</f>
        <v>-4</v>
      </c>
      <c r="BL101" s="1003">
        <f>IS!BL47</f>
        <v>-33</v>
      </c>
      <c r="BM101" s="1003">
        <f>IS!BM47</f>
        <v>-401</v>
      </c>
      <c r="BN101" s="1003">
        <f>IS!BN47</f>
        <v>-286</v>
      </c>
      <c r="BO101" s="1004">
        <f>IS!BO47</f>
        <v>-724</v>
      </c>
      <c r="BP101" s="1003">
        <f>IS!BP47</f>
        <v>70</v>
      </c>
      <c r="BQ101" s="1003">
        <f>IS!BQ47</f>
        <v>-398</v>
      </c>
      <c r="BR101" s="1003">
        <f>IS!BR47</f>
        <v>-89</v>
      </c>
      <c r="BS101" s="1003">
        <f>IS!BS47</f>
        <v>-386</v>
      </c>
      <c r="BT101" s="1004">
        <f>IS!BT47</f>
        <v>-803</v>
      </c>
      <c r="BU101" s="1003">
        <f>IS!BU47</f>
        <v>75</v>
      </c>
      <c r="BV101" s="1003">
        <f>IS!BV47</f>
        <v>-30</v>
      </c>
      <c r="BW101" s="1003">
        <f>IS!BW47</f>
        <v>-59</v>
      </c>
      <c r="BX101" s="1003">
        <f>IS!BX47</f>
        <v>-75</v>
      </c>
      <c r="BY101" s="1004">
        <f>IS!BY47</f>
        <v>-89</v>
      </c>
      <c r="BZ101" s="1003">
        <f>IS!BZ47</f>
        <v>-31</v>
      </c>
      <c r="CA101" s="1003">
        <f>IS!CA47</f>
        <v>-15</v>
      </c>
      <c r="CB101" s="1003">
        <f>IS!CB47</f>
        <v>104</v>
      </c>
      <c r="CC101" s="1003">
        <f>IS!CC47</f>
        <v>-33</v>
      </c>
      <c r="CD101" s="1004">
        <f>IS!CD47</f>
        <v>25</v>
      </c>
      <c r="CE101" s="1003">
        <f>IS!CE47</f>
        <v>178</v>
      </c>
      <c r="CF101" s="1003">
        <f>IS!CF47</f>
        <v>-15</v>
      </c>
      <c r="CG101" s="1003">
        <f>IS!CG47</f>
        <v>-3</v>
      </c>
      <c r="CH101" s="1003">
        <f>IS!CH47</f>
        <v>21</v>
      </c>
      <c r="CI101" s="1004">
        <f t="shared" ref="CI101:CI107" si="243">SUM(CE101:CH101)</f>
        <v>181</v>
      </c>
      <c r="CJ101" s="1003">
        <f>IS!CJ47</f>
        <v>88</v>
      </c>
      <c r="CK101" s="1003">
        <f>IS!CK47</f>
        <v>25</v>
      </c>
      <c r="CL101" s="1003">
        <f>IS!CL47</f>
        <v>932</v>
      </c>
      <c r="CM101" s="1003">
        <f>IS!CM47</f>
        <v>74</v>
      </c>
      <c r="CN101" s="1004">
        <f>IS!CN47</f>
        <v>1119</v>
      </c>
      <c r="CO101" s="1003">
        <f>IS!CO47</f>
        <v>73</v>
      </c>
      <c r="CP101" s="1003">
        <f>IS!CP47</f>
        <v>55</v>
      </c>
      <c r="CQ101" s="1003">
        <f>IS!CQ47</f>
        <v>6</v>
      </c>
      <c r="CR101" s="1003">
        <f>IS!CR47</f>
        <v>-76</v>
      </c>
      <c r="CS101" s="1004">
        <f>IS!CS47</f>
        <v>58</v>
      </c>
      <c r="CT101" s="1003">
        <f>IS!CT47</f>
        <v>58</v>
      </c>
      <c r="CU101" s="1003">
        <f>IS!CU47</f>
        <v>-6</v>
      </c>
      <c r="CV101" s="1003">
        <f>IS!CV47</f>
        <v>40</v>
      </c>
      <c r="CW101" s="1003">
        <f>IS!CW47</f>
        <v>49</v>
      </c>
      <c r="CX101" s="1004">
        <f>IS!CX47</f>
        <v>141</v>
      </c>
      <c r="CY101" s="1003">
        <f>IS!CY47</f>
        <v>-88</v>
      </c>
      <c r="CZ101" s="1003">
        <f>IS!CZ47</f>
        <v>-50</v>
      </c>
      <c r="DA101" s="1003">
        <f>IS!DA47</f>
        <v>28</v>
      </c>
      <c r="DB101" s="1003">
        <f>IS!DB47</f>
        <v>-24</v>
      </c>
      <c r="DC101" s="1004">
        <f>IS!DC47</f>
        <v>-134</v>
      </c>
      <c r="DD101" s="1003">
        <f>IS!DD47</f>
        <v>-32</v>
      </c>
      <c r="DE101" s="1003">
        <f>IS!DE47</f>
        <v>-26</v>
      </c>
      <c r="DF101" s="1003">
        <f>IS!DF47</f>
        <v>9</v>
      </c>
      <c r="DG101" s="1003">
        <f>IS!DG47</f>
        <v>61</v>
      </c>
      <c r="DH101" s="1004">
        <f>IS!DH47</f>
        <v>12</v>
      </c>
      <c r="DI101" s="1003">
        <f>IS!DI47</f>
        <v>47</v>
      </c>
      <c r="DJ101" s="1003">
        <f>IS!DJ47</f>
        <v>-61</v>
      </c>
      <c r="DK101" s="1003">
        <f>IS!DK47</f>
        <v>-29</v>
      </c>
      <c r="DL101" s="1003">
        <f>IS!DL47</f>
        <v>-97</v>
      </c>
      <c r="DM101" s="1004">
        <f>IS!DM47</f>
        <v>-140</v>
      </c>
      <c r="DN101" s="1003">
        <f>IS!DN47</f>
        <v>-59</v>
      </c>
      <c r="DO101" s="1003">
        <f>IS!DO47</f>
        <v>-46</v>
      </c>
      <c r="DP101" s="1003">
        <f>IS!DP47</f>
        <v>-8</v>
      </c>
      <c r="DQ101" s="1003">
        <f>IS!DQ47</f>
        <v>-79</v>
      </c>
      <c r="DR101" s="1004">
        <f>IS!DR47</f>
        <v>-192</v>
      </c>
      <c r="DS101" s="1003">
        <f>IS!DS47</f>
        <v>-53</v>
      </c>
      <c r="DT101" s="1003">
        <f>IS!DT47</f>
        <v>-55</v>
      </c>
      <c r="DU101" s="1003">
        <f>IS!DU47</f>
        <v>-367</v>
      </c>
      <c r="DV101" s="1003">
        <f>IS!DV47</f>
        <v>-229</v>
      </c>
      <c r="DW101" s="1004">
        <f>IS!DW47</f>
        <v>-704</v>
      </c>
      <c r="DX101" s="1003">
        <f>IS!DX47</f>
        <v>26.070229558280374</v>
      </c>
      <c r="DY101" s="1003">
        <f>IS!DY47</f>
        <v>64.247781762778089</v>
      </c>
      <c r="DZ101" s="1003">
        <f>IS!DZ47</f>
        <v>65.723898534745999</v>
      </c>
      <c r="EA101" s="1003">
        <f>IS!EA47</f>
        <v>16.518168441145264</v>
      </c>
      <c r="EB101" s="1004">
        <f>IS!EB47</f>
        <v>172.56007829695079</v>
      </c>
      <c r="EC101" s="1003">
        <f>IS!EC47</f>
        <v>58.78782894200323</v>
      </c>
      <c r="ED101" s="1003">
        <f>IS!ED47</f>
        <v>47.640692349388516</v>
      </c>
      <c r="EE101" s="1003">
        <f>IS!EE47</f>
        <v>56.223728709718628</v>
      </c>
      <c r="EF101" s="1003">
        <f>IS!EF47</f>
        <v>52.03914111403185</v>
      </c>
      <c r="EG101" s="1004">
        <f>IS!EG47</f>
        <v>214.69139111514306</v>
      </c>
      <c r="EH101" s="1003">
        <f>IS!EH47</f>
        <v>63.913742239847181</v>
      </c>
      <c r="EI101" s="1003">
        <f>IS!EI47</f>
        <v>63.239959684202958</v>
      </c>
      <c r="EJ101" s="1003">
        <f>IS!EJ47</f>
        <v>65.238382640434807</v>
      </c>
      <c r="EK101" s="1003">
        <f>IS!EK47</f>
        <v>33.61224933750529</v>
      </c>
      <c r="EL101" s="1004">
        <f>IS!EL47</f>
        <v>226.00433390199237</v>
      </c>
      <c r="EM101" s="1005"/>
      <c r="EN101"/>
      <c r="EO101"/>
      <c r="EP101"/>
      <c r="EQ101"/>
      <c r="ER101"/>
      <c r="ES101"/>
      <c r="ET101" s="141"/>
      <c r="EU101" s="141"/>
      <c r="EV101" s="141"/>
      <c r="EW101" s="141"/>
      <c r="EX101" s="141"/>
      <c r="EY101" s="141"/>
      <c r="EZ101" s="141"/>
      <c r="FA101" s="141"/>
      <c r="FB101" s="141"/>
      <c r="FC101" s="141"/>
      <c r="FD101" s="141"/>
      <c r="FE101" s="141"/>
      <c r="FF101" s="141"/>
      <c r="FG101" s="141"/>
      <c r="FH101" s="141"/>
      <c r="FI101" s="141"/>
      <c r="FJ101" s="141"/>
      <c r="FK101" s="141"/>
      <c r="FL101" s="141"/>
      <c r="FM101" s="141"/>
      <c r="FN101" s="141"/>
      <c r="FO101" s="141"/>
      <c r="FP101" s="141"/>
      <c r="FQ101" s="141"/>
      <c r="FR101" s="141"/>
      <c r="FS101" s="141"/>
      <c r="FT101" s="141"/>
      <c r="FU101" s="141"/>
      <c r="FV101" s="141"/>
      <c r="FW101" s="141"/>
      <c r="FX101" s="141"/>
      <c r="FY101" s="141"/>
      <c r="FZ101" s="141"/>
      <c r="GA101" s="141"/>
      <c r="GB101" s="141"/>
      <c r="GC101" s="141"/>
      <c r="GD101" s="141"/>
      <c r="GE101" s="141"/>
      <c r="GF101" s="141"/>
      <c r="GG101" s="141"/>
      <c r="GH101" s="141"/>
      <c r="GI101" s="141"/>
      <c r="GJ101" s="141"/>
      <c r="GK101" s="141"/>
      <c r="GL101" s="141"/>
      <c r="GM101" s="141"/>
      <c r="GN101" s="141"/>
      <c r="GO101" s="141"/>
      <c r="GP101" s="141"/>
      <c r="GQ101" s="141"/>
      <c r="GR101" s="141"/>
      <c r="GS101" s="141"/>
      <c r="GT101" s="141"/>
      <c r="GU101" s="141"/>
      <c r="GV101" s="141"/>
      <c r="GW101" s="141"/>
      <c r="GX101" s="141"/>
      <c r="GY101" s="141"/>
      <c r="GZ101" s="141"/>
      <c r="HA101" s="141"/>
      <c r="HB101" s="141"/>
      <c r="HC101" s="141"/>
      <c r="HD101" s="141"/>
      <c r="HE101" s="141"/>
      <c r="HF101" s="141"/>
      <c r="HG101" s="141"/>
      <c r="HH101" s="141"/>
      <c r="HI101" s="141"/>
      <c r="HJ101" s="141"/>
      <c r="HK101" s="141"/>
      <c r="HL101" s="141"/>
      <c r="HM101" s="141"/>
      <c r="HN101" s="141"/>
      <c r="HO101" s="141"/>
      <c r="HP101" s="141"/>
      <c r="HQ101" s="141"/>
      <c r="HR101" s="141"/>
      <c r="HS101" s="141"/>
      <c r="HT101" s="141"/>
      <c r="HU101" s="141"/>
      <c r="HV101" s="141"/>
      <c r="HW101" s="141"/>
      <c r="HX101" s="141"/>
      <c r="HY101" s="141"/>
      <c r="HZ101" s="141"/>
      <c r="IA101" s="141"/>
      <c r="IB101" s="141"/>
      <c r="IC101" s="141"/>
      <c r="ID101" s="141"/>
      <c r="IE101" s="141"/>
      <c r="IF101" s="141"/>
      <c r="IG101" s="141"/>
      <c r="IH101" s="141"/>
      <c r="II101" s="141"/>
      <c r="IJ101" s="141"/>
      <c r="IK101" s="141"/>
      <c r="IL101" s="141"/>
      <c r="IM101" s="141"/>
      <c r="IN101" s="141"/>
      <c r="IO101" s="141"/>
      <c r="IP101" s="141"/>
      <c r="IQ101" s="141"/>
      <c r="IR101" s="141"/>
      <c r="IS101" s="141"/>
      <c r="IT101" s="141"/>
      <c r="IU101" s="141"/>
      <c r="IV101" s="141"/>
      <c r="IW101" s="141"/>
      <c r="IX101" s="141"/>
      <c r="IY101" s="141"/>
      <c r="IZ101" s="141"/>
      <c r="JA101" s="141"/>
      <c r="JB101" s="141"/>
      <c r="JC101" s="141"/>
      <c r="JD101" s="141"/>
      <c r="JE101" s="141"/>
      <c r="JF101" s="141"/>
      <c r="JG101" s="141"/>
      <c r="JH101" s="141"/>
    </row>
    <row r="102" spans="1:268" s="142" customFormat="1" ht="12" hidden="1" customHeight="1" outlineLevel="1">
      <c r="A102" s="801"/>
      <c r="B102" s="557" t="s">
        <v>25</v>
      </c>
      <c r="C102" s="898"/>
      <c r="D102" s="898">
        <v>0</v>
      </c>
      <c r="E102" s="843">
        <f t="shared" ref="E102:G103" si="244">E44-D44</f>
        <v>0</v>
      </c>
      <c r="F102" s="843">
        <f t="shared" si="244"/>
        <v>0</v>
      </c>
      <c r="G102" s="843">
        <f t="shared" si="244"/>
        <v>0</v>
      </c>
      <c r="H102" s="844">
        <f t="shared" si="242"/>
        <v>0</v>
      </c>
      <c r="I102" s="843">
        <f t="shared" ref="I102:L103" si="245">I44-H44</f>
        <v>0</v>
      </c>
      <c r="J102" s="843">
        <f t="shared" si="245"/>
        <v>0</v>
      </c>
      <c r="K102" s="843">
        <f t="shared" si="245"/>
        <v>0</v>
      </c>
      <c r="L102" s="843">
        <f t="shared" si="245"/>
        <v>0</v>
      </c>
      <c r="M102" s="844">
        <f>M44-H44</f>
        <v>0</v>
      </c>
      <c r="N102" s="843">
        <f t="shared" ref="N102:Q103" si="246">N44-M44</f>
        <v>0</v>
      </c>
      <c r="O102" s="843">
        <f t="shared" si="246"/>
        <v>0</v>
      </c>
      <c r="P102" s="843">
        <f t="shared" si="246"/>
        <v>0</v>
      </c>
      <c r="Q102" s="843">
        <f t="shared" si="246"/>
        <v>0</v>
      </c>
      <c r="R102" s="844">
        <f>R44-M44</f>
        <v>0</v>
      </c>
      <c r="S102" s="843">
        <f t="shared" ref="S102:V103" si="247">S44-R44</f>
        <v>0</v>
      </c>
      <c r="T102" s="843">
        <f t="shared" si="247"/>
        <v>0</v>
      </c>
      <c r="U102" s="843">
        <f t="shared" si="247"/>
        <v>0</v>
      </c>
      <c r="V102" s="843">
        <f t="shared" si="247"/>
        <v>0</v>
      </c>
      <c r="W102" s="844">
        <f>W44-R44</f>
        <v>0</v>
      </c>
      <c r="X102" s="843">
        <f t="shared" ref="X102:AA103" si="248">X44-W44</f>
        <v>0</v>
      </c>
      <c r="Y102" s="843">
        <f t="shared" si="248"/>
        <v>0</v>
      </c>
      <c r="Z102" s="843">
        <f t="shared" si="248"/>
        <v>0</v>
      </c>
      <c r="AA102" s="843">
        <f t="shared" si="248"/>
        <v>0</v>
      </c>
      <c r="AB102" s="844">
        <f>AB44-W44</f>
        <v>0</v>
      </c>
      <c r="AC102" s="843">
        <f t="shared" ref="AC102:AF103" si="249">AC44-AB44</f>
        <v>0</v>
      </c>
      <c r="AD102" s="843">
        <f t="shared" si="249"/>
        <v>0</v>
      </c>
      <c r="AE102" s="843">
        <f t="shared" si="249"/>
        <v>0</v>
      </c>
      <c r="AF102" s="843">
        <f t="shared" si="249"/>
        <v>0</v>
      </c>
      <c r="AG102" s="844">
        <f>AG44-AB44</f>
        <v>0</v>
      </c>
      <c r="AH102" s="843">
        <f t="shared" ref="AH102:AK103" si="250">AH44-AG44</f>
        <v>0</v>
      </c>
      <c r="AI102" s="843">
        <f t="shared" si="250"/>
        <v>0</v>
      </c>
      <c r="AJ102" s="843">
        <f t="shared" si="250"/>
        <v>0</v>
      </c>
      <c r="AK102" s="843">
        <f t="shared" si="250"/>
        <v>0</v>
      </c>
      <c r="AL102" s="844">
        <f>AL44-AG44</f>
        <v>0</v>
      </c>
      <c r="AM102" s="843">
        <f t="shared" ref="AM102:AP103" si="251">AM44-AL44</f>
        <v>0</v>
      </c>
      <c r="AN102" s="843">
        <f t="shared" si="251"/>
        <v>0</v>
      </c>
      <c r="AO102" s="843">
        <f t="shared" si="251"/>
        <v>0</v>
      </c>
      <c r="AP102" s="843">
        <f t="shared" si="251"/>
        <v>0</v>
      </c>
      <c r="AQ102" s="844">
        <f>AQ44-AL44</f>
        <v>0</v>
      </c>
      <c r="AR102" s="843">
        <f t="shared" ref="AR102:AT103" si="252">AR44-AQ44</f>
        <v>0</v>
      </c>
      <c r="AS102" s="843">
        <f t="shared" si="252"/>
        <v>0</v>
      </c>
      <c r="AT102" s="843">
        <f t="shared" si="252"/>
        <v>0</v>
      </c>
      <c r="AU102" s="802"/>
      <c r="AV102" s="555"/>
      <c r="AW102" s="555"/>
      <c r="AX102" s="555"/>
      <c r="AY102" s="555"/>
      <c r="AZ102" s="802"/>
      <c r="BA102" s="843">
        <f t="shared" ref="BA102:BD103" si="253">BA44-AZ44</f>
        <v>0</v>
      </c>
      <c r="BB102" s="843">
        <f t="shared" si="253"/>
        <v>0</v>
      </c>
      <c r="BC102" s="843">
        <f t="shared" si="253"/>
        <v>0</v>
      </c>
      <c r="BD102" s="843">
        <f t="shared" si="253"/>
        <v>0</v>
      </c>
      <c r="BE102" s="844">
        <f>BE44-AZ44</f>
        <v>0</v>
      </c>
      <c r="BF102" s="843">
        <f t="shared" ref="BF102:BI103" si="254">BF44-BE44</f>
        <v>0</v>
      </c>
      <c r="BG102" s="843">
        <f t="shared" si="254"/>
        <v>0</v>
      </c>
      <c r="BH102" s="843">
        <f t="shared" si="254"/>
        <v>0</v>
      </c>
      <c r="BI102" s="843">
        <f t="shared" si="254"/>
        <v>0</v>
      </c>
      <c r="BJ102" s="844">
        <f>BJ44-BE44</f>
        <v>0</v>
      </c>
      <c r="BK102" s="843">
        <f t="shared" ref="BK102:BN103" si="255">BK44-BJ44</f>
        <v>0</v>
      </c>
      <c r="BL102" s="843">
        <f t="shared" si="255"/>
        <v>0</v>
      </c>
      <c r="BM102" s="843">
        <f t="shared" si="255"/>
        <v>0</v>
      </c>
      <c r="BN102" s="843">
        <f t="shared" si="255"/>
        <v>0</v>
      </c>
      <c r="BO102" s="844">
        <f>BO44-BJ44</f>
        <v>0</v>
      </c>
      <c r="BP102" s="843">
        <f t="shared" ref="BP102:BS103" si="256">BP44-BO44</f>
        <v>0</v>
      </c>
      <c r="BQ102" s="843">
        <f t="shared" si="256"/>
        <v>0</v>
      </c>
      <c r="BR102" s="843">
        <f t="shared" si="256"/>
        <v>0</v>
      </c>
      <c r="BS102" s="843">
        <f t="shared" si="256"/>
        <v>0</v>
      </c>
      <c r="BT102" s="844">
        <f>BT44-BO44</f>
        <v>0</v>
      </c>
      <c r="BU102" s="843">
        <f t="shared" ref="BU102:BX103" si="257">BU44-BT44</f>
        <v>0</v>
      </c>
      <c r="BV102" s="843">
        <f t="shared" si="257"/>
        <v>0</v>
      </c>
      <c r="BW102" s="843">
        <f t="shared" si="257"/>
        <v>0</v>
      </c>
      <c r="BX102" s="843">
        <f t="shared" si="257"/>
        <v>0</v>
      </c>
      <c r="BY102" s="844">
        <f>BY44-BT44</f>
        <v>0</v>
      </c>
      <c r="BZ102" s="843">
        <f t="shared" ref="BZ102:CC103" si="258">BZ44-BY44</f>
        <v>0</v>
      </c>
      <c r="CA102" s="843">
        <f t="shared" si="258"/>
        <v>0</v>
      </c>
      <c r="CB102" s="843">
        <f t="shared" si="258"/>
        <v>0</v>
      </c>
      <c r="CC102" s="843">
        <f t="shared" si="258"/>
        <v>0</v>
      </c>
      <c r="CD102" s="844">
        <f>CD44-BY44</f>
        <v>0</v>
      </c>
      <c r="CE102" s="843">
        <f t="shared" ref="CE102:CH103" si="259">CE44-CD44</f>
        <v>0</v>
      </c>
      <c r="CF102" s="843">
        <f t="shared" si="259"/>
        <v>0</v>
      </c>
      <c r="CG102" s="843">
        <f t="shared" si="259"/>
        <v>334</v>
      </c>
      <c r="CH102" s="843">
        <f t="shared" si="259"/>
        <v>0</v>
      </c>
      <c r="CI102" s="1004">
        <f t="shared" si="243"/>
        <v>334</v>
      </c>
      <c r="CJ102" s="843">
        <f t="shared" ref="CJ102:CM103" si="260">CJ44-CI44</f>
        <v>0</v>
      </c>
      <c r="CK102" s="843">
        <f t="shared" si="260"/>
        <v>0</v>
      </c>
      <c r="CL102" s="843">
        <f t="shared" si="260"/>
        <v>0</v>
      </c>
      <c r="CM102" s="843">
        <f t="shared" si="260"/>
        <v>0</v>
      </c>
      <c r="CN102" s="844">
        <f>CN44-CI44</f>
        <v>0</v>
      </c>
      <c r="CO102" s="843">
        <f t="shared" ref="CO102:CR103" si="261">CO44-CN44</f>
        <v>0</v>
      </c>
      <c r="CP102" s="843">
        <f t="shared" si="261"/>
        <v>0</v>
      </c>
      <c r="CQ102" s="843">
        <f t="shared" si="261"/>
        <v>0</v>
      </c>
      <c r="CR102" s="843">
        <f t="shared" si="261"/>
        <v>0</v>
      </c>
      <c r="CS102" s="844">
        <f>CS44-CN44</f>
        <v>0</v>
      </c>
      <c r="CT102" s="843">
        <f t="shared" ref="CT102:CW103" si="262">CT44-CS44</f>
        <v>0</v>
      </c>
      <c r="CU102" s="843">
        <f t="shared" si="262"/>
        <v>-289</v>
      </c>
      <c r="CV102" s="843">
        <f t="shared" si="262"/>
        <v>0</v>
      </c>
      <c r="CW102" s="843">
        <f t="shared" si="262"/>
        <v>-45</v>
      </c>
      <c r="CX102" s="844">
        <f>CX44-CS44</f>
        <v>-334</v>
      </c>
      <c r="CY102" s="843">
        <f t="shared" ref="CY102:DB103" si="263">CY44-CX44</f>
        <v>0</v>
      </c>
      <c r="CZ102" s="843">
        <f t="shared" si="263"/>
        <v>0</v>
      </c>
      <c r="DA102" s="843">
        <f t="shared" si="263"/>
        <v>0</v>
      </c>
      <c r="DB102" s="843">
        <f t="shared" si="263"/>
        <v>0</v>
      </c>
      <c r="DC102" s="844">
        <f>DC44-CX44</f>
        <v>0</v>
      </c>
      <c r="DD102" s="843">
        <f t="shared" ref="DD102:DG103" si="264">DD44-DC44</f>
        <v>0</v>
      </c>
      <c r="DE102" s="843">
        <f t="shared" si="264"/>
        <v>0</v>
      </c>
      <c r="DF102" s="843">
        <f t="shared" si="264"/>
        <v>0</v>
      </c>
      <c r="DG102" s="843">
        <f t="shared" si="264"/>
        <v>0</v>
      </c>
      <c r="DH102" s="844">
        <f>DH44-DC44</f>
        <v>0</v>
      </c>
      <c r="DI102" s="843">
        <f t="shared" ref="DI102:DL103" si="265">DI44-DH44</f>
        <v>0</v>
      </c>
      <c r="DJ102" s="843">
        <f t="shared" si="265"/>
        <v>0</v>
      </c>
      <c r="DK102" s="843">
        <f t="shared" si="265"/>
        <v>0</v>
      </c>
      <c r="DL102" s="843">
        <f t="shared" si="265"/>
        <v>0</v>
      </c>
      <c r="DM102" s="844">
        <f>DM44-DH44</f>
        <v>0</v>
      </c>
      <c r="DN102" s="843">
        <f t="shared" ref="DN102:DS103" si="266">DN44-DM44</f>
        <v>0</v>
      </c>
      <c r="DO102" s="843">
        <f t="shared" si="266"/>
        <v>0</v>
      </c>
      <c r="DP102" s="843">
        <f t="shared" si="266"/>
        <v>0</v>
      </c>
      <c r="DQ102" s="843">
        <f t="shared" si="266"/>
        <v>0</v>
      </c>
      <c r="DR102" s="844">
        <f>DR44-DM44</f>
        <v>0</v>
      </c>
      <c r="DS102" s="843">
        <f t="shared" si="266"/>
        <v>0</v>
      </c>
      <c r="DT102" s="843">
        <f t="shared" ref="DT102:DV103" si="267">DT44-DS44</f>
        <v>0</v>
      </c>
      <c r="DU102" s="843">
        <f t="shared" si="267"/>
        <v>0</v>
      </c>
      <c r="DV102" s="843">
        <f t="shared" si="267"/>
        <v>0</v>
      </c>
      <c r="DW102" s="844">
        <f>DW44-DR44</f>
        <v>0</v>
      </c>
      <c r="DX102" s="843">
        <f t="shared" ref="DX102:EA103" si="268">DX44-DW44</f>
        <v>0</v>
      </c>
      <c r="DY102" s="843">
        <f t="shared" si="268"/>
        <v>0</v>
      </c>
      <c r="DZ102" s="843">
        <f t="shared" si="268"/>
        <v>0</v>
      </c>
      <c r="EA102" s="843">
        <f t="shared" si="268"/>
        <v>0</v>
      </c>
      <c r="EB102" s="844">
        <f>EB44-DW44</f>
        <v>0</v>
      </c>
      <c r="EC102" s="843">
        <f t="shared" ref="EC102:EF103" si="269">EC44-EB44</f>
        <v>0</v>
      </c>
      <c r="ED102" s="843">
        <f t="shared" si="269"/>
        <v>0</v>
      </c>
      <c r="EE102" s="843">
        <f t="shared" si="269"/>
        <v>0</v>
      </c>
      <c r="EF102" s="843">
        <f t="shared" si="269"/>
        <v>0</v>
      </c>
      <c r="EG102" s="844">
        <f>EG44-EB44</f>
        <v>0</v>
      </c>
      <c r="EH102" s="843">
        <f t="shared" ref="EH102:EK102" si="270">EH44-EG44</f>
        <v>0</v>
      </c>
      <c r="EI102" s="843">
        <f t="shared" si="270"/>
        <v>0</v>
      </c>
      <c r="EJ102" s="843">
        <f t="shared" si="270"/>
        <v>0</v>
      </c>
      <c r="EK102" s="843">
        <f t="shared" si="270"/>
        <v>0</v>
      </c>
      <c r="EL102" s="844">
        <f>EL44-EG44</f>
        <v>0</v>
      </c>
      <c r="EM102" s="561"/>
      <c r="EN102"/>
      <c r="EO102"/>
      <c r="EP102"/>
      <c r="EQ102"/>
      <c r="ER102"/>
      <c r="ES102"/>
      <c r="ET102" s="141"/>
      <c r="EU102" s="141"/>
      <c r="EV102" s="141"/>
      <c r="EW102" s="141"/>
      <c r="EX102" s="141"/>
      <c r="EY102" s="141"/>
      <c r="EZ102" s="141"/>
      <c r="FA102" s="141"/>
      <c r="FB102" s="141"/>
      <c r="FC102" s="141"/>
      <c r="FD102" s="141"/>
      <c r="FE102" s="141"/>
      <c r="FF102" s="141"/>
      <c r="FG102" s="141"/>
      <c r="FH102" s="141"/>
      <c r="FI102" s="141"/>
      <c r="FJ102" s="141"/>
      <c r="FK102" s="141"/>
      <c r="FL102" s="141"/>
      <c r="FM102" s="141"/>
      <c r="FN102" s="141"/>
      <c r="FO102" s="141"/>
      <c r="FP102" s="141"/>
      <c r="FQ102" s="141"/>
      <c r="FR102" s="141"/>
      <c r="FS102" s="141"/>
      <c r="FT102" s="141"/>
      <c r="FU102" s="141"/>
      <c r="FV102" s="141"/>
      <c r="FW102" s="141"/>
      <c r="FX102" s="141"/>
      <c r="FY102" s="141"/>
      <c r="FZ102" s="141"/>
      <c r="GA102" s="141"/>
      <c r="GB102" s="141"/>
      <c r="GC102" s="141"/>
      <c r="GD102" s="141"/>
      <c r="GE102" s="141"/>
      <c r="GF102" s="141"/>
      <c r="GG102" s="141"/>
      <c r="GH102" s="141"/>
      <c r="GI102" s="141"/>
      <c r="GJ102" s="141"/>
      <c r="GK102" s="141"/>
      <c r="GL102" s="141"/>
      <c r="GM102" s="141"/>
      <c r="GN102" s="141"/>
      <c r="GO102" s="141"/>
      <c r="GP102" s="141"/>
      <c r="GQ102" s="141"/>
      <c r="GR102" s="141"/>
      <c r="GS102" s="141"/>
      <c r="GT102" s="141"/>
      <c r="GU102" s="141"/>
      <c r="GV102" s="141"/>
      <c r="GW102" s="141"/>
      <c r="GX102" s="141"/>
      <c r="GY102" s="141"/>
      <c r="GZ102" s="141"/>
      <c r="HA102" s="141"/>
      <c r="HB102" s="141"/>
      <c r="HC102" s="141"/>
      <c r="HD102" s="141"/>
      <c r="HE102" s="141"/>
      <c r="HF102" s="141"/>
      <c r="HG102" s="141"/>
      <c r="HH102" s="141"/>
      <c r="HI102" s="141"/>
      <c r="HJ102" s="141"/>
      <c r="HK102" s="141"/>
      <c r="HL102" s="141"/>
      <c r="HM102" s="141"/>
      <c r="HN102" s="141"/>
      <c r="HO102" s="141"/>
      <c r="HP102" s="141"/>
      <c r="HQ102" s="141"/>
      <c r="HR102" s="141"/>
      <c r="HS102" s="141"/>
      <c r="HT102" s="141"/>
      <c r="HU102" s="141"/>
      <c r="HV102" s="141"/>
      <c r="HW102" s="141"/>
      <c r="HX102" s="141"/>
      <c r="HY102" s="141"/>
      <c r="HZ102" s="141"/>
      <c r="IA102" s="141"/>
      <c r="IB102" s="141"/>
      <c r="IC102" s="141"/>
      <c r="ID102" s="141"/>
      <c r="IE102" s="141"/>
      <c r="IF102" s="141"/>
      <c r="IG102" s="141"/>
      <c r="IH102" s="141"/>
      <c r="II102" s="141"/>
      <c r="IJ102" s="141"/>
      <c r="IK102" s="141"/>
      <c r="IL102" s="141"/>
      <c r="IM102" s="141"/>
      <c r="IN102" s="141"/>
      <c r="IO102" s="141"/>
      <c r="IP102" s="141"/>
      <c r="IQ102" s="141"/>
      <c r="IR102" s="141"/>
      <c r="IS102" s="141"/>
      <c r="IT102" s="141"/>
      <c r="IU102" s="141"/>
      <c r="IV102" s="141"/>
      <c r="IW102" s="141"/>
      <c r="IX102" s="141"/>
      <c r="IY102" s="141"/>
      <c r="IZ102" s="141"/>
      <c r="JA102" s="141"/>
      <c r="JB102" s="141"/>
      <c r="JC102" s="141"/>
      <c r="JD102" s="141"/>
      <c r="JE102" s="141"/>
      <c r="JF102" s="141"/>
      <c r="JG102" s="141"/>
      <c r="JH102" s="141"/>
    </row>
    <row r="103" spans="1:268" s="142" customFormat="1" ht="12" hidden="1" customHeight="1" outlineLevel="1">
      <c r="A103" s="801"/>
      <c r="B103" s="557" t="s">
        <v>26</v>
      </c>
      <c r="C103" s="898"/>
      <c r="D103" s="898">
        <f>D45-14</f>
        <v>-8.0999999999999517E-2</v>
      </c>
      <c r="E103" s="843">
        <f t="shared" si="244"/>
        <v>-1.9000000000000128E-2</v>
      </c>
      <c r="F103" s="843">
        <f t="shared" si="244"/>
        <v>0</v>
      </c>
      <c r="G103" s="843">
        <f t="shared" si="244"/>
        <v>2.0999999999999996</v>
      </c>
      <c r="H103" s="844">
        <f t="shared" si="242"/>
        <v>2</v>
      </c>
      <c r="I103" s="843">
        <f t="shared" si="245"/>
        <v>0.39999999999999858</v>
      </c>
      <c r="J103" s="843">
        <f t="shared" si="245"/>
        <v>0</v>
      </c>
      <c r="K103" s="843">
        <f t="shared" si="245"/>
        <v>0</v>
      </c>
      <c r="L103" s="843">
        <f t="shared" si="245"/>
        <v>-0.39999999999999858</v>
      </c>
      <c r="M103" s="844">
        <f>M45-H45</f>
        <v>0</v>
      </c>
      <c r="N103" s="843">
        <f t="shared" si="246"/>
        <v>0.39999999999999858</v>
      </c>
      <c r="O103" s="843">
        <f t="shared" si="246"/>
        <v>0.10000000000000142</v>
      </c>
      <c r="P103" s="843">
        <f t="shared" si="246"/>
        <v>6.3000000000000007</v>
      </c>
      <c r="Q103" s="843">
        <f t="shared" si="246"/>
        <v>0.19999999999999929</v>
      </c>
      <c r="R103" s="844">
        <f>R45-M45</f>
        <v>7</v>
      </c>
      <c r="S103" s="843">
        <f t="shared" si="247"/>
        <v>0</v>
      </c>
      <c r="T103" s="843">
        <f t="shared" si="247"/>
        <v>0</v>
      </c>
      <c r="U103" s="843">
        <f t="shared" si="247"/>
        <v>0</v>
      </c>
      <c r="V103" s="843">
        <f t="shared" si="247"/>
        <v>0</v>
      </c>
      <c r="W103" s="844">
        <f>W45-R45</f>
        <v>0</v>
      </c>
      <c r="X103" s="843">
        <f t="shared" si="248"/>
        <v>1</v>
      </c>
      <c r="Y103" s="843">
        <f t="shared" si="248"/>
        <v>0</v>
      </c>
      <c r="Z103" s="843">
        <f t="shared" si="248"/>
        <v>0</v>
      </c>
      <c r="AA103" s="843">
        <f t="shared" si="248"/>
        <v>0</v>
      </c>
      <c r="AB103" s="844">
        <f>AB45-W45</f>
        <v>1</v>
      </c>
      <c r="AC103" s="843">
        <f t="shared" si="249"/>
        <v>0</v>
      </c>
      <c r="AD103" s="843">
        <f t="shared" si="249"/>
        <v>0</v>
      </c>
      <c r="AE103" s="843">
        <f t="shared" si="249"/>
        <v>0</v>
      </c>
      <c r="AF103" s="843">
        <f t="shared" si="249"/>
        <v>0</v>
      </c>
      <c r="AG103" s="844">
        <f>AG45-AB45</f>
        <v>0</v>
      </c>
      <c r="AH103" s="843">
        <f t="shared" si="250"/>
        <v>0</v>
      </c>
      <c r="AI103" s="843">
        <f t="shared" si="250"/>
        <v>0</v>
      </c>
      <c r="AJ103" s="843">
        <f t="shared" si="250"/>
        <v>1</v>
      </c>
      <c r="AK103" s="843">
        <f t="shared" si="250"/>
        <v>0</v>
      </c>
      <c r="AL103" s="844">
        <f>AL45-AG45</f>
        <v>1</v>
      </c>
      <c r="AM103" s="843">
        <f t="shared" si="251"/>
        <v>0</v>
      </c>
      <c r="AN103" s="843">
        <f t="shared" si="251"/>
        <v>0</v>
      </c>
      <c r="AO103" s="843">
        <f t="shared" si="251"/>
        <v>0</v>
      </c>
      <c r="AP103" s="843">
        <f t="shared" si="251"/>
        <v>1</v>
      </c>
      <c r="AQ103" s="844">
        <f>AQ45-AL45</f>
        <v>1</v>
      </c>
      <c r="AR103" s="843">
        <f t="shared" si="252"/>
        <v>-26</v>
      </c>
      <c r="AS103" s="843">
        <f t="shared" si="252"/>
        <v>0</v>
      </c>
      <c r="AT103" s="843">
        <f t="shared" si="252"/>
        <v>0</v>
      </c>
      <c r="AU103" s="802"/>
      <c r="AV103" s="555"/>
      <c r="AW103" s="555"/>
      <c r="AX103" s="555"/>
      <c r="AY103" s="555"/>
      <c r="AZ103" s="802"/>
      <c r="BA103" s="843">
        <f t="shared" si="253"/>
        <v>-26</v>
      </c>
      <c r="BB103" s="843">
        <f t="shared" si="253"/>
        <v>0</v>
      </c>
      <c r="BC103" s="843">
        <f t="shared" si="253"/>
        <v>0</v>
      </c>
      <c r="BD103" s="843">
        <f t="shared" si="253"/>
        <v>26</v>
      </c>
      <c r="BE103" s="844">
        <f>BE45-AZ45</f>
        <v>0</v>
      </c>
      <c r="BF103" s="843">
        <f t="shared" si="254"/>
        <v>-26</v>
      </c>
      <c r="BG103" s="843">
        <f t="shared" si="254"/>
        <v>0</v>
      </c>
      <c r="BH103" s="843">
        <f t="shared" si="254"/>
        <v>0</v>
      </c>
      <c r="BI103" s="843">
        <f t="shared" si="254"/>
        <v>26</v>
      </c>
      <c r="BJ103" s="844">
        <f>BJ45-BE45</f>
        <v>0</v>
      </c>
      <c r="BK103" s="843">
        <f t="shared" si="255"/>
        <v>0</v>
      </c>
      <c r="BL103" s="843">
        <f t="shared" si="255"/>
        <v>0</v>
      </c>
      <c r="BM103" s="843">
        <f t="shared" si="255"/>
        <v>0</v>
      </c>
      <c r="BN103" s="843">
        <f t="shared" si="255"/>
        <v>0</v>
      </c>
      <c r="BO103" s="844">
        <f>BO45-BJ45</f>
        <v>0</v>
      </c>
      <c r="BP103" s="843">
        <f t="shared" si="256"/>
        <v>0</v>
      </c>
      <c r="BQ103" s="843">
        <f t="shared" si="256"/>
        <v>0</v>
      </c>
      <c r="BR103" s="843">
        <f t="shared" si="256"/>
        <v>0</v>
      </c>
      <c r="BS103" s="843">
        <f t="shared" si="256"/>
        <v>0</v>
      </c>
      <c r="BT103" s="844">
        <f>BT45-BO45</f>
        <v>0</v>
      </c>
      <c r="BU103" s="843">
        <f t="shared" si="257"/>
        <v>0</v>
      </c>
      <c r="BV103" s="843">
        <f t="shared" si="257"/>
        <v>0</v>
      </c>
      <c r="BW103" s="843">
        <f t="shared" si="257"/>
        <v>0</v>
      </c>
      <c r="BX103" s="843">
        <f t="shared" si="257"/>
        <v>0</v>
      </c>
      <c r="BY103" s="844">
        <f>BY45-BT45</f>
        <v>0</v>
      </c>
      <c r="BZ103" s="843">
        <f t="shared" si="258"/>
        <v>1</v>
      </c>
      <c r="CA103" s="843">
        <f t="shared" si="258"/>
        <v>-1</v>
      </c>
      <c r="CB103" s="843">
        <f t="shared" si="258"/>
        <v>0</v>
      </c>
      <c r="CC103" s="843">
        <f t="shared" si="258"/>
        <v>0</v>
      </c>
      <c r="CD103" s="844">
        <f>CD45-BY45</f>
        <v>0</v>
      </c>
      <c r="CE103" s="843">
        <f t="shared" si="259"/>
        <v>0</v>
      </c>
      <c r="CF103" s="843">
        <f t="shared" si="259"/>
        <v>0</v>
      </c>
      <c r="CG103" s="843">
        <f t="shared" si="259"/>
        <v>0</v>
      </c>
      <c r="CH103" s="843">
        <f t="shared" si="259"/>
        <v>1</v>
      </c>
      <c r="CI103" s="1004">
        <f t="shared" si="243"/>
        <v>1</v>
      </c>
      <c r="CJ103" s="843">
        <f t="shared" si="260"/>
        <v>0</v>
      </c>
      <c r="CK103" s="843">
        <f t="shared" si="260"/>
        <v>0</v>
      </c>
      <c r="CL103" s="843">
        <f t="shared" si="260"/>
        <v>0</v>
      </c>
      <c r="CM103" s="843">
        <f t="shared" si="260"/>
        <v>0</v>
      </c>
      <c r="CN103" s="844">
        <f>CN45-CI45</f>
        <v>0</v>
      </c>
      <c r="CO103" s="843">
        <f t="shared" si="261"/>
        <v>0</v>
      </c>
      <c r="CP103" s="843">
        <f t="shared" si="261"/>
        <v>0</v>
      </c>
      <c r="CQ103" s="843">
        <f t="shared" si="261"/>
        <v>0</v>
      </c>
      <c r="CR103" s="843">
        <f t="shared" si="261"/>
        <v>0</v>
      </c>
      <c r="CS103" s="844">
        <f>CS45-CN45</f>
        <v>0</v>
      </c>
      <c r="CT103" s="843">
        <f t="shared" si="262"/>
        <v>0</v>
      </c>
      <c r="CU103" s="843">
        <f t="shared" si="262"/>
        <v>0</v>
      </c>
      <c r="CV103" s="843">
        <f t="shared" si="262"/>
        <v>-20</v>
      </c>
      <c r="CW103" s="843">
        <f t="shared" si="262"/>
        <v>0</v>
      </c>
      <c r="CX103" s="844">
        <f>CX45-CS45</f>
        <v>-20</v>
      </c>
      <c r="CY103" s="843">
        <f t="shared" si="263"/>
        <v>0</v>
      </c>
      <c r="CZ103" s="843">
        <f t="shared" si="263"/>
        <v>0</v>
      </c>
      <c r="DA103" s="843">
        <f t="shared" si="263"/>
        <v>0</v>
      </c>
      <c r="DB103" s="843">
        <f t="shared" si="263"/>
        <v>0</v>
      </c>
      <c r="DC103" s="844">
        <f>DC45-CX45</f>
        <v>0</v>
      </c>
      <c r="DD103" s="843">
        <f t="shared" si="264"/>
        <v>0</v>
      </c>
      <c r="DE103" s="843">
        <f t="shared" si="264"/>
        <v>0</v>
      </c>
      <c r="DF103" s="843">
        <f t="shared" si="264"/>
        <v>0</v>
      </c>
      <c r="DG103" s="843">
        <f t="shared" si="264"/>
        <v>0</v>
      </c>
      <c r="DH103" s="844">
        <f>DH45-DC45</f>
        <v>0</v>
      </c>
      <c r="DI103" s="843">
        <f t="shared" si="265"/>
        <v>0</v>
      </c>
      <c r="DJ103" s="843">
        <f t="shared" si="265"/>
        <v>0</v>
      </c>
      <c r="DK103" s="843">
        <f t="shared" si="265"/>
        <v>0</v>
      </c>
      <c r="DL103" s="843">
        <f t="shared" si="265"/>
        <v>0</v>
      </c>
      <c r="DM103" s="844">
        <f>DM45-DH45</f>
        <v>0</v>
      </c>
      <c r="DN103" s="843">
        <f t="shared" si="266"/>
        <v>0</v>
      </c>
      <c r="DO103" s="843">
        <f t="shared" si="266"/>
        <v>0</v>
      </c>
      <c r="DP103" s="843">
        <f t="shared" si="266"/>
        <v>0</v>
      </c>
      <c r="DQ103" s="843">
        <f t="shared" si="266"/>
        <v>0</v>
      </c>
      <c r="DR103" s="844">
        <f>DR45-DM45</f>
        <v>0</v>
      </c>
      <c r="DS103" s="843">
        <f t="shared" si="266"/>
        <v>0</v>
      </c>
      <c r="DT103" s="843">
        <f t="shared" si="267"/>
        <v>0</v>
      </c>
      <c r="DU103" s="843">
        <f t="shared" si="267"/>
        <v>0</v>
      </c>
      <c r="DV103" s="843">
        <f t="shared" si="267"/>
        <v>0</v>
      </c>
      <c r="DW103" s="844">
        <f>DW45-DR45</f>
        <v>0</v>
      </c>
      <c r="DX103" s="843">
        <f t="shared" si="268"/>
        <v>0</v>
      </c>
      <c r="DY103" s="843">
        <f t="shared" si="268"/>
        <v>0</v>
      </c>
      <c r="DZ103" s="843">
        <f t="shared" si="268"/>
        <v>0</v>
      </c>
      <c r="EA103" s="843">
        <f t="shared" si="268"/>
        <v>0</v>
      </c>
      <c r="EB103" s="844">
        <f>EB45-DW45</f>
        <v>0</v>
      </c>
      <c r="EC103" s="843">
        <f t="shared" si="269"/>
        <v>0</v>
      </c>
      <c r="ED103" s="843">
        <f t="shared" si="269"/>
        <v>0</v>
      </c>
      <c r="EE103" s="843">
        <f t="shared" si="269"/>
        <v>0</v>
      </c>
      <c r="EF103" s="843">
        <f t="shared" si="269"/>
        <v>0</v>
      </c>
      <c r="EG103" s="844">
        <f>EG45-EB45</f>
        <v>0</v>
      </c>
      <c r="EH103" s="843">
        <f t="shared" ref="EH103:EK103" si="271">EH45-EG45</f>
        <v>0</v>
      </c>
      <c r="EI103" s="843">
        <f t="shared" si="271"/>
        <v>0</v>
      </c>
      <c r="EJ103" s="843">
        <f t="shared" si="271"/>
        <v>0</v>
      </c>
      <c r="EK103" s="843">
        <f t="shared" si="271"/>
        <v>0</v>
      </c>
      <c r="EL103" s="844">
        <f>EL45-EG45</f>
        <v>0</v>
      </c>
      <c r="EM103" s="561"/>
      <c r="EN103"/>
      <c r="EO103"/>
      <c r="EP103"/>
      <c r="EQ103"/>
      <c r="ER103"/>
      <c r="ES103"/>
      <c r="ET103" s="141"/>
      <c r="EU103" s="141"/>
      <c r="EV103" s="141"/>
      <c r="EW103" s="141"/>
      <c r="EX103" s="141"/>
      <c r="EY103" s="141"/>
      <c r="EZ103" s="141"/>
      <c r="FA103" s="141"/>
      <c r="FB103" s="141"/>
      <c r="FC103" s="141"/>
      <c r="FD103" s="141"/>
      <c r="FE103" s="141"/>
      <c r="FF103" s="141"/>
      <c r="FG103" s="141"/>
      <c r="FH103" s="141"/>
      <c r="FI103" s="141"/>
      <c r="FJ103" s="141"/>
      <c r="FK103" s="141"/>
      <c r="FL103" s="141"/>
      <c r="FM103" s="141"/>
      <c r="FN103" s="141"/>
      <c r="FO103" s="141"/>
      <c r="FP103" s="141"/>
      <c r="FQ103" s="141"/>
      <c r="FR103" s="141"/>
      <c r="FS103" s="141"/>
      <c r="FT103" s="141"/>
      <c r="FU103" s="141"/>
      <c r="FV103" s="141"/>
      <c r="FW103" s="141"/>
      <c r="FX103" s="141"/>
      <c r="FY103" s="141"/>
      <c r="FZ103" s="141"/>
      <c r="GA103" s="141"/>
      <c r="GB103" s="141"/>
      <c r="GC103" s="141"/>
      <c r="GD103" s="141"/>
      <c r="GE103" s="141"/>
      <c r="GF103" s="141"/>
      <c r="GG103" s="141"/>
      <c r="GH103" s="141"/>
      <c r="GI103" s="141"/>
      <c r="GJ103" s="141"/>
      <c r="GK103" s="141"/>
      <c r="GL103" s="141"/>
      <c r="GM103" s="141"/>
      <c r="GN103" s="141"/>
      <c r="GO103" s="141"/>
      <c r="GP103" s="141"/>
      <c r="GQ103" s="141"/>
      <c r="GR103" s="141"/>
      <c r="GS103" s="141"/>
      <c r="GT103" s="141"/>
      <c r="GU103" s="141"/>
      <c r="GV103" s="141"/>
      <c r="GW103" s="141"/>
      <c r="GX103" s="141"/>
      <c r="GY103" s="141"/>
      <c r="GZ103" s="141"/>
      <c r="HA103" s="141"/>
      <c r="HB103" s="141"/>
      <c r="HC103" s="141"/>
      <c r="HD103" s="141"/>
      <c r="HE103" s="141"/>
      <c r="HF103" s="141"/>
      <c r="HG103" s="141"/>
      <c r="HH103" s="141"/>
      <c r="HI103" s="141"/>
      <c r="HJ103" s="141"/>
      <c r="HK103" s="141"/>
      <c r="HL103" s="141"/>
      <c r="HM103" s="141"/>
      <c r="HN103" s="141"/>
      <c r="HO103" s="141"/>
      <c r="HP103" s="141"/>
      <c r="HQ103" s="141"/>
      <c r="HR103" s="141"/>
      <c r="HS103" s="141"/>
      <c r="HT103" s="141"/>
      <c r="HU103" s="141"/>
      <c r="HV103" s="141"/>
      <c r="HW103" s="141"/>
      <c r="HX103" s="141"/>
      <c r="HY103" s="141"/>
      <c r="HZ103" s="141"/>
      <c r="IA103" s="141"/>
      <c r="IB103" s="141"/>
      <c r="IC103" s="141"/>
      <c r="ID103" s="141"/>
      <c r="IE103" s="141"/>
      <c r="IF103" s="141"/>
      <c r="IG103" s="141"/>
      <c r="IH103" s="141"/>
      <c r="II103" s="141"/>
      <c r="IJ103" s="141"/>
      <c r="IK103" s="141"/>
      <c r="IL103" s="141"/>
      <c r="IM103" s="141"/>
      <c r="IN103" s="141"/>
      <c r="IO103" s="141"/>
      <c r="IP103" s="141"/>
      <c r="IQ103" s="141"/>
      <c r="IR103" s="141"/>
      <c r="IS103" s="141"/>
      <c r="IT103" s="141"/>
      <c r="IU103" s="141"/>
      <c r="IV103" s="141"/>
      <c r="IW103" s="141"/>
      <c r="IX103" s="141"/>
      <c r="IY103" s="141"/>
      <c r="IZ103" s="141"/>
      <c r="JA103" s="141"/>
      <c r="JB103" s="141"/>
      <c r="JC103" s="141"/>
      <c r="JD103" s="141"/>
      <c r="JE103" s="141"/>
      <c r="JF103" s="141"/>
      <c r="JG103" s="141"/>
      <c r="JH103" s="141"/>
    </row>
    <row r="104" spans="1:268" s="142" customFormat="1" ht="12" hidden="1" customHeight="1" outlineLevel="1">
      <c r="A104" s="801"/>
      <c r="B104" s="557" t="s">
        <v>27</v>
      </c>
      <c r="C104" s="898"/>
      <c r="D104" s="898">
        <f>D49+282</f>
        <v>2.625</v>
      </c>
      <c r="E104" s="843">
        <f>E49-D49</f>
        <v>1.2749999999999773</v>
      </c>
      <c r="F104" s="843">
        <f>F49-E49</f>
        <v>1.9000000000000341</v>
      </c>
      <c r="G104" s="843">
        <f>G49-F49</f>
        <v>4.1999999999999886</v>
      </c>
      <c r="H104" s="844">
        <f t="shared" si="242"/>
        <v>10</v>
      </c>
      <c r="I104" s="843">
        <f>I49-H49</f>
        <v>2</v>
      </c>
      <c r="J104" s="843">
        <f>J49-I49</f>
        <v>50.699999999999989</v>
      </c>
      <c r="K104" s="843">
        <f>K49-J49</f>
        <v>160.80000000000001</v>
      </c>
      <c r="L104" s="843">
        <f>L49-K49</f>
        <v>18.5</v>
      </c>
      <c r="M104" s="844">
        <f>M49-H49</f>
        <v>232</v>
      </c>
      <c r="N104" s="843">
        <f>N49-M49</f>
        <v>1.2999999999999972</v>
      </c>
      <c r="O104" s="843">
        <f>O49-N49</f>
        <v>0</v>
      </c>
      <c r="P104" s="843">
        <f>P49-O49</f>
        <v>0</v>
      </c>
      <c r="Q104" s="843">
        <f>Q49-P49</f>
        <v>-0.29999999999999716</v>
      </c>
      <c r="R104" s="844">
        <f>R49-M49</f>
        <v>1</v>
      </c>
      <c r="S104" s="843">
        <f>S49-R49</f>
        <v>-31</v>
      </c>
      <c r="T104" s="843">
        <f>T49-S49</f>
        <v>0</v>
      </c>
      <c r="U104" s="843">
        <f>U49-T49</f>
        <v>0</v>
      </c>
      <c r="V104" s="843">
        <f>V49-U49</f>
        <v>0</v>
      </c>
      <c r="W104" s="844">
        <f>W49-R49</f>
        <v>-31</v>
      </c>
      <c r="X104" s="843">
        <f>X49-W49</f>
        <v>0</v>
      </c>
      <c r="Y104" s="843">
        <f>Y49-X49</f>
        <v>0</v>
      </c>
      <c r="Z104" s="843">
        <f>Z49-Y49</f>
        <v>0</v>
      </c>
      <c r="AA104" s="843">
        <f>AA49-Z49</f>
        <v>0</v>
      </c>
      <c r="AB104" s="844">
        <f>AB49-W49</f>
        <v>0</v>
      </c>
      <c r="AC104" s="843">
        <f>AC49-AB49</f>
        <v>0</v>
      </c>
      <c r="AD104" s="843">
        <f>AD49-AC49</f>
        <v>0</v>
      </c>
      <c r="AE104" s="843">
        <f>AE49-AD49</f>
        <v>0</v>
      </c>
      <c r="AF104" s="843">
        <f>AF49-AE49</f>
        <v>0</v>
      </c>
      <c r="AG104" s="844">
        <f>AG49-AB49</f>
        <v>0</v>
      </c>
      <c r="AH104" s="843">
        <f>AH49-AG49</f>
        <v>0</v>
      </c>
      <c r="AI104" s="843">
        <f>AI49-AH49</f>
        <v>0</v>
      </c>
      <c r="AJ104" s="843">
        <f>AJ49-AI49</f>
        <v>0</v>
      </c>
      <c r="AK104" s="843">
        <f>AK49-AJ49</f>
        <v>0</v>
      </c>
      <c r="AL104" s="844">
        <f>AL49-AG49</f>
        <v>0</v>
      </c>
      <c r="AM104" s="843">
        <f>AM49-AL49</f>
        <v>-94</v>
      </c>
      <c r="AN104" s="843">
        <f>AN49-AM49</f>
        <v>-93</v>
      </c>
      <c r="AO104" s="843">
        <f>AO49-AN49</f>
        <v>-293</v>
      </c>
      <c r="AP104" s="843">
        <f>AP49-AO49</f>
        <v>-235</v>
      </c>
      <c r="AQ104" s="844">
        <f>AQ49-AL49</f>
        <v>-715</v>
      </c>
      <c r="AR104" s="843">
        <f>AR49-AQ49</f>
        <v>-119</v>
      </c>
      <c r="AS104" s="843">
        <f>AS49-AR49</f>
        <v>-381</v>
      </c>
      <c r="AT104" s="843">
        <f>AT49-AS49</f>
        <v>-110</v>
      </c>
      <c r="AU104" s="802"/>
      <c r="AV104" s="555"/>
      <c r="AW104" s="555"/>
      <c r="AX104" s="555"/>
      <c r="AY104" s="555"/>
      <c r="AZ104" s="802"/>
      <c r="BA104" s="843">
        <f>BA49-AZ49</f>
        <v>-110</v>
      </c>
      <c r="BB104" s="843">
        <f>BB49-BA49</f>
        <v>-98</v>
      </c>
      <c r="BC104" s="843">
        <f>BC49-BB49</f>
        <v>2</v>
      </c>
      <c r="BD104" s="843">
        <f>BD49-BC49</f>
        <v>0</v>
      </c>
      <c r="BE104" s="844">
        <f>BE49-AZ49</f>
        <v>-206</v>
      </c>
      <c r="BF104" s="843">
        <f>BF49-BE49</f>
        <v>0</v>
      </c>
      <c r="BG104" s="843">
        <f>BG49-BF49</f>
        <v>0</v>
      </c>
      <c r="BH104" s="843">
        <f>BH49-BG49</f>
        <v>1</v>
      </c>
      <c r="BI104" s="843">
        <f>BI49-BH49</f>
        <v>8</v>
      </c>
      <c r="BJ104" s="844">
        <f>BJ49-BE49</f>
        <v>9</v>
      </c>
      <c r="BK104" s="843">
        <f>BK49-BJ49</f>
        <v>1</v>
      </c>
      <c r="BL104" s="843">
        <f>BL49-BK49</f>
        <v>2</v>
      </c>
      <c r="BM104" s="843">
        <f>BM49-BL49</f>
        <v>-1</v>
      </c>
      <c r="BN104" s="843">
        <f>BN49-BM49</f>
        <v>1</v>
      </c>
      <c r="BO104" s="844">
        <f>BO49-BJ49</f>
        <v>3</v>
      </c>
      <c r="BP104" s="843">
        <f>BP49-BO49</f>
        <v>0</v>
      </c>
      <c r="BQ104" s="843">
        <f>BQ49-BP49</f>
        <v>0</v>
      </c>
      <c r="BR104" s="843">
        <f>BR49-BQ49</f>
        <v>0</v>
      </c>
      <c r="BS104" s="843">
        <f>BS49-BR49</f>
        <v>0</v>
      </c>
      <c r="BT104" s="844">
        <f>BT49-BO49</f>
        <v>0</v>
      </c>
      <c r="BU104" s="843">
        <f>BU49-BT49</f>
        <v>0</v>
      </c>
      <c r="BV104" s="843">
        <f>BV49-BU49</f>
        <v>0</v>
      </c>
      <c r="BW104" s="843">
        <f>BW49-BV49</f>
        <v>0</v>
      </c>
      <c r="BX104" s="843">
        <f>BX49-BW49</f>
        <v>0</v>
      </c>
      <c r="BY104" s="844">
        <f>BY49-BT49</f>
        <v>0</v>
      </c>
      <c r="BZ104" s="843">
        <f>BZ49-BY49</f>
        <v>0</v>
      </c>
      <c r="CA104" s="843">
        <f>CA49-BZ49</f>
        <v>0</v>
      </c>
      <c r="CB104" s="843">
        <f>CB49-CA49</f>
        <v>0</v>
      </c>
      <c r="CC104" s="843">
        <f>CC49-CB49</f>
        <v>0</v>
      </c>
      <c r="CD104" s="844">
        <f>CD49-BY49</f>
        <v>0</v>
      </c>
      <c r="CE104" s="843">
        <f>CE49-CD49</f>
        <v>2</v>
      </c>
      <c r="CF104" s="843">
        <f>CF49-CE49</f>
        <v>0</v>
      </c>
      <c r="CG104" s="843">
        <f>CG49-CF49</f>
        <v>-2</v>
      </c>
      <c r="CH104" s="843">
        <f>CH49-CG49</f>
        <v>0</v>
      </c>
      <c r="CI104" s="1004">
        <f t="shared" si="243"/>
        <v>0</v>
      </c>
      <c r="CJ104" s="843">
        <f>CJ49-CI49</f>
        <v>0</v>
      </c>
      <c r="CK104" s="843">
        <f>CK49-CJ49</f>
        <v>0</v>
      </c>
      <c r="CL104" s="843">
        <f>CL49-CK49</f>
        <v>0</v>
      </c>
      <c r="CM104" s="843">
        <f>CM49-CL49</f>
        <v>0</v>
      </c>
      <c r="CN104" s="844">
        <f>CN49-CI49</f>
        <v>0</v>
      </c>
      <c r="CO104" s="843">
        <f>CO49-CN49</f>
        <v>0</v>
      </c>
      <c r="CP104" s="843">
        <f>CP49-CO49</f>
        <v>-72</v>
      </c>
      <c r="CQ104" s="843">
        <f>CQ49-CP49</f>
        <v>-124</v>
      </c>
      <c r="CR104" s="843">
        <f>CR49-CQ49</f>
        <v>-178</v>
      </c>
      <c r="CS104" s="844">
        <f>CS49-CN49</f>
        <v>-374</v>
      </c>
      <c r="CT104" s="843">
        <f>CT49-CS49</f>
        <v>-26</v>
      </c>
      <c r="CU104" s="843">
        <f>CU49-CT49</f>
        <v>0</v>
      </c>
      <c r="CV104" s="843">
        <f>CV49-CU49</f>
        <v>0</v>
      </c>
      <c r="CW104" s="843">
        <f>CW49-CV49</f>
        <v>-100</v>
      </c>
      <c r="CX104" s="844">
        <f>CX49-CS49</f>
        <v>-126</v>
      </c>
      <c r="CY104" s="843">
        <f>CY49-CX49</f>
        <v>-99</v>
      </c>
      <c r="CZ104" s="843">
        <f>CZ49-CY49</f>
        <v>-92</v>
      </c>
      <c r="DA104" s="843">
        <f>DA49-CZ49</f>
        <v>-108</v>
      </c>
      <c r="DB104" s="843">
        <f>DB49-DA49</f>
        <v>-100</v>
      </c>
      <c r="DC104" s="844">
        <f>DC49-CX49</f>
        <v>-399</v>
      </c>
      <c r="DD104" s="843">
        <f>DD49-DC49</f>
        <v>0</v>
      </c>
      <c r="DE104" s="843">
        <f>DE49-DD49</f>
        <v>0</v>
      </c>
      <c r="DF104" s="843">
        <f>DF49-DE49</f>
        <v>0</v>
      </c>
      <c r="DG104" s="843">
        <f>DG49-DF49</f>
        <v>0</v>
      </c>
      <c r="DH104" s="844">
        <f>DH49-DC49</f>
        <v>0</v>
      </c>
      <c r="DI104" s="843">
        <f>DI49-DH49</f>
        <v>1</v>
      </c>
      <c r="DJ104" s="843">
        <f>DJ49-DI49</f>
        <v>0</v>
      </c>
      <c r="DK104" s="843">
        <f>DK49-DJ49</f>
        <v>0</v>
      </c>
      <c r="DL104" s="843">
        <f>DL49-DK49</f>
        <v>-40</v>
      </c>
      <c r="DM104" s="844">
        <f>DM49-DH49</f>
        <v>-39</v>
      </c>
      <c r="DN104" s="843">
        <f>DN49-DM49</f>
        <v>0</v>
      </c>
      <c r="DO104" s="843">
        <f>DO49-DN49</f>
        <v>0</v>
      </c>
      <c r="DP104" s="843">
        <f>DP49-DO49</f>
        <v>0</v>
      </c>
      <c r="DQ104" s="843">
        <f>DQ49-DP49</f>
        <v>0</v>
      </c>
      <c r="DR104" s="844">
        <f>DR49-DM49</f>
        <v>0</v>
      </c>
      <c r="DS104" s="843">
        <f>DS49-DR49</f>
        <v>0</v>
      </c>
      <c r="DT104" s="843">
        <f>DT49-DS49</f>
        <v>0</v>
      </c>
      <c r="DU104" s="843">
        <f>DU49-DT49</f>
        <v>-2</v>
      </c>
      <c r="DV104" s="843">
        <f>DV49-DU49</f>
        <v>0</v>
      </c>
      <c r="DW104" s="844">
        <f>DW49-DR49</f>
        <v>-2</v>
      </c>
      <c r="DX104" s="843">
        <f>DX49-DW49</f>
        <v>0</v>
      </c>
      <c r="DY104" s="843">
        <f>DY49-DX49</f>
        <v>0</v>
      </c>
      <c r="DZ104" s="843">
        <f>DZ49-DY49</f>
        <v>0</v>
      </c>
      <c r="EA104" s="843">
        <f>EA49-DZ49</f>
        <v>0</v>
      </c>
      <c r="EB104" s="844">
        <f>EB49-DW49</f>
        <v>0</v>
      </c>
      <c r="EC104" s="843">
        <f>EC49-EB49</f>
        <v>0</v>
      </c>
      <c r="ED104" s="843">
        <f>ED49-EC49</f>
        <v>0</v>
      </c>
      <c r="EE104" s="843">
        <f>EE49-ED49</f>
        <v>0</v>
      </c>
      <c r="EF104" s="843">
        <f>EF49-EE49</f>
        <v>0</v>
      </c>
      <c r="EG104" s="844">
        <f>EG49-EB49</f>
        <v>0</v>
      </c>
      <c r="EH104" s="843">
        <f>EH49-EG49</f>
        <v>0</v>
      </c>
      <c r="EI104" s="843">
        <f>EI49-EH49</f>
        <v>0</v>
      </c>
      <c r="EJ104" s="843">
        <f>EJ49-EI49</f>
        <v>0</v>
      </c>
      <c r="EK104" s="843">
        <f>EK49-EJ49</f>
        <v>0</v>
      </c>
      <c r="EL104" s="844">
        <f>EL49-EG49</f>
        <v>0</v>
      </c>
      <c r="EM104" s="561"/>
      <c r="EN104"/>
      <c r="EO104"/>
      <c r="EP104"/>
      <c r="EQ104"/>
      <c r="ER104"/>
      <c r="ES104"/>
      <c r="ET104" s="141"/>
      <c r="EU104" s="141"/>
      <c r="EV104" s="141"/>
      <c r="EW104" s="141"/>
      <c r="EX104" s="141"/>
      <c r="EY104" s="141"/>
      <c r="EZ104" s="141"/>
      <c r="FA104" s="141"/>
      <c r="FB104" s="141"/>
      <c r="FC104" s="141"/>
      <c r="FD104" s="141"/>
      <c r="FE104" s="141"/>
      <c r="FF104" s="141"/>
      <c r="FG104" s="141"/>
      <c r="FH104" s="141"/>
      <c r="FI104" s="141"/>
      <c r="FJ104" s="141"/>
      <c r="FK104" s="141"/>
      <c r="FL104" s="141"/>
      <c r="FM104" s="141"/>
      <c r="FN104" s="141"/>
      <c r="FO104" s="141"/>
      <c r="FP104" s="141"/>
      <c r="FQ104" s="141"/>
      <c r="FR104" s="141"/>
      <c r="FS104" s="141"/>
      <c r="FT104" s="141"/>
      <c r="FU104" s="141"/>
      <c r="FV104" s="141"/>
      <c r="FW104" s="141"/>
      <c r="FX104" s="141"/>
      <c r="FY104" s="141"/>
      <c r="FZ104" s="141"/>
      <c r="GA104" s="141"/>
      <c r="GB104" s="141"/>
      <c r="GC104" s="141"/>
      <c r="GD104" s="141"/>
      <c r="GE104" s="141"/>
      <c r="GF104" s="141"/>
      <c r="GG104" s="141"/>
      <c r="GH104" s="141"/>
      <c r="GI104" s="141"/>
      <c r="GJ104" s="141"/>
      <c r="GK104" s="141"/>
      <c r="GL104" s="141"/>
      <c r="GM104" s="141"/>
      <c r="GN104" s="141"/>
      <c r="GO104" s="141"/>
      <c r="GP104" s="141"/>
      <c r="GQ104" s="141"/>
      <c r="GR104" s="141"/>
      <c r="GS104" s="141"/>
      <c r="GT104" s="141"/>
      <c r="GU104" s="141"/>
      <c r="GV104" s="141"/>
      <c r="GW104" s="141"/>
      <c r="GX104" s="141"/>
      <c r="GY104" s="141"/>
      <c r="GZ104" s="141"/>
      <c r="HA104" s="141"/>
      <c r="HB104" s="141"/>
      <c r="HC104" s="141"/>
      <c r="HD104" s="141"/>
      <c r="HE104" s="141"/>
      <c r="HF104" s="141"/>
      <c r="HG104" s="141"/>
      <c r="HH104" s="141"/>
      <c r="HI104" s="141"/>
      <c r="HJ104" s="141"/>
      <c r="HK104" s="141"/>
      <c r="HL104" s="141"/>
      <c r="HM104" s="141"/>
      <c r="HN104" s="141"/>
      <c r="HO104" s="141"/>
      <c r="HP104" s="141"/>
      <c r="HQ104" s="141"/>
      <c r="HR104" s="141"/>
      <c r="HS104" s="141"/>
      <c r="HT104" s="141"/>
      <c r="HU104" s="141"/>
      <c r="HV104" s="141"/>
      <c r="HW104" s="141"/>
      <c r="HX104" s="141"/>
      <c r="HY104" s="141"/>
      <c r="HZ104" s="141"/>
      <c r="IA104" s="141"/>
      <c r="IB104" s="141"/>
      <c r="IC104" s="141"/>
      <c r="ID104" s="141"/>
      <c r="IE104" s="141"/>
      <c r="IF104" s="141"/>
      <c r="IG104" s="141"/>
      <c r="IH104" s="141"/>
      <c r="II104" s="141"/>
      <c r="IJ104" s="141"/>
      <c r="IK104" s="141"/>
      <c r="IL104" s="141"/>
      <c r="IM104" s="141"/>
      <c r="IN104" s="141"/>
      <c r="IO104" s="141"/>
      <c r="IP104" s="141"/>
      <c r="IQ104" s="141"/>
      <c r="IR104" s="141"/>
      <c r="IS104" s="141"/>
      <c r="IT104" s="141"/>
      <c r="IU104" s="141"/>
      <c r="IV104" s="141"/>
      <c r="IW104" s="141"/>
      <c r="IX104" s="141"/>
      <c r="IY104" s="141"/>
      <c r="IZ104" s="141"/>
      <c r="JA104" s="141"/>
      <c r="JB104" s="141"/>
      <c r="JC104" s="141"/>
      <c r="JD104" s="141"/>
      <c r="JE104" s="141"/>
      <c r="JF104" s="141"/>
      <c r="JG104" s="141"/>
      <c r="JH104" s="141"/>
    </row>
    <row r="105" spans="1:268" s="142" customFormat="1" ht="12" hidden="1" customHeight="1" outlineLevel="1">
      <c r="A105" s="872"/>
      <c r="B105" s="873" t="s">
        <v>28</v>
      </c>
      <c r="C105" s="898"/>
      <c r="D105" s="898">
        <f>D46-1013</f>
        <v>640.61999999999989</v>
      </c>
      <c r="E105" s="843">
        <f t="shared" ref="E105:G106" si="272">E46-D46</f>
        <v>45.180000000000064</v>
      </c>
      <c r="F105" s="843">
        <f t="shared" si="272"/>
        <v>48.5</v>
      </c>
      <c r="G105" s="843">
        <f t="shared" si="272"/>
        <v>-245.29999999999995</v>
      </c>
      <c r="H105" s="844">
        <f t="shared" si="242"/>
        <v>489</v>
      </c>
      <c r="I105" s="843">
        <f t="shared" ref="I105:L106" si="273">I46-H46</f>
        <v>857.5</v>
      </c>
      <c r="J105" s="843">
        <f t="shared" si="273"/>
        <v>198.40000000000009</v>
      </c>
      <c r="K105" s="843">
        <f t="shared" si="273"/>
        <v>140</v>
      </c>
      <c r="L105" s="843">
        <f t="shared" si="273"/>
        <v>-1155.9000000000001</v>
      </c>
      <c r="M105" s="844">
        <f>M46-H46</f>
        <v>40</v>
      </c>
      <c r="N105" s="843">
        <f t="shared" ref="N105:Q106" si="274">N46-M46</f>
        <v>1244.0999999999999</v>
      </c>
      <c r="O105" s="843">
        <f t="shared" si="274"/>
        <v>82.300000000000182</v>
      </c>
      <c r="P105" s="843">
        <f t="shared" si="274"/>
        <v>622.29999999999973</v>
      </c>
      <c r="Q105" s="843">
        <f t="shared" si="274"/>
        <v>-1179.6999999999998</v>
      </c>
      <c r="R105" s="844">
        <f>R46-M46</f>
        <v>769</v>
      </c>
      <c r="S105" s="843">
        <f t="shared" ref="S105:V106" si="275">S46-R46</f>
        <v>1117</v>
      </c>
      <c r="T105" s="843">
        <f t="shared" si="275"/>
        <v>79</v>
      </c>
      <c r="U105" s="843">
        <f t="shared" si="275"/>
        <v>233</v>
      </c>
      <c r="V105" s="843">
        <f t="shared" si="275"/>
        <v>-1265</v>
      </c>
      <c r="W105" s="844">
        <f>W46-R46</f>
        <v>164</v>
      </c>
      <c r="X105" s="843">
        <f t="shared" ref="X105:AA106" si="276">X46-W46</f>
        <v>1234</v>
      </c>
      <c r="Y105" s="843">
        <f t="shared" si="276"/>
        <v>201</v>
      </c>
      <c r="Z105" s="843">
        <f t="shared" si="276"/>
        <v>109</v>
      </c>
      <c r="AA105" s="843">
        <f t="shared" si="276"/>
        <v>-1509</v>
      </c>
      <c r="AB105" s="844">
        <f>AB46-W46</f>
        <v>35</v>
      </c>
      <c r="AC105" s="843">
        <f t="shared" ref="AC105:AF106" si="277">AC46-AB46</f>
        <v>1488</v>
      </c>
      <c r="AD105" s="843">
        <f t="shared" si="277"/>
        <v>137</v>
      </c>
      <c r="AE105" s="843">
        <f t="shared" si="277"/>
        <v>14</v>
      </c>
      <c r="AF105" s="843">
        <f t="shared" si="277"/>
        <v>-1594</v>
      </c>
      <c r="AG105" s="844">
        <f>AG46-AB46</f>
        <v>45</v>
      </c>
      <c r="AH105" s="843">
        <f t="shared" ref="AH105:AK106" si="278">AH46-AG46</f>
        <v>1784</v>
      </c>
      <c r="AI105" s="843">
        <f t="shared" si="278"/>
        <v>291</v>
      </c>
      <c r="AJ105" s="843">
        <f t="shared" si="278"/>
        <v>355</v>
      </c>
      <c r="AK105" s="843">
        <f t="shared" si="278"/>
        <v>-2087</v>
      </c>
      <c r="AL105" s="844">
        <f>AL46-AG46</f>
        <v>343</v>
      </c>
      <c r="AM105" s="843">
        <f t="shared" ref="AM105:AP106" si="279">AM46-AL46</f>
        <v>127</v>
      </c>
      <c r="AN105" s="843">
        <f t="shared" si="279"/>
        <v>38</v>
      </c>
      <c r="AO105" s="843">
        <f t="shared" si="279"/>
        <v>176</v>
      </c>
      <c r="AP105" s="843">
        <f t="shared" si="279"/>
        <v>128</v>
      </c>
      <c r="AQ105" s="844">
        <f>AQ46-AL46</f>
        <v>469</v>
      </c>
      <c r="AR105" s="843">
        <f t="shared" ref="AR105:AT106" si="280">AR46-AQ46</f>
        <v>67</v>
      </c>
      <c r="AS105" s="843">
        <f t="shared" si="280"/>
        <v>52</v>
      </c>
      <c r="AT105" s="843">
        <f t="shared" si="280"/>
        <v>33</v>
      </c>
      <c r="AU105" s="802"/>
      <c r="AV105" s="555"/>
      <c r="AW105" s="555"/>
      <c r="AX105" s="555"/>
      <c r="AY105" s="555"/>
      <c r="AZ105" s="802"/>
      <c r="BA105" s="843">
        <f t="shared" ref="BA105:BD106" si="281">BA46-AZ46</f>
        <v>504</v>
      </c>
      <c r="BB105" s="843">
        <f t="shared" si="281"/>
        <v>79</v>
      </c>
      <c r="BC105" s="843">
        <f t="shared" si="281"/>
        <v>46</v>
      </c>
      <c r="BD105" s="843">
        <f t="shared" si="281"/>
        <v>12</v>
      </c>
      <c r="BE105" s="844">
        <f>BE46-AZ46</f>
        <v>641</v>
      </c>
      <c r="BF105" s="843">
        <f t="shared" ref="BF105:BI106" si="282">BF46-BE46</f>
        <v>56</v>
      </c>
      <c r="BG105" s="843">
        <f t="shared" si="282"/>
        <v>50</v>
      </c>
      <c r="BH105" s="843">
        <f t="shared" si="282"/>
        <v>30</v>
      </c>
      <c r="BI105" s="843">
        <f t="shared" si="282"/>
        <v>-129</v>
      </c>
      <c r="BJ105" s="844">
        <f>BJ46-BE46</f>
        <v>7</v>
      </c>
      <c r="BK105" s="843">
        <f t="shared" ref="BK105:BN106" si="283">BK46-BJ46</f>
        <v>147</v>
      </c>
      <c r="BL105" s="843">
        <f t="shared" si="283"/>
        <v>16</v>
      </c>
      <c r="BM105" s="843">
        <f t="shared" si="283"/>
        <v>17</v>
      </c>
      <c r="BN105" s="843">
        <f t="shared" si="283"/>
        <v>9</v>
      </c>
      <c r="BO105" s="844">
        <f>BO46-BJ46</f>
        <v>189</v>
      </c>
      <c r="BP105" s="843">
        <f t="shared" ref="BP105:BS106" si="284">BP46-BO46</f>
        <v>9</v>
      </c>
      <c r="BQ105" s="843">
        <f t="shared" si="284"/>
        <v>6</v>
      </c>
      <c r="BR105" s="843">
        <f t="shared" si="284"/>
        <v>12</v>
      </c>
      <c r="BS105" s="843">
        <f t="shared" si="284"/>
        <v>25</v>
      </c>
      <c r="BT105" s="844">
        <f>BT46-BO46</f>
        <v>52</v>
      </c>
      <c r="BU105" s="843">
        <f t="shared" ref="BU105:BX106" si="285">BU46-BT46</f>
        <v>7</v>
      </c>
      <c r="BV105" s="843">
        <f t="shared" si="285"/>
        <v>12</v>
      </c>
      <c r="BW105" s="843">
        <f t="shared" si="285"/>
        <v>10</v>
      </c>
      <c r="BX105" s="843">
        <f t="shared" si="285"/>
        <v>11</v>
      </c>
      <c r="BY105" s="844">
        <f>BY46-BT46</f>
        <v>40</v>
      </c>
      <c r="BZ105" s="843">
        <f t="shared" ref="BZ105:CC106" si="286">BZ46-BY46</f>
        <v>8</v>
      </c>
      <c r="CA105" s="843">
        <f t="shared" si="286"/>
        <v>11</v>
      </c>
      <c r="CB105" s="843">
        <f t="shared" si="286"/>
        <v>6</v>
      </c>
      <c r="CC105" s="843">
        <f t="shared" si="286"/>
        <v>8</v>
      </c>
      <c r="CD105" s="844">
        <f>CD46-BY46</f>
        <v>33</v>
      </c>
      <c r="CE105" s="843">
        <f t="shared" ref="CE105:CH106" si="287">CE46-CD46</f>
        <v>5</v>
      </c>
      <c r="CF105" s="843">
        <f t="shared" si="287"/>
        <v>7</v>
      </c>
      <c r="CG105" s="843">
        <f t="shared" si="287"/>
        <v>7</v>
      </c>
      <c r="CH105" s="843">
        <f t="shared" si="287"/>
        <v>-3</v>
      </c>
      <c r="CI105" s="1004">
        <f t="shared" si="243"/>
        <v>16</v>
      </c>
      <c r="CJ105" s="843">
        <f t="shared" ref="CJ105:CM106" si="288">CJ46-CI46</f>
        <v>-2</v>
      </c>
      <c r="CK105" s="843">
        <f t="shared" si="288"/>
        <v>2</v>
      </c>
      <c r="CL105" s="843">
        <f t="shared" si="288"/>
        <v>0</v>
      </c>
      <c r="CM105" s="843">
        <f t="shared" si="288"/>
        <v>-12</v>
      </c>
      <c r="CN105" s="844">
        <f>CN46-CI46</f>
        <v>-12</v>
      </c>
      <c r="CO105" s="843">
        <f t="shared" ref="CO105:CR106" si="289">CO46-CN46</f>
        <v>-1</v>
      </c>
      <c r="CP105" s="843">
        <f t="shared" si="289"/>
        <v>-23</v>
      </c>
      <c r="CQ105" s="843">
        <f t="shared" si="289"/>
        <v>0</v>
      </c>
      <c r="CR105" s="843">
        <f t="shared" si="289"/>
        <v>-18</v>
      </c>
      <c r="CS105" s="844">
        <f>CS46-CN46</f>
        <v>-42</v>
      </c>
      <c r="CT105" s="843">
        <f t="shared" ref="CT105:CW106" si="290">CT46-CS46</f>
        <v>-4</v>
      </c>
      <c r="CU105" s="843">
        <f t="shared" si="290"/>
        <v>7</v>
      </c>
      <c r="CV105" s="843">
        <f t="shared" si="290"/>
        <v>27</v>
      </c>
      <c r="CW105" s="843">
        <f t="shared" si="290"/>
        <v>34</v>
      </c>
      <c r="CX105" s="844">
        <f>CX46-CS46</f>
        <v>64</v>
      </c>
      <c r="CY105" s="843">
        <f t="shared" ref="CY105:DB106" si="291">CY46-CX46</f>
        <v>13</v>
      </c>
      <c r="CZ105" s="843">
        <f t="shared" si="291"/>
        <v>68</v>
      </c>
      <c r="DA105" s="843">
        <f t="shared" si="291"/>
        <v>10</v>
      </c>
      <c r="DB105" s="843">
        <f t="shared" si="291"/>
        <v>10</v>
      </c>
      <c r="DC105" s="844">
        <f>DC46-CX46</f>
        <v>101</v>
      </c>
      <c r="DD105" s="843">
        <f t="shared" ref="DD105:DG106" si="292">DD46-DC46</f>
        <v>4</v>
      </c>
      <c r="DE105" s="843">
        <f t="shared" si="292"/>
        <v>18</v>
      </c>
      <c r="DF105" s="843">
        <f t="shared" si="292"/>
        <v>3</v>
      </c>
      <c r="DG105" s="843">
        <f t="shared" si="292"/>
        <v>17</v>
      </c>
      <c r="DH105" s="844">
        <f>DH46-DC46</f>
        <v>42</v>
      </c>
      <c r="DI105" s="843">
        <f t="shared" ref="DI105:DL106" si="293">DI46-DH46</f>
        <v>137</v>
      </c>
      <c r="DJ105" s="843">
        <f t="shared" si="293"/>
        <v>23</v>
      </c>
      <c r="DK105" s="843">
        <f t="shared" si="293"/>
        <v>24</v>
      </c>
      <c r="DL105" s="843">
        <f t="shared" si="293"/>
        <v>17</v>
      </c>
      <c r="DM105" s="844">
        <f>DM46-DH46</f>
        <v>201</v>
      </c>
      <c r="DN105" s="843">
        <f t="shared" ref="DN105:DS106" si="294">DN46-DM46</f>
        <v>-11</v>
      </c>
      <c r="DO105" s="843">
        <f t="shared" si="294"/>
        <v>-13</v>
      </c>
      <c r="DP105" s="843">
        <f t="shared" si="294"/>
        <v>10</v>
      </c>
      <c r="DQ105" s="843">
        <f t="shared" si="294"/>
        <v>26</v>
      </c>
      <c r="DR105" s="844">
        <f>DR46-DM46</f>
        <v>12</v>
      </c>
      <c r="DS105" s="843">
        <f t="shared" si="294"/>
        <v>7</v>
      </c>
      <c r="DT105" s="843">
        <f t="shared" ref="DT105:DV106" si="295">DT46-DS46</f>
        <v>-15</v>
      </c>
      <c r="DU105" s="843">
        <f t="shared" si="295"/>
        <v>16</v>
      </c>
      <c r="DV105" s="843">
        <f t="shared" si="295"/>
        <v>24</v>
      </c>
      <c r="DW105" s="844">
        <f>DW46-DR46</f>
        <v>32</v>
      </c>
      <c r="DX105" s="843">
        <f t="shared" ref="DX105:EA106" si="296">DX46-DW46</f>
        <v>0</v>
      </c>
      <c r="DY105" s="843">
        <f t="shared" si="296"/>
        <v>0</v>
      </c>
      <c r="DZ105" s="843">
        <f t="shared" si="296"/>
        <v>0</v>
      </c>
      <c r="EA105" s="843">
        <f t="shared" si="296"/>
        <v>0</v>
      </c>
      <c r="EB105" s="844">
        <f>EB46-DW46</f>
        <v>0</v>
      </c>
      <c r="EC105" s="843">
        <f t="shared" ref="EC105:EF106" si="297">EC46-EB46</f>
        <v>0</v>
      </c>
      <c r="ED105" s="843">
        <f t="shared" si="297"/>
        <v>0</v>
      </c>
      <c r="EE105" s="843">
        <f t="shared" si="297"/>
        <v>0</v>
      </c>
      <c r="EF105" s="843">
        <f t="shared" si="297"/>
        <v>0</v>
      </c>
      <c r="EG105" s="844">
        <f>EG46-EB46</f>
        <v>0</v>
      </c>
      <c r="EH105" s="843">
        <f t="shared" ref="EH105:EK105" si="298">EH46-EG46</f>
        <v>0</v>
      </c>
      <c r="EI105" s="843">
        <f t="shared" si="298"/>
        <v>0</v>
      </c>
      <c r="EJ105" s="843">
        <f t="shared" si="298"/>
        <v>0</v>
      </c>
      <c r="EK105" s="843">
        <f t="shared" si="298"/>
        <v>0</v>
      </c>
      <c r="EL105" s="844">
        <f>EL46-EG46</f>
        <v>0</v>
      </c>
      <c r="EM105" s="561"/>
      <c r="EN105"/>
      <c r="EO105"/>
      <c r="EP105"/>
      <c r="EQ105"/>
      <c r="ER105"/>
      <c r="ES105"/>
      <c r="ET105" s="141"/>
      <c r="EU105" s="141"/>
      <c r="EV105" s="141"/>
      <c r="EW105" s="141"/>
      <c r="EX105" s="141"/>
      <c r="EY105" s="141"/>
      <c r="EZ105" s="141"/>
      <c r="FA105" s="141"/>
      <c r="FB105" s="141"/>
      <c r="FC105" s="141"/>
      <c r="FD105" s="141"/>
      <c r="FE105" s="141"/>
      <c r="FF105" s="141"/>
      <c r="FG105" s="141"/>
      <c r="FH105" s="141"/>
      <c r="FI105" s="141"/>
      <c r="FJ105" s="141"/>
      <c r="FK105" s="141"/>
      <c r="FL105" s="141"/>
      <c r="FM105" s="141"/>
      <c r="FN105" s="141"/>
      <c r="FO105" s="141"/>
      <c r="FP105" s="141"/>
      <c r="FQ105" s="141"/>
      <c r="FR105" s="141"/>
      <c r="FS105" s="141"/>
      <c r="FT105" s="141"/>
      <c r="FU105" s="141"/>
      <c r="FV105" s="141"/>
      <c r="FW105" s="141"/>
      <c r="FX105" s="141"/>
      <c r="FY105" s="141"/>
      <c r="FZ105" s="141"/>
      <c r="GA105" s="141"/>
      <c r="GB105" s="141"/>
      <c r="GC105" s="141"/>
      <c r="GD105" s="141"/>
      <c r="GE105" s="141"/>
      <c r="GF105" s="141"/>
      <c r="GG105" s="141"/>
      <c r="GH105" s="141"/>
      <c r="GI105" s="141"/>
      <c r="GJ105" s="141"/>
      <c r="GK105" s="141"/>
      <c r="GL105" s="141"/>
      <c r="GM105" s="141"/>
      <c r="GN105" s="141"/>
      <c r="GO105" s="141"/>
      <c r="GP105" s="141"/>
      <c r="GQ105" s="141"/>
      <c r="GR105" s="141"/>
      <c r="GS105" s="141"/>
      <c r="GT105" s="141"/>
      <c r="GU105" s="141"/>
      <c r="GV105" s="141"/>
      <c r="GW105" s="141"/>
      <c r="GX105" s="141"/>
      <c r="GY105" s="141"/>
      <c r="GZ105" s="141"/>
      <c r="HA105" s="141"/>
      <c r="HB105" s="141"/>
      <c r="HC105" s="141"/>
      <c r="HD105" s="141"/>
      <c r="HE105" s="141"/>
      <c r="HF105" s="141"/>
      <c r="HG105" s="141"/>
      <c r="HH105" s="141"/>
      <c r="HI105" s="141"/>
      <c r="HJ105" s="141"/>
      <c r="HK105" s="141"/>
      <c r="HL105" s="141"/>
      <c r="HM105" s="141"/>
      <c r="HN105" s="141"/>
      <c r="HO105" s="141"/>
      <c r="HP105" s="141"/>
      <c r="HQ105" s="141"/>
      <c r="HR105" s="141"/>
      <c r="HS105" s="141"/>
      <c r="HT105" s="141"/>
      <c r="HU105" s="141"/>
      <c r="HV105" s="141"/>
      <c r="HW105" s="141"/>
      <c r="HX105" s="141"/>
      <c r="HY105" s="141"/>
      <c r="HZ105" s="141"/>
      <c r="IA105" s="141"/>
      <c r="IB105" s="141"/>
      <c r="IC105" s="141"/>
      <c r="ID105" s="141"/>
      <c r="IE105" s="141"/>
      <c r="IF105" s="141"/>
      <c r="IG105" s="141"/>
      <c r="IH105" s="141"/>
      <c r="II105" s="141"/>
      <c r="IJ105" s="141"/>
      <c r="IK105" s="141"/>
      <c r="IL105" s="141"/>
      <c r="IM105" s="141"/>
      <c r="IN105" s="141"/>
      <c r="IO105" s="141"/>
      <c r="IP105" s="141"/>
      <c r="IQ105" s="141"/>
      <c r="IR105" s="141"/>
      <c r="IS105" s="141"/>
      <c r="IT105" s="141"/>
      <c r="IU105" s="141"/>
      <c r="IV105" s="141"/>
      <c r="IW105" s="141"/>
      <c r="IX105" s="141"/>
      <c r="IY105" s="141"/>
      <c r="IZ105" s="141"/>
      <c r="JA105" s="141"/>
      <c r="JB105" s="141"/>
      <c r="JC105" s="141"/>
      <c r="JD105" s="141"/>
      <c r="JE105" s="141"/>
      <c r="JF105" s="141"/>
      <c r="JG105" s="141"/>
      <c r="JH105" s="141"/>
    </row>
    <row r="106" spans="1:268" s="142" customFormat="1" ht="12" hidden="1" customHeight="1" outlineLevel="1">
      <c r="A106" s="801"/>
      <c r="B106" s="557" t="s">
        <v>29</v>
      </c>
      <c r="C106" s="898"/>
      <c r="D106" s="898">
        <v>0</v>
      </c>
      <c r="E106" s="843">
        <f t="shared" si="272"/>
        <v>0</v>
      </c>
      <c r="F106" s="843">
        <f t="shared" si="272"/>
        <v>0</v>
      </c>
      <c r="G106" s="843">
        <f t="shared" si="272"/>
        <v>0</v>
      </c>
      <c r="H106" s="844">
        <f t="shared" si="242"/>
        <v>0</v>
      </c>
      <c r="I106" s="843">
        <f t="shared" si="273"/>
        <v>0</v>
      </c>
      <c r="J106" s="843">
        <f t="shared" si="273"/>
        <v>0</v>
      </c>
      <c r="K106" s="843">
        <f t="shared" si="273"/>
        <v>0</v>
      </c>
      <c r="L106" s="843">
        <f t="shared" si="273"/>
        <v>28</v>
      </c>
      <c r="M106" s="844">
        <f>M47-H47</f>
        <v>28</v>
      </c>
      <c r="N106" s="843">
        <f t="shared" si="274"/>
        <v>-28</v>
      </c>
      <c r="O106" s="843">
        <f t="shared" si="274"/>
        <v>0</v>
      </c>
      <c r="P106" s="843">
        <f t="shared" si="274"/>
        <v>0</v>
      </c>
      <c r="Q106" s="843">
        <f t="shared" si="274"/>
        <v>110</v>
      </c>
      <c r="R106" s="844">
        <f>R47-M47</f>
        <v>82</v>
      </c>
      <c r="S106" s="843">
        <f t="shared" si="275"/>
        <v>-110</v>
      </c>
      <c r="T106" s="843">
        <f t="shared" si="275"/>
        <v>0</v>
      </c>
      <c r="U106" s="843">
        <f t="shared" si="275"/>
        <v>0</v>
      </c>
      <c r="V106" s="843">
        <f t="shared" si="275"/>
        <v>50</v>
      </c>
      <c r="W106" s="844">
        <f>W47-R47</f>
        <v>-60</v>
      </c>
      <c r="X106" s="843">
        <f t="shared" si="276"/>
        <v>-50</v>
      </c>
      <c r="Y106" s="843">
        <f t="shared" si="276"/>
        <v>0</v>
      </c>
      <c r="Z106" s="843">
        <f t="shared" si="276"/>
        <v>0</v>
      </c>
      <c r="AA106" s="843">
        <f t="shared" si="276"/>
        <v>77</v>
      </c>
      <c r="AB106" s="844">
        <f>AB47-W47</f>
        <v>27</v>
      </c>
      <c r="AC106" s="843">
        <f t="shared" si="277"/>
        <v>-77</v>
      </c>
      <c r="AD106" s="843">
        <f t="shared" si="277"/>
        <v>0</v>
      </c>
      <c r="AE106" s="843">
        <f t="shared" si="277"/>
        <v>0</v>
      </c>
      <c r="AF106" s="843">
        <f t="shared" si="277"/>
        <v>-70</v>
      </c>
      <c r="AG106" s="844">
        <f>AG47-AB47</f>
        <v>-147</v>
      </c>
      <c r="AH106" s="843">
        <f t="shared" si="278"/>
        <v>70</v>
      </c>
      <c r="AI106" s="843">
        <f t="shared" si="278"/>
        <v>0</v>
      </c>
      <c r="AJ106" s="843">
        <f t="shared" si="278"/>
        <v>0</v>
      </c>
      <c r="AK106" s="843">
        <f t="shared" si="278"/>
        <v>-44</v>
      </c>
      <c r="AL106" s="844">
        <f>AL47-AG47</f>
        <v>26</v>
      </c>
      <c r="AM106" s="843">
        <f t="shared" si="279"/>
        <v>16</v>
      </c>
      <c r="AN106" s="843">
        <f t="shared" si="279"/>
        <v>-16</v>
      </c>
      <c r="AO106" s="843">
        <f t="shared" si="279"/>
        <v>1</v>
      </c>
      <c r="AP106" s="843">
        <f t="shared" si="279"/>
        <v>-1</v>
      </c>
      <c r="AQ106" s="844">
        <f>AQ47-AL47</f>
        <v>0</v>
      </c>
      <c r="AR106" s="843">
        <f t="shared" si="280"/>
        <v>2</v>
      </c>
      <c r="AS106" s="843">
        <f t="shared" si="280"/>
        <v>26</v>
      </c>
      <c r="AT106" s="843">
        <f t="shared" si="280"/>
        <v>1</v>
      </c>
      <c r="AU106" s="802"/>
      <c r="AV106" s="555"/>
      <c r="AW106" s="555"/>
      <c r="AX106" s="555"/>
      <c r="AY106" s="555"/>
      <c r="AZ106" s="802"/>
      <c r="BA106" s="843">
        <f t="shared" si="281"/>
        <v>1</v>
      </c>
      <c r="BB106" s="843">
        <f t="shared" si="281"/>
        <v>2</v>
      </c>
      <c r="BC106" s="843">
        <f t="shared" si="281"/>
        <v>1</v>
      </c>
      <c r="BD106" s="843">
        <f t="shared" si="281"/>
        <v>3</v>
      </c>
      <c r="BE106" s="844">
        <f>BE47-AZ47</f>
        <v>7</v>
      </c>
      <c r="BF106" s="843">
        <f t="shared" si="282"/>
        <v>-1</v>
      </c>
      <c r="BG106" s="843">
        <f t="shared" si="282"/>
        <v>-5</v>
      </c>
      <c r="BH106" s="843">
        <f t="shared" si="282"/>
        <v>1</v>
      </c>
      <c r="BI106" s="843">
        <f t="shared" si="282"/>
        <v>0</v>
      </c>
      <c r="BJ106" s="844">
        <f>BJ47-BE47</f>
        <v>-5</v>
      </c>
      <c r="BK106" s="843">
        <f t="shared" si="283"/>
        <v>0</v>
      </c>
      <c r="BL106" s="843">
        <f t="shared" si="283"/>
        <v>1</v>
      </c>
      <c r="BM106" s="843">
        <f t="shared" si="283"/>
        <v>0</v>
      </c>
      <c r="BN106" s="843">
        <f t="shared" si="283"/>
        <v>-27</v>
      </c>
      <c r="BO106" s="844">
        <f>BO47-BJ47</f>
        <v>-26</v>
      </c>
      <c r="BP106" s="843">
        <f t="shared" si="284"/>
        <v>-1</v>
      </c>
      <c r="BQ106" s="843">
        <f t="shared" si="284"/>
        <v>0</v>
      </c>
      <c r="BR106" s="843">
        <f t="shared" si="284"/>
        <v>1</v>
      </c>
      <c r="BS106" s="843">
        <f t="shared" si="284"/>
        <v>-6</v>
      </c>
      <c r="BT106" s="844">
        <f>BT47-BO47</f>
        <v>-6</v>
      </c>
      <c r="BU106" s="843">
        <f t="shared" si="285"/>
        <v>-1</v>
      </c>
      <c r="BV106" s="843">
        <f t="shared" si="285"/>
        <v>0</v>
      </c>
      <c r="BW106" s="843">
        <f t="shared" si="285"/>
        <v>1</v>
      </c>
      <c r="BX106" s="843">
        <f t="shared" si="285"/>
        <v>17</v>
      </c>
      <c r="BY106" s="844">
        <f>BY47-BT47</f>
        <v>17</v>
      </c>
      <c r="BZ106" s="843">
        <f t="shared" si="286"/>
        <v>0</v>
      </c>
      <c r="CA106" s="843">
        <f t="shared" si="286"/>
        <v>2</v>
      </c>
      <c r="CB106" s="843">
        <f t="shared" si="286"/>
        <v>-3</v>
      </c>
      <c r="CC106" s="843">
        <f t="shared" si="286"/>
        <v>-8</v>
      </c>
      <c r="CD106" s="844">
        <f>CD47-BY47</f>
        <v>-9</v>
      </c>
      <c r="CE106" s="843">
        <f t="shared" si="287"/>
        <v>3</v>
      </c>
      <c r="CF106" s="843">
        <f t="shared" si="287"/>
        <v>3</v>
      </c>
      <c r="CG106" s="843">
        <f t="shared" si="287"/>
        <v>4</v>
      </c>
      <c r="CH106" s="843">
        <f t="shared" si="287"/>
        <v>-5</v>
      </c>
      <c r="CI106" s="1004">
        <f t="shared" si="243"/>
        <v>5</v>
      </c>
      <c r="CJ106" s="843">
        <f t="shared" si="288"/>
        <v>1</v>
      </c>
      <c r="CK106" s="843">
        <f t="shared" si="288"/>
        <v>0</v>
      </c>
      <c r="CL106" s="843">
        <f t="shared" si="288"/>
        <v>1</v>
      </c>
      <c r="CM106" s="843">
        <f t="shared" si="288"/>
        <v>-13</v>
      </c>
      <c r="CN106" s="844">
        <f>CN47-CI47</f>
        <v>-11</v>
      </c>
      <c r="CO106" s="843">
        <f t="shared" si="289"/>
        <v>0</v>
      </c>
      <c r="CP106" s="843">
        <f t="shared" si="289"/>
        <v>0</v>
      </c>
      <c r="CQ106" s="843">
        <f t="shared" si="289"/>
        <v>0</v>
      </c>
      <c r="CR106" s="843">
        <f t="shared" si="289"/>
        <v>-9</v>
      </c>
      <c r="CS106" s="844">
        <f>CS47-CN47</f>
        <v>-9</v>
      </c>
      <c r="CT106" s="843">
        <f t="shared" si="290"/>
        <v>3</v>
      </c>
      <c r="CU106" s="843">
        <f t="shared" si="290"/>
        <v>0</v>
      </c>
      <c r="CV106" s="843">
        <f t="shared" si="290"/>
        <v>0</v>
      </c>
      <c r="CW106" s="843">
        <f t="shared" si="290"/>
        <v>-19</v>
      </c>
      <c r="CX106" s="844">
        <f>CX47-CS47</f>
        <v>-16</v>
      </c>
      <c r="CY106" s="843">
        <f t="shared" si="291"/>
        <v>0</v>
      </c>
      <c r="CZ106" s="843">
        <f t="shared" si="291"/>
        <v>0</v>
      </c>
      <c r="DA106" s="843">
        <f t="shared" si="291"/>
        <v>0</v>
      </c>
      <c r="DB106" s="843">
        <f t="shared" si="291"/>
        <v>44</v>
      </c>
      <c r="DC106" s="844">
        <f>DC47-CX47</f>
        <v>44</v>
      </c>
      <c r="DD106" s="843">
        <f t="shared" si="292"/>
        <v>1</v>
      </c>
      <c r="DE106" s="843">
        <f t="shared" si="292"/>
        <v>3</v>
      </c>
      <c r="DF106" s="843">
        <f t="shared" si="292"/>
        <v>0</v>
      </c>
      <c r="DG106" s="843">
        <f t="shared" si="292"/>
        <v>-162</v>
      </c>
      <c r="DH106" s="844">
        <f>DH47-DC47</f>
        <v>-158</v>
      </c>
      <c r="DI106" s="843">
        <f t="shared" si="293"/>
        <v>3</v>
      </c>
      <c r="DJ106" s="843">
        <f t="shared" si="293"/>
        <v>2</v>
      </c>
      <c r="DK106" s="843">
        <f t="shared" si="293"/>
        <v>4</v>
      </c>
      <c r="DL106" s="843">
        <f t="shared" si="293"/>
        <v>9</v>
      </c>
      <c r="DM106" s="844">
        <f>DM47-DH47</f>
        <v>18</v>
      </c>
      <c r="DN106" s="843">
        <f t="shared" si="294"/>
        <v>4</v>
      </c>
      <c r="DO106" s="843">
        <f t="shared" si="294"/>
        <v>-43</v>
      </c>
      <c r="DP106" s="843">
        <f t="shared" si="294"/>
        <v>3</v>
      </c>
      <c r="DQ106" s="843">
        <f t="shared" si="294"/>
        <v>-58</v>
      </c>
      <c r="DR106" s="844">
        <f>DR47-DM47</f>
        <v>-94</v>
      </c>
      <c r="DS106" s="843">
        <f t="shared" si="294"/>
        <v>3</v>
      </c>
      <c r="DT106" s="843">
        <f t="shared" si="295"/>
        <v>13</v>
      </c>
      <c r="DU106" s="843">
        <f t="shared" si="295"/>
        <v>4</v>
      </c>
      <c r="DV106" s="843">
        <f t="shared" si="295"/>
        <v>34</v>
      </c>
      <c r="DW106" s="844">
        <f>DW47-DR47</f>
        <v>54</v>
      </c>
      <c r="DX106" s="843">
        <f t="shared" si="296"/>
        <v>0</v>
      </c>
      <c r="DY106" s="843">
        <f t="shared" si="296"/>
        <v>0</v>
      </c>
      <c r="DZ106" s="843">
        <f t="shared" si="296"/>
        <v>0</v>
      </c>
      <c r="EA106" s="843">
        <f t="shared" si="296"/>
        <v>0</v>
      </c>
      <c r="EB106" s="844">
        <f>EB47-DW47</f>
        <v>0</v>
      </c>
      <c r="EC106" s="843">
        <f t="shared" si="297"/>
        <v>0</v>
      </c>
      <c r="ED106" s="843">
        <f t="shared" si="297"/>
        <v>0</v>
      </c>
      <c r="EE106" s="843">
        <f t="shared" si="297"/>
        <v>0</v>
      </c>
      <c r="EF106" s="843">
        <f t="shared" si="297"/>
        <v>0</v>
      </c>
      <c r="EG106" s="844">
        <f>EG47-EB47</f>
        <v>0</v>
      </c>
      <c r="EH106" s="843">
        <f t="shared" ref="EH106:EK106" si="299">EH47-EG47</f>
        <v>0</v>
      </c>
      <c r="EI106" s="843">
        <f t="shared" si="299"/>
        <v>0</v>
      </c>
      <c r="EJ106" s="843">
        <f t="shared" si="299"/>
        <v>0</v>
      </c>
      <c r="EK106" s="843">
        <f t="shared" si="299"/>
        <v>0</v>
      </c>
      <c r="EL106" s="844">
        <f>EL47-EG47</f>
        <v>0</v>
      </c>
      <c r="EM106" s="561"/>
      <c r="EN106"/>
      <c r="EO106"/>
      <c r="EP106"/>
      <c r="EQ106"/>
      <c r="ER106"/>
      <c r="ES106"/>
      <c r="ET106" s="141"/>
      <c r="EU106" s="141"/>
      <c r="EV106" s="141"/>
      <c r="EW106" s="141"/>
      <c r="EX106" s="141"/>
      <c r="EY106" s="141"/>
      <c r="EZ106" s="141"/>
      <c r="FA106" s="141"/>
      <c r="FB106" s="141"/>
      <c r="FC106" s="141"/>
      <c r="FD106" s="141"/>
      <c r="FE106" s="141"/>
      <c r="FF106" s="141"/>
      <c r="FG106" s="141"/>
      <c r="FH106" s="141"/>
      <c r="FI106" s="141"/>
      <c r="FJ106" s="141"/>
      <c r="FK106" s="141"/>
      <c r="FL106" s="141"/>
      <c r="FM106" s="141"/>
      <c r="FN106" s="141"/>
      <c r="FO106" s="141"/>
      <c r="FP106" s="141"/>
      <c r="FQ106" s="141"/>
      <c r="FR106" s="141"/>
      <c r="FS106" s="141"/>
      <c r="FT106" s="141"/>
      <c r="FU106" s="141"/>
      <c r="FV106" s="141"/>
      <c r="FW106" s="141"/>
      <c r="FX106" s="141"/>
      <c r="FY106" s="141"/>
      <c r="FZ106" s="141"/>
      <c r="GA106" s="141"/>
      <c r="GB106" s="141"/>
      <c r="GC106" s="141"/>
      <c r="GD106" s="141"/>
      <c r="GE106" s="141"/>
      <c r="GF106" s="141"/>
      <c r="GG106" s="141"/>
      <c r="GH106" s="141"/>
      <c r="GI106" s="141"/>
      <c r="GJ106" s="141"/>
      <c r="GK106" s="141"/>
      <c r="GL106" s="141"/>
      <c r="GM106" s="141"/>
      <c r="GN106" s="141"/>
      <c r="GO106" s="141"/>
      <c r="GP106" s="141"/>
      <c r="GQ106" s="141"/>
      <c r="GR106" s="141"/>
      <c r="GS106" s="141"/>
      <c r="GT106" s="141"/>
      <c r="GU106" s="141"/>
      <c r="GV106" s="141"/>
      <c r="GW106" s="141"/>
      <c r="GX106" s="141"/>
      <c r="GY106" s="141"/>
      <c r="GZ106" s="141"/>
      <c r="HA106" s="141"/>
      <c r="HB106" s="141"/>
      <c r="HC106" s="141"/>
      <c r="HD106" s="141"/>
      <c r="HE106" s="141"/>
      <c r="HF106" s="141"/>
      <c r="HG106" s="141"/>
      <c r="HH106" s="141"/>
      <c r="HI106" s="141"/>
      <c r="HJ106" s="141"/>
      <c r="HK106" s="141"/>
      <c r="HL106" s="141"/>
      <c r="HM106" s="141"/>
      <c r="HN106" s="141"/>
      <c r="HO106" s="141"/>
      <c r="HP106" s="141"/>
      <c r="HQ106" s="141"/>
      <c r="HR106" s="141"/>
      <c r="HS106" s="141"/>
      <c r="HT106" s="141"/>
      <c r="HU106" s="141"/>
      <c r="HV106" s="141"/>
      <c r="HW106" s="141"/>
      <c r="HX106" s="141"/>
      <c r="HY106" s="141"/>
      <c r="HZ106" s="141"/>
      <c r="IA106" s="141"/>
      <c r="IB106" s="141"/>
      <c r="IC106" s="141"/>
      <c r="ID106" s="141"/>
      <c r="IE106" s="141"/>
      <c r="IF106" s="141"/>
      <c r="IG106" s="141"/>
      <c r="IH106" s="141"/>
      <c r="II106" s="141"/>
      <c r="IJ106" s="141"/>
      <c r="IK106" s="141"/>
      <c r="IL106" s="141"/>
      <c r="IM106" s="141"/>
      <c r="IN106" s="141"/>
      <c r="IO106" s="141"/>
      <c r="IP106" s="141"/>
      <c r="IQ106" s="141"/>
      <c r="IR106" s="141"/>
      <c r="IS106" s="141"/>
      <c r="IT106" s="141"/>
      <c r="IU106" s="141"/>
      <c r="IV106" s="141"/>
      <c r="IW106" s="141"/>
      <c r="IX106" s="141"/>
      <c r="IY106" s="141"/>
      <c r="IZ106" s="141"/>
      <c r="JA106" s="141"/>
      <c r="JB106" s="141"/>
      <c r="JC106" s="141"/>
      <c r="JD106" s="141"/>
      <c r="JE106" s="141"/>
      <c r="JF106" s="141"/>
      <c r="JG106" s="141"/>
      <c r="JH106" s="141"/>
    </row>
    <row r="107" spans="1:268" s="142" customFormat="1" ht="12" hidden="1" customHeight="1" outlineLevel="1">
      <c r="A107" s="803"/>
      <c r="B107" s="804" t="s">
        <v>367</v>
      </c>
      <c r="C107" s="898"/>
      <c r="D107" s="898">
        <f>D48-575-IS!D47</f>
        <v>-639.02800000000002</v>
      </c>
      <c r="E107" s="843">
        <f>E48-D48-IS!E47</f>
        <v>-46.199999999999974</v>
      </c>
      <c r="F107" s="843">
        <f>F48-E48-IS!F47</f>
        <v>-48.899999999999949</v>
      </c>
      <c r="G107" s="843">
        <f>G48-F48-IS!G47</f>
        <v>734.12800000000004</v>
      </c>
      <c r="H107" s="844">
        <f t="shared" si="242"/>
        <v>0</v>
      </c>
      <c r="I107" s="843">
        <f>I48-H48-IS!I47</f>
        <v>-858.30000000000007</v>
      </c>
      <c r="J107" s="843">
        <f>J48-I48-IS!J47</f>
        <v>-182.79999999999998</v>
      </c>
      <c r="K107" s="843">
        <f>K48-J48-IS!K47</f>
        <v>-70.700000000000117</v>
      </c>
      <c r="L107" s="843">
        <f>L48-K48-IS!L47</f>
        <v>1111.8000000000002</v>
      </c>
      <c r="M107" s="844">
        <f>M48-H48-IS!M47</f>
        <v>0</v>
      </c>
      <c r="N107" s="843">
        <f>N48-M48-IS!N47</f>
        <v>-1162.3999999999999</v>
      </c>
      <c r="O107" s="843">
        <f>O48-N48-IS!O47</f>
        <v>-76.799999999999869</v>
      </c>
      <c r="P107" s="843">
        <f>P48-O48-IS!P47</f>
        <v>113.29999999999993</v>
      </c>
      <c r="Q107" s="843">
        <f>Q48-P48-IS!Q47</f>
        <v>1108.9000000000005</v>
      </c>
      <c r="R107" s="844">
        <f>R48-M48-IS!R47</f>
        <v>-17</v>
      </c>
      <c r="S107" s="843">
        <f>S48-R48-IS!S47</f>
        <v>-935</v>
      </c>
      <c r="T107" s="843">
        <f>T48-S48-IS!T47</f>
        <v>-138</v>
      </c>
      <c r="U107" s="843">
        <f>U48-T48-IS!U47</f>
        <v>-148</v>
      </c>
      <c r="V107" s="843">
        <f>V48-U48-IS!V47</f>
        <v>1221</v>
      </c>
      <c r="W107" s="844">
        <f>W48-R48-IS!W47</f>
        <v>0</v>
      </c>
      <c r="X107" s="843">
        <f>X48-W48-IS!X47</f>
        <v>-1217</v>
      </c>
      <c r="Y107" s="843">
        <f>Y48-X48-IS!Y47</f>
        <v>-125</v>
      </c>
      <c r="Z107" s="843">
        <f>Z48-Y48-IS!Z47</f>
        <v>-124</v>
      </c>
      <c r="AA107" s="843">
        <f>AA48-Z48-IS!AA47</f>
        <v>1466</v>
      </c>
      <c r="AB107" s="844">
        <f>AB48-W48-IS!AB47</f>
        <v>0</v>
      </c>
      <c r="AC107" s="843">
        <f>AC48-AB48-IS!AC47</f>
        <v>-1438</v>
      </c>
      <c r="AD107" s="843">
        <f>AD48-AC48-IS!AD47</f>
        <v>-135</v>
      </c>
      <c r="AE107" s="843">
        <f>AE48-AD48-IS!AE47</f>
        <v>-38</v>
      </c>
      <c r="AF107" s="843">
        <f>AF48-AE48-IS!AF47</f>
        <v>1607</v>
      </c>
      <c r="AG107" s="844">
        <f>AG48-AB48-IS!AG47</f>
        <v>-4</v>
      </c>
      <c r="AH107" s="843">
        <f>AH48-AG48-IS!AH47</f>
        <v>-1781</v>
      </c>
      <c r="AI107" s="843">
        <f>AI48-AH48-IS!AI47</f>
        <v>-175</v>
      </c>
      <c r="AJ107" s="843">
        <f>AJ48-AI48-IS!AJ47</f>
        <v>-198</v>
      </c>
      <c r="AK107" s="843">
        <f>AK48-AJ48-IS!AK47</f>
        <v>2154</v>
      </c>
      <c r="AL107" s="844">
        <f>AL48-AG48-IS!AL47</f>
        <v>0</v>
      </c>
      <c r="AM107" s="843">
        <f>AM48-AL48-IS!AM47</f>
        <v>1</v>
      </c>
      <c r="AN107" s="843">
        <f>AN48-AM48-IS!AN47</f>
        <v>-1</v>
      </c>
      <c r="AO107" s="843">
        <f>AO48-AN48-IS!AO47</f>
        <v>0</v>
      </c>
      <c r="AP107" s="843">
        <f>AP48-AO48-IS!AP47</f>
        <v>0</v>
      </c>
      <c r="AQ107" s="844">
        <f>AQ48-AL48-IS!AQ47</f>
        <v>0</v>
      </c>
      <c r="AR107" s="843">
        <f>AR48-AQ48-IS!AR47</f>
        <v>0</v>
      </c>
      <c r="AS107" s="843">
        <f>AS48-AR48-IS!AS47</f>
        <v>0</v>
      </c>
      <c r="AT107" s="843">
        <f>AT48-AS48-IS!AT47</f>
        <v>0</v>
      </c>
      <c r="AU107" s="802"/>
      <c r="AV107" s="555"/>
      <c r="AW107" s="555"/>
      <c r="AX107" s="555"/>
      <c r="AY107" s="555"/>
      <c r="AZ107" s="802"/>
      <c r="BA107" s="843">
        <f>BA48-AZ48-IS!BA47</f>
        <v>-329</v>
      </c>
      <c r="BB107" s="843">
        <f>BB48-BA48-IS!BB47</f>
        <v>0</v>
      </c>
      <c r="BC107" s="843">
        <f>BC48-BB48-IS!BC47</f>
        <v>0</v>
      </c>
      <c r="BD107" s="843">
        <f>BD48-BC48-IS!BD47</f>
        <v>2</v>
      </c>
      <c r="BE107" s="844">
        <f>BE48-AZ48-IS!BE47</f>
        <v>-327</v>
      </c>
      <c r="BF107" s="843">
        <f>BF48-BE48-IS!BF47</f>
        <v>0</v>
      </c>
      <c r="BG107" s="843">
        <f>BG48-BF48-IS!BG47</f>
        <v>0</v>
      </c>
      <c r="BH107" s="843">
        <f>BH48-BG48-IS!BH47</f>
        <v>0</v>
      </c>
      <c r="BI107" s="843">
        <f>BI48-BH48-IS!BI47</f>
        <v>0</v>
      </c>
      <c r="BJ107" s="844">
        <f>BJ48-BE48-IS!BJ47</f>
        <v>0</v>
      </c>
      <c r="BK107" s="843">
        <f>BK48-BJ48-IS!BK47</f>
        <v>-153</v>
      </c>
      <c r="BL107" s="843">
        <f>BL48-BK48-IS!BL47</f>
        <v>0</v>
      </c>
      <c r="BM107" s="843">
        <f>BM48-BL48-IS!BM47</f>
        <v>0</v>
      </c>
      <c r="BN107" s="843">
        <f>BN48-BM48-IS!BN47</f>
        <v>0</v>
      </c>
      <c r="BO107" s="844">
        <f>BO48-BJ48-IS!BO47</f>
        <v>-153</v>
      </c>
      <c r="BP107" s="843">
        <f>BP48-BO48-IS!BP47</f>
        <v>0</v>
      </c>
      <c r="BQ107" s="843">
        <f>BQ48-BP48-IS!BQ47</f>
        <v>0</v>
      </c>
      <c r="BR107" s="843">
        <f>BR48-BQ48-IS!BR47</f>
        <v>0</v>
      </c>
      <c r="BS107" s="843">
        <f>BS48-BR48-IS!BS47</f>
        <v>0</v>
      </c>
      <c r="BT107" s="844">
        <f>BT48-BO48-IS!BT47</f>
        <v>0</v>
      </c>
      <c r="BU107" s="843">
        <f>BU48-BT48-IS!BU47</f>
        <v>-178</v>
      </c>
      <c r="BV107" s="843">
        <f>BV48-BU48-IS!BV47</f>
        <v>0</v>
      </c>
      <c r="BW107" s="843">
        <f>BW48-BV48-IS!BW47</f>
        <v>0</v>
      </c>
      <c r="BX107" s="843">
        <f>BX48-BW48-IS!BX47</f>
        <v>0</v>
      </c>
      <c r="BY107" s="844">
        <f>BY48-BT48-IS!BY47</f>
        <v>-178</v>
      </c>
      <c r="BZ107" s="843">
        <f>BZ48-BY48-IS!BZ47</f>
        <v>0</v>
      </c>
      <c r="CA107" s="843">
        <f>CA48-BZ48-IS!CA47</f>
        <v>0</v>
      </c>
      <c r="CB107" s="843">
        <f>CB48-CA48-IS!CB47</f>
        <v>0</v>
      </c>
      <c r="CC107" s="843">
        <f>CC48-CB48-IS!CC47</f>
        <v>0</v>
      </c>
      <c r="CD107" s="844">
        <f>CD48-BY48-IS!CD47</f>
        <v>0</v>
      </c>
      <c r="CE107" s="843">
        <f>CE48-CD48-IS!CE47</f>
        <v>0</v>
      </c>
      <c r="CF107" s="843">
        <f>CF48-CE48-IS!CF47</f>
        <v>0</v>
      </c>
      <c r="CG107" s="843">
        <f>CG48-CF48-IS!CG47</f>
        <v>0</v>
      </c>
      <c r="CH107" s="843">
        <f>CH48-CG48-IS!CH47</f>
        <v>6</v>
      </c>
      <c r="CI107" s="1004">
        <f t="shared" si="243"/>
        <v>6</v>
      </c>
      <c r="CJ107" s="843">
        <f>CJ48-CI48-IS!CJ47</f>
        <v>6</v>
      </c>
      <c r="CK107" s="843">
        <f>CK48-CJ48-IS!CK47</f>
        <v>6</v>
      </c>
      <c r="CL107" s="843">
        <f>CL48-CK48-IS!CL47</f>
        <v>6</v>
      </c>
      <c r="CM107" s="843">
        <f>CM48-CL48-IS!CM47</f>
        <v>6</v>
      </c>
      <c r="CN107" s="844">
        <f>CN48-CI48-IS!CN47</f>
        <v>24</v>
      </c>
      <c r="CO107" s="843">
        <f>CO48-CN48-IS!CO47</f>
        <v>6</v>
      </c>
      <c r="CP107" s="843">
        <f>CP48-CO48-IS!CP47</f>
        <v>6</v>
      </c>
      <c r="CQ107" s="843">
        <f>CQ48-CP48-IS!CQ47</f>
        <v>6</v>
      </c>
      <c r="CR107" s="843">
        <f>CR48-CQ48-IS!CR47</f>
        <v>6</v>
      </c>
      <c r="CS107" s="844">
        <f>CS48-CN48-IS!CS47</f>
        <v>24</v>
      </c>
      <c r="CT107" s="843">
        <f>CT48-CS48-IS!CT47</f>
        <v>6</v>
      </c>
      <c r="CU107" s="843">
        <f>CU48-CT48-IS!CU47</f>
        <v>4</v>
      </c>
      <c r="CV107" s="843">
        <f>CV48-CU48-IS!CV47</f>
        <v>1</v>
      </c>
      <c r="CW107" s="843">
        <f>CW48-CV48-IS!CW47</f>
        <v>0</v>
      </c>
      <c r="CX107" s="844">
        <f>CX48-CS48-IS!CX47</f>
        <v>11</v>
      </c>
      <c r="CY107" s="843">
        <f>CY48-CX48-IS!CY47</f>
        <v>0</v>
      </c>
      <c r="CZ107" s="843">
        <f>CZ48-CY48-IS!CZ47</f>
        <v>0</v>
      </c>
      <c r="DA107" s="843">
        <f>DA48-CZ48-IS!DA47</f>
        <v>0</v>
      </c>
      <c r="DB107" s="843">
        <f>DB48-DA48-IS!DB47</f>
        <v>0</v>
      </c>
      <c r="DC107" s="844">
        <f>DC48-CX48-IS!DC47</f>
        <v>0</v>
      </c>
      <c r="DD107" s="843">
        <f>DD48-DC48-IS!DD47</f>
        <v>0</v>
      </c>
      <c r="DE107" s="843">
        <f>DE48-DD48-IS!DE47</f>
        <v>0</v>
      </c>
      <c r="DF107" s="843">
        <f>DF48-DE48-IS!DF47</f>
        <v>0</v>
      </c>
      <c r="DG107" s="843">
        <f>DG48-DF48-IS!DG47</f>
        <v>0</v>
      </c>
      <c r="DH107" s="844">
        <f>DH48-DC48-IS!DH47</f>
        <v>0</v>
      </c>
      <c r="DI107" s="843">
        <f>DI48-DH48-IS!DI47</f>
        <v>0</v>
      </c>
      <c r="DJ107" s="843">
        <f>DJ48-DI48-IS!DJ47</f>
        <v>0</v>
      </c>
      <c r="DK107" s="843">
        <f>DK48-DJ48-IS!DK47</f>
        <v>0</v>
      </c>
      <c r="DL107" s="843">
        <f>DL48-DK48-IS!DL47</f>
        <v>0</v>
      </c>
      <c r="DM107" s="844">
        <f>DM48-DH48-IS!DM47</f>
        <v>0</v>
      </c>
      <c r="DN107" s="843">
        <f>DN48-DM48-IS!DN47</f>
        <v>0</v>
      </c>
      <c r="DO107" s="843">
        <f>DO48-DN48-IS!DO47</f>
        <v>0</v>
      </c>
      <c r="DP107" s="843">
        <f>DP48-DO48-IS!DP47</f>
        <v>0</v>
      </c>
      <c r="DQ107" s="843">
        <f>DQ48-DP48-IS!DQ47</f>
        <v>0</v>
      </c>
      <c r="DR107" s="844">
        <f>DR48-DM48-IS!DR47</f>
        <v>0</v>
      </c>
      <c r="DS107" s="843">
        <f>DS48-DR48-IS!DS47</f>
        <v>56</v>
      </c>
      <c r="DT107" s="843">
        <f>DT48-DS48-IS!DT47</f>
        <v>0</v>
      </c>
      <c r="DU107" s="843">
        <f>DU48-DT48-IS!DU47</f>
        <v>0</v>
      </c>
      <c r="DV107" s="843">
        <f>DV48-DU48-IS!DV47</f>
        <v>0</v>
      </c>
      <c r="DW107" s="844">
        <f>DW48-DR48-IS!DW47</f>
        <v>56</v>
      </c>
      <c r="DX107" s="843">
        <f>DX48-DW48-IS!DX47</f>
        <v>89.936610484378122</v>
      </c>
      <c r="DY107" s="843">
        <f>DY48-DX48-IS!DY47</f>
        <v>93.015642270220866</v>
      </c>
      <c r="DZ107" s="843">
        <f>DZ48-DY48-IS!DZ47</f>
        <v>94.761317006065397</v>
      </c>
      <c r="EA107" s="843">
        <f>EA48-DZ48-IS!EA47</f>
        <v>135.340499131315</v>
      </c>
      <c r="EB107" s="844">
        <f>EB48-DW48-IS!EB47</f>
        <v>413.05406889197832</v>
      </c>
      <c r="EC107" s="843">
        <f>EC48-EB48-IS!EC47</f>
        <v>105.18673133851392</v>
      </c>
      <c r="ED107" s="843">
        <f>ED48-EC48-IS!ED47</f>
        <v>110.63696564455832</v>
      </c>
      <c r="EE107" s="843">
        <f>EE48-ED48-IS!EE47</f>
        <v>107.40572631292711</v>
      </c>
      <c r="EF107" s="843">
        <f>EF48-EE48-IS!EF47</f>
        <v>131.49515385222196</v>
      </c>
      <c r="EG107" s="844">
        <f>EG48-EB48-IS!EG47</f>
        <v>454.72457714822048</v>
      </c>
      <c r="EH107" s="843">
        <f>EH48-EG48-IS!EH47</f>
        <v>114.02760889284599</v>
      </c>
      <c r="EI107" s="843">
        <f>EI48-EH48-IS!EI47</f>
        <v>119.27641564026193</v>
      </c>
      <c r="EJ107" s="843">
        <f>EJ48-EI48-IS!EJ47</f>
        <v>115.69772150499465</v>
      </c>
      <c r="EK107" s="843">
        <f>EK48-EJ48-IS!EK47</f>
        <v>141.76882388592313</v>
      </c>
      <c r="EL107" s="844">
        <f>EL48-EG48-IS!EL47</f>
        <v>490.77056992402356</v>
      </c>
      <c r="EM107" s="561"/>
      <c r="EN107"/>
      <c r="EO107"/>
      <c r="EP107"/>
      <c r="EQ107"/>
      <c r="ER107"/>
      <c r="ES107"/>
      <c r="ET107" s="141"/>
      <c r="EU107" s="141"/>
      <c r="EV107" s="141"/>
      <c r="EW107" s="141"/>
      <c r="EX107" s="141"/>
      <c r="EY107" s="141"/>
      <c r="EZ107" s="141"/>
      <c r="FA107" s="141"/>
      <c r="FB107" s="141"/>
      <c r="FC107" s="141"/>
      <c r="FD107" s="141"/>
      <c r="FE107" s="141"/>
      <c r="FF107" s="141"/>
      <c r="FG107" s="141"/>
      <c r="FH107" s="141"/>
      <c r="FI107" s="141"/>
      <c r="FJ107" s="141"/>
      <c r="FK107" s="141"/>
      <c r="FL107" s="141"/>
      <c r="FM107" s="141"/>
      <c r="FN107" s="141"/>
      <c r="FO107" s="141"/>
      <c r="FP107" s="141"/>
      <c r="FQ107" s="141"/>
      <c r="FR107" s="141"/>
      <c r="FS107" s="141"/>
      <c r="FT107" s="141"/>
      <c r="FU107" s="141"/>
      <c r="FV107" s="141"/>
      <c r="FW107" s="141"/>
      <c r="FX107" s="141"/>
      <c r="FY107" s="141"/>
      <c r="FZ107" s="141"/>
      <c r="GA107" s="141"/>
      <c r="GB107" s="141"/>
      <c r="GC107" s="141"/>
      <c r="GD107" s="141"/>
      <c r="GE107" s="141"/>
      <c r="GF107" s="141"/>
      <c r="GG107" s="141"/>
      <c r="GH107" s="141"/>
      <c r="GI107" s="141"/>
      <c r="GJ107" s="141"/>
      <c r="GK107" s="141"/>
      <c r="GL107" s="141"/>
      <c r="GM107" s="141"/>
      <c r="GN107" s="141"/>
      <c r="GO107" s="141"/>
      <c r="GP107" s="141"/>
      <c r="GQ107" s="141"/>
      <c r="GR107" s="141"/>
      <c r="GS107" s="141"/>
      <c r="GT107" s="141"/>
      <c r="GU107" s="141"/>
      <c r="GV107" s="141"/>
      <c r="GW107" s="141"/>
      <c r="GX107" s="141"/>
      <c r="GY107" s="141"/>
      <c r="GZ107" s="141"/>
      <c r="HA107" s="141"/>
      <c r="HB107" s="141"/>
      <c r="HC107" s="141"/>
      <c r="HD107" s="141"/>
      <c r="HE107" s="141"/>
      <c r="HF107" s="141"/>
      <c r="HG107" s="141"/>
      <c r="HH107" s="141"/>
      <c r="HI107" s="141"/>
      <c r="HJ107" s="141"/>
      <c r="HK107" s="141"/>
      <c r="HL107" s="141"/>
      <c r="HM107" s="141"/>
      <c r="HN107" s="141"/>
      <c r="HO107" s="141"/>
      <c r="HP107" s="141"/>
      <c r="HQ107" s="141"/>
      <c r="HR107" s="141"/>
      <c r="HS107" s="141"/>
      <c r="HT107" s="141"/>
      <c r="HU107" s="141"/>
      <c r="HV107" s="141"/>
      <c r="HW107" s="141"/>
      <c r="HX107" s="141"/>
      <c r="HY107" s="141"/>
      <c r="HZ107" s="141"/>
      <c r="IA107" s="141"/>
      <c r="IB107" s="141"/>
      <c r="IC107" s="141"/>
      <c r="ID107" s="141"/>
      <c r="IE107" s="141"/>
      <c r="IF107" s="141"/>
      <c r="IG107" s="141"/>
      <c r="IH107" s="141"/>
      <c r="II107" s="141"/>
      <c r="IJ107" s="141"/>
      <c r="IK107" s="141"/>
      <c r="IL107" s="141"/>
      <c r="IM107" s="141"/>
      <c r="IN107" s="141"/>
      <c r="IO107" s="141"/>
      <c r="IP107" s="141"/>
      <c r="IQ107" s="141"/>
      <c r="IR107" s="141"/>
      <c r="IS107" s="141"/>
      <c r="IT107" s="141"/>
      <c r="IU107" s="141"/>
      <c r="IV107" s="141"/>
      <c r="IW107" s="141"/>
      <c r="IX107" s="141"/>
      <c r="IY107" s="141"/>
      <c r="IZ107" s="141"/>
      <c r="JA107" s="141"/>
      <c r="JB107" s="141"/>
      <c r="JC107" s="141"/>
      <c r="JD107" s="141"/>
      <c r="JE107" s="141"/>
      <c r="JF107" s="141"/>
      <c r="JG107" s="141"/>
      <c r="JH107" s="141"/>
    </row>
    <row r="108" spans="1:268" s="142" customFormat="1" ht="12" hidden="1" customHeight="1" outlineLevel="1">
      <c r="A108" s="803"/>
      <c r="B108" s="804" t="s">
        <v>30</v>
      </c>
      <c r="C108" s="923"/>
      <c r="D108" s="923">
        <f t="shared" ref="D108:AT108" si="300">SUM(D100:D107)</f>
        <v>1388.164</v>
      </c>
      <c r="E108" s="923">
        <f t="shared" si="300"/>
        <v>1434.6</v>
      </c>
      <c r="F108" s="923">
        <f t="shared" si="300"/>
        <v>1485</v>
      </c>
      <c r="G108" s="923">
        <f t="shared" si="300"/>
        <v>1986</v>
      </c>
      <c r="H108" s="924">
        <f t="shared" si="300"/>
        <v>1986</v>
      </c>
      <c r="I108" s="923">
        <f t="shared" si="300"/>
        <v>2105.9</v>
      </c>
      <c r="J108" s="923">
        <f t="shared" si="300"/>
        <v>2355</v>
      </c>
      <c r="K108" s="923">
        <f t="shared" si="300"/>
        <v>2655.8</v>
      </c>
      <c r="L108" s="923">
        <f t="shared" si="300"/>
        <v>2636</v>
      </c>
      <c r="M108" s="924">
        <f t="shared" si="300"/>
        <v>2636</v>
      </c>
      <c r="N108" s="923">
        <f t="shared" si="300"/>
        <v>2763.8</v>
      </c>
      <c r="O108" s="923">
        <f t="shared" si="300"/>
        <v>2846.2000000000003</v>
      </c>
      <c r="P108" s="923">
        <f t="shared" si="300"/>
        <v>3474.8</v>
      </c>
      <c r="Q108" s="923">
        <f t="shared" si="300"/>
        <v>3224</v>
      </c>
      <c r="R108" s="924">
        <f t="shared" si="300"/>
        <v>3224</v>
      </c>
      <c r="S108" s="923">
        <f t="shared" si="300"/>
        <v>3381</v>
      </c>
      <c r="T108" s="923">
        <f t="shared" si="300"/>
        <v>3460</v>
      </c>
      <c r="U108" s="923">
        <f t="shared" si="300"/>
        <v>3693</v>
      </c>
      <c r="V108" s="923">
        <f t="shared" si="300"/>
        <v>3558</v>
      </c>
      <c r="W108" s="924">
        <f t="shared" si="300"/>
        <v>3558</v>
      </c>
      <c r="X108" s="923">
        <f t="shared" si="300"/>
        <v>3663</v>
      </c>
      <c r="Y108" s="923">
        <f t="shared" si="300"/>
        <v>3864</v>
      </c>
      <c r="Z108" s="923">
        <f t="shared" si="300"/>
        <v>3973</v>
      </c>
      <c r="AA108" s="923">
        <f t="shared" si="300"/>
        <v>3870</v>
      </c>
      <c r="AB108" s="924">
        <f t="shared" si="300"/>
        <v>3870</v>
      </c>
      <c r="AC108" s="923">
        <f t="shared" si="300"/>
        <v>3952</v>
      </c>
      <c r="AD108" s="923">
        <f t="shared" si="300"/>
        <v>4089</v>
      </c>
      <c r="AE108" s="923">
        <f t="shared" si="300"/>
        <v>4103</v>
      </c>
      <c r="AF108" s="923">
        <f t="shared" si="300"/>
        <v>4066</v>
      </c>
      <c r="AG108" s="924">
        <f t="shared" si="300"/>
        <v>4066</v>
      </c>
      <c r="AH108" s="923">
        <f t="shared" si="300"/>
        <v>4293</v>
      </c>
      <c r="AI108" s="923">
        <f t="shared" si="300"/>
        <v>4584</v>
      </c>
      <c r="AJ108" s="923">
        <f t="shared" si="300"/>
        <v>4940</v>
      </c>
      <c r="AK108" s="923">
        <f t="shared" si="300"/>
        <v>5079</v>
      </c>
      <c r="AL108" s="924">
        <f t="shared" si="300"/>
        <v>5079</v>
      </c>
      <c r="AM108" s="923">
        <f t="shared" si="300"/>
        <v>5284</v>
      </c>
      <c r="AN108" s="923">
        <f t="shared" si="300"/>
        <v>5301</v>
      </c>
      <c r="AO108" s="923">
        <f t="shared" si="300"/>
        <v>5465</v>
      </c>
      <c r="AP108" s="923">
        <f t="shared" si="300"/>
        <v>5619</v>
      </c>
      <c r="AQ108" s="924">
        <f t="shared" si="300"/>
        <v>5619</v>
      </c>
      <c r="AR108" s="923">
        <f t="shared" si="300"/>
        <v>5881</v>
      </c>
      <c r="AS108" s="923">
        <f t="shared" si="300"/>
        <v>5893</v>
      </c>
      <c r="AT108" s="923">
        <f t="shared" si="300"/>
        <v>5762</v>
      </c>
      <c r="AU108" s="802"/>
      <c r="AV108" s="555"/>
      <c r="AW108" s="555"/>
      <c r="AX108" s="555"/>
      <c r="AY108" s="843"/>
      <c r="AZ108" s="924">
        <f>AZ50</f>
        <v>5723</v>
      </c>
      <c r="BA108" s="923">
        <f t="shared" ref="BA108:CF108" si="301">SUM(BA100:BA107)</f>
        <v>5743</v>
      </c>
      <c r="BB108" s="923">
        <f t="shared" si="301"/>
        <v>5531</v>
      </c>
      <c r="BC108" s="923">
        <f t="shared" si="301"/>
        <v>5272</v>
      </c>
      <c r="BD108" s="923">
        <f t="shared" si="301"/>
        <v>4361</v>
      </c>
      <c r="BE108" s="924">
        <f t="shared" si="301"/>
        <v>4361</v>
      </c>
      <c r="BF108" s="923">
        <f t="shared" si="301"/>
        <v>4268</v>
      </c>
      <c r="BG108" s="923">
        <f t="shared" si="301"/>
        <v>3887</v>
      </c>
      <c r="BH108" s="923">
        <f t="shared" si="301"/>
        <v>3849</v>
      </c>
      <c r="BI108" s="923">
        <f t="shared" si="301"/>
        <v>1732</v>
      </c>
      <c r="BJ108" s="924">
        <f t="shared" si="301"/>
        <v>1732</v>
      </c>
      <c r="BK108" s="923">
        <f t="shared" si="301"/>
        <v>1723</v>
      </c>
      <c r="BL108" s="923">
        <f t="shared" si="301"/>
        <v>1709</v>
      </c>
      <c r="BM108" s="923">
        <f t="shared" si="301"/>
        <v>1324</v>
      </c>
      <c r="BN108" s="923">
        <f t="shared" si="301"/>
        <v>1021</v>
      </c>
      <c r="BO108" s="844">
        <f t="shared" si="301"/>
        <v>1021</v>
      </c>
      <c r="BP108" s="843">
        <f t="shared" si="301"/>
        <v>1099</v>
      </c>
      <c r="BQ108" s="843">
        <f t="shared" si="301"/>
        <v>707</v>
      </c>
      <c r="BR108" s="843">
        <f t="shared" si="301"/>
        <v>631</v>
      </c>
      <c r="BS108" s="843">
        <f t="shared" si="301"/>
        <v>264</v>
      </c>
      <c r="BT108" s="844">
        <f t="shared" si="301"/>
        <v>264</v>
      </c>
      <c r="BU108" s="843">
        <f t="shared" si="301"/>
        <v>167</v>
      </c>
      <c r="BV108" s="843">
        <f t="shared" si="301"/>
        <v>149</v>
      </c>
      <c r="BW108" s="843">
        <f t="shared" si="301"/>
        <v>101</v>
      </c>
      <c r="BX108" s="843">
        <f t="shared" si="301"/>
        <v>54</v>
      </c>
      <c r="BY108" s="844">
        <f t="shared" si="301"/>
        <v>54</v>
      </c>
      <c r="BZ108" s="843">
        <f t="shared" si="301"/>
        <v>32</v>
      </c>
      <c r="CA108" s="843">
        <f t="shared" si="301"/>
        <v>29</v>
      </c>
      <c r="CB108" s="843">
        <f t="shared" si="301"/>
        <v>136</v>
      </c>
      <c r="CC108" s="843">
        <f t="shared" si="301"/>
        <v>103</v>
      </c>
      <c r="CD108" s="844">
        <f t="shared" si="301"/>
        <v>103</v>
      </c>
      <c r="CE108" s="843">
        <f t="shared" si="301"/>
        <v>291</v>
      </c>
      <c r="CF108" s="843">
        <f t="shared" si="301"/>
        <v>286</v>
      </c>
      <c r="CG108" s="843">
        <f t="shared" ref="CG108:DK108" si="302">SUM(CG100:CG107)</f>
        <v>626</v>
      </c>
      <c r="CH108" s="843">
        <f t="shared" si="302"/>
        <v>646</v>
      </c>
      <c r="CI108" s="844">
        <f t="shared" si="302"/>
        <v>646</v>
      </c>
      <c r="CJ108" s="843">
        <f t="shared" si="302"/>
        <v>739</v>
      </c>
      <c r="CK108" s="843">
        <f t="shared" si="302"/>
        <v>772</v>
      </c>
      <c r="CL108" s="843">
        <f t="shared" si="302"/>
        <v>1711</v>
      </c>
      <c r="CM108" s="843">
        <f t="shared" si="302"/>
        <v>1766</v>
      </c>
      <c r="CN108" s="844">
        <f t="shared" si="302"/>
        <v>1766</v>
      </c>
      <c r="CO108" s="843">
        <f t="shared" si="302"/>
        <v>1844</v>
      </c>
      <c r="CP108" s="843">
        <f t="shared" si="302"/>
        <v>1810</v>
      </c>
      <c r="CQ108" s="843">
        <f t="shared" si="302"/>
        <v>1698</v>
      </c>
      <c r="CR108" s="843">
        <f t="shared" si="302"/>
        <v>1423</v>
      </c>
      <c r="CS108" s="844">
        <f t="shared" si="302"/>
        <v>1423</v>
      </c>
      <c r="CT108" s="843">
        <f t="shared" si="302"/>
        <v>1460</v>
      </c>
      <c r="CU108" s="843">
        <f t="shared" si="302"/>
        <v>1176</v>
      </c>
      <c r="CV108" s="843">
        <f t="shared" si="302"/>
        <v>1224</v>
      </c>
      <c r="CW108" s="843">
        <f t="shared" si="302"/>
        <v>1143</v>
      </c>
      <c r="CX108" s="844">
        <f t="shared" si="302"/>
        <v>1143</v>
      </c>
      <c r="CY108" s="843">
        <f t="shared" si="302"/>
        <v>969</v>
      </c>
      <c r="CZ108" s="843">
        <f t="shared" si="302"/>
        <v>895</v>
      </c>
      <c r="DA108" s="843">
        <f t="shared" si="302"/>
        <v>825</v>
      </c>
      <c r="DB108" s="843">
        <f t="shared" si="302"/>
        <v>755</v>
      </c>
      <c r="DC108" s="844">
        <f t="shared" si="302"/>
        <v>755</v>
      </c>
      <c r="DD108" s="843">
        <f t="shared" si="302"/>
        <v>728</v>
      </c>
      <c r="DE108" s="843">
        <f t="shared" si="302"/>
        <v>723</v>
      </c>
      <c r="DF108" s="843">
        <f t="shared" si="302"/>
        <v>735</v>
      </c>
      <c r="DG108" s="843">
        <f t="shared" si="302"/>
        <v>651</v>
      </c>
      <c r="DH108" s="844">
        <f t="shared" si="302"/>
        <v>651</v>
      </c>
      <c r="DI108" s="843">
        <f t="shared" si="302"/>
        <v>839</v>
      </c>
      <c r="DJ108" s="843">
        <f t="shared" si="302"/>
        <v>803</v>
      </c>
      <c r="DK108" s="843">
        <f t="shared" si="302"/>
        <v>802</v>
      </c>
      <c r="DL108" s="843">
        <f t="shared" ref="DL108:DW108" si="303">SUM(DL100:DL107)</f>
        <v>691</v>
      </c>
      <c r="DM108" s="844">
        <f t="shared" si="303"/>
        <v>691</v>
      </c>
      <c r="DN108" s="843">
        <f t="shared" si="303"/>
        <v>625</v>
      </c>
      <c r="DO108" s="843">
        <f t="shared" si="303"/>
        <v>523</v>
      </c>
      <c r="DP108" s="843">
        <f t="shared" si="303"/>
        <v>528</v>
      </c>
      <c r="DQ108" s="843">
        <f t="shared" si="303"/>
        <v>417</v>
      </c>
      <c r="DR108" s="844">
        <f t="shared" si="303"/>
        <v>417</v>
      </c>
      <c r="DS108" s="843">
        <f t="shared" si="303"/>
        <v>430</v>
      </c>
      <c r="DT108" s="843">
        <f t="shared" si="303"/>
        <v>360</v>
      </c>
      <c r="DU108" s="843">
        <f t="shared" si="303"/>
        <v>81</v>
      </c>
      <c r="DV108" s="843">
        <f t="shared" si="303"/>
        <v>202</v>
      </c>
      <c r="DW108" s="844">
        <f t="shared" si="303"/>
        <v>-147</v>
      </c>
      <c r="DX108" s="843">
        <f t="shared" ref="DX108:EG108" si="304">SUM(DX100:DX107)</f>
        <v>-30.993159957341504</v>
      </c>
      <c r="DY108" s="843">
        <f t="shared" si="304"/>
        <v>126.27026407565745</v>
      </c>
      <c r="DZ108" s="843">
        <f t="shared" si="304"/>
        <v>286.75547961646885</v>
      </c>
      <c r="EA108" s="843">
        <f t="shared" si="304"/>
        <v>438.61414718892888</v>
      </c>
      <c r="EB108" s="844">
        <f t="shared" si="304"/>
        <v>438.61414718892911</v>
      </c>
      <c r="EC108" s="843">
        <f t="shared" si="304"/>
        <v>602.58870746944626</v>
      </c>
      <c r="ED108" s="843">
        <f t="shared" si="304"/>
        <v>760.86636546339332</v>
      </c>
      <c r="EE108" s="843">
        <f t="shared" si="304"/>
        <v>924.49582048603861</v>
      </c>
      <c r="EF108" s="843">
        <f t="shared" si="304"/>
        <v>1108.0301154522924</v>
      </c>
      <c r="EG108" s="844">
        <f t="shared" si="304"/>
        <v>1108.0301154522926</v>
      </c>
      <c r="EH108" s="843">
        <f t="shared" ref="EH108:EL108" si="305">SUM(EH100:EH107)</f>
        <v>1285.9714665849858</v>
      </c>
      <c r="EI108" s="843">
        <f t="shared" si="305"/>
        <v>1468.4878419094509</v>
      </c>
      <c r="EJ108" s="843">
        <f t="shared" si="305"/>
        <v>1649.4239460548802</v>
      </c>
      <c r="EK108" s="843">
        <f t="shared" si="305"/>
        <v>1824.8050192783087</v>
      </c>
      <c r="EL108" s="844">
        <f t="shared" si="305"/>
        <v>1824.8050192783085</v>
      </c>
      <c r="EM108" s="561"/>
      <c r="EN108"/>
      <c r="EO108"/>
      <c r="EP108"/>
      <c r="EQ108"/>
      <c r="ER108"/>
      <c r="ES108"/>
      <c r="ET108" s="141"/>
      <c r="EU108" s="141"/>
      <c r="EV108" s="141"/>
      <c r="EW108" s="141"/>
      <c r="EX108" s="141"/>
      <c r="EY108" s="141"/>
      <c r="EZ108" s="141"/>
      <c r="FA108" s="141"/>
      <c r="FB108" s="141"/>
      <c r="FC108" s="141"/>
      <c r="FD108" s="141"/>
      <c r="FE108" s="141"/>
      <c r="FF108" s="141"/>
      <c r="FG108" s="141"/>
      <c r="FH108" s="141"/>
      <c r="FI108" s="141"/>
      <c r="FJ108" s="141"/>
      <c r="FK108" s="141"/>
      <c r="FL108" s="141"/>
      <c r="FM108" s="141"/>
      <c r="FN108" s="141"/>
      <c r="FO108" s="141"/>
      <c r="FP108" s="141"/>
      <c r="FQ108" s="141"/>
      <c r="FR108" s="141"/>
      <c r="FS108" s="141"/>
      <c r="FT108" s="141"/>
      <c r="FU108" s="141"/>
      <c r="FV108" s="141"/>
      <c r="FW108" s="141"/>
      <c r="FX108" s="141"/>
      <c r="FY108" s="141"/>
      <c r="FZ108" s="141"/>
      <c r="GA108" s="141"/>
      <c r="GB108" s="141"/>
      <c r="GC108" s="141"/>
      <c r="GD108" s="141"/>
      <c r="GE108" s="141"/>
      <c r="GF108" s="141"/>
      <c r="GG108" s="141"/>
      <c r="GH108" s="141"/>
      <c r="GI108" s="141"/>
      <c r="GJ108" s="141"/>
      <c r="GK108" s="141"/>
      <c r="GL108" s="141"/>
      <c r="GM108" s="141"/>
      <c r="GN108" s="141"/>
      <c r="GO108" s="141"/>
      <c r="GP108" s="141"/>
      <c r="GQ108" s="141"/>
      <c r="GR108" s="141"/>
      <c r="GS108" s="141"/>
      <c r="GT108" s="141"/>
      <c r="GU108" s="141"/>
      <c r="GV108" s="141"/>
      <c r="GW108" s="141"/>
      <c r="GX108" s="141"/>
      <c r="GY108" s="141"/>
      <c r="GZ108" s="141"/>
      <c r="HA108" s="141"/>
      <c r="HB108" s="141"/>
      <c r="HC108" s="141"/>
      <c r="HD108" s="141"/>
      <c r="HE108" s="141"/>
      <c r="HF108" s="141"/>
      <c r="HG108" s="141"/>
      <c r="HH108" s="141"/>
      <c r="HI108" s="141"/>
      <c r="HJ108" s="141"/>
      <c r="HK108" s="141"/>
      <c r="HL108" s="141"/>
      <c r="HM108" s="141"/>
      <c r="HN108" s="141"/>
      <c r="HO108" s="141"/>
      <c r="HP108" s="141"/>
      <c r="HQ108" s="141"/>
      <c r="HR108" s="141"/>
      <c r="HS108" s="141"/>
      <c r="HT108" s="141"/>
      <c r="HU108" s="141"/>
      <c r="HV108" s="141"/>
      <c r="HW108" s="141"/>
      <c r="HX108" s="141"/>
      <c r="HY108" s="141"/>
      <c r="HZ108" s="141"/>
      <c r="IA108" s="141"/>
      <c r="IB108" s="141"/>
      <c r="IC108" s="141"/>
      <c r="ID108" s="141"/>
      <c r="IE108" s="141"/>
      <c r="IF108" s="141"/>
      <c r="IG108" s="141"/>
      <c r="IH108" s="141"/>
      <c r="II108" s="141"/>
      <c r="IJ108" s="141"/>
      <c r="IK108" s="141"/>
      <c r="IL108" s="141"/>
      <c r="IM108" s="141"/>
      <c r="IN108" s="141"/>
      <c r="IO108" s="141"/>
      <c r="IP108" s="141"/>
      <c r="IQ108" s="141"/>
      <c r="IR108" s="141"/>
      <c r="IS108" s="141"/>
      <c r="IT108" s="141"/>
      <c r="IU108" s="141"/>
      <c r="IV108" s="141"/>
      <c r="IW108" s="141"/>
      <c r="IX108" s="141"/>
      <c r="IY108" s="141"/>
      <c r="IZ108" s="141"/>
      <c r="JA108" s="141"/>
      <c r="JB108" s="141"/>
      <c r="JC108" s="141"/>
      <c r="JD108" s="141"/>
      <c r="JE108" s="141"/>
      <c r="JF108" s="141"/>
      <c r="JG108" s="141"/>
      <c r="JH108" s="141"/>
    </row>
    <row r="109" spans="1:268" s="142" customFormat="1" ht="12" hidden="1" customHeight="1" outlineLevel="1">
      <c r="A109" s="801"/>
      <c r="B109" s="557" t="s">
        <v>31</v>
      </c>
      <c r="C109" s="843"/>
      <c r="D109" s="843">
        <f t="shared" ref="D109:AT109" si="306">D50</f>
        <v>1388.164</v>
      </c>
      <c r="E109" s="843">
        <f t="shared" si="306"/>
        <v>1434.6</v>
      </c>
      <c r="F109" s="843">
        <f t="shared" si="306"/>
        <v>1485</v>
      </c>
      <c r="G109" s="843">
        <f t="shared" si="306"/>
        <v>1986</v>
      </c>
      <c r="H109" s="844">
        <f t="shared" si="306"/>
        <v>1986</v>
      </c>
      <c r="I109" s="843">
        <f t="shared" si="306"/>
        <v>2105.9</v>
      </c>
      <c r="J109" s="843">
        <f t="shared" si="306"/>
        <v>2355</v>
      </c>
      <c r="K109" s="843">
        <f t="shared" si="306"/>
        <v>2655.8</v>
      </c>
      <c r="L109" s="843">
        <f t="shared" si="306"/>
        <v>2636</v>
      </c>
      <c r="M109" s="844">
        <f t="shared" si="306"/>
        <v>2636</v>
      </c>
      <c r="N109" s="843">
        <f t="shared" si="306"/>
        <v>2763.8</v>
      </c>
      <c r="O109" s="843">
        <f t="shared" si="306"/>
        <v>2846.2000000000003</v>
      </c>
      <c r="P109" s="843">
        <f t="shared" si="306"/>
        <v>3474.8</v>
      </c>
      <c r="Q109" s="843">
        <f t="shared" si="306"/>
        <v>3224</v>
      </c>
      <c r="R109" s="844">
        <f t="shared" si="306"/>
        <v>3224</v>
      </c>
      <c r="S109" s="843">
        <f t="shared" si="306"/>
        <v>3381</v>
      </c>
      <c r="T109" s="843">
        <f t="shared" si="306"/>
        <v>3460</v>
      </c>
      <c r="U109" s="843">
        <f t="shared" si="306"/>
        <v>3693</v>
      </c>
      <c r="V109" s="843">
        <f t="shared" si="306"/>
        <v>3558</v>
      </c>
      <c r="W109" s="844">
        <f t="shared" si="306"/>
        <v>3558</v>
      </c>
      <c r="X109" s="843">
        <f t="shared" si="306"/>
        <v>3663</v>
      </c>
      <c r="Y109" s="843">
        <f t="shared" si="306"/>
        <v>3864</v>
      </c>
      <c r="Z109" s="843">
        <f t="shared" si="306"/>
        <v>3973</v>
      </c>
      <c r="AA109" s="843">
        <f t="shared" si="306"/>
        <v>3870</v>
      </c>
      <c r="AB109" s="844">
        <f t="shared" si="306"/>
        <v>3870</v>
      </c>
      <c r="AC109" s="843">
        <f t="shared" si="306"/>
        <v>3952</v>
      </c>
      <c r="AD109" s="843">
        <f t="shared" si="306"/>
        <v>4089</v>
      </c>
      <c r="AE109" s="843">
        <f t="shared" si="306"/>
        <v>4103</v>
      </c>
      <c r="AF109" s="843">
        <f t="shared" si="306"/>
        <v>4066</v>
      </c>
      <c r="AG109" s="844">
        <f t="shared" si="306"/>
        <v>4066</v>
      </c>
      <c r="AH109" s="843">
        <f t="shared" si="306"/>
        <v>4293</v>
      </c>
      <c r="AI109" s="843">
        <f t="shared" si="306"/>
        <v>4584</v>
      </c>
      <c r="AJ109" s="843">
        <f t="shared" si="306"/>
        <v>4940</v>
      </c>
      <c r="AK109" s="843">
        <f t="shared" si="306"/>
        <v>5079</v>
      </c>
      <c r="AL109" s="844">
        <f t="shared" si="306"/>
        <v>5079</v>
      </c>
      <c r="AM109" s="843">
        <f t="shared" si="306"/>
        <v>5284</v>
      </c>
      <c r="AN109" s="843">
        <f t="shared" si="306"/>
        <v>5301</v>
      </c>
      <c r="AO109" s="843">
        <f t="shared" si="306"/>
        <v>5465</v>
      </c>
      <c r="AP109" s="843">
        <f t="shared" si="306"/>
        <v>5619</v>
      </c>
      <c r="AQ109" s="844">
        <f t="shared" si="306"/>
        <v>5619</v>
      </c>
      <c r="AR109" s="843">
        <f t="shared" si="306"/>
        <v>5881</v>
      </c>
      <c r="AS109" s="843">
        <f t="shared" si="306"/>
        <v>5893</v>
      </c>
      <c r="AT109" s="843">
        <f t="shared" si="306"/>
        <v>5762</v>
      </c>
      <c r="AU109" s="802"/>
      <c r="AV109" s="555"/>
      <c r="AW109" s="555"/>
      <c r="AX109" s="555"/>
      <c r="AY109" s="555"/>
      <c r="AZ109" s="802"/>
      <c r="BA109" s="843">
        <f t="shared" ref="BA109:CF109" si="307">BA50</f>
        <v>5743</v>
      </c>
      <c r="BB109" s="843">
        <f t="shared" si="307"/>
        <v>5531</v>
      </c>
      <c r="BC109" s="843">
        <f t="shared" si="307"/>
        <v>5272</v>
      </c>
      <c r="BD109" s="843">
        <f t="shared" si="307"/>
        <v>4361</v>
      </c>
      <c r="BE109" s="844">
        <f t="shared" si="307"/>
        <v>4361</v>
      </c>
      <c r="BF109" s="843">
        <f t="shared" si="307"/>
        <v>4268</v>
      </c>
      <c r="BG109" s="843">
        <f t="shared" si="307"/>
        <v>3887</v>
      </c>
      <c r="BH109" s="843">
        <f t="shared" si="307"/>
        <v>3849</v>
      </c>
      <c r="BI109" s="843">
        <f t="shared" si="307"/>
        <v>1732</v>
      </c>
      <c r="BJ109" s="844">
        <f t="shared" si="307"/>
        <v>1732</v>
      </c>
      <c r="BK109" s="843">
        <f t="shared" si="307"/>
        <v>1723</v>
      </c>
      <c r="BL109" s="843">
        <f t="shared" si="307"/>
        <v>1709</v>
      </c>
      <c r="BM109" s="843">
        <f t="shared" si="307"/>
        <v>1324</v>
      </c>
      <c r="BN109" s="843">
        <f t="shared" si="307"/>
        <v>1021</v>
      </c>
      <c r="BO109" s="844">
        <f t="shared" si="307"/>
        <v>1021</v>
      </c>
      <c r="BP109" s="843">
        <f t="shared" si="307"/>
        <v>1099</v>
      </c>
      <c r="BQ109" s="843">
        <f t="shared" si="307"/>
        <v>707</v>
      </c>
      <c r="BR109" s="843">
        <f t="shared" si="307"/>
        <v>631</v>
      </c>
      <c r="BS109" s="843">
        <f t="shared" si="307"/>
        <v>264</v>
      </c>
      <c r="BT109" s="844">
        <f t="shared" si="307"/>
        <v>264</v>
      </c>
      <c r="BU109" s="843">
        <f t="shared" si="307"/>
        <v>167</v>
      </c>
      <c r="BV109" s="843">
        <f t="shared" si="307"/>
        <v>149</v>
      </c>
      <c r="BW109" s="843">
        <f t="shared" si="307"/>
        <v>101</v>
      </c>
      <c r="BX109" s="843">
        <f t="shared" si="307"/>
        <v>54</v>
      </c>
      <c r="BY109" s="844">
        <f t="shared" si="307"/>
        <v>54</v>
      </c>
      <c r="BZ109" s="843">
        <f t="shared" si="307"/>
        <v>32</v>
      </c>
      <c r="CA109" s="843">
        <f t="shared" si="307"/>
        <v>29</v>
      </c>
      <c r="CB109" s="843">
        <f t="shared" si="307"/>
        <v>136</v>
      </c>
      <c r="CC109" s="843">
        <f t="shared" si="307"/>
        <v>103</v>
      </c>
      <c r="CD109" s="844">
        <f t="shared" si="307"/>
        <v>103</v>
      </c>
      <c r="CE109" s="843">
        <f t="shared" si="307"/>
        <v>291</v>
      </c>
      <c r="CF109" s="843">
        <f t="shared" si="307"/>
        <v>286</v>
      </c>
      <c r="CG109" s="843">
        <f t="shared" ref="CG109:DK109" si="308">CG50</f>
        <v>626</v>
      </c>
      <c r="CH109" s="843">
        <f t="shared" si="308"/>
        <v>646</v>
      </c>
      <c r="CI109" s="844">
        <f t="shared" si="308"/>
        <v>646</v>
      </c>
      <c r="CJ109" s="843">
        <f t="shared" si="308"/>
        <v>739</v>
      </c>
      <c r="CK109" s="843">
        <f t="shared" si="308"/>
        <v>772</v>
      </c>
      <c r="CL109" s="843">
        <f t="shared" si="308"/>
        <v>1711</v>
      </c>
      <c r="CM109" s="843">
        <f t="shared" si="308"/>
        <v>1766</v>
      </c>
      <c r="CN109" s="844">
        <f t="shared" si="308"/>
        <v>1766</v>
      </c>
      <c r="CO109" s="843">
        <f t="shared" si="308"/>
        <v>1844</v>
      </c>
      <c r="CP109" s="843">
        <f t="shared" si="308"/>
        <v>1810</v>
      </c>
      <c r="CQ109" s="843">
        <f t="shared" si="308"/>
        <v>1698</v>
      </c>
      <c r="CR109" s="843">
        <f t="shared" si="308"/>
        <v>1423</v>
      </c>
      <c r="CS109" s="844">
        <f t="shared" si="308"/>
        <v>1423</v>
      </c>
      <c r="CT109" s="843">
        <f t="shared" si="308"/>
        <v>1460</v>
      </c>
      <c r="CU109" s="843">
        <f t="shared" si="308"/>
        <v>1176</v>
      </c>
      <c r="CV109" s="843">
        <f t="shared" si="308"/>
        <v>1224</v>
      </c>
      <c r="CW109" s="843">
        <f t="shared" si="308"/>
        <v>1143</v>
      </c>
      <c r="CX109" s="844">
        <f t="shared" si="308"/>
        <v>1143</v>
      </c>
      <c r="CY109" s="843">
        <f t="shared" si="308"/>
        <v>969</v>
      </c>
      <c r="CZ109" s="843">
        <f t="shared" si="308"/>
        <v>895</v>
      </c>
      <c r="DA109" s="843">
        <f t="shared" si="308"/>
        <v>825</v>
      </c>
      <c r="DB109" s="843">
        <f t="shared" si="308"/>
        <v>755</v>
      </c>
      <c r="DC109" s="844">
        <f t="shared" si="308"/>
        <v>755</v>
      </c>
      <c r="DD109" s="843">
        <f t="shared" si="308"/>
        <v>728</v>
      </c>
      <c r="DE109" s="843">
        <f t="shared" si="308"/>
        <v>723</v>
      </c>
      <c r="DF109" s="843">
        <f t="shared" si="308"/>
        <v>735</v>
      </c>
      <c r="DG109" s="843">
        <f t="shared" si="308"/>
        <v>651</v>
      </c>
      <c r="DH109" s="844">
        <f t="shared" si="308"/>
        <v>651</v>
      </c>
      <c r="DI109" s="843">
        <f t="shared" si="308"/>
        <v>839</v>
      </c>
      <c r="DJ109" s="843">
        <f t="shared" si="308"/>
        <v>803</v>
      </c>
      <c r="DK109" s="843">
        <f t="shared" si="308"/>
        <v>802</v>
      </c>
      <c r="DL109" s="843">
        <f t="shared" ref="DL109:DW109" si="309">DL50</f>
        <v>691</v>
      </c>
      <c r="DM109" s="844">
        <f t="shared" si="309"/>
        <v>691</v>
      </c>
      <c r="DN109" s="843">
        <f t="shared" si="309"/>
        <v>625</v>
      </c>
      <c r="DO109" s="843">
        <f t="shared" si="309"/>
        <v>523</v>
      </c>
      <c r="DP109" s="843">
        <f t="shared" si="309"/>
        <v>528</v>
      </c>
      <c r="DQ109" s="843">
        <f t="shared" si="309"/>
        <v>417</v>
      </c>
      <c r="DR109" s="844">
        <f t="shared" si="309"/>
        <v>417</v>
      </c>
      <c r="DS109" s="843">
        <f t="shared" si="309"/>
        <v>430</v>
      </c>
      <c r="DT109" s="843">
        <f t="shared" si="309"/>
        <v>373</v>
      </c>
      <c r="DU109" s="843">
        <f t="shared" si="309"/>
        <v>24</v>
      </c>
      <c r="DV109" s="843">
        <f t="shared" ref="DV109" si="310">DV50</f>
        <v>-147</v>
      </c>
      <c r="DW109" s="844">
        <f t="shared" si="309"/>
        <v>-147</v>
      </c>
      <c r="DX109" s="843">
        <f t="shared" ref="DX109:EG109" si="311">DX50</f>
        <v>-30.993159957341504</v>
      </c>
      <c r="DY109" s="843">
        <f t="shared" si="311"/>
        <v>126.27026407565745</v>
      </c>
      <c r="DZ109" s="843">
        <f t="shared" si="311"/>
        <v>286.75547961646862</v>
      </c>
      <c r="EA109" s="843">
        <f t="shared" si="311"/>
        <v>438.61414718892911</v>
      </c>
      <c r="EB109" s="844">
        <f t="shared" si="311"/>
        <v>438.61414718892911</v>
      </c>
      <c r="EC109" s="843">
        <f t="shared" si="311"/>
        <v>602.58870746944649</v>
      </c>
      <c r="ED109" s="843">
        <f t="shared" si="311"/>
        <v>760.86636546339287</v>
      </c>
      <c r="EE109" s="843">
        <f t="shared" si="311"/>
        <v>924.49582048603861</v>
      </c>
      <c r="EF109" s="843">
        <f t="shared" si="311"/>
        <v>1108.0301154522926</v>
      </c>
      <c r="EG109" s="844">
        <f t="shared" si="311"/>
        <v>1108.0301154522926</v>
      </c>
      <c r="EH109" s="843">
        <f t="shared" ref="EH109:EL109" si="312">EH50</f>
        <v>1285.971466584986</v>
      </c>
      <c r="EI109" s="843">
        <f t="shared" si="312"/>
        <v>1468.4878419094507</v>
      </c>
      <c r="EJ109" s="843">
        <f t="shared" si="312"/>
        <v>1649.4239460548802</v>
      </c>
      <c r="EK109" s="843">
        <f t="shared" si="312"/>
        <v>1824.8050192783085</v>
      </c>
      <c r="EL109" s="844">
        <f t="shared" si="312"/>
        <v>1824.8050192783085</v>
      </c>
      <c r="EM109" s="561"/>
      <c r="EN109"/>
      <c r="EO109"/>
      <c r="EP109"/>
      <c r="EQ109"/>
      <c r="ER109"/>
      <c r="ES109"/>
      <c r="ET109" s="141"/>
      <c r="EU109" s="141"/>
      <c r="EV109" s="141"/>
      <c r="EW109" s="141"/>
      <c r="EX109" s="141"/>
      <c r="EY109" s="141"/>
      <c r="EZ109" s="141"/>
      <c r="FA109" s="141"/>
      <c r="FB109" s="141"/>
      <c r="FC109" s="141"/>
      <c r="FD109" s="141"/>
      <c r="FE109" s="141"/>
      <c r="FF109" s="141"/>
      <c r="FG109" s="141"/>
      <c r="FH109" s="141"/>
      <c r="FI109" s="141"/>
      <c r="FJ109" s="141"/>
      <c r="FK109" s="141"/>
      <c r="FL109" s="141"/>
      <c r="FM109" s="141"/>
      <c r="FN109" s="141"/>
      <c r="FO109" s="141"/>
      <c r="FP109" s="141"/>
      <c r="FQ109" s="141"/>
      <c r="FR109" s="141"/>
      <c r="FS109" s="141"/>
      <c r="FT109" s="141"/>
      <c r="FU109" s="141"/>
      <c r="FV109" s="141"/>
      <c r="FW109" s="141"/>
      <c r="FX109" s="141"/>
      <c r="FY109" s="141"/>
      <c r="FZ109" s="141"/>
      <c r="GA109" s="141"/>
      <c r="GB109" s="141"/>
      <c r="GC109" s="141"/>
      <c r="GD109" s="141"/>
      <c r="GE109" s="141"/>
      <c r="GF109" s="141"/>
      <c r="GG109" s="141"/>
      <c r="GH109" s="141"/>
      <c r="GI109" s="141"/>
      <c r="GJ109" s="141"/>
      <c r="GK109" s="141"/>
      <c r="GL109" s="141"/>
      <c r="GM109" s="141"/>
      <c r="GN109" s="141"/>
      <c r="GO109" s="141"/>
      <c r="GP109" s="141"/>
      <c r="GQ109" s="141"/>
      <c r="GR109" s="141"/>
      <c r="GS109" s="141"/>
      <c r="GT109" s="141"/>
      <c r="GU109" s="141"/>
      <c r="GV109" s="141"/>
      <c r="GW109" s="141"/>
      <c r="GX109" s="141"/>
      <c r="GY109" s="141"/>
      <c r="GZ109" s="141"/>
      <c r="HA109" s="141"/>
      <c r="HB109" s="141"/>
      <c r="HC109" s="141"/>
      <c r="HD109" s="141"/>
      <c r="HE109" s="141"/>
      <c r="HF109" s="141"/>
      <c r="HG109" s="141"/>
      <c r="HH109" s="141"/>
      <c r="HI109" s="141"/>
      <c r="HJ109" s="141"/>
      <c r="HK109" s="141"/>
      <c r="HL109" s="141"/>
      <c r="HM109" s="141"/>
      <c r="HN109" s="141"/>
      <c r="HO109" s="141"/>
      <c r="HP109" s="141"/>
      <c r="HQ109" s="141"/>
      <c r="HR109" s="141"/>
      <c r="HS109" s="141"/>
      <c r="HT109" s="141"/>
      <c r="HU109" s="141"/>
      <c r="HV109" s="141"/>
      <c r="HW109" s="141"/>
      <c r="HX109" s="141"/>
      <c r="HY109" s="141"/>
      <c r="HZ109" s="141"/>
      <c r="IA109" s="141"/>
      <c r="IB109" s="141"/>
      <c r="IC109" s="141"/>
      <c r="ID109" s="141"/>
      <c r="IE109" s="141"/>
      <c r="IF109" s="141"/>
      <c r="IG109" s="141"/>
      <c r="IH109" s="141"/>
      <c r="II109" s="141"/>
      <c r="IJ109" s="141"/>
      <c r="IK109" s="141"/>
      <c r="IL109" s="141"/>
      <c r="IM109" s="141"/>
      <c r="IN109" s="141"/>
      <c r="IO109" s="141"/>
      <c r="IP109" s="141"/>
      <c r="IQ109" s="141"/>
      <c r="IR109" s="141"/>
      <c r="IS109" s="141"/>
      <c r="IT109" s="141"/>
      <c r="IU109" s="141"/>
      <c r="IV109" s="141"/>
      <c r="IW109" s="141"/>
      <c r="IX109" s="141"/>
      <c r="IY109" s="141"/>
      <c r="IZ109" s="141"/>
      <c r="JA109" s="141"/>
      <c r="JB109" s="141"/>
      <c r="JC109" s="141"/>
      <c r="JD109" s="141"/>
      <c r="JE109" s="141"/>
      <c r="JF109" s="141"/>
      <c r="JG109" s="141"/>
      <c r="JH109" s="141"/>
    </row>
    <row r="110" spans="1:268" s="142" customFormat="1" hidden="1" outlineLevel="1">
      <c r="A110" s="801"/>
      <c r="B110" s="557" t="s">
        <v>32</v>
      </c>
      <c r="C110" s="843"/>
      <c r="D110" s="843">
        <f t="shared" ref="D110:AT110" si="313">D108-D109</f>
        <v>0</v>
      </c>
      <c r="E110" s="843">
        <f t="shared" si="313"/>
        <v>0</v>
      </c>
      <c r="F110" s="843">
        <f t="shared" si="313"/>
        <v>0</v>
      </c>
      <c r="G110" s="843">
        <f t="shared" si="313"/>
        <v>0</v>
      </c>
      <c r="H110" s="844">
        <f t="shared" si="313"/>
        <v>0</v>
      </c>
      <c r="I110" s="843">
        <f t="shared" si="313"/>
        <v>0</v>
      </c>
      <c r="J110" s="843">
        <f t="shared" si="313"/>
        <v>0</v>
      </c>
      <c r="K110" s="843">
        <f t="shared" si="313"/>
        <v>0</v>
      </c>
      <c r="L110" s="843">
        <f t="shared" si="313"/>
        <v>0</v>
      </c>
      <c r="M110" s="844">
        <f t="shared" si="313"/>
        <v>0</v>
      </c>
      <c r="N110" s="843">
        <f t="shared" si="313"/>
        <v>0</v>
      </c>
      <c r="O110" s="843">
        <f t="shared" si="313"/>
        <v>0</v>
      </c>
      <c r="P110" s="843">
        <f t="shared" si="313"/>
        <v>0</v>
      </c>
      <c r="Q110" s="843">
        <f t="shared" si="313"/>
        <v>0</v>
      </c>
      <c r="R110" s="844">
        <f t="shared" si="313"/>
        <v>0</v>
      </c>
      <c r="S110" s="843">
        <f t="shared" si="313"/>
        <v>0</v>
      </c>
      <c r="T110" s="843">
        <f t="shared" si="313"/>
        <v>0</v>
      </c>
      <c r="U110" s="843">
        <f t="shared" si="313"/>
        <v>0</v>
      </c>
      <c r="V110" s="843">
        <f t="shared" si="313"/>
        <v>0</v>
      </c>
      <c r="W110" s="844">
        <f t="shared" si="313"/>
        <v>0</v>
      </c>
      <c r="X110" s="843">
        <f t="shared" si="313"/>
        <v>0</v>
      </c>
      <c r="Y110" s="843">
        <f t="shared" si="313"/>
        <v>0</v>
      </c>
      <c r="Z110" s="843">
        <f t="shared" si="313"/>
        <v>0</v>
      </c>
      <c r="AA110" s="843">
        <f t="shared" si="313"/>
        <v>0</v>
      </c>
      <c r="AB110" s="844">
        <f t="shared" si="313"/>
        <v>0</v>
      </c>
      <c r="AC110" s="843">
        <f t="shared" si="313"/>
        <v>0</v>
      </c>
      <c r="AD110" s="843">
        <f t="shared" si="313"/>
        <v>0</v>
      </c>
      <c r="AE110" s="843">
        <f t="shared" si="313"/>
        <v>0</v>
      </c>
      <c r="AF110" s="843">
        <f t="shared" si="313"/>
        <v>0</v>
      </c>
      <c r="AG110" s="844">
        <f t="shared" si="313"/>
        <v>0</v>
      </c>
      <c r="AH110" s="843">
        <f t="shared" si="313"/>
        <v>0</v>
      </c>
      <c r="AI110" s="843">
        <f t="shared" si="313"/>
        <v>0</v>
      </c>
      <c r="AJ110" s="843">
        <f t="shared" si="313"/>
        <v>0</v>
      </c>
      <c r="AK110" s="843">
        <f t="shared" si="313"/>
        <v>0</v>
      </c>
      <c r="AL110" s="844">
        <f t="shared" si="313"/>
        <v>0</v>
      </c>
      <c r="AM110" s="843">
        <f t="shared" si="313"/>
        <v>0</v>
      </c>
      <c r="AN110" s="843">
        <f t="shared" si="313"/>
        <v>0</v>
      </c>
      <c r="AO110" s="843">
        <f t="shared" si="313"/>
        <v>0</v>
      </c>
      <c r="AP110" s="843">
        <f t="shared" si="313"/>
        <v>0</v>
      </c>
      <c r="AQ110" s="844">
        <f t="shared" si="313"/>
        <v>0</v>
      </c>
      <c r="AR110" s="843">
        <f t="shared" si="313"/>
        <v>0</v>
      </c>
      <c r="AS110" s="843">
        <f t="shared" si="313"/>
        <v>0</v>
      </c>
      <c r="AT110" s="843">
        <f t="shared" si="313"/>
        <v>0</v>
      </c>
      <c r="AU110" s="802"/>
      <c r="AV110" s="555"/>
      <c r="AW110" s="555"/>
      <c r="AX110" s="555"/>
      <c r="AY110" s="555"/>
      <c r="AZ110" s="802"/>
      <c r="BA110" s="843">
        <f t="shared" ref="BA110:CF110" si="314">BA108-BA109</f>
        <v>0</v>
      </c>
      <c r="BB110" s="843">
        <f t="shared" si="314"/>
        <v>0</v>
      </c>
      <c r="BC110" s="843">
        <f t="shared" si="314"/>
        <v>0</v>
      </c>
      <c r="BD110" s="843">
        <f t="shared" si="314"/>
        <v>0</v>
      </c>
      <c r="BE110" s="844">
        <f t="shared" si="314"/>
        <v>0</v>
      </c>
      <c r="BF110" s="843">
        <f t="shared" si="314"/>
        <v>0</v>
      </c>
      <c r="BG110" s="843">
        <f t="shared" si="314"/>
        <v>0</v>
      </c>
      <c r="BH110" s="843">
        <f t="shared" si="314"/>
        <v>0</v>
      </c>
      <c r="BI110" s="843">
        <f t="shared" si="314"/>
        <v>0</v>
      </c>
      <c r="BJ110" s="844">
        <f t="shared" si="314"/>
        <v>0</v>
      </c>
      <c r="BK110" s="843">
        <f t="shared" si="314"/>
        <v>0</v>
      </c>
      <c r="BL110" s="843">
        <f t="shared" si="314"/>
        <v>0</v>
      </c>
      <c r="BM110" s="843">
        <f t="shared" si="314"/>
        <v>0</v>
      </c>
      <c r="BN110" s="843">
        <f t="shared" si="314"/>
        <v>0</v>
      </c>
      <c r="BO110" s="844">
        <f t="shared" si="314"/>
        <v>0</v>
      </c>
      <c r="BP110" s="843">
        <f t="shared" si="314"/>
        <v>0</v>
      </c>
      <c r="BQ110" s="843">
        <f t="shared" si="314"/>
        <v>0</v>
      </c>
      <c r="BR110" s="843">
        <f t="shared" si="314"/>
        <v>0</v>
      </c>
      <c r="BS110" s="843">
        <f t="shared" si="314"/>
        <v>0</v>
      </c>
      <c r="BT110" s="844">
        <f t="shared" si="314"/>
        <v>0</v>
      </c>
      <c r="BU110" s="843">
        <f t="shared" si="314"/>
        <v>0</v>
      </c>
      <c r="BV110" s="843">
        <f t="shared" si="314"/>
        <v>0</v>
      </c>
      <c r="BW110" s="843">
        <f t="shared" si="314"/>
        <v>0</v>
      </c>
      <c r="BX110" s="843">
        <f t="shared" si="314"/>
        <v>0</v>
      </c>
      <c r="BY110" s="844">
        <f t="shared" si="314"/>
        <v>0</v>
      </c>
      <c r="BZ110" s="843">
        <f t="shared" si="314"/>
        <v>0</v>
      </c>
      <c r="CA110" s="843">
        <f t="shared" si="314"/>
        <v>0</v>
      </c>
      <c r="CB110" s="843">
        <f t="shared" si="314"/>
        <v>0</v>
      </c>
      <c r="CC110" s="843">
        <f t="shared" si="314"/>
        <v>0</v>
      </c>
      <c r="CD110" s="844">
        <f t="shared" si="314"/>
        <v>0</v>
      </c>
      <c r="CE110" s="843">
        <f t="shared" si="314"/>
        <v>0</v>
      </c>
      <c r="CF110" s="843">
        <f t="shared" si="314"/>
        <v>0</v>
      </c>
      <c r="CG110" s="843">
        <f t="shared" ref="CG110:DK110" si="315">CG108-CG109</f>
        <v>0</v>
      </c>
      <c r="CH110" s="843">
        <f t="shared" si="315"/>
        <v>0</v>
      </c>
      <c r="CI110" s="844">
        <f t="shared" si="315"/>
        <v>0</v>
      </c>
      <c r="CJ110" s="843">
        <f t="shared" si="315"/>
        <v>0</v>
      </c>
      <c r="CK110" s="843">
        <f t="shared" si="315"/>
        <v>0</v>
      </c>
      <c r="CL110" s="843">
        <f t="shared" si="315"/>
        <v>0</v>
      </c>
      <c r="CM110" s="843">
        <f t="shared" si="315"/>
        <v>0</v>
      </c>
      <c r="CN110" s="844">
        <f t="shared" si="315"/>
        <v>0</v>
      </c>
      <c r="CO110" s="843">
        <f t="shared" si="315"/>
        <v>0</v>
      </c>
      <c r="CP110" s="843">
        <f t="shared" si="315"/>
        <v>0</v>
      </c>
      <c r="CQ110" s="843">
        <f t="shared" si="315"/>
        <v>0</v>
      </c>
      <c r="CR110" s="843">
        <f t="shared" si="315"/>
        <v>0</v>
      </c>
      <c r="CS110" s="844">
        <f t="shared" si="315"/>
        <v>0</v>
      </c>
      <c r="CT110" s="843">
        <f t="shared" si="315"/>
        <v>0</v>
      </c>
      <c r="CU110" s="843">
        <f t="shared" si="315"/>
        <v>0</v>
      </c>
      <c r="CV110" s="843">
        <f t="shared" si="315"/>
        <v>0</v>
      </c>
      <c r="CW110" s="843">
        <f t="shared" si="315"/>
        <v>0</v>
      </c>
      <c r="CX110" s="844">
        <f t="shared" si="315"/>
        <v>0</v>
      </c>
      <c r="CY110" s="843">
        <f t="shared" si="315"/>
        <v>0</v>
      </c>
      <c r="CZ110" s="843">
        <f t="shared" si="315"/>
        <v>0</v>
      </c>
      <c r="DA110" s="843">
        <f t="shared" si="315"/>
        <v>0</v>
      </c>
      <c r="DB110" s="843">
        <f t="shared" si="315"/>
        <v>0</v>
      </c>
      <c r="DC110" s="844">
        <f t="shared" si="315"/>
        <v>0</v>
      </c>
      <c r="DD110" s="843">
        <f t="shared" si="315"/>
        <v>0</v>
      </c>
      <c r="DE110" s="843">
        <f t="shared" si="315"/>
        <v>0</v>
      </c>
      <c r="DF110" s="843">
        <f t="shared" si="315"/>
        <v>0</v>
      </c>
      <c r="DG110" s="843">
        <f t="shared" si="315"/>
        <v>0</v>
      </c>
      <c r="DH110" s="844">
        <f t="shared" si="315"/>
        <v>0</v>
      </c>
      <c r="DI110" s="843">
        <f t="shared" si="315"/>
        <v>0</v>
      </c>
      <c r="DJ110" s="843">
        <f t="shared" si="315"/>
        <v>0</v>
      </c>
      <c r="DK110" s="843">
        <f t="shared" si="315"/>
        <v>0</v>
      </c>
      <c r="DL110" s="843">
        <f t="shared" ref="DL110:DW110" si="316">DL108-DL109</f>
        <v>0</v>
      </c>
      <c r="DM110" s="844">
        <f t="shared" si="316"/>
        <v>0</v>
      </c>
      <c r="DN110" s="843">
        <f t="shared" si="316"/>
        <v>0</v>
      </c>
      <c r="DO110" s="843">
        <f t="shared" si="316"/>
        <v>0</v>
      </c>
      <c r="DP110" s="843">
        <f t="shared" si="316"/>
        <v>0</v>
      </c>
      <c r="DQ110" s="843">
        <f t="shared" si="316"/>
        <v>0</v>
      </c>
      <c r="DR110" s="844">
        <f t="shared" si="316"/>
        <v>0</v>
      </c>
      <c r="DS110" s="843">
        <f t="shared" si="316"/>
        <v>0</v>
      </c>
      <c r="DT110" s="843">
        <f t="shared" si="316"/>
        <v>-13</v>
      </c>
      <c r="DU110" s="843">
        <f t="shared" si="316"/>
        <v>57</v>
      </c>
      <c r="DV110" s="843">
        <f t="shared" si="316"/>
        <v>349</v>
      </c>
      <c r="DW110" s="844">
        <f t="shared" si="316"/>
        <v>0</v>
      </c>
      <c r="DX110" s="843">
        <f t="shared" ref="DX110:EG110" si="317">DX108-DX109</f>
        <v>0</v>
      </c>
      <c r="DY110" s="843">
        <f t="shared" si="317"/>
        <v>0</v>
      </c>
      <c r="DZ110" s="843">
        <f t="shared" si="317"/>
        <v>0</v>
      </c>
      <c r="EA110" s="843">
        <f t="shared" si="317"/>
        <v>0</v>
      </c>
      <c r="EB110" s="844">
        <f t="shared" si="317"/>
        <v>0</v>
      </c>
      <c r="EC110" s="843">
        <f t="shared" si="317"/>
        <v>0</v>
      </c>
      <c r="ED110" s="843">
        <f t="shared" si="317"/>
        <v>0</v>
      </c>
      <c r="EE110" s="843">
        <f t="shared" si="317"/>
        <v>0</v>
      </c>
      <c r="EF110" s="843">
        <f t="shared" si="317"/>
        <v>0</v>
      </c>
      <c r="EG110" s="844">
        <f t="shared" si="317"/>
        <v>0</v>
      </c>
      <c r="EH110" s="843">
        <f t="shared" ref="EH110:EL110" si="318">EH108-EH109</f>
        <v>0</v>
      </c>
      <c r="EI110" s="843">
        <f t="shared" si="318"/>
        <v>0</v>
      </c>
      <c r="EJ110" s="843">
        <f t="shared" si="318"/>
        <v>0</v>
      </c>
      <c r="EK110" s="843">
        <f t="shared" si="318"/>
        <v>0</v>
      </c>
      <c r="EL110" s="844">
        <f t="shared" si="318"/>
        <v>0</v>
      </c>
      <c r="EM110" s="561"/>
      <c r="EN110"/>
      <c r="EO110"/>
      <c r="EP110"/>
      <c r="EQ110"/>
      <c r="ER110"/>
      <c r="ES110"/>
      <c r="ET110" s="141"/>
      <c r="EU110" s="141"/>
      <c r="EV110" s="141"/>
      <c r="EW110" s="141"/>
      <c r="EX110" s="141"/>
      <c r="EY110" s="141"/>
      <c r="EZ110" s="141"/>
      <c r="FA110" s="141"/>
      <c r="FB110" s="141"/>
      <c r="FC110" s="141"/>
      <c r="FD110" s="141"/>
      <c r="FE110" s="141"/>
      <c r="FF110" s="141"/>
      <c r="FG110" s="141"/>
      <c r="FH110" s="141"/>
      <c r="FI110" s="141"/>
      <c r="FJ110" s="141"/>
      <c r="FK110" s="141"/>
      <c r="FL110" s="141"/>
      <c r="FM110" s="141"/>
      <c r="FN110" s="141"/>
      <c r="FO110" s="141"/>
      <c r="FP110" s="141"/>
      <c r="FQ110" s="141"/>
      <c r="FR110" s="141"/>
      <c r="FS110" s="141"/>
      <c r="FT110" s="141"/>
      <c r="FU110" s="141"/>
      <c r="FV110" s="141"/>
      <c r="FW110" s="141"/>
      <c r="FX110" s="141"/>
      <c r="FY110" s="141"/>
      <c r="FZ110" s="141"/>
      <c r="GA110" s="141"/>
      <c r="GB110" s="141"/>
      <c r="GC110" s="141"/>
      <c r="GD110" s="141"/>
      <c r="GE110" s="141"/>
      <c r="GF110" s="141"/>
      <c r="GG110" s="141"/>
      <c r="GH110" s="141"/>
      <c r="GI110" s="141"/>
      <c r="GJ110" s="141"/>
      <c r="GK110" s="141"/>
      <c r="GL110" s="141"/>
      <c r="GM110" s="141"/>
      <c r="GN110" s="141"/>
      <c r="GO110" s="141"/>
      <c r="GP110" s="141"/>
      <c r="GQ110" s="141"/>
      <c r="GR110" s="141"/>
      <c r="GS110" s="141"/>
      <c r="GT110" s="141"/>
      <c r="GU110" s="141"/>
      <c r="GV110" s="141"/>
      <c r="GW110" s="141"/>
      <c r="GX110" s="141"/>
      <c r="GY110" s="141"/>
      <c r="GZ110" s="141"/>
      <c r="HA110" s="141"/>
      <c r="HB110" s="141"/>
      <c r="HC110" s="141"/>
      <c r="HD110" s="141"/>
      <c r="HE110" s="141"/>
      <c r="HF110" s="141"/>
      <c r="HG110" s="141"/>
      <c r="HH110" s="141"/>
      <c r="HI110" s="141"/>
      <c r="HJ110" s="141"/>
      <c r="HK110" s="141"/>
      <c r="HL110" s="141"/>
      <c r="HM110" s="141"/>
      <c r="HN110" s="141"/>
      <c r="HO110" s="141"/>
      <c r="HP110" s="141"/>
      <c r="HQ110" s="141"/>
      <c r="HR110" s="141"/>
      <c r="HS110" s="141"/>
      <c r="HT110" s="141"/>
      <c r="HU110" s="141"/>
      <c r="HV110" s="141"/>
      <c r="HW110" s="141"/>
      <c r="HX110" s="141"/>
      <c r="HY110" s="141"/>
      <c r="HZ110" s="141"/>
      <c r="IA110" s="141"/>
      <c r="IB110" s="141"/>
      <c r="IC110" s="141"/>
      <c r="ID110" s="141"/>
      <c r="IE110" s="141"/>
      <c r="IF110" s="141"/>
      <c r="IG110" s="141"/>
      <c r="IH110" s="141"/>
      <c r="II110" s="141"/>
      <c r="IJ110" s="141"/>
      <c r="IK110" s="141"/>
      <c r="IL110" s="141"/>
      <c r="IM110" s="141"/>
      <c r="IN110" s="141"/>
      <c r="IO110" s="141"/>
      <c r="IP110" s="141"/>
      <c r="IQ110" s="141"/>
      <c r="IR110" s="141"/>
      <c r="IS110" s="141"/>
      <c r="IT110" s="141"/>
      <c r="IU110" s="141"/>
      <c r="IV110" s="141"/>
      <c r="IW110" s="141"/>
      <c r="IX110" s="141"/>
      <c r="IY110" s="141"/>
      <c r="IZ110" s="141"/>
      <c r="JA110" s="141"/>
      <c r="JB110" s="141"/>
      <c r="JC110" s="141"/>
      <c r="JD110" s="141"/>
      <c r="JE110" s="141"/>
      <c r="JF110" s="141"/>
      <c r="JG110" s="141"/>
      <c r="JH110" s="141"/>
    </row>
    <row r="111" spans="1:268" s="142" customFormat="1" hidden="1" outlineLevel="1">
      <c r="A111" s="801"/>
      <c r="B111" s="555"/>
      <c r="C111" s="555"/>
      <c r="D111" s="555"/>
      <c r="E111" s="555"/>
      <c r="F111" s="555"/>
      <c r="G111" s="555"/>
      <c r="H111" s="802"/>
      <c r="I111" s="555"/>
      <c r="J111" s="555"/>
      <c r="K111" s="555"/>
      <c r="L111" s="555"/>
      <c r="M111" s="802"/>
      <c r="N111" s="555"/>
      <c r="O111" s="555"/>
      <c r="P111" s="555"/>
      <c r="Q111" s="555"/>
      <c r="R111" s="802"/>
      <c r="S111" s="555"/>
      <c r="T111" s="555"/>
      <c r="U111" s="555"/>
      <c r="V111" s="555"/>
      <c r="W111" s="802"/>
      <c r="X111" s="555"/>
      <c r="Y111" s="555"/>
      <c r="Z111" s="555"/>
      <c r="AA111" s="555"/>
      <c r="AB111" s="802"/>
      <c r="AC111" s="555"/>
      <c r="AD111" s="555"/>
      <c r="AE111" s="555"/>
      <c r="AF111" s="555"/>
      <c r="AG111" s="802"/>
      <c r="AH111" s="555"/>
      <c r="AI111" s="555"/>
      <c r="AJ111" s="555"/>
      <c r="AK111" s="555"/>
      <c r="AL111" s="802"/>
      <c r="AM111" s="555"/>
      <c r="AN111" s="555"/>
      <c r="AO111" s="555"/>
      <c r="AP111" s="555"/>
      <c r="AQ111" s="802"/>
      <c r="AR111" s="555"/>
      <c r="AS111" s="555"/>
      <c r="AT111" s="555"/>
      <c r="AU111" s="802"/>
      <c r="AV111" s="555"/>
      <c r="AW111" s="555"/>
      <c r="AX111" s="555"/>
      <c r="AY111" s="555"/>
      <c r="AZ111" s="802"/>
      <c r="BA111" s="555"/>
      <c r="BB111" s="555"/>
      <c r="BC111" s="555"/>
      <c r="BD111" s="555"/>
      <c r="BE111" s="802"/>
      <c r="BF111" s="555"/>
      <c r="BG111" s="555"/>
      <c r="BH111" s="555"/>
      <c r="BI111" s="555"/>
      <c r="BJ111" s="802"/>
      <c r="BK111" s="555"/>
      <c r="BL111" s="555"/>
      <c r="BM111" s="555"/>
      <c r="BN111" s="555"/>
      <c r="BO111" s="802"/>
      <c r="BP111" s="555"/>
      <c r="BQ111" s="555"/>
      <c r="BR111" s="555"/>
      <c r="BS111" s="555"/>
      <c r="BT111" s="802"/>
      <c r="BU111" s="561"/>
      <c r="BV111" s="561"/>
      <c r="BW111" s="561"/>
      <c r="BX111" s="561"/>
      <c r="BY111" s="844"/>
      <c r="BZ111" s="843"/>
      <c r="CA111" s="561"/>
      <c r="CB111" s="561"/>
      <c r="CC111" s="561"/>
      <c r="CD111" s="844"/>
      <c r="CE111" s="561"/>
      <c r="CF111" s="561"/>
      <c r="CG111" s="561"/>
      <c r="CH111" s="561"/>
      <c r="CI111" s="844"/>
      <c r="CJ111" s="555"/>
      <c r="CK111" s="555"/>
      <c r="CL111" s="555"/>
      <c r="CM111" s="555"/>
      <c r="CN111" s="802"/>
      <c r="CO111" s="555"/>
      <c r="CP111" s="555"/>
      <c r="CQ111" s="555"/>
      <c r="CR111" s="555"/>
      <c r="CS111" s="802"/>
      <c r="CT111" s="555"/>
      <c r="CU111" s="555"/>
      <c r="CV111" s="555"/>
      <c r="CW111" s="555"/>
      <c r="CX111" s="802"/>
      <c r="CY111" s="555"/>
      <c r="CZ111" s="555"/>
      <c r="DA111" s="555"/>
      <c r="DB111" s="555"/>
      <c r="DC111" s="802"/>
      <c r="DD111" s="555"/>
      <c r="DE111" s="555"/>
      <c r="DF111" s="555"/>
      <c r="DG111" s="555"/>
      <c r="DH111" s="802"/>
      <c r="DI111" s="555"/>
      <c r="DJ111" s="555"/>
      <c r="DK111" s="555"/>
      <c r="DL111" s="555"/>
      <c r="DM111" s="802"/>
      <c r="DN111" s="555"/>
      <c r="DO111" s="555"/>
      <c r="DP111" s="555"/>
      <c r="DQ111" s="555"/>
      <c r="DR111" s="802"/>
      <c r="DS111" s="555"/>
      <c r="DT111" s="555"/>
      <c r="DU111" s="555"/>
      <c r="DV111" s="555"/>
      <c r="DW111" s="844">
        <f>6986-DW113</f>
        <v>-44</v>
      </c>
      <c r="DX111" s="555"/>
      <c r="DY111" s="555"/>
      <c r="DZ111" s="555"/>
      <c r="EA111" s="555"/>
      <c r="EB111" s="802"/>
      <c r="EC111" s="555"/>
      <c r="ED111" s="555"/>
      <c r="EE111" s="555"/>
      <c r="EF111" s="555"/>
      <c r="EG111" s="802"/>
      <c r="EH111" s="555"/>
      <c r="EI111" s="555"/>
      <c r="EJ111" s="555"/>
      <c r="EK111" s="555"/>
      <c r="EL111" s="802"/>
      <c r="EM111" s="555"/>
      <c r="EN111"/>
      <c r="EO111"/>
      <c r="EP111"/>
      <c r="EQ111"/>
      <c r="ER111"/>
      <c r="ES111"/>
      <c r="ET111" s="141"/>
      <c r="EU111" s="141"/>
      <c r="EV111" s="141"/>
      <c r="EW111" s="141"/>
      <c r="EX111" s="141"/>
      <c r="EY111" s="141"/>
      <c r="EZ111" s="141"/>
      <c r="FA111" s="141"/>
      <c r="FB111" s="141"/>
      <c r="FC111" s="141"/>
      <c r="FD111" s="141"/>
      <c r="FE111" s="141"/>
      <c r="FF111" s="141"/>
      <c r="FG111" s="141"/>
      <c r="FH111" s="141"/>
      <c r="FI111" s="141"/>
      <c r="FJ111" s="141"/>
      <c r="FK111" s="141"/>
      <c r="FL111" s="141"/>
      <c r="FM111" s="141"/>
      <c r="FN111" s="141"/>
      <c r="FO111" s="141"/>
      <c r="FP111" s="141"/>
      <c r="FQ111" s="141"/>
      <c r="FR111" s="141"/>
      <c r="FS111" s="141"/>
      <c r="FT111" s="141"/>
      <c r="FU111" s="141"/>
      <c r="FV111" s="141"/>
      <c r="FW111" s="141"/>
      <c r="FX111" s="141"/>
      <c r="FY111" s="141"/>
      <c r="FZ111" s="141"/>
      <c r="GA111" s="141"/>
      <c r="GB111" s="141"/>
      <c r="GC111" s="141"/>
      <c r="GD111" s="141"/>
      <c r="GE111" s="141"/>
      <c r="GF111" s="141"/>
      <c r="GG111" s="141"/>
      <c r="GH111" s="141"/>
      <c r="GI111" s="141"/>
      <c r="GJ111" s="141"/>
      <c r="GK111" s="141"/>
      <c r="GL111" s="141"/>
      <c r="GM111" s="141"/>
      <c r="GN111" s="141"/>
      <c r="GO111" s="141"/>
      <c r="GP111" s="141"/>
      <c r="GQ111" s="141"/>
      <c r="GR111" s="141"/>
      <c r="GS111" s="141"/>
      <c r="GT111" s="141"/>
      <c r="GU111" s="141"/>
      <c r="GV111" s="141"/>
      <c r="GW111" s="141"/>
      <c r="GX111" s="141"/>
      <c r="GY111" s="141"/>
      <c r="GZ111" s="141"/>
      <c r="HA111" s="141"/>
      <c r="HB111" s="141"/>
      <c r="HC111" s="141"/>
      <c r="HD111" s="141"/>
      <c r="HE111" s="141"/>
      <c r="HF111" s="141"/>
      <c r="HG111" s="141"/>
      <c r="HH111" s="141"/>
      <c r="HI111" s="141"/>
      <c r="HJ111" s="141"/>
      <c r="HK111" s="141"/>
      <c r="HL111" s="141"/>
      <c r="HM111" s="141"/>
      <c r="HN111" s="141"/>
      <c r="HO111" s="141"/>
      <c r="HP111" s="141"/>
      <c r="HQ111" s="141"/>
      <c r="HR111" s="141"/>
      <c r="HS111" s="141"/>
      <c r="HT111" s="141"/>
      <c r="HU111" s="141"/>
      <c r="HV111" s="141"/>
      <c r="HW111" s="141"/>
      <c r="HX111" s="141"/>
      <c r="HY111" s="141"/>
      <c r="HZ111" s="141"/>
      <c r="IA111" s="141"/>
      <c r="IB111" s="141"/>
      <c r="IC111" s="141"/>
      <c r="ID111" s="141"/>
      <c r="IE111" s="141"/>
      <c r="IF111" s="141"/>
      <c r="IG111" s="141"/>
      <c r="IH111" s="141"/>
      <c r="II111" s="141"/>
      <c r="IJ111" s="141"/>
      <c r="IK111" s="141"/>
      <c r="IL111" s="141"/>
      <c r="IM111" s="141"/>
      <c r="IN111" s="141"/>
      <c r="IO111" s="141"/>
      <c r="IP111" s="141"/>
      <c r="IQ111" s="141"/>
      <c r="IR111" s="141"/>
      <c r="IS111" s="141"/>
      <c r="IT111" s="141"/>
      <c r="IU111" s="141"/>
      <c r="IV111" s="141"/>
      <c r="IW111" s="141"/>
      <c r="IX111" s="141"/>
      <c r="IY111" s="141"/>
      <c r="IZ111" s="141"/>
      <c r="JA111" s="141"/>
      <c r="JB111" s="141"/>
      <c r="JC111" s="141"/>
      <c r="JD111" s="141"/>
      <c r="JE111" s="141"/>
      <c r="JF111" s="141"/>
      <c r="JG111" s="141"/>
      <c r="JH111" s="141"/>
    </row>
    <row r="112" spans="1:268" s="142" customFormat="1" ht="12" hidden="1" customHeight="1" outlineLevel="1">
      <c r="A112" s="801"/>
      <c r="B112" s="555"/>
      <c r="C112" s="555"/>
      <c r="D112" s="555"/>
      <c r="E112" s="555"/>
      <c r="F112" s="555"/>
      <c r="G112" s="555"/>
      <c r="H112" s="802"/>
      <c r="I112" s="555"/>
      <c r="J112" s="555"/>
      <c r="K112" s="555"/>
      <c r="L112" s="555"/>
      <c r="M112" s="802"/>
      <c r="N112" s="555"/>
      <c r="O112" s="555"/>
      <c r="P112" s="555"/>
      <c r="Q112" s="555"/>
      <c r="R112" s="802"/>
      <c r="S112" s="555"/>
      <c r="T112" s="555"/>
      <c r="U112" s="555"/>
      <c r="V112" s="555"/>
      <c r="W112" s="802"/>
      <c r="X112" s="555"/>
      <c r="Y112" s="555"/>
      <c r="Z112" s="555"/>
      <c r="AA112" s="555"/>
      <c r="AB112" s="802"/>
      <c r="AC112" s="555"/>
      <c r="AD112" s="555"/>
      <c r="AE112" s="555"/>
      <c r="AF112" s="555"/>
      <c r="AG112" s="802"/>
      <c r="AH112" s="555"/>
      <c r="AI112" s="555"/>
      <c r="AJ112" s="555"/>
      <c r="AK112" s="555"/>
      <c r="AL112" s="802"/>
      <c r="AM112" s="555"/>
      <c r="AN112" s="555"/>
      <c r="AO112" s="555"/>
      <c r="AP112" s="555"/>
      <c r="AQ112" s="802"/>
      <c r="AR112" s="555"/>
      <c r="AS112" s="555"/>
      <c r="AT112" s="555"/>
      <c r="AU112" s="802"/>
      <c r="AV112" s="555"/>
      <c r="AW112" s="555"/>
      <c r="AX112" s="555"/>
      <c r="AY112" s="555"/>
      <c r="AZ112" s="802"/>
      <c r="BA112" s="555"/>
      <c r="BB112" s="555"/>
      <c r="BC112" s="555"/>
      <c r="BD112" s="555"/>
      <c r="BE112" s="802"/>
      <c r="BF112" s="555"/>
      <c r="BG112" s="555"/>
      <c r="BH112" s="555"/>
      <c r="BI112" s="555"/>
      <c r="BJ112" s="802"/>
      <c r="BK112" s="555"/>
      <c r="BL112" s="555"/>
      <c r="BM112" s="555"/>
      <c r="BN112" s="555"/>
      <c r="BO112" s="802"/>
      <c r="BP112" s="555"/>
      <c r="BQ112" s="555"/>
      <c r="BR112" s="555"/>
      <c r="BS112" s="555"/>
      <c r="BT112" s="802"/>
      <c r="BU112" s="555"/>
      <c r="BV112" s="555"/>
      <c r="BW112" s="555"/>
      <c r="BX112" s="555"/>
      <c r="BY112" s="802"/>
      <c r="BZ112" s="557"/>
      <c r="CA112" s="555"/>
      <c r="CB112" s="555"/>
      <c r="CC112" s="555"/>
      <c r="CD112" s="802"/>
      <c r="CE112" s="555"/>
      <c r="CF112" s="555"/>
      <c r="CG112" s="555"/>
      <c r="CH112" s="555"/>
      <c r="CI112" s="802"/>
      <c r="CJ112" s="555"/>
      <c r="CK112" s="555"/>
      <c r="CL112" s="555"/>
      <c r="CM112" s="555"/>
      <c r="CN112" s="802"/>
      <c r="CO112" s="555"/>
      <c r="CP112" s="555"/>
      <c r="CQ112" s="555"/>
      <c r="CR112" s="555"/>
      <c r="CS112" s="802"/>
      <c r="CT112" s="555"/>
      <c r="CU112" s="555"/>
      <c r="CV112" s="555"/>
      <c r="CW112" s="555"/>
      <c r="CX112" s="802"/>
      <c r="CY112" s="555"/>
      <c r="CZ112" s="555"/>
      <c r="DA112" s="555"/>
      <c r="DB112" s="555"/>
      <c r="DC112" s="802"/>
      <c r="DD112" s="555"/>
      <c r="DE112" s="555"/>
      <c r="DF112" s="555"/>
      <c r="DG112" s="555"/>
      <c r="DH112" s="802"/>
      <c r="DI112" s="555"/>
      <c r="DJ112" s="555"/>
      <c r="DK112" s="555"/>
      <c r="DL112" s="555"/>
      <c r="DM112" s="802"/>
      <c r="DN112" s="555"/>
      <c r="DO112" s="555"/>
      <c r="DP112" s="555"/>
      <c r="DQ112" s="555"/>
      <c r="DR112" s="802"/>
      <c r="DS112" s="555"/>
      <c r="DT112" s="555"/>
      <c r="DU112" s="555"/>
      <c r="DV112" s="555"/>
      <c r="DW112" s="802"/>
      <c r="DX112" s="555"/>
      <c r="DY112" s="555"/>
      <c r="DZ112" s="555"/>
      <c r="EA112" s="555"/>
      <c r="EB112" s="802"/>
      <c r="EC112" s="555"/>
      <c r="ED112" s="555"/>
      <c r="EE112" s="555"/>
      <c r="EF112" s="555"/>
      <c r="EG112" s="802"/>
      <c r="EH112" s="555"/>
      <c r="EI112" s="555"/>
      <c r="EJ112" s="555"/>
      <c r="EK112" s="555"/>
      <c r="EL112" s="802"/>
      <c r="EM112" s="555"/>
      <c r="EN112"/>
      <c r="EO112"/>
      <c r="EP112"/>
      <c r="EQ112"/>
      <c r="ER112"/>
      <c r="ES112"/>
      <c r="ET112" s="141"/>
      <c r="EU112" s="141"/>
      <c r="EV112" s="141"/>
      <c r="EW112" s="141"/>
      <c r="EX112" s="141"/>
      <c r="EY112" s="141"/>
      <c r="EZ112" s="141"/>
      <c r="FA112" s="141"/>
      <c r="FB112" s="141"/>
      <c r="FC112" s="141"/>
      <c r="FD112" s="141"/>
      <c r="FE112" s="141"/>
      <c r="FF112" s="141"/>
      <c r="FG112" s="141"/>
      <c r="FH112" s="141"/>
      <c r="FI112" s="141"/>
      <c r="FJ112" s="141"/>
      <c r="FK112" s="141"/>
      <c r="FL112" s="141"/>
      <c r="FM112" s="141"/>
      <c r="FN112" s="141"/>
      <c r="FO112" s="141"/>
      <c r="FP112" s="141"/>
      <c r="FQ112" s="141"/>
      <c r="FR112" s="141"/>
      <c r="FS112" s="141"/>
      <c r="FT112" s="141"/>
      <c r="FU112" s="141"/>
      <c r="FV112" s="141"/>
      <c r="FW112" s="141"/>
      <c r="FX112" s="141"/>
      <c r="FY112" s="141"/>
      <c r="FZ112" s="141"/>
      <c r="GA112" s="141"/>
      <c r="GB112" s="141"/>
      <c r="GC112" s="141"/>
      <c r="GD112" s="141"/>
      <c r="GE112" s="141"/>
      <c r="GF112" s="141"/>
      <c r="GG112" s="141"/>
      <c r="GH112" s="141"/>
      <c r="GI112" s="141"/>
      <c r="GJ112" s="141"/>
      <c r="GK112" s="141"/>
      <c r="GL112" s="141"/>
      <c r="GM112" s="141"/>
      <c r="GN112" s="141"/>
      <c r="GO112" s="141"/>
      <c r="GP112" s="141"/>
      <c r="GQ112" s="141"/>
      <c r="GR112" s="141"/>
      <c r="GS112" s="141"/>
      <c r="GT112" s="141"/>
      <c r="GU112" s="141"/>
      <c r="GV112" s="141"/>
      <c r="GW112" s="141"/>
      <c r="GX112" s="141"/>
      <c r="GY112" s="141"/>
      <c r="GZ112" s="141"/>
      <c r="HA112" s="141"/>
      <c r="HB112" s="141"/>
      <c r="HC112" s="141"/>
      <c r="HD112" s="141"/>
      <c r="HE112" s="141"/>
      <c r="HF112" s="141"/>
      <c r="HG112" s="141"/>
      <c r="HH112" s="141"/>
      <c r="HI112" s="141"/>
      <c r="HJ112" s="141"/>
      <c r="HK112" s="141"/>
      <c r="HL112" s="141"/>
      <c r="HM112" s="141"/>
      <c r="HN112" s="141"/>
      <c r="HO112" s="141"/>
      <c r="HP112" s="141"/>
      <c r="HQ112" s="141"/>
      <c r="HR112" s="141"/>
      <c r="HS112" s="141"/>
      <c r="HT112" s="141"/>
      <c r="HU112" s="141"/>
      <c r="HV112" s="141"/>
      <c r="HW112" s="141"/>
      <c r="HX112" s="141"/>
      <c r="HY112" s="141"/>
      <c r="HZ112" s="141"/>
      <c r="IA112" s="141"/>
      <c r="IB112" s="141"/>
      <c r="IC112" s="141"/>
      <c r="ID112" s="141"/>
      <c r="IE112" s="141"/>
      <c r="IF112" s="141"/>
      <c r="IG112" s="141"/>
      <c r="IH112" s="141"/>
      <c r="II112" s="141"/>
      <c r="IJ112" s="141"/>
      <c r="IK112" s="141"/>
      <c r="IL112" s="141"/>
      <c r="IM112" s="141"/>
      <c r="IN112" s="141"/>
      <c r="IO112" s="141"/>
      <c r="IP112" s="141"/>
      <c r="IQ112" s="141"/>
      <c r="IR112" s="141"/>
      <c r="IS112" s="141"/>
      <c r="IT112" s="141"/>
      <c r="IU112" s="141"/>
      <c r="IV112" s="141"/>
      <c r="IW112" s="141"/>
      <c r="IX112" s="141"/>
      <c r="IY112" s="141"/>
      <c r="IZ112" s="141"/>
      <c r="JA112" s="141"/>
      <c r="JB112" s="141"/>
      <c r="JC112" s="141"/>
      <c r="JD112" s="141"/>
      <c r="JE112" s="141"/>
      <c r="JF112" s="141"/>
      <c r="JG112" s="141"/>
      <c r="JH112" s="141"/>
    </row>
    <row r="113" spans="1:149" s="135" customFormat="1" ht="11.25" hidden="1" customHeight="1" outlineLevel="1">
      <c r="A113" s="1006"/>
      <c r="B113" s="1007" t="s">
        <v>33</v>
      </c>
      <c r="C113" s="843"/>
      <c r="D113" s="843">
        <f>'BS &amp; CF'!D21</f>
        <v>1794.4960000000001</v>
      </c>
      <c r="E113" s="843">
        <f>'BS &amp; CF'!E21</f>
        <v>1780.9</v>
      </c>
      <c r="F113" s="843">
        <f>'BS &amp; CF'!F21</f>
        <v>1786.7</v>
      </c>
      <c r="G113" s="843">
        <f>'BS &amp; CF'!G21</f>
        <v>3319</v>
      </c>
      <c r="H113" s="844">
        <f>'BS &amp; CF'!H21</f>
        <v>3319</v>
      </c>
      <c r="I113" s="843">
        <f>'BS &amp; CF'!I21</f>
        <v>3418</v>
      </c>
      <c r="J113" s="843">
        <f>'BS &amp; CF'!J21</f>
        <v>3563.5</v>
      </c>
      <c r="K113" s="843">
        <f>'BS &amp; CF'!K21</f>
        <v>3590</v>
      </c>
      <c r="L113" s="843">
        <f>'BS &amp; CF'!L21</f>
        <v>3648</v>
      </c>
      <c r="M113" s="844">
        <f>'BS &amp; CF'!M21</f>
        <v>3648</v>
      </c>
      <c r="N113" s="843">
        <f>'BS &amp; CF'!N21</f>
        <v>3689</v>
      </c>
      <c r="O113" s="843">
        <f>'BS &amp; CF'!O21</f>
        <v>3738.1</v>
      </c>
      <c r="P113" s="843">
        <f>'BS &amp; CF'!P21</f>
        <v>5283.3</v>
      </c>
      <c r="Q113" s="843">
        <f>'BS &amp; CF'!Q21</f>
        <v>5490</v>
      </c>
      <c r="R113" s="844">
        <f>'BS &amp; CF'!R21</f>
        <v>5490</v>
      </c>
      <c r="S113" s="843">
        <f>'BS &amp; CF'!S21</f>
        <v>5657</v>
      </c>
      <c r="T113" s="843">
        <f>'BS &amp; CF'!T21</f>
        <v>5677</v>
      </c>
      <c r="U113" s="843">
        <f>'BS &amp; CF'!U21</f>
        <v>5835</v>
      </c>
      <c r="V113" s="843">
        <f>'BS &amp; CF'!V21</f>
        <v>5987</v>
      </c>
      <c r="W113" s="844">
        <f>'BS &amp; CF'!W21</f>
        <v>5987</v>
      </c>
      <c r="X113" s="843">
        <f>'BS &amp; CF'!X21</f>
        <v>6103</v>
      </c>
      <c r="Y113" s="843">
        <f>'BS &amp; CF'!Y21</f>
        <v>6422</v>
      </c>
      <c r="Z113" s="843">
        <f>'BS &amp; CF'!Z21</f>
        <v>6432</v>
      </c>
      <c r="AA113" s="843">
        <f>'BS &amp; CF'!AA21</f>
        <v>5839</v>
      </c>
      <c r="AB113" s="844">
        <f>'BS &amp; CF'!AB21</f>
        <v>5839</v>
      </c>
      <c r="AC113" s="843">
        <f>'BS &amp; CF'!AC21</f>
        <v>5818</v>
      </c>
      <c r="AD113" s="843">
        <f>'BS &amp; CF'!AD21</f>
        <v>5843</v>
      </c>
      <c r="AE113" s="843">
        <f>'BS &amp; CF'!AE21</f>
        <v>5793</v>
      </c>
      <c r="AF113" s="843">
        <f>'BS &amp; CF'!AF21</f>
        <v>5894</v>
      </c>
      <c r="AG113" s="844">
        <f>'BS &amp; CF'!AG21</f>
        <v>5894</v>
      </c>
      <c r="AH113" s="843">
        <f>'BS &amp; CF'!AH21</f>
        <v>5842</v>
      </c>
      <c r="AI113" s="843">
        <f>'BS &amp; CF'!AI21</f>
        <v>5863</v>
      </c>
      <c r="AJ113" s="843">
        <f>'BS &amp; CF'!AJ21</f>
        <v>5892</v>
      </c>
      <c r="AK113" s="843">
        <f>'BS &amp; CF'!AK21</f>
        <v>5976</v>
      </c>
      <c r="AL113" s="844">
        <f>'BS &amp; CF'!AL21</f>
        <v>5976</v>
      </c>
      <c r="AM113" s="843">
        <f>'BS &amp; CF'!AM21</f>
        <v>6221</v>
      </c>
      <c r="AN113" s="843">
        <f>'BS &amp; CF'!AN21</f>
        <v>6308</v>
      </c>
      <c r="AO113" s="843">
        <f>'BS &amp; CF'!AO21</f>
        <v>6391</v>
      </c>
      <c r="AP113" s="843">
        <f>'BS &amp; CF'!AP21</f>
        <v>6585</v>
      </c>
      <c r="AQ113" s="844">
        <f>'BS &amp; CF'!AQ21</f>
        <v>6585</v>
      </c>
      <c r="AR113" s="843">
        <f>'BS &amp; CF'!AR21</f>
        <v>6564</v>
      </c>
      <c r="AS113" s="843">
        <f>'BS &amp; CF'!AS21</f>
        <v>6679</v>
      </c>
      <c r="AT113" s="843">
        <f>'BS &amp; CF'!AT21</f>
        <v>6412</v>
      </c>
      <c r="AU113" s="885"/>
      <c r="AV113" s="561"/>
      <c r="AW113" s="561"/>
      <c r="AX113" s="561"/>
      <c r="AY113" s="561"/>
      <c r="AZ113" s="844">
        <f>'BS &amp; CF'!AZ21</f>
        <v>6359</v>
      </c>
      <c r="BA113" s="843">
        <f>'BS &amp; CF'!BA21</f>
        <v>6051</v>
      </c>
      <c r="BB113" s="843">
        <f>'BS &amp; CF'!BB21</f>
        <v>5899</v>
      </c>
      <c r="BC113" s="843">
        <f>'BS &amp; CF'!BC21</f>
        <v>5914</v>
      </c>
      <c r="BD113" s="843">
        <f>'BS &amp; CF'!BD21</f>
        <v>5557</v>
      </c>
      <c r="BE113" s="844">
        <f>'BS &amp; CF'!BE21</f>
        <v>5557</v>
      </c>
      <c r="BF113" s="843">
        <f>'BS &amp; CF'!BF21</f>
        <v>4868</v>
      </c>
      <c r="BG113" s="843">
        <f>'BS &amp; CF'!BG21</f>
        <v>4823</v>
      </c>
      <c r="BH113" s="843">
        <f>'BS &amp; CF'!BH21</f>
        <v>4837</v>
      </c>
      <c r="BI113" s="843">
        <f>'BS &amp; CF'!BI21</f>
        <v>4820</v>
      </c>
      <c r="BJ113" s="844">
        <f>'BS &amp; CF'!BJ21</f>
        <v>4820</v>
      </c>
      <c r="BK113" s="843">
        <f>'BS &amp; CF'!BK21</f>
        <v>4817</v>
      </c>
      <c r="BL113" s="843">
        <f>'BS &amp; CF'!BL21</f>
        <v>4849</v>
      </c>
      <c r="BM113" s="843">
        <f>'BS &amp; CF'!BM21</f>
        <v>4593</v>
      </c>
      <c r="BN113" s="843">
        <f>'BS &amp; CF'!BN21</f>
        <v>4620</v>
      </c>
      <c r="BO113" s="844">
        <f>'BS &amp; CF'!BO21</f>
        <v>4620</v>
      </c>
      <c r="BP113" s="843">
        <f>'BS &amp; CF'!BP21</f>
        <v>4601</v>
      </c>
      <c r="BQ113" s="843">
        <f>'BS &amp; CF'!BQ21</f>
        <v>4276</v>
      </c>
      <c r="BR113" s="843">
        <f>'BS &amp; CF'!BR21</f>
        <v>4317</v>
      </c>
      <c r="BS113" s="843">
        <f>'BS &amp; CF'!BS21</f>
        <v>4299</v>
      </c>
      <c r="BT113" s="844">
        <f>'BS &amp; CF'!BT21</f>
        <v>4299</v>
      </c>
      <c r="BU113" s="843">
        <f>'BS &amp; CF'!BU21</f>
        <v>4275</v>
      </c>
      <c r="BV113" s="843">
        <f>'BS &amp; CF'!BV21</f>
        <v>4354</v>
      </c>
      <c r="BW113" s="843">
        <f>'BS &amp; CF'!BW21</f>
        <v>4403</v>
      </c>
      <c r="BX113" s="843">
        <f>'BS &amp; CF'!BX21</f>
        <v>4645</v>
      </c>
      <c r="BY113" s="844">
        <f>'BS &amp; CF'!BY21</f>
        <v>4645</v>
      </c>
      <c r="BZ113" s="843">
        <f>'BS &amp; CF'!BZ21</f>
        <v>4622</v>
      </c>
      <c r="CA113" s="843">
        <f>'BS &amp; CF'!CA21</f>
        <v>4274</v>
      </c>
      <c r="CB113" s="843">
        <f>'BS &amp; CF'!CB21</f>
        <v>4239</v>
      </c>
      <c r="CC113" s="843">
        <f>'BS &amp; CF'!CC21</f>
        <v>4291</v>
      </c>
      <c r="CD113" s="844">
        <f>'BS &amp; CF'!CD21</f>
        <v>4291</v>
      </c>
      <c r="CE113" s="843">
        <f>'BS &amp; CF'!CE21</f>
        <v>4236</v>
      </c>
      <c r="CF113" s="843">
        <f>'BS &amp; CF'!CF21</f>
        <v>4182</v>
      </c>
      <c r="CG113" s="843">
        <f>'BS &amp; CF'!CG21</f>
        <v>4172</v>
      </c>
      <c r="CH113" s="843">
        <f>'BS &amp; CF'!CH21</f>
        <v>4313</v>
      </c>
      <c r="CI113" s="844">
        <f>'BS &amp; CF'!CI21</f>
        <v>4313</v>
      </c>
      <c r="CJ113" s="843">
        <f>'BS &amp; CF'!CJ21</f>
        <v>4249</v>
      </c>
      <c r="CK113" s="843">
        <f>'BS &amp; CF'!CK21</f>
        <v>4211</v>
      </c>
      <c r="CL113" s="843">
        <f>'BS &amp; CF'!CL21</f>
        <v>4239</v>
      </c>
      <c r="CM113" s="843">
        <f>'BS &amp; CF'!CM21</f>
        <v>4304</v>
      </c>
      <c r="CN113" s="844">
        <f>'BS &amp; CF'!CN21</f>
        <v>4304</v>
      </c>
      <c r="CO113" s="843">
        <f>'BS &amp; CF'!CO21</f>
        <v>4262</v>
      </c>
      <c r="CP113" s="843">
        <f>'BS &amp; CF'!CP21</f>
        <v>4238</v>
      </c>
      <c r="CQ113" s="843">
        <f>'BS &amp; CF'!CQ21</f>
        <v>4201</v>
      </c>
      <c r="CR113" s="843">
        <f>'BS &amp; CF'!CR21</f>
        <v>4350</v>
      </c>
      <c r="CS113" s="844">
        <f>CS116-CS115</f>
        <v>4350</v>
      </c>
      <c r="CT113" s="843">
        <f>'BS &amp; CF'!CT21</f>
        <v>4324</v>
      </c>
      <c r="CU113" s="843">
        <f>'BS &amp; CF'!CU21</f>
        <v>4181</v>
      </c>
      <c r="CV113" s="843">
        <f>'BS &amp; CF'!CV21</f>
        <v>4173</v>
      </c>
      <c r="CW113" s="843">
        <f>'BS &amp; CF'!CW21</f>
        <v>4293</v>
      </c>
      <c r="CX113" s="844">
        <f>CX116-CX115</f>
        <v>4293</v>
      </c>
      <c r="CY113" s="843">
        <f>'BS &amp; CF'!CY21</f>
        <v>4296</v>
      </c>
      <c r="CZ113" s="843">
        <f>'BS &amp; CF'!CZ21</f>
        <v>4326</v>
      </c>
      <c r="DA113" s="843">
        <f>'BS &amp; CF'!DA21</f>
        <v>4354</v>
      </c>
      <c r="DB113" s="843">
        <f>'BS &amp; CF'!DB21</f>
        <v>7691</v>
      </c>
      <c r="DC113" s="844">
        <f>DC116-DC115</f>
        <v>7691</v>
      </c>
      <c r="DD113" s="843">
        <f>'BS &amp; CF'!DD21</f>
        <v>7723</v>
      </c>
      <c r="DE113" s="843">
        <f>'BS &amp; CF'!DE21</f>
        <v>7771</v>
      </c>
      <c r="DF113" s="843">
        <f>'BS &amp; CF'!DF21</f>
        <v>7749</v>
      </c>
      <c r="DG113" s="843">
        <f>'BS &amp; CF'!DG21</f>
        <v>7733</v>
      </c>
      <c r="DH113" s="844">
        <f>DH116-DH115</f>
        <v>7733</v>
      </c>
      <c r="DI113" s="843">
        <f>'BS &amp; CF'!DI21</f>
        <v>7528</v>
      </c>
      <c r="DJ113" s="843">
        <f>'BS &amp; CF'!DJ21</f>
        <v>7135</v>
      </c>
      <c r="DK113" s="843">
        <f>'BS &amp; CF'!DK21</f>
        <v>7330</v>
      </c>
      <c r="DL113" s="843">
        <f>'BS &amp; CF'!DL21</f>
        <v>7915</v>
      </c>
      <c r="DM113" s="844">
        <f>DL113</f>
        <v>7915</v>
      </c>
      <c r="DN113" s="843">
        <f>'BS &amp; CF'!DN21</f>
        <v>7961</v>
      </c>
      <c r="DO113" s="843">
        <f>'BS &amp; CF'!DO21</f>
        <v>7977</v>
      </c>
      <c r="DP113" s="843">
        <f>'BS &amp; CF'!DP21</f>
        <v>7965</v>
      </c>
      <c r="DQ113" s="843">
        <f>'BS &amp; CF'!DQ21</f>
        <v>8053</v>
      </c>
      <c r="DR113" s="844">
        <f>DR116-DR115</f>
        <v>8053</v>
      </c>
      <c r="DS113" s="843">
        <f>'BS &amp; CF'!DS21</f>
        <v>7976</v>
      </c>
      <c r="DT113" s="843">
        <f>'BS &amp; CF'!DT21</f>
        <v>7738</v>
      </c>
      <c r="DU113" s="843">
        <f>'BS &amp; CF'!DU21</f>
        <v>7077</v>
      </c>
      <c r="DV113" s="843">
        <f>'BS &amp; CF'!DV21</f>
        <v>7030</v>
      </c>
      <c r="DW113" s="844">
        <f>'BS &amp; CF'!DW21</f>
        <v>7030</v>
      </c>
      <c r="DX113" s="843">
        <f>'BS &amp; CF'!DX21</f>
        <v>6452.2748670944984</v>
      </c>
      <c r="DY113" s="843">
        <f>'BS &amp; CF'!DY21</f>
        <v>6274.7462818083059</v>
      </c>
      <c r="DZ113" s="843">
        <f>'BS &amp; CF'!DZ21</f>
        <v>6092.8062728120449</v>
      </c>
      <c r="EA113" s="843">
        <f>'BS &amp; CF'!EA21</f>
        <v>5907.3615308970338</v>
      </c>
      <c r="EB113" s="844">
        <f>'BS &amp; CF'!EB21</f>
        <v>5907.3615308970338</v>
      </c>
      <c r="EC113" s="843">
        <f>'BS &amp; CF'!EC21</f>
        <v>5887.3023063251349</v>
      </c>
      <c r="ED113" s="843">
        <f>'BS &amp; CF'!ED21</f>
        <v>5848.1106706028795</v>
      </c>
      <c r="EE113" s="843">
        <f>'BS &amp; CF'!EE21</f>
        <v>5810.7531270728077</v>
      </c>
      <c r="EF113" s="843">
        <f>'BS &amp; CF'!EF21</f>
        <v>5787.4360843187133</v>
      </c>
      <c r="EG113" s="844">
        <f>'BS &amp; CF'!EG21</f>
        <v>5787.4360843187133</v>
      </c>
      <c r="EH113" s="843">
        <f>'BS &amp; CF'!EH21</f>
        <v>5755.0755871390093</v>
      </c>
      <c r="EI113" s="843">
        <f>'BS &amp; CF'!EI21</f>
        <v>5721.8230434515217</v>
      </c>
      <c r="EJ113" s="843">
        <f>'BS &amp; CF'!EJ21</f>
        <v>5690.3284118058473</v>
      </c>
      <c r="EK113" s="843">
        <f>'BS &amp; CF'!EK21</f>
        <v>5654.0775277179546</v>
      </c>
      <c r="EL113" s="844">
        <f>'BS &amp; CF'!EL21</f>
        <v>5654.0775277179546</v>
      </c>
      <c r="EM113" s="141"/>
      <c r="EN113"/>
      <c r="EO113"/>
      <c r="EP113"/>
      <c r="EQ113"/>
      <c r="ER113"/>
      <c r="ES113"/>
    </row>
    <row r="114" spans="1:149" s="135" customFormat="1" ht="11.25" hidden="1" customHeight="1" outlineLevel="1">
      <c r="A114" s="1008"/>
      <c r="B114" s="1009" t="s">
        <v>34</v>
      </c>
      <c r="C114" s="1010"/>
      <c r="D114" s="1010" t="str">
        <f>IF(D113='BS &amp; CF'!D21,"ok","error")</f>
        <v>ok</v>
      </c>
      <c r="E114" s="1010" t="str">
        <f>IF(E113='BS &amp; CF'!E21,"ok","error")</f>
        <v>ok</v>
      </c>
      <c r="F114" s="1010" t="str">
        <f>IF(F113='BS &amp; CF'!F21,"ok","error")</f>
        <v>ok</v>
      </c>
      <c r="G114" s="1010" t="str">
        <f>IF(G113='BS &amp; CF'!G21,"ok","error")</f>
        <v>ok</v>
      </c>
      <c r="H114" s="1011" t="str">
        <f>IF(H113='BS &amp; CF'!H21,"ok","error")</f>
        <v>ok</v>
      </c>
      <c r="I114" s="1010" t="str">
        <f>IF(I113='BS &amp; CF'!I21,"ok","error")</f>
        <v>ok</v>
      </c>
      <c r="J114" s="1010" t="str">
        <f>IF(J113='BS &amp; CF'!J21,"ok","error")</f>
        <v>ok</v>
      </c>
      <c r="K114" s="1010" t="str">
        <f>IF(K113='BS &amp; CF'!K21,"ok","error")</f>
        <v>ok</v>
      </c>
      <c r="L114" s="1010" t="str">
        <f>IF(L113='BS &amp; CF'!L21,"ok","error")</f>
        <v>ok</v>
      </c>
      <c r="M114" s="1011" t="str">
        <f>IF(M113='BS &amp; CF'!M21,"ok","error")</f>
        <v>ok</v>
      </c>
      <c r="N114" s="1010" t="str">
        <f>IF(N113='BS &amp; CF'!N21,"ok","error")</f>
        <v>ok</v>
      </c>
      <c r="O114" s="1010" t="str">
        <f>IF(O113='BS &amp; CF'!O21,"ok","error")</f>
        <v>ok</v>
      </c>
      <c r="P114" s="1010" t="str">
        <f>IF(P113='BS &amp; CF'!P21,"ok","error")</f>
        <v>ok</v>
      </c>
      <c r="Q114" s="1010" t="str">
        <f>IF(Q113='BS &amp; CF'!Q21,"ok","error")</f>
        <v>ok</v>
      </c>
      <c r="R114" s="1011" t="str">
        <f>IF(R113='BS &amp; CF'!R21,"ok","error")</f>
        <v>ok</v>
      </c>
      <c r="S114" s="1010" t="str">
        <f>IF(S113='BS &amp; CF'!S21,"ok","error")</f>
        <v>ok</v>
      </c>
      <c r="T114" s="1010" t="str">
        <f>IF(T113='BS &amp; CF'!T21,"ok","error")</f>
        <v>ok</v>
      </c>
      <c r="U114" s="1010" t="str">
        <f>IF(U113='BS &amp; CF'!U21,"ok","error")</f>
        <v>ok</v>
      </c>
      <c r="V114" s="1010" t="str">
        <f>IF(V113='BS &amp; CF'!V21,"ok","error")</f>
        <v>ok</v>
      </c>
      <c r="W114" s="1011" t="str">
        <f>IF(W113='BS &amp; CF'!W21,"ok","error")</f>
        <v>ok</v>
      </c>
      <c r="X114" s="1010" t="str">
        <f>IF(X113='BS &amp; CF'!X21,"ok","error")</f>
        <v>ok</v>
      </c>
      <c r="Y114" s="1010" t="str">
        <f>IF(Y113='BS &amp; CF'!Y21,"ok","error")</f>
        <v>ok</v>
      </c>
      <c r="Z114" s="1010" t="str">
        <f>IF(Z113='BS &amp; CF'!Z21,"ok","error")</f>
        <v>ok</v>
      </c>
      <c r="AA114" s="1010" t="str">
        <f>IF(AA113='BS &amp; CF'!AA21,"ok","error")</f>
        <v>ok</v>
      </c>
      <c r="AB114" s="1011" t="str">
        <f>IF(AB113='BS &amp; CF'!AB21,"ok","error")</f>
        <v>ok</v>
      </c>
      <c r="AC114" s="1010" t="str">
        <f>IF(AC113='BS &amp; CF'!AC21,"ok","error")</f>
        <v>ok</v>
      </c>
      <c r="AD114" s="1010" t="str">
        <f>IF(AD113='BS &amp; CF'!AD21,"ok","error")</f>
        <v>ok</v>
      </c>
      <c r="AE114" s="1010" t="str">
        <f>IF(AE113='BS &amp; CF'!AE21,"ok","error")</f>
        <v>ok</v>
      </c>
      <c r="AF114" s="1010" t="str">
        <f>IF(AF113='BS &amp; CF'!AF21,"ok","error")</f>
        <v>ok</v>
      </c>
      <c r="AG114" s="1011" t="str">
        <f>IF(AG113='BS &amp; CF'!AG21,"ok","error")</f>
        <v>ok</v>
      </c>
      <c r="AH114" s="1010" t="str">
        <f>IF(AH113='BS &amp; CF'!AH21,"ok","error")</f>
        <v>ok</v>
      </c>
      <c r="AI114" s="1010" t="str">
        <f>IF(AI113='BS &amp; CF'!AI21,"ok","error")</f>
        <v>ok</v>
      </c>
      <c r="AJ114" s="1010" t="str">
        <f>IF(AJ113='BS &amp; CF'!AJ21,"ok","error")</f>
        <v>ok</v>
      </c>
      <c r="AK114" s="1010" t="str">
        <f>IF(AK113='BS &amp; CF'!AK21,"ok","error")</f>
        <v>ok</v>
      </c>
      <c r="AL114" s="1011" t="str">
        <f>IF(AL113='BS &amp; CF'!AL21,"ok","error")</f>
        <v>ok</v>
      </c>
      <c r="AM114" s="1010" t="str">
        <f>IF(AM113='BS &amp; CF'!AM21,"ok","error")</f>
        <v>ok</v>
      </c>
      <c r="AN114" s="1010" t="str">
        <f>IF(AN113='BS &amp; CF'!AN21,"ok","error")</f>
        <v>ok</v>
      </c>
      <c r="AO114" s="1010" t="str">
        <f>IF(AO113='BS &amp; CF'!AO21,"ok","error")</f>
        <v>ok</v>
      </c>
      <c r="AP114" s="1010" t="str">
        <f>IF(AP113='BS &amp; CF'!AP21,"ok","error")</f>
        <v>ok</v>
      </c>
      <c r="AQ114" s="1011" t="str">
        <f>IF(AQ113='BS &amp; CF'!AQ21,"ok","error")</f>
        <v>ok</v>
      </c>
      <c r="AR114" s="1010" t="str">
        <f>IF(AR113='BS &amp; CF'!AR21,"ok","error")</f>
        <v>ok</v>
      </c>
      <c r="AS114" s="1010" t="str">
        <f>IF(AS113='BS &amp; CF'!AS21,"ok","error")</f>
        <v>ok</v>
      </c>
      <c r="AT114" s="1010" t="str">
        <f>IF(AT113='BS &amp; CF'!AT21,"ok","error")</f>
        <v>ok</v>
      </c>
      <c r="AU114" s="885"/>
      <c r="AV114" s="1012"/>
      <c r="AW114" s="1012"/>
      <c r="AX114" s="1012"/>
      <c r="AY114" s="1012"/>
      <c r="AZ114" s="1011" t="str">
        <f>IF(AZ113='BS &amp; CF'!AZ21,"ok","error")</f>
        <v>ok</v>
      </c>
      <c r="BA114" s="1010" t="str">
        <f>IF(BA113='BS &amp; CF'!BA21,"ok","error")</f>
        <v>ok</v>
      </c>
      <c r="BB114" s="1010" t="str">
        <f>IF(BB113='BS &amp; CF'!BB21,"ok","error")</f>
        <v>ok</v>
      </c>
      <c r="BC114" s="1010" t="str">
        <f>IF(BC113='BS &amp; CF'!BC21,"ok","error")</f>
        <v>ok</v>
      </c>
      <c r="BD114" s="1010" t="str">
        <f>IF(BD113='BS &amp; CF'!BD21,"ok","error")</f>
        <v>ok</v>
      </c>
      <c r="BE114" s="1011" t="str">
        <f>IF(BE113='BS &amp; CF'!BE21,"ok","error")</f>
        <v>ok</v>
      </c>
      <c r="BF114" s="1010" t="str">
        <f>IF(BF113='BS &amp; CF'!BF21,"ok","error")</f>
        <v>ok</v>
      </c>
      <c r="BG114" s="1010" t="str">
        <f>IF(BG113='BS &amp; CF'!BG21,"ok","error")</f>
        <v>ok</v>
      </c>
      <c r="BH114" s="1010" t="str">
        <f>IF(BH113='BS &amp; CF'!BH21,"ok","error")</f>
        <v>ok</v>
      </c>
      <c r="BI114" s="1010" t="str">
        <f>IF(BI113='BS &amp; CF'!BI21,"ok","error")</f>
        <v>ok</v>
      </c>
      <c r="BJ114" s="1011" t="str">
        <f>IF(BJ113='BS &amp; CF'!BJ21,"ok","error")</f>
        <v>ok</v>
      </c>
      <c r="BK114" s="1010" t="str">
        <f>IF(BK113='BS &amp; CF'!BK21,"ok","error")</f>
        <v>ok</v>
      </c>
      <c r="BL114" s="1010" t="str">
        <f>IF(BL113='BS &amp; CF'!BL21,"ok","error")</f>
        <v>ok</v>
      </c>
      <c r="BM114" s="1010" t="str">
        <f>IF(BM113='BS &amp; CF'!BM21,"ok","error")</f>
        <v>ok</v>
      </c>
      <c r="BN114" s="1010" t="str">
        <f>IF(BN113='BS &amp; CF'!BN21,"ok","error")</f>
        <v>ok</v>
      </c>
      <c r="BO114" s="1011" t="str">
        <f>IF(BO113='BS &amp; CF'!BO21,"ok","error")</f>
        <v>ok</v>
      </c>
      <c r="BP114" s="1010" t="str">
        <f>IF(BP113='BS &amp; CF'!BP21,"ok","error")</f>
        <v>ok</v>
      </c>
      <c r="BQ114" s="1010" t="str">
        <f>IF(BQ113='BS &amp; CF'!BQ21,"ok","error")</f>
        <v>ok</v>
      </c>
      <c r="BR114" s="1010" t="str">
        <f>IF(BR113='BS &amp; CF'!BR21,"ok","error")</f>
        <v>ok</v>
      </c>
      <c r="BS114" s="1010" t="str">
        <f>IF(BS113='BS &amp; CF'!BS21,"ok","error")</f>
        <v>ok</v>
      </c>
      <c r="BT114" s="1011" t="str">
        <f>IF(BT113='BS &amp; CF'!BT21,"ok","error")</f>
        <v>ok</v>
      </c>
      <c r="BU114" s="1010" t="str">
        <f>IF(BU113='BS &amp; CF'!BU21,"ok","error")</f>
        <v>ok</v>
      </c>
      <c r="BV114" s="1010" t="str">
        <f>IF(BV113='BS &amp; CF'!BV21,"ok","error")</f>
        <v>ok</v>
      </c>
      <c r="BW114" s="1010" t="str">
        <f>IF(BW113='BS &amp; CF'!BW21,"ok","error")</f>
        <v>ok</v>
      </c>
      <c r="BX114" s="1010" t="str">
        <f>IF(BX113='BS &amp; CF'!BX21,"ok","error")</f>
        <v>ok</v>
      </c>
      <c r="BY114" s="1011" t="str">
        <f>IF(BY113='BS &amp; CF'!BY21,"ok","error")</f>
        <v>ok</v>
      </c>
      <c r="BZ114" s="1010" t="str">
        <f>IF(BZ113='BS &amp; CF'!BZ21,"ok","error")</f>
        <v>ok</v>
      </c>
      <c r="CA114" s="1010" t="str">
        <f>IF(CA113='BS &amp; CF'!CA21,"ok","error")</f>
        <v>ok</v>
      </c>
      <c r="CB114" s="1010" t="str">
        <f>IF(CB113='BS &amp; CF'!CB21,"ok","error")</f>
        <v>ok</v>
      </c>
      <c r="CC114" s="1010" t="str">
        <f>IF(CC113='BS &amp; CF'!CC21,"ok","error")</f>
        <v>ok</v>
      </c>
      <c r="CD114" s="1011" t="str">
        <f>IF(CD113='BS &amp; CF'!CD21,"ok","error")</f>
        <v>ok</v>
      </c>
      <c r="CE114" s="1013" t="str">
        <f>IF(CE113='BS &amp; CF'!CE21,"ok","error")</f>
        <v>ok</v>
      </c>
      <c r="CF114" s="1013" t="str">
        <f>IF(CF113='BS &amp; CF'!CF21,"ok","error")</f>
        <v>ok</v>
      </c>
      <c r="CG114" s="1013" t="str">
        <f>IF(CG113='BS &amp; CF'!CG21,"ok","error")</f>
        <v>ok</v>
      </c>
      <c r="CH114" s="1013" t="str">
        <f>IF(CH113='BS &amp; CF'!CH21,"ok","error")</f>
        <v>ok</v>
      </c>
      <c r="CI114" s="1011" t="str">
        <f>IF(CI113='BS &amp; CF'!CI21,"ok","error")</f>
        <v>ok</v>
      </c>
      <c r="CJ114" s="1013" t="str">
        <f>IF(CJ113='BS &amp; CF'!CJ21,"ok","error")</f>
        <v>ok</v>
      </c>
      <c r="CK114" s="1013" t="str">
        <f>IF(CK113='BS &amp; CF'!CK21,"ok","error")</f>
        <v>ok</v>
      </c>
      <c r="CL114" s="1013" t="str">
        <f>IF(CL113='BS &amp; CF'!CL21,"ok","error")</f>
        <v>ok</v>
      </c>
      <c r="CM114" s="1013" t="str">
        <f>IF(CM113='BS &amp; CF'!CM21,"ok","error")</f>
        <v>ok</v>
      </c>
      <c r="CN114" s="1011" t="str">
        <f>IF(CN113='BS &amp; CF'!CN21,"ok","error")</f>
        <v>ok</v>
      </c>
      <c r="CO114" s="1013" t="str">
        <f>IF(CO113='BS &amp; CF'!CO21,"ok","error")</f>
        <v>ok</v>
      </c>
      <c r="CP114" s="1013" t="str">
        <f>IF(CP113='BS &amp; CF'!CP21,"ok","error")</f>
        <v>ok</v>
      </c>
      <c r="CQ114" s="1013" t="str">
        <f>IF(CQ113='BS &amp; CF'!CQ21,"ok","error")</f>
        <v>ok</v>
      </c>
      <c r="CR114" s="1013" t="str">
        <f>IF(CR113='BS &amp; CF'!CR21,"ok","error")</f>
        <v>ok</v>
      </c>
      <c r="CS114" s="1014" t="str">
        <f>IF(CS113='BS &amp; CF'!CS21,"ok","error")</f>
        <v>ok</v>
      </c>
      <c r="CT114" s="1013" t="str">
        <f>IF(CT113='BS &amp; CF'!CT21,"ok","error")</f>
        <v>ok</v>
      </c>
      <c r="CU114" s="1013" t="str">
        <f>IF(CU113='BS &amp; CF'!CU21,"ok","error")</f>
        <v>ok</v>
      </c>
      <c r="CV114" s="1013" t="str">
        <f>IF(CV113='BS &amp; CF'!CV21,"ok","error")</f>
        <v>ok</v>
      </c>
      <c r="CW114" s="1013" t="str">
        <f>IF(CW113='BS &amp; CF'!CW21,"ok","error")</f>
        <v>ok</v>
      </c>
      <c r="CX114" s="1014" t="str">
        <f>IF(CX113='BS &amp; CF'!CX21,"ok","error")</f>
        <v>ok</v>
      </c>
      <c r="CY114" s="1013" t="str">
        <f>IF(CY113='BS &amp; CF'!CY21,"ok","error")</f>
        <v>ok</v>
      </c>
      <c r="CZ114" s="1013" t="str">
        <f>IF(CZ113='BS &amp; CF'!CZ21,"ok","error")</f>
        <v>ok</v>
      </c>
      <c r="DA114" s="1013" t="str">
        <f>IF(DA113='BS &amp; CF'!DA21,"ok","error")</f>
        <v>ok</v>
      </c>
      <c r="DB114" s="1013" t="str">
        <f>IF(DB113='BS &amp; CF'!DB21,"ok","error")</f>
        <v>ok</v>
      </c>
      <c r="DC114" s="1014" t="str">
        <f>IF(DC113='BS &amp; CF'!DC21,"ok","error")</f>
        <v>ok</v>
      </c>
      <c r="DD114" s="1013" t="str">
        <f>IF(DD113='BS &amp; CF'!DD21,"ok","error")</f>
        <v>ok</v>
      </c>
      <c r="DE114" s="1013" t="str">
        <f>IF(DE113='BS &amp; CF'!DE21,"ok","error")</f>
        <v>ok</v>
      </c>
      <c r="DF114" s="1013" t="str">
        <f>IF(DF113='BS &amp; CF'!DF21,"ok","error")</f>
        <v>ok</v>
      </c>
      <c r="DG114" s="1013" t="str">
        <f>IF(DG113='BS &amp; CF'!DG21,"ok","error")</f>
        <v>ok</v>
      </c>
      <c r="DH114" s="1014" t="str">
        <f>IF(DH113='BS &amp; CF'!DH21,"ok","error")</f>
        <v>ok</v>
      </c>
      <c r="DI114" s="1013" t="str">
        <f>IF(DI113='BS &amp; CF'!DI21,"ok","error")</f>
        <v>ok</v>
      </c>
      <c r="DJ114" s="1013" t="str">
        <f>IF(DJ113='BS &amp; CF'!DJ21,"ok","error")</f>
        <v>ok</v>
      </c>
      <c r="DK114" s="1013" t="str">
        <f>IF(DK113='BS &amp; CF'!DK21,"ok","error")</f>
        <v>ok</v>
      </c>
      <c r="DL114" s="1013" t="str">
        <f>IF(DL113='BS &amp; CF'!DL21,"ok","error")</f>
        <v>ok</v>
      </c>
      <c r="DM114" s="1014" t="str">
        <f>IF(DM113='BS &amp; CF'!DM21,"ok","error")</f>
        <v>ok</v>
      </c>
      <c r="DN114" s="1013" t="str">
        <f>IF(DN113='BS &amp; CF'!DN21,"ok","error")</f>
        <v>ok</v>
      </c>
      <c r="DO114" s="1013" t="str">
        <f>IF(DO113='BS &amp; CF'!DO21,"ok","error")</f>
        <v>ok</v>
      </c>
      <c r="DP114" s="1013" t="str">
        <f>IF(DP113='BS &amp; CF'!DP21,"ok","error")</f>
        <v>ok</v>
      </c>
      <c r="DQ114" s="1013" t="str">
        <f>IF(DQ113='BS &amp; CF'!DQ21,"ok","error")</f>
        <v>ok</v>
      </c>
      <c r="DR114" s="1014" t="str">
        <f>IF(DR113='BS &amp; CF'!DR21,"ok","error")</f>
        <v>ok</v>
      </c>
      <c r="DS114" s="1013" t="str">
        <f>IF(DS113='BS &amp; CF'!DS21,"ok","error")</f>
        <v>ok</v>
      </c>
      <c r="DT114" s="1013" t="str">
        <f>IF(DT113='BS &amp; CF'!DT21,"ok","error")</f>
        <v>ok</v>
      </c>
      <c r="DU114" s="1013" t="str">
        <f>IF(DU113='BS &amp; CF'!DU21,"ok","error")</f>
        <v>ok</v>
      </c>
      <c r="DV114" s="1013" t="str">
        <f>IF(DV113='BS &amp; CF'!DV21,"ok","error")</f>
        <v>ok</v>
      </c>
      <c r="DW114" s="1014" t="str">
        <f>IF(DW113='BS &amp; CF'!DW21,"ok","error")</f>
        <v>ok</v>
      </c>
      <c r="DX114" s="1013" t="str">
        <f>IF(DX113='BS &amp; CF'!DX21,"ok","error")</f>
        <v>ok</v>
      </c>
      <c r="DY114" s="1013" t="str">
        <f>IF(DY113='BS &amp; CF'!DY21,"ok","error")</f>
        <v>ok</v>
      </c>
      <c r="DZ114" s="1013" t="str">
        <f>IF(DZ113='BS &amp; CF'!DZ21,"ok","error")</f>
        <v>ok</v>
      </c>
      <c r="EA114" s="1013" t="str">
        <f>IF(EA113='BS &amp; CF'!EA21,"ok","error")</f>
        <v>ok</v>
      </c>
      <c r="EB114" s="1014" t="str">
        <f>IF(EB113='BS &amp; CF'!EB21,"ok","error")</f>
        <v>ok</v>
      </c>
      <c r="EC114" s="1013" t="str">
        <f>IF(EC113='BS &amp; CF'!EC21,"ok","error")</f>
        <v>ok</v>
      </c>
      <c r="ED114" s="1013" t="str">
        <f>IF(ED113='BS &amp; CF'!ED21,"ok","error")</f>
        <v>ok</v>
      </c>
      <c r="EE114" s="1013" t="str">
        <f>IF(EE113='BS &amp; CF'!EE21,"ok","error")</f>
        <v>ok</v>
      </c>
      <c r="EF114" s="1013" t="str">
        <f>IF(EF113='BS &amp; CF'!EF21,"ok","error")</f>
        <v>ok</v>
      </c>
      <c r="EG114" s="1014" t="str">
        <f>IF(EG113='BS &amp; CF'!EG21,"ok","error")</f>
        <v>ok</v>
      </c>
      <c r="EH114" s="1013" t="str">
        <f>IF(EH113='BS &amp; CF'!EH21,"ok","error")</f>
        <v>ok</v>
      </c>
      <c r="EI114" s="1013" t="str">
        <f>IF(EI113='BS &amp; CF'!EI21,"ok","error")</f>
        <v>ok</v>
      </c>
      <c r="EJ114" s="1013" t="str">
        <f>IF(EJ113='BS &amp; CF'!EJ21,"ok","error")</f>
        <v>ok</v>
      </c>
      <c r="EK114" s="1013" t="str">
        <f>IF(EK113='BS &amp; CF'!EK21,"ok","error")</f>
        <v>ok</v>
      </c>
      <c r="EL114" s="1014" t="str">
        <f>IF(EL113='BS &amp; CF'!EL21,"ok","error")</f>
        <v>ok</v>
      </c>
      <c r="EM114" s="141"/>
      <c r="EN114"/>
      <c r="EO114"/>
      <c r="EP114"/>
      <c r="EQ114"/>
      <c r="ER114"/>
      <c r="ES114"/>
    </row>
    <row r="115" spans="1:149" s="135" customFormat="1" ht="11.25" hidden="1" customHeight="1" outlineLevel="1">
      <c r="A115" s="1006"/>
      <c r="B115" s="1007" t="s">
        <v>35</v>
      </c>
      <c r="C115" s="904"/>
      <c r="D115" s="904">
        <v>788.17399999999998</v>
      </c>
      <c r="E115" s="904">
        <v>841.6</v>
      </c>
      <c r="F115" s="904">
        <v>876.5</v>
      </c>
      <c r="G115" s="904">
        <v>824</v>
      </c>
      <c r="H115" s="1015">
        <f>G115</f>
        <v>824</v>
      </c>
      <c r="I115" s="904">
        <v>840.9</v>
      </c>
      <c r="J115" s="904">
        <v>901.2</v>
      </c>
      <c r="K115" s="904">
        <v>957.8</v>
      </c>
      <c r="L115" s="904">
        <v>950</v>
      </c>
      <c r="M115" s="1015">
        <f>L115</f>
        <v>950</v>
      </c>
      <c r="N115" s="904">
        <v>1012.8</v>
      </c>
      <c r="O115" s="904">
        <v>1051.8</v>
      </c>
      <c r="P115" s="904">
        <v>1482</v>
      </c>
      <c r="Q115" s="904">
        <v>1432</v>
      </c>
      <c r="R115" s="1015">
        <f>Q115</f>
        <v>1432</v>
      </c>
      <c r="S115" s="904">
        <v>1517</v>
      </c>
      <c r="T115" s="904">
        <v>1592</v>
      </c>
      <c r="U115" s="904">
        <v>1728</v>
      </c>
      <c r="V115" s="904">
        <v>1761</v>
      </c>
      <c r="W115" s="1015">
        <f>V115</f>
        <v>1761</v>
      </c>
      <c r="X115" s="904">
        <v>1857</v>
      </c>
      <c r="Y115" s="904">
        <v>1951</v>
      </c>
      <c r="Z115" s="904">
        <v>2033</v>
      </c>
      <c r="AA115" s="904">
        <v>1864</v>
      </c>
      <c r="AB115" s="1015">
        <f>AA115</f>
        <v>1864</v>
      </c>
      <c r="AC115" s="904">
        <v>1962</v>
      </c>
      <c r="AD115" s="904">
        <v>2052</v>
      </c>
      <c r="AE115" s="904">
        <v>2088</v>
      </c>
      <c r="AF115" s="904">
        <v>2247</v>
      </c>
      <c r="AG115" s="1015">
        <f>AF115</f>
        <v>2247</v>
      </c>
      <c r="AH115" s="904">
        <v>2347</v>
      </c>
      <c r="AI115" s="904">
        <v>2447</v>
      </c>
      <c r="AJ115" s="904">
        <v>2546</v>
      </c>
      <c r="AK115" s="904">
        <v>2607</v>
      </c>
      <c r="AL115" s="1015">
        <f>AK115</f>
        <v>2607</v>
      </c>
      <c r="AM115" s="910">
        <f>AM121</f>
        <v>2756</v>
      </c>
      <c r="AN115" s="910">
        <f>AN121</f>
        <v>2907</v>
      </c>
      <c r="AO115" s="910">
        <f>AO121</f>
        <v>3061</v>
      </c>
      <c r="AP115" s="910">
        <f>AQ115</f>
        <v>2986</v>
      </c>
      <c r="AQ115" s="1016">
        <v>2986</v>
      </c>
      <c r="AR115" s="910">
        <f>AR121</f>
        <v>3114</v>
      </c>
      <c r="AS115" s="910">
        <f>AS121</f>
        <v>3244</v>
      </c>
      <c r="AT115" s="910">
        <f>AT121</f>
        <v>3376</v>
      </c>
      <c r="AU115" s="885"/>
      <c r="AV115" s="910"/>
      <c r="AW115" s="910"/>
      <c r="AX115" s="910"/>
      <c r="AY115" s="910"/>
      <c r="AZ115" s="1016">
        <v>3014</v>
      </c>
      <c r="BA115" s="910">
        <f>BA121</f>
        <v>3133</v>
      </c>
      <c r="BB115" s="910">
        <f>BB121</f>
        <v>3253</v>
      </c>
      <c r="BC115" s="910">
        <f>BC121</f>
        <v>3365</v>
      </c>
      <c r="BD115" s="910">
        <f>BE115</f>
        <v>2556</v>
      </c>
      <c r="BE115" s="1016">
        <v>2556</v>
      </c>
      <c r="BF115" s="910">
        <f>BF121</f>
        <v>2652</v>
      </c>
      <c r="BG115" s="910">
        <f>BG121</f>
        <v>2747</v>
      </c>
      <c r="BH115" s="904">
        <v>2650</v>
      </c>
      <c r="BI115" s="904">
        <v>2574</v>
      </c>
      <c r="BJ115" s="1015">
        <f>BI115</f>
        <v>2574</v>
      </c>
      <c r="BK115" s="904">
        <v>2652</v>
      </c>
      <c r="BL115" s="904">
        <v>2722</v>
      </c>
      <c r="BM115" s="904">
        <v>2661</v>
      </c>
      <c r="BN115" s="904">
        <v>2582</v>
      </c>
      <c r="BO115" s="1015">
        <f>BN115</f>
        <v>2582</v>
      </c>
      <c r="BP115" s="904">
        <v>2621</v>
      </c>
      <c r="BQ115" s="904">
        <v>2541</v>
      </c>
      <c r="BR115" s="904">
        <v>2608</v>
      </c>
      <c r="BS115" s="904">
        <v>2548</v>
      </c>
      <c r="BT115" s="1015">
        <f>BS115</f>
        <v>2548</v>
      </c>
      <c r="BU115" s="904">
        <v>2616</v>
      </c>
      <c r="BV115" s="904">
        <v>2666</v>
      </c>
      <c r="BW115" s="904">
        <v>2726</v>
      </c>
      <c r="BX115" s="904">
        <v>2779</v>
      </c>
      <c r="BY115" s="1015">
        <f>BX115</f>
        <v>2779</v>
      </c>
      <c r="BZ115" s="904">
        <v>2835</v>
      </c>
      <c r="CA115" s="904">
        <v>2743</v>
      </c>
      <c r="CB115" s="904">
        <v>2753</v>
      </c>
      <c r="CC115" s="904">
        <v>2795</v>
      </c>
      <c r="CD115" s="1015">
        <f>CC115</f>
        <v>2795</v>
      </c>
      <c r="CE115" s="904">
        <v>2852</v>
      </c>
      <c r="CF115" s="904">
        <v>2914</v>
      </c>
      <c r="CG115" s="904">
        <v>2966</v>
      </c>
      <c r="CH115" s="904">
        <v>2970</v>
      </c>
      <c r="CI115" s="1015">
        <f>CH115</f>
        <v>2970</v>
      </c>
      <c r="CJ115" s="904">
        <v>3028</v>
      </c>
      <c r="CK115" s="904">
        <v>3098</v>
      </c>
      <c r="CL115" s="904">
        <v>3073</v>
      </c>
      <c r="CM115" s="904">
        <v>3100</v>
      </c>
      <c r="CN115" s="1015">
        <f>CM115</f>
        <v>3100</v>
      </c>
      <c r="CO115" s="904">
        <v>3167</v>
      </c>
      <c r="CP115" s="904">
        <v>3230</v>
      </c>
      <c r="CQ115" s="904">
        <v>3304</v>
      </c>
      <c r="CR115" s="904">
        <v>3386</v>
      </c>
      <c r="CS115" s="1015">
        <f>CR115</f>
        <v>3386</v>
      </c>
      <c r="CT115" s="904">
        <v>3442</v>
      </c>
      <c r="CU115" s="904">
        <v>3367</v>
      </c>
      <c r="CV115" s="904">
        <v>3444</v>
      </c>
      <c r="CW115" s="904">
        <v>3494</v>
      </c>
      <c r="CX115" s="1015">
        <f>CW115</f>
        <v>3494</v>
      </c>
      <c r="CY115" s="904">
        <v>3580</v>
      </c>
      <c r="CZ115" s="904">
        <v>3669</v>
      </c>
      <c r="DA115" s="904">
        <v>3670</v>
      </c>
      <c r="DB115" s="904">
        <v>3671</v>
      </c>
      <c r="DC115" s="1015">
        <f>DB115</f>
        <v>3671</v>
      </c>
      <c r="DD115" s="904">
        <v>4018</v>
      </c>
      <c r="DE115" s="904">
        <v>4178</v>
      </c>
      <c r="DF115" s="904">
        <v>4347</v>
      </c>
      <c r="DG115" s="904">
        <v>4478</v>
      </c>
      <c r="DH115" s="1015">
        <f>DG115</f>
        <v>4478</v>
      </c>
      <c r="DI115" s="904">
        <v>4479</v>
      </c>
      <c r="DJ115" s="904">
        <f ca="1">DJ121</f>
        <v>4178</v>
      </c>
      <c r="DK115" s="904">
        <v>4145</v>
      </c>
      <c r="DL115" s="904">
        <v>4323</v>
      </c>
      <c r="DM115" s="1015">
        <f>DL115</f>
        <v>4323</v>
      </c>
      <c r="DN115" s="904">
        <v>4538</v>
      </c>
      <c r="DO115" s="904">
        <v>4814</v>
      </c>
      <c r="DP115" s="904">
        <v>4957</v>
      </c>
      <c r="DQ115" s="904">
        <v>4974</v>
      </c>
      <c r="DR115" s="1015">
        <f>DQ115</f>
        <v>4974</v>
      </c>
      <c r="DS115" s="904">
        <v>4926</v>
      </c>
      <c r="DT115" s="904">
        <v>4826</v>
      </c>
      <c r="DU115" s="904">
        <v>4750</v>
      </c>
      <c r="DV115" s="904">
        <v>4739</v>
      </c>
      <c r="DW115" s="1015">
        <f>DV115</f>
        <v>4739</v>
      </c>
      <c r="DX115" s="910">
        <f ca="1">DX121</f>
        <v>5574.7438009604866</v>
      </c>
      <c r="DY115" s="910">
        <f ca="1">DY121</f>
        <v>5775.9086183612226</v>
      </c>
      <c r="DZ115" s="910">
        <f ca="1">DZ121</f>
        <v>5968.7220275865293</v>
      </c>
      <c r="EA115" s="910">
        <f ca="1">EA121</f>
        <v>6171.1679410707775</v>
      </c>
      <c r="EB115" s="1015">
        <f ca="1">EA115</f>
        <v>6171.1679410707775</v>
      </c>
      <c r="EC115" s="910">
        <f ca="1">EC121</f>
        <v>6365.7126811456683</v>
      </c>
      <c r="ED115" s="910">
        <f ca="1">ED121</f>
        <v>6581.277371831542</v>
      </c>
      <c r="EE115" s="910">
        <f ca="1">EE121</f>
        <v>6791.6908008472474</v>
      </c>
      <c r="EF115" s="910">
        <f ca="1">EF121</f>
        <v>6997.3800439593051</v>
      </c>
      <c r="EG115" s="1015">
        <f ca="1">EF115</f>
        <v>6997.3800439593051</v>
      </c>
      <c r="EH115" s="910">
        <f ca="1">EH121</f>
        <v>7210.3513720750643</v>
      </c>
      <c r="EI115" s="910">
        <f ca="1">EI121</f>
        <v>7426.0580858657895</v>
      </c>
      <c r="EJ115" s="910">
        <f ca="1">EJ121</f>
        <v>7636.4116353512954</v>
      </c>
      <c r="EK115" s="910">
        <f ca="1">EK121</f>
        <v>7861.3836116475286</v>
      </c>
      <c r="EL115" s="1015">
        <f ca="1">EK115</f>
        <v>7861.3836116475286</v>
      </c>
      <c r="EM115" s="141"/>
      <c r="EN115"/>
      <c r="EO115"/>
      <c r="EP115"/>
      <c r="EQ115"/>
      <c r="ER115"/>
      <c r="ES115"/>
    </row>
    <row r="116" spans="1:149" s="135" customFormat="1" ht="11.25" hidden="1" customHeight="1" outlineLevel="1">
      <c r="A116" s="1006"/>
      <c r="B116" s="1007" t="s">
        <v>36</v>
      </c>
      <c r="C116" s="1003"/>
      <c r="D116" s="1003">
        <f t="shared" ref="D116:AT116" si="319">D113+D115</f>
        <v>2582.67</v>
      </c>
      <c r="E116" s="1003">
        <f t="shared" si="319"/>
        <v>2622.5</v>
      </c>
      <c r="F116" s="1003">
        <f t="shared" si="319"/>
        <v>2663.2</v>
      </c>
      <c r="G116" s="1003">
        <f t="shared" si="319"/>
        <v>4143</v>
      </c>
      <c r="H116" s="1004">
        <f t="shared" si="319"/>
        <v>4143</v>
      </c>
      <c r="I116" s="1003">
        <f t="shared" si="319"/>
        <v>4258.8999999999996</v>
      </c>
      <c r="J116" s="1003">
        <f t="shared" si="319"/>
        <v>4464.7</v>
      </c>
      <c r="K116" s="1003">
        <f t="shared" si="319"/>
        <v>4547.8</v>
      </c>
      <c r="L116" s="1003">
        <f t="shared" si="319"/>
        <v>4598</v>
      </c>
      <c r="M116" s="1004">
        <f t="shared" si="319"/>
        <v>4598</v>
      </c>
      <c r="N116" s="1003">
        <f t="shared" si="319"/>
        <v>4701.8</v>
      </c>
      <c r="O116" s="1003">
        <f t="shared" si="319"/>
        <v>4789.8999999999996</v>
      </c>
      <c r="P116" s="1003">
        <f t="shared" si="319"/>
        <v>6765.3</v>
      </c>
      <c r="Q116" s="1003">
        <f t="shared" si="319"/>
        <v>6922</v>
      </c>
      <c r="R116" s="1004">
        <f t="shared" si="319"/>
        <v>6922</v>
      </c>
      <c r="S116" s="1003">
        <f t="shared" si="319"/>
        <v>7174</v>
      </c>
      <c r="T116" s="1003">
        <f t="shared" si="319"/>
        <v>7269</v>
      </c>
      <c r="U116" s="1003">
        <f t="shared" si="319"/>
        <v>7563</v>
      </c>
      <c r="V116" s="1003">
        <f t="shared" si="319"/>
        <v>7748</v>
      </c>
      <c r="W116" s="1004">
        <f t="shared" si="319"/>
        <v>7748</v>
      </c>
      <c r="X116" s="1003">
        <f t="shared" si="319"/>
        <v>7960</v>
      </c>
      <c r="Y116" s="1003">
        <f t="shared" si="319"/>
        <v>8373</v>
      </c>
      <c r="Z116" s="1003">
        <f t="shared" si="319"/>
        <v>8465</v>
      </c>
      <c r="AA116" s="1003">
        <f t="shared" si="319"/>
        <v>7703</v>
      </c>
      <c r="AB116" s="1004">
        <f t="shared" si="319"/>
        <v>7703</v>
      </c>
      <c r="AC116" s="1003">
        <f t="shared" si="319"/>
        <v>7780</v>
      </c>
      <c r="AD116" s="1003">
        <f t="shared" si="319"/>
        <v>7895</v>
      </c>
      <c r="AE116" s="1003">
        <f t="shared" si="319"/>
        <v>7881</v>
      </c>
      <c r="AF116" s="1003">
        <f t="shared" si="319"/>
        <v>8141</v>
      </c>
      <c r="AG116" s="1004">
        <f t="shared" si="319"/>
        <v>8141</v>
      </c>
      <c r="AH116" s="1003">
        <f t="shared" si="319"/>
        <v>8189</v>
      </c>
      <c r="AI116" s="1003">
        <f t="shared" si="319"/>
        <v>8310</v>
      </c>
      <c r="AJ116" s="1003">
        <f t="shared" si="319"/>
        <v>8438</v>
      </c>
      <c r="AK116" s="1003">
        <f t="shared" si="319"/>
        <v>8583</v>
      </c>
      <c r="AL116" s="1004">
        <f t="shared" si="319"/>
        <v>8583</v>
      </c>
      <c r="AM116" s="1003">
        <f t="shared" si="319"/>
        <v>8977</v>
      </c>
      <c r="AN116" s="1003">
        <f t="shared" si="319"/>
        <v>9215</v>
      </c>
      <c r="AO116" s="1003">
        <f t="shared" si="319"/>
        <v>9452</v>
      </c>
      <c r="AP116" s="1003">
        <f t="shared" si="319"/>
        <v>9571</v>
      </c>
      <c r="AQ116" s="1004">
        <f t="shared" si="319"/>
        <v>9571</v>
      </c>
      <c r="AR116" s="1003">
        <f t="shared" si="319"/>
        <v>9678</v>
      </c>
      <c r="AS116" s="1003">
        <f t="shared" si="319"/>
        <v>9923</v>
      </c>
      <c r="AT116" s="1003">
        <f t="shared" si="319"/>
        <v>9788</v>
      </c>
      <c r="AU116" s="885"/>
      <c r="AV116" s="1005"/>
      <c r="AW116" s="1005"/>
      <c r="AX116" s="1005"/>
      <c r="AY116" s="1005"/>
      <c r="AZ116" s="1004">
        <f t="shared" ref="AZ116:CR116" si="320">AZ113+AZ115</f>
        <v>9373</v>
      </c>
      <c r="BA116" s="1003">
        <f t="shared" si="320"/>
        <v>9184</v>
      </c>
      <c r="BB116" s="1003">
        <f t="shared" si="320"/>
        <v>9152</v>
      </c>
      <c r="BC116" s="1003">
        <f t="shared" si="320"/>
        <v>9279</v>
      </c>
      <c r="BD116" s="1003">
        <f t="shared" si="320"/>
        <v>8113</v>
      </c>
      <c r="BE116" s="1004">
        <f t="shared" si="320"/>
        <v>8113</v>
      </c>
      <c r="BF116" s="1003">
        <f t="shared" si="320"/>
        <v>7520</v>
      </c>
      <c r="BG116" s="1003">
        <f t="shared" si="320"/>
        <v>7570</v>
      </c>
      <c r="BH116" s="1003">
        <f t="shared" si="320"/>
        <v>7487</v>
      </c>
      <c r="BI116" s="1003">
        <f t="shared" si="320"/>
        <v>7394</v>
      </c>
      <c r="BJ116" s="1004">
        <f t="shared" si="320"/>
        <v>7394</v>
      </c>
      <c r="BK116" s="1003">
        <f t="shared" si="320"/>
        <v>7469</v>
      </c>
      <c r="BL116" s="1003">
        <f t="shared" si="320"/>
        <v>7571</v>
      </c>
      <c r="BM116" s="1003">
        <f t="shared" si="320"/>
        <v>7254</v>
      </c>
      <c r="BN116" s="1003">
        <f t="shared" si="320"/>
        <v>7202</v>
      </c>
      <c r="BO116" s="1004">
        <f t="shared" si="320"/>
        <v>7202</v>
      </c>
      <c r="BP116" s="1003">
        <f t="shared" si="320"/>
        <v>7222</v>
      </c>
      <c r="BQ116" s="1003">
        <f t="shared" si="320"/>
        <v>6817</v>
      </c>
      <c r="BR116" s="1003">
        <f t="shared" si="320"/>
        <v>6925</v>
      </c>
      <c r="BS116" s="1003">
        <f t="shared" si="320"/>
        <v>6847</v>
      </c>
      <c r="BT116" s="1004">
        <f t="shared" si="320"/>
        <v>6847</v>
      </c>
      <c r="BU116" s="1003">
        <f t="shared" si="320"/>
        <v>6891</v>
      </c>
      <c r="BV116" s="1003">
        <f t="shared" si="320"/>
        <v>7020</v>
      </c>
      <c r="BW116" s="1003">
        <f t="shared" si="320"/>
        <v>7129</v>
      </c>
      <c r="BX116" s="1003">
        <f t="shared" si="320"/>
        <v>7424</v>
      </c>
      <c r="BY116" s="1004">
        <f t="shared" si="320"/>
        <v>7424</v>
      </c>
      <c r="BZ116" s="1003">
        <f t="shared" si="320"/>
        <v>7457</v>
      </c>
      <c r="CA116" s="1003">
        <f t="shared" si="320"/>
        <v>7017</v>
      </c>
      <c r="CB116" s="1003">
        <f t="shared" si="320"/>
        <v>6992</v>
      </c>
      <c r="CC116" s="1003">
        <f t="shared" si="320"/>
        <v>7086</v>
      </c>
      <c r="CD116" s="1004">
        <f t="shared" si="320"/>
        <v>7086</v>
      </c>
      <c r="CE116" s="1003">
        <f t="shared" si="320"/>
        <v>7088</v>
      </c>
      <c r="CF116" s="1003">
        <f t="shared" si="320"/>
        <v>7096</v>
      </c>
      <c r="CG116" s="1003">
        <f t="shared" si="320"/>
        <v>7138</v>
      </c>
      <c r="CH116" s="1003">
        <f t="shared" si="320"/>
        <v>7283</v>
      </c>
      <c r="CI116" s="1004">
        <f t="shared" si="320"/>
        <v>7283</v>
      </c>
      <c r="CJ116" s="1003">
        <f t="shared" si="320"/>
        <v>7277</v>
      </c>
      <c r="CK116" s="1003">
        <f t="shared" si="320"/>
        <v>7309</v>
      </c>
      <c r="CL116" s="1003">
        <f t="shared" si="320"/>
        <v>7312</v>
      </c>
      <c r="CM116" s="1003">
        <f t="shared" si="320"/>
        <v>7404</v>
      </c>
      <c r="CN116" s="1004">
        <f t="shared" si="320"/>
        <v>7404</v>
      </c>
      <c r="CO116" s="1003">
        <f t="shared" si="320"/>
        <v>7429</v>
      </c>
      <c r="CP116" s="1003">
        <f t="shared" si="320"/>
        <v>7468</v>
      </c>
      <c r="CQ116" s="1003">
        <f t="shared" si="320"/>
        <v>7505</v>
      </c>
      <c r="CR116" s="1003">
        <f t="shared" si="320"/>
        <v>7736</v>
      </c>
      <c r="CS116" s="1004">
        <f>CR116</f>
        <v>7736</v>
      </c>
      <c r="CT116" s="1003">
        <f>CT113+CT115</f>
        <v>7766</v>
      </c>
      <c r="CU116" s="1003">
        <f>CU113+CU115</f>
        <v>7548</v>
      </c>
      <c r="CV116" s="1003">
        <f>CV113+CV115</f>
        <v>7617</v>
      </c>
      <c r="CW116" s="1003">
        <f>CW113+CW115</f>
        <v>7787</v>
      </c>
      <c r="CX116" s="1004">
        <f>CW116</f>
        <v>7787</v>
      </c>
      <c r="CY116" s="1003">
        <f>CY113+CY115</f>
        <v>7876</v>
      </c>
      <c r="CZ116" s="1003">
        <f>CZ113+CZ115</f>
        <v>7995</v>
      </c>
      <c r="DA116" s="1003">
        <f>DA113+DA115</f>
        <v>8024</v>
      </c>
      <c r="DB116" s="1003">
        <f>DB113+DB115</f>
        <v>11362</v>
      </c>
      <c r="DC116" s="1004">
        <f>DB116</f>
        <v>11362</v>
      </c>
      <c r="DD116" s="1003">
        <f>DD113+DD115</f>
        <v>11741</v>
      </c>
      <c r="DE116" s="1003">
        <f ca="1">DE127</f>
        <v>12017.72</v>
      </c>
      <c r="DF116" s="1003">
        <f ca="1">DF127</f>
        <v>12298.4</v>
      </c>
      <c r="DG116" s="1003">
        <f>DG113+DG115</f>
        <v>12211</v>
      </c>
      <c r="DH116" s="1004">
        <f>DG116</f>
        <v>12211</v>
      </c>
      <c r="DI116" s="1003">
        <f>DI113+DI115</f>
        <v>12007</v>
      </c>
      <c r="DJ116" s="1003">
        <f ca="1">DJ127</f>
        <v>12017.72</v>
      </c>
      <c r="DK116" s="1003">
        <f ca="1">DK127</f>
        <v>12298.4</v>
      </c>
      <c r="DL116" s="1003">
        <f ca="1">DL127</f>
        <v>12298.4</v>
      </c>
      <c r="DM116" s="1004">
        <f ca="1">DL116</f>
        <v>12298.4</v>
      </c>
      <c r="DN116" s="1003">
        <f>DN113+DN115</f>
        <v>12499</v>
      </c>
      <c r="DO116" s="1003">
        <f>DO113+DO115</f>
        <v>12791</v>
      </c>
      <c r="DP116" s="1003">
        <f>DP113+DP115</f>
        <v>12922</v>
      </c>
      <c r="DQ116" s="1003">
        <f>DQ113+DQ115</f>
        <v>13027</v>
      </c>
      <c r="DR116" s="1004">
        <f>DQ116</f>
        <v>13027</v>
      </c>
      <c r="DS116" s="1003">
        <f ca="1">DS127</f>
        <v>12499</v>
      </c>
      <c r="DT116" s="1003">
        <f ca="1">DT127</f>
        <v>12499</v>
      </c>
      <c r="DU116" s="1003">
        <f ca="1">DU127</f>
        <v>12499</v>
      </c>
      <c r="DV116" s="1003">
        <f ca="1">DV127</f>
        <v>13027</v>
      </c>
      <c r="DW116" s="1004">
        <f ca="1">DV116</f>
        <v>13027</v>
      </c>
      <c r="DX116" s="1003">
        <f ca="1">DX127</f>
        <v>13347.118668054985</v>
      </c>
      <c r="DY116" s="1003">
        <f ca="1">DY127</f>
        <v>13443.254900169528</v>
      </c>
      <c r="DZ116" s="1003">
        <f ca="1">DZ127</f>
        <v>13526.628300398574</v>
      </c>
      <c r="EA116" s="1003">
        <f ca="1">EA127</f>
        <v>13616.129471967812</v>
      </c>
      <c r="EB116" s="1004">
        <f ca="1">EA116</f>
        <v>13616.129471967812</v>
      </c>
      <c r="EC116" s="1003">
        <f ca="1">EC127</f>
        <v>13863.114987470804</v>
      </c>
      <c r="ED116" s="1003">
        <f ca="1">ED127</f>
        <v>14111.988042434423</v>
      </c>
      <c r="EE116" s="1003">
        <f ca="1">EE127</f>
        <v>14357.543927920056</v>
      </c>
      <c r="EF116" s="1003">
        <f ca="1">EF127</f>
        <v>14612.416128278019</v>
      </c>
      <c r="EG116" s="1004">
        <f ca="1">EF116</f>
        <v>14612.416128278019</v>
      </c>
      <c r="EH116" s="1003">
        <f ca="1">EH127</f>
        <v>14865.526959214074</v>
      </c>
      <c r="EI116" s="1003">
        <f ca="1">EI127</f>
        <v>15120.481129317312</v>
      </c>
      <c r="EJ116" s="1003">
        <f ca="1">EJ127</f>
        <v>15371.840047157142</v>
      </c>
      <c r="EK116" s="1003">
        <f ca="1">EK127</f>
        <v>15633.061139365482</v>
      </c>
      <c r="EL116" s="1004">
        <f ca="1">EK116</f>
        <v>15633.061139365482</v>
      </c>
      <c r="EM116" s="141"/>
      <c r="EN116"/>
      <c r="EO116"/>
      <c r="EP116"/>
      <c r="EQ116"/>
      <c r="ER116"/>
      <c r="ES116"/>
    </row>
    <row r="117" spans="1:149" s="135" customFormat="1" ht="11.25" hidden="1" customHeight="1" outlineLevel="1">
      <c r="A117" s="1006"/>
      <c r="B117" s="1007"/>
      <c r="C117" s="849"/>
      <c r="D117" s="849"/>
      <c r="E117" s="849"/>
      <c r="F117" s="849"/>
      <c r="G117" s="849"/>
      <c r="H117" s="851"/>
      <c r="I117" s="849"/>
      <c r="J117" s="849"/>
      <c r="K117" s="849"/>
      <c r="L117" s="849"/>
      <c r="M117" s="851"/>
      <c r="N117" s="849"/>
      <c r="O117" s="849"/>
      <c r="P117" s="849"/>
      <c r="Q117" s="849"/>
      <c r="R117" s="851"/>
      <c r="S117" s="849"/>
      <c r="T117" s="849"/>
      <c r="U117" s="849"/>
      <c r="V117" s="849"/>
      <c r="W117" s="851"/>
      <c r="X117" s="849"/>
      <c r="Y117" s="849"/>
      <c r="Z117" s="849"/>
      <c r="AA117" s="849"/>
      <c r="AB117" s="851"/>
      <c r="AC117" s="849"/>
      <c r="AD117" s="849"/>
      <c r="AE117" s="849"/>
      <c r="AF117" s="849"/>
      <c r="AG117" s="851"/>
      <c r="AH117" s="849"/>
      <c r="AI117" s="849"/>
      <c r="AJ117" s="849"/>
      <c r="AK117" s="849"/>
      <c r="AL117" s="851"/>
      <c r="AM117" s="849"/>
      <c r="AN117" s="849"/>
      <c r="AO117" s="849"/>
      <c r="AP117" s="849"/>
      <c r="AQ117" s="851"/>
      <c r="AR117" s="849"/>
      <c r="AS117" s="849"/>
      <c r="AT117" s="849"/>
      <c r="AU117" s="885"/>
      <c r="AV117" s="849"/>
      <c r="AW117" s="849"/>
      <c r="AX117" s="849"/>
      <c r="AY117" s="849"/>
      <c r="AZ117" s="851"/>
      <c r="BA117" s="849"/>
      <c r="BB117" s="849"/>
      <c r="BC117" s="849"/>
      <c r="BD117" s="849"/>
      <c r="BE117" s="851"/>
      <c r="BF117" s="849"/>
      <c r="BG117" s="849"/>
      <c r="BH117" s="849"/>
      <c r="BI117" s="849"/>
      <c r="BJ117" s="851"/>
      <c r="BK117" s="849"/>
      <c r="BL117" s="849"/>
      <c r="BM117" s="849"/>
      <c r="BN117" s="849"/>
      <c r="BO117" s="851"/>
      <c r="BP117" s="849"/>
      <c r="BQ117" s="849"/>
      <c r="BR117" s="849"/>
      <c r="BS117" s="849"/>
      <c r="BT117" s="851"/>
      <c r="BU117" s="849"/>
      <c r="BV117" s="849"/>
      <c r="BW117" s="849"/>
      <c r="BX117" s="849"/>
      <c r="BY117" s="851"/>
      <c r="BZ117" s="849"/>
      <c r="CA117" s="849"/>
      <c r="CB117" s="881"/>
      <c r="CC117" s="881"/>
      <c r="CD117" s="885"/>
      <c r="CE117" s="881"/>
      <c r="CF117" s="881"/>
      <c r="CG117" s="881"/>
      <c r="CH117" s="881"/>
      <c r="CI117" s="885"/>
      <c r="CJ117" s="881"/>
      <c r="CK117" s="881"/>
      <c r="CL117" s="881"/>
      <c r="CM117" s="881"/>
      <c r="CN117" s="885"/>
      <c r="CO117" s="881"/>
      <c r="CP117" s="881"/>
      <c r="CQ117" s="881"/>
      <c r="CR117" s="881"/>
      <c r="CS117" s="885"/>
      <c r="CT117" s="881"/>
      <c r="CU117" s="881"/>
      <c r="CV117" s="881"/>
      <c r="CW117" s="881"/>
      <c r="CX117" s="885"/>
      <c r="CY117" s="881"/>
      <c r="CZ117" s="881"/>
      <c r="DA117" s="881"/>
      <c r="DB117" s="881"/>
      <c r="DC117" s="885"/>
      <c r="DD117" s="881"/>
      <c r="DE117" s="881"/>
      <c r="DF117" s="881"/>
      <c r="DG117" s="881"/>
      <c r="DH117" s="885"/>
      <c r="DI117" s="881"/>
      <c r="DJ117" s="881"/>
      <c r="DK117" s="881"/>
      <c r="DL117" s="881"/>
      <c r="DM117" s="885"/>
      <c r="DN117" s="881"/>
      <c r="DO117" s="881"/>
      <c r="DP117" s="881"/>
      <c r="DQ117" s="881"/>
      <c r="DR117" s="885"/>
      <c r="DS117" s="881"/>
      <c r="DT117" s="881"/>
      <c r="DU117" s="881"/>
      <c r="DV117" s="881"/>
      <c r="DW117" s="885"/>
      <c r="DX117" s="881"/>
      <c r="DY117" s="881"/>
      <c r="DZ117" s="881"/>
      <c r="EA117" s="881"/>
      <c r="EB117" s="885"/>
      <c r="EC117" s="881"/>
      <c r="ED117" s="881"/>
      <c r="EE117" s="881"/>
      <c r="EF117" s="881"/>
      <c r="EG117" s="885"/>
      <c r="EH117" s="881"/>
      <c r="EI117" s="881"/>
      <c r="EJ117" s="881"/>
      <c r="EK117" s="881"/>
      <c r="EL117" s="885"/>
      <c r="EM117" s="141"/>
      <c r="EN117"/>
      <c r="EO117"/>
      <c r="EP117"/>
      <c r="EQ117"/>
      <c r="ER117"/>
      <c r="ES117"/>
    </row>
    <row r="118" spans="1:149" s="135" customFormat="1" ht="11.25" hidden="1" customHeight="1" outlineLevel="1">
      <c r="A118" s="1006"/>
      <c r="B118" s="1007" t="s">
        <v>37</v>
      </c>
      <c r="C118" s="898"/>
      <c r="D118" s="898">
        <v>771.58199999999999</v>
      </c>
      <c r="E118" s="843">
        <f>D121</f>
        <v>788.17399999999998</v>
      </c>
      <c r="F118" s="843">
        <f>E121</f>
        <v>841.6</v>
      </c>
      <c r="G118" s="843">
        <f>F121</f>
        <v>876.5</v>
      </c>
      <c r="H118" s="844">
        <f>D118</f>
        <v>771.58199999999999</v>
      </c>
      <c r="I118" s="843">
        <f>G121</f>
        <v>824</v>
      </c>
      <c r="J118" s="843">
        <f>I121</f>
        <v>840.9</v>
      </c>
      <c r="K118" s="843">
        <f>J121</f>
        <v>901.2</v>
      </c>
      <c r="L118" s="843">
        <f>K121</f>
        <v>957.8</v>
      </c>
      <c r="M118" s="844">
        <f>H121</f>
        <v>824</v>
      </c>
      <c r="N118" s="843">
        <f>L121</f>
        <v>950</v>
      </c>
      <c r="O118" s="843">
        <f>N121</f>
        <v>1012.8</v>
      </c>
      <c r="P118" s="843">
        <f>O121</f>
        <v>1051.8</v>
      </c>
      <c r="Q118" s="843">
        <f>P121</f>
        <v>1482</v>
      </c>
      <c r="R118" s="844">
        <f>M121</f>
        <v>950</v>
      </c>
      <c r="S118" s="843">
        <f>Q121</f>
        <v>1432</v>
      </c>
      <c r="T118" s="843">
        <f>S121</f>
        <v>1517</v>
      </c>
      <c r="U118" s="843">
        <f>T121</f>
        <v>1592</v>
      </c>
      <c r="V118" s="843">
        <f>U121</f>
        <v>1728</v>
      </c>
      <c r="W118" s="844">
        <f>R121</f>
        <v>1432</v>
      </c>
      <c r="X118" s="843">
        <f>V121</f>
        <v>1761</v>
      </c>
      <c r="Y118" s="843">
        <f>X121</f>
        <v>1857</v>
      </c>
      <c r="Z118" s="843">
        <f>Y121</f>
        <v>1951</v>
      </c>
      <c r="AA118" s="843">
        <f>Z121</f>
        <v>2033</v>
      </c>
      <c r="AB118" s="844">
        <f>W121</f>
        <v>1761</v>
      </c>
      <c r="AC118" s="843">
        <f>AA121</f>
        <v>1864</v>
      </c>
      <c r="AD118" s="843">
        <f>AC121</f>
        <v>1962</v>
      </c>
      <c r="AE118" s="843">
        <f>AD121</f>
        <v>2052</v>
      </c>
      <c r="AF118" s="843">
        <f>AE121</f>
        <v>2088</v>
      </c>
      <c r="AG118" s="844">
        <f>AB121</f>
        <v>1864</v>
      </c>
      <c r="AH118" s="843">
        <f>AF121</f>
        <v>2247</v>
      </c>
      <c r="AI118" s="843">
        <f>AH121</f>
        <v>2347</v>
      </c>
      <c r="AJ118" s="843">
        <f>AI121</f>
        <v>2447</v>
      </c>
      <c r="AK118" s="843">
        <f>AJ121</f>
        <v>2546</v>
      </c>
      <c r="AL118" s="844">
        <f>AG121</f>
        <v>2247</v>
      </c>
      <c r="AM118" s="843">
        <f>AK121</f>
        <v>2607</v>
      </c>
      <c r="AN118" s="843">
        <f>AM121</f>
        <v>2756</v>
      </c>
      <c r="AO118" s="843">
        <f>AN121</f>
        <v>2907</v>
      </c>
      <c r="AP118" s="843">
        <f>AO121</f>
        <v>3061</v>
      </c>
      <c r="AQ118" s="844">
        <f>AL121</f>
        <v>2607</v>
      </c>
      <c r="AR118" s="843">
        <f>AP121</f>
        <v>2986</v>
      </c>
      <c r="AS118" s="843">
        <f>AR121</f>
        <v>3114</v>
      </c>
      <c r="AT118" s="843">
        <f>AS121</f>
        <v>3244</v>
      </c>
      <c r="AU118" s="885"/>
      <c r="AV118" s="561"/>
      <c r="AW118" s="561"/>
      <c r="AX118" s="561"/>
      <c r="AY118" s="561"/>
      <c r="AZ118" s="844"/>
      <c r="BA118" s="843">
        <f>AZ121</f>
        <v>3014</v>
      </c>
      <c r="BB118" s="843">
        <f>BA121</f>
        <v>3133</v>
      </c>
      <c r="BC118" s="843">
        <f>BB121</f>
        <v>3253</v>
      </c>
      <c r="BD118" s="843">
        <f>BC121</f>
        <v>3365</v>
      </c>
      <c r="BE118" s="844">
        <f>AZ121</f>
        <v>3014</v>
      </c>
      <c r="BF118" s="843">
        <f>BE121</f>
        <v>2556</v>
      </c>
      <c r="BG118" s="843">
        <f>BF121</f>
        <v>2652</v>
      </c>
      <c r="BH118" s="843">
        <f>BG121</f>
        <v>2747</v>
      </c>
      <c r="BI118" s="843">
        <f>BH121</f>
        <v>2650</v>
      </c>
      <c r="BJ118" s="844">
        <f>BE121</f>
        <v>2556</v>
      </c>
      <c r="BK118" s="843">
        <f>BI121</f>
        <v>2574</v>
      </c>
      <c r="BL118" s="843">
        <f>BK121</f>
        <v>2652</v>
      </c>
      <c r="BM118" s="843">
        <f>BL121</f>
        <v>2722</v>
      </c>
      <c r="BN118" s="843">
        <f>BM121</f>
        <v>2661</v>
      </c>
      <c r="BO118" s="844">
        <f>BJ121</f>
        <v>2574</v>
      </c>
      <c r="BP118" s="843">
        <f>BN121</f>
        <v>2582</v>
      </c>
      <c r="BQ118" s="843">
        <f>BP121</f>
        <v>2621</v>
      </c>
      <c r="BR118" s="843">
        <f>BQ121</f>
        <v>2541</v>
      </c>
      <c r="BS118" s="843">
        <f>BR121</f>
        <v>2608</v>
      </c>
      <c r="BT118" s="844">
        <f>BO121</f>
        <v>2582</v>
      </c>
      <c r="BU118" s="843">
        <f>BS121</f>
        <v>2548</v>
      </c>
      <c r="BV118" s="843">
        <f>BU121</f>
        <v>2616</v>
      </c>
      <c r="BW118" s="843">
        <f>BV121</f>
        <v>2666</v>
      </c>
      <c r="BX118" s="843">
        <f>BW121</f>
        <v>2726</v>
      </c>
      <c r="BY118" s="844">
        <f>BT121</f>
        <v>2548</v>
      </c>
      <c r="BZ118" s="843">
        <f>BX121</f>
        <v>2779</v>
      </c>
      <c r="CA118" s="843">
        <f>BZ121</f>
        <v>2835</v>
      </c>
      <c r="CB118" s="843">
        <f>CA121</f>
        <v>2743</v>
      </c>
      <c r="CC118" s="843">
        <f>CB121</f>
        <v>2753</v>
      </c>
      <c r="CD118" s="844">
        <f>BY121</f>
        <v>2779</v>
      </c>
      <c r="CE118" s="843">
        <f>CC121</f>
        <v>2795</v>
      </c>
      <c r="CF118" s="843">
        <f>CE121</f>
        <v>2852</v>
      </c>
      <c r="CG118" s="843">
        <f>CF121</f>
        <v>2914</v>
      </c>
      <c r="CH118" s="843">
        <f>CG121</f>
        <v>2966</v>
      </c>
      <c r="CI118" s="844">
        <f>CD121</f>
        <v>2795</v>
      </c>
      <c r="CJ118" s="843">
        <f>CH121</f>
        <v>2970</v>
      </c>
      <c r="CK118" s="843">
        <f>CI121</f>
        <v>2970</v>
      </c>
      <c r="CL118" s="843">
        <f>CK121</f>
        <v>3098</v>
      </c>
      <c r="CM118" s="843">
        <f>CL121</f>
        <v>3073</v>
      </c>
      <c r="CN118" s="844">
        <f>CI121</f>
        <v>2970</v>
      </c>
      <c r="CO118" s="843">
        <f>CM121</f>
        <v>3100</v>
      </c>
      <c r="CP118" s="843">
        <f>CN121</f>
        <v>3100</v>
      </c>
      <c r="CQ118" s="843">
        <f>CP121</f>
        <v>3230</v>
      </c>
      <c r="CR118" s="843">
        <f>CQ121</f>
        <v>3304</v>
      </c>
      <c r="CS118" s="844">
        <f>CN121</f>
        <v>3100</v>
      </c>
      <c r="CT118" s="843">
        <f>CR121</f>
        <v>3386</v>
      </c>
      <c r="CU118" s="843">
        <f>CT121</f>
        <v>3442</v>
      </c>
      <c r="CV118" s="843">
        <f>CU121</f>
        <v>3367</v>
      </c>
      <c r="CW118" s="843">
        <f>CV121</f>
        <v>3444</v>
      </c>
      <c r="CX118" s="844">
        <f>CS121</f>
        <v>3386</v>
      </c>
      <c r="CY118" s="843">
        <f>CW121</f>
        <v>3494</v>
      </c>
      <c r="CZ118" s="843">
        <f>CY121</f>
        <v>3580</v>
      </c>
      <c r="DA118" s="843">
        <f>CZ121</f>
        <v>3669</v>
      </c>
      <c r="DB118" s="843">
        <f>DA121</f>
        <v>3670</v>
      </c>
      <c r="DC118" s="844">
        <f>CX121</f>
        <v>3816</v>
      </c>
      <c r="DD118" s="843">
        <f>DB121</f>
        <v>3671</v>
      </c>
      <c r="DE118" s="843">
        <f>DC121</f>
        <v>4361</v>
      </c>
      <c r="DF118" s="843">
        <f>DD121</f>
        <v>4018</v>
      </c>
      <c r="DG118" s="843">
        <f>DF121</f>
        <v>4347</v>
      </c>
      <c r="DH118" s="844">
        <f>DC121</f>
        <v>4361</v>
      </c>
      <c r="DI118" s="843">
        <f>DG121</f>
        <v>4478</v>
      </c>
      <c r="DJ118" s="843">
        <f>DH121</f>
        <v>5210</v>
      </c>
      <c r="DK118" s="843">
        <f>DI121</f>
        <v>4479</v>
      </c>
      <c r="DL118" s="843">
        <f ca="1">DJ121</f>
        <v>4178</v>
      </c>
      <c r="DM118" s="844">
        <f>DH121</f>
        <v>5210</v>
      </c>
      <c r="DN118" s="843">
        <f>DL121</f>
        <v>4323</v>
      </c>
      <c r="DO118" s="843">
        <f ca="1">DM121</f>
        <v>3990</v>
      </c>
      <c r="DP118" s="843">
        <f>DN121</f>
        <v>4538</v>
      </c>
      <c r="DQ118" s="843">
        <f>DO121</f>
        <v>4814</v>
      </c>
      <c r="DR118" s="844">
        <f ca="1">DM121</f>
        <v>3990</v>
      </c>
      <c r="DS118" s="843">
        <f>DQ121</f>
        <v>4974</v>
      </c>
      <c r="DT118" s="843">
        <f>DS121</f>
        <v>4926</v>
      </c>
      <c r="DU118" s="843">
        <f>DT121</f>
        <v>4826</v>
      </c>
      <c r="DV118" s="843">
        <f>DU121</f>
        <v>4750</v>
      </c>
      <c r="DW118" s="844">
        <f ca="1">DR121</f>
        <v>5608</v>
      </c>
      <c r="DX118" s="843">
        <f ca="1">DW121</f>
        <v>5373</v>
      </c>
      <c r="DY118" s="843">
        <f ca="1">DX121</f>
        <v>5574.7438009604866</v>
      </c>
      <c r="DZ118" s="843">
        <f ca="1">DY121</f>
        <v>5775.9086183612226</v>
      </c>
      <c r="EA118" s="843">
        <f ca="1">DZ121</f>
        <v>5968.7220275865293</v>
      </c>
      <c r="EB118" s="844">
        <f ca="1">DW121</f>
        <v>5373</v>
      </c>
      <c r="EC118" s="843">
        <f ca="1">EA121</f>
        <v>6171.1679410707775</v>
      </c>
      <c r="ED118" s="843">
        <f ca="1">EC121</f>
        <v>6365.7126811456683</v>
      </c>
      <c r="EE118" s="843">
        <f ca="1">ED121</f>
        <v>6581.277371831542</v>
      </c>
      <c r="EF118" s="843">
        <f ca="1">EE121</f>
        <v>6791.6908008472474</v>
      </c>
      <c r="EG118" s="844">
        <f ca="1">EB121</f>
        <v>6171.1679410707766</v>
      </c>
      <c r="EH118" s="843">
        <f ca="1">EF121</f>
        <v>6997.3800439593051</v>
      </c>
      <c r="EI118" s="843">
        <f ca="1">EH121</f>
        <v>7210.3513720750643</v>
      </c>
      <c r="EJ118" s="843">
        <f ca="1">EI121</f>
        <v>7426.0580858657895</v>
      </c>
      <c r="EK118" s="843">
        <f ca="1">EJ121</f>
        <v>7636.4116353512954</v>
      </c>
      <c r="EL118" s="844">
        <f ca="1">EG121</f>
        <v>6997.3800439593033</v>
      </c>
      <c r="EM118" s="141"/>
      <c r="EN118"/>
      <c r="EO118"/>
      <c r="EP118"/>
      <c r="EQ118"/>
      <c r="ER118"/>
      <c r="ES118"/>
    </row>
    <row r="119" spans="1:149" s="135" customFormat="1" ht="11.25" hidden="1" customHeight="1" outlineLevel="1">
      <c r="A119" s="1006"/>
      <c r="B119" s="1007" t="s">
        <v>38</v>
      </c>
      <c r="C119" s="843"/>
      <c r="D119" s="843">
        <f>IS!D26</f>
        <v>37.822000000000003</v>
      </c>
      <c r="E119" s="843">
        <f>IS!E26</f>
        <v>37.200000000000003</v>
      </c>
      <c r="F119" s="843">
        <f>IS!F26</f>
        <v>37.6</v>
      </c>
      <c r="G119" s="843">
        <f>IS!G26</f>
        <v>82.377999999999986</v>
      </c>
      <c r="H119" s="844">
        <f>IS!H26</f>
        <v>195</v>
      </c>
      <c r="I119" s="843">
        <f>IS!I26</f>
        <v>80.2</v>
      </c>
      <c r="J119" s="843">
        <f>IS!J26</f>
        <v>82.5</v>
      </c>
      <c r="K119" s="843">
        <f>IS!K26</f>
        <v>77.8</v>
      </c>
      <c r="L119" s="843">
        <f>IS!L26</f>
        <v>80.5</v>
      </c>
      <c r="M119" s="844">
        <f>IS!M26</f>
        <v>321</v>
      </c>
      <c r="N119" s="843">
        <f>IS!N26</f>
        <v>84.1</v>
      </c>
      <c r="O119" s="843">
        <f>IS!O26</f>
        <v>85.5</v>
      </c>
      <c r="P119" s="843">
        <f>IS!P26</f>
        <v>108.2</v>
      </c>
      <c r="Q119" s="843">
        <f>IS!Q26</f>
        <v>165.2</v>
      </c>
      <c r="R119" s="844">
        <f>IS!R26</f>
        <v>443</v>
      </c>
      <c r="S119" s="843">
        <f>IS!S26</f>
        <v>105</v>
      </c>
      <c r="T119" s="843">
        <f>IS!T26</f>
        <v>114</v>
      </c>
      <c r="U119" s="843">
        <f>IS!U26</f>
        <v>121</v>
      </c>
      <c r="V119" s="843">
        <f>IS!V26</f>
        <v>120</v>
      </c>
      <c r="W119" s="844">
        <f>IS!W26</f>
        <v>460</v>
      </c>
      <c r="X119" s="843">
        <f>IS!X26</f>
        <v>127</v>
      </c>
      <c r="Y119" s="843">
        <f>IS!Y26</f>
        <v>134</v>
      </c>
      <c r="Z119" s="843">
        <f>IS!Z26</f>
        <v>142</v>
      </c>
      <c r="AA119" s="843">
        <f>IS!AA26</f>
        <v>153</v>
      </c>
      <c r="AB119" s="844">
        <f>IS!AB26</f>
        <v>556</v>
      </c>
      <c r="AC119" s="843">
        <f>IS!AC26</f>
        <v>134</v>
      </c>
      <c r="AD119" s="843">
        <f>IS!AD26</f>
        <v>132</v>
      </c>
      <c r="AE119" s="843">
        <f>IS!AE26</f>
        <v>133</v>
      </c>
      <c r="AF119" s="843">
        <f>IS!AF26</f>
        <v>134</v>
      </c>
      <c r="AG119" s="844">
        <f>IS!AG26</f>
        <v>533</v>
      </c>
      <c r="AH119" s="843">
        <f>IS!AH26</f>
        <v>137</v>
      </c>
      <c r="AI119" s="843">
        <f>IS!AI26</f>
        <v>136</v>
      </c>
      <c r="AJ119" s="843">
        <f>IS!AJ26</f>
        <v>139</v>
      </c>
      <c r="AK119" s="843">
        <f>IS!AK26</f>
        <v>142</v>
      </c>
      <c r="AL119" s="844">
        <f>IS!AL26</f>
        <v>554</v>
      </c>
      <c r="AM119" s="843">
        <f>IS!AM26</f>
        <v>149</v>
      </c>
      <c r="AN119" s="843">
        <f>IS!AN26</f>
        <v>151</v>
      </c>
      <c r="AO119" s="843">
        <f>IS!AO26</f>
        <v>154</v>
      </c>
      <c r="AP119" s="843">
        <f>IS!AP26</f>
        <v>150</v>
      </c>
      <c r="AQ119" s="844">
        <f>IS!AQ26</f>
        <v>604</v>
      </c>
      <c r="AR119" s="843">
        <f>IS!AR26</f>
        <v>128</v>
      </c>
      <c r="AS119" s="843">
        <f>IS!AS26</f>
        <v>130</v>
      </c>
      <c r="AT119" s="843">
        <f>IS!AT26</f>
        <v>132</v>
      </c>
      <c r="AU119" s="885"/>
      <c r="AV119" s="561"/>
      <c r="AW119" s="561"/>
      <c r="AX119" s="561"/>
      <c r="AY119" s="561"/>
      <c r="AZ119" s="844"/>
      <c r="BA119" s="843">
        <f>IS!BA26</f>
        <v>119</v>
      </c>
      <c r="BB119" s="843">
        <f>IS!BB26</f>
        <v>120</v>
      </c>
      <c r="BC119" s="843">
        <f>IS!BC26</f>
        <v>112</v>
      </c>
      <c r="BD119" s="843">
        <f>IS!BD26</f>
        <v>114</v>
      </c>
      <c r="BE119" s="844">
        <f>IS!BE26</f>
        <v>465</v>
      </c>
      <c r="BF119" s="843">
        <f>IS!BF26</f>
        <v>96</v>
      </c>
      <c r="BG119" s="843">
        <f>IS!BG26</f>
        <v>95</v>
      </c>
      <c r="BH119" s="843">
        <f>IS!BH26</f>
        <v>99</v>
      </c>
      <c r="BI119" s="843">
        <f>IS!BI26</f>
        <v>100</v>
      </c>
      <c r="BJ119" s="844">
        <f>IS!BJ26</f>
        <v>390</v>
      </c>
      <c r="BK119" s="843">
        <f>IS!BK26</f>
        <v>96</v>
      </c>
      <c r="BL119" s="843">
        <f>IS!BL26</f>
        <v>92</v>
      </c>
      <c r="BM119" s="843">
        <f>IS!BM26</f>
        <v>105</v>
      </c>
      <c r="BN119" s="843">
        <f>IS!BN26</f>
        <v>89</v>
      </c>
      <c r="BO119" s="844">
        <f>IS!BO26</f>
        <v>382</v>
      </c>
      <c r="BP119" s="843">
        <f>IS!BP26</f>
        <v>90</v>
      </c>
      <c r="BQ119" s="843">
        <f>IS!BQ26</f>
        <v>82</v>
      </c>
      <c r="BR119" s="843">
        <f>IS!BR26</f>
        <v>83</v>
      </c>
      <c r="BS119" s="843">
        <f>IS!BS26</f>
        <v>95</v>
      </c>
      <c r="BT119" s="844">
        <f>IS!BT26</f>
        <v>350</v>
      </c>
      <c r="BU119" s="843">
        <f>IS!BU26</f>
        <v>89</v>
      </c>
      <c r="BV119" s="843">
        <f>IS!BV26</f>
        <v>89</v>
      </c>
      <c r="BW119" s="843">
        <f>IS!BW26</f>
        <v>91</v>
      </c>
      <c r="BX119" s="843">
        <f>IS!BX26</f>
        <v>93</v>
      </c>
      <c r="BY119" s="844">
        <f>IS!BY26</f>
        <v>362</v>
      </c>
      <c r="BZ119" s="843">
        <f>IS!BZ26</f>
        <v>95</v>
      </c>
      <c r="CA119" s="843">
        <f>IS!CA26</f>
        <v>95</v>
      </c>
      <c r="CB119" s="843">
        <f>IS!CB26</f>
        <v>94</v>
      </c>
      <c r="CC119" s="843">
        <f>IS!CC26</f>
        <v>96</v>
      </c>
      <c r="CD119" s="844">
        <f>IS!CD26</f>
        <v>380</v>
      </c>
      <c r="CE119" s="843">
        <f>IS!CE26</f>
        <v>97</v>
      </c>
      <c r="CF119" s="843">
        <f>IS!CF26</f>
        <v>98</v>
      </c>
      <c r="CG119" s="843">
        <f>IS!CG26</f>
        <v>97</v>
      </c>
      <c r="CH119" s="843">
        <f>IS!CH26</f>
        <v>95</v>
      </c>
      <c r="CI119" s="844">
        <f>IS!CI26</f>
        <v>387</v>
      </c>
      <c r="CJ119" s="843">
        <f>IS!CJ26</f>
        <v>95</v>
      </c>
      <c r="CK119" s="843">
        <f>IS!CK26</f>
        <v>97</v>
      </c>
      <c r="CL119" s="843">
        <f>IS!CL26</f>
        <v>101</v>
      </c>
      <c r="CM119" s="843">
        <f>IS!CM26</f>
        <v>101</v>
      </c>
      <c r="CN119" s="844">
        <f>IS!CN26</f>
        <v>394</v>
      </c>
      <c r="CO119" s="843">
        <f>IS!CO26</f>
        <v>98</v>
      </c>
      <c r="CP119" s="843">
        <f>IS!CP26</f>
        <v>100</v>
      </c>
      <c r="CQ119" s="843">
        <f>IS!CQ26</f>
        <v>100</v>
      </c>
      <c r="CR119" s="843">
        <f>IS!CR26</f>
        <v>100</v>
      </c>
      <c r="CS119" s="844">
        <f>IS!CS26</f>
        <v>398</v>
      </c>
      <c r="CT119" s="843">
        <f>IS!CT26</f>
        <v>100</v>
      </c>
      <c r="CU119" s="843">
        <f>IS!CU26</f>
        <v>104</v>
      </c>
      <c r="CV119" s="843">
        <f>IS!CV26</f>
        <v>110</v>
      </c>
      <c r="CW119" s="843">
        <f>IS!CW26</f>
        <v>116</v>
      </c>
      <c r="CX119" s="844">
        <f>IS!CX26</f>
        <v>430</v>
      </c>
      <c r="CY119" s="843">
        <f>IS!CY26</f>
        <v>114</v>
      </c>
      <c r="CZ119" s="843">
        <f>IS!CZ26</f>
        <v>121</v>
      </c>
      <c r="DA119" s="843">
        <f>IS!DA26</f>
        <v>119</v>
      </c>
      <c r="DB119" s="843">
        <f>IS!DB26</f>
        <v>191</v>
      </c>
      <c r="DC119" s="844">
        <f>IS!DC26</f>
        <v>545</v>
      </c>
      <c r="DD119" s="843">
        <f>IS!DD26</f>
        <v>193</v>
      </c>
      <c r="DE119" s="843">
        <f>IS!DE26</f>
        <v>209</v>
      </c>
      <c r="DF119" s="843">
        <f>IS!DF26</f>
        <v>207</v>
      </c>
      <c r="DG119" s="843">
        <f>IS!DG26</f>
        <v>240</v>
      </c>
      <c r="DH119" s="844">
        <f>IS!DH26</f>
        <v>849</v>
      </c>
      <c r="DI119" s="843">
        <f>IS!DI26</f>
        <v>207</v>
      </c>
      <c r="DJ119" s="843">
        <f>IS!DJ26</f>
        <v>197</v>
      </c>
      <c r="DK119" s="843">
        <f>IS!DK26</f>
        <v>185</v>
      </c>
      <c r="DL119" s="843">
        <f>IS!DL26</f>
        <v>208</v>
      </c>
      <c r="DM119" s="844">
        <f>IS!DM26</f>
        <v>797</v>
      </c>
      <c r="DN119" s="843">
        <f>IS!DN26</f>
        <v>212</v>
      </c>
      <c r="DO119" s="843">
        <f>IS!DO26</f>
        <v>215</v>
      </c>
      <c r="DP119" s="843">
        <f>IS!DP26</f>
        <v>205</v>
      </c>
      <c r="DQ119" s="843">
        <f>IS!DQ26</f>
        <v>218</v>
      </c>
      <c r="DR119" s="844">
        <f>IS!DR26</f>
        <v>850</v>
      </c>
      <c r="DS119" s="843">
        <f>IS!DS26</f>
        <v>221</v>
      </c>
      <c r="DT119" s="843">
        <f>IS!DT26</f>
        <v>222</v>
      </c>
      <c r="DU119" s="843">
        <f>IS!DU26</f>
        <v>219</v>
      </c>
      <c r="DV119" s="843">
        <f>IS!DV26</f>
        <v>208</v>
      </c>
      <c r="DW119" s="844">
        <f>IS!DW26</f>
        <v>870</v>
      </c>
      <c r="DX119" s="843">
        <f>IS!DX26</f>
        <v>201.7438009604862</v>
      </c>
      <c r="DY119" s="843">
        <f>IS!DY26</f>
        <v>201.16481740073576</v>
      </c>
      <c r="DZ119" s="843">
        <f>IS!DZ26</f>
        <v>192.81340922530634</v>
      </c>
      <c r="EA119" s="843">
        <f>IS!EA26</f>
        <v>202.4459134842478</v>
      </c>
      <c r="EB119" s="844">
        <f>IS!EB26</f>
        <v>798.16794107077612</v>
      </c>
      <c r="EC119" s="843">
        <f>IS!EC26</f>
        <v>194.5447400748906</v>
      </c>
      <c r="ED119" s="843">
        <f>IS!ED26</f>
        <v>215.56469068587356</v>
      </c>
      <c r="EE119" s="843">
        <f>IS!EE26</f>
        <v>210.41342901570511</v>
      </c>
      <c r="EF119" s="843">
        <f>IS!EF26</f>
        <v>205.68924311205731</v>
      </c>
      <c r="EG119" s="844">
        <f>IS!EG26</f>
        <v>826.21210288852649</v>
      </c>
      <c r="EH119" s="843">
        <f>IS!EH26</f>
        <v>212.97132811575887</v>
      </c>
      <c r="EI119" s="843">
        <f>IS!EI26</f>
        <v>215.70671379072485</v>
      </c>
      <c r="EJ119" s="843">
        <f>IS!EJ26</f>
        <v>210.35354948550565</v>
      </c>
      <c r="EK119" s="843">
        <f>IS!EK26</f>
        <v>224.97197629623295</v>
      </c>
      <c r="EL119" s="844">
        <f>IS!EL26</f>
        <v>864.00356768822235</v>
      </c>
      <c r="EM119" s="141"/>
      <c r="EN119"/>
      <c r="EO119"/>
      <c r="EP119"/>
      <c r="EQ119"/>
      <c r="ER119"/>
      <c r="ES119"/>
    </row>
    <row r="120" spans="1:149" s="135" customFormat="1" ht="11.25" hidden="1" customHeight="1" outlineLevel="1">
      <c r="A120" s="1006"/>
      <c r="B120" s="1007" t="s">
        <v>39</v>
      </c>
      <c r="C120" s="910"/>
      <c r="D120" s="910">
        <f>D121-D118-D119</f>
        <v>-21.230000000000018</v>
      </c>
      <c r="E120" s="910">
        <f>E121-E118-E119</f>
        <v>16.226000000000042</v>
      </c>
      <c r="F120" s="910">
        <f>F121-F118-F119</f>
        <v>-2.7000000000000242</v>
      </c>
      <c r="G120" s="910">
        <f>G121-G118-G119</f>
        <v>-134.87799999999999</v>
      </c>
      <c r="H120" s="1015">
        <f>SUM(D120:G120)</f>
        <v>-142.58199999999999</v>
      </c>
      <c r="I120" s="910">
        <f>I121-I118-I119</f>
        <v>-63.300000000000026</v>
      </c>
      <c r="J120" s="910">
        <f>J121-J118-J119</f>
        <v>-22.199999999999932</v>
      </c>
      <c r="K120" s="910">
        <f>K121-K118-K119</f>
        <v>-21.200000000000088</v>
      </c>
      <c r="L120" s="910">
        <f>L121-L118-L119</f>
        <v>-88.299999999999955</v>
      </c>
      <c r="M120" s="1015">
        <f>SUM(I120:L120)</f>
        <v>-195</v>
      </c>
      <c r="N120" s="910">
        <f>N121-N118-N119</f>
        <v>-21.30000000000004</v>
      </c>
      <c r="O120" s="910">
        <f>O121-O118-O119</f>
        <v>-46.5</v>
      </c>
      <c r="P120" s="910">
        <f>P121-P118-P119</f>
        <v>322.00000000000006</v>
      </c>
      <c r="Q120" s="910">
        <f>Q121-Q118-Q119</f>
        <v>-215.2</v>
      </c>
      <c r="R120" s="1015">
        <f>SUM(N120:Q120)</f>
        <v>39.000000000000028</v>
      </c>
      <c r="S120" s="910">
        <f>S121-S118-S119</f>
        <v>-20</v>
      </c>
      <c r="T120" s="910">
        <f>T121-T118-T119</f>
        <v>-39</v>
      </c>
      <c r="U120" s="910">
        <f>U121-U118-U119</f>
        <v>15</v>
      </c>
      <c r="V120" s="910">
        <f>V121-V118-V119</f>
        <v>-87</v>
      </c>
      <c r="W120" s="1015">
        <f>SUM(S120:V120)</f>
        <v>-131</v>
      </c>
      <c r="X120" s="910">
        <f>X121-X118-X119</f>
        <v>-31</v>
      </c>
      <c r="Y120" s="910">
        <f>Y121-Y118-Y119</f>
        <v>-40</v>
      </c>
      <c r="Z120" s="910">
        <f>Z121-Z118-Z119</f>
        <v>-60</v>
      </c>
      <c r="AA120" s="910">
        <f>AA121-AA118-AA119</f>
        <v>-322</v>
      </c>
      <c r="AB120" s="1015">
        <f>SUM(X120:AA120)</f>
        <v>-453</v>
      </c>
      <c r="AC120" s="910">
        <f>AC121-AC118-AC119</f>
        <v>-36</v>
      </c>
      <c r="AD120" s="910">
        <f>AD121-AD118-AD119</f>
        <v>-42</v>
      </c>
      <c r="AE120" s="910">
        <f>AE121-AE118-AE119</f>
        <v>-97</v>
      </c>
      <c r="AF120" s="910">
        <f>AF121-AF118-AF119</f>
        <v>25</v>
      </c>
      <c r="AG120" s="1015">
        <f>SUM(AC120:AF120)</f>
        <v>-150</v>
      </c>
      <c r="AH120" s="910">
        <f>AH121-AH118-AH119</f>
        <v>-37</v>
      </c>
      <c r="AI120" s="910">
        <f>AI121-AI118-AI119</f>
        <v>-36</v>
      </c>
      <c r="AJ120" s="910">
        <f>AJ121-AJ118-AJ119</f>
        <v>-40</v>
      </c>
      <c r="AK120" s="910">
        <f>AK121-AK118-AK119</f>
        <v>-81</v>
      </c>
      <c r="AL120" s="1015">
        <f>SUM(AH120:AK120)</f>
        <v>-194</v>
      </c>
      <c r="AM120" s="910">
        <v>0</v>
      </c>
      <c r="AN120" s="910">
        <v>0</v>
      </c>
      <c r="AO120" s="910">
        <v>0</v>
      </c>
      <c r="AP120" s="910">
        <f>AP121-AP118-AP119</f>
        <v>-225</v>
      </c>
      <c r="AQ120" s="1015">
        <f>SUM(AM120:AP120)</f>
        <v>-225</v>
      </c>
      <c r="AR120" s="910">
        <v>0</v>
      </c>
      <c r="AS120" s="910">
        <v>0</v>
      </c>
      <c r="AT120" s="910">
        <v>0</v>
      </c>
      <c r="AU120" s="885"/>
      <c r="AV120" s="910"/>
      <c r="AW120" s="910"/>
      <c r="AX120" s="910"/>
      <c r="AY120" s="910"/>
      <c r="AZ120" s="1015"/>
      <c r="BA120" s="910">
        <v>0</v>
      </c>
      <c r="BB120" s="910">
        <v>0</v>
      </c>
      <c r="BC120" s="910">
        <v>0</v>
      </c>
      <c r="BD120" s="910">
        <f>BD121-BD118-BD119</f>
        <v>-923</v>
      </c>
      <c r="BE120" s="1015">
        <f>SUM(BA120:BD120)</f>
        <v>-923</v>
      </c>
      <c r="BF120" s="910">
        <v>0</v>
      </c>
      <c r="BG120" s="910">
        <v>0</v>
      </c>
      <c r="BH120" s="910">
        <f>BH121-BH118-BH119</f>
        <v>-196</v>
      </c>
      <c r="BI120" s="910">
        <f>BI121-BI118-BI119</f>
        <v>-176</v>
      </c>
      <c r="BJ120" s="1015">
        <f>SUM(BF120:BI120)</f>
        <v>-372</v>
      </c>
      <c r="BK120" s="910">
        <f>BK121-BK118-BK119</f>
        <v>-18</v>
      </c>
      <c r="BL120" s="910">
        <f>BL121-BL118-BL119</f>
        <v>-22</v>
      </c>
      <c r="BM120" s="910">
        <f>BM121-BM118-BM119</f>
        <v>-166</v>
      </c>
      <c r="BN120" s="910">
        <f>BN121-BN118-BN119</f>
        <v>-168</v>
      </c>
      <c r="BO120" s="1015">
        <f>SUM(BK120:BN120)</f>
        <v>-374</v>
      </c>
      <c r="BP120" s="910">
        <f>BP121-BP118-BP119</f>
        <v>-51</v>
      </c>
      <c r="BQ120" s="910">
        <f>BQ121-BQ118-BQ119</f>
        <v>-162</v>
      </c>
      <c r="BR120" s="910">
        <f>BR121-BR118-BR119</f>
        <v>-16</v>
      </c>
      <c r="BS120" s="910">
        <f>BS121-BS118-BS119</f>
        <v>-155</v>
      </c>
      <c r="BT120" s="1015">
        <f>SUM(BP120:BS120)</f>
        <v>-384</v>
      </c>
      <c r="BU120" s="910">
        <f>BU121-BU118-BU119</f>
        <v>-21</v>
      </c>
      <c r="BV120" s="910">
        <f>BV121-BV118-BV119</f>
        <v>-39</v>
      </c>
      <c r="BW120" s="910">
        <f>BW121-BW118-BW119</f>
        <v>-31</v>
      </c>
      <c r="BX120" s="910">
        <f>BX121-BX118-BX119</f>
        <v>-40</v>
      </c>
      <c r="BY120" s="1015">
        <f>SUM(BU120:BX120)</f>
        <v>-131</v>
      </c>
      <c r="BZ120" s="910">
        <f>BZ121-BZ118-BZ119</f>
        <v>-39</v>
      </c>
      <c r="CA120" s="910">
        <f>CA121-CA118-CA119</f>
        <v>-187</v>
      </c>
      <c r="CB120" s="910">
        <f>CB121-CB118-CB119</f>
        <v>-84</v>
      </c>
      <c r="CC120" s="910">
        <f>CC121-CC118-CC119</f>
        <v>-54</v>
      </c>
      <c r="CD120" s="1015">
        <f>SUM(BZ120:CC120)</f>
        <v>-364</v>
      </c>
      <c r="CE120" s="910">
        <f>CE121-CE118-CE119</f>
        <v>-40</v>
      </c>
      <c r="CF120" s="910">
        <f>CF121-CF118-CF119</f>
        <v>-36</v>
      </c>
      <c r="CG120" s="910">
        <f>CG121-CG118-CG119</f>
        <v>-45</v>
      </c>
      <c r="CH120" s="910">
        <f>CH121-CH118-CH119</f>
        <v>-91</v>
      </c>
      <c r="CI120" s="1015">
        <f>SUM(CE120:CH120)</f>
        <v>-212</v>
      </c>
      <c r="CJ120" s="910">
        <f>CJ121-CJ118-CJ119</f>
        <v>-37</v>
      </c>
      <c r="CK120" s="910">
        <f>CK121-CK118-CK119</f>
        <v>31</v>
      </c>
      <c r="CL120" s="910">
        <f>CL121-CL118-CL119</f>
        <v>-126</v>
      </c>
      <c r="CM120" s="910">
        <f>CM121-CM118-CM119</f>
        <v>-74</v>
      </c>
      <c r="CN120" s="1015">
        <f>SUM(CJ120:CM120)</f>
        <v>-206</v>
      </c>
      <c r="CO120" s="910">
        <f>CO121-CO118-CO119</f>
        <v>-31</v>
      </c>
      <c r="CP120" s="910">
        <f>CP121-CP118-CP119</f>
        <v>30</v>
      </c>
      <c r="CQ120" s="910">
        <f>CQ121-CQ118-CQ119</f>
        <v>-26</v>
      </c>
      <c r="CR120" s="910">
        <f>CR121-CR118-CR119</f>
        <v>-18</v>
      </c>
      <c r="CS120" s="1015">
        <f>SUM(CO120:CR120)</f>
        <v>-45</v>
      </c>
      <c r="CT120" s="910">
        <f>CT121-CT118-CT119</f>
        <v>-44</v>
      </c>
      <c r="CU120" s="910">
        <f>CU121-CU118-CU119</f>
        <v>-179</v>
      </c>
      <c r="CV120" s="910">
        <f>CV121-CV118-CV119</f>
        <v>-33</v>
      </c>
      <c r="CW120" s="910">
        <f>CW121-CW118-CW119</f>
        <v>-66</v>
      </c>
      <c r="CX120" s="1015"/>
      <c r="CY120" s="910">
        <f>CY121-CY118-CY119</f>
        <v>-28</v>
      </c>
      <c r="CZ120" s="910">
        <f>CZ121-CZ118-CZ119</f>
        <v>-32</v>
      </c>
      <c r="DA120" s="910">
        <f>DA121-DA118-DA119</f>
        <v>-118</v>
      </c>
      <c r="DB120" s="910">
        <f>DB121-DB118-DB119</f>
        <v>-190</v>
      </c>
      <c r="DC120" s="1015"/>
      <c r="DD120" s="910">
        <f>DD121-DD118-DD119</f>
        <v>154</v>
      </c>
      <c r="DE120" s="910">
        <f>DE121-DE118-DE119</f>
        <v>-392</v>
      </c>
      <c r="DF120" s="910">
        <f>DF121-DF118-DF119</f>
        <v>122</v>
      </c>
      <c r="DG120" s="910">
        <f>DG121-DG118-DG119</f>
        <v>-109</v>
      </c>
      <c r="DH120" s="1015"/>
      <c r="DI120" s="910">
        <f>DI121-DI118-DI119</f>
        <v>-206</v>
      </c>
      <c r="DJ120" s="910">
        <f ca="1">DJ121-DJ118-DJ119</f>
        <v>-1229</v>
      </c>
      <c r="DK120" s="910">
        <f>DK121-DK118-DK119</f>
        <v>-519</v>
      </c>
      <c r="DL120" s="910">
        <f ca="1">DL121-DL118-DL119</f>
        <v>-63</v>
      </c>
      <c r="DM120" s="1015">
        <f ca="1">SUM(DI120:DL120)</f>
        <v>-2017</v>
      </c>
      <c r="DN120" s="910">
        <f>DN121-DN118-DN119</f>
        <v>3</v>
      </c>
      <c r="DO120" s="910">
        <f ca="1">DO121-DO118-DO119</f>
        <v>609</v>
      </c>
      <c r="DP120" s="910">
        <f>DP121-DP118-DP119</f>
        <v>214</v>
      </c>
      <c r="DQ120" s="910">
        <f>DQ121-DQ118-DQ119</f>
        <v>-58</v>
      </c>
      <c r="DR120" s="1015">
        <f ca="1">SUM(DN120:DQ120)</f>
        <v>768</v>
      </c>
      <c r="DS120" s="910">
        <f>DS121-DS118-DS119</f>
        <v>-269</v>
      </c>
      <c r="DT120" s="910">
        <f>DT121-DT118-DT119</f>
        <v>-322</v>
      </c>
      <c r="DU120" s="910">
        <f>DU121-DU118-DU119</f>
        <v>-295</v>
      </c>
      <c r="DV120" s="910">
        <f>DV121-DV118-DV119</f>
        <v>-219</v>
      </c>
      <c r="DW120" s="1015">
        <f>SUM(DS120:DV120)</f>
        <v>-1105</v>
      </c>
      <c r="DX120" s="910"/>
      <c r="DY120" s="910"/>
      <c r="DZ120" s="910"/>
      <c r="EA120" s="910"/>
      <c r="EB120" s="1015"/>
      <c r="EC120" s="910"/>
      <c r="ED120" s="910"/>
      <c r="EE120" s="910"/>
      <c r="EF120" s="910"/>
      <c r="EG120" s="1015"/>
      <c r="EH120" s="910"/>
      <c r="EI120" s="910"/>
      <c r="EJ120" s="910"/>
      <c r="EK120" s="910"/>
      <c r="EL120" s="1015"/>
      <c r="EM120" s="141"/>
      <c r="EN120"/>
      <c r="EO120"/>
      <c r="EP120"/>
      <c r="EQ120"/>
      <c r="ER120"/>
      <c r="ES120"/>
    </row>
    <row r="121" spans="1:149" s="135" customFormat="1" ht="11.25" hidden="1" customHeight="1" outlineLevel="1">
      <c r="A121" s="1006"/>
      <c r="B121" s="1007" t="s">
        <v>40</v>
      </c>
      <c r="C121" s="843"/>
      <c r="D121" s="843">
        <f t="shared" ref="D121:AL121" si="321">D115</f>
        <v>788.17399999999998</v>
      </c>
      <c r="E121" s="843">
        <f t="shared" si="321"/>
        <v>841.6</v>
      </c>
      <c r="F121" s="843">
        <f t="shared" si="321"/>
        <v>876.5</v>
      </c>
      <c r="G121" s="843">
        <f t="shared" si="321"/>
        <v>824</v>
      </c>
      <c r="H121" s="844">
        <f t="shared" si="321"/>
        <v>824</v>
      </c>
      <c r="I121" s="843">
        <f t="shared" si="321"/>
        <v>840.9</v>
      </c>
      <c r="J121" s="843">
        <f t="shared" si="321"/>
        <v>901.2</v>
      </c>
      <c r="K121" s="843">
        <f t="shared" si="321"/>
        <v>957.8</v>
      </c>
      <c r="L121" s="843">
        <f t="shared" si="321"/>
        <v>950</v>
      </c>
      <c r="M121" s="844">
        <f t="shared" si="321"/>
        <v>950</v>
      </c>
      <c r="N121" s="843">
        <f t="shared" si="321"/>
        <v>1012.8</v>
      </c>
      <c r="O121" s="843">
        <f t="shared" si="321"/>
        <v>1051.8</v>
      </c>
      <c r="P121" s="843">
        <f t="shared" si="321"/>
        <v>1482</v>
      </c>
      <c r="Q121" s="843">
        <f t="shared" si="321"/>
        <v>1432</v>
      </c>
      <c r="R121" s="844">
        <f t="shared" si="321"/>
        <v>1432</v>
      </c>
      <c r="S121" s="843">
        <f t="shared" si="321"/>
        <v>1517</v>
      </c>
      <c r="T121" s="843">
        <f t="shared" si="321"/>
        <v>1592</v>
      </c>
      <c r="U121" s="843">
        <f t="shared" si="321"/>
        <v>1728</v>
      </c>
      <c r="V121" s="843">
        <f t="shared" si="321"/>
        <v>1761</v>
      </c>
      <c r="W121" s="844">
        <f t="shared" si="321"/>
        <v>1761</v>
      </c>
      <c r="X121" s="843">
        <f t="shared" si="321"/>
        <v>1857</v>
      </c>
      <c r="Y121" s="843">
        <f t="shared" si="321"/>
        <v>1951</v>
      </c>
      <c r="Z121" s="843">
        <f t="shared" si="321"/>
        <v>2033</v>
      </c>
      <c r="AA121" s="843">
        <f t="shared" si="321"/>
        <v>1864</v>
      </c>
      <c r="AB121" s="844">
        <f t="shared" si="321"/>
        <v>1864</v>
      </c>
      <c r="AC121" s="843">
        <f t="shared" si="321"/>
        <v>1962</v>
      </c>
      <c r="AD121" s="843">
        <f t="shared" si="321"/>
        <v>2052</v>
      </c>
      <c r="AE121" s="843">
        <f t="shared" si="321"/>
        <v>2088</v>
      </c>
      <c r="AF121" s="843">
        <f t="shared" si="321"/>
        <v>2247</v>
      </c>
      <c r="AG121" s="844">
        <f t="shared" si="321"/>
        <v>2247</v>
      </c>
      <c r="AH121" s="843">
        <f t="shared" si="321"/>
        <v>2347</v>
      </c>
      <c r="AI121" s="843">
        <f t="shared" si="321"/>
        <v>2447</v>
      </c>
      <c r="AJ121" s="843">
        <f t="shared" si="321"/>
        <v>2546</v>
      </c>
      <c r="AK121" s="843">
        <f t="shared" si="321"/>
        <v>2607</v>
      </c>
      <c r="AL121" s="844">
        <f t="shared" si="321"/>
        <v>2607</v>
      </c>
      <c r="AM121" s="843">
        <f>+AM118+AM119+AM120</f>
        <v>2756</v>
      </c>
      <c r="AN121" s="843">
        <f>+AN118+AN119+AN120</f>
        <v>2907</v>
      </c>
      <c r="AO121" s="843">
        <f>+AO118+AO119+AO120</f>
        <v>3061</v>
      </c>
      <c r="AP121" s="843">
        <f>AP115</f>
        <v>2986</v>
      </c>
      <c r="AQ121" s="844">
        <f>AQ115</f>
        <v>2986</v>
      </c>
      <c r="AR121" s="843">
        <f>+AR118+AR119+AR120</f>
        <v>3114</v>
      </c>
      <c r="AS121" s="843">
        <f>+AS118+AS119+AS120</f>
        <v>3244</v>
      </c>
      <c r="AT121" s="843">
        <f>+AT118+AT119+AT120</f>
        <v>3376</v>
      </c>
      <c r="AU121" s="885"/>
      <c r="AV121" s="561"/>
      <c r="AW121" s="561"/>
      <c r="AX121" s="561"/>
      <c r="AY121" s="561"/>
      <c r="AZ121" s="844">
        <f>AZ115</f>
        <v>3014</v>
      </c>
      <c r="BA121" s="843">
        <f>+BA118+BA119+BA120</f>
        <v>3133</v>
      </c>
      <c r="BB121" s="843">
        <f>+BB118+BB119+BB120</f>
        <v>3253</v>
      </c>
      <c r="BC121" s="843">
        <f>+BC118+BC119+BC120</f>
        <v>3365</v>
      </c>
      <c r="BD121" s="843">
        <f>BD115</f>
        <v>2556</v>
      </c>
      <c r="BE121" s="844">
        <f>BE115</f>
        <v>2556</v>
      </c>
      <c r="BF121" s="843">
        <f>+BF118+BF119+BF120</f>
        <v>2652</v>
      </c>
      <c r="BG121" s="843">
        <f>+BG118+BG119+BG120</f>
        <v>2747</v>
      </c>
      <c r="BH121" s="843">
        <f t="shared" ref="BH121:CW121" si="322">BH115</f>
        <v>2650</v>
      </c>
      <c r="BI121" s="843">
        <f t="shared" si="322"/>
        <v>2574</v>
      </c>
      <c r="BJ121" s="844">
        <f t="shared" si="322"/>
        <v>2574</v>
      </c>
      <c r="BK121" s="843">
        <f t="shared" si="322"/>
        <v>2652</v>
      </c>
      <c r="BL121" s="843">
        <f t="shared" si="322"/>
        <v>2722</v>
      </c>
      <c r="BM121" s="843">
        <f t="shared" si="322"/>
        <v>2661</v>
      </c>
      <c r="BN121" s="843">
        <f t="shared" si="322"/>
        <v>2582</v>
      </c>
      <c r="BO121" s="844">
        <f t="shared" si="322"/>
        <v>2582</v>
      </c>
      <c r="BP121" s="843">
        <f t="shared" si="322"/>
        <v>2621</v>
      </c>
      <c r="BQ121" s="843">
        <f t="shared" si="322"/>
        <v>2541</v>
      </c>
      <c r="BR121" s="843">
        <f t="shared" si="322"/>
        <v>2608</v>
      </c>
      <c r="BS121" s="843">
        <f t="shared" si="322"/>
        <v>2548</v>
      </c>
      <c r="BT121" s="844">
        <f t="shared" si="322"/>
        <v>2548</v>
      </c>
      <c r="BU121" s="843">
        <f t="shared" si="322"/>
        <v>2616</v>
      </c>
      <c r="BV121" s="843">
        <f t="shared" si="322"/>
        <v>2666</v>
      </c>
      <c r="BW121" s="843">
        <f t="shared" si="322"/>
        <v>2726</v>
      </c>
      <c r="BX121" s="843">
        <f t="shared" si="322"/>
        <v>2779</v>
      </c>
      <c r="BY121" s="844">
        <f t="shared" si="322"/>
        <v>2779</v>
      </c>
      <c r="BZ121" s="843">
        <f t="shared" si="322"/>
        <v>2835</v>
      </c>
      <c r="CA121" s="843">
        <f t="shared" si="322"/>
        <v>2743</v>
      </c>
      <c r="CB121" s="843">
        <f t="shared" si="322"/>
        <v>2753</v>
      </c>
      <c r="CC121" s="843">
        <f t="shared" si="322"/>
        <v>2795</v>
      </c>
      <c r="CD121" s="844">
        <f t="shared" si="322"/>
        <v>2795</v>
      </c>
      <c r="CE121" s="843">
        <f t="shared" si="322"/>
        <v>2852</v>
      </c>
      <c r="CF121" s="843">
        <f t="shared" si="322"/>
        <v>2914</v>
      </c>
      <c r="CG121" s="843">
        <f t="shared" si="322"/>
        <v>2966</v>
      </c>
      <c r="CH121" s="843">
        <f t="shared" si="322"/>
        <v>2970</v>
      </c>
      <c r="CI121" s="844">
        <f t="shared" si="322"/>
        <v>2970</v>
      </c>
      <c r="CJ121" s="843">
        <f t="shared" si="322"/>
        <v>3028</v>
      </c>
      <c r="CK121" s="843">
        <f t="shared" si="322"/>
        <v>3098</v>
      </c>
      <c r="CL121" s="843">
        <f t="shared" si="322"/>
        <v>3073</v>
      </c>
      <c r="CM121" s="843">
        <f t="shared" si="322"/>
        <v>3100</v>
      </c>
      <c r="CN121" s="844">
        <f t="shared" si="322"/>
        <v>3100</v>
      </c>
      <c r="CO121" s="843">
        <f t="shared" si="322"/>
        <v>3167</v>
      </c>
      <c r="CP121" s="843">
        <f t="shared" si="322"/>
        <v>3230</v>
      </c>
      <c r="CQ121" s="843">
        <f t="shared" si="322"/>
        <v>3304</v>
      </c>
      <c r="CR121" s="843">
        <f t="shared" si="322"/>
        <v>3386</v>
      </c>
      <c r="CS121" s="844">
        <f t="shared" si="322"/>
        <v>3386</v>
      </c>
      <c r="CT121" s="843">
        <f t="shared" si="322"/>
        <v>3442</v>
      </c>
      <c r="CU121" s="843">
        <f t="shared" si="322"/>
        <v>3367</v>
      </c>
      <c r="CV121" s="843">
        <f t="shared" si="322"/>
        <v>3444</v>
      </c>
      <c r="CW121" s="843">
        <f t="shared" si="322"/>
        <v>3494</v>
      </c>
      <c r="CX121" s="844">
        <f>CX118+CX119+CX120</f>
        <v>3816</v>
      </c>
      <c r="CY121" s="843">
        <f>CY115</f>
        <v>3580</v>
      </c>
      <c r="CZ121" s="843">
        <f>CZ115</f>
        <v>3669</v>
      </c>
      <c r="DA121" s="843">
        <f>DA115</f>
        <v>3670</v>
      </c>
      <c r="DB121" s="843">
        <f>DB115</f>
        <v>3671</v>
      </c>
      <c r="DC121" s="844">
        <f>DC118+DC119+DC120</f>
        <v>4361</v>
      </c>
      <c r="DD121" s="843">
        <f>DD115</f>
        <v>4018</v>
      </c>
      <c r="DE121" s="843">
        <f>DE115</f>
        <v>4178</v>
      </c>
      <c r="DF121" s="843">
        <f>DF115</f>
        <v>4347</v>
      </c>
      <c r="DG121" s="843">
        <f>DG115</f>
        <v>4478</v>
      </c>
      <c r="DH121" s="844">
        <f>DH118+DH119+DH120</f>
        <v>5210</v>
      </c>
      <c r="DI121" s="843">
        <f>DI115</f>
        <v>4479</v>
      </c>
      <c r="DJ121" s="843">
        <f ca="1">DJ115</f>
        <v>4178</v>
      </c>
      <c r="DK121" s="843">
        <f>DK115</f>
        <v>4145</v>
      </c>
      <c r="DL121" s="843">
        <f>DL115</f>
        <v>4323</v>
      </c>
      <c r="DM121" s="844">
        <f ca="1">DM118+DM119+DM120</f>
        <v>3990</v>
      </c>
      <c r="DN121" s="843">
        <f>DN115</f>
        <v>4538</v>
      </c>
      <c r="DO121" s="843">
        <f>DO115</f>
        <v>4814</v>
      </c>
      <c r="DP121" s="843">
        <f>DP115</f>
        <v>4957</v>
      </c>
      <c r="DQ121" s="843">
        <f>DQ115</f>
        <v>4974</v>
      </c>
      <c r="DR121" s="844">
        <f ca="1">DR118+DR119+DR120</f>
        <v>5608</v>
      </c>
      <c r="DS121" s="843">
        <f>DS115</f>
        <v>4926</v>
      </c>
      <c r="DT121" s="843">
        <f>DT115</f>
        <v>4826</v>
      </c>
      <c r="DU121" s="843">
        <f>DU115</f>
        <v>4750</v>
      </c>
      <c r="DV121" s="843">
        <f>DV115</f>
        <v>4739</v>
      </c>
      <c r="DW121" s="844">
        <f ca="1">DW118+DW119+DW120</f>
        <v>5373</v>
      </c>
      <c r="DX121" s="843">
        <f t="shared" ref="DX121:EA121" ca="1" si="323">DX118+DX119+DX120</f>
        <v>5574.7438009604866</v>
      </c>
      <c r="DY121" s="843">
        <f t="shared" ca="1" si="323"/>
        <v>5775.9086183612226</v>
      </c>
      <c r="DZ121" s="843">
        <f t="shared" ca="1" si="323"/>
        <v>5968.7220275865293</v>
      </c>
      <c r="EA121" s="843">
        <f t="shared" ca="1" si="323"/>
        <v>6171.1679410707775</v>
      </c>
      <c r="EB121" s="844">
        <f t="shared" ref="EB121:EG121" ca="1" si="324">EB118+EB119+EB120</f>
        <v>6171.1679410707766</v>
      </c>
      <c r="EC121" s="843">
        <f t="shared" ca="1" si="324"/>
        <v>6365.7126811456683</v>
      </c>
      <c r="ED121" s="843">
        <f t="shared" ca="1" si="324"/>
        <v>6581.277371831542</v>
      </c>
      <c r="EE121" s="843">
        <f t="shared" ca="1" si="324"/>
        <v>6791.6908008472474</v>
      </c>
      <c r="EF121" s="843">
        <f t="shared" ca="1" si="324"/>
        <v>6997.3800439593051</v>
      </c>
      <c r="EG121" s="844">
        <f t="shared" ca="1" si="324"/>
        <v>6997.3800439593033</v>
      </c>
      <c r="EH121" s="843">
        <f t="shared" ref="EH121:EL121" ca="1" si="325">EH118+EH119+EH120</f>
        <v>7210.3513720750643</v>
      </c>
      <c r="EI121" s="843">
        <f t="shared" ca="1" si="325"/>
        <v>7426.0580858657895</v>
      </c>
      <c r="EJ121" s="843">
        <f t="shared" ca="1" si="325"/>
        <v>7636.4116353512954</v>
      </c>
      <c r="EK121" s="843">
        <f t="shared" ca="1" si="325"/>
        <v>7861.3836116475286</v>
      </c>
      <c r="EL121" s="844">
        <f t="shared" ca="1" si="325"/>
        <v>7861.3836116475259</v>
      </c>
      <c r="EM121" s="141"/>
      <c r="EN121"/>
      <c r="EO121"/>
      <c r="EP121"/>
      <c r="EQ121"/>
      <c r="ER121"/>
      <c r="ES121"/>
    </row>
    <row r="122" spans="1:149" s="135" customFormat="1" ht="11.25" hidden="1" customHeight="1" outlineLevel="1">
      <c r="A122" s="1006"/>
      <c r="B122" s="1007"/>
      <c r="C122" s="849"/>
      <c r="D122" s="849"/>
      <c r="E122" s="849"/>
      <c r="F122" s="849"/>
      <c r="G122" s="849"/>
      <c r="H122" s="851"/>
      <c r="I122" s="849"/>
      <c r="J122" s="849"/>
      <c r="K122" s="849"/>
      <c r="L122" s="849"/>
      <c r="M122" s="851"/>
      <c r="N122" s="849"/>
      <c r="O122" s="849"/>
      <c r="P122" s="849"/>
      <c r="Q122" s="849"/>
      <c r="R122" s="851"/>
      <c r="S122" s="849"/>
      <c r="T122" s="849"/>
      <c r="U122" s="849"/>
      <c r="V122" s="849"/>
      <c r="W122" s="851"/>
      <c r="X122" s="849"/>
      <c r="Y122" s="849"/>
      <c r="Z122" s="849"/>
      <c r="AA122" s="849"/>
      <c r="AB122" s="851"/>
      <c r="AC122" s="849"/>
      <c r="AD122" s="849"/>
      <c r="AE122" s="849"/>
      <c r="AF122" s="849"/>
      <c r="AG122" s="851"/>
      <c r="AH122" s="849"/>
      <c r="AI122" s="849"/>
      <c r="AJ122" s="849"/>
      <c r="AK122" s="849"/>
      <c r="AL122" s="851"/>
      <c r="AM122" s="849"/>
      <c r="AN122" s="849"/>
      <c r="AO122" s="849"/>
      <c r="AP122" s="849"/>
      <c r="AQ122" s="851"/>
      <c r="AR122" s="849"/>
      <c r="AS122" s="849"/>
      <c r="AT122" s="849"/>
      <c r="AU122" s="885"/>
      <c r="AV122" s="849"/>
      <c r="AW122" s="849"/>
      <c r="AX122" s="849"/>
      <c r="AY122" s="849"/>
      <c r="AZ122" s="851"/>
      <c r="BA122" s="849"/>
      <c r="BB122" s="849"/>
      <c r="BC122" s="849"/>
      <c r="BD122" s="849"/>
      <c r="BE122" s="851"/>
      <c r="BF122" s="849"/>
      <c r="BG122" s="849"/>
      <c r="BH122" s="849"/>
      <c r="BI122" s="849"/>
      <c r="BJ122" s="851"/>
      <c r="BK122" s="849"/>
      <c r="BL122" s="849"/>
      <c r="BM122" s="849"/>
      <c r="BN122" s="849"/>
      <c r="BO122" s="851"/>
      <c r="BP122" s="849"/>
      <c r="BQ122" s="849"/>
      <c r="BR122" s="849"/>
      <c r="BS122" s="849"/>
      <c r="BT122" s="851"/>
      <c r="BU122" s="849"/>
      <c r="BV122" s="849"/>
      <c r="BW122" s="849"/>
      <c r="BX122" s="849"/>
      <c r="BY122" s="851"/>
      <c r="BZ122" s="849"/>
      <c r="CA122" s="849"/>
      <c r="CB122" s="881"/>
      <c r="CC122" s="881"/>
      <c r="CD122" s="885"/>
      <c r="CE122" s="881"/>
      <c r="CF122" s="881"/>
      <c r="CG122" s="881"/>
      <c r="CH122" s="881"/>
      <c r="CI122" s="885"/>
      <c r="CJ122" s="881"/>
      <c r="CK122" s="881"/>
      <c r="CL122" s="881"/>
      <c r="CM122" s="881"/>
      <c r="CN122" s="885"/>
      <c r="CO122" s="881"/>
      <c r="CP122" s="881"/>
      <c r="CQ122" s="881"/>
      <c r="CR122" s="881"/>
      <c r="CS122" s="885"/>
      <c r="CT122" s="881"/>
      <c r="CU122" s="881"/>
      <c r="CV122" s="881"/>
      <c r="CW122" s="881"/>
      <c r="CX122" s="885"/>
      <c r="CY122" s="881"/>
      <c r="CZ122" s="881"/>
      <c r="DA122" s="881"/>
      <c r="DB122" s="881"/>
      <c r="DC122" s="885"/>
      <c r="DD122" s="881"/>
      <c r="DE122" s="881"/>
      <c r="DF122" s="881"/>
      <c r="DG122" s="881"/>
      <c r="DH122" s="885"/>
      <c r="DI122" s="881"/>
      <c r="DJ122" s="881"/>
      <c r="DK122" s="881"/>
      <c r="DL122" s="881"/>
      <c r="DM122" s="885"/>
      <c r="DN122" s="881"/>
      <c r="DO122" s="881"/>
      <c r="DP122" s="881"/>
      <c r="DQ122" s="881"/>
      <c r="DR122" s="885"/>
      <c r="DS122" s="881"/>
      <c r="DT122" s="881"/>
      <c r="DU122" s="881"/>
      <c r="DV122" s="881"/>
      <c r="DW122" s="885"/>
      <c r="DX122" s="881"/>
      <c r="DY122" s="881"/>
      <c r="DZ122" s="881"/>
      <c r="EA122" s="881"/>
      <c r="EB122" s="885"/>
      <c r="EC122" s="881"/>
      <c r="ED122" s="881"/>
      <c r="EE122" s="881"/>
      <c r="EF122" s="881"/>
      <c r="EG122" s="885"/>
      <c r="EH122" s="881"/>
      <c r="EI122" s="881"/>
      <c r="EJ122" s="881"/>
      <c r="EK122" s="881"/>
      <c r="EL122" s="885"/>
      <c r="EM122" s="141"/>
      <c r="EN122"/>
      <c r="EO122"/>
      <c r="EP122"/>
      <c r="EQ122"/>
      <c r="ER122"/>
      <c r="ES122"/>
    </row>
    <row r="123" spans="1:149" s="135" customFormat="1" ht="11.25" hidden="1" customHeight="1" outlineLevel="1">
      <c r="A123" s="1006"/>
      <c r="B123" s="1007" t="s">
        <v>41</v>
      </c>
      <c r="C123" s="1017"/>
      <c r="D123" s="1017">
        <v>2536.125</v>
      </c>
      <c r="E123" s="1003">
        <f>D127</f>
        <v>2582.67</v>
      </c>
      <c r="F123" s="1003">
        <f>E127</f>
        <v>2622.5</v>
      </c>
      <c r="G123" s="1003">
        <f>F127</f>
        <v>2663.2</v>
      </c>
      <c r="H123" s="1004">
        <f>D123</f>
        <v>2536.125</v>
      </c>
      <c r="I123" s="1003">
        <f>G127</f>
        <v>4143</v>
      </c>
      <c r="J123" s="1003">
        <f>I127</f>
        <v>4258.8999999999996</v>
      </c>
      <c r="K123" s="1003">
        <f>J127</f>
        <v>4464.7</v>
      </c>
      <c r="L123" s="1003">
        <f>K127</f>
        <v>4547.8</v>
      </c>
      <c r="M123" s="1004">
        <f>H127</f>
        <v>4143</v>
      </c>
      <c r="N123" s="1003">
        <f>L127</f>
        <v>4598</v>
      </c>
      <c r="O123" s="1003">
        <f>N127</f>
        <v>4701.8</v>
      </c>
      <c r="P123" s="1003">
        <f>O127</f>
        <v>4789.8999999999996</v>
      </c>
      <c r="Q123" s="1003">
        <f>P127</f>
        <v>6765.3</v>
      </c>
      <c r="R123" s="1004">
        <f>M127</f>
        <v>4598</v>
      </c>
      <c r="S123" s="1003">
        <f>Q127</f>
        <v>6922</v>
      </c>
      <c r="T123" s="1003">
        <f>S127</f>
        <v>7174</v>
      </c>
      <c r="U123" s="1003">
        <f>T127</f>
        <v>7269</v>
      </c>
      <c r="V123" s="1003">
        <f>U127</f>
        <v>7563</v>
      </c>
      <c r="W123" s="1004">
        <f>R127</f>
        <v>6922</v>
      </c>
      <c r="X123" s="1003">
        <f>V127</f>
        <v>7748</v>
      </c>
      <c r="Y123" s="1003">
        <f>X127</f>
        <v>7960</v>
      </c>
      <c r="Z123" s="1003">
        <f>Y127</f>
        <v>8373</v>
      </c>
      <c r="AA123" s="1003">
        <f>Z127</f>
        <v>8465</v>
      </c>
      <c r="AB123" s="1004">
        <f>W127</f>
        <v>7748</v>
      </c>
      <c r="AC123" s="1003">
        <f>AA127</f>
        <v>7703</v>
      </c>
      <c r="AD123" s="1003">
        <f>AC127</f>
        <v>7780</v>
      </c>
      <c r="AE123" s="1003">
        <f>AD127</f>
        <v>7895</v>
      </c>
      <c r="AF123" s="1003">
        <f>AE127</f>
        <v>7881</v>
      </c>
      <c r="AG123" s="1004">
        <f>AB127</f>
        <v>7703</v>
      </c>
      <c r="AH123" s="1003">
        <f>AF127</f>
        <v>8141</v>
      </c>
      <c r="AI123" s="1003">
        <f>AH127</f>
        <v>8189</v>
      </c>
      <c r="AJ123" s="1003">
        <f>AI127</f>
        <v>8310</v>
      </c>
      <c r="AK123" s="1003">
        <f>AJ127</f>
        <v>8438</v>
      </c>
      <c r="AL123" s="1004">
        <f>AG127</f>
        <v>8141</v>
      </c>
      <c r="AM123" s="1003">
        <f>AK127</f>
        <v>8583</v>
      </c>
      <c r="AN123" s="1003">
        <f>AM127</f>
        <v>8977</v>
      </c>
      <c r="AO123" s="1003">
        <f>AN127</f>
        <v>9215</v>
      </c>
      <c r="AP123" s="1003">
        <f>AO127</f>
        <v>9452</v>
      </c>
      <c r="AQ123" s="1004">
        <f>AL127</f>
        <v>8583</v>
      </c>
      <c r="AR123" s="1003">
        <f>AP127</f>
        <v>9571</v>
      </c>
      <c r="AS123" s="1003">
        <f>AR127</f>
        <v>9678</v>
      </c>
      <c r="AT123" s="1003">
        <f>AS127</f>
        <v>9923</v>
      </c>
      <c r="AU123" s="885"/>
      <c r="AV123" s="1005"/>
      <c r="AW123" s="1005"/>
      <c r="AX123" s="1005"/>
      <c r="AY123" s="1005"/>
      <c r="AZ123" s="1004"/>
      <c r="BA123" s="1003">
        <f>AZ127</f>
        <v>9373</v>
      </c>
      <c r="BB123" s="1003">
        <f>BA127</f>
        <v>9184</v>
      </c>
      <c r="BC123" s="1003">
        <f>BB127</f>
        <v>9152</v>
      </c>
      <c r="BD123" s="1003">
        <f>BC127</f>
        <v>9279</v>
      </c>
      <c r="BE123" s="1004">
        <f>AZ127</f>
        <v>9373</v>
      </c>
      <c r="BF123" s="1003">
        <f>BD127</f>
        <v>8113</v>
      </c>
      <c r="BG123" s="1003">
        <f>BF127</f>
        <v>7520</v>
      </c>
      <c r="BH123" s="1003">
        <f>BG127</f>
        <v>7570</v>
      </c>
      <c r="BI123" s="1003">
        <f>BH127</f>
        <v>7487</v>
      </c>
      <c r="BJ123" s="1004">
        <f>BE127</f>
        <v>8113</v>
      </c>
      <c r="BK123" s="1003">
        <f>BI127</f>
        <v>7394</v>
      </c>
      <c r="BL123" s="1003">
        <f>BK127</f>
        <v>7469</v>
      </c>
      <c r="BM123" s="1003">
        <f>BL127</f>
        <v>7571</v>
      </c>
      <c r="BN123" s="1003">
        <f>BM127</f>
        <v>7254</v>
      </c>
      <c r="BO123" s="1004">
        <f>BJ127</f>
        <v>7394</v>
      </c>
      <c r="BP123" s="1003">
        <f>BN127</f>
        <v>7202</v>
      </c>
      <c r="BQ123" s="1003">
        <f>BP127</f>
        <v>7222</v>
      </c>
      <c r="BR123" s="1003">
        <f>BQ127</f>
        <v>6817</v>
      </c>
      <c r="BS123" s="1003">
        <f>BR127</f>
        <v>6925</v>
      </c>
      <c r="BT123" s="1004">
        <f>BO127</f>
        <v>7202</v>
      </c>
      <c r="BU123" s="1003">
        <f>BS127</f>
        <v>6847</v>
      </c>
      <c r="BV123" s="1003">
        <f>BU127</f>
        <v>6891</v>
      </c>
      <c r="BW123" s="1003">
        <f>BV127</f>
        <v>7020</v>
      </c>
      <c r="BX123" s="1003">
        <f>BW127</f>
        <v>7129</v>
      </c>
      <c r="BY123" s="1004">
        <f>BT127</f>
        <v>6847</v>
      </c>
      <c r="BZ123" s="1003">
        <f>BX127</f>
        <v>7424</v>
      </c>
      <c r="CA123" s="1003">
        <f>BZ127</f>
        <v>7457</v>
      </c>
      <c r="CB123" s="1003">
        <f>CA127</f>
        <v>7017</v>
      </c>
      <c r="CC123" s="1003">
        <f>CB127</f>
        <v>6992</v>
      </c>
      <c r="CD123" s="1004">
        <f>BY127</f>
        <v>7424</v>
      </c>
      <c r="CE123" s="1003">
        <f>CC127</f>
        <v>7086</v>
      </c>
      <c r="CF123" s="1003">
        <f>CE127</f>
        <v>7088</v>
      </c>
      <c r="CG123" s="1003">
        <f>CF127</f>
        <v>7096</v>
      </c>
      <c r="CH123" s="1003">
        <f>CG127</f>
        <v>7138</v>
      </c>
      <c r="CI123" s="1004">
        <f>CD127</f>
        <v>7086</v>
      </c>
      <c r="CJ123" s="1003">
        <f>CH127</f>
        <v>7283</v>
      </c>
      <c r="CK123" s="1003">
        <f>CI127</f>
        <v>7283</v>
      </c>
      <c r="CL123" s="1003">
        <f>CK127</f>
        <v>7309</v>
      </c>
      <c r="CM123" s="1003">
        <f>CL127</f>
        <v>7312</v>
      </c>
      <c r="CN123" s="1004">
        <f>CI127</f>
        <v>7283</v>
      </c>
      <c r="CO123" s="1003">
        <f>CM127</f>
        <v>7404</v>
      </c>
      <c r="CP123" s="1003">
        <f>CN127</f>
        <v>7404</v>
      </c>
      <c r="CQ123" s="1003">
        <f>CP127</f>
        <v>7468</v>
      </c>
      <c r="CR123" s="1003">
        <f>CQ127</f>
        <v>7505</v>
      </c>
      <c r="CS123" s="1004">
        <f>CN127</f>
        <v>7404</v>
      </c>
      <c r="CT123" s="1003">
        <f>CR127</f>
        <v>7736</v>
      </c>
      <c r="CU123" s="1003">
        <f>CT127</f>
        <v>7766</v>
      </c>
      <c r="CV123" s="1003">
        <f>CU127</f>
        <v>7548</v>
      </c>
      <c r="CW123" s="1003">
        <f>CV127</f>
        <v>7617</v>
      </c>
      <c r="CX123" s="1004">
        <f>CS127</f>
        <v>7736</v>
      </c>
      <c r="CY123" s="1003">
        <f>CW127</f>
        <v>7787</v>
      </c>
      <c r="CZ123" s="1003">
        <f>CY127</f>
        <v>7876</v>
      </c>
      <c r="DA123" s="1003">
        <f>CZ127</f>
        <v>7995</v>
      </c>
      <c r="DB123" s="1003">
        <f>DA127</f>
        <v>8024</v>
      </c>
      <c r="DC123" s="1004">
        <f>CX127</f>
        <v>8410</v>
      </c>
      <c r="DD123" s="1003">
        <f>DB127</f>
        <v>11362</v>
      </c>
      <c r="DE123" s="1003">
        <f>DD127</f>
        <v>11741</v>
      </c>
      <c r="DF123" s="1003">
        <f ca="1">DE127</f>
        <v>12017.72</v>
      </c>
      <c r="DG123" s="1003">
        <f ca="1">DF127</f>
        <v>12298.4</v>
      </c>
      <c r="DH123" s="1004">
        <f>DC127</f>
        <v>11985</v>
      </c>
      <c r="DI123" s="1003">
        <f>DG127</f>
        <v>12211</v>
      </c>
      <c r="DJ123" s="1003">
        <f>DI127</f>
        <v>12007</v>
      </c>
      <c r="DK123" s="1003">
        <f ca="1">DJ127</f>
        <v>12017.72</v>
      </c>
      <c r="DL123" s="1003">
        <f ca="1">DK127</f>
        <v>12298.4</v>
      </c>
      <c r="DM123" s="1004">
        <f>DH127</f>
        <v>13342</v>
      </c>
      <c r="DN123" s="1003">
        <f ca="1">DL127</f>
        <v>12298.4</v>
      </c>
      <c r="DO123" s="1003">
        <f ca="1">DM127</f>
        <v>13429.4</v>
      </c>
      <c r="DP123" s="1003">
        <f>DN127</f>
        <v>12499</v>
      </c>
      <c r="DQ123" s="1003">
        <f>DO127</f>
        <v>12791</v>
      </c>
      <c r="DR123" s="1004">
        <f ca="1">DM127</f>
        <v>13429.4</v>
      </c>
      <c r="DS123" s="1003">
        <f>DQ127</f>
        <v>13027</v>
      </c>
      <c r="DT123" s="1003">
        <f ca="1">DS127</f>
        <v>12499</v>
      </c>
      <c r="DU123" s="1003">
        <f ca="1">DT127</f>
        <v>12499</v>
      </c>
      <c r="DV123" s="1003">
        <f ca="1">DT127</f>
        <v>12499</v>
      </c>
      <c r="DW123" s="1004">
        <f ca="1">DR127</f>
        <v>13650.6</v>
      </c>
      <c r="DX123" s="1003">
        <f ca="1">DW127</f>
        <v>13650.6</v>
      </c>
      <c r="DY123" s="1003">
        <f ca="1">DX127</f>
        <v>13347.118668054985</v>
      </c>
      <c r="DZ123" s="1003">
        <f ca="1">DY127</f>
        <v>13443.254900169528</v>
      </c>
      <c r="EA123" s="1003">
        <f ca="1">DZ127</f>
        <v>13526.628300398574</v>
      </c>
      <c r="EB123" s="1004">
        <f ca="1">DW127</f>
        <v>13650.6</v>
      </c>
      <c r="EC123" s="1003">
        <f ca="1">EA127</f>
        <v>13616.129471967812</v>
      </c>
      <c r="ED123" s="1003">
        <f ca="1">EC127</f>
        <v>13863.114987470804</v>
      </c>
      <c r="EE123" s="1003">
        <f ca="1">ED127</f>
        <v>14111.988042434423</v>
      </c>
      <c r="EF123" s="1003">
        <f ca="1">EE127</f>
        <v>14357.543927920056</v>
      </c>
      <c r="EG123" s="1004">
        <f ca="1">EB127</f>
        <v>13616.129471967812</v>
      </c>
      <c r="EH123" s="1003">
        <f ca="1">EF127</f>
        <v>14612.416128278019</v>
      </c>
      <c r="EI123" s="1003">
        <f ca="1">EH127</f>
        <v>14865.526959214074</v>
      </c>
      <c r="EJ123" s="1003">
        <f ca="1">EI127</f>
        <v>15120.481129317312</v>
      </c>
      <c r="EK123" s="1003">
        <f ca="1">EJ127</f>
        <v>15371.840047157142</v>
      </c>
      <c r="EL123" s="1004">
        <f ca="1">EG127</f>
        <v>14612.416128278019</v>
      </c>
      <c r="EM123" s="141"/>
      <c r="EN123"/>
      <c r="EO123"/>
      <c r="EP123"/>
      <c r="EQ123"/>
      <c r="ER123"/>
      <c r="ES123"/>
    </row>
    <row r="124" spans="1:149" s="135" customFormat="1" ht="11.25" hidden="1" customHeight="1" outlineLevel="1">
      <c r="A124" s="1006"/>
      <c r="B124" s="1007" t="s">
        <v>42</v>
      </c>
      <c r="C124" s="1003"/>
      <c r="D124" s="1003">
        <f>-SUM('BS &amp; CF'!D161,'BS &amp; CF'!D162,'BS &amp; CF'!D163)</f>
        <v>28.175999999999998</v>
      </c>
      <c r="E124" s="1003">
        <f>-SUM('BS &amp; CF'!E161,'BS &amp; CF'!E162,'BS &amp; CF'!E163)</f>
        <v>31.424000000000003</v>
      </c>
      <c r="F124" s="1003">
        <f>-SUM('BS &amp; CF'!F161,'BS &amp; CF'!F162,'BS &amp; CF'!F163)</f>
        <v>40.9</v>
      </c>
      <c r="G124" s="1003">
        <f>-SUM('BS &amp; CF'!G161,'BS &amp; CF'!G162,'BS &amp; CF'!G163)</f>
        <v>163.5</v>
      </c>
      <c r="H124" s="1004">
        <f>SUM(D124:G124)</f>
        <v>264</v>
      </c>
      <c r="I124" s="1003">
        <f>-SUM('BS &amp; CF'!I161,'BS &amp; CF'!I162,'BS &amp; CF'!I163)</f>
        <v>95.1</v>
      </c>
      <c r="J124" s="1003">
        <f>-SUM('BS &amp; CF'!J161,'BS &amp; CF'!J162,'BS &amp; CF'!J163)</f>
        <v>65.400000000000006</v>
      </c>
      <c r="K124" s="1003">
        <f>-SUM('BS &amp; CF'!K161,'BS &amp; CF'!K162,'BS &amp; CF'!K163)</f>
        <v>74.800000000000011</v>
      </c>
      <c r="L124" s="1003">
        <f>-SUM('BS &amp; CF'!L161,'BS &amp; CF'!L162,'BS &amp; CF'!L163)</f>
        <v>134.69999999999999</v>
      </c>
      <c r="M124" s="1004">
        <f>SUM(I124:L124)</f>
        <v>370</v>
      </c>
      <c r="N124" s="1003">
        <f>-SUM('BS &amp; CF'!N161,'BS &amp; CF'!N162,'BS &amp; CF'!N163)</f>
        <v>43.4</v>
      </c>
      <c r="O124" s="1003">
        <f>-SUM('BS &amp; CF'!O161,'BS &amp; CF'!O162,'BS &amp; CF'!O163)</f>
        <v>52.000000000000007</v>
      </c>
      <c r="P124" s="1003">
        <f>-SUM('BS &amp; CF'!P161,'BS &amp; CF'!P162,'BS &amp; CF'!P163)</f>
        <v>165.99999999999997</v>
      </c>
      <c r="Q124" s="1003">
        <f>-SUM('BS &amp; CF'!Q161,'BS &amp; CF'!Q162,'BS &amp; CF'!Q163)</f>
        <v>144.60000000000002</v>
      </c>
      <c r="R124" s="1004">
        <f>SUM(N124:Q124)</f>
        <v>406</v>
      </c>
      <c r="S124" s="1003">
        <f>-SUM('BS &amp; CF'!S161,'BS &amp; CF'!S162,'BS &amp; CF'!S163)</f>
        <v>103</v>
      </c>
      <c r="T124" s="1003">
        <f>-SUM('BS &amp; CF'!T161,'BS &amp; CF'!T162,'BS &amp; CF'!T163)</f>
        <v>112</v>
      </c>
      <c r="U124" s="1003">
        <f>-SUM('BS &amp; CF'!U161,'BS &amp; CF'!U162,'BS &amp; CF'!U163)</f>
        <v>156</v>
      </c>
      <c r="V124" s="1003">
        <f>-SUM('BS &amp; CF'!V161,'BS &amp; CF'!V162,'BS &amp; CF'!V163)</f>
        <v>163</v>
      </c>
      <c r="W124" s="1004">
        <f>SUM(S124:V124)</f>
        <v>534</v>
      </c>
      <c r="X124" s="1003">
        <f>-SUM('BS &amp; CF'!X161,'BS &amp; CF'!X162,'BS &amp; CF'!X163)</f>
        <v>107</v>
      </c>
      <c r="Y124" s="1003">
        <f>-SUM('BS &amp; CF'!Y161,'BS &amp; CF'!Y162,'BS &amp; CF'!Y163)</f>
        <v>134</v>
      </c>
      <c r="Z124" s="1003">
        <f>-SUM('BS &amp; CF'!Z161,'BS &amp; CF'!Z162,'BS &amp; CF'!Z163)</f>
        <v>160</v>
      </c>
      <c r="AA124" s="1003">
        <f>-SUM('BS &amp; CF'!AA161,'BS &amp; CF'!AA162,'BS &amp; CF'!AA163)</f>
        <v>191</v>
      </c>
      <c r="AB124" s="1004">
        <f>SUM(X124:AA124)</f>
        <v>592</v>
      </c>
      <c r="AC124" s="1003">
        <f>-SUM('BS &amp; CF'!AC161,'BS &amp; CF'!AC162,'BS &amp; CF'!AC163)</f>
        <v>138</v>
      </c>
      <c r="AD124" s="1003">
        <f>-SUM('BS &amp; CF'!AD161,'BS &amp; CF'!AD162,'BS &amp; CF'!AD163)</f>
        <v>126</v>
      </c>
      <c r="AE124" s="1003">
        <f>-SUM('BS &amp; CF'!AE161,'BS &amp; CF'!AE162,'BS &amp; CF'!AE163)</f>
        <v>132</v>
      </c>
      <c r="AF124" s="1003">
        <f>-SUM('BS &amp; CF'!AF161,'BS &amp; CF'!AF162,'BS &amp; CF'!AF163)</f>
        <v>223</v>
      </c>
      <c r="AG124" s="1004">
        <f>SUM(AC124:AF124)</f>
        <v>619</v>
      </c>
      <c r="AH124" s="1003">
        <f>-SUM('BS &amp; CF'!AH161,'BS &amp; CF'!AH162,'BS &amp; CF'!AH163)</f>
        <v>120</v>
      </c>
      <c r="AI124" s="1003">
        <f>-SUM('BS &amp; CF'!AI161,'BS &amp; CF'!AI162,'BS &amp; CF'!AI163)</f>
        <v>119</v>
      </c>
      <c r="AJ124" s="1003">
        <f>-SUM('BS &amp; CF'!AJ161,'BS &amp; CF'!AJ162,'BS &amp; CF'!AJ163)</f>
        <v>157</v>
      </c>
      <c r="AK124" s="1003">
        <f>-SUM('BS &amp; CF'!AK161,'BS &amp; CF'!AK162,'BS &amp; CF'!AK163)</f>
        <v>205</v>
      </c>
      <c r="AL124" s="1004">
        <f>SUM(AH124:AK124)</f>
        <v>601</v>
      </c>
      <c r="AM124" s="1003">
        <f>-SUM('BS &amp; CF'!AM161,'BS &amp; CF'!AM162,'BS &amp; CF'!AM163)</f>
        <v>209</v>
      </c>
      <c r="AN124" s="1003">
        <f>-SUM('BS &amp; CF'!AN161,'BS &amp; CF'!AN162,'BS &amp; CF'!AN163)</f>
        <v>206</v>
      </c>
      <c r="AO124" s="1003">
        <f>-SUM('BS &amp; CF'!AO161,'BS &amp; CF'!AO162,'BS &amp; CF'!AO163)</f>
        <v>168</v>
      </c>
      <c r="AP124" s="1003">
        <f>-SUM('BS &amp; CF'!AP161,'BS &amp; CF'!AP162,'BS &amp; CF'!AP163)</f>
        <v>306</v>
      </c>
      <c r="AQ124" s="1004">
        <f>SUM(AM124:AP124)</f>
        <v>889</v>
      </c>
      <c r="AR124" s="1003">
        <f>-SUM('BS &amp; CF'!AR161,'BS &amp; CF'!AR162,'BS &amp; CF'!AR163)</f>
        <v>195</v>
      </c>
      <c r="AS124" s="1003">
        <f>-SUM('BS &amp; CF'!AS161,'BS &amp; CF'!AS162,'BS &amp; CF'!AS163)</f>
        <v>218</v>
      </c>
      <c r="AT124" s="1003">
        <f>-SUM('BS &amp; CF'!AT161,'BS &amp; CF'!AT162,'BS &amp; CF'!AT163)</f>
        <v>229</v>
      </c>
      <c r="AU124" s="885"/>
      <c r="AV124" s="1005"/>
      <c r="AW124" s="1005"/>
      <c r="AX124" s="1005"/>
      <c r="AY124" s="1005"/>
      <c r="AZ124" s="1004"/>
      <c r="BA124" s="1003">
        <f>-SUM('BS &amp; CF'!BA161,'BS &amp; CF'!BA162,'BS &amp; CF'!BA163)</f>
        <v>220</v>
      </c>
      <c r="BB124" s="1003">
        <f>-SUM('BS &amp; CF'!BB161,'BS &amp; CF'!BB162,'BS &amp; CF'!BB163)</f>
        <v>198</v>
      </c>
      <c r="BC124" s="1003">
        <f>-SUM('BS &amp; CF'!BC161,'BS &amp; CF'!BC162,'BS &amp; CF'!BC163)</f>
        <v>145</v>
      </c>
      <c r="BD124" s="1003">
        <f>-SUM('BS &amp; CF'!BD161,'BS &amp; CF'!BD162,'BS &amp; CF'!BD163)</f>
        <v>270</v>
      </c>
      <c r="BE124" s="1004">
        <f>SUM(BA124:BD124)</f>
        <v>833</v>
      </c>
      <c r="BF124" s="1003">
        <f>-SUM('BS &amp; CF'!BF161,'BS &amp; CF'!BF162,'BS &amp; CF'!BF163)</f>
        <v>114</v>
      </c>
      <c r="BG124" s="1003">
        <f>-SUM('BS &amp; CF'!BG161,'BS &amp; CF'!BG162,'BS &amp; CF'!BG163)</f>
        <v>136</v>
      </c>
      <c r="BH124" s="1003">
        <f>-SUM('BS &amp; CF'!BH161,'BS &amp; CF'!BH162,'BS &amp; CF'!BH163)</f>
        <v>116</v>
      </c>
      <c r="BI124" s="1003">
        <f>-SUM('BS &amp; CF'!BI161,'BS &amp; CF'!BI162,'BS &amp; CF'!BI163)</f>
        <v>192</v>
      </c>
      <c r="BJ124" s="1004">
        <f>SUM(BF124:BI124)</f>
        <v>558</v>
      </c>
      <c r="BK124" s="1003">
        <f>-SUM('BS &amp; CF'!BK161,'BS &amp; CF'!BK162,'BS &amp; CF'!BK163)</f>
        <v>96</v>
      </c>
      <c r="BL124" s="1003">
        <f>-SUM('BS &amp; CF'!BL161,'BS &amp; CF'!BL162,'BS &amp; CF'!BL163)</f>
        <v>128</v>
      </c>
      <c r="BM124" s="1003">
        <f>-SUM('BS &amp; CF'!BM161,'BS &amp; CF'!BM162,'BS &amp; CF'!BM163)</f>
        <v>136</v>
      </c>
      <c r="BN124" s="1003">
        <f>-SUM('BS &amp; CF'!BN161,'BS &amp; CF'!BN162,'BS &amp; CF'!BN163)</f>
        <v>218</v>
      </c>
      <c r="BO124" s="1004">
        <f>SUM(BK124:BN124)</f>
        <v>578</v>
      </c>
      <c r="BP124" s="1003">
        <f>-SUM('BS &amp; CF'!BP161,'BS &amp; CF'!BP162,'BS &amp; CF'!BP163)</f>
        <v>117</v>
      </c>
      <c r="BQ124" s="1003">
        <f>-SUM('BS &amp; CF'!BQ161,'BS &amp; CF'!BQ162,'BS &amp; CF'!BQ163)</f>
        <v>126</v>
      </c>
      <c r="BR124" s="1003">
        <f>-SUM('BS &amp; CF'!BR161,'BS &amp; CF'!BR162,'BS &amp; CF'!BR163)</f>
        <v>148</v>
      </c>
      <c r="BS124" s="1003">
        <f>-SUM('BS &amp; CF'!BS161,'BS &amp; CF'!BS162,'BS &amp; CF'!BS163)</f>
        <v>302</v>
      </c>
      <c r="BT124" s="1004">
        <f>SUM(BP124:BS124)</f>
        <v>693</v>
      </c>
      <c r="BU124" s="1003">
        <f>-SUM('BS &amp; CF'!BU161,'BS &amp; CF'!BU162,'BS &amp; CF'!BU163)</f>
        <v>111</v>
      </c>
      <c r="BV124" s="1003">
        <f>-SUM('BS &amp; CF'!BV161,'BS &amp; CF'!BV162,'BS &amp; CF'!BV163)</f>
        <v>150</v>
      </c>
      <c r="BW124" s="1003">
        <f>-SUM('BS &amp; CF'!BW161,'BS &amp; CF'!BW162,'BS &amp; CF'!BW163)</f>
        <v>179</v>
      </c>
      <c r="BX124" s="1003">
        <f>-SUM('BS &amp; CF'!BX161,'BS &amp; CF'!BX162,'BS &amp; CF'!BX163)</f>
        <v>303</v>
      </c>
      <c r="BY124" s="1004">
        <f>SUM(BU124:BX124)</f>
        <v>743</v>
      </c>
      <c r="BZ124" s="1003">
        <f>-SUM('BS &amp; CF'!BZ161,'BS &amp; CF'!BZ162,'BS &amp; CF'!BZ163)</f>
        <v>189</v>
      </c>
      <c r="CA124" s="1003">
        <f>-SUM('BS &amp; CF'!CA161,'BS &amp; CF'!CA162,'BS &amp; CF'!CA163)</f>
        <v>110</v>
      </c>
      <c r="CB124" s="1003">
        <f>-SUM('BS &amp; CF'!CB161,'BS &amp; CF'!CB162,'BS &amp; CF'!CB163)</f>
        <v>114</v>
      </c>
      <c r="CC124" s="1003">
        <f>-SUM('BS &amp; CF'!CC161,'BS &amp; CF'!CC162,'BS &amp; CF'!CC163)</f>
        <v>134</v>
      </c>
      <c r="CD124" s="1004">
        <f>SUM(BZ124:CC124)</f>
        <v>547</v>
      </c>
      <c r="CE124" s="1003">
        <f>-SUM('BS &amp; CF'!CE161,'BS &amp; CF'!CE162,'BS &amp; CF'!CE163)</f>
        <v>102</v>
      </c>
      <c r="CF124" s="1003">
        <f>-SUM('BS &amp; CF'!CF161,'BS &amp; CF'!CF162,'BS &amp; CF'!CF163)</f>
        <v>71</v>
      </c>
      <c r="CG124" s="1003">
        <f>-SUM('BS &amp; CF'!CG161,'BS &amp; CF'!CG162,'BS &amp; CF'!CG163)</f>
        <v>91</v>
      </c>
      <c r="CH124" s="1003">
        <f>-SUM('BS &amp; CF'!CH161,'BS &amp; CF'!CH162,'BS &amp; CF'!CH163)</f>
        <v>192</v>
      </c>
      <c r="CI124" s="1004">
        <f>SUM(CE124:CH124)</f>
        <v>456</v>
      </c>
      <c r="CJ124" s="1003">
        <f>-SUM('BS &amp; CF'!CJ161,'BS &amp; CF'!CJ162,'BS &amp; CF'!CJ163)</f>
        <v>83</v>
      </c>
      <c r="CK124" s="1003">
        <f>-SUM('BS &amp; CF'!CK161,'BS &amp; CF'!CK162,'BS &amp; CF'!CK163)</f>
        <v>77</v>
      </c>
      <c r="CL124" s="1003">
        <f>-SUM('BS &amp; CF'!CL161,'BS &amp; CF'!CL162,'BS &amp; CF'!CL163)</f>
        <v>120</v>
      </c>
      <c r="CM124" s="1003">
        <f>-SUM('BS &amp; CF'!CM161,'BS &amp; CF'!CM162,'BS &amp; CF'!CM163)</f>
        <v>196</v>
      </c>
      <c r="CN124" s="1004">
        <f>SUM(CJ124:CM124)</f>
        <v>476</v>
      </c>
      <c r="CO124" s="1003">
        <f>-SUM('BS &amp; CF'!CO161,'BS &amp; CF'!CO162,'BS &amp; CF'!CO163)</f>
        <v>116</v>
      </c>
      <c r="CP124" s="1003">
        <f>-SUM('BS &amp; CF'!CP161,'BS &amp; CF'!CP162,'BS &amp; CF'!CP163)</f>
        <v>82</v>
      </c>
      <c r="CQ124" s="1003">
        <f>-SUM('BS &amp; CF'!CQ161,'BS &amp; CF'!CQ162,'BS &amp; CF'!CQ163)</f>
        <v>100</v>
      </c>
      <c r="CR124" s="1003">
        <f>-SUM('BS &amp; CF'!CR161,'BS &amp; CF'!CR162,'BS &amp; CF'!CR163)</f>
        <v>177</v>
      </c>
      <c r="CS124" s="1004">
        <f>SUM(CO124:CR124)</f>
        <v>475</v>
      </c>
      <c r="CT124" s="1003">
        <f>-SUM('BS &amp; CF'!CT161,'BS &amp; CF'!CT162,'BS &amp; CF'!CT163)</f>
        <v>136</v>
      </c>
      <c r="CU124" s="1003">
        <f>-SUM('BS &amp; CF'!CU161,'BS &amp; CF'!CU162,'BS &amp; CF'!CU163)</f>
        <v>116</v>
      </c>
      <c r="CV124" s="1003">
        <f>-SUM('BS &amp; CF'!CV161,'BS &amp; CF'!CV162,'BS &amp; CF'!CV163)</f>
        <v>108</v>
      </c>
      <c r="CW124" s="1003">
        <f>-SUM('BS &amp; CF'!CW161,'BS &amp; CF'!CW162,'BS &amp; CF'!CW163)</f>
        <v>148</v>
      </c>
      <c r="CX124" s="1004">
        <f>SUM(CT124:CW124)</f>
        <v>508</v>
      </c>
      <c r="CY124" s="1003">
        <f>-SUM('BS &amp; CF'!CY161,'BS &amp; CF'!CY162,'BS &amp; CF'!CY163)</f>
        <v>133</v>
      </c>
      <c r="CZ124" s="1003">
        <f>-SUM('BS &amp; CF'!CZ161,'BS &amp; CF'!CZ162,'BS &amp; CF'!CZ163)</f>
        <v>123</v>
      </c>
      <c r="DA124" s="1003">
        <f>-SUM('BS &amp; CF'!DA161,'BS &amp; CF'!DA162,'BS &amp; CF'!DA163)</f>
        <v>142</v>
      </c>
      <c r="DB124" s="1003">
        <f>-SUM('BS &amp; CF'!DB161,'BS &amp; CF'!DB162,'BS &amp; CF'!DB163)</f>
        <v>293</v>
      </c>
      <c r="DC124" s="1004">
        <f>SUM(CY124:DB124)</f>
        <v>691</v>
      </c>
      <c r="DD124" s="1003">
        <f>-SUM('BS &amp; CF'!DD161,'BS &amp; CF'!DD162,'BS &amp; CF'!DD163)</f>
        <v>281</v>
      </c>
      <c r="DE124" s="1003">
        <f>-SUM('BS &amp; CF'!DE161,'BS &amp; CF'!DE162,'BS &amp; CF'!DE163)</f>
        <v>242</v>
      </c>
      <c r="DF124" s="1003">
        <f>-SUM('BS &amp; CF'!DF161,'BS &amp; CF'!DF162,'BS &amp; CF'!DF163)</f>
        <v>211</v>
      </c>
      <c r="DG124" s="1003">
        <f>-SUM('BS &amp; CF'!DG161,'BS &amp; CF'!DG162,'BS &amp; CF'!DG163)</f>
        <v>199</v>
      </c>
      <c r="DH124" s="1004">
        <f>SUM(DD124:DG124)</f>
        <v>933</v>
      </c>
      <c r="DI124" s="1003">
        <f>-SUM('BS &amp; CF'!DI161,'BS &amp; CF'!DI162,'BS &amp; CF'!DI163)</f>
        <v>195</v>
      </c>
      <c r="DJ124" s="1003">
        <f>-SUM('BS &amp; CF'!DJ161,'BS &amp; CF'!DJ162,'BS &amp; CF'!DJ163)</f>
        <v>164</v>
      </c>
      <c r="DK124" s="1003">
        <f>-SUM('BS &amp; CF'!DK161,'BS &amp; CF'!DK162,'BS &amp; CF'!DK163)</f>
        <v>207</v>
      </c>
      <c r="DL124" s="1003">
        <f>-SUM('BS &amp; CF'!DL161,'BS &amp; CF'!DL162,'BS &amp; CF'!DL163)</f>
        <v>276</v>
      </c>
      <c r="DM124" s="1004">
        <f>SUM(DI124:DL124)</f>
        <v>842</v>
      </c>
      <c r="DN124" s="1003">
        <f>-SUM('BS &amp; CF'!DN161,'BS &amp; CF'!DN162,'BS &amp; CF'!DN163)</f>
        <v>208</v>
      </c>
      <c r="DO124" s="1003">
        <f>-SUM('BS &amp; CF'!DO161,'BS &amp; CF'!DO162,'BS &amp; CF'!DO163)</f>
        <v>205</v>
      </c>
      <c r="DP124" s="1003">
        <f>-SUM('BS &amp; CF'!DP161,'BS &amp; CF'!DP162,'BS &amp; CF'!DP163)</f>
        <v>201</v>
      </c>
      <c r="DQ124" s="1003">
        <f>-SUM('BS &amp; CF'!DQ161,'BS &amp; CF'!DQ162,'BS &amp; CF'!DQ163)</f>
        <v>261</v>
      </c>
      <c r="DR124" s="1004">
        <f>SUM(DN124:DQ124)</f>
        <v>875</v>
      </c>
      <c r="DS124" s="1003">
        <f>-SUM('BS &amp; CF'!DS161,'BS &amp; CF'!DS162,'BS &amp; CF'!DS163)</f>
        <v>198</v>
      </c>
      <c r="DT124" s="1003">
        <f>-SUM('BS &amp; CF'!DT161,'BS &amp; CF'!DT162,'BS &amp; CF'!DT163)</f>
        <v>150</v>
      </c>
      <c r="DU124" s="1003">
        <f>-SUM('BS &amp; CF'!DU161,'BS &amp; CF'!DU162,'BS &amp; CF'!DU163)</f>
        <v>144</v>
      </c>
      <c r="DV124" s="1003">
        <f>-SUM('BS &amp; CF'!DV161,'BS &amp; CF'!DV162,'BS &amp; CF'!DV163)</f>
        <v>215</v>
      </c>
      <c r="DW124" s="1004">
        <f>SUM(DS124:DV124)</f>
        <v>707</v>
      </c>
      <c r="DX124" s="1003">
        <f>-SUM('BS &amp; CF'!DX161,'BS &amp; CF'!DX162,'BS &amp; CF'!DX163)</f>
        <v>174.01866805498506</v>
      </c>
      <c r="DY124" s="1003">
        <f>-SUM('BS &amp; CF'!DY161,'BS &amp; CF'!DY162,'BS &amp; CF'!DY163)</f>
        <v>173.63623211454339</v>
      </c>
      <c r="DZ124" s="1003">
        <f>-SUM('BS &amp; CF'!DZ161,'BS &amp; CF'!DZ162,'BS &amp; CF'!DZ163)</f>
        <v>160.87340022904573</v>
      </c>
      <c r="EA124" s="1003">
        <f>-SUM('BS &amp; CF'!EA161,'BS &amp; CF'!EA162,'BS &amp; CF'!EA163)</f>
        <v>167.00117156923761</v>
      </c>
      <c r="EB124" s="1004">
        <f>SUM(DX124:EA124)</f>
        <v>675.52947196781179</v>
      </c>
      <c r="EC124" s="1003">
        <f>-SUM('BS &amp; CF'!EC161,'BS &amp; CF'!EC162,'BS &amp; CF'!EC163)</f>
        <v>174.48551550299194</v>
      </c>
      <c r="ED124" s="1003">
        <f>-SUM('BS &amp; CF'!ED161,'BS &amp; CF'!ED162,'BS &amp; CF'!ED163)</f>
        <v>176.37305496361878</v>
      </c>
      <c r="EE124" s="1003">
        <f>-SUM('BS &amp; CF'!EE161,'BS &amp; CF'!EE162,'BS &amp; CF'!EE163)</f>
        <v>173.05588548563372</v>
      </c>
      <c r="EF124" s="1003">
        <f>-SUM('BS &amp; CF'!EF161,'BS &amp; CF'!EF162,'BS &amp; CF'!EF163)</f>
        <v>182.37220035796307</v>
      </c>
      <c r="EG124" s="1004">
        <f>SUM(EC124:EF124)</f>
        <v>706.28665631020749</v>
      </c>
      <c r="EH124" s="1003">
        <f>-SUM('BS &amp; CF'!EH161,'BS &amp; CF'!EH162,'BS &amp; CF'!EH163)</f>
        <v>180.61083093605544</v>
      </c>
      <c r="EI124" s="1003">
        <f>-SUM('BS &amp; CF'!EI161,'BS &amp; CF'!EI162,'BS &amp; CF'!EI163)</f>
        <v>182.45417010323729</v>
      </c>
      <c r="EJ124" s="1003">
        <f>-SUM('BS &amp; CF'!EJ161,'BS &amp; CF'!EJ162,'BS &amp; CF'!EJ163)</f>
        <v>178.85891783983138</v>
      </c>
      <c r="EK124" s="1003">
        <f>-SUM('BS &amp; CF'!EK161,'BS &amp; CF'!EK162,'BS &amp; CF'!EK163)</f>
        <v>188.72109220834002</v>
      </c>
      <c r="EL124" s="1004">
        <f>SUM(EH124:EK124)</f>
        <v>730.64501108746413</v>
      </c>
      <c r="EM124" s="141"/>
      <c r="EN124"/>
      <c r="EO124"/>
      <c r="EP124"/>
      <c r="EQ124"/>
      <c r="ER124"/>
      <c r="ES124"/>
    </row>
    <row r="125" spans="1:149" s="135" customFormat="1" ht="11.25" hidden="1" customHeight="1" outlineLevel="1">
      <c r="A125" s="1006"/>
      <c r="B125" s="1007" t="s">
        <v>43</v>
      </c>
      <c r="C125" s="1003"/>
      <c r="D125" s="1003">
        <f>-SUM('BS &amp; CF'!D164,'BS &amp; CF'!D165)</f>
        <v>-140.93799999999999</v>
      </c>
      <c r="E125" s="1003">
        <f>-SUM('BS &amp; CF'!E164,'BS &amp; CF'!E165)</f>
        <v>-4.4620000000000068</v>
      </c>
      <c r="F125" s="1003">
        <f>-SUM('BS &amp; CF'!F164,'BS &amp; CF'!F165)</f>
        <v>2.4000000000000128</v>
      </c>
      <c r="G125" s="1003">
        <f>-SUM('BS &amp; CF'!G164,'BS &amp; CF'!G165)</f>
        <v>1400</v>
      </c>
      <c r="H125" s="1004">
        <f>SUM(D125:G125)</f>
        <v>1257</v>
      </c>
      <c r="I125" s="1003">
        <f>-SUM('BS &amp; CF'!I164,'BS &amp; CF'!I165)</f>
        <v>-7</v>
      </c>
      <c r="J125" s="1003">
        <f>-SUM('BS &amp; CF'!J164,'BS &amp; CF'!J165)</f>
        <v>-28.5</v>
      </c>
      <c r="K125" s="1003">
        <f>-SUM('BS &amp; CF'!K164,'BS &amp; CF'!K165)</f>
        <v>-18.600000000000023</v>
      </c>
      <c r="L125" s="1003">
        <f>-SUM('BS &amp; CF'!L164,'BS &amp; CF'!L165)</f>
        <v>-83.899999999999977</v>
      </c>
      <c r="M125" s="1004">
        <f>SUM(I125:L125)</f>
        <v>-138</v>
      </c>
      <c r="N125" s="1003">
        <f>-SUM('BS &amp; CF'!N164,'BS &amp; CF'!N165)</f>
        <v>38.900000000000006</v>
      </c>
      <c r="O125" s="1003">
        <f>-SUM('BS &amp; CF'!O164,'BS &amp; CF'!O165)</f>
        <v>80.499999999999986</v>
      </c>
      <c r="P125" s="1003">
        <f>-SUM('BS &amp; CF'!P164,'BS &amp; CF'!P165)</f>
        <v>507.4</v>
      </c>
      <c r="Q125" s="1003">
        <f>-SUM('BS &amp; CF'!Q164,'BS &amp; CF'!Q165)</f>
        <v>110.2</v>
      </c>
      <c r="R125" s="1004">
        <f>SUM(N125:Q125)</f>
        <v>737</v>
      </c>
      <c r="S125" s="1003">
        <f>-SUM('BS &amp; CF'!S164,'BS &amp; CF'!S165)</f>
        <v>88</v>
      </c>
      <c r="T125" s="1003">
        <f>-SUM('BS &amp; CF'!T164,'BS &amp; CF'!T165)</f>
        <v>236</v>
      </c>
      <c r="U125" s="1003">
        <f>-SUM('BS &amp; CF'!U164,'BS &amp; CF'!U165)</f>
        <v>193</v>
      </c>
      <c r="V125" s="1003">
        <f>-SUM('BS &amp; CF'!V164,'BS &amp; CF'!V165)</f>
        <v>-8</v>
      </c>
      <c r="W125" s="1004">
        <f>SUM(S125:V125)</f>
        <v>509</v>
      </c>
      <c r="X125" s="1003">
        <f>-SUM('BS &amp; CF'!X164,'BS &amp; CF'!X165)</f>
        <v>84</v>
      </c>
      <c r="Y125" s="1003">
        <f>-SUM('BS &amp; CF'!Y164,'BS &amp; CF'!Y165)</f>
        <v>358</v>
      </c>
      <c r="Z125" s="1003">
        <f>-SUM('BS &amp; CF'!Z164,'BS &amp; CF'!Z165)</f>
        <v>9</v>
      </c>
      <c r="AA125" s="1003">
        <f>-SUM('BS &amp; CF'!AA164,'BS &amp; CF'!AA165)</f>
        <v>123</v>
      </c>
      <c r="AB125" s="1004">
        <f>SUM(X125:AA125)</f>
        <v>574</v>
      </c>
      <c r="AC125" s="1003">
        <f>-SUM('BS &amp; CF'!AC164,'BS &amp; CF'!AC165)</f>
        <v>-10</v>
      </c>
      <c r="AD125" s="1003">
        <f>-SUM('BS &amp; CF'!AD164,'BS &amp; CF'!AD165)</f>
        <v>-595</v>
      </c>
      <c r="AE125" s="1003">
        <f>-SUM('BS &amp; CF'!AE164,'BS &amp; CF'!AE165)</f>
        <v>-13</v>
      </c>
      <c r="AF125" s="1003">
        <f>-SUM('BS &amp; CF'!AF164,'BS &amp; CF'!AF165)</f>
        <v>-108</v>
      </c>
      <c r="AG125" s="1004">
        <f>SUM(AC125:AF125)</f>
        <v>-726</v>
      </c>
      <c r="AH125" s="1003">
        <f>-SUM('BS &amp; CF'!AH164,'BS &amp; CF'!AH165)</f>
        <v>-14</v>
      </c>
      <c r="AI125" s="1003">
        <f>-SUM('BS &amp; CF'!AI164,'BS &amp; CF'!AI165)</f>
        <v>-2</v>
      </c>
      <c r="AJ125" s="1003">
        <f>-SUM('BS &amp; CF'!AJ164,'BS &amp; CF'!AJ165)</f>
        <v>-10</v>
      </c>
      <c r="AK125" s="1003">
        <f>-SUM('BS &amp; CF'!AK164,'BS &amp; CF'!AK165)</f>
        <v>-77</v>
      </c>
      <c r="AL125" s="1004">
        <f>SUM(AH125:AK125)</f>
        <v>-103</v>
      </c>
      <c r="AM125" s="1003">
        <f>-SUM('BS &amp; CF'!AM164,'BS &amp; CF'!AM165)</f>
        <v>247</v>
      </c>
      <c r="AN125" s="1003">
        <f>-SUM('BS &amp; CF'!AN164,'BS &amp; CF'!AN165)</f>
        <v>26</v>
      </c>
      <c r="AO125" s="1003">
        <f>-SUM('BS &amp; CF'!AO164,'BS &amp; CF'!AO165)</f>
        <v>36</v>
      </c>
      <c r="AP125" s="1003">
        <f>-SUM('BS &amp; CF'!AP164,'BS &amp; CF'!AP165)</f>
        <v>-13</v>
      </c>
      <c r="AQ125" s="1004">
        <f>SUM(AM125:AP125)</f>
        <v>296</v>
      </c>
      <c r="AR125" s="1003">
        <f>-SUM('BS &amp; CF'!AR164,'BS &amp; CF'!AR165)</f>
        <v>-5</v>
      </c>
      <c r="AS125" s="1003">
        <f>-SUM('BS &amp; CF'!AS164,'BS &amp; CF'!AS165)</f>
        <v>5</v>
      </c>
      <c r="AT125" s="1003">
        <f>-SUM('BS &amp; CF'!AT164,'BS &amp; CF'!AT165)</f>
        <v>27</v>
      </c>
      <c r="AU125" s="885"/>
      <c r="AV125" s="1005"/>
      <c r="AW125" s="1005"/>
      <c r="AX125" s="1005"/>
      <c r="AY125" s="1005"/>
      <c r="AZ125" s="1004"/>
      <c r="BA125" s="1003">
        <f>-SUM('BS &amp; CF'!BA164,'BS &amp; CF'!BA165)</f>
        <v>0</v>
      </c>
      <c r="BB125" s="1003">
        <f>-SUM('BS &amp; CF'!BB164,'BS &amp; CF'!BB165)</f>
        <v>0</v>
      </c>
      <c r="BC125" s="1003">
        <f>-SUM('BS &amp; CF'!BC164,'BS &amp; CF'!BC165)</f>
        <v>0</v>
      </c>
      <c r="BD125" s="1003">
        <f>-SUM('BS &amp; CF'!BD164,'BS &amp; CF'!BD165)</f>
        <v>-691</v>
      </c>
      <c r="BE125" s="1004">
        <f>SUM(BA125:BD125)</f>
        <v>-691</v>
      </c>
      <c r="BF125" s="1003">
        <f>-SUM('BS &amp; CF'!BF164,'BS &amp; CF'!BF165)</f>
        <v>-63</v>
      </c>
      <c r="BG125" s="1003">
        <f>-SUM('BS &amp; CF'!BG164,'BS &amp; CF'!BG165)</f>
        <v>-127</v>
      </c>
      <c r="BH125" s="1003">
        <f>-SUM('BS &amp; CF'!BH164,'BS &amp; CF'!BH165)</f>
        <v>-105</v>
      </c>
      <c r="BI125" s="1003">
        <f>-SUM('BS &amp; CF'!BI164,'BS &amp; CF'!BI165)</f>
        <v>-136</v>
      </c>
      <c r="BJ125" s="1004">
        <f>SUM(BF125:BI125)</f>
        <v>-431</v>
      </c>
      <c r="BK125" s="1003">
        <f>-SUM('BS &amp; CF'!BK164,'BS &amp; CF'!BK165)</f>
        <v>-71</v>
      </c>
      <c r="BL125" s="1003">
        <f>-SUM('BS &amp; CF'!BL164,'BS &amp; CF'!BL165)</f>
        <v>-46</v>
      </c>
      <c r="BM125" s="1003">
        <f>-SUM('BS &amp; CF'!BM164,'BS &amp; CF'!BM165)</f>
        <v>-36</v>
      </c>
      <c r="BN125" s="1003">
        <f>-SUM('BS &amp; CF'!BN164,'BS &amp; CF'!BN165)</f>
        <v>-20</v>
      </c>
      <c r="BO125" s="1004">
        <f>SUM(BK125:BN125)</f>
        <v>-173</v>
      </c>
      <c r="BP125" s="1003">
        <f>-SUM('BS &amp; CF'!BP164,'BS &amp; CF'!BP165)</f>
        <v>-26</v>
      </c>
      <c r="BQ125" s="1003">
        <f>-SUM('BS &amp; CF'!BQ164,'BS &amp; CF'!BQ165)</f>
        <v>-4</v>
      </c>
      <c r="BR125" s="1003">
        <f>-SUM('BS &amp; CF'!BR164,'BS &amp; CF'!BR165)</f>
        <v>-107</v>
      </c>
      <c r="BS125" s="1003">
        <f>-SUM('BS &amp; CF'!BS164,'BS &amp; CF'!BS165)</f>
        <v>-79</v>
      </c>
      <c r="BT125" s="1004">
        <f>SUM(BP125:BS125)</f>
        <v>-216</v>
      </c>
      <c r="BU125" s="1003">
        <f>-SUM('BS &amp; CF'!BU164,'BS &amp; CF'!BU165)</f>
        <v>-38</v>
      </c>
      <c r="BV125" s="1003">
        <f>-SUM('BS &amp; CF'!BV164,'BS &amp; CF'!BV165)</f>
        <v>27</v>
      </c>
      <c r="BW125" s="1003">
        <f>-SUM('BS &amp; CF'!BW164,'BS &amp; CF'!BW165)</f>
        <v>-36</v>
      </c>
      <c r="BX125" s="1003">
        <f>-SUM('BS &amp; CF'!BX164,'BS &amp; CF'!BX165)</f>
        <v>-8</v>
      </c>
      <c r="BY125" s="1004">
        <f>SUM(BU125:BX125)</f>
        <v>-55</v>
      </c>
      <c r="BZ125" s="1003">
        <f>-SUM('BS &amp; CF'!BZ164,'BS &amp; CF'!BZ165)</f>
        <v>-23</v>
      </c>
      <c r="CA125" s="1003">
        <f>-SUM('BS &amp; CF'!CA164,'BS &amp; CF'!CA165)</f>
        <v>-57</v>
      </c>
      <c r="CB125" s="1003">
        <f>-SUM('BS &amp; CF'!CB164,'BS &amp; CF'!CB165)</f>
        <v>12</v>
      </c>
      <c r="CC125" s="1003">
        <f>-SUM('BS &amp; CF'!CC164,'BS &amp; CF'!CC165)</f>
        <v>0</v>
      </c>
      <c r="CD125" s="1004">
        <f>SUM(BZ125:CC125)</f>
        <v>-68</v>
      </c>
      <c r="CE125" s="1003">
        <f>-SUM('BS &amp; CF'!CE164,'BS &amp; CF'!CE165)</f>
        <v>-251</v>
      </c>
      <c r="CF125" s="1003">
        <f>-SUM('BS &amp; CF'!CF164,'BS &amp; CF'!CF165)</f>
        <v>30</v>
      </c>
      <c r="CG125" s="1003">
        <f>-SUM('BS &amp; CF'!CG164,'BS &amp; CF'!CG165)</f>
        <v>0</v>
      </c>
      <c r="CH125" s="1003">
        <f>-SUM('BS &amp; CF'!CH164,'BS &amp; CF'!CH165)</f>
        <v>0</v>
      </c>
      <c r="CI125" s="1004">
        <f>SUM(CE125:CH125)</f>
        <v>-221</v>
      </c>
      <c r="CJ125" s="1003">
        <f>-SUM('BS &amp; CF'!CJ164,'BS &amp; CF'!CJ165)</f>
        <v>0</v>
      </c>
      <c r="CK125" s="1003">
        <f>-SUM('BS &amp; CF'!CK164,'BS &amp; CF'!CK165)</f>
        <v>-16</v>
      </c>
      <c r="CL125" s="1003">
        <f>-SUM('BS &amp; CF'!CL164,'BS &amp; CF'!CL165)</f>
        <v>41</v>
      </c>
      <c r="CM125" s="1003">
        <f>-SUM('BS &amp; CF'!CM164,'BS &amp; CF'!CM165)</f>
        <v>21</v>
      </c>
      <c r="CN125" s="1004">
        <f>SUM(CJ125:CM125)</f>
        <v>46</v>
      </c>
      <c r="CO125" s="1003">
        <f>-SUM('BS &amp; CF'!CO164,'BS &amp; CF'!CO165)</f>
        <v>18</v>
      </c>
      <c r="CP125" s="1003">
        <f>-SUM('BS &amp; CF'!CP164,'BS &amp; CF'!CP165)</f>
        <v>24</v>
      </c>
      <c r="CQ125" s="1003">
        <f>-SUM('BS &amp; CF'!CQ164,'BS &amp; CF'!CQ165)</f>
        <v>14</v>
      </c>
      <c r="CR125" s="1003">
        <f>-SUM('BS &amp; CF'!CR164,'BS &amp; CF'!CR165)</f>
        <v>28</v>
      </c>
      <c r="CS125" s="1004">
        <f>SUM(CO125:CR125)</f>
        <v>84</v>
      </c>
      <c r="CT125" s="1003">
        <f>-SUM('BS &amp; CF'!CT164,'BS &amp; CF'!CT165)</f>
        <v>3</v>
      </c>
      <c r="CU125" s="1003">
        <f>-SUM('BS &amp; CF'!CU164,'BS &amp; CF'!CU165)</f>
        <v>0</v>
      </c>
      <c r="CV125" s="1003">
        <f>-SUM('BS &amp; CF'!CV164,'BS &amp; CF'!CV165)</f>
        <v>-10</v>
      </c>
      <c r="CW125" s="1003">
        <f>-SUM('BS &amp; CF'!CW164,'BS &amp; CF'!CW165)</f>
        <v>173</v>
      </c>
      <c r="CX125" s="1004">
        <f>SUM(CT125:CW125)</f>
        <v>166</v>
      </c>
      <c r="CY125" s="1003">
        <f>-SUM('BS &amp; CF'!CY164,'BS &amp; CF'!CY165)</f>
        <v>5</v>
      </c>
      <c r="CZ125" s="1003">
        <f>-SUM('BS &amp; CF'!CZ164)</f>
        <v>11</v>
      </c>
      <c r="DA125" s="1003">
        <f>-SUM('BS &amp; CF'!DA164)</f>
        <v>126</v>
      </c>
      <c r="DB125" s="1003">
        <f>-SUM('BS &amp; CF'!DB164)</f>
        <v>1373</v>
      </c>
      <c r="DC125" s="1004">
        <f>SUM(CY125:DB125)</f>
        <v>1515</v>
      </c>
      <c r="DD125" s="1003">
        <f>-SUM('BS &amp; CF'!DD164,'BS &amp; CF'!DD165)</f>
        <v>9</v>
      </c>
      <c r="DE125" s="1003">
        <f>-SUM('BS &amp; CF'!DE164,'BS &amp; CF'!DE165)</f>
        <v>33</v>
      </c>
      <c r="DF125" s="1003">
        <f>-SUM('BS &amp; CF'!DF164,'BS &amp; CF'!DF165)</f>
        <v>139</v>
      </c>
      <c r="DG125" s="1003">
        <f>-SUM('BS &amp; CF'!DG164)</f>
        <v>243</v>
      </c>
      <c r="DH125" s="1004">
        <f>SUM(DD125:DG125)</f>
        <v>424</v>
      </c>
      <c r="DI125" s="1003">
        <f>-SUM('BS &amp; CF'!DI164,'BS &amp; CF'!DI165)</f>
        <v>-6</v>
      </c>
      <c r="DJ125" s="1003">
        <f>-SUM('BS &amp; CF'!DJ164,'BS &amp; CF'!DJ165)</f>
        <v>633</v>
      </c>
      <c r="DK125" s="1003">
        <f>-SUM('BS &amp; CF'!DK164,'BS &amp; CF'!DK165)</f>
        <v>65</v>
      </c>
      <c r="DL125" s="1003">
        <f>-SUM('BS &amp; CF'!DL164,'BS &amp; CF'!DL165)</f>
        <v>-301</v>
      </c>
      <c r="DM125" s="1004">
        <f>SUM(DI125:DL125)</f>
        <v>391</v>
      </c>
      <c r="DN125" s="1003">
        <f>-SUM('BS &amp; CF'!DN164,'BS &amp; CF'!DN165)</f>
        <v>-526</v>
      </c>
      <c r="DO125" s="1003">
        <f>-SUM('BS &amp; CF'!DO164,'BS &amp; CF'!DO165)</f>
        <v>47</v>
      </c>
      <c r="DP125" s="1003">
        <f>-SUM('BS &amp; CF'!DP164,'BS &amp; CF'!DP165)</f>
        <v>2</v>
      </c>
      <c r="DQ125" s="1003">
        <f>-SUM('BS &amp; CF'!DQ164,'BS &amp; CF'!DQ165)</f>
        <v>21</v>
      </c>
      <c r="DR125" s="1004">
        <f>SUM(DN125:DQ125)</f>
        <v>-456</v>
      </c>
      <c r="DS125" s="1003">
        <f>-SUM('BS &amp; CF'!DS164,'BS &amp; CF'!DS165)</f>
        <v>-14</v>
      </c>
      <c r="DT125" s="1003">
        <f>-SUM('BS &amp; CF'!DT164,'BS &amp; CF'!DT165)</f>
        <v>-34</v>
      </c>
      <c r="DU125" s="1003">
        <f>-SUM('BS &amp; CF'!DU164,'BS &amp; CF'!DU165)</f>
        <v>-737</v>
      </c>
      <c r="DV125" s="1003">
        <f>-SUM('BS &amp; CF'!DV164,'BS &amp; CF'!DV165)</f>
        <v>8</v>
      </c>
      <c r="DW125" s="1004">
        <f>SUM(DS125:DV125)</f>
        <v>-777</v>
      </c>
      <c r="DX125" s="1003">
        <f>-SUM('BS &amp; CF'!DX164,'BS &amp; CF'!DX165)</f>
        <v>-477.5</v>
      </c>
      <c r="DY125" s="1003">
        <f>-SUM('BS &amp; CF'!DY164,'BS &amp; CF'!DY165)</f>
        <v>-77.5</v>
      </c>
      <c r="DZ125" s="1003">
        <f>-SUM('BS &amp; CF'!DZ164,'BS &amp; CF'!DZ165)</f>
        <v>-77.5</v>
      </c>
      <c r="EA125" s="1003">
        <f>-SUM('BS &amp; CF'!EA164,'BS &amp; CF'!EA165)</f>
        <v>-77.5</v>
      </c>
      <c r="EB125" s="1004">
        <f>SUM(DX125:EA125)</f>
        <v>-710</v>
      </c>
      <c r="EC125" s="1003">
        <f>-SUM('BS &amp; CF'!EC164,'BS &amp; CF'!EC165)</f>
        <v>72.5</v>
      </c>
      <c r="ED125" s="1003">
        <f>-SUM('BS &amp; CF'!ED164,'BS &amp; CF'!ED165)</f>
        <v>72.5</v>
      </c>
      <c r="EE125" s="1003">
        <f>-SUM('BS &amp; CF'!EE164,'BS &amp; CF'!EE165)</f>
        <v>72.5</v>
      </c>
      <c r="EF125" s="1003">
        <f>-SUM('BS &amp; CF'!EF164,'BS &amp; CF'!EF165)</f>
        <v>72.5</v>
      </c>
      <c r="EG125" s="1004">
        <f>SUM(EC125:EF125)</f>
        <v>290</v>
      </c>
      <c r="EH125" s="1003">
        <f>-SUM('BS &amp; CF'!EH164,'BS &amp; CF'!EH165)</f>
        <v>72.5</v>
      </c>
      <c r="EI125" s="1003">
        <f>-SUM('BS &amp; CF'!EI164,'BS &amp; CF'!EI165)</f>
        <v>72.5</v>
      </c>
      <c r="EJ125" s="1003">
        <f>-SUM('BS &amp; CF'!EJ164,'BS &amp; CF'!EJ165)</f>
        <v>72.5</v>
      </c>
      <c r="EK125" s="1003">
        <f>-SUM('BS &amp; CF'!EK164,'BS &amp; CF'!EK165)</f>
        <v>72.5</v>
      </c>
      <c r="EL125" s="1004">
        <f>SUM(EH125:EK125)</f>
        <v>290</v>
      </c>
      <c r="EM125" s="141"/>
      <c r="EN125"/>
      <c r="EO125"/>
      <c r="EP125"/>
      <c r="EQ125"/>
      <c r="ER125"/>
      <c r="ES125"/>
    </row>
    <row r="126" spans="1:149" s="135" customFormat="1" ht="11.25" hidden="1" customHeight="1" outlineLevel="1">
      <c r="A126" s="1006"/>
      <c r="B126" s="1007" t="s">
        <v>44</v>
      </c>
      <c r="C126" s="910"/>
      <c r="D126" s="910">
        <f t="shared" ref="D126:AT126" si="326">D127-D123-D124-D125</f>
        <v>159.30700000000007</v>
      </c>
      <c r="E126" s="910">
        <f t="shared" si="326"/>
        <v>12.867999999999931</v>
      </c>
      <c r="F126" s="910">
        <f t="shared" si="326"/>
        <v>-2.6000000000001933</v>
      </c>
      <c r="G126" s="910">
        <f t="shared" si="326"/>
        <v>-83.699999999999818</v>
      </c>
      <c r="H126" s="1015">
        <f t="shared" si="326"/>
        <v>85.875</v>
      </c>
      <c r="I126" s="910">
        <f t="shared" si="326"/>
        <v>27.799999999999642</v>
      </c>
      <c r="J126" s="910">
        <f t="shared" si="326"/>
        <v>168.90000000000018</v>
      </c>
      <c r="K126" s="910">
        <f t="shared" si="326"/>
        <v>26.900000000000375</v>
      </c>
      <c r="L126" s="910">
        <f t="shared" si="326"/>
        <v>-0.60000000000019327</v>
      </c>
      <c r="M126" s="1015">
        <f t="shared" si="326"/>
        <v>223</v>
      </c>
      <c r="N126" s="910">
        <f t="shared" si="326"/>
        <v>21.500000000000178</v>
      </c>
      <c r="O126" s="910">
        <f t="shared" si="326"/>
        <v>-44.400000000000539</v>
      </c>
      <c r="P126" s="910">
        <f t="shared" si="326"/>
        <v>1302.0000000000005</v>
      </c>
      <c r="Q126" s="910">
        <f t="shared" si="326"/>
        <v>-98.100000000000207</v>
      </c>
      <c r="R126" s="1015">
        <f t="shared" si="326"/>
        <v>1181</v>
      </c>
      <c r="S126" s="910">
        <f t="shared" si="326"/>
        <v>61</v>
      </c>
      <c r="T126" s="910">
        <f t="shared" si="326"/>
        <v>-253</v>
      </c>
      <c r="U126" s="910">
        <f t="shared" si="326"/>
        <v>-55</v>
      </c>
      <c r="V126" s="910">
        <f t="shared" si="326"/>
        <v>30</v>
      </c>
      <c r="W126" s="1015">
        <f t="shared" si="326"/>
        <v>-217</v>
      </c>
      <c r="X126" s="910">
        <f t="shared" si="326"/>
        <v>21</v>
      </c>
      <c r="Y126" s="910">
        <f t="shared" si="326"/>
        <v>-79</v>
      </c>
      <c r="Z126" s="910">
        <f t="shared" si="326"/>
        <v>-77</v>
      </c>
      <c r="AA126" s="910">
        <f t="shared" si="326"/>
        <v>-1076</v>
      </c>
      <c r="AB126" s="1015">
        <f t="shared" si="326"/>
        <v>-1211</v>
      </c>
      <c r="AC126" s="910">
        <f t="shared" si="326"/>
        <v>-51</v>
      </c>
      <c r="AD126" s="910">
        <f t="shared" si="326"/>
        <v>584</v>
      </c>
      <c r="AE126" s="910">
        <f t="shared" si="326"/>
        <v>-133</v>
      </c>
      <c r="AF126" s="910">
        <f t="shared" si="326"/>
        <v>145</v>
      </c>
      <c r="AG126" s="1015">
        <f t="shared" si="326"/>
        <v>545</v>
      </c>
      <c r="AH126" s="910">
        <f t="shared" si="326"/>
        <v>-58</v>
      </c>
      <c r="AI126" s="910">
        <f t="shared" si="326"/>
        <v>4</v>
      </c>
      <c r="AJ126" s="910">
        <f t="shared" si="326"/>
        <v>-19</v>
      </c>
      <c r="AK126" s="910">
        <f t="shared" si="326"/>
        <v>17</v>
      </c>
      <c r="AL126" s="1015">
        <f t="shared" si="326"/>
        <v>-56</v>
      </c>
      <c r="AM126" s="910">
        <f t="shared" si="326"/>
        <v>-62</v>
      </c>
      <c r="AN126" s="910">
        <f t="shared" si="326"/>
        <v>6</v>
      </c>
      <c r="AO126" s="910">
        <f t="shared" si="326"/>
        <v>33</v>
      </c>
      <c r="AP126" s="910">
        <f t="shared" si="326"/>
        <v>-174</v>
      </c>
      <c r="AQ126" s="1015">
        <f t="shared" si="326"/>
        <v>-197</v>
      </c>
      <c r="AR126" s="910">
        <f t="shared" si="326"/>
        <v>-83</v>
      </c>
      <c r="AS126" s="910">
        <f t="shared" si="326"/>
        <v>22</v>
      </c>
      <c r="AT126" s="910">
        <f t="shared" si="326"/>
        <v>-391</v>
      </c>
      <c r="AU126" s="885"/>
      <c r="AV126" s="910"/>
      <c r="AW126" s="910"/>
      <c r="AX126" s="910"/>
      <c r="AY126" s="910"/>
      <c r="AZ126" s="1015"/>
      <c r="BA126" s="910">
        <f t="shared" ref="BA126:CF126" si="327">BA127-BA123-BA124-BA125</f>
        <v>-409</v>
      </c>
      <c r="BB126" s="910">
        <f t="shared" si="327"/>
        <v>-230</v>
      </c>
      <c r="BC126" s="910">
        <f t="shared" si="327"/>
        <v>-18</v>
      </c>
      <c r="BD126" s="910">
        <f t="shared" si="327"/>
        <v>-745</v>
      </c>
      <c r="BE126" s="1015">
        <f t="shared" si="327"/>
        <v>-1402</v>
      </c>
      <c r="BF126" s="910">
        <f t="shared" si="327"/>
        <v>-644</v>
      </c>
      <c r="BG126" s="910">
        <f t="shared" si="327"/>
        <v>41</v>
      </c>
      <c r="BH126" s="910">
        <f t="shared" si="327"/>
        <v>-94</v>
      </c>
      <c r="BI126" s="910">
        <f t="shared" si="327"/>
        <v>-149</v>
      </c>
      <c r="BJ126" s="1015">
        <f t="shared" si="327"/>
        <v>-846</v>
      </c>
      <c r="BK126" s="910">
        <f t="shared" si="327"/>
        <v>50</v>
      </c>
      <c r="BL126" s="910">
        <f t="shared" si="327"/>
        <v>20</v>
      </c>
      <c r="BM126" s="910">
        <f t="shared" si="327"/>
        <v>-417</v>
      </c>
      <c r="BN126" s="910">
        <f t="shared" si="327"/>
        <v>-250</v>
      </c>
      <c r="BO126" s="1015">
        <f t="shared" si="327"/>
        <v>-597</v>
      </c>
      <c r="BP126" s="910">
        <f t="shared" si="327"/>
        <v>-71</v>
      </c>
      <c r="BQ126" s="910">
        <f t="shared" si="327"/>
        <v>-527</v>
      </c>
      <c r="BR126" s="910">
        <f t="shared" si="327"/>
        <v>67</v>
      </c>
      <c r="BS126" s="910">
        <f t="shared" si="327"/>
        <v>-301</v>
      </c>
      <c r="BT126" s="1015">
        <f t="shared" si="327"/>
        <v>-832</v>
      </c>
      <c r="BU126" s="910">
        <f t="shared" si="327"/>
        <v>-29</v>
      </c>
      <c r="BV126" s="910">
        <f t="shared" si="327"/>
        <v>-48</v>
      </c>
      <c r="BW126" s="910">
        <f t="shared" si="327"/>
        <v>-34</v>
      </c>
      <c r="BX126" s="910">
        <f t="shared" si="327"/>
        <v>0</v>
      </c>
      <c r="BY126" s="1015">
        <f t="shared" si="327"/>
        <v>-111</v>
      </c>
      <c r="BZ126" s="910">
        <f t="shared" si="327"/>
        <v>-133</v>
      </c>
      <c r="CA126" s="910">
        <f t="shared" si="327"/>
        <v>-493</v>
      </c>
      <c r="CB126" s="910">
        <f t="shared" si="327"/>
        <v>-151</v>
      </c>
      <c r="CC126" s="910">
        <f t="shared" si="327"/>
        <v>-40</v>
      </c>
      <c r="CD126" s="1015">
        <f t="shared" si="327"/>
        <v>-817</v>
      </c>
      <c r="CE126" s="910">
        <f t="shared" si="327"/>
        <v>151</v>
      </c>
      <c r="CF126" s="910">
        <f t="shared" si="327"/>
        <v>-93</v>
      </c>
      <c r="CG126" s="910">
        <f t="shared" ref="CG126:CW126" si="328">CG127-CG123-CG124-CG125</f>
        <v>-49</v>
      </c>
      <c r="CH126" s="910">
        <f t="shared" si="328"/>
        <v>-47</v>
      </c>
      <c r="CI126" s="1015">
        <f t="shared" si="328"/>
        <v>-38</v>
      </c>
      <c r="CJ126" s="910">
        <f t="shared" si="328"/>
        <v>-89</v>
      </c>
      <c r="CK126" s="910">
        <f t="shared" si="328"/>
        <v>-35</v>
      </c>
      <c r="CL126" s="910">
        <f t="shared" si="328"/>
        <v>-158</v>
      </c>
      <c r="CM126" s="910">
        <f t="shared" si="328"/>
        <v>-125</v>
      </c>
      <c r="CN126" s="1015">
        <f t="shared" si="328"/>
        <v>-401</v>
      </c>
      <c r="CO126" s="910">
        <f t="shared" si="328"/>
        <v>-109</v>
      </c>
      <c r="CP126" s="910">
        <f t="shared" si="328"/>
        <v>-42</v>
      </c>
      <c r="CQ126" s="910">
        <f t="shared" si="328"/>
        <v>-77</v>
      </c>
      <c r="CR126" s="910">
        <f t="shared" si="328"/>
        <v>26</v>
      </c>
      <c r="CS126" s="1015">
        <f t="shared" si="328"/>
        <v>-227</v>
      </c>
      <c r="CT126" s="910">
        <f t="shared" si="328"/>
        <v>-109</v>
      </c>
      <c r="CU126" s="910">
        <f t="shared" si="328"/>
        <v>-334</v>
      </c>
      <c r="CV126" s="910">
        <f t="shared" si="328"/>
        <v>-29</v>
      </c>
      <c r="CW126" s="910">
        <f t="shared" si="328"/>
        <v>-151</v>
      </c>
      <c r="CX126" s="1015"/>
      <c r="CY126" s="910">
        <f>CY127-CY123-CY124-CY125</f>
        <v>-49</v>
      </c>
      <c r="CZ126" s="910">
        <f>CZ127-CZ123-CZ124-CZ125</f>
        <v>-15</v>
      </c>
      <c r="DA126" s="910">
        <f>DA127-DA123-DA124-DA125</f>
        <v>-239</v>
      </c>
      <c r="DB126" s="910">
        <f>DB127-DB123-DB124-DB125</f>
        <v>1672</v>
      </c>
      <c r="DC126" s="1015">
        <f>SUM(CY126:DB126)</f>
        <v>1369</v>
      </c>
      <c r="DD126" s="910">
        <f>DD127-DD123-DD124-DD125</f>
        <v>89</v>
      </c>
      <c r="DE126" s="910">
        <f ca="1">DE127-DE123-DE124-DE125</f>
        <v>1.7199999999993452</v>
      </c>
      <c r="DF126" s="910">
        <f ca="1">DF127-DF123-DF124-DF125</f>
        <v>-69.319999999999709</v>
      </c>
      <c r="DG126" s="910">
        <f ca="1">DG127-DG123-DG124-DG125</f>
        <v>-529.39999999999964</v>
      </c>
      <c r="DH126" s="1015"/>
      <c r="DI126" s="910">
        <f>DI127-DI123-DI124-DI125</f>
        <v>-393</v>
      </c>
      <c r="DJ126" s="910">
        <f ca="1">DJ127-DJ123-DJ124-DJ125</f>
        <v>-786.28000000000065</v>
      </c>
      <c r="DK126" s="910">
        <f ca="1">DK127-DK123-DK124-DK125</f>
        <v>8.680000000000291</v>
      </c>
      <c r="DL126" s="910">
        <f ca="1">DL127-DL123-DL124-DL125</f>
        <v>25</v>
      </c>
      <c r="DM126" s="1015">
        <f ca="1">SUM(DI126:DL126)</f>
        <v>-1145.6000000000004</v>
      </c>
      <c r="DN126" s="910">
        <f ca="1">DN127-DN123-DN124-DN125</f>
        <v>518.60000000000036</v>
      </c>
      <c r="DO126" s="910">
        <f ca="1">DO127-DO123-DO124-DO125</f>
        <v>-890.39999999999964</v>
      </c>
      <c r="DP126" s="910">
        <f>DP127-DP123-DP124-DP125</f>
        <v>220</v>
      </c>
      <c r="DQ126" s="910">
        <f>DQ127-DQ123-DQ124-DQ125</f>
        <v>-46</v>
      </c>
      <c r="DR126" s="1015">
        <f ca="1">SUM(DN126:DQ126)</f>
        <v>-197.79999999999927</v>
      </c>
      <c r="DS126" s="910">
        <f ca="1">DS127-DS123-DS124-DS125</f>
        <v>-712</v>
      </c>
      <c r="DT126" s="910">
        <f ca="1">DT127-DT123-DT124-DT125</f>
        <v>-116</v>
      </c>
      <c r="DU126" s="910">
        <f ca="1">DU127-DU123-DU124-DU125</f>
        <v>593</v>
      </c>
      <c r="DV126" s="910">
        <f ca="1">DV127-DV123-DV124-DV125</f>
        <v>305</v>
      </c>
      <c r="DW126" s="1015">
        <f ca="1">SUM(DS126:DV126)</f>
        <v>70</v>
      </c>
      <c r="DX126" s="910">
        <v>0</v>
      </c>
      <c r="DY126" s="910">
        <v>0</v>
      </c>
      <c r="DZ126" s="910">
        <v>0</v>
      </c>
      <c r="EA126" s="910">
        <v>0</v>
      </c>
      <c r="EB126" s="1015">
        <f>SUM(DX126:EA126)</f>
        <v>0</v>
      </c>
      <c r="EC126" s="910">
        <v>0</v>
      </c>
      <c r="ED126" s="910">
        <v>0</v>
      </c>
      <c r="EE126" s="910">
        <v>0</v>
      </c>
      <c r="EF126" s="910">
        <v>0</v>
      </c>
      <c r="EG126" s="1015">
        <f>SUM(EC126:EF126)</f>
        <v>0</v>
      </c>
      <c r="EH126" s="910">
        <v>0</v>
      </c>
      <c r="EI126" s="910">
        <v>0</v>
      </c>
      <c r="EJ126" s="910">
        <v>0</v>
      </c>
      <c r="EK126" s="910">
        <v>0</v>
      </c>
      <c r="EL126" s="1015">
        <f>SUM(EH126:EK126)</f>
        <v>0</v>
      </c>
      <c r="EM126" s="141"/>
      <c r="EN126"/>
      <c r="EO126"/>
      <c r="EP126"/>
      <c r="EQ126"/>
      <c r="ER126"/>
      <c r="ES126"/>
    </row>
    <row r="127" spans="1:149" s="135" customFormat="1" ht="11.25" hidden="1" customHeight="1" outlineLevel="1">
      <c r="A127" s="1006"/>
      <c r="B127" s="1007" t="s">
        <v>36</v>
      </c>
      <c r="C127" s="1003"/>
      <c r="D127" s="1003">
        <f t="shared" ref="D127:AT127" si="329">D116</f>
        <v>2582.67</v>
      </c>
      <c r="E127" s="1003">
        <f t="shared" si="329"/>
        <v>2622.5</v>
      </c>
      <c r="F127" s="1003">
        <f t="shared" si="329"/>
        <v>2663.2</v>
      </c>
      <c r="G127" s="1003">
        <f t="shared" si="329"/>
        <v>4143</v>
      </c>
      <c r="H127" s="1004">
        <f t="shared" si="329"/>
        <v>4143</v>
      </c>
      <c r="I127" s="1003">
        <f t="shared" si="329"/>
        <v>4258.8999999999996</v>
      </c>
      <c r="J127" s="1003">
        <f t="shared" si="329"/>
        <v>4464.7</v>
      </c>
      <c r="K127" s="1003">
        <f t="shared" si="329"/>
        <v>4547.8</v>
      </c>
      <c r="L127" s="1003">
        <f t="shared" si="329"/>
        <v>4598</v>
      </c>
      <c r="M127" s="1004">
        <f t="shared" si="329"/>
        <v>4598</v>
      </c>
      <c r="N127" s="1003">
        <f t="shared" si="329"/>
        <v>4701.8</v>
      </c>
      <c r="O127" s="1003">
        <f t="shared" si="329"/>
        <v>4789.8999999999996</v>
      </c>
      <c r="P127" s="1003">
        <f t="shared" si="329"/>
        <v>6765.3</v>
      </c>
      <c r="Q127" s="1003">
        <f t="shared" si="329"/>
        <v>6922</v>
      </c>
      <c r="R127" s="1004">
        <f t="shared" si="329"/>
        <v>6922</v>
      </c>
      <c r="S127" s="1003">
        <f t="shared" si="329"/>
        <v>7174</v>
      </c>
      <c r="T127" s="1003">
        <f t="shared" si="329"/>
        <v>7269</v>
      </c>
      <c r="U127" s="1003">
        <f t="shared" si="329"/>
        <v>7563</v>
      </c>
      <c r="V127" s="1003">
        <f t="shared" si="329"/>
        <v>7748</v>
      </c>
      <c r="W127" s="1004">
        <f t="shared" si="329"/>
        <v>7748</v>
      </c>
      <c r="X127" s="1003">
        <f t="shared" si="329"/>
        <v>7960</v>
      </c>
      <c r="Y127" s="1003">
        <f t="shared" si="329"/>
        <v>8373</v>
      </c>
      <c r="Z127" s="1003">
        <f t="shared" si="329"/>
        <v>8465</v>
      </c>
      <c r="AA127" s="1003">
        <f t="shared" si="329"/>
        <v>7703</v>
      </c>
      <c r="AB127" s="1004">
        <f t="shared" si="329"/>
        <v>7703</v>
      </c>
      <c r="AC127" s="1003">
        <f t="shared" si="329"/>
        <v>7780</v>
      </c>
      <c r="AD127" s="1003">
        <f t="shared" si="329"/>
        <v>7895</v>
      </c>
      <c r="AE127" s="1003">
        <f t="shared" si="329"/>
        <v>7881</v>
      </c>
      <c r="AF127" s="1003">
        <f t="shared" si="329"/>
        <v>8141</v>
      </c>
      <c r="AG127" s="1004">
        <f t="shared" si="329"/>
        <v>8141</v>
      </c>
      <c r="AH127" s="1003">
        <f t="shared" si="329"/>
        <v>8189</v>
      </c>
      <c r="AI127" s="1003">
        <f t="shared" si="329"/>
        <v>8310</v>
      </c>
      <c r="AJ127" s="1003">
        <f t="shared" si="329"/>
        <v>8438</v>
      </c>
      <c r="AK127" s="1003">
        <f t="shared" si="329"/>
        <v>8583</v>
      </c>
      <c r="AL127" s="1004">
        <f t="shared" si="329"/>
        <v>8583</v>
      </c>
      <c r="AM127" s="1003">
        <f t="shared" si="329"/>
        <v>8977</v>
      </c>
      <c r="AN127" s="1003">
        <f t="shared" si="329"/>
        <v>9215</v>
      </c>
      <c r="AO127" s="1003">
        <f t="shared" si="329"/>
        <v>9452</v>
      </c>
      <c r="AP127" s="1003">
        <f t="shared" si="329"/>
        <v>9571</v>
      </c>
      <c r="AQ127" s="1004">
        <f t="shared" si="329"/>
        <v>9571</v>
      </c>
      <c r="AR127" s="1003">
        <f t="shared" si="329"/>
        <v>9678</v>
      </c>
      <c r="AS127" s="1003">
        <f t="shared" si="329"/>
        <v>9923</v>
      </c>
      <c r="AT127" s="1003">
        <f t="shared" si="329"/>
        <v>9788</v>
      </c>
      <c r="AU127" s="885"/>
      <c r="AV127" s="1005"/>
      <c r="AW127" s="1005"/>
      <c r="AX127" s="1005"/>
      <c r="AY127" s="1005"/>
      <c r="AZ127" s="1004">
        <f t="shared" ref="AZ127:CE127" si="330">AZ116</f>
        <v>9373</v>
      </c>
      <c r="BA127" s="1003">
        <f t="shared" si="330"/>
        <v>9184</v>
      </c>
      <c r="BB127" s="1003">
        <f t="shared" si="330"/>
        <v>9152</v>
      </c>
      <c r="BC127" s="1003">
        <f t="shared" si="330"/>
        <v>9279</v>
      </c>
      <c r="BD127" s="1003">
        <f t="shared" si="330"/>
        <v>8113</v>
      </c>
      <c r="BE127" s="1004">
        <f t="shared" si="330"/>
        <v>8113</v>
      </c>
      <c r="BF127" s="1003">
        <f t="shared" si="330"/>
        <v>7520</v>
      </c>
      <c r="BG127" s="1003">
        <f t="shared" si="330"/>
        <v>7570</v>
      </c>
      <c r="BH127" s="1003">
        <f t="shared" si="330"/>
        <v>7487</v>
      </c>
      <c r="BI127" s="1003">
        <f t="shared" si="330"/>
        <v>7394</v>
      </c>
      <c r="BJ127" s="1004">
        <f t="shared" si="330"/>
        <v>7394</v>
      </c>
      <c r="BK127" s="1003">
        <f t="shared" si="330"/>
        <v>7469</v>
      </c>
      <c r="BL127" s="1003">
        <f t="shared" si="330"/>
        <v>7571</v>
      </c>
      <c r="BM127" s="1003">
        <f t="shared" si="330"/>
        <v>7254</v>
      </c>
      <c r="BN127" s="1003">
        <f t="shared" si="330"/>
        <v>7202</v>
      </c>
      <c r="BO127" s="1004">
        <f t="shared" si="330"/>
        <v>7202</v>
      </c>
      <c r="BP127" s="1003">
        <f t="shared" si="330"/>
        <v>7222</v>
      </c>
      <c r="BQ127" s="1003">
        <f t="shared" si="330"/>
        <v>6817</v>
      </c>
      <c r="BR127" s="1003">
        <f t="shared" si="330"/>
        <v>6925</v>
      </c>
      <c r="BS127" s="1003">
        <f t="shared" si="330"/>
        <v>6847</v>
      </c>
      <c r="BT127" s="1004">
        <f t="shared" si="330"/>
        <v>6847</v>
      </c>
      <c r="BU127" s="1003">
        <f t="shared" si="330"/>
        <v>6891</v>
      </c>
      <c r="BV127" s="1003">
        <f t="shared" si="330"/>
        <v>7020</v>
      </c>
      <c r="BW127" s="1003">
        <f t="shared" si="330"/>
        <v>7129</v>
      </c>
      <c r="BX127" s="1003">
        <f t="shared" si="330"/>
        <v>7424</v>
      </c>
      <c r="BY127" s="1004">
        <f t="shared" si="330"/>
        <v>7424</v>
      </c>
      <c r="BZ127" s="1003">
        <f t="shared" si="330"/>
        <v>7457</v>
      </c>
      <c r="CA127" s="1003">
        <f t="shared" si="330"/>
        <v>7017</v>
      </c>
      <c r="CB127" s="1003">
        <f t="shared" si="330"/>
        <v>6992</v>
      </c>
      <c r="CC127" s="1003">
        <f t="shared" si="330"/>
        <v>7086</v>
      </c>
      <c r="CD127" s="1004">
        <f t="shared" si="330"/>
        <v>7086</v>
      </c>
      <c r="CE127" s="1003">
        <f t="shared" si="330"/>
        <v>7088</v>
      </c>
      <c r="CF127" s="1003">
        <f t="shared" ref="CF127:CW127" si="331">CF116</f>
        <v>7096</v>
      </c>
      <c r="CG127" s="1003">
        <f t="shared" si="331"/>
        <v>7138</v>
      </c>
      <c r="CH127" s="1003">
        <f t="shared" si="331"/>
        <v>7283</v>
      </c>
      <c r="CI127" s="1004">
        <f t="shared" si="331"/>
        <v>7283</v>
      </c>
      <c r="CJ127" s="1003">
        <f t="shared" si="331"/>
        <v>7277</v>
      </c>
      <c r="CK127" s="1003">
        <f t="shared" si="331"/>
        <v>7309</v>
      </c>
      <c r="CL127" s="1003">
        <f t="shared" si="331"/>
        <v>7312</v>
      </c>
      <c r="CM127" s="1003">
        <f t="shared" si="331"/>
        <v>7404</v>
      </c>
      <c r="CN127" s="1004">
        <f t="shared" si="331"/>
        <v>7404</v>
      </c>
      <c r="CO127" s="1003">
        <f t="shared" si="331"/>
        <v>7429</v>
      </c>
      <c r="CP127" s="1003">
        <f t="shared" si="331"/>
        <v>7468</v>
      </c>
      <c r="CQ127" s="1003">
        <f t="shared" si="331"/>
        <v>7505</v>
      </c>
      <c r="CR127" s="1003">
        <f t="shared" si="331"/>
        <v>7736</v>
      </c>
      <c r="CS127" s="1004">
        <f t="shared" si="331"/>
        <v>7736</v>
      </c>
      <c r="CT127" s="1003">
        <f t="shared" si="331"/>
        <v>7766</v>
      </c>
      <c r="CU127" s="1003">
        <f t="shared" si="331"/>
        <v>7548</v>
      </c>
      <c r="CV127" s="1003">
        <f t="shared" si="331"/>
        <v>7617</v>
      </c>
      <c r="CW127" s="1003">
        <f t="shared" si="331"/>
        <v>7787</v>
      </c>
      <c r="CX127" s="1004">
        <f>CX123+CX124+CX125+CX126</f>
        <v>8410</v>
      </c>
      <c r="CY127" s="1003">
        <f>CY116</f>
        <v>7876</v>
      </c>
      <c r="CZ127" s="1003">
        <f>CZ116</f>
        <v>7995</v>
      </c>
      <c r="DA127" s="1003">
        <f>DA116</f>
        <v>8024</v>
      </c>
      <c r="DB127" s="1003">
        <f>DB116</f>
        <v>11362</v>
      </c>
      <c r="DC127" s="1004">
        <f>DC123+DC124+DC125+DC126</f>
        <v>11985</v>
      </c>
      <c r="DD127" s="1003">
        <f>DD116</f>
        <v>11741</v>
      </c>
      <c r="DE127" s="1003">
        <f ca="1">DE123+DE124+DE125+DE126</f>
        <v>12017.72</v>
      </c>
      <c r="DF127" s="1003">
        <f ca="1">DF123+DF124+DF125+DF126</f>
        <v>12298.4</v>
      </c>
      <c r="DG127" s="1003">
        <f>DG116</f>
        <v>12211</v>
      </c>
      <c r="DH127" s="1004">
        <f>DH123+DH124+DH125+DH126</f>
        <v>13342</v>
      </c>
      <c r="DI127" s="1003">
        <f>DI116</f>
        <v>12007</v>
      </c>
      <c r="DJ127" s="1003">
        <f ca="1">DJ123+DJ124+DJ125+DJ126</f>
        <v>12017.72</v>
      </c>
      <c r="DK127" s="1003">
        <f ca="1">DK123+DK124+DK125+DK126</f>
        <v>12298.4</v>
      </c>
      <c r="DL127" s="1003">
        <f ca="1">DL123+DL124+DL125+DL126</f>
        <v>12298.4</v>
      </c>
      <c r="DM127" s="1004">
        <f ca="1">DM123+DM124+DM125+DM126</f>
        <v>13429.4</v>
      </c>
      <c r="DN127" s="1003">
        <f>DN116</f>
        <v>12499</v>
      </c>
      <c r="DO127" s="1003">
        <f>DO116</f>
        <v>12791</v>
      </c>
      <c r="DP127" s="1003">
        <f>DP116</f>
        <v>12922</v>
      </c>
      <c r="DQ127" s="1003">
        <f>DQ116</f>
        <v>13027</v>
      </c>
      <c r="DR127" s="1004">
        <f ca="1">DR123+DR124+DR125+DR126</f>
        <v>13650.6</v>
      </c>
      <c r="DS127" s="1003">
        <f ca="1">DS116</f>
        <v>12499</v>
      </c>
      <c r="DT127" s="1003">
        <f ca="1">DT116</f>
        <v>12499</v>
      </c>
      <c r="DU127" s="1003">
        <f ca="1">DU116</f>
        <v>12499</v>
      </c>
      <c r="DV127" s="1003">
        <f ca="1">DV116</f>
        <v>13027</v>
      </c>
      <c r="DW127" s="1004">
        <f ca="1">DW123+DW124+DW125+DW126</f>
        <v>13650.6</v>
      </c>
      <c r="DX127" s="1003">
        <f t="shared" ref="DX127:EG127" ca="1" si="332">DX123+DX124+DX125+DX126</f>
        <v>13347.118668054985</v>
      </c>
      <c r="DY127" s="1003">
        <f t="shared" ca="1" si="332"/>
        <v>13443.254900169528</v>
      </c>
      <c r="DZ127" s="1003">
        <f t="shared" ca="1" si="332"/>
        <v>13526.628300398574</v>
      </c>
      <c r="EA127" s="1003">
        <f t="shared" ca="1" si="332"/>
        <v>13616.129471967812</v>
      </c>
      <c r="EB127" s="1004">
        <f t="shared" ca="1" si="332"/>
        <v>13616.129471967812</v>
      </c>
      <c r="EC127" s="1003">
        <f t="shared" ca="1" si="332"/>
        <v>13863.114987470804</v>
      </c>
      <c r="ED127" s="1003">
        <f t="shared" ca="1" si="332"/>
        <v>14111.988042434423</v>
      </c>
      <c r="EE127" s="1003">
        <f t="shared" ca="1" si="332"/>
        <v>14357.543927920056</v>
      </c>
      <c r="EF127" s="1003">
        <f t="shared" ca="1" si="332"/>
        <v>14612.416128278019</v>
      </c>
      <c r="EG127" s="1004">
        <f t="shared" ca="1" si="332"/>
        <v>14612.416128278019</v>
      </c>
      <c r="EH127" s="1003">
        <f t="shared" ref="EH127" ca="1" si="333">EH123+EH124+EH125+EH126</f>
        <v>14865.526959214074</v>
      </c>
      <c r="EI127" s="1003">
        <f t="shared" ref="EI127" ca="1" si="334">EI123+EI124+EI125+EI126</f>
        <v>15120.481129317312</v>
      </c>
      <c r="EJ127" s="1003">
        <f t="shared" ref="EJ127" ca="1" si="335">EJ123+EJ124+EJ125+EJ126</f>
        <v>15371.840047157142</v>
      </c>
      <c r="EK127" s="1003">
        <f t="shared" ref="EK127" ca="1" si="336">EK123+EK124+EK125+EK126</f>
        <v>15633.061139365482</v>
      </c>
      <c r="EL127" s="1004">
        <f t="shared" ref="EL127" ca="1" si="337">EL123+EL124+EL125+EL126</f>
        <v>15633.061139365484</v>
      </c>
      <c r="EM127" s="141"/>
      <c r="EN127"/>
      <c r="EO127"/>
      <c r="EP127"/>
      <c r="EQ127"/>
      <c r="ER127"/>
      <c r="ES127"/>
    </row>
    <row r="128" spans="1:149" s="135" customFormat="1" ht="11.25" hidden="1" customHeight="1" outlineLevel="1">
      <c r="A128" s="1006"/>
      <c r="B128" s="1007"/>
      <c r="C128" s="849"/>
      <c r="D128" s="849"/>
      <c r="E128" s="849"/>
      <c r="F128" s="849"/>
      <c r="G128" s="849"/>
      <c r="H128" s="851"/>
      <c r="I128" s="849"/>
      <c r="J128" s="849"/>
      <c r="K128" s="849"/>
      <c r="L128" s="849"/>
      <c r="M128" s="851"/>
      <c r="N128" s="849"/>
      <c r="O128" s="849"/>
      <c r="P128" s="849"/>
      <c r="Q128" s="849"/>
      <c r="R128" s="851"/>
      <c r="S128" s="849"/>
      <c r="T128" s="849"/>
      <c r="U128" s="849"/>
      <c r="V128" s="849"/>
      <c r="W128" s="851"/>
      <c r="X128" s="849"/>
      <c r="Y128" s="849"/>
      <c r="Z128" s="849"/>
      <c r="AA128" s="849"/>
      <c r="AB128" s="851"/>
      <c r="AC128" s="849"/>
      <c r="AD128" s="849"/>
      <c r="AE128" s="849"/>
      <c r="AF128" s="849"/>
      <c r="AG128" s="851"/>
      <c r="AH128" s="849"/>
      <c r="AI128" s="849"/>
      <c r="AJ128" s="849"/>
      <c r="AK128" s="849"/>
      <c r="AL128" s="851"/>
      <c r="AM128" s="849"/>
      <c r="AN128" s="849"/>
      <c r="AO128" s="849"/>
      <c r="AP128" s="849"/>
      <c r="AQ128" s="851"/>
      <c r="AR128" s="849"/>
      <c r="AS128" s="849"/>
      <c r="AT128" s="849"/>
      <c r="AU128" s="885"/>
      <c r="AV128" s="849"/>
      <c r="AW128" s="849"/>
      <c r="AX128" s="849"/>
      <c r="AY128" s="849"/>
      <c r="AZ128" s="851"/>
      <c r="BA128" s="849"/>
      <c r="BB128" s="849"/>
      <c r="BC128" s="849"/>
      <c r="BD128" s="849"/>
      <c r="BE128" s="851"/>
      <c r="BF128" s="849"/>
      <c r="BG128" s="849"/>
      <c r="BH128" s="849"/>
      <c r="BI128" s="849"/>
      <c r="BJ128" s="851"/>
      <c r="BK128" s="849"/>
      <c r="BL128" s="849"/>
      <c r="BM128" s="849"/>
      <c r="BN128" s="849"/>
      <c r="BO128" s="851"/>
      <c r="BP128" s="849"/>
      <c r="BQ128" s="849"/>
      <c r="BR128" s="849"/>
      <c r="BS128" s="849"/>
      <c r="BT128" s="851"/>
      <c r="BU128" s="849"/>
      <c r="BV128" s="849"/>
      <c r="BW128" s="849"/>
      <c r="BX128" s="849"/>
      <c r="BY128" s="851"/>
      <c r="BZ128" s="849"/>
      <c r="CA128" s="849"/>
      <c r="CB128" s="881"/>
      <c r="CC128" s="881"/>
      <c r="CD128" s="885"/>
      <c r="CE128" s="881"/>
      <c r="CF128" s="881"/>
      <c r="CG128" s="881"/>
      <c r="CH128" s="881"/>
      <c r="CI128" s="885"/>
      <c r="CJ128" s="881"/>
      <c r="CK128" s="881"/>
      <c r="CL128" s="881"/>
      <c r="CM128" s="881"/>
      <c r="CN128" s="885"/>
      <c r="CO128" s="881"/>
      <c r="CP128" s="881"/>
      <c r="CQ128" s="881"/>
      <c r="CR128" s="881"/>
      <c r="CS128" s="885"/>
      <c r="CT128" s="881"/>
      <c r="CU128" s="881"/>
      <c r="CV128" s="881"/>
      <c r="CW128" s="881"/>
      <c r="CX128" s="885"/>
      <c r="CY128" s="881"/>
      <c r="CZ128" s="881"/>
      <c r="DA128" s="881"/>
      <c r="DB128" s="881"/>
      <c r="DC128" s="885"/>
      <c r="DD128" s="881"/>
      <c r="DE128" s="881"/>
      <c r="DF128" s="881"/>
      <c r="DG128" s="881"/>
      <c r="DH128" s="885"/>
      <c r="DI128" s="881"/>
      <c r="DJ128" s="881"/>
      <c r="DK128" s="881"/>
      <c r="DL128" s="881"/>
      <c r="DM128" s="885"/>
      <c r="DN128" s="881"/>
      <c r="DO128" s="881"/>
      <c r="DP128" s="881"/>
      <c r="DQ128" s="881"/>
      <c r="DR128" s="885"/>
      <c r="DS128" s="881"/>
      <c r="DT128" s="881"/>
      <c r="DU128" s="881"/>
      <c r="DV128" s="881"/>
      <c r="DW128" s="885"/>
      <c r="DX128" s="881"/>
      <c r="DY128" s="881"/>
      <c r="DZ128" s="881"/>
      <c r="EA128" s="881"/>
      <c r="EB128" s="885"/>
      <c r="EC128" s="881"/>
      <c r="ED128" s="881"/>
      <c r="EE128" s="881"/>
      <c r="EF128" s="881"/>
      <c r="EG128" s="885"/>
      <c r="EH128" s="881"/>
      <c r="EI128" s="881"/>
      <c r="EJ128" s="881"/>
      <c r="EK128" s="881"/>
      <c r="EL128" s="885"/>
      <c r="EM128" s="141"/>
      <c r="EN128"/>
      <c r="EO128"/>
      <c r="EP128"/>
      <c r="EQ128"/>
      <c r="ER128"/>
      <c r="ES128"/>
    </row>
    <row r="129" spans="1:268" s="135" customFormat="1" ht="11.25" hidden="1" customHeight="1" outlineLevel="1">
      <c r="A129" s="1018"/>
      <c r="B129" s="1019" t="s">
        <v>45</v>
      </c>
      <c r="C129" s="843"/>
      <c r="D129" s="843">
        <f>IS!D26</f>
        <v>37.822000000000003</v>
      </c>
      <c r="E129" s="843">
        <f>IS!E26</f>
        <v>37.200000000000003</v>
      </c>
      <c r="F129" s="843">
        <f>IS!F26</f>
        <v>37.6</v>
      </c>
      <c r="G129" s="843">
        <f>IS!G26</f>
        <v>82.377999999999986</v>
      </c>
      <c r="H129" s="844">
        <f>IS!H26</f>
        <v>195</v>
      </c>
      <c r="I129" s="843">
        <f>IS!I26</f>
        <v>80.2</v>
      </c>
      <c r="J129" s="843">
        <f>IS!J26</f>
        <v>82.5</v>
      </c>
      <c r="K129" s="843">
        <f>IS!K26</f>
        <v>77.8</v>
      </c>
      <c r="L129" s="843">
        <f>IS!L26</f>
        <v>80.5</v>
      </c>
      <c r="M129" s="844">
        <f>IS!M26</f>
        <v>321</v>
      </c>
      <c r="N129" s="843">
        <f>IS!N26</f>
        <v>84.1</v>
      </c>
      <c r="O129" s="843">
        <f>IS!O26</f>
        <v>85.5</v>
      </c>
      <c r="P129" s="843">
        <f>IS!P26</f>
        <v>108.2</v>
      </c>
      <c r="Q129" s="843">
        <f>IS!Q26</f>
        <v>165.2</v>
      </c>
      <c r="R129" s="844">
        <f>IS!R26</f>
        <v>443</v>
      </c>
      <c r="S129" s="843">
        <f>IS!S26</f>
        <v>105</v>
      </c>
      <c r="T129" s="843">
        <f>IS!T26</f>
        <v>114</v>
      </c>
      <c r="U129" s="843">
        <f>IS!U26</f>
        <v>121</v>
      </c>
      <c r="V129" s="843">
        <f>IS!V26</f>
        <v>120</v>
      </c>
      <c r="W129" s="844">
        <f>IS!W26</f>
        <v>460</v>
      </c>
      <c r="X129" s="843">
        <f>IS!X26</f>
        <v>127</v>
      </c>
      <c r="Y129" s="843">
        <f>IS!Y26</f>
        <v>134</v>
      </c>
      <c r="Z129" s="843">
        <f>IS!Z26</f>
        <v>142</v>
      </c>
      <c r="AA129" s="843">
        <f>IS!AA26</f>
        <v>153</v>
      </c>
      <c r="AB129" s="844">
        <f>IS!AB26</f>
        <v>556</v>
      </c>
      <c r="AC129" s="843">
        <f>IS!AC26</f>
        <v>134</v>
      </c>
      <c r="AD129" s="843">
        <f>IS!AD26</f>
        <v>132</v>
      </c>
      <c r="AE129" s="843">
        <f>IS!AE26</f>
        <v>133</v>
      </c>
      <c r="AF129" s="843">
        <f>IS!AF26</f>
        <v>134</v>
      </c>
      <c r="AG129" s="844">
        <f>IS!AG26</f>
        <v>533</v>
      </c>
      <c r="AH129" s="843">
        <f>IS!AH26</f>
        <v>137</v>
      </c>
      <c r="AI129" s="843">
        <f>IS!AI26</f>
        <v>136</v>
      </c>
      <c r="AJ129" s="843">
        <f>IS!AJ26</f>
        <v>139</v>
      </c>
      <c r="AK129" s="843">
        <f>IS!AK26</f>
        <v>142</v>
      </c>
      <c r="AL129" s="844">
        <f>IS!AL26</f>
        <v>554</v>
      </c>
      <c r="AM129" s="843">
        <f>IS!AM26</f>
        <v>149</v>
      </c>
      <c r="AN129" s="843">
        <f>IS!AN26</f>
        <v>151</v>
      </c>
      <c r="AO129" s="843">
        <f>IS!AO26</f>
        <v>154</v>
      </c>
      <c r="AP129" s="843">
        <f>IS!AP26</f>
        <v>150</v>
      </c>
      <c r="AQ129" s="844">
        <f>IS!AQ26</f>
        <v>604</v>
      </c>
      <c r="AR129" s="843">
        <f>IS!AR26</f>
        <v>128</v>
      </c>
      <c r="AS129" s="843">
        <f>IS!AS26</f>
        <v>130</v>
      </c>
      <c r="AT129" s="843">
        <f>IS!AT26</f>
        <v>132</v>
      </c>
      <c r="AU129" s="885"/>
      <c r="AV129" s="561"/>
      <c r="AW129" s="561"/>
      <c r="AX129" s="561"/>
      <c r="AY129" s="561"/>
      <c r="AZ129" s="844">
        <f>IS!AA26</f>
        <v>153</v>
      </c>
      <c r="BA129" s="843">
        <f>IS!BA26</f>
        <v>119</v>
      </c>
      <c r="BB129" s="843">
        <f>IS!BB26</f>
        <v>120</v>
      </c>
      <c r="BC129" s="843">
        <f>IS!BC26</f>
        <v>112</v>
      </c>
      <c r="BD129" s="843">
        <f>IS!BD26</f>
        <v>114</v>
      </c>
      <c r="BE129" s="844">
        <f>IS!BE26</f>
        <v>465</v>
      </c>
      <c r="BF129" s="843">
        <f>IS!BF26</f>
        <v>96</v>
      </c>
      <c r="BG129" s="843">
        <f>IS!BG26</f>
        <v>95</v>
      </c>
      <c r="BH129" s="843">
        <f>IS!BH26</f>
        <v>99</v>
      </c>
      <c r="BI129" s="843">
        <f>IS!BI26</f>
        <v>100</v>
      </c>
      <c r="BJ129" s="844">
        <f>IS!BJ26</f>
        <v>390</v>
      </c>
      <c r="BK129" s="843">
        <f>IS!BK26</f>
        <v>96</v>
      </c>
      <c r="BL129" s="843">
        <f>IS!BL26</f>
        <v>92</v>
      </c>
      <c r="BM129" s="843">
        <f>IS!BM26</f>
        <v>105</v>
      </c>
      <c r="BN129" s="843">
        <f>IS!BN26</f>
        <v>89</v>
      </c>
      <c r="BO129" s="844">
        <f>IS!BO26</f>
        <v>382</v>
      </c>
      <c r="BP129" s="843">
        <f>IS!BP26</f>
        <v>90</v>
      </c>
      <c r="BQ129" s="843">
        <f>IS!BQ26</f>
        <v>82</v>
      </c>
      <c r="BR129" s="843">
        <f>IS!BR26</f>
        <v>83</v>
      </c>
      <c r="BS129" s="843">
        <f>IS!BS26</f>
        <v>95</v>
      </c>
      <c r="BT129" s="844">
        <f>IS!BT26</f>
        <v>350</v>
      </c>
      <c r="BU129" s="843">
        <f>IS!BU26</f>
        <v>89</v>
      </c>
      <c r="BV129" s="843">
        <f>IS!BV26</f>
        <v>89</v>
      </c>
      <c r="BW129" s="843">
        <f>IS!BW26</f>
        <v>91</v>
      </c>
      <c r="BX129" s="843">
        <f>IS!BX26</f>
        <v>93</v>
      </c>
      <c r="BY129" s="844">
        <f>IS!BY26</f>
        <v>362</v>
      </c>
      <c r="BZ129" s="843">
        <f>IS!BZ26</f>
        <v>95</v>
      </c>
      <c r="CA129" s="843">
        <f>IS!CA26</f>
        <v>95</v>
      </c>
      <c r="CB129" s="843">
        <f>IS!CB26</f>
        <v>94</v>
      </c>
      <c r="CC129" s="843">
        <f>IS!CC26</f>
        <v>96</v>
      </c>
      <c r="CD129" s="844">
        <f>IS!CD26</f>
        <v>380</v>
      </c>
      <c r="CE129" s="843">
        <f>IS!CE26</f>
        <v>97</v>
      </c>
      <c r="CF129" s="843">
        <f>IS!CF26</f>
        <v>98</v>
      </c>
      <c r="CG129" s="843">
        <f>IS!CG26</f>
        <v>97</v>
      </c>
      <c r="CH129" s="843">
        <f>IS!CH26</f>
        <v>95</v>
      </c>
      <c r="CI129" s="844">
        <f>IS!CI26</f>
        <v>387</v>
      </c>
      <c r="CJ129" s="843">
        <f>IS!CJ26</f>
        <v>95</v>
      </c>
      <c r="CK129" s="843">
        <f>IS!CK26</f>
        <v>97</v>
      </c>
      <c r="CL129" s="843">
        <f>IS!CL26</f>
        <v>101</v>
      </c>
      <c r="CM129" s="843">
        <f>IS!CM26</f>
        <v>101</v>
      </c>
      <c r="CN129" s="844">
        <f>SUM(CJ129:CM129)</f>
        <v>394</v>
      </c>
      <c r="CO129" s="843">
        <f>IS!CO26</f>
        <v>98</v>
      </c>
      <c r="CP129" s="843">
        <f>IS!CP26</f>
        <v>100</v>
      </c>
      <c r="CQ129" s="843">
        <f>IS!CQ26</f>
        <v>100</v>
      </c>
      <c r="CR129" s="843">
        <f>IS!CR26</f>
        <v>100</v>
      </c>
      <c r="CS129" s="844">
        <f>SUM(CO129:CR129)</f>
        <v>398</v>
      </c>
      <c r="CT129" s="843">
        <f>IS!CT26</f>
        <v>100</v>
      </c>
      <c r="CU129" s="843">
        <f>IS!CU26</f>
        <v>104</v>
      </c>
      <c r="CV129" s="843">
        <f>IS!CV26</f>
        <v>110</v>
      </c>
      <c r="CW129" s="843">
        <f>IS!CW26</f>
        <v>116</v>
      </c>
      <c r="CX129" s="844">
        <f>SUM(CT129:CW129)</f>
        <v>430</v>
      </c>
      <c r="CY129" s="843">
        <f>IS!CY26</f>
        <v>114</v>
      </c>
      <c r="CZ129" s="843">
        <f>IS!CZ26</f>
        <v>121</v>
      </c>
      <c r="DA129" s="843">
        <f>IS!DA26</f>
        <v>119</v>
      </c>
      <c r="DB129" s="843">
        <f>IS!DB26</f>
        <v>191</v>
      </c>
      <c r="DC129" s="844">
        <f>SUM(CY129:DB129)</f>
        <v>545</v>
      </c>
      <c r="DD129" s="843">
        <f>IS!DD26</f>
        <v>193</v>
      </c>
      <c r="DE129" s="843">
        <f>IS!DE26</f>
        <v>209</v>
      </c>
      <c r="DF129" s="843">
        <f>IS!DF26</f>
        <v>207</v>
      </c>
      <c r="DG129" s="843">
        <f>IS!DG26</f>
        <v>240</v>
      </c>
      <c r="DH129" s="844">
        <f>SUM(DD129:DG129)</f>
        <v>849</v>
      </c>
      <c r="DI129" s="843">
        <f>IS!DI26</f>
        <v>207</v>
      </c>
      <c r="DJ129" s="843">
        <f>IS!DJ26</f>
        <v>197</v>
      </c>
      <c r="DK129" s="843">
        <f>IS!DK26</f>
        <v>185</v>
      </c>
      <c r="DL129" s="843">
        <f>IS!DL26</f>
        <v>208</v>
      </c>
      <c r="DM129" s="844">
        <f>SUM(DI129:DL129)</f>
        <v>797</v>
      </c>
      <c r="DN129" s="843">
        <f>IS!DN26</f>
        <v>212</v>
      </c>
      <c r="DO129" s="843">
        <f>IS!DO26</f>
        <v>215</v>
      </c>
      <c r="DP129" s="843">
        <f>IS!DP26</f>
        <v>205</v>
      </c>
      <c r="DQ129" s="843">
        <f>IS!DQ26</f>
        <v>218</v>
      </c>
      <c r="DR129" s="844">
        <f>SUM(DN129:DQ129)</f>
        <v>850</v>
      </c>
      <c r="DS129" s="843">
        <f>IS!DS26</f>
        <v>221</v>
      </c>
      <c r="DT129" s="843">
        <f>IS!DT26</f>
        <v>222</v>
      </c>
      <c r="DU129" s="843">
        <f>IS!DU26</f>
        <v>219</v>
      </c>
      <c r="DV129" s="843">
        <f>IS!DV26</f>
        <v>208</v>
      </c>
      <c r="DW129" s="844">
        <f>SUM(DS129:DV129)</f>
        <v>870</v>
      </c>
      <c r="DX129" s="843">
        <f>IS!DX26</f>
        <v>201.7438009604862</v>
      </c>
      <c r="DY129" s="843">
        <f>IS!DY26</f>
        <v>201.16481740073576</v>
      </c>
      <c r="DZ129" s="843">
        <f>IS!DZ26</f>
        <v>192.81340922530634</v>
      </c>
      <c r="EA129" s="843">
        <f>IS!EA26</f>
        <v>202.4459134842478</v>
      </c>
      <c r="EB129" s="844">
        <f>SUM(DX129:EA129)</f>
        <v>798.16794107077612</v>
      </c>
      <c r="EC129" s="843">
        <f>IS!EC26</f>
        <v>194.5447400748906</v>
      </c>
      <c r="ED129" s="843">
        <f>IS!ED26</f>
        <v>215.56469068587356</v>
      </c>
      <c r="EE129" s="843">
        <f>IS!EE26</f>
        <v>210.41342901570511</v>
      </c>
      <c r="EF129" s="843">
        <f>IS!EF26</f>
        <v>205.68924311205731</v>
      </c>
      <c r="EG129" s="844">
        <f>SUM(EC129:EF129)</f>
        <v>826.21210288852649</v>
      </c>
      <c r="EH129" s="843">
        <f>IS!EH26</f>
        <v>212.97132811575887</v>
      </c>
      <c r="EI129" s="843">
        <f>IS!EI26</f>
        <v>215.70671379072485</v>
      </c>
      <c r="EJ129" s="843">
        <f>IS!EJ26</f>
        <v>210.35354948550565</v>
      </c>
      <c r="EK129" s="843">
        <f>IS!EK26</f>
        <v>224.97197629623295</v>
      </c>
      <c r="EL129" s="844">
        <f>SUM(EH129:EK129)</f>
        <v>864.00356768822235</v>
      </c>
      <c r="EM129" s="141"/>
      <c r="EN129"/>
      <c r="EO129"/>
      <c r="EP129"/>
      <c r="EQ129"/>
      <c r="ER129"/>
      <c r="ES129"/>
    </row>
    <row r="130" spans="1:268" s="135" customFormat="1" ht="11.25" hidden="1" customHeight="1" outlineLevel="1">
      <c r="A130" s="1020"/>
      <c r="B130" s="1021" t="s">
        <v>46</v>
      </c>
      <c r="C130" s="1005"/>
      <c r="D130" s="1005"/>
      <c r="E130" s="1003">
        <f>AVERAGE(D127,E127)</f>
        <v>2602.585</v>
      </c>
      <c r="F130" s="1003">
        <f>AVERAGE(E127,F127)</f>
        <v>2642.85</v>
      </c>
      <c r="G130" s="1003">
        <f>AVERAGE(F127,G127)</f>
        <v>3403.1</v>
      </c>
      <c r="H130" s="1004">
        <f>AVERAGE(D127:G127)</f>
        <v>3002.8424999999997</v>
      </c>
      <c r="I130" s="1003">
        <f>AVERAGE(G127,I127)</f>
        <v>4200.95</v>
      </c>
      <c r="J130" s="1003">
        <f>AVERAGE(I127,J127)</f>
        <v>4361.7999999999993</v>
      </c>
      <c r="K130" s="1003">
        <f>AVERAGE(J127,K127)</f>
        <v>4506.25</v>
      </c>
      <c r="L130" s="1003">
        <f>AVERAGE(K127,L127)</f>
        <v>4572.8999999999996</v>
      </c>
      <c r="M130" s="1004">
        <f>AVERAGE(G127,I127:L127)</f>
        <v>4402.4799999999996</v>
      </c>
      <c r="N130" s="1003">
        <f>AVERAGE(L127,N127)</f>
        <v>4649.8999999999996</v>
      </c>
      <c r="O130" s="1003">
        <f>AVERAGE(N127,O127)</f>
        <v>4745.8500000000004</v>
      </c>
      <c r="P130" s="1003">
        <f>AVERAGE(O127,P127)</f>
        <v>5777.6</v>
      </c>
      <c r="Q130" s="1003">
        <f>AVERAGE(P127,Q127)</f>
        <v>6843.65</v>
      </c>
      <c r="R130" s="1004">
        <f>AVERAGE(L127,N127:Q127)</f>
        <v>5555.4</v>
      </c>
      <c r="S130" s="1003">
        <f>AVERAGE(Q127,S127)</f>
        <v>7048</v>
      </c>
      <c r="T130" s="1003">
        <f>AVERAGE(S127,T127)</f>
        <v>7221.5</v>
      </c>
      <c r="U130" s="1003">
        <f>AVERAGE(T127,U127)</f>
        <v>7416</v>
      </c>
      <c r="V130" s="1003">
        <f>AVERAGE(U127,V127)</f>
        <v>7655.5</v>
      </c>
      <c r="W130" s="1004">
        <f>AVERAGE(Q127,S127:V127)</f>
        <v>7335.2</v>
      </c>
      <c r="X130" s="1003">
        <f>AVERAGE(V127,X127)</f>
        <v>7854</v>
      </c>
      <c r="Y130" s="1003">
        <f>AVERAGE(X127,Y127)</f>
        <v>8166.5</v>
      </c>
      <c r="Z130" s="1003">
        <f>AVERAGE(Y127,Z127)</f>
        <v>8419</v>
      </c>
      <c r="AA130" s="1003">
        <f>AVERAGE(Z127,AA127)</f>
        <v>8084</v>
      </c>
      <c r="AB130" s="1004">
        <f>AVERAGE(V127,X127:AA127)</f>
        <v>8049.8</v>
      </c>
      <c r="AC130" s="1003">
        <f>AVERAGE(AA127,AC127)</f>
        <v>7741.5</v>
      </c>
      <c r="AD130" s="1003">
        <f>AVERAGE(AC127,AD127)</f>
        <v>7837.5</v>
      </c>
      <c r="AE130" s="1003">
        <f>AVERAGE(AD127,AE127)</f>
        <v>7888</v>
      </c>
      <c r="AF130" s="1003">
        <f>AVERAGE(AE127,AF127)</f>
        <v>8011</v>
      </c>
      <c r="AG130" s="1004">
        <f>AVERAGE(AA127,AC127:AF127)</f>
        <v>7880</v>
      </c>
      <c r="AH130" s="1003">
        <f>AVERAGE(AF127,AH127)</f>
        <v>8165</v>
      </c>
      <c r="AI130" s="1003">
        <f>AVERAGE(AH127,AI127)</f>
        <v>8249.5</v>
      </c>
      <c r="AJ130" s="1003">
        <f>AVERAGE(AI127,AJ127)</f>
        <v>8374</v>
      </c>
      <c r="AK130" s="1003">
        <f>AVERAGE(AJ127,AK127)</f>
        <v>8510.5</v>
      </c>
      <c r="AL130" s="1004">
        <f>AVERAGE(AF127,AH127:AK127)</f>
        <v>8332.2000000000007</v>
      </c>
      <c r="AM130" s="1003">
        <f>AVERAGE(AK127,AM127)</f>
        <v>8780</v>
      </c>
      <c r="AN130" s="1003">
        <f>AVERAGE(AM127,AN127)</f>
        <v>9096</v>
      </c>
      <c r="AO130" s="1003">
        <f>AVERAGE(AN127,AO127)</f>
        <v>9333.5</v>
      </c>
      <c r="AP130" s="1003">
        <f>AVERAGE(AO127,AP127)</f>
        <v>9511.5</v>
      </c>
      <c r="AQ130" s="1004">
        <f>AVERAGE(AK127,AM127:AP127)</f>
        <v>9159.6</v>
      </c>
      <c r="AR130" s="1003">
        <f>AVERAGE(AP127,AR127)</f>
        <v>9624.5</v>
      </c>
      <c r="AS130" s="1003">
        <f>AVERAGE(AR127,AS127)</f>
        <v>9800.5</v>
      </c>
      <c r="AT130" s="1003">
        <f>AVERAGE(AS127,AT127)</f>
        <v>9855.5</v>
      </c>
      <c r="AU130" s="885"/>
      <c r="AV130" s="1005"/>
      <c r="AW130" s="1005"/>
      <c r="AX130" s="1005"/>
      <c r="AY130" s="1005"/>
      <c r="AZ130" s="1004"/>
      <c r="BA130" s="1003">
        <f>AVERAGE(AZ127,BA127)</f>
        <v>9278.5</v>
      </c>
      <c r="BB130" s="1003">
        <f>AVERAGE(BA127,BB127)</f>
        <v>9168</v>
      </c>
      <c r="BC130" s="1003">
        <f>AVERAGE(BB127,BC127)</f>
        <v>9215.5</v>
      </c>
      <c r="BD130" s="1003">
        <f>AVERAGE(BC127,BD127)</f>
        <v>8696</v>
      </c>
      <c r="BE130" s="1004">
        <f>AVERAGE(AZ127,BA127:BD127)</f>
        <v>9020.2000000000007</v>
      </c>
      <c r="BF130" s="1003">
        <f>AVERAGE(BD127,BF127)</f>
        <v>7816.5</v>
      </c>
      <c r="BG130" s="1003">
        <f>AVERAGE(BF127,BG127)</f>
        <v>7545</v>
      </c>
      <c r="BH130" s="1003">
        <f>AVERAGE(BG127,BH127)</f>
        <v>7528.5</v>
      </c>
      <c r="BI130" s="1003">
        <f>AVERAGE(BH127,BI127)</f>
        <v>7440.5</v>
      </c>
      <c r="BJ130" s="1004">
        <f>AVERAGE(BD127,BF127:BI127)</f>
        <v>7616.8</v>
      </c>
      <c r="BK130" s="1003">
        <f>AVERAGE(BI127,BK127)</f>
        <v>7431.5</v>
      </c>
      <c r="BL130" s="1003">
        <f>AVERAGE(BK127,BL127)</f>
        <v>7520</v>
      </c>
      <c r="BM130" s="1003">
        <f>AVERAGE(BL127,BM127)</f>
        <v>7412.5</v>
      </c>
      <c r="BN130" s="1003">
        <f>AVERAGE(BM127,BN127)</f>
        <v>7228</v>
      </c>
      <c r="BO130" s="1004">
        <f>AVERAGE(BI127,BK127:BN127)</f>
        <v>7378</v>
      </c>
      <c r="BP130" s="1003">
        <f>AVERAGE(BN127,BP127)</f>
        <v>7212</v>
      </c>
      <c r="BQ130" s="1003">
        <f>AVERAGE(BP127,BQ127)</f>
        <v>7019.5</v>
      </c>
      <c r="BR130" s="1003">
        <f>AVERAGE(BQ127,BR127)</f>
        <v>6871</v>
      </c>
      <c r="BS130" s="1003">
        <f>AVERAGE(BR127,BS127)</f>
        <v>6886</v>
      </c>
      <c r="BT130" s="1004">
        <f>AVERAGE(BN127,BP127:BS127)</f>
        <v>7002.6</v>
      </c>
      <c r="BU130" s="1003">
        <f>AVERAGE(BS127,BU127)</f>
        <v>6869</v>
      </c>
      <c r="BV130" s="1003">
        <f>AVERAGE(BU127,BV127)</f>
        <v>6955.5</v>
      </c>
      <c r="BW130" s="1003">
        <f>AVERAGE(BV127,BW127)</f>
        <v>7074.5</v>
      </c>
      <c r="BX130" s="1003">
        <f>AVERAGE(BW127,BX127)</f>
        <v>7276.5</v>
      </c>
      <c r="BY130" s="1004">
        <f>AVERAGE(BS127,BU127:BX127)</f>
        <v>7062.2</v>
      </c>
      <c r="BZ130" s="1003">
        <f>AVERAGE(BX127,BZ127)</f>
        <v>7440.5</v>
      </c>
      <c r="CA130" s="1003">
        <f>AVERAGE(BZ127,CA127)</f>
        <v>7237</v>
      </c>
      <c r="CB130" s="1003">
        <f>AVERAGE(CA127,CB127)</f>
        <v>7004.5</v>
      </c>
      <c r="CC130" s="1003">
        <f>AVERAGE(CB127,CC127)</f>
        <v>7039</v>
      </c>
      <c r="CD130" s="1004">
        <f>AVERAGE(BX127,BZ127:CC127)</f>
        <v>7195.2</v>
      </c>
      <c r="CE130" s="1003">
        <f>AVERAGE(CC127,CE127)</f>
        <v>7087</v>
      </c>
      <c r="CF130" s="1003">
        <f>AVERAGE(CE127,CF127)</f>
        <v>7092</v>
      </c>
      <c r="CG130" s="1003">
        <f>AVERAGE(CF127,CG127)</f>
        <v>7117</v>
      </c>
      <c r="CH130" s="1003">
        <f>AVERAGE(CG127,CH127)</f>
        <v>7210.5</v>
      </c>
      <c r="CI130" s="1004">
        <f>AVERAGE(CC127,CE127:CH127)</f>
        <v>7138.2</v>
      </c>
      <c r="CJ130" s="1003">
        <f>AVERAGE(CH127,CJ127)</f>
        <v>7280</v>
      </c>
      <c r="CK130" s="1003">
        <f>AVERAGE(CJ127,CK127)</f>
        <v>7293</v>
      </c>
      <c r="CL130" s="1003">
        <f>AVERAGE(CK127,CL127)</f>
        <v>7310.5</v>
      </c>
      <c r="CM130" s="1003">
        <f>AVERAGE(CL127,CM127)</f>
        <v>7358</v>
      </c>
      <c r="CN130" s="1004">
        <f>AVERAGE(CH127,CJ127:CM127)</f>
        <v>7317</v>
      </c>
      <c r="CO130" s="1003">
        <f>AVERAGE(CM127,CO127)</f>
        <v>7416.5</v>
      </c>
      <c r="CP130" s="1003">
        <f>AVERAGE(CO127,CP127)</f>
        <v>7448.5</v>
      </c>
      <c r="CQ130" s="1003">
        <f>AVERAGE(CP127,CQ127)</f>
        <v>7486.5</v>
      </c>
      <c r="CR130" s="1003">
        <f>AVERAGE(CQ127,CR127)</f>
        <v>7620.5</v>
      </c>
      <c r="CS130" s="1004">
        <f>AVERAGE(CM127,CO127:CR127)</f>
        <v>7508.4</v>
      </c>
      <c r="CT130" s="1003">
        <f>AVERAGE(CR127,CT127)</f>
        <v>7751</v>
      </c>
      <c r="CU130" s="1003">
        <f>AVERAGE(CT127,CU127)</f>
        <v>7657</v>
      </c>
      <c r="CV130" s="1003">
        <f>AVERAGE(CU127,CV127)</f>
        <v>7582.5</v>
      </c>
      <c r="CW130" s="1003">
        <f>AVERAGE(CV127,CW127)</f>
        <v>7702</v>
      </c>
      <c r="CX130" s="1004">
        <f>AVERAGE(CR127,CT127:CW127)</f>
        <v>7690.8</v>
      </c>
      <c r="CY130" s="1003">
        <f>AVERAGE(CW127,CY127)</f>
        <v>7831.5</v>
      </c>
      <c r="CZ130" s="1003">
        <f>AVERAGE(CY127,CZ127)</f>
        <v>7935.5</v>
      </c>
      <c r="DA130" s="1003">
        <f>AVERAGE(CZ127,DA127)</f>
        <v>8009.5</v>
      </c>
      <c r="DB130" s="1003">
        <f>AVERAGE(DA127,DB127)</f>
        <v>9693</v>
      </c>
      <c r="DC130" s="1004">
        <f>AVERAGE(CW127,CY127:DB127)</f>
        <v>8608.7999999999993</v>
      </c>
      <c r="DD130" s="1003">
        <f>AVERAGE(DB127,DD127)</f>
        <v>11551.5</v>
      </c>
      <c r="DE130" s="1003">
        <f ca="1">AVERAGE(DD127,DE127)</f>
        <v>11879.36</v>
      </c>
      <c r="DF130" s="1003">
        <f ca="1">AVERAGE(DE127,DF127)</f>
        <v>12158.06</v>
      </c>
      <c r="DG130" s="1003">
        <f ca="1">AVERAGE(DF127,DG127)</f>
        <v>12254.7</v>
      </c>
      <c r="DH130" s="1004">
        <f ca="1">AVERAGE(DB127,DD127:DG127)</f>
        <v>11926.024000000001</v>
      </c>
      <c r="DI130" s="1003">
        <f>AVERAGE(DG127,DI127)</f>
        <v>12109</v>
      </c>
      <c r="DJ130" s="1003">
        <f ca="1">AVERAGE(DI127,DJ127)</f>
        <v>12012.36</v>
      </c>
      <c r="DK130" s="1003">
        <f ca="1">AVERAGE(DJ127,DK127)</f>
        <v>12158.06</v>
      </c>
      <c r="DL130" s="1003">
        <f ca="1">AVERAGE(DK127,DL127)</f>
        <v>12298.4</v>
      </c>
      <c r="DM130" s="1004">
        <f ca="1">AVERAGE(DG127,DI127:DL127)</f>
        <v>12166.504000000001</v>
      </c>
      <c r="DN130" s="1003">
        <f ca="1">AVERAGE(DL127,DN127)</f>
        <v>12398.7</v>
      </c>
      <c r="DO130" s="1003">
        <f>AVERAGE(DN127,DO127)</f>
        <v>12645</v>
      </c>
      <c r="DP130" s="1003">
        <f>AVERAGE(DO127,DP127)</f>
        <v>12856.5</v>
      </c>
      <c r="DQ130" s="1003">
        <f>AVERAGE(DP127,DQ127)</f>
        <v>12974.5</v>
      </c>
      <c r="DR130" s="1004">
        <f ca="1">AVERAGE(DL127,DN127:DQ127)</f>
        <v>12707.48</v>
      </c>
      <c r="DS130" s="1003">
        <f ca="1">AVERAGE(DQ127,DS127)</f>
        <v>12763</v>
      </c>
      <c r="DT130" s="1003">
        <f ca="1">AVERAGE(DR127,DT127)</f>
        <v>13074.8</v>
      </c>
      <c r="DU130" s="1003">
        <f ca="1">AVERAGE(DS127,DU127)</f>
        <v>12499</v>
      </c>
      <c r="DV130" s="1003">
        <f ca="1">AVERAGE(DU127,DV127)</f>
        <v>12763</v>
      </c>
      <c r="DW130" s="1004">
        <f ca="1">AVERAGE(DQ127,DS127:DV127)</f>
        <v>12710.2</v>
      </c>
      <c r="DX130" s="1003">
        <f ca="1">AVERAGE(DV127,DX127)</f>
        <v>13187.059334027494</v>
      </c>
      <c r="DY130" s="1003">
        <f ca="1">AVERAGE(DX127,DY127)</f>
        <v>13395.186784112257</v>
      </c>
      <c r="DZ130" s="1003">
        <f ca="1">AVERAGE(DY127,DZ127)</f>
        <v>13484.941600284052</v>
      </c>
      <c r="EA130" s="1003">
        <f ca="1">AVERAGE(DZ127,EA127)</f>
        <v>13571.378886183193</v>
      </c>
      <c r="EB130" s="1004">
        <f ca="1">AVERAGE(DV127,DX127:EA127)</f>
        <v>13392.026268118181</v>
      </c>
      <c r="EC130" s="1003">
        <f ca="1">AVERAGE(EA127,EC127)</f>
        <v>13739.622229719309</v>
      </c>
      <c r="ED130" s="1003">
        <f ca="1">AVERAGE(EC127,ED127)</f>
        <v>13987.551514952615</v>
      </c>
      <c r="EE130" s="1003">
        <f ca="1">AVERAGE(ED127,EE127)</f>
        <v>14234.765985177241</v>
      </c>
      <c r="EF130" s="1003">
        <f ca="1">AVERAGE(EE127,EF127)</f>
        <v>14484.980028099038</v>
      </c>
      <c r="EG130" s="1004">
        <f ca="1">AVERAGE(EA127,EC127:EF127)</f>
        <v>14112.238511614221</v>
      </c>
      <c r="EH130" s="1003">
        <f ca="1">AVERAGE(EF127,EH127)</f>
        <v>14738.971543746047</v>
      </c>
      <c r="EI130" s="1003">
        <f ca="1">AVERAGE(EH127,EI127)</f>
        <v>14993.004044265694</v>
      </c>
      <c r="EJ130" s="1003">
        <f ca="1">AVERAGE(EI127,EJ127)</f>
        <v>15246.160588237228</v>
      </c>
      <c r="EK130" s="1003">
        <f ca="1">AVERAGE(EJ127,EK127)</f>
        <v>15502.450593261312</v>
      </c>
      <c r="EL130" s="1004">
        <f ca="1">AVERAGE(EF127,EH127:EK127)</f>
        <v>15120.665080666406</v>
      </c>
      <c r="EM130" s="141"/>
      <c r="EN130"/>
      <c r="EO130"/>
      <c r="EP130"/>
      <c r="EQ130"/>
      <c r="ER130"/>
      <c r="ES130"/>
    </row>
    <row r="131" spans="1:268" s="135" customFormat="1" ht="11.25" hidden="1" customHeight="1" outlineLevel="1">
      <c r="A131" s="1008"/>
      <c r="B131" s="1009" t="s">
        <v>47</v>
      </c>
      <c r="C131" s="975"/>
      <c r="D131" s="975"/>
      <c r="E131" s="977">
        <f>E130/E129/(IS!H6/IS!E6)</f>
        <v>17.490490591397847</v>
      </c>
      <c r="F131" s="977">
        <f>F130/F129/(IS!H6/IS!F6)</f>
        <v>17.379040507364973</v>
      </c>
      <c r="G131" s="977">
        <f>G130/G129/(IS!H6/IS!G6)</f>
        <v>10.441187887836268</v>
      </c>
      <c r="H131" s="976">
        <f>H130/H129</f>
        <v>15.399192307692307</v>
      </c>
      <c r="I131" s="977">
        <f>I130/I129/(IS!M6/IS!I6)</f>
        <v>13.166789310875814</v>
      </c>
      <c r="J131" s="977">
        <f>J130/J129/(IS!M6/IS!J6)</f>
        <v>13.145348567643648</v>
      </c>
      <c r="K131" s="977">
        <f>K130/K129/(IS!M6/IS!K6)</f>
        <v>14.242856841839101</v>
      </c>
      <c r="L131" s="977">
        <f>L130/L129/(IS!M6/IS!L6)</f>
        <v>14.434365135933204</v>
      </c>
      <c r="M131" s="976">
        <f>M130/M129</f>
        <v>13.714890965732085</v>
      </c>
      <c r="N131" s="977">
        <f>N130/N129/(IS!R6/IS!N6)</f>
        <v>13.936142556969035</v>
      </c>
      <c r="O131" s="977">
        <f>O130/O129/(IS!R6/IS!O6)</f>
        <v>13.838735880797886</v>
      </c>
      <c r="P131" s="977">
        <f>P130/P129/(IS!R6/IS!P6)</f>
        <v>13.166485199908847</v>
      </c>
      <c r="Q131" s="977">
        <f>Q130/Q129/(IS!R6/IS!Q6)</f>
        <v>10.441736044313243</v>
      </c>
      <c r="R131" s="976">
        <f>R130/R129</f>
        <v>12.540406320541759</v>
      </c>
      <c r="S131" s="977">
        <f>S130/S129/(IS!W6/IS!S6)</f>
        <v>16.91887801696021</v>
      </c>
      <c r="T131" s="977">
        <f>T130/T129/(IS!W6/IS!T6)</f>
        <v>15.793234799327086</v>
      </c>
      <c r="U131" s="977">
        <f>U130/U129/(IS!W6/IS!U6)</f>
        <v>15.112419336578739</v>
      </c>
      <c r="V131" s="977">
        <f>V130/V129/(IS!W6/IS!V6)</f>
        <v>16.080045662100456</v>
      </c>
      <c r="W131" s="976">
        <f>W130/W129</f>
        <v>15.946086956521739</v>
      </c>
      <c r="X131" s="977">
        <f>X130/X129/(IS!AB6/IS!X6)</f>
        <v>15.587703591845539</v>
      </c>
      <c r="Y131" s="977">
        <f>Y130/Y129/(IS!AB6/IS!Y6)</f>
        <v>15.194264976487426</v>
      </c>
      <c r="Z131" s="977">
        <f>Z130/Z129/(IS!AB6/IS!Z6)</f>
        <v>14.619139494501255</v>
      </c>
      <c r="AA131" s="977">
        <f>AA130/AA129/(IS!AB6/IS!AA6)</f>
        <v>13.317718685647774</v>
      </c>
      <c r="AB131" s="976">
        <f>AB130/AB129</f>
        <v>14.478057553956836</v>
      </c>
      <c r="AC131" s="977">
        <f>AC130/AC129/(IS!AG6/IS!AC6)</f>
        <v>14.403526886117358</v>
      </c>
      <c r="AD131" s="977">
        <f>AD130/AD129/(IS!AG6/IS!AD6)</f>
        <v>14.803082191780822</v>
      </c>
      <c r="AE131" s="977">
        <f>AE130/AE129/(IS!AG6/IS!AE6)</f>
        <v>14.623957153156866</v>
      </c>
      <c r="AF131" s="977">
        <f>AF130/AF129/(IS!AG6/IS!AF6)</f>
        <v>15.232529135146187</v>
      </c>
      <c r="AG131" s="976">
        <f>AG130/AG129</f>
        <v>14.784240150093808</v>
      </c>
      <c r="AH131" s="977">
        <f>AH130/AH129/(IS!AL6/IS!AH6)</f>
        <v>15.022097790220979</v>
      </c>
      <c r="AI131" s="977">
        <f>AI130/AI129/(IS!AL6/IS!AI6)</f>
        <v>15.122975423045931</v>
      </c>
      <c r="AJ131" s="977">
        <f>AJ130/AJ129/(IS!AL6/IS!AJ6)</f>
        <v>14.854833941066326</v>
      </c>
      <c r="AK131" s="977">
        <f>AK130/AK129/(IS!AL6/IS!AK6)</f>
        <v>15.106424850472699</v>
      </c>
      <c r="AL131" s="976">
        <f>AL130/AL129</f>
        <v>15.040072202166066</v>
      </c>
      <c r="AM131" s="977">
        <f>AM130/AM129/(IS!AQ6/IS!AM6)</f>
        <v>14.85262480463363</v>
      </c>
      <c r="AN131" s="977">
        <f>AN130/AN129/(IS!AQ6/IS!AN6)</f>
        <v>15.018343463666879</v>
      </c>
      <c r="AO131" s="977">
        <f>AO130/AO129/(IS!AQ6/IS!AO6)</f>
        <v>14.944227005870841</v>
      </c>
      <c r="AP131" s="977">
        <f>AP130/AP129/(IS!AQ6/IS!AP6)</f>
        <v>15.982794520547944</v>
      </c>
      <c r="AQ131" s="976">
        <f>AQ130/AQ129</f>
        <v>15.164900662251656</v>
      </c>
      <c r="AR131" s="977">
        <f>AR130/AR129/(365/IS!AR6)</f>
        <v>18.952354452054795</v>
      </c>
      <c r="AS131" s="977">
        <f>AS130/AS129/(365/IS!AS6)</f>
        <v>18.795479452054796</v>
      </c>
      <c r="AT131" s="977">
        <f>AT130/AT129/(365/IS!AT6)</f>
        <v>18.410024906600249</v>
      </c>
      <c r="AU131" s="885"/>
      <c r="AV131" s="975"/>
      <c r="AW131" s="975"/>
      <c r="AX131" s="975"/>
      <c r="AY131" s="975"/>
      <c r="AZ131" s="976"/>
      <c r="BA131" s="977">
        <f>BA130/BA129/(IS!BE6/IS!BA6)</f>
        <v>19.225624496373893</v>
      </c>
      <c r="BB131" s="977">
        <f>BB130/BB129/(IS!BE6/IS!BB6)</f>
        <v>19.047671232876713</v>
      </c>
      <c r="BC131" s="977">
        <f>BC130/BC129/(IS!BE6/IS!BC6)</f>
        <v>20.739383561643834</v>
      </c>
      <c r="BD131" s="977">
        <f>BD130/BD129/(IS!BE6/IS!BD6)</f>
        <v>19.226916606584954</v>
      </c>
      <c r="BE131" s="976">
        <f>BE130/BE129</f>
        <v>19.398279569892473</v>
      </c>
      <c r="BF131" s="977">
        <f>BF130/BF129/(IS!BJ6/IS!BF6)</f>
        <v>20.244236680327869</v>
      </c>
      <c r="BG131" s="977">
        <f>BG130/BG129/(IS!BJ6/IS!BG6)</f>
        <v>19.74676445211389</v>
      </c>
      <c r="BH131" s="977">
        <f>BH130/BH129/(IS!BJ6/IS!BH6)</f>
        <v>19.115250869349232</v>
      </c>
      <c r="BI131" s="977">
        <f>BI130/BI129/(IS!BJ6/IS!BI6)</f>
        <v>18.70289617486339</v>
      </c>
      <c r="BJ131" s="976">
        <f>BJ130/BJ129</f>
        <v>19.53025641025641</v>
      </c>
      <c r="BK131" s="977">
        <f>BK130/BK129/(IS!BO6/IS!BK6)</f>
        <v>19.087756849315067</v>
      </c>
      <c r="BL131" s="977">
        <f>BL130/BL129/(IS!BO6/IS!BL6)</f>
        <v>20.378796902918403</v>
      </c>
      <c r="BM131" s="977">
        <f>BM130/BM129/(IS!BO6/IS!BM6)</f>
        <v>17.793868232224398</v>
      </c>
      <c r="BN131" s="977">
        <f>BN130/BN129/(IS!BO6/IS!BN6)</f>
        <v>20.470247806680007</v>
      </c>
      <c r="BO131" s="851"/>
      <c r="BP131" s="849"/>
      <c r="BQ131" s="849"/>
      <c r="BR131" s="849"/>
      <c r="BS131" s="849"/>
      <c r="BT131" s="851"/>
      <c r="BU131" s="849"/>
      <c r="BV131" s="849"/>
      <c r="BW131" s="849"/>
      <c r="BX131" s="849"/>
      <c r="BY131" s="851"/>
      <c r="BZ131" s="849"/>
      <c r="CA131" s="849"/>
      <c r="CB131" s="881"/>
      <c r="CC131" s="881"/>
      <c r="CD131" s="885"/>
      <c r="CE131" s="977">
        <f>CE130/CE129/(IS!CI6/IS!CE6)</f>
        <v>18.015252083039123</v>
      </c>
      <c r="CF131" s="977">
        <f>CF130/CF129/(IS!CI6/IS!CF6)</f>
        <v>18.042270058708414</v>
      </c>
      <c r="CG131" s="977">
        <f>CG130/CG129/(IS!CI6/IS!CG6)</f>
        <v>18.493546109306596</v>
      </c>
      <c r="CH131" s="977">
        <f>CH130/CH129/(IS!CI6/IS!CH6)</f>
        <v>19.13095890410959</v>
      </c>
      <c r="CI131" s="976">
        <f>CI130/CI129</f>
        <v>18.444961240310079</v>
      </c>
      <c r="CJ131" s="977">
        <f>CJ130/CJ129/(IS!CN6/IS!CJ6)</f>
        <v>18.895457822638789</v>
      </c>
      <c r="CK131" s="977">
        <f>CK130/CK129/(IS!CN6/IS!CK6)</f>
        <v>18.74489478887163</v>
      </c>
      <c r="CL131" s="977">
        <f>CL130/CL129/(IS!CN6/IS!CL6)</f>
        <v>18.244025498440255</v>
      </c>
      <c r="CM131" s="977">
        <f>CM130/CM129/(IS!CN6/IS!CM6)</f>
        <v>18.362566119625662</v>
      </c>
      <c r="CN131" s="976">
        <f>CN130/CN129</f>
        <v>18.571065989847718</v>
      </c>
      <c r="CO131" s="977">
        <f>CO130/CO129/(IS!CS6/IS!CO6)</f>
        <v>18.660469667318985</v>
      </c>
      <c r="CP131" s="977">
        <f>CP130/CP129/(IS!CS6/IS!CP6)</f>
        <v>18.570232876712328</v>
      </c>
      <c r="CQ131" s="977">
        <f>CQ130/CQ129/(IS!CS6/IS!CQ6)</f>
        <v>18.870082191780821</v>
      </c>
      <c r="CR131" s="977">
        <f>CR130/CR129/(IS!CS6/IS!CR6)</f>
        <v>19.207835616438356</v>
      </c>
      <c r="CS131" s="976">
        <f>CS130/CS129</f>
        <v>18.865326633165829</v>
      </c>
      <c r="CT131" s="977">
        <f>CT130/CT129/(IS!CX6/IS!CT6)</f>
        <v>19.271612021857926</v>
      </c>
      <c r="CU131" s="977">
        <f>CU130/CU129/(IS!CX6/IS!CU6)</f>
        <v>18.305669398907103</v>
      </c>
      <c r="CV131" s="977">
        <f>CV130/CV129/(IS!CY6/IS!CV6)</f>
        <v>70.463636363636368</v>
      </c>
      <c r="CW131" s="977">
        <f>CW130/CW129/(IS!CZ6/IS!CW6)</f>
        <v>67.126184160666924</v>
      </c>
      <c r="CX131" s="976">
        <f>CX130/CX129</f>
        <v>17.885581395348837</v>
      </c>
      <c r="CY131" s="977">
        <f>CY130/CY129/(IS!DC6/IS!CY6)</f>
        <v>16.939077144917089</v>
      </c>
      <c r="CZ131" s="977">
        <f>CZ130/CZ129/(IS!DC6/IS!CZ6)</f>
        <v>16.350741537416507</v>
      </c>
      <c r="DA131" s="977">
        <f>DA130/DA129/(IS!DD6/IS!DA6)</f>
        <v>68.802427637721749</v>
      </c>
      <c r="DB131" s="977">
        <f>DB130/DB129/(IS!DC6/IS!DB6)</f>
        <v>12.791450907265293</v>
      </c>
      <c r="DC131" s="976">
        <f>DC130/DC129</f>
        <v>15.795963302752293</v>
      </c>
      <c r="DD131" s="977">
        <f>DD130/DD129/(IS!DH6/IS!DD6)</f>
        <v>14.758109163176947</v>
      </c>
      <c r="DE131" s="977">
        <f ca="1">DE130/DE129/(IS!DH6/IS!DE6)</f>
        <v>14.170829914137773</v>
      </c>
      <c r="DF131" s="977">
        <f ca="1">DF130/DF129/(IS!DH6/IS!DF6)</f>
        <v>14.804334855403347</v>
      </c>
      <c r="DG131" s="977">
        <f ca="1">DG130/DG129/(IS!DH6/IS!DG6)</f>
        <v>12.870232876712329</v>
      </c>
      <c r="DH131" s="976">
        <f ca="1">DH130/DH129</f>
        <v>14.047142520612487</v>
      </c>
      <c r="DI131" s="977">
        <f>DI130/DI129/(IS!DM6/IS!DI6)</f>
        <v>14.424061941631924</v>
      </c>
      <c r="DJ131" s="977">
        <f ca="1">DJ130/DJ129/(IS!DM6/IS!DJ6)</f>
        <v>15.202346985606008</v>
      </c>
      <c r="DK131" s="977">
        <f ca="1">DK130/DK129/(IS!DM6/IS!DK6)</f>
        <v>16.564850351721585</v>
      </c>
      <c r="DL131" s="977">
        <f ca="1">DL130/DL129/(IS!DN6/IS!DL6)</f>
        <v>59.776669484361797</v>
      </c>
      <c r="DM131" s="976">
        <f ca="1">DM130/DM129</f>
        <v>15.265375156838145</v>
      </c>
      <c r="DN131" s="977">
        <f ca="1">DN130/DN129/(IS!DR6/IS!DN6)</f>
        <v>14.541211722858028</v>
      </c>
      <c r="DO131" s="977">
        <f>DO130/DO129/(IS!DR6/IS!DO6)</f>
        <v>14.62314144109798</v>
      </c>
      <c r="DP131" s="977">
        <f>DP130/DP129/(IS!DS6/IS!DP6)</f>
        <v>64.10829268292683</v>
      </c>
      <c r="DQ131" s="977">
        <f>DQ130/DQ129/(IS!DT6/IS!DQ6)</f>
        <v>60.17007762879323</v>
      </c>
      <c r="DR131" s="976">
        <f ca="1">DR130/DR129</f>
        <v>14.949976470588235</v>
      </c>
      <c r="DS131" s="977">
        <f ca="1">DS130/DS129/(IS!DW6/IS!DS6)</f>
        <v>14.24000495878014</v>
      </c>
      <c r="DT131" s="977">
        <f ca="1">DT130/DT129/(IS!DX6/IS!DT6)</f>
        <v>59.54988988988989</v>
      </c>
      <c r="DU131" s="977">
        <f ca="1">DU130/DU129/(IS!DY6/IS!DU6)</f>
        <v>57.700235837222145</v>
      </c>
      <c r="DV131" s="977">
        <f ca="1">DV130/DV129/(IS!DY6/IS!DV6)</f>
        <v>62.034868977176671</v>
      </c>
      <c r="DW131" s="976">
        <f ca="1">DW130/DW129</f>
        <v>14.609425287356324</v>
      </c>
      <c r="DX131" s="977">
        <f ca="1">DX130/DX129/(IS!EB6/IS!DX6)</f>
        <v>16.117489885307073</v>
      </c>
      <c r="DY131" s="977">
        <f ca="1">DY130/DY129/(IS!EB6/IS!DY6)</f>
        <v>16.60142143000439</v>
      </c>
      <c r="DZ131" s="977">
        <f ca="1">DZ130/DZ129/(IS!EB6/IS!DZ6)</f>
        <v>17.628152511993868</v>
      </c>
      <c r="EA131" s="977">
        <f ca="1">EA130/EA129/(IS!EB6/IS!EA6)</f>
        <v>16.89701242985857</v>
      </c>
      <c r="EB131" s="976">
        <f ca="1">EB130/EB129</f>
        <v>16.778456737002255</v>
      </c>
      <c r="EC131" s="977">
        <f ca="1">EC130/EC129/(IS!EG6/IS!EC6)</f>
        <v>17.414256768591912</v>
      </c>
      <c r="ED131" s="977">
        <f ca="1">ED130/ED129/(IS!EG6/IS!ED6)</f>
        <v>16.177544443415734</v>
      </c>
      <c r="EE131" s="977">
        <f ca="1">EE130/EE129/(IS!EG6/IS!EE6)</f>
        <v>17.051863240031761</v>
      </c>
      <c r="EF131" s="977">
        <f ca="1">EF130/EF129/(IS!EG6/IS!EF6)</f>
        <v>17.750119594867257</v>
      </c>
      <c r="EG131" s="976">
        <f ca="1">EG130/EG129</f>
        <v>17.080648494831188</v>
      </c>
      <c r="EH131" s="977">
        <f ca="1">EH130/EH129/(IS!EL6/IS!EH6)</f>
        <v>17.207047123815972</v>
      </c>
      <c r="EI131" s="977">
        <f ca="1">EI130/EI129/(IS!EL6/IS!EI6)</f>
        <v>17.281653869711874</v>
      </c>
      <c r="EJ131" s="977">
        <f ca="1">EJ130/EJ129/(IS!EL6/IS!EJ6)</f>
        <v>18.218700110685184</v>
      </c>
      <c r="EK131" s="977">
        <f ca="1">EK130/EK129/(IS!EL6/IS!EK6)</f>
        <v>17.321227842072158</v>
      </c>
      <c r="EL131" s="976">
        <f ca="1">EL130/EL129</f>
        <v>17.500697504206062</v>
      </c>
      <c r="EM131" s="141"/>
      <c r="EN131"/>
      <c r="EO131"/>
      <c r="EP131"/>
      <c r="EQ131"/>
      <c r="ER131"/>
      <c r="ES131"/>
    </row>
    <row r="132" spans="1:268" s="142" customFormat="1" ht="14.25" customHeight="1" collapsed="1">
      <c r="A132" s="801"/>
      <c r="B132" s="555"/>
      <c r="C132" s="555"/>
      <c r="D132" s="555"/>
      <c r="E132" s="555"/>
      <c r="F132" s="555"/>
      <c r="G132" s="555"/>
      <c r="H132" s="802"/>
      <c r="I132" s="555"/>
      <c r="J132" s="555"/>
      <c r="K132" s="555"/>
      <c r="L132" s="555"/>
      <c r="M132" s="802"/>
      <c r="N132" s="555"/>
      <c r="O132" s="555"/>
      <c r="P132" s="555"/>
      <c r="Q132" s="555"/>
      <c r="R132" s="802"/>
      <c r="S132" s="555"/>
      <c r="T132" s="555"/>
      <c r="U132" s="555"/>
      <c r="V132" s="555"/>
      <c r="W132" s="802"/>
      <c r="X132" s="555"/>
      <c r="Y132" s="555"/>
      <c r="Z132" s="555"/>
      <c r="AA132" s="555"/>
      <c r="AB132" s="802"/>
      <c r="AC132" s="555"/>
      <c r="AD132" s="555"/>
      <c r="AE132" s="555"/>
      <c r="AF132" s="555"/>
      <c r="AG132" s="802"/>
      <c r="AH132" s="555"/>
      <c r="AI132" s="555"/>
      <c r="AJ132" s="555"/>
      <c r="AK132" s="555"/>
      <c r="AL132" s="802"/>
      <c r="AM132" s="555"/>
      <c r="AN132" s="555"/>
      <c r="AO132" s="555"/>
      <c r="AP132" s="555"/>
      <c r="AQ132" s="802"/>
      <c r="AR132" s="555"/>
      <c r="AS132" s="555"/>
      <c r="AT132" s="555"/>
      <c r="AU132" s="802"/>
      <c r="AV132" s="555"/>
      <c r="AW132" s="555"/>
      <c r="AX132" s="555"/>
      <c r="AY132" s="555"/>
      <c r="AZ132" s="802"/>
      <c r="BA132" s="555"/>
      <c r="BB132" s="555"/>
      <c r="BC132" s="555"/>
      <c r="BD132" s="555"/>
      <c r="BE132" s="802"/>
      <c r="BF132" s="555"/>
      <c r="BG132" s="555"/>
      <c r="BH132" s="555"/>
      <c r="BI132" s="555"/>
      <c r="BJ132" s="802"/>
      <c r="BK132" s="555"/>
      <c r="BL132" s="555"/>
      <c r="BM132" s="555"/>
      <c r="BN132" s="555"/>
      <c r="BO132" s="802"/>
      <c r="BP132" s="555"/>
      <c r="BQ132" s="555"/>
      <c r="BR132" s="555"/>
      <c r="BS132" s="555"/>
      <c r="BT132" s="802"/>
      <c r="BU132" s="555"/>
      <c r="BV132" s="555"/>
      <c r="BW132" s="555"/>
      <c r="BX132" s="555"/>
      <c r="BY132" s="802"/>
      <c r="BZ132" s="557"/>
      <c r="CA132" s="555"/>
      <c r="CB132" s="555"/>
      <c r="CC132" s="555"/>
      <c r="CD132" s="802"/>
      <c r="CE132" s="555"/>
      <c r="CF132" s="555"/>
      <c r="CG132" s="555"/>
      <c r="CH132" s="555"/>
      <c r="CI132" s="802"/>
      <c r="CJ132" s="555"/>
      <c r="CK132" s="555"/>
      <c r="CL132" s="555"/>
      <c r="CM132" s="555"/>
      <c r="CN132" s="802"/>
      <c r="CO132" s="555"/>
      <c r="CP132" s="555"/>
      <c r="CQ132" s="555"/>
      <c r="CR132" s="555"/>
      <c r="CS132" s="802"/>
      <c r="CT132" s="555"/>
      <c r="CU132" s="555"/>
      <c r="CV132" s="555"/>
      <c r="CW132" s="555"/>
      <c r="CX132" s="802"/>
      <c r="CY132" s="555"/>
      <c r="CZ132" s="555"/>
      <c r="DA132" s="555"/>
      <c r="DB132" s="555"/>
      <c r="DC132" s="802"/>
      <c r="DD132" s="555"/>
      <c r="DE132" s="555"/>
      <c r="DF132" s="555"/>
      <c r="DG132" s="555"/>
      <c r="DH132" s="802"/>
      <c r="DI132" s="555"/>
      <c r="DJ132" s="555"/>
      <c r="DK132" s="555"/>
      <c r="DL132" s="670"/>
      <c r="DM132" s="802"/>
      <c r="DN132" s="555"/>
      <c r="DO132" s="555"/>
      <c r="DP132" s="555"/>
      <c r="DQ132" s="555"/>
      <c r="DR132" s="802"/>
      <c r="DS132" s="555"/>
      <c r="DT132" s="555"/>
      <c r="DU132" s="555"/>
      <c r="DV132" s="555"/>
      <c r="DW132" s="802"/>
      <c r="DX132" s="555"/>
      <c r="DY132" s="555"/>
      <c r="DZ132" s="555"/>
      <c r="EA132" s="555"/>
      <c r="EB132" s="802"/>
      <c r="EC132" s="555"/>
      <c r="ED132" s="555"/>
      <c r="EE132" s="555"/>
      <c r="EF132" s="555"/>
      <c r="EG132" s="802"/>
      <c r="EH132" s="555"/>
      <c r="EI132" s="555"/>
      <c r="EJ132" s="555"/>
      <c r="EK132" s="555"/>
      <c r="EL132" s="802"/>
      <c r="EM132" s="555"/>
      <c r="EN132"/>
      <c r="EO132"/>
      <c r="EP132"/>
      <c r="EQ132"/>
      <c r="ER132"/>
      <c r="ES132"/>
      <c r="ET132" s="141"/>
      <c r="EU132" s="141"/>
      <c r="EV132" s="141"/>
      <c r="EW132" s="141"/>
      <c r="EX132" s="141"/>
      <c r="EY132" s="141"/>
      <c r="EZ132" s="141"/>
      <c r="FA132" s="141"/>
      <c r="FB132" s="141"/>
      <c r="FC132" s="141"/>
      <c r="FD132" s="141"/>
      <c r="FE132" s="141"/>
      <c r="FF132" s="141"/>
      <c r="FG132" s="141"/>
      <c r="FH132" s="141"/>
      <c r="FI132" s="141"/>
      <c r="FJ132" s="141"/>
      <c r="FK132" s="141"/>
      <c r="FL132" s="141"/>
      <c r="FM132" s="141"/>
      <c r="FN132" s="141"/>
      <c r="FO132" s="141"/>
      <c r="FP132" s="141"/>
      <c r="FQ132" s="141"/>
      <c r="FR132" s="141"/>
      <c r="FS132" s="141"/>
      <c r="FT132" s="141"/>
      <c r="FU132" s="141"/>
      <c r="FV132" s="141"/>
      <c r="FW132" s="141"/>
      <c r="FX132" s="141"/>
      <c r="FY132" s="141"/>
      <c r="FZ132" s="141"/>
      <c r="GA132" s="141"/>
      <c r="GB132" s="141"/>
      <c r="GC132" s="141"/>
      <c r="GD132" s="141"/>
      <c r="GE132" s="141"/>
      <c r="GF132" s="141"/>
      <c r="GG132" s="141"/>
      <c r="GH132" s="141"/>
      <c r="GI132" s="141"/>
      <c r="GJ132" s="141"/>
      <c r="GK132" s="141"/>
      <c r="GL132" s="141"/>
      <c r="GM132" s="141"/>
      <c r="GN132" s="141"/>
      <c r="GO132" s="141"/>
      <c r="GP132" s="141"/>
      <c r="GQ132" s="141"/>
      <c r="GR132" s="141"/>
      <c r="GS132" s="141"/>
      <c r="GT132" s="141"/>
      <c r="GU132" s="141"/>
      <c r="GV132" s="141"/>
      <c r="GW132" s="141"/>
      <c r="GX132" s="141"/>
      <c r="GY132" s="141"/>
      <c r="GZ132" s="141"/>
      <c r="HA132" s="141"/>
      <c r="HB132" s="141"/>
      <c r="HC132" s="141"/>
      <c r="HD132" s="141"/>
      <c r="HE132" s="141"/>
      <c r="HF132" s="141"/>
      <c r="HG132" s="141"/>
      <c r="HH132" s="141"/>
      <c r="HI132" s="141"/>
      <c r="HJ132" s="141"/>
      <c r="HK132" s="141"/>
      <c r="HL132" s="141"/>
      <c r="HM132" s="141"/>
      <c r="HN132" s="141"/>
      <c r="HO132" s="141"/>
      <c r="HP132" s="141"/>
      <c r="HQ132" s="141"/>
      <c r="HR132" s="141"/>
      <c r="HS132" s="141"/>
      <c r="HT132" s="141"/>
      <c r="HU132" s="141"/>
      <c r="HV132" s="141"/>
      <c r="HW132" s="141"/>
      <c r="HX132" s="141"/>
      <c r="HY132" s="141"/>
      <c r="HZ132" s="141"/>
      <c r="IA132" s="141"/>
      <c r="IB132" s="141"/>
      <c r="IC132" s="141"/>
      <c r="ID132" s="141"/>
      <c r="IE132" s="141"/>
      <c r="IF132" s="141"/>
      <c r="IG132" s="141"/>
      <c r="IH132" s="141"/>
      <c r="II132" s="141"/>
      <c r="IJ132" s="141"/>
      <c r="IK132" s="141"/>
      <c r="IL132" s="141"/>
      <c r="IM132" s="141"/>
      <c r="IN132" s="141"/>
      <c r="IO132" s="141"/>
      <c r="IP132" s="141"/>
      <c r="IQ132" s="141"/>
      <c r="IR132" s="141"/>
      <c r="IS132" s="141"/>
      <c r="IT132" s="141"/>
      <c r="IU132" s="141"/>
      <c r="IV132" s="141"/>
      <c r="IW132" s="141"/>
      <c r="IX132" s="141"/>
      <c r="IY132" s="141"/>
      <c r="IZ132" s="141"/>
      <c r="JA132" s="141"/>
      <c r="JB132" s="141"/>
      <c r="JC132" s="141"/>
      <c r="JD132" s="141"/>
      <c r="JE132" s="141"/>
      <c r="JF132" s="141"/>
      <c r="JG132" s="141"/>
      <c r="JH132" s="141"/>
    </row>
    <row r="133" spans="1:268" s="142" customFormat="1" ht="12.75" customHeight="1" thickBot="1">
      <c r="A133" s="801"/>
      <c r="B133" s="555"/>
      <c r="C133" s="555"/>
      <c r="D133" s="555"/>
      <c r="E133" s="555"/>
      <c r="F133" s="555"/>
      <c r="G133" s="555"/>
      <c r="H133" s="802"/>
      <c r="I133" s="555"/>
      <c r="J133" s="555"/>
      <c r="K133" s="555"/>
      <c r="L133" s="555"/>
      <c r="M133" s="802"/>
      <c r="N133" s="555"/>
      <c r="O133" s="555"/>
      <c r="P133" s="555"/>
      <c r="Q133" s="555"/>
      <c r="R133" s="802"/>
      <c r="S133" s="555"/>
      <c r="T133" s="555"/>
      <c r="U133" s="555"/>
      <c r="V133" s="555"/>
      <c r="W133" s="802"/>
      <c r="X133" s="555"/>
      <c r="Y133" s="555"/>
      <c r="Z133" s="555"/>
      <c r="AA133" s="555"/>
      <c r="AB133" s="802"/>
      <c r="AC133" s="555"/>
      <c r="AD133" s="555"/>
      <c r="AE133" s="555"/>
      <c r="AF133" s="555"/>
      <c r="AG133" s="802"/>
      <c r="AH133" s="555"/>
      <c r="AI133" s="555"/>
      <c r="AJ133" s="555"/>
      <c r="AK133" s="555"/>
      <c r="AL133" s="802"/>
      <c r="AM133" s="555"/>
      <c r="AN133" s="555"/>
      <c r="AO133" s="555"/>
      <c r="AP133" s="555"/>
      <c r="AQ133" s="802"/>
      <c r="AR133" s="555"/>
      <c r="AS133" s="555"/>
      <c r="AT133" s="555"/>
      <c r="AU133" s="802"/>
      <c r="AV133" s="555"/>
      <c r="AW133" s="555"/>
      <c r="AX133" s="555"/>
      <c r="AY133" s="555"/>
      <c r="AZ133" s="802"/>
      <c r="BA133" s="555"/>
      <c r="BB133" s="555"/>
      <c r="BC133" s="555"/>
      <c r="BD133" s="555"/>
      <c r="BE133" s="802"/>
      <c r="BF133" s="555"/>
      <c r="BG133" s="555"/>
      <c r="BH133" s="555"/>
      <c r="BI133" s="555"/>
      <c r="BJ133" s="802"/>
      <c r="BK133" s="1022"/>
      <c r="BL133" s="555"/>
      <c r="BM133" s="555"/>
      <c r="BN133" s="555"/>
      <c r="BO133" s="802"/>
      <c r="BP133" s="555"/>
      <c r="BQ133" s="555"/>
      <c r="BR133" s="555"/>
      <c r="BS133" s="555"/>
      <c r="BT133" s="802"/>
      <c r="BU133" s="555"/>
      <c r="BV133" s="555"/>
      <c r="BW133" s="555"/>
      <c r="BX133" s="555"/>
      <c r="BY133" s="802"/>
      <c r="BZ133" s="557"/>
      <c r="CA133" s="555"/>
      <c r="CB133" s="555"/>
      <c r="CC133" s="555"/>
      <c r="CD133" s="802"/>
      <c r="CE133" s="555"/>
      <c r="CF133" s="555"/>
      <c r="CG133" s="555"/>
      <c r="CH133" s="555"/>
      <c r="CI133" s="802"/>
      <c r="CJ133" s="555"/>
      <c r="CK133" s="555"/>
      <c r="CL133" s="555"/>
      <c r="CM133" s="555"/>
      <c r="CN133" s="802"/>
      <c r="CO133" s="555"/>
      <c r="CP133" s="555"/>
      <c r="CQ133" s="555"/>
      <c r="CR133" s="555"/>
      <c r="CS133" s="802"/>
      <c r="CT133" s="555"/>
      <c r="CU133" s="555"/>
      <c r="CV133" s="555"/>
      <c r="CW133" s="555"/>
      <c r="CX133" s="802"/>
      <c r="CY133" s="555"/>
      <c r="CZ133" s="555"/>
      <c r="DA133" s="555"/>
      <c r="DB133" s="555"/>
      <c r="DC133" s="802"/>
      <c r="DD133" s="555"/>
      <c r="DE133" s="555"/>
      <c r="DF133" s="555"/>
      <c r="DG133" s="555"/>
      <c r="DH133" s="802"/>
      <c r="DI133" s="555"/>
      <c r="DJ133" s="555"/>
      <c r="DK133" s="555"/>
      <c r="DL133" s="670"/>
      <c r="DM133" s="802"/>
      <c r="DN133" s="555"/>
      <c r="DO133" s="555"/>
      <c r="DP133" s="555"/>
      <c r="DQ133" s="555"/>
      <c r="DR133" s="802"/>
      <c r="DS133" s="555"/>
      <c r="DT133" s="555"/>
      <c r="DU133" s="555"/>
      <c r="DV133" s="555"/>
      <c r="DW133" s="802"/>
      <c r="DX133" s="555"/>
      <c r="DY133" s="555"/>
      <c r="DZ133" s="555"/>
      <c r="EA133" s="555"/>
      <c r="EB133" s="802"/>
      <c r="EC133" s="555"/>
      <c r="ED133" s="555"/>
      <c r="EE133" s="555"/>
      <c r="EF133" s="555"/>
      <c r="EG133" s="802"/>
      <c r="EH133" s="555"/>
      <c r="EI133" s="555"/>
      <c r="EJ133" s="555"/>
      <c r="EK133" s="555"/>
      <c r="EL133" s="802"/>
      <c r="EM133" s="555"/>
      <c r="EN133"/>
      <c r="EO133"/>
      <c r="EP133"/>
      <c r="EQ133"/>
      <c r="ER133"/>
      <c r="ES133"/>
      <c r="ET133" s="141"/>
      <c r="EU133" s="141"/>
      <c r="EV133" s="141"/>
      <c r="EW133" s="141"/>
      <c r="EX133" s="141"/>
      <c r="EY133" s="141"/>
      <c r="EZ133" s="141"/>
      <c r="FA133" s="141"/>
      <c r="FB133" s="141"/>
      <c r="FC133" s="141"/>
      <c r="FD133" s="141"/>
      <c r="FE133" s="141"/>
      <c r="FF133" s="141"/>
      <c r="FG133" s="141"/>
      <c r="FH133" s="141"/>
      <c r="FI133" s="141"/>
      <c r="FJ133" s="141"/>
      <c r="FK133" s="141"/>
      <c r="FL133" s="141"/>
      <c r="FM133" s="141"/>
      <c r="FN133" s="141"/>
      <c r="FO133" s="141"/>
      <c r="FP133" s="141"/>
      <c r="FQ133" s="141"/>
      <c r="FR133" s="141"/>
      <c r="FS133" s="141"/>
      <c r="FT133" s="141"/>
      <c r="FU133" s="141"/>
      <c r="FV133" s="141"/>
      <c r="FW133" s="141"/>
      <c r="FX133" s="141"/>
      <c r="FY133" s="141"/>
      <c r="FZ133" s="141"/>
      <c r="GA133" s="141"/>
      <c r="GB133" s="141"/>
      <c r="GC133" s="141"/>
      <c r="GD133" s="141"/>
      <c r="GE133" s="141"/>
      <c r="GF133" s="141"/>
      <c r="GG133" s="141"/>
      <c r="GH133" s="141"/>
      <c r="GI133" s="141"/>
      <c r="GJ133" s="141"/>
      <c r="GK133" s="141"/>
      <c r="GL133" s="141"/>
      <c r="GM133" s="141"/>
      <c r="GN133" s="141"/>
      <c r="GO133" s="141"/>
      <c r="GP133" s="141"/>
      <c r="GQ133" s="141"/>
      <c r="GR133" s="141"/>
      <c r="GS133" s="141"/>
      <c r="GT133" s="141"/>
      <c r="GU133" s="141"/>
      <c r="GV133" s="141"/>
      <c r="GW133" s="141"/>
      <c r="GX133" s="141"/>
      <c r="GY133" s="141"/>
      <c r="GZ133" s="141"/>
      <c r="HA133" s="141"/>
      <c r="HB133" s="141"/>
      <c r="HC133" s="141"/>
      <c r="HD133" s="141"/>
      <c r="HE133" s="141"/>
      <c r="HF133" s="141"/>
      <c r="HG133" s="141"/>
      <c r="HH133" s="141"/>
      <c r="HI133" s="141"/>
      <c r="HJ133" s="141"/>
      <c r="HK133" s="141"/>
      <c r="HL133" s="141"/>
      <c r="HM133" s="141"/>
      <c r="HN133" s="141"/>
      <c r="HO133" s="141"/>
      <c r="HP133" s="141"/>
      <c r="HQ133" s="141"/>
      <c r="HR133" s="141"/>
      <c r="HS133" s="141"/>
      <c r="HT133" s="141"/>
      <c r="HU133" s="141"/>
      <c r="HV133" s="141"/>
      <c r="HW133" s="141"/>
      <c r="HX133" s="141"/>
      <c r="HY133" s="141"/>
      <c r="HZ133" s="141"/>
      <c r="IA133" s="141"/>
      <c r="IB133" s="141"/>
      <c r="IC133" s="141"/>
      <c r="ID133" s="141"/>
      <c r="IE133" s="141"/>
      <c r="IF133" s="141"/>
      <c r="IG133" s="141"/>
      <c r="IH133" s="141"/>
      <c r="II133" s="141"/>
      <c r="IJ133" s="141"/>
      <c r="IK133" s="141"/>
      <c r="IL133" s="141"/>
      <c r="IM133" s="141"/>
      <c r="IN133" s="141"/>
      <c r="IO133" s="141"/>
      <c r="IP133" s="141"/>
      <c r="IQ133" s="141"/>
      <c r="IR133" s="141"/>
      <c r="IS133" s="141"/>
      <c r="IT133" s="141"/>
      <c r="IU133" s="141"/>
      <c r="IV133" s="141"/>
      <c r="IW133" s="141"/>
      <c r="IX133" s="141"/>
      <c r="IY133" s="141"/>
      <c r="IZ133" s="141"/>
      <c r="JA133" s="141"/>
      <c r="JB133" s="141"/>
      <c r="JC133" s="141"/>
      <c r="JD133" s="141"/>
      <c r="JE133" s="141"/>
      <c r="JF133" s="141"/>
      <c r="JG133" s="141"/>
      <c r="JH133" s="141"/>
    </row>
    <row r="134" spans="1:268" s="142" customFormat="1" ht="12" customHeight="1">
      <c r="A134" s="1023"/>
      <c r="B134" s="1024" t="s">
        <v>658</v>
      </c>
      <c r="C134" s="1025"/>
      <c r="D134" s="1025">
        <f>IS!D$3</f>
        <v>34577</v>
      </c>
      <c r="E134" s="1025">
        <f>IS!E$3</f>
        <v>34668</v>
      </c>
      <c r="F134" s="1025">
        <f>IS!F$3</f>
        <v>34758</v>
      </c>
      <c r="G134" s="1025">
        <f>IS!G$3</f>
        <v>34850</v>
      </c>
      <c r="H134" s="1026"/>
      <c r="I134" s="1025">
        <f>IS!I$3</f>
        <v>34942</v>
      </c>
      <c r="J134" s="1025">
        <f>IS!J$3</f>
        <v>35033</v>
      </c>
      <c r="K134" s="1025">
        <f>IS!K$3</f>
        <v>35123</v>
      </c>
      <c r="L134" s="1025">
        <f>IS!L$3</f>
        <v>35216</v>
      </c>
      <c r="M134" s="1026"/>
      <c r="N134" s="1025">
        <f>IS!N$3</f>
        <v>35308</v>
      </c>
      <c r="O134" s="1025">
        <f>IS!O$3</f>
        <v>35399</v>
      </c>
      <c r="P134" s="1025">
        <f>IS!P$3</f>
        <v>35489</v>
      </c>
      <c r="Q134" s="1025">
        <f>IS!Q$3</f>
        <v>35581</v>
      </c>
      <c r="R134" s="1026"/>
      <c r="S134" s="1025">
        <f>IS!S$3</f>
        <v>35673</v>
      </c>
      <c r="T134" s="1025">
        <f>IS!T$3</f>
        <v>35764</v>
      </c>
      <c r="U134" s="1025">
        <f>IS!U$3</f>
        <v>35854</v>
      </c>
      <c r="V134" s="1025">
        <f>IS!V$3</f>
        <v>35946</v>
      </c>
      <c r="W134" s="1026"/>
      <c r="X134" s="1025">
        <f>IS!X$3</f>
        <v>36038</v>
      </c>
      <c r="Y134" s="1025">
        <f>IS!Y$3</f>
        <v>36129</v>
      </c>
      <c r="Z134" s="1025">
        <f>IS!Z$3</f>
        <v>36219</v>
      </c>
      <c r="AA134" s="1025">
        <f>IS!AA$3</f>
        <v>36311</v>
      </c>
      <c r="AB134" s="1026"/>
      <c r="AC134" s="1025">
        <f>IS!AC$3</f>
        <v>36403</v>
      </c>
      <c r="AD134" s="1025">
        <f>IS!AD$3</f>
        <v>36494</v>
      </c>
      <c r="AE134" s="1025">
        <f>IS!AE$3</f>
        <v>36584</v>
      </c>
      <c r="AF134" s="1025">
        <f>IS!AF$3</f>
        <v>36677</v>
      </c>
      <c r="AG134" s="1026"/>
      <c r="AH134" s="1025">
        <f>IS!AH$3</f>
        <v>36769</v>
      </c>
      <c r="AI134" s="1025">
        <f>IS!AI$3</f>
        <v>36860</v>
      </c>
      <c r="AJ134" s="1025">
        <f>IS!AJ$3</f>
        <v>36950</v>
      </c>
      <c r="AK134" s="1025">
        <f>IS!AK$3</f>
        <v>37042</v>
      </c>
      <c r="AL134" s="1026"/>
      <c r="AM134" s="1025">
        <f>IS!AM$3</f>
        <v>37134</v>
      </c>
      <c r="AN134" s="1025">
        <f>IS!AN$3</f>
        <v>37225</v>
      </c>
      <c r="AO134" s="1025">
        <f>IS!AO$3</f>
        <v>37315</v>
      </c>
      <c r="AP134" s="1025">
        <f>IS!AP$3</f>
        <v>37407</v>
      </c>
      <c r="AQ134" s="1026"/>
      <c r="AR134" s="1025">
        <f>IS!AR$3</f>
        <v>37499</v>
      </c>
      <c r="AS134" s="1025">
        <f>IS!AS$3</f>
        <v>37590</v>
      </c>
      <c r="AT134" s="1025">
        <f>IS!AT$3</f>
        <v>37680</v>
      </c>
      <c r="AU134" s="802"/>
      <c r="AV134" s="1025">
        <f>IS!AV$3</f>
        <v>37346</v>
      </c>
      <c r="AW134" s="1025">
        <f>IS!AW$3</f>
        <v>37437</v>
      </c>
      <c r="AX134" s="1025">
        <f>IS!AX$3</f>
        <v>37529</v>
      </c>
      <c r="AY134" s="1025">
        <f>IS!AY$3</f>
        <v>37621</v>
      </c>
      <c r="AZ134" s="1027"/>
      <c r="BA134" s="1025">
        <f>IS!BA$3</f>
        <v>37711</v>
      </c>
      <c r="BB134" s="1025">
        <f>IS!BB$3</f>
        <v>37802</v>
      </c>
      <c r="BC134" s="1025">
        <f>IS!BC$3</f>
        <v>37894</v>
      </c>
      <c r="BD134" s="1025">
        <f>IS!BD$3</f>
        <v>37986</v>
      </c>
      <c r="BE134" s="1027"/>
      <c r="BF134" s="1025">
        <f>IS!BF$3</f>
        <v>38077</v>
      </c>
      <c r="BG134" s="1025">
        <f>IS!BG$3</f>
        <v>38168</v>
      </c>
      <c r="BH134" s="1025">
        <f>IS!BH$3</f>
        <v>38260</v>
      </c>
      <c r="BI134" s="1025">
        <f>IS!BI$3</f>
        <v>38352</v>
      </c>
      <c r="BJ134" s="1027"/>
      <c r="BK134" s="1025">
        <f>IS!BK$3</f>
        <v>38442</v>
      </c>
      <c r="BL134" s="1025">
        <f>IS!BL$3</f>
        <v>38533</v>
      </c>
      <c r="BM134" s="1025">
        <f>IS!BM$3</f>
        <v>38625</v>
      </c>
      <c r="BN134" s="1025">
        <f>IS!BN$3</f>
        <v>38717</v>
      </c>
      <c r="BO134" s="1027"/>
      <c r="BP134" s="1025">
        <f>IS!BP$3</f>
        <v>38807</v>
      </c>
      <c r="BQ134" s="1025">
        <f>IS!BQ$3</f>
        <v>38898</v>
      </c>
      <c r="BR134" s="1025">
        <f>IS!BR$3</f>
        <v>38990</v>
      </c>
      <c r="BS134" s="1025">
        <f>IS!BS$3</f>
        <v>39082</v>
      </c>
      <c r="BT134" s="1027"/>
      <c r="BU134" s="1025">
        <f>IS!BU$3</f>
        <v>39172</v>
      </c>
      <c r="BV134" s="1025">
        <f>IS!BV$3</f>
        <v>39263</v>
      </c>
      <c r="BW134" s="1025">
        <f>IS!BW$3</f>
        <v>39355</v>
      </c>
      <c r="BX134" s="1025">
        <f>IS!BX$3</f>
        <v>39447</v>
      </c>
      <c r="BY134" s="1027"/>
      <c r="BZ134" s="1025">
        <f>IS!BZ$3</f>
        <v>39538</v>
      </c>
      <c r="CA134" s="1025">
        <f>IS!CA$3</f>
        <v>39629</v>
      </c>
      <c r="CB134" s="1025">
        <f>IS!CB$3</f>
        <v>39721</v>
      </c>
      <c r="CC134" s="1025">
        <f>IS!CC$3</f>
        <v>39813</v>
      </c>
      <c r="CD134" s="1027"/>
      <c r="CE134" s="1025">
        <f>IS!CE$3</f>
        <v>39903</v>
      </c>
      <c r="CF134" s="1025">
        <f>IS!CF$3</f>
        <v>39994</v>
      </c>
      <c r="CG134" s="1025">
        <f>IS!CG$3</f>
        <v>40086</v>
      </c>
      <c r="CH134" s="1025">
        <f>IS!CH$3</f>
        <v>40178</v>
      </c>
      <c r="CI134" s="1027"/>
      <c r="CJ134" s="1025">
        <f>IS!CJ$3</f>
        <v>40268</v>
      </c>
      <c r="CK134" s="1025">
        <f>IS!CK$3</f>
        <v>40359</v>
      </c>
      <c r="CL134" s="1025">
        <f>IS!CL$3</f>
        <v>40451</v>
      </c>
      <c r="CM134" s="1025">
        <f>IS!CM$3</f>
        <v>40543</v>
      </c>
      <c r="CN134" s="1028"/>
      <c r="CO134" s="1029">
        <f>IS!CO$3</f>
        <v>40633</v>
      </c>
      <c r="CP134" s="1029">
        <f>IS!CP$3</f>
        <v>40724</v>
      </c>
      <c r="CQ134" s="1029">
        <f>IS!CQ$3</f>
        <v>40816</v>
      </c>
      <c r="CR134" s="1029">
        <f>IS!CR$3</f>
        <v>40908</v>
      </c>
      <c r="CS134" s="1028"/>
      <c r="CT134" s="1029">
        <f>IS!CT$3</f>
        <v>40999</v>
      </c>
      <c r="CU134" s="1029">
        <f>IS!CU$3</f>
        <v>41090</v>
      </c>
      <c r="CV134" s="1029">
        <f>IS!CV$3</f>
        <v>41182</v>
      </c>
      <c r="CW134" s="1029">
        <f>IS!CW$3</f>
        <v>41274</v>
      </c>
      <c r="CX134" s="1030"/>
      <c r="CY134" s="1029">
        <f>IS!CY$3</f>
        <v>41364</v>
      </c>
      <c r="CZ134" s="1029">
        <f>IS!CZ$3</f>
        <v>41455</v>
      </c>
      <c r="DA134" s="1029">
        <f>IS!DA$3</f>
        <v>41547</v>
      </c>
      <c r="DB134" s="1029">
        <f>IS!DB$3</f>
        <v>41639</v>
      </c>
      <c r="DC134" s="1030"/>
      <c r="DD134" s="1029">
        <f>IS!DD$3</f>
        <v>41729</v>
      </c>
      <c r="DE134" s="1029">
        <f>IS!DE$3</f>
        <v>41820</v>
      </c>
      <c r="DF134" s="1029">
        <f>IS!DF$3</f>
        <v>41912</v>
      </c>
      <c r="DG134" s="1029">
        <f>IS!DG$3</f>
        <v>42004</v>
      </c>
      <c r="DH134" s="1030"/>
      <c r="DI134" s="1029">
        <f>IS!DI$3</f>
        <v>42094</v>
      </c>
      <c r="DJ134" s="1029">
        <f>IS!DJ$3</f>
        <v>42185</v>
      </c>
      <c r="DK134" s="1029">
        <f>IS!DK$3</f>
        <v>42277</v>
      </c>
      <c r="DL134" s="1029">
        <f>IS!DL$3</f>
        <v>42369</v>
      </c>
      <c r="DM134" s="1031"/>
      <c r="DN134" s="1032">
        <f>IS!DN$3</f>
        <v>42460</v>
      </c>
      <c r="DO134" s="1032">
        <f>IS!DO$3</f>
        <v>42551</v>
      </c>
      <c r="DP134" s="1032">
        <f>IS!DP$3</f>
        <v>42643</v>
      </c>
      <c r="DQ134" s="1032">
        <f>IS!DQ$3</f>
        <v>42735</v>
      </c>
      <c r="DR134" s="1031"/>
      <c r="DS134" s="1032">
        <f>IS!DS$3</f>
        <v>42825</v>
      </c>
      <c r="DT134" s="1032">
        <f>IS!DT$3</f>
        <v>42916</v>
      </c>
      <c r="DU134" s="1032">
        <f>IS!DU$3</f>
        <v>43008</v>
      </c>
      <c r="DV134" s="1032">
        <f>IS!DV$3</f>
        <v>43100</v>
      </c>
      <c r="DW134" s="1031"/>
      <c r="DX134" s="1032">
        <f>IS!DX$3</f>
        <v>43190</v>
      </c>
      <c r="DY134" s="1032">
        <f>IS!DY$3</f>
        <v>43281</v>
      </c>
      <c r="DZ134" s="1032">
        <f>IS!DZ$3</f>
        <v>43373</v>
      </c>
      <c r="EA134" s="1032">
        <f>IS!EA$3</f>
        <v>43465</v>
      </c>
      <c r="EB134" s="1031"/>
      <c r="EC134" s="1032">
        <f>IS!EC$3</f>
        <v>43555</v>
      </c>
      <c r="ED134" s="1032">
        <f>IS!ED$3</f>
        <v>43646</v>
      </c>
      <c r="EE134" s="1032">
        <f>IS!EE$3</f>
        <v>43738</v>
      </c>
      <c r="EF134" s="1032">
        <f>IS!EF$3</f>
        <v>43830</v>
      </c>
      <c r="EG134" s="1031"/>
      <c r="EH134" s="1032">
        <f>IS!EH$3</f>
        <v>43921</v>
      </c>
      <c r="EI134" s="1032">
        <f>IS!EI$3</f>
        <v>44012</v>
      </c>
      <c r="EJ134" s="1032">
        <f>IS!EJ$3</f>
        <v>44104</v>
      </c>
      <c r="EK134" s="1032">
        <f>IS!EK$3</f>
        <v>44196</v>
      </c>
      <c r="EL134" s="1031"/>
      <c r="EM134" s="555"/>
      <c r="EN134"/>
      <c r="EO134"/>
      <c r="EP134"/>
      <c r="EQ134"/>
      <c r="ER134"/>
      <c r="ES134"/>
      <c r="ET134" s="141"/>
      <c r="EU134" s="141"/>
      <c r="EV134" s="141"/>
      <c r="EW134" s="141"/>
      <c r="EX134" s="141"/>
      <c r="EY134" s="141"/>
      <c r="EZ134" s="141"/>
      <c r="FA134" s="141"/>
      <c r="FB134" s="141"/>
      <c r="FC134" s="141"/>
      <c r="FD134" s="141"/>
      <c r="FE134" s="141"/>
      <c r="FF134" s="141"/>
      <c r="FG134" s="141"/>
      <c r="FH134" s="141"/>
      <c r="FI134" s="141"/>
      <c r="FJ134" s="141"/>
      <c r="FK134" s="141"/>
      <c r="FL134" s="141"/>
      <c r="FM134" s="141"/>
      <c r="FN134" s="141"/>
      <c r="FO134" s="141"/>
      <c r="FP134" s="141"/>
      <c r="FQ134" s="141"/>
      <c r="FR134" s="141"/>
      <c r="FS134" s="141"/>
      <c r="FT134" s="141"/>
      <c r="FU134" s="141"/>
      <c r="FV134" s="141"/>
      <c r="FW134" s="141"/>
      <c r="FX134" s="141"/>
      <c r="FY134" s="141"/>
      <c r="FZ134" s="141"/>
      <c r="GA134" s="141"/>
      <c r="GB134" s="141"/>
      <c r="GC134" s="141"/>
      <c r="GD134" s="141"/>
      <c r="GE134" s="141"/>
      <c r="GF134" s="141"/>
      <c r="GG134" s="141"/>
      <c r="GH134" s="141"/>
      <c r="GI134" s="141"/>
      <c r="GJ134" s="141"/>
      <c r="GK134" s="141"/>
      <c r="GL134" s="141"/>
      <c r="GM134" s="141"/>
      <c r="GN134" s="141"/>
      <c r="GO134" s="141"/>
      <c r="GP134" s="141"/>
      <c r="GQ134" s="141"/>
      <c r="GR134" s="141"/>
      <c r="GS134" s="141"/>
      <c r="GT134" s="141"/>
      <c r="GU134" s="141"/>
      <c r="GV134" s="141"/>
      <c r="GW134" s="141"/>
      <c r="GX134" s="141"/>
      <c r="GY134" s="141"/>
      <c r="GZ134" s="141"/>
      <c r="HA134" s="141"/>
      <c r="HB134" s="141"/>
      <c r="HC134" s="141"/>
      <c r="HD134" s="141"/>
      <c r="HE134" s="141"/>
      <c r="HF134" s="141"/>
      <c r="HG134" s="141"/>
      <c r="HH134" s="141"/>
      <c r="HI134" s="141"/>
      <c r="HJ134" s="141"/>
      <c r="HK134" s="141"/>
      <c r="HL134" s="141"/>
      <c r="HM134" s="141"/>
      <c r="HN134" s="141"/>
      <c r="HO134" s="141"/>
      <c r="HP134" s="141"/>
      <c r="HQ134" s="141"/>
      <c r="HR134" s="141"/>
      <c r="HS134" s="141"/>
      <c r="HT134" s="141"/>
      <c r="HU134" s="141"/>
      <c r="HV134" s="141"/>
      <c r="HW134" s="141"/>
      <c r="HX134" s="141"/>
      <c r="HY134" s="141"/>
      <c r="HZ134" s="141"/>
      <c r="IA134" s="141"/>
      <c r="IB134" s="141"/>
      <c r="IC134" s="141"/>
      <c r="ID134" s="141"/>
      <c r="IE134" s="141"/>
      <c r="IF134" s="141"/>
      <c r="IG134" s="141"/>
      <c r="IH134" s="141"/>
      <c r="II134" s="141"/>
      <c r="IJ134" s="141"/>
      <c r="IK134" s="141"/>
      <c r="IL134" s="141"/>
      <c r="IM134" s="141"/>
      <c r="IN134" s="141"/>
      <c r="IO134" s="141"/>
      <c r="IP134" s="141"/>
      <c r="IQ134" s="141"/>
      <c r="IR134" s="141"/>
      <c r="IS134" s="141"/>
      <c r="IT134" s="141"/>
      <c r="IU134" s="141"/>
      <c r="IV134" s="141"/>
      <c r="IW134" s="141"/>
      <c r="IX134" s="141"/>
      <c r="IY134" s="141"/>
      <c r="IZ134" s="141"/>
      <c r="JA134" s="141"/>
      <c r="JB134" s="141"/>
      <c r="JC134" s="141"/>
      <c r="JD134" s="141"/>
      <c r="JE134" s="141"/>
      <c r="JF134" s="141"/>
      <c r="JG134" s="141"/>
      <c r="JH134" s="141"/>
    </row>
    <row r="135" spans="1:268" s="142" customFormat="1" ht="12" customHeight="1">
      <c r="A135" s="1033"/>
      <c r="B135" s="1034" t="str">
        <f>IS!B$5</f>
        <v>($ Millions, except per share data)</v>
      </c>
      <c r="C135" s="1035"/>
      <c r="D135" s="1035" t="str">
        <f>IS!D$5</f>
        <v>F1Q95A</v>
      </c>
      <c r="E135" s="1035" t="str">
        <f>IS!E$5</f>
        <v>F2Q95A</v>
      </c>
      <c r="F135" s="1035" t="str">
        <f>IS!F$5</f>
        <v>F3Q95A</v>
      </c>
      <c r="G135" s="1035" t="str">
        <f>IS!G$5</f>
        <v>F4Q95A</v>
      </c>
      <c r="H135" s="1036" t="str">
        <f>IS!H$5</f>
        <v>F1995A</v>
      </c>
      <c r="I135" s="1035" t="str">
        <f>IS!I$5</f>
        <v>F1Q96A</v>
      </c>
      <c r="J135" s="1035" t="str">
        <f>IS!J$5</f>
        <v>F2Q96A</v>
      </c>
      <c r="K135" s="1035" t="str">
        <f>IS!K$5</f>
        <v>F3Q96A</v>
      </c>
      <c r="L135" s="1035" t="str">
        <f>IS!L$5</f>
        <v>F4Q96A</v>
      </c>
      <c r="M135" s="1036" t="str">
        <f>IS!M$5</f>
        <v>F1996A</v>
      </c>
      <c r="N135" s="1035" t="str">
        <f>IS!N$5</f>
        <v>F1Q97A</v>
      </c>
      <c r="O135" s="1035" t="str">
        <f>IS!O$5</f>
        <v>F2Q97A</v>
      </c>
      <c r="P135" s="1035" t="str">
        <f>IS!P$5</f>
        <v>F3Q97A</v>
      </c>
      <c r="Q135" s="1035" t="str">
        <f>IS!Q$5</f>
        <v>F4Q97A</v>
      </c>
      <c r="R135" s="1036" t="str">
        <f>IS!R$5</f>
        <v>F1997A</v>
      </c>
      <c r="S135" s="1035" t="str">
        <f>IS!S$5</f>
        <v>F1Q98A</v>
      </c>
      <c r="T135" s="1035" t="str">
        <f>IS!T$5</f>
        <v>F2Q98A</v>
      </c>
      <c r="U135" s="1035" t="str">
        <f>IS!U$5</f>
        <v>F3Q98A</v>
      </c>
      <c r="V135" s="1035" t="str">
        <f>IS!V$5</f>
        <v>F4Q98A</v>
      </c>
      <c r="W135" s="1036" t="str">
        <f>IS!W$5</f>
        <v>F1998A</v>
      </c>
      <c r="X135" s="1035" t="str">
        <f>IS!X$5</f>
        <v>F1Q99A</v>
      </c>
      <c r="Y135" s="1035" t="str">
        <f>IS!Y$5</f>
        <v>F2Q99A</v>
      </c>
      <c r="Z135" s="1035" t="str">
        <f>IS!Z$5</f>
        <v>F3Q99A</v>
      </c>
      <c r="AA135" s="1035" t="str">
        <f>IS!AA$5</f>
        <v>F4Q99A</v>
      </c>
      <c r="AB135" s="1036" t="str">
        <f>IS!AB$5</f>
        <v>F1999A</v>
      </c>
      <c r="AC135" s="1035" t="str">
        <f>IS!AC$5</f>
        <v>F1Q00A</v>
      </c>
      <c r="AD135" s="1035" t="str">
        <f>IS!AD$5</f>
        <v>F2Q00A</v>
      </c>
      <c r="AE135" s="1035" t="str">
        <f>IS!AE$5</f>
        <v>F3Q00A</v>
      </c>
      <c r="AF135" s="1035" t="str">
        <f>IS!AF$5</f>
        <v>F4Q00A</v>
      </c>
      <c r="AG135" s="1036" t="str">
        <f>IS!AG$5</f>
        <v>F2000A</v>
      </c>
      <c r="AH135" s="1035" t="str">
        <f>IS!AH$5</f>
        <v>F1Q01A</v>
      </c>
      <c r="AI135" s="1035" t="str">
        <f>IS!AI$5</f>
        <v>F2Q01A</v>
      </c>
      <c r="AJ135" s="1035" t="str">
        <f>IS!AJ$5</f>
        <v>F3Q01A</v>
      </c>
      <c r="AK135" s="1035" t="str">
        <f>IS!AK$5</f>
        <v>F4Q01A</v>
      </c>
      <c r="AL135" s="1036" t="str">
        <f>IS!AL$5</f>
        <v>F2001A</v>
      </c>
      <c r="AM135" s="1035" t="str">
        <f>IS!AM$5</f>
        <v>F1Q02A</v>
      </c>
      <c r="AN135" s="1035" t="str">
        <f>IS!AN$5</f>
        <v>F2Q02A</v>
      </c>
      <c r="AO135" s="1035" t="str">
        <f>IS!AO$5</f>
        <v>F3Q02A</v>
      </c>
      <c r="AP135" s="1035" t="str">
        <f>IS!AP$5</f>
        <v>F4Q02A</v>
      </c>
      <c r="AQ135" s="1036" t="str">
        <f>IS!AQ$5</f>
        <v>F2002A</v>
      </c>
      <c r="AR135" s="1035" t="str">
        <f>IS!AR$5</f>
        <v>F1Q03A</v>
      </c>
      <c r="AS135" s="1035" t="str">
        <f>IS!AS$5</f>
        <v>F2Q03A</v>
      </c>
      <c r="AT135" s="1035" t="str">
        <f>IS!AT$5</f>
        <v>F3Q03A</v>
      </c>
      <c r="AU135" s="802"/>
      <c r="AV135" s="1035" t="str">
        <f>IS!AV$5</f>
        <v>1Q02A</v>
      </c>
      <c r="AW135" s="1035" t="str">
        <f>IS!AW$5</f>
        <v>2Q02A</v>
      </c>
      <c r="AX135" s="1035" t="str">
        <f>IS!AX$5</f>
        <v>3Q02A</v>
      </c>
      <c r="AY135" s="1035" t="str">
        <f>IS!AY$5</f>
        <v>4Q02A</v>
      </c>
      <c r="AZ135" s="1036" t="str">
        <f>IS!AZ$5</f>
        <v>2002A</v>
      </c>
      <c r="BA135" s="1035" t="str">
        <f>IS!BA$5</f>
        <v>1Q03A</v>
      </c>
      <c r="BB135" s="1035" t="str">
        <f>IS!BB$5</f>
        <v>2Q03A</v>
      </c>
      <c r="BC135" s="1035" t="str">
        <f>IS!BC$5</f>
        <v>3Q03A</v>
      </c>
      <c r="BD135" s="1035" t="str">
        <f>IS!BD$5</f>
        <v>4Q03A</v>
      </c>
      <c r="BE135" s="1036" t="str">
        <f>IS!BE$5</f>
        <v>2003A</v>
      </c>
      <c r="BF135" s="1035" t="str">
        <f>IS!BF$5</f>
        <v>1Q04A</v>
      </c>
      <c r="BG135" s="1035" t="str">
        <f>IS!BG$5</f>
        <v>2Q04A</v>
      </c>
      <c r="BH135" s="1035" t="str">
        <f>IS!BH$5</f>
        <v>3Q04A</v>
      </c>
      <c r="BI135" s="1035" t="str">
        <f>IS!BI$5</f>
        <v>4Q04A</v>
      </c>
      <c r="BJ135" s="1036" t="str">
        <f>IS!BJ$5</f>
        <v>2004A</v>
      </c>
      <c r="BK135" s="1035" t="str">
        <f>IS!BK$5</f>
        <v>1Q05A</v>
      </c>
      <c r="BL135" s="1035" t="str">
        <f>IS!BL$5</f>
        <v>2Q05A</v>
      </c>
      <c r="BM135" s="1035" t="str">
        <f>IS!BM$5</f>
        <v>3Q05A</v>
      </c>
      <c r="BN135" s="1035" t="str">
        <f>IS!BN$5</f>
        <v>4Q05A</v>
      </c>
      <c r="BO135" s="1036" t="str">
        <f>IS!BO$5</f>
        <v>2005A</v>
      </c>
      <c r="BP135" s="1035" t="str">
        <f>IS!BP$5</f>
        <v>1Q06A</v>
      </c>
      <c r="BQ135" s="1035" t="str">
        <f>IS!BQ$5</f>
        <v>2Q06A</v>
      </c>
      <c r="BR135" s="1035" t="str">
        <f>IS!BR$5</f>
        <v>3Q06A</v>
      </c>
      <c r="BS135" s="1035" t="str">
        <f>IS!BS$5</f>
        <v>4Q06A</v>
      </c>
      <c r="BT135" s="1036" t="str">
        <f>IS!BT$5</f>
        <v>2006A</v>
      </c>
      <c r="BU135" s="1035" t="str">
        <f>IS!BU$5</f>
        <v>1Q07A</v>
      </c>
      <c r="BV135" s="1035" t="str">
        <f>IS!BV$5</f>
        <v>2Q07A</v>
      </c>
      <c r="BW135" s="1035" t="str">
        <f>IS!BW$5</f>
        <v>3Q07A</v>
      </c>
      <c r="BX135" s="1035" t="str">
        <f>IS!BX$5</f>
        <v>4Q07A</v>
      </c>
      <c r="BY135" s="1036" t="str">
        <f>IS!BY$5</f>
        <v>2007A</v>
      </c>
      <c r="BZ135" s="1035" t="str">
        <f>IS!BZ$5</f>
        <v>1Q08A</v>
      </c>
      <c r="CA135" s="1035" t="str">
        <f>IS!CA$5</f>
        <v>2Q08A</v>
      </c>
      <c r="CB135" s="1035" t="str">
        <f>IS!CB$5</f>
        <v>3Q08A</v>
      </c>
      <c r="CC135" s="1035" t="str">
        <f>IS!CC$5</f>
        <v>4Q08A</v>
      </c>
      <c r="CD135" s="1036" t="str">
        <f>IS!CD$5</f>
        <v>2008A</v>
      </c>
      <c r="CE135" s="1035" t="str">
        <f>IS!CE$5</f>
        <v>1Q09A</v>
      </c>
      <c r="CF135" s="1035" t="str">
        <f>IS!CF$5</f>
        <v>2Q09A</v>
      </c>
      <c r="CG135" s="1035" t="str">
        <f>IS!CG$5</f>
        <v>3Q09A</v>
      </c>
      <c r="CH135" s="1035" t="str">
        <f>IS!CH$5</f>
        <v>4Q09A</v>
      </c>
      <c r="CI135" s="1036" t="str">
        <f>IS!CI$5</f>
        <v>2009A</v>
      </c>
      <c r="CJ135" s="1035" t="str">
        <f>IS!CJ$5</f>
        <v>1Q10A</v>
      </c>
      <c r="CK135" s="1035" t="str">
        <f>IS!CK$5</f>
        <v>2Q10A</v>
      </c>
      <c r="CL135" s="1035" t="str">
        <f>IS!CL$5</f>
        <v>3Q10A</v>
      </c>
      <c r="CM135" s="1035" t="str">
        <f>IS!CM$5</f>
        <v>4Q10A</v>
      </c>
      <c r="CN135" s="1036" t="str">
        <f>IS!CN$5</f>
        <v>2010A</v>
      </c>
      <c r="CO135" s="1035" t="str">
        <f>IS!CO$5</f>
        <v>1Q11A</v>
      </c>
      <c r="CP135" s="1035" t="str">
        <f>IS!CP$5</f>
        <v>2Q11A</v>
      </c>
      <c r="CQ135" s="1035" t="str">
        <f>IS!CQ$5</f>
        <v>3Q11A</v>
      </c>
      <c r="CR135" s="1035" t="str">
        <f>IS!CR$5</f>
        <v>4Q11A</v>
      </c>
      <c r="CS135" s="1036" t="str">
        <f>IS!CS$5</f>
        <v>2011A</v>
      </c>
      <c r="CT135" s="1037" t="str">
        <f>IS!CT$5</f>
        <v>1Q12A</v>
      </c>
      <c r="CU135" s="1037" t="str">
        <f>IS!CU$5</f>
        <v>2Q12A</v>
      </c>
      <c r="CV135" s="1037" t="str">
        <f>IS!CV$5</f>
        <v>3Q12A</v>
      </c>
      <c r="CW135" s="1037" t="str">
        <f>IS!CW$5</f>
        <v>4Q12A</v>
      </c>
      <c r="CX135" s="1038" t="str">
        <f>IS!CX$5</f>
        <v>2012A</v>
      </c>
      <c r="CY135" s="1037" t="str">
        <f>IS!CY$5</f>
        <v>1Q13A</v>
      </c>
      <c r="CZ135" s="1037" t="str">
        <f>IS!CZ$5</f>
        <v>2Q13A</v>
      </c>
      <c r="DA135" s="1037" t="str">
        <f>IS!DA$5</f>
        <v>3Q13A</v>
      </c>
      <c r="DB135" s="1037" t="str">
        <f>IS!DB$5</f>
        <v>4Q13A</v>
      </c>
      <c r="DC135" s="1038" t="str">
        <f>IS!DC$5</f>
        <v>2013A</v>
      </c>
      <c r="DD135" s="1037" t="str">
        <f>IS!DD$5</f>
        <v>1Q14A</v>
      </c>
      <c r="DE135" s="1037" t="str">
        <f>IS!DE$5</f>
        <v>2Q14A</v>
      </c>
      <c r="DF135" s="1037" t="str">
        <f>IS!DF$5</f>
        <v>3Q14A</v>
      </c>
      <c r="DG135" s="1037" t="str">
        <f>IS!DG$5</f>
        <v>4Q14A</v>
      </c>
      <c r="DH135" s="1038" t="str">
        <f>IS!DH$5</f>
        <v>2014A</v>
      </c>
      <c r="DI135" s="1037" t="str">
        <f>IS!DI$5</f>
        <v>1Q15A</v>
      </c>
      <c r="DJ135" s="1037" t="str">
        <f>IS!DJ$5</f>
        <v>2Q15A</v>
      </c>
      <c r="DK135" s="1037" t="str">
        <f>IS!DK$5</f>
        <v>3Q15A</v>
      </c>
      <c r="DL135" s="1037" t="str">
        <f>IS!DL$5</f>
        <v>4Q15A</v>
      </c>
      <c r="DM135" s="1038" t="str">
        <f>IS!DM$5</f>
        <v>2015A</v>
      </c>
      <c r="DN135" s="1037" t="str">
        <f>IS!DN$5</f>
        <v>1Q16A</v>
      </c>
      <c r="DO135" s="1037" t="str">
        <f>IS!DO$5</f>
        <v>2Q16A</v>
      </c>
      <c r="DP135" s="1037" t="str">
        <f>IS!DP$5</f>
        <v>3Q16A</v>
      </c>
      <c r="DQ135" s="1037" t="str">
        <f>IS!DQ$5</f>
        <v>4Q16A</v>
      </c>
      <c r="DR135" s="1038" t="str">
        <f>IS!DR$5</f>
        <v>2016A</v>
      </c>
      <c r="DS135" s="1037" t="str">
        <f>IS!DS$5</f>
        <v>1Q17A</v>
      </c>
      <c r="DT135" s="1037" t="str">
        <f>IS!DT$5</f>
        <v>2Q17A</v>
      </c>
      <c r="DU135" s="1037" t="str">
        <f>IS!DU$5</f>
        <v>3Q17A</v>
      </c>
      <c r="DV135" s="1037" t="str">
        <f>IS!DV$5</f>
        <v>4Q17A</v>
      </c>
      <c r="DW135" s="1038" t="str">
        <f>IS!DW$5</f>
        <v>2017A</v>
      </c>
      <c r="DX135" s="1037" t="str">
        <f>IS!DX$5</f>
        <v>1Q18E</v>
      </c>
      <c r="DY135" s="1037" t="str">
        <f>IS!DY$5</f>
        <v>2Q18E</v>
      </c>
      <c r="DZ135" s="1037" t="str">
        <f>IS!DZ$5</f>
        <v>3Q18E</v>
      </c>
      <c r="EA135" s="1037" t="str">
        <f>IS!EA$5</f>
        <v>4Q18E</v>
      </c>
      <c r="EB135" s="1038" t="str">
        <f>IS!EB$5</f>
        <v>2018E</v>
      </c>
      <c r="EC135" s="1037" t="str">
        <f>IS!EC$5</f>
        <v>1Q19E</v>
      </c>
      <c r="ED135" s="1037" t="str">
        <f>IS!ED$5</f>
        <v>2Q19E</v>
      </c>
      <c r="EE135" s="1037" t="str">
        <f>IS!EE$5</f>
        <v>3Q19E</v>
      </c>
      <c r="EF135" s="1037" t="str">
        <f>IS!EF$5</f>
        <v>4Q19E</v>
      </c>
      <c r="EG135" s="1038" t="str">
        <f>IS!EG$5</f>
        <v>2019E</v>
      </c>
      <c r="EH135" s="1037" t="str">
        <f>IS!EH$5</f>
        <v>1Q20E</v>
      </c>
      <c r="EI135" s="1037" t="str">
        <f>IS!EI$5</f>
        <v>2Q20E</v>
      </c>
      <c r="EJ135" s="1037" t="str">
        <f>IS!EJ$5</f>
        <v>3Q20E</v>
      </c>
      <c r="EK135" s="1037" t="str">
        <f>IS!EK$5</f>
        <v>4Q20E</v>
      </c>
      <c r="EL135" s="1038" t="str">
        <f>IS!EL$5</f>
        <v>2020E</v>
      </c>
      <c r="EM135" s="895"/>
      <c r="EN135"/>
      <c r="EO135"/>
      <c r="EP135"/>
      <c r="EQ135"/>
      <c r="ER135"/>
      <c r="ES135"/>
      <c r="ET135" s="141"/>
      <c r="EU135" s="141"/>
      <c r="EV135" s="141"/>
      <c r="EW135" s="141"/>
      <c r="EX135" s="141"/>
      <c r="EY135" s="141"/>
      <c r="EZ135" s="141"/>
      <c r="FA135" s="141"/>
      <c r="FB135" s="141"/>
      <c r="FC135" s="141"/>
      <c r="FD135" s="141"/>
      <c r="FE135" s="141"/>
      <c r="FF135" s="141"/>
      <c r="FG135" s="141"/>
      <c r="FH135" s="141"/>
      <c r="FI135" s="141"/>
      <c r="FJ135" s="141"/>
      <c r="FK135" s="141"/>
      <c r="FL135" s="141"/>
      <c r="FM135" s="141"/>
      <c r="FN135" s="141"/>
      <c r="FO135" s="141"/>
      <c r="FP135" s="141"/>
      <c r="FQ135" s="141"/>
      <c r="FR135" s="141"/>
      <c r="FS135" s="141"/>
      <c r="FT135" s="141"/>
      <c r="FU135" s="141"/>
      <c r="FV135" s="141"/>
      <c r="FW135" s="141"/>
      <c r="FX135" s="141"/>
      <c r="FY135" s="141"/>
      <c r="FZ135" s="141"/>
      <c r="GA135" s="141"/>
      <c r="GB135" s="141"/>
      <c r="GC135" s="141"/>
      <c r="GD135" s="141"/>
      <c r="GE135" s="141"/>
      <c r="GF135" s="141"/>
      <c r="GG135" s="141"/>
      <c r="GH135" s="141"/>
      <c r="GI135" s="141"/>
      <c r="GJ135" s="141"/>
      <c r="GK135" s="141"/>
      <c r="GL135" s="141"/>
      <c r="GM135" s="141"/>
      <c r="GN135" s="141"/>
      <c r="GO135" s="141"/>
      <c r="GP135" s="141"/>
      <c r="GQ135" s="141"/>
      <c r="GR135" s="141"/>
      <c r="GS135" s="141"/>
      <c r="GT135" s="141"/>
      <c r="GU135" s="141"/>
      <c r="GV135" s="141"/>
      <c r="GW135" s="141"/>
      <c r="GX135" s="141"/>
      <c r="GY135" s="141"/>
      <c r="GZ135" s="141"/>
      <c r="HA135" s="141"/>
      <c r="HB135" s="141"/>
      <c r="HC135" s="141"/>
      <c r="HD135" s="141"/>
      <c r="HE135" s="141"/>
      <c r="HF135" s="141"/>
      <c r="HG135" s="141"/>
      <c r="HH135" s="141"/>
      <c r="HI135" s="141"/>
      <c r="HJ135" s="141"/>
      <c r="HK135" s="141"/>
      <c r="HL135" s="141"/>
      <c r="HM135" s="141"/>
      <c r="HN135" s="141"/>
      <c r="HO135" s="141"/>
      <c r="HP135" s="141"/>
      <c r="HQ135" s="141"/>
      <c r="HR135" s="141"/>
      <c r="HS135" s="141"/>
      <c r="HT135" s="141"/>
      <c r="HU135" s="141"/>
      <c r="HV135" s="141"/>
      <c r="HW135" s="141"/>
      <c r="HX135" s="141"/>
      <c r="HY135" s="141"/>
      <c r="HZ135" s="141"/>
      <c r="IA135" s="141"/>
      <c r="IB135" s="141"/>
      <c r="IC135" s="141"/>
      <c r="ID135" s="141"/>
      <c r="IE135" s="141"/>
      <c r="IF135" s="141"/>
      <c r="IG135" s="141"/>
      <c r="IH135" s="141"/>
      <c r="II135" s="141"/>
      <c r="IJ135" s="141"/>
      <c r="IK135" s="141"/>
      <c r="IL135" s="141"/>
      <c r="IM135" s="141"/>
      <c r="IN135" s="141"/>
      <c r="IO135" s="141"/>
      <c r="IP135" s="141"/>
      <c r="IQ135" s="141"/>
      <c r="IR135" s="141"/>
      <c r="IS135" s="141"/>
      <c r="IT135" s="141"/>
      <c r="IU135" s="141"/>
      <c r="IV135" s="141"/>
      <c r="IW135" s="141"/>
      <c r="IX135" s="141"/>
      <c r="IY135" s="141"/>
      <c r="IZ135" s="141"/>
      <c r="JA135" s="141"/>
      <c r="JB135" s="141"/>
      <c r="JC135" s="141"/>
      <c r="JD135" s="141"/>
      <c r="JE135" s="141"/>
      <c r="JF135" s="141"/>
      <c r="JG135" s="141"/>
      <c r="JH135" s="141"/>
    </row>
    <row r="136" spans="1:268" s="4" customFormat="1" ht="12.75" customHeight="1">
      <c r="A136" s="803"/>
      <c r="B136" s="804" t="s">
        <v>48</v>
      </c>
      <c r="C136" s="1039"/>
      <c r="D136" s="1039"/>
      <c r="E136" s="1040"/>
      <c r="F136" s="1040"/>
      <c r="G136" s="1040"/>
      <c r="H136" s="1041">
        <v>165</v>
      </c>
      <c r="I136" s="1040"/>
      <c r="J136" s="1040"/>
      <c r="K136" s="1040"/>
      <c r="L136" s="1040"/>
      <c r="M136" s="1041">
        <v>350</v>
      </c>
      <c r="N136" s="1040"/>
      <c r="O136" s="1040"/>
      <c r="P136" s="1040"/>
      <c r="Q136" s="1040"/>
      <c r="R136" s="1041">
        <v>-254</v>
      </c>
      <c r="S136" s="1040"/>
      <c r="T136" s="1040"/>
      <c r="U136" s="1040"/>
      <c r="V136" s="1040"/>
      <c r="W136" s="1041">
        <v>261</v>
      </c>
      <c r="X136" s="1040">
        <v>137</v>
      </c>
      <c r="Y136" s="1040">
        <f>262-X136</f>
        <v>125</v>
      </c>
      <c r="Z136" s="1040">
        <f>386-X136-Y136</f>
        <v>124</v>
      </c>
      <c r="AA136" s="1042">
        <f>249-X136-Y136-Z136</f>
        <v>-137</v>
      </c>
      <c r="AB136" s="1043">
        <f>SUM(X136:AA136)</f>
        <v>249</v>
      </c>
      <c r="AC136" s="1040">
        <v>109</v>
      </c>
      <c r="AD136" s="1040">
        <f>244-AC136</f>
        <v>135</v>
      </c>
      <c r="AE136" s="1040">
        <f>282-SUM(AC136:AD136)</f>
        <v>38</v>
      </c>
      <c r="AF136" s="1040">
        <f>302-SUM(AC136:AE136)</f>
        <v>20</v>
      </c>
      <c r="AG136" s="1043">
        <f>SUM(AC136:AF136)</f>
        <v>302</v>
      </c>
      <c r="AH136" s="1040">
        <v>154</v>
      </c>
      <c r="AI136" s="1040">
        <f>329-AH136</f>
        <v>175</v>
      </c>
      <c r="AJ136" s="1040">
        <f>527-SUM(AH136:AI136)</f>
        <v>198</v>
      </c>
      <c r="AK136" s="1040">
        <f>643-SUM(AH136:AJ136)</f>
        <v>116</v>
      </c>
      <c r="AL136" s="1043">
        <f>SUM(AH136:AK136)</f>
        <v>643</v>
      </c>
      <c r="AM136" s="1040">
        <v>155</v>
      </c>
      <c r="AN136" s="1040">
        <f>244-AM136</f>
        <v>89</v>
      </c>
      <c r="AO136" s="1040">
        <f>524-SUM(AM136:AN136)</f>
        <v>280</v>
      </c>
      <c r="AP136" s="1040">
        <f>785-SUM(AM136:AO136)</f>
        <v>261</v>
      </c>
      <c r="AQ136" s="1043">
        <f>SUM(AM136:AP136)</f>
        <v>785</v>
      </c>
      <c r="AR136" s="1040">
        <v>338</v>
      </c>
      <c r="AS136" s="1040">
        <f>653-AR136</f>
        <v>315</v>
      </c>
      <c r="AT136" s="1040">
        <f>598-SUM(AR136:AS136)</f>
        <v>-55</v>
      </c>
      <c r="AU136" s="1001"/>
      <c r="AV136" s="992"/>
      <c r="AW136" s="992"/>
      <c r="AX136" s="992"/>
      <c r="AY136" s="992"/>
      <c r="AZ136" s="1044">
        <v>459</v>
      </c>
      <c r="BA136" s="1040">
        <v>-20</v>
      </c>
      <c r="BB136" s="1040">
        <f>-215-BA136</f>
        <v>-195</v>
      </c>
      <c r="BC136" s="1040">
        <f>-523-SUM(BA136:BB136)</f>
        <v>-308</v>
      </c>
      <c r="BD136" s="1040">
        <f>-1477-SUM(BA136:BC136)</f>
        <v>-954</v>
      </c>
      <c r="BE136" s="1043">
        <f>SUM(BA136:BD136)</f>
        <v>-1477</v>
      </c>
      <c r="BF136" s="1040">
        <v>-122</v>
      </c>
      <c r="BG136" s="1040">
        <f>-548-BF136</f>
        <v>-426</v>
      </c>
      <c r="BH136" s="1040">
        <f>-618-SUM(BF136:BG136)</f>
        <v>-70</v>
      </c>
      <c r="BI136" s="1040">
        <f>-2640-SUM(BF136:BH136)</f>
        <v>-2022</v>
      </c>
      <c r="BJ136" s="1043">
        <f>SUM(BF136:BI136)</f>
        <v>-2640</v>
      </c>
      <c r="BK136" s="1040">
        <v>-4</v>
      </c>
      <c r="BL136" s="1040">
        <f>-37-BK136</f>
        <v>-33</v>
      </c>
      <c r="BM136" s="1040">
        <f>-438-SUM(BK136:BL136)</f>
        <v>-401</v>
      </c>
      <c r="BN136" s="1040">
        <f>-724-SUM(BK136:BM136)</f>
        <v>-286</v>
      </c>
      <c r="BO136" s="1043">
        <f>SUM(BK136:BN136)</f>
        <v>-724</v>
      </c>
      <c r="BP136" s="1040">
        <v>70</v>
      </c>
      <c r="BQ136" s="1040">
        <f>-328-BP136</f>
        <v>-398</v>
      </c>
      <c r="BR136" s="1040">
        <f>-417-SUM(BP136:BQ136)</f>
        <v>-89</v>
      </c>
      <c r="BS136" s="1040">
        <f>-803-SUM(BP136:BR136)</f>
        <v>-386</v>
      </c>
      <c r="BT136" s="1043">
        <f>SUM(BP136:BS136)</f>
        <v>-803</v>
      </c>
      <c r="BU136" s="1040">
        <v>75</v>
      </c>
      <c r="BV136" s="1040">
        <f>45-BU136</f>
        <v>-30</v>
      </c>
      <c r="BW136" s="1040">
        <f>-14-SUM(BU136:BV136)</f>
        <v>-59</v>
      </c>
      <c r="BX136" s="1040">
        <f>-89-SUM(BU136:BW136)</f>
        <v>-75</v>
      </c>
      <c r="BY136" s="1043">
        <f>SUM(BU136:BX136)</f>
        <v>-89</v>
      </c>
      <c r="BZ136" s="1040">
        <v>-31</v>
      </c>
      <c r="CA136" s="1040">
        <f>-46-BZ136</f>
        <v>-15</v>
      </c>
      <c r="CB136" s="1040">
        <f>58-SUM(BZ136:CA136)</f>
        <v>104</v>
      </c>
      <c r="CC136" s="1040">
        <f>25-SUM(BZ136:CB136)</f>
        <v>-33</v>
      </c>
      <c r="CD136" s="1043">
        <f>SUM(BZ136:CC136)</f>
        <v>25</v>
      </c>
      <c r="CE136" s="1040">
        <v>183</v>
      </c>
      <c r="CF136" s="1040">
        <f>169-CE136</f>
        <v>-14</v>
      </c>
      <c r="CG136" s="1040">
        <f>168-SUM(CE136:CF136)</f>
        <v>-1</v>
      </c>
      <c r="CH136" s="1040">
        <f>197-SUM(CE136:CG136)</f>
        <v>29</v>
      </c>
      <c r="CI136" s="1043">
        <f>SUM(CE136:CH136)</f>
        <v>197</v>
      </c>
      <c r="CJ136" s="1040">
        <v>95</v>
      </c>
      <c r="CK136" s="1040">
        <f>130-CJ136</f>
        <v>35</v>
      </c>
      <c r="CL136" s="1040">
        <f>1070-SUM(CJ136:CK136)</f>
        <v>940</v>
      </c>
      <c r="CM136" s="1040">
        <f>1152-SUM(CJ136:CL136)</f>
        <v>82</v>
      </c>
      <c r="CN136" s="1043">
        <f>SUM(CJ136:CM136)</f>
        <v>1152</v>
      </c>
      <c r="CO136" s="1040">
        <v>82</v>
      </c>
      <c r="CP136" s="1040">
        <f>145-CO136</f>
        <v>63</v>
      </c>
      <c r="CQ136" s="1040">
        <f>160-SUM(CO136:CP136)</f>
        <v>15</v>
      </c>
      <c r="CR136" s="1040">
        <f>94-SUM(CO136:CQ136)</f>
        <v>-66</v>
      </c>
      <c r="CS136" s="1043">
        <f>SUM(CO136:CR136)</f>
        <v>94</v>
      </c>
      <c r="CT136" s="1040">
        <v>67</v>
      </c>
      <c r="CU136" s="1040">
        <f>47-CT136</f>
        <v>-20</v>
      </c>
      <c r="CV136" s="1040">
        <f>79-CT136-CU136</f>
        <v>32</v>
      </c>
      <c r="CW136" s="1040">
        <f>133-SUM(CT136:CV136)</f>
        <v>54</v>
      </c>
      <c r="CX136" s="1043">
        <f>SUM(CT136:CW136)</f>
        <v>133</v>
      </c>
      <c r="CY136" s="1040">
        <v>-83</v>
      </c>
      <c r="CZ136" s="1040">
        <f>-126-CY136</f>
        <v>-43</v>
      </c>
      <c r="DA136" s="1040">
        <f>-90-CZ136-CY136</f>
        <v>36</v>
      </c>
      <c r="DB136" s="1040">
        <f>-104-SUM(CY136:DA136)</f>
        <v>-14</v>
      </c>
      <c r="DC136" s="1043">
        <f>SUM(CY136:DB136)</f>
        <v>-104</v>
      </c>
      <c r="DD136" s="1040">
        <v>-16</v>
      </c>
      <c r="DE136" s="1040">
        <f>-23-DD136</f>
        <v>-7</v>
      </c>
      <c r="DF136" s="1040">
        <f>-5-SUM(DD136:DE136)</f>
        <v>18</v>
      </c>
      <c r="DG136" s="1040">
        <f>76-SUM(DD136:DF136)</f>
        <v>81</v>
      </c>
      <c r="DH136" s="1043">
        <f>SUM(DD136:DG136)</f>
        <v>76</v>
      </c>
      <c r="DI136" s="1040">
        <v>76</v>
      </c>
      <c r="DJ136" s="1040">
        <f>48-DI136</f>
        <v>-28</v>
      </c>
      <c r="DK136" s="1040">
        <f>76-DJ136-DI136</f>
        <v>28</v>
      </c>
      <c r="DL136" s="1040">
        <f>78-DK136-DJ136-DI136</f>
        <v>2</v>
      </c>
      <c r="DM136" s="1043">
        <f>SUM(DI136:DL136)</f>
        <v>78</v>
      </c>
      <c r="DN136" s="1040">
        <v>34</v>
      </c>
      <c r="DO136" s="1040">
        <f>73-DN136</f>
        <v>39</v>
      </c>
      <c r="DP136" s="1040">
        <f>153-DO136-DN136</f>
        <v>80</v>
      </c>
      <c r="DQ136" s="1040">
        <f>176-DP136-DO136-DN136</f>
        <v>23</v>
      </c>
      <c r="DR136" s="1043">
        <f>SUM(DN136:DQ136)</f>
        <v>176</v>
      </c>
      <c r="DS136" s="1040">
        <v>36</v>
      </c>
      <c r="DT136" s="1040">
        <f>68-DS136</f>
        <v>32</v>
      </c>
      <c r="DU136" s="1040">
        <f>-221-DT136-DS136</f>
        <v>-289</v>
      </c>
      <c r="DV136" s="1040">
        <f>-320-DU136-DT136-DS136</f>
        <v>-99</v>
      </c>
      <c r="DW136" s="1043">
        <f>SUM(DS136:DV136)</f>
        <v>-320</v>
      </c>
      <c r="DX136" s="1042">
        <f>IS!DX35</f>
        <v>116.00684004265835</v>
      </c>
      <c r="DY136" s="1042">
        <f>IS!DY35</f>
        <v>157.26342403299901</v>
      </c>
      <c r="DZ136" s="1042">
        <f>IS!DZ35</f>
        <v>160.48521554081142</v>
      </c>
      <c r="EA136" s="1042">
        <f>IS!EA35</f>
        <v>151.85866757246038</v>
      </c>
      <c r="EB136" s="1043">
        <f>SUM(DX136:EA136)</f>
        <v>585.61414718892911</v>
      </c>
      <c r="EC136" s="1042">
        <f>IS!EC35</f>
        <v>163.97456028051721</v>
      </c>
      <c r="ED136" s="1042">
        <f>IS!ED35</f>
        <v>158.27765799394683</v>
      </c>
      <c r="EE136" s="1042">
        <f>IS!EE35</f>
        <v>163.62945502264569</v>
      </c>
      <c r="EF136" s="1042">
        <f>IS!EF35</f>
        <v>183.53429496625375</v>
      </c>
      <c r="EG136" s="1043">
        <f>SUM(EC136:EF136)</f>
        <v>669.41596826336354</v>
      </c>
      <c r="EH136" s="1042">
        <f>IS!EH35</f>
        <v>177.94135113269311</v>
      </c>
      <c r="EI136" s="1042">
        <f>IS!EI35</f>
        <v>182.51637532446483</v>
      </c>
      <c r="EJ136" s="1042">
        <f>IS!EJ35</f>
        <v>180.93610414542943</v>
      </c>
      <c r="EK136" s="1042">
        <f>IS!EK35</f>
        <v>175.38107322342842</v>
      </c>
      <c r="EL136" s="1043">
        <f>SUM(EH136:EK136)</f>
        <v>716.77490382601582</v>
      </c>
      <c r="EM136" s="925"/>
      <c r="EN136"/>
      <c r="EO136"/>
      <c r="EP136"/>
      <c r="EQ136"/>
      <c r="ER136"/>
      <c r="ES136"/>
      <c r="ET136" s="1495"/>
      <c r="EU136" s="135"/>
      <c r="EV136" s="135"/>
      <c r="EW136" s="135"/>
      <c r="EX136" s="135"/>
      <c r="EY136" s="135"/>
      <c r="EZ136" s="135"/>
      <c r="FA136" s="135"/>
      <c r="FB136" s="135"/>
      <c r="FC136" s="135"/>
      <c r="FD136" s="135"/>
      <c r="FE136" s="135"/>
      <c r="FF136" s="135"/>
      <c r="FG136" s="135"/>
      <c r="FH136" s="135"/>
      <c r="FI136" s="135"/>
      <c r="FJ136" s="135"/>
      <c r="FK136" s="135"/>
      <c r="FL136" s="135"/>
      <c r="FM136" s="135"/>
      <c r="FN136" s="135"/>
      <c r="FO136" s="135"/>
      <c r="FP136" s="135"/>
      <c r="FQ136" s="135"/>
      <c r="FR136" s="135"/>
      <c r="FS136" s="135"/>
      <c r="FT136" s="135"/>
      <c r="FU136" s="135"/>
      <c r="FV136" s="135"/>
      <c r="FW136" s="135"/>
      <c r="FX136" s="135"/>
      <c r="FY136" s="135"/>
      <c r="FZ136" s="135"/>
      <c r="GA136" s="135"/>
      <c r="GB136" s="135"/>
      <c r="GC136" s="135"/>
      <c r="GD136" s="135"/>
      <c r="GE136" s="135"/>
      <c r="GF136" s="135"/>
      <c r="GG136" s="135"/>
      <c r="GH136" s="135"/>
      <c r="GI136" s="135"/>
      <c r="GJ136" s="135"/>
      <c r="GK136" s="135"/>
      <c r="GL136" s="135"/>
      <c r="GM136" s="135"/>
      <c r="GN136" s="135"/>
      <c r="GO136" s="135"/>
      <c r="GP136" s="135"/>
      <c r="GQ136" s="135"/>
      <c r="GR136" s="135"/>
      <c r="GS136" s="135"/>
      <c r="GT136" s="135"/>
      <c r="GU136" s="135"/>
      <c r="GV136" s="135"/>
      <c r="GW136" s="135"/>
      <c r="GX136" s="135"/>
      <c r="GY136" s="135"/>
      <c r="GZ136" s="135"/>
      <c r="HA136" s="135"/>
      <c r="HB136" s="135"/>
      <c r="HC136" s="135"/>
      <c r="HD136" s="135"/>
      <c r="HE136" s="135"/>
      <c r="HF136" s="135"/>
      <c r="HG136" s="135"/>
      <c r="HH136" s="135"/>
      <c r="HI136" s="135"/>
      <c r="HJ136" s="135"/>
      <c r="HK136" s="135"/>
      <c r="HL136" s="135"/>
      <c r="HM136" s="135"/>
      <c r="HN136" s="135"/>
      <c r="HO136" s="135"/>
      <c r="HP136" s="135"/>
      <c r="HQ136" s="135"/>
      <c r="HR136" s="135"/>
      <c r="HS136" s="135"/>
      <c r="HT136" s="135"/>
      <c r="HU136" s="135"/>
      <c r="HV136" s="135"/>
      <c r="HW136" s="135"/>
      <c r="HX136" s="135"/>
      <c r="HY136" s="135"/>
      <c r="HZ136" s="135"/>
      <c r="IA136" s="135"/>
      <c r="IB136" s="135"/>
      <c r="IC136" s="135"/>
      <c r="ID136" s="135"/>
      <c r="IE136" s="135"/>
      <c r="IF136" s="135"/>
      <c r="IG136" s="135"/>
      <c r="IH136" s="135"/>
      <c r="II136" s="135"/>
      <c r="IJ136" s="135"/>
      <c r="IK136" s="135"/>
      <c r="IL136" s="135"/>
      <c r="IM136" s="135"/>
      <c r="IN136" s="135"/>
      <c r="IO136" s="135"/>
      <c r="IP136" s="135"/>
      <c r="IQ136" s="135"/>
      <c r="IR136" s="135"/>
      <c r="IS136" s="135"/>
      <c r="IT136" s="135"/>
      <c r="IU136" s="135"/>
      <c r="IV136" s="135"/>
      <c r="IW136" s="135"/>
      <c r="IX136" s="135"/>
      <c r="IY136" s="135"/>
      <c r="IZ136" s="135"/>
      <c r="JA136" s="135"/>
      <c r="JB136" s="135"/>
      <c r="JC136" s="135"/>
      <c r="JD136" s="135"/>
      <c r="JE136" s="135"/>
      <c r="JF136" s="135"/>
      <c r="JG136" s="135"/>
      <c r="JH136" s="135"/>
    </row>
    <row r="137" spans="1:268" s="4" customFormat="1" ht="3" customHeight="1">
      <c r="A137" s="801"/>
      <c r="B137" s="557"/>
      <c r="C137" s="1045"/>
      <c r="D137" s="1045"/>
      <c r="E137" s="1045"/>
      <c r="F137" s="1045"/>
      <c r="G137" s="1045"/>
      <c r="H137" s="1046"/>
      <c r="I137" s="1045"/>
      <c r="J137" s="1045"/>
      <c r="K137" s="1045"/>
      <c r="L137" s="1045"/>
      <c r="M137" s="1046"/>
      <c r="N137" s="1045"/>
      <c r="O137" s="1045"/>
      <c r="P137" s="1045"/>
      <c r="Q137" s="1045"/>
      <c r="R137" s="1046"/>
      <c r="S137" s="1045"/>
      <c r="T137" s="1045"/>
      <c r="U137" s="1045"/>
      <c r="V137" s="1045"/>
      <c r="W137" s="1046"/>
      <c r="X137" s="1045"/>
      <c r="Y137" s="1045"/>
      <c r="Z137" s="1045"/>
      <c r="AA137" s="1045"/>
      <c r="AB137" s="1047"/>
      <c r="AC137" s="1045"/>
      <c r="AD137" s="1045"/>
      <c r="AE137" s="1045"/>
      <c r="AF137" s="1045"/>
      <c r="AG137" s="1047"/>
      <c r="AH137" s="1045"/>
      <c r="AI137" s="1045"/>
      <c r="AJ137" s="1045"/>
      <c r="AK137" s="1045"/>
      <c r="AL137" s="1047"/>
      <c r="AM137" s="1045"/>
      <c r="AN137" s="1045"/>
      <c r="AO137" s="1045"/>
      <c r="AP137" s="1045"/>
      <c r="AQ137" s="1047"/>
      <c r="AR137" s="1045"/>
      <c r="AS137" s="1045"/>
      <c r="AT137" s="1045"/>
      <c r="AU137" s="802"/>
      <c r="AV137" s="555"/>
      <c r="AW137" s="555"/>
      <c r="AX137" s="555"/>
      <c r="AY137" s="555"/>
      <c r="AZ137" s="1048"/>
      <c r="BA137" s="1045"/>
      <c r="BB137" s="1045"/>
      <c r="BC137" s="1045"/>
      <c r="BD137" s="1045"/>
      <c r="BE137" s="1047"/>
      <c r="BF137" s="1045"/>
      <c r="BG137" s="1045"/>
      <c r="BH137" s="1045"/>
      <c r="BI137" s="1045"/>
      <c r="BJ137" s="1047"/>
      <c r="BK137" s="1045"/>
      <c r="BL137" s="1045"/>
      <c r="BM137" s="1045"/>
      <c r="BN137" s="1045"/>
      <c r="BO137" s="1047"/>
      <c r="BP137" s="1045"/>
      <c r="BQ137" s="1045"/>
      <c r="BR137" s="1045"/>
      <c r="BS137" s="1045"/>
      <c r="BT137" s="1047"/>
      <c r="BU137" s="1045"/>
      <c r="BV137" s="1045"/>
      <c r="BW137" s="1045"/>
      <c r="BX137" s="1045"/>
      <c r="BY137" s="1047"/>
      <c r="BZ137" s="1045"/>
      <c r="CA137" s="1045"/>
      <c r="CB137" s="1045"/>
      <c r="CC137" s="1045"/>
      <c r="CD137" s="1047"/>
      <c r="CE137" s="1045"/>
      <c r="CF137" s="1045"/>
      <c r="CG137" s="1040"/>
      <c r="CH137" s="1022"/>
      <c r="CI137" s="1047"/>
      <c r="CJ137" s="1045"/>
      <c r="CK137" s="1045"/>
      <c r="CL137" s="1045"/>
      <c r="CM137" s="1045"/>
      <c r="CN137" s="1047"/>
      <c r="CO137" s="1045"/>
      <c r="CP137" s="1045"/>
      <c r="CQ137" s="1045"/>
      <c r="CR137" s="1045"/>
      <c r="CS137" s="1047"/>
      <c r="CT137" s="1049"/>
      <c r="CU137" s="1049"/>
      <c r="CV137" s="890"/>
      <c r="CW137" s="1022"/>
      <c r="CX137" s="1047"/>
      <c r="CY137" s="1049"/>
      <c r="CZ137" s="1049"/>
      <c r="DA137" s="890">
        <v>0</v>
      </c>
      <c r="DB137" s="1022"/>
      <c r="DC137" s="1047"/>
      <c r="DD137" s="1049"/>
      <c r="DE137" s="1049"/>
      <c r="DF137" s="890"/>
      <c r="DG137" s="1022"/>
      <c r="DH137" s="1047"/>
      <c r="DI137" s="1049"/>
      <c r="DJ137" s="1049"/>
      <c r="DK137" s="1049"/>
      <c r="DL137" s="1022"/>
      <c r="DM137" s="1047"/>
      <c r="DN137" s="1049"/>
      <c r="DO137" s="1049"/>
      <c r="DP137" s="1049"/>
      <c r="DQ137" s="1022"/>
      <c r="DR137" s="1047"/>
      <c r="DS137" s="1049"/>
      <c r="DT137" s="1049"/>
      <c r="DU137" s="1049"/>
      <c r="DV137" s="1022"/>
      <c r="DW137" s="1047"/>
      <c r="DX137" s="1045"/>
      <c r="DY137" s="1045"/>
      <c r="DZ137" s="1045"/>
      <c r="EA137" s="1045"/>
      <c r="EB137" s="1047"/>
      <c r="EC137" s="1045"/>
      <c r="ED137" s="1045"/>
      <c r="EE137" s="1045"/>
      <c r="EF137" s="1045"/>
      <c r="EG137" s="1047"/>
      <c r="EH137" s="1045"/>
      <c r="EI137" s="1045"/>
      <c r="EJ137" s="1045"/>
      <c r="EK137" s="1045"/>
      <c r="EL137" s="1047"/>
      <c r="EM137" s="561"/>
      <c r="EN137"/>
      <c r="EO137"/>
      <c r="EP137"/>
      <c r="EQ137"/>
      <c r="ER137"/>
      <c r="ES137"/>
      <c r="ET137" s="1495">
        <f>SUM(DS137:DT137)</f>
        <v>0</v>
      </c>
      <c r="EU137" s="135"/>
      <c r="EV137" s="135"/>
      <c r="EW137" s="135"/>
      <c r="EX137" s="135"/>
      <c r="EY137" s="135"/>
      <c r="EZ137" s="135"/>
      <c r="FA137" s="135"/>
      <c r="FB137" s="135"/>
      <c r="FC137" s="135"/>
      <c r="FD137" s="135"/>
      <c r="FE137" s="135"/>
      <c r="FF137" s="135"/>
      <c r="FG137" s="135"/>
      <c r="FH137" s="135"/>
      <c r="FI137" s="135"/>
      <c r="FJ137" s="135"/>
      <c r="FK137" s="135"/>
      <c r="FL137" s="135"/>
      <c r="FM137" s="135"/>
      <c r="FN137" s="135"/>
      <c r="FO137" s="135"/>
      <c r="FP137" s="135"/>
      <c r="FQ137" s="135"/>
      <c r="FR137" s="135"/>
      <c r="FS137" s="135"/>
      <c r="FT137" s="135"/>
      <c r="FU137" s="135"/>
      <c r="FV137" s="135"/>
      <c r="FW137" s="135"/>
      <c r="FX137" s="135"/>
      <c r="FY137" s="135"/>
      <c r="FZ137" s="135"/>
      <c r="GA137" s="135"/>
      <c r="GB137" s="135"/>
      <c r="GC137" s="135"/>
      <c r="GD137" s="135"/>
      <c r="GE137" s="135"/>
      <c r="GF137" s="135"/>
      <c r="GG137" s="135"/>
      <c r="GH137" s="135"/>
      <c r="GI137" s="135"/>
      <c r="GJ137" s="135"/>
      <c r="GK137" s="135"/>
      <c r="GL137" s="135"/>
      <c r="GM137" s="135"/>
      <c r="GN137" s="135"/>
      <c r="GO137" s="135"/>
      <c r="GP137" s="135"/>
      <c r="GQ137" s="135"/>
      <c r="GR137" s="135"/>
      <c r="GS137" s="135"/>
      <c r="GT137" s="135"/>
      <c r="GU137" s="135"/>
      <c r="GV137" s="135"/>
      <c r="GW137" s="135"/>
      <c r="GX137" s="135"/>
      <c r="GY137" s="135"/>
      <c r="GZ137" s="135"/>
      <c r="HA137" s="135"/>
      <c r="HB137" s="135"/>
      <c r="HC137" s="135"/>
      <c r="HD137" s="135"/>
      <c r="HE137" s="135"/>
      <c r="HF137" s="135"/>
      <c r="HG137" s="135"/>
      <c r="HH137" s="135"/>
      <c r="HI137" s="135"/>
      <c r="HJ137" s="135"/>
      <c r="HK137" s="135"/>
      <c r="HL137" s="135"/>
      <c r="HM137" s="135"/>
      <c r="HN137" s="135"/>
      <c r="HO137" s="135"/>
      <c r="HP137" s="135"/>
      <c r="HQ137" s="135"/>
      <c r="HR137" s="135"/>
      <c r="HS137" s="135"/>
      <c r="HT137" s="135"/>
      <c r="HU137" s="135"/>
      <c r="HV137" s="135"/>
      <c r="HW137" s="135"/>
      <c r="HX137" s="135"/>
      <c r="HY137" s="135"/>
      <c r="HZ137" s="135"/>
      <c r="IA137" s="135"/>
      <c r="IB137" s="135"/>
      <c r="IC137" s="135"/>
      <c r="ID137" s="135"/>
      <c r="IE137" s="135"/>
      <c r="IF137" s="135"/>
      <c r="IG137" s="135"/>
      <c r="IH137" s="135"/>
      <c r="II137" s="135"/>
      <c r="IJ137" s="135"/>
      <c r="IK137" s="135"/>
      <c r="IL137" s="135"/>
      <c r="IM137" s="135"/>
      <c r="IN137" s="135"/>
      <c r="IO137" s="135"/>
      <c r="IP137" s="135"/>
      <c r="IQ137" s="135"/>
      <c r="IR137" s="135"/>
      <c r="IS137" s="135"/>
      <c r="IT137" s="135"/>
      <c r="IU137" s="135"/>
      <c r="IV137" s="135"/>
      <c r="IW137" s="135"/>
      <c r="IX137" s="135"/>
      <c r="IY137" s="135"/>
      <c r="IZ137" s="135"/>
      <c r="JA137" s="135"/>
      <c r="JB137" s="135"/>
      <c r="JC137" s="135"/>
      <c r="JD137" s="135"/>
      <c r="JE137" s="135"/>
      <c r="JF137" s="135"/>
      <c r="JG137" s="135"/>
      <c r="JH137" s="135"/>
    </row>
    <row r="138" spans="1:268" s="4" customFormat="1">
      <c r="A138" s="801"/>
      <c r="B138" s="557" t="s">
        <v>45</v>
      </c>
      <c r="C138" s="1050"/>
      <c r="D138" s="1050"/>
      <c r="E138" s="1050"/>
      <c r="F138" s="1051"/>
      <c r="G138" s="1051"/>
      <c r="H138" s="891">
        <v>195</v>
      </c>
      <c r="I138" s="1050"/>
      <c r="J138" s="1050"/>
      <c r="K138" s="1051"/>
      <c r="L138" s="1051"/>
      <c r="M138" s="891">
        <v>321</v>
      </c>
      <c r="N138" s="1050"/>
      <c r="O138" s="1050"/>
      <c r="P138" s="1051"/>
      <c r="Q138" s="1051"/>
      <c r="R138" s="891">
        <v>443</v>
      </c>
      <c r="S138" s="1050"/>
      <c r="T138" s="1050"/>
      <c r="U138" s="1051"/>
      <c r="V138" s="1051"/>
      <c r="W138" s="891">
        <v>460</v>
      </c>
      <c r="X138" s="1051">
        <v>128</v>
      </c>
      <c r="Y138" s="1051">
        <f>261-X138</f>
        <v>133</v>
      </c>
      <c r="Z138" s="1051">
        <f>403-X138-Y138</f>
        <v>142</v>
      </c>
      <c r="AA138" s="1051">
        <f>556-X138-Y138-Z138</f>
        <v>153</v>
      </c>
      <c r="AB138" s="1052">
        <f t="shared" ref="AB138:AB148" si="338">SUM(X138:AA138)</f>
        <v>556</v>
      </c>
      <c r="AC138" s="1051">
        <v>134</v>
      </c>
      <c r="AD138" s="1051">
        <f>266-AC138</f>
        <v>132</v>
      </c>
      <c r="AE138" s="1051">
        <f>399-SUM(AC138:AD138)</f>
        <v>133</v>
      </c>
      <c r="AF138" s="1051">
        <f>533-SUM(AC138:AE138)</f>
        <v>134</v>
      </c>
      <c r="AG138" s="1052">
        <f t="shared" ref="AG138:AG148" si="339">SUM(AC138:AF138)</f>
        <v>533</v>
      </c>
      <c r="AH138" s="1051">
        <v>137</v>
      </c>
      <c r="AI138" s="1051">
        <f>273-AH138</f>
        <v>136</v>
      </c>
      <c r="AJ138" s="1051">
        <f>412-SUM(AH138:AI138)</f>
        <v>139</v>
      </c>
      <c r="AK138" s="1051">
        <f>554-SUM(AH138:AJ138)</f>
        <v>142</v>
      </c>
      <c r="AL138" s="1052">
        <f t="shared" ref="AL138:AL148" si="340">SUM(AH138:AK138)</f>
        <v>554</v>
      </c>
      <c r="AM138" s="1051">
        <v>149</v>
      </c>
      <c r="AN138" s="1051">
        <f>300-AM138</f>
        <v>151</v>
      </c>
      <c r="AO138" s="1051">
        <f>454-SUM(AM138:AN138)</f>
        <v>154</v>
      </c>
      <c r="AP138" s="1051">
        <f>604-SUM(AM138:AO138)</f>
        <v>150</v>
      </c>
      <c r="AQ138" s="1052">
        <f t="shared" ref="AQ138:AQ148" si="341">SUM(AM138:AP138)</f>
        <v>604</v>
      </c>
      <c r="AR138" s="1051">
        <v>128</v>
      </c>
      <c r="AS138" s="1051">
        <f>258-AR138</f>
        <v>130</v>
      </c>
      <c r="AT138" s="1051">
        <f>390-SUM(AR138:AS138)</f>
        <v>132</v>
      </c>
      <c r="AU138" s="802"/>
      <c r="AV138" s="739"/>
      <c r="AW138" s="739"/>
      <c r="AX138" s="739"/>
      <c r="AY138" s="739"/>
      <c r="AZ138" s="1053">
        <v>302</v>
      </c>
      <c r="BA138" s="1051">
        <v>125</v>
      </c>
      <c r="BB138" s="1051">
        <f>245-BA138</f>
        <v>120</v>
      </c>
      <c r="BC138" s="1051">
        <f>357-SUM(BA138:BB138)</f>
        <v>112</v>
      </c>
      <c r="BD138" s="1051">
        <f>471-SUM(BA138:BC138)</f>
        <v>114</v>
      </c>
      <c r="BE138" s="1052">
        <f t="shared" ref="BE138:BE148" si="342">SUM(BA138:BD138)</f>
        <v>471</v>
      </c>
      <c r="BF138" s="1051">
        <v>96</v>
      </c>
      <c r="BG138" s="1051">
        <f>191-BF138</f>
        <v>95</v>
      </c>
      <c r="BH138" s="1051">
        <f>289-SUM(BF138:BG138)</f>
        <v>98</v>
      </c>
      <c r="BI138" s="1051">
        <f>388-SUM(BF138:BH138)</f>
        <v>99</v>
      </c>
      <c r="BJ138" s="1052">
        <f t="shared" ref="BJ138:BJ148" si="343">SUM(BF138:BI138)</f>
        <v>388</v>
      </c>
      <c r="BK138" s="1051">
        <v>96</v>
      </c>
      <c r="BL138" s="1051">
        <f>188-BK138</f>
        <v>92</v>
      </c>
      <c r="BM138" s="1051">
        <f>293-SUM(BK138:BL138)</f>
        <v>105</v>
      </c>
      <c r="BN138" s="1051">
        <f>382-SUM(BK138:BM138)</f>
        <v>89</v>
      </c>
      <c r="BO138" s="1052">
        <f t="shared" ref="BO138:BO148" si="344">SUM(BK138:BN138)</f>
        <v>382</v>
      </c>
      <c r="BP138" s="1051">
        <v>90</v>
      </c>
      <c r="BQ138" s="1051">
        <f>164-BP138</f>
        <v>74</v>
      </c>
      <c r="BR138" s="1051">
        <f>247-SUM(BP138:BQ138)</f>
        <v>83</v>
      </c>
      <c r="BS138" s="1051">
        <f>342-SUM(BP138:BR138)</f>
        <v>95</v>
      </c>
      <c r="BT138" s="1052">
        <f t="shared" ref="BT138:BT148" si="345">SUM(BP138:BS138)</f>
        <v>342</v>
      </c>
      <c r="BU138" s="1051">
        <v>89</v>
      </c>
      <c r="BV138" s="1051">
        <f>178-BU138</f>
        <v>89</v>
      </c>
      <c r="BW138" s="1051">
        <f>269-SUM(BU138:BV138)</f>
        <v>91</v>
      </c>
      <c r="BX138" s="1051">
        <f>362-SUM(BU138:BW138)</f>
        <v>93</v>
      </c>
      <c r="BY138" s="1052">
        <f t="shared" ref="BY138:BY148" si="346">SUM(BU138:BX138)</f>
        <v>362</v>
      </c>
      <c r="BZ138" s="1051">
        <v>95</v>
      </c>
      <c r="CA138" s="1051">
        <f>187-BZ138</f>
        <v>92</v>
      </c>
      <c r="CB138" s="1051">
        <f>277-SUM(BZ138:CA138)</f>
        <v>90</v>
      </c>
      <c r="CC138" s="1051">
        <f>373-SUM(BZ138:CB138)</f>
        <v>96</v>
      </c>
      <c r="CD138" s="1052">
        <f t="shared" ref="CD138:CD148" si="347">SUM(BZ138:CC138)</f>
        <v>373</v>
      </c>
      <c r="CE138" s="1051">
        <v>97</v>
      </c>
      <c r="CF138" s="1051">
        <f>194-CE138</f>
        <v>97</v>
      </c>
      <c r="CG138" s="1051">
        <f>291-SUM(CE138:CF138)</f>
        <v>97</v>
      </c>
      <c r="CH138" s="1051">
        <f>386-SUM(CE138:CG138)</f>
        <v>95</v>
      </c>
      <c r="CI138" s="1052">
        <f t="shared" ref="CI138:CI148" si="348">SUM(CE138:CH138)</f>
        <v>386</v>
      </c>
      <c r="CJ138" s="1051">
        <v>95</v>
      </c>
      <c r="CK138" s="1051">
        <f>192-CJ138</f>
        <v>97</v>
      </c>
      <c r="CL138" s="1051">
        <f>293-SUM(CJ138:CK138)</f>
        <v>101</v>
      </c>
      <c r="CM138" s="1051">
        <f>394-SUM(CJ138:CL138)</f>
        <v>101</v>
      </c>
      <c r="CN138" s="1052">
        <f t="shared" ref="CN138:CN148" si="349">SUM(CJ138:CM138)</f>
        <v>394</v>
      </c>
      <c r="CO138" s="1051">
        <v>101</v>
      </c>
      <c r="CP138" s="1051">
        <f>205-CO138</f>
        <v>104</v>
      </c>
      <c r="CQ138" s="1051">
        <f>308-SUM(CO138,CP138)</f>
        <v>103</v>
      </c>
      <c r="CR138" s="1051">
        <f>413-SUM(CO138:CQ138)</f>
        <v>105</v>
      </c>
      <c r="CS138" s="1052">
        <f t="shared" ref="CS138:CS148" si="350">SUM(CO138:CR138)</f>
        <v>413</v>
      </c>
      <c r="CT138" s="1051">
        <v>104</v>
      </c>
      <c r="CU138" s="1051">
        <f>204-CT138</f>
        <v>100</v>
      </c>
      <c r="CV138" s="1051">
        <f>314-CT138-CU138</f>
        <v>110</v>
      </c>
      <c r="CW138" s="1051">
        <f>430-SUM(CT138:CV138)</f>
        <v>116</v>
      </c>
      <c r="CX138" s="1052">
        <f t="shared" ref="CX138:CX148" si="351">SUM(CT138:CW138)</f>
        <v>430</v>
      </c>
      <c r="CY138" s="1051">
        <v>114</v>
      </c>
      <c r="CZ138" s="1051">
        <f>235-CY138</f>
        <v>121</v>
      </c>
      <c r="DA138" s="1051">
        <f>354-CZ138-CY138</f>
        <v>119</v>
      </c>
      <c r="DB138" s="1051">
        <f>545-SUM(CY138:DA138)</f>
        <v>191</v>
      </c>
      <c r="DC138" s="1052">
        <f t="shared" ref="DC138:DC148" si="352">SUM(CY138:DB138)</f>
        <v>545</v>
      </c>
      <c r="DD138" s="1051">
        <v>193</v>
      </c>
      <c r="DE138" s="1051">
        <f>402-DD138</f>
        <v>209</v>
      </c>
      <c r="DF138" s="1051">
        <f>609-SUM(DD138:DE138)</f>
        <v>207</v>
      </c>
      <c r="DG138" s="1051">
        <f>849-SUM(DD138:DF138)</f>
        <v>240</v>
      </c>
      <c r="DH138" s="1052">
        <f t="shared" ref="DH138:DH148" si="353">SUM(DD138:DG138)</f>
        <v>849</v>
      </c>
      <c r="DI138" s="1051">
        <v>207</v>
      </c>
      <c r="DJ138" s="1051">
        <f>404-DI138</f>
        <v>197</v>
      </c>
      <c r="DK138" s="1051">
        <f>589-DJ138-DI138</f>
        <v>185</v>
      </c>
      <c r="DL138" s="1051">
        <f>797-DK138-DJ138-DI138</f>
        <v>208</v>
      </c>
      <c r="DM138" s="1052">
        <f t="shared" ref="DM138:DM148" si="354">SUM(DI138:DL138)</f>
        <v>797</v>
      </c>
      <c r="DN138" s="1051">
        <v>212</v>
      </c>
      <c r="DO138" s="1051">
        <f>427-DN138</f>
        <v>215</v>
      </c>
      <c r="DP138" s="1051">
        <f>632-DO138-DN138</f>
        <v>205</v>
      </c>
      <c r="DQ138" s="1051">
        <f>850-DP138-DO138-DN138</f>
        <v>218</v>
      </c>
      <c r="DR138" s="1052">
        <f t="shared" ref="DR138:DR148" si="355">SUM(DN138:DQ138)</f>
        <v>850</v>
      </c>
      <c r="DS138" s="1051">
        <v>221</v>
      </c>
      <c r="DT138" s="1051">
        <f>443-DS138</f>
        <v>222</v>
      </c>
      <c r="DU138" s="1051">
        <f>662-DT138-DS138</f>
        <v>219</v>
      </c>
      <c r="DV138" s="1051">
        <f>870-DU138-DT138-DS138</f>
        <v>208</v>
      </c>
      <c r="DW138" s="1052">
        <f t="shared" ref="DW138:DW148" si="356">SUM(DS138:DV138)</f>
        <v>870</v>
      </c>
      <c r="DX138" s="1054">
        <f>IS!DX26</f>
        <v>201.7438009604862</v>
      </c>
      <c r="DY138" s="1054">
        <f>IS!DY26</f>
        <v>201.16481740073576</v>
      </c>
      <c r="DZ138" s="1054">
        <f>IS!DZ26</f>
        <v>192.81340922530634</v>
      </c>
      <c r="EA138" s="1054">
        <f>IS!EA26</f>
        <v>202.4459134842478</v>
      </c>
      <c r="EB138" s="1052">
        <f t="shared" ref="EB138:EB147" si="357">SUM(DX138:EA138)</f>
        <v>798.16794107077612</v>
      </c>
      <c r="EC138" s="1054">
        <f>IS!EC26</f>
        <v>194.5447400748906</v>
      </c>
      <c r="ED138" s="1054">
        <f>IS!ED26</f>
        <v>215.56469068587356</v>
      </c>
      <c r="EE138" s="1054">
        <f>IS!EE26</f>
        <v>210.41342901570511</v>
      </c>
      <c r="EF138" s="1054">
        <f>IS!EF26</f>
        <v>205.68924311205731</v>
      </c>
      <c r="EG138" s="1052">
        <f t="shared" ref="EG138:EG146" si="358">SUM(EC138:EF138)</f>
        <v>826.21210288852649</v>
      </c>
      <c r="EH138" s="1054">
        <f>IS!EH26</f>
        <v>212.97132811575887</v>
      </c>
      <c r="EI138" s="1054">
        <f>IS!EI26</f>
        <v>215.70671379072485</v>
      </c>
      <c r="EJ138" s="1054">
        <f>IS!EJ26</f>
        <v>210.35354948550565</v>
      </c>
      <c r="EK138" s="1054">
        <f>IS!EK26</f>
        <v>224.97197629623295</v>
      </c>
      <c r="EL138" s="1052">
        <f t="shared" ref="EL138:EL144" si="359">SUM(EH138:EK138)</f>
        <v>864.00356768822235</v>
      </c>
      <c r="EM138" s="901"/>
      <c r="EN138"/>
      <c r="EO138"/>
      <c r="EP138"/>
      <c r="EQ138"/>
      <c r="ER138"/>
      <c r="ES138"/>
      <c r="ET138" s="1495"/>
      <c r="EU138" s="135"/>
      <c r="EV138" s="135"/>
      <c r="EW138" s="135"/>
      <c r="EX138" s="135"/>
      <c r="EY138" s="135"/>
      <c r="EZ138" s="135"/>
      <c r="FA138" s="135"/>
      <c r="FB138" s="135"/>
      <c r="FC138" s="135"/>
      <c r="FD138" s="135"/>
      <c r="FE138" s="135"/>
      <c r="FF138" s="135"/>
      <c r="FG138" s="135"/>
      <c r="FH138" s="135"/>
      <c r="FI138" s="135"/>
      <c r="FJ138" s="135"/>
      <c r="FK138" s="135"/>
      <c r="FL138" s="135"/>
      <c r="FM138" s="135"/>
      <c r="FN138" s="135"/>
      <c r="FO138" s="135"/>
      <c r="FP138" s="135"/>
      <c r="FQ138" s="135"/>
      <c r="FR138" s="135"/>
      <c r="FS138" s="135"/>
      <c r="FT138" s="135"/>
      <c r="FU138" s="135"/>
      <c r="FV138" s="135"/>
      <c r="FW138" s="135"/>
      <c r="FX138" s="135"/>
      <c r="FY138" s="135"/>
      <c r="FZ138" s="135"/>
      <c r="GA138" s="135"/>
      <c r="GB138" s="135"/>
      <c r="GC138" s="135"/>
      <c r="GD138" s="135"/>
      <c r="GE138" s="135"/>
      <c r="GF138" s="135"/>
      <c r="GG138" s="135"/>
      <c r="GH138" s="135"/>
      <c r="GI138" s="135"/>
      <c r="GJ138" s="135"/>
      <c r="GK138" s="135"/>
      <c r="GL138" s="135"/>
      <c r="GM138" s="135"/>
      <c r="GN138" s="135"/>
      <c r="GO138" s="135"/>
      <c r="GP138" s="135"/>
      <c r="GQ138" s="135"/>
      <c r="GR138" s="135"/>
      <c r="GS138" s="135"/>
      <c r="GT138" s="135"/>
      <c r="GU138" s="135"/>
      <c r="GV138" s="135"/>
      <c r="GW138" s="135"/>
      <c r="GX138" s="135"/>
      <c r="GY138" s="135"/>
      <c r="GZ138" s="135"/>
      <c r="HA138" s="135"/>
      <c r="HB138" s="135"/>
      <c r="HC138" s="135"/>
      <c r="HD138" s="135"/>
      <c r="HE138" s="135"/>
      <c r="HF138" s="135"/>
      <c r="HG138" s="135"/>
      <c r="HH138" s="135"/>
      <c r="HI138" s="135"/>
      <c r="HJ138" s="135"/>
      <c r="HK138" s="135"/>
      <c r="HL138" s="135"/>
      <c r="HM138" s="135"/>
      <c r="HN138" s="135"/>
      <c r="HO138" s="135"/>
      <c r="HP138" s="135"/>
      <c r="HQ138" s="135"/>
      <c r="HR138" s="135"/>
      <c r="HS138" s="135"/>
      <c r="HT138" s="135"/>
      <c r="HU138" s="135"/>
      <c r="HV138" s="135"/>
      <c r="HW138" s="135"/>
      <c r="HX138" s="135"/>
      <c r="HY138" s="135"/>
      <c r="HZ138" s="135"/>
      <c r="IA138" s="135"/>
      <c r="IB138" s="135"/>
      <c r="IC138" s="135"/>
      <c r="ID138" s="135"/>
      <c r="IE138" s="135"/>
      <c r="IF138" s="135"/>
      <c r="IG138" s="135"/>
      <c r="IH138" s="135"/>
      <c r="II138" s="135"/>
      <c r="IJ138" s="135"/>
      <c r="IK138" s="135"/>
      <c r="IL138" s="135"/>
      <c r="IM138" s="135"/>
      <c r="IN138" s="135"/>
      <c r="IO138" s="135"/>
      <c r="IP138" s="135"/>
      <c r="IQ138" s="135"/>
      <c r="IR138" s="135"/>
      <c r="IS138" s="135"/>
      <c r="IT138" s="135"/>
      <c r="IU138" s="135"/>
      <c r="IV138" s="135"/>
      <c r="IW138" s="135"/>
      <c r="IX138" s="135"/>
      <c r="IY138" s="135"/>
      <c r="IZ138" s="135"/>
      <c r="JA138" s="135"/>
      <c r="JB138" s="135"/>
      <c r="JC138" s="135"/>
      <c r="JD138" s="135"/>
      <c r="JE138" s="135"/>
      <c r="JF138" s="135"/>
      <c r="JG138" s="135"/>
      <c r="JH138" s="135"/>
    </row>
    <row r="139" spans="1:268" s="4" customFormat="1">
      <c r="A139" s="801"/>
      <c r="B139" s="557" t="s">
        <v>336</v>
      </c>
      <c r="C139" s="1050"/>
      <c r="D139" s="1050"/>
      <c r="E139" s="1050"/>
      <c r="F139" s="1051"/>
      <c r="G139" s="1051"/>
      <c r="H139" s="891">
        <v>0</v>
      </c>
      <c r="I139" s="1050"/>
      <c r="J139" s="1050"/>
      <c r="K139" s="1051"/>
      <c r="L139" s="1051"/>
      <c r="M139" s="891">
        <v>0</v>
      </c>
      <c r="N139" s="1050"/>
      <c r="O139" s="1050"/>
      <c r="P139" s="1051"/>
      <c r="Q139" s="1051"/>
      <c r="R139" s="891">
        <v>494</v>
      </c>
      <c r="S139" s="1050"/>
      <c r="T139" s="1050"/>
      <c r="U139" s="1051"/>
      <c r="V139" s="1051"/>
      <c r="W139" s="891">
        <v>588</v>
      </c>
      <c r="X139" s="1051">
        <v>159</v>
      </c>
      <c r="Y139" s="1051">
        <f>343-X139</f>
        <v>184</v>
      </c>
      <c r="Z139" s="1051">
        <f>533-X139-Y139</f>
        <v>190</v>
      </c>
      <c r="AA139" s="1051">
        <f>743-X139-Y139-Z139</f>
        <v>210</v>
      </c>
      <c r="AB139" s="1052">
        <f t="shared" si="338"/>
        <v>743</v>
      </c>
      <c r="AC139" s="1051">
        <v>223</v>
      </c>
      <c r="AD139" s="1051">
        <f>433-AC139</f>
        <v>210</v>
      </c>
      <c r="AE139" s="1051">
        <f>647-SUM(AC139:AD139)</f>
        <v>214</v>
      </c>
      <c r="AF139" s="1051">
        <f>851-SUM(AC139:AE139)</f>
        <v>204</v>
      </c>
      <c r="AG139" s="1052">
        <f t="shared" si="339"/>
        <v>851</v>
      </c>
      <c r="AH139" s="1051">
        <v>213</v>
      </c>
      <c r="AI139" s="1051">
        <f>419-AH139</f>
        <v>206</v>
      </c>
      <c r="AJ139" s="1051">
        <f>638-SUM(AH139:AI139)</f>
        <v>219</v>
      </c>
      <c r="AK139" s="1051">
        <f>849-SUM(AH139:AJ139)</f>
        <v>211</v>
      </c>
      <c r="AL139" s="1052">
        <f t="shared" si="340"/>
        <v>849</v>
      </c>
      <c r="AM139" s="1051">
        <v>246</v>
      </c>
      <c r="AN139" s="1051">
        <f>504-AM139</f>
        <v>258</v>
      </c>
      <c r="AO139" s="1051">
        <f>740-SUM(AM139:AN139)</f>
        <v>236</v>
      </c>
      <c r="AP139" s="1051">
        <f>986-SUM(AM139:AO139)</f>
        <v>246</v>
      </c>
      <c r="AQ139" s="1052">
        <f t="shared" si="341"/>
        <v>986</v>
      </c>
      <c r="AR139" s="1051">
        <v>277</v>
      </c>
      <c r="AS139" s="1051">
        <f>568-AR139</f>
        <v>291</v>
      </c>
      <c r="AT139" s="1051">
        <f>872-SUM(AR139:AS139)</f>
        <v>304</v>
      </c>
      <c r="AU139" s="802"/>
      <c r="AV139" s="555"/>
      <c r="AW139" s="555"/>
      <c r="AX139" s="555"/>
      <c r="AY139" s="555"/>
      <c r="AZ139" s="1053">
        <v>676</v>
      </c>
      <c r="BA139" s="1051">
        <v>300</v>
      </c>
      <c r="BB139" s="1051">
        <f>616-BA139</f>
        <v>316</v>
      </c>
      <c r="BC139" s="1051">
        <f>1168-SUM(BA139:BB139)</f>
        <v>552</v>
      </c>
      <c r="BD139" s="1051">
        <f>1575-SUM(BA139:BC139)</f>
        <v>407</v>
      </c>
      <c r="BE139" s="1052">
        <f t="shared" si="342"/>
        <v>1575</v>
      </c>
      <c r="BF139" s="1051">
        <v>293</v>
      </c>
      <c r="BG139" s="1051">
        <f>790-BF139</f>
        <v>497</v>
      </c>
      <c r="BH139" s="1051">
        <f>1018-SUM(BF139:BG139)</f>
        <v>228</v>
      </c>
      <c r="BI139" s="1051">
        <f>1205-SUM(BF139:BH139)</f>
        <v>187</v>
      </c>
      <c r="BJ139" s="1052">
        <f t="shared" si="343"/>
        <v>1205</v>
      </c>
      <c r="BK139" s="1051">
        <v>167</v>
      </c>
      <c r="BL139" s="1051">
        <f>320-BK139</f>
        <v>153</v>
      </c>
      <c r="BM139" s="1051">
        <f>526-SUM(BK139:BL139)</f>
        <v>206</v>
      </c>
      <c r="BN139" s="1051">
        <f>698-SUM(BK139:BM139)</f>
        <v>172</v>
      </c>
      <c r="BO139" s="1052">
        <f t="shared" si="344"/>
        <v>698</v>
      </c>
      <c r="BP139" s="1051">
        <v>138</v>
      </c>
      <c r="BQ139" s="1051">
        <f>249-BP139</f>
        <v>111</v>
      </c>
      <c r="BR139" s="1051">
        <f>406-SUM(BP139:BQ139)</f>
        <v>157</v>
      </c>
      <c r="BS139" s="1051">
        <f>530-SUM(BP139:BR139)</f>
        <v>124</v>
      </c>
      <c r="BT139" s="1052">
        <f t="shared" si="345"/>
        <v>530</v>
      </c>
      <c r="BU139" s="1051">
        <v>141</v>
      </c>
      <c r="BV139" s="1051">
        <f>292-BU139</f>
        <v>151</v>
      </c>
      <c r="BW139" s="1051">
        <f>433-SUM(BU139:BV139)</f>
        <v>141</v>
      </c>
      <c r="BX139" s="1051">
        <f>567-SUM(BU139:BW139)</f>
        <v>134</v>
      </c>
      <c r="BY139" s="1052">
        <f t="shared" si="346"/>
        <v>567</v>
      </c>
      <c r="BZ139" s="1051">
        <v>149</v>
      </c>
      <c r="CA139" s="1051">
        <f>302-BZ139</f>
        <v>153</v>
      </c>
      <c r="CB139" s="1051">
        <f>466-SUM(BZ139:CA139)</f>
        <v>164</v>
      </c>
      <c r="CC139" s="1051">
        <f>632-SUM(BZ139:CB139)</f>
        <v>166</v>
      </c>
      <c r="CD139" s="1052">
        <f t="shared" si="347"/>
        <v>632</v>
      </c>
      <c r="CE139" s="1051">
        <v>156</v>
      </c>
      <c r="CF139" s="1051">
        <f>323-CE139</f>
        <v>167</v>
      </c>
      <c r="CG139" s="1051">
        <f>516-SUM(CE139:CF139)</f>
        <v>193</v>
      </c>
      <c r="CH139" s="1051">
        <f>697-SUM(CE139:CG139)</f>
        <v>181</v>
      </c>
      <c r="CI139" s="1052">
        <f t="shared" si="348"/>
        <v>697</v>
      </c>
      <c r="CJ139" s="1051">
        <v>189</v>
      </c>
      <c r="CK139" s="1051">
        <f>362-CJ139</f>
        <v>173</v>
      </c>
      <c r="CL139" s="1051">
        <f>549-SUM(CJ139:CK139)</f>
        <v>187</v>
      </c>
      <c r="CM139" s="1051">
        <f>740-SUM(CJ139:CL139)</f>
        <v>191</v>
      </c>
      <c r="CN139" s="1052">
        <f t="shared" si="349"/>
        <v>740</v>
      </c>
      <c r="CO139" s="1051">
        <v>182</v>
      </c>
      <c r="CP139" s="1051">
        <f>353-CO139</f>
        <v>171</v>
      </c>
      <c r="CQ139" s="1051">
        <f>546-SUM(CO139,CP139)</f>
        <v>193</v>
      </c>
      <c r="CR139" s="1051">
        <f>730-SUM(CO139:CQ139)</f>
        <v>184</v>
      </c>
      <c r="CS139" s="1052">
        <f t="shared" si="350"/>
        <v>730</v>
      </c>
      <c r="CT139" s="1051">
        <v>193</v>
      </c>
      <c r="CU139" s="1051">
        <f>379-CT139</f>
        <v>186</v>
      </c>
      <c r="CV139" s="1051">
        <f>585-CT139-CU139</f>
        <v>206</v>
      </c>
      <c r="CW139" s="1051">
        <f>785-SUM(CT139:CV139)</f>
        <v>200</v>
      </c>
      <c r="CX139" s="1052">
        <f t="shared" si="351"/>
        <v>785</v>
      </c>
      <c r="CY139" s="1051">
        <v>207</v>
      </c>
      <c r="CZ139" s="1051">
        <f>414-CY139</f>
        <v>207</v>
      </c>
      <c r="DA139" s="1051">
        <f>624-CZ139-CY139</f>
        <v>210</v>
      </c>
      <c r="DB139" s="1051">
        <f>972-SUM(CY139:DA139)</f>
        <v>348</v>
      </c>
      <c r="DC139" s="1052">
        <f t="shared" si="352"/>
        <v>972</v>
      </c>
      <c r="DD139" s="1051">
        <v>380</v>
      </c>
      <c r="DE139" s="1051">
        <f>700-DD139</f>
        <v>320</v>
      </c>
      <c r="DF139" s="1051">
        <f>949-SUM(DD139:DE139)</f>
        <v>249</v>
      </c>
      <c r="DG139" s="1051">
        <f>1305-SUM(DD139:DF139)</f>
        <v>356</v>
      </c>
      <c r="DH139" s="1052">
        <f t="shared" si="353"/>
        <v>1305</v>
      </c>
      <c r="DI139" s="1051">
        <v>363</v>
      </c>
      <c r="DJ139" s="1051">
        <f>715-DI139</f>
        <v>352</v>
      </c>
      <c r="DK139" s="1051">
        <f>1086-DJ139-DI139</f>
        <v>371</v>
      </c>
      <c r="DL139" s="1051">
        <f>1477-DK139-DJ139-DI139</f>
        <v>391</v>
      </c>
      <c r="DM139" s="1052">
        <f t="shared" si="354"/>
        <v>1477</v>
      </c>
      <c r="DN139" s="1051">
        <v>376</v>
      </c>
      <c r="DO139" s="1051">
        <f>728-DN139</f>
        <v>352</v>
      </c>
      <c r="DP139" s="1051">
        <f>1095-DO139-DN139</f>
        <v>367</v>
      </c>
      <c r="DQ139" s="1051">
        <f>1449-DP139-DO139-DN139</f>
        <v>354</v>
      </c>
      <c r="DR139" s="1052">
        <f t="shared" si="355"/>
        <v>1449</v>
      </c>
      <c r="DS139" s="1051">
        <v>383</v>
      </c>
      <c r="DT139" s="1051">
        <f>754-DS139</f>
        <v>371</v>
      </c>
      <c r="DU139" s="1051">
        <f>1109-DT139-DS139</f>
        <v>355</v>
      </c>
      <c r="DV139" s="1051">
        <f>1434-DU139-DT139-DS139</f>
        <v>325</v>
      </c>
      <c r="DW139" s="1052">
        <f t="shared" si="356"/>
        <v>1434</v>
      </c>
      <c r="DX139" s="1054">
        <f>IS!DX13</f>
        <v>379.2288165338615</v>
      </c>
      <c r="DY139" s="1054">
        <f>IS!DY13</f>
        <v>378.48077233031057</v>
      </c>
      <c r="DZ139" s="1054">
        <f>IS!DZ13</f>
        <v>363.00784110143934</v>
      </c>
      <c r="EA139" s="1054">
        <f>IS!EA13</f>
        <v>379.77080284616454</v>
      </c>
      <c r="EB139" s="1052">
        <f t="shared" si="357"/>
        <v>1500.4882328117758</v>
      </c>
      <c r="EC139" s="1054">
        <f>IS!EC13</f>
        <v>368.0435585811594</v>
      </c>
      <c r="ED139" s="1054">
        <f>IS!ED13</f>
        <v>373.26918243588312</v>
      </c>
      <c r="EE139" s="1054">
        <f>IS!EE13</f>
        <v>364.40015606766138</v>
      </c>
      <c r="EF139" s="1054">
        <f>IS!EF13</f>
        <v>390.53638559369347</v>
      </c>
      <c r="EG139" s="1052">
        <f t="shared" si="358"/>
        <v>1496.2492826783973</v>
      </c>
      <c r="EH139" s="1054">
        <f>IS!EH13</f>
        <v>378.40492450892515</v>
      </c>
      <c r="EI139" s="1054">
        <f>IS!EI13</f>
        <v>383.45211786141363</v>
      </c>
      <c r="EJ139" s="1054">
        <f>IS!EJ13</f>
        <v>374.00945809385172</v>
      </c>
      <c r="EK139" s="1054">
        <f>IS!EK13</f>
        <v>401.37604212760067</v>
      </c>
      <c r="EL139" s="1052">
        <f t="shared" si="359"/>
        <v>1537.2425425917911</v>
      </c>
      <c r="EM139" s="901"/>
      <c r="EN139"/>
      <c r="EO139"/>
      <c r="EP139"/>
      <c r="EQ139"/>
      <c r="ER139"/>
      <c r="ES139"/>
      <c r="ET139" s="1495"/>
      <c r="EU139" s="135"/>
      <c r="EV139" s="135"/>
      <c r="EW139" s="135"/>
      <c r="EX139" s="135"/>
      <c r="EY139" s="135"/>
      <c r="EZ139" s="135"/>
      <c r="FA139" s="135"/>
      <c r="FB139" s="135"/>
      <c r="FC139" s="135"/>
      <c r="FD139" s="135"/>
      <c r="FE139" s="135"/>
      <c r="FF139" s="135"/>
      <c r="FG139" s="135"/>
      <c r="FH139" s="135"/>
      <c r="FI139" s="135"/>
      <c r="FJ139" s="135"/>
      <c r="FK139" s="135"/>
      <c r="FL139" s="135"/>
      <c r="FM139" s="135"/>
      <c r="FN139" s="135"/>
      <c r="FO139" s="135"/>
      <c r="FP139" s="135"/>
      <c r="FQ139" s="135"/>
      <c r="FR139" s="135"/>
      <c r="FS139" s="135"/>
      <c r="FT139" s="135"/>
      <c r="FU139" s="135"/>
      <c r="FV139" s="135"/>
      <c r="FW139" s="135"/>
      <c r="FX139" s="135"/>
      <c r="FY139" s="135"/>
      <c r="FZ139" s="135"/>
      <c r="GA139" s="135"/>
      <c r="GB139" s="135"/>
      <c r="GC139" s="135"/>
      <c r="GD139" s="135"/>
      <c r="GE139" s="135"/>
      <c r="GF139" s="135"/>
      <c r="GG139" s="135"/>
      <c r="GH139" s="135"/>
      <c r="GI139" s="135"/>
      <c r="GJ139" s="135"/>
      <c r="GK139" s="135"/>
      <c r="GL139" s="135"/>
      <c r="GM139" s="135"/>
      <c r="GN139" s="135"/>
      <c r="GO139" s="135"/>
      <c r="GP139" s="135"/>
      <c r="GQ139" s="135"/>
      <c r="GR139" s="135"/>
      <c r="GS139" s="135"/>
      <c r="GT139" s="135"/>
      <c r="GU139" s="135"/>
      <c r="GV139" s="135"/>
      <c r="GW139" s="135"/>
      <c r="GX139" s="135"/>
      <c r="GY139" s="135"/>
      <c r="GZ139" s="135"/>
      <c r="HA139" s="135"/>
      <c r="HB139" s="135"/>
      <c r="HC139" s="135"/>
      <c r="HD139" s="135"/>
      <c r="HE139" s="135"/>
      <c r="HF139" s="135"/>
      <c r="HG139" s="135"/>
      <c r="HH139" s="135"/>
      <c r="HI139" s="135"/>
      <c r="HJ139" s="135"/>
      <c r="HK139" s="135"/>
      <c r="HL139" s="135"/>
      <c r="HM139" s="135"/>
      <c r="HN139" s="135"/>
      <c r="HO139" s="135"/>
      <c r="HP139" s="135"/>
      <c r="HQ139" s="135"/>
      <c r="HR139" s="135"/>
      <c r="HS139" s="135"/>
      <c r="HT139" s="135"/>
      <c r="HU139" s="135"/>
      <c r="HV139" s="135"/>
      <c r="HW139" s="135"/>
      <c r="HX139" s="135"/>
      <c r="HY139" s="135"/>
      <c r="HZ139" s="135"/>
      <c r="IA139" s="135"/>
      <c r="IB139" s="135"/>
      <c r="IC139" s="135"/>
      <c r="ID139" s="135"/>
      <c r="IE139" s="135"/>
      <c r="IF139" s="135"/>
      <c r="IG139" s="135"/>
      <c r="IH139" s="135"/>
      <c r="II139" s="135"/>
      <c r="IJ139" s="135"/>
      <c r="IK139" s="135"/>
      <c r="IL139" s="135"/>
      <c r="IM139" s="135"/>
      <c r="IN139" s="135"/>
      <c r="IO139" s="135"/>
      <c r="IP139" s="135"/>
      <c r="IQ139" s="135"/>
      <c r="IR139" s="135"/>
      <c r="IS139" s="135"/>
      <c r="IT139" s="135"/>
      <c r="IU139" s="135"/>
      <c r="IV139" s="135"/>
      <c r="IW139" s="135"/>
      <c r="IX139" s="135"/>
      <c r="IY139" s="135"/>
      <c r="IZ139" s="135"/>
      <c r="JA139" s="135"/>
      <c r="JB139" s="135"/>
      <c r="JC139" s="135"/>
      <c r="JD139" s="135"/>
      <c r="JE139" s="135"/>
      <c r="JF139" s="135"/>
      <c r="JG139" s="135"/>
      <c r="JH139" s="135"/>
    </row>
    <row r="140" spans="1:268" s="4" customFormat="1">
      <c r="A140" s="801"/>
      <c r="B140" s="557" t="s">
        <v>535</v>
      </c>
      <c r="C140" s="1050"/>
      <c r="D140" s="1050"/>
      <c r="E140" s="1050"/>
      <c r="F140" s="1051"/>
      <c r="G140" s="1051"/>
      <c r="H140" s="891">
        <v>95</v>
      </c>
      <c r="I140" s="1050"/>
      <c r="J140" s="1050"/>
      <c r="K140" s="1051"/>
      <c r="L140" s="1051"/>
      <c r="M140" s="891">
        <v>243</v>
      </c>
      <c r="N140" s="1050"/>
      <c r="O140" s="1050"/>
      <c r="P140" s="1051"/>
      <c r="Q140" s="1051"/>
      <c r="R140" s="891">
        <v>-219</v>
      </c>
      <c r="S140" s="1050"/>
      <c r="T140" s="1050"/>
      <c r="U140" s="1051"/>
      <c r="V140" s="1051"/>
      <c r="W140" s="891">
        <v>131</v>
      </c>
      <c r="X140" s="1051">
        <v>14</v>
      </c>
      <c r="Y140" s="1051">
        <f>41-X140</f>
        <v>27</v>
      </c>
      <c r="Z140" s="1051">
        <f>95-X140-Y140</f>
        <v>54</v>
      </c>
      <c r="AA140" s="1051">
        <f>101-X140-Y140-Z140</f>
        <v>6</v>
      </c>
      <c r="AB140" s="1052">
        <f t="shared" si="338"/>
        <v>101</v>
      </c>
      <c r="AC140" s="1051">
        <v>46</v>
      </c>
      <c r="AD140" s="1051">
        <f>20-AC140</f>
        <v>-26</v>
      </c>
      <c r="AE140" s="1051">
        <f>-27-SUM(AC140:AD140)</f>
        <v>-47</v>
      </c>
      <c r="AF140" s="1051">
        <f>2-SUM(AC140:AE140)</f>
        <v>29</v>
      </c>
      <c r="AG140" s="1052">
        <f t="shared" si="339"/>
        <v>2</v>
      </c>
      <c r="AH140" s="1051">
        <v>58</v>
      </c>
      <c r="AI140" s="1051">
        <f>28-AH140</f>
        <v>-30</v>
      </c>
      <c r="AJ140" s="1051">
        <f>18-SUM(AH140:AI140)</f>
        <v>-10</v>
      </c>
      <c r="AK140" s="1051">
        <f>48-SUM(AH140:AJ140)</f>
        <v>30</v>
      </c>
      <c r="AL140" s="1052">
        <f t="shared" si="340"/>
        <v>48</v>
      </c>
      <c r="AM140" s="1051">
        <v>18</v>
      </c>
      <c r="AN140" s="1051">
        <f>-4-AM140</f>
        <v>-22</v>
      </c>
      <c r="AO140" s="1051">
        <f>2-SUM(AM140:AN140)</f>
        <v>6</v>
      </c>
      <c r="AP140" s="1051">
        <f>90-SUM(AM140:AO140)</f>
        <v>88</v>
      </c>
      <c r="AQ140" s="1052">
        <f t="shared" si="341"/>
        <v>90</v>
      </c>
      <c r="AR140" s="1051">
        <v>53</v>
      </c>
      <c r="AS140" s="1051">
        <f>34-AR140</f>
        <v>-19</v>
      </c>
      <c r="AT140" s="1051">
        <f>-231-SUM(AR140:AS140)</f>
        <v>-265</v>
      </c>
      <c r="AU140" s="802"/>
      <c r="AV140" s="555"/>
      <c r="AW140" s="555"/>
      <c r="AX140" s="555"/>
      <c r="AY140" s="555"/>
      <c r="AZ140" s="1053">
        <v>-255</v>
      </c>
      <c r="BA140" s="1051">
        <v>6</v>
      </c>
      <c r="BB140" s="1051">
        <f>-84-BA140</f>
        <v>-90</v>
      </c>
      <c r="BC140" s="1051">
        <f>-268-SUM(BA140:BB140)</f>
        <v>-184</v>
      </c>
      <c r="BD140" s="1051">
        <f>-563-SUM(BA140:BC140)</f>
        <v>-295</v>
      </c>
      <c r="BE140" s="1052">
        <f t="shared" si="342"/>
        <v>-563</v>
      </c>
      <c r="BF140" s="1051">
        <v>22</v>
      </c>
      <c r="BG140" s="1051">
        <f>-182-BF140</f>
        <v>-204</v>
      </c>
      <c r="BH140" s="1051">
        <f>-166-SUM(BF140:BG140)</f>
        <v>16</v>
      </c>
      <c r="BI140" s="1051">
        <f>495-SUM(BF140:BH140)</f>
        <v>661</v>
      </c>
      <c r="BJ140" s="1052">
        <f t="shared" si="343"/>
        <v>495</v>
      </c>
      <c r="BK140" s="1051">
        <v>-18</v>
      </c>
      <c r="BL140" s="1051">
        <f>-38-BK140</f>
        <v>-20</v>
      </c>
      <c r="BM140" s="1051">
        <f>-35-SUM(BK140:BL140)</f>
        <v>3</v>
      </c>
      <c r="BN140" s="1051">
        <f>-62-SUM(BK140:BM140)</f>
        <v>-27</v>
      </c>
      <c r="BO140" s="1052">
        <f t="shared" si="344"/>
        <v>-62</v>
      </c>
      <c r="BP140" s="1051">
        <v>-1</v>
      </c>
      <c r="BQ140" s="1051">
        <f>-85-BP140</f>
        <v>-84</v>
      </c>
      <c r="BR140" s="1051">
        <f>-2-SUM(BP140:BQ140)</f>
        <v>83</v>
      </c>
      <c r="BS140" s="1051">
        <f>-68-SUM(BP140:BR140)</f>
        <v>-66</v>
      </c>
      <c r="BT140" s="1052">
        <f t="shared" si="345"/>
        <v>-68</v>
      </c>
      <c r="BU140" s="1051">
        <v>-2</v>
      </c>
      <c r="BV140" s="1051">
        <f>0-BU140</f>
        <v>2</v>
      </c>
      <c r="BW140" s="1051">
        <f>-2-SUM(BU140:BV140)</f>
        <v>-2</v>
      </c>
      <c r="BX140" s="1051">
        <f>2-SUM(BU140:BW140)</f>
        <v>4</v>
      </c>
      <c r="BY140" s="1052">
        <f t="shared" si="346"/>
        <v>2</v>
      </c>
      <c r="BZ140" s="1051">
        <v>21</v>
      </c>
      <c r="CA140" s="1051">
        <f>16-BZ140</f>
        <v>-5</v>
      </c>
      <c r="CB140" s="1051">
        <f>11-SUM(BZ140:CA140)</f>
        <v>-5</v>
      </c>
      <c r="CC140" s="1051">
        <f>-13-SUM(BZ140:CB140)</f>
        <v>-24</v>
      </c>
      <c r="CD140" s="1052">
        <f t="shared" si="347"/>
        <v>-13</v>
      </c>
      <c r="CE140" s="1051">
        <v>3</v>
      </c>
      <c r="CF140" s="1051">
        <f>11-CE140</f>
        <v>8</v>
      </c>
      <c r="CG140" s="1051">
        <f>17-SUM(CE140:CF140)</f>
        <v>6</v>
      </c>
      <c r="CH140" s="1051">
        <f>20-SUM(CE140:CG140)</f>
        <v>3</v>
      </c>
      <c r="CI140" s="1052">
        <f t="shared" si="348"/>
        <v>20</v>
      </c>
      <c r="CJ140" s="1051">
        <v>5</v>
      </c>
      <c r="CK140" s="1051">
        <f>12-CJ140</f>
        <v>7</v>
      </c>
      <c r="CL140" s="1051">
        <f>-984-SUM(CJ140:CK140)</f>
        <v>-996</v>
      </c>
      <c r="CM140" s="1051">
        <f>-952-SUM(CJ140:CL140)</f>
        <v>32</v>
      </c>
      <c r="CN140" s="1052">
        <f t="shared" si="349"/>
        <v>-952</v>
      </c>
      <c r="CO140" s="1051">
        <v>35</v>
      </c>
      <c r="CP140" s="1051">
        <f>91-CO140</f>
        <v>56</v>
      </c>
      <c r="CQ140" s="1051">
        <f>102-SUM(CP140, CO140)</f>
        <v>11</v>
      </c>
      <c r="CR140" s="1051">
        <f>81-SUM(CO140:CQ140)</f>
        <v>-21</v>
      </c>
      <c r="CS140" s="1052">
        <f t="shared" si="350"/>
        <v>81</v>
      </c>
      <c r="CT140" s="1051">
        <v>38</v>
      </c>
      <c r="CU140" s="1051">
        <f>37-CT140</f>
        <v>-1</v>
      </c>
      <c r="CV140" s="1051">
        <f>58-CT140-CU140</f>
        <v>21</v>
      </c>
      <c r="CW140" s="1051">
        <f>92-SUM(CT140:CV140)</f>
        <v>34</v>
      </c>
      <c r="CX140" s="1052">
        <f t="shared" si="351"/>
        <v>92</v>
      </c>
      <c r="CY140" s="1051">
        <v>-55</v>
      </c>
      <c r="CZ140" s="1051">
        <f>-76-CY140</f>
        <v>-21</v>
      </c>
      <c r="DA140" s="1051">
        <f>-60-CZ140-CY140</f>
        <v>16</v>
      </c>
      <c r="DB140" s="1051">
        <f>-67-SUM(CY140:DA140)</f>
        <v>-7</v>
      </c>
      <c r="DC140" s="1052">
        <f t="shared" si="352"/>
        <v>-67</v>
      </c>
      <c r="DD140" s="1051">
        <v>-3</v>
      </c>
      <c r="DE140" s="1051">
        <f>-7-DD140</f>
        <v>-4</v>
      </c>
      <c r="DF140" s="1051">
        <f>-22-SUM(DD140:DE140)</f>
        <v>-15</v>
      </c>
      <c r="DG140" s="1051">
        <f>30-SUM(DD140:DF140)</f>
        <v>52</v>
      </c>
      <c r="DH140" s="1052">
        <f t="shared" si="353"/>
        <v>30</v>
      </c>
      <c r="DI140" s="1051">
        <v>12</v>
      </c>
      <c r="DJ140" s="1051">
        <f>-27-DI140</f>
        <v>-39</v>
      </c>
      <c r="DK140" s="1051">
        <f>-10-DJ140-DI140</f>
        <v>17</v>
      </c>
      <c r="DL140" s="1051">
        <f>42-DK140-DJ140-DI140</f>
        <v>52</v>
      </c>
      <c r="DM140" s="1052">
        <f t="shared" si="354"/>
        <v>42</v>
      </c>
      <c r="DN140" s="1051">
        <v>31</v>
      </c>
      <c r="DO140" s="1051">
        <f>37-DN140</f>
        <v>6</v>
      </c>
      <c r="DP140" s="1051">
        <f>32-DO140-DN140</f>
        <v>-5</v>
      </c>
      <c r="DQ140" s="1051">
        <f>41-DP140-DO140-DN140</f>
        <v>9</v>
      </c>
      <c r="DR140" s="1052">
        <f t="shared" si="355"/>
        <v>41</v>
      </c>
      <c r="DS140" s="1051">
        <v>0</v>
      </c>
      <c r="DT140" s="1051">
        <f>-81-DS140</f>
        <v>-81</v>
      </c>
      <c r="DU140" s="1051">
        <f>-145-DT140-DS140</f>
        <v>-64</v>
      </c>
      <c r="DV140" s="1051">
        <f>200-DU140-DT140-DS140</f>
        <v>345</v>
      </c>
      <c r="DW140" s="1052">
        <f t="shared" si="356"/>
        <v>200</v>
      </c>
      <c r="DX140" s="1054">
        <f>-('BS &amp; CF'!DX20-'BS &amp; CF'!DW20)+('BS &amp; CF'!DX39-'BS &amp; CF'!DW39)</f>
        <v>20.168305074801765</v>
      </c>
      <c r="DY140" s="1054">
        <f>-('BS &amp; CF'!DY20-'BS &amp; CF'!DX20)+('BS &amp; CF'!DY39-'BS &amp; CF'!DX39)</f>
        <v>27.340945687677731</v>
      </c>
      <c r="DZ140" s="1054">
        <f>-('BS &amp; CF'!DZ20-'BS &amp; CF'!DY20)+('BS &amp; CF'!DZ39-'BS &amp; CF'!DY39)</f>
        <v>27.901068470033238</v>
      </c>
      <c r="EA140" s="1054">
        <f>-('BS &amp; CF'!EA20-'BS &amp; CF'!DZ20)+('BS &amp; CF'!EA39-'BS &amp; CF'!DZ39)</f>
        <v>26.401304739686509</v>
      </c>
      <c r="EB140" s="1052">
        <f t="shared" si="357"/>
        <v>101.81162397219924</v>
      </c>
      <c r="EC140" s="1054">
        <f>-('BS &amp; CF'!EC20-'BS &amp; CF'!EB20)+('BS &amp; CF'!EC39-'BS &amp; CF'!EB39)</f>
        <v>27.329093380086192</v>
      </c>
      <c r="ED140" s="1054">
        <f>-('BS &amp; CF'!ED20-'BS &amp; CF'!EC20)+('BS &amp; CF'!ED39-'BS &amp; CF'!EC39)</f>
        <v>26.379609665657824</v>
      </c>
      <c r="EE140" s="1054">
        <f>-('BS &amp; CF'!EE20-'BS &amp; CF'!ED20)+('BS &amp; CF'!EE39-'BS &amp; CF'!ED39)</f>
        <v>27.271575837107605</v>
      </c>
      <c r="EF140" s="1054">
        <f>-('BS &amp; CF'!EF20-'BS &amp; CF'!EE20)+('BS &amp; CF'!EF39-'BS &amp; CF'!EE39)</f>
        <v>30.589049161042283</v>
      </c>
      <c r="EG140" s="1052">
        <f t="shared" si="358"/>
        <v>111.5693280438939</v>
      </c>
      <c r="EH140" s="1054">
        <f>-('BS &amp; CF'!EH20-'BS &amp; CF'!EG20)+('BS &amp; CF'!EH39-'BS &amp; CF'!EG39)</f>
        <v>29.656891855448862</v>
      </c>
      <c r="EI140" s="1054">
        <f>-('BS &amp; CF'!EI20-'BS &amp; CF'!EH20)+('BS &amp; CF'!EI39-'BS &amp; CF'!EH39)</f>
        <v>30.419395887410815</v>
      </c>
      <c r="EJ140" s="1054">
        <f>-('BS &amp; CF'!EJ20-'BS &amp; CF'!EI20)+('BS &amp; CF'!EJ39-'BS &amp; CF'!EI39)</f>
        <v>30.156017357571557</v>
      </c>
      <c r="EK140" s="1054">
        <f>-('BS &amp; CF'!EK20-'BS &amp; CF'!EJ20)+('BS &amp; CF'!EK39-'BS &amp; CF'!EJ39)</f>
        <v>29.230178870571393</v>
      </c>
      <c r="EL140" s="1052">
        <f t="shared" si="359"/>
        <v>119.46248397100263</v>
      </c>
      <c r="EM140" s="901"/>
      <c r="EN140"/>
      <c r="EO140"/>
      <c r="EP140"/>
      <c r="EQ140"/>
      <c r="ER140"/>
      <c r="ES140"/>
      <c r="ET140" s="1495"/>
      <c r="EU140" s="135"/>
      <c r="EV140" s="135"/>
      <c r="EW140" s="135"/>
      <c r="EX140" s="135"/>
      <c r="EY140" s="135"/>
      <c r="EZ140" s="135"/>
      <c r="FA140" s="135"/>
      <c r="FB140" s="135"/>
      <c r="FC140" s="135"/>
      <c r="FD140" s="135"/>
      <c r="FE140" s="135"/>
      <c r="FF140" s="135"/>
      <c r="FG140" s="135"/>
      <c r="FH140" s="135"/>
      <c r="FI140" s="135"/>
      <c r="FJ140" s="135"/>
      <c r="FK140" s="135"/>
      <c r="FL140" s="135"/>
      <c r="FM140" s="135"/>
      <c r="FN140" s="135"/>
      <c r="FO140" s="135"/>
      <c r="FP140" s="135"/>
      <c r="FQ140" s="135"/>
      <c r="FR140" s="135"/>
      <c r="FS140" s="135"/>
      <c r="FT140" s="135"/>
      <c r="FU140" s="135"/>
      <c r="FV140" s="135"/>
      <c r="FW140" s="135"/>
      <c r="FX140" s="135"/>
      <c r="FY140" s="135"/>
      <c r="FZ140" s="135"/>
      <c r="GA140" s="135"/>
      <c r="GB140" s="135"/>
      <c r="GC140" s="135"/>
      <c r="GD140" s="135"/>
      <c r="GE140" s="135"/>
      <c r="GF140" s="135"/>
      <c r="GG140" s="135"/>
      <c r="GH140" s="135"/>
      <c r="GI140" s="135"/>
      <c r="GJ140" s="135"/>
      <c r="GK140" s="135"/>
      <c r="GL140" s="135"/>
      <c r="GM140" s="135"/>
      <c r="GN140" s="135"/>
      <c r="GO140" s="135"/>
      <c r="GP140" s="135"/>
      <c r="GQ140" s="135"/>
      <c r="GR140" s="135"/>
      <c r="GS140" s="135"/>
      <c r="GT140" s="135"/>
      <c r="GU140" s="135"/>
      <c r="GV140" s="135"/>
      <c r="GW140" s="135"/>
      <c r="GX140" s="135"/>
      <c r="GY140" s="135"/>
      <c r="GZ140" s="135"/>
      <c r="HA140" s="135"/>
      <c r="HB140" s="135"/>
      <c r="HC140" s="135"/>
      <c r="HD140" s="135"/>
      <c r="HE140" s="135"/>
      <c r="HF140" s="135"/>
      <c r="HG140" s="135"/>
      <c r="HH140" s="135"/>
      <c r="HI140" s="135"/>
      <c r="HJ140" s="135"/>
      <c r="HK140" s="135"/>
      <c r="HL140" s="135"/>
      <c r="HM140" s="135"/>
      <c r="HN140" s="135"/>
      <c r="HO140" s="135"/>
      <c r="HP140" s="135"/>
      <c r="HQ140" s="135"/>
      <c r="HR140" s="135"/>
      <c r="HS140" s="135"/>
      <c r="HT140" s="135"/>
      <c r="HU140" s="135"/>
      <c r="HV140" s="135"/>
      <c r="HW140" s="135"/>
      <c r="HX140" s="135"/>
      <c r="HY140" s="135"/>
      <c r="HZ140" s="135"/>
      <c r="IA140" s="135"/>
      <c r="IB140" s="135"/>
      <c r="IC140" s="135"/>
      <c r="ID140" s="135"/>
      <c r="IE140" s="135"/>
      <c r="IF140" s="135"/>
      <c r="IG140" s="135"/>
      <c r="IH140" s="135"/>
      <c r="II140" s="135"/>
      <c r="IJ140" s="135"/>
      <c r="IK140" s="135"/>
      <c r="IL140" s="135"/>
      <c r="IM140" s="135"/>
      <c r="IN140" s="135"/>
      <c r="IO140" s="135"/>
      <c r="IP140" s="135"/>
      <c r="IQ140" s="135"/>
      <c r="IR140" s="135"/>
      <c r="IS140" s="135"/>
      <c r="IT140" s="135"/>
      <c r="IU140" s="135"/>
      <c r="IV140" s="135"/>
      <c r="IW140" s="135"/>
      <c r="IX140" s="135"/>
      <c r="IY140" s="135"/>
      <c r="IZ140" s="135"/>
      <c r="JA140" s="135"/>
      <c r="JB140" s="135"/>
      <c r="JC140" s="135"/>
      <c r="JD140" s="135"/>
      <c r="JE140" s="135"/>
      <c r="JF140" s="135"/>
      <c r="JG140" s="135"/>
      <c r="JH140" s="135"/>
    </row>
    <row r="141" spans="1:268" s="4" customFormat="1">
      <c r="A141" s="801"/>
      <c r="B141" s="557" t="s">
        <v>49</v>
      </c>
      <c r="C141" s="1050"/>
      <c r="D141" s="1050"/>
      <c r="E141" s="1050"/>
      <c r="F141" s="1051"/>
      <c r="G141" s="1051"/>
      <c r="H141" s="891"/>
      <c r="I141" s="1050"/>
      <c r="J141" s="1050"/>
      <c r="K141" s="1051"/>
      <c r="L141" s="1051"/>
      <c r="M141" s="891">
        <v>0</v>
      </c>
      <c r="N141" s="1050"/>
      <c r="O141" s="1050"/>
      <c r="P141" s="1051"/>
      <c r="Q141" s="1051"/>
      <c r="R141" s="891">
        <v>0</v>
      </c>
      <c r="S141" s="1050"/>
      <c r="T141" s="1050"/>
      <c r="U141" s="1051"/>
      <c r="V141" s="1051"/>
      <c r="W141" s="891">
        <v>0</v>
      </c>
      <c r="X141" s="1051">
        <v>0</v>
      </c>
      <c r="Y141" s="1051">
        <v>0</v>
      </c>
      <c r="Z141" s="1051">
        <v>0</v>
      </c>
      <c r="AA141" s="1051">
        <v>0</v>
      </c>
      <c r="AB141" s="1052">
        <f t="shared" si="338"/>
        <v>0</v>
      </c>
      <c r="AC141" s="1051">
        <v>0</v>
      </c>
      <c r="AD141" s="1051">
        <f>0-AC141</f>
        <v>0</v>
      </c>
      <c r="AE141" s="1051">
        <f>0-SUM(AC141:AD141)</f>
        <v>0</v>
      </c>
      <c r="AF141" s="1051">
        <f>0-SUM(AC141:AE141)</f>
        <v>0</v>
      </c>
      <c r="AG141" s="1052">
        <f t="shared" si="339"/>
        <v>0</v>
      </c>
      <c r="AH141" s="1051">
        <v>0</v>
      </c>
      <c r="AI141" s="1051">
        <f>0-AH141</f>
        <v>0</v>
      </c>
      <c r="AJ141" s="1051">
        <f>0-SUM(AH141:AI141)</f>
        <v>0</v>
      </c>
      <c r="AK141" s="1051">
        <f>0-SUM(AH141:AJ141)</f>
        <v>0</v>
      </c>
      <c r="AL141" s="1052">
        <f t="shared" si="340"/>
        <v>0</v>
      </c>
      <c r="AM141" s="1051">
        <v>0</v>
      </c>
      <c r="AN141" s="1051">
        <f>0-AM141</f>
        <v>0</v>
      </c>
      <c r="AO141" s="1051">
        <f>0-SUM(AM141:AN141)</f>
        <v>0</v>
      </c>
      <c r="AP141" s="1051">
        <f>0-SUM(AM141:AO141)</f>
        <v>0</v>
      </c>
      <c r="AQ141" s="1052">
        <f t="shared" si="341"/>
        <v>0</v>
      </c>
      <c r="AR141" s="1051">
        <v>0</v>
      </c>
      <c r="AS141" s="1051">
        <f>0-AR141</f>
        <v>0</v>
      </c>
      <c r="AT141" s="1051">
        <f>0-SUM(AR141:AS141)</f>
        <v>0</v>
      </c>
      <c r="AU141" s="802"/>
      <c r="AV141" s="555"/>
      <c r="AW141" s="555"/>
      <c r="AX141" s="555"/>
      <c r="AY141" s="555"/>
      <c r="AZ141" s="1053">
        <v>0</v>
      </c>
      <c r="BA141" s="1051">
        <v>39</v>
      </c>
      <c r="BB141" s="1051">
        <f>76-BA141</f>
        <v>37</v>
      </c>
      <c r="BC141" s="1051">
        <f>108-SUM(BA141:BB141)</f>
        <v>32</v>
      </c>
      <c r="BD141" s="1051">
        <f>139-SUM(BA141:BC141)</f>
        <v>31</v>
      </c>
      <c r="BE141" s="1052">
        <f t="shared" si="342"/>
        <v>139</v>
      </c>
      <c r="BF141" s="1051">
        <v>21</v>
      </c>
      <c r="BG141" s="1051">
        <f>57-BF141</f>
        <v>36</v>
      </c>
      <c r="BH141" s="1051">
        <f>82-SUM(BF141:BG141)</f>
        <v>25</v>
      </c>
      <c r="BI141" s="1051">
        <f>101-SUM(BF141:BH141)</f>
        <v>19</v>
      </c>
      <c r="BJ141" s="1052">
        <f t="shared" si="343"/>
        <v>101</v>
      </c>
      <c r="BK141" s="1051">
        <v>13</v>
      </c>
      <c r="BL141" s="1051">
        <f>26-BK141</f>
        <v>13</v>
      </c>
      <c r="BM141" s="1051">
        <f>38-SUM(BK141:BL141)</f>
        <v>12</v>
      </c>
      <c r="BN141" s="1051">
        <f>48-SUM(BK141:BM141)</f>
        <v>10</v>
      </c>
      <c r="BO141" s="1052">
        <f t="shared" si="344"/>
        <v>48</v>
      </c>
      <c r="BP141" s="1051">
        <v>11</v>
      </c>
      <c r="BQ141" s="1051">
        <f>22-BP141</f>
        <v>11</v>
      </c>
      <c r="BR141" s="1051">
        <f>34-SUM(BP141:BQ141)</f>
        <v>12</v>
      </c>
      <c r="BS141" s="1051">
        <f>50-SUM(BP141:BR141)</f>
        <v>16</v>
      </c>
      <c r="BT141" s="1052">
        <f t="shared" si="345"/>
        <v>50</v>
      </c>
      <c r="BU141" s="1051">
        <v>11</v>
      </c>
      <c r="BV141" s="1051">
        <f>21-BU141</f>
        <v>10</v>
      </c>
      <c r="BW141" s="1051">
        <f>31-SUM(BU141:BV141)</f>
        <v>10</v>
      </c>
      <c r="BX141" s="1051">
        <f>40-SUM(BU141:BW141)</f>
        <v>9</v>
      </c>
      <c r="BY141" s="1052">
        <f t="shared" si="346"/>
        <v>40</v>
      </c>
      <c r="BZ141" s="1051">
        <v>10</v>
      </c>
      <c r="CA141" s="1051">
        <f>20-BZ141</f>
        <v>10</v>
      </c>
      <c r="CB141" s="1051">
        <f>27-SUM(BZ141:CA141)</f>
        <v>7</v>
      </c>
      <c r="CC141" s="1051">
        <f>33-SUM(BZ141:CB141)</f>
        <v>6</v>
      </c>
      <c r="CD141" s="1052">
        <f t="shared" si="347"/>
        <v>33</v>
      </c>
      <c r="CE141" s="1051">
        <v>7</v>
      </c>
      <c r="CF141" s="1051">
        <f>13-CE141</f>
        <v>6</v>
      </c>
      <c r="CG141" s="1051">
        <f>18-SUM(CE141:CF141)</f>
        <v>5</v>
      </c>
      <c r="CH141" s="1051">
        <f>23-SUM(CE141:CG141)</f>
        <v>5</v>
      </c>
      <c r="CI141" s="1052">
        <f t="shared" si="348"/>
        <v>23</v>
      </c>
      <c r="CJ141" s="1051">
        <v>7</v>
      </c>
      <c r="CK141" s="1051">
        <f>13-CJ141</f>
        <v>6</v>
      </c>
      <c r="CL141" s="1051">
        <f>18-SUM(CJ141:CK141)</f>
        <v>5</v>
      </c>
      <c r="CM141" s="1051">
        <f>22-SUM(CJ141:CL141)</f>
        <v>4</v>
      </c>
      <c r="CN141" s="1052">
        <f t="shared" si="349"/>
        <v>22</v>
      </c>
      <c r="CO141" s="1051">
        <v>7</v>
      </c>
      <c r="CP141" s="1051">
        <f>12-CO141</f>
        <v>5</v>
      </c>
      <c r="CQ141" s="1051">
        <f>17-SUM(CO141,CP141)</f>
        <v>5</v>
      </c>
      <c r="CR141" s="1051">
        <f>24-SUM(CO141:CQ141)</f>
        <v>7</v>
      </c>
      <c r="CS141" s="1052">
        <f t="shared" si="350"/>
        <v>24</v>
      </c>
      <c r="CT141" s="1051">
        <v>8</v>
      </c>
      <c r="CU141" s="1051">
        <f>17-CT141</f>
        <v>9</v>
      </c>
      <c r="CV141" s="1051">
        <f>24-CT141-CU141</f>
        <v>7</v>
      </c>
      <c r="CW141" s="1051">
        <f>32-SUM(CT141:CV141)</f>
        <v>8</v>
      </c>
      <c r="CX141" s="1052">
        <f t="shared" si="351"/>
        <v>32</v>
      </c>
      <c r="CY141" s="1051">
        <v>11</v>
      </c>
      <c r="CZ141" s="1051">
        <f>19-CY141</f>
        <v>8</v>
      </c>
      <c r="DA141" s="1051">
        <f>26-CZ141-CY141</f>
        <v>7</v>
      </c>
      <c r="DB141" s="1051">
        <f>36-SUM(CY141:DA141)</f>
        <v>10</v>
      </c>
      <c r="DC141" s="1052">
        <f t="shared" si="352"/>
        <v>36</v>
      </c>
      <c r="DD141" s="1051">
        <v>12</v>
      </c>
      <c r="DE141" s="1051">
        <f>26-DD141</f>
        <v>14</v>
      </c>
      <c r="DF141" s="1051">
        <f>41-SUM(DD141:DE141)</f>
        <v>15</v>
      </c>
      <c r="DG141" s="1051">
        <f>51-SUM(DD141:DF141)</f>
        <v>10</v>
      </c>
      <c r="DH141" s="1052">
        <f t="shared" si="353"/>
        <v>51</v>
      </c>
      <c r="DI141" s="1051">
        <v>15</v>
      </c>
      <c r="DJ141" s="1051">
        <f>33-DI141</f>
        <v>18</v>
      </c>
      <c r="DK141" s="1051">
        <f>50-DJ141-DI141</f>
        <v>17</v>
      </c>
      <c r="DL141" s="1051">
        <f>69-DK141-DJ141-DI141</f>
        <v>19</v>
      </c>
      <c r="DM141" s="1052">
        <f t="shared" si="354"/>
        <v>69</v>
      </c>
      <c r="DN141" s="1051">
        <v>16</v>
      </c>
      <c r="DO141" s="1051">
        <f>35-DN141</f>
        <v>19</v>
      </c>
      <c r="DP141" s="1051">
        <f>51-DO141-DN141</f>
        <v>16</v>
      </c>
      <c r="DQ141" s="1051">
        <f>68-DP141-DO141-DN141</f>
        <v>17</v>
      </c>
      <c r="DR141" s="1052">
        <f t="shared" si="355"/>
        <v>68</v>
      </c>
      <c r="DS141" s="1051">
        <v>13</v>
      </c>
      <c r="DT141" s="1051">
        <f>29-DS141</f>
        <v>16</v>
      </c>
      <c r="DU141" s="1051">
        <f>44-DT141-DS141</f>
        <v>15</v>
      </c>
      <c r="DV141" s="1051">
        <f>59-DU141-DT141-DS141</f>
        <v>15</v>
      </c>
      <c r="DW141" s="1052">
        <f t="shared" si="356"/>
        <v>59</v>
      </c>
      <c r="DX141" s="1051">
        <v>0</v>
      </c>
      <c r="DY141" s="1051">
        <v>0</v>
      </c>
      <c r="DZ141" s="1051">
        <v>0</v>
      </c>
      <c r="EA141" s="1051">
        <v>0</v>
      </c>
      <c r="EB141" s="1052">
        <f t="shared" si="357"/>
        <v>0</v>
      </c>
      <c r="EC141" s="1051">
        <v>0</v>
      </c>
      <c r="ED141" s="1051">
        <v>0</v>
      </c>
      <c r="EE141" s="1051">
        <v>0</v>
      </c>
      <c r="EF141" s="1051">
        <v>0</v>
      </c>
      <c r="EG141" s="1052">
        <f t="shared" si="358"/>
        <v>0</v>
      </c>
      <c r="EH141" s="1051">
        <v>0</v>
      </c>
      <c r="EI141" s="1051">
        <v>0</v>
      </c>
      <c r="EJ141" s="1051">
        <v>0</v>
      </c>
      <c r="EK141" s="1051">
        <v>0</v>
      </c>
      <c r="EL141" s="1052">
        <f t="shared" si="359"/>
        <v>0</v>
      </c>
      <c r="EM141" s="901"/>
      <c r="EN141"/>
      <c r="EO141"/>
      <c r="EP141"/>
      <c r="EQ141"/>
      <c r="ER141"/>
      <c r="ES141"/>
      <c r="ET141" s="1495"/>
      <c r="EU141" s="135"/>
      <c r="EV141" s="135"/>
      <c r="EW141" s="135"/>
      <c r="EX141" s="135"/>
      <c r="EY141" s="135"/>
      <c r="EZ141" s="135"/>
      <c r="FA141" s="135"/>
      <c r="FB141" s="135"/>
      <c r="FC141" s="135"/>
      <c r="FD141" s="135"/>
      <c r="FE141" s="135"/>
      <c r="FF141" s="135"/>
      <c r="FG141" s="135"/>
      <c r="FH141" s="135"/>
      <c r="FI141" s="135"/>
      <c r="FJ141" s="135"/>
      <c r="FK141" s="135"/>
      <c r="FL141" s="135"/>
      <c r="FM141" s="135"/>
      <c r="FN141" s="135"/>
      <c r="FO141" s="135"/>
      <c r="FP141" s="135"/>
      <c r="FQ141" s="135"/>
      <c r="FR141" s="135"/>
      <c r="FS141" s="135"/>
      <c r="FT141" s="135"/>
      <c r="FU141" s="135"/>
      <c r="FV141" s="135"/>
      <c r="FW141" s="135"/>
      <c r="FX141" s="135"/>
      <c r="FY141" s="135"/>
      <c r="FZ141" s="135"/>
      <c r="GA141" s="135"/>
      <c r="GB141" s="135"/>
      <c r="GC141" s="135"/>
      <c r="GD141" s="135"/>
      <c r="GE141" s="135"/>
      <c r="GF141" s="135"/>
      <c r="GG141" s="135"/>
      <c r="GH141" s="135"/>
      <c r="GI141" s="135"/>
      <c r="GJ141" s="135"/>
      <c r="GK141" s="135"/>
      <c r="GL141" s="135"/>
      <c r="GM141" s="135"/>
      <c r="GN141" s="135"/>
      <c r="GO141" s="135"/>
      <c r="GP141" s="135"/>
      <c r="GQ141" s="135"/>
      <c r="GR141" s="135"/>
      <c r="GS141" s="135"/>
      <c r="GT141" s="135"/>
      <c r="GU141" s="135"/>
      <c r="GV141" s="135"/>
      <c r="GW141" s="135"/>
      <c r="GX141" s="135"/>
      <c r="GY141" s="135"/>
      <c r="GZ141" s="135"/>
      <c r="HA141" s="135"/>
      <c r="HB141" s="135"/>
      <c r="HC141" s="135"/>
      <c r="HD141" s="135"/>
      <c r="HE141" s="135"/>
      <c r="HF141" s="135"/>
      <c r="HG141" s="135"/>
      <c r="HH141" s="135"/>
      <c r="HI141" s="135"/>
      <c r="HJ141" s="135"/>
      <c r="HK141" s="135"/>
      <c r="HL141" s="135"/>
      <c r="HM141" s="135"/>
      <c r="HN141" s="135"/>
      <c r="HO141" s="135"/>
      <c r="HP141" s="135"/>
      <c r="HQ141" s="135"/>
      <c r="HR141" s="135"/>
      <c r="HS141" s="135"/>
      <c r="HT141" s="135"/>
      <c r="HU141" s="135"/>
      <c r="HV141" s="135"/>
      <c r="HW141" s="135"/>
      <c r="HX141" s="135"/>
      <c r="HY141" s="135"/>
      <c r="HZ141" s="135"/>
      <c r="IA141" s="135"/>
      <c r="IB141" s="135"/>
      <c r="IC141" s="135"/>
      <c r="ID141" s="135"/>
      <c r="IE141" s="135"/>
      <c r="IF141" s="135"/>
      <c r="IG141" s="135"/>
      <c r="IH141" s="135"/>
      <c r="II141" s="135"/>
      <c r="IJ141" s="135"/>
      <c r="IK141" s="135"/>
      <c r="IL141" s="135"/>
      <c r="IM141" s="135"/>
      <c r="IN141" s="135"/>
      <c r="IO141" s="135"/>
      <c r="IP141" s="135"/>
      <c r="IQ141" s="135"/>
      <c r="IR141" s="135"/>
      <c r="IS141" s="135"/>
      <c r="IT141" s="135"/>
      <c r="IU141" s="135"/>
      <c r="IV141" s="135"/>
      <c r="IW141" s="135"/>
      <c r="IX141" s="135"/>
      <c r="IY141" s="135"/>
      <c r="IZ141" s="135"/>
      <c r="JA141" s="135"/>
      <c r="JB141" s="135"/>
      <c r="JC141" s="135"/>
      <c r="JD141" s="135"/>
      <c r="JE141" s="135"/>
      <c r="JF141" s="135"/>
      <c r="JG141" s="135"/>
      <c r="JH141" s="135"/>
    </row>
    <row r="142" spans="1:268" s="4" customFormat="1">
      <c r="A142" s="801"/>
      <c r="B142" s="557" t="s">
        <v>50</v>
      </c>
      <c r="C142" s="1050"/>
      <c r="D142" s="1050"/>
      <c r="E142" s="1050"/>
      <c r="F142" s="1051"/>
      <c r="G142" s="1051"/>
      <c r="H142" s="891"/>
      <c r="I142" s="1050"/>
      <c r="J142" s="1050"/>
      <c r="K142" s="1051"/>
      <c r="L142" s="1051"/>
      <c r="M142" s="891">
        <v>0</v>
      </c>
      <c r="N142" s="1050"/>
      <c r="O142" s="1050"/>
      <c r="P142" s="1051"/>
      <c r="Q142" s="1051"/>
      <c r="R142" s="891">
        <v>0</v>
      </c>
      <c r="S142" s="1050"/>
      <c r="T142" s="1050"/>
      <c r="U142" s="1051"/>
      <c r="V142" s="1051"/>
      <c r="W142" s="891">
        <v>221</v>
      </c>
      <c r="X142" s="1051">
        <v>0</v>
      </c>
      <c r="Y142" s="1051">
        <v>0</v>
      </c>
      <c r="Z142" s="1051">
        <v>0</v>
      </c>
      <c r="AA142" s="1051">
        <f>363-X142-Y142-Z142</f>
        <v>363</v>
      </c>
      <c r="AB142" s="1052">
        <f t="shared" si="338"/>
        <v>363</v>
      </c>
      <c r="AC142" s="1051">
        <v>0</v>
      </c>
      <c r="AD142" s="1051">
        <f>0-AC142</f>
        <v>0</v>
      </c>
      <c r="AE142" s="1051">
        <f>232-SUM(AC142:AD142)</f>
        <v>232</v>
      </c>
      <c r="AF142" s="1051">
        <f>355-SUM(AC142:AE142)</f>
        <v>123</v>
      </c>
      <c r="AG142" s="1052">
        <f t="shared" si="339"/>
        <v>355</v>
      </c>
      <c r="AH142" s="1051">
        <v>0</v>
      </c>
      <c r="AI142" s="1051">
        <f>0-AH142</f>
        <v>0</v>
      </c>
      <c r="AJ142" s="1051">
        <f>0-SUM(AH142:AI142)</f>
        <v>0</v>
      </c>
      <c r="AK142" s="1051">
        <f>143-SUM(AH142:AJ142)</f>
        <v>143</v>
      </c>
      <c r="AL142" s="1052">
        <f t="shared" si="340"/>
        <v>143</v>
      </c>
      <c r="AM142" s="1051">
        <v>0</v>
      </c>
      <c r="AN142" s="1051">
        <f>99-AM142</f>
        <v>99</v>
      </c>
      <c r="AO142" s="1051">
        <f>99-SUM(AM142:AN142)</f>
        <v>0</v>
      </c>
      <c r="AP142" s="1051">
        <f>99-SUM(AM142:AO142)</f>
        <v>0</v>
      </c>
      <c r="AQ142" s="1052">
        <f t="shared" si="341"/>
        <v>99</v>
      </c>
      <c r="AR142" s="1051">
        <v>0</v>
      </c>
      <c r="AS142" s="1051">
        <f>64-AR142</f>
        <v>64</v>
      </c>
      <c r="AT142" s="1051">
        <f>462-SUM(AR142:AS142)</f>
        <v>398</v>
      </c>
      <c r="AU142" s="802"/>
      <c r="AV142" s="555"/>
      <c r="AW142" s="555"/>
      <c r="AX142" s="555"/>
      <c r="AY142" s="555"/>
      <c r="AZ142" s="1053">
        <v>460</v>
      </c>
      <c r="BA142" s="1051">
        <v>196</v>
      </c>
      <c r="BB142" s="1051">
        <f>476-BA142</f>
        <v>280</v>
      </c>
      <c r="BC142" s="1051">
        <f>485-SUM(BA142:BB142)</f>
        <v>9</v>
      </c>
      <c r="BD142" s="1051">
        <f>2088-SUM(BA142:BC142)</f>
        <v>1603</v>
      </c>
      <c r="BE142" s="1052">
        <f t="shared" si="342"/>
        <v>2088</v>
      </c>
      <c r="BF142" s="1051">
        <v>60</v>
      </c>
      <c r="BG142" s="1051">
        <f>102-BF142</f>
        <v>42</v>
      </c>
      <c r="BH142" s="1051">
        <f>33-SUM(BF142:BG142)</f>
        <v>-69</v>
      </c>
      <c r="BI142" s="1051">
        <f>1272-SUM(BF142:BH142)</f>
        <v>1239</v>
      </c>
      <c r="BJ142" s="1052">
        <f t="shared" si="343"/>
        <v>1272</v>
      </c>
      <c r="BK142" s="1051">
        <v>9</v>
      </c>
      <c r="BL142" s="1051">
        <f>5-BK142</f>
        <v>-4</v>
      </c>
      <c r="BM142" s="1051">
        <f>210-SUM(BK142:BL142)</f>
        <v>205</v>
      </c>
      <c r="BN142" s="1051">
        <f>266-SUM(BK142:BM142)</f>
        <v>56</v>
      </c>
      <c r="BO142" s="1052">
        <f t="shared" si="344"/>
        <v>266</v>
      </c>
      <c r="BP142" s="1051">
        <v>1</v>
      </c>
      <c r="BQ142" s="1051">
        <f>56-BP142</f>
        <v>55</v>
      </c>
      <c r="BR142" s="1051">
        <f>57-SUM(BP142:BQ142)</f>
        <v>1</v>
      </c>
      <c r="BS142" s="1051">
        <f>380-SUM(BP142:BR142)</f>
        <v>323</v>
      </c>
      <c r="BT142" s="1052">
        <f t="shared" si="345"/>
        <v>380</v>
      </c>
      <c r="BU142" s="1051">
        <v>3</v>
      </c>
      <c r="BV142" s="1051">
        <f>13-BU142</f>
        <v>10</v>
      </c>
      <c r="BW142" s="1051">
        <f>24-SUM(BU142:BV142)</f>
        <v>11</v>
      </c>
      <c r="BX142" s="1051">
        <f>60-SUM(BU142:BW142)</f>
        <v>36</v>
      </c>
      <c r="BY142" s="1052">
        <f t="shared" si="346"/>
        <v>60</v>
      </c>
      <c r="BZ142" s="1051">
        <v>1</v>
      </c>
      <c r="CA142" s="1051">
        <f>3-BZ142</f>
        <v>2</v>
      </c>
      <c r="CB142" s="1051">
        <f>4-SUM(BZ142:CA142)</f>
        <v>1</v>
      </c>
      <c r="CC142" s="1051">
        <f>18-SUM(BZ142:CB142)</f>
        <v>14</v>
      </c>
      <c r="CD142" s="1052">
        <f t="shared" si="347"/>
        <v>18</v>
      </c>
      <c r="CE142" s="1051">
        <v>5</v>
      </c>
      <c r="CF142" s="1051">
        <f>6-CE142</f>
        <v>1</v>
      </c>
      <c r="CG142" s="1051">
        <f>13-SUM(CE142:CF142)</f>
        <v>7</v>
      </c>
      <c r="CH142" s="1051">
        <f>27-SUM(CE142:CG142)</f>
        <v>14</v>
      </c>
      <c r="CI142" s="1052">
        <f t="shared" si="348"/>
        <v>27</v>
      </c>
      <c r="CJ142" s="1051">
        <v>0</v>
      </c>
      <c r="CK142" s="1051">
        <f>-2-CJ142</f>
        <v>-2</v>
      </c>
      <c r="CL142" s="1051">
        <f>1-SUM(CJ142:CK142)</f>
        <v>3</v>
      </c>
      <c r="CM142" s="1051">
        <f>10-SUM(CJ142:CL142)</f>
        <v>9</v>
      </c>
      <c r="CN142" s="1052">
        <f t="shared" si="349"/>
        <v>10</v>
      </c>
      <c r="CO142" s="1051">
        <v>8</v>
      </c>
      <c r="CP142" s="1051">
        <f>10-CO142</f>
        <v>2</v>
      </c>
      <c r="CQ142" s="1051">
        <f>18-SUM(CP142,CO142)</f>
        <v>8</v>
      </c>
      <c r="CR142" s="1051">
        <f>27-SUM(CO142:CQ142)</f>
        <v>9</v>
      </c>
      <c r="CS142" s="1052">
        <f t="shared" si="350"/>
        <v>27</v>
      </c>
      <c r="CT142" s="1051">
        <v>3</v>
      </c>
      <c r="CU142" s="1051">
        <f>6-CT142</f>
        <v>3</v>
      </c>
      <c r="CV142" s="1051">
        <f>12-CT142-CU142</f>
        <v>6</v>
      </c>
      <c r="CW142" s="1051">
        <f>19-SUM(CT142:CV142)</f>
        <v>7</v>
      </c>
      <c r="CX142" s="1052">
        <f t="shared" si="351"/>
        <v>19</v>
      </c>
      <c r="CY142" s="1051">
        <v>14</v>
      </c>
      <c r="CZ142" s="1051">
        <f>25-CY142</f>
        <v>11</v>
      </c>
      <c r="DA142" s="1051">
        <f>45-CZ142-CY142</f>
        <v>20</v>
      </c>
      <c r="DB142" s="1051">
        <f>103-SUM(CY142:DA142)</f>
        <v>58</v>
      </c>
      <c r="DC142" s="1052">
        <f t="shared" si="352"/>
        <v>103</v>
      </c>
      <c r="DD142" s="1051">
        <v>21</v>
      </c>
      <c r="DE142" s="1051">
        <f>53-DD142</f>
        <v>32</v>
      </c>
      <c r="DF142" s="1051">
        <f>90-SUM(DD142:DE142)</f>
        <v>37</v>
      </c>
      <c r="DG142" s="1051">
        <f>153-SUM(DD142:DF142)</f>
        <v>63</v>
      </c>
      <c r="DH142" s="1052">
        <f t="shared" si="353"/>
        <v>153</v>
      </c>
      <c r="DI142" s="1051">
        <v>29</v>
      </c>
      <c r="DJ142" s="1051">
        <f>222-DI142</f>
        <v>193</v>
      </c>
      <c r="DK142" s="1051">
        <f>266-DJ142-DI142</f>
        <v>44</v>
      </c>
      <c r="DL142" s="1051">
        <f>318-DK142-DJ142-DI142</f>
        <v>52</v>
      </c>
      <c r="DM142" s="1052">
        <f t="shared" si="354"/>
        <v>318</v>
      </c>
      <c r="DN142" s="1051">
        <v>28</v>
      </c>
      <c r="DO142" s="1051">
        <f>50-DN142</f>
        <v>22</v>
      </c>
      <c r="DP142" s="1051">
        <f>81-DO142-DN142</f>
        <v>31</v>
      </c>
      <c r="DQ142" s="1051">
        <f>202-DP142-DO142-DN142</f>
        <v>121</v>
      </c>
      <c r="DR142" s="1052">
        <f t="shared" si="355"/>
        <v>202</v>
      </c>
      <c r="DS142" s="1051">
        <v>33</v>
      </c>
      <c r="DT142" s="1051">
        <f>74-DS142</f>
        <v>41</v>
      </c>
      <c r="DU142" s="1051">
        <f>403-DT142-DS142</f>
        <v>329</v>
      </c>
      <c r="DV142" s="1051">
        <f>541-DU142-DT142-DS142</f>
        <v>138</v>
      </c>
      <c r="DW142" s="1052">
        <f t="shared" si="356"/>
        <v>541</v>
      </c>
      <c r="DX142" s="1054">
        <f>IS!DX52</f>
        <v>0</v>
      </c>
      <c r="DY142" s="1054">
        <f>IS!DY52</f>
        <v>0</v>
      </c>
      <c r="DZ142" s="1054">
        <f>IS!DZ52</f>
        <v>0</v>
      </c>
      <c r="EA142" s="1054">
        <f>IS!EA52</f>
        <v>0</v>
      </c>
      <c r="EB142" s="1052">
        <f t="shared" si="357"/>
        <v>0</v>
      </c>
      <c r="EC142" s="1054">
        <f>IS!EC52</f>
        <v>0</v>
      </c>
      <c r="ED142" s="1054">
        <f>IS!ED52</f>
        <v>0</v>
      </c>
      <c r="EE142" s="1054">
        <f>IS!EE52</f>
        <v>0</v>
      </c>
      <c r="EF142" s="1054">
        <f>IS!EF52</f>
        <v>0</v>
      </c>
      <c r="EG142" s="1052">
        <f t="shared" si="358"/>
        <v>0</v>
      </c>
      <c r="EH142" s="1054">
        <f>IS!EH52</f>
        <v>0</v>
      </c>
      <c r="EI142" s="1054">
        <f>IS!EI52</f>
        <v>0</v>
      </c>
      <c r="EJ142" s="1054">
        <f>IS!EJ52</f>
        <v>0</v>
      </c>
      <c r="EK142" s="1054">
        <f>IS!EK52</f>
        <v>0</v>
      </c>
      <c r="EL142" s="1052">
        <f t="shared" si="359"/>
        <v>0</v>
      </c>
      <c r="EM142" s="901"/>
      <c r="EN142"/>
      <c r="EO142"/>
      <c r="EP142"/>
      <c r="EQ142"/>
      <c r="ER142"/>
      <c r="ES142"/>
      <c r="ET142" s="1495"/>
      <c r="EU142" s="135"/>
      <c r="EV142" s="135"/>
      <c r="EW142" s="135"/>
      <c r="EX142" s="135"/>
      <c r="EY142" s="135"/>
      <c r="EZ142" s="135"/>
      <c r="FA142" s="135"/>
      <c r="FB142" s="135"/>
      <c r="FC142" s="135"/>
      <c r="FD142" s="135"/>
      <c r="FE142" s="135"/>
      <c r="FF142" s="135"/>
      <c r="FG142" s="135"/>
      <c r="FH142" s="135"/>
      <c r="FI142" s="135"/>
      <c r="FJ142" s="135"/>
      <c r="FK142" s="135"/>
      <c r="FL142" s="135"/>
      <c r="FM142" s="135"/>
      <c r="FN142" s="135"/>
      <c r="FO142" s="135"/>
      <c r="FP142" s="135"/>
      <c r="FQ142" s="135"/>
      <c r="FR142" s="135"/>
      <c r="FS142" s="135"/>
      <c r="FT142" s="135"/>
      <c r="FU142" s="135"/>
      <c r="FV142" s="135"/>
      <c r="FW142" s="135"/>
      <c r="FX142" s="135"/>
      <c r="FY142" s="135"/>
      <c r="FZ142" s="135"/>
      <c r="GA142" s="135"/>
      <c r="GB142" s="135"/>
      <c r="GC142" s="135"/>
      <c r="GD142" s="135"/>
      <c r="GE142" s="135"/>
      <c r="GF142" s="135"/>
      <c r="GG142" s="135"/>
      <c r="GH142" s="135"/>
      <c r="GI142" s="135"/>
      <c r="GJ142" s="135"/>
      <c r="GK142" s="135"/>
      <c r="GL142" s="135"/>
      <c r="GM142" s="135"/>
      <c r="GN142" s="135"/>
      <c r="GO142" s="135"/>
      <c r="GP142" s="135"/>
      <c r="GQ142" s="135"/>
      <c r="GR142" s="135"/>
      <c r="GS142" s="135"/>
      <c r="GT142" s="135"/>
      <c r="GU142" s="135"/>
      <c r="GV142" s="135"/>
      <c r="GW142" s="135"/>
      <c r="GX142" s="135"/>
      <c r="GY142" s="135"/>
      <c r="GZ142" s="135"/>
      <c r="HA142" s="135"/>
      <c r="HB142" s="135"/>
      <c r="HC142" s="135"/>
      <c r="HD142" s="135"/>
      <c r="HE142" s="135"/>
      <c r="HF142" s="135"/>
      <c r="HG142" s="135"/>
      <c r="HH142" s="135"/>
      <c r="HI142" s="135"/>
      <c r="HJ142" s="135"/>
      <c r="HK142" s="135"/>
      <c r="HL142" s="135"/>
      <c r="HM142" s="135"/>
      <c r="HN142" s="135"/>
      <c r="HO142" s="135"/>
      <c r="HP142" s="135"/>
      <c r="HQ142" s="135"/>
      <c r="HR142" s="135"/>
      <c r="HS142" s="135"/>
      <c r="HT142" s="135"/>
      <c r="HU142" s="135"/>
      <c r="HV142" s="135"/>
      <c r="HW142" s="135"/>
      <c r="HX142" s="135"/>
      <c r="HY142" s="135"/>
      <c r="HZ142" s="135"/>
      <c r="IA142" s="135"/>
      <c r="IB142" s="135"/>
      <c r="IC142" s="135"/>
      <c r="ID142" s="135"/>
      <c r="IE142" s="135"/>
      <c r="IF142" s="135"/>
      <c r="IG142" s="135"/>
      <c r="IH142" s="135"/>
      <c r="II142" s="135"/>
      <c r="IJ142" s="135"/>
      <c r="IK142" s="135"/>
      <c r="IL142" s="135"/>
      <c r="IM142" s="135"/>
      <c r="IN142" s="135"/>
      <c r="IO142" s="135"/>
      <c r="IP142" s="135"/>
      <c r="IQ142" s="135"/>
      <c r="IR142" s="135"/>
      <c r="IS142" s="135"/>
      <c r="IT142" s="135"/>
      <c r="IU142" s="135"/>
      <c r="IV142" s="135"/>
      <c r="IW142" s="135"/>
      <c r="IX142" s="135"/>
      <c r="IY142" s="135"/>
      <c r="IZ142" s="135"/>
      <c r="JA142" s="135"/>
      <c r="JB142" s="135"/>
      <c r="JC142" s="135"/>
      <c r="JD142" s="135"/>
      <c r="JE142" s="135"/>
      <c r="JF142" s="135"/>
      <c r="JG142" s="135"/>
      <c r="JH142" s="135"/>
    </row>
    <row r="143" spans="1:268" s="4" customFormat="1">
      <c r="A143" s="801"/>
      <c r="B143" s="557" t="s">
        <v>51</v>
      </c>
      <c r="C143" s="1050"/>
      <c r="D143" s="1050"/>
      <c r="E143" s="1050"/>
      <c r="F143" s="1051"/>
      <c r="G143" s="1051"/>
      <c r="H143" s="891"/>
      <c r="I143" s="1050"/>
      <c r="J143" s="1050"/>
      <c r="K143" s="1051"/>
      <c r="L143" s="1051"/>
      <c r="M143" s="891">
        <v>0</v>
      </c>
      <c r="N143" s="1050"/>
      <c r="O143" s="1050"/>
      <c r="P143" s="1051"/>
      <c r="Q143" s="1051"/>
      <c r="R143" s="891">
        <v>0</v>
      </c>
      <c r="S143" s="1050"/>
      <c r="T143" s="1050"/>
      <c r="U143" s="1051"/>
      <c r="V143" s="1051"/>
      <c r="W143" s="891">
        <v>0</v>
      </c>
      <c r="X143" s="1051">
        <v>0</v>
      </c>
      <c r="Y143" s="1051">
        <v>0</v>
      </c>
      <c r="Z143" s="1051">
        <v>0</v>
      </c>
      <c r="AA143" s="1051">
        <v>0</v>
      </c>
      <c r="AB143" s="1052">
        <f t="shared" si="338"/>
        <v>0</v>
      </c>
      <c r="AC143" s="1051">
        <v>0</v>
      </c>
      <c r="AD143" s="1051">
        <f>0-AC143</f>
        <v>0</v>
      </c>
      <c r="AE143" s="1051">
        <f>0-SUM(AC143:AD143)</f>
        <v>0</v>
      </c>
      <c r="AF143" s="1051">
        <f>0-SUM(AC143:AE143)</f>
        <v>0</v>
      </c>
      <c r="AG143" s="1052">
        <f t="shared" si="339"/>
        <v>0</v>
      </c>
      <c r="AH143" s="1051">
        <v>0</v>
      </c>
      <c r="AI143" s="1051">
        <f>0-AH143</f>
        <v>0</v>
      </c>
      <c r="AJ143" s="1051">
        <f>0-SUM(AH143:AI143)</f>
        <v>0</v>
      </c>
      <c r="AK143" s="1051">
        <f>0-SUM(AH143:AJ143)</f>
        <v>0</v>
      </c>
      <c r="AL143" s="1052">
        <f t="shared" si="340"/>
        <v>0</v>
      </c>
      <c r="AM143" s="1051">
        <v>0</v>
      </c>
      <c r="AN143" s="1051">
        <f>0-AM143</f>
        <v>0</v>
      </c>
      <c r="AO143" s="1051">
        <f>0-SUM(AM143:AN143)</f>
        <v>0</v>
      </c>
      <c r="AP143" s="1051">
        <f>0-SUM(AM143:AO143)</f>
        <v>0</v>
      </c>
      <c r="AQ143" s="1052">
        <f t="shared" si="341"/>
        <v>0</v>
      </c>
      <c r="AR143" s="1051">
        <v>0</v>
      </c>
      <c r="AS143" s="1051">
        <f>0-AR143</f>
        <v>0</v>
      </c>
      <c r="AT143" s="1051">
        <f>0-SUM(AR143:AS143)</f>
        <v>0</v>
      </c>
      <c r="AU143" s="802"/>
      <c r="AV143" s="555"/>
      <c r="AW143" s="555"/>
      <c r="AX143" s="555"/>
      <c r="AY143" s="555"/>
      <c r="AZ143" s="1053">
        <v>0</v>
      </c>
      <c r="BA143" s="1051">
        <v>0</v>
      </c>
      <c r="BB143" s="1051">
        <f>0-BA143</f>
        <v>0</v>
      </c>
      <c r="BC143" s="1051">
        <f>0-SUM(BA143:BB143)</f>
        <v>0</v>
      </c>
      <c r="BD143" s="1051">
        <f>0-SUM(BA143:BC143)</f>
        <v>0</v>
      </c>
      <c r="BE143" s="1052">
        <f t="shared" si="342"/>
        <v>0</v>
      </c>
      <c r="BF143" s="1051">
        <v>0</v>
      </c>
      <c r="BG143" s="1051">
        <f>0-BF143</f>
        <v>0</v>
      </c>
      <c r="BH143" s="1051">
        <f>0-SUM(BF143:BG143)</f>
        <v>0</v>
      </c>
      <c r="BI143" s="1051">
        <f>0-SUM(BF143:BH143)</f>
        <v>0</v>
      </c>
      <c r="BJ143" s="1052">
        <f t="shared" si="343"/>
        <v>0</v>
      </c>
      <c r="BK143" s="1051">
        <v>0</v>
      </c>
      <c r="BL143" s="1051">
        <f>0-BK143</f>
        <v>0</v>
      </c>
      <c r="BM143" s="1051">
        <f>0-SUM(BK143:BL143)</f>
        <v>0</v>
      </c>
      <c r="BN143" s="1051">
        <f>0-SUM(BK143:BM143)</f>
        <v>0</v>
      </c>
      <c r="BO143" s="1052">
        <f t="shared" si="344"/>
        <v>0</v>
      </c>
      <c r="BP143" s="1051">
        <v>0</v>
      </c>
      <c r="BQ143" s="1051">
        <f>744-BP143</f>
        <v>744</v>
      </c>
      <c r="BR143" s="1051">
        <f>751-SUM(BP143:BQ143)</f>
        <v>7</v>
      </c>
      <c r="BS143" s="1051">
        <f>766-SUM(BP143:BR143)</f>
        <v>15</v>
      </c>
      <c r="BT143" s="1052">
        <f t="shared" si="345"/>
        <v>766</v>
      </c>
      <c r="BU143" s="1051">
        <v>-1</v>
      </c>
      <c r="BV143" s="1051">
        <f>-2-BU143</f>
        <v>-1</v>
      </c>
      <c r="BW143" s="1051">
        <f>1-SUM(BU143:BV143)</f>
        <v>3</v>
      </c>
      <c r="BX143" s="1051">
        <f>13-SUM(BU143:BW143)</f>
        <v>12</v>
      </c>
      <c r="BY143" s="1052">
        <f t="shared" si="346"/>
        <v>13</v>
      </c>
      <c r="BZ143" s="1051">
        <v>47</v>
      </c>
      <c r="CA143" s="1051">
        <f>50-BZ143</f>
        <v>3</v>
      </c>
      <c r="CB143" s="1051">
        <f>45-SUM(BZ143:CA143)</f>
        <v>-5</v>
      </c>
      <c r="CC143" s="1051">
        <f>41-SUM(BZ143:CB143)</f>
        <v>-4</v>
      </c>
      <c r="CD143" s="1052">
        <f t="shared" si="347"/>
        <v>41</v>
      </c>
      <c r="CE143" s="1051">
        <v>1</v>
      </c>
      <c r="CF143" s="1051">
        <f>10-CE143</f>
        <v>9</v>
      </c>
      <c r="CG143" s="1051">
        <f>13-SUM(CE143:CF143)</f>
        <v>3</v>
      </c>
      <c r="CH143" s="1051">
        <f>31-SUM(CE143:CG143)</f>
        <v>18</v>
      </c>
      <c r="CI143" s="1052">
        <f t="shared" si="348"/>
        <v>31</v>
      </c>
      <c r="CJ143" s="1051">
        <v>2</v>
      </c>
      <c r="CK143" s="1051">
        <f>4-CJ143</f>
        <v>2</v>
      </c>
      <c r="CL143" s="1051">
        <f>6-SUM(CJ143:CK143)</f>
        <v>2</v>
      </c>
      <c r="CM143" s="1051">
        <f>12-SUM(CJ143:CL143)</f>
        <v>6</v>
      </c>
      <c r="CN143" s="1052">
        <f t="shared" si="349"/>
        <v>12</v>
      </c>
      <c r="CO143" s="1051">
        <v>11</v>
      </c>
      <c r="CP143" s="1051">
        <f>19-CO143</f>
        <v>8</v>
      </c>
      <c r="CQ143" s="1051">
        <f>24-SUM(CO143,CP143)</f>
        <v>5</v>
      </c>
      <c r="CR143" s="1051">
        <f>55-SUM(CO143:CQ143)</f>
        <v>31</v>
      </c>
      <c r="CS143" s="1052">
        <f t="shared" si="350"/>
        <v>55</v>
      </c>
      <c r="CT143" s="1051">
        <v>2</v>
      </c>
      <c r="CU143" s="1051">
        <f>3-CT143</f>
        <v>1</v>
      </c>
      <c r="CV143" s="1051">
        <f>3-CT143-CU143</f>
        <v>0</v>
      </c>
      <c r="CW143" s="1051">
        <f>5-SUM(CT143:CV143)</f>
        <v>2</v>
      </c>
      <c r="CX143" s="1052">
        <f t="shared" si="351"/>
        <v>5</v>
      </c>
      <c r="CY143" s="1051">
        <v>0</v>
      </c>
      <c r="CZ143" s="1051">
        <f>2-CY143</f>
        <v>2</v>
      </c>
      <c r="DA143" s="1051">
        <f>3-CZ143</f>
        <v>1</v>
      </c>
      <c r="DB143" s="1051">
        <f>31-SUM(CY143:DA143)</f>
        <v>28</v>
      </c>
      <c r="DC143" s="1052">
        <f t="shared" si="352"/>
        <v>31</v>
      </c>
      <c r="DD143" s="1051">
        <v>3</v>
      </c>
      <c r="DE143" s="1051">
        <f>15-DD143</f>
        <v>12</v>
      </c>
      <c r="DF143" s="1051">
        <f>19-SUM(DD143:DE143)</f>
        <v>4</v>
      </c>
      <c r="DG143" s="1051">
        <f>25-SUM(DD143:DF143)</f>
        <v>6</v>
      </c>
      <c r="DH143" s="1052">
        <f t="shared" si="353"/>
        <v>25</v>
      </c>
      <c r="DI143" s="1051">
        <v>3</v>
      </c>
      <c r="DJ143" s="1051">
        <f>17-DI143</f>
        <v>14</v>
      </c>
      <c r="DK143" s="1051">
        <f>67-DJ143-DI143</f>
        <v>50</v>
      </c>
      <c r="DL143" s="1051">
        <f>291-DK143-DJ143-DI143</f>
        <v>224</v>
      </c>
      <c r="DM143" s="1052">
        <f t="shared" si="354"/>
        <v>291</v>
      </c>
      <c r="DN143" s="1051">
        <v>173</v>
      </c>
      <c r="DO143" s="1051">
        <f>287-DN143</f>
        <v>114</v>
      </c>
      <c r="DP143" s="1051">
        <f>291-DO143-DN143</f>
        <v>4</v>
      </c>
      <c r="DQ143" s="1051">
        <f>293-DP143-DO143-DN143</f>
        <v>2</v>
      </c>
      <c r="DR143" s="1052">
        <f t="shared" si="355"/>
        <v>293</v>
      </c>
      <c r="DS143" s="1051">
        <v>5</v>
      </c>
      <c r="DT143" s="1051">
        <f>6-DS143</f>
        <v>1</v>
      </c>
      <c r="DU143" s="1051">
        <f>12-DT143-DS143</f>
        <v>6</v>
      </c>
      <c r="DV143" s="1051">
        <f>23-DU143-DT143-DS143</f>
        <v>11</v>
      </c>
      <c r="DW143" s="1052">
        <f t="shared" si="356"/>
        <v>23</v>
      </c>
      <c r="DX143" s="1054">
        <v>0</v>
      </c>
      <c r="DY143" s="1054">
        <v>0</v>
      </c>
      <c r="DZ143" s="1054">
        <v>0</v>
      </c>
      <c r="EA143" s="1054">
        <v>0</v>
      </c>
      <c r="EB143" s="1052">
        <f t="shared" si="357"/>
        <v>0</v>
      </c>
      <c r="EC143" s="1054">
        <v>0</v>
      </c>
      <c r="ED143" s="1054">
        <v>0</v>
      </c>
      <c r="EE143" s="1054">
        <v>0</v>
      </c>
      <c r="EF143" s="1054">
        <v>0</v>
      </c>
      <c r="EG143" s="1052">
        <f t="shared" si="358"/>
        <v>0</v>
      </c>
      <c r="EH143" s="1054">
        <v>0</v>
      </c>
      <c r="EI143" s="1054">
        <v>0</v>
      </c>
      <c r="EJ143" s="1054">
        <v>0</v>
      </c>
      <c r="EK143" s="1054">
        <v>0</v>
      </c>
      <c r="EL143" s="1052">
        <f t="shared" si="359"/>
        <v>0</v>
      </c>
      <c r="EM143" s="901"/>
      <c r="EN143"/>
      <c r="EO143"/>
      <c r="EP143"/>
      <c r="EQ143"/>
      <c r="ER143"/>
      <c r="ES143"/>
      <c r="ET143" s="1495"/>
      <c r="EU143" s="135"/>
      <c r="EV143" s="135"/>
      <c r="EW143" s="135"/>
      <c r="EX143" s="135"/>
      <c r="EY143" s="135"/>
      <c r="EZ143" s="135"/>
      <c r="FA143" s="135"/>
      <c r="FB143" s="135"/>
      <c r="FC143" s="135"/>
      <c r="FD143" s="135"/>
      <c r="FE143" s="135"/>
      <c r="FF143" s="135"/>
      <c r="FG143" s="135"/>
      <c r="FH143" s="135"/>
      <c r="FI143" s="135"/>
      <c r="FJ143" s="135"/>
      <c r="FK143" s="135"/>
      <c r="FL143" s="135"/>
      <c r="FM143" s="135"/>
      <c r="FN143" s="135"/>
      <c r="FO143" s="135"/>
      <c r="FP143" s="135"/>
      <c r="FQ143" s="135"/>
      <c r="FR143" s="135"/>
      <c r="FS143" s="135"/>
      <c r="FT143" s="135"/>
      <c r="FU143" s="135"/>
      <c r="FV143" s="135"/>
      <c r="FW143" s="135"/>
      <c r="FX143" s="135"/>
      <c r="FY143" s="135"/>
      <c r="FZ143" s="135"/>
      <c r="GA143" s="135"/>
      <c r="GB143" s="135"/>
      <c r="GC143" s="135"/>
      <c r="GD143" s="135"/>
      <c r="GE143" s="135"/>
      <c r="GF143" s="135"/>
      <c r="GG143" s="135"/>
      <c r="GH143" s="135"/>
      <c r="GI143" s="135"/>
      <c r="GJ143" s="135"/>
      <c r="GK143" s="135"/>
      <c r="GL143" s="135"/>
      <c r="GM143" s="135"/>
      <c r="GN143" s="135"/>
      <c r="GO143" s="135"/>
      <c r="GP143" s="135"/>
      <c r="GQ143" s="135"/>
      <c r="GR143" s="135"/>
      <c r="GS143" s="135"/>
      <c r="GT143" s="135"/>
      <c r="GU143" s="135"/>
      <c r="GV143" s="135"/>
      <c r="GW143" s="135"/>
      <c r="GX143" s="135"/>
      <c r="GY143" s="135"/>
      <c r="GZ143" s="135"/>
      <c r="HA143" s="135"/>
      <c r="HB143" s="135"/>
      <c r="HC143" s="135"/>
      <c r="HD143" s="135"/>
      <c r="HE143" s="135"/>
      <c r="HF143" s="135"/>
      <c r="HG143" s="135"/>
      <c r="HH143" s="135"/>
      <c r="HI143" s="135"/>
      <c r="HJ143" s="135"/>
      <c r="HK143" s="135"/>
      <c r="HL143" s="135"/>
      <c r="HM143" s="135"/>
      <c r="HN143" s="135"/>
      <c r="HO143" s="135"/>
      <c r="HP143" s="135"/>
      <c r="HQ143" s="135"/>
      <c r="HR143" s="135"/>
      <c r="HS143" s="135"/>
      <c r="HT143" s="135"/>
      <c r="HU143" s="135"/>
      <c r="HV143" s="135"/>
      <c r="HW143" s="135"/>
      <c r="HX143" s="135"/>
      <c r="HY143" s="135"/>
      <c r="HZ143" s="135"/>
      <c r="IA143" s="135"/>
      <c r="IB143" s="135"/>
      <c r="IC143" s="135"/>
      <c r="ID143" s="135"/>
      <c r="IE143" s="135"/>
      <c r="IF143" s="135"/>
      <c r="IG143" s="135"/>
      <c r="IH143" s="135"/>
      <c r="II143" s="135"/>
      <c r="IJ143" s="135"/>
      <c r="IK143" s="135"/>
      <c r="IL143" s="135"/>
      <c r="IM143" s="135"/>
      <c r="IN143" s="135"/>
      <c r="IO143" s="135"/>
      <c r="IP143" s="135"/>
      <c r="IQ143" s="135"/>
      <c r="IR143" s="135"/>
      <c r="IS143" s="135"/>
      <c r="IT143" s="135"/>
      <c r="IU143" s="135"/>
      <c r="IV143" s="135"/>
      <c r="IW143" s="135"/>
      <c r="IX143" s="135"/>
      <c r="IY143" s="135"/>
      <c r="IZ143" s="135"/>
      <c r="JA143" s="135"/>
      <c r="JB143" s="135"/>
      <c r="JC143" s="135"/>
      <c r="JD143" s="135"/>
      <c r="JE143" s="135"/>
      <c r="JF143" s="135"/>
      <c r="JG143" s="135"/>
      <c r="JH143" s="135"/>
    </row>
    <row r="144" spans="1:268" s="4" customFormat="1">
      <c r="A144" s="801"/>
      <c r="B144" s="555" t="s">
        <v>685</v>
      </c>
      <c r="C144" s="555"/>
      <c r="D144" s="555"/>
      <c r="E144" s="555"/>
      <c r="F144" s="1051"/>
      <c r="G144" s="1051"/>
      <c r="H144" s="891"/>
      <c r="I144" s="1050"/>
      <c r="J144" s="1050"/>
      <c r="K144" s="1051"/>
      <c r="L144" s="1051"/>
      <c r="M144" s="891">
        <v>0</v>
      </c>
      <c r="N144" s="1050"/>
      <c r="O144" s="1050"/>
      <c r="P144" s="1051"/>
      <c r="Q144" s="1051"/>
      <c r="R144" s="891">
        <v>0</v>
      </c>
      <c r="S144" s="1050"/>
      <c r="T144" s="1050"/>
      <c r="U144" s="1051"/>
      <c r="V144" s="1051"/>
      <c r="W144" s="891">
        <v>0</v>
      </c>
      <c r="X144" s="1051">
        <v>0</v>
      </c>
      <c r="Y144" s="1051">
        <v>0</v>
      </c>
      <c r="Z144" s="1051">
        <v>0</v>
      </c>
      <c r="AA144" s="1051">
        <v>0</v>
      </c>
      <c r="AB144" s="1052">
        <f t="shared" si="338"/>
        <v>0</v>
      </c>
      <c r="AC144" s="1051">
        <v>0</v>
      </c>
      <c r="AD144" s="1051">
        <f>0-AC144</f>
        <v>0</v>
      </c>
      <c r="AE144" s="1051">
        <f>0-SUM(AC144:AD144)</f>
        <v>0</v>
      </c>
      <c r="AF144" s="1051">
        <f>0-SUM(AC144:AE144)</f>
        <v>0</v>
      </c>
      <c r="AG144" s="1052">
        <f t="shared" si="339"/>
        <v>0</v>
      </c>
      <c r="AH144" s="1051">
        <v>0</v>
      </c>
      <c r="AI144" s="1051">
        <f>0-AH144</f>
        <v>0</v>
      </c>
      <c r="AJ144" s="1051">
        <f>0-SUM(AH144:AI144)</f>
        <v>0</v>
      </c>
      <c r="AK144" s="1051">
        <f>0-SUM(AH144:AJ144)</f>
        <v>0</v>
      </c>
      <c r="AL144" s="1052">
        <f t="shared" si="340"/>
        <v>0</v>
      </c>
      <c r="AM144" s="1051">
        <v>0</v>
      </c>
      <c r="AN144" s="1051">
        <f>0-AM144</f>
        <v>0</v>
      </c>
      <c r="AO144" s="1051">
        <f>0-SUM(AM144:AN144)</f>
        <v>0</v>
      </c>
      <c r="AP144" s="1051">
        <f>0-SUM(AM144:AO144)</f>
        <v>0</v>
      </c>
      <c r="AQ144" s="1052">
        <f t="shared" si="341"/>
        <v>0</v>
      </c>
      <c r="AR144" s="1051">
        <v>0</v>
      </c>
      <c r="AS144" s="1051">
        <f>0-AR144</f>
        <v>0</v>
      </c>
      <c r="AT144" s="1051">
        <f>0-SUM(AR144:AS144)</f>
        <v>0</v>
      </c>
      <c r="AU144" s="802"/>
      <c r="AV144" s="555"/>
      <c r="AW144" s="555"/>
      <c r="AX144" s="555"/>
      <c r="AY144" s="555"/>
      <c r="AZ144" s="1053">
        <v>0</v>
      </c>
      <c r="BA144" s="1051">
        <v>0</v>
      </c>
      <c r="BB144" s="1051">
        <f>0-BA144</f>
        <v>0</v>
      </c>
      <c r="BC144" s="1051">
        <f>0-SUM(BA144:BB144)</f>
        <v>0</v>
      </c>
      <c r="BD144" s="1051">
        <f>0-SUM(BA144:BC144)</f>
        <v>0</v>
      </c>
      <c r="BE144" s="1052">
        <f t="shared" si="342"/>
        <v>0</v>
      </c>
      <c r="BF144" s="1051">
        <v>0</v>
      </c>
      <c r="BG144" s="1051">
        <f>0-BF144</f>
        <v>0</v>
      </c>
      <c r="BH144" s="1051">
        <f>0-SUM(BF144:BG144)</f>
        <v>0</v>
      </c>
      <c r="BI144" s="1051">
        <f>0-SUM(BF144:BH144)</f>
        <v>0</v>
      </c>
      <c r="BJ144" s="1052">
        <f t="shared" si="343"/>
        <v>0</v>
      </c>
      <c r="BK144" s="1051">
        <v>0</v>
      </c>
      <c r="BL144" s="1051">
        <f>0-BK144</f>
        <v>0</v>
      </c>
      <c r="BM144" s="1051">
        <f>0-SUM(BK144:BL144)</f>
        <v>0</v>
      </c>
      <c r="BN144" s="1051">
        <f>0-SUM(BK144:BM144)</f>
        <v>0</v>
      </c>
      <c r="BO144" s="1052">
        <f t="shared" si="344"/>
        <v>0</v>
      </c>
      <c r="BP144" s="1051">
        <v>0</v>
      </c>
      <c r="BQ144" s="1051">
        <f>0-BP144</f>
        <v>0</v>
      </c>
      <c r="BR144" s="1051">
        <f>0-SUM(BP144:BQ144)</f>
        <v>0</v>
      </c>
      <c r="BS144" s="1051">
        <f>0-SUM(BP144:BR144)</f>
        <v>0</v>
      </c>
      <c r="BT144" s="1052">
        <f t="shared" si="345"/>
        <v>0</v>
      </c>
      <c r="BU144" s="1051">
        <v>0</v>
      </c>
      <c r="BV144" s="1051">
        <f>0-BU144</f>
        <v>0</v>
      </c>
      <c r="BW144" s="1051">
        <f>0-SUM(BU144:BV144)</f>
        <v>0</v>
      </c>
      <c r="BX144" s="1051">
        <f>0-SUM(BU144:BW144)</f>
        <v>0</v>
      </c>
      <c r="BY144" s="1052">
        <f t="shared" si="346"/>
        <v>0</v>
      </c>
      <c r="BZ144" s="1051">
        <v>0</v>
      </c>
      <c r="CA144" s="1051">
        <f>0-BZ144</f>
        <v>0</v>
      </c>
      <c r="CB144" s="1051">
        <f>0-SUM(BZ144:CA144)</f>
        <v>0</v>
      </c>
      <c r="CC144" s="1051">
        <f>0-SUM(BZ144:CB144)</f>
        <v>0</v>
      </c>
      <c r="CD144" s="1052">
        <f t="shared" si="347"/>
        <v>0</v>
      </c>
      <c r="CE144" s="1051">
        <v>0</v>
      </c>
      <c r="CF144" s="1051">
        <f>3-CE144</f>
        <v>3</v>
      </c>
      <c r="CG144" s="1051">
        <f>-1-SUM(CE144:CF144)</f>
        <v>-4</v>
      </c>
      <c r="CH144" s="1051">
        <f>-1-SUM(CE144:CG144)</f>
        <v>0</v>
      </c>
      <c r="CI144" s="1052">
        <f t="shared" si="348"/>
        <v>-1</v>
      </c>
      <c r="CJ144" s="1051">
        <v>2</v>
      </c>
      <c r="CK144" s="1051">
        <f>3-CJ144</f>
        <v>1</v>
      </c>
      <c r="CL144" s="1051">
        <f>3-SUM(CJ144:CK144)</f>
        <v>0</v>
      </c>
      <c r="CM144" s="1051">
        <f>3-SUM(CJ144:CL144)</f>
        <v>0</v>
      </c>
      <c r="CN144" s="1052">
        <f t="shared" si="349"/>
        <v>3</v>
      </c>
      <c r="CO144" s="1051">
        <v>19</v>
      </c>
      <c r="CP144" s="1051">
        <f>17-CO144</f>
        <v>-2</v>
      </c>
      <c r="CQ144" s="1051">
        <f>0-SUM(CO144:CP144)</f>
        <v>-17</v>
      </c>
      <c r="CR144" s="1051">
        <f>0-SUM(CO144:CQ144)</f>
        <v>0</v>
      </c>
      <c r="CS144" s="1052">
        <f t="shared" si="350"/>
        <v>0</v>
      </c>
      <c r="CT144" s="1051">
        <v>0</v>
      </c>
      <c r="CU144" s="1051">
        <f>0-CT144</f>
        <v>0</v>
      </c>
      <c r="CV144" s="1051">
        <f>0-CT144-CU144</f>
        <v>0</v>
      </c>
      <c r="CW144" s="1051">
        <f>4-SUM(CT144:CV144)</f>
        <v>4</v>
      </c>
      <c r="CX144" s="1052">
        <f t="shared" si="351"/>
        <v>4</v>
      </c>
      <c r="CY144" s="1051">
        <v>0</v>
      </c>
      <c r="CZ144" s="1051">
        <v>0</v>
      </c>
      <c r="DA144" s="1051">
        <v>0</v>
      </c>
      <c r="DB144" s="1051">
        <v>0</v>
      </c>
      <c r="DC144" s="1052">
        <f t="shared" si="352"/>
        <v>0</v>
      </c>
      <c r="DD144" s="1051">
        <v>0</v>
      </c>
      <c r="DE144" s="1051">
        <v>0</v>
      </c>
      <c r="DF144" s="1051">
        <v>0</v>
      </c>
      <c r="DG144" s="1051">
        <v>0</v>
      </c>
      <c r="DH144" s="1052">
        <f t="shared" si="353"/>
        <v>0</v>
      </c>
      <c r="DI144" s="1051">
        <v>0</v>
      </c>
      <c r="DJ144" s="1051">
        <f>0</f>
        <v>0</v>
      </c>
      <c r="DK144" s="1051">
        <v>0</v>
      </c>
      <c r="DL144" s="1051">
        <v>0</v>
      </c>
      <c r="DM144" s="1052">
        <f t="shared" si="354"/>
        <v>0</v>
      </c>
      <c r="DN144" s="1051">
        <v>0</v>
      </c>
      <c r="DO144" s="1051"/>
      <c r="DP144" s="1051"/>
      <c r="DQ144" s="1051"/>
      <c r="DR144" s="1052">
        <f t="shared" si="355"/>
        <v>0</v>
      </c>
      <c r="DS144" s="1051">
        <v>-15</v>
      </c>
      <c r="DT144" s="1051">
        <f>-38-DS144</f>
        <v>-23</v>
      </c>
      <c r="DU144" s="1051">
        <f>-142-DT144-DS144</f>
        <v>-104</v>
      </c>
      <c r="DV144" s="1051">
        <f>-144-DU144-DT144-DS144</f>
        <v>-2</v>
      </c>
      <c r="DW144" s="1052">
        <f t="shared" si="356"/>
        <v>-144</v>
      </c>
      <c r="DX144" s="1054">
        <v>0</v>
      </c>
      <c r="DY144" s="1054">
        <v>0</v>
      </c>
      <c r="DZ144" s="1054">
        <v>0</v>
      </c>
      <c r="EA144" s="1054">
        <v>0</v>
      </c>
      <c r="EB144" s="1052">
        <f t="shared" si="357"/>
        <v>0</v>
      </c>
      <c r="EC144" s="1054">
        <v>0</v>
      </c>
      <c r="ED144" s="1054">
        <v>0</v>
      </c>
      <c r="EE144" s="1054">
        <v>0</v>
      </c>
      <c r="EF144" s="1054">
        <v>0</v>
      </c>
      <c r="EG144" s="1052">
        <f t="shared" si="358"/>
        <v>0</v>
      </c>
      <c r="EH144" s="1054">
        <v>0</v>
      </c>
      <c r="EI144" s="1054">
        <v>0</v>
      </c>
      <c r="EJ144" s="1054">
        <v>0</v>
      </c>
      <c r="EK144" s="1054">
        <v>0</v>
      </c>
      <c r="EL144" s="1052">
        <f t="shared" si="359"/>
        <v>0</v>
      </c>
      <c r="EM144" s="901"/>
      <c r="EN144"/>
      <c r="EO144"/>
      <c r="EP144"/>
      <c r="EQ144"/>
      <c r="ER144"/>
      <c r="ES144"/>
      <c r="ET144" s="1495"/>
      <c r="EU144" s="135"/>
      <c r="EV144" s="135"/>
      <c r="EW144" s="135"/>
      <c r="EX144" s="135"/>
      <c r="EY144" s="135"/>
      <c r="EZ144" s="135"/>
      <c r="FA144" s="135"/>
      <c r="FB144" s="135"/>
      <c r="FC144" s="135"/>
      <c r="FD144" s="135"/>
      <c r="FE144" s="135"/>
      <c r="FF144" s="135"/>
      <c r="FG144" s="135"/>
      <c r="FH144" s="135"/>
      <c r="FI144" s="135"/>
      <c r="FJ144" s="135"/>
      <c r="FK144" s="135"/>
      <c r="FL144" s="135"/>
      <c r="FM144" s="135"/>
      <c r="FN144" s="135"/>
      <c r="FO144" s="135"/>
      <c r="FP144" s="135"/>
      <c r="FQ144" s="135"/>
      <c r="FR144" s="135"/>
      <c r="FS144" s="135"/>
      <c r="FT144" s="135"/>
      <c r="FU144" s="135"/>
      <c r="FV144" s="135"/>
      <c r="FW144" s="135"/>
      <c r="FX144" s="135"/>
      <c r="FY144" s="135"/>
      <c r="FZ144" s="135"/>
      <c r="GA144" s="135"/>
      <c r="GB144" s="135"/>
      <c r="GC144" s="135"/>
      <c r="GD144" s="135"/>
      <c r="GE144" s="135"/>
      <c r="GF144" s="135"/>
      <c r="GG144" s="135"/>
      <c r="GH144" s="135"/>
      <c r="GI144" s="135"/>
      <c r="GJ144" s="135"/>
      <c r="GK144" s="135"/>
      <c r="GL144" s="135"/>
      <c r="GM144" s="135"/>
      <c r="GN144" s="135"/>
      <c r="GO144" s="135"/>
      <c r="GP144" s="135"/>
      <c r="GQ144" s="135"/>
      <c r="GR144" s="135"/>
      <c r="GS144" s="135"/>
      <c r="GT144" s="135"/>
      <c r="GU144" s="135"/>
      <c r="GV144" s="135"/>
      <c r="GW144" s="135"/>
      <c r="GX144" s="135"/>
      <c r="GY144" s="135"/>
      <c r="GZ144" s="135"/>
      <c r="HA144" s="135"/>
      <c r="HB144" s="135"/>
      <c r="HC144" s="135"/>
      <c r="HD144" s="135"/>
      <c r="HE144" s="135"/>
      <c r="HF144" s="135"/>
      <c r="HG144" s="135"/>
      <c r="HH144" s="135"/>
      <c r="HI144" s="135"/>
      <c r="HJ144" s="135"/>
      <c r="HK144" s="135"/>
      <c r="HL144" s="135"/>
      <c r="HM144" s="135"/>
      <c r="HN144" s="135"/>
      <c r="HO144" s="135"/>
      <c r="HP144" s="135"/>
      <c r="HQ144" s="135"/>
      <c r="HR144" s="135"/>
      <c r="HS144" s="135"/>
      <c r="HT144" s="135"/>
      <c r="HU144" s="135"/>
      <c r="HV144" s="135"/>
      <c r="HW144" s="135"/>
      <c r="HX144" s="135"/>
      <c r="HY144" s="135"/>
      <c r="HZ144" s="135"/>
      <c r="IA144" s="135"/>
      <c r="IB144" s="135"/>
      <c r="IC144" s="135"/>
      <c r="ID144" s="135"/>
      <c r="IE144" s="135"/>
      <c r="IF144" s="135"/>
      <c r="IG144" s="135"/>
      <c r="IH144" s="135"/>
      <c r="II144" s="135"/>
      <c r="IJ144" s="135"/>
      <c r="IK144" s="135"/>
      <c r="IL144" s="135"/>
      <c r="IM144" s="135"/>
      <c r="IN144" s="135"/>
      <c r="IO144" s="135"/>
      <c r="IP144" s="135"/>
      <c r="IQ144" s="135"/>
      <c r="IR144" s="135"/>
      <c r="IS144" s="135"/>
      <c r="IT144" s="135"/>
      <c r="IU144" s="135"/>
      <c r="IV144" s="135"/>
      <c r="IW144" s="135"/>
      <c r="IX144" s="135"/>
      <c r="IY144" s="135"/>
      <c r="IZ144" s="135"/>
      <c r="JA144" s="135"/>
      <c r="JB144" s="135"/>
      <c r="JC144" s="135"/>
      <c r="JD144" s="135"/>
      <c r="JE144" s="135"/>
      <c r="JF144" s="135"/>
      <c r="JG144" s="135"/>
      <c r="JH144" s="135"/>
    </row>
    <row r="145" spans="1:268" s="4" customFormat="1">
      <c r="A145" s="801"/>
      <c r="B145" s="555" t="s">
        <v>52</v>
      </c>
      <c r="C145" s="555"/>
      <c r="D145" s="555"/>
      <c r="E145" s="1051"/>
      <c r="F145" s="1051"/>
      <c r="G145" s="1051"/>
      <c r="H145" s="891"/>
      <c r="I145" s="1050"/>
      <c r="J145" s="1050"/>
      <c r="K145" s="1051"/>
      <c r="L145" s="1051"/>
      <c r="M145" s="891">
        <v>0</v>
      </c>
      <c r="N145" s="1050"/>
      <c r="O145" s="1050"/>
      <c r="P145" s="1051"/>
      <c r="Q145" s="1051"/>
      <c r="R145" s="891">
        <v>0</v>
      </c>
      <c r="S145" s="1050"/>
      <c r="T145" s="1050"/>
      <c r="U145" s="1051"/>
      <c r="V145" s="1051"/>
      <c r="W145" s="891">
        <v>0</v>
      </c>
      <c r="X145" s="1051">
        <v>0</v>
      </c>
      <c r="Y145" s="1051">
        <v>0</v>
      </c>
      <c r="Z145" s="1051">
        <v>0</v>
      </c>
      <c r="AA145" s="1051">
        <v>0</v>
      </c>
      <c r="AB145" s="1052">
        <f t="shared" si="338"/>
        <v>0</v>
      </c>
      <c r="AC145" s="1051">
        <v>0</v>
      </c>
      <c r="AD145" s="1051">
        <f>0-AC145</f>
        <v>0</v>
      </c>
      <c r="AE145" s="1051">
        <f>0-SUM(AC145:AD145)</f>
        <v>0</v>
      </c>
      <c r="AF145" s="1051">
        <f>0-SUM(AC145:AE145)</f>
        <v>0</v>
      </c>
      <c r="AG145" s="1052">
        <f t="shared" si="339"/>
        <v>0</v>
      </c>
      <c r="AH145" s="1051">
        <v>0</v>
      </c>
      <c r="AI145" s="1051">
        <f>0-AH145</f>
        <v>0</v>
      </c>
      <c r="AJ145" s="1051">
        <f>0-SUM(AH145:AI145)</f>
        <v>0</v>
      </c>
      <c r="AK145" s="1051">
        <f>0-SUM(AH145:AJ145)</f>
        <v>0</v>
      </c>
      <c r="AL145" s="1052">
        <f t="shared" si="340"/>
        <v>0</v>
      </c>
      <c r="AM145" s="1051">
        <v>0</v>
      </c>
      <c r="AN145" s="1051">
        <f>0-AM145</f>
        <v>0</v>
      </c>
      <c r="AO145" s="1051">
        <f>0-SUM(AM145:AN145)</f>
        <v>0</v>
      </c>
      <c r="AP145" s="1051">
        <f>0-SUM(AM145:AO145)</f>
        <v>0</v>
      </c>
      <c r="AQ145" s="1052">
        <f t="shared" si="341"/>
        <v>0</v>
      </c>
      <c r="AR145" s="1051">
        <v>0</v>
      </c>
      <c r="AS145" s="1051">
        <f>0-AR145</f>
        <v>0</v>
      </c>
      <c r="AT145" s="1051">
        <f>0-SUM(AR145:AS145)</f>
        <v>0</v>
      </c>
      <c r="AU145" s="802"/>
      <c r="AV145" s="555"/>
      <c r="AW145" s="555"/>
      <c r="AX145" s="555"/>
      <c r="AY145" s="555"/>
      <c r="AZ145" s="1053">
        <v>0</v>
      </c>
      <c r="BA145" s="1051">
        <v>0</v>
      </c>
      <c r="BB145" s="1051">
        <f>0-BA145</f>
        <v>0</v>
      </c>
      <c r="BC145" s="1051">
        <f>0-SUM(BA145:BB145)</f>
        <v>0</v>
      </c>
      <c r="BD145" s="1051">
        <f>0-SUM(BA145:BC145)</f>
        <v>0</v>
      </c>
      <c r="BE145" s="1052">
        <f t="shared" si="342"/>
        <v>0</v>
      </c>
      <c r="BF145" s="1051">
        <v>0</v>
      </c>
      <c r="BG145" s="1051">
        <f>0-BF145</f>
        <v>0</v>
      </c>
      <c r="BH145" s="1051">
        <f>0-SUM(BF145:BG145)</f>
        <v>0</v>
      </c>
      <c r="BI145" s="1051">
        <f>0-SUM(BF145:BH145)</f>
        <v>0</v>
      </c>
      <c r="BJ145" s="1052">
        <f t="shared" si="343"/>
        <v>0</v>
      </c>
      <c r="BK145" s="1051">
        <v>0</v>
      </c>
      <c r="BL145" s="1051">
        <f>0-BK145</f>
        <v>0</v>
      </c>
      <c r="BM145" s="1051">
        <f>0-SUM(BK145:BL145)</f>
        <v>0</v>
      </c>
      <c r="BN145" s="1051">
        <f>0-SUM(BK145:BM145)</f>
        <v>0</v>
      </c>
      <c r="BO145" s="1052">
        <f t="shared" si="344"/>
        <v>0</v>
      </c>
      <c r="BP145" s="1051">
        <v>0</v>
      </c>
      <c r="BQ145" s="1051">
        <f>0-BP145</f>
        <v>0</v>
      </c>
      <c r="BR145" s="1051">
        <f>0-SUM(BP145:BQ145)</f>
        <v>0</v>
      </c>
      <c r="BS145" s="1051">
        <f>0-SUM(BP145:BR145)</f>
        <v>0</v>
      </c>
      <c r="BT145" s="1052">
        <f t="shared" si="345"/>
        <v>0</v>
      </c>
      <c r="BU145" s="1051">
        <v>0</v>
      </c>
      <c r="BV145" s="1051">
        <f>0-BU145</f>
        <v>0</v>
      </c>
      <c r="BW145" s="1051">
        <f>0-SUM(BU145:BV145)</f>
        <v>0</v>
      </c>
      <c r="BX145" s="1051">
        <f>0-SUM(BU145:BW145)</f>
        <v>0</v>
      </c>
      <c r="BY145" s="1052">
        <f t="shared" si="346"/>
        <v>0</v>
      </c>
      <c r="BZ145" s="1051">
        <v>0</v>
      </c>
      <c r="CA145" s="1051">
        <f>0-BZ145</f>
        <v>0</v>
      </c>
      <c r="CB145" s="1051">
        <f>0-SUM(BZ145:CA145)</f>
        <v>0</v>
      </c>
      <c r="CC145" s="1051">
        <f>0-SUM(BZ145:CB145)</f>
        <v>0</v>
      </c>
      <c r="CD145" s="1052">
        <f t="shared" si="347"/>
        <v>0</v>
      </c>
      <c r="CE145" s="1051">
        <v>0</v>
      </c>
      <c r="CF145" s="1051">
        <f>0-CE145</f>
        <v>0</v>
      </c>
      <c r="CG145" s="1051">
        <f>0-SUM(CE145:CF145)</f>
        <v>0</v>
      </c>
      <c r="CH145" s="1051">
        <f>0-SUM(CE145:CG145)</f>
        <v>0</v>
      </c>
      <c r="CI145" s="1052">
        <f t="shared" si="348"/>
        <v>0</v>
      </c>
      <c r="CJ145" s="1051">
        <v>0</v>
      </c>
      <c r="CK145" s="1051">
        <f>0-CJ145</f>
        <v>0</v>
      </c>
      <c r="CL145" s="1051">
        <f>0-SUM(CJ145:CK145)</f>
        <v>0</v>
      </c>
      <c r="CM145" s="1051">
        <f>31-SUM(CJ145:CL145)</f>
        <v>31</v>
      </c>
      <c r="CN145" s="1052">
        <f t="shared" si="349"/>
        <v>31</v>
      </c>
      <c r="CO145" s="1051">
        <v>8</v>
      </c>
      <c r="CP145" s="1051">
        <f>15-CO145</f>
        <v>7</v>
      </c>
      <c r="CQ145" s="1051">
        <f>23-SUM(CO145:CP145)</f>
        <v>8</v>
      </c>
      <c r="CR145" s="1051">
        <f>30-SUM(CO145:CQ145)</f>
        <v>7</v>
      </c>
      <c r="CS145" s="1052">
        <f t="shared" si="350"/>
        <v>30</v>
      </c>
      <c r="CT145" s="1051">
        <v>5</v>
      </c>
      <c r="CU145" s="1051">
        <f>11-CT145</f>
        <v>6</v>
      </c>
      <c r="CV145" s="1051">
        <f>16-CT145-CU145</f>
        <v>5</v>
      </c>
      <c r="CW145" s="1051">
        <f>22-SUM(CT145:CV145)</f>
        <v>6</v>
      </c>
      <c r="CX145" s="1052">
        <f t="shared" si="351"/>
        <v>22</v>
      </c>
      <c r="CY145" s="1051">
        <f>5+177</f>
        <v>182</v>
      </c>
      <c r="CZ145" s="1051">
        <f>348+9-CY145</f>
        <v>175</v>
      </c>
      <c r="DA145" s="1051">
        <f>348+12-CZ145-CY145</f>
        <v>3</v>
      </c>
      <c r="DB145" s="1051">
        <f>19-SUM(CY145:DA145)</f>
        <v>-341</v>
      </c>
      <c r="DC145" s="1052">
        <f t="shared" si="352"/>
        <v>19</v>
      </c>
      <c r="DD145" s="1051">
        <v>7</v>
      </c>
      <c r="DE145" s="1051">
        <f>14-DD145</f>
        <v>7</v>
      </c>
      <c r="DF145" s="1051">
        <f>21-SUM(DD145:DE145)</f>
        <v>7</v>
      </c>
      <c r="DG145" s="1051">
        <f>28-SUM(DD145:DF145)</f>
        <v>7</v>
      </c>
      <c r="DH145" s="1052">
        <f t="shared" si="353"/>
        <v>28</v>
      </c>
      <c r="DI145" s="1051">
        <v>7</v>
      </c>
      <c r="DJ145" s="1051">
        <f>21-DI145</f>
        <v>14</v>
      </c>
      <c r="DK145" s="1051">
        <f>32-DJ145-DI145</f>
        <v>11</v>
      </c>
      <c r="DL145" s="1051">
        <f>1+41-DK145-DJ145-DI145</f>
        <v>10</v>
      </c>
      <c r="DM145" s="1052">
        <f t="shared" si="354"/>
        <v>42</v>
      </c>
      <c r="DN145" s="1051">
        <v>10</v>
      </c>
      <c r="DO145" s="1051">
        <f>21-DN145</f>
        <v>11</v>
      </c>
      <c r="DP145" s="1051">
        <f>33-DO145-DN145</f>
        <v>12</v>
      </c>
      <c r="DQ145" s="1051">
        <f>41-DP145-DO145-DN145</f>
        <v>8</v>
      </c>
      <c r="DR145" s="1052">
        <f t="shared" si="355"/>
        <v>41</v>
      </c>
      <c r="DS145" s="1051">
        <v>11</v>
      </c>
      <c r="DT145" s="1051">
        <f>22-DS145</f>
        <v>11</v>
      </c>
      <c r="DU145" s="1051">
        <f>33-DT145-DS145</f>
        <v>11</v>
      </c>
      <c r="DV145" s="1051">
        <f>44-DU145-DT145-DS145</f>
        <v>11</v>
      </c>
      <c r="DW145" s="1052">
        <f t="shared" si="356"/>
        <v>44</v>
      </c>
      <c r="DX145" s="1054">
        <v>0</v>
      </c>
      <c r="DY145" s="1054">
        <v>0</v>
      </c>
      <c r="DZ145" s="1054">
        <v>0</v>
      </c>
      <c r="EA145" s="1054">
        <v>0</v>
      </c>
      <c r="EB145" s="1052">
        <f>SUM(DX145:EA145)</f>
        <v>0</v>
      </c>
      <c r="EC145" s="1054">
        <v>0</v>
      </c>
      <c r="ED145" s="1054">
        <v>0</v>
      </c>
      <c r="EE145" s="1054">
        <v>0</v>
      </c>
      <c r="EF145" s="1054">
        <v>0</v>
      </c>
      <c r="EG145" s="1052">
        <f>SUM(EC145:EF145)</f>
        <v>0</v>
      </c>
      <c r="EH145" s="1054">
        <v>0</v>
      </c>
      <c r="EI145" s="1054">
        <v>0</v>
      </c>
      <c r="EJ145" s="1054">
        <v>0</v>
      </c>
      <c r="EK145" s="1054">
        <v>0</v>
      </c>
      <c r="EL145" s="1052">
        <f>SUM(EH145:EK145)</f>
        <v>0</v>
      </c>
      <c r="EM145" s="901"/>
      <c r="EN145"/>
      <c r="EO145"/>
      <c r="EP145"/>
      <c r="EQ145"/>
      <c r="ER145"/>
      <c r="ES145"/>
      <c r="ET145" s="1495"/>
      <c r="EU145" s="135"/>
      <c r="EV145" s="135"/>
      <c r="EW145" s="135"/>
      <c r="EX145" s="135"/>
      <c r="EY145" s="135"/>
      <c r="EZ145" s="135"/>
      <c r="FA145" s="135"/>
      <c r="FB145" s="135"/>
      <c r="FC145" s="135"/>
      <c r="FD145" s="135"/>
      <c r="FE145" s="135"/>
      <c r="FF145" s="135"/>
      <c r="FG145" s="135"/>
      <c r="FH145" s="135"/>
      <c r="FI145" s="135"/>
      <c r="FJ145" s="135"/>
      <c r="FK145" s="135"/>
      <c r="FL145" s="135"/>
      <c r="FM145" s="135"/>
      <c r="FN145" s="135"/>
      <c r="FO145" s="135"/>
      <c r="FP145" s="135"/>
      <c r="FQ145" s="135"/>
      <c r="FR145" s="135"/>
      <c r="FS145" s="135"/>
      <c r="FT145" s="135"/>
      <c r="FU145" s="135"/>
      <c r="FV145" s="135"/>
      <c r="FW145" s="135"/>
      <c r="FX145" s="135"/>
      <c r="FY145" s="135"/>
      <c r="FZ145" s="135"/>
      <c r="GA145" s="135"/>
      <c r="GB145" s="135"/>
      <c r="GC145" s="135"/>
      <c r="GD145" s="135"/>
      <c r="GE145" s="135"/>
      <c r="GF145" s="135"/>
      <c r="GG145" s="135"/>
      <c r="GH145" s="135"/>
      <c r="GI145" s="135"/>
      <c r="GJ145" s="135"/>
      <c r="GK145" s="135"/>
      <c r="GL145" s="135"/>
      <c r="GM145" s="135"/>
      <c r="GN145" s="135"/>
      <c r="GO145" s="135"/>
      <c r="GP145" s="135"/>
      <c r="GQ145" s="135"/>
      <c r="GR145" s="135"/>
      <c r="GS145" s="135"/>
      <c r="GT145" s="135"/>
      <c r="GU145" s="135"/>
      <c r="GV145" s="135"/>
      <c r="GW145" s="135"/>
      <c r="GX145" s="135"/>
      <c r="GY145" s="135"/>
      <c r="GZ145" s="135"/>
      <c r="HA145" s="135"/>
      <c r="HB145" s="135"/>
      <c r="HC145" s="135"/>
      <c r="HD145" s="135"/>
      <c r="HE145" s="135"/>
      <c r="HF145" s="135"/>
      <c r="HG145" s="135"/>
      <c r="HH145" s="135"/>
      <c r="HI145" s="135"/>
      <c r="HJ145" s="135"/>
      <c r="HK145" s="135"/>
      <c r="HL145" s="135"/>
      <c r="HM145" s="135"/>
      <c r="HN145" s="135"/>
      <c r="HO145" s="135"/>
      <c r="HP145" s="135"/>
      <c r="HQ145" s="135"/>
      <c r="HR145" s="135"/>
      <c r="HS145" s="135"/>
      <c r="HT145" s="135"/>
      <c r="HU145" s="135"/>
      <c r="HV145" s="135"/>
      <c r="HW145" s="135"/>
      <c r="HX145" s="135"/>
      <c r="HY145" s="135"/>
      <c r="HZ145" s="135"/>
      <c r="IA145" s="135"/>
      <c r="IB145" s="135"/>
      <c r="IC145" s="135"/>
      <c r="ID145" s="135"/>
      <c r="IE145" s="135"/>
      <c r="IF145" s="135"/>
      <c r="IG145" s="135"/>
      <c r="IH145" s="135"/>
      <c r="II145" s="135"/>
      <c r="IJ145" s="135"/>
      <c r="IK145" s="135"/>
      <c r="IL145" s="135"/>
      <c r="IM145" s="135"/>
      <c r="IN145" s="135"/>
      <c r="IO145" s="135"/>
      <c r="IP145" s="135"/>
      <c r="IQ145" s="135"/>
      <c r="IR145" s="135"/>
      <c r="IS145" s="135"/>
      <c r="IT145" s="135"/>
      <c r="IU145" s="135"/>
      <c r="IV145" s="135"/>
      <c r="IW145" s="135"/>
      <c r="IX145" s="135"/>
      <c r="IY145" s="135"/>
      <c r="IZ145" s="135"/>
      <c r="JA145" s="135"/>
      <c r="JB145" s="135"/>
      <c r="JC145" s="135"/>
      <c r="JD145" s="135"/>
      <c r="JE145" s="135"/>
      <c r="JF145" s="135"/>
      <c r="JG145" s="135"/>
      <c r="JH145" s="135"/>
    </row>
    <row r="146" spans="1:268" s="4" customFormat="1">
      <c r="A146" s="801"/>
      <c r="B146" s="555" t="s">
        <v>53</v>
      </c>
      <c r="C146" s="555"/>
      <c r="D146" s="555"/>
      <c r="E146" s="1051"/>
      <c r="F146" s="1051"/>
      <c r="G146" s="1051"/>
      <c r="H146" s="891"/>
      <c r="I146" s="1050"/>
      <c r="J146" s="1050"/>
      <c r="K146" s="1051"/>
      <c r="L146" s="1051"/>
      <c r="M146" s="891">
        <v>0</v>
      </c>
      <c r="N146" s="1050"/>
      <c r="O146" s="1050"/>
      <c r="P146" s="1051"/>
      <c r="Q146" s="1051"/>
      <c r="R146" s="891">
        <v>-108</v>
      </c>
      <c r="S146" s="1050"/>
      <c r="T146" s="1050"/>
      <c r="U146" s="1051"/>
      <c r="V146" s="1051"/>
      <c r="W146" s="891">
        <v>-385</v>
      </c>
      <c r="X146" s="1051">
        <v>0</v>
      </c>
      <c r="Y146" s="1051">
        <v>0</v>
      </c>
      <c r="Z146" s="1051">
        <v>0</v>
      </c>
      <c r="AA146" s="1051">
        <f>-75-X146-Y146-Z146</f>
        <v>-75</v>
      </c>
      <c r="AB146" s="1052">
        <f t="shared" si="338"/>
        <v>-75</v>
      </c>
      <c r="AC146" s="1051">
        <v>-18</v>
      </c>
      <c r="AD146" s="1051">
        <f>-45-AC146</f>
        <v>-27</v>
      </c>
      <c r="AE146" s="1051">
        <f>-82-SUM(AC146:AD146)</f>
        <v>-37</v>
      </c>
      <c r="AF146" s="1051">
        <f>-110+19-SUM(AC146:AE146)</f>
        <v>-9</v>
      </c>
      <c r="AG146" s="1052">
        <f t="shared" si="339"/>
        <v>-91</v>
      </c>
      <c r="AH146" s="1051">
        <v>-25</v>
      </c>
      <c r="AI146" s="1051">
        <f>-43-AH146</f>
        <v>-18</v>
      </c>
      <c r="AJ146" s="1051">
        <f>-107-SUM(AH146:AI146)</f>
        <v>-64</v>
      </c>
      <c r="AK146" s="1051">
        <f>-129-SUM(AH146:AJ146)</f>
        <v>-22</v>
      </c>
      <c r="AL146" s="1052">
        <f t="shared" si="340"/>
        <v>-129</v>
      </c>
      <c r="AM146" s="1051">
        <v>-13</v>
      </c>
      <c r="AN146" s="1051">
        <f>-30-AM146</f>
        <v>-17</v>
      </c>
      <c r="AO146" s="1051">
        <f>-59-SUM(AM146:AN146)</f>
        <v>-29</v>
      </c>
      <c r="AP146" s="1051">
        <f>-77-SUM(AM146:AO146)</f>
        <v>-18</v>
      </c>
      <c r="AQ146" s="1052">
        <f t="shared" si="341"/>
        <v>-77</v>
      </c>
      <c r="AR146" s="1051">
        <v>-11</v>
      </c>
      <c r="AS146" s="1051">
        <f>-15-AR146</f>
        <v>-4</v>
      </c>
      <c r="AT146" s="1051">
        <f>-23-SUM(AR146:AS146)</f>
        <v>-8</v>
      </c>
      <c r="AU146" s="802"/>
      <c r="AV146" s="555"/>
      <c r="AW146" s="555"/>
      <c r="AX146" s="555"/>
      <c r="AY146" s="555"/>
      <c r="AZ146" s="1053">
        <v>0</v>
      </c>
      <c r="BA146" s="1051">
        <v>61</v>
      </c>
      <c r="BB146" s="1051">
        <f>65-BA146</f>
        <v>4</v>
      </c>
      <c r="BC146" s="1051">
        <f>164-SUM(BA146:BB146)</f>
        <v>99</v>
      </c>
      <c r="BD146" s="1051">
        <f>-274-SUM(BA146:BC146)</f>
        <v>-438</v>
      </c>
      <c r="BE146" s="1052">
        <f t="shared" si="342"/>
        <v>-274</v>
      </c>
      <c r="BF146" s="1051">
        <v>149</v>
      </c>
      <c r="BG146" s="1051">
        <f>463-BF146</f>
        <v>314</v>
      </c>
      <c r="BH146" s="1051">
        <f>611-SUM(BF146:BG146)</f>
        <v>148</v>
      </c>
      <c r="BI146" s="1051">
        <f>1056-SUM(BF146:BH146)</f>
        <v>445</v>
      </c>
      <c r="BJ146" s="1052">
        <f t="shared" si="343"/>
        <v>1056</v>
      </c>
      <c r="BK146" s="1051">
        <v>24</v>
      </c>
      <c r="BL146" s="1051">
        <f>45-BK146</f>
        <v>21</v>
      </c>
      <c r="BM146" s="1051">
        <f>67-SUM(BK146:BL146)</f>
        <v>22</v>
      </c>
      <c r="BN146" s="1051">
        <f>84-SUM(BK146:BM146)</f>
        <v>17</v>
      </c>
      <c r="BO146" s="1052">
        <f t="shared" si="344"/>
        <v>84</v>
      </c>
      <c r="BP146" s="1051">
        <v>-55</v>
      </c>
      <c r="BQ146" s="1051">
        <f>-122-BP146</f>
        <v>-67</v>
      </c>
      <c r="BR146" s="1051">
        <f>-102-SUM(BP146:BQ146)</f>
        <v>20</v>
      </c>
      <c r="BS146" s="1051">
        <f>-79-SUM(BP146:BR146)</f>
        <v>23</v>
      </c>
      <c r="BT146" s="1052">
        <f t="shared" si="345"/>
        <v>-79</v>
      </c>
      <c r="BU146" s="1051">
        <v>31</v>
      </c>
      <c r="BV146" s="1051">
        <f>30-BU146</f>
        <v>-1</v>
      </c>
      <c r="BW146" s="1051">
        <f>68-SUM(BU146:BV146)</f>
        <v>38</v>
      </c>
      <c r="BX146" s="1051">
        <f>60-SUM(BU146:BW146)</f>
        <v>-8</v>
      </c>
      <c r="BY146" s="1052">
        <f t="shared" si="346"/>
        <v>60</v>
      </c>
      <c r="BZ146" s="1051">
        <v>19</v>
      </c>
      <c r="CA146" s="1051">
        <f>3-BZ146</f>
        <v>-16</v>
      </c>
      <c r="CB146" s="1051">
        <f>13-SUM(BZ146:CA146)</f>
        <v>10</v>
      </c>
      <c r="CC146" s="1051">
        <f>42-SUM(BZ146:CB146)</f>
        <v>29</v>
      </c>
      <c r="CD146" s="1052">
        <f t="shared" si="347"/>
        <v>42</v>
      </c>
      <c r="CE146" s="1051">
        <v>9</v>
      </c>
      <c r="CF146" s="1051">
        <f>29-CE146</f>
        <v>20</v>
      </c>
      <c r="CG146" s="1051">
        <f>32-SUM(CE146:CF146)</f>
        <v>3</v>
      </c>
      <c r="CH146" s="1051">
        <f>23-SUM(CE146:CG146)</f>
        <v>-9</v>
      </c>
      <c r="CI146" s="1052">
        <f t="shared" si="348"/>
        <v>23</v>
      </c>
      <c r="CJ146" s="1051">
        <v>-6</v>
      </c>
      <c r="CK146" s="1051">
        <f>2-CJ146</f>
        <v>8</v>
      </c>
      <c r="CL146" s="1051">
        <f>5-SUM(CJ146:CK146)</f>
        <v>3</v>
      </c>
      <c r="CM146" s="1051">
        <f>-10-SUM(CJ146:CL146)</f>
        <v>-15</v>
      </c>
      <c r="CN146" s="1052">
        <f t="shared" si="349"/>
        <v>-10</v>
      </c>
      <c r="CO146" s="1051">
        <v>15</v>
      </c>
      <c r="CP146" s="1051">
        <f>18-CO146</f>
        <v>3</v>
      </c>
      <c r="CQ146" s="1051">
        <f>20-SUM(CO146, CP146)</f>
        <v>2</v>
      </c>
      <c r="CR146" s="1051">
        <f>39-SUM(CO146:CQ146)</f>
        <v>19</v>
      </c>
      <c r="CS146" s="1052">
        <f t="shared" si="350"/>
        <v>39</v>
      </c>
      <c r="CT146" s="1051">
        <v>-1</v>
      </c>
      <c r="CU146" s="1051">
        <f>95-CT146</f>
        <v>96</v>
      </c>
      <c r="CV146" s="1051">
        <f>92-CT146-CU146</f>
        <v>-3</v>
      </c>
      <c r="CW146" s="1051">
        <f>101-SUM(CT146:CV146)</f>
        <v>9</v>
      </c>
      <c r="CX146" s="1052">
        <f t="shared" si="351"/>
        <v>101</v>
      </c>
      <c r="CY146" s="1051">
        <v>3</v>
      </c>
      <c r="CZ146" s="1051">
        <f>-3-CY146</f>
        <v>-6</v>
      </c>
      <c r="DA146" s="1051">
        <f>7-CZ146-CY146</f>
        <v>10</v>
      </c>
      <c r="DB146" s="1051">
        <f>7-SUM(CY146:DA146)</f>
        <v>0</v>
      </c>
      <c r="DC146" s="1052">
        <f t="shared" si="352"/>
        <v>7</v>
      </c>
      <c r="DD146" s="1051">
        <v>8</v>
      </c>
      <c r="DE146" s="1051">
        <f>33-DD146</f>
        <v>25</v>
      </c>
      <c r="DF146" s="1051">
        <f>35-SUM(DD146:DE146)</f>
        <v>2</v>
      </c>
      <c r="DG146" s="1051">
        <f>35-SUM(DD146:DF146)</f>
        <v>0</v>
      </c>
      <c r="DH146" s="1052">
        <f t="shared" si="353"/>
        <v>35</v>
      </c>
      <c r="DI146" s="1051">
        <v>-2</v>
      </c>
      <c r="DJ146" s="1051">
        <f>0-DI146</f>
        <v>2</v>
      </c>
      <c r="DK146" s="1051">
        <f>1-DJ146-DI146</f>
        <v>1</v>
      </c>
      <c r="DL146" s="1051">
        <f>-186-3-DK146-DJ146-DI146</f>
        <v>-190</v>
      </c>
      <c r="DM146" s="1052">
        <f t="shared" si="354"/>
        <v>-189</v>
      </c>
      <c r="DN146" s="1051">
        <v>5</v>
      </c>
      <c r="DO146" s="1051">
        <f>7-DN146</f>
        <v>2</v>
      </c>
      <c r="DP146" s="1051">
        <f>5-DO146-DN146</f>
        <v>-2</v>
      </c>
      <c r="DQ146" s="1051">
        <f>6-DP146-DO146-DN146</f>
        <v>1</v>
      </c>
      <c r="DR146" s="1052">
        <f t="shared" si="355"/>
        <v>6</v>
      </c>
      <c r="DS146" s="1051">
        <v>2</v>
      </c>
      <c r="DT146" s="1051">
        <f>0-DS146</f>
        <v>-2</v>
      </c>
      <c r="DU146" s="1051">
        <f>1-DT146-DS146</f>
        <v>1</v>
      </c>
      <c r="DV146" s="1051">
        <f>0-DU146-DT146-DS146</f>
        <v>-1</v>
      </c>
      <c r="DW146" s="1052">
        <f t="shared" si="356"/>
        <v>0</v>
      </c>
      <c r="DX146" s="1054">
        <v>0</v>
      </c>
      <c r="DY146" s="1054">
        <v>0</v>
      </c>
      <c r="DZ146" s="1054">
        <v>0</v>
      </c>
      <c r="EA146" s="1054">
        <v>0</v>
      </c>
      <c r="EB146" s="1052">
        <f t="shared" si="357"/>
        <v>0</v>
      </c>
      <c r="EC146" s="1054">
        <v>0</v>
      </c>
      <c r="ED146" s="1054">
        <v>0</v>
      </c>
      <c r="EE146" s="1054">
        <v>0</v>
      </c>
      <c r="EF146" s="1054">
        <v>0</v>
      </c>
      <c r="EG146" s="1052">
        <f t="shared" si="358"/>
        <v>0</v>
      </c>
      <c r="EH146" s="1054">
        <v>0</v>
      </c>
      <c r="EI146" s="1054">
        <v>0</v>
      </c>
      <c r="EJ146" s="1054">
        <v>0</v>
      </c>
      <c r="EK146" s="1054">
        <v>0</v>
      </c>
      <c r="EL146" s="1052">
        <f t="shared" ref="EL146" si="360">SUM(EH146:EK146)</f>
        <v>0</v>
      </c>
      <c r="EM146" s="901"/>
      <c r="EN146"/>
      <c r="EO146"/>
      <c r="EP146"/>
      <c r="EQ146"/>
      <c r="ER146"/>
      <c r="ES146"/>
      <c r="ET146" s="1495"/>
      <c r="EU146" s="135"/>
      <c r="EV146" s="135"/>
      <c r="EW146" s="135"/>
      <c r="EX146" s="135"/>
      <c r="EY146" s="135"/>
      <c r="EZ146" s="135"/>
      <c r="FA146" s="135"/>
      <c r="FB146" s="135"/>
      <c r="FC146" s="135"/>
      <c r="FD146" s="135"/>
      <c r="FE146" s="135"/>
      <c r="FF146" s="135"/>
      <c r="FG146" s="135"/>
      <c r="FH146" s="135"/>
      <c r="FI146" s="135"/>
      <c r="FJ146" s="135"/>
      <c r="FK146" s="135"/>
      <c r="FL146" s="135"/>
      <c r="FM146" s="135"/>
      <c r="FN146" s="135"/>
      <c r="FO146" s="135"/>
      <c r="FP146" s="135"/>
      <c r="FQ146" s="135"/>
      <c r="FR146" s="135"/>
      <c r="FS146" s="135"/>
      <c r="FT146" s="135"/>
      <c r="FU146" s="135"/>
      <c r="FV146" s="135"/>
      <c r="FW146" s="135"/>
      <c r="FX146" s="135"/>
      <c r="FY146" s="135"/>
      <c r="FZ146" s="135"/>
      <c r="GA146" s="135"/>
      <c r="GB146" s="135"/>
      <c r="GC146" s="135"/>
      <c r="GD146" s="135"/>
      <c r="GE146" s="135"/>
      <c r="GF146" s="135"/>
      <c r="GG146" s="135"/>
      <c r="GH146" s="135"/>
      <c r="GI146" s="135"/>
      <c r="GJ146" s="135"/>
      <c r="GK146" s="135"/>
      <c r="GL146" s="135"/>
      <c r="GM146" s="135"/>
      <c r="GN146" s="135"/>
      <c r="GO146" s="135"/>
      <c r="GP146" s="135"/>
      <c r="GQ146" s="135"/>
      <c r="GR146" s="135"/>
      <c r="GS146" s="135"/>
      <c r="GT146" s="135"/>
      <c r="GU146" s="135"/>
      <c r="GV146" s="135"/>
      <c r="GW146" s="135"/>
      <c r="GX146" s="135"/>
      <c r="GY146" s="135"/>
      <c r="GZ146" s="135"/>
      <c r="HA146" s="135"/>
      <c r="HB146" s="135"/>
      <c r="HC146" s="135"/>
      <c r="HD146" s="135"/>
      <c r="HE146" s="135"/>
      <c r="HF146" s="135"/>
      <c r="HG146" s="135"/>
      <c r="HH146" s="135"/>
      <c r="HI146" s="135"/>
      <c r="HJ146" s="135"/>
      <c r="HK146" s="135"/>
      <c r="HL146" s="135"/>
      <c r="HM146" s="135"/>
      <c r="HN146" s="135"/>
      <c r="HO146" s="135"/>
      <c r="HP146" s="135"/>
      <c r="HQ146" s="135"/>
      <c r="HR146" s="135"/>
      <c r="HS146" s="135"/>
      <c r="HT146" s="135"/>
      <c r="HU146" s="135"/>
      <c r="HV146" s="135"/>
      <c r="HW146" s="135"/>
      <c r="HX146" s="135"/>
      <c r="HY146" s="135"/>
      <c r="HZ146" s="135"/>
      <c r="IA146" s="135"/>
      <c r="IB146" s="135"/>
      <c r="IC146" s="135"/>
      <c r="ID146" s="135"/>
      <c r="IE146" s="135"/>
      <c r="IF146" s="135"/>
      <c r="IG146" s="135"/>
      <c r="IH146" s="135"/>
      <c r="II146" s="135"/>
      <c r="IJ146" s="135"/>
      <c r="IK146" s="135"/>
      <c r="IL146" s="135"/>
      <c r="IM146" s="135"/>
      <c r="IN146" s="135"/>
      <c r="IO146" s="135"/>
      <c r="IP146" s="135"/>
      <c r="IQ146" s="135"/>
      <c r="IR146" s="135"/>
      <c r="IS146" s="135"/>
      <c r="IT146" s="135"/>
      <c r="IU146" s="135"/>
      <c r="IV146" s="135"/>
      <c r="IW146" s="135"/>
      <c r="IX146" s="135"/>
      <c r="IY146" s="135"/>
      <c r="IZ146" s="135"/>
      <c r="JA146" s="135"/>
      <c r="JB146" s="135"/>
      <c r="JC146" s="135"/>
      <c r="JD146" s="135"/>
      <c r="JE146" s="135"/>
      <c r="JF146" s="135"/>
      <c r="JG146" s="135"/>
      <c r="JH146" s="135"/>
    </row>
    <row r="147" spans="1:268" s="4" customFormat="1">
      <c r="A147" s="801"/>
      <c r="B147" s="555" t="s">
        <v>605</v>
      </c>
      <c r="C147" s="555"/>
      <c r="D147" s="555"/>
      <c r="E147" s="1051"/>
      <c r="F147" s="1051"/>
      <c r="G147" s="1051"/>
      <c r="H147" s="891"/>
      <c r="I147" s="1050"/>
      <c r="J147" s="1050"/>
      <c r="K147" s="1051"/>
      <c r="L147" s="1051"/>
      <c r="M147" s="891"/>
      <c r="N147" s="1050"/>
      <c r="O147" s="1050"/>
      <c r="P147" s="1051"/>
      <c r="Q147" s="1051"/>
      <c r="R147" s="891"/>
      <c r="S147" s="1050"/>
      <c r="T147" s="1050"/>
      <c r="U147" s="1051"/>
      <c r="V147" s="1051"/>
      <c r="W147" s="891"/>
      <c r="X147" s="1051"/>
      <c r="Y147" s="1051"/>
      <c r="Z147" s="1051"/>
      <c r="AA147" s="1051"/>
      <c r="AB147" s="1052"/>
      <c r="AC147" s="1051"/>
      <c r="AD147" s="1051"/>
      <c r="AE147" s="1051"/>
      <c r="AF147" s="1051"/>
      <c r="AG147" s="1052"/>
      <c r="AH147" s="1051"/>
      <c r="AI147" s="1051"/>
      <c r="AJ147" s="1051"/>
      <c r="AK147" s="1051"/>
      <c r="AL147" s="1052"/>
      <c r="AM147" s="1051"/>
      <c r="AN147" s="1051"/>
      <c r="AO147" s="1051"/>
      <c r="AP147" s="1051"/>
      <c r="AQ147" s="1052"/>
      <c r="AR147" s="1051"/>
      <c r="AS147" s="1051"/>
      <c r="AT147" s="1051"/>
      <c r="AU147" s="802"/>
      <c r="AV147" s="555"/>
      <c r="AW147" s="555"/>
      <c r="AX147" s="555"/>
      <c r="AY147" s="555"/>
      <c r="AZ147" s="1053"/>
      <c r="BA147" s="1051"/>
      <c r="BB147" s="1051"/>
      <c r="BC147" s="1051"/>
      <c r="BD147" s="1051"/>
      <c r="BE147" s="1052"/>
      <c r="BF147" s="1051"/>
      <c r="BG147" s="1051"/>
      <c r="BH147" s="1051"/>
      <c r="BI147" s="1051"/>
      <c r="BJ147" s="1052"/>
      <c r="BK147" s="1051"/>
      <c r="BL147" s="1051"/>
      <c r="BM147" s="1051"/>
      <c r="BN147" s="1051"/>
      <c r="BO147" s="1052"/>
      <c r="BP147" s="1051"/>
      <c r="BQ147" s="1051"/>
      <c r="BR147" s="1051"/>
      <c r="BS147" s="1051"/>
      <c r="BT147" s="1052"/>
      <c r="BU147" s="1051"/>
      <c r="BV147" s="1051"/>
      <c r="BW147" s="1051"/>
      <c r="BX147" s="1051"/>
      <c r="BY147" s="1052"/>
      <c r="BZ147" s="1051"/>
      <c r="CA147" s="1051"/>
      <c r="CB147" s="1051"/>
      <c r="CC147" s="1051"/>
      <c r="CD147" s="1052"/>
      <c r="CE147" s="1051"/>
      <c r="CF147" s="1051"/>
      <c r="CG147" s="1051"/>
      <c r="CH147" s="1051"/>
      <c r="CI147" s="1052"/>
      <c r="CJ147" s="1051"/>
      <c r="CK147" s="1051"/>
      <c r="CL147" s="1051"/>
      <c r="CM147" s="1051"/>
      <c r="CN147" s="1052"/>
      <c r="CO147" s="1051"/>
      <c r="CP147" s="1051"/>
      <c r="CQ147" s="1051"/>
      <c r="CR147" s="1051"/>
      <c r="CS147" s="1052"/>
      <c r="CT147" s="1051"/>
      <c r="CU147" s="1051"/>
      <c r="CV147" s="1051"/>
      <c r="CW147" s="1051"/>
      <c r="CX147" s="1052"/>
      <c r="CY147" s="1051"/>
      <c r="CZ147" s="1051"/>
      <c r="DA147" s="1051"/>
      <c r="DB147" s="1051"/>
      <c r="DC147" s="1052"/>
      <c r="DD147" s="1051"/>
      <c r="DE147" s="1051"/>
      <c r="DF147" s="1051"/>
      <c r="DG147" s="1051"/>
      <c r="DH147" s="1052"/>
      <c r="DI147" s="1051"/>
      <c r="DJ147" s="1051"/>
      <c r="DK147" s="1051"/>
      <c r="DL147" s="1051">
        <f>-99-DK147-DJ147-DI147</f>
        <v>-99</v>
      </c>
      <c r="DM147" s="1052">
        <f>SUM(DI147:DL147)</f>
        <v>-99</v>
      </c>
      <c r="DN147" s="1051">
        <v>12</v>
      </c>
      <c r="DO147" s="1051">
        <f>10-DN147</f>
        <v>-2</v>
      </c>
      <c r="DP147" s="1051">
        <f>2-DO147-DN147</f>
        <v>-8</v>
      </c>
      <c r="DQ147" s="1051">
        <f>-13-DP147-DO147-DN147</f>
        <v>-15</v>
      </c>
      <c r="DR147" s="1052">
        <f>SUM(DN147:DQ147)</f>
        <v>-13</v>
      </c>
      <c r="DS147" s="1051">
        <v>4</v>
      </c>
      <c r="DT147" s="1051">
        <f>4-DS147</f>
        <v>0</v>
      </c>
      <c r="DU147" s="1051">
        <f>-4-DT147-DS147</f>
        <v>-8</v>
      </c>
      <c r="DV147" s="1051">
        <f>-18-DU147-DT147-DS147</f>
        <v>-14</v>
      </c>
      <c r="DW147" s="1052">
        <f>SUM(DS147:DV147)</f>
        <v>-18</v>
      </c>
      <c r="DX147" s="1054">
        <v>0</v>
      </c>
      <c r="DY147" s="1054">
        <v>0</v>
      </c>
      <c r="DZ147" s="1054">
        <v>0</v>
      </c>
      <c r="EA147" s="1054">
        <v>0</v>
      </c>
      <c r="EB147" s="1052">
        <f t="shared" si="357"/>
        <v>0</v>
      </c>
      <c r="EC147" s="1054">
        <v>0</v>
      </c>
      <c r="ED147" s="1054">
        <v>0</v>
      </c>
      <c r="EE147" s="1054">
        <v>0</v>
      </c>
      <c r="EF147" s="1054">
        <v>0</v>
      </c>
      <c r="EG147" s="1052">
        <f>SUM(EC147:EF147)</f>
        <v>0</v>
      </c>
      <c r="EH147" s="1054">
        <v>0</v>
      </c>
      <c r="EI147" s="1054">
        <v>0</v>
      </c>
      <c r="EJ147" s="1054">
        <v>0</v>
      </c>
      <c r="EK147" s="1054">
        <v>0</v>
      </c>
      <c r="EL147" s="1052">
        <f>SUM(EH147:EK147)</f>
        <v>0</v>
      </c>
      <c r="EM147" s="901"/>
      <c r="EN147"/>
      <c r="EO147"/>
      <c r="EP147"/>
      <c r="EQ147"/>
      <c r="ER147"/>
      <c r="ES147"/>
      <c r="ET147" s="1495"/>
      <c r="EU147" s="135"/>
      <c r="EV147" s="135"/>
      <c r="EW147" s="135"/>
      <c r="EX147" s="135"/>
      <c r="EY147" s="135"/>
      <c r="EZ147" s="135"/>
      <c r="FA147" s="135"/>
      <c r="FB147" s="135"/>
      <c r="FC147" s="135"/>
      <c r="FD147" s="135"/>
      <c r="FE147" s="135"/>
      <c r="FF147" s="135"/>
      <c r="FG147" s="135"/>
      <c r="FH147" s="135"/>
      <c r="FI147" s="135"/>
      <c r="FJ147" s="135"/>
      <c r="FK147" s="135"/>
      <c r="FL147" s="135"/>
      <c r="FM147" s="135"/>
      <c r="FN147" s="135"/>
      <c r="FO147" s="135"/>
      <c r="FP147" s="135"/>
      <c r="FQ147" s="135"/>
      <c r="FR147" s="135"/>
      <c r="FS147" s="135"/>
      <c r="FT147" s="135"/>
      <c r="FU147" s="135"/>
      <c r="FV147" s="135"/>
      <c r="FW147" s="135"/>
      <c r="FX147" s="135"/>
      <c r="FY147" s="135"/>
      <c r="FZ147" s="135"/>
      <c r="GA147" s="135"/>
      <c r="GB147" s="135"/>
      <c r="GC147" s="135"/>
      <c r="GD147" s="135"/>
      <c r="GE147" s="135"/>
      <c r="GF147" s="135"/>
      <c r="GG147" s="135"/>
      <c r="GH147" s="135"/>
      <c r="GI147" s="135"/>
      <c r="GJ147" s="135"/>
      <c r="GK147" s="135"/>
      <c r="GL147" s="135"/>
      <c r="GM147" s="135"/>
      <c r="GN147" s="135"/>
      <c r="GO147" s="135"/>
      <c r="GP147" s="135"/>
      <c r="GQ147" s="135"/>
      <c r="GR147" s="135"/>
      <c r="GS147" s="135"/>
      <c r="GT147" s="135"/>
      <c r="GU147" s="135"/>
      <c r="GV147" s="135"/>
      <c r="GW147" s="135"/>
      <c r="GX147" s="135"/>
      <c r="GY147" s="135"/>
      <c r="GZ147" s="135"/>
      <c r="HA147" s="135"/>
      <c r="HB147" s="135"/>
      <c r="HC147" s="135"/>
      <c r="HD147" s="135"/>
      <c r="HE147" s="135"/>
      <c r="HF147" s="135"/>
      <c r="HG147" s="135"/>
      <c r="HH147" s="135"/>
      <c r="HI147" s="135"/>
      <c r="HJ147" s="135"/>
      <c r="HK147" s="135"/>
      <c r="HL147" s="135"/>
      <c r="HM147" s="135"/>
      <c r="HN147" s="135"/>
      <c r="HO147" s="135"/>
      <c r="HP147" s="135"/>
      <c r="HQ147" s="135"/>
      <c r="HR147" s="135"/>
      <c r="HS147" s="135"/>
      <c r="HT147" s="135"/>
      <c r="HU147" s="135"/>
      <c r="HV147" s="135"/>
      <c r="HW147" s="135"/>
      <c r="HX147" s="135"/>
      <c r="HY147" s="135"/>
      <c r="HZ147" s="135"/>
      <c r="IA147" s="135"/>
      <c r="IB147" s="135"/>
      <c r="IC147" s="135"/>
      <c r="ID147" s="135"/>
      <c r="IE147" s="135"/>
      <c r="IF147" s="135"/>
      <c r="IG147" s="135"/>
      <c r="IH147" s="135"/>
      <c r="II147" s="135"/>
      <c r="IJ147" s="135"/>
      <c r="IK147" s="135"/>
      <c r="IL147" s="135"/>
      <c r="IM147" s="135"/>
      <c r="IN147" s="135"/>
      <c r="IO147" s="135"/>
      <c r="IP147" s="135"/>
      <c r="IQ147" s="135"/>
      <c r="IR147" s="135"/>
      <c r="IS147" s="135"/>
      <c r="IT147" s="135"/>
      <c r="IU147" s="135"/>
      <c r="IV147" s="135"/>
      <c r="IW147" s="135"/>
      <c r="IX147" s="135"/>
      <c r="IY147" s="135"/>
      <c r="IZ147" s="135"/>
      <c r="JA147" s="135"/>
      <c r="JB147" s="135"/>
      <c r="JC147" s="135"/>
      <c r="JD147" s="135"/>
      <c r="JE147" s="135"/>
      <c r="JF147" s="135"/>
      <c r="JG147" s="135"/>
      <c r="JH147" s="135"/>
    </row>
    <row r="148" spans="1:268" s="4" customFormat="1">
      <c r="A148" s="801"/>
      <c r="B148" s="557" t="s">
        <v>54</v>
      </c>
      <c r="C148" s="1050"/>
      <c r="D148" s="1050"/>
      <c r="E148" s="1050"/>
      <c r="F148" s="1051"/>
      <c r="G148" s="1051"/>
      <c r="H148" s="891">
        <f>-30+20+51-6</f>
        <v>35</v>
      </c>
      <c r="I148" s="1050"/>
      <c r="J148" s="1050"/>
      <c r="K148" s="1051"/>
      <c r="L148" s="1051"/>
      <c r="M148" s="891">
        <f>-346+127+23+12</f>
        <v>-184</v>
      </c>
      <c r="N148" s="1050"/>
      <c r="O148" s="1050"/>
      <c r="P148" s="1051"/>
      <c r="Q148" s="1051"/>
      <c r="R148" s="891">
        <f>18+955+47+26</f>
        <v>1046</v>
      </c>
      <c r="S148" s="1050"/>
      <c r="T148" s="1050"/>
      <c r="U148" s="1051"/>
      <c r="V148" s="1051"/>
      <c r="W148" s="891">
        <f>117+21+17</f>
        <v>155</v>
      </c>
      <c r="X148" s="1051">
        <v>11</v>
      </c>
      <c r="Y148" s="1051">
        <f>12-X148</f>
        <v>1</v>
      </c>
      <c r="Z148" s="1051">
        <f>15-X148-Y148</f>
        <v>3</v>
      </c>
      <c r="AA148" s="1051">
        <f>17-X148-Y148-Z148</f>
        <v>2</v>
      </c>
      <c r="AB148" s="1052">
        <f t="shared" si="338"/>
        <v>17</v>
      </c>
      <c r="AC148" s="1051">
        <v>15</v>
      </c>
      <c r="AD148" s="1051">
        <f>35-68-AC148</f>
        <v>-48</v>
      </c>
      <c r="AE148" s="1051">
        <f>27+19-119-SUM(AC148:AD148)</f>
        <v>-40</v>
      </c>
      <c r="AF148" s="1051">
        <f>-49+19+33-SUM(AC148:AE148)</f>
        <v>76</v>
      </c>
      <c r="AG148" s="1052">
        <f t="shared" si="339"/>
        <v>3</v>
      </c>
      <c r="AH148" s="1051">
        <v>19</v>
      </c>
      <c r="AI148" s="1051">
        <f>13-AH148</f>
        <v>-6</v>
      </c>
      <c r="AJ148" s="1051">
        <f>20-SUM(AH148:AI148)</f>
        <v>7</v>
      </c>
      <c r="AK148" s="1051">
        <f>74-28+35+27-SUM(AH148:AJ148)</f>
        <v>88</v>
      </c>
      <c r="AL148" s="1052">
        <f t="shared" si="340"/>
        <v>108</v>
      </c>
      <c r="AM148" s="1051">
        <f>54+69+10</f>
        <v>133</v>
      </c>
      <c r="AN148" s="1051">
        <f>67+172+23-AM148</f>
        <v>129</v>
      </c>
      <c r="AO148" s="1051">
        <f>133+180+34-SUM(AM148:AN148)</f>
        <v>85</v>
      </c>
      <c r="AP148" s="1051">
        <f>176+240+46-SUM(AM148:AO148)</f>
        <v>115</v>
      </c>
      <c r="AQ148" s="1052">
        <f t="shared" si="341"/>
        <v>462</v>
      </c>
      <c r="AR148" s="1051">
        <f>16+3+31</f>
        <v>50</v>
      </c>
      <c r="AS148" s="1051">
        <f>37+4+42-AR148</f>
        <v>33</v>
      </c>
      <c r="AT148" s="1051">
        <f>38+4+53-SUM(AR148:AS148)</f>
        <v>12</v>
      </c>
      <c r="AU148" s="802"/>
      <c r="AV148" s="555"/>
      <c r="AW148" s="555"/>
      <c r="AX148" s="555"/>
      <c r="AY148" s="555"/>
      <c r="AZ148" s="1053">
        <f>37+4+44</f>
        <v>85</v>
      </c>
      <c r="BA148" s="1051">
        <v>21</v>
      </c>
      <c r="BB148" s="1051">
        <f>22-BA148</f>
        <v>1</v>
      </c>
      <c r="BC148" s="1051">
        <f>-66-SUM(BA148:BB148)</f>
        <v>-88</v>
      </c>
      <c r="BD148" s="1051">
        <f>43-SUM(BA148:BC148)</f>
        <v>109</v>
      </c>
      <c r="BE148" s="1052">
        <f t="shared" si="342"/>
        <v>43</v>
      </c>
      <c r="BF148" s="1051">
        <v>3</v>
      </c>
      <c r="BG148" s="1051">
        <f>-9+5-BF148</f>
        <v>-7</v>
      </c>
      <c r="BH148" s="1051">
        <f>-15+5-SUM(BF148:BG148)</f>
        <v>-6</v>
      </c>
      <c r="BI148" s="1051">
        <f>-16+13-SUM(BF148:BH148)</f>
        <v>7</v>
      </c>
      <c r="BJ148" s="1052">
        <f t="shared" si="343"/>
        <v>-3</v>
      </c>
      <c r="BK148" s="1051">
        <f>3+15</f>
        <v>18</v>
      </c>
      <c r="BL148" s="1051">
        <f>4+15-BK148</f>
        <v>1</v>
      </c>
      <c r="BM148" s="1051">
        <f>15-SUM(BK148:BL148)</f>
        <v>-4</v>
      </c>
      <c r="BN148" s="1051">
        <f>9+15+16-SUM(BK148:BM148)</f>
        <v>25</v>
      </c>
      <c r="BO148" s="1052">
        <f t="shared" si="344"/>
        <v>40</v>
      </c>
      <c r="BP148" s="1051">
        <f>8-2</f>
        <v>6</v>
      </c>
      <c r="BQ148" s="1051">
        <f>10-2-BP148</f>
        <v>2</v>
      </c>
      <c r="BR148" s="1051">
        <f>-9-2+161-SUM(BP148:BQ148)</f>
        <v>142</v>
      </c>
      <c r="BS148" s="1051">
        <f>-22-2+161-SUM(BP148:BR148)</f>
        <v>-13</v>
      </c>
      <c r="BT148" s="1052">
        <f t="shared" si="345"/>
        <v>137</v>
      </c>
      <c r="BU148" s="1051">
        <v>-11</v>
      </c>
      <c r="BV148" s="1051">
        <f>-8-BU148</f>
        <v>3</v>
      </c>
      <c r="BW148" s="1051">
        <f>-11-SUM(BU148:BV148)</f>
        <v>-3</v>
      </c>
      <c r="BX148" s="1051">
        <f>-12-SUM(BU148:BW148)</f>
        <v>-1</v>
      </c>
      <c r="BY148" s="1052">
        <f t="shared" si="346"/>
        <v>-12</v>
      </c>
      <c r="BZ148" s="1051">
        <v>3</v>
      </c>
      <c r="CA148" s="1051">
        <f>-3-BZ148</f>
        <v>-6</v>
      </c>
      <c r="CB148" s="1051">
        <f>2-140-SUM(BZ148:CA148)</f>
        <v>-135</v>
      </c>
      <c r="CC148" s="1051">
        <f>11-139-SUM(BZ148:CB148)</f>
        <v>10</v>
      </c>
      <c r="CD148" s="1052">
        <f t="shared" si="347"/>
        <v>-128</v>
      </c>
      <c r="CE148" s="1051">
        <f>9-134</f>
        <v>-125</v>
      </c>
      <c r="CF148" s="1051">
        <f>-15-113+6-CE148</f>
        <v>3</v>
      </c>
      <c r="CG148" s="1051">
        <f>-2-97-15+18-SUM(CE148:CF148)</f>
        <v>26</v>
      </c>
      <c r="CH148" s="1051">
        <f>-6-97-15+39-SUM(CE148:CG148)</f>
        <v>17</v>
      </c>
      <c r="CI148" s="1052">
        <f t="shared" si="348"/>
        <v>-79</v>
      </c>
      <c r="CJ148" s="1051">
        <v>6</v>
      </c>
      <c r="CK148" s="1051">
        <f>16-CJ148</f>
        <v>10</v>
      </c>
      <c r="CL148" s="1051">
        <f>55+23-SUM(CJ148:CK148)</f>
        <v>62</v>
      </c>
      <c r="CM148" s="1051">
        <f>-4+57-SUM(CJ148:CL148)</f>
        <v>-25</v>
      </c>
      <c r="CN148" s="1052">
        <f t="shared" si="349"/>
        <v>53</v>
      </c>
      <c r="CO148" s="1051">
        <v>-13</v>
      </c>
      <c r="CP148" s="1051">
        <f>-5-CO148</f>
        <v>8</v>
      </c>
      <c r="CQ148" s="1051">
        <f>-12-SUM(CP148,CO148)</f>
        <v>-7</v>
      </c>
      <c r="CR148" s="1051">
        <f>-15+117-SUM(CO148:CQ148)</f>
        <v>114</v>
      </c>
      <c r="CS148" s="1052">
        <f t="shared" si="350"/>
        <v>102</v>
      </c>
      <c r="CT148" s="1051">
        <v>-4</v>
      </c>
      <c r="CU148" s="1051">
        <f>-4-CT148</f>
        <v>0</v>
      </c>
      <c r="CV148" s="1051">
        <f>-7-CT148-CU148</f>
        <v>-3</v>
      </c>
      <c r="CW148" s="1051">
        <f>-12-SUM(CT148:CV148)</f>
        <v>-5</v>
      </c>
      <c r="CX148" s="1052">
        <f t="shared" si="351"/>
        <v>-12</v>
      </c>
      <c r="CY148" s="1051">
        <v>-10</v>
      </c>
      <c r="CZ148" s="1051">
        <f>-18-CY148</f>
        <v>-8</v>
      </c>
      <c r="DA148" s="1051">
        <f>-19-CZ148-CY148</f>
        <v>-1</v>
      </c>
      <c r="DB148" s="1051">
        <f>348-33-SUM(CY148:DA148)</f>
        <v>334</v>
      </c>
      <c r="DC148" s="1052">
        <f t="shared" si="352"/>
        <v>315</v>
      </c>
      <c r="DD148" s="1051">
        <v>-3</v>
      </c>
      <c r="DE148" s="1051">
        <f>-9-DD148</f>
        <v>-6</v>
      </c>
      <c r="DF148" s="1051">
        <f>-16+24-SUM(DD148:DE148)</f>
        <v>17</v>
      </c>
      <c r="DG148" s="1051">
        <f>-40+24-SUM(DD148:DF148)</f>
        <v>-24</v>
      </c>
      <c r="DH148" s="1052">
        <f t="shared" si="353"/>
        <v>-16</v>
      </c>
      <c r="DI148" s="1051">
        <v>-8</v>
      </c>
      <c r="DJ148" s="1051">
        <f>-25-DI148</f>
        <v>-17</v>
      </c>
      <c r="DK148" s="1051">
        <f>-26-DJ148-DI148</f>
        <v>-1</v>
      </c>
      <c r="DL148" s="1051">
        <f>59-DK148-DJ148-DI148</f>
        <v>85</v>
      </c>
      <c r="DM148" s="1052">
        <f t="shared" si="354"/>
        <v>59</v>
      </c>
      <c r="DN148" s="1051">
        <f>2-147</f>
        <v>-145</v>
      </c>
      <c r="DO148" s="1051">
        <f>-148-2-DN148</f>
        <v>-5</v>
      </c>
      <c r="DP148" s="1051">
        <f>-3-151-DO148-DN148</f>
        <v>-4</v>
      </c>
      <c r="DQ148" s="1051">
        <f>-151-1-DP148-DO148-DN148</f>
        <v>2</v>
      </c>
      <c r="DR148" s="1052">
        <f t="shared" si="355"/>
        <v>-152</v>
      </c>
      <c r="DS148" s="1051">
        <f>-2</f>
        <v>-2</v>
      </c>
      <c r="DT148" s="1051">
        <f>-25+26-DS148</f>
        <v>3</v>
      </c>
      <c r="DU148" s="1051">
        <f>-19+164-DT148-DS148</f>
        <v>144</v>
      </c>
      <c r="DV148" s="1051">
        <f>164-18-DU148-DT148-DS148</f>
        <v>1</v>
      </c>
      <c r="DW148" s="1052">
        <f t="shared" si="356"/>
        <v>146</v>
      </c>
      <c r="DX148" s="1054">
        <v>0</v>
      </c>
      <c r="DY148" s="1054">
        <v>0</v>
      </c>
      <c r="DZ148" s="1054">
        <v>0</v>
      </c>
      <c r="EA148" s="1054">
        <v>0</v>
      </c>
      <c r="EB148" s="1052">
        <f>SUM(DX148:EA148)</f>
        <v>0</v>
      </c>
      <c r="EC148" s="1054">
        <v>0</v>
      </c>
      <c r="ED148" s="1054">
        <v>0</v>
      </c>
      <c r="EE148" s="1054">
        <v>0</v>
      </c>
      <c r="EF148" s="1054">
        <v>0</v>
      </c>
      <c r="EG148" s="1052">
        <f>SUM(EC148:EF148)</f>
        <v>0</v>
      </c>
      <c r="EH148" s="1054">
        <v>0</v>
      </c>
      <c r="EI148" s="1054">
        <v>0</v>
      </c>
      <c r="EJ148" s="1054">
        <v>0</v>
      </c>
      <c r="EK148" s="1054">
        <v>0</v>
      </c>
      <c r="EL148" s="1052">
        <f>SUM(EH148:EK148)</f>
        <v>0</v>
      </c>
      <c r="EM148" s="901"/>
      <c r="EN148"/>
      <c r="EO148"/>
      <c r="EP148"/>
      <c r="EQ148"/>
      <c r="ER148"/>
      <c r="ES148"/>
      <c r="ET148" s="1495"/>
      <c r="EU148" s="135"/>
      <c r="EV148" s="135"/>
      <c r="EW148" s="135"/>
      <c r="EX148" s="135"/>
      <c r="EY148" s="135"/>
      <c r="EZ148" s="135"/>
      <c r="FA148" s="135"/>
      <c r="FB148" s="135"/>
      <c r="FC148" s="135"/>
      <c r="FD148" s="135"/>
      <c r="FE148" s="135"/>
      <c r="FF148" s="135"/>
      <c r="FG148" s="135"/>
      <c r="FH148" s="135"/>
      <c r="FI148" s="135"/>
      <c r="FJ148" s="135"/>
      <c r="FK148" s="135"/>
      <c r="FL148" s="135"/>
      <c r="FM148" s="135"/>
      <c r="FN148" s="135"/>
      <c r="FO148" s="135"/>
      <c r="FP148" s="135"/>
      <c r="FQ148" s="135"/>
      <c r="FR148" s="135"/>
      <c r="FS148" s="135"/>
      <c r="FT148" s="135"/>
      <c r="FU148" s="135"/>
      <c r="FV148" s="135"/>
      <c r="FW148" s="135"/>
      <c r="FX148" s="135"/>
      <c r="FY148" s="135"/>
      <c r="FZ148" s="135"/>
      <c r="GA148" s="135"/>
      <c r="GB148" s="135"/>
      <c r="GC148" s="135"/>
      <c r="GD148" s="135"/>
      <c r="GE148" s="135"/>
      <c r="GF148" s="135"/>
      <c r="GG148" s="135"/>
      <c r="GH148" s="135"/>
      <c r="GI148" s="135"/>
      <c r="GJ148" s="135"/>
      <c r="GK148" s="135"/>
      <c r="GL148" s="135"/>
      <c r="GM148" s="135"/>
      <c r="GN148" s="135"/>
      <c r="GO148" s="135"/>
      <c r="GP148" s="135"/>
      <c r="GQ148" s="135"/>
      <c r="GR148" s="135"/>
      <c r="GS148" s="135"/>
      <c r="GT148" s="135"/>
      <c r="GU148" s="135"/>
      <c r="GV148" s="135"/>
      <c r="GW148" s="135"/>
      <c r="GX148" s="135"/>
      <c r="GY148" s="135"/>
      <c r="GZ148" s="135"/>
      <c r="HA148" s="135"/>
      <c r="HB148" s="135"/>
      <c r="HC148" s="135"/>
      <c r="HD148" s="135"/>
      <c r="HE148" s="135"/>
      <c r="HF148" s="135"/>
      <c r="HG148" s="135"/>
      <c r="HH148" s="135"/>
      <c r="HI148" s="135"/>
      <c r="HJ148" s="135"/>
      <c r="HK148" s="135"/>
      <c r="HL148" s="135"/>
      <c r="HM148" s="135"/>
      <c r="HN148" s="135"/>
      <c r="HO148" s="135"/>
      <c r="HP148" s="135"/>
      <c r="HQ148" s="135"/>
      <c r="HR148" s="135"/>
      <c r="HS148" s="135"/>
      <c r="HT148" s="135"/>
      <c r="HU148" s="135"/>
      <c r="HV148" s="135"/>
      <c r="HW148" s="135"/>
      <c r="HX148" s="135"/>
      <c r="HY148" s="135"/>
      <c r="HZ148" s="135"/>
      <c r="IA148" s="135"/>
      <c r="IB148" s="135"/>
      <c r="IC148" s="135"/>
      <c r="ID148" s="135"/>
      <c r="IE148" s="135"/>
      <c r="IF148" s="135"/>
      <c r="IG148" s="135"/>
      <c r="IH148" s="135"/>
      <c r="II148" s="135"/>
      <c r="IJ148" s="135"/>
      <c r="IK148" s="135"/>
      <c r="IL148" s="135"/>
      <c r="IM148" s="135"/>
      <c r="IN148" s="135"/>
      <c r="IO148" s="135"/>
      <c r="IP148" s="135"/>
      <c r="IQ148" s="135"/>
      <c r="IR148" s="135"/>
      <c r="IS148" s="135"/>
      <c r="IT148" s="135"/>
      <c r="IU148" s="135"/>
      <c r="IV148" s="135"/>
      <c r="IW148" s="135"/>
      <c r="IX148" s="135"/>
      <c r="IY148" s="135"/>
      <c r="IZ148" s="135"/>
      <c r="JA148" s="135"/>
      <c r="JB148" s="135"/>
      <c r="JC148" s="135"/>
      <c r="JD148" s="135"/>
      <c r="JE148" s="135"/>
      <c r="JF148" s="135"/>
      <c r="JG148" s="135"/>
      <c r="JH148" s="135"/>
    </row>
    <row r="149" spans="1:268" s="4" customFormat="1" ht="3" customHeight="1">
      <c r="A149" s="801"/>
      <c r="B149" s="557"/>
      <c r="C149" s="1045"/>
      <c r="D149" s="1045"/>
      <c r="E149" s="1051"/>
      <c r="F149" s="1051"/>
      <c r="G149" s="1051"/>
      <c r="H149" s="1046"/>
      <c r="I149" s="1022"/>
      <c r="J149" s="1051"/>
      <c r="K149" s="1051"/>
      <c r="L149" s="1051"/>
      <c r="M149" s="1046"/>
      <c r="N149" s="1022"/>
      <c r="O149" s="1051"/>
      <c r="P149" s="1051"/>
      <c r="Q149" s="1051"/>
      <c r="R149" s="1046"/>
      <c r="S149" s="1022"/>
      <c r="T149" s="1051"/>
      <c r="U149" s="1051"/>
      <c r="V149" s="1051"/>
      <c r="W149" s="1046"/>
      <c r="X149" s="1022"/>
      <c r="Y149" s="1051"/>
      <c r="Z149" s="1051"/>
      <c r="AA149" s="1051"/>
      <c r="AB149" s="1047"/>
      <c r="AC149" s="1022"/>
      <c r="AD149" s="1051"/>
      <c r="AE149" s="1051"/>
      <c r="AF149" s="1051"/>
      <c r="AG149" s="1047"/>
      <c r="AH149" s="1022"/>
      <c r="AI149" s="1051"/>
      <c r="AJ149" s="1051"/>
      <c r="AK149" s="1051"/>
      <c r="AL149" s="1047"/>
      <c r="AM149" s="1022"/>
      <c r="AN149" s="1051"/>
      <c r="AO149" s="1051"/>
      <c r="AP149" s="1051"/>
      <c r="AQ149" s="1047"/>
      <c r="AR149" s="1022"/>
      <c r="AS149" s="1051"/>
      <c r="AT149" s="1051"/>
      <c r="AU149" s="802"/>
      <c r="AV149" s="555"/>
      <c r="AW149" s="555"/>
      <c r="AX149" s="555"/>
      <c r="AY149" s="555"/>
      <c r="AZ149" s="1048"/>
      <c r="BA149" s="1022"/>
      <c r="BB149" s="1051"/>
      <c r="BC149" s="1051"/>
      <c r="BD149" s="1051"/>
      <c r="BE149" s="1047"/>
      <c r="BF149" s="1022"/>
      <c r="BG149" s="1051"/>
      <c r="BH149" s="1045"/>
      <c r="BI149" s="1045"/>
      <c r="BJ149" s="1047"/>
      <c r="BK149" s="1022"/>
      <c r="BL149" s="1051"/>
      <c r="BM149" s="1045"/>
      <c r="BN149" s="1045"/>
      <c r="BO149" s="1047"/>
      <c r="BP149" s="1022"/>
      <c r="BQ149" s="1051"/>
      <c r="BR149" s="1051"/>
      <c r="BS149" s="1051"/>
      <c r="BT149" s="1047"/>
      <c r="BU149" s="1022"/>
      <c r="BV149" s="1051"/>
      <c r="BW149" s="1022"/>
      <c r="BX149" s="1051"/>
      <c r="BY149" s="1047"/>
      <c r="BZ149" s="1022"/>
      <c r="CA149" s="1051"/>
      <c r="CB149" s="1045"/>
      <c r="CC149" s="1045"/>
      <c r="CD149" s="1047"/>
      <c r="CE149" s="1045"/>
      <c r="CF149" s="1045"/>
      <c r="CG149" s="1045"/>
      <c r="CH149" s="1045"/>
      <c r="CI149" s="1047"/>
      <c r="CJ149" s="1045"/>
      <c r="CK149" s="1045"/>
      <c r="CL149" s="1045"/>
      <c r="CM149" s="1045"/>
      <c r="CN149" s="1047"/>
      <c r="CO149" s="1045"/>
      <c r="CP149" s="1045"/>
      <c r="CQ149" s="1045"/>
      <c r="CR149" s="1045"/>
      <c r="CS149" s="1047"/>
      <c r="CT149" s="1049"/>
      <c r="CU149" s="1049"/>
      <c r="CV149" s="1022"/>
      <c r="CW149" s="1022"/>
      <c r="CX149" s="1047"/>
      <c r="CY149" s="1045"/>
      <c r="CZ149" s="1045"/>
      <c r="DA149" s="1022">
        <v>0</v>
      </c>
      <c r="DB149" s="1022"/>
      <c r="DC149" s="1047"/>
      <c r="DD149" s="1045"/>
      <c r="DE149" s="1045"/>
      <c r="DF149" s="1022"/>
      <c r="DG149" s="1022"/>
      <c r="DH149" s="1047"/>
      <c r="DI149" s="1045"/>
      <c r="DJ149" s="1045"/>
      <c r="DK149" s="1045"/>
      <c r="DL149" s="1022"/>
      <c r="DM149" s="1047"/>
      <c r="DN149" s="1045"/>
      <c r="DO149" s="1045"/>
      <c r="DP149" s="1045"/>
      <c r="DQ149" s="1022"/>
      <c r="DR149" s="1047"/>
      <c r="DS149" s="1045"/>
      <c r="DT149" s="1045"/>
      <c r="DU149" s="1045"/>
      <c r="DV149" s="1022"/>
      <c r="DW149" s="1047"/>
      <c r="DX149" s="1045"/>
      <c r="DY149" s="1045"/>
      <c r="DZ149" s="1045"/>
      <c r="EA149" s="1045"/>
      <c r="EB149" s="1047"/>
      <c r="EC149" s="1045"/>
      <c r="ED149" s="1045"/>
      <c r="EE149" s="1045"/>
      <c r="EF149" s="1045"/>
      <c r="EG149" s="1047"/>
      <c r="EH149" s="1045"/>
      <c r="EI149" s="1045"/>
      <c r="EJ149" s="1045"/>
      <c r="EK149" s="1045"/>
      <c r="EL149" s="1047"/>
      <c r="EM149" s="561"/>
      <c r="EN149"/>
      <c r="EO149"/>
      <c r="EP149"/>
      <c r="EQ149"/>
      <c r="ER149"/>
      <c r="ES149"/>
      <c r="ET149" s="1495">
        <f>SUM(DS149:DT149)</f>
        <v>0</v>
      </c>
      <c r="EU149" s="135"/>
      <c r="EV149" s="135"/>
      <c r="EW149" s="135"/>
      <c r="EX149" s="135"/>
      <c r="EY149" s="135"/>
      <c r="EZ149" s="135"/>
      <c r="FA149" s="135"/>
      <c r="FB149" s="135"/>
      <c r="FC149" s="135"/>
      <c r="FD149" s="135"/>
      <c r="FE149" s="135"/>
      <c r="FF149" s="135"/>
      <c r="FG149" s="135"/>
      <c r="FH149" s="135"/>
      <c r="FI149" s="135"/>
      <c r="FJ149" s="135"/>
      <c r="FK149" s="135"/>
      <c r="FL149" s="135"/>
      <c r="FM149" s="135"/>
      <c r="FN149" s="135"/>
      <c r="FO149" s="135"/>
      <c r="FP149" s="135"/>
      <c r="FQ149" s="135"/>
      <c r="FR149" s="135"/>
      <c r="FS149" s="135"/>
      <c r="FT149" s="135"/>
      <c r="FU149" s="135"/>
      <c r="FV149" s="135"/>
      <c r="FW149" s="135"/>
      <c r="FX149" s="135"/>
      <c r="FY149" s="135"/>
      <c r="FZ149" s="135"/>
      <c r="GA149" s="135"/>
      <c r="GB149" s="135"/>
      <c r="GC149" s="135"/>
      <c r="GD149" s="135"/>
      <c r="GE149" s="135"/>
      <c r="GF149" s="135"/>
      <c r="GG149" s="135"/>
      <c r="GH149" s="135"/>
      <c r="GI149" s="135"/>
      <c r="GJ149" s="135"/>
      <c r="GK149" s="135"/>
      <c r="GL149" s="135"/>
      <c r="GM149" s="135"/>
      <c r="GN149" s="135"/>
      <c r="GO149" s="135"/>
      <c r="GP149" s="135"/>
      <c r="GQ149" s="135"/>
      <c r="GR149" s="135"/>
      <c r="GS149" s="135"/>
      <c r="GT149" s="135"/>
      <c r="GU149" s="135"/>
      <c r="GV149" s="135"/>
      <c r="GW149" s="135"/>
      <c r="GX149" s="135"/>
      <c r="GY149" s="135"/>
      <c r="GZ149" s="135"/>
      <c r="HA149" s="135"/>
      <c r="HB149" s="135"/>
      <c r="HC149" s="135"/>
      <c r="HD149" s="135"/>
      <c r="HE149" s="135"/>
      <c r="HF149" s="135"/>
      <c r="HG149" s="135"/>
      <c r="HH149" s="135"/>
      <c r="HI149" s="135"/>
      <c r="HJ149" s="135"/>
      <c r="HK149" s="135"/>
      <c r="HL149" s="135"/>
      <c r="HM149" s="135"/>
      <c r="HN149" s="135"/>
      <c r="HO149" s="135"/>
      <c r="HP149" s="135"/>
      <c r="HQ149" s="135"/>
      <c r="HR149" s="135"/>
      <c r="HS149" s="135"/>
      <c r="HT149" s="135"/>
      <c r="HU149" s="135"/>
      <c r="HV149" s="135"/>
      <c r="HW149" s="135"/>
      <c r="HX149" s="135"/>
      <c r="HY149" s="135"/>
      <c r="HZ149" s="135"/>
      <c r="IA149" s="135"/>
      <c r="IB149" s="135"/>
      <c r="IC149" s="135"/>
      <c r="ID149" s="135"/>
      <c r="IE149" s="135"/>
      <c r="IF149" s="135"/>
      <c r="IG149" s="135"/>
      <c r="IH149" s="135"/>
      <c r="II149" s="135"/>
      <c r="IJ149" s="135"/>
      <c r="IK149" s="135"/>
      <c r="IL149" s="135"/>
      <c r="IM149" s="135"/>
      <c r="IN149" s="135"/>
      <c r="IO149" s="135"/>
      <c r="IP149" s="135"/>
      <c r="IQ149" s="135"/>
      <c r="IR149" s="135"/>
      <c r="IS149" s="135"/>
      <c r="IT149" s="135"/>
      <c r="IU149" s="135"/>
      <c r="IV149" s="135"/>
      <c r="IW149" s="135"/>
      <c r="IX149" s="135"/>
      <c r="IY149" s="135"/>
      <c r="IZ149" s="135"/>
      <c r="JA149" s="135"/>
      <c r="JB149" s="135"/>
      <c r="JC149" s="135"/>
      <c r="JD149" s="135"/>
      <c r="JE149" s="135"/>
      <c r="JF149" s="135"/>
      <c r="JG149" s="135"/>
      <c r="JH149" s="135"/>
    </row>
    <row r="150" spans="1:268" s="4" customFormat="1" hidden="1" outlineLevel="1">
      <c r="A150" s="845"/>
      <c r="B150" s="846" t="s">
        <v>55</v>
      </c>
      <c r="C150" s="1050"/>
      <c r="D150" s="1050"/>
      <c r="E150" s="1050"/>
      <c r="F150" s="1051"/>
      <c r="G150" s="1051"/>
      <c r="H150" s="891">
        <v>-47</v>
      </c>
      <c r="I150" s="1050"/>
      <c r="J150" s="1050"/>
      <c r="K150" s="1051"/>
      <c r="L150" s="1051"/>
      <c r="M150" s="891">
        <v>-256</v>
      </c>
      <c r="N150" s="1050"/>
      <c r="O150" s="1050"/>
      <c r="P150" s="1051"/>
      <c r="Q150" s="1051"/>
      <c r="R150" s="891">
        <v>-791</v>
      </c>
      <c r="S150" s="1050"/>
      <c r="T150" s="1050"/>
      <c r="U150" s="1051"/>
      <c r="V150" s="1051"/>
      <c r="W150" s="891">
        <v>-988</v>
      </c>
      <c r="X150" s="1051">
        <v>-313</v>
      </c>
      <c r="Y150" s="1051">
        <f>-640-X150</f>
        <v>-327</v>
      </c>
      <c r="Z150" s="1051">
        <f>-1120-X150-Y150</f>
        <v>-480</v>
      </c>
      <c r="AA150" s="1051">
        <f>-1347-X150-Y150-Z150</f>
        <v>-227</v>
      </c>
      <c r="AB150" s="1052">
        <f>SUM(X150:AA150)</f>
        <v>-1347</v>
      </c>
      <c r="AC150" s="1051">
        <v>-329</v>
      </c>
      <c r="AD150" s="1051">
        <f>-588-AC150</f>
        <v>-259</v>
      </c>
      <c r="AE150" s="1051">
        <f>-965-SUM(AC150:AD150)</f>
        <v>-377</v>
      </c>
      <c r="AF150" s="1051">
        <f>-1139-SUM(AC150:AE150)</f>
        <v>-174</v>
      </c>
      <c r="AG150" s="1052">
        <f>SUM(AC150:AF150)</f>
        <v>-1139</v>
      </c>
      <c r="AH150" s="1051">
        <v>-224</v>
      </c>
      <c r="AI150" s="1051">
        <f>-453-AH150</f>
        <v>-229</v>
      </c>
      <c r="AJ150" s="1051">
        <f>-776-SUM(AH150:AI150)</f>
        <v>-323</v>
      </c>
      <c r="AK150" s="1051">
        <f>-735-SUM(AH150:AJ150)</f>
        <v>41</v>
      </c>
      <c r="AL150" s="1052">
        <f>SUM(AH150:AK150)</f>
        <v>-735</v>
      </c>
      <c r="AM150" s="1051">
        <v>-209</v>
      </c>
      <c r="AN150" s="1051">
        <f>-520-AM150</f>
        <v>-311</v>
      </c>
      <c r="AO150" s="1051">
        <f>-883-SUM(AM150:AN150)</f>
        <v>-363</v>
      </c>
      <c r="AP150" s="1051">
        <f>-1075-SUM(AM150:AO150)</f>
        <v>-192</v>
      </c>
      <c r="AQ150" s="1052">
        <f>SUM(AM150:AP150)</f>
        <v>-1075</v>
      </c>
      <c r="AR150" s="1051">
        <v>-333</v>
      </c>
      <c r="AS150" s="1051">
        <f>-733-AR150</f>
        <v>-400</v>
      </c>
      <c r="AT150" s="1051">
        <f>-1110-SUM(AR150:AS150)</f>
        <v>-377</v>
      </c>
      <c r="AU150" s="802"/>
      <c r="AV150" s="555"/>
      <c r="AW150" s="555"/>
      <c r="AX150" s="555"/>
      <c r="AY150" s="555"/>
      <c r="AZ150" s="1053">
        <v>-841</v>
      </c>
      <c r="BA150" s="1051">
        <v>-443</v>
      </c>
      <c r="BB150" s="1051">
        <f>-695-BA150</f>
        <v>-252</v>
      </c>
      <c r="BC150" s="1051">
        <f>-1046-SUM(BA150:BB150)</f>
        <v>-351</v>
      </c>
      <c r="BD150" s="1051">
        <f>-1403-SUM(BA150:BC150)</f>
        <v>-357</v>
      </c>
      <c r="BE150" s="1052">
        <f>SUM(BA150:BD150)</f>
        <v>-1403</v>
      </c>
      <c r="BF150" s="1051">
        <v>-334</v>
      </c>
      <c r="BG150" s="1051">
        <f>-528-BF150</f>
        <v>-194</v>
      </c>
      <c r="BH150" s="1051">
        <f>-718-SUM(BF150:BG150)</f>
        <v>-190</v>
      </c>
      <c r="BI150" s="1051">
        <f>-899-SUM(BF150:BH150)</f>
        <v>-181</v>
      </c>
      <c r="BJ150" s="1052">
        <f>SUM(BF150:BI150)</f>
        <v>-899</v>
      </c>
      <c r="BK150" s="1051">
        <v>-194</v>
      </c>
      <c r="BL150" s="1051">
        <f>-323-BK150</f>
        <v>-129</v>
      </c>
      <c r="BM150" s="1051">
        <f>-535-SUM(BK150:BL150)</f>
        <v>-212</v>
      </c>
      <c r="BN150" s="1051">
        <f>-696-SUM(BK150:BM150)</f>
        <v>-161</v>
      </c>
      <c r="BO150" s="1052">
        <f>SUM(BK150:BN150)</f>
        <v>-696</v>
      </c>
      <c r="BP150" s="1051">
        <v>-187</v>
      </c>
      <c r="BQ150" s="1051">
        <f>-216-BP150</f>
        <v>-29</v>
      </c>
      <c r="BR150" s="1051">
        <f>-359-SUM(BP150:BQ150)</f>
        <v>-143</v>
      </c>
      <c r="BS150" s="1051">
        <f>-471-SUM(BP150:BR150)</f>
        <v>-112</v>
      </c>
      <c r="BT150" s="1052">
        <f>SUM(BP150:BS150)</f>
        <v>-471</v>
      </c>
      <c r="BU150" s="1051">
        <v>-206</v>
      </c>
      <c r="BV150" s="1051">
        <f>-304-BU150</f>
        <v>-98</v>
      </c>
      <c r="BW150" s="1051">
        <f>-487-SUM(BU150:BV150)</f>
        <v>-183</v>
      </c>
      <c r="BX150" s="1051">
        <f>-647-SUM(BU150:BW150)</f>
        <v>-160</v>
      </c>
      <c r="BY150" s="1052">
        <f>SUM(BU150:BX150)</f>
        <v>-647</v>
      </c>
      <c r="BZ150" s="1051">
        <v>-243</v>
      </c>
      <c r="CA150" s="1051">
        <f>-360-BZ150</f>
        <v>-117</v>
      </c>
      <c r="CB150" s="1051">
        <f>-481-SUM(BZ150:CA150)</f>
        <v>-121</v>
      </c>
      <c r="CC150" s="1051">
        <f>-651-SUM(BZ150:CB150)</f>
        <v>-170</v>
      </c>
      <c r="CD150" s="1052">
        <f>SUM(BZ150:CC150)</f>
        <v>-651</v>
      </c>
      <c r="CE150" s="1051">
        <v>-229</v>
      </c>
      <c r="CF150" s="1051">
        <f>-319-CE150</f>
        <v>-90</v>
      </c>
      <c r="CG150" s="1051">
        <f>-498-SUM(CE150:CF150)</f>
        <v>-179</v>
      </c>
      <c r="CH150" s="1051">
        <f>-646-SUM(CE150:CG150)</f>
        <v>-148</v>
      </c>
      <c r="CI150" s="1052">
        <f>SUM(CE150:CH150)</f>
        <v>-646</v>
      </c>
      <c r="CJ150" s="1051">
        <v>-242</v>
      </c>
      <c r="CK150" s="1051">
        <f>-377-CJ150</f>
        <v>-135</v>
      </c>
      <c r="CL150" s="1051">
        <f>-537-SUM(CJ150:CK150)</f>
        <v>-160</v>
      </c>
      <c r="CM150" s="1051">
        <f>-744-SUM(CJ150:CL150)</f>
        <v>-207</v>
      </c>
      <c r="CN150" s="1052">
        <f>SUM(CJ150:CM150)</f>
        <v>-744</v>
      </c>
      <c r="CO150" s="1051">
        <v>-278</v>
      </c>
      <c r="CP150" s="1051">
        <f>-470-CO150</f>
        <v>-192</v>
      </c>
      <c r="CQ150" s="1051">
        <f>-625-SUM(CP150,CO150)</f>
        <v>-155</v>
      </c>
      <c r="CR150" s="1051">
        <f>-865-SUM(CO150:CQ150)</f>
        <v>-240</v>
      </c>
      <c r="CS150" s="1052">
        <f>SUM(CO150:CR150)</f>
        <v>-865</v>
      </c>
      <c r="CT150" s="1051">
        <v>-326</v>
      </c>
      <c r="CU150" s="1051">
        <f>-450-CT150</f>
        <v>-124</v>
      </c>
      <c r="CV150" s="1051">
        <f>-653-CT150-CU150</f>
        <v>-203</v>
      </c>
      <c r="CW150" s="1051">
        <f>-868-SUM(CT150:CV150)</f>
        <v>-215</v>
      </c>
      <c r="CX150" s="1052">
        <f>SUM(CT150:CW150)</f>
        <v>-868</v>
      </c>
      <c r="CY150" s="1051">
        <v>-251</v>
      </c>
      <c r="CZ150" s="1051">
        <f>-445-CY150</f>
        <v>-194</v>
      </c>
      <c r="DA150" s="1051">
        <f>-662-CZ150-CY150</f>
        <v>-217</v>
      </c>
      <c r="DB150" s="1051">
        <f>-1060-SUM(CY150:DA150)</f>
        <v>-398</v>
      </c>
      <c r="DC150" s="1052">
        <f>SUM(CY150:DB150)</f>
        <v>-1060</v>
      </c>
      <c r="DD150" s="1051">
        <v>-557</v>
      </c>
      <c r="DE150" s="1051">
        <f>-937-DD150</f>
        <v>-380</v>
      </c>
      <c r="DF150" s="1051">
        <f>-1309-SUM(DD150:DE150)</f>
        <v>-372</v>
      </c>
      <c r="DG150" s="1051">
        <f>-1896-SUM(DD150:DF150)</f>
        <v>-587</v>
      </c>
      <c r="DH150" s="1052">
        <f>SUM(DD150:DG150)</f>
        <v>-1896</v>
      </c>
      <c r="DI150" s="1051">
        <v>-484</v>
      </c>
      <c r="DJ150" s="1051">
        <f>-779-DI150</f>
        <v>-295</v>
      </c>
      <c r="DK150" s="1051">
        <f>-1124-DJ150-DI150</f>
        <v>-345</v>
      </c>
      <c r="DL150" s="1051">
        <f>-1632-DK150-DJ150-DI150</f>
        <v>-508</v>
      </c>
      <c r="DM150" s="1052">
        <f>SUM(DI150:DL150)</f>
        <v>-1632</v>
      </c>
      <c r="DN150" s="1051">
        <v>-453</v>
      </c>
      <c r="DO150" s="1051">
        <f>-725-DN150</f>
        <v>-272</v>
      </c>
      <c r="DP150" s="1051">
        <f>-1156-DO150-DN150</f>
        <v>-431</v>
      </c>
      <c r="DQ150" s="1051">
        <f>-1604-DP150-DO150-DN150</f>
        <v>-448</v>
      </c>
      <c r="DR150" s="1052">
        <f>SUM(DN150:DQ150)</f>
        <v>-1604</v>
      </c>
      <c r="DS150" s="1051">
        <v>-446</v>
      </c>
      <c r="DT150" s="1051">
        <f>-673-DS150</f>
        <v>-227</v>
      </c>
      <c r="DU150" s="1051">
        <f>-1046-DT150-DS150</f>
        <v>-373</v>
      </c>
      <c r="DV150" s="1051">
        <f>-1448-DU150-DT150-DS150</f>
        <v>-402</v>
      </c>
      <c r="DW150" s="1052">
        <f>SUM(DS150:DV150)</f>
        <v>-1448</v>
      </c>
      <c r="DX150" s="1054">
        <f>DW11-DX11-DX139</f>
        <v>-267.45004065358773</v>
      </c>
      <c r="DY150" s="1054">
        <f>DX11-DY11-DY139</f>
        <v>-344.02375919970285</v>
      </c>
      <c r="DZ150" s="1054">
        <f>DY11-DZ11-DZ139</f>
        <v>-368.96403604634872</v>
      </c>
      <c r="EA150" s="1054">
        <f>DZ11-EA11-EA139</f>
        <v>-448.5968282474912</v>
      </c>
      <c r="EB150" s="1052">
        <f>SUM(DX150:EA150)</f>
        <v>-1429.0346641471306</v>
      </c>
      <c r="EC150" s="1054">
        <f>EB11-EC11-EC139</f>
        <v>-541.46370468612099</v>
      </c>
      <c r="ED150" s="1054">
        <f>EC11-ED11-ED139</f>
        <v>-380.44104619687738</v>
      </c>
      <c r="EE150" s="1054">
        <f>ED11-EE11-EE139</f>
        <v>-323.0156588754042</v>
      </c>
      <c r="EF150" s="1054">
        <f>EE11-EF11-EF139</f>
        <v>-574.98206047288431</v>
      </c>
      <c r="EG150" s="1052">
        <f>SUM(EC150:EF150)</f>
        <v>-1819.9024702312868</v>
      </c>
      <c r="EH150" s="1054">
        <f>EG11-EH11-EH139</f>
        <v>-374.66856219007985</v>
      </c>
      <c r="EI150" s="1054">
        <f>EH11-EI11-EI139</f>
        <v>-420.34783902557092</v>
      </c>
      <c r="EJ150" s="1054">
        <f>EI11-EJ11-EJ139</f>
        <v>-271.29365187869649</v>
      </c>
      <c r="EK150" s="1054">
        <f>EJ11-EK11-EK139</f>
        <v>-596.62871790164581</v>
      </c>
      <c r="EL150" s="1052">
        <f>SUM(EH150:EK150)</f>
        <v>-1662.9387709959931</v>
      </c>
      <c r="EM150" s="901"/>
      <c r="EN150"/>
      <c r="EO150"/>
      <c r="EP150"/>
      <c r="EQ150"/>
      <c r="ER150"/>
      <c r="ES150"/>
      <c r="ET150" s="1495"/>
      <c r="EU150" s="135"/>
      <c r="EV150" s="135"/>
      <c r="EW150" s="135"/>
      <c r="EX150" s="135"/>
      <c r="EY150" s="135"/>
      <c r="EZ150" s="135"/>
      <c r="FA150" s="135"/>
      <c r="FB150" s="135"/>
      <c r="FC150" s="135"/>
      <c r="FD150" s="135"/>
      <c r="FE150" s="135"/>
      <c r="FF150" s="135"/>
      <c r="FG150" s="135"/>
      <c r="FH150" s="135"/>
      <c r="FI150" s="135"/>
      <c r="FJ150" s="135"/>
      <c r="FK150" s="135"/>
      <c r="FL150" s="135"/>
      <c r="FM150" s="135"/>
      <c r="FN150" s="135"/>
      <c r="FO150" s="135"/>
      <c r="FP150" s="135"/>
      <c r="FQ150" s="135"/>
      <c r="FR150" s="135"/>
      <c r="FS150" s="135"/>
      <c r="FT150" s="135"/>
      <c r="FU150" s="135"/>
      <c r="FV150" s="135"/>
      <c r="FW150" s="135"/>
      <c r="FX150" s="135"/>
      <c r="FY150" s="135"/>
      <c r="FZ150" s="135"/>
      <c r="GA150" s="135"/>
      <c r="GB150" s="135"/>
      <c r="GC150" s="135"/>
      <c r="GD150" s="135"/>
      <c r="GE150" s="135"/>
      <c r="GF150" s="135"/>
      <c r="GG150" s="135"/>
      <c r="GH150" s="135"/>
      <c r="GI150" s="135"/>
      <c r="GJ150" s="135"/>
      <c r="GK150" s="135"/>
      <c r="GL150" s="135"/>
      <c r="GM150" s="135"/>
      <c r="GN150" s="135"/>
      <c r="GO150" s="135"/>
      <c r="GP150" s="135"/>
      <c r="GQ150" s="135"/>
      <c r="GR150" s="135"/>
      <c r="GS150" s="135"/>
      <c r="GT150" s="135"/>
      <c r="GU150" s="135"/>
      <c r="GV150" s="135"/>
      <c r="GW150" s="135"/>
      <c r="GX150" s="135"/>
      <c r="GY150" s="135"/>
      <c r="GZ150" s="135"/>
      <c r="HA150" s="135"/>
      <c r="HB150" s="135"/>
      <c r="HC150" s="135"/>
      <c r="HD150" s="135"/>
      <c r="HE150" s="135"/>
      <c r="HF150" s="135"/>
      <c r="HG150" s="135"/>
      <c r="HH150" s="135"/>
      <c r="HI150" s="135"/>
      <c r="HJ150" s="135"/>
      <c r="HK150" s="135"/>
      <c r="HL150" s="135"/>
      <c r="HM150" s="135"/>
      <c r="HN150" s="135"/>
      <c r="HO150" s="135"/>
      <c r="HP150" s="135"/>
      <c r="HQ150" s="135"/>
      <c r="HR150" s="135"/>
      <c r="HS150" s="135"/>
      <c r="HT150" s="135"/>
      <c r="HU150" s="135"/>
      <c r="HV150" s="135"/>
      <c r="HW150" s="135"/>
      <c r="HX150" s="135"/>
      <c r="HY150" s="135"/>
      <c r="HZ150" s="135"/>
      <c r="IA150" s="135"/>
      <c r="IB150" s="135"/>
      <c r="IC150" s="135"/>
      <c r="ID150" s="135"/>
      <c r="IE150" s="135"/>
      <c r="IF150" s="135"/>
      <c r="IG150" s="135"/>
      <c r="IH150" s="135"/>
      <c r="II150" s="135"/>
      <c r="IJ150" s="135"/>
      <c r="IK150" s="135"/>
      <c r="IL150" s="135"/>
      <c r="IM150" s="135"/>
      <c r="IN150" s="135"/>
      <c r="IO150" s="135"/>
      <c r="IP150" s="135"/>
      <c r="IQ150" s="135"/>
      <c r="IR150" s="135"/>
      <c r="IS150" s="135"/>
      <c r="IT150" s="135"/>
      <c r="IU150" s="135"/>
      <c r="IV150" s="135"/>
      <c r="IW150" s="135"/>
      <c r="IX150" s="135"/>
      <c r="IY150" s="135"/>
      <c r="IZ150" s="135"/>
      <c r="JA150" s="135"/>
      <c r="JB150" s="135"/>
      <c r="JC150" s="135"/>
      <c r="JD150" s="135"/>
      <c r="JE150" s="135"/>
      <c r="JF150" s="135"/>
      <c r="JG150" s="135"/>
      <c r="JH150" s="135"/>
    </row>
    <row r="151" spans="1:268" s="4" customFormat="1" hidden="1" outlineLevel="1">
      <c r="A151" s="845"/>
      <c r="B151" s="846" t="s">
        <v>56</v>
      </c>
      <c r="C151" s="1050"/>
      <c r="D151" s="1050"/>
      <c r="E151" s="1050"/>
      <c r="F151" s="1051"/>
      <c r="G151" s="1051"/>
      <c r="H151" s="891">
        <v>1</v>
      </c>
      <c r="I151" s="1050"/>
      <c r="J151" s="1050"/>
      <c r="K151" s="1051"/>
      <c r="L151" s="1051"/>
      <c r="M151" s="891">
        <v>-12</v>
      </c>
      <c r="N151" s="1050"/>
      <c r="O151" s="1050"/>
      <c r="P151" s="1051"/>
      <c r="Q151" s="1051"/>
      <c r="R151" s="891">
        <v>-7</v>
      </c>
      <c r="S151" s="1050"/>
      <c r="T151" s="1050"/>
      <c r="U151" s="1051"/>
      <c r="V151" s="1051"/>
      <c r="W151" s="891">
        <v>-100</v>
      </c>
      <c r="X151" s="1051">
        <v>-38</v>
      </c>
      <c r="Y151" s="1051">
        <f>-37-X151</f>
        <v>1</v>
      </c>
      <c r="Z151" s="1051">
        <f>-94-X151-Y151</f>
        <v>-57</v>
      </c>
      <c r="AA151" s="1051">
        <f>-114-X151-Y151-Z151</f>
        <v>-20</v>
      </c>
      <c r="AB151" s="1052">
        <f>SUM(X151:AA151)</f>
        <v>-114</v>
      </c>
      <c r="AC151" s="1051">
        <v>-24</v>
      </c>
      <c r="AD151" s="1051">
        <f>-27-AC151</f>
        <v>-3</v>
      </c>
      <c r="AE151" s="1051">
        <f>-49-SUM(AC151:AD151)</f>
        <v>-22</v>
      </c>
      <c r="AF151" s="1051">
        <f>51-SUM(AC151:AE151)</f>
        <v>100</v>
      </c>
      <c r="AG151" s="1052">
        <f>SUM(AC151:AF151)</f>
        <v>51</v>
      </c>
      <c r="AH151" s="1051">
        <v>-11</v>
      </c>
      <c r="AI151" s="1051">
        <f>-28-AH151</f>
        <v>-17</v>
      </c>
      <c r="AJ151" s="1051">
        <f>-45-SUM(AH151:AI151)</f>
        <v>-17</v>
      </c>
      <c r="AK151" s="1051">
        <f>45-SUM(AH151:AJ151)</f>
        <v>90</v>
      </c>
      <c r="AL151" s="1052">
        <f>SUM(AH151:AK151)</f>
        <v>45</v>
      </c>
      <c r="AM151" s="1051">
        <v>-53</v>
      </c>
      <c r="AN151" s="1051">
        <f>-74-AM151</f>
        <v>-21</v>
      </c>
      <c r="AO151" s="1051">
        <f>-88-SUM(AM151:AN151)</f>
        <v>-14</v>
      </c>
      <c r="AP151" s="1051">
        <f>-104-SUM(AM151:AO151)</f>
        <v>-16</v>
      </c>
      <c r="AQ151" s="1052">
        <f>SUM(AM151:AP151)</f>
        <v>-104</v>
      </c>
      <c r="AR151" s="1051">
        <v>41</v>
      </c>
      <c r="AS151" s="1051">
        <f>-18-AR151</f>
        <v>-59</v>
      </c>
      <c r="AT151" s="1051">
        <f>-18-SUM(AR151:AS151)</f>
        <v>0</v>
      </c>
      <c r="AU151" s="802"/>
      <c r="AV151" s="555"/>
      <c r="AW151" s="555"/>
      <c r="AX151" s="555"/>
      <c r="AY151" s="555"/>
      <c r="AZ151" s="1053">
        <v>-26</v>
      </c>
      <c r="BA151" s="1051">
        <v>1</v>
      </c>
      <c r="BB151" s="1051">
        <f>25-BA151</f>
        <v>24</v>
      </c>
      <c r="BC151" s="1051">
        <f>-1-SUM(BA151:BB151)</f>
        <v>-26</v>
      </c>
      <c r="BD151" s="1051">
        <f>0-SUM(BA151:BC151)</f>
        <v>1</v>
      </c>
      <c r="BE151" s="1052">
        <f>SUM(BA151:BD151)</f>
        <v>0</v>
      </c>
      <c r="BF151" s="1051">
        <v>37</v>
      </c>
      <c r="BG151" s="1051">
        <f>30-BF151</f>
        <v>-7</v>
      </c>
      <c r="BH151" s="1051">
        <f>-12-SUM(BF151:BG151)</f>
        <v>-42</v>
      </c>
      <c r="BI151" s="1051">
        <f>-40-SUM(BF151:BH151)</f>
        <v>-28</v>
      </c>
      <c r="BJ151" s="1052">
        <f>SUM(BF151:BI151)</f>
        <v>-40</v>
      </c>
      <c r="BK151" s="1051">
        <v>16</v>
      </c>
      <c r="BL151" s="1051">
        <f>-4-BK151</f>
        <v>-20</v>
      </c>
      <c r="BM151" s="1051">
        <f>14-SUM(BK151:BL151)</f>
        <v>18</v>
      </c>
      <c r="BN151" s="1051">
        <f>24-SUM(BK151:BM151)</f>
        <v>10</v>
      </c>
      <c r="BO151" s="1052">
        <f>SUM(BK151:BN151)</f>
        <v>24</v>
      </c>
      <c r="BP151" s="1051">
        <v>11</v>
      </c>
      <c r="BQ151" s="1051">
        <f>-39-BP151</f>
        <v>-50</v>
      </c>
      <c r="BR151" s="1051">
        <f>-29-SUM(BP151:BQ151)</f>
        <v>10</v>
      </c>
      <c r="BS151" s="1051">
        <f>-45-SUM(BP151:BR151)</f>
        <v>-16</v>
      </c>
      <c r="BT151" s="1052">
        <f>SUM(BP151:BS151)</f>
        <v>-45</v>
      </c>
      <c r="BU151" s="1051">
        <v>10</v>
      </c>
      <c r="BV151" s="1051">
        <f>7-BU151</f>
        <v>-3</v>
      </c>
      <c r="BW151" s="1051">
        <f>-8-SUM(BU151:BV151)</f>
        <v>-15</v>
      </c>
      <c r="BX151" s="1051">
        <f>-26-SUM(BU151:BW151)</f>
        <v>-18</v>
      </c>
      <c r="BY151" s="1052">
        <f>SUM(BU151:BX151)</f>
        <v>-26</v>
      </c>
      <c r="BZ151" s="1051">
        <v>1</v>
      </c>
      <c r="CA151" s="1051">
        <f>15-BZ151</f>
        <v>14</v>
      </c>
      <c r="CB151" s="1051">
        <f>4-SUM(BZ151:CA151)</f>
        <v>-11</v>
      </c>
      <c r="CC151" s="1051">
        <f>-2-SUM(BZ151:CB151)</f>
        <v>-6</v>
      </c>
      <c r="CD151" s="1052">
        <f>SUM(BZ151:CC151)</f>
        <v>-2</v>
      </c>
      <c r="CE151" s="1051">
        <v>-16</v>
      </c>
      <c r="CF151" s="1051">
        <f>-16-CE151</f>
        <v>0</v>
      </c>
      <c r="CG151" s="1051">
        <f>-25-SUM(CE151:CF151)</f>
        <v>-9</v>
      </c>
      <c r="CH151" s="1051">
        <f>-22-SUM(CE151:CG151)</f>
        <v>3</v>
      </c>
      <c r="CI151" s="1052">
        <f>SUM(CE151:CH151)</f>
        <v>-22</v>
      </c>
      <c r="CJ151" s="1051">
        <v>3</v>
      </c>
      <c r="CK151" s="1051">
        <f>-8-CJ151</f>
        <v>-11</v>
      </c>
      <c r="CL151" s="1051">
        <f>2-SUM(CJ151:CK151)</f>
        <v>10</v>
      </c>
      <c r="CM151" s="1051">
        <f>-17-SUM(CJ151:CL151)</f>
        <v>-19</v>
      </c>
      <c r="CN151" s="1052">
        <f>SUM(CJ151:CM151)</f>
        <v>-17</v>
      </c>
      <c r="CO151" s="1051">
        <v>-113</v>
      </c>
      <c r="CP151" s="1051">
        <f>-58-CO151</f>
        <v>55</v>
      </c>
      <c r="CQ151" s="1051">
        <f>-36-SUM(CP151,CO151)</f>
        <v>22</v>
      </c>
      <c r="CR151" s="1051">
        <f>-38-SUM(CO151:CQ151)</f>
        <v>-2</v>
      </c>
      <c r="CS151" s="1052">
        <f>SUM(CO151:CR151)</f>
        <v>-38</v>
      </c>
      <c r="CT151" s="1051">
        <v>-10</v>
      </c>
      <c r="CU151" s="1051">
        <f>-116-CT151</f>
        <v>-106</v>
      </c>
      <c r="CV151" s="1051">
        <f>-106-CT151-CU151</f>
        <v>10</v>
      </c>
      <c r="CW151" s="1051">
        <f>-59-SUM(CT151:CV151)</f>
        <v>47</v>
      </c>
      <c r="CX151" s="1052">
        <f>SUM(CT151:CW151)</f>
        <v>-59</v>
      </c>
      <c r="CY151" s="1051">
        <v>-44</v>
      </c>
      <c r="CZ151" s="1051">
        <f>-166-CY151</f>
        <v>-122</v>
      </c>
      <c r="DA151" s="1051">
        <f>-159-CZ151-CY151</f>
        <v>7</v>
      </c>
      <c r="DB151" s="1051">
        <f>-130-SUM(CY151:DA151)</f>
        <v>29</v>
      </c>
      <c r="DC151" s="1052">
        <f>SUM(CY151:DB151)</f>
        <v>-130</v>
      </c>
      <c r="DD151" s="1051">
        <v>-60</v>
      </c>
      <c r="DE151" s="1051">
        <f>78-DD151</f>
        <v>138</v>
      </c>
      <c r="DF151" s="1051">
        <f>12-SUM(DD151:DE151)</f>
        <v>-66</v>
      </c>
      <c r="DG151" s="1051">
        <f>-314-SUM(DD151:DF151)</f>
        <v>-326</v>
      </c>
      <c r="DH151" s="1052">
        <f>SUM(DD151:DG151)</f>
        <v>-314</v>
      </c>
      <c r="DI151" s="1051">
        <v>-74</v>
      </c>
      <c r="DJ151" s="1051">
        <f>36-DI151</f>
        <v>110</v>
      </c>
      <c r="DK151" s="1051">
        <f>-62-DJ151-DI151</f>
        <v>-98</v>
      </c>
      <c r="DL151" s="1051">
        <f>-130-DK151-DJ151-DI151</f>
        <v>-68</v>
      </c>
      <c r="DM151" s="1052">
        <f>SUM(DI151:DL151)</f>
        <v>-130</v>
      </c>
      <c r="DN151" s="1051">
        <v>-18</v>
      </c>
      <c r="DO151" s="1051">
        <f>-30-DN151</f>
        <v>-12</v>
      </c>
      <c r="DP151" s="1051">
        <f>-95-DO151-DN151</f>
        <v>-65</v>
      </c>
      <c r="DQ151" s="1051">
        <f>-83-DP151-DO151-DN151</f>
        <v>12</v>
      </c>
      <c r="DR151" s="1052">
        <f>SUM(DN151:DQ151)</f>
        <v>-83</v>
      </c>
      <c r="DS151" s="1051">
        <v>132</v>
      </c>
      <c r="DT151" s="1051">
        <f>160-DS151</f>
        <v>28</v>
      </c>
      <c r="DU151" s="1051">
        <f>97-DT151-DS151</f>
        <v>-63</v>
      </c>
      <c r="DV151" s="1051">
        <f>-35-DU151-DT151-DS151</f>
        <v>-132</v>
      </c>
      <c r="DW151" s="1052">
        <f>SUM(DS151:DV151)</f>
        <v>-35</v>
      </c>
      <c r="DX151" s="1054">
        <f>-('BS &amp; CF'!DX12-'BS &amp; CF'!DW12)-('BS &amp; CF'!DX16-'BS &amp; CF'!DW16)-('BS &amp; CF'!DX19-'BS &amp; CF'!DW19)</f>
        <v>3.8700830182271488</v>
      </c>
      <c r="DY151" s="1054">
        <f>-('BS &amp; CF'!DY12-'BS &amp; CF'!DX12)-('BS &amp; CF'!DY16-'BS &amp; CF'!DX16)-('BS &amp; CF'!DY19-'BS &amp; CF'!DX19)</f>
        <v>7.8849162395065946</v>
      </c>
      <c r="DZ151" s="1054">
        <f>-('BS &amp; CF'!DZ12-'BS &amp; CF'!DY12)-('BS &amp; CF'!DZ16-'BS &amp; CF'!DY16)-('BS &amp; CF'!DZ19-'BS &amp; CF'!DY19)</f>
        <v>18.222759411584207</v>
      </c>
      <c r="EA151" s="1054">
        <f>-('BS &amp; CF'!EA12-'BS &amp; CF'!DZ12)-('BS &amp; CF'!EA16-'BS &amp; CF'!DZ16)-('BS &amp; CF'!EA19-'BS &amp; CF'!DZ19)</f>
        <v>-83.320225683692115</v>
      </c>
      <c r="EB151" s="1052">
        <f>SUM(DX151:EA151)</f>
        <v>-53.342467014374165</v>
      </c>
      <c r="EC151" s="1054">
        <f>-('BS &amp; CF'!EC12-'BS &amp; CF'!EB12)-('BS &amp; CF'!EC16-'BS &amp; CF'!EB16)-('BS &amp; CF'!EC19-'BS &amp; CF'!EB19)</f>
        <v>-25.72286462296114</v>
      </c>
      <c r="ED151" s="1054">
        <f>-('BS &amp; CF'!ED12-'BS &amp; CF'!EC12)-('BS &amp; CF'!ED16-'BS &amp; CF'!EC16)-('BS &amp; CF'!ED19-'BS &amp; CF'!EC19)</f>
        <v>-1.4610492783786526</v>
      </c>
      <c r="EE151" s="1054">
        <f>-('BS &amp; CF'!EE12-'BS &amp; CF'!ED12)-('BS &amp; CF'!EE16-'BS &amp; CF'!ED16)-('BS &amp; CF'!EE19-'BS &amp; CF'!ED19)</f>
        <v>5.0789383962708712</v>
      </c>
      <c r="EF151" s="1054">
        <f>-('BS &amp; CF'!EF12-'BS &amp; CF'!EE12)-('BS &amp; CF'!EF16-'BS &amp; CF'!EE16)-('BS &amp; CF'!EF19-'BS &amp; CF'!EE19)</f>
        <v>-30.394134810975743</v>
      </c>
      <c r="EG151" s="1052">
        <f>SUM(EC151:EF151)</f>
        <v>-52.499110316044664</v>
      </c>
      <c r="EH151" s="1054">
        <f>-('BS &amp; CF'!EH12-'BS &amp; CF'!EG12)-('BS &amp; CF'!EH16-'BS &amp; CF'!EG16)-('BS &amp; CF'!EH19-'BS &amp; CF'!EG19)</f>
        <v>-10.747096830333135</v>
      </c>
      <c r="EI151" s="1054">
        <f>-('BS &amp; CF'!EI12-'BS &amp; CF'!EH12)-('BS &amp; CF'!EI16-'BS &amp; CF'!EH16)-('BS &amp; CF'!EI19-'BS &amp; CF'!EH19)</f>
        <v>-5.9040127388336714</v>
      </c>
      <c r="EJ151" s="1054">
        <f>-('BS &amp; CF'!EJ12-'BS &amp; CF'!EI12)-('BS &amp; CF'!EJ16-'BS &amp; CF'!EI16)-('BS &amp; CF'!EJ19-'BS &amp; CF'!EI19)</f>
        <v>14.213269328295439</v>
      </c>
      <c r="EK151" s="1054">
        <f>-('BS &amp; CF'!EK12-'BS &amp; CF'!EJ12)-('BS &amp; CF'!EK16-'BS &amp; CF'!EJ16)-('BS &amp; CF'!EK19-'BS &amp; CF'!EJ19)</f>
        <v>-34.256324354056915</v>
      </c>
      <c r="EL151" s="1052">
        <f>SUM(EH151:EK151)</f>
        <v>-36.694164594928282</v>
      </c>
      <c r="EM151" s="901"/>
      <c r="EN151"/>
      <c r="EO151"/>
      <c r="EP151"/>
      <c r="EQ151"/>
      <c r="ER151"/>
      <c r="ES151"/>
      <c r="ET151" s="1495"/>
      <c r="EU151" s="135"/>
      <c r="EV151" s="135"/>
      <c r="EW151" s="135"/>
      <c r="EX151" s="135"/>
      <c r="EY151" s="135"/>
      <c r="EZ151" s="135"/>
      <c r="FA151" s="135"/>
      <c r="FB151" s="135"/>
      <c r="FC151" s="135"/>
      <c r="FD151" s="135"/>
      <c r="FE151" s="135"/>
      <c r="FF151" s="135"/>
      <c r="FG151" s="135"/>
      <c r="FH151" s="135"/>
      <c r="FI151" s="135"/>
      <c r="FJ151" s="135"/>
      <c r="FK151" s="135"/>
      <c r="FL151" s="135"/>
      <c r="FM151" s="135"/>
      <c r="FN151" s="135"/>
      <c r="FO151" s="135"/>
      <c r="FP151" s="135"/>
      <c r="FQ151" s="135"/>
      <c r="FR151" s="135"/>
      <c r="FS151" s="135"/>
      <c r="FT151" s="135"/>
      <c r="FU151" s="135"/>
      <c r="FV151" s="135"/>
      <c r="FW151" s="135"/>
      <c r="FX151" s="135"/>
      <c r="FY151" s="135"/>
      <c r="FZ151" s="135"/>
      <c r="GA151" s="135"/>
      <c r="GB151" s="135"/>
      <c r="GC151" s="135"/>
      <c r="GD151" s="135"/>
      <c r="GE151" s="135"/>
      <c r="GF151" s="135"/>
      <c r="GG151" s="135"/>
      <c r="GH151" s="135"/>
      <c r="GI151" s="135"/>
      <c r="GJ151" s="135"/>
      <c r="GK151" s="135"/>
      <c r="GL151" s="135"/>
      <c r="GM151" s="135"/>
      <c r="GN151" s="135"/>
      <c r="GO151" s="135"/>
      <c r="GP151" s="135"/>
      <c r="GQ151" s="135"/>
      <c r="GR151" s="135"/>
      <c r="GS151" s="135"/>
      <c r="GT151" s="135"/>
      <c r="GU151" s="135"/>
      <c r="GV151" s="135"/>
      <c r="GW151" s="135"/>
      <c r="GX151" s="135"/>
      <c r="GY151" s="135"/>
      <c r="GZ151" s="135"/>
      <c r="HA151" s="135"/>
      <c r="HB151" s="135"/>
      <c r="HC151" s="135"/>
      <c r="HD151" s="135"/>
      <c r="HE151" s="135"/>
      <c r="HF151" s="135"/>
      <c r="HG151" s="135"/>
      <c r="HH151" s="135"/>
      <c r="HI151" s="135"/>
      <c r="HJ151" s="135"/>
      <c r="HK151" s="135"/>
      <c r="HL151" s="135"/>
      <c r="HM151" s="135"/>
      <c r="HN151" s="135"/>
      <c r="HO151" s="135"/>
      <c r="HP151" s="135"/>
      <c r="HQ151" s="135"/>
      <c r="HR151" s="135"/>
      <c r="HS151" s="135"/>
      <c r="HT151" s="135"/>
      <c r="HU151" s="135"/>
      <c r="HV151" s="135"/>
      <c r="HW151" s="135"/>
      <c r="HX151" s="135"/>
      <c r="HY151" s="135"/>
      <c r="HZ151" s="135"/>
      <c r="IA151" s="135"/>
      <c r="IB151" s="135"/>
      <c r="IC151" s="135"/>
      <c r="ID151" s="135"/>
      <c r="IE151" s="135"/>
      <c r="IF151" s="135"/>
      <c r="IG151" s="135"/>
      <c r="IH151" s="135"/>
      <c r="II151" s="135"/>
      <c r="IJ151" s="135"/>
      <c r="IK151" s="135"/>
      <c r="IL151" s="135"/>
      <c r="IM151" s="135"/>
      <c r="IN151" s="135"/>
      <c r="IO151" s="135"/>
      <c r="IP151" s="135"/>
      <c r="IQ151" s="135"/>
      <c r="IR151" s="135"/>
      <c r="IS151" s="135"/>
      <c r="IT151" s="135"/>
      <c r="IU151" s="135"/>
      <c r="IV151" s="135"/>
      <c r="IW151" s="135"/>
      <c r="IX151" s="135"/>
      <c r="IY151" s="135"/>
      <c r="IZ151" s="135"/>
      <c r="JA151" s="135"/>
      <c r="JB151" s="135"/>
      <c r="JC151" s="135"/>
      <c r="JD151" s="135"/>
      <c r="JE151" s="135"/>
      <c r="JF151" s="135"/>
      <c r="JG151" s="135"/>
      <c r="JH151" s="135"/>
    </row>
    <row r="152" spans="1:268" s="4" customFormat="1" hidden="1" outlineLevel="1">
      <c r="A152" s="845"/>
      <c r="B152" s="846" t="s">
        <v>57</v>
      </c>
      <c r="C152" s="1050"/>
      <c r="D152" s="1050"/>
      <c r="E152" s="1050"/>
      <c r="F152" s="1051"/>
      <c r="G152" s="1051"/>
      <c r="H152" s="891">
        <v>0</v>
      </c>
      <c r="I152" s="1050"/>
      <c r="J152" s="1050"/>
      <c r="K152" s="1051"/>
      <c r="L152" s="1051"/>
      <c r="M152" s="891">
        <v>0</v>
      </c>
      <c r="N152" s="1050"/>
      <c r="O152" s="1050"/>
      <c r="P152" s="1051"/>
      <c r="Q152" s="1051"/>
      <c r="R152" s="891">
        <v>0</v>
      </c>
      <c r="S152" s="1050"/>
      <c r="T152" s="1050"/>
      <c r="U152" s="1051"/>
      <c r="V152" s="1051"/>
      <c r="W152" s="891">
        <v>0</v>
      </c>
      <c r="X152" s="1051">
        <v>0</v>
      </c>
      <c r="Y152" s="1051">
        <f>113-X152</f>
        <v>113</v>
      </c>
      <c r="Z152" s="1051">
        <f>145-X152-Y152</f>
        <v>32</v>
      </c>
      <c r="AA152" s="1051">
        <f>0-X152-Y152-Z152</f>
        <v>-145</v>
      </c>
      <c r="AB152" s="1052">
        <f>SUM(X152:AA152)</f>
        <v>0</v>
      </c>
      <c r="AC152" s="1051">
        <v>0</v>
      </c>
      <c r="AD152" s="1051">
        <f>161-AC152</f>
        <v>161</v>
      </c>
      <c r="AE152" s="1051">
        <f>99-SUM(AC152:AD152)</f>
        <v>-62</v>
      </c>
      <c r="AF152" s="1051">
        <f>0-SUM(AC152:AE152)</f>
        <v>-99</v>
      </c>
      <c r="AG152" s="1052">
        <f>SUM(AC152:AF152)</f>
        <v>0</v>
      </c>
      <c r="AH152" s="1051">
        <v>0</v>
      </c>
      <c r="AI152" s="1051">
        <f>88-AH152</f>
        <v>88</v>
      </c>
      <c r="AJ152" s="1051">
        <f>144-SUM(AH152:AI152)</f>
        <v>56</v>
      </c>
      <c r="AK152" s="1051">
        <f>0-SUM(AH152:AJ152)</f>
        <v>-144</v>
      </c>
      <c r="AL152" s="1052">
        <f>SUM(AH152:AK152)</f>
        <v>0</v>
      </c>
      <c r="AM152" s="1051">
        <v>0</v>
      </c>
      <c r="AN152" s="1051">
        <f>143-AM152</f>
        <v>143</v>
      </c>
      <c r="AO152" s="1051">
        <f>115-SUM(AM152:AN152)</f>
        <v>-28</v>
      </c>
      <c r="AP152" s="1051">
        <f>0-SUM(AM152:AO152)</f>
        <v>-115</v>
      </c>
      <c r="AQ152" s="1052">
        <f>SUM(AM152:AP152)</f>
        <v>0</v>
      </c>
      <c r="AR152" s="1051">
        <v>128</v>
      </c>
      <c r="AS152" s="1051">
        <f>44-AR152</f>
        <v>-84</v>
      </c>
      <c r="AT152" s="1051">
        <f>73-SUM(AR152:AS152)</f>
        <v>29</v>
      </c>
      <c r="AU152" s="802"/>
      <c r="AV152" s="555"/>
      <c r="AW152" s="555"/>
      <c r="AX152" s="555"/>
      <c r="AY152" s="555"/>
      <c r="AZ152" s="1053">
        <v>208</v>
      </c>
      <c r="BA152" s="1051">
        <v>-173</v>
      </c>
      <c r="BB152" s="1051">
        <f>-246-BA152</f>
        <v>-73</v>
      </c>
      <c r="BC152" s="1051">
        <f>-259-SUM(BA152:BB152)</f>
        <v>-13</v>
      </c>
      <c r="BD152" s="1051">
        <f>-181-SUM(BA152:BC152)</f>
        <v>78</v>
      </c>
      <c r="BE152" s="1052">
        <f>SUM(BA152:BD152)</f>
        <v>-181</v>
      </c>
      <c r="BF152" s="1051">
        <v>-102</v>
      </c>
      <c r="BG152" s="1051">
        <f>-136-BF152</f>
        <v>-34</v>
      </c>
      <c r="BH152" s="1051">
        <f>-184-SUM(BF152:BG152)</f>
        <v>-48</v>
      </c>
      <c r="BI152" s="1051">
        <f>-562-SUM(BF152:BH152)</f>
        <v>-378</v>
      </c>
      <c r="BJ152" s="1052">
        <f>SUM(BF152:BI152)</f>
        <v>-562</v>
      </c>
      <c r="BK152" s="1051">
        <v>536</v>
      </c>
      <c r="BL152" s="1051">
        <f>541-BK152</f>
        <v>5</v>
      </c>
      <c r="BM152" s="1051">
        <f>537-SUM(BK152:BL152)</f>
        <v>-4</v>
      </c>
      <c r="BN152" s="1051">
        <f>510-SUM(BK152:BM152)</f>
        <v>-27</v>
      </c>
      <c r="BO152" s="1052">
        <f>SUM(BK152:BN152)</f>
        <v>510</v>
      </c>
      <c r="BP152" s="1051">
        <v>4</v>
      </c>
      <c r="BQ152" s="1051">
        <f>-163-BP152</f>
        <v>-167</v>
      </c>
      <c r="BR152" s="1051">
        <f>-271-SUM(BP152:BQ152)</f>
        <v>-108</v>
      </c>
      <c r="BS152" s="1051">
        <f>-397-SUM(BP152:BR152)</f>
        <v>-126</v>
      </c>
      <c r="BT152" s="1052">
        <f>SUM(BP152:BS152)</f>
        <v>-397</v>
      </c>
      <c r="BU152" s="1051">
        <v>-105</v>
      </c>
      <c r="BV152" s="1051">
        <f>60-BU152</f>
        <v>165</v>
      </c>
      <c r="BW152" s="1051">
        <f>74-SUM(BU152:BV152)</f>
        <v>14</v>
      </c>
      <c r="BX152" s="1051">
        <f>83-SUM(BU152:BW152)</f>
        <v>9</v>
      </c>
      <c r="BY152" s="1052">
        <f>SUM(BU152:BX152)</f>
        <v>83</v>
      </c>
      <c r="BZ152" s="1051">
        <v>-17</v>
      </c>
      <c r="CA152" s="1051">
        <f>-29-BZ152</f>
        <v>-12</v>
      </c>
      <c r="CB152" s="1051">
        <f>-32-SUM(BZ152:CA152)</f>
        <v>-3</v>
      </c>
      <c r="CC152" s="1051">
        <f>-21-SUM(BZ152:CB152)</f>
        <v>11</v>
      </c>
      <c r="CD152" s="1052">
        <f>SUM(BZ152:CC152)</f>
        <v>-21</v>
      </c>
      <c r="CE152" s="1051">
        <v>4</v>
      </c>
      <c r="CF152" s="1051">
        <f>21-CE152</f>
        <v>17</v>
      </c>
      <c r="CG152" s="1051">
        <f>13-SUM(CE152:CF152)</f>
        <v>-8</v>
      </c>
      <c r="CH152" s="1051">
        <f>-78-SUM(CE152:CG152)</f>
        <v>-91</v>
      </c>
      <c r="CI152" s="1052">
        <f>SUM(CE152:CH152)</f>
        <v>-78</v>
      </c>
      <c r="CJ152" s="1051">
        <v>17</v>
      </c>
      <c r="CK152" s="1051">
        <f>50-CJ152</f>
        <v>33</v>
      </c>
      <c r="CL152" s="1051">
        <f>40-SUM(CJ152:CK152)</f>
        <v>-10</v>
      </c>
      <c r="CM152" s="1051">
        <f>3-SUM(CJ152:CL152)</f>
        <v>-37</v>
      </c>
      <c r="CN152" s="1052">
        <f>SUM(CJ152:CM152)</f>
        <v>3</v>
      </c>
      <c r="CO152" s="1051">
        <v>-14</v>
      </c>
      <c r="CP152" s="1051">
        <f>-26-CO152</f>
        <v>-12</v>
      </c>
      <c r="CQ152" s="1051">
        <f>-44-SUM(CP152,CO152)</f>
        <v>-18</v>
      </c>
      <c r="CR152" s="1051">
        <f>-63-SUM(CO152:CQ152)</f>
        <v>-19</v>
      </c>
      <c r="CS152" s="1052">
        <f>SUM(CO152:CR152)</f>
        <v>-63</v>
      </c>
      <c r="CT152" s="1051">
        <v>3</v>
      </c>
      <c r="CU152" s="1051">
        <f>-5-CT152</f>
        <v>-8</v>
      </c>
      <c r="CV152" s="1051">
        <f>-2-CT152-CU152</f>
        <v>3</v>
      </c>
      <c r="CW152" s="1051">
        <f>-5-SUM(CT152:CV152)</f>
        <v>-3</v>
      </c>
      <c r="CX152" s="1052">
        <f>SUM(CT152:CW152)</f>
        <v>-5</v>
      </c>
      <c r="CY152" s="1051">
        <v>3</v>
      </c>
      <c r="CZ152" s="1051">
        <f>-4-CY152</f>
        <v>-7</v>
      </c>
      <c r="DA152" s="1051">
        <f>-5-CZ152-CY152</f>
        <v>-1</v>
      </c>
      <c r="DB152" s="1051">
        <f>0-SUM(CY152:DA152)</f>
        <v>5</v>
      </c>
      <c r="DC152" s="1052">
        <f>SUM(CY152:DB152)</f>
        <v>0</v>
      </c>
      <c r="DD152" s="1051">
        <v>-2</v>
      </c>
      <c r="DE152" s="1051">
        <f>-17-DD152</f>
        <v>-15</v>
      </c>
      <c r="DF152" s="1051">
        <f>-7-SUM(DD152:DE152)</f>
        <v>10</v>
      </c>
      <c r="DG152" s="1051">
        <f>3-SUM(DD152:DF152)</f>
        <v>10</v>
      </c>
      <c r="DH152" s="1052">
        <f>SUM(DD152:DG152)</f>
        <v>3</v>
      </c>
      <c r="DI152" s="1051">
        <v>8</v>
      </c>
      <c r="DJ152" s="1051">
        <f>9-DI152</f>
        <v>1</v>
      </c>
      <c r="DK152" s="1051">
        <f>-5-DJ152-DI152</f>
        <v>-14</v>
      </c>
      <c r="DL152" s="1051">
        <f>18-DK152-DJ152-DI152</f>
        <v>23</v>
      </c>
      <c r="DM152" s="1052">
        <f>SUM(DI152:DL152)</f>
        <v>18</v>
      </c>
      <c r="DN152" s="1051">
        <v>28</v>
      </c>
      <c r="DO152" s="1051">
        <f>-17-DN152</f>
        <v>-45</v>
      </c>
      <c r="DP152" s="1051">
        <f>-1-DO152-DN152</f>
        <v>16</v>
      </c>
      <c r="DQ152" s="1051">
        <f>-8-DP152-DO152-DN152</f>
        <v>-7</v>
      </c>
      <c r="DR152" s="1052">
        <f>SUM(DN152:DQ152)</f>
        <v>-8</v>
      </c>
      <c r="DS152" s="1051">
        <v>-34</v>
      </c>
      <c r="DT152" s="1051">
        <f>-7-DS152</f>
        <v>27</v>
      </c>
      <c r="DU152" s="1051">
        <f>-14-DT152-DS152</f>
        <v>-7</v>
      </c>
      <c r="DV152" s="1051">
        <f>-38-DU152-DT152-DS152</f>
        <v>-24</v>
      </c>
      <c r="DW152" s="1052">
        <f>SUM(DS152:DV152)</f>
        <v>-38</v>
      </c>
      <c r="DX152" s="1054">
        <f>-('BS &amp; CF'!DX13-'BS &amp; CF'!DW13)+('BS &amp; CF'!DX32-'BS &amp; CF'!DW32)</f>
        <v>0</v>
      </c>
      <c r="DY152" s="1054">
        <f>-('BS &amp; CF'!DY13-'BS &amp; CF'!DX13)+('BS &amp; CF'!DY32-'BS &amp; CF'!DX32)</f>
        <v>0</v>
      </c>
      <c r="DZ152" s="1054">
        <f>-('BS &amp; CF'!DZ13-'BS &amp; CF'!DY13)+('BS &amp; CF'!DZ32-'BS &amp; CF'!DY32)</f>
        <v>0</v>
      </c>
      <c r="EA152" s="1054">
        <f>-('BS &amp; CF'!EA13-'BS &amp; CF'!DZ13)+('BS &amp; CF'!EA32-'BS &amp; CF'!DZ32)</f>
        <v>0</v>
      </c>
      <c r="EB152" s="1052">
        <f>SUM(DX152:EA152)</f>
        <v>0</v>
      </c>
      <c r="EC152" s="1054">
        <f>-('BS &amp; CF'!EC13-'BS &amp; CF'!EB13)+('BS &amp; CF'!EC32-'BS &amp; CF'!EB32)</f>
        <v>0</v>
      </c>
      <c r="ED152" s="1054">
        <f>-('BS &amp; CF'!ED13-'BS &amp; CF'!EC13)+('BS &amp; CF'!ED32-'BS &amp; CF'!EC32)</f>
        <v>0</v>
      </c>
      <c r="EE152" s="1054">
        <f>-('BS &amp; CF'!EE13-'BS &amp; CF'!ED13)+('BS &amp; CF'!EE32-'BS &amp; CF'!ED32)</f>
        <v>0</v>
      </c>
      <c r="EF152" s="1054">
        <f>-('BS &amp; CF'!EF13-'BS &amp; CF'!EE13)+('BS &amp; CF'!EF32-'BS &amp; CF'!EE32)</f>
        <v>0</v>
      </c>
      <c r="EG152" s="1052">
        <f>SUM(EC152:EF152)</f>
        <v>0</v>
      </c>
      <c r="EH152" s="1054">
        <f>-('BS &amp; CF'!EH13-'BS &amp; CF'!EG13)+('BS &amp; CF'!EH32-'BS &amp; CF'!EG32)</f>
        <v>0</v>
      </c>
      <c r="EI152" s="1054">
        <f>-('BS &amp; CF'!EI13-'BS &amp; CF'!EH13)+('BS &amp; CF'!EI32-'BS &amp; CF'!EH32)</f>
        <v>0</v>
      </c>
      <c r="EJ152" s="1054">
        <f>-('BS &amp; CF'!EJ13-'BS &amp; CF'!EI13)+('BS &amp; CF'!EJ32-'BS &amp; CF'!EI32)</f>
        <v>0</v>
      </c>
      <c r="EK152" s="1054">
        <f>-('BS &amp; CF'!EK13-'BS &amp; CF'!EJ13)+('BS &amp; CF'!EK32-'BS &amp; CF'!EJ32)</f>
        <v>0</v>
      </c>
      <c r="EL152" s="1052">
        <f>SUM(EH152:EK152)</f>
        <v>0</v>
      </c>
      <c r="EM152" s="901"/>
      <c r="EN152"/>
      <c r="EO152"/>
      <c r="EP152"/>
      <c r="EQ152"/>
      <c r="ER152"/>
      <c r="ES152"/>
      <c r="ET152" s="1495"/>
      <c r="EU152" s="135"/>
      <c r="EV152" s="135"/>
      <c r="EW152" s="135"/>
      <c r="EX152" s="135"/>
      <c r="EY152" s="135"/>
      <c r="EZ152" s="135"/>
      <c r="FA152" s="135"/>
      <c r="FB152" s="135"/>
      <c r="FC152" s="135"/>
      <c r="FD152" s="135"/>
      <c r="FE152" s="135"/>
      <c r="FF152" s="135"/>
      <c r="FG152" s="135"/>
      <c r="FH152" s="135"/>
      <c r="FI152" s="135"/>
      <c r="FJ152" s="135"/>
      <c r="FK152" s="135"/>
      <c r="FL152" s="135"/>
      <c r="FM152" s="135"/>
      <c r="FN152" s="135"/>
      <c r="FO152" s="135"/>
      <c r="FP152" s="135"/>
      <c r="FQ152" s="135"/>
      <c r="FR152" s="135"/>
      <c r="FS152" s="135"/>
      <c r="FT152" s="135"/>
      <c r="FU152" s="135"/>
      <c r="FV152" s="135"/>
      <c r="FW152" s="135"/>
      <c r="FX152" s="135"/>
      <c r="FY152" s="135"/>
      <c r="FZ152" s="135"/>
      <c r="GA152" s="135"/>
      <c r="GB152" s="135"/>
      <c r="GC152" s="135"/>
      <c r="GD152" s="135"/>
      <c r="GE152" s="135"/>
      <c r="GF152" s="135"/>
      <c r="GG152" s="135"/>
      <c r="GH152" s="135"/>
      <c r="GI152" s="135"/>
      <c r="GJ152" s="135"/>
      <c r="GK152" s="135"/>
      <c r="GL152" s="135"/>
      <c r="GM152" s="135"/>
      <c r="GN152" s="135"/>
      <c r="GO152" s="135"/>
      <c r="GP152" s="135"/>
      <c r="GQ152" s="135"/>
      <c r="GR152" s="135"/>
      <c r="GS152" s="135"/>
      <c r="GT152" s="135"/>
      <c r="GU152" s="135"/>
      <c r="GV152" s="135"/>
      <c r="GW152" s="135"/>
      <c r="GX152" s="135"/>
      <c r="GY152" s="135"/>
      <c r="GZ152" s="135"/>
      <c r="HA152" s="135"/>
      <c r="HB152" s="135"/>
      <c r="HC152" s="135"/>
      <c r="HD152" s="135"/>
      <c r="HE152" s="135"/>
      <c r="HF152" s="135"/>
      <c r="HG152" s="135"/>
      <c r="HH152" s="135"/>
      <c r="HI152" s="135"/>
      <c r="HJ152" s="135"/>
      <c r="HK152" s="135"/>
      <c r="HL152" s="135"/>
      <c r="HM152" s="135"/>
      <c r="HN152" s="135"/>
      <c r="HO152" s="135"/>
      <c r="HP152" s="135"/>
      <c r="HQ152" s="135"/>
      <c r="HR152" s="135"/>
      <c r="HS152" s="135"/>
      <c r="HT152" s="135"/>
      <c r="HU152" s="135"/>
      <c r="HV152" s="135"/>
      <c r="HW152" s="135"/>
      <c r="HX152" s="135"/>
      <c r="HY152" s="135"/>
      <c r="HZ152" s="135"/>
      <c r="IA152" s="135"/>
      <c r="IB152" s="135"/>
      <c r="IC152" s="135"/>
      <c r="ID152" s="135"/>
      <c r="IE152" s="135"/>
      <c r="IF152" s="135"/>
      <c r="IG152" s="135"/>
      <c r="IH152" s="135"/>
      <c r="II152" s="135"/>
      <c r="IJ152" s="135"/>
      <c r="IK152" s="135"/>
      <c r="IL152" s="135"/>
      <c r="IM152" s="135"/>
      <c r="IN152" s="135"/>
      <c r="IO152" s="135"/>
      <c r="IP152" s="135"/>
      <c r="IQ152" s="135"/>
      <c r="IR152" s="135"/>
      <c r="IS152" s="135"/>
      <c r="IT152" s="135"/>
      <c r="IU152" s="135"/>
      <c r="IV152" s="135"/>
      <c r="IW152" s="135"/>
      <c r="IX152" s="135"/>
      <c r="IY152" s="135"/>
      <c r="IZ152" s="135"/>
      <c r="JA152" s="135"/>
      <c r="JB152" s="135"/>
      <c r="JC152" s="135"/>
      <c r="JD152" s="135"/>
      <c r="JE152" s="135"/>
      <c r="JF152" s="135"/>
      <c r="JG152" s="135"/>
      <c r="JH152" s="135"/>
    </row>
    <row r="153" spans="1:268" s="4" customFormat="1" hidden="1" outlineLevel="1">
      <c r="A153" s="845"/>
      <c r="B153" s="1056" t="s">
        <v>58</v>
      </c>
      <c r="C153" s="1056"/>
      <c r="D153" s="1050"/>
      <c r="E153" s="1050"/>
      <c r="F153" s="1051"/>
      <c r="G153" s="1051"/>
      <c r="H153" s="891">
        <v>-28</v>
      </c>
      <c r="I153" s="1050"/>
      <c r="J153" s="1050"/>
      <c r="K153" s="1051"/>
      <c r="L153" s="1051"/>
      <c r="M153" s="891">
        <v>-64</v>
      </c>
      <c r="N153" s="1050"/>
      <c r="O153" s="1050"/>
      <c r="P153" s="1051"/>
      <c r="Q153" s="1051"/>
      <c r="R153" s="891">
        <v>-141</v>
      </c>
      <c r="S153" s="1050"/>
      <c r="T153" s="1050"/>
      <c r="U153" s="1051"/>
      <c r="V153" s="1051"/>
      <c r="W153" s="891">
        <v>143</v>
      </c>
      <c r="X153" s="1051">
        <v>-52</v>
      </c>
      <c r="Y153" s="1051">
        <f>-53-X153</f>
        <v>-1</v>
      </c>
      <c r="Z153" s="1051">
        <f>17-X153-Y153</f>
        <v>70</v>
      </c>
      <c r="AA153" s="1051">
        <f>197-X153-Y153-Z153</f>
        <v>180</v>
      </c>
      <c r="AB153" s="1052">
        <f>SUM(X153:AA153)</f>
        <v>197</v>
      </c>
      <c r="AC153" s="1051">
        <v>-129</v>
      </c>
      <c r="AD153" s="1051">
        <f>-94-AC153</f>
        <v>35</v>
      </c>
      <c r="AE153" s="1051">
        <f>-132-SUM(AC153:AD153)</f>
        <v>-38</v>
      </c>
      <c r="AF153" s="1051">
        <f>-15-SUM(AC153:AE153)</f>
        <v>117</v>
      </c>
      <c r="AG153" s="1052">
        <f>SUM(AC153:AF153)</f>
        <v>-15</v>
      </c>
      <c r="AH153" s="1051">
        <v>-53</v>
      </c>
      <c r="AI153" s="1051">
        <f>107-AH153</f>
        <v>160</v>
      </c>
      <c r="AJ153" s="1051">
        <f>128-SUM(AH153:AI153)</f>
        <v>21</v>
      </c>
      <c r="AK153" s="1051">
        <f>312-SUM(AH153:AJ153)</f>
        <v>184</v>
      </c>
      <c r="AL153" s="1052">
        <f>SUM(AH153:AK153)</f>
        <v>312</v>
      </c>
      <c r="AM153" s="1051">
        <v>50</v>
      </c>
      <c r="AN153" s="1051">
        <f>81-AM153</f>
        <v>31</v>
      </c>
      <c r="AO153" s="1051">
        <f>227-SUM(AM153:AN153)</f>
        <v>146</v>
      </c>
      <c r="AP153" s="1051">
        <f>526-SUM(AM153:AO153)</f>
        <v>299</v>
      </c>
      <c r="AQ153" s="1052">
        <f>SUM(AM153:AP153)</f>
        <v>526</v>
      </c>
      <c r="AR153" s="1051">
        <v>14</v>
      </c>
      <c r="AS153" s="1051">
        <f>-16-AR153</f>
        <v>-30</v>
      </c>
      <c r="AT153" s="1051">
        <f>-135-SUM(AR153:AS153)</f>
        <v>-119</v>
      </c>
      <c r="AU153" s="802"/>
      <c r="AV153" s="555"/>
      <c r="AW153" s="555"/>
      <c r="AX153" s="555"/>
      <c r="AY153" s="555"/>
      <c r="AZ153" s="1053">
        <v>-195</v>
      </c>
      <c r="BA153" s="1051">
        <v>102</v>
      </c>
      <c r="BB153" s="1051">
        <f>86-BA153</f>
        <v>-16</v>
      </c>
      <c r="BC153" s="1051">
        <f>380-SUM(BA153:BB153)</f>
        <v>294</v>
      </c>
      <c r="BD153" s="1051">
        <f>401-SUM(BA153:BC153)</f>
        <v>21</v>
      </c>
      <c r="BE153" s="1052">
        <f>SUM(BA153:BD153)</f>
        <v>401</v>
      </c>
      <c r="BF153" s="1051">
        <v>-85</v>
      </c>
      <c r="BG153" s="1051">
        <f>-90-BF153</f>
        <v>-5</v>
      </c>
      <c r="BH153" s="1051">
        <f>-19-SUM(BF153:BG153)</f>
        <v>71</v>
      </c>
      <c r="BI153" s="1051">
        <f>166-SUM(BF153:BH153)</f>
        <v>185</v>
      </c>
      <c r="BJ153" s="1052">
        <f>SUM(BF153:BI153)</f>
        <v>166</v>
      </c>
      <c r="BK153" s="1051">
        <v>-195</v>
      </c>
      <c r="BL153" s="1051">
        <f>-92-BK153</f>
        <v>103</v>
      </c>
      <c r="BM153" s="1051">
        <f>-19-SUM(BK153:BL153)</f>
        <v>73</v>
      </c>
      <c r="BN153" s="1051">
        <f>271-SUM(BK153:BM153)</f>
        <v>290</v>
      </c>
      <c r="BO153" s="1052">
        <f>SUM(BK153:BN153)</f>
        <v>271</v>
      </c>
      <c r="BP153" s="1051">
        <v>-240</v>
      </c>
      <c r="BQ153" s="1051">
        <f>-238-BP153</f>
        <v>2</v>
      </c>
      <c r="BR153" s="1051">
        <f>-226-SUM(BP153:BQ153)</f>
        <v>12</v>
      </c>
      <c r="BS153" s="1051">
        <f>-110-SUM(BP153:BR153)</f>
        <v>116</v>
      </c>
      <c r="BT153" s="1052">
        <f>SUM(BP153:BS153)</f>
        <v>-110</v>
      </c>
      <c r="BU153" s="1051">
        <v>-208</v>
      </c>
      <c r="BV153" s="1051">
        <f>-197-BU153</f>
        <v>11</v>
      </c>
      <c r="BW153" s="1051">
        <f>-151-SUM(BU153:BV153)</f>
        <v>46</v>
      </c>
      <c r="BX153" s="1051">
        <f>-81-SUM(BU153:BW153)</f>
        <v>70</v>
      </c>
      <c r="BY153" s="1052">
        <f>SUM(BU153:BX153)</f>
        <v>-81</v>
      </c>
      <c r="BZ153" s="1051">
        <v>-161</v>
      </c>
      <c r="CA153" s="1051">
        <f>-89-BZ153</f>
        <v>72</v>
      </c>
      <c r="CB153" s="1051">
        <f>-44-SUM(BZ153:CA153)</f>
        <v>45</v>
      </c>
      <c r="CC153" s="1051">
        <f>-29-SUM(BZ153:CB153)</f>
        <v>15</v>
      </c>
      <c r="CD153" s="1052">
        <f>SUM(BZ153:CC153)</f>
        <v>-29</v>
      </c>
      <c r="CE153" s="1051">
        <v>-117</v>
      </c>
      <c r="CF153" s="1051">
        <f>-119-CE153</f>
        <v>-2</v>
      </c>
      <c r="CG153" s="1051">
        <f>-37-SUM(CE153:CF153)</f>
        <v>82</v>
      </c>
      <c r="CH153" s="1051">
        <f>12-SUM(CE153:CG153)</f>
        <v>49</v>
      </c>
      <c r="CI153" s="1052">
        <f>SUM(CE153:CH153)</f>
        <v>12</v>
      </c>
      <c r="CJ153" s="1051">
        <v>-146</v>
      </c>
      <c r="CK153" s="1051">
        <f>-164-CJ153</f>
        <v>-18</v>
      </c>
      <c r="CL153" s="1051">
        <f>-146-SUM(CJ153:CK153)</f>
        <v>18</v>
      </c>
      <c r="CM153" s="1051">
        <f>-84-SUM(CJ153:CL153)</f>
        <v>62</v>
      </c>
      <c r="CN153" s="1052">
        <f>SUM(CJ153:CM153)</f>
        <v>-84</v>
      </c>
      <c r="CO153" s="1051">
        <v>-44</v>
      </c>
      <c r="CP153" s="1051">
        <f>-118-CO153</f>
        <v>-74</v>
      </c>
      <c r="CQ153" s="1051">
        <f>-98-SUM(CP153,CO153)</f>
        <v>20</v>
      </c>
      <c r="CR153" s="1051">
        <f>-35-SUM(CO153:CQ153)</f>
        <v>63</v>
      </c>
      <c r="CS153" s="1052">
        <f>SUM(CO153:CR153)</f>
        <v>-35</v>
      </c>
      <c r="CT153" s="1051">
        <v>-110</v>
      </c>
      <c r="CU153" s="1051">
        <f>23-CT153</f>
        <v>133</v>
      </c>
      <c r="CV153" s="1051">
        <f>-23-CT153-CU153</f>
        <v>-46</v>
      </c>
      <c r="CW153" s="1051">
        <f>9-SUM(CT153:CV153)</f>
        <v>32</v>
      </c>
      <c r="CX153" s="1052">
        <f>SUM(CT153:CW153)</f>
        <v>9</v>
      </c>
      <c r="CY153" s="1051">
        <v>-138</v>
      </c>
      <c r="CZ153" s="1051">
        <f>-65-CY153</f>
        <v>73</v>
      </c>
      <c r="DA153" s="1051">
        <f>-44-CZ153-CY153</f>
        <v>21</v>
      </c>
      <c r="DB153" s="1051">
        <f>38-SUM(CY153:DA153)</f>
        <v>82</v>
      </c>
      <c r="DC153" s="1052">
        <f>SUM(CY153:DB153)</f>
        <v>38</v>
      </c>
      <c r="DD153" s="1051">
        <v>29</v>
      </c>
      <c r="DE153" s="1051">
        <f>-32-DD153</f>
        <v>-61</v>
      </c>
      <c r="DF153" s="1051">
        <f>120-SUM(DD153:DE153)</f>
        <v>152</v>
      </c>
      <c r="DG153" s="1051">
        <f>505-SUM(DD153:DF153)</f>
        <v>385</v>
      </c>
      <c r="DH153" s="1052">
        <f>SUM(DD153:DG153)</f>
        <v>505</v>
      </c>
      <c r="DI153" s="1051">
        <v>-200</v>
      </c>
      <c r="DJ153" s="1051">
        <f>-267-DI153</f>
        <v>-67</v>
      </c>
      <c r="DK153" s="1051">
        <f>39-DJ153-DI153</f>
        <v>306</v>
      </c>
      <c r="DL153" s="1051">
        <f>68-DK153-DJ153-DI153</f>
        <v>29</v>
      </c>
      <c r="DM153" s="1052">
        <f>SUM(DI153:DL153)</f>
        <v>68</v>
      </c>
      <c r="DN153" s="1051">
        <v>-114</v>
      </c>
      <c r="DO153" s="1051">
        <f>-106-DN153</f>
        <v>8</v>
      </c>
      <c r="DP153" s="1051">
        <f>-35-DO153-DN153</f>
        <v>71</v>
      </c>
      <c r="DQ153" s="1051">
        <f>-51-DP153-DO153-DN153</f>
        <v>-16</v>
      </c>
      <c r="DR153" s="1052">
        <f>SUM(DN153:DQ153)</f>
        <v>-51</v>
      </c>
      <c r="DS153" s="1051">
        <v>-161</v>
      </c>
      <c r="DT153" s="1051">
        <f>-345-DS153</f>
        <v>-184</v>
      </c>
      <c r="DU153" s="1051">
        <f>-141-DT153-DS153</f>
        <v>204</v>
      </c>
      <c r="DV153" s="1051">
        <f>-10-DU153-DT153-DS153</f>
        <v>131</v>
      </c>
      <c r="DW153" s="1052">
        <f>SUM(DS153:DV153)</f>
        <v>-10</v>
      </c>
      <c r="DX153" s="1054">
        <f>('BS &amp; CF'!DX27-'BS &amp; CF'!DW27)+('BS &amp; CF'!DX28-'BS &amp; CF'!DW28)+('BS &amp; CF'!DX30-'BS &amp; CF'!DW30)</f>
        <v>-38.678778765571678</v>
      </c>
      <c r="DY153" s="1054">
        <f>('BS &amp; CF'!DY27-'BS &amp; CF'!DX27)+('BS &amp; CF'!DY28-'BS &amp; CF'!DX28)+('BS &amp; CF'!DY30-'BS &amp; CF'!DX30)</f>
        <v>-55.968607178184811</v>
      </c>
      <c r="DZ153" s="1054">
        <f>('BS &amp; CF'!DZ27-'BS &amp; CF'!DY27)+('BS &amp; CF'!DZ28-'BS &amp; CF'!DY28)+('BS &amp; CF'!DZ30-'BS &amp; CF'!DY30)</f>
        <v>-62.250620447175834</v>
      </c>
      <c r="EA153" s="1054">
        <f>('BS &amp; CF'!EA27-'BS &amp; CF'!DZ27)+('BS &amp; CF'!EA28-'BS &amp; CF'!DZ28)+('BS &amp; CF'!EA30-'BS &amp; CF'!DZ30)</f>
        <v>75.433538461085618</v>
      </c>
      <c r="EB153" s="1052">
        <f>SUM(DX153:EA153)</f>
        <v>-81.464467929846705</v>
      </c>
      <c r="EC153" s="1054">
        <f>('BS &amp; CF'!EC27-'BS &amp; CF'!EB27)+('BS &amp; CF'!EC28-'BS &amp; CF'!EB28)+('BS &amp; CF'!EC30-'BS &amp; CF'!EB30)</f>
        <v>-130.45656232013596</v>
      </c>
      <c r="ED153" s="1054">
        <f>('BS &amp; CF'!ED27-'BS &amp; CF'!EC27)+('BS &amp; CF'!ED28-'BS &amp; CF'!EC28)+('BS &amp; CF'!ED30-'BS &amp; CF'!EC30)</f>
        <v>0.85755940843625922</v>
      </c>
      <c r="EE153" s="1054">
        <f>('BS &amp; CF'!EE27-'BS &amp; CF'!ED27)+('BS &amp; CF'!EE28-'BS &amp; CF'!ED28)+('BS &amp; CF'!EE30-'BS &amp; CF'!ED30)</f>
        <v>-32.787520653042634</v>
      </c>
      <c r="EF153" s="1054">
        <f>('BS &amp; CF'!EF27-'BS &amp; CF'!EE27)+('BS &amp; CF'!EF28-'BS &amp; CF'!EE28)+('BS &amp; CF'!EF30-'BS &amp; CF'!EE30)</f>
        <v>74.547830806837737</v>
      </c>
      <c r="EG153" s="1052">
        <f>SUM(EC153:EF153)</f>
        <v>-87.838692757904596</v>
      </c>
      <c r="EH153" s="1054">
        <f>('BS &amp; CF'!EH27-'BS &amp; CF'!EG27)+('BS &amp; CF'!EH28-'BS &amp; CF'!EG28)+('BS &amp; CF'!EH30-'BS &amp; CF'!EG30)</f>
        <v>-17.110688391095778</v>
      </c>
      <c r="EI153" s="1054">
        <f>('BS &amp; CF'!EI27-'BS &amp; CF'!EH27)+('BS &amp; CF'!EI28-'BS &amp; CF'!EH28)+('BS &amp; CF'!EI30-'BS &amp; CF'!EH30)</f>
        <v>14.048414200881211</v>
      </c>
      <c r="EJ153" s="1054">
        <f>('BS &amp; CF'!EJ27-'BS &amp; CF'!EI27)+('BS &amp; CF'!EJ28-'BS &amp; CF'!EI28)+('BS &amp; CF'!EJ30-'BS &amp; CF'!EI30)</f>
        <v>-37.498822299424205</v>
      </c>
      <c r="EK153" s="1054">
        <f>('BS &amp; CF'!EK27-'BS &amp; CF'!EJ27)+('BS &amp; CF'!EK28-'BS &amp; CF'!EJ28)+('BS &amp; CF'!EK30-'BS &amp; CF'!EJ30)</f>
        <v>79.983050224521548</v>
      </c>
      <c r="EL153" s="1052">
        <f>SUM(EH153:EK153)</f>
        <v>39.421953734882777</v>
      </c>
      <c r="EM153" s="901"/>
      <c r="EN153"/>
      <c r="EO153"/>
      <c r="EP153"/>
      <c r="EQ153"/>
      <c r="ER153"/>
      <c r="ES153"/>
      <c r="ET153" s="1495"/>
      <c r="EU153" s="135"/>
      <c r="EV153" s="135"/>
      <c r="EW153" s="135"/>
      <c r="EX153" s="135"/>
      <c r="EY153" s="135"/>
      <c r="EZ153" s="135"/>
      <c r="FA153" s="135"/>
      <c r="FB153" s="135"/>
      <c r="FC153" s="135"/>
      <c r="FD153" s="135"/>
      <c r="FE153" s="135"/>
      <c r="FF153" s="135"/>
      <c r="FG153" s="135"/>
      <c r="FH153" s="135"/>
      <c r="FI153" s="135"/>
      <c r="FJ153" s="135"/>
      <c r="FK153" s="135"/>
      <c r="FL153" s="135"/>
      <c r="FM153" s="135"/>
      <c r="FN153" s="135"/>
      <c r="FO153" s="135"/>
      <c r="FP153" s="135"/>
      <c r="FQ153" s="135"/>
      <c r="FR153" s="135"/>
      <c r="FS153" s="135"/>
      <c r="FT153" s="135"/>
      <c r="FU153" s="135"/>
      <c r="FV153" s="135"/>
      <c r="FW153" s="135"/>
      <c r="FX153" s="135"/>
      <c r="FY153" s="135"/>
      <c r="FZ153" s="135"/>
      <c r="GA153" s="135"/>
      <c r="GB153" s="135"/>
      <c r="GC153" s="135"/>
      <c r="GD153" s="135"/>
      <c r="GE153" s="135"/>
      <c r="GF153" s="135"/>
      <c r="GG153" s="135"/>
      <c r="GH153" s="135"/>
      <c r="GI153" s="135"/>
      <c r="GJ153" s="135"/>
      <c r="GK153" s="135"/>
      <c r="GL153" s="135"/>
      <c r="GM153" s="135"/>
      <c r="GN153" s="135"/>
      <c r="GO153" s="135"/>
      <c r="GP153" s="135"/>
      <c r="GQ153" s="135"/>
      <c r="GR153" s="135"/>
      <c r="GS153" s="135"/>
      <c r="GT153" s="135"/>
      <c r="GU153" s="135"/>
      <c r="GV153" s="135"/>
      <c r="GW153" s="135"/>
      <c r="GX153" s="135"/>
      <c r="GY153" s="135"/>
      <c r="GZ153" s="135"/>
      <c r="HA153" s="135"/>
      <c r="HB153" s="135"/>
      <c r="HC153" s="135"/>
      <c r="HD153" s="135"/>
      <c r="HE153" s="135"/>
      <c r="HF153" s="135"/>
      <c r="HG153" s="135"/>
      <c r="HH153" s="135"/>
      <c r="HI153" s="135"/>
      <c r="HJ153" s="135"/>
      <c r="HK153" s="135"/>
      <c r="HL153" s="135"/>
      <c r="HM153" s="135"/>
      <c r="HN153" s="135"/>
      <c r="HO153" s="135"/>
      <c r="HP153" s="135"/>
      <c r="HQ153" s="135"/>
      <c r="HR153" s="135"/>
      <c r="HS153" s="135"/>
      <c r="HT153" s="135"/>
      <c r="HU153" s="135"/>
      <c r="HV153" s="135"/>
      <c r="HW153" s="135"/>
      <c r="HX153" s="135"/>
      <c r="HY153" s="135"/>
      <c r="HZ153" s="135"/>
      <c r="IA153" s="135"/>
      <c r="IB153" s="135"/>
      <c r="IC153" s="135"/>
      <c r="ID153" s="135"/>
      <c r="IE153" s="135"/>
      <c r="IF153" s="135"/>
      <c r="IG153" s="135"/>
      <c r="IH153" s="135"/>
      <c r="II153" s="135"/>
      <c r="IJ153" s="135"/>
      <c r="IK153" s="135"/>
      <c r="IL153" s="135"/>
      <c r="IM153" s="135"/>
      <c r="IN153" s="135"/>
      <c r="IO153" s="135"/>
      <c r="IP153" s="135"/>
      <c r="IQ153" s="135"/>
      <c r="IR153" s="135"/>
      <c r="IS153" s="135"/>
      <c r="IT153" s="135"/>
      <c r="IU153" s="135"/>
      <c r="IV153" s="135"/>
      <c r="IW153" s="135"/>
      <c r="IX153" s="135"/>
      <c r="IY153" s="135"/>
      <c r="IZ153" s="135"/>
      <c r="JA153" s="135"/>
      <c r="JB153" s="135"/>
      <c r="JC153" s="135"/>
      <c r="JD153" s="135"/>
      <c r="JE153" s="135"/>
      <c r="JF153" s="135"/>
      <c r="JG153" s="135"/>
      <c r="JH153" s="135"/>
    </row>
    <row r="154" spans="1:268" s="4" customFormat="1" hidden="1" outlineLevel="1">
      <c r="A154" s="845"/>
      <c r="B154" s="846" t="s">
        <v>553</v>
      </c>
      <c r="C154" s="1050"/>
      <c r="D154" s="1050"/>
      <c r="E154" s="1050"/>
      <c r="F154" s="1051"/>
      <c r="G154" s="1051"/>
      <c r="H154" s="891">
        <v>4</v>
      </c>
      <c r="I154" s="1050"/>
      <c r="J154" s="1050"/>
      <c r="K154" s="1051"/>
      <c r="L154" s="1051"/>
      <c r="M154" s="891">
        <v>-106</v>
      </c>
      <c r="N154" s="1050"/>
      <c r="O154" s="1050"/>
      <c r="P154" s="1051"/>
      <c r="Q154" s="1051"/>
      <c r="R154" s="891">
        <v>-59</v>
      </c>
      <c r="S154" s="1050"/>
      <c r="T154" s="1050"/>
      <c r="U154" s="1051"/>
      <c r="V154" s="1051"/>
      <c r="W154" s="891">
        <v>-83</v>
      </c>
      <c r="X154" s="1051">
        <v>3</v>
      </c>
      <c r="Y154" s="1051">
        <f>15-X154</f>
        <v>12</v>
      </c>
      <c r="Z154" s="1051">
        <f>-28-X154-Y154</f>
        <v>-43</v>
      </c>
      <c r="AA154" s="1051">
        <f>-108-X154-Y154-Z154</f>
        <v>-80</v>
      </c>
      <c r="AB154" s="1052">
        <f>SUM(X154:AA154)</f>
        <v>-108</v>
      </c>
      <c r="AC154" s="1051">
        <v>-15</v>
      </c>
      <c r="AD154" s="1051">
        <f>-12-AC154</f>
        <v>3</v>
      </c>
      <c r="AE154" s="1051">
        <f>-9-SUM(AC154:AD154)</f>
        <v>3</v>
      </c>
      <c r="AF154" s="1051">
        <f>17-SUM(AC154:AE154)</f>
        <v>26</v>
      </c>
      <c r="AG154" s="1052">
        <f>SUM(AC154:AF154)</f>
        <v>17</v>
      </c>
      <c r="AH154" s="1051">
        <v>3</v>
      </c>
      <c r="AI154" s="1051">
        <f>-8-AH154</f>
        <v>-11</v>
      </c>
      <c r="AJ154" s="1051">
        <f>-21-SUM(AH154:AI154)</f>
        <v>-13</v>
      </c>
      <c r="AK154" s="1051">
        <f>-20-SUM(AH154:AJ154)</f>
        <v>1</v>
      </c>
      <c r="AL154" s="1052">
        <f>SUM(AH154:AK154)</f>
        <v>-20</v>
      </c>
      <c r="AM154" s="1051">
        <v>11</v>
      </c>
      <c r="AN154" s="1051">
        <f>13-AM154</f>
        <v>2</v>
      </c>
      <c r="AO154" s="1051">
        <f>15-SUM(AM154:AN154)</f>
        <v>2</v>
      </c>
      <c r="AP154" s="1051">
        <f>19-SUM(AM154:AO154)</f>
        <v>4</v>
      </c>
      <c r="AQ154" s="1052">
        <f>SUM(AM154:AP154)</f>
        <v>19</v>
      </c>
      <c r="AR154" s="1051">
        <v>11</v>
      </c>
      <c r="AS154" s="1051">
        <f>20-AR154</f>
        <v>9</v>
      </c>
      <c r="AT154" s="1051">
        <f>296-SUM(AR154:AS154)</f>
        <v>276</v>
      </c>
      <c r="AU154" s="802"/>
      <c r="AV154" s="555"/>
      <c r="AW154" s="555"/>
      <c r="AX154" s="555"/>
      <c r="AY154" s="555"/>
      <c r="AZ154" s="1053">
        <v>271</v>
      </c>
      <c r="BA154" s="1051">
        <v>9</v>
      </c>
      <c r="BB154" s="1051">
        <f>212-BA154</f>
        <v>203</v>
      </c>
      <c r="BC154" s="1051">
        <f>221-SUM(BA154:BB154)</f>
        <v>9</v>
      </c>
      <c r="BD154" s="1051">
        <f>167-SUM(BA154:BC154)</f>
        <v>-54</v>
      </c>
      <c r="BE154" s="1052">
        <f>SUM(BA154:BD154)</f>
        <v>167</v>
      </c>
      <c r="BF154" s="1051">
        <v>44</v>
      </c>
      <c r="BG154" s="1051">
        <f>111-BF154</f>
        <v>67</v>
      </c>
      <c r="BH154" s="1051">
        <f>120-SUM(BF154:BG154)</f>
        <v>9</v>
      </c>
      <c r="BI154" s="1051">
        <f>67-SUM(BF154:BH154)</f>
        <v>-53</v>
      </c>
      <c r="BJ154" s="1052">
        <f>SUM(BF154:BI154)</f>
        <v>67</v>
      </c>
      <c r="BK154" s="1051">
        <v>17</v>
      </c>
      <c r="BL154" s="1051">
        <f>15-BK154</f>
        <v>-2</v>
      </c>
      <c r="BM154" s="1051">
        <f>32-SUM(BK154:BL154)</f>
        <v>17</v>
      </c>
      <c r="BN154" s="1051">
        <f>-23-SUM(BK154:BM154)</f>
        <v>-55</v>
      </c>
      <c r="BO154" s="1052">
        <f>SUM(BK154:BN154)</f>
        <v>-23</v>
      </c>
      <c r="BP154" s="1051">
        <v>14</v>
      </c>
      <c r="BQ154" s="1051">
        <f>20-BP154</f>
        <v>6</v>
      </c>
      <c r="BR154" s="1051">
        <f>31-SUM(BP154:BQ154)</f>
        <v>11</v>
      </c>
      <c r="BS154" s="1051">
        <f>27-SUM(BP154:BR154)</f>
        <v>-4</v>
      </c>
      <c r="BT154" s="1052">
        <f>SUM(BP154:BS154)</f>
        <v>27</v>
      </c>
      <c r="BU154" s="1051">
        <v>9</v>
      </c>
      <c r="BV154" s="1051">
        <f>15-BU154</f>
        <v>6</v>
      </c>
      <c r="BW154" s="1051">
        <f>23-SUM(BU154:BV154)</f>
        <v>8</v>
      </c>
      <c r="BX154" s="1051">
        <f>39-SUM(BU154:BW154)</f>
        <v>16</v>
      </c>
      <c r="BY154" s="1052">
        <f>SUM(BU154:BX154)</f>
        <v>39</v>
      </c>
      <c r="BZ154" s="1051">
        <v>0</v>
      </c>
      <c r="CA154" s="1051">
        <f>-25-BZ154</f>
        <v>-25</v>
      </c>
      <c r="CB154" s="1051">
        <f>-26-SUM(BZ154:CA154)</f>
        <v>-1</v>
      </c>
      <c r="CC154" s="1051">
        <f>-36-SUM(BZ154:CB154)</f>
        <v>-10</v>
      </c>
      <c r="CD154" s="1052">
        <f>SUM(BZ154:CC154)</f>
        <v>-36</v>
      </c>
      <c r="CE154" s="1051">
        <v>-12</v>
      </c>
      <c r="CF154" s="1051">
        <f>-11-CE154</f>
        <v>1</v>
      </c>
      <c r="CG154" s="1051">
        <f>-6-SUM(CE154:CF154)</f>
        <v>5</v>
      </c>
      <c r="CH154" s="1051">
        <f>-13-SUM(CE154:CG154)</f>
        <v>-7</v>
      </c>
      <c r="CI154" s="1052">
        <f>SUM(CE154:CH154)</f>
        <v>-13</v>
      </c>
      <c r="CJ154" s="1051">
        <v>-27</v>
      </c>
      <c r="CK154" s="1051">
        <f>-18-CJ154</f>
        <v>9</v>
      </c>
      <c r="CL154" s="1051">
        <f>-23-SUM(CJ154:CK154)</f>
        <v>-5</v>
      </c>
      <c r="CM154" s="1051">
        <f>-58-SUM(CJ154:CL154)</f>
        <v>-35</v>
      </c>
      <c r="CN154" s="1052">
        <f>SUM(CJ154:CM154)</f>
        <v>-58</v>
      </c>
      <c r="CO154" s="1051">
        <v>12</v>
      </c>
      <c r="CP154" s="1051">
        <f>8-CO154</f>
        <v>-4</v>
      </c>
      <c r="CQ154" s="1051">
        <f>-11-SUM(CP154,CO154)</f>
        <v>-19</v>
      </c>
      <c r="CR154" s="1051">
        <f>-6-SUM(CO154:CQ154)</f>
        <v>5</v>
      </c>
      <c r="CS154" s="1052">
        <f>SUM(CO154:CR154)</f>
        <v>-6</v>
      </c>
      <c r="CT154" s="1051">
        <v>16</v>
      </c>
      <c r="CU154" s="1051">
        <f>26-CT154</f>
        <v>10</v>
      </c>
      <c r="CV154" s="1051">
        <f>20-CT154-CU154</f>
        <v>-6</v>
      </c>
      <c r="CW154" s="1051">
        <f>3-SUM(CT154:CV154)</f>
        <v>-17</v>
      </c>
      <c r="CX154" s="1052">
        <f>SUM(CT154:CW154)</f>
        <v>3</v>
      </c>
      <c r="CY154" s="1051">
        <v>27</v>
      </c>
      <c r="CZ154" s="1051">
        <f>5-CY154</f>
        <v>-22</v>
      </c>
      <c r="DA154" s="1051">
        <f>-5-CZ154-CY154</f>
        <v>-10</v>
      </c>
      <c r="DB154" s="1051">
        <f>13-SUM(CY154:DA154)</f>
        <v>18</v>
      </c>
      <c r="DC154" s="1052">
        <f>SUM(CY154:DB154)</f>
        <v>13</v>
      </c>
      <c r="DD154" s="1051">
        <v>13</v>
      </c>
      <c r="DE154" s="1051">
        <f>47-DD154</f>
        <v>34</v>
      </c>
      <c r="DF154" s="1051">
        <f>38-SUM(DD154:DE154)</f>
        <v>-9</v>
      </c>
      <c r="DG154" s="1051">
        <f>44-SUM(DD154:DF154)</f>
        <v>6</v>
      </c>
      <c r="DH154" s="1052">
        <f>SUM(DD154:DG154)</f>
        <v>44</v>
      </c>
      <c r="DI154" s="1051">
        <v>28</v>
      </c>
      <c r="DJ154" s="1051">
        <f>40-DI154</f>
        <v>12</v>
      </c>
      <c r="DK154" s="1051">
        <f>31-DJ154-DI154</f>
        <v>-9</v>
      </c>
      <c r="DL154" s="1051">
        <f>38-DK154-DJ154-DI154</f>
        <v>7</v>
      </c>
      <c r="DM154" s="1052">
        <f>SUM(DI154:DL154)</f>
        <v>38</v>
      </c>
      <c r="DN154" s="1051">
        <v>24</v>
      </c>
      <c r="DO154" s="1051">
        <f>34-DN154</f>
        <v>10</v>
      </c>
      <c r="DP154" s="1051">
        <f>48-DO154-DN154</f>
        <v>14</v>
      </c>
      <c r="DQ154" s="1051">
        <f>40-DP154-DN154-DO154</f>
        <v>-8</v>
      </c>
      <c r="DR154" s="1052">
        <f>SUM(DN154:DQ154)</f>
        <v>40</v>
      </c>
      <c r="DS154" s="1051">
        <v>26</v>
      </c>
      <c r="DT154" s="1051">
        <f>48-DS154</f>
        <v>22</v>
      </c>
      <c r="DU154" s="1051">
        <f>7-DT154-DS154</f>
        <v>-41</v>
      </c>
      <c r="DV154" s="1051">
        <f>26-DU154-DS154-DT154</f>
        <v>19</v>
      </c>
      <c r="DW154" s="1052">
        <f>SUM(DS154:DV154)</f>
        <v>26</v>
      </c>
      <c r="DX154" s="1054">
        <f>('BS &amp; CF'!DX37-'BS &amp; CF'!DW37)+('BS &amp; CF'!DX40-'BS &amp; CF'!DW40)</f>
        <v>0</v>
      </c>
      <c r="DY154" s="1054">
        <f>('BS &amp; CF'!DY37-'BS &amp; CF'!DX37)+('BS &amp; CF'!DY40-'BS &amp; CF'!DX40)</f>
        <v>0</v>
      </c>
      <c r="DZ154" s="1054">
        <f>('BS &amp; CF'!DZ37-'BS &amp; CF'!DY37)+('BS &amp; CF'!DZ40-'BS &amp; CF'!DY40)</f>
        <v>0</v>
      </c>
      <c r="EA154" s="1054">
        <f>('BS &amp; CF'!EA37-'BS &amp; CF'!DZ37)+('BS &amp; CF'!EA40-'BS &amp; CF'!DZ40)</f>
        <v>0</v>
      </c>
      <c r="EB154" s="1052">
        <f>SUM(DX154:EA154)</f>
        <v>0</v>
      </c>
      <c r="EC154" s="1054">
        <f>('BS &amp; CF'!EC37-'BS &amp; CF'!EB37)+('BS &amp; CF'!EC40-'BS &amp; CF'!EB40)</f>
        <v>0</v>
      </c>
      <c r="ED154" s="1054">
        <f>('BS &amp; CF'!ED37-'BS &amp; CF'!EC37)+('BS &amp; CF'!ED40-'BS &amp; CF'!EC40)</f>
        <v>0</v>
      </c>
      <c r="EE154" s="1054">
        <f>('BS &amp; CF'!EE37-'BS &amp; CF'!ED37)+('BS &amp; CF'!EE40-'BS &amp; CF'!ED40)</f>
        <v>0</v>
      </c>
      <c r="EF154" s="1054">
        <f>('BS &amp; CF'!EF37-'BS &amp; CF'!EE37)+('BS &amp; CF'!EF40-'BS &amp; CF'!EE40)</f>
        <v>0</v>
      </c>
      <c r="EG154" s="1052">
        <f>SUM(EC154:EF154)</f>
        <v>0</v>
      </c>
      <c r="EH154" s="1054">
        <f>('BS &amp; CF'!EH37-'BS &amp; CF'!EG37)+('BS &amp; CF'!EH40-'BS &amp; CF'!EG40)</f>
        <v>0</v>
      </c>
      <c r="EI154" s="1054">
        <f>('BS &amp; CF'!EI37-'BS &amp; CF'!EH37)+('BS &amp; CF'!EI40-'BS &amp; CF'!EH40)</f>
        <v>0</v>
      </c>
      <c r="EJ154" s="1054">
        <f>('BS &amp; CF'!EJ37-'BS &amp; CF'!EI37)+('BS &amp; CF'!EJ40-'BS &amp; CF'!EI40)</f>
        <v>0</v>
      </c>
      <c r="EK154" s="1054">
        <f>('BS &amp; CF'!EK37-'BS &amp; CF'!EJ37)+('BS &amp; CF'!EK40-'BS &amp; CF'!EJ40)</f>
        <v>0</v>
      </c>
      <c r="EL154" s="1052">
        <f>SUM(EH154:EK154)</f>
        <v>0</v>
      </c>
      <c r="EM154" s="901"/>
      <c r="EN154"/>
      <c r="EO154"/>
      <c r="EP154"/>
      <c r="EQ154"/>
      <c r="ER154"/>
      <c r="ES154"/>
      <c r="ET154" s="1495"/>
      <c r="EU154" s="135"/>
      <c r="EV154" s="135"/>
      <c r="EW154" s="135"/>
      <c r="EX154" s="135"/>
      <c r="EY154" s="135"/>
      <c r="EZ154" s="135"/>
      <c r="FA154" s="135"/>
      <c r="FB154" s="135"/>
      <c r="FC154" s="135"/>
      <c r="FD154" s="135"/>
      <c r="FE154" s="135"/>
      <c r="FF154" s="135"/>
      <c r="FG154" s="135"/>
      <c r="FH154" s="135"/>
      <c r="FI154" s="135"/>
      <c r="FJ154" s="135"/>
      <c r="FK154" s="135"/>
      <c r="FL154" s="135"/>
      <c r="FM154" s="135"/>
      <c r="FN154" s="135"/>
      <c r="FO154" s="135"/>
      <c r="FP154" s="135"/>
      <c r="FQ154" s="135"/>
      <c r="FR154" s="135"/>
      <c r="FS154" s="135"/>
      <c r="FT154" s="135"/>
      <c r="FU154" s="135"/>
      <c r="FV154" s="135"/>
      <c r="FW154" s="135"/>
      <c r="FX154" s="135"/>
      <c r="FY154" s="135"/>
      <c r="FZ154" s="135"/>
      <c r="GA154" s="135"/>
      <c r="GB154" s="135"/>
      <c r="GC154" s="135"/>
      <c r="GD154" s="135"/>
      <c r="GE154" s="135"/>
      <c r="GF154" s="135"/>
      <c r="GG154" s="135"/>
      <c r="GH154" s="135"/>
      <c r="GI154" s="135"/>
      <c r="GJ154" s="135"/>
      <c r="GK154" s="135"/>
      <c r="GL154" s="135"/>
      <c r="GM154" s="135"/>
      <c r="GN154" s="135"/>
      <c r="GO154" s="135"/>
      <c r="GP154" s="135"/>
      <c r="GQ154" s="135"/>
      <c r="GR154" s="135"/>
      <c r="GS154" s="135"/>
      <c r="GT154" s="135"/>
      <c r="GU154" s="135"/>
      <c r="GV154" s="135"/>
      <c r="GW154" s="135"/>
      <c r="GX154" s="135"/>
      <c r="GY154" s="135"/>
      <c r="GZ154" s="135"/>
      <c r="HA154" s="135"/>
      <c r="HB154" s="135"/>
      <c r="HC154" s="135"/>
      <c r="HD154" s="135"/>
      <c r="HE154" s="135"/>
      <c r="HF154" s="135"/>
      <c r="HG154" s="135"/>
      <c r="HH154" s="135"/>
      <c r="HI154" s="135"/>
      <c r="HJ154" s="135"/>
      <c r="HK154" s="135"/>
      <c r="HL154" s="135"/>
      <c r="HM154" s="135"/>
      <c r="HN154" s="135"/>
      <c r="HO154" s="135"/>
      <c r="HP154" s="135"/>
      <c r="HQ154" s="135"/>
      <c r="HR154" s="135"/>
      <c r="HS154" s="135"/>
      <c r="HT154" s="135"/>
      <c r="HU154" s="135"/>
      <c r="HV154" s="135"/>
      <c r="HW154" s="135"/>
      <c r="HX154" s="135"/>
      <c r="HY154" s="135"/>
      <c r="HZ154" s="135"/>
      <c r="IA154" s="135"/>
      <c r="IB154" s="135"/>
      <c r="IC154" s="135"/>
      <c r="ID154" s="135"/>
      <c r="IE154" s="135"/>
      <c r="IF154" s="135"/>
      <c r="IG154" s="135"/>
      <c r="IH154" s="135"/>
      <c r="II154" s="135"/>
      <c r="IJ154" s="135"/>
      <c r="IK154" s="135"/>
      <c r="IL154" s="135"/>
      <c r="IM154" s="135"/>
      <c r="IN154" s="135"/>
      <c r="IO154" s="135"/>
      <c r="IP154" s="135"/>
      <c r="IQ154" s="135"/>
      <c r="IR154" s="135"/>
      <c r="IS154" s="135"/>
      <c r="IT154" s="135"/>
      <c r="IU154" s="135"/>
      <c r="IV154" s="135"/>
      <c r="IW154" s="135"/>
      <c r="IX154" s="135"/>
      <c r="IY154" s="135"/>
      <c r="IZ154" s="135"/>
      <c r="JA154" s="135"/>
      <c r="JB154" s="135"/>
      <c r="JC154" s="135"/>
      <c r="JD154" s="135"/>
      <c r="JE154" s="135"/>
      <c r="JF154" s="135"/>
      <c r="JG154" s="135"/>
      <c r="JH154" s="135"/>
    </row>
    <row r="155" spans="1:268" s="4" customFormat="1" collapsed="1">
      <c r="A155" s="801"/>
      <c r="B155" s="557" t="s">
        <v>59</v>
      </c>
      <c r="C155" s="1054"/>
      <c r="D155" s="1054">
        <f t="shared" ref="D155:AT155" si="361">SUM(D150:D154)</f>
        <v>0</v>
      </c>
      <c r="E155" s="1054">
        <f t="shared" si="361"/>
        <v>0</v>
      </c>
      <c r="F155" s="1054">
        <f t="shared" si="361"/>
        <v>0</v>
      </c>
      <c r="G155" s="1054">
        <f t="shared" si="361"/>
        <v>0</v>
      </c>
      <c r="H155" s="1052">
        <f t="shared" si="361"/>
        <v>-70</v>
      </c>
      <c r="I155" s="1054">
        <f t="shared" si="361"/>
        <v>0</v>
      </c>
      <c r="J155" s="1054">
        <f t="shared" si="361"/>
        <v>0</v>
      </c>
      <c r="K155" s="1054">
        <f t="shared" si="361"/>
        <v>0</v>
      </c>
      <c r="L155" s="1054">
        <f t="shared" si="361"/>
        <v>0</v>
      </c>
      <c r="M155" s="1052">
        <f t="shared" si="361"/>
        <v>-438</v>
      </c>
      <c r="N155" s="1054">
        <f t="shared" si="361"/>
        <v>0</v>
      </c>
      <c r="O155" s="1054">
        <f t="shared" si="361"/>
        <v>0</v>
      </c>
      <c r="P155" s="1054">
        <f t="shared" si="361"/>
        <v>0</v>
      </c>
      <c r="Q155" s="1054">
        <f t="shared" si="361"/>
        <v>0</v>
      </c>
      <c r="R155" s="1052">
        <f t="shared" si="361"/>
        <v>-998</v>
      </c>
      <c r="S155" s="1054">
        <f t="shared" si="361"/>
        <v>0</v>
      </c>
      <c r="T155" s="1054">
        <f t="shared" si="361"/>
        <v>0</v>
      </c>
      <c r="U155" s="1054">
        <f t="shared" si="361"/>
        <v>0</v>
      </c>
      <c r="V155" s="1054">
        <f t="shared" si="361"/>
        <v>0</v>
      </c>
      <c r="W155" s="1052">
        <f t="shared" si="361"/>
        <v>-1028</v>
      </c>
      <c r="X155" s="1054">
        <f t="shared" si="361"/>
        <v>-400</v>
      </c>
      <c r="Y155" s="1054">
        <f t="shared" si="361"/>
        <v>-202</v>
      </c>
      <c r="Z155" s="1054">
        <f t="shared" si="361"/>
        <v>-478</v>
      </c>
      <c r="AA155" s="1054">
        <f t="shared" si="361"/>
        <v>-292</v>
      </c>
      <c r="AB155" s="1052">
        <f t="shared" si="361"/>
        <v>-1372</v>
      </c>
      <c r="AC155" s="1054">
        <f t="shared" si="361"/>
        <v>-497</v>
      </c>
      <c r="AD155" s="1054">
        <f t="shared" si="361"/>
        <v>-63</v>
      </c>
      <c r="AE155" s="1054">
        <f t="shared" si="361"/>
        <v>-496</v>
      </c>
      <c r="AF155" s="1054">
        <f t="shared" si="361"/>
        <v>-30</v>
      </c>
      <c r="AG155" s="1052">
        <f t="shared" si="361"/>
        <v>-1086</v>
      </c>
      <c r="AH155" s="1054">
        <f t="shared" si="361"/>
        <v>-285</v>
      </c>
      <c r="AI155" s="1054">
        <f t="shared" si="361"/>
        <v>-9</v>
      </c>
      <c r="AJ155" s="1054">
        <f t="shared" si="361"/>
        <v>-276</v>
      </c>
      <c r="AK155" s="1054">
        <f t="shared" si="361"/>
        <v>172</v>
      </c>
      <c r="AL155" s="1052">
        <f t="shared" si="361"/>
        <v>-398</v>
      </c>
      <c r="AM155" s="1054">
        <f t="shared" si="361"/>
        <v>-201</v>
      </c>
      <c r="AN155" s="1054">
        <f t="shared" si="361"/>
        <v>-156</v>
      </c>
      <c r="AO155" s="1054">
        <f t="shared" si="361"/>
        <v>-257</v>
      </c>
      <c r="AP155" s="1054">
        <f t="shared" si="361"/>
        <v>-20</v>
      </c>
      <c r="AQ155" s="1052">
        <f t="shared" si="361"/>
        <v>-634</v>
      </c>
      <c r="AR155" s="1054">
        <f t="shared" si="361"/>
        <v>-139</v>
      </c>
      <c r="AS155" s="1054">
        <f t="shared" si="361"/>
        <v>-564</v>
      </c>
      <c r="AT155" s="1054">
        <f t="shared" si="361"/>
        <v>-191</v>
      </c>
      <c r="AU155" s="1057"/>
      <c r="AV155" s="739"/>
      <c r="AW155" s="739"/>
      <c r="AX155" s="739"/>
      <c r="AY155" s="739"/>
      <c r="AZ155" s="1052">
        <f t="shared" ref="AZ155:CE155" si="362">SUM(AZ150:AZ154)</f>
        <v>-583</v>
      </c>
      <c r="BA155" s="1054">
        <f t="shared" si="362"/>
        <v>-504</v>
      </c>
      <c r="BB155" s="1054">
        <f t="shared" si="362"/>
        <v>-114</v>
      </c>
      <c r="BC155" s="1054">
        <f t="shared" si="362"/>
        <v>-87</v>
      </c>
      <c r="BD155" s="1054">
        <f t="shared" si="362"/>
        <v>-311</v>
      </c>
      <c r="BE155" s="1052">
        <f t="shared" si="362"/>
        <v>-1016</v>
      </c>
      <c r="BF155" s="1054">
        <f t="shared" si="362"/>
        <v>-440</v>
      </c>
      <c r="BG155" s="1054">
        <f t="shared" si="362"/>
        <v>-173</v>
      </c>
      <c r="BH155" s="1054">
        <f t="shared" si="362"/>
        <v>-200</v>
      </c>
      <c r="BI155" s="1054">
        <f t="shared" si="362"/>
        <v>-455</v>
      </c>
      <c r="BJ155" s="1052">
        <f t="shared" si="362"/>
        <v>-1268</v>
      </c>
      <c r="BK155" s="1054">
        <f t="shared" si="362"/>
        <v>180</v>
      </c>
      <c r="BL155" s="1054">
        <f t="shared" si="362"/>
        <v>-43</v>
      </c>
      <c r="BM155" s="1054">
        <f t="shared" si="362"/>
        <v>-108</v>
      </c>
      <c r="BN155" s="1054">
        <f t="shared" si="362"/>
        <v>57</v>
      </c>
      <c r="BO155" s="1052">
        <f t="shared" si="362"/>
        <v>86</v>
      </c>
      <c r="BP155" s="1054">
        <f t="shared" si="362"/>
        <v>-398</v>
      </c>
      <c r="BQ155" s="1054">
        <f t="shared" si="362"/>
        <v>-238</v>
      </c>
      <c r="BR155" s="1054">
        <f t="shared" si="362"/>
        <v>-218</v>
      </c>
      <c r="BS155" s="1054">
        <f t="shared" si="362"/>
        <v>-142</v>
      </c>
      <c r="BT155" s="1052">
        <f t="shared" si="362"/>
        <v>-996</v>
      </c>
      <c r="BU155" s="1054">
        <f t="shared" si="362"/>
        <v>-500</v>
      </c>
      <c r="BV155" s="1054">
        <f t="shared" si="362"/>
        <v>81</v>
      </c>
      <c r="BW155" s="1054">
        <f t="shared" si="362"/>
        <v>-130</v>
      </c>
      <c r="BX155" s="1054">
        <f t="shared" si="362"/>
        <v>-83</v>
      </c>
      <c r="BY155" s="1052">
        <f t="shared" si="362"/>
        <v>-632</v>
      </c>
      <c r="BZ155" s="1054">
        <f t="shared" si="362"/>
        <v>-420</v>
      </c>
      <c r="CA155" s="1054">
        <f t="shared" si="362"/>
        <v>-68</v>
      </c>
      <c r="CB155" s="1054">
        <f t="shared" si="362"/>
        <v>-91</v>
      </c>
      <c r="CC155" s="1054">
        <f t="shared" si="362"/>
        <v>-160</v>
      </c>
      <c r="CD155" s="1052">
        <f t="shared" si="362"/>
        <v>-739</v>
      </c>
      <c r="CE155" s="1054">
        <f t="shared" si="362"/>
        <v>-370</v>
      </c>
      <c r="CF155" s="1054">
        <f t="shared" ref="CF155:DH155" si="363">SUM(CF150:CF154)</f>
        <v>-74</v>
      </c>
      <c r="CG155" s="1054">
        <f t="shared" si="363"/>
        <v>-109</v>
      </c>
      <c r="CH155" s="1054">
        <f t="shared" si="363"/>
        <v>-194</v>
      </c>
      <c r="CI155" s="1052">
        <f t="shared" si="363"/>
        <v>-747</v>
      </c>
      <c r="CJ155" s="1054">
        <f t="shared" si="363"/>
        <v>-395</v>
      </c>
      <c r="CK155" s="1054">
        <f t="shared" si="363"/>
        <v>-122</v>
      </c>
      <c r="CL155" s="1054">
        <f t="shared" si="363"/>
        <v>-147</v>
      </c>
      <c r="CM155" s="1054">
        <f t="shared" si="363"/>
        <v>-236</v>
      </c>
      <c r="CN155" s="1052">
        <f t="shared" si="363"/>
        <v>-900</v>
      </c>
      <c r="CO155" s="1054">
        <f t="shared" si="363"/>
        <v>-437</v>
      </c>
      <c r="CP155" s="1054">
        <f t="shared" si="363"/>
        <v>-227</v>
      </c>
      <c r="CQ155" s="1054">
        <f t="shared" si="363"/>
        <v>-150</v>
      </c>
      <c r="CR155" s="1054">
        <f t="shared" si="363"/>
        <v>-193</v>
      </c>
      <c r="CS155" s="1052">
        <f t="shared" si="363"/>
        <v>-1007</v>
      </c>
      <c r="CT155" s="1054">
        <f t="shared" si="363"/>
        <v>-427</v>
      </c>
      <c r="CU155" s="1054">
        <f t="shared" si="363"/>
        <v>-95</v>
      </c>
      <c r="CV155" s="1054">
        <f t="shared" si="363"/>
        <v>-242</v>
      </c>
      <c r="CW155" s="1054">
        <f t="shared" si="363"/>
        <v>-156</v>
      </c>
      <c r="CX155" s="1052">
        <f t="shared" si="363"/>
        <v>-920</v>
      </c>
      <c r="CY155" s="1054">
        <f t="shared" si="363"/>
        <v>-403</v>
      </c>
      <c r="CZ155" s="1054">
        <f t="shared" si="363"/>
        <v>-272</v>
      </c>
      <c r="DA155" s="1054">
        <f t="shared" si="363"/>
        <v>-200</v>
      </c>
      <c r="DB155" s="1054">
        <f t="shared" si="363"/>
        <v>-264</v>
      </c>
      <c r="DC155" s="1052">
        <f t="shared" si="363"/>
        <v>-1139</v>
      </c>
      <c r="DD155" s="1054">
        <f t="shared" si="363"/>
        <v>-577</v>
      </c>
      <c r="DE155" s="1054">
        <f t="shared" si="363"/>
        <v>-284</v>
      </c>
      <c r="DF155" s="1054">
        <f t="shared" si="363"/>
        <v>-285</v>
      </c>
      <c r="DG155" s="1054">
        <f t="shared" si="363"/>
        <v>-512</v>
      </c>
      <c r="DH155" s="1052">
        <f t="shared" si="363"/>
        <v>-1658</v>
      </c>
      <c r="DI155" s="1054">
        <f t="shared" ref="DI155:DW155" si="364">SUM(DI150:DI154)</f>
        <v>-722</v>
      </c>
      <c r="DJ155" s="1054">
        <f t="shared" si="364"/>
        <v>-239</v>
      </c>
      <c r="DK155" s="1054">
        <f t="shared" si="364"/>
        <v>-160</v>
      </c>
      <c r="DL155" s="1054">
        <f t="shared" si="364"/>
        <v>-517</v>
      </c>
      <c r="DM155" s="1052">
        <f t="shared" si="364"/>
        <v>-1638</v>
      </c>
      <c r="DN155" s="1054">
        <f t="shared" si="364"/>
        <v>-533</v>
      </c>
      <c r="DO155" s="1054">
        <f t="shared" si="364"/>
        <v>-311</v>
      </c>
      <c r="DP155" s="1054">
        <f t="shared" si="364"/>
        <v>-395</v>
      </c>
      <c r="DQ155" s="1054">
        <f t="shared" si="364"/>
        <v>-467</v>
      </c>
      <c r="DR155" s="1052">
        <f t="shared" si="364"/>
        <v>-1706</v>
      </c>
      <c r="DS155" s="1054">
        <f t="shared" si="364"/>
        <v>-483</v>
      </c>
      <c r="DT155" s="1054">
        <f t="shared" si="364"/>
        <v>-334</v>
      </c>
      <c r="DU155" s="1054">
        <f t="shared" si="364"/>
        <v>-280</v>
      </c>
      <c r="DV155" s="1054">
        <f t="shared" si="364"/>
        <v>-408</v>
      </c>
      <c r="DW155" s="1052">
        <f t="shared" si="364"/>
        <v>-1505</v>
      </c>
      <c r="DX155" s="1054">
        <f t="shared" ref="DX155:EG155" si="365">SUM(DX150:DX154)</f>
        <v>-302.25873640093226</v>
      </c>
      <c r="DY155" s="1054">
        <f t="shared" si="365"/>
        <v>-392.10745013838107</v>
      </c>
      <c r="DZ155" s="1054">
        <f t="shared" si="365"/>
        <v>-412.99189708194035</v>
      </c>
      <c r="EA155" s="1054">
        <f t="shared" si="365"/>
        <v>-456.4835154700977</v>
      </c>
      <c r="EB155" s="1052">
        <f t="shared" si="365"/>
        <v>-1563.8415990913513</v>
      </c>
      <c r="EC155" s="1054">
        <f t="shared" si="365"/>
        <v>-697.64313162921815</v>
      </c>
      <c r="ED155" s="1054">
        <f t="shared" si="365"/>
        <v>-381.04453606681977</v>
      </c>
      <c r="EE155" s="1054">
        <f t="shared" si="365"/>
        <v>-350.72424113217596</v>
      </c>
      <c r="EF155" s="1054">
        <f t="shared" si="365"/>
        <v>-530.82836447702232</v>
      </c>
      <c r="EG155" s="1052">
        <f t="shared" si="365"/>
        <v>-1960.2402733052359</v>
      </c>
      <c r="EH155" s="1054">
        <f t="shared" ref="EH155:EL155" si="366">SUM(EH150:EH154)</f>
        <v>-402.52634741150877</v>
      </c>
      <c r="EI155" s="1054">
        <f t="shared" si="366"/>
        <v>-412.20343756352338</v>
      </c>
      <c r="EJ155" s="1054">
        <f t="shared" si="366"/>
        <v>-294.57920484982526</v>
      </c>
      <c r="EK155" s="1054">
        <f t="shared" si="366"/>
        <v>-550.90199203118118</v>
      </c>
      <c r="EL155" s="1052">
        <f t="shared" si="366"/>
        <v>-1660.2109818560384</v>
      </c>
      <c r="EM155" s="901"/>
      <c r="EN155"/>
      <c r="EO155"/>
      <c r="EP155"/>
      <c r="EQ155"/>
      <c r="ER155"/>
      <c r="ES155"/>
      <c r="ET155" s="1495"/>
      <c r="EU155" s="135"/>
      <c r="EV155" s="135"/>
      <c r="EW155" s="135"/>
      <c r="EX155" s="135"/>
      <c r="EY155" s="135"/>
      <c r="EZ155" s="135"/>
      <c r="FA155" s="135"/>
      <c r="FB155" s="135"/>
      <c r="FC155" s="135"/>
      <c r="FD155" s="135"/>
      <c r="FE155" s="135"/>
      <c r="FF155" s="135"/>
      <c r="FG155" s="135"/>
      <c r="FH155" s="135"/>
      <c r="FI155" s="135"/>
      <c r="FJ155" s="135"/>
      <c r="FK155" s="135"/>
      <c r="FL155" s="135"/>
      <c r="FM155" s="135"/>
      <c r="FN155" s="135"/>
      <c r="FO155" s="135"/>
      <c r="FP155" s="135"/>
      <c r="FQ155" s="135"/>
      <c r="FR155" s="135"/>
      <c r="FS155" s="135"/>
      <c r="FT155" s="135"/>
      <c r="FU155" s="135"/>
      <c r="FV155" s="135"/>
      <c r="FW155" s="135"/>
      <c r="FX155" s="135"/>
      <c r="FY155" s="135"/>
      <c r="FZ155" s="135"/>
      <c r="GA155" s="135"/>
      <c r="GB155" s="135"/>
      <c r="GC155" s="135"/>
      <c r="GD155" s="135"/>
      <c r="GE155" s="135"/>
      <c r="GF155" s="135"/>
      <c r="GG155" s="135"/>
      <c r="GH155" s="135"/>
      <c r="GI155" s="135"/>
      <c r="GJ155" s="135"/>
      <c r="GK155" s="135"/>
      <c r="GL155" s="135"/>
      <c r="GM155" s="135"/>
      <c r="GN155" s="135"/>
      <c r="GO155" s="135"/>
      <c r="GP155" s="135"/>
      <c r="GQ155" s="135"/>
      <c r="GR155" s="135"/>
      <c r="GS155" s="135"/>
      <c r="GT155" s="135"/>
      <c r="GU155" s="135"/>
      <c r="GV155" s="135"/>
      <c r="GW155" s="135"/>
      <c r="GX155" s="135"/>
      <c r="GY155" s="135"/>
      <c r="GZ155" s="135"/>
      <c r="HA155" s="135"/>
      <c r="HB155" s="135"/>
      <c r="HC155" s="135"/>
      <c r="HD155" s="135"/>
      <c r="HE155" s="135"/>
      <c r="HF155" s="135"/>
      <c r="HG155" s="135"/>
      <c r="HH155" s="135"/>
      <c r="HI155" s="135"/>
      <c r="HJ155" s="135"/>
      <c r="HK155" s="135"/>
      <c r="HL155" s="135"/>
      <c r="HM155" s="135"/>
      <c r="HN155" s="135"/>
      <c r="HO155" s="135"/>
      <c r="HP155" s="135"/>
      <c r="HQ155" s="135"/>
      <c r="HR155" s="135"/>
      <c r="HS155" s="135"/>
      <c r="HT155" s="135"/>
      <c r="HU155" s="135"/>
      <c r="HV155" s="135"/>
      <c r="HW155" s="135"/>
      <c r="HX155" s="135"/>
      <c r="HY155" s="135"/>
      <c r="HZ155" s="135"/>
      <c r="IA155" s="135"/>
      <c r="IB155" s="135"/>
      <c r="IC155" s="135"/>
      <c r="ID155" s="135"/>
      <c r="IE155" s="135"/>
      <c r="IF155" s="135"/>
      <c r="IG155" s="135"/>
      <c r="IH155" s="135"/>
      <c r="II155" s="135"/>
      <c r="IJ155" s="135"/>
      <c r="IK155" s="135"/>
      <c r="IL155" s="135"/>
      <c r="IM155" s="135"/>
      <c r="IN155" s="135"/>
      <c r="IO155" s="135"/>
      <c r="IP155" s="135"/>
      <c r="IQ155" s="135"/>
      <c r="IR155" s="135"/>
      <c r="IS155" s="135"/>
      <c r="IT155" s="135"/>
      <c r="IU155" s="135"/>
      <c r="IV155" s="135"/>
      <c r="IW155" s="135"/>
      <c r="IX155" s="135"/>
      <c r="IY155" s="135"/>
      <c r="IZ155" s="135"/>
      <c r="JA155" s="135"/>
      <c r="JB155" s="135"/>
      <c r="JC155" s="135"/>
      <c r="JD155" s="135"/>
      <c r="JE155" s="135"/>
      <c r="JF155" s="135"/>
      <c r="JG155" s="135"/>
      <c r="JH155" s="135"/>
    </row>
    <row r="156" spans="1:268" s="4" customFormat="1" hidden="1" outlineLevel="1">
      <c r="A156" s="845"/>
      <c r="B156" s="846" t="s">
        <v>60</v>
      </c>
      <c r="C156" s="1050"/>
      <c r="D156" s="1050"/>
      <c r="E156" s="1050"/>
      <c r="F156" s="1050"/>
      <c r="G156" s="1050"/>
      <c r="H156" s="1052"/>
      <c r="I156" s="1050"/>
      <c r="J156" s="1050"/>
      <c r="K156" s="1050"/>
      <c r="L156" s="1050"/>
      <c r="M156" s="891">
        <v>0</v>
      </c>
      <c r="N156" s="1050"/>
      <c r="O156" s="1050"/>
      <c r="P156" s="1050"/>
      <c r="Q156" s="1050"/>
      <c r="R156" s="1052">
        <v>0</v>
      </c>
      <c r="S156" s="1050"/>
      <c r="T156" s="1050"/>
      <c r="U156" s="1050"/>
      <c r="V156" s="1050"/>
      <c r="W156" s="1052">
        <v>0</v>
      </c>
      <c r="X156" s="1050"/>
      <c r="Y156" s="1050"/>
      <c r="Z156" s="1050"/>
      <c r="AA156" s="1050"/>
      <c r="AB156" s="1052">
        <f>SUM(X156:AA156)</f>
        <v>0</v>
      </c>
      <c r="AC156" s="1051">
        <v>0</v>
      </c>
      <c r="AD156" s="1051">
        <f>0-AC156</f>
        <v>0</v>
      </c>
      <c r="AE156" s="1051">
        <f>0-SUM(AC156:AD156)</f>
        <v>0</v>
      </c>
      <c r="AF156" s="1051">
        <f>0-SUM(AC156:AE156)</f>
        <v>0</v>
      </c>
      <c r="AG156" s="1052">
        <f>SUM(AC156:AF156)</f>
        <v>0</v>
      </c>
      <c r="AH156" s="1051">
        <v>0</v>
      </c>
      <c r="AI156" s="1051">
        <f>0-AH156</f>
        <v>0</v>
      </c>
      <c r="AJ156" s="1051">
        <f>0-SUM(AH156:AI156)</f>
        <v>0</v>
      </c>
      <c r="AK156" s="1051">
        <f>0-SUM(AH156:AJ156)</f>
        <v>0</v>
      </c>
      <c r="AL156" s="1052">
        <f>SUM(AH156:AK156)</f>
        <v>0</v>
      </c>
      <c r="AM156" s="1051">
        <v>0</v>
      </c>
      <c r="AN156" s="1051">
        <f>0-AM156</f>
        <v>0</v>
      </c>
      <c r="AO156" s="1051">
        <f>0-SUM(AM156:AN156)</f>
        <v>0</v>
      </c>
      <c r="AP156" s="1051">
        <f>0-SUM(AM156:AO156)</f>
        <v>0</v>
      </c>
      <c r="AQ156" s="1052">
        <f>SUM(AM156:AP156)</f>
        <v>0</v>
      </c>
      <c r="AR156" s="1051">
        <v>0</v>
      </c>
      <c r="AS156" s="1051">
        <f>0-AR156</f>
        <v>0</v>
      </c>
      <c r="AT156" s="1051">
        <f>0-SUM(AR156:AS156)</f>
        <v>0</v>
      </c>
      <c r="AU156" s="802"/>
      <c r="AV156" s="555"/>
      <c r="AW156" s="555"/>
      <c r="AX156" s="555"/>
      <c r="AY156" s="555"/>
      <c r="AZ156" s="1053">
        <v>-18</v>
      </c>
      <c r="BA156" s="1051">
        <v>0</v>
      </c>
      <c r="BB156" s="1051">
        <f>0-BA156</f>
        <v>0</v>
      </c>
      <c r="BC156" s="1051">
        <f>0-SUM(BA156:BB156)</f>
        <v>0</v>
      </c>
      <c r="BD156" s="1051">
        <f>-148-SUM(BA156:BC156)</f>
        <v>-148</v>
      </c>
      <c r="BE156" s="1052">
        <f>SUM(BA156:BD156)</f>
        <v>-148</v>
      </c>
      <c r="BF156" s="1051">
        <v>-187</v>
      </c>
      <c r="BG156" s="1051">
        <f>-244-BF156</f>
        <v>-57</v>
      </c>
      <c r="BH156" s="1051">
        <f>-249-SUM(BF156:BG156)</f>
        <v>-5</v>
      </c>
      <c r="BI156" s="1051">
        <f>-280-SUM(BF156:BH156)</f>
        <v>-31</v>
      </c>
      <c r="BJ156" s="1052">
        <f>SUM(BF156:BI156)</f>
        <v>-280</v>
      </c>
      <c r="BK156" s="1051">
        <v>-14</v>
      </c>
      <c r="BL156" s="1051">
        <f>-42-BK156</f>
        <v>-28</v>
      </c>
      <c r="BM156" s="1051">
        <f>-73-SUM(BK156:BL156)</f>
        <v>-31</v>
      </c>
      <c r="BN156" s="1051">
        <f>-100-SUM(BK156:BM156)</f>
        <v>-27</v>
      </c>
      <c r="BO156" s="1052">
        <f>SUM(BK156:BN156)</f>
        <v>-100</v>
      </c>
      <c r="BP156" s="1051">
        <v>-175</v>
      </c>
      <c r="BQ156" s="1051">
        <f>-664-BP156</f>
        <v>-489</v>
      </c>
      <c r="BR156" s="1051">
        <f>-683-SUM(BP156:BQ156)</f>
        <v>-19</v>
      </c>
      <c r="BS156" s="1051">
        <f>-698-SUM(BP156:BR156)</f>
        <v>-15</v>
      </c>
      <c r="BT156" s="1052">
        <f>SUM(BP156:BS156)</f>
        <v>-698</v>
      </c>
      <c r="BU156" s="1051">
        <v>-7</v>
      </c>
      <c r="BV156" s="1051">
        <f>-28-BU156</f>
        <v>-21</v>
      </c>
      <c r="BW156" s="1051">
        <f>-39-SUM(BU156:BV156)</f>
        <v>-11</v>
      </c>
      <c r="BX156" s="1051">
        <f>-70-SUM(BU156:BW156)</f>
        <v>-31</v>
      </c>
      <c r="BY156" s="1052">
        <f>SUM(BU156:BX156)</f>
        <v>-70</v>
      </c>
      <c r="BZ156" s="1051">
        <v>-27</v>
      </c>
      <c r="CA156" s="1051">
        <f>-56-BZ156</f>
        <v>-29</v>
      </c>
      <c r="CB156" s="1051">
        <f>-79-SUM(BZ156:CA156)</f>
        <v>-23</v>
      </c>
      <c r="CC156" s="1051">
        <f>-100-SUM(BZ156:CB156)</f>
        <v>-21</v>
      </c>
      <c r="CD156" s="1052">
        <f>SUM(BZ156:CC156)</f>
        <v>-100</v>
      </c>
      <c r="CE156" s="1051">
        <v>-28</v>
      </c>
      <c r="CF156" s="1051">
        <f>-56-CE156</f>
        <v>-28</v>
      </c>
      <c r="CG156" s="1051">
        <f>-165-SUM(CE156:CF156)</f>
        <v>-109</v>
      </c>
      <c r="CH156" s="1051">
        <f>-192-SUM(CE156:CG156)</f>
        <v>-27</v>
      </c>
      <c r="CI156" s="1052">
        <f>SUM(CE156:CH156)</f>
        <v>-192</v>
      </c>
      <c r="CJ156" s="1051">
        <v>-24</v>
      </c>
      <c r="CK156" s="1051">
        <f>-51-CJ156</f>
        <v>-27</v>
      </c>
      <c r="CL156" s="1051">
        <f>-76-SUM(CJ156:CK156)</f>
        <v>-25</v>
      </c>
      <c r="CM156" s="1051">
        <f>-83-SUM(CJ156:CL156)</f>
        <v>-7</v>
      </c>
      <c r="CN156" s="1052">
        <f>SUM(CJ156:CM156)</f>
        <v>-83</v>
      </c>
      <c r="CO156" s="1051">
        <v>-7</v>
      </c>
      <c r="CP156" s="1051">
        <f>-21-CO156</f>
        <v>-14</v>
      </c>
      <c r="CQ156" s="1051">
        <f>-27-SUM(CP156,CO156)</f>
        <v>-6</v>
      </c>
      <c r="CR156" s="1051">
        <f>-44-SUM(CO156:CQ156)</f>
        <v>-17</v>
      </c>
      <c r="CS156" s="1052">
        <f>SUM(CO156:CR156)</f>
        <v>-44</v>
      </c>
      <c r="CT156" s="1051">
        <v>-11</v>
      </c>
      <c r="CU156" s="1051">
        <f>-50-CT156</f>
        <v>-39</v>
      </c>
      <c r="CV156" s="1051">
        <f>-56-CT156-CU156</f>
        <v>-6</v>
      </c>
      <c r="CW156" s="1051">
        <f>-63-SUM(CT156:CV156)</f>
        <v>-7</v>
      </c>
      <c r="CX156" s="1052">
        <f>SUM(CT156:CW156)</f>
        <v>-63</v>
      </c>
      <c r="CY156" s="1051">
        <v>-7</v>
      </c>
      <c r="CZ156" s="1051">
        <f>-19-CY156</f>
        <v>-12</v>
      </c>
      <c r="DA156" s="1051">
        <f>-36-CZ156-CY156</f>
        <v>-17</v>
      </c>
      <c r="DB156" s="1051">
        <f>-114-SUM(CY156:DA156)</f>
        <v>-78</v>
      </c>
      <c r="DC156" s="1052">
        <f>SUM(CY156:DB156)</f>
        <v>-114</v>
      </c>
      <c r="DD156" s="1051">
        <v>-30</v>
      </c>
      <c r="DE156" s="1051">
        <f>-84-DD156</f>
        <v>-54</v>
      </c>
      <c r="DF156" s="1051">
        <f>-115-SUM(DD156:DE156)</f>
        <v>-31</v>
      </c>
      <c r="DG156" s="1051">
        <f>-168-SUM(DD156:DF156)</f>
        <v>-53</v>
      </c>
      <c r="DH156" s="1052">
        <f>SUM(DD156:DG156)</f>
        <v>-168</v>
      </c>
      <c r="DI156" s="1051">
        <v>-33</v>
      </c>
      <c r="DJ156" s="1051">
        <f>-86-DI156</f>
        <v>-53</v>
      </c>
      <c r="DK156" s="1051">
        <f>-157-DJ156-DI156</f>
        <v>-71</v>
      </c>
      <c r="DL156" s="1051">
        <f>-200-DK156-DJ156-DI156</f>
        <v>-43</v>
      </c>
      <c r="DM156" s="1052">
        <f>SUM(DI156:DL156)</f>
        <v>-200</v>
      </c>
      <c r="DN156" s="1051">
        <v>-69</v>
      </c>
      <c r="DO156" s="1051">
        <f>-99-DN156</f>
        <v>-30</v>
      </c>
      <c r="DP156" s="1051">
        <f>-132-DO156-DN156</f>
        <v>-33</v>
      </c>
      <c r="DQ156" s="1051">
        <f>-691-DP156-DO156-DN156</f>
        <v>-559</v>
      </c>
      <c r="DR156" s="1052">
        <f>SUM(DN156:DQ156)</f>
        <v>-691</v>
      </c>
      <c r="DS156" s="1051">
        <v>-24</v>
      </c>
      <c r="DT156" s="1051">
        <f>-62-DS156</f>
        <v>-38</v>
      </c>
      <c r="DU156" s="1051">
        <f>-88-DT156-DS156</f>
        <v>-26</v>
      </c>
      <c r="DV156" s="1051">
        <f>-125-DU156-DT156-DS156</f>
        <v>-37</v>
      </c>
      <c r="DW156" s="1052">
        <f>SUM(DS156:DV156)</f>
        <v>-125</v>
      </c>
      <c r="DX156" s="1054">
        <f>('BS &amp; CF'!DX31-'BS &amp; CF'!DW31)+('BS &amp; CF'!DX38-'BS &amp; CF'!DW38)+('BS &amp; CF'!DX29-'BS &amp; CF'!DW29)</f>
        <v>0</v>
      </c>
      <c r="DY156" s="1054">
        <f>('BS &amp; CF'!DY31-'BS &amp; CF'!DX31)+('BS &amp; CF'!DY38-'BS &amp; CF'!DX38)+('BS &amp; CF'!DY29-'BS &amp; CF'!DX29)</f>
        <v>0</v>
      </c>
      <c r="DZ156" s="1054">
        <f>('BS &amp; CF'!DZ31-'BS &amp; CF'!DY31)+('BS &amp; CF'!DZ38-'BS &amp; CF'!DY38)+('BS &amp; CF'!DZ29-'BS &amp; CF'!DY29)</f>
        <v>0</v>
      </c>
      <c r="EA156" s="1054">
        <f>('BS &amp; CF'!EA31-'BS &amp; CF'!DZ31)+('BS &amp; CF'!EA38-'BS &amp; CF'!DZ38)+('BS &amp; CF'!EA29-'BS &amp; CF'!DZ29)</f>
        <v>0</v>
      </c>
      <c r="EB156" s="1052">
        <f>SUM(DX156:EA156)</f>
        <v>0</v>
      </c>
      <c r="EC156" s="1054">
        <f>('BS &amp; CF'!EC31-'BS &amp; CF'!EB31)+('BS &amp; CF'!EC38-'BS &amp; CF'!EB38)+('BS &amp; CF'!EC29-'BS &amp; CF'!EB29)</f>
        <v>0</v>
      </c>
      <c r="ED156" s="1054">
        <f>('BS &amp; CF'!ED31-'BS &amp; CF'!EC31)+('BS &amp; CF'!ED38-'BS &amp; CF'!EC38)+('BS &amp; CF'!ED29-'BS &amp; CF'!EC29)</f>
        <v>0</v>
      </c>
      <c r="EE156" s="1054">
        <f>('BS &amp; CF'!EE31-'BS &amp; CF'!ED31)+('BS &amp; CF'!EE38-'BS &amp; CF'!ED38)+('BS &amp; CF'!EE29-'BS &amp; CF'!ED29)</f>
        <v>0</v>
      </c>
      <c r="EF156" s="1054">
        <f>('BS &amp; CF'!EF31-'BS &amp; CF'!EE31)+('BS &amp; CF'!EF38-'BS &amp; CF'!EE38)+('BS &amp; CF'!EF29-'BS &amp; CF'!EE29)</f>
        <v>0</v>
      </c>
      <c r="EG156" s="1052">
        <f>SUM(EC156:EF156)</f>
        <v>0</v>
      </c>
      <c r="EH156" s="1054">
        <f>('BS &amp; CF'!EH31-'BS &amp; CF'!EG31)+('BS &amp; CF'!EH38-'BS &amp; CF'!EG38)+('BS &amp; CF'!EH29-'BS &amp; CF'!EG29)</f>
        <v>0</v>
      </c>
      <c r="EI156" s="1054">
        <f>('BS &amp; CF'!EI31-'BS &amp; CF'!EH31)+('BS &amp; CF'!EI38-'BS &amp; CF'!EH38)+('BS &amp; CF'!EI29-'BS &amp; CF'!EH29)</f>
        <v>0</v>
      </c>
      <c r="EJ156" s="1054">
        <f>('BS &amp; CF'!EJ31-'BS &amp; CF'!EI31)+('BS &amp; CF'!EJ38-'BS &amp; CF'!EI38)+('BS &amp; CF'!EJ29-'BS &amp; CF'!EI29)</f>
        <v>0</v>
      </c>
      <c r="EK156" s="1054">
        <f>('BS &amp; CF'!EK31-'BS &amp; CF'!EJ31)+('BS &amp; CF'!EK38-'BS &amp; CF'!EJ38)+('BS &amp; CF'!EK29-'BS &amp; CF'!EJ29)</f>
        <v>0</v>
      </c>
      <c r="EL156" s="1052">
        <f>SUM(EH156:EK156)</f>
        <v>0</v>
      </c>
      <c r="EM156" s="901"/>
      <c r="EN156"/>
      <c r="EO156"/>
      <c r="EP156"/>
      <c r="EQ156"/>
      <c r="ER156"/>
      <c r="ES156"/>
      <c r="ET156" s="1495"/>
      <c r="EU156" s="135"/>
      <c r="EV156" s="135"/>
      <c r="EW156" s="135"/>
      <c r="EX156" s="135"/>
      <c r="EY156" s="135"/>
      <c r="EZ156" s="135"/>
      <c r="FA156" s="135"/>
      <c r="FB156" s="135"/>
      <c r="FC156" s="135"/>
      <c r="FD156" s="135"/>
      <c r="FE156" s="135"/>
      <c r="FF156" s="135"/>
      <c r="FG156" s="135"/>
      <c r="FH156" s="135"/>
      <c r="FI156" s="135"/>
      <c r="FJ156" s="135"/>
      <c r="FK156" s="135"/>
      <c r="FL156" s="135"/>
      <c r="FM156" s="135"/>
      <c r="FN156" s="135"/>
      <c r="FO156" s="135"/>
      <c r="FP156" s="135"/>
      <c r="FQ156" s="135"/>
      <c r="FR156" s="135"/>
      <c r="FS156" s="135"/>
      <c r="FT156" s="135"/>
      <c r="FU156" s="135"/>
      <c r="FV156" s="135"/>
      <c r="FW156" s="135"/>
      <c r="FX156" s="135"/>
      <c r="FY156" s="135"/>
      <c r="FZ156" s="135"/>
      <c r="GA156" s="135"/>
      <c r="GB156" s="135"/>
      <c r="GC156" s="135"/>
      <c r="GD156" s="135"/>
      <c r="GE156" s="135"/>
      <c r="GF156" s="135"/>
      <c r="GG156" s="135"/>
      <c r="GH156" s="135"/>
      <c r="GI156" s="135"/>
      <c r="GJ156" s="135"/>
      <c r="GK156" s="135"/>
      <c r="GL156" s="135"/>
      <c r="GM156" s="135"/>
      <c r="GN156" s="135"/>
      <c r="GO156" s="135"/>
      <c r="GP156" s="135"/>
      <c r="GQ156" s="135"/>
      <c r="GR156" s="135"/>
      <c r="GS156" s="135"/>
      <c r="GT156" s="135"/>
      <c r="GU156" s="135"/>
      <c r="GV156" s="135"/>
      <c r="GW156" s="135"/>
      <c r="GX156" s="135"/>
      <c r="GY156" s="135"/>
      <c r="GZ156" s="135"/>
      <c r="HA156" s="135"/>
      <c r="HB156" s="135"/>
      <c r="HC156" s="135"/>
      <c r="HD156" s="135"/>
      <c r="HE156" s="135"/>
      <c r="HF156" s="135"/>
      <c r="HG156" s="135"/>
      <c r="HH156" s="135"/>
      <c r="HI156" s="135"/>
      <c r="HJ156" s="135"/>
      <c r="HK156" s="135"/>
      <c r="HL156" s="135"/>
      <c r="HM156" s="135"/>
      <c r="HN156" s="135"/>
      <c r="HO156" s="135"/>
      <c r="HP156" s="135"/>
      <c r="HQ156" s="135"/>
      <c r="HR156" s="135"/>
      <c r="HS156" s="135"/>
      <c r="HT156" s="135"/>
      <c r="HU156" s="135"/>
      <c r="HV156" s="135"/>
      <c r="HW156" s="135"/>
      <c r="HX156" s="135"/>
      <c r="HY156" s="135"/>
      <c r="HZ156" s="135"/>
      <c r="IA156" s="135"/>
      <c r="IB156" s="135"/>
      <c r="IC156" s="135"/>
      <c r="ID156" s="135"/>
      <c r="IE156" s="135"/>
      <c r="IF156" s="135"/>
      <c r="IG156" s="135"/>
      <c r="IH156" s="135"/>
      <c r="II156" s="135"/>
      <c r="IJ156" s="135"/>
      <c r="IK156" s="135"/>
      <c r="IL156" s="135"/>
      <c r="IM156" s="135"/>
      <c r="IN156" s="135"/>
      <c r="IO156" s="135"/>
      <c r="IP156" s="135"/>
      <c r="IQ156" s="135"/>
      <c r="IR156" s="135"/>
      <c r="IS156" s="135"/>
      <c r="IT156" s="135"/>
      <c r="IU156" s="135"/>
      <c r="IV156" s="135"/>
      <c r="IW156" s="135"/>
      <c r="IX156" s="135"/>
      <c r="IY156" s="135"/>
      <c r="IZ156" s="135"/>
      <c r="JA156" s="135"/>
      <c r="JB156" s="135"/>
      <c r="JC156" s="135"/>
      <c r="JD156" s="135"/>
      <c r="JE156" s="135"/>
      <c r="JF156" s="135"/>
      <c r="JG156" s="135"/>
      <c r="JH156" s="135"/>
    </row>
    <row r="157" spans="1:268" s="48" customFormat="1" hidden="1" outlineLevel="1">
      <c r="A157" s="1058"/>
      <c r="B157" s="1059" t="s">
        <v>61</v>
      </c>
      <c r="C157" s="1060"/>
      <c r="D157" s="1060"/>
      <c r="E157" s="1060"/>
      <c r="F157" s="1060"/>
      <c r="G157" s="1060"/>
      <c r="H157" s="1061">
        <v>-427</v>
      </c>
      <c r="I157" s="1060"/>
      <c r="J157" s="1060"/>
      <c r="K157" s="1060"/>
      <c r="L157" s="1060"/>
      <c r="M157" s="1061">
        <v>-97</v>
      </c>
      <c r="N157" s="1060"/>
      <c r="O157" s="1060"/>
      <c r="P157" s="1060"/>
      <c r="Q157" s="1060"/>
      <c r="R157" s="1062">
        <v>0</v>
      </c>
      <c r="S157" s="1060"/>
      <c r="T157" s="1060"/>
      <c r="U157" s="1060"/>
      <c r="V157" s="1060"/>
      <c r="W157" s="1062">
        <v>0</v>
      </c>
      <c r="X157" s="1060">
        <v>-8</v>
      </c>
      <c r="Y157" s="1060">
        <f>-20-X157</f>
        <v>-12</v>
      </c>
      <c r="Z157" s="1060">
        <f>-37-X157-Y157</f>
        <v>-17</v>
      </c>
      <c r="AA157" s="1060">
        <f>0-X157-Y157-Z157</f>
        <v>37</v>
      </c>
      <c r="AB157" s="1062">
        <f>SUM(X157:AA157)</f>
        <v>0</v>
      </c>
      <c r="AC157" s="1060">
        <v>0</v>
      </c>
      <c r="AD157" s="1060">
        <f>0-AC157</f>
        <v>0</v>
      </c>
      <c r="AE157" s="1060">
        <f>0-SUM(AC157:AD157)</f>
        <v>0</v>
      </c>
      <c r="AF157" s="1060">
        <f>0-SUM(AC157:AE157)</f>
        <v>0</v>
      </c>
      <c r="AG157" s="1062">
        <f>SUM(AC157:AF157)</f>
        <v>0</v>
      </c>
      <c r="AH157" s="1060">
        <v>0</v>
      </c>
      <c r="AI157" s="1060">
        <f>0-AH157</f>
        <v>0</v>
      </c>
      <c r="AJ157" s="1060">
        <f>0-SUM(AH157:AI157)</f>
        <v>0</v>
      </c>
      <c r="AK157" s="1060">
        <f>0-SUM(AH157:AJ157)</f>
        <v>0</v>
      </c>
      <c r="AL157" s="1062">
        <f>SUM(AH157:AK157)</f>
        <v>0</v>
      </c>
      <c r="AM157" s="1060">
        <v>0</v>
      </c>
      <c r="AN157" s="1060">
        <f>0-AM157</f>
        <v>0</v>
      </c>
      <c r="AO157" s="1060">
        <f>0-SUM(AM157:AN157)</f>
        <v>0</v>
      </c>
      <c r="AP157" s="1060">
        <f>0-SUM(AM157:AO157)</f>
        <v>0</v>
      </c>
      <c r="AQ157" s="1062">
        <f>SUM(AM157:AP157)</f>
        <v>0</v>
      </c>
      <c r="AR157" s="1060">
        <v>0</v>
      </c>
      <c r="AS157" s="1060">
        <f>0-AR157</f>
        <v>0</v>
      </c>
      <c r="AT157" s="1060">
        <f>0-SUM(AR157:AS157)</f>
        <v>0</v>
      </c>
      <c r="AU157" s="913"/>
      <c r="AV157" s="556"/>
      <c r="AW157" s="556"/>
      <c r="AX157" s="556"/>
      <c r="AY157" s="556"/>
      <c r="AZ157" s="1063">
        <v>0</v>
      </c>
      <c r="BA157" s="1060">
        <v>0</v>
      </c>
      <c r="BB157" s="1060">
        <f>0-BA157</f>
        <v>0</v>
      </c>
      <c r="BC157" s="1060">
        <f>0-SUM(BA157:BB157)</f>
        <v>0</v>
      </c>
      <c r="BD157" s="1060">
        <f>0-SUM(BA157:BC157)</f>
        <v>0</v>
      </c>
      <c r="BE157" s="1062">
        <f>SUM(BA157:BD157)</f>
        <v>0</v>
      </c>
      <c r="BF157" s="1060">
        <v>46</v>
      </c>
      <c r="BG157" s="1060">
        <f>73-BF157</f>
        <v>27</v>
      </c>
      <c r="BH157" s="1060">
        <f>31-SUM(BF157:BG157)</f>
        <v>-42</v>
      </c>
      <c r="BI157" s="1060">
        <f>-408-SUM(BF157:BH157)</f>
        <v>-439</v>
      </c>
      <c r="BJ157" s="1062">
        <f>SUM(BF157:BI157)</f>
        <v>-408</v>
      </c>
      <c r="BK157" s="1060">
        <v>45</v>
      </c>
      <c r="BL157" s="1060">
        <f>77-BK157</f>
        <v>32</v>
      </c>
      <c r="BM157" s="1060">
        <f>53-SUM(BK157:BL157)</f>
        <v>-24</v>
      </c>
      <c r="BN157" s="1060">
        <f>45-SUM(BK157:BM157)</f>
        <v>-8</v>
      </c>
      <c r="BO157" s="1062">
        <f>SUM(BK157:BN157)</f>
        <v>45</v>
      </c>
      <c r="BP157" s="1060">
        <v>-8</v>
      </c>
      <c r="BQ157" s="1060">
        <f>-49-BP157</f>
        <v>-41</v>
      </c>
      <c r="BR157" s="1060">
        <f>-28-SUM(BP157:BQ157)</f>
        <v>21</v>
      </c>
      <c r="BS157" s="1060">
        <f>-23-SUM(BP157:BR157)</f>
        <v>5</v>
      </c>
      <c r="BT157" s="1062">
        <f>SUM(BP157:BS157)</f>
        <v>-23</v>
      </c>
      <c r="BU157" s="1060">
        <v>17</v>
      </c>
      <c r="BV157" s="1060">
        <f>9-BU157</f>
        <v>-8</v>
      </c>
      <c r="BW157" s="1060">
        <f>3-SUM(BU157:BV157)</f>
        <v>-6</v>
      </c>
      <c r="BX157" s="1060">
        <f>25-SUM(BU157:BW157)</f>
        <v>22</v>
      </c>
      <c r="BY157" s="1062">
        <f>SUM(BU157:BX157)</f>
        <v>25</v>
      </c>
      <c r="BZ157" s="1060">
        <v>0</v>
      </c>
      <c r="CA157" s="1060">
        <f>2-BZ157</f>
        <v>2</v>
      </c>
      <c r="CB157" s="1060">
        <f>36-SUM(BZ157:CA157)</f>
        <v>34</v>
      </c>
      <c r="CC157" s="1060">
        <f>24-SUM(BZ157:CB157)</f>
        <v>-12</v>
      </c>
      <c r="CD157" s="1062">
        <f>SUM(BZ157:CC157)</f>
        <v>24</v>
      </c>
      <c r="CE157" s="1060">
        <v>56</v>
      </c>
      <c r="CF157" s="1060">
        <f>28-CE157</f>
        <v>-28</v>
      </c>
      <c r="CG157" s="1060">
        <f>31-SUM(CE157:CF157)</f>
        <v>3</v>
      </c>
      <c r="CH157" s="1060">
        <f>40-SUM(CE157:CG157)</f>
        <v>9</v>
      </c>
      <c r="CI157" s="1062">
        <f>SUM(CE157:CH157)</f>
        <v>40</v>
      </c>
      <c r="CJ157" s="1060">
        <v>2</v>
      </c>
      <c r="CK157" s="1060">
        <f>5-CJ157</f>
        <v>3</v>
      </c>
      <c r="CL157" s="1060">
        <f>-2-SUM(CJ157:CK157)</f>
        <v>-7</v>
      </c>
      <c r="CM157" s="1060">
        <f>0-SUM(CJ157:CL157)</f>
        <v>2</v>
      </c>
      <c r="CN157" s="1062">
        <f>SUM(CJ157:CM157)</f>
        <v>0</v>
      </c>
      <c r="CO157" s="1060">
        <v>-13</v>
      </c>
      <c r="CP157" s="1060">
        <f>-19-CO157</f>
        <v>-6</v>
      </c>
      <c r="CQ157" s="1060">
        <f>-41-SUM(CP157,CO157)</f>
        <v>-22</v>
      </c>
      <c r="CR157" s="1060">
        <f>-47-SUM(CO157:CQ157)</f>
        <v>-6</v>
      </c>
      <c r="CS157" s="1062">
        <f>SUM(CO157:CR157)</f>
        <v>-47</v>
      </c>
      <c r="CT157" s="1060">
        <v>-19</v>
      </c>
      <c r="CU157" s="1060">
        <f>-22-CT157</f>
        <v>-3</v>
      </c>
      <c r="CV157" s="1060">
        <f>-19-CT157-CU157</f>
        <v>3</v>
      </c>
      <c r="CW157" s="1064">
        <f>-35-SUM(CT157:CV157)</f>
        <v>-16</v>
      </c>
      <c r="CX157" s="1062">
        <f>SUM(CT157:CW157)</f>
        <v>-35</v>
      </c>
      <c r="CY157" s="1060">
        <v>-5</v>
      </c>
      <c r="CZ157" s="1060">
        <f>-7-CY157</f>
        <v>-2</v>
      </c>
      <c r="DA157" s="1060">
        <f>-5-CZ157-CY157</f>
        <v>2</v>
      </c>
      <c r="DB157" s="1065">
        <f>-15-SUM(CY157:DA157)</f>
        <v>-10</v>
      </c>
      <c r="DC157" s="1052">
        <f>SUM(CY157:DB157)</f>
        <v>-15</v>
      </c>
      <c r="DD157" s="1050">
        <v>-14</v>
      </c>
      <c r="DE157" s="1050">
        <f>-12-DD157</f>
        <v>2</v>
      </c>
      <c r="DF157" s="1050">
        <f>-16-SUM(DD157:DE157)</f>
        <v>-4</v>
      </c>
      <c r="DG157" s="1066">
        <f>-23-SUM(DD157:DF157)</f>
        <v>-7</v>
      </c>
      <c r="DH157" s="1052">
        <f>SUM(DD157:DG157)</f>
        <v>-23</v>
      </c>
      <c r="DI157" s="1050">
        <v>-4</v>
      </c>
      <c r="DJ157" s="1050">
        <f>-8-DI157</f>
        <v>-4</v>
      </c>
      <c r="DK157" s="1050">
        <f>-18-DJ157-DI157</f>
        <v>-10</v>
      </c>
      <c r="DL157" s="1066">
        <f>-21-DK157-DJ157-DI157</f>
        <v>-3</v>
      </c>
      <c r="DM157" s="1052">
        <f>SUM(DI157:DL157)</f>
        <v>-21</v>
      </c>
      <c r="DN157" s="1050">
        <v>-3</v>
      </c>
      <c r="DO157" s="1050">
        <f>0-DN157</f>
        <v>3</v>
      </c>
      <c r="DP157" s="1050">
        <f>1-DO157-DN157</f>
        <v>1</v>
      </c>
      <c r="DQ157" s="1066">
        <f>-6-DP157-DO157-DN157</f>
        <v>-7</v>
      </c>
      <c r="DR157" s="1052">
        <f>SUM(DN157:DQ157)</f>
        <v>-6</v>
      </c>
      <c r="DS157" s="1050">
        <v>2</v>
      </c>
      <c r="DT157" s="1050">
        <f>-2-DS157</f>
        <v>-4</v>
      </c>
      <c r="DU157" s="1050">
        <f>-3-DT157-DS157</f>
        <v>-1</v>
      </c>
      <c r="DV157" s="1066">
        <f>-5-DU157-DT157-DS157</f>
        <v>-2</v>
      </c>
      <c r="DW157" s="1052">
        <f>SUM(DS157:DV157)</f>
        <v>-5</v>
      </c>
      <c r="DX157" s="1055">
        <f>-('BS &amp; CF'!DX15-'BS &amp; CF'!DW15)</f>
        <v>0</v>
      </c>
      <c r="DY157" s="1055">
        <f>-('BS &amp; CF'!DY15-'BS &amp; CF'!DX15)</f>
        <v>0</v>
      </c>
      <c r="DZ157" s="1055">
        <f>-('BS &amp; CF'!DZ15-'BS &amp; CF'!DY15)</f>
        <v>0</v>
      </c>
      <c r="EA157" s="1055">
        <f>-('BS &amp; CF'!EA15-'BS &amp; CF'!DZ15)</f>
        <v>0</v>
      </c>
      <c r="EB157" s="1052">
        <f>SUM(DX157:EA157)</f>
        <v>0</v>
      </c>
      <c r="EC157" s="1055">
        <f>-('BS &amp; CF'!EC15-'BS &amp; CF'!EB15)</f>
        <v>0</v>
      </c>
      <c r="ED157" s="1055">
        <f>-('BS &amp; CF'!ED15-'BS &amp; CF'!EC15)</f>
        <v>0</v>
      </c>
      <c r="EE157" s="1055">
        <f>-('BS &amp; CF'!EE15-'BS &amp; CF'!ED15)</f>
        <v>0</v>
      </c>
      <c r="EF157" s="1055">
        <f>-('BS &amp; CF'!EF15-'BS &amp; CF'!EE15)</f>
        <v>0</v>
      </c>
      <c r="EG157" s="1052">
        <f>SUM(EC157:EF157)</f>
        <v>0</v>
      </c>
      <c r="EH157" s="1055">
        <f>-('BS &amp; CF'!EH15-'BS &amp; CF'!EG15)</f>
        <v>0</v>
      </c>
      <c r="EI157" s="1055">
        <f>-('BS &amp; CF'!EI15-'BS &amp; CF'!EH15)</f>
        <v>0</v>
      </c>
      <c r="EJ157" s="1055">
        <f>-('BS &amp; CF'!EJ15-'BS &amp; CF'!EI15)</f>
        <v>0</v>
      </c>
      <c r="EK157" s="1055">
        <f>-('BS &amp; CF'!EK15-'BS &amp; CF'!EJ15)</f>
        <v>0</v>
      </c>
      <c r="EL157" s="1052">
        <f>SUM(EH157:EK157)</f>
        <v>0</v>
      </c>
      <c r="EM157" s="901"/>
      <c r="EN157"/>
      <c r="EO157"/>
      <c r="EP157"/>
      <c r="EQ157"/>
      <c r="ER157"/>
      <c r="ES157"/>
      <c r="ET157" s="1495"/>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c r="FU157" s="154"/>
      <c r="FV157" s="154"/>
      <c r="FW157" s="154"/>
      <c r="FX157" s="154"/>
      <c r="FY157" s="154"/>
      <c r="FZ157" s="154"/>
      <c r="GA157" s="154"/>
      <c r="GB157" s="154"/>
      <c r="GC157" s="154"/>
      <c r="GD157" s="154"/>
      <c r="GE157" s="154"/>
      <c r="GF157" s="154"/>
      <c r="GG157" s="154"/>
      <c r="GH157" s="154"/>
      <c r="GI157" s="154"/>
      <c r="GJ157" s="154"/>
      <c r="GK157" s="154"/>
      <c r="GL157" s="154"/>
      <c r="GM157" s="154"/>
      <c r="GN157" s="154"/>
      <c r="GO157" s="154"/>
      <c r="GP157" s="154"/>
      <c r="GQ157" s="154"/>
      <c r="GR157" s="154"/>
      <c r="GS157" s="154"/>
      <c r="GT157" s="154"/>
      <c r="GU157" s="154"/>
      <c r="GV157" s="154"/>
      <c r="GW157" s="154"/>
      <c r="GX157" s="154"/>
      <c r="GY157" s="154"/>
      <c r="GZ157" s="154"/>
      <c r="HA157" s="154"/>
      <c r="HB157" s="154"/>
      <c r="HC157" s="154"/>
      <c r="HD157" s="154"/>
      <c r="HE157" s="154"/>
      <c r="HF157" s="154"/>
      <c r="HG157" s="154"/>
      <c r="HH157" s="154"/>
      <c r="HI157" s="154"/>
      <c r="HJ157" s="154"/>
      <c r="HK157" s="154"/>
      <c r="HL157" s="154"/>
      <c r="HM157" s="154"/>
      <c r="HN157" s="154"/>
      <c r="HO157" s="154"/>
      <c r="HP157" s="154"/>
      <c r="HQ157" s="154"/>
      <c r="HR157" s="154"/>
      <c r="HS157" s="154"/>
      <c r="HT157" s="154"/>
      <c r="HU157" s="154"/>
      <c r="HV157" s="154"/>
      <c r="HW157" s="154"/>
      <c r="HX157" s="154"/>
      <c r="HY157" s="154"/>
      <c r="HZ157" s="154"/>
      <c r="IA157" s="154"/>
      <c r="IB157" s="154"/>
      <c r="IC157" s="154"/>
      <c r="ID157" s="154"/>
      <c r="IE157" s="154"/>
      <c r="IF157" s="154"/>
      <c r="IG157" s="154"/>
      <c r="IH157" s="154"/>
      <c r="II157" s="154"/>
      <c r="IJ157" s="154"/>
      <c r="IK157" s="154"/>
      <c r="IL157" s="154"/>
      <c r="IM157" s="154"/>
      <c r="IN157" s="154"/>
      <c r="IO157" s="154"/>
      <c r="IP157" s="154"/>
      <c r="IQ157" s="154"/>
      <c r="IR157" s="154"/>
      <c r="IS157" s="154"/>
      <c r="IT157" s="154"/>
      <c r="IU157" s="154"/>
      <c r="IV157" s="154"/>
      <c r="IW157" s="154"/>
      <c r="IX157" s="154"/>
      <c r="IY157" s="154"/>
      <c r="IZ157" s="154"/>
      <c r="JA157" s="154"/>
      <c r="JB157" s="154"/>
      <c r="JC157" s="154"/>
      <c r="JD157" s="154"/>
      <c r="JE157" s="154"/>
      <c r="JF157" s="154"/>
      <c r="JG157" s="154"/>
      <c r="JH157" s="154"/>
    </row>
    <row r="158" spans="1:268" s="4" customFormat="1" collapsed="1">
      <c r="A158" s="803"/>
      <c r="B158" s="804" t="s">
        <v>62</v>
      </c>
      <c r="C158" s="1067"/>
      <c r="D158" s="1067">
        <v>-377.21100000000001</v>
      </c>
      <c r="E158" s="1067">
        <f>-320.5-D158</f>
        <v>56.711000000000013</v>
      </c>
      <c r="F158" s="1067">
        <f>-240.6-SUM(D158:E158)</f>
        <v>79.900000000000006</v>
      </c>
      <c r="G158" s="1068">
        <f>H158-D158-E158-F158</f>
        <v>233.6</v>
      </c>
      <c r="H158" s="1043">
        <f>SUM(H136,H138:H148,H155,H156,H157)</f>
        <v>-7</v>
      </c>
      <c r="I158" s="1067">
        <v>60.8</v>
      </c>
      <c r="J158" s="1067">
        <f>11.1-I158</f>
        <v>-49.699999999999996</v>
      </c>
      <c r="K158" s="1067">
        <f>79.3-J158-I158</f>
        <v>68.2</v>
      </c>
      <c r="L158" s="1068">
        <f>M158-I158-J158-K158</f>
        <v>115.69999999999997</v>
      </c>
      <c r="M158" s="1043">
        <f>SUM(M136,M138:M148,M155,M156,M157)</f>
        <v>195</v>
      </c>
      <c r="N158" s="1067">
        <v>39.299999999999997</v>
      </c>
      <c r="O158" s="1067">
        <f>-14.2-N158</f>
        <v>-53.5</v>
      </c>
      <c r="P158" s="1067">
        <f>254.9-O158-N158</f>
        <v>269.09999999999997</v>
      </c>
      <c r="Q158" s="1068">
        <f>R158-N158-O158-P158</f>
        <v>149.10000000000002</v>
      </c>
      <c r="R158" s="1043">
        <f>SUM(R136,R138:R148,R155,R156,R157)</f>
        <v>404</v>
      </c>
      <c r="S158" s="1067">
        <v>1</v>
      </c>
      <c r="T158" s="1067">
        <f>12-S158</f>
        <v>11</v>
      </c>
      <c r="U158" s="1067">
        <f>137-T158-S158</f>
        <v>125</v>
      </c>
      <c r="V158" s="1068">
        <f>W158-S158-T158-U158</f>
        <v>266</v>
      </c>
      <c r="W158" s="1043">
        <f t="shared" ref="W158:AT158" si="367">SUM(W136,W138:W148,W155,W156,W157)</f>
        <v>403</v>
      </c>
      <c r="X158" s="1068">
        <f t="shared" si="367"/>
        <v>41</v>
      </c>
      <c r="Y158" s="1068">
        <f t="shared" si="367"/>
        <v>256</v>
      </c>
      <c r="Z158" s="1068">
        <f t="shared" si="367"/>
        <v>18</v>
      </c>
      <c r="AA158" s="1068">
        <f t="shared" si="367"/>
        <v>267</v>
      </c>
      <c r="AB158" s="1043">
        <f t="shared" si="367"/>
        <v>582</v>
      </c>
      <c r="AC158" s="1068">
        <f t="shared" si="367"/>
        <v>12</v>
      </c>
      <c r="AD158" s="1068">
        <f t="shared" si="367"/>
        <v>313</v>
      </c>
      <c r="AE158" s="1068">
        <f t="shared" si="367"/>
        <v>-3</v>
      </c>
      <c r="AF158" s="1068">
        <f t="shared" si="367"/>
        <v>547</v>
      </c>
      <c r="AG158" s="1043">
        <f t="shared" si="367"/>
        <v>869</v>
      </c>
      <c r="AH158" s="1068">
        <f t="shared" si="367"/>
        <v>271</v>
      </c>
      <c r="AI158" s="1068">
        <f t="shared" si="367"/>
        <v>454</v>
      </c>
      <c r="AJ158" s="1068">
        <f t="shared" si="367"/>
        <v>213</v>
      </c>
      <c r="AK158" s="1068">
        <f t="shared" si="367"/>
        <v>880</v>
      </c>
      <c r="AL158" s="1043">
        <f t="shared" si="367"/>
        <v>1818</v>
      </c>
      <c r="AM158" s="1068">
        <f t="shared" si="367"/>
        <v>487</v>
      </c>
      <c r="AN158" s="1068">
        <f t="shared" si="367"/>
        <v>531</v>
      </c>
      <c r="AO158" s="1068">
        <f t="shared" si="367"/>
        <v>475</v>
      </c>
      <c r="AP158" s="1068">
        <f t="shared" si="367"/>
        <v>822</v>
      </c>
      <c r="AQ158" s="1043">
        <f t="shared" si="367"/>
        <v>2315</v>
      </c>
      <c r="AR158" s="1068">
        <f t="shared" si="367"/>
        <v>696</v>
      </c>
      <c r="AS158" s="1068">
        <f t="shared" si="367"/>
        <v>246</v>
      </c>
      <c r="AT158" s="1068">
        <f t="shared" si="367"/>
        <v>327</v>
      </c>
      <c r="AU158" s="1069"/>
      <c r="AV158" s="925"/>
      <c r="AW158" s="925"/>
      <c r="AX158" s="925"/>
      <c r="AY158" s="925"/>
      <c r="AZ158" s="924">
        <f t="shared" ref="AZ158:CE158" si="368">SUM(AZ136,AZ138:AZ148,AZ155,AZ156,AZ157)</f>
        <v>1126</v>
      </c>
      <c r="BA158" s="1068">
        <f t="shared" si="368"/>
        <v>224</v>
      </c>
      <c r="BB158" s="1068">
        <f t="shared" si="368"/>
        <v>359</v>
      </c>
      <c r="BC158" s="1068">
        <f t="shared" si="368"/>
        <v>137</v>
      </c>
      <c r="BD158" s="1068">
        <f t="shared" si="368"/>
        <v>118</v>
      </c>
      <c r="BE158" s="1043">
        <f t="shared" si="368"/>
        <v>838</v>
      </c>
      <c r="BF158" s="1068">
        <f t="shared" si="368"/>
        <v>-59</v>
      </c>
      <c r="BG158" s="1068">
        <f t="shared" si="368"/>
        <v>144</v>
      </c>
      <c r="BH158" s="1068">
        <f t="shared" si="368"/>
        <v>123</v>
      </c>
      <c r="BI158" s="1068">
        <f t="shared" si="368"/>
        <v>-290</v>
      </c>
      <c r="BJ158" s="1043">
        <f t="shared" si="368"/>
        <v>-82</v>
      </c>
      <c r="BK158" s="1068">
        <f t="shared" si="368"/>
        <v>516</v>
      </c>
      <c r="BL158" s="1068">
        <f t="shared" si="368"/>
        <v>184</v>
      </c>
      <c r="BM158" s="1068">
        <f t="shared" si="368"/>
        <v>-15</v>
      </c>
      <c r="BN158" s="1068">
        <f t="shared" si="368"/>
        <v>78</v>
      </c>
      <c r="BO158" s="1043">
        <f t="shared" si="368"/>
        <v>763</v>
      </c>
      <c r="BP158" s="1068">
        <f t="shared" si="368"/>
        <v>-321</v>
      </c>
      <c r="BQ158" s="1068">
        <f t="shared" si="368"/>
        <v>-320</v>
      </c>
      <c r="BR158" s="1068">
        <f t="shared" si="368"/>
        <v>200</v>
      </c>
      <c r="BS158" s="1068">
        <f t="shared" si="368"/>
        <v>-21</v>
      </c>
      <c r="BT158" s="1043">
        <f t="shared" si="368"/>
        <v>-462</v>
      </c>
      <c r="BU158" s="1068">
        <f t="shared" si="368"/>
        <v>-154</v>
      </c>
      <c r="BV158" s="1068">
        <f t="shared" si="368"/>
        <v>285</v>
      </c>
      <c r="BW158" s="1068">
        <f t="shared" si="368"/>
        <v>83</v>
      </c>
      <c r="BX158" s="1068">
        <f t="shared" si="368"/>
        <v>112</v>
      </c>
      <c r="BY158" s="1043">
        <f t="shared" si="368"/>
        <v>326</v>
      </c>
      <c r="BZ158" s="1068">
        <f t="shared" si="368"/>
        <v>-133</v>
      </c>
      <c r="CA158" s="1068">
        <f t="shared" si="368"/>
        <v>123</v>
      </c>
      <c r="CB158" s="1068">
        <f t="shared" si="368"/>
        <v>151</v>
      </c>
      <c r="CC158" s="1068">
        <f t="shared" si="368"/>
        <v>67</v>
      </c>
      <c r="CD158" s="1043">
        <f t="shared" si="368"/>
        <v>208</v>
      </c>
      <c r="CE158" s="1068">
        <f t="shared" si="368"/>
        <v>-6</v>
      </c>
      <c r="CF158" s="1068">
        <f t="shared" ref="CF158:DH158" si="369">SUM(CF136,CF138:CF148,CF155,CF156,CF157)</f>
        <v>170</v>
      </c>
      <c r="CG158" s="1068">
        <f t="shared" si="369"/>
        <v>120</v>
      </c>
      <c r="CH158" s="1068">
        <f t="shared" si="369"/>
        <v>141</v>
      </c>
      <c r="CI158" s="1043">
        <f t="shared" si="369"/>
        <v>425</v>
      </c>
      <c r="CJ158" s="1068">
        <f t="shared" si="369"/>
        <v>-22</v>
      </c>
      <c r="CK158" s="1068">
        <f t="shared" si="369"/>
        <v>191</v>
      </c>
      <c r="CL158" s="1068">
        <f t="shared" si="369"/>
        <v>128</v>
      </c>
      <c r="CM158" s="1068">
        <f t="shared" si="369"/>
        <v>175</v>
      </c>
      <c r="CN158" s="1043">
        <f t="shared" si="369"/>
        <v>472</v>
      </c>
      <c r="CO158" s="1068">
        <f t="shared" si="369"/>
        <v>-2</v>
      </c>
      <c r="CP158" s="1068">
        <f t="shared" si="369"/>
        <v>178</v>
      </c>
      <c r="CQ158" s="1068">
        <f t="shared" si="369"/>
        <v>148</v>
      </c>
      <c r="CR158" s="1068">
        <f t="shared" si="369"/>
        <v>173</v>
      </c>
      <c r="CS158" s="1043">
        <f t="shared" si="369"/>
        <v>497</v>
      </c>
      <c r="CT158" s="1068">
        <f t="shared" si="369"/>
        <v>-42</v>
      </c>
      <c r="CU158" s="1068">
        <f t="shared" si="369"/>
        <v>243</v>
      </c>
      <c r="CV158" s="1068">
        <f t="shared" si="369"/>
        <v>136</v>
      </c>
      <c r="CW158" s="1068">
        <f t="shared" si="369"/>
        <v>256</v>
      </c>
      <c r="CX158" s="1043">
        <f t="shared" si="369"/>
        <v>593</v>
      </c>
      <c r="CY158" s="1068">
        <f t="shared" si="369"/>
        <v>-32</v>
      </c>
      <c r="CZ158" s="1068">
        <f t="shared" si="369"/>
        <v>160</v>
      </c>
      <c r="DA158" s="1068">
        <f t="shared" si="369"/>
        <v>206</v>
      </c>
      <c r="DB158" s="1068">
        <f t="shared" si="369"/>
        <v>255</v>
      </c>
      <c r="DC158" s="1070">
        <f t="shared" si="369"/>
        <v>589</v>
      </c>
      <c r="DD158" s="1071">
        <f t="shared" si="369"/>
        <v>-19</v>
      </c>
      <c r="DE158" s="1071">
        <f t="shared" si="369"/>
        <v>266</v>
      </c>
      <c r="DF158" s="1071">
        <f t="shared" si="369"/>
        <v>221</v>
      </c>
      <c r="DG158" s="1071">
        <f t="shared" si="369"/>
        <v>219</v>
      </c>
      <c r="DH158" s="1070">
        <f t="shared" si="369"/>
        <v>687</v>
      </c>
      <c r="DI158" s="1071">
        <f t="shared" ref="DI158:DW158" si="370">SUM(DI136,DI138:DI148,DI155,DI156,DI157)</f>
        <v>-57</v>
      </c>
      <c r="DJ158" s="1071">
        <f t="shared" si="370"/>
        <v>410</v>
      </c>
      <c r="DK158" s="1071">
        <f t="shared" si="370"/>
        <v>482</v>
      </c>
      <c r="DL158" s="1071">
        <f t="shared" si="370"/>
        <v>191</v>
      </c>
      <c r="DM158" s="1070">
        <f t="shared" si="370"/>
        <v>1026</v>
      </c>
      <c r="DN158" s="1071">
        <f t="shared" si="370"/>
        <v>147</v>
      </c>
      <c r="DO158" s="1071">
        <f t="shared" si="370"/>
        <v>435</v>
      </c>
      <c r="DP158" s="1071">
        <f t="shared" si="370"/>
        <v>269</v>
      </c>
      <c r="DQ158" s="1071">
        <f t="shared" si="370"/>
        <v>-293</v>
      </c>
      <c r="DR158" s="1070">
        <f t="shared" si="370"/>
        <v>558</v>
      </c>
      <c r="DS158" s="1071">
        <f t="shared" si="370"/>
        <v>186</v>
      </c>
      <c r="DT158" s="1071">
        <f t="shared" si="370"/>
        <v>215</v>
      </c>
      <c r="DU158" s="1071">
        <f t="shared" si="370"/>
        <v>308</v>
      </c>
      <c r="DV158" s="1071">
        <f t="shared" si="370"/>
        <v>491</v>
      </c>
      <c r="DW158" s="1070">
        <f t="shared" si="370"/>
        <v>1200</v>
      </c>
      <c r="DX158" s="1071">
        <f t="shared" ref="DX158:EG158" si="371">SUM(DX136,DX138:DX148,DX155,DX156,DX157)</f>
        <v>414.88902621087556</v>
      </c>
      <c r="DY158" s="1071">
        <f t="shared" si="371"/>
        <v>372.14250931334198</v>
      </c>
      <c r="DZ158" s="1071">
        <f t="shared" si="371"/>
        <v>331.21563725564999</v>
      </c>
      <c r="EA158" s="1071">
        <f t="shared" si="371"/>
        <v>303.99317317246164</v>
      </c>
      <c r="EB158" s="1070">
        <f t="shared" si="371"/>
        <v>1422.2403459523289</v>
      </c>
      <c r="EC158" s="1071">
        <f t="shared" si="371"/>
        <v>56.248820687435227</v>
      </c>
      <c r="ED158" s="1071">
        <f t="shared" si="371"/>
        <v>392.44660471454154</v>
      </c>
      <c r="EE158" s="1071">
        <f t="shared" si="371"/>
        <v>414.99037481094376</v>
      </c>
      <c r="EF158" s="1071">
        <f t="shared" si="371"/>
        <v>279.52060835602458</v>
      </c>
      <c r="EG158" s="1070">
        <f t="shared" si="371"/>
        <v>1143.2064085689458</v>
      </c>
      <c r="EH158" s="1071">
        <f t="shared" ref="EH158:EL158" si="372">SUM(EH136,EH138:EH148,EH155,EH156,EH157)</f>
        <v>396.44814820131722</v>
      </c>
      <c r="EI158" s="1071">
        <f t="shared" si="372"/>
        <v>399.89116530049068</v>
      </c>
      <c r="EJ158" s="1071">
        <f t="shared" si="372"/>
        <v>500.87592423253307</v>
      </c>
      <c r="EK158" s="1071">
        <f t="shared" si="372"/>
        <v>280.05727848665231</v>
      </c>
      <c r="EL158" s="1070">
        <f t="shared" si="372"/>
        <v>1577.2725162209936</v>
      </c>
      <c r="EM158" s="925"/>
      <c r="EN158"/>
      <c r="EO158"/>
      <c r="EP158"/>
      <c r="EQ158"/>
      <c r="ER158"/>
      <c r="ES158"/>
      <c r="ET158" s="135"/>
      <c r="EU158" s="135"/>
      <c r="EV158" s="135"/>
      <c r="EW158" s="135"/>
      <c r="EX158" s="135"/>
      <c r="EY158" s="135"/>
      <c r="EZ158" s="135"/>
      <c r="FA158" s="135"/>
      <c r="FB158" s="135"/>
      <c r="FC158" s="135"/>
      <c r="FD158" s="135"/>
      <c r="FE158" s="135"/>
      <c r="FF158" s="135"/>
      <c r="FG158" s="135"/>
      <c r="FH158" s="135"/>
      <c r="FI158" s="135"/>
      <c r="FJ158" s="135"/>
      <c r="FK158" s="135"/>
      <c r="FL158" s="135"/>
      <c r="FM158" s="135"/>
      <c r="FN158" s="135"/>
      <c r="FO158" s="135"/>
      <c r="FP158" s="135"/>
      <c r="FQ158" s="135"/>
      <c r="FR158" s="135"/>
      <c r="FS158" s="135"/>
      <c r="FT158" s="135"/>
      <c r="FU158" s="135"/>
      <c r="FV158" s="135"/>
      <c r="FW158" s="135"/>
      <c r="FX158" s="135"/>
      <c r="FY158" s="135"/>
      <c r="FZ158" s="135"/>
      <c r="GA158" s="135"/>
      <c r="GB158" s="135"/>
      <c r="GC158" s="135"/>
      <c r="GD158" s="135"/>
      <c r="GE158" s="135"/>
      <c r="GF158" s="135"/>
      <c r="GG158" s="135"/>
      <c r="GH158" s="135"/>
      <c r="GI158" s="135"/>
      <c r="GJ158" s="135"/>
      <c r="GK158" s="135"/>
      <c r="GL158" s="135"/>
      <c r="GM158" s="135"/>
      <c r="GN158" s="135"/>
      <c r="GO158" s="135"/>
      <c r="GP158" s="135"/>
      <c r="GQ158" s="135"/>
      <c r="GR158" s="135"/>
      <c r="GS158" s="135"/>
      <c r="GT158" s="135"/>
      <c r="GU158" s="135"/>
      <c r="GV158" s="135"/>
      <c r="GW158" s="135"/>
      <c r="GX158" s="135"/>
      <c r="GY158" s="135"/>
      <c r="GZ158" s="135"/>
      <c r="HA158" s="135"/>
      <c r="HB158" s="135"/>
      <c r="HC158" s="135"/>
      <c r="HD158" s="135"/>
      <c r="HE158" s="135"/>
      <c r="HF158" s="135"/>
      <c r="HG158" s="135"/>
      <c r="HH158" s="135"/>
      <c r="HI158" s="135"/>
      <c r="HJ158" s="135"/>
      <c r="HK158" s="135"/>
      <c r="HL158" s="135"/>
      <c r="HM158" s="135"/>
      <c r="HN158" s="135"/>
      <c r="HO158" s="135"/>
      <c r="HP158" s="135"/>
      <c r="HQ158" s="135"/>
      <c r="HR158" s="135"/>
      <c r="HS158" s="135"/>
      <c r="HT158" s="135"/>
      <c r="HU158" s="135"/>
      <c r="HV158" s="135"/>
      <c r="HW158" s="135"/>
      <c r="HX158" s="135"/>
      <c r="HY158" s="135"/>
      <c r="HZ158" s="135"/>
      <c r="IA158" s="135"/>
      <c r="IB158" s="135"/>
      <c r="IC158" s="135"/>
      <c r="ID158" s="135"/>
      <c r="IE158" s="135"/>
      <c r="IF158" s="135"/>
      <c r="IG158" s="135"/>
      <c r="IH158" s="135"/>
      <c r="II158" s="135"/>
      <c r="IJ158" s="135"/>
      <c r="IK158" s="135"/>
      <c r="IL158" s="135"/>
      <c r="IM158" s="135"/>
      <c r="IN158" s="135"/>
      <c r="IO158" s="135"/>
      <c r="IP158" s="135"/>
      <c r="IQ158" s="135"/>
      <c r="IR158" s="135"/>
      <c r="IS158" s="135"/>
      <c r="IT158" s="135"/>
      <c r="IU158" s="135"/>
      <c r="IV158" s="135"/>
      <c r="IW158" s="135"/>
      <c r="IX158" s="135"/>
      <c r="IY158" s="135"/>
      <c r="IZ158" s="135"/>
      <c r="JA158" s="135"/>
      <c r="JB158" s="135"/>
      <c r="JC158" s="135"/>
      <c r="JD158" s="135"/>
      <c r="JE158" s="135"/>
      <c r="JF158" s="135"/>
      <c r="JG158" s="135"/>
      <c r="JH158" s="135"/>
    </row>
    <row r="159" spans="1:268" s="4" customFormat="1">
      <c r="A159" s="847"/>
      <c r="B159" s="848" t="s">
        <v>63</v>
      </c>
      <c r="C159" s="1072"/>
      <c r="D159" s="1072"/>
      <c r="E159" s="1072"/>
      <c r="F159" s="1072"/>
      <c r="G159" s="1072"/>
      <c r="H159" s="1073" t="str">
        <f>IF(OR(H158&lt;=0,IS!H25&lt;=0),"nm",H158/(H136+H138))</f>
        <v>nm</v>
      </c>
      <c r="I159" s="1072"/>
      <c r="J159" s="1072"/>
      <c r="K159" s="1072"/>
      <c r="L159" s="1072"/>
      <c r="M159" s="1073">
        <f>IF(OR(M158&lt;=0,IS!M25&lt;=0),"nm",M158/(M136+M138))</f>
        <v>0.29061102831594637</v>
      </c>
      <c r="N159" s="1072"/>
      <c r="O159" s="1072"/>
      <c r="P159" s="1072"/>
      <c r="Q159" s="1072"/>
      <c r="R159" s="1073">
        <f>IF(OR(R158&lt;=0,IS!R25&lt;=0),"nm",R158/(R136+R138))</f>
        <v>2.1375661375661377</v>
      </c>
      <c r="S159" s="1072"/>
      <c r="T159" s="1072"/>
      <c r="U159" s="1072"/>
      <c r="V159" s="1072"/>
      <c r="W159" s="1073">
        <f>IF(OR(W158&lt;=0,IS!W25&lt;=0),"nm",W158/(W136+W138))</f>
        <v>0.55894590846047154</v>
      </c>
      <c r="X159" s="1072"/>
      <c r="Y159" s="1072"/>
      <c r="Z159" s="1072"/>
      <c r="AA159" s="1072"/>
      <c r="AB159" s="1073">
        <f>IF(OR(AB158&lt;=0,IS!AB25&lt;=0),"nm",AB158/(AB136+AB138))</f>
        <v>0.72298136645962729</v>
      </c>
      <c r="AC159" s="1074">
        <f>IF(OR(AC158&lt;=0,IS!AC25&lt;=0),"nm",AC158/(AC136+AC138))</f>
        <v>4.9382716049382713E-2</v>
      </c>
      <c r="AD159" s="1074">
        <f>IF(OR(AD158&lt;=0,IS!AD25&lt;=0),"nm",AD158/(AD136+AD138))</f>
        <v>1.1722846441947565</v>
      </c>
      <c r="AE159" s="1074" t="str">
        <f>IF(OR(AE158&lt;=0,IS!AE25&lt;=0),"nm",AE158/(AE136+AE138))</f>
        <v>nm</v>
      </c>
      <c r="AF159" s="1074">
        <f>IF(OR(AF158&lt;=0,IS!AF25&lt;=0),"nm",AF158/(AF136+AF138))</f>
        <v>3.551948051948052</v>
      </c>
      <c r="AG159" s="1073">
        <f>IF(OR(AG158&lt;=0,IS!AG25&lt;=0),"nm",AG158/(AG136+AG138))</f>
        <v>1.0407185628742515</v>
      </c>
      <c r="AH159" s="1074">
        <f>IF(OR(AH158&lt;=0,IS!AH25&lt;=0),"nm",AH158/(AH136+AH138))</f>
        <v>0.93127147766323026</v>
      </c>
      <c r="AI159" s="1074">
        <f>IF(OR(AI158&lt;=0,IS!AI25&lt;=0),"nm",AI158/(AI136+AI138))</f>
        <v>1.459807073954984</v>
      </c>
      <c r="AJ159" s="1074">
        <f>IF(OR(AJ158&lt;=0,IS!AJ25&lt;=0),"nm",AJ158/(AJ136+AJ138))</f>
        <v>0.63204747774480707</v>
      </c>
      <c r="AK159" s="1074">
        <f>IF(OR(AK158&lt;=0,IS!AK25&lt;=0),"nm",AK158/(AK136+AK138))</f>
        <v>3.4108527131782944</v>
      </c>
      <c r="AL159" s="1073">
        <f>IF(OR(AL158&lt;=0,IS!AL25&lt;=0),"nm",AL158/(AL136+AL138))</f>
        <v>1.518796992481203</v>
      </c>
      <c r="AM159" s="1074">
        <f>IF(OR(AM158&lt;=0,IS!AM25&lt;=0),"nm",AM158/(AM136+AM138))</f>
        <v>1.6019736842105263</v>
      </c>
      <c r="AN159" s="1074">
        <f>IF(OR(AN158&lt;=0,IS!AN25&lt;=0),"nm",AN158/(AN136+AN138))</f>
        <v>2.2124999999999999</v>
      </c>
      <c r="AO159" s="1074">
        <f>IF(OR(AO158&lt;=0,IS!AO25&lt;=0),"nm",AO158/(AO136+AO138))</f>
        <v>1.0944700460829493</v>
      </c>
      <c r="AP159" s="1074">
        <f>IF(OR(AP158&lt;=0,IS!AP25&lt;=0),"nm",AP158/(AP136+AP138))</f>
        <v>2</v>
      </c>
      <c r="AQ159" s="1073">
        <f>IF(OR(AQ158&lt;=0,IS!AQ25&lt;=0),"nm",AQ158/(AQ136+AQ138))</f>
        <v>1.6666666666666667</v>
      </c>
      <c r="AR159" s="1074">
        <f>IF(OR(AR158&lt;=0,IS!S25&lt;=0),"nm",AR158/(AR136+AR138))</f>
        <v>1.4935622317596566</v>
      </c>
      <c r="AS159" s="1074">
        <f>IF(OR(AS158&lt;=0,IS!T25&lt;=0),"nm",AS158/(AS136+AS138))</f>
        <v>0.55280898876404494</v>
      </c>
      <c r="AT159" s="1074">
        <f>IF(OR(AT158&lt;=0,IS!U25&lt;=0),"nm",AT158/(AT136+AT138))</f>
        <v>4.2467532467532472</v>
      </c>
      <c r="AU159" s="1075"/>
      <c r="AV159" s="881"/>
      <c r="AW159" s="881"/>
      <c r="AX159" s="881"/>
      <c r="AY159" s="881"/>
      <c r="AZ159" s="885"/>
      <c r="BA159" s="1074">
        <f>IF(OR(BA158&lt;=0,IS!BA25&lt;=0),"nm",BA158/(BA136+BA138))</f>
        <v>2.1333333333333333</v>
      </c>
      <c r="BB159" s="1074" t="str">
        <f>IF(OR(BB158&lt;=0,IS!BB25&lt;=0),"nm",BB158/(BB136+BB138))</f>
        <v>nm</v>
      </c>
      <c r="BC159" s="1074" t="str">
        <f>IF(OR(BC158&lt;=0,IS!BC25&lt;=0),"nm",BC158/(BC136+BC138))</f>
        <v>nm</v>
      </c>
      <c r="BD159" s="1074" t="str">
        <f>IF(OR(BD158&lt;=0,IS!BD25&lt;=0),"nm",BD158/(BD136+BD138))</f>
        <v>nm</v>
      </c>
      <c r="BE159" s="1073" t="str">
        <f>IF(OR(BE158&lt;=0,IS!BE25&lt;=0),"nm",BE158/(BE136+BE138))</f>
        <v>nm</v>
      </c>
      <c r="BF159" s="1074" t="str">
        <f>IF(OR(BF158&lt;=0,IS!BF25&lt;=0),"nm",BF158/(BF136+BF138))</f>
        <v>nm</v>
      </c>
      <c r="BG159" s="1074" t="str">
        <f>IF(OR(BG158&lt;=0,IS!BG25&lt;=0),"nm",BG158/(BG136+BG138))</f>
        <v>nm</v>
      </c>
      <c r="BH159" s="1074">
        <f>IF(OR(BH158&lt;=0,IS!BH25&lt;=0),"nm",BH158/(BH136+BH138))</f>
        <v>4.3928571428571432</v>
      </c>
      <c r="BI159" s="1074" t="str">
        <f>IF(OR(BI158&lt;=0,IS!BI25&lt;=0),"nm",BI158/(BI136+BI138))</f>
        <v>nm</v>
      </c>
      <c r="BJ159" s="1073" t="str">
        <f>IF(OR(BJ158&lt;=0,IS!BJ25&lt;=0),"nm",BJ158/(BJ136+BJ138))</f>
        <v>nm</v>
      </c>
      <c r="BK159" s="1074">
        <f>IF(OR(BK158&lt;=0,IS!BK25&lt;=0),"nm",BK158/(BK136+BK138))</f>
        <v>5.6086956521739131</v>
      </c>
      <c r="BL159" s="1074">
        <f>IF(OR(BL158&lt;=0,IS!BL25&lt;=0),"nm",BL158/(BL136+BL138))</f>
        <v>3.1186440677966103</v>
      </c>
      <c r="BM159" s="1074" t="str">
        <f>IF(OR(BM158&lt;=0,IS!BM25&lt;=0),"nm",BM158/(BM136+BM138))</f>
        <v>nm</v>
      </c>
      <c r="BN159" s="1074" t="str">
        <f>IF(OR(BN158&lt;=0,IS!BN25&lt;=0),"nm",BN158/(BN136+BN138))</f>
        <v>nm</v>
      </c>
      <c r="BO159" s="1073">
        <f>IF(OR(BO158&lt;=0,IS!BO25&lt;=0),"nm",BO158/(BO136+BO138))</f>
        <v>-2.2309941520467835</v>
      </c>
      <c r="BP159" s="1074" t="str">
        <f>IF(OR(BP158&lt;=0,IS!BP25&lt;=0),"nm",BP158/(BP136+BP138))</f>
        <v>nm</v>
      </c>
      <c r="BQ159" s="1074" t="str">
        <f>IF(OR(BQ158&lt;=0,IS!BQ25&lt;=0),"nm",BQ158/(BQ136+BQ138))</f>
        <v>nm</v>
      </c>
      <c r="BR159" s="1074">
        <f>IF(OR(BR158&lt;=0,IS!BR25&lt;=0),"nm",BR158/(BR136+BR138))</f>
        <v>-33.333333333333336</v>
      </c>
      <c r="BS159" s="1074" t="str">
        <f>IF(OR(BS158&lt;=0,IS!BS25&lt;=0),"nm",BS158/(BS136+BS138))</f>
        <v>nm</v>
      </c>
      <c r="BT159" s="1073" t="str">
        <f>IF(OR(BT158&lt;=0,IS!BT25&lt;=0),"nm",BT158/(BT136+BT138))</f>
        <v>nm</v>
      </c>
      <c r="BU159" s="1074" t="str">
        <f>IF(OR(BU158&lt;=0,IS!BU25&lt;=0),"nm",BU158/(BU136+BU138))</f>
        <v>nm</v>
      </c>
      <c r="BV159" s="1074">
        <f>IF(OR(BV158&lt;=0,IS!BV25&lt;=0),"nm",BV158/(BV136+BV138))</f>
        <v>4.8305084745762707</v>
      </c>
      <c r="BW159" s="1074">
        <f>IF(OR(BW158&lt;=0,IS!BW25&lt;=0),"nm",BW158/(BW136+BW138))</f>
        <v>2.59375</v>
      </c>
      <c r="BX159" s="1074">
        <f>IF(OR(BX158&lt;=0,IS!BX25&lt;=0),"nm",BX158/(BX136+BX138))</f>
        <v>6.2222222222222223</v>
      </c>
      <c r="BY159" s="1073">
        <f>IF(OR(BY158&lt;=0,IS!BY25&lt;=0),"nm",BY158/(BY136+BY138))</f>
        <v>1.1941391941391941</v>
      </c>
      <c r="BZ159" s="1074" t="str">
        <f>IF(OR(BZ158&lt;=0,IS!BZ25&lt;=0),"nm",BZ158/(BZ136+BZ138))</f>
        <v>nm</v>
      </c>
      <c r="CA159" s="1074">
        <f>IF(OR(CA158&lt;=0,IS!CA25&lt;=0),"nm",CA158/(CA136+CA138))</f>
        <v>1.5974025974025974</v>
      </c>
      <c r="CB159" s="1074">
        <f>IF(OR(CB158&lt;=0,IS!CB25&lt;=0),"nm",CB158/(CB136+CB138))</f>
        <v>0.77835051546391754</v>
      </c>
      <c r="CC159" s="1074">
        <f>IF(OR(CC158&lt;=0,IS!CC25&lt;=0),"nm",CC158/(CC136+CC138))</f>
        <v>1.0634920634920635</v>
      </c>
      <c r="CD159" s="1073">
        <f>IF(OR(CD158&lt;=0,IS!CD25&lt;=0),"nm",CD158/(CD136+CD138))</f>
        <v>0.52261306532663321</v>
      </c>
      <c r="CE159" s="1074" t="str">
        <f>IF(OR(CE158&lt;=0,IS!CE25&lt;=0),"nm",CE158/(CE136+CE138))</f>
        <v>nm</v>
      </c>
      <c r="CF159" s="1074">
        <f>IF(OR(CF158&lt;=0,IS!CF25&lt;=0),"nm",CF158/(CF136+CF138))</f>
        <v>2.0481927710843375</v>
      </c>
      <c r="CG159" s="1074">
        <f>IF(OR(CG158&lt;=0,IS!CG25&lt;=0),"nm",CG158/(CG136+CG138))</f>
        <v>1.25</v>
      </c>
      <c r="CH159" s="1074">
        <f>IF(OR(CH158&lt;=0,IS!CH25&lt;=0),"nm",CH158/(CH136+CH138))</f>
        <v>1.1370967741935485</v>
      </c>
      <c r="CI159" s="1073">
        <f>IF(OR(CI158&lt;=0,IS!CI25&lt;=0),"nm",CI158/(CI136+CI138))</f>
        <v>0.72898799313893659</v>
      </c>
      <c r="CJ159" s="1074" t="str">
        <f>IF(OR(CJ158&lt;=0,IS!CJ25&lt;=0),"nm",CJ158/(CJ136+CJ138))</f>
        <v>nm</v>
      </c>
      <c r="CK159" s="1074">
        <f>IF(OR(CK158&lt;=0,IS!CK25&lt;=0),"nm",CK158/(CK136+CK138))</f>
        <v>1.446969696969697</v>
      </c>
      <c r="CL159" s="1074">
        <f>IF(OR(CL158&lt;=0,IS!CL25&lt;=0),"nm",CL158/(CL136+CL138))</f>
        <v>0.12295869356388088</v>
      </c>
      <c r="CM159" s="1074">
        <f>IF(OR(CM158&lt;=0,IS!CM25&lt;=0),"nm",CM158/(CM136+CM138))</f>
        <v>0.95628415300546443</v>
      </c>
      <c r="CN159" s="1073">
        <f>IF(OR(CN158&lt;=0,IS!CN25&lt;=0),"nm",CN158/(CN136+CN138))</f>
        <v>0.3053040103492885</v>
      </c>
      <c r="CO159" s="1074" t="str">
        <f>IF(OR(CO158&lt;=0,IS!CO25&lt;=0),"nm",CO158/(CO136+CO138))</f>
        <v>nm</v>
      </c>
      <c r="CP159" s="1074">
        <f>IF(OR(CP158&lt;=0,IS!CP25&lt;=0),"nm",CP158/(CP136+CP138))</f>
        <v>1.0658682634730539</v>
      </c>
      <c r="CQ159" s="1074">
        <f>IF(OR(CQ158&lt;=0,IS!CQ25&lt;=0),"nm",CQ158/(CQ136+CQ138))</f>
        <v>1.2542372881355932</v>
      </c>
      <c r="CR159" s="1074">
        <f>IF(OR(CR158&lt;=0,IS!CR25&lt;=0),"nm",CR158/(CR136+CR138))</f>
        <v>4.4358974358974361</v>
      </c>
      <c r="CS159" s="1073">
        <f>IF(OR(CS158&lt;=0,IS!CS25&lt;=0),"nm",CS158/(CS136+CS138))</f>
        <v>0.98027613412228798</v>
      </c>
      <c r="CT159" s="1074" t="str">
        <f>IF(OR(CT158&lt;=0,IS!CT25&lt;=0),"nm",CT158/(CT136+CT138))</f>
        <v>nm</v>
      </c>
      <c r="CU159" s="1074">
        <f>IF(OR(CU158&lt;=0,IS!CU25&lt;=0),"nm",CU158/(CU136+CU138))</f>
        <v>3.0375000000000001</v>
      </c>
      <c r="CV159" s="1074">
        <f>IF(OR(CV158&lt;=0,IS!CV25&lt;=0),"nm",CV158/(CV136+CV138))</f>
        <v>0.95774647887323938</v>
      </c>
      <c r="CW159" s="1074">
        <v>1.5058823529411764</v>
      </c>
      <c r="CX159" s="1073">
        <f>IF(OR(CX158&lt;=0,IS!CX25&lt;=0),"nm",CX158/(CX136+CX138))</f>
        <v>1.0532859680284192</v>
      </c>
      <c r="CY159" s="1074" t="str">
        <f>IF(OR(CY158&lt;=0,IS!CY25&lt;=0),"nm",CY158/(CY136+CY138))</f>
        <v>nm</v>
      </c>
      <c r="CZ159" s="1074">
        <f>IF(OR(CZ158&lt;=0,IS!CZ25&lt;=0),"nm",CZ158/(CZ136+CZ138))</f>
        <v>2.0512820512820511</v>
      </c>
      <c r="DA159" s="1074">
        <f>IF(OR(DA158&lt;=0,IS!DA25&lt;=0),"nm",DA158/(DA136+DA138))</f>
        <v>1.3290322580645162</v>
      </c>
      <c r="DB159" s="1074">
        <f>IF(OR(DB158&lt;=0,IS!DB25&lt;=0),"nm",DB158/(DB136+DB138))</f>
        <v>1.4406779661016949</v>
      </c>
      <c r="DC159" s="1073">
        <f>IF(OR(DC158&lt;=0,IS!DC25&lt;=0),"nm",DC158/(DC136+DC138))</f>
        <v>1.3356009070294785</v>
      </c>
      <c r="DD159" s="1074" t="str">
        <f>IF(OR(DD158&lt;=0,IS!DD25&lt;=0),"nm",DD158/(DD136+DD138))</f>
        <v>nm</v>
      </c>
      <c r="DE159" s="1074">
        <f>IF(OR(DE158&lt;=0,IS!DE25&lt;=0),"nm",DE158/(DE136+DE138))</f>
        <v>1.3168316831683169</v>
      </c>
      <c r="DF159" s="1074">
        <f>IF(OR(DF158&lt;=0,IS!DF25&lt;=0),"nm",DF158/(DF136+DF138))</f>
        <v>0.98222222222222222</v>
      </c>
      <c r="DG159" s="1074">
        <f>IF(OR(DG158&lt;=0,IS!DG25&lt;=0),"nm",DG158/(DG136+DG138))</f>
        <v>0.68224299065420557</v>
      </c>
      <c r="DH159" s="1073">
        <f>IF(OR(DH158&lt;=0,IS!DH25&lt;=0),"nm",DH158/(DH136+DH138))</f>
        <v>0.74270270270270267</v>
      </c>
      <c r="DI159" s="1074" t="str">
        <f>IF(OR(DI158&lt;=0,IS!DI25&lt;=0),"nm",DI158/(DI136+DI138))</f>
        <v>nm</v>
      </c>
      <c r="DJ159" s="1074">
        <f>IF(OR(DJ158&lt;=0,IS!DJ25&lt;=0),"nm",DJ158/(DJ136+DJ138))</f>
        <v>2.4260355029585798</v>
      </c>
      <c r="DK159" s="1074">
        <f>IF(OR(DK158&lt;=0,IS!DK25&lt;=0),"nm",DK158/(DK136+DK138))</f>
        <v>2.2629107981220655</v>
      </c>
      <c r="DL159" s="1074">
        <f>IF(OR(DL158&lt;=0,IS!DL25&lt;=0),"nm",DL158/(DL136+DL138))</f>
        <v>0.90952380952380951</v>
      </c>
      <c r="DM159" s="1073">
        <f>IF(OR(DM158&lt;=0,IS!DM25&lt;=0),"nm",DM158/(DM136+DM138))</f>
        <v>1.1725714285714286</v>
      </c>
      <c r="DN159" s="1074">
        <f>IF(OR(DN158&lt;=0,IS!DN25&lt;=0),"nm",DN158/(DN136+DN138))</f>
        <v>0.59756097560975607</v>
      </c>
      <c r="DO159" s="1074">
        <f>IF(OR(DO158&lt;=0,IS!DO25&lt;=0),"nm",DO158/(DO136+DO138))</f>
        <v>1.7125984251968505</v>
      </c>
      <c r="DP159" s="1074">
        <f>IF(OR(DP158&lt;=0,IS!DP25&lt;=0),"nm",DP158/(DP136+DP138))</f>
        <v>0.94385964912280707</v>
      </c>
      <c r="DQ159" s="1074" t="str">
        <f>IF(OR(DQ158&lt;=0,IS!DQ25&lt;=0),"nm",DQ158/(DQ136+DQ138))</f>
        <v>nm</v>
      </c>
      <c r="DR159" s="1073">
        <f>IF(OR(DR158&lt;=0,IS!DR25&lt;=0),"nm",DR158/(DR136+DR138))</f>
        <v>0.54385964912280704</v>
      </c>
      <c r="DS159" s="1074">
        <f>IF(OR(DS158&lt;=0,IS!DS25&lt;=0),"nm",DS158/(DS136+DS138))</f>
        <v>0.72373540856031127</v>
      </c>
      <c r="DT159" s="1074">
        <f>IF(OR(DT158&lt;=0,IS!DT25&lt;=0),"nm",DT158/(DT136+DT138))</f>
        <v>0.84645669291338588</v>
      </c>
      <c r="DU159" s="1074">
        <f>IF(OR(DU158&lt;=0,IS!DU25&lt;=0),"nm",DU158/(DU136+DU138))</f>
        <v>-4.4000000000000004</v>
      </c>
      <c r="DV159" s="1074">
        <f>IF(OR(DV158&lt;=0,IS!DV25&lt;=0),"nm",DV158/(DV136+DV138))</f>
        <v>4.5045871559633026</v>
      </c>
      <c r="DW159" s="1073">
        <f>IF(OR(DW158&lt;=0,IS!DW25&lt;=0),"nm",DW158/(DW136+DW138))</f>
        <v>2.1818181818181817</v>
      </c>
      <c r="DX159" s="1074">
        <f>IF(OR(DX158&lt;=0,IS!DX25&lt;=0),"nm",DX158/(DX136+DX138))</f>
        <v>1.3057063390999413</v>
      </c>
      <c r="DY159" s="1074">
        <f>IF(OR(DY158&lt;=0,IS!DY25&lt;=0),"nm",DY158/(DY136+DY138))</f>
        <v>1.0382622413478058</v>
      </c>
      <c r="DZ159" s="1074">
        <f>IF(OR(DZ158&lt;=0,IS!DZ25&lt;=0),"nm",DZ158/(DZ136+DZ138))</f>
        <v>0.93749483874983486</v>
      </c>
      <c r="EA159" s="1074">
        <f>IF(OR(EA158&lt;=0,IS!EA25&lt;=0),"nm",EA158/(EA136+EA138))</f>
        <v>0.85799955582229981</v>
      </c>
      <c r="EB159" s="1073">
        <f>IF(OR(EB158&lt;=0,IS!EB25&lt;=0),"nm",EB158/(EB136+EB138))</f>
        <v>1.0277921343388612</v>
      </c>
      <c r="EC159" s="1074">
        <f>IF(OR(EC158&lt;=0,IS!EC25&lt;=0),"nm",EC158/(EC136+EC138))</f>
        <v>0.15689202961088725</v>
      </c>
      <c r="ED159" s="1074">
        <f>IF(OR(ED158&lt;=0,IS!ED25&lt;=0),"nm",ED158/(ED136+ED138))</f>
        <v>1.0497649774040312</v>
      </c>
      <c r="EE159" s="1074">
        <f>IF(OR(EE158&lt;=0,IS!EE25&lt;=0),"nm",EE158/(EE136+EE138))</f>
        <v>1.1094727169529432</v>
      </c>
      <c r="EF159" s="1074">
        <f>IF(OR(EF158&lt;=0,IS!EF25&lt;=0),"nm",EF158/(EF136+EF138))</f>
        <v>0.71814929214220735</v>
      </c>
      <c r="EG159" s="1073">
        <f>IF(OR(EG158&lt;=0,IS!EG25&lt;=0),"nm",EG158/(EG136+EG138))</f>
        <v>0.76436543992416572</v>
      </c>
      <c r="EH159" s="1074">
        <f>IF(OR(EH158&lt;=0,IS!EH25&lt;=0),"nm",EH158/(EH136+EH138))</f>
        <v>1.0141603719876966</v>
      </c>
      <c r="EI159" s="1074">
        <f>IF(OR(EI158&lt;=0,IS!EI25&lt;=0),"nm",EI158/(EI136+EI138))</f>
        <v>1.0041887982663369</v>
      </c>
      <c r="EJ159" s="1074">
        <f>IF(OR(EJ158&lt;=0,IS!EJ25&lt;=0),"nm",EJ158/(EJ136+EJ138))</f>
        <v>1.2800643195768215</v>
      </c>
      <c r="EK159" s="1074">
        <f>IF(OR(EK158&lt;=0,IS!EK25&lt;=0),"nm",EK158/(EK136+EK138))</f>
        <v>0.69952577811674366</v>
      </c>
      <c r="EL159" s="1073">
        <f>IF(OR(EL158&lt;=0,IS!EL25&lt;=0),"nm",EL158/(EL136+EL138))</f>
        <v>0.99778213370410707</v>
      </c>
      <c r="EM159" s="807"/>
      <c r="EN159"/>
      <c r="EO159"/>
      <c r="EP159"/>
      <c r="EQ159"/>
      <c r="ER159"/>
      <c r="ES159"/>
      <c r="ET159" s="135"/>
      <c r="EU159" s="135"/>
      <c r="EV159" s="135"/>
      <c r="EW159" s="135"/>
      <c r="EX159" s="135"/>
      <c r="EY159" s="135"/>
      <c r="EZ159" s="135"/>
      <c r="FA159" s="135"/>
      <c r="FB159" s="135"/>
      <c r="FC159" s="135"/>
      <c r="FD159" s="135"/>
      <c r="FE159" s="135"/>
      <c r="FF159" s="135"/>
      <c r="FG159" s="135"/>
      <c r="FH159" s="135"/>
      <c r="FI159" s="135"/>
      <c r="FJ159" s="135"/>
      <c r="FK159" s="135"/>
      <c r="FL159" s="135"/>
      <c r="FM159" s="135"/>
      <c r="FN159" s="135"/>
      <c r="FO159" s="135"/>
      <c r="FP159" s="135"/>
      <c r="FQ159" s="135"/>
      <c r="FR159" s="135"/>
      <c r="FS159" s="135"/>
      <c r="FT159" s="135"/>
      <c r="FU159" s="135"/>
      <c r="FV159" s="135"/>
      <c r="FW159" s="135"/>
      <c r="FX159" s="135"/>
      <c r="FY159" s="135"/>
      <c r="FZ159" s="135"/>
      <c r="GA159" s="135"/>
      <c r="GB159" s="135"/>
      <c r="GC159" s="135"/>
      <c r="GD159" s="135"/>
      <c r="GE159" s="135"/>
      <c r="GF159" s="135"/>
      <c r="GG159" s="135"/>
      <c r="GH159" s="135"/>
      <c r="GI159" s="135"/>
      <c r="GJ159" s="135"/>
      <c r="GK159" s="135"/>
      <c r="GL159" s="135"/>
      <c r="GM159" s="135"/>
      <c r="GN159" s="135"/>
      <c r="GO159" s="135"/>
      <c r="GP159" s="135"/>
      <c r="GQ159" s="135"/>
      <c r="GR159" s="135"/>
      <c r="GS159" s="135"/>
      <c r="GT159" s="135"/>
      <c r="GU159" s="135"/>
      <c r="GV159" s="135"/>
      <c r="GW159" s="135"/>
      <c r="GX159" s="135"/>
      <c r="GY159" s="135"/>
      <c r="GZ159" s="135"/>
      <c r="HA159" s="135"/>
      <c r="HB159" s="135"/>
      <c r="HC159" s="135"/>
      <c r="HD159" s="135"/>
      <c r="HE159" s="135"/>
      <c r="HF159" s="135"/>
      <c r="HG159" s="135"/>
      <c r="HH159" s="135"/>
      <c r="HI159" s="135"/>
      <c r="HJ159" s="135"/>
      <c r="HK159" s="135"/>
      <c r="HL159" s="135"/>
      <c r="HM159" s="135"/>
      <c r="HN159" s="135"/>
      <c r="HO159" s="135"/>
      <c r="HP159" s="135"/>
      <c r="HQ159" s="135"/>
      <c r="HR159" s="135"/>
      <c r="HS159" s="135"/>
      <c r="HT159" s="135"/>
      <c r="HU159" s="135"/>
      <c r="HV159" s="135"/>
      <c r="HW159" s="135"/>
      <c r="HX159" s="135"/>
      <c r="HY159" s="135"/>
      <c r="HZ159" s="135"/>
      <c r="IA159" s="135"/>
      <c r="IB159" s="135"/>
      <c r="IC159" s="135"/>
      <c r="ID159" s="135"/>
      <c r="IE159" s="135"/>
      <c r="IF159" s="135"/>
      <c r="IG159" s="135"/>
      <c r="IH159" s="135"/>
      <c r="II159" s="135"/>
      <c r="IJ159" s="135"/>
      <c r="IK159" s="135"/>
      <c r="IL159" s="135"/>
      <c r="IM159" s="135"/>
      <c r="IN159" s="135"/>
      <c r="IO159" s="135"/>
      <c r="IP159" s="135"/>
      <c r="IQ159" s="135"/>
      <c r="IR159" s="135"/>
      <c r="IS159" s="135"/>
      <c r="IT159" s="135"/>
      <c r="IU159" s="135"/>
      <c r="IV159" s="135"/>
      <c r="IW159" s="135"/>
      <c r="IX159" s="135"/>
      <c r="IY159" s="135"/>
      <c r="IZ159" s="135"/>
      <c r="JA159" s="135"/>
      <c r="JB159" s="135"/>
      <c r="JC159" s="135"/>
      <c r="JD159" s="135"/>
      <c r="JE159" s="135"/>
      <c r="JF159" s="135"/>
      <c r="JG159" s="135"/>
      <c r="JH159" s="135"/>
    </row>
    <row r="160" spans="1:268" s="4" customFormat="1">
      <c r="A160" s="801"/>
      <c r="B160" s="557"/>
      <c r="C160" s="1076"/>
      <c r="D160" s="1076"/>
      <c r="E160" s="1076"/>
      <c r="F160" s="890"/>
      <c r="G160" s="1022"/>
      <c r="H160" s="1047"/>
      <c r="I160" s="1076"/>
      <c r="J160" s="1076"/>
      <c r="K160" s="890"/>
      <c r="L160" s="1022"/>
      <c r="M160" s="1047"/>
      <c r="N160" s="1076"/>
      <c r="O160" s="1076"/>
      <c r="P160" s="890"/>
      <c r="Q160" s="1022"/>
      <c r="R160" s="1047"/>
      <c r="S160" s="1076"/>
      <c r="T160" s="1076"/>
      <c r="U160" s="890"/>
      <c r="V160" s="1022"/>
      <c r="W160" s="1047"/>
      <c r="X160" s="1076"/>
      <c r="Y160" s="1076"/>
      <c r="Z160" s="890"/>
      <c r="AA160" s="1022"/>
      <c r="AB160" s="1047"/>
      <c r="AC160" s="1076"/>
      <c r="AD160" s="1076"/>
      <c r="AE160" s="890"/>
      <c r="AF160" s="1022"/>
      <c r="AG160" s="1047"/>
      <c r="AH160" s="1076"/>
      <c r="AI160" s="1076"/>
      <c r="AJ160" s="890"/>
      <c r="AK160" s="1022"/>
      <c r="AL160" s="1047"/>
      <c r="AM160" s="1076"/>
      <c r="AN160" s="1076"/>
      <c r="AO160" s="890"/>
      <c r="AP160" s="1022"/>
      <c r="AQ160" s="1047"/>
      <c r="AR160" s="1076"/>
      <c r="AS160" s="1076"/>
      <c r="AT160" s="890"/>
      <c r="AU160" s="1057"/>
      <c r="AV160" s="555"/>
      <c r="AW160" s="555"/>
      <c r="AX160" s="555"/>
      <c r="AY160" s="555"/>
      <c r="AZ160" s="802"/>
      <c r="BA160" s="1076"/>
      <c r="BB160" s="1076"/>
      <c r="BC160" s="890"/>
      <c r="BD160" s="1022"/>
      <c r="BE160" s="1047"/>
      <c r="BF160" s="1076"/>
      <c r="BG160" s="1076"/>
      <c r="BH160" s="890"/>
      <c r="BI160" s="1022"/>
      <c r="BJ160" s="1047"/>
      <c r="BK160" s="1076"/>
      <c r="BL160" s="1076"/>
      <c r="BM160" s="890"/>
      <c r="BN160" s="1022"/>
      <c r="BO160" s="1047"/>
      <c r="BP160" s="1076"/>
      <c r="BQ160" s="1076"/>
      <c r="BR160" s="890"/>
      <c r="BS160" s="1022"/>
      <c r="BT160" s="1047"/>
      <c r="BU160" s="1076"/>
      <c r="BV160" s="1076"/>
      <c r="BW160" s="890"/>
      <c r="BX160" s="1022"/>
      <c r="BY160" s="1047"/>
      <c r="BZ160" s="1076"/>
      <c r="CA160" s="1076"/>
      <c r="CB160" s="890"/>
      <c r="CC160" s="1022"/>
      <c r="CD160" s="1047"/>
      <c r="CE160" s="1076"/>
      <c r="CF160" s="1076"/>
      <c r="CG160" s="890"/>
      <c r="CH160" s="1022"/>
      <c r="CI160" s="1047"/>
      <c r="CJ160" s="1076"/>
      <c r="CK160" s="1076"/>
      <c r="CL160" s="890"/>
      <c r="CM160" s="1022"/>
      <c r="CN160" s="1047"/>
      <c r="CO160" s="1076"/>
      <c r="CP160" s="1076"/>
      <c r="CQ160" s="890"/>
      <c r="CR160" s="1022"/>
      <c r="CS160" s="1047"/>
      <c r="CT160" s="1045"/>
      <c r="CU160" s="1045"/>
      <c r="CV160" s="1022"/>
      <c r="CW160" s="1022"/>
      <c r="CX160" s="1047"/>
      <c r="CY160" s="1045"/>
      <c r="CZ160" s="1045"/>
      <c r="DA160" s="1045"/>
      <c r="DB160" s="1045"/>
      <c r="DC160" s="1047"/>
      <c r="DD160" s="1045"/>
      <c r="DE160" s="1045"/>
      <c r="DF160" s="1045"/>
      <c r="DG160" s="1045"/>
      <c r="DH160" s="1047"/>
      <c r="DI160" s="1045"/>
      <c r="DJ160" s="1045"/>
      <c r="DK160" s="1045"/>
      <c r="DL160" s="1045"/>
      <c r="DM160" s="1047"/>
      <c r="DN160" s="1045"/>
      <c r="DO160" s="1045"/>
      <c r="DP160" s="1045"/>
      <c r="DQ160" s="1045"/>
      <c r="DR160" s="1047"/>
      <c r="DS160" s="1045"/>
      <c r="DT160" s="1045"/>
      <c r="DU160" s="1045"/>
      <c r="DV160" s="1045"/>
      <c r="DW160" s="1047"/>
      <c r="DX160" s="1045"/>
      <c r="DY160" s="1045"/>
      <c r="DZ160" s="1045"/>
      <c r="EA160" s="1045"/>
      <c r="EB160" s="1047"/>
      <c r="EC160" s="1045"/>
      <c r="ED160" s="1045"/>
      <c r="EE160" s="1045"/>
      <c r="EF160" s="1045"/>
      <c r="EG160" s="1047"/>
      <c r="EH160" s="1045"/>
      <c r="EI160" s="1045"/>
      <c r="EJ160" s="1045"/>
      <c r="EK160" s="1045"/>
      <c r="EL160" s="1047"/>
      <c r="EM160" s="555"/>
      <c r="EN160"/>
      <c r="EO160"/>
      <c r="EP160"/>
      <c r="EQ160"/>
      <c r="ER160"/>
      <c r="ES160"/>
      <c r="ET160" s="135"/>
      <c r="EU160" s="135"/>
      <c r="EV160" s="135"/>
      <c r="EW160" s="135"/>
      <c r="EX160" s="135"/>
      <c r="EY160" s="135"/>
      <c r="EZ160" s="135"/>
      <c r="FA160" s="135"/>
      <c r="FB160" s="135"/>
      <c r="FC160" s="135"/>
      <c r="FD160" s="135"/>
      <c r="FE160" s="135"/>
      <c r="FF160" s="135"/>
      <c r="FG160" s="135"/>
      <c r="FH160" s="135"/>
      <c r="FI160" s="135"/>
      <c r="FJ160" s="135"/>
      <c r="FK160" s="135"/>
      <c r="FL160" s="135"/>
      <c r="FM160" s="135"/>
      <c r="FN160" s="135"/>
      <c r="FO160" s="135"/>
      <c r="FP160" s="135"/>
      <c r="FQ160" s="135"/>
      <c r="FR160" s="135"/>
      <c r="FS160" s="135"/>
      <c r="FT160" s="135"/>
      <c r="FU160" s="135"/>
      <c r="FV160" s="135"/>
      <c r="FW160" s="135"/>
      <c r="FX160" s="135"/>
      <c r="FY160" s="135"/>
      <c r="FZ160" s="135"/>
      <c r="GA160" s="135"/>
      <c r="GB160" s="135"/>
      <c r="GC160" s="135"/>
      <c r="GD160" s="135"/>
      <c r="GE160" s="135"/>
      <c r="GF160" s="135"/>
      <c r="GG160" s="135"/>
      <c r="GH160" s="135"/>
      <c r="GI160" s="135"/>
      <c r="GJ160" s="135"/>
      <c r="GK160" s="135"/>
      <c r="GL160" s="135"/>
      <c r="GM160" s="135"/>
      <c r="GN160" s="135"/>
      <c r="GO160" s="135"/>
      <c r="GP160" s="135"/>
      <c r="GQ160" s="135"/>
      <c r="GR160" s="135"/>
      <c r="GS160" s="135"/>
      <c r="GT160" s="135"/>
      <c r="GU160" s="135"/>
      <c r="GV160" s="135"/>
      <c r="GW160" s="135"/>
      <c r="GX160" s="135"/>
      <c r="GY160" s="135"/>
      <c r="GZ160" s="135"/>
      <c r="HA160" s="135"/>
      <c r="HB160" s="135"/>
      <c r="HC160" s="135"/>
      <c r="HD160" s="135"/>
      <c r="HE160" s="135"/>
      <c r="HF160" s="135"/>
      <c r="HG160" s="135"/>
      <c r="HH160" s="135"/>
      <c r="HI160" s="135"/>
      <c r="HJ160" s="135"/>
      <c r="HK160" s="135"/>
      <c r="HL160" s="135"/>
      <c r="HM160" s="135"/>
      <c r="HN160" s="135"/>
      <c r="HO160" s="135"/>
      <c r="HP160" s="135"/>
      <c r="HQ160" s="135"/>
      <c r="HR160" s="135"/>
      <c r="HS160" s="135"/>
      <c r="HT160" s="135"/>
      <c r="HU160" s="135"/>
      <c r="HV160" s="135"/>
      <c r="HW160" s="135"/>
      <c r="HX160" s="135"/>
      <c r="HY160" s="135"/>
      <c r="HZ160" s="135"/>
      <c r="IA160" s="135"/>
      <c r="IB160" s="135"/>
      <c r="IC160" s="135"/>
      <c r="ID160" s="135"/>
      <c r="IE160" s="135"/>
      <c r="IF160" s="135"/>
      <c r="IG160" s="135"/>
      <c r="IH160" s="135"/>
      <c r="II160" s="135"/>
      <c r="IJ160" s="135"/>
      <c r="IK160" s="135"/>
      <c r="IL160" s="135"/>
      <c r="IM160" s="135"/>
      <c r="IN160" s="135"/>
      <c r="IO160" s="135"/>
      <c r="IP160" s="135"/>
      <c r="IQ160" s="135"/>
      <c r="IR160" s="135"/>
      <c r="IS160" s="135"/>
      <c r="IT160" s="135"/>
      <c r="IU160" s="135"/>
      <c r="IV160" s="135"/>
      <c r="IW160" s="135"/>
      <c r="IX160" s="135"/>
      <c r="IY160" s="135"/>
      <c r="IZ160" s="135"/>
      <c r="JA160" s="135"/>
      <c r="JB160" s="135"/>
      <c r="JC160" s="135"/>
      <c r="JD160" s="135"/>
      <c r="JE160" s="135"/>
      <c r="JF160" s="135"/>
      <c r="JG160" s="135"/>
      <c r="JH160" s="135"/>
    </row>
    <row r="161" spans="1:268" s="4" customFormat="1">
      <c r="A161" s="801"/>
      <c r="B161" s="557" t="s">
        <v>64</v>
      </c>
      <c r="C161" s="1051"/>
      <c r="D161" s="1051">
        <v>-28.175999999999998</v>
      </c>
      <c r="E161" s="1051">
        <f>-59.6-D161</f>
        <v>-31.424000000000003</v>
      </c>
      <c r="F161" s="1051">
        <f>-100.5-SUM(D161:E161)</f>
        <v>-40.9</v>
      </c>
      <c r="G161" s="1051">
        <f>-264-SUM(D161:F161)</f>
        <v>-163.5</v>
      </c>
      <c r="H161" s="1052">
        <f t="shared" ref="H161:H168" si="373">SUM(D161:G161)</f>
        <v>-264</v>
      </c>
      <c r="I161" s="1051">
        <v>-95.1</v>
      </c>
      <c r="J161" s="1051">
        <f>-160.5-I161</f>
        <v>-65.400000000000006</v>
      </c>
      <c r="K161" s="1051">
        <f>-235.3-SUM(I161:J161)</f>
        <v>-74.800000000000011</v>
      </c>
      <c r="L161" s="1051">
        <f>-370-SUM(I161:K161)</f>
        <v>-134.69999999999999</v>
      </c>
      <c r="M161" s="1052">
        <f t="shared" ref="M161:M168" si="374">SUM(I161:L161)</f>
        <v>-370</v>
      </c>
      <c r="N161" s="1051">
        <v>-43.4</v>
      </c>
      <c r="O161" s="1051">
        <f>-95.4-N161</f>
        <v>-52.000000000000007</v>
      </c>
      <c r="P161" s="1051">
        <f>-261.4-SUM(N161:O161)</f>
        <v>-165.99999999999997</v>
      </c>
      <c r="Q161" s="1051">
        <f>-406-SUM(N161:P161)</f>
        <v>-144.60000000000002</v>
      </c>
      <c r="R161" s="1052">
        <f t="shared" ref="R161:R168" si="375">SUM(N161:Q161)</f>
        <v>-406</v>
      </c>
      <c r="S161" s="1051">
        <v>-103</v>
      </c>
      <c r="T161" s="1051">
        <f>-215-S161</f>
        <v>-112</v>
      </c>
      <c r="U161" s="1051">
        <f>-371-SUM(S161:T161)</f>
        <v>-156</v>
      </c>
      <c r="V161" s="1051">
        <f>-534-SUM(S161:U161)</f>
        <v>-163</v>
      </c>
      <c r="W161" s="1052">
        <f t="shared" ref="W161:W168" si="376">SUM(S161:V161)</f>
        <v>-534</v>
      </c>
      <c r="X161" s="1051">
        <v>-107</v>
      </c>
      <c r="Y161" s="1051">
        <f>-241-X161</f>
        <v>-134</v>
      </c>
      <c r="Z161" s="1051">
        <f>-401-SUM(X161:Y161)</f>
        <v>-160</v>
      </c>
      <c r="AA161" s="1051">
        <f>-592-SUM(X161:Z161)</f>
        <v>-191</v>
      </c>
      <c r="AB161" s="1052">
        <f t="shared" ref="AB161:AB168" si="377">SUM(X161:AA161)</f>
        <v>-592</v>
      </c>
      <c r="AC161" s="1051">
        <v>-138</v>
      </c>
      <c r="AD161" s="1051">
        <f>-264-AC161</f>
        <v>-126</v>
      </c>
      <c r="AE161" s="1051">
        <f>-396-SUM(AC161:AD161)</f>
        <v>-132</v>
      </c>
      <c r="AF161" s="1051">
        <f>-619-SUM(AC161:AE161)</f>
        <v>-223</v>
      </c>
      <c r="AG161" s="1052">
        <f t="shared" ref="AG161:AG168" si="378">SUM(AC161:AF161)</f>
        <v>-619</v>
      </c>
      <c r="AH161" s="1051">
        <v>-120</v>
      </c>
      <c r="AI161" s="1051">
        <f>-239-AH161</f>
        <v>-119</v>
      </c>
      <c r="AJ161" s="1051">
        <f>-396-SUM(AH161:AI161)</f>
        <v>-157</v>
      </c>
      <c r="AK161" s="1051">
        <f>-601-SUM(AH161:AJ161)</f>
        <v>-205</v>
      </c>
      <c r="AL161" s="1052">
        <f t="shared" ref="AL161:AL168" si="379">SUM(AH161:AK161)</f>
        <v>-601</v>
      </c>
      <c r="AM161" s="1051">
        <v>-209</v>
      </c>
      <c r="AN161" s="1051">
        <f>-415-AM161</f>
        <v>-206</v>
      </c>
      <c r="AO161" s="1051">
        <f>-583-SUM(AM161:AN161)</f>
        <v>-168</v>
      </c>
      <c r="AP161" s="1051">
        <f>-889-SUM(AM161:AO161)</f>
        <v>-306</v>
      </c>
      <c r="AQ161" s="1052">
        <f t="shared" ref="AQ161:AQ168" si="380">SUM(AM161:AP161)</f>
        <v>-889</v>
      </c>
      <c r="AR161" s="1051">
        <v>-195</v>
      </c>
      <c r="AS161" s="1051">
        <f>-413-AR161</f>
        <v>-218</v>
      </c>
      <c r="AT161" s="1051">
        <f>-642-SUM(AR161:AS161)</f>
        <v>-229</v>
      </c>
      <c r="AU161" s="1057"/>
      <c r="AV161" s="555"/>
      <c r="AW161" s="555"/>
      <c r="AX161" s="555"/>
      <c r="AY161" s="555"/>
      <c r="AZ161" s="1053">
        <v>-490</v>
      </c>
      <c r="BA161" s="1051">
        <v>-220</v>
      </c>
      <c r="BB161" s="1051">
        <f>-418-BA161</f>
        <v>-198</v>
      </c>
      <c r="BC161" s="1051">
        <f>-563-SUM(BA161:BB161)</f>
        <v>-145</v>
      </c>
      <c r="BD161" s="1051">
        <f>-753-SUM(BA161:BC161)</f>
        <v>-190</v>
      </c>
      <c r="BE161" s="1052">
        <f t="shared" ref="BE161:BE168" si="381">SUM(BA161:BD161)</f>
        <v>-753</v>
      </c>
      <c r="BF161" s="1051">
        <v>-82</v>
      </c>
      <c r="BG161" s="1051">
        <f>-175-BF161</f>
        <v>-93</v>
      </c>
      <c r="BH161" s="1051">
        <f>-271-SUM(BF161:BG161)</f>
        <v>-96</v>
      </c>
      <c r="BI161" s="1051">
        <f>-454-SUM(BF161:BH161)</f>
        <v>-183</v>
      </c>
      <c r="BJ161" s="1052">
        <f t="shared" ref="BJ161:BJ168" si="382">SUM(BF161:BI161)</f>
        <v>-454</v>
      </c>
      <c r="BK161" s="1051">
        <v>-96</v>
      </c>
      <c r="BL161" s="1051">
        <f>-223-BK161</f>
        <v>-127</v>
      </c>
      <c r="BM161" s="1051">
        <f>-358-SUM(BK161:BL161)</f>
        <v>-135</v>
      </c>
      <c r="BN161" s="1051">
        <f>-568-8-SUM(BK161:BM161)</f>
        <v>-218</v>
      </c>
      <c r="BO161" s="1052">
        <f t="shared" ref="BO161:BO168" si="383">SUM(BK161:BN161)</f>
        <v>-576</v>
      </c>
      <c r="BP161" s="1051">
        <f>-92-24</f>
        <v>-116</v>
      </c>
      <c r="BQ161" s="1051">
        <f>-213-BP161</f>
        <v>-97</v>
      </c>
      <c r="BR161" s="1051">
        <f>-346-SUM(BP161:BQ161)</f>
        <v>-133</v>
      </c>
      <c r="BS161" s="1051">
        <f>-631-12-SUM(BP161:BR161)</f>
        <v>-297</v>
      </c>
      <c r="BT161" s="1052">
        <f t="shared" ref="BT161:BT168" si="384">SUM(BP161:BS161)</f>
        <v>-643</v>
      </c>
      <c r="BU161" s="1051">
        <f>-99-11</f>
        <v>-110</v>
      </c>
      <c r="BV161" s="1051">
        <f>-231-27-BU161</f>
        <v>-148</v>
      </c>
      <c r="BW161" s="1051">
        <f>-386-43-SUM(BU161:BV161)</f>
        <v>-171</v>
      </c>
      <c r="BX161" s="1051">
        <f>-662-67-SUM(BU161:BW161)</f>
        <v>-300</v>
      </c>
      <c r="BY161" s="1052">
        <f t="shared" ref="BY161:BY168" si="385">SUM(BU161:BX161)</f>
        <v>-729</v>
      </c>
      <c r="BZ161" s="1051">
        <f>-159-29</f>
        <v>-188</v>
      </c>
      <c r="CA161" s="1051">
        <f>-233-56-BZ161</f>
        <v>-101</v>
      </c>
      <c r="CB161" s="1051">
        <f>-332-65-SUM(BZ161:CA161)</f>
        <v>-108</v>
      </c>
      <c r="CC161" s="1051">
        <f>-452-75-SUM(BZ161:CB161)</f>
        <v>-130</v>
      </c>
      <c r="CD161" s="1052">
        <f t="shared" ref="CD161:CD168" si="386">SUM(BZ161:CC161)</f>
        <v>-527</v>
      </c>
      <c r="CE161" s="1051">
        <f>-85-16</f>
        <v>-101</v>
      </c>
      <c r="CF161" s="1051">
        <f>-138-34-CE161</f>
        <v>-71</v>
      </c>
      <c r="CG161" s="1051">
        <f>-216-47-SUM(CE161:CF161)</f>
        <v>-91</v>
      </c>
      <c r="CH161" s="1051">
        <f>-397-58-SUM(CE161:CG161)</f>
        <v>-192</v>
      </c>
      <c r="CI161" s="1052">
        <f t="shared" ref="CI161:CI168" si="387">SUM(CE161:CH161)</f>
        <v>-455</v>
      </c>
      <c r="CJ161" s="1051">
        <f>-78-5</f>
        <v>-83</v>
      </c>
      <c r="CK161" s="1051">
        <f>-148-12-CJ161</f>
        <v>-77</v>
      </c>
      <c r="CL161" s="1051">
        <f>-254-13-SUM(CJ161:CK161)</f>
        <v>-107</v>
      </c>
      <c r="CM161" s="1051">
        <f>-450-13-SUM(CJ161:CL161)</f>
        <v>-196</v>
      </c>
      <c r="CN161" s="1052">
        <f t="shared" ref="CN161:CN168" si="388">SUM(CJ161:CM161)</f>
        <v>-463</v>
      </c>
      <c r="CO161" s="1051">
        <v>-116</v>
      </c>
      <c r="CP161" s="1051">
        <f>-198-CO161</f>
        <v>-82</v>
      </c>
      <c r="CQ161" s="1051">
        <f>-298-SUM(CP161,CO161)</f>
        <v>-100</v>
      </c>
      <c r="CR161" s="1051">
        <f>-475-SUM(CO161:CQ161)</f>
        <v>-177</v>
      </c>
      <c r="CS161" s="1052">
        <f t="shared" ref="CS161:CS168" si="389">SUM(CO161:CR161)</f>
        <v>-475</v>
      </c>
      <c r="CT161" s="1051">
        <v>-136</v>
      </c>
      <c r="CU161" s="1051">
        <f>-251-CT161</f>
        <v>-115</v>
      </c>
      <c r="CV161" s="1051">
        <f>-358-CT161-CU161</f>
        <v>-107</v>
      </c>
      <c r="CW161" s="1051">
        <f>-506-SUM(CT161:CV161)</f>
        <v>-148</v>
      </c>
      <c r="CX161" s="1052">
        <f t="shared" ref="CX161:CX168" si="390">SUM(CT161:CW161)</f>
        <v>-506</v>
      </c>
      <c r="CY161" s="1051">
        <v>-133</v>
      </c>
      <c r="CZ161" s="1051">
        <f>-256-CY161</f>
        <v>-123</v>
      </c>
      <c r="DA161" s="1051">
        <f>-398-CZ161-CY161</f>
        <v>-142</v>
      </c>
      <c r="DB161" s="1051">
        <f>-691-SUM(CY161:DA161)</f>
        <v>-293</v>
      </c>
      <c r="DC161" s="1052">
        <f t="shared" ref="DC161:DC168" si="391">SUM(CY161:DB161)</f>
        <v>-691</v>
      </c>
      <c r="DD161" s="1051">
        <v>-281</v>
      </c>
      <c r="DE161" s="1051">
        <f>-523-DD161</f>
        <v>-242</v>
      </c>
      <c r="DF161" s="1051">
        <f>-734-SUM(DD161:DE161)</f>
        <v>-211</v>
      </c>
      <c r="DG161" s="1051">
        <f>-933-SUM(DD161:DF161)</f>
        <v>-199</v>
      </c>
      <c r="DH161" s="1052">
        <f t="shared" ref="DH161:DH168" si="392">SUM(DD161:DG161)</f>
        <v>-933</v>
      </c>
      <c r="DI161" s="1051">
        <v>-184</v>
      </c>
      <c r="DJ161" s="1051">
        <f>-359-DI161</f>
        <v>-175</v>
      </c>
      <c r="DK161" s="1051">
        <f>-566-DJ161-DI161</f>
        <v>-207</v>
      </c>
      <c r="DL161" s="1051">
        <f>-842-DK161-DJ161-DI161</f>
        <v>-276</v>
      </c>
      <c r="DM161" s="1052">
        <f t="shared" ref="DM161:DM168" si="393">SUM(DI161:DL161)</f>
        <v>-842</v>
      </c>
      <c r="DN161" s="1051">
        <v>-208</v>
      </c>
      <c r="DO161" s="1051">
        <f>-413-DN161</f>
        <v>-205</v>
      </c>
      <c r="DP161" s="1051">
        <f>-614-DO161-DN161</f>
        <v>-201</v>
      </c>
      <c r="DQ161" s="1051">
        <f>-875-DP161-DO161-DN161</f>
        <v>-261</v>
      </c>
      <c r="DR161" s="1052">
        <f t="shared" ref="DR161:DR168" si="394">SUM(DN161:DQ161)</f>
        <v>-875</v>
      </c>
      <c r="DS161" s="1051">
        <v>-198</v>
      </c>
      <c r="DT161" s="1051">
        <f>-348-DS161</f>
        <v>-150</v>
      </c>
      <c r="DU161" s="1051">
        <f>-492-DT161-DS161</f>
        <v>-144</v>
      </c>
      <c r="DV161" s="1051">
        <f>-707-DU161-DT161-DS161</f>
        <v>-215</v>
      </c>
      <c r="DW161" s="1052">
        <f t="shared" ref="DW161:DW168" si="395">SUM(DS161:DV161)</f>
        <v>-707</v>
      </c>
      <c r="DX161" s="1051">
        <f>-IS!DX12*'BS &amp; CF'!DX207+DX208</f>
        <v>-174.01866805498506</v>
      </c>
      <c r="DY161" s="1051">
        <f>-IS!DY12*'BS &amp; CF'!DY207+DY208</f>
        <v>-173.63623211454339</v>
      </c>
      <c r="DZ161" s="1051">
        <f>-IS!DZ12*'BS &amp; CF'!DZ207+DZ208</f>
        <v>-160.87340022904573</v>
      </c>
      <c r="EA161" s="1051">
        <f>-IS!EA12*'BS &amp; CF'!EA207+EA208</f>
        <v>-167.00117156923761</v>
      </c>
      <c r="EB161" s="1052">
        <f t="shared" ref="EB161:EB168" si="396">SUM(DX161:EA161)</f>
        <v>-675.52947196781179</v>
      </c>
      <c r="EC161" s="1051">
        <f>-IS!EC12*'BS &amp; CF'!EC207+EC208</f>
        <v>-174.48551550299194</v>
      </c>
      <c r="ED161" s="1051">
        <f>-IS!ED12*'BS &amp; CF'!ED207+ED208</f>
        <v>-176.37305496361878</v>
      </c>
      <c r="EE161" s="1051">
        <f>-IS!EE12*'BS &amp; CF'!EE207+EE208</f>
        <v>-173.05588548563372</v>
      </c>
      <c r="EF161" s="1051">
        <f>-IS!EF12*'BS &amp; CF'!EF207+EF208</f>
        <v>-182.37220035796307</v>
      </c>
      <c r="EG161" s="1052">
        <f t="shared" ref="EG161:EG168" si="397">SUM(EC161:EF161)</f>
        <v>-706.28665631020749</v>
      </c>
      <c r="EH161" s="1051">
        <f>-IS!EH12*'BS &amp; CF'!EH207+EH208</f>
        <v>-180.61083093605544</v>
      </c>
      <c r="EI161" s="1051">
        <f>-IS!EI12*'BS &amp; CF'!EI207+EI208</f>
        <v>-182.45417010323729</v>
      </c>
      <c r="EJ161" s="1051">
        <f>-IS!EJ12*'BS &amp; CF'!EJ207+EJ208</f>
        <v>-178.85891783983138</v>
      </c>
      <c r="EK161" s="1051">
        <f>-IS!EK12*'BS &amp; CF'!EK207+EK208</f>
        <v>-188.72109220834002</v>
      </c>
      <c r="EL161" s="1052">
        <f t="shared" ref="EL161:EL168" si="398">SUM(EH161:EK161)</f>
        <v>-730.64501108746413</v>
      </c>
      <c r="EM161" s="901"/>
      <c r="EN161"/>
      <c r="EO161"/>
      <c r="EP161"/>
      <c r="EQ161"/>
      <c r="ER161"/>
      <c r="ES161"/>
      <c r="ET161" s="135"/>
      <c r="EU161" s="135"/>
      <c r="EV161" s="135"/>
      <c r="EW161" s="135"/>
      <c r="EX161" s="135"/>
      <c r="EY161" s="135"/>
      <c r="EZ161" s="135"/>
      <c r="FA161" s="135"/>
      <c r="FB161" s="135"/>
      <c r="FC161" s="135"/>
      <c r="FD161" s="135"/>
      <c r="FE161" s="135"/>
      <c r="FF161" s="135"/>
      <c r="FG161" s="135"/>
      <c r="FH161" s="135"/>
      <c r="FI161" s="135"/>
      <c r="FJ161" s="135"/>
      <c r="FK161" s="135"/>
      <c r="FL161" s="135"/>
      <c r="FM161" s="135"/>
      <c r="FN161" s="135"/>
      <c r="FO161" s="135"/>
      <c r="FP161" s="135"/>
      <c r="FQ161" s="135"/>
      <c r="FR161" s="135"/>
      <c r="FS161" s="135"/>
      <c r="FT161" s="135"/>
      <c r="FU161" s="135"/>
      <c r="FV161" s="135"/>
      <c r="FW161" s="135"/>
      <c r="FX161" s="135"/>
      <c r="FY161" s="135"/>
      <c r="FZ161" s="135"/>
      <c r="GA161" s="135"/>
      <c r="GB161" s="135"/>
      <c r="GC161" s="135"/>
      <c r="GD161" s="135"/>
      <c r="GE161" s="135"/>
      <c r="GF161" s="135"/>
      <c r="GG161" s="135"/>
      <c r="GH161" s="135"/>
      <c r="GI161" s="135"/>
      <c r="GJ161" s="135"/>
      <c r="GK161" s="135"/>
      <c r="GL161" s="135"/>
      <c r="GM161" s="135"/>
      <c r="GN161" s="135"/>
      <c r="GO161" s="135"/>
      <c r="GP161" s="135"/>
      <c r="GQ161" s="135"/>
      <c r="GR161" s="135"/>
      <c r="GS161" s="135"/>
      <c r="GT161" s="135"/>
      <c r="GU161" s="135"/>
      <c r="GV161" s="135"/>
      <c r="GW161" s="135"/>
      <c r="GX161" s="135"/>
      <c r="GY161" s="135"/>
      <c r="GZ161" s="135"/>
      <c r="HA161" s="135"/>
      <c r="HB161" s="135"/>
      <c r="HC161" s="135"/>
      <c r="HD161" s="135"/>
      <c r="HE161" s="135"/>
      <c r="HF161" s="135"/>
      <c r="HG161" s="135"/>
      <c r="HH161" s="135"/>
      <c r="HI161" s="135"/>
      <c r="HJ161" s="135"/>
      <c r="HK161" s="135"/>
      <c r="HL161" s="135"/>
      <c r="HM161" s="135"/>
      <c r="HN161" s="135"/>
      <c r="HO161" s="135"/>
      <c r="HP161" s="135"/>
      <c r="HQ161" s="135"/>
      <c r="HR161" s="135"/>
      <c r="HS161" s="135"/>
      <c r="HT161" s="135"/>
      <c r="HU161" s="135"/>
      <c r="HV161" s="135"/>
      <c r="HW161" s="135"/>
      <c r="HX161" s="135"/>
      <c r="HY161" s="135"/>
      <c r="HZ161" s="135"/>
      <c r="IA161" s="135"/>
      <c r="IB161" s="135"/>
      <c r="IC161" s="135"/>
      <c r="ID161" s="135"/>
      <c r="IE161" s="135"/>
      <c r="IF161" s="135"/>
      <c r="IG161" s="135"/>
      <c r="IH161" s="135"/>
      <c r="II161" s="135"/>
      <c r="IJ161" s="135"/>
      <c r="IK161" s="135"/>
      <c r="IL161" s="135"/>
      <c r="IM161" s="135"/>
      <c r="IN161" s="135"/>
      <c r="IO161" s="135"/>
      <c r="IP161" s="135"/>
      <c r="IQ161" s="135"/>
      <c r="IR161" s="135"/>
      <c r="IS161" s="135"/>
      <c r="IT161" s="135"/>
      <c r="IU161" s="135"/>
      <c r="IV161" s="135"/>
      <c r="IW161" s="135"/>
      <c r="IX161" s="135"/>
      <c r="IY161" s="135"/>
      <c r="IZ161" s="135"/>
      <c r="JA161" s="135"/>
      <c r="JB161" s="135"/>
      <c r="JC161" s="135"/>
      <c r="JD161" s="135"/>
      <c r="JE161" s="135"/>
      <c r="JF161" s="135"/>
      <c r="JG161" s="135"/>
      <c r="JH161" s="135"/>
    </row>
    <row r="162" spans="1:268" s="4" customFormat="1" hidden="1" outlineLevel="1">
      <c r="A162" s="801"/>
      <c r="B162" s="557" t="s">
        <v>65</v>
      </c>
      <c r="C162" s="1051"/>
      <c r="D162" s="1051">
        <v>0</v>
      </c>
      <c r="E162" s="1051">
        <f>0-D162</f>
        <v>0</v>
      </c>
      <c r="F162" s="1051">
        <f>0-SUM(D162:E162)</f>
        <v>0</v>
      </c>
      <c r="G162" s="1051">
        <f>0-SUM(D162:F162)</f>
        <v>0</v>
      </c>
      <c r="H162" s="1052">
        <f t="shared" si="373"/>
        <v>0</v>
      </c>
      <c r="I162" s="1051">
        <v>0</v>
      </c>
      <c r="J162" s="1051">
        <f>0-I162</f>
        <v>0</v>
      </c>
      <c r="K162" s="1051">
        <f>0-SUM(I162:J162)</f>
        <v>0</v>
      </c>
      <c r="L162" s="1051">
        <f>0-SUM(I162:K162)</f>
        <v>0</v>
      </c>
      <c r="M162" s="1052">
        <f t="shared" si="374"/>
        <v>0</v>
      </c>
      <c r="N162" s="1051">
        <v>0</v>
      </c>
      <c r="O162" s="1051">
        <f>0-N162</f>
        <v>0</v>
      </c>
      <c r="P162" s="1051">
        <f>0-SUM(N162:O162)</f>
        <v>0</v>
      </c>
      <c r="Q162" s="1051">
        <f>0-SUM(N162:P162)</f>
        <v>0</v>
      </c>
      <c r="R162" s="1052">
        <f t="shared" si="375"/>
        <v>0</v>
      </c>
      <c r="S162" s="1051">
        <v>0</v>
      </c>
      <c r="T162" s="1051">
        <f>0-S162</f>
        <v>0</v>
      </c>
      <c r="U162" s="1051">
        <f>0-SUM(S162:T162)</f>
        <v>0</v>
      </c>
      <c r="V162" s="1051">
        <f>0-SUM(S162:U162)</f>
        <v>0</v>
      </c>
      <c r="W162" s="1052">
        <f t="shared" si="376"/>
        <v>0</v>
      </c>
      <c r="X162" s="1051">
        <v>0</v>
      </c>
      <c r="Y162" s="1051">
        <f>0-X162</f>
        <v>0</v>
      </c>
      <c r="Z162" s="1051">
        <f>0-SUM(X162:Y162)</f>
        <v>0</v>
      </c>
      <c r="AA162" s="1051">
        <f>0-SUM(X162:Z162)</f>
        <v>0</v>
      </c>
      <c r="AB162" s="1052">
        <f t="shared" si="377"/>
        <v>0</v>
      </c>
      <c r="AC162" s="1051">
        <v>0</v>
      </c>
      <c r="AD162" s="1051">
        <f>0-AC162</f>
        <v>0</v>
      </c>
      <c r="AE162" s="1051">
        <f>0-SUM(AC162:AD162)</f>
        <v>0</v>
      </c>
      <c r="AF162" s="1051">
        <f>0-SUM(AC162:AE162)</f>
        <v>0</v>
      </c>
      <c r="AG162" s="1052">
        <f t="shared" si="378"/>
        <v>0</v>
      </c>
      <c r="AH162" s="1051">
        <v>0</v>
      </c>
      <c r="AI162" s="1051">
        <f>0-AH162</f>
        <v>0</v>
      </c>
      <c r="AJ162" s="1051">
        <f>0-SUM(AH162:AI162)</f>
        <v>0</v>
      </c>
      <c r="AK162" s="1051">
        <f>0-SUM(AH162:AJ162)</f>
        <v>0</v>
      </c>
      <c r="AL162" s="1052">
        <f t="shared" si="379"/>
        <v>0</v>
      </c>
      <c r="AM162" s="1051">
        <v>0</v>
      </c>
      <c r="AN162" s="1051">
        <f>0-AM162</f>
        <v>0</v>
      </c>
      <c r="AO162" s="1051">
        <f>0-SUM(AM162:AN162)</f>
        <v>0</v>
      </c>
      <c r="AP162" s="1051">
        <f>0-SUM(AM162:AO162)</f>
        <v>0</v>
      </c>
      <c r="AQ162" s="1052">
        <f t="shared" si="380"/>
        <v>0</v>
      </c>
      <c r="AR162" s="1051">
        <v>0</v>
      </c>
      <c r="AS162" s="1051">
        <f t="shared" ref="AS162:AS167" si="399">0-AR162</f>
        <v>0</v>
      </c>
      <c r="AT162" s="1051">
        <f>0-SUM(AR162:AS162)</f>
        <v>0</v>
      </c>
      <c r="AU162" s="1057"/>
      <c r="AV162" s="555"/>
      <c r="AW162" s="555"/>
      <c r="AX162" s="555"/>
      <c r="AY162" s="555"/>
      <c r="AZ162" s="1053">
        <v>0</v>
      </c>
      <c r="BA162" s="1051">
        <v>0</v>
      </c>
      <c r="BB162" s="1051">
        <f>0-BA162</f>
        <v>0</v>
      </c>
      <c r="BC162" s="1051">
        <f>0-SUM(BA162:BB162)</f>
        <v>0</v>
      </c>
      <c r="BD162" s="1051">
        <f>-80-SUM(BA162:BC162)</f>
        <v>-80</v>
      </c>
      <c r="BE162" s="1052">
        <f t="shared" si="381"/>
        <v>-80</v>
      </c>
      <c r="BF162" s="1051">
        <v>-27</v>
      </c>
      <c r="BG162" s="1051">
        <f>-65-BF162</f>
        <v>-38</v>
      </c>
      <c r="BH162" s="1051">
        <f>-79-SUM(BF162:BG162)</f>
        <v>-14</v>
      </c>
      <c r="BI162" s="1051">
        <f>-84-SUM(BF162:BH162)</f>
        <v>-5</v>
      </c>
      <c r="BJ162" s="1052">
        <f t="shared" si="382"/>
        <v>-84</v>
      </c>
      <c r="BK162" s="1051">
        <v>0</v>
      </c>
      <c r="BL162" s="1051">
        <f>0-BK162</f>
        <v>0</v>
      </c>
      <c r="BM162" s="1051">
        <f>0-SUM(BK162:BL162)</f>
        <v>0</v>
      </c>
      <c r="BN162" s="1051">
        <f>0-SUM(BK162:BM162)</f>
        <v>0</v>
      </c>
      <c r="BO162" s="1052">
        <f t="shared" si="383"/>
        <v>0</v>
      </c>
      <c r="BP162" s="1051">
        <v>0</v>
      </c>
      <c r="BQ162" s="1051">
        <f>0-BP162</f>
        <v>0</v>
      </c>
      <c r="BR162" s="1051">
        <f>0-SUM(BP162:BQ162)</f>
        <v>0</v>
      </c>
      <c r="BS162" s="1051">
        <f>0-SUM(BP162:BR162)</f>
        <v>0</v>
      </c>
      <c r="BT162" s="1052">
        <f t="shared" si="384"/>
        <v>0</v>
      </c>
      <c r="BU162" s="1051">
        <v>0</v>
      </c>
      <c r="BV162" s="1051">
        <f>0-BU162</f>
        <v>0</v>
      </c>
      <c r="BW162" s="1051">
        <f>0-SUM(BU162:BV162)</f>
        <v>0</v>
      </c>
      <c r="BX162" s="1051">
        <f>0-SUM(BU162:BW162)</f>
        <v>0</v>
      </c>
      <c r="BY162" s="1052">
        <f t="shared" si="385"/>
        <v>0</v>
      </c>
      <c r="BZ162" s="1051">
        <v>0</v>
      </c>
      <c r="CA162" s="1051">
        <f>0-BZ162</f>
        <v>0</v>
      </c>
      <c r="CB162" s="1051">
        <f>0-SUM(BZ162:CA162)</f>
        <v>0</v>
      </c>
      <c r="CC162" s="1051">
        <f>0-SUM(BZ162:CB162)</f>
        <v>0</v>
      </c>
      <c r="CD162" s="1052">
        <f t="shared" si="386"/>
        <v>0</v>
      </c>
      <c r="CE162" s="1051">
        <v>0</v>
      </c>
      <c r="CF162" s="1051">
        <f>0-CE162</f>
        <v>0</v>
      </c>
      <c r="CG162" s="1051">
        <f>0-SUM(CE162:CF162)</f>
        <v>0</v>
      </c>
      <c r="CH162" s="1051">
        <f>0-SUM(CE162:CG162)</f>
        <v>0</v>
      </c>
      <c r="CI162" s="1052">
        <f t="shared" si="387"/>
        <v>0</v>
      </c>
      <c r="CJ162" s="1051">
        <v>0</v>
      </c>
      <c r="CK162" s="1051">
        <f>0-CJ162</f>
        <v>0</v>
      </c>
      <c r="CL162" s="1051">
        <f>0-SUM(CJ162:CK162)</f>
        <v>0</v>
      </c>
      <c r="CM162" s="1051">
        <f>0-SUM(CJ162:CL162)</f>
        <v>0</v>
      </c>
      <c r="CN162" s="1052">
        <f t="shared" si="388"/>
        <v>0</v>
      </c>
      <c r="CO162" s="1051">
        <v>0</v>
      </c>
      <c r="CP162" s="1051">
        <f>0-CO162</f>
        <v>0</v>
      </c>
      <c r="CQ162" s="1051">
        <f>0-SUM(CO162:CP162)</f>
        <v>0</v>
      </c>
      <c r="CR162" s="1051">
        <f>0-SUM(CO162:CQ162)</f>
        <v>0</v>
      </c>
      <c r="CS162" s="1052">
        <f t="shared" si="389"/>
        <v>0</v>
      </c>
      <c r="CT162" s="890">
        <v>0</v>
      </c>
      <c r="CU162" s="890">
        <f>0-CT162</f>
        <v>0</v>
      </c>
      <c r="CV162" s="890">
        <f>0-CT162-CU162</f>
        <v>0</v>
      </c>
      <c r="CW162" s="1022">
        <v>0</v>
      </c>
      <c r="CX162" s="1052">
        <f t="shared" si="390"/>
        <v>0</v>
      </c>
      <c r="CY162" s="890">
        <v>0</v>
      </c>
      <c r="CZ162" s="1022">
        <v>0</v>
      </c>
      <c r="DA162" s="1022">
        <v>0</v>
      </c>
      <c r="DB162" s="1022">
        <v>0</v>
      </c>
      <c r="DC162" s="1052">
        <f t="shared" si="391"/>
        <v>0</v>
      </c>
      <c r="DD162" s="890">
        <v>0</v>
      </c>
      <c r="DE162" s="1022">
        <v>0</v>
      </c>
      <c r="DF162" s="1022">
        <v>0</v>
      </c>
      <c r="DG162" s="1022">
        <v>0</v>
      </c>
      <c r="DH162" s="1052">
        <f t="shared" si="392"/>
        <v>0</v>
      </c>
      <c r="DI162" s="890">
        <v>-11</v>
      </c>
      <c r="DJ162" s="1077">
        <f>0-DI162</f>
        <v>11</v>
      </c>
      <c r="DK162" s="1022">
        <v>0</v>
      </c>
      <c r="DL162" s="1022">
        <f>0-DK162-DJ162-DI162</f>
        <v>0</v>
      </c>
      <c r="DM162" s="1052">
        <f t="shared" si="393"/>
        <v>0</v>
      </c>
      <c r="DN162" s="890">
        <v>0</v>
      </c>
      <c r="DO162" s="1077">
        <v>0</v>
      </c>
      <c r="DP162" s="1077">
        <v>0</v>
      </c>
      <c r="DQ162" s="1022">
        <v>0</v>
      </c>
      <c r="DR162" s="1052">
        <f t="shared" si="394"/>
        <v>0</v>
      </c>
      <c r="DS162" s="890">
        <v>0</v>
      </c>
      <c r="DT162" s="1077">
        <v>0</v>
      </c>
      <c r="DU162" s="1077">
        <v>0</v>
      </c>
      <c r="DV162" s="1022">
        <v>0</v>
      </c>
      <c r="DW162" s="1052">
        <f t="shared" si="395"/>
        <v>0</v>
      </c>
      <c r="DX162" s="1022">
        <v>0</v>
      </c>
      <c r="DY162" s="1022">
        <v>0</v>
      </c>
      <c r="DZ162" s="1022">
        <v>0</v>
      </c>
      <c r="EA162" s="1022">
        <v>0</v>
      </c>
      <c r="EB162" s="1052">
        <f t="shared" si="396"/>
        <v>0</v>
      </c>
      <c r="EC162" s="1022">
        <v>0</v>
      </c>
      <c r="ED162" s="1022">
        <v>0</v>
      </c>
      <c r="EE162" s="1022">
        <v>0</v>
      </c>
      <c r="EF162" s="1022">
        <v>0</v>
      </c>
      <c r="EG162" s="1052">
        <f t="shared" si="397"/>
        <v>0</v>
      </c>
      <c r="EH162" s="1022">
        <v>0</v>
      </c>
      <c r="EI162" s="1022">
        <v>0</v>
      </c>
      <c r="EJ162" s="1022">
        <v>0</v>
      </c>
      <c r="EK162" s="1022">
        <v>0</v>
      </c>
      <c r="EL162" s="1052">
        <f t="shared" si="398"/>
        <v>0</v>
      </c>
      <c r="EM162" s="901"/>
      <c r="EN162"/>
      <c r="EO162"/>
      <c r="EP162"/>
      <c r="EQ162"/>
      <c r="ER162"/>
      <c r="ES162"/>
      <c r="ET162" s="135"/>
      <c r="EU162" s="135"/>
      <c r="EV162" s="135"/>
      <c r="EW162" s="135"/>
      <c r="EX162" s="135"/>
      <c r="EY162" s="135"/>
      <c r="EZ162" s="135"/>
      <c r="FA162" s="135"/>
      <c r="FB162" s="135"/>
      <c r="FC162" s="135"/>
      <c r="FD162" s="135"/>
      <c r="FE162" s="135"/>
      <c r="FF162" s="135"/>
      <c r="FG162" s="135"/>
      <c r="FH162" s="135"/>
      <c r="FI162" s="135"/>
      <c r="FJ162" s="135"/>
      <c r="FK162" s="135"/>
      <c r="FL162" s="135"/>
      <c r="FM162" s="135"/>
      <c r="FN162" s="135"/>
      <c r="FO162" s="135"/>
      <c r="FP162" s="135"/>
      <c r="FQ162" s="135"/>
      <c r="FR162" s="135"/>
      <c r="FS162" s="135"/>
      <c r="FT162" s="135"/>
      <c r="FU162" s="135"/>
      <c r="FV162" s="135"/>
      <c r="FW162" s="135"/>
      <c r="FX162" s="135"/>
      <c r="FY162" s="135"/>
      <c r="FZ162" s="135"/>
      <c r="GA162" s="135"/>
      <c r="GB162" s="135"/>
      <c r="GC162" s="135"/>
      <c r="GD162" s="135"/>
      <c r="GE162" s="135"/>
      <c r="GF162" s="135"/>
      <c r="GG162" s="135"/>
      <c r="GH162" s="135"/>
      <c r="GI162" s="135"/>
      <c r="GJ162" s="135"/>
      <c r="GK162" s="135"/>
      <c r="GL162" s="135"/>
      <c r="GM162" s="135"/>
      <c r="GN162" s="135"/>
      <c r="GO162" s="135"/>
      <c r="GP162" s="135"/>
      <c r="GQ162" s="135"/>
      <c r="GR162" s="135"/>
      <c r="GS162" s="135"/>
      <c r="GT162" s="135"/>
      <c r="GU162" s="135"/>
      <c r="GV162" s="135"/>
      <c r="GW162" s="135"/>
      <c r="GX162" s="135"/>
      <c r="GY162" s="135"/>
      <c r="GZ162" s="135"/>
      <c r="HA162" s="135"/>
      <c r="HB162" s="135"/>
      <c r="HC162" s="135"/>
      <c r="HD162" s="135"/>
      <c r="HE162" s="135"/>
      <c r="HF162" s="135"/>
      <c r="HG162" s="135"/>
      <c r="HH162" s="135"/>
      <c r="HI162" s="135"/>
      <c r="HJ162" s="135"/>
      <c r="HK162" s="135"/>
      <c r="HL162" s="135"/>
      <c r="HM162" s="135"/>
      <c r="HN162" s="135"/>
      <c r="HO162" s="135"/>
      <c r="HP162" s="135"/>
      <c r="HQ162" s="135"/>
      <c r="HR162" s="135"/>
      <c r="HS162" s="135"/>
      <c r="HT162" s="135"/>
      <c r="HU162" s="135"/>
      <c r="HV162" s="135"/>
      <c r="HW162" s="135"/>
      <c r="HX162" s="135"/>
      <c r="HY162" s="135"/>
      <c r="HZ162" s="135"/>
      <c r="IA162" s="135"/>
      <c r="IB162" s="135"/>
      <c r="IC162" s="135"/>
      <c r="ID162" s="135"/>
      <c r="IE162" s="135"/>
      <c r="IF162" s="135"/>
      <c r="IG162" s="135"/>
      <c r="IH162" s="135"/>
      <c r="II162" s="135"/>
      <c r="IJ162" s="135"/>
      <c r="IK162" s="135"/>
      <c r="IL162" s="135"/>
      <c r="IM162" s="135"/>
      <c r="IN162" s="135"/>
      <c r="IO162" s="135"/>
      <c r="IP162" s="135"/>
      <c r="IQ162" s="135"/>
      <c r="IR162" s="135"/>
      <c r="IS162" s="135"/>
      <c r="IT162" s="135"/>
      <c r="IU162" s="135"/>
      <c r="IV162" s="135"/>
      <c r="IW162" s="135"/>
      <c r="IX162" s="135"/>
      <c r="IY162" s="135"/>
      <c r="IZ162" s="135"/>
      <c r="JA162" s="135"/>
      <c r="JB162" s="135"/>
      <c r="JC162" s="135"/>
      <c r="JD162" s="135"/>
      <c r="JE162" s="135"/>
      <c r="JF162" s="135"/>
      <c r="JG162" s="135"/>
      <c r="JH162" s="135"/>
    </row>
    <row r="163" spans="1:268" s="4" customFormat="1" collapsed="1">
      <c r="A163" s="801"/>
      <c r="B163" s="555" t="s">
        <v>66</v>
      </c>
      <c r="C163" s="555"/>
      <c r="D163" s="1051">
        <v>0</v>
      </c>
      <c r="E163" s="1051">
        <f>0-D163</f>
        <v>0</v>
      </c>
      <c r="F163" s="1051">
        <f>0-SUM(D163:E163)</f>
        <v>0</v>
      </c>
      <c r="G163" s="1051">
        <f>0-SUM(D163:F163)</f>
        <v>0</v>
      </c>
      <c r="H163" s="1052">
        <f t="shared" si="373"/>
        <v>0</v>
      </c>
      <c r="I163" s="1051">
        <v>0</v>
      </c>
      <c r="J163" s="1051">
        <f>0-I163</f>
        <v>0</v>
      </c>
      <c r="K163" s="1051">
        <f>0-SUM(I163:J163)</f>
        <v>0</v>
      </c>
      <c r="L163" s="1051">
        <f>0-SUM(I163:K163)</f>
        <v>0</v>
      </c>
      <c r="M163" s="1052">
        <f t="shared" si="374"/>
        <v>0</v>
      </c>
      <c r="N163" s="1051">
        <v>0</v>
      </c>
      <c r="O163" s="1051">
        <f>0-N163</f>
        <v>0</v>
      </c>
      <c r="P163" s="1051">
        <f>0-SUM(N163:O163)</f>
        <v>0</v>
      </c>
      <c r="Q163" s="1051">
        <f>0-SUM(N163:P163)</f>
        <v>0</v>
      </c>
      <c r="R163" s="1052">
        <f t="shared" si="375"/>
        <v>0</v>
      </c>
      <c r="S163" s="1051">
        <v>0</v>
      </c>
      <c r="T163" s="1051">
        <f>0-S163</f>
        <v>0</v>
      </c>
      <c r="U163" s="1051">
        <f>0-SUM(S163:T163)</f>
        <v>0</v>
      </c>
      <c r="V163" s="1051">
        <f>0-SUM(S163:U163)</f>
        <v>0</v>
      </c>
      <c r="W163" s="1052">
        <f t="shared" si="376"/>
        <v>0</v>
      </c>
      <c r="X163" s="1051">
        <v>0</v>
      </c>
      <c r="Y163" s="1051">
        <f>0-X163</f>
        <v>0</v>
      </c>
      <c r="Z163" s="1051">
        <f>0-SUM(X163:Y163)</f>
        <v>0</v>
      </c>
      <c r="AA163" s="1051">
        <f>0-SUM(X163:Z163)</f>
        <v>0</v>
      </c>
      <c r="AB163" s="1052">
        <f t="shared" si="377"/>
        <v>0</v>
      </c>
      <c r="AC163" s="1051">
        <v>0</v>
      </c>
      <c r="AD163" s="1051">
        <f>0-AC163</f>
        <v>0</v>
      </c>
      <c r="AE163" s="1051">
        <f>0-SUM(AC163:AD163)</f>
        <v>0</v>
      </c>
      <c r="AF163" s="1051">
        <f>0-SUM(AC163:AE163)</f>
        <v>0</v>
      </c>
      <c r="AG163" s="1052">
        <f t="shared" si="378"/>
        <v>0</v>
      </c>
      <c r="AH163" s="1051">
        <v>0</v>
      </c>
      <c r="AI163" s="1051">
        <f>0-AH163</f>
        <v>0</v>
      </c>
      <c r="AJ163" s="1051">
        <f>0-SUM(AH163:AI163)</f>
        <v>0</v>
      </c>
      <c r="AK163" s="1051">
        <f>0-SUM(AH163:AJ163)</f>
        <v>0</v>
      </c>
      <c r="AL163" s="1052">
        <f t="shared" si="379"/>
        <v>0</v>
      </c>
      <c r="AM163" s="1051">
        <v>0</v>
      </c>
      <c r="AN163" s="1051">
        <f>0-AM163</f>
        <v>0</v>
      </c>
      <c r="AO163" s="1051">
        <f>0-SUM(AM163:AN163)</f>
        <v>0</v>
      </c>
      <c r="AP163" s="1051">
        <f>0-SUM(AM163:AO163)</f>
        <v>0</v>
      </c>
      <c r="AQ163" s="1052">
        <f t="shared" si="380"/>
        <v>0</v>
      </c>
      <c r="AR163" s="1051">
        <v>0</v>
      </c>
      <c r="AS163" s="1051">
        <f t="shared" si="399"/>
        <v>0</v>
      </c>
      <c r="AT163" s="1051">
        <f>0-SUM(AR163:AS163)</f>
        <v>0</v>
      </c>
      <c r="AU163" s="802"/>
      <c r="AV163" s="555"/>
      <c r="AW163" s="555"/>
      <c r="AX163" s="555"/>
      <c r="AY163" s="555"/>
      <c r="AZ163" s="1053">
        <v>0</v>
      </c>
      <c r="BA163" s="1051">
        <v>0</v>
      </c>
      <c r="BB163" s="1051">
        <f>0-BA163</f>
        <v>0</v>
      </c>
      <c r="BC163" s="1051">
        <f>0-SUM(BA163:BB163)</f>
        <v>0</v>
      </c>
      <c r="BD163" s="1051">
        <f>0-SUM(BA163:BC163)</f>
        <v>0</v>
      </c>
      <c r="BE163" s="1052">
        <f t="shared" si="381"/>
        <v>0</v>
      </c>
      <c r="BF163" s="1051">
        <v>-5</v>
      </c>
      <c r="BG163" s="1051">
        <f>-10-BF163</f>
        <v>-5</v>
      </c>
      <c r="BH163" s="1051">
        <f>-16-SUM(BF163:BG163)</f>
        <v>-6</v>
      </c>
      <c r="BI163" s="1051">
        <f>-20-SUM(BF163:BH163)</f>
        <v>-4</v>
      </c>
      <c r="BJ163" s="1052">
        <f t="shared" si="382"/>
        <v>-20</v>
      </c>
      <c r="BK163" s="1051">
        <v>0</v>
      </c>
      <c r="BL163" s="1051">
        <f>-1-BK163</f>
        <v>-1</v>
      </c>
      <c r="BM163" s="1051">
        <f>-2-SUM(BK163:BL163)</f>
        <v>-1</v>
      </c>
      <c r="BN163" s="1051">
        <f>-2-SUM(BK163:BM163)</f>
        <v>0</v>
      </c>
      <c r="BO163" s="1052">
        <f t="shared" si="383"/>
        <v>-2</v>
      </c>
      <c r="BP163" s="1051">
        <v>-1</v>
      </c>
      <c r="BQ163" s="1051">
        <f>-30-BP163</f>
        <v>-29</v>
      </c>
      <c r="BR163" s="1051">
        <f>-45-SUM(BP163:BQ163)</f>
        <v>-15</v>
      </c>
      <c r="BS163" s="1051">
        <f>-50-SUM(BP163:BR163)</f>
        <v>-5</v>
      </c>
      <c r="BT163" s="1052">
        <f t="shared" si="384"/>
        <v>-50</v>
      </c>
      <c r="BU163" s="1051">
        <v>-1</v>
      </c>
      <c r="BV163" s="1051">
        <f>-3-BU163</f>
        <v>-2</v>
      </c>
      <c r="BW163" s="1051">
        <f>-11-SUM(BU163:BV163)</f>
        <v>-8</v>
      </c>
      <c r="BX163" s="1051">
        <f>-14-SUM(BU163:BW163)</f>
        <v>-3</v>
      </c>
      <c r="BY163" s="1052">
        <f t="shared" si="385"/>
        <v>-14</v>
      </c>
      <c r="BZ163" s="1051">
        <v>-1</v>
      </c>
      <c r="CA163" s="1051">
        <f>-10-BZ163</f>
        <v>-9</v>
      </c>
      <c r="CB163" s="1051">
        <f>-16-SUM(BZ163:CA163)</f>
        <v>-6</v>
      </c>
      <c r="CC163" s="1051">
        <f>-20-SUM(BZ163:CB163)</f>
        <v>-4</v>
      </c>
      <c r="CD163" s="1052">
        <f t="shared" si="386"/>
        <v>-20</v>
      </c>
      <c r="CE163" s="1051">
        <v>-1</v>
      </c>
      <c r="CF163" s="1051">
        <f>-1-CE163</f>
        <v>0</v>
      </c>
      <c r="CG163" s="1051">
        <f>-1-SUM(CE163:CF163)</f>
        <v>0</v>
      </c>
      <c r="CH163" s="1051">
        <f>-1-SUM(CE163:CG163)</f>
        <v>0</v>
      </c>
      <c r="CI163" s="1052">
        <f t="shared" si="387"/>
        <v>-1</v>
      </c>
      <c r="CJ163" s="1051">
        <v>0</v>
      </c>
      <c r="CK163" s="1051">
        <v>0</v>
      </c>
      <c r="CL163" s="1051">
        <f>-13-SUM(CJ163:CK163)</f>
        <v>-13</v>
      </c>
      <c r="CM163" s="1051">
        <f>-13-SUM(CJ163:CL163)</f>
        <v>0</v>
      </c>
      <c r="CN163" s="1052">
        <f t="shared" si="388"/>
        <v>-13</v>
      </c>
      <c r="CO163" s="1051">
        <v>0</v>
      </c>
      <c r="CP163" s="1051">
        <f>0-CO163</f>
        <v>0</v>
      </c>
      <c r="CQ163" s="1051">
        <f>0-SUM(CO163:CP163)</f>
        <v>0</v>
      </c>
      <c r="CR163" s="1051">
        <f>0-SUM(CO163:CQ163)</f>
        <v>0</v>
      </c>
      <c r="CS163" s="1052">
        <f t="shared" si="389"/>
        <v>0</v>
      </c>
      <c r="CT163" s="890">
        <v>0</v>
      </c>
      <c r="CU163" s="890">
        <f>-1-CT163</f>
        <v>-1</v>
      </c>
      <c r="CV163" s="890">
        <f>-2-CT163-CU163</f>
        <v>-1</v>
      </c>
      <c r="CW163" s="890">
        <f>-2-SUM(CT163:CV163)</f>
        <v>0</v>
      </c>
      <c r="CX163" s="1052">
        <f t="shared" si="390"/>
        <v>-2</v>
      </c>
      <c r="CY163" s="890">
        <v>0</v>
      </c>
      <c r="CZ163" s="1022">
        <v>0</v>
      </c>
      <c r="DA163" s="1022">
        <v>0</v>
      </c>
      <c r="DB163" s="890">
        <v>0</v>
      </c>
      <c r="DC163" s="1052">
        <f t="shared" si="391"/>
        <v>0</v>
      </c>
      <c r="DD163" s="890">
        <v>0</v>
      </c>
      <c r="DE163" s="1022"/>
      <c r="DF163" s="1022"/>
      <c r="DG163" s="890"/>
      <c r="DH163" s="1052">
        <f t="shared" si="392"/>
        <v>0</v>
      </c>
      <c r="DI163" s="890">
        <v>0</v>
      </c>
      <c r="DJ163" s="1022">
        <v>0</v>
      </c>
      <c r="DK163" s="1022"/>
      <c r="DL163" s="890"/>
      <c r="DM163" s="1052">
        <f t="shared" si="393"/>
        <v>0</v>
      </c>
      <c r="DN163" s="890"/>
      <c r="DO163" s="1022"/>
      <c r="DP163" s="1022"/>
      <c r="DQ163" s="890"/>
      <c r="DR163" s="1052">
        <f t="shared" si="394"/>
        <v>0</v>
      </c>
      <c r="DS163" s="890">
        <v>0</v>
      </c>
      <c r="DT163" s="1077">
        <v>0</v>
      </c>
      <c r="DU163" s="1077">
        <v>0</v>
      </c>
      <c r="DV163" s="890"/>
      <c r="DW163" s="1052">
        <f>SUM(DS163:DV163)</f>
        <v>0</v>
      </c>
      <c r="DX163" s="1022">
        <v>0</v>
      </c>
      <c r="DY163" s="1022">
        <v>0</v>
      </c>
      <c r="DZ163" s="1022">
        <v>0</v>
      </c>
      <c r="EA163" s="1022">
        <v>0</v>
      </c>
      <c r="EB163" s="1052">
        <f t="shared" si="396"/>
        <v>0</v>
      </c>
      <c r="EC163" s="1022">
        <v>0</v>
      </c>
      <c r="ED163" s="1022">
        <v>0</v>
      </c>
      <c r="EE163" s="1022">
        <v>0</v>
      </c>
      <c r="EF163" s="1022">
        <v>0</v>
      </c>
      <c r="EG163" s="1052">
        <f t="shared" si="397"/>
        <v>0</v>
      </c>
      <c r="EH163" s="1022">
        <v>0</v>
      </c>
      <c r="EI163" s="1022">
        <v>0</v>
      </c>
      <c r="EJ163" s="1022">
        <v>0</v>
      </c>
      <c r="EK163" s="1022">
        <v>0</v>
      </c>
      <c r="EL163" s="1052">
        <f t="shared" si="398"/>
        <v>0</v>
      </c>
      <c r="EM163" s="901"/>
      <c r="EN163"/>
      <c r="EO163"/>
      <c r="EP163"/>
      <c r="EQ163"/>
      <c r="ER163"/>
      <c r="ES163"/>
      <c r="ET163" s="135"/>
      <c r="EU163" s="135"/>
      <c r="EV163" s="135"/>
      <c r="EW163" s="135"/>
      <c r="EX163" s="135"/>
      <c r="EY163" s="135"/>
      <c r="EZ163" s="135"/>
      <c r="FA163" s="135"/>
      <c r="FB163" s="135"/>
      <c r="FC163" s="135"/>
      <c r="FD163" s="135"/>
      <c r="FE163" s="135"/>
      <c r="FF163" s="135"/>
      <c r="FG163" s="135"/>
      <c r="FH163" s="135"/>
      <c r="FI163" s="135"/>
      <c r="FJ163" s="135"/>
      <c r="FK163" s="135"/>
      <c r="FL163" s="135"/>
      <c r="FM163" s="135"/>
      <c r="FN163" s="135"/>
      <c r="FO163" s="135"/>
      <c r="FP163" s="135"/>
      <c r="FQ163" s="135"/>
      <c r="FR163" s="135"/>
      <c r="FS163" s="135"/>
      <c r="FT163" s="135"/>
      <c r="FU163" s="135"/>
      <c r="FV163" s="135"/>
      <c r="FW163" s="135"/>
      <c r="FX163" s="135"/>
      <c r="FY163" s="135"/>
      <c r="FZ163" s="135"/>
      <c r="GA163" s="135"/>
      <c r="GB163" s="135"/>
      <c r="GC163" s="135"/>
      <c r="GD163" s="135"/>
      <c r="GE163" s="135"/>
      <c r="GF163" s="135"/>
      <c r="GG163" s="135"/>
      <c r="GH163" s="135"/>
      <c r="GI163" s="135"/>
      <c r="GJ163" s="135"/>
      <c r="GK163" s="135"/>
      <c r="GL163" s="135"/>
      <c r="GM163" s="135"/>
      <c r="GN163" s="135"/>
      <c r="GO163" s="135"/>
      <c r="GP163" s="135"/>
      <c r="GQ163" s="135"/>
      <c r="GR163" s="135"/>
      <c r="GS163" s="135"/>
      <c r="GT163" s="135"/>
      <c r="GU163" s="135"/>
      <c r="GV163" s="135"/>
      <c r="GW163" s="135"/>
      <c r="GX163" s="135"/>
      <c r="GY163" s="135"/>
      <c r="GZ163" s="135"/>
      <c r="HA163" s="135"/>
      <c r="HB163" s="135"/>
      <c r="HC163" s="135"/>
      <c r="HD163" s="135"/>
      <c r="HE163" s="135"/>
      <c r="HF163" s="135"/>
      <c r="HG163" s="135"/>
      <c r="HH163" s="135"/>
      <c r="HI163" s="135"/>
      <c r="HJ163" s="135"/>
      <c r="HK163" s="135"/>
      <c r="HL163" s="135"/>
      <c r="HM163" s="135"/>
      <c r="HN163" s="135"/>
      <c r="HO163" s="135"/>
      <c r="HP163" s="135"/>
      <c r="HQ163" s="135"/>
      <c r="HR163" s="135"/>
      <c r="HS163" s="135"/>
      <c r="HT163" s="135"/>
      <c r="HU163" s="135"/>
      <c r="HV163" s="135"/>
      <c r="HW163" s="135"/>
      <c r="HX163" s="135"/>
      <c r="HY163" s="135"/>
      <c r="HZ163" s="135"/>
      <c r="IA163" s="135"/>
      <c r="IB163" s="135"/>
      <c r="IC163" s="135"/>
      <c r="ID163" s="135"/>
      <c r="IE163" s="135"/>
      <c r="IF163" s="135"/>
      <c r="IG163" s="135"/>
      <c r="IH163" s="135"/>
      <c r="II163" s="135"/>
      <c r="IJ163" s="135"/>
      <c r="IK163" s="135"/>
      <c r="IL163" s="135"/>
      <c r="IM163" s="135"/>
      <c r="IN163" s="135"/>
      <c r="IO163" s="135"/>
      <c r="IP163" s="135"/>
      <c r="IQ163" s="135"/>
      <c r="IR163" s="135"/>
      <c r="IS163" s="135"/>
      <c r="IT163" s="135"/>
      <c r="IU163" s="135"/>
      <c r="IV163" s="135"/>
      <c r="IW163" s="135"/>
      <c r="IX163" s="135"/>
      <c r="IY163" s="135"/>
      <c r="IZ163" s="135"/>
      <c r="JA163" s="135"/>
      <c r="JB163" s="135"/>
      <c r="JC163" s="135"/>
      <c r="JD163" s="135"/>
      <c r="JE163" s="135"/>
      <c r="JF163" s="135"/>
      <c r="JG163" s="135"/>
      <c r="JH163" s="135"/>
    </row>
    <row r="164" spans="1:268" s="4" customFormat="1">
      <c r="A164" s="801"/>
      <c r="B164" s="555" t="s">
        <v>67</v>
      </c>
      <c r="C164" s="555"/>
      <c r="D164" s="1051">
        <v>-9.02</v>
      </c>
      <c r="E164" s="1051">
        <f>-9-D164</f>
        <v>1.9999999999999574E-2</v>
      </c>
      <c r="F164" s="1051">
        <f>-16.1-SUM(D164:E164)</f>
        <v>-7.1000000000000014</v>
      </c>
      <c r="G164" s="1051">
        <f>-1429-SUM(D164:F164)</f>
        <v>-1412.9</v>
      </c>
      <c r="H164" s="1052">
        <f t="shared" si="373"/>
        <v>-1429</v>
      </c>
      <c r="I164" s="1051">
        <v>-224.3</v>
      </c>
      <c r="J164" s="1051">
        <f>-367.3-I164</f>
        <v>-143</v>
      </c>
      <c r="K164" s="1051">
        <f>-369.9-SUM(I164:J164)</f>
        <v>-2.5999999999999659</v>
      </c>
      <c r="L164" s="1051">
        <f>-410-SUM(I164:K164)</f>
        <v>-40.100000000000023</v>
      </c>
      <c r="M164" s="1052">
        <f t="shared" si="374"/>
        <v>-410</v>
      </c>
      <c r="N164" s="1051">
        <v>-79.2</v>
      </c>
      <c r="O164" s="1051">
        <f>-159.7-N164</f>
        <v>-80.499999999999986</v>
      </c>
      <c r="P164" s="1051">
        <f>-676.5-SUM(N164:O164)</f>
        <v>-516.79999999999995</v>
      </c>
      <c r="Q164" s="1051">
        <f>-787-SUM(N164:P164)</f>
        <v>-110.5</v>
      </c>
      <c r="R164" s="1052">
        <f t="shared" si="375"/>
        <v>-787</v>
      </c>
      <c r="S164" s="1051">
        <v>-126</v>
      </c>
      <c r="T164" s="1051">
        <f>-381-S164</f>
        <v>-255</v>
      </c>
      <c r="U164" s="1051">
        <f>-679-SUM(S164:T164)</f>
        <v>-298</v>
      </c>
      <c r="V164" s="1051">
        <f>-679-SUM(S164:U164)</f>
        <v>0</v>
      </c>
      <c r="W164" s="1052">
        <f t="shared" si="376"/>
        <v>-679</v>
      </c>
      <c r="X164" s="1051">
        <v>-84</v>
      </c>
      <c r="Y164" s="1051">
        <f>-446-X164</f>
        <v>-362</v>
      </c>
      <c r="Z164" s="1051">
        <f>-470-SUM(X164:Y164)</f>
        <v>-24</v>
      </c>
      <c r="AA164" s="1051">
        <f>-646-SUM(X164:Z164)</f>
        <v>-176</v>
      </c>
      <c r="AB164" s="1052">
        <f t="shared" si="377"/>
        <v>-646</v>
      </c>
      <c r="AC164" s="1051">
        <v>-24</v>
      </c>
      <c r="AD164" s="1051">
        <f>-38-AC164</f>
        <v>-14</v>
      </c>
      <c r="AE164" s="1051">
        <f>-36-SUM(AC164:AD164)</f>
        <v>2</v>
      </c>
      <c r="AF164" s="1051">
        <f>-38-SUM(AC164:AE164)</f>
        <v>-2</v>
      </c>
      <c r="AG164" s="1052">
        <f t="shared" si="378"/>
        <v>-38</v>
      </c>
      <c r="AH164" s="1051">
        <v>-9</v>
      </c>
      <c r="AI164" s="1051">
        <f>-13-AH164</f>
        <v>-4</v>
      </c>
      <c r="AJ164" s="1051">
        <f>-13-SUM(AH164:AI164)</f>
        <v>0</v>
      </c>
      <c r="AK164" s="1051">
        <f>-29-SUM(AH164:AJ164)</f>
        <v>-16</v>
      </c>
      <c r="AL164" s="1052">
        <f t="shared" si="379"/>
        <v>-29</v>
      </c>
      <c r="AM164" s="1051">
        <v>-248</v>
      </c>
      <c r="AN164" s="1051">
        <f>-273-AM164</f>
        <v>-25</v>
      </c>
      <c r="AO164" s="1051">
        <f>-324-SUM(AM164:AN164)</f>
        <v>-51</v>
      </c>
      <c r="AP164" s="1051">
        <f>-324-SUM(AM164:AO164)</f>
        <v>0</v>
      </c>
      <c r="AQ164" s="1052">
        <f t="shared" si="380"/>
        <v>-324</v>
      </c>
      <c r="AR164" s="1051">
        <v>0</v>
      </c>
      <c r="AS164" s="1051">
        <f t="shared" si="399"/>
        <v>0</v>
      </c>
      <c r="AT164" s="1051">
        <f>-27-SUM(AR164:AS164)</f>
        <v>-27</v>
      </c>
      <c r="AU164" s="802"/>
      <c r="AV164" s="555"/>
      <c r="AW164" s="555"/>
      <c r="AX164" s="555"/>
      <c r="AY164" s="555"/>
      <c r="AZ164" s="1053">
        <v>-27</v>
      </c>
      <c r="BA164" s="1051">
        <v>0</v>
      </c>
      <c r="BB164" s="1051">
        <f>0-BA164</f>
        <v>0</v>
      </c>
      <c r="BC164" s="1051">
        <f>0-SUM(BA164:BB164)</f>
        <v>0</v>
      </c>
      <c r="BD164" s="1051">
        <f>-39-SUM(BA164:BC164)</f>
        <v>-39</v>
      </c>
      <c r="BE164" s="1052">
        <f t="shared" si="381"/>
        <v>-39</v>
      </c>
      <c r="BF164" s="1051">
        <v>0</v>
      </c>
      <c r="BG164" s="1051">
        <f>0-BF164</f>
        <v>0</v>
      </c>
      <c r="BH164" s="1051">
        <f>0-SUM(BF164:BG164)</f>
        <v>0</v>
      </c>
      <c r="BI164" s="1051">
        <f>0-SUM(BF164:BH164)</f>
        <v>0</v>
      </c>
      <c r="BJ164" s="1052">
        <f t="shared" si="382"/>
        <v>0</v>
      </c>
      <c r="BK164" s="1051">
        <v>0</v>
      </c>
      <c r="BL164" s="1051">
        <f>0-BK164</f>
        <v>0</v>
      </c>
      <c r="BM164" s="1051">
        <f>0-SUM(BK164:BL164)</f>
        <v>0</v>
      </c>
      <c r="BN164" s="1051">
        <f>0-SUM(BK164:BM164)</f>
        <v>0</v>
      </c>
      <c r="BO164" s="1052">
        <f t="shared" si="383"/>
        <v>0</v>
      </c>
      <c r="BP164" s="1051">
        <v>0</v>
      </c>
      <c r="BQ164" s="1051">
        <f>0-BP164</f>
        <v>0</v>
      </c>
      <c r="BR164" s="1051">
        <f>-28-SUM(BP164:BQ164)</f>
        <v>-28</v>
      </c>
      <c r="BS164" s="1051">
        <f>-28-SUM(BP164:BR164)</f>
        <v>0</v>
      </c>
      <c r="BT164" s="1052">
        <f t="shared" si="384"/>
        <v>-28</v>
      </c>
      <c r="BU164" s="1051">
        <v>0</v>
      </c>
      <c r="BV164" s="1051">
        <f>-36-BU164</f>
        <v>-36</v>
      </c>
      <c r="BW164" s="1051">
        <f>-36-SUM(BU164:BV164)</f>
        <v>0</v>
      </c>
      <c r="BX164" s="1051">
        <f>-36-SUM(BU164:BW164)</f>
        <v>0</v>
      </c>
      <c r="BY164" s="1052">
        <f t="shared" si="385"/>
        <v>-36</v>
      </c>
      <c r="BZ164" s="1051">
        <v>0</v>
      </c>
      <c r="CA164" s="1051">
        <f>-3-BZ164</f>
        <v>-3</v>
      </c>
      <c r="CB164" s="1051">
        <f>-92-SUM(BZ164:CA164)</f>
        <v>-89</v>
      </c>
      <c r="CC164" s="1051">
        <f>-92-SUM(BZ164:CB164)</f>
        <v>0</v>
      </c>
      <c r="CD164" s="1052">
        <f t="shared" si="386"/>
        <v>-92</v>
      </c>
      <c r="CE164" s="1051">
        <v>0</v>
      </c>
      <c r="CF164" s="1051">
        <f>0-CE164</f>
        <v>0</v>
      </c>
      <c r="CG164" s="1051">
        <f>0-SUM(CE164:CF164)</f>
        <v>0</v>
      </c>
      <c r="CH164" s="1051">
        <f>0-SUM(CE164:CG164)</f>
        <v>0</v>
      </c>
      <c r="CI164" s="1052">
        <f t="shared" si="387"/>
        <v>0</v>
      </c>
      <c r="CJ164" s="1051">
        <f>+CI164</f>
        <v>0</v>
      </c>
      <c r="CK164" s="1051">
        <f>-2-CJ164</f>
        <v>-2</v>
      </c>
      <c r="CL164" s="1051">
        <f>-44-SUM(CJ164:CK164)</f>
        <v>-42</v>
      </c>
      <c r="CM164" s="1051">
        <f>-65-SUM(CJ164:CL164)</f>
        <v>-21</v>
      </c>
      <c r="CN164" s="1052">
        <f t="shared" si="388"/>
        <v>-65</v>
      </c>
      <c r="CO164" s="1051">
        <v>-18</v>
      </c>
      <c r="CP164" s="1051">
        <f>-42-CO164</f>
        <v>-24</v>
      </c>
      <c r="CQ164" s="1051">
        <f>-56-SUM(CP164,CO164)</f>
        <v>-14</v>
      </c>
      <c r="CR164" s="1051">
        <f>-84-SUM(CO164:CQ164)</f>
        <v>-28</v>
      </c>
      <c r="CS164" s="1052">
        <f t="shared" si="389"/>
        <v>-84</v>
      </c>
      <c r="CT164" s="1051">
        <v>-3</v>
      </c>
      <c r="CU164" s="1051">
        <f>-13-CT164</f>
        <v>-10</v>
      </c>
      <c r="CV164" s="1051">
        <f>-38-CT164-CU164</f>
        <v>-25</v>
      </c>
      <c r="CW164" s="1051">
        <f>-211-SUM(CT164:CV164)</f>
        <v>-173</v>
      </c>
      <c r="CX164" s="1052">
        <f t="shared" si="390"/>
        <v>-211</v>
      </c>
      <c r="CY164" s="1051">
        <v>-5</v>
      </c>
      <c r="CZ164" s="1051">
        <f>-16-CY164</f>
        <v>-11</v>
      </c>
      <c r="DA164" s="1051">
        <f>-142-CZ164-CY164</f>
        <v>-126</v>
      </c>
      <c r="DB164" s="1051">
        <f>-1515-SUM(CY164:DA164)</f>
        <v>-1373</v>
      </c>
      <c r="DC164" s="1052">
        <f t="shared" si="391"/>
        <v>-1515</v>
      </c>
      <c r="DD164" s="1051">
        <v>-9</v>
      </c>
      <c r="DE164" s="1051">
        <f>-42-DD164</f>
        <v>-33</v>
      </c>
      <c r="DF164" s="1051">
        <f>-185-SUM(DD164:DE164)</f>
        <v>-143</v>
      </c>
      <c r="DG164" s="1051">
        <f>-428-SUM(DD164:DF164)</f>
        <v>-243</v>
      </c>
      <c r="DH164" s="1052">
        <f t="shared" si="392"/>
        <v>-428</v>
      </c>
      <c r="DI164" s="1051">
        <v>0</v>
      </c>
      <c r="DJ164" s="1051">
        <f>-636-DI164</f>
        <v>-636</v>
      </c>
      <c r="DK164" s="1051">
        <f>-720-DJ164-DI164</f>
        <v>-84</v>
      </c>
      <c r="DL164" s="1051">
        <f>-940-DK164-DJ164-DI164</f>
        <v>-220</v>
      </c>
      <c r="DM164" s="1052">
        <f t="shared" si="393"/>
        <v>-940</v>
      </c>
      <c r="DN164" s="1051">
        <f>-18-29</f>
        <v>-47</v>
      </c>
      <c r="DO164" s="1051">
        <f>-94-DN164</f>
        <v>-47</v>
      </c>
      <c r="DP164" s="1051">
        <f>-96-DO164-DN164</f>
        <v>-2</v>
      </c>
      <c r="DQ164" s="1051">
        <f>-117-DP164-DO164-DN164</f>
        <v>-21</v>
      </c>
      <c r="DR164" s="1052">
        <f t="shared" si="394"/>
        <v>-117</v>
      </c>
      <c r="DS164" s="1051">
        <v>-6</v>
      </c>
      <c r="DT164" s="1051">
        <f>-26-DS164</f>
        <v>-20</v>
      </c>
      <c r="DU164" s="1051">
        <f>-41-DT164-DS164</f>
        <v>-15</v>
      </c>
      <c r="DV164" s="1051">
        <f>-50-DU164-DT164-DS164</f>
        <v>-9</v>
      </c>
      <c r="DW164" s="1052">
        <f>SUM(DS164:DV164)</f>
        <v>-50</v>
      </c>
      <c r="DX164" s="1054">
        <f>-290/4</f>
        <v>-72.5</v>
      </c>
      <c r="DY164" s="1054">
        <f>DX164</f>
        <v>-72.5</v>
      </c>
      <c r="DZ164" s="1054">
        <f>DY164</f>
        <v>-72.5</v>
      </c>
      <c r="EA164" s="1054">
        <f>DZ164</f>
        <v>-72.5</v>
      </c>
      <c r="EB164" s="1052">
        <f t="shared" si="396"/>
        <v>-290</v>
      </c>
      <c r="EC164" s="1054">
        <f>EA164</f>
        <v>-72.5</v>
      </c>
      <c r="ED164" s="1054">
        <f>EC164</f>
        <v>-72.5</v>
      </c>
      <c r="EE164" s="1054">
        <f>ED164</f>
        <v>-72.5</v>
      </c>
      <c r="EF164" s="1054">
        <f>EE164</f>
        <v>-72.5</v>
      </c>
      <c r="EG164" s="1052">
        <f t="shared" si="397"/>
        <v>-290</v>
      </c>
      <c r="EH164" s="1054">
        <f>EF164</f>
        <v>-72.5</v>
      </c>
      <c r="EI164" s="1054">
        <f>EH164</f>
        <v>-72.5</v>
      </c>
      <c r="EJ164" s="1054">
        <f>EI164</f>
        <v>-72.5</v>
      </c>
      <c r="EK164" s="1054">
        <f>EJ164</f>
        <v>-72.5</v>
      </c>
      <c r="EL164" s="1052">
        <f t="shared" si="398"/>
        <v>-290</v>
      </c>
      <c r="EM164" s="901"/>
      <c r="EN164"/>
      <c r="EO164"/>
      <c r="EP164"/>
      <c r="EQ164"/>
      <c r="ER164"/>
      <c r="ES164"/>
      <c r="ET164" s="135"/>
      <c r="EU164" s="135"/>
      <c r="EV164" s="135"/>
      <c r="EW164" s="135"/>
      <c r="EX164" s="135"/>
      <c r="EY164" s="135"/>
      <c r="EZ164" s="135"/>
      <c r="FA164" s="135"/>
      <c r="FB164" s="135"/>
      <c r="FC164" s="135"/>
      <c r="FD164" s="135"/>
      <c r="FE164" s="135"/>
      <c r="FF164" s="135"/>
      <c r="FG164" s="135"/>
      <c r="FH164" s="135"/>
      <c r="FI164" s="135"/>
      <c r="FJ164" s="135"/>
      <c r="FK164" s="135"/>
      <c r="FL164" s="135"/>
      <c r="FM164" s="135"/>
      <c r="FN164" s="135"/>
      <c r="FO164" s="135"/>
      <c r="FP164" s="135"/>
      <c r="FQ164" s="135"/>
      <c r="FR164" s="135"/>
      <c r="FS164" s="135"/>
      <c r="FT164" s="135"/>
      <c r="FU164" s="135"/>
      <c r="FV164" s="135"/>
      <c r="FW164" s="135"/>
      <c r="FX164" s="135"/>
      <c r="FY164" s="135"/>
      <c r="FZ164" s="135"/>
      <c r="GA164" s="135"/>
      <c r="GB164" s="135"/>
      <c r="GC164" s="135"/>
      <c r="GD164" s="135"/>
      <c r="GE164" s="135"/>
      <c r="GF164" s="135"/>
      <c r="GG164" s="135"/>
      <c r="GH164" s="135"/>
      <c r="GI164" s="135"/>
      <c r="GJ164" s="135"/>
      <c r="GK164" s="135"/>
      <c r="GL164" s="135"/>
      <c r="GM164" s="135"/>
      <c r="GN164" s="135"/>
      <c r="GO164" s="135"/>
      <c r="GP164" s="135"/>
      <c r="GQ164" s="135"/>
      <c r="GR164" s="135"/>
      <c r="GS164" s="135"/>
      <c r="GT164" s="135"/>
      <c r="GU164" s="135"/>
      <c r="GV164" s="135"/>
      <c r="GW164" s="135"/>
      <c r="GX164" s="135"/>
      <c r="GY164" s="135"/>
      <c r="GZ164" s="135"/>
      <c r="HA164" s="135"/>
      <c r="HB164" s="135"/>
      <c r="HC164" s="135"/>
      <c r="HD164" s="135"/>
      <c r="HE164" s="135"/>
      <c r="HF164" s="135"/>
      <c r="HG164" s="135"/>
      <c r="HH164" s="135"/>
      <c r="HI164" s="135"/>
      <c r="HJ164" s="135"/>
      <c r="HK164" s="135"/>
      <c r="HL164" s="135"/>
      <c r="HM164" s="135"/>
      <c r="HN164" s="135"/>
      <c r="HO164" s="135"/>
      <c r="HP164" s="135"/>
      <c r="HQ164" s="135"/>
      <c r="HR164" s="135"/>
      <c r="HS164" s="135"/>
      <c r="HT164" s="135"/>
      <c r="HU164" s="135"/>
      <c r="HV164" s="135"/>
      <c r="HW164" s="135"/>
      <c r="HX164" s="135"/>
      <c r="HY164" s="135"/>
      <c r="HZ164" s="135"/>
      <c r="IA164" s="135"/>
      <c r="IB164" s="135"/>
      <c r="IC164" s="135"/>
      <c r="ID164" s="135"/>
      <c r="IE164" s="135"/>
      <c r="IF164" s="135"/>
      <c r="IG164" s="135"/>
      <c r="IH164" s="135"/>
      <c r="II164" s="135"/>
      <c r="IJ164" s="135"/>
      <c r="IK164" s="135"/>
      <c r="IL164" s="135"/>
      <c r="IM164" s="135"/>
      <c r="IN164" s="135"/>
      <c r="IO164" s="135"/>
      <c r="IP164" s="135"/>
      <c r="IQ164" s="135"/>
      <c r="IR164" s="135"/>
      <c r="IS164" s="135"/>
      <c r="IT164" s="135"/>
      <c r="IU164" s="135"/>
      <c r="IV164" s="135"/>
      <c r="IW164" s="135"/>
      <c r="IX164" s="135"/>
      <c r="IY164" s="135"/>
      <c r="IZ164" s="135"/>
      <c r="JA164" s="135"/>
      <c r="JB164" s="135"/>
      <c r="JC164" s="135"/>
      <c r="JD164" s="135"/>
      <c r="JE164" s="135"/>
      <c r="JF164" s="135"/>
      <c r="JG164" s="135"/>
      <c r="JH164" s="135"/>
    </row>
    <row r="165" spans="1:268" s="4" customFormat="1">
      <c r="A165" s="801"/>
      <c r="B165" s="555" t="s">
        <v>68</v>
      </c>
      <c r="C165" s="555"/>
      <c r="D165" s="1051">
        <v>149.958</v>
      </c>
      <c r="E165" s="1051">
        <f>154.4-D165</f>
        <v>4.4420000000000073</v>
      </c>
      <c r="F165" s="1051">
        <f>159.1-SUM(D165:E165)</f>
        <v>4.6999999999999886</v>
      </c>
      <c r="G165" s="1051">
        <f>172-SUM(D165:F165)</f>
        <v>12.900000000000006</v>
      </c>
      <c r="H165" s="1052">
        <f t="shared" si="373"/>
        <v>172</v>
      </c>
      <c r="I165" s="1051">
        <v>231.3</v>
      </c>
      <c r="J165" s="1051">
        <f>402.8-I165</f>
        <v>171.5</v>
      </c>
      <c r="K165" s="1051">
        <f>424-SUM(I165:J165)</f>
        <v>21.199999999999989</v>
      </c>
      <c r="L165" s="1051">
        <f>548-SUM(I165:K165)</f>
        <v>124</v>
      </c>
      <c r="M165" s="1052">
        <f t="shared" si="374"/>
        <v>548</v>
      </c>
      <c r="N165" s="1051">
        <v>40.299999999999997</v>
      </c>
      <c r="O165" s="1051">
        <f>40.3-N165</f>
        <v>0</v>
      </c>
      <c r="P165" s="1051">
        <f>49.7-SUM(N165:O165)</f>
        <v>9.4000000000000057</v>
      </c>
      <c r="Q165" s="1051">
        <f>50-SUM(N165:P165)</f>
        <v>0.29999999999999716</v>
      </c>
      <c r="R165" s="1052">
        <f t="shared" si="375"/>
        <v>50</v>
      </c>
      <c r="S165" s="1051">
        <v>38</v>
      </c>
      <c r="T165" s="1051">
        <f>57-S165</f>
        <v>19</v>
      </c>
      <c r="U165" s="1051">
        <f>162-SUM(S165:T165)</f>
        <v>105</v>
      </c>
      <c r="V165" s="1051">
        <f>170-SUM(S165:U165)</f>
        <v>8</v>
      </c>
      <c r="W165" s="1052">
        <f t="shared" si="376"/>
        <v>170</v>
      </c>
      <c r="X165" s="1051">
        <v>0</v>
      </c>
      <c r="Y165" s="1051">
        <f>4-X165</f>
        <v>4</v>
      </c>
      <c r="Z165" s="1051">
        <f>19-SUM(X165:Y165)</f>
        <v>15</v>
      </c>
      <c r="AA165" s="1051">
        <f>72-SUM(X165:Z165)</f>
        <v>53</v>
      </c>
      <c r="AB165" s="1052">
        <f t="shared" si="377"/>
        <v>72</v>
      </c>
      <c r="AC165" s="1051">
        <v>34</v>
      </c>
      <c r="AD165" s="1051">
        <f>643-AC165</f>
        <v>609</v>
      </c>
      <c r="AE165" s="1051">
        <f>654-SUM(AC165:AD165)</f>
        <v>11</v>
      </c>
      <c r="AF165" s="1051">
        <f>764-SUM(AC165:AE165)</f>
        <v>110</v>
      </c>
      <c r="AG165" s="1052">
        <f t="shared" si="378"/>
        <v>764</v>
      </c>
      <c r="AH165" s="1051">
        <v>23</v>
      </c>
      <c r="AI165" s="1051">
        <f>29-AH165</f>
        <v>6</v>
      </c>
      <c r="AJ165" s="1051">
        <f>39-SUM(AH165:AI165)</f>
        <v>10</v>
      </c>
      <c r="AK165" s="1051">
        <f>132-SUM(AH165:AJ165)</f>
        <v>93</v>
      </c>
      <c r="AL165" s="1052">
        <f t="shared" si="379"/>
        <v>132</v>
      </c>
      <c r="AM165" s="1051">
        <v>1</v>
      </c>
      <c r="AN165" s="1051">
        <f>0-AM165</f>
        <v>-1</v>
      </c>
      <c r="AO165" s="1051">
        <f>15-SUM(AM165:AN165)</f>
        <v>15</v>
      </c>
      <c r="AP165" s="1051">
        <f>28-SUM(AM165:AO165)</f>
        <v>13</v>
      </c>
      <c r="AQ165" s="1052">
        <f t="shared" si="380"/>
        <v>28</v>
      </c>
      <c r="AR165" s="1051">
        <v>5</v>
      </c>
      <c r="AS165" s="1051">
        <f t="shared" si="399"/>
        <v>-5</v>
      </c>
      <c r="AT165" s="1051">
        <f>0-SUM(AR165:AS165)</f>
        <v>0</v>
      </c>
      <c r="AU165" s="802"/>
      <c r="AV165" s="555"/>
      <c r="AW165" s="555"/>
      <c r="AX165" s="555"/>
      <c r="AY165" s="555"/>
      <c r="AZ165" s="1053">
        <v>6</v>
      </c>
      <c r="BA165" s="1051">
        <v>0</v>
      </c>
      <c r="BB165" s="1051">
        <f>0-BA165</f>
        <v>0</v>
      </c>
      <c r="BC165" s="1051">
        <f>0-SUM(BA165:BB165)</f>
        <v>0</v>
      </c>
      <c r="BD165" s="1051">
        <f>730-SUM(BA165:BC165)</f>
        <v>730</v>
      </c>
      <c r="BE165" s="1052">
        <f t="shared" si="381"/>
        <v>730</v>
      </c>
      <c r="BF165" s="1051">
        <v>63</v>
      </c>
      <c r="BG165" s="1051">
        <f>190-BF165</f>
        <v>127</v>
      </c>
      <c r="BH165" s="1051">
        <f>295-SUM(BF165:BG165)</f>
        <v>105</v>
      </c>
      <c r="BI165" s="1051">
        <f>431-SUM(BF165:BH165)</f>
        <v>136</v>
      </c>
      <c r="BJ165" s="1052">
        <f t="shared" si="382"/>
        <v>431</v>
      </c>
      <c r="BK165" s="1051">
        <v>71</v>
      </c>
      <c r="BL165" s="1051">
        <f>117-BK165</f>
        <v>46</v>
      </c>
      <c r="BM165" s="1051">
        <f>153-SUM(BK165:BL165)</f>
        <v>36</v>
      </c>
      <c r="BN165" s="1051">
        <f>173-SUM(BK165:BM165)</f>
        <v>20</v>
      </c>
      <c r="BO165" s="1052">
        <f t="shared" si="383"/>
        <v>173</v>
      </c>
      <c r="BP165" s="1051">
        <v>26</v>
      </c>
      <c r="BQ165" s="1051">
        <f>30-BP165</f>
        <v>4</v>
      </c>
      <c r="BR165" s="1051">
        <f>165-SUM(BP165:BQ165)</f>
        <v>135</v>
      </c>
      <c r="BS165" s="1051">
        <f>244-SUM(BP165:BR165)</f>
        <v>79</v>
      </c>
      <c r="BT165" s="1052">
        <f t="shared" si="384"/>
        <v>244</v>
      </c>
      <c r="BU165" s="1051">
        <v>38</v>
      </c>
      <c r="BV165" s="1051">
        <f>47-BU165</f>
        <v>9</v>
      </c>
      <c r="BW165" s="1051">
        <f>83-SUM(BU165:BV165)</f>
        <v>36</v>
      </c>
      <c r="BX165" s="1051">
        <f>91-SUM(BU165:BW165)</f>
        <v>8</v>
      </c>
      <c r="BY165" s="1052">
        <f t="shared" si="385"/>
        <v>91</v>
      </c>
      <c r="BZ165" s="1051">
        <v>23</v>
      </c>
      <c r="CA165" s="1051">
        <f>83-BZ165</f>
        <v>60</v>
      </c>
      <c r="CB165" s="1051">
        <f>160-SUM(BZ165:CA165)</f>
        <v>77</v>
      </c>
      <c r="CC165" s="1051">
        <f>160-SUM(BZ165:CB165)</f>
        <v>0</v>
      </c>
      <c r="CD165" s="1052">
        <f t="shared" si="386"/>
        <v>160</v>
      </c>
      <c r="CE165" s="1051">
        <v>251</v>
      </c>
      <c r="CF165" s="1051">
        <f>221-CE165</f>
        <v>-30</v>
      </c>
      <c r="CG165" s="1051">
        <f>221-SUM(CE165:CF165)</f>
        <v>0</v>
      </c>
      <c r="CH165" s="1051">
        <f>221-SUM(CE165:CG165)</f>
        <v>0</v>
      </c>
      <c r="CI165" s="1052">
        <f t="shared" si="387"/>
        <v>221</v>
      </c>
      <c r="CJ165" s="1051">
        <v>0</v>
      </c>
      <c r="CK165" s="1051">
        <f>18-CJ165</f>
        <v>18</v>
      </c>
      <c r="CL165" s="1051">
        <f>19-SUM(CJ165:CK165)</f>
        <v>1</v>
      </c>
      <c r="CM165" s="1051">
        <f>19-SUM(CJ165:CL165)</f>
        <v>0</v>
      </c>
      <c r="CN165" s="1052">
        <f t="shared" si="388"/>
        <v>19</v>
      </c>
      <c r="CO165" s="1051">
        <v>0</v>
      </c>
      <c r="CP165" s="1051">
        <f>0-CO165</f>
        <v>0</v>
      </c>
      <c r="CQ165" s="1051">
        <f>0-SUM(CO165:CP165)</f>
        <v>0</v>
      </c>
      <c r="CR165" s="1051">
        <f>0-SUM(CO165:CQ165)</f>
        <v>0</v>
      </c>
      <c r="CS165" s="1052">
        <f t="shared" si="389"/>
        <v>0</v>
      </c>
      <c r="CT165" s="1051">
        <v>0</v>
      </c>
      <c r="CU165" s="1051">
        <f>10-CT165</f>
        <v>10</v>
      </c>
      <c r="CV165" s="1051">
        <f>45-CT165-CU165</f>
        <v>35</v>
      </c>
      <c r="CW165" s="1051">
        <f>45-SUM(CT165:CV165)</f>
        <v>0</v>
      </c>
      <c r="CX165" s="1052">
        <f t="shared" si="390"/>
        <v>45</v>
      </c>
      <c r="CY165" s="1051">
        <v>0</v>
      </c>
      <c r="CZ165" s="1051">
        <f>1-CY165</f>
        <v>1</v>
      </c>
      <c r="DA165" s="1051">
        <f>11-CZ165-CY165</f>
        <v>10</v>
      </c>
      <c r="DB165" s="1051">
        <f>16-SUM(CY165:DA165)</f>
        <v>5</v>
      </c>
      <c r="DC165" s="1052">
        <f t="shared" si="391"/>
        <v>16</v>
      </c>
      <c r="DD165" s="1051">
        <v>0</v>
      </c>
      <c r="DE165" s="1051"/>
      <c r="DF165" s="1051">
        <f>4-SUM(DD165:DE165)</f>
        <v>4</v>
      </c>
      <c r="DG165" s="1051">
        <f>6-SUM(DD165:DF165)</f>
        <v>2</v>
      </c>
      <c r="DH165" s="1052">
        <f t="shared" si="392"/>
        <v>6</v>
      </c>
      <c r="DI165" s="1051">
        <v>6</v>
      </c>
      <c r="DJ165" s="1051">
        <f>9-DI165</f>
        <v>3</v>
      </c>
      <c r="DK165" s="1051">
        <f>28-DJ165-DI165</f>
        <v>19</v>
      </c>
      <c r="DL165" s="1051">
        <f>549-DK165-DJ165-DI165</f>
        <v>521</v>
      </c>
      <c r="DM165" s="1052">
        <f t="shared" si="393"/>
        <v>549</v>
      </c>
      <c r="DN165" s="1051">
        <v>573</v>
      </c>
      <c r="DO165" s="1051">
        <f>573-DN165</f>
        <v>0</v>
      </c>
      <c r="DP165" s="1051">
        <f>573-DO165-DN165</f>
        <v>0</v>
      </c>
      <c r="DQ165" s="1051">
        <f>573-DP165-DO165-DN165</f>
        <v>0</v>
      </c>
      <c r="DR165" s="1052">
        <f t="shared" si="394"/>
        <v>573</v>
      </c>
      <c r="DS165" s="1051">
        <v>20</v>
      </c>
      <c r="DT165" s="1051">
        <f>74-DS165</f>
        <v>54</v>
      </c>
      <c r="DU165" s="1051">
        <f>826-DT165-DS165</f>
        <v>752</v>
      </c>
      <c r="DV165" s="1051">
        <f>827-DU165-DT165-DS165</f>
        <v>1</v>
      </c>
      <c r="DW165" s="1052">
        <f t="shared" si="395"/>
        <v>827</v>
      </c>
      <c r="DX165" s="1051">
        <v>550</v>
      </c>
      <c r="DY165" s="1051">
        <f>450/3</f>
        <v>150</v>
      </c>
      <c r="DZ165" s="1051">
        <f>450/3</f>
        <v>150</v>
      </c>
      <c r="EA165" s="1051">
        <f>450/3</f>
        <v>150</v>
      </c>
      <c r="EB165" s="1052">
        <f t="shared" si="396"/>
        <v>1000</v>
      </c>
      <c r="EC165" s="1050"/>
      <c r="ED165" s="1050"/>
      <c r="EE165" s="1050"/>
      <c r="EF165" s="1050"/>
      <c r="EG165" s="1052">
        <f t="shared" si="397"/>
        <v>0</v>
      </c>
      <c r="EH165" s="1050"/>
      <c r="EI165" s="1050"/>
      <c r="EJ165" s="1050"/>
      <c r="EK165" s="1050"/>
      <c r="EL165" s="1052">
        <f t="shared" si="398"/>
        <v>0</v>
      </c>
      <c r="EM165" s="901"/>
      <c r="EN165"/>
      <c r="EO165"/>
      <c r="EP165"/>
      <c r="EQ165"/>
      <c r="ER165"/>
      <c r="ES165"/>
      <c r="ET165" s="135"/>
      <c r="EU165" s="135"/>
      <c r="EV165" s="135"/>
      <c r="EW165" s="135"/>
      <c r="EX165" s="135"/>
      <c r="EY165" s="135"/>
      <c r="EZ165" s="135"/>
      <c r="FA165" s="135"/>
      <c r="FB165" s="135"/>
      <c r="FC165" s="135"/>
      <c r="FD165" s="135"/>
      <c r="FE165" s="135"/>
      <c r="FF165" s="135"/>
      <c r="FG165" s="135"/>
      <c r="FH165" s="135"/>
      <c r="FI165" s="135"/>
      <c r="FJ165" s="135"/>
      <c r="FK165" s="135"/>
      <c r="FL165" s="135"/>
      <c r="FM165" s="135"/>
      <c r="FN165" s="135"/>
      <c r="FO165" s="135"/>
      <c r="FP165" s="135"/>
      <c r="FQ165" s="135"/>
      <c r="FR165" s="135"/>
      <c r="FS165" s="135"/>
      <c r="FT165" s="135"/>
      <c r="FU165" s="135"/>
      <c r="FV165" s="135"/>
      <c r="FW165" s="135"/>
      <c r="FX165" s="135"/>
      <c r="FY165" s="135"/>
      <c r="FZ165" s="135"/>
      <c r="GA165" s="135"/>
      <c r="GB165" s="135"/>
      <c r="GC165" s="135"/>
      <c r="GD165" s="135"/>
      <c r="GE165" s="135"/>
      <c r="GF165" s="135"/>
      <c r="GG165" s="135"/>
      <c r="GH165" s="135"/>
      <c r="GI165" s="135"/>
      <c r="GJ165" s="135"/>
      <c r="GK165" s="135"/>
      <c r="GL165" s="135"/>
      <c r="GM165" s="135"/>
      <c r="GN165" s="135"/>
      <c r="GO165" s="135"/>
      <c r="GP165" s="135"/>
      <c r="GQ165" s="135"/>
      <c r="GR165" s="135"/>
      <c r="GS165" s="135"/>
      <c r="GT165" s="135"/>
      <c r="GU165" s="135"/>
      <c r="GV165" s="135"/>
      <c r="GW165" s="135"/>
      <c r="GX165" s="135"/>
      <c r="GY165" s="135"/>
      <c r="GZ165" s="135"/>
      <c r="HA165" s="135"/>
      <c r="HB165" s="135"/>
      <c r="HC165" s="135"/>
      <c r="HD165" s="135"/>
      <c r="HE165" s="135"/>
      <c r="HF165" s="135"/>
      <c r="HG165" s="135"/>
      <c r="HH165" s="135"/>
      <c r="HI165" s="135"/>
      <c r="HJ165" s="135"/>
      <c r="HK165" s="135"/>
      <c r="HL165" s="135"/>
      <c r="HM165" s="135"/>
      <c r="HN165" s="135"/>
      <c r="HO165" s="135"/>
      <c r="HP165" s="135"/>
      <c r="HQ165" s="135"/>
      <c r="HR165" s="135"/>
      <c r="HS165" s="135"/>
      <c r="HT165" s="135"/>
      <c r="HU165" s="135"/>
      <c r="HV165" s="135"/>
      <c r="HW165" s="135"/>
      <c r="HX165" s="135"/>
      <c r="HY165" s="135"/>
      <c r="HZ165" s="135"/>
      <c r="IA165" s="135"/>
      <c r="IB165" s="135"/>
      <c r="IC165" s="135"/>
      <c r="ID165" s="135"/>
      <c r="IE165" s="135"/>
      <c r="IF165" s="135"/>
      <c r="IG165" s="135"/>
      <c r="IH165" s="135"/>
      <c r="II165" s="135"/>
      <c r="IJ165" s="135"/>
      <c r="IK165" s="135"/>
      <c r="IL165" s="135"/>
      <c r="IM165" s="135"/>
      <c r="IN165" s="135"/>
      <c r="IO165" s="135"/>
      <c r="IP165" s="135"/>
      <c r="IQ165" s="135"/>
      <c r="IR165" s="135"/>
      <c r="IS165" s="135"/>
      <c r="IT165" s="135"/>
      <c r="IU165" s="135"/>
      <c r="IV165" s="135"/>
      <c r="IW165" s="135"/>
      <c r="IX165" s="135"/>
      <c r="IY165" s="135"/>
      <c r="IZ165" s="135"/>
      <c r="JA165" s="135"/>
      <c r="JB165" s="135"/>
      <c r="JC165" s="135"/>
      <c r="JD165" s="135"/>
      <c r="JE165" s="135"/>
      <c r="JF165" s="135"/>
      <c r="JG165" s="135"/>
      <c r="JH165" s="135"/>
    </row>
    <row r="166" spans="1:268" s="4" customFormat="1">
      <c r="A166" s="801"/>
      <c r="B166" s="555" t="s">
        <v>69</v>
      </c>
      <c r="C166" s="555"/>
      <c r="D166" s="1051">
        <v>7.6559999999999997</v>
      </c>
      <c r="E166" s="1051">
        <f>8.8-D166</f>
        <v>1.144000000000001</v>
      </c>
      <c r="F166" s="1051">
        <f>8.6-SUM(D166:E166)</f>
        <v>-0.20000000000000107</v>
      </c>
      <c r="G166" s="1051">
        <f>0-SUM(D166:F166)</f>
        <v>-8.6</v>
      </c>
      <c r="H166" s="1052">
        <f t="shared" si="373"/>
        <v>0</v>
      </c>
      <c r="I166" s="1051">
        <v>0</v>
      </c>
      <c r="J166" s="1051">
        <f>0-I166</f>
        <v>0</v>
      </c>
      <c r="K166" s="1051">
        <f>0-SUM(I166:J166)</f>
        <v>0</v>
      </c>
      <c r="L166" s="1051">
        <f>0-SUM(I166:K166)</f>
        <v>0</v>
      </c>
      <c r="M166" s="1052">
        <f t="shared" si="374"/>
        <v>0</v>
      </c>
      <c r="N166" s="1051">
        <v>67.099999999999994</v>
      </c>
      <c r="O166" s="1051">
        <f>67.1-N166</f>
        <v>0</v>
      </c>
      <c r="P166" s="1051">
        <f>70.2-SUM(N166:O166)</f>
        <v>3.1000000000000085</v>
      </c>
      <c r="Q166" s="1051">
        <f>0-SUM(N166:P166)</f>
        <v>-70.2</v>
      </c>
      <c r="R166" s="1052">
        <f t="shared" si="375"/>
        <v>0</v>
      </c>
      <c r="S166" s="1051">
        <v>13</v>
      </c>
      <c r="T166" s="1051">
        <f>20-S166</f>
        <v>7</v>
      </c>
      <c r="U166" s="1051">
        <f>25-SUM(S166:T166)</f>
        <v>5</v>
      </c>
      <c r="V166" s="1051">
        <f>0-SUM(S166:U166)</f>
        <v>-25</v>
      </c>
      <c r="W166" s="1052">
        <f t="shared" si="376"/>
        <v>0</v>
      </c>
      <c r="X166" s="1051">
        <v>0</v>
      </c>
      <c r="Y166" s="1051">
        <f>0-X166</f>
        <v>0</v>
      </c>
      <c r="Z166" s="1051">
        <f>7-SUM(X166:Y166)</f>
        <v>7</v>
      </c>
      <c r="AA166" s="1051">
        <f>0-SUM(X166:Z166)</f>
        <v>-7</v>
      </c>
      <c r="AB166" s="1052">
        <f t="shared" si="377"/>
        <v>0</v>
      </c>
      <c r="AC166" s="1051">
        <v>0</v>
      </c>
      <c r="AD166" s="1051">
        <f>0-AC166</f>
        <v>0</v>
      </c>
      <c r="AE166" s="1051">
        <f>0-SUM(AC166:AD166)</f>
        <v>0</v>
      </c>
      <c r="AF166" s="1051">
        <f>0-SUM(AC166:AE166)</f>
        <v>0</v>
      </c>
      <c r="AG166" s="1052">
        <f t="shared" si="378"/>
        <v>0</v>
      </c>
      <c r="AH166" s="1051">
        <v>0</v>
      </c>
      <c r="AI166" s="1051">
        <f>0-AH166</f>
        <v>0</v>
      </c>
      <c r="AJ166" s="1051">
        <f>0-SUM(AH166:AI166)</f>
        <v>0</v>
      </c>
      <c r="AK166" s="1051">
        <f>0-SUM(AH166:AJ166)</f>
        <v>0</v>
      </c>
      <c r="AL166" s="1052">
        <f t="shared" si="379"/>
        <v>0</v>
      </c>
      <c r="AM166" s="1051">
        <v>0</v>
      </c>
      <c r="AN166" s="1051">
        <f>0-AM166</f>
        <v>0</v>
      </c>
      <c r="AO166" s="1051">
        <f>0-SUM(AM166:AN166)</f>
        <v>0</v>
      </c>
      <c r="AP166" s="1051">
        <f>0-SUM(AM166:AO166)</f>
        <v>0</v>
      </c>
      <c r="AQ166" s="1052">
        <f t="shared" si="380"/>
        <v>0</v>
      </c>
      <c r="AR166" s="1051">
        <v>0</v>
      </c>
      <c r="AS166" s="1051">
        <f t="shared" si="399"/>
        <v>0</v>
      </c>
      <c r="AT166" s="1051">
        <f>0-SUM(AR166:AS166)</f>
        <v>0</v>
      </c>
      <c r="AU166" s="802"/>
      <c r="AV166" s="555"/>
      <c r="AW166" s="555"/>
      <c r="AX166" s="555"/>
      <c r="AY166" s="555"/>
      <c r="AZ166" s="1053">
        <v>0</v>
      </c>
      <c r="BA166" s="1051">
        <v>0</v>
      </c>
      <c r="BB166" s="1051">
        <f>0-BA166</f>
        <v>0</v>
      </c>
      <c r="BC166" s="1051">
        <f>0-SUM(BA166:BB166)</f>
        <v>0</v>
      </c>
      <c r="BD166" s="1051">
        <f>0-SUM(BA166:BC166)</f>
        <v>0</v>
      </c>
      <c r="BE166" s="1052">
        <f t="shared" si="381"/>
        <v>0</v>
      </c>
      <c r="BF166" s="1051">
        <v>0</v>
      </c>
      <c r="BG166" s="1051">
        <f>0-BF166</f>
        <v>0</v>
      </c>
      <c r="BH166" s="1051">
        <f>-SUM(BF166:BG166)</f>
        <v>0</v>
      </c>
      <c r="BI166" s="1051">
        <f>0-SUM(BF166:BH166)</f>
        <v>0</v>
      </c>
      <c r="BJ166" s="1052">
        <f t="shared" si="382"/>
        <v>0</v>
      </c>
      <c r="BK166" s="1051">
        <v>0</v>
      </c>
      <c r="BL166" s="1051">
        <f>0-BK166</f>
        <v>0</v>
      </c>
      <c r="BM166" s="1051">
        <f>0-SUM(BK166:BL166)</f>
        <v>0</v>
      </c>
      <c r="BN166" s="1051">
        <f>-43-SUM(BK166:BM166)</f>
        <v>-43</v>
      </c>
      <c r="BO166" s="1052">
        <f t="shared" si="383"/>
        <v>-43</v>
      </c>
      <c r="BP166" s="1051">
        <v>-3</v>
      </c>
      <c r="BQ166" s="1051">
        <f>-6-BP166</f>
        <v>-3</v>
      </c>
      <c r="BR166" s="1051">
        <f>-18-SUM(BP166:BQ166)</f>
        <v>-12</v>
      </c>
      <c r="BS166" s="1051">
        <f>-43-SUM(BP166:BR166)</f>
        <v>-25</v>
      </c>
      <c r="BT166" s="1052">
        <f t="shared" si="384"/>
        <v>-43</v>
      </c>
      <c r="BU166" s="1051">
        <f>174-148</f>
        <v>26</v>
      </c>
      <c r="BV166" s="1051">
        <f>447-434-BU166</f>
        <v>-13</v>
      </c>
      <c r="BW166" s="1051">
        <f>652-644-SUM(BU166:BV166)</f>
        <v>-5</v>
      </c>
      <c r="BX166" s="1051">
        <f>706-652-SUM(BU166:BW166)</f>
        <v>46</v>
      </c>
      <c r="BY166" s="1052">
        <f t="shared" si="385"/>
        <v>54</v>
      </c>
      <c r="BZ166" s="1051">
        <f>10-7</f>
        <v>3</v>
      </c>
      <c r="CA166" s="1051">
        <f>14-8-BZ166</f>
        <v>3</v>
      </c>
      <c r="CB166" s="1051">
        <f>192-17-SUM(BZ166:CA166)</f>
        <v>169</v>
      </c>
      <c r="CC166" s="1051">
        <f>224-26-SUM(BZ166:CB166)</f>
        <v>23</v>
      </c>
      <c r="CD166" s="1052">
        <f t="shared" si="386"/>
        <v>198</v>
      </c>
      <c r="CE166" s="1051">
        <v>18</v>
      </c>
      <c r="CF166" s="1051">
        <f>49+49-6-CE166</f>
        <v>74</v>
      </c>
      <c r="CG166" s="1051">
        <f>55+49-17-SUM(CE166:CF166)</f>
        <v>-5</v>
      </c>
      <c r="CH166" s="1051">
        <f>67+49-17-SUM(CE166:CG166)</f>
        <v>12</v>
      </c>
      <c r="CI166" s="1052">
        <f t="shared" si="387"/>
        <v>99</v>
      </c>
      <c r="CJ166" s="1051">
        <v>12</v>
      </c>
      <c r="CK166" s="1051">
        <f>16-CJ166</f>
        <v>4</v>
      </c>
      <c r="CL166" s="1051">
        <f>31-SUM(CJ166:CK166)</f>
        <v>15</v>
      </c>
      <c r="CM166" s="1051">
        <f>84-SUM(CJ166:CL166)</f>
        <v>53</v>
      </c>
      <c r="CN166" s="1052">
        <f t="shared" si="388"/>
        <v>84</v>
      </c>
      <c r="CO166" s="1051">
        <v>5</v>
      </c>
      <c r="CP166" s="1051">
        <f>10-CO166</f>
        <v>5</v>
      </c>
      <c r="CQ166" s="1051">
        <f>31-SUM(CP166,CO166)</f>
        <v>21</v>
      </c>
      <c r="CR166" s="1051">
        <f>59-SUM(CO166:CQ166)</f>
        <v>28</v>
      </c>
      <c r="CS166" s="1052">
        <f t="shared" si="389"/>
        <v>59</v>
      </c>
      <c r="CT166" s="1051">
        <v>3</v>
      </c>
      <c r="CU166" s="1051">
        <f>5-CT166</f>
        <v>2</v>
      </c>
      <c r="CV166" s="1051">
        <f>9-CT166-CU166</f>
        <v>4</v>
      </c>
      <c r="CW166" s="1051">
        <f>17-SUM(CT166:CV166)</f>
        <v>8</v>
      </c>
      <c r="CX166" s="1052">
        <f t="shared" si="390"/>
        <v>17</v>
      </c>
      <c r="CY166" s="1051">
        <v>3</v>
      </c>
      <c r="CZ166" s="1051">
        <f>3-CY166</f>
        <v>0</v>
      </c>
      <c r="DA166" s="1051">
        <f>6-CZ166-CY166</f>
        <v>3</v>
      </c>
      <c r="DB166" s="1051">
        <f>15-SUM(CY166:DA166)</f>
        <v>9</v>
      </c>
      <c r="DC166" s="1052">
        <f t="shared" si="391"/>
        <v>15</v>
      </c>
      <c r="DD166" s="1051">
        <v>3</v>
      </c>
      <c r="DE166" s="1051">
        <f>3-DD166</f>
        <v>0</v>
      </c>
      <c r="DF166" s="1051">
        <f>2-SUM(DD166:DE166)</f>
        <v>-1</v>
      </c>
      <c r="DG166" s="1051">
        <f>31-SUM(DD166:DF166)</f>
        <v>29</v>
      </c>
      <c r="DH166" s="1052">
        <f t="shared" si="392"/>
        <v>31</v>
      </c>
      <c r="DI166" s="1051">
        <f>IF('BS &amp; CF'!DI8&lt;'BS &amp; CF'!DH8,-('BS &amp; CF'!DI8-'BS &amp; CF'!DH8),0)</f>
        <v>0</v>
      </c>
      <c r="DJ166" s="1051">
        <v>0</v>
      </c>
      <c r="DK166" s="1051">
        <f>18-DJ166-DI166</f>
        <v>18</v>
      </c>
      <c r="DL166" s="1051">
        <f>60-DK166-DJ166-DI166</f>
        <v>42</v>
      </c>
      <c r="DM166" s="1052">
        <f t="shared" si="393"/>
        <v>60</v>
      </c>
      <c r="DN166" s="1051">
        <v>12</v>
      </c>
      <c r="DO166" s="1051">
        <f>24-DN166</f>
        <v>12</v>
      </c>
      <c r="DP166" s="1051">
        <f>36-DO166-DN166</f>
        <v>12</v>
      </c>
      <c r="DQ166" s="1051">
        <f>62-DP166-DO166-DN166</f>
        <v>26</v>
      </c>
      <c r="DR166" s="1052">
        <f t="shared" si="394"/>
        <v>62</v>
      </c>
      <c r="DS166" s="1051">
        <v>9</v>
      </c>
      <c r="DT166" s="1051">
        <f>16-DS166</f>
        <v>7</v>
      </c>
      <c r="DU166" s="1051">
        <f>20-DT166-DS166</f>
        <v>4</v>
      </c>
      <c r="DV166" s="1051">
        <f>36-DU166-DT166-DS166</f>
        <v>16</v>
      </c>
      <c r="DW166" s="1052">
        <f t="shared" si="395"/>
        <v>36</v>
      </c>
      <c r="DX166" s="1054">
        <f>IF('BS &amp; CF'!DX8&lt;'BS &amp; CF'!DW8,-('BS &amp; CF'!DX8-'BS &amp; CF'!DW8),0)</f>
        <v>0</v>
      </c>
      <c r="DY166" s="1054">
        <f>IF('BS &amp; CF'!DY8&lt;'BS &amp; CF'!DX8,-('BS &amp; CF'!DY8-'BS &amp; CF'!DX8),0)</f>
        <v>0</v>
      </c>
      <c r="DZ166" s="1054">
        <f>IF('BS &amp; CF'!DZ8&lt;'BS &amp; CF'!DY8,-('BS &amp; CF'!DZ8-'BS &amp; CF'!DY8),0)</f>
        <v>0</v>
      </c>
      <c r="EA166" s="1054">
        <f>IF('BS &amp; CF'!EA8&lt;'BS &amp; CF'!DZ8,-('BS &amp; CF'!EA8-'BS &amp; CF'!DZ8),0)</f>
        <v>0</v>
      </c>
      <c r="EB166" s="1052">
        <f t="shared" si="396"/>
        <v>0</v>
      </c>
      <c r="EC166" s="1054">
        <f>IF('BS &amp; CF'!EC8&lt;'BS &amp; CF'!EB8,-('BS &amp; CF'!EC8-'BS &amp; CF'!EB8),0)</f>
        <v>0</v>
      </c>
      <c r="ED166" s="1054">
        <f>IF('BS &amp; CF'!ED8&lt;'BS &amp; CF'!EC8,-('BS &amp; CF'!ED8-'BS &amp; CF'!EC8),0)</f>
        <v>0</v>
      </c>
      <c r="EE166" s="1054">
        <f>IF('BS &amp; CF'!EE8&lt;'BS &amp; CF'!ED8,-('BS &amp; CF'!EE8-'BS &amp; CF'!ED8),0)</f>
        <v>0</v>
      </c>
      <c r="EF166" s="1054">
        <f>IF('BS &amp; CF'!EF8&lt;'BS &amp; CF'!EE8,-('BS &amp; CF'!EF8-'BS &amp; CF'!EE8),0)</f>
        <v>0</v>
      </c>
      <c r="EG166" s="1052">
        <f t="shared" si="397"/>
        <v>0</v>
      </c>
      <c r="EH166" s="1054">
        <f>IF('BS &amp; CF'!EH8&lt;'BS &amp; CF'!EG8,-('BS &amp; CF'!EH8-'BS &amp; CF'!EG8),0)</f>
        <v>0</v>
      </c>
      <c r="EI166" s="1054">
        <f>IF('BS &amp; CF'!EI8&lt;'BS &amp; CF'!EH8,-('BS &amp; CF'!EI8-'BS &amp; CF'!EH8),0)</f>
        <v>0</v>
      </c>
      <c r="EJ166" s="1054">
        <f>IF('BS &amp; CF'!EJ8&lt;'BS &amp; CF'!EI8,-('BS &amp; CF'!EJ8-'BS &amp; CF'!EI8),0)</f>
        <v>0</v>
      </c>
      <c r="EK166" s="1054">
        <f>IF('BS &amp; CF'!EK8&lt;'BS &amp; CF'!EJ8,-('BS &amp; CF'!EK8-'BS &amp; CF'!EJ8),0)</f>
        <v>0</v>
      </c>
      <c r="EL166" s="1052">
        <f t="shared" si="398"/>
        <v>0</v>
      </c>
      <c r="EM166" s="901"/>
      <c r="EN166"/>
      <c r="EO166"/>
      <c r="EP166"/>
      <c r="EQ166"/>
      <c r="ER166"/>
      <c r="ES166"/>
      <c r="ET166" s="135"/>
      <c r="EU166" s="135"/>
      <c r="EV166" s="135"/>
      <c r="EW166" s="135"/>
      <c r="EX166" s="135"/>
      <c r="EY166" s="135"/>
      <c r="EZ166" s="135"/>
      <c r="FA166" s="135"/>
      <c r="FB166" s="135"/>
      <c r="FC166" s="135"/>
      <c r="FD166" s="135"/>
      <c r="FE166" s="135"/>
      <c r="FF166" s="135"/>
      <c r="FG166" s="135"/>
      <c r="FH166" s="135"/>
      <c r="FI166" s="135"/>
      <c r="FJ166" s="135"/>
      <c r="FK166" s="135"/>
      <c r="FL166" s="135"/>
      <c r="FM166" s="135"/>
      <c r="FN166" s="135"/>
      <c r="FO166" s="135"/>
      <c r="FP166" s="135"/>
      <c r="FQ166" s="135"/>
      <c r="FR166" s="135"/>
      <c r="FS166" s="135"/>
      <c r="FT166" s="135"/>
      <c r="FU166" s="135"/>
      <c r="FV166" s="135"/>
      <c r="FW166" s="135"/>
      <c r="FX166" s="135"/>
      <c r="FY166" s="135"/>
      <c r="FZ166" s="135"/>
      <c r="GA166" s="135"/>
      <c r="GB166" s="135"/>
      <c r="GC166" s="135"/>
      <c r="GD166" s="135"/>
      <c r="GE166" s="135"/>
      <c r="GF166" s="135"/>
      <c r="GG166" s="135"/>
      <c r="GH166" s="135"/>
      <c r="GI166" s="135"/>
      <c r="GJ166" s="135"/>
      <c r="GK166" s="135"/>
      <c r="GL166" s="135"/>
      <c r="GM166" s="135"/>
      <c r="GN166" s="135"/>
      <c r="GO166" s="135"/>
      <c r="GP166" s="135"/>
      <c r="GQ166" s="135"/>
      <c r="GR166" s="135"/>
      <c r="GS166" s="135"/>
      <c r="GT166" s="135"/>
      <c r="GU166" s="135"/>
      <c r="GV166" s="135"/>
      <c r="GW166" s="135"/>
      <c r="GX166" s="135"/>
      <c r="GY166" s="135"/>
      <c r="GZ166" s="135"/>
      <c r="HA166" s="135"/>
      <c r="HB166" s="135"/>
      <c r="HC166" s="135"/>
      <c r="HD166" s="135"/>
      <c r="HE166" s="135"/>
      <c r="HF166" s="135"/>
      <c r="HG166" s="135"/>
      <c r="HH166" s="135"/>
      <c r="HI166" s="135"/>
      <c r="HJ166" s="135"/>
      <c r="HK166" s="135"/>
      <c r="HL166" s="135"/>
      <c r="HM166" s="135"/>
      <c r="HN166" s="135"/>
      <c r="HO166" s="135"/>
      <c r="HP166" s="135"/>
      <c r="HQ166" s="135"/>
      <c r="HR166" s="135"/>
      <c r="HS166" s="135"/>
      <c r="HT166" s="135"/>
      <c r="HU166" s="135"/>
      <c r="HV166" s="135"/>
      <c r="HW166" s="135"/>
      <c r="HX166" s="135"/>
      <c r="HY166" s="135"/>
      <c r="HZ166" s="135"/>
      <c r="IA166" s="135"/>
      <c r="IB166" s="135"/>
      <c r="IC166" s="135"/>
      <c r="ID166" s="135"/>
      <c r="IE166" s="135"/>
      <c r="IF166" s="135"/>
      <c r="IG166" s="135"/>
      <c r="IH166" s="135"/>
      <c r="II166" s="135"/>
      <c r="IJ166" s="135"/>
      <c r="IK166" s="135"/>
      <c r="IL166" s="135"/>
      <c r="IM166" s="135"/>
      <c r="IN166" s="135"/>
      <c r="IO166" s="135"/>
      <c r="IP166" s="135"/>
      <c r="IQ166" s="135"/>
      <c r="IR166" s="135"/>
      <c r="IS166" s="135"/>
      <c r="IT166" s="135"/>
      <c r="IU166" s="135"/>
      <c r="IV166" s="135"/>
      <c r="IW166" s="135"/>
      <c r="IX166" s="135"/>
      <c r="IY166" s="135"/>
      <c r="IZ166" s="135"/>
      <c r="JA166" s="135"/>
      <c r="JB166" s="135"/>
      <c r="JC166" s="135"/>
      <c r="JD166" s="135"/>
      <c r="JE166" s="135"/>
      <c r="JF166" s="135"/>
      <c r="JG166" s="135"/>
      <c r="JH166" s="135"/>
    </row>
    <row r="167" spans="1:268" s="4" customFormat="1" hidden="1" outlineLevel="1">
      <c r="A167" s="801"/>
      <c r="B167" s="557" t="s">
        <v>70</v>
      </c>
      <c r="C167" s="1051"/>
      <c r="D167" s="1051">
        <v>0</v>
      </c>
      <c r="E167" s="1051">
        <f>0-D167</f>
        <v>0</v>
      </c>
      <c r="F167" s="1051">
        <f>0-SUM(D167:E167)</f>
        <v>0</v>
      </c>
      <c r="G167" s="1051">
        <f>0-SUM(D167:F167)</f>
        <v>0</v>
      </c>
      <c r="H167" s="1052">
        <f t="shared" si="373"/>
        <v>0</v>
      </c>
      <c r="I167" s="1051">
        <v>0</v>
      </c>
      <c r="J167" s="1051">
        <f>0-I167</f>
        <v>0</v>
      </c>
      <c r="K167" s="1051">
        <f>0-SUM(I167:J167)</f>
        <v>0</v>
      </c>
      <c r="L167" s="1051">
        <f>0-SUM(I167:K167)</f>
        <v>0</v>
      </c>
      <c r="M167" s="1052">
        <f t="shared" si="374"/>
        <v>0</v>
      </c>
      <c r="N167" s="1051">
        <v>0</v>
      </c>
      <c r="O167" s="1051">
        <f>0-N167</f>
        <v>0</v>
      </c>
      <c r="P167" s="1051">
        <f>0-SUM(N167:O167)</f>
        <v>0</v>
      </c>
      <c r="Q167" s="1051">
        <f>0-SUM(N167:P167)</f>
        <v>0</v>
      </c>
      <c r="R167" s="1052">
        <f t="shared" si="375"/>
        <v>0</v>
      </c>
      <c r="S167" s="1051">
        <v>0</v>
      </c>
      <c r="T167" s="1051">
        <f>0-S167</f>
        <v>0</v>
      </c>
      <c r="U167" s="1051">
        <f>0-SUM(S167:T167)</f>
        <v>0</v>
      </c>
      <c r="V167" s="1051">
        <f>0-SUM(S167:U167)</f>
        <v>0</v>
      </c>
      <c r="W167" s="1052">
        <f t="shared" si="376"/>
        <v>0</v>
      </c>
      <c r="X167" s="1051">
        <v>0</v>
      </c>
      <c r="Y167" s="1051">
        <f>0-X167</f>
        <v>0</v>
      </c>
      <c r="Z167" s="1051">
        <f>0-SUM(X167:Y167)</f>
        <v>0</v>
      </c>
      <c r="AA167" s="1051">
        <f>0-SUM(X167:Z167)</f>
        <v>0</v>
      </c>
      <c r="AB167" s="1052">
        <f t="shared" si="377"/>
        <v>0</v>
      </c>
      <c r="AC167" s="1051">
        <v>0</v>
      </c>
      <c r="AD167" s="1051">
        <f>0-AC167</f>
        <v>0</v>
      </c>
      <c r="AE167" s="1051">
        <f>0-SUM(AC167:AD167)</f>
        <v>0</v>
      </c>
      <c r="AF167" s="1051">
        <f>0-SUM(AC167:AE167)</f>
        <v>0</v>
      </c>
      <c r="AG167" s="1052">
        <f t="shared" si="378"/>
        <v>0</v>
      </c>
      <c r="AH167" s="1051">
        <v>0</v>
      </c>
      <c r="AI167" s="1051">
        <f>0-AH167</f>
        <v>0</v>
      </c>
      <c r="AJ167" s="1051">
        <f>0-SUM(AH167:AI167)</f>
        <v>0</v>
      </c>
      <c r="AK167" s="1051">
        <f>0-SUM(AH167:AJ167)</f>
        <v>0</v>
      </c>
      <c r="AL167" s="1052">
        <f t="shared" si="379"/>
        <v>0</v>
      </c>
      <c r="AM167" s="1051">
        <v>0</v>
      </c>
      <c r="AN167" s="1051">
        <f>0-AM167</f>
        <v>0</v>
      </c>
      <c r="AO167" s="1051">
        <f>0-SUM(AM167:AN167)</f>
        <v>0</v>
      </c>
      <c r="AP167" s="1051">
        <f>0-SUM(AM167:AO167)</f>
        <v>0</v>
      </c>
      <c r="AQ167" s="1052">
        <f t="shared" si="380"/>
        <v>0</v>
      </c>
      <c r="AR167" s="1051">
        <v>0</v>
      </c>
      <c r="AS167" s="1051">
        <f t="shared" si="399"/>
        <v>0</v>
      </c>
      <c r="AT167" s="1051">
        <f>0-SUM(AR167:AS167)</f>
        <v>0</v>
      </c>
      <c r="AU167" s="802"/>
      <c r="AV167" s="555"/>
      <c r="AW167" s="555"/>
      <c r="AX167" s="555"/>
      <c r="AY167" s="555"/>
      <c r="AZ167" s="1053">
        <v>0</v>
      </c>
      <c r="BA167" s="1051">
        <v>-105</v>
      </c>
      <c r="BB167" s="1051">
        <f>-105-BA167</f>
        <v>0</v>
      </c>
      <c r="BC167" s="1051">
        <f>-107-SUM(BA167:BB167)</f>
        <v>-2</v>
      </c>
      <c r="BD167" s="1051">
        <f>-107-SUM(BA167:BC167)</f>
        <v>0</v>
      </c>
      <c r="BE167" s="1052">
        <f t="shared" si="381"/>
        <v>-107</v>
      </c>
      <c r="BF167" s="1051">
        <v>-2</v>
      </c>
      <c r="BG167" s="1051">
        <f>-2-BF167</f>
        <v>0</v>
      </c>
      <c r="BH167" s="1051">
        <f>-3-SUM(BF167:BG167)</f>
        <v>-1</v>
      </c>
      <c r="BI167" s="1051">
        <f>-3-SUM(BF167:BH167)</f>
        <v>0</v>
      </c>
      <c r="BJ167" s="1052">
        <f t="shared" si="382"/>
        <v>-3</v>
      </c>
      <c r="BK167" s="1051">
        <v>0</v>
      </c>
      <c r="BL167" s="1051">
        <f>0-BK167</f>
        <v>0</v>
      </c>
      <c r="BM167" s="1051">
        <f>0-SUM(BK167:BL167)</f>
        <v>0</v>
      </c>
      <c r="BN167" s="1051">
        <f>0-SUM(BK167:BM167)</f>
        <v>0</v>
      </c>
      <c r="BO167" s="1052">
        <f t="shared" si="383"/>
        <v>0</v>
      </c>
      <c r="BP167" s="1051">
        <v>0</v>
      </c>
      <c r="BQ167" s="1051">
        <f>0-BP167</f>
        <v>0</v>
      </c>
      <c r="BR167" s="1051">
        <f>0-SUM(BP167:BQ167)</f>
        <v>0</v>
      </c>
      <c r="BS167" s="1051">
        <f>0-SUM(BP167:BR167)</f>
        <v>0</v>
      </c>
      <c r="BT167" s="1052">
        <f t="shared" si="384"/>
        <v>0</v>
      </c>
      <c r="BU167" s="1051">
        <v>0</v>
      </c>
      <c r="BV167" s="1051">
        <f>0-BU167</f>
        <v>0</v>
      </c>
      <c r="BW167" s="1051">
        <f>0-SUM(BU167:BV167)</f>
        <v>0</v>
      </c>
      <c r="BX167" s="1051">
        <f>0-SUM(BU167:BW167)</f>
        <v>0</v>
      </c>
      <c r="BY167" s="1052">
        <f t="shared" si="385"/>
        <v>0</v>
      </c>
      <c r="BZ167" s="1051">
        <v>0</v>
      </c>
      <c r="CA167" s="1051">
        <f>0-BZ167</f>
        <v>0</v>
      </c>
      <c r="CB167" s="1051">
        <f>0-SUM(BZ167:CA167)</f>
        <v>0</v>
      </c>
      <c r="CC167" s="1051">
        <f>0-SUM(BZ167:CB167)</f>
        <v>0</v>
      </c>
      <c r="CD167" s="1052">
        <f t="shared" si="386"/>
        <v>0</v>
      </c>
      <c r="CE167" s="1051">
        <v>0</v>
      </c>
      <c r="CF167" s="1051">
        <f>0-CE167</f>
        <v>0</v>
      </c>
      <c r="CG167" s="1051">
        <f>0-SUM(CE167:CF167)</f>
        <v>0</v>
      </c>
      <c r="CH167" s="1051">
        <f>0-SUM(CE167:CG167)</f>
        <v>0</v>
      </c>
      <c r="CI167" s="1052">
        <f t="shared" si="387"/>
        <v>0</v>
      </c>
      <c r="CJ167" s="1051">
        <v>0</v>
      </c>
      <c r="CK167" s="1051">
        <f>0-CJ167</f>
        <v>0</v>
      </c>
      <c r="CL167" s="1051">
        <f>0-SUM(CJ167:CK167)</f>
        <v>0</v>
      </c>
      <c r="CM167" s="1051">
        <f>0-SUM(CJ167:CL167)</f>
        <v>0</v>
      </c>
      <c r="CN167" s="1052">
        <f t="shared" si="388"/>
        <v>0</v>
      </c>
      <c r="CO167" s="1051">
        <v>0</v>
      </c>
      <c r="CP167" s="1051">
        <f>0-CO167</f>
        <v>0</v>
      </c>
      <c r="CQ167" s="1051">
        <f>0-SUM(CO167:CP167)</f>
        <v>0</v>
      </c>
      <c r="CR167" s="1051">
        <f>0-SUM(CO167:CQ167)</f>
        <v>0</v>
      </c>
      <c r="CS167" s="1052">
        <f t="shared" si="389"/>
        <v>0</v>
      </c>
      <c r="CT167" s="1051">
        <v>0</v>
      </c>
      <c r="CU167" s="1051">
        <f>0-CT167</f>
        <v>0</v>
      </c>
      <c r="CV167" s="1051">
        <f>0-CT167-CU167</f>
        <v>0</v>
      </c>
      <c r="CW167" s="1051">
        <v>0</v>
      </c>
      <c r="CX167" s="1052">
        <f t="shared" si="390"/>
        <v>0</v>
      </c>
      <c r="CY167" s="1051">
        <f>IF('BS &amp; CF'!CY8&gt;'BS &amp; CF'!CX8,-('BS &amp; CF'!CY8-'BS &amp; CF'!CX8),0)</f>
        <v>0</v>
      </c>
      <c r="CZ167" s="1051">
        <v>0</v>
      </c>
      <c r="DA167" s="1051">
        <v>0</v>
      </c>
      <c r="DB167" s="1051">
        <f>8-SUM(CY167:DA167)</f>
        <v>8</v>
      </c>
      <c r="DC167" s="1052">
        <f t="shared" si="391"/>
        <v>8</v>
      </c>
      <c r="DD167" s="1051">
        <f>IF('BS &amp; CF'!DD8&gt;'BS &amp; CF'!DC8,-('BS &amp; CF'!DD8-'BS &amp; CF'!DC8),0)</f>
        <v>0</v>
      </c>
      <c r="DE167" s="1051">
        <v>0</v>
      </c>
      <c r="DF167" s="1051">
        <v>0</v>
      </c>
      <c r="DG167" s="1051">
        <f>IF('BS &amp; CF'!DG8&gt;'BS &amp; CF'!DF8,-('BS &amp; CF'!DG8-'BS &amp; CF'!DF8),0)</f>
        <v>0</v>
      </c>
      <c r="DH167" s="1052">
        <f t="shared" si="392"/>
        <v>0</v>
      </c>
      <c r="DI167" s="1051">
        <f>IF('BS &amp; CF'!DI8&gt;'BS &amp; CF'!DH8,-('BS &amp; CF'!DI8-'BS &amp; CF'!DH8),0)</f>
        <v>0</v>
      </c>
      <c r="DJ167" s="1051">
        <f>IF('BS &amp; CF'!DJ8&gt;'BS &amp; CF'!DI8,-('BS &amp; CF'!DJ8-'BS &amp; CF'!DI8),0)</f>
        <v>0</v>
      </c>
      <c r="DK167" s="1051">
        <f>IF('BS &amp; CF'!DK8&gt;'BS &amp; CF'!DJ8,-('BS &amp; CF'!DK8-'BS &amp; CF'!DJ8),0)</f>
        <v>0</v>
      </c>
      <c r="DL167" s="1051">
        <v>0</v>
      </c>
      <c r="DM167" s="1052">
        <f t="shared" si="393"/>
        <v>0</v>
      </c>
      <c r="DN167" s="1051">
        <f>IF('BS &amp; CF'!DN8&gt;'BS &amp; CF'!DM8,-('BS &amp; CF'!DN8-'BS &amp; CF'!DM8),0)</f>
        <v>0</v>
      </c>
      <c r="DO167" s="1051">
        <f>-35-DN167</f>
        <v>-35</v>
      </c>
      <c r="DP167" s="1051">
        <f>-37-DO167-DN167</f>
        <v>-2</v>
      </c>
      <c r="DQ167" s="1051">
        <f>-39-DP167-DO167-DN167</f>
        <v>-2</v>
      </c>
      <c r="DR167" s="1052">
        <f t="shared" si="394"/>
        <v>-39</v>
      </c>
      <c r="DS167" s="1051">
        <v>-1</v>
      </c>
      <c r="DT167" s="1051">
        <f>-2-DS167</f>
        <v>-1</v>
      </c>
      <c r="DU167" s="1051">
        <f>-64-DT167-DS167</f>
        <v>-62</v>
      </c>
      <c r="DV167" s="1051">
        <f>-68-DU167-DT167-DS167</f>
        <v>-4</v>
      </c>
      <c r="DW167" s="1052">
        <f t="shared" si="395"/>
        <v>-68</v>
      </c>
      <c r="DX167" s="1054">
        <f>IF('BS &amp; CF'!DX8&gt;'BS &amp; CF'!DW8,-('BS &amp; CF'!DX8-'BS &amp; CF'!DW8),0)</f>
        <v>0</v>
      </c>
      <c r="DY167" s="1054">
        <f>IF('BS &amp; CF'!DY8&gt;'BS &amp; CF'!DX8,-('BS &amp; CF'!DY8-'BS &amp; CF'!DX8),0)</f>
        <v>0</v>
      </c>
      <c r="DZ167" s="1054">
        <f>IF('BS &amp; CF'!DZ8&gt;'BS &amp; CF'!DY8,-('BS &amp; CF'!DZ8-'BS &amp; CF'!DY8),0)</f>
        <v>0</v>
      </c>
      <c r="EA167" s="1054">
        <f>IF('BS &amp; CF'!EA8&gt;'BS &amp; CF'!DZ8,-('BS &amp; CF'!EA8-'BS &amp; CF'!DZ8),0)</f>
        <v>0</v>
      </c>
      <c r="EB167" s="1052">
        <f t="shared" si="396"/>
        <v>0</v>
      </c>
      <c r="EC167" s="1054">
        <f>IF('BS &amp; CF'!EC8&gt;'BS &amp; CF'!EB8,-('BS &amp; CF'!EC8-'BS &amp; CF'!EB8),0)</f>
        <v>0</v>
      </c>
      <c r="ED167" s="1054">
        <f>IF('BS &amp; CF'!ED8&gt;'BS &amp; CF'!EC8,-('BS &amp; CF'!ED8-'BS &amp; CF'!EC8),0)</f>
        <v>0</v>
      </c>
      <c r="EE167" s="1054">
        <f>IF('BS &amp; CF'!EE8&gt;'BS &amp; CF'!ED8,-('BS &amp; CF'!EE8-'BS &amp; CF'!ED8),0)</f>
        <v>0</v>
      </c>
      <c r="EF167" s="1054">
        <f>IF('BS &amp; CF'!EF8&gt;'BS &amp; CF'!EE8,-('BS &amp; CF'!EF8-'BS &amp; CF'!EE8),0)</f>
        <v>0</v>
      </c>
      <c r="EG167" s="1052">
        <f t="shared" si="397"/>
        <v>0</v>
      </c>
      <c r="EH167" s="1054">
        <f>IF('BS &amp; CF'!EH8&gt;'BS &amp; CF'!EG8,-('BS &amp; CF'!EH8-'BS &amp; CF'!EG8),0)</f>
        <v>0</v>
      </c>
      <c r="EI167" s="1054">
        <f>IF('BS &amp; CF'!EI8&gt;'BS &amp; CF'!EH8,-('BS &amp; CF'!EI8-'BS &amp; CF'!EH8),0)</f>
        <v>0</v>
      </c>
      <c r="EJ167" s="1054">
        <f>IF('BS &amp; CF'!EJ8&gt;'BS &amp; CF'!EI8,-('BS &amp; CF'!EJ8-'BS &amp; CF'!EI8),0)</f>
        <v>0</v>
      </c>
      <c r="EK167" s="1054">
        <f>IF('BS &amp; CF'!EK8&gt;'BS &amp; CF'!EJ8,-('BS &amp; CF'!EK8-'BS &amp; CF'!EJ8),0)</f>
        <v>0</v>
      </c>
      <c r="EL167" s="1052">
        <f t="shared" si="398"/>
        <v>0</v>
      </c>
      <c r="EM167" s="903"/>
      <c r="EN167"/>
      <c r="EO167"/>
      <c r="EP167"/>
      <c r="EQ167"/>
      <c r="ER167"/>
      <c r="ES167"/>
      <c r="ET167" s="135"/>
      <c r="EU167" s="135"/>
      <c r="EV167" s="135"/>
      <c r="EW167" s="135"/>
      <c r="EX167" s="135"/>
      <c r="EY167" s="135"/>
      <c r="EZ167" s="135"/>
      <c r="FA167" s="135"/>
      <c r="FB167" s="135"/>
      <c r="FC167" s="135"/>
      <c r="FD167" s="135"/>
      <c r="FE167" s="135"/>
      <c r="FF167" s="135"/>
      <c r="FG167" s="135"/>
      <c r="FH167" s="135"/>
      <c r="FI167" s="135"/>
      <c r="FJ167" s="135"/>
      <c r="FK167" s="135"/>
      <c r="FL167" s="135"/>
      <c r="FM167" s="135"/>
      <c r="FN167" s="135"/>
      <c r="FO167" s="135"/>
      <c r="FP167" s="135"/>
      <c r="FQ167" s="135"/>
      <c r="FR167" s="135"/>
      <c r="FS167" s="135"/>
      <c r="FT167" s="135"/>
      <c r="FU167" s="135"/>
      <c r="FV167" s="135"/>
      <c r="FW167" s="135"/>
      <c r="FX167" s="135"/>
      <c r="FY167" s="135"/>
      <c r="FZ167" s="135"/>
      <c r="GA167" s="135"/>
      <c r="GB167" s="135"/>
      <c r="GC167" s="135"/>
      <c r="GD167" s="135"/>
      <c r="GE167" s="135"/>
      <c r="GF167" s="135"/>
      <c r="GG167" s="135"/>
      <c r="GH167" s="135"/>
      <c r="GI167" s="135"/>
      <c r="GJ167" s="135"/>
      <c r="GK167" s="135"/>
      <c r="GL167" s="135"/>
      <c r="GM167" s="135"/>
      <c r="GN167" s="135"/>
      <c r="GO167" s="135"/>
      <c r="GP167" s="135"/>
      <c r="GQ167" s="135"/>
      <c r="GR167" s="135"/>
      <c r="GS167" s="135"/>
      <c r="GT167" s="135"/>
      <c r="GU167" s="135"/>
      <c r="GV167" s="135"/>
      <c r="GW167" s="135"/>
      <c r="GX167" s="135"/>
      <c r="GY167" s="135"/>
      <c r="GZ167" s="135"/>
      <c r="HA167" s="135"/>
      <c r="HB167" s="135"/>
      <c r="HC167" s="135"/>
      <c r="HD167" s="135"/>
      <c r="HE167" s="135"/>
      <c r="HF167" s="135"/>
      <c r="HG167" s="135"/>
      <c r="HH167" s="135"/>
      <c r="HI167" s="135"/>
      <c r="HJ167" s="135"/>
      <c r="HK167" s="135"/>
      <c r="HL167" s="135"/>
      <c r="HM167" s="135"/>
      <c r="HN167" s="135"/>
      <c r="HO167" s="135"/>
      <c r="HP167" s="135"/>
      <c r="HQ167" s="135"/>
      <c r="HR167" s="135"/>
      <c r="HS167" s="135"/>
      <c r="HT167" s="135"/>
      <c r="HU167" s="135"/>
      <c r="HV167" s="135"/>
      <c r="HW167" s="135"/>
      <c r="HX167" s="135"/>
      <c r="HY167" s="135"/>
      <c r="HZ167" s="135"/>
      <c r="IA167" s="135"/>
      <c r="IB167" s="135"/>
      <c r="IC167" s="135"/>
      <c r="ID167" s="135"/>
      <c r="IE167" s="135"/>
      <c r="IF167" s="135"/>
      <c r="IG167" s="135"/>
      <c r="IH167" s="135"/>
      <c r="II167" s="135"/>
      <c r="IJ167" s="135"/>
      <c r="IK167" s="135"/>
      <c r="IL167" s="135"/>
      <c r="IM167" s="135"/>
      <c r="IN167" s="135"/>
      <c r="IO167" s="135"/>
      <c r="IP167" s="135"/>
      <c r="IQ167" s="135"/>
      <c r="IR167" s="135"/>
      <c r="IS167" s="135"/>
      <c r="IT167" s="135"/>
      <c r="IU167" s="135"/>
      <c r="IV167" s="135"/>
      <c r="IW167" s="135"/>
      <c r="IX167" s="135"/>
      <c r="IY167" s="135"/>
      <c r="IZ167" s="135"/>
      <c r="JA167" s="135"/>
      <c r="JB167" s="135"/>
      <c r="JC167" s="135"/>
      <c r="JD167" s="135"/>
      <c r="JE167" s="135"/>
      <c r="JF167" s="135"/>
      <c r="JG167" s="135"/>
      <c r="JH167" s="135"/>
    </row>
    <row r="168" spans="1:268" s="4" customFormat="1" collapsed="1">
      <c r="A168" s="801"/>
      <c r="B168" s="557" t="s">
        <v>71</v>
      </c>
      <c r="C168" s="1078"/>
      <c r="D168" s="1078">
        <f>1.182-10.741-1.103-0.945</f>
        <v>-11.606999999999999</v>
      </c>
      <c r="E168" s="1078">
        <f>1.9-16-2-0.8-D168</f>
        <v>-5.2930000000000028</v>
      </c>
      <c r="F168" s="1078">
        <f>2.6-31.3-15.3-4.7-SUM(D168:E168)</f>
        <v>-31.8</v>
      </c>
      <c r="G168" s="1078">
        <f>8-SUM(D168:F168)</f>
        <v>56.7</v>
      </c>
      <c r="H168" s="1079">
        <f t="shared" si="373"/>
        <v>8</v>
      </c>
      <c r="I168" s="1078">
        <v>-8.4</v>
      </c>
      <c r="J168" s="1078">
        <f>-9.9-I168</f>
        <v>-1.5</v>
      </c>
      <c r="K168" s="1078">
        <f>7.8-SUM(I168:J168)</f>
        <v>17.7</v>
      </c>
      <c r="L168" s="1078">
        <f>-36-SUM(I168:K168)</f>
        <v>-43.8</v>
      </c>
      <c r="M168" s="1079">
        <f t="shared" si="374"/>
        <v>-36</v>
      </c>
      <c r="N168" s="1078">
        <v>-0.5</v>
      </c>
      <c r="O168" s="1078">
        <f>-0.8-N168</f>
        <v>-0.30000000000000004</v>
      </c>
      <c r="P168" s="1078">
        <f>-15.1-SUM(N168:O168)</f>
        <v>-14.299999999999999</v>
      </c>
      <c r="Q168" s="1078">
        <f>18-SUM(N168:P168)</f>
        <v>33.1</v>
      </c>
      <c r="R168" s="1079">
        <f t="shared" si="375"/>
        <v>18</v>
      </c>
      <c r="S168" s="1078">
        <v>-37</v>
      </c>
      <c r="T168" s="1078">
        <f>-43-S168</f>
        <v>-6</v>
      </c>
      <c r="U168" s="1078">
        <f>-77-SUM(S168:T168)</f>
        <v>-34</v>
      </c>
      <c r="V168" s="1078">
        <f>-40-SUM(S168:U168)</f>
        <v>37</v>
      </c>
      <c r="W168" s="1079">
        <f t="shared" si="376"/>
        <v>-40</v>
      </c>
      <c r="X168" s="1078">
        <v>-27</v>
      </c>
      <c r="Y168" s="1078">
        <f>-64-X168</f>
        <v>-37</v>
      </c>
      <c r="Z168" s="1078">
        <f>-108-SUM(X168:Y168)</f>
        <v>-44</v>
      </c>
      <c r="AA168" s="1078">
        <f>19-SUM(X168:Z168)</f>
        <v>127</v>
      </c>
      <c r="AB168" s="1079">
        <f t="shared" si="377"/>
        <v>19</v>
      </c>
      <c r="AC168" s="1078">
        <v>-20</v>
      </c>
      <c r="AD168" s="1078">
        <f>-34-AC168</f>
        <v>-14</v>
      </c>
      <c r="AE168" s="1078">
        <f>-94-SUM(AC168:AD168)</f>
        <v>-60</v>
      </c>
      <c r="AF168" s="1078">
        <f>-143-SUM(AC168:AE168)</f>
        <v>-49</v>
      </c>
      <c r="AG168" s="1079">
        <f t="shared" si="378"/>
        <v>-143</v>
      </c>
      <c r="AH168" s="1078">
        <v>-5</v>
      </c>
      <c r="AI168" s="1078">
        <f>-47-AH168</f>
        <v>-42</v>
      </c>
      <c r="AJ168" s="1078">
        <f>-37-SUM(AH168:AI168)</f>
        <v>10</v>
      </c>
      <c r="AK168" s="1078">
        <f>-76-SUM(AH168:AJ168)</f>
        <v>-39</v>
      </c>
      <c r="AL168" s="1079">
        <f t="shared" si="379"/>
        <v>-76</v>
      </c>
      <c r="AM168" s="1078">
        <v>-52</v>
      </c>
      <c r="AN168" s="1078">
        <f>-27-AM168</f>
        <v>25</v>
      </c>
      <c r="AO168" s="1078">
        <f>-42-SUM(AM168:AN168)</f>
        <v>-15</v>
      </c>
      <c r="AP168" s="1078">
        <f>-42-SUM(AM168:AO168)</f>
        <v>0</v>
      </c>
      <c r="AQ168" s="1079">
        <f t="shared" si="380"/>
        <v>-42</v>
      </c>
      <c r="AR168" s="1078">
        <v>21</v>
      </c>
      <c r="AS168" s="1078">
        <f>35-AR168</f>
        <v>14</v>
      </c>
      <c r="AT168" s="1078">
        <f>11-SUM(AR168:AS168)</f>
        <v>-24</v>
      </c>
      <c r="AU168" s="802"/>
      <c r="AV168" s="1080"/>
      <c r="AW168" s="1080"/>
      <c r="AX168" s="1080"/>
      <c r="AY168" s="1080"/>
      <c r="AZ168" s="1081">
        <v>122</v>
      </c>
      <c r="BA168" s="1078">
        <v>-8</v>
      </c>
      <c r="BB168" s="1078">
        <f>28-BA168</f>
        <v>36</v>
      </c>
      <c r="BC168" s="1078">
        <f>38-SUM(BA168:BB168)</f>
        <v>10</v>
      </c>
      <c r="BD168" s="1078">
        <f>-84-SUM(BA168:BC168)</f>
        <v>-122</v>
      </c>
      <c r="BE168" s="1079">
        <f t="shared" si="381"/>
        <v>-84</v>
      </c>
      <c r="BF168" s="1078">
        <v>-3</v>
      </c>
      <c r="BG168" s="1078">
        <f>-21+76-BF168</f>
        <v>58</v>
      </c>
      <c r="BH168" s="1078">
        <f>-15+88-SUM(BF168:BG168)</f>
        <v>18</v>
      </c>
      <c r="BI168" s="1078">
        <f>30+88-SUM(BF168:BH168)</f>
        <v>45</v>
      </c>
      <c r="BJ168" s="1079">
        <f t="shared" si="382"/>
        <v>118</v>
      </c>
      <c r="BK168" s="1078">
        <v>3</v>
      </c>
      <c r="BL168" s="1078">
        <f>-3-BK168</f>
        <v>-6</v>
      </c>
      <c r="BM168" s="1078">
        <f>-14-7+21-SUM(BK168:BL168)</f>
        <v>3</v>
      </c>
      <c r="BN168" s="1078">
        <f>-23+4+75-SUM(BK168:BM168)</f>
        <v>56</v>
      </c>
      <c r="BO168" s="1079">
        <f t="shared" si="383"/>
        <v>56</v>
      </c>
      <c r="BP168" s="1078">
        <f>6+10</f>
        <v>16</v>
      </c>
      <c r="BQ168" s="1078">
        <f>17+36-BP168</f>
        <v>37</v>
      </c>
      <c r="BR168" s="1078">
        <f>35+115-SUM(BP168:BQ168)</f>
        <v>97</v>
      </c>
      <c r="BS168" s="1078">
        <f>26+115-SUM(BP168:BR168)</f>
        <v>-9</v>
      </c>
      <c r="BT168" s="1079">
        <f t="shared" si="384"/>
        <v>141</v>
      </c>
      <c r="BU168" s="1078">
        <v>0</v>
      </c>
      <c r="BV168" s="1078">
        <f>-4-BU168</f>
        <v>-4</v>
      </c>
      <c r="BW168" s="1078">
        <f>-1+31+32-SUM(BU168:BV168)</f>
        <v>66</v>
      </c>
      <c r="BX168" s="1078">
        <f>-5+31+82+6-SUM(BU168:BW168)</f>
        <v>52</v>
      </c>
      <c r="BY168" s="1079">
        <f t="shared" si="385"/>
        <v>114</v>
      </c>
      <c r="BZ168" s="1078">
        <v>2</v>
      </c>
      <c r="CA168" s="1078">
        <f>2-BZ168</f>
        <v>0</v>
      </c>
      <c r="CB168" s="1078">
        <f>3-48+8+4-SUM(BZ168:CA168)</f>
        <v>-35</v>
      </c>
      <c r="CC168" s="1078">
        <f>1-14+8+11+1-SUM(BZ168:CB168)</f>
        <v>40</v>
      </c>
      <c r="CD168" s="1079">
        <f t="shared" si="386"/>
        <v>7</v>
      </c>
      <c r="CE168" s="1078">
        <f>8-1</f>
        <v>7</v>
      </c>
      <c r="CF168" s="1078">
        <f>8+2-CE168</f>
        <v>3</v>
      </c>
      <c r="CG168" s="1078">
        <f>11-SUM(CE168:CF168)</f>
        <v>1</v>
      </c>
      <c r="CH168" s="1078">
        <f>12-1-SUM(CE168:CG168)</f>
        <v>0</v>
      </c>
      <c r="CI168" s="1079">
        <f t="shared" si="387"/>
        <v>11</v>
      </c>
      <c r="CJ168" s="1078">
        <v>3</v>
      </c>
      <c r="CK168" s="1078">
        <f>1+1-CJ168</f>
        <v>-1</v>
      </c>
      <c r="CL168" s="1078">
        <f>1+2-SUM(CJ168:CK168)</f>
        <v>1</v>
      </c>
      <c r="CM168" s="1078">
        <f>1+15+2-SUM(CJ168:CL168)</f>
        <v>15</v>
      </c>
      <c r="CN168" s="1079">
        <f t="shared" si="388"/>
        <v>18</v>
      </c>
      <c r="CO168" s="1078">
        <v>0</v>
      </c>
      <c r="CP168" s="1078">
        <f>-1-CO168</f>
        <v>-1</v>
      </c>
      <c r="CQ168" s="1082">
        <f>-1-SUM(CP168,CO168)</f>
        <v>0</v>
      </c>
      <c r="CR168" s="1078">
        <f>-3-SUM(CO168:CQ168)</f>
        <v>-2</v>
      </c>
      <c r="CS168" s="1079">
        <f t="shared" si="389"/>
        <v>-3</v>
      </c>
      <c r="CT168" s="1078">
        <v>0</v>
      </c>
      <c r="CU168" s="1078">
        <f>2-CT168</f>
        <v>2</v>
      </c>
      <c r="CV168" s="1078">
        <f>-2-CT168-CU168</f>
        <v>-4</v>
      </c>
      <c r="CW168" s="1078">
        <f>-5-SUM(CT168:CV168)</f>
        <v>-3</v>
      </c>
      <c r="CX168" s="1079">
        <f t="shared" si="390"/>
        <v>-5</v>
      </c>
      <c r="CY168" s="1078">
        <f>29+2</f>
        <v>31</v>
      </c>
      <c r="CZ168" s="1078">
        <f>6+2-CY168</f>
        <v>-23</v>
      </c>
      <c r="DA168" s="1078">
        <f>14-CZ168-CY168</f>
        <v>6</v>
      </c>
      <c r="DB168" s="1078">
        <f>3-SUM(CY168:DA168)</f>
        <v>-11</v>
      </c>
      <c r="DC168" s="1079">
        <f t="shared" si="391"/>
        <v>3</v>
      </c>
      <c r="DD168" s="1078">
        <v>-4</v>
      </c>
      <c r="DE168" s="1078">
        <f>-14-DD168</f>
        <v>-10</v>
      </c>
      <c r="DF168" s="1078">
        <f>-1-SUM(DD168:DE168)</f>
        <v>13</v>
      </c>
      <c r="DG168" s="1078">
        <f>1+1-SUM(DD168:DF168)</f>
        <v>3</v>
      </c>
      <c r="DH168" s="1079">
        <f t="shared" si="392"/>
        <v>2</v>
      </c>
      <c r="DI168" s="1078">
        <v>2</v>
      </c>
      <c r="DJ168" s="1078">
        <f>1-DI168</f>
        <v>-1</v>
      </c>
      <c r="DK168" s="1078">
        <f>-18-6-8-DJ168-DI168</f>
        <v>-33</v>
      </c>
      <c r="DL168" s="1078">
        <f>-134-4-6-DK168-DJ168-DI168</f>
        <v>-112</v>
      </c>
      <c r="DM168" s="1079">
        <f t="shared" si="393"/>
        <v>-144</v>
      </c>
      <c r="DN168" s="1078">
        <v>-10</v>
      </c>
      <c r="DO168" s="1078">
        <f>-3+2-DN168</f>
        <v>9</v>
      </c>
      <c r="DP168" s="1078">
        <f>-15+3-DO168-DN168</f>
        <v>-11</v>
      </c>
      <c r="DQ168" s="1078">
        <f>-31-3-DP168-DO168-DN168</f>
        <v>-22</v>
      </c>
      <c r="DR168" s="1079">
        <f t="shared" si="394"/>
        <v>-34</v>
      </c>
      <c r="DS168" s="1078">
        <f>-12-1</f>
        <v>-13</v>
      </c>
      <c r="DT168" s="1078">
        <f>-12-10-DS168</f>
        <v>-9</v>
      </c>
      <c r="DU168" s="1078">
        <f>-16-6-DT168-DS168</f>
        <v>0</v>
      </c>
      <c r="DV168" s="1078">
        <f>-10-7-DU168-DT168-DS168</f>
        <v>5</v>
      </c>
      <c r="DW168" s="1079">
        <f t="shared" si="395"/>
        <v>-17</v>
      </c>
      <c r="DX168" s="1083">
        <v>0</v>
      </c>
      <c r="DY168" s="1083">
        <v>0</v>
      </c>
      <c r="DZ168" s="1083">
        <v>0</v>
      </c>
      <c r="EA168" s="1083">
        <v>0</v>
      </c>
      <c r="EB168" s="1079">
        <f t="shared" si="396"/>
        <v>0</v>
      </c>
      <c r="EC168" s="1083">
        <v>0</v>
      </c>
      <c r="ED168" s="1083">
        <v>0</v>
      </c>
      <c r="EE168" s="1083">
        <v>0</v>
      </c>
      <c r="EF168" s="1083">
        <v>0</v>
      </c>
      <c r="EG168" s="1079">
        <f t="shared" si="397"/>
        <v>0</v>
      </c>
      <c r="EH168" s="1083">
        <v>0</v>
      </c>
      <c r="EI168" s="1083">
        <v>0</v>
      </c>
      <c r="EJ168" s="1083">
        <v>0</v>
      </c>
      <c r="EK168" s="1083">
        <v>0</v>
      </c>
      <c r="EL168" s="1079">
        <f t="shared" si="398"/>
        <v>0</v>
      </c>
      <c r="EM168" s="901"/>
      <c r="EN168"/>
      <c r="EO168"/>
      <c r="EP168"/>
      <c r="EQ168"/>
      <c r="ER168"/>
      <c r="ES168"/>
      <c r="ET168" s="135"/>
      <c r="EU168" s="135"/>
      <c r="EV168" s="135"/>
      <c r="EW168" s="135"/>
      <c r="EX168" s="135"/>
      <c r="EY168" s="135"/>
      <c r="EZ168" s="135"/>
      <c r="FA168" s="135"/>
      <c r="FB168" s="135"/>
      <c r="FC168" s="135"/>
      <c r="FD168" s="135"/>
      <c r="FE168" s="135"/>
      <c r="FF168" s="135"/>
      <c r="FG168" s="135"/>
      <c r="FH168" s="135"/>
      <c r="FI168" s="135"/>
      <c r="FJ168" s="135"/>
      <c r="FK168" s="135"/>
      <c r="FL168" s="135"/>
      <c r="FM168" s="135"/>
      <c r="FN168" s="135"/>
      <c r="FO168" s="135"/>
      <c r="FP168" s="135"/>
      <c r="FQ168" s="135"/>
      <c r="FR168" s="135"/>
      <c r="FS168" s="135"/>
      <c r="FT168" s="135"/>
      <c r="FU168" s="135"/>
      <c r="FV168" s="135"/>
      <c r="FW168" s="135"/>
      <c r="FX168" s="135"/>
      <c r="FY168" s="135"/>
      <c r="FZ168" s="135"/>
      <c r="GA168" s="135"/>
      <c r="GB168" s="135"/>
      <c r="GC168" s="135"/>
      <c r="GD168" s="135"/>
      <c r="GE168" s="135"/>
      <c r="GF168" s="135"/>
      <c r="GG168" s="135"/>
      <c r="GH168" s="135"/>
      <c r="GI168" s="135"/>
      <c r="GJ168" s="135"/>
      <c r="GK168" s="135"/>
      <c r="GL168" s="135"/>
      <c r="GM168" s="135"/>
      <c r="GN168" s="135"/>
      <c r="GO168" s="135"/>
      <c r="GP168" s="135"/>
      <c r="GQ168" s="135"/>
      <c r="GR168" s="135"/>
      <c r="GS168" s="135"/>
      <c r="GT168" s="135"/>
      <c r="GU168" s="135"/>
      <c r="GV168" s="135"/>
      <c r="GW168" s="135"/>
      <c r="GX168" s="135"/>
      <c r="GY168" s="135"/>
      <c r="GZ168" s="135"/>
      <c r="HA168" s="135"/>
      <c r="HB168" s="135"/>
      <c r="HC168" s="135"/>
      <c r="HD168" s="135"/>
      <c r="HE168" s="135"/>
      <c r="HF168" s="135"/>
      <c r="HG168" s="135"/>
      <c r="HH168" s="135"/>
      <c r="HI168" s="135"/>
      <c r="HJ168" s="135"/>
      <c r="HK168" s="135"/>
      <c r="HL168" s="135"/>
      <c r="HM168" s="135"/>
      <c r="HN168" s="135"/>
      <c r="HO168" s="135"/>
      <c r="HP168" s="135"/>
      <c r="HQ168" s="135"/>
      <c r="HR168" s="135"/>
      <c r="HS168" s="135"/>
      <c r="HT168" s="135"/>
      <c r="HU168" s="135"/>
      <c r="HV168" s="135"/>
      <c r="HW168" s="135"/>
      <c r="HX168" s="135"/>
      <c r="HY168" s="135"/>
      <c r="HZ168" s="135"/>
      <c r="IA168" s="135"/>
      <c r="IB168" s="135"/>
      <c r="IC168" s="135"/>
      <c r="ID168" s="135"/>
      <c r="IE168" s="135"/>
      <c r="IF168" s="135"/>
      <c r="IG168" s="135"/>
      <c r="IH168" s="135"/>
      <c r="II168" s="135"/>
      <c r="IJ168" s="135"/>
      <c r="IK168" s="135"/>
      <c r="IL168" s="135"/>
      <c r="IM168" s="135"/>
      <c r="IN168" s="135"/>
      <c r="IO168" s="135"/>
      <c r="IP168" s="135"/>
      <c r="IQ168" s="135"/>
      <c r="IR168" s="135"/>
      <c r="IS168" s="135"/>
      <c r="IT168" s="135"/>
      <c r="IU168" s="135"/>
      <c r="IV168" s="135"/>
      <c r="IW168" s="135"/>
      <c r="IX168" s="135"/>
      <c r="IY168" s="135"/>
      <c r="IZ168" s="135"/>
      <c r="JA168" s="135"/>
      <c r="JB168" s="135"/>
      <c r="JC168" s="135"/>
      <c r="JD168" s="135"/>
      <c r="JE168" s="135"/>
      <c r="JF168" s="135"/>
      <c r="JG168" s="135"/>
      <c r="JH168" s="135"/>
    </row>
    <row r="169" spans="1:268" s="4" customFormat="1">
      <c r="A169" s="803"/>
      <c r="B169" s="804" t="s">
        <v>72</v>
      </c>
      <c r="C169" s="1042"/>
      <c r="D169" s="1042">
        <f t="shared" ref="D169:AT169" si="400">SUM(D161:D168)</f>
        <v>108.81100000000001</v>
      </c>
      <c r="E169" s="1042">
        <f t="shared" si="400"/>
        <v>-31.110999999999997</v>
      </c>
      <c r="F169" s="1042">
        <f t="shared" si="400"/>
        <v>-75.300000000000011</v>
      </c>
      <c r="G169" s="1042">
        <f t="shared" si="400"/>
        <v>-1515.3999999999999</v>
      </c>
      <c r="H169" s="1084">
        <f t="shared" si="400"/>
        <v>-1513</v>
      </c>
      <c r="I169" s="1042">
        <f t="shared" si="400"/>
        <v>-96.499999999999972</v>
      </c>
      <c r="J169" s="1042">
        <f t="shared" si="400"/>
        <v>-38.400000000000006</v>
      </c>
      <c r="K169" s="1042">
        <f t="shared" si="400"/>
        <v>-38.499999999999986</v>
      </c>
      <c r="L169" s="1042">
        <f t="shared" si="400"/>
        <v>-94.600000000000009</v>
      </c>
      <c r="M169" s="1084">
        <f t="shared" si="400"/>
        <v>-268</v>
      </c>
      <c r="N169" s="1042">
        <f t="shared" si="400"/>
        <v>-15.700000000000003</v>
      </c>
      <c r="O169" s="1042">
        <f t="shared" si="400"/>
        <v>-132.80000000000001</v>
      </c>
      <c r="P169" s="1042">
        <f t="shared" si="400"/>
        <v>-684.59999999999991</v>
      </c>
      <c r="Q169" s="1042">
        <f t="shared" si="400"/>
        <v>-291.89999999999998</v>
      </c>
      <c r="R169" s="1084">
        <f t="shared" si="400"/>
        <v>-1125</v>
      </c>
      <c r="S169" s="1042">
        <f t="shared" si="400"/>
        <v>-215</v>
      </c>
      <c r="T169" s="1042">
        <f t="shared" si="400"/>
        <v>-347</v>
      </c>
      <c r="U169" s="1042">
        <f t="shared" si="400"/>
        <v>-378</v>
      </c>
      <c r="V169" s="1042">
        <f t="shared" si="400"/>
        <v>-143</v>
      </c>
      <c r="W169" s="1084">
        <f t="shared" si="400"/>
        <v>-1083</v>
      </c>
      <c r="X169" s="1042">
        <f t="shared" si="400"/>
        <v>-218</v>
      </c>
      <c r="Y169" s="1042">
        <f t="shared" si="400"/>
        <v>-529</v>
      </c>
      <c r="Z169" s="1042">
        <f t="shared" si="400"/>
        <v>-206</v>
      </c>
      <c r="AA169" s="1042">
        <f t="shared" si="400"/>
        <v>-194</v>
      </c>
      <c r="AB169" s="1084">
        <f t="shared" si="400"/>
        <v>-1147</v>
      </c>
      <c r="AC169" s="1042">
        <f t="shared" si="400"/>
        <v>-148</v>
      </c>
      <c r="AD169" s="1042">
        <f t="shared" si="400"/>
        <v>455</v>
      </c>
      <c r="AE169" s="1042">
        <f t="shared" si="400"/>
        <v>-179</v>
      </c>
      <c r="AF169" s="1042">
        <f t="shared" si="400"/>
        <v>-164</v>
      </c>
      <c r="AG169" s="1084">
        <f t="shared" si="400"/>
        <v>-36</v>
      </c>
      <c r="AH169" s="1042">
        <f t="shared" si="400"/>
        <v>-111</v>
      </c>
      <c r="AI169" s="1042">
        <f t="shared" si="400"/>
        <v>-159</v>
      </c>
      <c r="AJ169" s="1042">
        <f t="shared" si="400"/>
        <v>-137</v>
      </c>
      <c r="AK169" s="1042">
        <f t="shared" si="400"/>
        <v>-167</v>
      </c>
      <c r="AL169" s="1084">
        <f t="shared" si="400"/>
        <v>-574</v>
      </c>
      <c r="AM169" s="1042">
        <f t="shared" si="400"/>
        <v>-508</v>
      </c>
      <c r="AN169" s="1042">
        <f t="shared" si="400"/>
        <v>-207</v>
      </c>
      <c r="AO169" s="1042">
        <f t="shared" si="400"/>
        <v>-219</v>
      </c>
      <c r="AP169" s="1042">
        <f t="shared" si="400"/>
        <v>-293</v>
      </c>
      <c r="AQ169" s="1084">
        <f t="shared" si="400"/>
        <v>-1227</v>
      </c>
      <c r="AR169" s="1042">
        <f t="shared" si="400"/>
        <v>-169</v>
      </c>
      <c r="AS169" s="1042">
        <f t="shared" si="400"/>
        <v>-209</v>
      </c>
      <c r="AT169" s="1042">
        <f t="shared" si="400"/>
        <v>-280</v>
      </c>
      <c r="AU169" s="1001"/>
      <c r="AV169" s="992"/>
      <c r="AW169" s="992"/>
      <c r="AX169" s="992"/>
      <c r="AY169" s="992"/>
      <c r="AZ169" s="980">
        <f t="shared" ref="AZ169:CE169" si="401">SUM(AZ161:AZ168)</f>
        <v>-389</v>
      </c>
      <c r="BA169" s="1042">
        <f t="shared" si="401"/>
        <v>-333</v>
      </c>
      <c r="BB169" s="1042">
        <f t="shared" si="401"/>
        <v>-162</v>
      </c>
      <c r="BC169" s="1042">
        <f t="shared" si="401"/>
        <v>-137</v>
      </c>
      <c r="BD169" s="1042">
        <f t="shared" si="401"/>
        <v>299</v>
      </c>
      <c r="BE169" s="1084">
        <f t="shared" si="401"/>
        <v>-333</v>
      </c>
      <c r="BF169" s="1042">
        <f t="shared" si="401"/>
        <v>-56</v>
      </c>
      <c r="BG169" s="1042">
        <f t="shared" si="401"/>
        <v>49</v>
      </c>
      <c r="BH169" s="1042">
        <f t="shared" si="401"/>
        <v>6</v>
      </c>
      <c r="BI169" s="1042">
        <f t="shared" si="401"/>
        <v>-11</v>
      </c>
      <c r="BJ169" s="1084">
        <f t="shared" si="401"/>
        <v>-12</v>
      </c>
      <c r="BK169" s="1042">
        <f t="shared" si="401"/>
        <v>-22</v>
      </c>
      <c r="BL169" s="1042">
        <f t="shared" si="401"/>
        <v>-88</v>
      </c>
      <c r="BM169" s="1042">
        <f t="shared" si="401"/>
        <v>-97</v>
      </c>
      <c r="BN169" s="1042">
        <f t="shared" si="401"/>
        <v>-185</v>
      </c>
      <c r="BO169" s="1084">
        <f t="shared" si="401"/>
        <v>-392</v>
      </c>
      <c r="BP169" s="1042">
        <f t="shared" si="401"/>
        <v>-78</v>
      </c>
      <c r="BQ169" s="1042">
        <f t="shared" si="401"/>
        <v>-88</v>
      </c>
      <c r="BR169" s="1042">
        <f t="shared" si="401"/>
        <v>44</v>
      </c>
      <c r="BS169" s="1042">
        <f t="shared" si="401"/>
        <v>-257</v>
      </c>
      <c r="BT169" s="1084">
        <f t="shared" si="401"/>
        <v>-379</v>
      </c>
      <c r="BU169" s="1042">
        <f t="shared" si="401"/>
        <v>-47</v>
      </c>
      <c r="BV169" s="1042">
        <f t="shared" si="401"/>
        <v>-194</v>
      </c>
      <c r="BW169" s="1042">
        <f t="shared" si="401"/>
        <v>-82</v>
      </c>
      <c r="BX169" s="1042">
        <f t="shared" si="401"/>
        <v>-197</v>
      </c>
      <c r="BY169" s="1084">
        <f t="shared" si="401"/>
        <v>-520</v>
      </c>
      <c r="BZ169" s="1042">
        <f t="shared" si="401"/>
        <v>-161</v>
      </c>
      <c r="CA169" s="1042">
        <f t="shared" si="401"/>
        <v>-50</v>
      </c>
      <c r="CB169" s="1042">
        <f t="shared" si="401"/>
        <v>8</v>
      </c>
      <c r="CC169" s="1042">
        <f t="shared" si="401"/>
        <v>-71</v>
      </c>
      <c r="CD169" s="1084">
        <f t="shared" si="401"/>
        <v>-274</v>
      </c>
      <c r="CE169" s="1042">
        <f t="shared" si="401"/>
        <v>174</v>
      </c>
      <c r="CF169" s="1042">
        <f t="shared" ref="CF169:DH169" si="402">SUM(CF161:CF168)</f>
        <v>-24</v>
      </c>
      <c r="CG169" s="1042">
        <f t="shared" si="402"/>
        <v>-95</v>
      </c>
      <c r="CH169" s="1042">
        <f t="shared" si="402"/>
        <v>-180</v>
      </c>
      <c r="CI169" s="1084">
        <f t="shared" si="402"/>
        <v>-125</v>
      </c>
      <c r="CJ169" s="1042">
        <f t="shared" si="402"/>
        <v>-68</v>
      </c>
      <c r="CK169" s="1042">
        <f t="shared" si="402"/>
        <v>-58</v>
      </c>
      <c r="CL169" s="1042">
        <f t="shared" si="402"/>
        <v>-145</v>
      </c>
      <c r="CM169" s="1042">
        <f t="shared" si="402"/>
        <v>-149</v>
      </c>
      <c r="CN169" s="1084">
        <f t="shared" si="402"/>
        <v>-420</v>
      </c>
      <c r="CO169" s="1042">
        <f t="shared" si="402"/>
        <v>-129</v>
      </c>
      <c r="CP169" s="1042">
        <f t="shared" si="402"/>
        <v>-102</v>
      </c>
      <c r="CQ169" s="1042">
        <f t="shared" si="402"/>
        <v>-93</v>
      </c>
      <c r="CR169" s="1042">
        <f t="shared" si="402"/>
        <v>-179</v>
      </c>
      <c r="CS169" s="1084">
        <f t="shared" si="402"/>
        <v>-503</v>
      </c>
      <c r="CT169" s="1042">
        <f t="shared" si="402"/>
        <v>-136</v>
      </c>
      <c r="CU169" s="1042">
        <f t="shared" si="402"/>
        <v>-112</v>
      </c>
      <c r="CV169" s="1042">
        <f t="shared" si="402"/>
        <v>-98</v>
      </c>
      <c r="CW169" s="1042">
        <f t="shared" si="402"/>
        <v>-316</v>
      </c>
      <c r="CX169" s="1084">
        <f t="shared" si="402"/>
        <v>-662</v>
      </c>
      <c r="CY169" s="1042">
        <f t="shared" si="402"/>
        <v>-104</v>
      </c>
      <c r="CZ169" s="1042">
        <f t="shared" si="402"/>
        <v>-156</v>
      </c>
      <c r="DA169" s="1042">
        <f t="shared" si="402"/>
        <v>-249</v>
      </c>
      <c r="DB169" s="1042">
        <f t="shared" si="402"/>
        <v>-1655</v>
      </c>
      <c r="DC169" s="1084">
        <f t="shared" si="402"/>
        <v>-2164</v>
      </c>
      <c r="DD169" s="1042">
        <f t="shared" si="402"/>
        <v>-291</v>
      </c>
      <c r="DE169" s="1042">
        <f t="shared" si="402"/>
        <v>-285</v>
      </c>
      <c r="DF169" s="1042">
        <f t="shared" si="402"/>
        <v>-338</v>
      </c>
      <c r="DG169" s="1042">
        <f t="shared" si="402"/>
        <v>-408</v>
      </c>
      <c r="DH169" s="1084">
        <f t="shared" si="402"/>
        <v>-1322</v>
      </c>
      <c r="DI169" s="1042">
        <f t="shared" ref="DI169:DW169" si="403">SUM(DI161:DI168)</f>
        <v>-187</v>
      </c>
      <c r="DJ169" s="1042">
        <f t="shared" si="403"/>
        <v>-798</v>
      </c>
      <c r="DK169" s="1042">
        <f t="shared" si="403"/>
        <v>-287</v>
      </c>
      <c r="DL169" s="1042">
        <f t="shared" si="403"/>
        <v>-45</v>
      </c>
      <c r="DM169" s="1084">
        <f t="shared" si="403"/>
        <v>-1317</v>
      </c>
      <c r="DN169" s="1042">
        <f t="shared" si="403"/>
        <v>320</v>
      </c>
      <c r="DO169" s="1042">
        <f t="shared" si="403"/>
        <v>-266</v>
      </c>
      <c r="DP169" s="1042">
        <f t="shared" si="403"/>
        <v>-204</v>
      </c>
      <c r="DQ169" s="1042">
        <f t="shared" si="403"/>
        <v>-280</v>
      </c>
      <c r="DR169" s="1084">
        <f t="shared" si="403"/>
        <v>-430</v>
      </c>
      <c r="DS169" s="1042">
        <f t="shared" si="403"/>
        <v>-189</v>
      </c>
      <c r="DT169" s="1042">
        <f t="shared" si="403"/>
        <v>-119</v>
      </c>
      <c r="DU169" s="1042">
        <f t="shared" si="403"/>
        <v>535</v>
      </c>
      <c r="DV169" s="1042">
        <f t="shared" si="403"/>
        <v>-206</v>
      </c>
      <c r="DW169" s="1084">
        <f t="shared" si="403"/>
        <v>21</v>
      </c>
      <c r="DX169" s="1042">
        <f t="shared" ref="DX169:EG169" si="404">SUM(DX161:DX168)</f>
        <v>303.48133194501497</v>
      </c>
      <c r="DY169" s="1042">
        <f t="shared" si="404"/>
        <v>-96.13623211454339</v>
      </c>
      <c r="DZ169" s="1042">
        <f t="shared" si="404"/>
        <v>-83.373400229045728</v>
      </c>
      <c r="EA169" s="1042">
        <f t="shared" si="404"/>
        <v>-89.501171569237613</v>
      </c>
      <c r="EB169" s="1084">
        <f t="shared" si="404"/>
        <v>34.470528032188213</v>
      </c>
      <c r="EC169" s="1042">
        <f t="shared" si="404"/>
        <v>-246.98551550299194</v>
      </c>
      <c r="ED169" s="1042">
        <f t="shared" si="404"/>
        <v>-248.87305496361878</v>
      </c>
      <c r="EE169" s="1042">
        <f t="shared" si="404"/>
        <v>-245.55588548563372</v>
      </c>
      <c r="EF169" s="1042">
        <f t="shared" si="404"/>
        <v>-254.87220035796307</v>
      </c>
      <c r="EG169" s="1084">
        <f t="shared" si="404"/>
        <v>-996.28665631020749</v>
      </c>
      <c r="EH169" s="1042">
        <f t="shared" ref="EH169:EL169" si="405">SUM(EH161:EH168)</f>
        <v>-253.11083093605544</v>
      </c>
      <c r="EI169" s="1042">
        <f t="shared" si="405"/>
        <v>-254.95417010323729</v>
      </c>
      <c r="EJ169" s="1042">
        <f t="shared" si="405"/>
        <v>-251.35891783983138</v>
      </c>
      <c r="EK169" s="1042">
        <f t="shared" si="405"/>
        <v>-261.22109220834</v>
      </c>
      <c r="EL169" s="1084">
        <f t="shared" si="405"/>
        <v>-1020.6450110874641</v>
      </c>
      <c r="EM169" s="917"/>
      <c r="EN169"/>
      <c r="EO169"/>
      <c r="EP169"/>
      <c r="EQ169"/>
      <c r="ER169"/>
      <c r="ES169"/>
      <c r="ET169" s="135"/>
      <c r="EU169" s="135"/>
      <c r="EV169" s="135"/>
      <c r="EW169" s="135"/>
      <c r="EX169" s="135"/>
      <c r="EY169" s="135"/>
      <c r="EZ169" s="135"/>
      <c r="FA169" s="135"/>
      <c r="FB169" s="135"/>
      <c r="FC169" s="135"/>
      <c r="FD169" s="135"/>
      <c r="FE169" s="135"/>
      <c r="FF169" s="135"/>
      <c r="FG169" s="135"/>
      <c r="FH169" s="135"/>
      <c r="FI169" s="135"/>
      <c r="FJ169" s="135"/>
      <c r="FK169" s="135"/>
      <c r="FL169" s="135"/>
      <c r="FM169" s="135"/>
      <c r="FN169" s="135"/>
      <c r="FO169" s="135"/>
      <c r="FP169" s="135"/>
      <c r="FQ169" s="135"/>
      <c r="FR169" s="135"/>
      <c r="FS169" s="135"/>
      <c r="FT169" s="135"/>
      <c r="FU169" s="135"/>
      <c r="FV169" s="135"/>
      <c r="FW169" s="135"/>
      <c r="FX169" s="135"/>
      <c r="FY169" s="135"/>
      <c r="FZ169" s="135"/>
      <c r="GA169" s="135"/>
      <c r="GB169" s="135"/>
      <c r="GC169" s="135"/>
      <c r="GD169" s="135"/>
      <c r="GE169" s="135"/>
      <c r="GF169" s="135"/>
      <c r="GG169" s="135"/>
      <c r="GH169" s="135"/>
      <c r="GI169" s="135"/>
      <c r="GJ169" s="135"/>
      <c r="GK169" s="135"/>
      <c r="GL169" s="135"/>
      <c r="GM169" s="135"/>
      <c r="GN169" s="135"/>
      <c r="GO169" s="135"/>
      <c r="GP169" s="135"/>
      <c r="GQ169" s="135"/>
      <c r="GR169" s="135"/>
      <c r="GS169" s="135"/>
      <c r="GT169" s="135"/>
      <c r="GU169" s="135"/>
      <c r="GV169" s="135"/>
      <c r="GW169" s="135"/>
      <c r="GX169" s="135"/>
      <c r="GY169" s="135"/>
      <c r="GZ169" s="135"/>
      <c r="HA169" s="135"/>
      <c r="HB169" s="135"/>
      <c r="HC169" s="135"/>
      <c r="HD169" s="135"/>
      <c r="HE169" s="135"/>
      <c r="HF169" s="135"/>
      <c r="HG169" s="135"/>
      <c r="HH169" s="135"/>
      <c r="HI169" s="135"/>
      <c r="HJ169" s="135"/>
      <c r="HK169" s="135"/>
      <c r="HL169" s="135"/>
      <c r="HM169" s="135"/>
      <c r="HN169" s="135"/>
      <c r="HO169" s="135"/>
      <c r="HP169" s="135"/>
      <c r="HQ169" s="135"/>
      <c r="HR169" s="135"/>
      <c r="HS169" s="135"/>
      <c r="HT169" s="135"/>
      <c r="HU169" s="135"/>
      <c r="HV169" s="135"/>
      <c r="HW169" s="135"/>
      <c r="HX169" s="135"/>
      <c r="HY169" s="135"/>
      <c r="HZ169" s="135"/>
      <c r="IA169" s="135"/>
      <c r="IB169" s="135"/>
      <c r="IC169" s="135"/>
      <c r="ID169" s="135"/>
      <c r="IE169" s="135"/>
      <c r="IF169" s="135"/>
      <c r="IG169" s="135"/>
      <c r="IH169" s="135"/>
      <c r="II169" s="135"/>
      <c r="IJ169" s="135"/>
      <c r="IK169" s="135"/>
      <c r="IL169" s="135"/>
      <c r="IM169" s="135"/>
      <c r="IN169" s="135"/>
      <c r="IO169" s="135"/>
      <c r="IP169" s="135"/>
      <c r="IQ169" s="135"/>
      <c r="IR169" s="135"/>
      <c r="IS169" s="135"/>
      <c r="IT169" s="135"/>
      <c r="IU169" s="135"/>
      <c r="IV169" s="135"/>
      <c r="IW169" s="135"/>
      <c r="IX169" s="135"/>
      <c r="IY169" s="135"/>
      <c r="IZ169" s="135"/>
      <c r="JA169" s="135"/>
      <c r="JB169" s="135"/>
      <c r="JC169" s="135"/>
      <c r="JD169" s="135"/>
      <c r="JE169" s="135"/>
      <c r="JF169" s="135"/>
      <c r="JG169" s="135"/>
      <c r="JH169" s="135"/>
    </row>
    <row r="170" spans="1:268" s="4" customFormat="1">
      <c r="A170" s="801"/>
      <c r="B170" s="557"/>
      <c r="C170" s="1045"/>
      <c r="D170" s="1045"/>
      <c r="E170" s="1045"/>
      <c r="F170" s="1085"/>
      <c r="G170" s="1022"/>
      <c r="H170" s="1047"/>
      <c r="I170" s="1045"/>
      <c r="J170" s="1045"/>
      <c r="K170" s="1085"/>
      <c r="L170" s="1022"/>
      <c r="M170" s="1047"/>
      <c r="N170" s="1045"/>
      <c r="O170" s="1045"/>
      <c r="P170" s="1085"/>
      <c r="Q170" s="1022"/>
      <c r="R170" s="1047"/>
      <c r="S170" s="1045"/>
      <c r="T170" s="1045"/>
      <c r="U170" s="1085"/>
      <c r="V170" s="1022"/>
      <c r="W170" s="1047"/>
      <c r="X170" s="1045"/>
      <c r="Y170" s="1045"/>
      <c r="Z170" s="1085"/>
      <c r="AA170" s="1022"/>
      <c r="AB170" s="1047"/>
      <c r="AC170" s="1045"/>
      <c r="AD170" s="1045"/>
      <c r="AE170" s="1085"/>
      <c r="AF170" s="1022"/>
      <c r="AG170" s="1047"/>
      <c r="AH170" s="1045"/>
      <c r="AI170" s="1045"/>
      <c r="AJ170" s="1085"/>
      <c r="AK170" s="1022"/>
      <c r="AL170" s="1047"/>
      <c r="AM170" s="1045"/>
      <c r="AN170" s="1045"/>
      <c r="AO170" s="1085"/>
      <c r="AP170" s="1022"/>
      <c r="AQ170" s="1047"/>
      <c r="AR170" s="1045"/>
      <c r="AS170" s="1045"/>
      <c r="AT170" s="1085"/>
      <c r="AU170" s="802"/>
      <c r="AV170" s="555"/>
      <c r="AW170" s="555"/>
      <c r="AX170" s="555"/>
      <c r="AY170" s="555"/>
      <c r="AZ170" s="802"/>
      <c r="BA170" s="1045"/>
      <c r="BB170" s="1045"/>
      <c r="BC170" s="1085"/>
      <c r="BD170" s="1022"/>
      <c r="BE170" s="1047"/>
      <c r="BF170" s="1045"/>
      <c r="BG170" s="1045"/>
      <c r="BH170" s="1085"/>
      <c r="BI170" s="1022"/>
      <c r="BJ170" s="1047"/>
      <c r="BK170" s="1045"/>
      <c r="BL170" s="1045"/>
      <c r="BM170" s="1085"/>
      <c r="BN170" s="1022"/>
      <c r="BO170" s="1047"/>
      <c r="BP170" s="1045"/>
      <c r="BQ170" s="1045"/>
      <c r="BR170" s="1085"/>
      <c r="BS170" s="1022"/>
      <c r="BT170" s="1047"/>
      <c r="BU170" s="1045"/>
      <c r="BV170" s="1045"/>
      <c r="BW170" s="1085"/>
      <c r="BX170" s="1022"/>
      <c r="BY170" s="1047"/>
      <c r="BZ170" s="1045"/>
      <c r="CA170" s="1045"/>
      <c r="CB170" s="1085"/>
      <c r="CC170" s="1022"/>
      <c r="CD170" s="1047"/>
      <c r="CE170" s="1045"/>
      <c r="CF170" s="1045"/>
      <c r="CG170" s="1085"/>
      <c r="CH170" s="1022"/>
      <c r="CI170" s="1047"/>
      <c r="CJ170" s="1045"/>
      <c r="CK170" s="1045"/>
      <c r="CL170" s="1085"/>
      <c r="CM170" s="1022"/>
      <c r="CN170" s="1047"/>
      <c r="CO170" s="1045"/>
      <c r="CP170" s="1045"/>
      <c r="CQ170" s="1085"/>
      <c r="CR170" s="1022"/>
      <c r="CS170" s="1047"/>
      <c r="CT170" s="1045"/>
      <c r="CU170" s="1045"/>
      <c r="CV170" s="1045"/>
      <c r="CW170" s="1045"/>
      <c r="CX170" s="1047"/>
      <c r="CY170" s="1045"/>
      <c r="CZ170" s="1045"/>
      <c r="DA170" s="1045"/>
      <c r="DB170" s="1045"/>
      <c r="DC170" s="1047"/>
      <c r="DD170" s="1045"/>
      <c r="DE170" s="1045"/>
      <c r="DF170" s="1045"/>
      <c r="DG170" s="1045"/>
      <c r="DH170" s="1047"/>
      <c r="DI170" s="1045"/>
      <c r="DJ170" s="1045"/>
      <c r="DK170" s="1045"/>
      <c r="DL170" s="1045"/>
      <c r="DM170" s="1047"/>
      <c r="DN170" s="1045"/>
      <c r="DO170" s="1045"/>
      <c r="DP170" s="1045"/>
      <c r="DQ170" s="1045"/>
      <c r="DR170" s="1047"/>
      <c r="DS170" s="1045"/>
      <c r="DT170" s="1045"/>
      <c r="DU170" s="1045"/>
      <c r="DV170" s="1045"/>
      <c r="DW170" s="1047"/>
      <c r="DX170" s="1045"/>
      <c r="DY170" s="1045"/>
      <c r="DZ170" s="1045"/>
      <c r="EA170" s="1045"/>
      <c r="EB170" s="1047"/>
      <c r="EC170" s="1045"/>
      <c r="ED170" s="1045"/>
      <c r="EE170" s="1045"/>
      <c r="EF170" s="1045"/>
      <c r="EG170" s="1047"/>
      <c r="EH170" s="1045"/>
      <c r="EI170" s="1045"/>
      <c r="EJ170" s="1045"/>
      <c r="EK170" s="1045"/>
      <c r="EL170" s="1047"/>
      <c r="EM170" s="555"/>
      <c r="EN170"/>
      <c r="EO170"/>
      <c r="EP170"/>
      <c r="EQ170"/>
      <c r="ER170"/>
      <c r="ES170"/>
      <c r="ET170" s="135"/>
      <c r="EU170" s="135"/>
      <c r="EV170" s="135"/>
      <c r="EW170" s="135"/>
      <c r="EX170" s="135"/>
      <c r="EY170" s="135"/>
      <c r="EZ170" s="135"/>
      <c r="FA170" s="135"/>
      <c r="FB170" s="135"/>
      <c r="FC170" s="135"/>
      <c r="FD170" s="135"/>
      <c r="FE170" s="135"/>
      <c r="FF170" s="135"/>
      <c r="FG170" s="135"/>
      <c r="FH170" s="135"/>
      <c r="FI170" s="135"/>
      <c r="FJ170" s="135"/>
      <c r="FK170" s="135"/>
      <c r="FL170" s="135"/>
      <c r="FM170" s="135"/>
      <c r="FN170" s="135"/>
      <c r="FO170" s="135"/>
      <c r="FP170" s="135"/>
      <c r="FQ170" s="135"/>
      <c r="FR170" s="135"/>
      <c r="FS170" s="135"/>
      <c r="FT170" s="135"/>
      <c r="FU170" s="135"/>
      <c r="FV170" s="135"/>
      <c r="FW170" s="135"/>
      <c r="FX170" s="135"/>
      <c r="FY170" s="135"/>
      <c r="FZ170" s="135"/>
      <c r="GA170" s="135"/>
      <c r="GB170" s="135"/>
      <c r="GC170" s="135"/>
      <c r="GD170" s="135"/>
      <c r="GE170" s="135"/>
      <c r="GF170" s="135"/>
      <c r="GG170" s="135"/>
      <c r="GH170" s="135"/>
      <c r="GI170" s="135"/>
      <c r="GJ170" s="135"/>
      <c r="GK170" s="135"/>
      <c r="GL170" s="135"/>
      <c r="GM170" s="135"/>
      <c r="GN170" s="135"/>
      <c r="GO170" s="135"/>
      <c r="GP170" s="135"/>
      <c r="GQ170" s="135"/>
      <c r="GR170" s="135"/>
      <c r="GS170" s="135"/>
      <c r="GT170" s="135"/>
      <c r="GU170" s="135"/>
      <c r="GV170" s="135"/>
      <c r="GW170" s="135"/>
      <c r="GX170" s="135"/>
      <c r="GY170" s="135"/>
      <c r="GZ170" s="135"/>
      <c r="HA170" s="135"/>
      <c r="HB170" s="135"/>
      <c r="HC170" s="135"/>
      <c r="HD170" s="135"/>
      <c r="HE170" s="135"/>
      <c r="HF170" s="135"/>
      <c r="HG170" s="135"/>
      <c r="HH170" s="135"/>
      <c r="HI170" s="135"/>
      <c r="HJ170" s="135"/>
      <c r="HK170" s="135"/>
      <c r="HL170" s="135"/>
      <c r="HM170" s="135"/>
      <c r="HN170" s="135"/>
      <c r="HO170" s="135"/>
      <c r="HP170" s="135"/>
      <c r="HQ170" s="135"/>
      <c r="HR170" s="135"/>
      <c r="HS170" s="135"/>
      <c r="HT170" s="135"/>
      <c r="HU170" s="135"/>
      <c r="HV170" s="135"/>
      <c r="HW170" s="135"/>
      <c r="HX170" s="135"/>
      <c r="HY170" s="135"/>
      <c r="HZ170" s="135"/>
      <c r="IA170" s="135"/>
      <c r="IB170" s="135"/>
      <c r="IC170" s="135"/>
      <c r="ID170" s="135"/>
      <c r="IE170" s="135"/>
      <c r="IF170" s="135"/>
      <c r="IG170" s="135"/>
      <c r="IH170" s="135"/>
      <c r="II170" s="135"/>
      <c r="IJ170" s="135"/>
      <c r="IK170" s="135"/>
      <c r="IL170" s="135"/>
      <c r="IM170" s="135"/>
      <c r="IN170" s="135"/>
      <c r="IO170" s="135"/>
      <c r="IP170" s="135"/>
      <c r="IQ170" s="135"/>
      <c r="IR170" s="135"/>
      <c r="IS170" s="135"/>
      <c r="IT170" s="135"/>
      <c r="IU170" s="135"/>
      <c r="IV170" s="135"/>
      <c r="IW170" s="135"/>
      <c r="IX170" s="135"/>
      <c r="IY170" s="135"/>
      <c r="IZ170" s="135"/>
      <c r="JA170" s="135"/>
      <c r="JB170" s="135"/>
      <c r="JC170" s="135"/>
      <c r="JD170" s="135"/>
      <c r="JE170" s="135"/>
      <c r="JF170" s="135"/>
      <c r="JG170" s="135"/>
      <c r="JH170" s="135"/>
    </row>
    <row r="171" spans="1:268" s="4" customFormat="1">
      <c r="A171" s="801"/>
      <c r="B171" s="555" t="s">
        <v>73</v>
      </c>
      <c r="C171" s="555"/>
      <c r="D171" s="1051">
        <v>0</v>
      </c>
      <c r="E171" s="1051">
        <f>0-D171</f>
        <v>0</v>
      </c>
      <c r="F171" s="1051">
        <f>0-SUM(D171:E171)</f>
        <v>0</v>
      </c>
      <c r="G171" s="1051">
        <f>0-SUM(D171:F171)</f>
        <v>0</v>
      </c>
      <c r="H171" s="1052">
        <f t="shared" ref="H171:H180" si="406">SUM(D171:G171)</f>
        <v>0</v>
      </c>
      <c r="I171" s="1051">
        <v>0</v>
      </c>
      <c r="J171" s="1051">
        <f>0-I171</f>
        <v>0</v>
      </c>
      <c r="K171" s="1051">
        <f>0-SUM(I171:J171)</f>
        <v>0</v>
      </c>
      <c r="L171" s="1051">
        <f>0-SUM(I171:K171)</f>
        <v>0</v>
      </c>
      <c r="M171" s="1052">
        <f t="shared" ref="M171:M180" si="407">SUM(I171:L171)</f>
        <v>0</v>
      </c>
      <c r="N171" s="1051">
        <v>0</v>
      </c>
      <c r="O171" s="1051">
        <f>0-N171</f>
        <v>0</v>
      </c>
      <c r="P171" s="1051">
        <f>0-SUM(N171:O171)</f>
        <v>0</v>
      </c>
      <c r="Q171" s="1051">
        <f>0-SUM(N171:P171)</f>
        <v>0</v>
      </c>
      <c r="R171" s="1052">
        <f t="shared" ref="R171:R180" si="408">SUM(N171:Q171)</f>
        <v>0</v>
      </c>
      <c r="S171" s="1051">
        <v>0</v>
      </c>
      <c r="T171" s="1051">
        <f>0-S171</f>
        <v>0</v>
      </c>
      <c r="U171" s="1051">
        <f>0-SUM(S171:T171)</f>
        <v>0</v>
      </c>
      <c r="V171" s="1051">
        <f>0-SUM(S171:U171)</f>
        <v>0</v>
      </c>
      <c r="W171" s="1052">
        <f t="shared" ref="W171:W180" si="409">SUM(S171:V171)</f>
        <v>0</v>
      </c>
      <c r="X171" s="1051">
        <v>0</v>
      </c>
      <c r="Y171" s="1051">
        <f>0-X171</f>
        <v>0</v>
      </c>
      <c r="Z171" s="1051">
        <f>0-SUM(X171:Y171)</f>
        <v>0</v>
      </c>
      <c r="AA171" s="1051">
        <f>0-SUM(X171:Z171)</f>
        <v>0</v>
      </c>
      <c r="AB171" s="1052">
        <f t="shared" ref="AB171:AB180" si="410">SUM(X171:AA171)</f>
        <v>0</v>
      </c>
      <c r="AC171" s="1051">
        <v>0</v>
      </c>
      <c r="AD171" s="1051">
        <f>0-AC171</f>
        <v>0</v>
      </c>
      <c r="AE171" s="1051">
        <f>0-SUM(AC171:AD171)</f>
        <v>0</v>
      </c>
      <c r="AF171" s="1051">
        <f>0-SUM(AC171:AE171)</f>
        <v>0</v>
      </c>
      <c r="AG171" s="1052">
        <f t="shared" ref="AG171:AG180" si="411">SUM(AC171:AF171)</f>
        <v>0</v>
      </c>
      <c r="AH171" s="1051">
        <v>0</v>
      </c>
      <c r="AI171" s="1051">
        <f>0-AH171</f>
        <v>0</v>
      </c>
      <c r="AJ171" s="1051">
        <f>0-SUM(AH171:AI171)</f>
        <v>0</v>
      </c>
      <c r="AK171" s="1051">
        <f>0-SUM(AH171:AJ171)</f>
        <v>0</v>
      </c>
      <c r="AL171" s="1052">
        <f t="shared" ref="AL171:AL180" si="412">SUM(AH171:AK171)</f>
        <v>0</v>
      </c>
      <c r="AM171" s="1051">
        <v>0</v>
      </c>
      <c r="AN171" s="1051">
        <f>0-AM171</f>
        <v>0</v>
      </c>
      <c r="AO171" s="1051">
        <f>0-SUM(AM171:AN171)</f>
        <v>0</v>
      </c>
      <c r="AP171" s="1051">
        <f>0-SUM(AM171:AO171)</f>
        <v>0</v>
      </c>
      <c r="AQ171" s="1052">
        <f t="shared" ref="AQ171:AQ180" si="413">SUM(AM171:AP171)</f>
        <v>0</v>
      </c>
      <c r="AR171" s="1051">
        <v>0</v>
      </c>
      <c r="AS171" s="1051">
        <f>0-AR171</f>
        <v>0</v>
      </c>
      <c r="AT171" s="1051">
        <f>0-SUM(AR171:AS171)</f>
        <v>0</v>
      </c>
      <c r="AU171" s="802"/>
      <c r="AV171" s="555"/>
      <c r="AW171" s="555"/>
      <c r="AX171" s="555"/>
      <c r="AY171" s="555"/>
      <c r="AZ171" s="1053">
        <v>0</v>
      </c>
      <c r="BA171" s="1051">
        <v>0</v>
      </c>
      <c r="BB171" s="1051">
        <f>0-BA171</f>
        <v>0</v>
      </c>
      <c r="BC171" s="1051">
        <f>0-SUM(BA171:BB171)</f>
        <v>0</v>
      </c>
      <c r="BD171" s="1051">
        <f>0-SUM(BA171:BC171)</f>
        <v>0</v>
      </c>
      <c r="BE171" s="1052">
        <f t="shared" ref="BE171:BE180" si="414">SUM(BA171:BD171)</f>
        <v>0</v>
      </c>
      <c r="BF171" s="1051">
        <v>0</v>
      </c>
      <c r="BG171" s="1051">
        <f>0-BF171</f>
        <v>0</v>
      </c>
      <c r="BH171" s="1051">
        <f>0-SUM(BF171:BG171)</f>
        <v>0</v>
      </c>
      <c r="BI171" s="1051">
        <f>0-SUM(BF171:BH171)</f>
        <v>0</v>
      </c>
      <c r="BJ171" s="1052">
        <f t="shared" ref="BJ171:BJ180" si="415">SUM(BF171:BI171)</f>
        <v>0</v>
      </c>
      <c r="BK171" s="1051">
        <v>0</v>
      </c>
      <c r="BL171" s="1051">
        <f>0-BK171</f>
        <v>0</v>
      </c>
      <c r="BM171" s="1051">
        <f>0-SUM(BK171:BL171)</f>
        <v>0</v>
      </c>
      <c r="BN171" s="1051">
        <f>0-SUM(BK171:BM171)</f>
        <v>0</v>
      </c>
      <c r="BO171" s="1052">
        <f t="shared" ref="BO171:BO180" si="416">SUM(BK171:BN171)</f>
        <v>0</v>
      </c>
      <c r="BP171" s="1051">
        <v>0</v>
      </c>
      <c r="BQ171" s="1051">
        <f>0-BP171</f>
        <v>0</v>
      </c>
      <c r="BR171" s="1051">
        <f>0-SUM(BP171:BQ171)</f>
        <v>0</v>
      </c>
      <c r="BS171" s="1051">
        <f>0-SUM(BP171:BR171)</f>
        <v>0</v>
      </c>
      <c r="BT171" s="1052">
        <f t="shared" ref="BT171:BT180" si="417">SUM(BP171:BS171)</f>
        <v>0</v>
      </c>
      <c r="BU171" s="1051">
        <v>0</v>
      </c>
      <c r="BV171" s="1051">
        <f t="shared" ref="BV171:BV179" si="418">0-BU171</f>
        <v>0</v>
      </c>
      <c r="BW171" s="1051">
        <f>0-SUM(BU171:BV171)</f>
        <v>0</v>
      </c>
      <c r="BX171" s="1051">
        <f>0-SUM(BU171:BW171)</f>
        <v>0</v>
      </c>
      <c r="BY171" s="1052">
        <f t="shared" ref="BY171:BY180" si="419">SUM(BU171:BX171)</f>
        <v>0</v>
      </c>
      <c r="BZ171" s="1051">
        <v>0</v>
      </c>
      <c r="CA171" s="1051">
        <f>0-BZ171</f>
        <v>0</v>
      </c>
      <c r="CB171" s="1051">
        <f>0-SUM(BZ171:CA171)</f>
        <v>0</v>
      </c>
      <c r="CC171" s="1051">
        <f>0-SUM(BZ171:CB171)</f>
        <v>0</v>
      </c>
      <c r="CD171" s="1052">
        <f t="shared" ref="CD171:CD180" si="420">SUM(BZ171:CC171)</f>
        <v>0</v>
      </c>
      <c r="CE171" s="1051">
        <v>0</v>
      </c>
      <c r="CF171" s="1051">
        <f>0-CE171</f>
        <v>0</v>
      </c>
      <c r="CG171" s="1051">
        <f>0-SUM(CE171:CF171)</f>
        <v>0</v>
      </c>
      <c r="CH171" s="1051">
        <f>0-SUM(CE171:CG171)</f>
        <v>0</v>
      </c>
      <c r="CI171" s="1052">
        <f t="shared" ref="CI171:CI180" si="421">SUM(CE171:CH171)</f>
        <v>0</v>
      </c>
      <c r="CJ171" s="1051">
        <v>0</v>
      </c>
      <c r="CK171" s="1051">
        <f>0-CJ171</f>
        <v>0</v>
      </c>
      <c r="CL171" s="1051">
        <f>0-SUM(CJ171:CK171)</f>
        <v>0</v>
      </c>
      <c r="CM171" s="1051">
        <f>0-SUM(CJ171:CL171)</f>
        <v>0</v>
      </c>
      <c r="CN171" s="1052">
        <f t="shared" ref="CN171:CN180" si="422">SUM(CJ171:CM171)</f>
        <v>0</v>
      </c>
      <c r="CO171" s="1051">
        <v>0</v>
      </c>
      <c r="CP171" s="1051">
        <f>0-CO171</f>
        <v>0</v>
      </c>
      <c r="CQ171" s="1051">
        <f>0-SUM(CO171:CP171)</f>
        <v>0</v>
      </c>
      <c r="CR171" s="1051">
        <f>-365-SUM(CO171:CQ171)</f>
        <v>-365</v>
      </c>
      <c r="CS171" s="1052">
        <f t="shared" ref="CS171:CS180" si="423">SUM(CO171:CR171)</f>
        <v>-365</v>
      </c>
      <c r="CT171" s="1051">
        <v>-455</v>
      </c>
      <c r="CU171" s="1051">
        <f>-973-CT171</f>
        <v>-518</v>
      </c>
      <c r="CV171" s="1051">
        <f>-1458-CT171-CU171</f>
        <v>-485</v>
      </c>
      <c r="CW171" s="1051">
        <f>-1773-SUM(CT171:CV171)</f>
        <v>-315</v>
      </c>
      <c r="CX171" s="1052">
        <f t="shared" ref="CX171:CX180" si="424">SUM(CT171:CW171)</f>
        <v>-1773</v>
      </c>
      <c r="CY171" s="1051">
        <v>-200</v>
      </c>
      <c r="CZ171" s="1051">
        <f>-620-CY171</f>
        <v>-420</v>
      </c>
      <c r="DA171" s="1051">
        <f>-1001-CZ171-CY171</f>
        <v>-381</v>
      </c>
      <c r="DB171" s="1051">
        <f>-1286-SUM(CY171:DA171)</f>
        <v>-285</v>
      </c>
      <c r="DC171" s="1052">
        <f t="shared" ref="DC171:DC180" si="425">SUM(CY171:DB171)</f>
        <v>-1286</v>
      </c>
      <c r="DD171" s="1051">
        <v>-665</v>
      </c>
      <c r="DE171" s="1051">
        <f>-1300-DD171</f>
        <v>-635</v>
      </c>
      <c r="DF171" s="1051">
        <f>-1965-SUM(DD171:DE171)</f>
        <v>-665</v>
      </c>
      <c r="DG171" s="1051">
        <f>-2430-SUM(DD171:DF171)</f>
        <v>-465</v>
      </c>
      <c r="DH171" s="1052">
        <f t="shared" ref="DH171:DH180" si="426">SUM(DD171:DG171)</f>
        <v>-2430</v>
      </c>
      <c r="DI171" s="1051">
        <v>-690</v>
      </c>
      <c r="DJ171" s="1051">
        <f>-1315-DI171</f>
        <v>-625</v>
      </c>
      <c r="DK171" s="1051">
        <f>-1880-DJ171-DI171</f>
        <v>-565</v>
      </c>
      <c r="DL171" s="1051">
        <f>-2815-DK171-DJ171-DI171</f>
        <v>-935</v>
      </c>
      <c r="DM171" s="1052">
        <f t="shared" ref="DM171:DM180" si="427">SUM(DI171:DL171)</f>
        <v>-2815</v>
      </c>
      <c r="DN171" s="1051">
        <v>-995</v>
      </c>
      <c r="DO171" s="1051">
        <f>-1195-DN171</f>
        <v>-200</v>
      </c>
      <c r="DP171" s="1051">
        <f>-1195-DO171-DN171</f>
        <v>0</v>
      </c>
      <c r="DQ171" s="1051">
        <f>-1895-DP171-DO171-DN171</f>
        <v>-700</v>
      </c>
      <c r="DR171" s="1052">
        <f t="shared" ref="DR171:DR180" si="428">SUM(DN171:DQ171)</f>
        <v>-1895</v>
      </c>
      <c r="DS171" s="1051">
        <v>0</v>
      </c>
      <c r="DT171" s="1051">
        <f>-100-DS171</f>
        <v>-100</v>
      </c>
      <c r="DU171" s="1051">
        <f>-850-DT171-DS171</f>
        <v>-750</v>
      </c>
      <c r="DV171" s="1051">
        <f>-970-DU171-DT171-DS171</f>
        <v>-120</v>
      </c>
      <c r="DW171" s="1052">
        <f t="shared" ref="DW171:DW180" si="429">SUM(DS171:DV171)</f>
        <v>-970</v>
      </c>
      <c r="DX171" s="1054">
        <f>IF(Debt!DX23&gt;0,0,Debt!DX23)</f>
        <v>0</v>
      </c>
      <c r="DY171" s="1054">
        <f>IF(Debt!DY23&gt;0,0,Debt!DY23)</f>
        <v>0</v>
      </c>
      <c r="DZ171" s="1054">
        <f>IF(Debt!DZ23&gt;0,0,Debt!DZ23)</f>
        <v>0</v>
      </c>
      <c r="EA171" s="1054">
        <f>IF(Debt!EA23&gt;0,0,Debt!EA23)</f>
        <v>0</v>
      </c>
      <c r="EB171" s="1052">
        <f t="shared" ref="EB171:EB180" si="430">SUM(DX171:EA171)</f>
        <v>0</v>
      </c>
      <c r="EC171" s="1054">
        <f>IF(Debt!EC23&gt;0,0,Debt!EC23)</f>
        <v>0</v>
      </c>
      <c r="ED171" s="1054">
        <f>IF(Debt!ED23&gt;0,0,Debt!ED23)</f>
        <v>0</v>
      </c>
      <c r="EE171" s="1054">
        <f>IF(Debt!EE23&gt;0,0,Debt!EE23)</f>
        <v>0</v>
      </c>
      <c r="EF171" s="1054">
        <f>IF(Debt!EF23&gt;0,0,Debt!EF23)</f>
        <v>0</v>
      </c>
      <c r="EG171" s="1052">
        <f t="shared" ref="EG171:EG180" si="431">SUM(EC171:EF171)</f>
        <v>0</v>
      </c>
      <c r="EH171" s="1054">
        <f>IF(Debt!EH23&gt;0,0,Debt!EH23)</f>
        <v>0</v>
      </c>
      <c r="EI171" s="1054">
        <f>IF(Debt!EI23&gt;0,0,Debt!EI23)</f>
        <v>0</v>
      </c>
      <c r="EJ171" s="1054">
        <f>IF(Debt!EJ23&gt;0,0,Debt!EJ23)</f>
        <v>0</v>
      </c>
      <c r="EK171" s="1054">
        <f>IF(Debt!EK23&gt;0,0,Debt!EK23)</f>
        <v>0</v>
      </c>
      <c r="EL171" s="1052">
        <f t="shared" ref="EL171:EL172" si="432">SUM(EH171:EK171)</f>
        <v>0</v>
      </c>
      <c r="EM171" s="901"/>
      <c r="EN171"/>
      <c r="EO171"/>
      <c r="EP171"/>
      <c r="EQ171"/>
      <c r="ER171"/>
      <c r="ES171"/>
      <c r="ET171" s="135"/>
      <c r="EU171" s="135"/>
      <c r="EV171" s="135"/>
      <c r="EW171" s="135"/>
      <c r="EX171" s="135"/>
      <c r="EY171" s="135"/>
      <c r="EZ171" s="135"/>
      <c r="FA171" s="135"/>
      <c r="FB171" s="135"/>
      <c r="FC171" s="135"/>
      <c r="FD171" s="135"/>
      <c r="FE171" s="135"/>
      <c r="FF171" s="135"/>
      <c r="FG171" s="135"/>
      <c r="FH171" s="135"/>
      <c r="FI171" s="135"/>
      <c r="FJ171" s="135"/>
      <c r="FK171" s="135"/>
      <c r="FL171" s="135"/>
      <c r="FM171" s="135"/>
      <c r="FN171" s="135"/>
      <c r="FO171" s="135"/>
      <c r="FP171" s="135"/>
      <c r="FQ171" s="135"/>
      <c r="FR171" s="135"/>
      <c r="FS171" s="135"/>
      <c r="FT171" s="135"/>
      <c r="FU171" s="135"/>
      <c r="FV171" s="135"/>
      <c r="FW171" s="135"/>
      <c r="FX171" s="135"/>
      <c r="FY171" s="135"/>
      <c r="FZ171" s="135"/>
      <c r="GA171" s="135"/>
      <c r="GB171" s="135"/>
      <c r="GC171" s="135"/>
      <c r="GD171" s="135"/>
      <c r="GE171" s="135"/>
      <c r="GF171" s="135"/>
      <c r="GG171" s="135"/>
      <c r="GH171" s="135"/>
      <c r="GI171" s="135"/>
      <c r="GJ171" s="135"/>
      <c r="GK171" s="135"/>
      <c r="GL171" s="135"/>
      <c r="GM171" s="135"/>
      <c r="GN171" s="135"/>
      <c r="GO171" s="135"/>
      <c r="GP171" s="135"/>
      <c r="GQ171" s="135"/>
      <c r="GR171" s="135"/>
      <c r="GS171" s="135"/>
      <c r="GT171" s="135"/>
      <c r="GU171" s="135"/>
      <c r="GV171" s="135"/>
      <c r="GW171" s="135"/>
      <c r="GX171" s="135"/>
      <c r="GY171" s="135"/>
      <c r="GZ171" s="135"/>
      <c r="HA171" s="135"/>
      <c r="HB171" s="135"/>
      <c r="HC171" s="135"/>
      <c r="HD171" s="135"/>
      <c r="HE171" s="135"/>
      <c r="HF171" s="135"/>
      <c r="HG171" s="135"/>
      <c r="HH171" s="135"/>
      <c r="HI171" s="135"/>
      <c r="HJ171" s="135"/>
      <c r="HK171" s="135"/>
      <c r="HL171" s="135"/>
      <c r="HM171" s="135"/>
      <c r="HN171" s="135"/>
      <c r="HO171" s="135"/>
      <c r="HP171" s="135"/>
      <c r="HQ171" s="135"/>
      <c r="HR171" s="135"/>
      <c r="HS171" s="135"/>
      <c r="HT171" s="135"/>
      <c r="HU171" s="135"/>
      <c r="HV171" s="135"/>
      <c r="HW171" s="135"/>
      <c r="HX171" s="135"/>
      <c r="HY171" s="135"/>
      <c r="HZ171" s="135"/>
      <c r="IA171" s="135"/>
      <c r="IB171" s="135"/>
      <c r="IC171" s="135"/>
      <c r="ID171" s="135"/>
      <c r="IE171" s="135"/>
      <c r="IF171" s="135"/>
      <c r="IG171" s="135"/>
      <c r="IH171" s="135"/>
      <c r="II171" s="135"/>
      <c r="IJ171" s="135"/>
      <c r="IK171" s="135"/>
      <c r="IL171" s="135"/>
      <c r="IM171" s="135"/>
      <c r="IN171" s="135"/>
      <c r="IO171" s="135"/>
      <c r="IP171" s="135"/>
      <c r="IQ171" s="135"/>
      <c r="IR171" s="135"/>
      <c r="IS171" s="135"/>
      <c r="IT171" s="135"/>
      <c r="IU171" s="135"/>
      <c r="IV171" s="135"/>
      <c r="IW171" s="135"/>
      <c r="IX171" s="135"/>
      <c r="IY171" s="135"/>
      <c r="IZ171" s="135"/>
      <c r="JA171" s="135"/>
      <c r="JB171" s="135"/>
      <c r="JC171" s="135"/>
      <c r="JD171" s="135"/>
      <c r="JE171" s="135"/>
      <c r="JF171" s="135"/>
      <c r="JG171" s="135"/>
      <c r="JH171" s="135"/>
    </row>
    <row r="172" spans="1:268" s="4" customFormat="1">
      <c r="A172" s="801"/>
      <c r="B172" s="555" t="s">
        <v>74</v>
      </c>
      <c r="C172" s="555"/>
      <c r="D172" s="1051">
        <v>43.332999999999998</v>
      </c>
      <c r="E172" s="1051">
        <f>43.3-D172</f>
        <v>-3.3000000000001251E-2</v>
      </c>
      <c r="F172" s="1051">
        <f>43.3-SUM(D172:E172)</f>
        <v>0</v>
      </c>
      <c r="G172" s="1051">
        <f>0-SUM(D172:F172)</f>
        <v>-43.3</v>
      </c>
      <c r="H172" s="1052">
        <f t="shared" si="406"/>
        <v>0</v>
      </c>
      <c r="I172" s="1051">
        <v>166</v>
      </c>
      <c r="J172" s="1051">
        <f>0-I172</f>
        <v>-166</v>
      </c>
      <c r="K172" s="1051">
        <f>0-SUM(I172:J172)</f>
        <v>0</v>
      </c>
      <c r="L172" s="1051">
        <f>0-SUM(I172:K172)</f>
        <v>0</v>
      </c>
      <c r="M172" s="1052">
        <f t="shared" si="407"/>
        <v>0</v>
      </c>
      <c r="N172" s="1051">
        <v>0</v>
      </c>
      <c r="O172" s="1051">
        <f>0-N172</f>
        <v>0</v>
      </c>
      <c r="P172" s="1051">
        <f>0-SUM(N172:O172)</f>
        <v>0</v>
      </c>
      <c r="Q172" s="1051">
        <f>0-SUM(N172:P172)</f>
        <v>0</v>
      </c>
      <c r="R172" s="1052">
        <f t="shared" si="408"/>
        <v>0</v>
      </c>
      <c r="S172" s="1051">
        <v>0</v>
      </c>
      <c r="T172" s="1051">
        <f>0-S172</f>
        <v>0</v>
      </c>
      <c r="U172" s="1051">
        <f>0-SUM(S172:T172)</f>
        <v>0</v>
      </c>
      <c r="V172" s="1051">
        <f>0-SUM(S172:U172)</f>
        <v>0</v>
      </c>
      <c r="W172" s="1052">
        <f t="shared" si="409"/>
        <v>0</v>
      </c>
      <c r="X172" s="1051">
        <v>0</v>
      </c>
      <c r="Y172" s="1051">
        <f>0-X172</f>
        <v>0</v>
      </c>
      <c r="Z172" s="1051">
        <f>0-SUM(X172:Y172)</f>
        <v>0</v>
      </c>
      <c r="AA172" s="1051">
        <f>0-SUM(X172:Z172)</f>
        <v>0</v>
      </c>
      <c r="AB172" s="1052">
        <f t="shared" si="410"/>
        <v>0</v>
      </c>
      <c r="AC172" s="1051">
        <v>0</v>
      </c>
      <c r="AD172" s="1051">
        <f>0-AC172</f>
        <v>0</v>
      </c>
      <c r="AE172" s="1051">
        <f>0-SUM(AC172:AD172)</f>
        <v>0</v>
      </c>
      <c r="AF172" s="1051">
        <f>0-SUM(AC172:AE172)</f>
        <v>0</v>
      </c>
      <c r="AG172" s="1052">
        <f t="shared" si="411"/>
        <v>0</v>
      </c>
      <c r="AH172" s="1051">
        <v>0</v>
      </c>
      <c r="AI172" s="1051">
        <f>0-AH172</f>
        <v>0</v>
      </c>
      <c r="AJ172" s="1051">
        <f>0-SUM(AH172:AI172)</f>
        <v>0</v>
      </c>
      <c r="AK172" s="1051">
        <f>0-SUM(AH172:AJ172)</f>
        <v>0</v>
      </c>
      <c r="AL172" s="1052">
        <f t="shared" si="412"/>
        <v>0</v>
      </c>
      <c r="AM172" s="1051">
        <v>0</v>
      </c>
      <c r="AN172" s="1051">
        <f>0-AM172</f>
        <v>0</v>
      </c>
      <c r="AO172" s="1051">
        <f>0-SUM(AM172:AN172)</f>
        <v>0</v>
      </c>
      <c r="AP172" s="1051">
        <f>0-SUM(AM172:AO172)</f>
        <v>0</v>
      </c>
      <c r="AQ172" s="1052">
        <f t="shared" si="413"/>
        <v>0</v>
      </c>
      <c r="AR172" s="1051">
        <v>0</v>
      </c>
      <c r="AS172" s="1051">
        <f>0-AR172</f>
        <v>0</v>
      </c>
      <c r="AT172" s="1051">
        <f>0-SUM(AR172:AS172)</f>
        <v>0</v>
      </c>
      <c r="AU172" s="802"/>
      <c r="AV172" s="555"/>
      <c r="AW172" s="555"/>
      <c r="AX172" s="555"/>
      <c r="AY172" s="555"/>
      <c r="AZ172" s="1053">
        <v>0</v>
      </c>
      <c r="BA172" s="1051">
        <v>0</v>
      </c>
      <c r="BB172" s="1051">
        <f>0-BA172</f>
        <v>0</v>
      </c>
      <c r="BC172" s="1051">
        <f>0-SUM(BA172:BB172)</f>
        <v>0</v>
      </c>
      <c r="BD172" s="1051">
        <f>0-SUM(BA172:BC172)</f>
        <v>0</v>
      </c>
      <c r="BE172" s="1052">
        <f t="shared" si="414"/>
        <v>0</v>
      </c>
      <c r="BF172" s="1051">
        <v>0</v>
      </c>
      <c r="BG172" s="1051">
        <f>0-BF172</f>
        <v>0</v>
      </c>
      <c r="BH172" s="1051">
        <f>0-SUM(BF172:BG172)</f>
        <v>0</v>
      </c>
      <c r="BI172" s="1051">
        <f>0-SUM(BF172:BH172)</f>
        <v>0</v>
      </c>
      <c r="BJ172" s="1052">
        <f t="shared" si="415"/>
        <v>0</v>
      </c>
      <c r="BK172" s="1051">
        <v>0</v>
      </c>
      <c r="BL172" s="1051">
        <f>0-BK172</f>
        <v>0</v>
      </c>
      <c r="BM172" s="1051">
        <f>0-SUM(BK172:BL172)</f>
        <v>0</v>
      </c>
      <c r="BN172" s="1051">
        <f>0-SUM(BK172:BM172)</f>
        <v>0</v>
      </c>
      <c r="BO172" s="1052">
        <f t="shared" si="416"/>
        <v>0</v>
      </c>
      <c r="BP172" s="1051">
        <v>0</v>
      </c>
      <c r="BQ172" s="1051">
        <f>0-BP172</f>
        <v>0</v>
      </c>
      <c r="BR172" s="1051">
        <f>0-SUM(BP172:BQ172)</f>
        <v>0</v>
      </c>
      <c r="BS172" s="1051">
        <f>0-SUM(BP172:BR172)</f>
        <v>0</v>
      </c>
      <c r="BT172" s="1052">
        <f t="shared" si="417"/>
        <v>0</v>
      </c>
      <c r="BU172" s="1051">
        <v>0</v>
      </c>
      <c r="BV172" s="1051">
        <f t="shared" si="418"/>
        <v>0</v>
      </c>
      <c r="BW172" s="1051">
        <f>-21-SUM(BU172:BV172)</f>
        <v>-21</v>
      </c>
      <c r="BX172" s="1051">
        <f>-22-SUM(BU172:BW172)</f>
        <v>-1</v>
      </c>
      <c r="BY172" s="1052">
        <f t="shared" si="419"/>
        <v>-22</v>
      </c>
      <c r="BZ172" s="1051">
        <v>0</v>
      </c>
      <c r="CA172" s="1051">
        <f>0-BZ172</f>
        <v>0</v>
      </c>
      <c r="CB172" s="1051">
        <f>0-SUM(BZ172:CA172)</f>
        <v>0</v>
      </c>
      <c r="CC172" s="1051">
        <f>0-SUM(BZ172:CB172)</f>
        <v>0</v>
      </c>
      <c r="CD172" s="1052">
        <f t="shared" si="420"/>
        <v>0</v>
      </c>
      <c r="CE172" s="1051">
        <v>0</v>
      </c>
      <c r="CF172" s="1051">
        <f>0-CE172</f>
        <v>0</v>
      </c>
      <c r="CG172" s="1051">
        <f>0-SUM(CE172:CF172)</f>
        <v>0</v>
      </c>
      <c r="CH172" s="1051">
        <f>0-SUM(CE172:CG172)</f>
        <v>0</v>
      </c>
      <c r="CI172" s="1052">
        <f t="shared" si="421"/>
        <v>0</v>
      </c>
      <c r="CJ172" s="1051">
        <v>0</v>
      </c>
      <c r="CK172" s="1051">
        <f>0-CJ172</f>
        <v>0</v>
      </c>
      <c r="CL172" s="1051">
        <f>0-SUM(CJ172:CK172)</f>
        <v>0</v>
      </c>
      <c r="CM172" s="1051">
        <f>0-SUM(CJ172:CL172)</f>
        <v>0</v>
      </c>
      <c r="CN172" s="1052">
        <f t="shared" si="422"/>
        <v>0</v>
      </c>
      <c r="CO172" s="1051">
        <v>0</v>
      </c>
      <c r="CP172" s="1051">
        <f>0-CO172</f>
        <v>0</v>
      </c>
      <c r="CQ172" s="1051">
        <f>0-SUM(CO172:CP172)</f>
        <v>0</v>
      </c>
      <c r="CR172" s="1051">
        <f>445-SUM(CO172:CQ172)</f>
        <v>445</v>
      </c>
      <c r="CS172" s="1052">
        <f t="shared" si="423"/>
        <v>445</v>
      </c>
      <c r="CT172" s="1051">
        <v>658</v>
      </c>
      <c r="CU172" s="1051">
        <f>1093-CT172</f>
        <v>435</v>
      </c>
      <c r="CV172" s="1051">
        <f>1553-CT172-CU172</f>
        <v>460</v>
      </c>
      <c r="CW172" s="1051">
        <f>1693-SUM(CT172:CV172)</f>
        <v>140</v>
      </c>
      <c r="CX172" s="1052">
        <f t="shared" si="424"/>
        <v>1693</v>
      </c>
      <c r="CY172" s="1051">
        <v>220</v>
      </c>
      <c r="CZ172" s="1051">
        <f>653-CY172</f>
        <v>433</v>
      </c>
      <c r="DA172" s="1051">
        <f>1211-CZ172-CY172</f>
        <v>558</v>
      </c>
      <c r="DB172" s="1051">
        <f>1691-SUM(CY172:DA172)</f>
        <v>480</v>
      </c>
      <c r="DC172" s="1052">
        <f t="shared" si="425"/>
        <v>1691</v>
      </c>
      <c r="DD172" s="1051">
        <v>430</v>
      </c>
      <c r="DE172" s="1051">
        <f>895-DD172</f>
        <v>465</v>
      </c>
      <c r="DF172" s="1051">
        <f>1560-SUM(DD172:DE172)</f>
        <v>665</v>
      </c>
      <c r="DG172" s="1051">
        <f>2245-SUM(DD172:DF172)</f>
        <v>685</v>
      </c>
      <c r="DH172" s="1052">
        <f t="shared" si="426"/>
        <v>2245</v>
      </c>
      <c r="DI172" s="1051">
        <v>820</v>
      </c>
      <c r="DJ172" s="1051">
        <f>1195-DI172</f>
        <v>375</v>
      </c>
      <c r="DK172" s="1051">
        <f>1770-DJ172-DI172</f>
        <v>575</v>
      </c>
      <c r="DL172" s="1051">
        <f>2595-DK172-DJ172-DI172</f>
        <v>825</v>
      </c>
      <c r="DM172" s="1052">
        <f t="shared" si="427"/>
        <v>2595</v>
      </c>
      <c r="DN172" s="1051">
        <v>995</v>
      </c>
      <c r="DO172" s="1051">
        <f>1195-DN172</f>
        <v>200</v>
      </c>
      <c r="DP172" s="1051">
        <f>1195-DO172-DN172</f>
        <v>0</v>
      </c>
      <c r="DQ172" s="1051">
        <f>1895-DP172-DO172-DN172</f>
        <v>700</v>
      </c>
      <c r="DR172" s="1052">
        <f t="shared" si="428"/>
        <v>1895</v>
      </c>
      <c r="DS172" s="1051">
        <f>IF(Debt!DS23&lt;0,0,Debt!DS23)</f>
        <v>0</v>
      </c>
      <c r="DT172" s="1051">
        <f>100-DS172</f>
        <v>100</v>
      </c>
      <c r="DU172" s="1051">
        <f>850-DT172-DS172</f>
        <v>750</v>
      </c>
      <c r="DV172" s="1051">
        <f>970-DU172-DT172-DS172</f>
        <v>120</v>
      </c>
      <c r="DW172" s="1052">
        <f t="shared" si="429"/>
        <v>970</v>
      </c>
      <c r="DX172" s="1054">
        <f>IF(Debt!DX23&lt;0,0,Debt!DX23)</f>
        <v>0</v>
      </c>
      <c r="DY172" s="1054">
        <f>IF(Debt!DY23&lt;0,0,Debt!DY23)</f>
        <v>0</v>
      </c>
      <c r="DZ172" s="1054">
        <f>IF(Debt!DZ23&lt;0,0,Debt!DZ23)</f>
        <v>0</v>
      </c>
      <c r="EA172" s="1054">
        <f>IF(Debt!EA23&lt;0,0,Debt!EA23)</f>
        <v>0</v>
      </c>
      <c r="EB172" s="1052">
        <f t="shared" si="430"/>
        <v>0</v>
      </c>
      <c r="EC172" s="1054">
        <f>IF(Debt!EC23&lt;0,0,Debt!EC23)</f>
        <v>0</v>
      </c>
      <c r="ED172" s="1054">
        <f>IF(Debt!ED23&lt;0,0,Debt!ED23)</f>
        <v>0</v>
      </c>
      <c r="EE172" s="1054">
        <f>IF(Debt!EE23&lt;0,0,Debt!EE23)</f>
        <v>0</v>
      </c>
      <c r="EF172" s="1054">
        <f>IF(Debt!EF23&lt;0,0,Debt!EF23)</f>
        <v>0</v>
      </c>
      <c r="EG172" s="1052">
        <f t="shared" si="431"/>
        <v>0</v>
      </c>
      <c r="EH172" s="1054">
        <f>IF(Debt!EH23&lt;0,0,Debt!EH23)</f>
        <v>0</v>
      </c>
      <c r="EI172" s="1054">
        <f>IF(Debt!EI23&lt;0,0,Debt!EI23)</f>
        <v>0</v>
      </c>
      <c r="EJ172" s="1054">
        <f>IF(Debt!EJ23&lt;0,0,Debt!EJ23)</f>
        <v>0</v>
      </c>
      <c r="EK172" s="1054">
        <f>IF(Debt!EK23&lt;0,0,Debt!EK23)</f>
        <v>0</v>
      </c>
      <c r="EL172" s="1052">
        <f t="shared" si="432"/>
        <v>0</v>
      </c>
      <c r="EM172" s="901"/>
      <c r="EN172"/>
      <c r="EO172"/>
      <c r="EP172"/>
      <c r="EQ172"/>
      <c r="ER172"/>
      <c r="ES172"/>
      <c r="ET172" s="135"/>
      <c r="EU172" s="135"/>
      <c r="EV172" s="135"/>
      <c r="EW172" s="135"/>
      <c r="EX172" s="135"/>
      <c r="EY172" s="135"/>
      <c r="EZ172" s="135"/>
      <c r="FA172" s="135"/>
      <c r="FB172" s="135"/>
      <c r="FC172" s="135"/>
      <c r="FD172" s="135"/>
      <c r="FE172" s="135"/>
      <c r="FF172" s="135"/>
      <c r="FG172" s="135"/>
      <c r="FH172" s="135"/>
      <c r="FI172" s="135"/>
      <c r="FJ172" s="135"/>
      <c r="FK172" s="135"/>
      <c r="FL172" s="135"/>
      <c r="FM172" s="135"/>
      <c r="FN172" s="135"/>
      <c r="FO172" s="135"/>
      <c r="FP172" s="135"/>
      <c r="FQ172" s="135"/>
      <c r="FR172" s="135"/>
      <c r="FS172" s="135"/>
      <c r="FT172" s="135"/>
      <c r="FU172" s="135"/>
      <c r="FV172" s="135"/>
      <c r="FW172" s="135"/>
      <c r="FX172" s="135"/>
      <c r="FY172" s="135"/>
      <c r="FZ172" s="135"/>
      <c r="GA172" s="135"/>
      <c r="GB172" s="135"/>
      <c r="GC172" s="135"/>
      <c r="GD172" s="135"/>
      <c r="GE172" s="135"/>
      <c r="GF172" s="135"/>
      <c r="GG172" s="135"/>
      <c r="GH172" s="135"/>
      <c r="GI172" s="135"/>
      <c r="GJ172" s="135"/>
      <c r="GK172" s="135"/>
      <c r="GL172" s="135"/>
      <c r="GM172" s="135"/>
      <c r="GN172" s="135"/>
      <c r="GO172" s="135"/>
      <c r="GP172" s="135"/>
      <c r="GQ172" s="135"/>
      <c r="GR172" s="135"/>
      <c r="GS172" s="135"/>
      <c r="GT172" s="135"/>
      <c r="GU172" s="135"/>
      <c r="GV172" s="135"/>
      <c r="GW172" s="135"/>
      <c r="GX172" s="135"/>
      <c r="GY172" s="135"/>
      <c r="GZ172" s="135"/>
      <c r="HA172" s="135"/>
      <c r="HB172" s="135"/>
      <c r="HC172" s="135"/>
      <c r="HD172" s="135"/>
      <c r="HE172" s="135"/>
      <c r="HF172" s="135"/>
      <c r="HG172" s="135"/>
      <c r="HH172" s="135"/>
      <c r="HI172" s="135"/>
      <c r="HJ172" s="135"/>
      <c r="HK172" s="135"/>
      <c r="HL172" s="135"/>
      <c r="HM172" s="135"/>
      <c r="HN172" s="135"/>
      <c r="HO172" s="135"/>
      <c r="HP172" s="135"/>
      <c r="HQ172" s="135"/>
      <c r="HR172" s="135"/>
      <c r="HS172" s="135"/>
      <c r="HT172" s="135"/>
      <c r="HU172" s="135"/>
      <c r="HV172" s="135"/>
      <c r="HW172" s="135"/>
      <c r="HX172" s="135"/>
      <c r="HY172" s="135"/>
      <c r="HZ172" s="135"/>
      <c r="IA172" s="135"/>
      <c r="IB172" s="135"/>
      <c r="IC172" s="135"/>
      <c r="ID172" s="135"/>
      <c r="IE172" s="135"/>
      <c r="IF172" s="135"/>
      <c r="IG172" s="135"/>
      <c r="IH172" s="135"/>
      <c r="II172" s="135"/>
      <c r="IJ172" s="135"/>
      <c r="IK172" s="135"/>
      <c r="IL172" s="135"/>
      <c r="IM172" s="135"/>
      <c r="IN172" s="135"/>
      <c r="IO172" s="135"/>
      <c r="IP172" s="135"/>
      <c r="IQ172" s="135"/>
      <c r="IR172" s="135"/>
      <c r="IS172" s="135"/>
      <c r="IT172" s="135"/>
      <c r="IU172" s="135"/>
      <c r="IV172" s="135"/>
      <c r="IW172" s="135"/>
      <c r="IX172" s="135"/>
      <c r="IY172" s="135"/>
      <c r="IZ172" s="135"/>
      <c r="JA172" s="135"/>
      <c r="JB172" s="135"/>
      <c r="JC172" s="135"/>
      <c r="JD172" s="135"/>
      <c r="JE172" s="135"/>
      <c r="JF172" s="135"/>
      <c r="JG172" s="135"/>
      <c r="JH172" s="135"/>
    </row>
    <row r="173" spans="1:268" s="4" customFormat="1">
      <c r="A173" s="801"/>
      <c r="B173" s="557" t="s">
        <v>75</v>
      </c>
      <c r="C173" s="1051"/>
      <c r="D173" s="1051">
        <v>-57.094999999999999</v>
      </c>
      <c r="E173" s="1051">
        <f>-72.4-D173</f>
        <v>-15.305000000000007</v>
      </c>
      <c r="F173" s="1051">
        <f>-73.9-SUM(D173:E173)</f>
        <v>-1.5</v>
      </c>
      <c r="G173" s="1051">
        <f>-2091-SUM(D173:F173)</f>
        <v>-2017.1</v>
      </c>
      <c r="H173" s="1052">
        <f t="shared" si="406"/>
        <v>-2091</v>
      </c>
      <c r="I173" s="1051">
        <v>-197.5</v>
      </c>
      <c r="J173" s="1051">
        <f>-1065.9-I173</f>
        <v>-868.40000000000009</v>
      </c>
      <c r="K173" s="1051">
        <f>-1744.2-SUM(I173:J173)</f>
        <v>-678.3</v>
      </c>
      <c r="L173" s="1051">
        <f>-3187-SUM(I173:K173)</f>
        <v>-1442.8</v>
      </c>
      <c r="M173" s="1052">
        <f t="shared" si="407"/>
        <v>-3187</v>
      </c>
      <c r="N173" s="1051">
        <v>-222.6</v>
      </c>
      <c r="O173" s="1051">
        <f>-636.2-N173</f>
        <v>-413.6</v>
      </c>
      <c r="P173" s="1051">
        <f>-3935.9-SUM(N173:O173)</f>
        <v>-3299.7</v>
      </c>
      <c r="Q173" s="1051">
        <f>-4512-SUM(N173:P173)</f>
        <v>-576.10000000000036</v>
      </c>
      <c r="R173" s="1052">
        <f t="shared" si="408"/>
        <v>-4512</v>
      </c>
      <c r="S173" s="1051">
        <v>-452</v>
      </c>
      <c r="T173" s="1051">
        <f>-889-S173</f>
        <v>-437</v>
      </c>
      <c r="U173" s="1051">
        <f>-1189-SUM(S173:T173)</f>
        <v>-300</v>
      </c>
      <c r="V173" s="1051">
        <f>-2762-SUM(S173:U173)</f>
        <v>-1573</v>
      </c>
      <c r="W173" s="1052">
        <f t="shared" si="409"/>
        <v>-2762</v>
      </c>
      <c r="X173" s="1051">
        <v>-416</v>
      </c>
      <c r="Y173" s="1051">
        <f>-1667-X173</f>
        <v>-1251</v>
      </c>
      <c r="Z173" s="1051">
        <f>-3998-SUM(X173:Y173)</f>
        <v>-2331</v>
      </c>
      <c r="AA173" s="1051">
        <f>-5085-SUM(X173:Z173)</f>
        <v>-1087</v>
      </c>
      <c r="AB173" s="1052">
        <f t="shared" si="410"/>
        <v>-5085</v>
      </c>
      <c r="AC173" s="1051">
        <v>-346</v>
      </c>
      <c r="AD173" s="1051">
        <f>-1430-AC173</f>
        <v>-1084</v>
      </c>
      <c r="AE173" s="1051">
        <f>-1712-SUM(AC173:AD173)</f>
        <v>-282</v>
      </c>
      <c r="AF173" s="1051">
        <f>-2085-SUM(AC173:AE173)</f>
        <v>-373</v>
      </c>
      <c r="AG173" s="1052">
        <f t="shared" si="411"/>
        <v>-2085</v>
      </c>
      <c r="AH173" s="1051">
        <v>-758</v>
      </c>
      <c r="AI173" s="1051">
        <f>-1234-AH173</f>
        <v>-476</v>
      </c>
      <c r="AJ173" s="1051">
        <f>-1744-SUM(AH173:AI173)</f>
        <v>-510</v>
      </c>
      <c r="AK173" s="1051">
        <f>-2945-SUM(AH173:AJ173)</f>
        <v>-1201</v>
      </c>
      <c r="AL173" s="1052">
        <f t="shared" si="412"/>
        <v>-2945</v>
      </c>
      <c r="AM173" s="1051">
        <f>-1221-179</f>
        <v>-1400</v>
      </c>
      <c r="AN173" s="1051">
        <f>-1749-2991-AM173</f>
        <v>-3340</v>
      </c>
      <c r="AO173" s="1051">
        <f>-2272-3145-SUM(AM173:AN173)</f>
        <v>-677</v>
      </c>
      <c r="AP173" s="1051">
        <f>-3513-4063-SUM(AM173:AO173)</f>
        <v>-2159</v>
      </c>
      <c r="AQ173" s="1052">
        <f t="shared" si="413"/>
        <v>-7576</v>
      </c>
      <c r="AR173" s="1051">
        <f>-1054-282</f>
        <v>-1336</v>
      </c>
      <c r="AS173" s="1051">
        <f>-1528-282-AR173</f>
        <v>-474</v>
      </c>
      <c r="AT173" s="1051">
        <f>-282-2388-SUM(AR173:AS173)</f>
        <v>-860</v>
      </c>
      <c r="AU173" s="802"/>
      <c r="AV173" s="555"/>
      <c r="AW173" s="555"/>
      <c r="AX173" s="555"/>
      <c r="AY173" s="555"/>
      <c r="AZ173" s="1048">
        <f>-282-1551</f>
        <v>-1833</v>
      </c>
      <c r="BA173" s="1051">
        <v>-846</v>
      </c>
      <c r="BB173" s="1051">
        <f>-906-BA173</f>
        <v>-60</v>
      </c>
      <c r="BC173" s="1051">
        <f>-909-SUM(BA173:BB173)</f>
        <v>-3</v>
      </c>
      <c r="BD173" s="1051">
        <f>-926-SUM(BA173:BC173)</f>
        <v>-17</v>
      </c>
      <c r="BE173" s="1052">
        <f t="shared" si="414"/>
        <v>-926</v>
      </c>
      <c r="BF173" s="1051">
        <v>-1</v>
      </c>
      <c r="BG173" s="1051">
        <f>-450-13-BF173</f>
        <v>-462</v>
      </c>
      <c r="BH173" s="1051">
        <f>-450-16-SUM(BF173:BG173)</f>
        <v>-3</v>
      </c>
      <c r="BI173" s="1051">
        <f>-555-17-SUM(BF173:BH173)</f>
        <v>-106</v>
      </c>
      <c r="BJ173" s="1052">
        <f t="shared" si="415"/>
        <v>-572</v>
      </c>
      <c r="BK173" s="1051">
        <f>-413-22</f>
        <v>-435</v>
      </c>
      <c r="BL173" s="1051">
        <f>-413-22-BK173</f>
        <v>0</v>
      </c>
      <c r="BM173" s="1051">
        <f>-413-25-SUM(BK173:BL173)</f>
        <v>-3</v>
      </c>
      <c r="BN173" s="1051">
        <f>-413-25-SUM(BK173:BM173)</f>
        <v>0</v>
      </c>
      <c r="BO173" s="1052">
        <f t="shared" si="416"/>
        <v>-438</v>
      </c>
      <c r="BP173" s="1051">
        <v>0</v>
      </c>
      <c r="BQ173" s="1051">
        <f>-1-BP173</f>
        <v>-1</v>
      </c>
      <c r="BR173" s="1051">
        <f>-3-SUM(BP173:BQ173)</f>
        <v>-2</v>
      </c>
      <c r="BS173" s="1051">
        <f>-20-SUM(BP173:BR173)</f>
        <v>-17</v>
      </c>
      <c r="BT173" s="1052">
        <f t="shared" si="417"/>
        <v>-20</v>
      </c>
      <c r="BU173" s="1051">
        <v>0</v>
      </c>
      <c r="BV173" s="1051">
        <f t="shared" si="418"/>
        <v>0</v>
      </c>
      <c r="BW173" s="1051">
        <f t="shared" ref="BW173:BW179" si="433">0-SUM(BU173:BV173)</f>
        <v>0</v>
      </c>
      <c r="BX173" s="1051">
        <f t="shared" ref="BX173:BX179" si="434">0-SUM(BU173:BW173)</f>
        <v>0</v>
      </c>
      <c r="BY173" s="1052">
        <f t="shared" si="419"/>
        <v>0</v>
      </c>
      <c r="BZ173" s="1051">
        <v>-1</v>
      </c>
      <c r="CA173" s="1051">
        <f>-1-BZ173</f>
        <v>0</v>
      </c>
      <c r="CB173" s="1051">
        <f>-1-SUM(BZ173:CA173)</f>
        <v>0</v>
      </c>
      <c r="CC173" s="1051">
        <f>-1-SUM(BZ173:CB173)</f>
        <v>0</v>
      </c>
      <c r="CD173" s="1052">
        <f t="shared" si="420"/>
        <v>-1</v>
      </c>
      <c r="CE173" s="1051">
        <v>-1</v>
      </c>
      <c r="CF173" s="1051">
        <f>-901-CE173</f>
        <v>-900</v>
      </c>
      <c r="CG173" s="1051">
        <f>-1285-SUM(CE173:CF173)</f>
        <v>-384</v>
      </c>
      <c r="CH173" s="1051">
        <f>-1291-SUM(CE173:CG173)</f>
        <v>-6</v>
      </c>
      <c r="CI173" s="1052">
        <f t="shared" si="421"/>
        <v>-1291</v>
      </c>
      <c r="CJ173" s="1051">
        <v>-7</v>
      </c>
      <c r="CK173" s="1051">
        <f>-12-CJ173</f>
        <v>-5</v>
      </c>
      <c r="CL173" s="1051">
        <f>-886-SUM(CJ173:CK173)</f>
        <v>-874</v>
      </c>
      <c r="CM173" s="1051">
        <f>-886-SUM(CJ173:CL173)</f>
        <v>0</v>
      </c>
      <c r="CN173" s="1052">
        <f t="shared" si="422"/>
        <v>-886</v>
      </c>
      <c r="CO173" s="1051">
        <v>-1</v>
      </c>
      <c r="CP173" s="1051">
        <f>-2-CO173</f>
        <v>-1</v>
      </c>
      <c r="CQ173" s="1051">
        <f>-4-SUM(CP173,CO173)</f>
        <v>-2</v>
      </c>
      <c r="CR173" s="1051">
        <f>-843-SUM(CO173:CQ173)</f>
        <v>-839</v>
      </c>
      <c r="CS173" s="1052">
        <f t="shared" si="423"/>
        <v>-843</v>
      </c>
      <c r="CT173" s="1051">
        <v>-4</v>
      </c>
      <c r="CU173" s="1051">
        <f>-67-CT173</f>
        <v>-63</v>
      </c>
      <c r="CV173" s="1051">
        <f>-76-CT173-CU173</f>
        <v>-9</v>
      </c>
      <c r="CW173" s="1051">
        <f>-248-SUM(CT173:CV173)</f>
        <v>-172</v>
      </c>
      <c r="CX173" s="1052">
        <f t="shared" si="424"/>
        <v>-248</v>
      </c>
      <c r="CY173" s="1051">
        <v>-899</v>
      </c>
      <c r="CZ173" s="1051">
        <f>-1967-CY173</f>
        <v>-1068</v>
      </c>
      <c r="DA173" s="1051">
        <f>-1987-CZ173-CY173</f>
        <v>-20</v>
      </c>
      <c r="DB173" s="1051">
        <f>-5133-SUM(CY173:DA173)</f>
        <v>-3146</v>
      </c>
      <c r="DC173" s="1052">
        <f t="shared" si="425"/>
        <v>-5133</v>
      </c>
      <c r="DD173" s="1051">
        <v>-24</v>
      </c>
      <c r="DE173" s="1051">
        <f>-68-DD173</f>
        <v>-44</v>
      </c>
      <c r="DF173" s="1051">
        <f>-655-SUM(DD173:DE173)</f>
        <v>-587</v>
      </c>
      <c r="DG173" s="1051">
        <f>-683-SUM(DD173:DF173)</f>
        <v>-28</v>
      </c>
      <c r="DH173" s="1052">
        <f t="shared" si="426"/>
        <v>-683</v>
      </c>
      <c r="DI173" s="1051">
        <v>-32</v>
      </c>
      <c r="DJ173" s="1051">
        <f>-1992-DI173</f>
        <v>-1960</v>
      </c>
      <c r="DK173" s="1051">
        <f>-2011-DJ173-DI173</f>
        <v>-19</v>
      </c>
      <c r="DL173" s="1051">
        <f>-2049-DK173-DJ173-DI173</f>
        <v>-38</v>
      </c>
      <c r="DM173" s="1052">
        <f t="shared" si="427"/>
        <v>-2049</v>
      </c>
      <c r="DN173" s="1051">
        <v>-38</v>
      </c>
      <c r="DO173" s="1051">
        <f>-76-DN173</f>
        <v>-38</v>
      </c>
      <c r="DP173" s="1051">
        <f>-112-DO173-DN173</f>
        <v>-36</v>
      </c>
      <c r="DQ173" s="1051">
        <f>-154-DP173-DO173-DN173</f>
        <v>-42</v>
      </c>
      <c r="DR173" s="1052">
        <f t="shared" si="428"/>
        <v>-154</v>
      </c>
      <c r="DS173" s="1051">
        <v>-89</v>
      </c>
      <c r="DT173" s="1051">
        <f>-1029-DS173</f>
        <v>-940</v>
      </c>
      <c r="DU173" s="1051">
        <f>-4099-DT173-DS173</f>
        <v>-3070</v>
      </c>
      <c r="DV173" s="1051">
        <f>-4139-DU173-DT173-DS173</f>
        <v>-40</v>
      </c>
      <c r="DW173" s="1052">
        <f t="shared" si="429"/>
        <v>-4139</v>
      </c>
      <c r="DX173" s="1054">
        <f>IF(Debt!DX24&gt;0,0,Debt!DX24)</f>
        <v>-500</v>
      </c>
      <c r="DY173" s="1054">
        <f>IF(Debt!DY24&gt;0,0,Debt!DY24)</f>
        <v>-500</v>
      </c>
      <c r="DZ173" s="1054">
        <f>IF(Debt!DZ24&gt;0,0,Debt!DZ24)</f>
        <v>0</v>
      </c>
      <c r="EA173" s="1054">
        <f>IF(Debt!EA24&gt;0,0,Debt!EA24)</f>
        <v>-500</v>
      </c>
      <c r="EB173" s="1052">
        <f>SUM(DX173:EA173)</f>
        <v>-1500</v>
      </c>
      <c r="EC173" s="1054">
        <f>IF(Debt!EC24&gt;0,0,Debt!EC24)</f>
        <v>0</v>
      </c>
      <c r="ED173" s="1054">
        <f>IF(Debt!ED24&gt;0,0,Debt!ED24)</f>
        <v>0</v>
      </c>
      <c r="EE173" s="1054">
        <f>IF(Debt!EE24&gt;0,0,Debt!EE24)</f>
        <v>0</v>
      </c>
      <c r="EF173" s="1054">
        <f>IF(Debt!EF24&gt;0,0,Debt!EF24)</f>
        <v>0</v>
      </c>
      <c r="EG173" s="1052">
        <f>SUM(EC173:EF173)</f>
        <v>0</v>
      </c>
      <c r="EH173" s="1054">
        <f>IF(Debt!EH24&gt;0,0,Debt!EH24)</f>
        <v>-200</v>
      </c>
      <c r="EI173" s="1054">
        <f>IF(Debt!EI24&gt;0,0,Debt!EI24)</f>
        <v>-200</v>
      </c>
      <c r="EJ173" s="1054">
        <f>IF(Debt!EJ24&gt;0,0,Debt!EJ24)</f>
        <v>-200</v>
      </c>
      <c r="EK173" s="1054">
        <f>IF(Debt!EK24&gt;0,0,Debt!EK24)</f>
        <v>-200</v>
      </c>
      <c r="EL173" s="1052">
        <f>SUM(EH173:EK173)</f>
        <v>-800</v>
      </c>
      <c r="EM173" s="901"/>
      <c r="EN173"/>
      <c r="EO173"/>
      <c r="EP173"/>
      <c r="EQ173"/>
      <c r="ER173"/>
      <c r="ES173"/>
      <c r="ET173" s="135"/>
      <c r="EU173" s="135"/>
      <c r="EV173" s="135"/>
      <c r="EW173" s="135"/>
      <c r="EX173" s="135"/>
      <c r="EY173" s="135"/>
      <c r="EZ173" s="135"/>
      <c r="FA173" s="135"/>
      <c r="FB173" s="135"/>
      <c r="FC173" s="135"/>
      <c r="FD173" s="135"/>
      <c r="FE173" s="135"/>
      <c r="FF173" s="135"/>
      <c r="FG173" s="135"/>
      <c r="FH173" s="135"/>
      <c r="FI173" s="135"/>
      <c r="FJ173" s="135"/>
      <c r="FK173" s="135"/>
      <c r="FL173" s="135"/>
      <c r="FM173" s="135"/>
      <c r="FN173" s="135"/>
      <c r="FO173" s="135"/>
      <c r="FP173" s="135"/>
      <c r="FQ173" s="135"/>
      <c r="FR173" s="135"/>
      <c r="FS173" s="135"/>
      <c r="FT173" s="135"/>
      <c r="FU173" s="135"/>
      <c r="FV173" s="135"/>
      <c r="FW173" s="135"/>
      <c r="FX173" s="135"/>
      <c r="FY173" s="135"/>
      <c r="FZ173" s="135"/>
      <c r="GA173" s="135"/>
      <c r="GB173" s="135"/>
      <c r="GC173" s="135"/>
      <c r="GD173" s="135"/>
      <c r="GE173" s="135"/>
      <c r="GF173" s="135"/>
      <c r="GG173" s="135"/>
      <c r="GH173" s="135"/>
      <c r="GI173" s="135"/>
      <c r="GJ173" s="135"/>
      <c r="GK173" s="135"/>
      <c r="GL173" s="135"/>
      <c r="GM173" s="135"/>
      <c r="GN173" s="135"/>
      <c r="GO173" s="135"/>
      <c r="GP173" s="135"/>
      <c r="GQ173" s="135"/>
      <c r="GR173" s="135"/>
      <c r="GS173" s="135"/>
      <c r="GT173" s="135"/>
      <c r="GU173" s="135"/>
      <c r="GV173" s="135"/>
      <c r="GW173" s="135"/>
      <c r="GX173" s="135"/>
      <c r="GY173" s="135"/>
      <c r="GZ173" s="135"/>
      <c r="HA173" s="135"/>
      <c r="HB173" s="135"/>
      <c r="HC173" s="135"/>
      <c r="HD173" s="135"/>
      <c r="HE173" s="135"/>
      <c r="HF173" s="135"/>
      <c r="HG173" s="135"/>
      <c r="HH173" s="135"/>
      <c r="HI173" s="135"/>
      <c r="HJ173" s="135"/>
      <c r="HK173" s="135"/>
      <c r="HL173" s="135"/>
      <c r="HM173" s="135"/>
      <c r="HN173" s="135"/>
      <c r="HO173" s="135"/>
      <c r="HP173" s="135"/>
      <c r="HQ173" s="135"/>
      <c r="HR173" s="135"/>
      <c r="HS173" s="135"/>
      <c r="HT173" s="135"/>
      <c r="HU173" s="135"/>
      <c r="HV173" s="135"/>
      <c r="HW173" s="135"/>
      <c r="HX173" s="135"/>
      <c r="HY173" s="135"/>
      <c r="HZ173" s="135"/>
      <c r="IA173" s="135"/>
      <c r="IB173" s="135"/>
      <c r="IC173" s="135"/>
      <c r="ID173" s="135"/>
      <c r="IE173" s="135"/>
      <c r="IF173" s="135"/>
      <c r="IG173" s="135"/>
      <c r="IH173" s="135"/>
      <c r="II173" s="135"/>
      <c r="IJ173" s="135"/>
      <c r="IK173" s="135"/>
      <c r="IL173" s="135"/>
      <c r="IM173" s="135"/>
      <c r="IN173" s="135"/>
      <c r="IO173" s="135"/>
      <c r="IP173" s="135"/>
      <c r="IQ173" s="135"/>
      <c r="IR173" s="135"/>
      <c r="IS173" s="135"/>
      <c r="IT173" s="135"/>
      <c r="IU173" s="135"/>
      <c r="IV173" s="135"/>
      <c r="IW173" s="135"/>
      <c r="IX173" s="135"/>
      <c r="IY173" s="135"/>
      <c r="IZ173" s="135"/>
      <c r="JA173" s="135"/>
      <c r="JB173" s="135"/>
      <c r="JC173" s="135"/>
      <c r="JD173" s="135"/>
      <c r="JE173" s="135"/>
      <c r="JF173" s="135"/>
      <c r="JG173" s="135"/>
      <c r="JH173" s="135"/>
    </row>
    <row r="174" spans="1:268" s="4" customFormat="1">
      <c r="A174" s="801"/>
      <c r="B174" s="557" t="s">
        <v>76</v>
      </c>
      <c r="C174" s="1051"/>
      <c r="D174" s="1051">
        <v>77.850999999999999</v>
      </c>
      <c r="E174" s="1051">
        <f>86-D174</f>
        <v>8.1490000000000009</v>
      </c>
      <c r="F174" s="1051">
        <f>94-SUM(D174:E174)</f>
        <v>8</v>
      </c>
      <c r="G174" s="1051">
        <f>3445-SUM(D174:F174)</f>
        <v>3351</v>
      </c>
      <c r="H174" s="1052">
        <f t="shared" si="406"/>
        <v>3445</v>
      </c>
      <c r="I174" s="1051">
        <v>17.399999999999999</v>
      </c>
      <c r="J174" s="1051">
        <f>487.4+591.8-I174</f>
        <v>1061.7999999999997</v>
      </c>
      <c r="K174" s="1051">
        <f>487.4+310.7+790.3-SUM(I174:J174)</f>
        <v>509.20000000000005</v>
      </c>
      <c r="L174" s="1051">
        <f>2961-SUM(I174:K174)</f>
        <v>1372.6000000000001</v>
      </c>
      <c r="M174" s="1052">
        <f t="shared" si="407"/>
        <v>2961</v>
      </c>
      <c r="N174" s="1051">
        <v>207</v>
      </c>
      <c r="O174" s="1051">
        <f>751.4-N174</f>
        <v>544.4</v>
      </c>
      <c r="P174" s="1051">
        <f>4435.6-SUM(N174:O174)</f>
        <v>3684.2000000000003</v>
      </c>
      <c r="Q174" s="1051">
        <f>5117-SUM(N174:P174)</f>
        <v>681.39999999999964</v>
      </c>
      <c r="R174" s="1052">
        <f t="shared" si="408"/>
        <v>5117</v>
      </c>
      <c r="S174" s="1051">
        <v>712</v>
      </c>
      <c r="T174" s="1051">
        <f>1386-S174</f>
        <v>674</v>
      </c>
      <c r="U174" s="1051">
        <f>1916-SUM(S174:T174)</f>
        <v>530</v>
      </c>
      <c r="V174" s="1051">
        <f>3349-SUM(S174:U174)</f>
        <v>1433</v>
      </c>
      <c r="W174" s="1052">
        <f t="shared" si="409"/>
        <v>3349</v>
      </c>
      <c r="X174" s="1051">
        <v>589</v>
      </c>
      <c r="Y174" s="1051">
        <f>2118-X174</f>
        <v>1529</v>
      </c>
      <c r="Z174" s="1051">
        <f>4660-SUM(X174:Y174)</f>
        <v>2542</v>
      </c>
      <c r="AA174" s="1051">
        <f>5634-SUM(X174:Z174)</f>
        <v>974</v>
      </c>
      <c r="AB174" s="1052">
        <f t="shared" si="410"/>
        <v>5634</v>
      </c>
      <c r="AC174" s="1051">
        <v>476</v>
      </c>
      <c r="AD174" s="1051">
        <f>802-AC174</f>
        <v>326</v>
      </c>
      <c r="AE174" s="1051">
        <f>1258-SUM(AC174:AD174)</f>
        <v>456</v>
      </c>
      <c r="AF174" s="1051">
        <f>1298-SUM(AC174:AE174)</f>
        <v>40</v>
      </c>
      <c r="AG174" s="1052">
        <f t="shared" si="411"/>
        <v>1298</v>
      </c>
      <c r="AH174" s="1051">
        <v>511</v>
      </c>
      <c r="AI174" s="1051">
        <f>605-AH174</f>
        <v>94</v>
      </c>
      <c r="AJ174" s="1051">
        <f>924-SUM(AH174:AI174)</f>
        <v>319</v>
      </c>
      <c r="AK174" s="1051">
        <f>1387-SUM(AH174:AJ174)</f>
        <v>463</v>
      </c>
      <c r="AL174" s="1052">
        <f t="shared" si="412"/>
        <v>1387</v>
      </c>
      <c r="AM174" s="1051">
        <v>1437</v>
      </c>
      <c r="AN174" s="1051">
        <f>2600+1952-AM174</f>
        <v>3115</v>
      </c>
      <c r="AO174" s="1051">
        <f>3206+1949-SUM(AM174:AN174)</f>
        <v>603</v>
      </c>
      <c r="AP174" s="1051">
        <f>4394+2541-SUM(AM174:AO174)</f>
        <v>1780</v>
      </c>
      <c r="AQ174" s="1052">
        <f t="shared" si="413"/>
        <v>6935</v>
      </c>
      <c r="AR174" s="1051">
        <v>908</v>
      </c>
      <c r="AS174" s="1051">
        <f>1312+392-AR174</f>
        <v>796</v>
      </c>
      <c r="AT174" s="1051">
        <f>1332+1374-SUM(AR174:AS174)</f>
        <v>1002</v>
      </c>
      <c r="AU174" s="802"/>
      <c r="AV174" s="555"/>
      <c r="AW174" s="555"/>
      <c r="AX174" s="555"/>
      <c r="AY174" s="555"/>
      <c r="AZ174" s="1048">
        <f>1332+395</f>
        <v>1727</v>
      </c>
      <c r="BA174" s="1051">
        <f>979+8</f>
        <v>987</v>
      </c>
      <c r="BB174" s="1051">
        <f>979+49-BA174</f>
        <v>41</v>
      </c>
      <c r="BC174" s="1051">
        <f>986+49-SUM(BA174:BB174)</f>
        <v>7</v>
      </c>
      <c r="BD174" s="1051">
        <f>979+49-SUM(BA174:BC174)</f>
        <v>-7</v>
      </c>
      <c r="BE174" s="1052">
        <f t="shared" si="414"/>
        <v>1028</v>
      </c>
      <c r="BF174" s="1051">
        <v>0</v>
      </c>
      <c r="BG174" s="1051">
        <f>954-BF174</f>
        <v>954</v>
      </c>
      <c r="BH174" s="1051">
        <f>954-SUM(BF174:BG174)</f>
        <v>0</v>
      </c>
      <c r="BI174" s="1051">
        <f>954-SUM(BF174:BH174)</f>
        <v>0</v>
      </c>
      <c r="BJ174" s="1052">
        <f t="shared" si="415"/>
        <v>954</v>
      </c>
      <c r="BK174" s="1051">
        <v>773</v>
      </c>
      <c r="BL174" s="1051">
        <f>773-BK174</f>
        <v>0</v>
      </c>
      <c r="BM174" s="1051">
        <f>773-SUM(BK174:BL174)</f>
        <v>0</v>
      </c>
      <c r="BN174" s="1051">
        <f>773-SUM(BK174:BM174)</f>
        <v>0</v>
      </c>
      <c r="BO174" s="1052">
        <f t="shared" si="416"/>
        <v>773</v>
      </c>
      <c r="BP174" s="1051">
        <v>0</v>
      </c>
      <c r="BQ174" s="1051">
        <f t="shared" ref="BQ174:BQ179" si="435">0-BP174</f>
        <v>0</v>
      </c>
      <c r="BR174" s="1051">
        <f t="shared" ref="BR174:BR179" si="436">0-SUM(BP174:BQ174)</f>
        <v>0</v>
      </c>
      <c r="BS174" s="1051">
        <f t="shared" ref="BS174:BS179" si="437">0-SUM(BP174:BR174)</f>
        <v>0</v>
      </c>
      <c r="BT174" s="1052">
        <f t="shared" si="417"/>
        <v>0</v>
      </c>
      <c r="BU174" s="1051">
        <v>0</v>
      </c>
      <c r="BV174" s="1051">
        <f t="shared" si="418"/>
        <v>0</v>
      </c>
      <c r="BW174" s="1051">
        <f t="shared" si="433"/>
        <v>0</v>
      </c>
      <c r="BX174" s="1051">
        <f t="shared" si="434"/>
        <v>0</v>
      </c>
      <c r="BY174" s="1052">
        <f t="shared" si="419"/>
        <v>0</v>
      </c>
      <c r="BZ174" s="1051">
        <v>0</v>
      </c>
      <c r="CA174" s="1051">
        <f t="shared" ref="CA174:CA179" si="438">0-BZ174</f>
        <v>0</v>
      </c>
      <c r="CB174" s="1051">
        <f t="shared" ref="CB174:CB179" si="439">0-SUM(BZ174:CA174)</f>
        <v>0</v>
      </c>
      <c r="CC174" s="1051">
        <f t="shared" ref="CC174:CC179" si="440">0-SUM(BZ174:CB174)</f>
        <v>0</v>
      </c>
      <c r="CD174" s="1052">
        <f t="shared" si="420"/>
        <v>0</v>
      </c>
      <c r="CE174" s="1051">
        <v>0</v>
      </c>
      <c r="CF174" s="1051">
        <f>885-CE174</f>
        <v>885</v>
      </c>
      <c r="CG174" s="1051">
        <f>885-SUM(CE174:CF174)</f>
        <v>0</v>
      </c>
      <c r="CH174" s="1051">
        <f>885-SUM(CE174:CG174)</f>
        <v>0</v>
      </c>
      <c r="CI174" s="1052">
        <f t="shared" si="421"/>
        <v>885</v>
      </c>
      <c r="CJ174" s="1051">
        <v>1</v>
      </c>
      <c r="CK174" s="1051">
        <f>1-CJ174</f>
        <v>0</v>
      </c>
      <c r="CL174" s="1051">
        <f>601-SUM(CJ174:CK174)</f>
        <v>600</v>
      </c>
      <c r="CM174" s="1051">
        <f>601-SUM(CJ174:CL174)</f>
        <v>0</v>
      </c>
      <c r="CN174" s="1052">
        <f t="shared" si="422"/>
        <v>601</v>
      </c>
      <c r="CO174" s="1051">
        <v>0</v>
      </c>
      <c r="CP174" s="1051">
        <f>0-CO174</f>
        <v>0</v>
      </c>
      <c r="CQ174" s="1051">
        <f>0-SUM(CO174:CP174)</f>
        <v>0</v>
      </c>
      <c r="CR174" s="1051">
        <f>900-SUM(CO174:CQ174)</f>
        <v>900</v>
      </c>
      <c r="CS174" s="1052">
        <f t="shared" si="423"/>
        <v>900</v>
      </c>
      <c r="CT174" s="1051">
        <v>0</v>
      </c>
      <c r="CU174" s="1051">
        <f>292-CT174</f>
        <v>292</v>
      </c>
      <c r="CV174" s="1051">
        <f>292-CT174-CU174</f>
        <v>0</v>
      </c>
      <c r="CW174" s="1051">
        <f>1092-SUM(CT174:CV174)</f>
        <v>800</v>
      </c>
      <c r="CX174" s="1052">
        <f t="shared" si="424"/>
        <v>1092</v>
      </c>
      <c r="CY174" s="1051">
        <v>850</v>
      </c>
      <c r="CZ174" s="1051">
        <f>1907-CY174</f>
        <v>1057</v>
      </c>
      <c r="DA174" s="1051">
        <f>1907-CZ174-CY174</f>
        <v>0</v>
      </c>
      <c r="DB174" s="1051">
        <f>6507-SUM(CY174:DA174)</f>
        <v>4600</v>
      </c>
      <c r="DC174" s="1052">
        <f t="shared" si="425"/>
        <v>6507</v>
      </c>
      <c r="DD174" s="1051">
        <v>600</v>
      </c>
      <c r="DE174" s="1051">
        <f>1108-DD174</f>
        <v>508</v>
      </c>
      <c r="DF174" s="1051">
        <f>1608-SUM(DD174:DE174)</f>
        <v>500</v>
      </c>
      <c r="DG174" s="1051">
        <f>1608-SUM(DD174:DF174)</f>
        <v>0</v>
      </c>
      <c r="DH174" s="1052">
        <f t="shared" si="426"/>
        <v>1608</v>
      </c>
      <c r="DI174" s="1051">
        <v>401</v>
      </c>
      <c r="DJ174" s="1051">
        <f>3187-DI174</f>
        <v>2786</v>
      </c>
      <c r="DK174" s="1051">
        <f>3208-DJ174-DI174</f>
        <v>21</v>
      </c>
      <c r="DL174" s="1051">
        <f>3158-DK174-DJ174-DI174</f>
        <v>-50</v>
      </c>
      <c r="DM174" s="1052">
        <f t="shared" si="427"/>
        <v>3158</v>
      </c>
      <c r="DN174" s="1051">
        <v>1</v>
      </c>
      <c r="DO174" s="1051">
        <f>0-DN174</f>
        <v>-1</v>
      </c>
      <c r="DP174" s="1051">
        <f>4-DO174-DN174</f>
        <v>4</v>
      </c>
      <c r="DQ174" s="1051">
        <f>760-DP174-DN174-DO174</f>
        <v>756</v>
      </c>
      <c r="DR174" s="1052">
        <f t="shared" si="428"/>
        <v>760</v>
      </c>
      <c r="DS174" s="1051">
        <v>6</v>
      </c>
      <c r="DT174" s="1051">
        <f>837-DS174</f>
        <v>831</v>
      </c>
      <c r="DU174" s="1051">
        <f>3788-DT174-DS174</f>
        <v>2951</v>
      </c>
      <c r="DV174" s="1051">
        <f>3795-DU174-DS174-DT174</f>
        <v>7</v>
      </c>
      <c r="DW174" s="1052">
        <f t="shared" si="429"/>
        <v>3795</v>
      </c>
      <c r="DX174" s="1054">
        <f>IF(Debt!DX23&lt;0,0,Debt!DX23)</f>
        <v>0</v>
      </c>
      <c r="DY174" s="1054">
        <f>IF(Debt!DY23&lt;0,0,Debt!DY23)</f>
        <v>0</v>
      </c>
      <c r="DZ174" s="1054">
        <f>IF(Debt!DZ23&lt;0,0,Debt!DZ23)</f>
        <v>0</v>
      </c>
      <c r="EA174" s="1054">
        <f>IF(Debt!EA23&lt;0,0,Debt!EA23)</f>
        <v>0</v>
      </c>
      <c r="EB174" s="1052">
        <f t="shared" si="430"/>
        <v>0</v>
      </c>
      <c r="EC174" s="1054">
        <f>IF(Debt!EC23&lt;0,0,Debt!EC23)</f>
        <v>0</v>
      </c>
      <c r="ED174" s="1054">
        <f>IF(Debt!ED23&lt;0,0,Debt!ED23)</f>
        <v>0</v>
      </c>
      <c r="EE174" s="1054">
        <f>IF(Debt!EE23&lt;0,0,Debt!EE23)</f>
        <v>0</v>
      </c>
      <c r="EF174" s="1054">
        <f>IF(Debt!EF23&lt;0,0,Debt!EF23)</f>
        <v>0</v>
      </c>
      <c r="EG174" s="1052">
        <f>SUM(EC174:EF174)</f>
        <v>0</v>
      </c>
      <c r="EH174" s="1054">
        <f>IF(Debt!EH23&lt;0,0,Debt!EH23)</f>
        <v>0</v>
      </c>
      <c r="EI174" s="1054">
        <f>IF(Debt!EI23&lt;0,0,Debt!EI23)</f>
        <v>0</v>
      </c>
      <c r="EJ174" s="1054">
        <f>IF(Debt!EJ23&lt;0,0,Debt!EJ23)</f>
        <v>0</v>
      </c>
      <c r="EK174" s="1054">
        <f>IF(Debt!EK23&lt;0,0,Debt!EK23)</f>
        <v>0</v>
      </c>
      <c r="EL174" s="1052">
        <f>SUM(EH174:EK174)</f>
        <v>0</v>
      </c>
      <c r="EM174" s="901"/>
      <c r="EN174"/>
      <c r="EO174"/>
      <c r="EP174"/>
      <c r="EQ174"/>
      <c r="ER174"/>
      <c r="ES174"/>
      <c r="ET174" s="135"/>
      <c r="EU174" s="135"/>
      <c r="EV174" s="135"/>
      <c r="EW174" s="135"/>
      <c r="EX174" s="135"/>
      <c r="EY174" s="135"/>
      <c r="EZ174" s="135"/>
      <c r="FA174" s="135"/>
      <c r="FB174" s="135"/>
      <c r="FC174" s="135"/>
      <c r="FD174" s="135"/>
      <c r="FE174" s="135"/>
      <c r="FF174" s="135"/>
      <c r="FG174" s="135"/>
      <c r="FH174" s="135"/>
      <c r="FI174" s="135"/>
      <c r="FJ174" s="135"/>
      <c r="FK174" s="135"/>
      <c r="FL174" s="135"/>
      <c r="FM174" s="135"/>
      <c r="FN174" s="135"/>
      <c r="FO174" s="135"/>
      <c r="FP174" s="135"/>
      <c r="FQ174" s="135"/>
      <c r="FR174" s="135"/>
      <c r="FS174" s="135"/>
      <c r="FT174" s="135"/>
      <c r="FU174" s="135"/>
      <c r="FV174" s="135"/>
      <c r="FW174" s="135"/>
      <c r="FX174" s="135"/>
      <c r="FY174" s="135"/>
      <c r="FZ174" s="135"/>
      <c r="GA174" s="135"/>
      <c r="GB174" s="135"/>
      <c r="GC174" s="135"/>
      <c r="GD174" s="135"/>
      <c r="GE174" s="135"/>
      <c r="GF174" s="135"/>
      <c r="GG174" s="135"/>
      <c r="GH174" s="135"/>
      <c r="GI174" s="135"/>
      <c r="GJ174" s="135"/>
      <c r="GK174" s="135"/>
      <c r="GL174" s="135"/>
      <c r="GM174" s="135"/>
      <c r="GN174" s="135"/>
      <c r="GO174" s="135"/>
      <c r="GP174" s="135"/>
      <c r="GQ174" s="135"/>
      <c r="GR174" s="135"/>
      <c r="GS174" s="135"/>
      <c r="GT174" s="135"/>
      <c r="GU174" s="135"/>
      <c r="GV174" s="135"/>
      <c r="GW174" s="135"/>
      <c r="GX174" s="135"/>
      <c r="GY174" s="135"/>
      <c r="GZ174" s="135"/>
      <c r="HA174" s="135"/>
      <c r="HB174" s="135"/>
      <c r="HC174" s="135"/>
      <c r="HD174" s="135"/>
      <c r="HE174" s="135"/>
      <c r="HF174" s="135"/>
      <c r="HG174" s="135"/>
      <c r="HH174" s="135"/>
      <c r="HI174" s="135"/>
      <c r="HJ174" s="135"/>
      <c r="HK174" s="135"/>
      <c r="HL174" s="135"/>
      <c r="HM174" s="135"/>
      <c r="HN174" s="135"/>
      <c r="HO174" s="135"/>
      <c r="HP174" s="135"/>
      <c r="HQ174" s="135"/>
      <c r="HR174" s="135"/>
      <c r="HS174" s="135"/>
      <c r="HT174" s="135"/>
      <c r="HU174" s="135"/>
      <c r="HV174" s="135"/>
      <c r="HW174" s="135"/>
      <c r="HX174" s="135"/>
      <c r="HY174" s="135"/>
      <c r="HZ174" s="135"/>
      <c r="IA174" s="135"/>
      <c r="IB174" s="135"/>
      <c r="IC174" s="135"/>
      <c r="ID174" s="135"/>
      <c r="IE174" s="135"/>
      <c r="IF174" s="135"/>
      <c r="IG174" s="135"/>
      <c r="IH174" s="135"/>
      <c r="II174" s="135"/>
      <c r="IJ174" s="135"/>
      <c r="IK174" s="135"/>
      <c r="IL174" s="135"/>
      <c r="IM174" s="135"/>
      <c r="IN174" s="135"/>
      <c r="IO174" s="135"/>
      <c r="IP174" s="135"/>
      <c r="IQ174" s="135"/>
      <c r="IR174" s="135"/>
      <c r="IS174" s="135"/>
      <c r="IT174" s="135"/>
      <c r="IU174" s="135"/>
      <c r="IV174" s="135"/>
      <c r="IW174" s="135"/>
      <c r="IX174" s="135"/>
      <c r="IY174" s="135"/>
      <c r="IZ174" s="135"/>
      <c r="JA174" s="135"/>
      <c r="JB174" s="135"/>
      <c r="JC174" s="135"/>
      <c r="JD174" s="135"/>
      <c r="JE174" s="135"/>
      <c r="JF174" s="135"/>
      <c r="JG174" s="135"/>
      <c r="JH174" s="135"/>
    </row>
    <row r="175" spans="1:268" s="4" customFormat="1">
      <c r="A175" s="801"/>
      <c r="B175" s="557" t="s">
        <v>78</v>
      </c>
      <c r="C175" s="1051"/>
      <c r="D175" s="1051">
        <v>0</v>
      </c>
      <c r="E175" s="1051">
        <f>0-D175</f>
        <v>0</v>
      </c>
      <c r="F175" s="1051">
        <f>0-SUM(D175:E175)</f>
        <v>0</v>
      </c>
      <c r="G175" s="1051">
        <f>0-SUM(D175:F175)</f>
        <v>0</v>
      </c>
      <c r="H175" s="1052">
        <f>SUM(D175:G175)</f>
        <v>0</v>
      </c>
      <c r="I175" s="1051">
        <v>0</v>
      </c>
      <c r="J175" s="1051">
        <f>0-I175</f>
        <v>0</v>
      </c>
      <c r="K175" s="1051">
        <f>0-SUM(I175:J175)</f>
        <v>0</v>
      </c>
      <c r="L175" s="1051">
        <f>0-SUM(I175:K175)</f>
        <v>0</v>
      </c>
      <c r="M175" s="1052">
        <f>SUM(I175:L175)</f>
        <v>0</v>
      </c>
      <c r="N175" s="1051">
        <v>0</v>
      </c>
      <c r="O175" s="1051">
        <f>0-N175</f>
        <v>0</v>
      </c>
      <c r="P175" s="1051">
        <f>0-SUM(N175:O175)</f>
        <v>0</v>
      </c>
      <c r="Q175" s="1051">
        <f>0-SUM(N175:P175)</f>
        <v>0</v>
      </c>
      <c r="R175" s="1052">
        <f>SUM(N175:Q175)</f>
        <v>0</v>
      </c>
      <c r="S175" s="1051">
        <v>0</v>
      </c>
      <c r="T175" s="1051">
        <f>0-S175</f>
        <v>0</v>
      </c>
      <c r="U175" s="1051">
        <f>0-SUM(S175:T175)</f>
        <v>0</v>
      </c>
      <c r="V175" s="1051">
        <f>0-SUM(S175:U175)</f>
        <v>0</v>
      </c>
      <c r="W175" s="1052">
        <f>SUM(S175:V175)</f>
        <v>0</v>
      </c>
      <c r="X175" s="1051">
        <v>0</v>
      </c>
      <c r="Y175" s="1051">
        <f>0-X175</f>
        <v>0</v>
      </c>
      <c r="Z175" s="1051">
        <f>0-SUM(X175:Y175)</f>
        <v>0</v>
      </c>
      <c r="AA175" s="1051">
        <f>0-SUM(X175:Z175)</f>
        <v>0</v>
      </c>
      <c r="AB175" s="1052">
        <f>SUM(X175:AA175)</f>
        <v>0</v>
      </c>
      <c r="AC175" s="1051">
        <v>0</v>
      </c>
      <c r="AD175" s="1051">
        <f>0-AC175</f>
        <v>0</v>
      </c>
      <c r="AE175" s="1051">
        <f>0-SUM(AC175:AD175)</f>
        <v>0</v>
      </c>
      <c r="AF175" s="1051">
        <f>0-SUM(AC175:AE175)</f>
        <v>0</v>
      </c>
      <c r="AG175" s="1052">
        <f>SUM(AC175:AF175)</f>
        <v>0</v>
      </c>
      <c r="AH175" s="1051">
        <v>0</v>
      </c>
      <c r="AI175" s="1051">
        <f>0-AH175</f>
        <v>0</v>
      </c>
      <c r="AJ175" s="1051">
        <f>0-SUM(AH175:AI175)</f>
        <v>0</v>
      </c>
      <c r="AK175" s="1051">
        <f>0-SUM(AH175:AJ175)</f>
        <v>0</v>
      </c>
      <c r="AL175" s="1052">
        <f>SUM(AH175:AK175)</f>
        <v>0</v>
      </c>
      <c r="AM175" s="1051">
        <v>0</v>
      </c>
      <c r="AN175" s="1051">
        <f>0-AM175</f>
        <v>0</v>
      </c>
      <c r="AO175" s="1051">
        <f>0-SUM(AM175:AN175)</f>
        <v>0</v>
      </c>
      <c r="AP175" s="1051">
        <f>0-SUM(AM175:AO175)</f>
        <v>0</v>
      </c>
      <c r="AQ175" s="1052">
        <f>SUM(AM175:AP175)</f>
        <v>0</v>
      </c>
      <c r="AR175" s="1051">
        <v>0</v>
      </c>
      <c r="AS175" s="1051">
        <f>0-AR175</f>
        <v>0</v>
      </c>
      <c r="AT175" s="1051">
        <f>0-SUM(AR175:AS175)</f>
        <v>0</v>
      </c>
      <c r="AU175" s="802"/>
      <c r="AV175" s="555"/>
      <c r="AW175" s="555"/>
      <c r="AX175" s="555"/>
      <c r="AY175" s="555"/>
      <c r="AZ175" s="1053">
        <v>0</v>
      </c>
      <c r="BA175" s="1051">
        <v>0</v>
      </c>
      <c r="BB175" s="1051">
        <f>0-BA175</f>
        <v>0</v>
      </c>
      <c r="BC175" s="1051">
        <f>0-SUM(BA175:BB175)</f>
        <v>0</v>
      </c>
      <c r="BD175" s="1051">
        <f>0-SUM(BA175:BC175)</f>
        <v>0</v>
      </c>
      <c r="BE175" s="1052">
        <f>SUM(BA175:BD175)</f>
        <v>0</v>
      </c>
      <c r="BF175" s="1051">
        <v>0</v>
      </c>
      <c r="BG175" s="1051">
        <f>0-BF175</f>
        <v>0</v>
      </c>
      <c r="BH175" s="1051">
        <f>0-SUM(BF175:BG175)</f>
        <v>0</v>
      </c>
      <c r="BI175" s="1051">
        <f>0-SUM(BF175:BH175)</f>
        <v>0</v>
      </c>
      <c r="BJ175" s="1052">
        <f>SUM(BF175:BI175)</f>
        <v>0</v>
      </c>
      <c r="BK175" s="1051">
        <v>0</v>
      </c>
      <c r="BL175" s="1051">
        <f>0-BK175</f>
        <v>0</v>
      </c>
      <c r="BM175" s="1051">
        <f>0-SUM(BK175:BL175)</f>
        <v>0</v>
      </c>
      <c r="BN175" s="1051">
        <f>0-SUM(BK175:BM175)</f>
        <v>0</v>
      </c>
      <c r="BO175" s="1052">
        <f>SUM(BK175:BN175)</f>
        <v>0</v>
      </c>
      <c r="BP175" s="1051">
        <v>0</v>
      </c>
      <c r="BQ175" s="1051">
        <f>0-BP175</f>
        <v>0</v>
      </c>
      <c r="BR175" s="1051">
        <f>0-SUM(BP175:BQ175)</f>
        <v>0</v>
      </c>
      <c r="BS175" s="1051">
        <f>0-SUM(BP175:BR175)</f>
        <v>0</v>
      </c>
      <c r="BT175" s="1052">
        <f>SUM(BP175:BS175)</f>
        <v>0</v>
      </c>
      <c r="BU175" s="1051">
        <v>0</v>
      </c>
      <c r="BV175" s="1051">
        <f>0-BU175</f>
        <v>0</v>
      </c>
      <c r="BW175" s="1051">
        <f>0-SUM(BU175:BV175)</f>
        <v>0</v>
      </c>
      <c r="BX175" s="1051">
        <f>0-SUM(BU175:BW175)</f>
        <v>0</v>
      </c>
      <c r="BY175" s="1052">
        <f>SUM(BU175:BX175)</f>
        <v>0</v>
      </c>
      <c r="BZ175" s="1051">
        <v>0</v>
      </c>
      <c r="CA175" s="1051">
        <f>0-BZ175</f>
        <v>0</v>
      </c>
      <c r="CB175" s="1051">
        <f>0-SUM(BZ175:CA175)</f>
        <v>0</v>
      </c>
      <c r="CC175" s="1051">
        <f>0-SUM(BZ175:CB175)</f>
        <v>0</v>
      </c>
      <c r="CD175" s="1052">
        <f>SUM(BZ175:CC175)</f>
        <v>0</v>
      </c>
      <c r="CE175" s="1051">
        <v>-22</v>
      </c>
      <c r="CF175" s="1051">
        <f>-46-CE175</f>
        <v>-24</v>
      </c>
      <c r="CG175" s="1051">
        <f>-47-SUM(CE175:CF175)</f>
        <v>-1</v>
      </c>
      <c r="CH175" s="1051">
        <f>-46-SUM(CE175:CG175)</f>
        <v>1</v>
      </c>
      <c r="CI175" s="1052">
        <f>SUM(CE175:CH175)</f>
        <v>-46</v>
      </c>
      <c r="CJ175" s="1051">
        <v>0</v>
      </c>
      <c r="CK175" s="1051">
        <f>0-CJ175</f>
        <v>0</v>
      </c>
      <c r="CL175" s="1051">
        <f>-15-SUM(CJ175:CK175)</f>
        <v>-15</v>
      </c>
      <c r="CM175" s="1051">
        <f>0-SUM(CJ175:CL175)</f>
        <v>15</v>
      </c>
      <c r="CN175" s="1052">
        <f>SUM(CJ175:CM175)</f>
        <v>0</v>
      </c>
      <c r="CO175" s="1051">
        <v>0</v>
      </c>
      <c r="CP175" s="1051">
        <f>0-CO175</f>
        <v>0</v>
      </c>
      <c r="CQ175" s="1051">
        <f>0-SUM(CO175:CP175)</f>
        <v>0</v>
      </c>
      <c r="CR175" s="1051">
        <f>-21-SUM(CO175:CQ175)</f>
        <v>-21</v>
      </c>
      <c r="CS175" s="1052">
        <f>SUM(CO175:CR175)</f>
        <v>-21</v>
      </c>
      <c r="CT175" s="1051">
        <v>0</v>
      </c>
      <c r="CU175" s="1051">
        <f>-2-CT175</f>
        <v>-2</v>
      </c>
      <c r="CV175" s="1051">
        <f>-3-CT175-CU175</f>
        <v>-1</v>
      </c>
      <c r="CW175" s="1051">
        <f>-17-SUM(CT175:CV175)</f>
        <v>-14</v>
      </c>
      <c r="CX175" s="1052">
        <f>SUM(CT175:CW175)</f>
        <v>-17</v>
      </c>
      <c r="CY175" s="1051">
        <v>-15</v>
      </c>
      <c r="CZ175" s="1051">
        <f>-30-CY175</f>
        <v>-15</v>
      </c>
      <c r="DA175" s="1051">
        <f>-31-CZ175-CY175</f>
        <v>-1</v>
      </c>
      <c r="DB175" s="1051">
        <f>-154-SUM(CY175:DA175)</f>
        <v>-123</v>
      </c>
      <c r="DC175" s="1052">
        <f>SUM(CY175:DB175)</f>
        <v>-154</v>
      </c>
      <c r="DD175" s="1051">
        <v>-11</v>
      </c>
      <c r="DE175" s="1051">
        <f>-19-DD175</f>
        <v>-8</v>
      </c>
      <c r="DF175" s="1051">
        <f>-26-SUM(DD175:DE175)</f>
        <v>-7</v>
      </c>
      <c r="DG175" s="1051">
        <f>-27-SUM(DD175:DF175)</f>
        <v>-1</v>
      </c>
      <c r="DH175" s="1052">
        <f>SUM(DD175:DG175)</f>
        <v>-27</v>
      </c>
      <c r="DI175" s="1051">
        <v>-4</v>
      </c>
      <c r="DJ175" s="1051">
        <f>-72-DI175</f>
        <v>-68</v>
      </c>
      <c r="DK175" s="1051">
        <f>-76-DJ175-DI175</f>
        <v>-4</v>
      </c>
      <c r="DL175" s="1051">
        <f>-80-DK175-DJ175-DI175</f>
        <v>-4</v>
      </c>
      <c r="DM175" s="1052">
        <f>SUM(DI175:DL175)</f>
        <v>-80</v>
      </c>
      <c r="DN175" s="1051"/>
      <c r="DO175" s="1051"/>
      <c r="DP175" s="1051">
        <f>-1-DO175-DN175</f>
        <v>-1</v>
      </c>
      <c r="DQ175" s="1051">
        <f>-12-DP175</f>
        <v>-11</v>
      </c>
      <c r="DR175" s="1052">
        <f>SUM(DN175:DQ175)</f>
        <v>-12</v>
      </c>
      <c r="DS175" s="1051">
        <v>-2</v>
      </c>
      <c r="DT175" s="1051">
        <f>-29-DS175</f>
        <v>-27</v>
      </c>
      <c r="DU175" s="1051">
        <f>-62-DT175-DS175</f>
        <v>-33</v>
      </c>
      <c r="DV175" s="1051">
        <f>-62-DU175-DS175-DT175</f>
        <v>0</v>
      </c>
      <c r="DW175" s="1052">
        <f>SUM(DS175:DV175)</f>
        <v>-62</v>
      </c>
      <c r="DX175" s="1051">
        <v>0</v>
      </c>
      <c r="DY175" s="1050">
        <v>0</v>
      </c>
      <c r="DZ175" s="1050">
        <v>0</v>
      </c>
      <c r="EA175" s="1050">
        <v>0</v>
      </c>
      <c r="EB175" s="1052">
        <f t="shared" si="430"/>
        <v>0</v>
      </c>
      <c r="EC175" s="1051">
        <v>0</v>
      </c>
      <c r="ED175" s="1050">
        <v>0</v>
      </c>
      <c r="EE175" s="1050">
        <v>0</v>
      </c>
      <c r="EF175" s="1050">
        <v>0</v>
      </c>
      <c r="EG175" s="1052">
        <f>SUM(EC175:EF175)</f>
        <v>0</v>
      </c>
      <c r="EH175" s="1051">
        <v>0</v>
      </c>
      <c r="EI175" s="1050">
        <v>0</v>
      </c>
      <c r="EJ175" s="1050">
        <v>0</v>
      </c>
      <c r="EK175" s="1050">
        <v>0</v>
      </c>
      <c r="EL175" s="1052">
        <f>SUM(EH175:EK175)</f>
        <v>0</v>
      </c>
      <c r="EM175" s="901"/>
      <c r="EN175"/>
      <c r="EO175"/>
      <c r="EP175"/>
      <c r="EQ175"/>
      <c r="ER175"/>
      <c r="ES175"/>
      <c r="ET175" s="135"/>
      <c r="EU175" s="135"/>
      <c r="EV175" s="135"/>
      <c r="EW175" s="135"/>
      <c r="EX175" s="135"/>
      <c r="EY175" s="135"/>
      <c r="EZ175" s="135"/>
      <c r="FA175" s="135"/>
      <c r="FB175" s="135"/>
      <c r="FC175" s="135"/>
      <c r="FD175" s="135"/>
      <c r="FE175" s="135"/>
      <c r="FF175" s="135"/>
      <c r="FG175" s="135"/>
      <c r="FH175" s="135"/>
      <c r="FI175" s="135"/>
      <c r="FJ175" s="135"/>
      <c r="FK175" s="135"/>
      <c r="FL175" s="135"/>
      <c r="FM175" s="135"/>
      <c r="FN175" s="135"/>
      <c r="FO175" s="135"/>
      <c r="FP175" s="135"/>
      <c r="FQ175" s="135"/>
      <c r="FR175" s="135"/>
      <c r="FS175" s="135"/>
      <c r="FT175" s="135"/>
      <c r="FU175" s="135"/>
      <c r="FV175" s="135"/>
      <c r="FW175" s="135"/>
      <c r="FX175" s="135"/>
      <c r="FY175" s="135"/>
      <c r="FZ175" s="135"/>
      <c r="GA175" s="135"/>
      <c r="GB175" s="135"/>
      <c r="GC175" s="135"/>
      <c r="GD175" s="135"/>
      <c r="GE175" s="135"/>
      <c r="GF175" s="135"/>
      <c r="GG175" s="135"/>
      <c r="GH175" s="135"/>
      <c r="GI175" s="135"/>
      <c r="GJ175" s="135"/>
      <c r="GK175" s="135"/>
      <c r="GL175" s="135"/>
      <c r="GM175" s="135"/>
      <c r="GN175" s="135"/>
      <c r="GO175" s="135"/>
      <c r="GP175" s="135"/>
      <c r="GQ175" s="135"/>
      <c r="GR175" s="135"/>
      <c r="GS175" s="135"/>
      <c r="GT175" s="135"/>
      <c r="GU175" s="135"/>
      <c r="GV175" s="135"/>
      <c r="GW175" s="135"/>
      <c r="GX175" s="135"/>
      <c r="GY175" s="135"/>
      <c r="GZ175" s="135"/>
      <c r="HA175" s="135"/>
      <c r="HB175" s="135"/>
      <c r="HC175" s="135"/>
      <c r="HD175" s="135"/>
      <c r="HE175" s="135"/>
      <c r="HF175" s="135"/>
      <c r="HG175" s="135"/>
      <c r="HH175" s="135"/>
      <c r="HI175" s="135"/>
      <c r="HJ175" s="135"/>
      <c r="HK175" s="135"/>
      <c r="HL175" s="135"/>
      <c r="HM175" s="135"/>
      <c r="HN175" s="135"/>
      <c r="HO175" s="135"/>
      <c r="HP175" s="135"/>
      <c r="HQ175" s="135"/>
      <c r="HR175" s="135"/>
      <c r="HS175" s="135"/>
      <c r="HT175" s="135"/>
      <c r="HU175" s="135"/>
      <c r="HV175" s="135"/>
      <c r="HW175" s="135"/>
      <c r="HX175" s="135"/>
      <c r="HY175" s="135"/>
      <c r="HZ175" s="135"/>
      <c r="IA175" s="135"/>
      <c r="IB175" s="135"/>
      <c r="IC175" s="135"/>
      <c r="ID175" s="135"/>
      <c r="IE175" s="135"/>
      <c r="IF175" s="135"/>
      <c r="IG175" s="135"/>
      <c r="IH175" s="135"/>
      <c r="II175" s="135"/>
      <c r="IJ175" s="135"/>
      <c r="IK175" s="135"/>
      <c r="IL175" s="135"/>
      <c r="IM175" s="135"/>
      <c r="IN175" s="135"/>
      <c r="IO175" s="135"/>
      <c r="IP175" s="135"/>
      <c r="IQ175" s="135"/>
      <c r="IR175" s="135"/>
      <c r="IS175" s="135"/>
      <c r="IT175" s="135"/>
      <c r="IU175" s="135"/>
      <c r="IV175" s="135"/>
      <c r="IW175" s="135"/>
      <c r="IX175" s="135"/>
      <c r="IY175" s="135"/>
      <c r="IZ175" s="135"/>
      <c r="JA175" s="135"/>
      <c r="JB175" s="135"/>
      <c r="JC175" s="135"/>
      <c r="JD175" s="135"/>
      <c r="JE175" s="135"/>
      <c r="JF175" s="135"/>
      <c r="JG175" s="135"/>
      <c r="JH175" s="135"/>
    </row>
    <row r="176" spans="1:268" s="4" customFormat="1">
      <c r="A176" s="801"/>
      <c r="B176" s="557" t="s">
        <v>77</v>
      </c>
      <c r="C176" s="1051"/>
      <c r="D176" s="1051">
        <v>0</v>
      </c>
      <c r="E176" s="1051">
        <f>0-D176</f>
        <v>0</v>
      </c>
      <c r="F176" s="1051">
        <f>0-SUM(D176:E176)</f>
        <v>0</v>
      </c>
      <c r="G176" s="1051">
        <f>0-SUM(D176:F176)</f>
        <v>0</v>
      </c>
      <c r="H176" s="1052">
        <f t="shared" si="406"/>
        <v>0</v>
      </c>
      <c r="I176" s="1051">
        <v>0</v>
      </c>
      <c r="J176" s="1051">
        <f>0-I176</f>
        <v>0</v>
      </c>
      <c r="K176" s="1051">
        <f>0-SUM(I176:J176)</f>
        <v>0</v>
      </c>
      <c r="L176" s="1051">
        <f>0-SUM(I176:K176)</f>
        <v>0</v>
      </c>
      <c r="M176" s="1052">
        <f t="shared" si="407"/>
        <v>0</v>
      </c>
      <c r="N176" s="1051">
        <v>0</v>
      </c>
      <c r="O176" s="1051">
        <f>0-N176</f>
        <v>0</v>
      </c>
      <c r="P176" s="1051">
        <f>0-SUM(N176:O176)</f>
        <v>0</v>
      </c>
      <c r="Q176" s="1051">
        <f>0-SUM(N176:P176)</f>
        <v>0</v>
      </c>
      <c r="R176" s="1052">
        <f t="shared" si="408"/>
        <v>0</v>
      </c>
      <c r="S176" s="1051">
        <v>0</v>
      </c>
      <c r="T176" s="1051">
        <f>0-S176</f>
        <v>0</v>
      </c>
      <c r="U176" s="1051">
        <f>0-SUM(S176:T176)</f>
        <v>0</v>
      </c>
      <c r="V176" s="1051">
        <f>0-SUM(S176:U176)</f>
        <v>0</v>
      </c>
      <c r="W176" s="1052">
        <f t="shared" si="409"/>
        <v>0</v>
      </c>
      <c r="X176" s="1051">
        <v>0</v>
      </c>
      <c r="Y176" s="1051">
        <f>0-X176</f>
        <v>0</v>
      </c>
      <c r="Z176" s="1051">
        <f>0-SUM(X176:Y176)</f>
        <v>0</v>
      </c>
      <c r="AA176" s="1051">
        <f>0-SUM(X176:Z176)</f>
        <v>0</v>
      </c>
      <c r="AB176" s="1052">
        <f t="shared" si="410"/>
        <v>0</v>
      </c>
      <c r="AC176" s="1051">
        <v>0</v>
      </c>
      <c r="AD176" s="1051">
        <f>0-AC176</f>
        <v>0</v>
      </c>
      <c r="AE176" s="1051">
        <f>0-SUM(AC176:AD176)</f>
        <v>0</v>
      </c>
      <c r="AF176" s="1051">
        <f>0-SUM(AC176:AE176)</f>
        <v>0</v>
      </c>
      <c r="AG176" s="1052">
        <f t="shared" si="411"/>
        <v>0</v>
      </c>
      <c r="AH176" s="1051">
        <v>0</v>
      </c>
      <c r="AI176" s="1051">
        <f>0-AH176</f>
        <v>0</v>
      </c>
      <c r="AJ176" s="1051">
        <f>0-SUM(AH176:AI176)</f>
        <v>0</v>
      </c>
      <c r="AK176" s="1051">
        <f>0-SUM(AH176:AJ176)</f>
        <v>0</v>
      </c>
      <c r="AL176" s="1052">
        <f t="shared" si="412"/>
        <v>0</v>
      </c>
      <c r="AM176" s="1051">
        <v>0</v>
      </c>
      <c r="AN176" s="1051">
        <f>0-AM176</f>
        <v>0</v>
      </c>
      <c r="AO176" s="1051">
        <f>0-SUM(AM176:AN176)</f>
        <v>0</v>
      </c>
      <c r="AP176" s="1051">
        <f>0-SUM(AM176:AO176)</f>
        <v>0</v>
      </c>
      <c r="AQ176" s="1052">
        <f t="shared" si="413"/>
        <v>0</v>
      </c>
      <c r="AR176" s="1051">
        <v>0</v>
      </c>
      <c r="AS176" s="1051">
        <f>0-AR176</f>
        <v>0</v>
      </c>
      <c r="AT176" s="1051">
        <f>0-SUM(AR176:AS176)</f>
        <v>0</v>
      </c>
      <c r="AU176" s="802"/>
      <c r="AV176" s="555"/>
      <c r="AW176" s="555"/>
      <c r="AX176" s="555"/>
      <c r="AY176" s="555"/>
      <c r="AZ176" s="1053">
        <v>0</v>
      </c>
      <c r="BA176" s="1051">
        <v>0</v>
      </c>
      <c r="BB176" s="1051">
        <f>0-BA176</f>
        <v>0</v>
      </c>
      <c r="BC176" s="1051">
        <f>0-SUM(BA176:BB176)</f>
        <v>0</v>
      </c>
      <c r="BD176" s="1051">
        <f>0-SUM(BA176:BC176)</f>
        <v>0</v>
      </c>
      <c r="BE176" s="1052">
        <f t="shared" si="414"/>
        <v>0</v>
      </c>
      <c r="BF176" s="1051">
        <v>0</v>
      </c>
      <c r="BG176" s="1051">
        <f>0-BF176</f>
        <v>0</v>
      </c>
      <c r="BH176" s="1051">
        <f>0-SUM(BF176:BG176)</f>
        <v>0</v>
      </c>
      <c r="BI176" s="1051">
        <f>0-SUM(BF176:BH176)</f>
        <v>0</v>
      </c>
      <c r="BJ176" s="1052">
        <f t="shared" si="415"/>
        <v>0</v>
      </c>
      <c r="BK176" s="1051">
        <v>0</v>
      </c>
      <c r="BL176" s="1051">
        <f>0-BK176</f>
        <v>0</v>
      </c>
      <c r="BM176" s="1051">
        <f>0-SUM(BK176:BL176)</f>
        <v>0</v>
      </c>
      <c r="BN176" s="1051">
        <f>0-SUM(BK176:BM176)</f>
        <v>0</v>
      </c>
      <c r="BO176" s="1052">
        <f t="shared" si="416"/>
        <v>0</v>
      </c>
      <c r="BP176" s="1051">
        <v>0</v>
      </c>
      <c r="BQ176" s="1051">
        <f t="shared" si="435"/>
        <v>0</v>
      </c>
      <c r="BR176" s="1051">
        <f t="shared" si="436"/>
        <v>0</v>
      </c>
      <c r="BS176" s="1051">
        <f t="shared" si="437"/>
        <v>0</v>
      </c>
      <c r="BT176" s="1052">
        <f t="shared" si="417"/>
        <v>0</v>
      </c>
      <c r="BU176" s="1051">
        <v>0</v>
      </c>
      <c r="BV176" s="1051">
        <f t="shared" si="418"/>
        <v>0</v>
      </c>
      <c r="BW176" s="1051">
        <f t="shared" si="433"/>
        <v>0</v>
      </c>
      <c r="BX176" s="1051">
        <f t="shared" si="434"/>
        <v>0</v>
      </c>
      <c r="BY176" s="1052">
        <f t="shared" si="419"/>
        <v>0</v>
      </c>
      <c r="BZ176" s="1051">
        <v>0</v>
      </c>
      <c r="CA176" s="1051">
        <f t="shared" si="438"/>
        <v>0</v>
      </c>
      <c r="CB176" s="1051">
        <f t="shared" si="439"/>
        <v>0</v>
      </c>
      <c r="CC176" s="1051">
        <f t="shared" si="440"/>
        <v>0</v>
      </c>
      <c r="CD176" s="1052">
        <f t="shared" si="420"/>
        <v>0</v>
      </c>
      <c r="CE176" s="1051">
        <v>0</v>
      </c>
      <c r="CF176" s="1051">
        <f>0-CE176</f>
        <v>0</v>
      </c>
      <c r="CG176" s="1051">
        <f>0-SUM(CE176:CF176)</f>
        <v>0</v>
      </c>
      <c r="CH176" s="1051">
        <f>0-SUM(CE176:CG176)</f>
        <v>0</v>
      </c>
      <c r="CI176" s="1052">
        <f t="shared" si="421"/>
        <v>0</v>
      </c>
      <c r="CJ176" s="1051">
        <v>0</v>
      </c>
      <c r="CK176" s="1051">
        <f>0-CJ176</f>
        <v>0</v>
      </c>
      <c r="CL176" s="1051">
        <f>0-SUM(CJ176:CK176)</f>
        <v>0</v>
      </c>
      <c r="CM176" s="1051">
        <f>0-SUM(CJ176:CL176)</f>
        <v>0</v>
      </c>
      <c r="CN176" s="1052">
        <f t="shared" si="422"/>
        <v>0</v>
      </c>
      <c r="CO176" s="1051">
        <v>0</v>
      </c>
      <c r="CP176" s="1051">
        <f>0-CO176</f>
        <v>0</v>
      </c>
      <c r="CQ176" s="1051">
        <f>0-SUM(CO176:CP176)</f>
        <v>0</v>
      </c>
      <c r="CR176" s="1051">
        <f>0-SUM(CO176:CQ176)</f>
        <v>0</v>
      </c>
      <c r="CS176" s="1052">
        <f t="shared" si="423"/>
        <v>0</v>
      </c>
      <c r="CT176" s="1051">
        <v>0</v>
      </c>
      <c r="CU176" s="1051">
        <f>-292-CT176</f>
        <v>-292</v>
      </c>
      <c r="CV176" s="1051">
        <f>-292-CT176-CU176</f>
        <v>0</v>
      </c>
      <c r="CW176" s="1051">
        <f>-292-SUM(CT176:CV176)</f>
        <v>0</v>
      </c>
      <c r="CX176" s="1052">
        <f t="shared" si="424"/>
        <v>-292</v>
      </c>
      <c r="CY176" s="1051">
        <v>0</v>
      </c>
      <c r="CZ176" s="1051">
        <f>0-CY176</f>
        <v>0</v>
      </c>
      <c r="DA176" s="1051">
        <v>0</v>
      </c>
      <c r="DB176" s="1051"/>
      <c r="DC176" s="1052">
        <f t="shared" si="425"/>
        <v>0</v>
      </c>
      <c r="DD176" s="1051">
        <v>0</v>
      </c>
      <c r="DE176" s="1051">
        <v>0</v>
      </c>
      <c r="DF176" s="1051">
        <v>0</v>
      </c>
      <c r="DG176" s="1051">
        <v>0</v>
      </c>
      <c r="DH176" s="1052">
        <f t="shared" si="426"/>
        <v>0</v>
      </c>
      <c r="DI176" s="1051"/>
      <c r="DJ176" s="1051"/>
      <c r="DK176" s="1051"/>
      <c r="DL176" s="1051">
        <v>0</v>
      </c>
      <c r="DM176" s="1052">
        <f t="shared" si="427"/>
        <v>0</v>
      </c>
      <c r="DN176" s="1051"/>
      <c r="DO176" s="1051">
        <v>0</v>
      </c>
      <c r="DP176" s="1051"/>
      <c r="DQ176" s="1051"/>
      <c r="DR176" s="1052">
        <f t="shared" si="428"/>
        <v>0</v>
      </c>
      <c r="DS176" s="1051">
        <v>0</v>
      </c>
      <c r="DT176" s="1051">
        <v>0</v>
      </c>
      <c r="DU176" s="1051"/>
      <c r="DV176" s="1051"/>
      <c r="DW176" s="1052">
        <f>SUM(DS176:DV176)</f>
        <v>0</v>
      </c>
      <c r="DX176" s="1051">
        <v>0</v>
      </c>
      <c r="DY176" s="1050">
        <v>0</v>
      </c>
      <c r="DZ176" s="1050">
        <v>0</v>
      </c>
      <c r="EA176" s="1050">
        <v>0</v>
      </c>
      <c r="EB176" s="1052">
        <f>SUM(DX176:EA176)</f>
        <v>0</v>
      </c>
      <c r="EC176" s="1051">
        <v>0</v>
      </c>
      <c r="ED176" s="1050">
        <v>0</v>
      </c>
      <c r="EE176" s="1050">
        <v>0</v>
      </c>
      <c r="EF176" s="1050">
        <v>0</v>
      </c>
      <c r="EG176" s="1052">
        <f>SUM(EC176:EF176)</f>
        <v>0</v>
      </c>
      <c r="EH176" s="1051">
        <v>0</v>
      </c>
      <c r="EI176" s="1050">
        <v>0</v>
      </c>
      <c r="EJ176" s="1050">
        <v>0</v>
      </c>
      <c r="EK176" s="1050">
        <v>0</v>
      </c>
      <c r="EL176" s="1052">
        <f>SUM(EH176:EK176)</f>
        <v>0</v>
      </c>
      <c r="EM176" s="901"/>
      <c r="EN176"/>
      <c r="EO176"/>
      <c r="EP176"/>
      <c r="EQ176"/>
      <c r="ER176"/>
      <c r="ES176"/>
      <c r="ET176" s="135"/>
      <c r="EU176" s="135"/>
      <c r="EV176" s="135"/>
      <c r="EW176" s="135"/>
      <c r="EX176" s="135"/>
      <c r="EY176" s="135"/>
      <c r="EZ176" s="135"/>
      <c r="FA176" s="135"/>
      <c r="FB176" s="135"/>
      <c r="FC176" s="135"/>
      <c r="FD176" s="135"/>
      <c r="FE176" s="135"/>
      <c r="FF176" s="135"/>
      <c r="FG176" s="135"/>
      <c r="FH176" s="135"/>
      <c r="FI176" s="135"/>
      <c r="FJ176" s="135"/>
      <c r="FK176" s="135"/>
      <c r="FL176" s="135"/>
      <c r="FM176" s="135"/>
      <c r="FN176" s="135"/>
      <c r="FO176" s="135"/>
      <c r="FP176" s="135"/>
      <c r="FQ176" s="135"/>
      <c r="FR176" s="135"/>
      <c r="FS176" s="135"/>
      <c r="FT176" s="135"/>
      <c r="FU176" s="135"/>
      <c r="FV176" s="135"/>
      <c r="FW176" s="135"/>
      <c r="FX176" s="135"/>
      <c r="FY176" s="135"/>
      <c r="FZ176" s="135"/>
      <c r="GA176" s="135"/>
      <c r="GB176" s="135"/>
      <c r="GC176" s="135"/>
      <c r="GD176" s="135"/>
      <c r="GE176" s="135"/>
      <c r="GF176" s="135"/>
      <c r="GG176" s="135"/>
      <c r="GH176" s="135"/>
      <c r="GI176" s="135"/>
      <c r="GJ176" s="135"/>
      <c r="GK176" s="135"/>
      <c r="GL176" s="135"/>
      <c r="GM176" s="135"/>
      <c r="GN176" s="135"/>
      <c r="GO176" s="135"/>
      <c r="GP176" s="135"/>
      <c r="GQ176" s="135"/>
      <c r="GR176" s="135"/>
      <c r="GS176" s="135"/>
      <c r="GT176" s="135"/>
      <c r="GU176" s="135"/>
      <c r="GV176" s="135"/>
      <c r="GW176" s="135"/>
      <c r="GX176" s="135"/>
      <c r="GY176" s="135"/>
      <c r="GZ176" s="135"/>
      <c r="HA176" s="135"/>
      <c r="HB176" s="135"/>
      <c r="HC176" s="135"/>
      <c r="HD176" s="135"/>
      <c r="HE176" s="135"/>
      <c r="HF176" s="135"/>
      <c r="HG176" s="135"/>
      <c r="HH176" s="135"/>
      <c r="HI176" s="135"/>
      <c r="HJ176" s="135"/>
      <c r="HK176" s="135"/>
      <c r="HL176" s="135"/>
      <c r="HM176" s="135"/>
      <c r="HN176" s="135"/>
      <c r="HO176" s="135"/>
      <c r="HP176" s="135"/>
      <c r="HQ176" s="135"/>
      <c r="HR176" s="135"/>
      <c r="HS176" s="135"/>
      <c r="HT176" s="135"/>
      <c r="HU176" s="135"/>
      <c r="HV176" s="135"/>
      <c r="HW176" s="135"/>
      <c r="HX176" s="135"/>
      <c r="HY176" s="135"/>
      <c r="HZ176" s="135"/>
      <c r="IA176" s="135"/>
      <c r="IB176" s="135"/>
      <c r="IC176" s="135"/>
      <c r="ID176" s="135"/>
      <c r="IE176" s="135"/>
      <c r="IF176" s="135"/>
      <c r="IG176" s="135"/>
      <c r="IH176" s="135"/>
      <c r="II176" s="135"/>
      <c r="IJ176" s="135"/>
      <c r="IK176" s="135"/>
      <c r="IL176" s="135"/>
      <c r="IM176" s="135"/>
      <c r="IN176" s="135"/>
      <c r="IO176" s="135"/>
      <c r="IP176" s="135"/>
      <c r="IQ176" s="135"/>
      <c r="IR176" s="135"/>
      <c r="IS176" s="135"/>
      <c r="IT176" s="135"/>
      <c r="IU176" s="135"/>
      <c r="IV176" s="135"/>
      <c r="IW176" s="135"/>
      <c r="IX176" s="135"/>
      <c r="IY176" s="135"/>
      <c r="IZ176" s="135"/>
      <c r="JA176" s="135"/>
      <c r="JB176" s="135"/>
      <c r="JC176" s="135"/>
      <c r="JD176" s="135"/>
      <c r="JE176" s="135"/>
      <c r="JF176" s="135"/>
      <c r="JG176" s="135"/>
      <c r="JH176" s="135"/>
    </row>
    <row r="177" spans="1:268" s="4" customFormat="1">
      <c r="A177" s="801"/>
      <c r="B177" s="557" t="s">
        <v>79</v>
      </c>
      <c r="C177" s="1051"/>
      <c r="D177" s="1051">
        <v>0</v>
      </c>
      <c r="E177" s="1051">
        <f>0-D177</f>
        <v>0</v>
      </c>
      <c r="F177" s="1051">
        <f>0-SUM(D177:E177)</f>
        <v>0</v>
      </c>
      <c r="G177" s="1051">
        <f>0-SUM(D177:F177)</f>
        <v>0</v>
      </c>
      <c r="H177" s="1052">
        <f t="shared" si="406"/>
        <v>0</v>
      </c>
      <c r="I177" s="1051">
        <v>0</v>
      </c>
      <c r="J177" s="1051">
        <f>0-I177</f>
        <v>0</v>
      </c>
      <c r="K177" s="1051">
        <f>0-SUM(I177:J177)</f>
        <v>0</v>
      </c>
      <c r="L177" s="1051">
        <f>0-SUM(I177:K177)</f>
        <v>0</v>
      </c>
      <c r="M177" s="1052">
        <f t="shared" si="407"/>
        <v>0</v>
      </c>
      <c r="N177" s="1051">
        <v>0</v>
      </c>
      <c r="O177" s="1051">
        <f>0-N177</f>
        <v>0</v>
      </c>
      <c r="P177" s="1051">
        <f>0-SUM(N177:O177)</f>
        <v>0</v>
      </c>
      <c r="Q177" s="1051">
        <f>0-SUM(N177:P177)</f>
        <v>0</v>
      </c>
      <c r="R177" s="1052">
        <f t="shared" si="408"/>
        <v>0</v>
      </c>
      <c r="S177" s="1051">
        <v>0</v>
      </c>
      <c r="T177" s="1051">
        <f>0-S177</f>
        <v>0</v>
      </c>
      <c r="U177" s="1051">
        <f>0-SUM(S177:T177)</f>
        <v>0</v>
      </c>
      <c r="V177" s="1051">
        <f>0-SUM(S177:U177)</f>
        <v>0</v>
      </c>
      <c r="W177" s="1052">
        <f t="shared" si="409"/>
        <v>0</v>
      </c>
      <c r="X177" s="1051">
        <v>0</v>
      </c>
      <c r="Y177" s="1051">
        <f>0-X177</f>
        <v>0</v>
      </c>
      <c r="Z177" s="1051">
        <f>0-SUM(X177:Y177)</f>
        <v>0</v>
      </c>
      <c r="AA177" s="1051">
        <f>0-SUM(X177:Z177)</f>
        <v>0</v>
      </c>
      <c r="AB177" s="1052">
        <f t="shared" si="410"/>
        <v>0</v>
      </c>
      <c r="AC177" s="1051">
        <v>0</v>
      </c>
      <c r="AD177" s="1051">
        <f>0-AC177</f>
        <v>0</v>
      </c>
      <c r="AE177" s="1051">
        <f>0-SUM(AC177:AD177)</f>
        <v>0</v>
      </c>
      <c r="AF177" s="1051">
        <f>0-SUM(AC177:AE177)</f>
        <v>0</v>
      </c>
      <c r="AG177" s="1052">
        <f t="shared" si="411"/>
        <v>0</v>
      </c>
      <c r="AH177" s="1051">
        <v>0</v>
      </c>
      <c r="AI177" s="1051">
        <f>0-AH177</f>
        <v>0</v>
      </c>
      <c r="AJ177" s="1051">
        <f>0-SUM(AH177:AI177)</f>
        <v>0</v>
      </c>
      <c r="AK177" s="1051">
        <f>0-SUM(AH177:AJ177)</f>
        <v>0</v>
      </c>
      <c r="AL177" s="1052">
        <f t="shared" si="412"/>
        <v>0</v>
      </c>
      <c r="AM177" s="1051">
        <v>-94</v>
      </c>
      <c r="AN177" s="1051">
        <f>-187-AM177</f>
        <v>-93</v>
      </c>
      <c r="AO177" s="1051">
        <f>-480-SUM(AM177:AN177)</f>
        <v>-293</v>
      </c>
      <c r="AP177" s="1051">
        <f>-715-SUM(AM177:AO177)</f>
        <v>-235</v>
      </c>
      <c r="AQ177" s="1052">
        <f t="shared" si="413"/>
        <v>-715</v>
      </c>
      <c r="AR177" s="1051">
        <v>-119</v>
      </c>
      <c r="AS177" s="1051">
        <f>-500-AR177</f>
        <v>-381</v>
      </c>
      <c r="AT177" s="1051">
        <f>-610-SUM(AR177:AS177)</f>
        <v>-110</v>
      </c>
      <c r="AU177" s="802"/>
      <c r="AV177" s="555"/>
      <c r="AW177" s="555"/>
      <c r="AX177" s="555"/>
      <c r="AY177" s="555"/>
      <c r="AZ177" s="1053">
        <v>-500</v>
      </c>
      <c r="BA177" s="1051">
        <v>-110</v>
      </c>
      <c r="BB177" s="1051">
        <f>-208-BA177</f>
        <v>-98</v>
      </c>
      <c r="BC177" s="1051">
        <f>-208-SUM(BA177:BB177)</f>
        <v>0</v>
      </c>
      <c r="BD177" s="1051">
        <f>-208-SUM(BA177:BC177)</f>
        <v>0</v>
      </c>
      <c r="BE177" s="1052">
        <f t="shared" si="414"/>
        <v>-208</v>
      </c>
      <c r="BF177" s="1051">
        <v>0</v>
      </c>
      <c r="BG177" s="1051">
        <f>0-BF177</f>
        <v>0</v>
      </c>
      <c r="BH177" s="1051">
        <f>0-SUM(BF177:BG177)</f>
        <v>0</v>
      </c>
      <c r="BI177" s="1051">
        <f>0-SUM(BF177:BH177)</f>
        <v>0</v>
      </c>
      <c r="BJ177" s="1052">
        <f t="shared" si="415"/>
        <v>0</v>
      </c>
      <c r="BK177" s="1051">
        <v>0</v>
      </c>
      <c r="BL177" s="1051">
        <f>0-BK177</f>
        <v>0</v>
      </c>
      <c r="BM177" s="1051">
        <f>0-SUM(BK177:BL177)</f>
        <v>0</v>
      </c>
      <c r="BN177" s="1051">
        <f>0-SUM(BK177:BM177)</f>
        <v>0</v>
      </c>
      <c r="BO177" s="1052">
        <f t="shared" si="416"/>
        <v>0</v>
      </c>
      <c r="BP177" s="1051">
        <v>0</v>
      </c>
      <c r="BQ177" s="1051">
        <f t="shared" si="435"/>
        <v>0</v>
      </c>
      <c r="BR177" s="1051">
        <f t="shared" si="436"/>
        <v>0</v>
      </c>
      <c r="BS177" s="1051">
        <f t="shared" si="437"/>
        <v>0</v>
      </c>
      <c r="BT177" s="1052">
        <f t="shared" si="417"/>
        <v>0</v>
      </c>
      <c r="BU177" s="1051">
        <v>0</v>
      </c>
      <c r="BV177" s="1051">
        <f t="shared" si="418"/>
        <v>0</v>
      </c>
      <c r="BW177" s="1051">
        <f t="shared" si="433"/>
        <v>0</v>
      </c>
      <c r="BX177" s="1051">
        <f t="shared" si="434"/>
        <v>0</v>
      </c>
      <c r="BY177" s="1052">
        <f t="shared" si="419"/>
        <v>0</v>
      </c>
      <c r="BZ177" s="1051">
        <v>0</v>
      </c>
      <c r="CA177" s="1051">
        <f t="shared" si="438"/>
        <v>0</v>
      </c>
      <c r="CB177" s="1051">
        <f t="shared" si="439"/>
        <v>0</v>
      </c>
      <c r="CC177" s="1051">
        <f t="shared" si="440"/>
        <v>0</v>
      </c>
      <c r="CD177" s="1052">
        <f t="shared" si="420"/>
        <v>0</v>
      </c>
      <c r="CE177" s="1051">
        <v>0</v>
      </c>
      <c r="CF177" s="1051">
        <f>0-CE177</f>
        <v>0</v>
      </c>
      <c r="CG177" s="1051">
        <f>0-SUM(CE177:CF177)</f>
        <v>0</v>
      </c>
      <c r="CH177" s="1051">
        <f>0-SUM(CE177:CG177)</f>
        <v>0</v>
      </c>
      <c r="CI177" s="1052">
        <f t="shared" si="421"/>
        <v>0</v>
      </c>
      <c r="CJ177" s="1051">
        <v>0</v>
      </c>
      <c r="CK177" s="1051">
        <f>0-CJ177</f>
        <v>0</v>
      </c>
      <c r="CL177" s="1051">
        <f>0-SUM(CJ177:CK177)</f>
        <v>0</v>
      </c>
      <c r="CM177" s="1051">
        <f>-27-SUM(CJ177:CL177)</f>
        <v>-27</v>
      </c>
      <c r="CN177" s="1052">
        <f t="shared" si="422"/>
        <v>-27</v>
      </c>
      <c r="CO177" s="1051">
        <v>0</v>
      </c>
      <c r="CP177" s="1051">
        <f>-72-CO177</f>
        <v>-72</v>
      </c>
      <c r="CQ177" s="1051">
        <f>-196-SUM(CP177,CO177)</f>
        <v>-124</v>
      </c>
      <c r="CR177" s="1051">
        <f>-374-SUM(CO177:CQ177)</f>
        <v>-178</v>
      </c>
      <c r="CS177" s="1052">
        <f t="shared" si="423"/>
        <v>-374</v>
      </c>
      <c r="CT177" s="1051">
        <f>+-26</f>
        <v>-26</v>
      </c>
      <c r="CU177" s="1051">
        <f>-26-CT177</f>
        <v>0</v>
      </c>
      <c r="CV177" s="1051">
        <f>-26-CT177-CU177</f>
        <v>0</v>
      </c>
      <c r="CW177" s="1051">
        <f>-126-SUM(CT177:CV177)</f>
        <v>-100</v>
      </c>
      <c r="CX177" s="1052">
        <f t="shared" si="424"/>
        <v>-126</v>
      </c>
      <c r="CY177" s="1051">
        <v>-100</v>
      </c>
      <c r="CZ177" s="1051">
        <f>-192-CY177</f>
        <v>-92</v>
      </c>
      <c r="DA177" s="1051">
        <f>-300-CZ177-CY177</f>
        <v>-108</v>
      </c>
      <c r="DB177" s="1051">
        <f>-400-SUM(CY177:DA177)</f>
        <v>-100</v>
      </c>
      <c r="DC177" s="1052">
        <f t="shared" si="425"/>
        <v>-400</v>
      </c>
      <c r="DD177" s="1051">
        <v>0</v>
      </c>
      <c r="DE177" s="1051">
        <f>0-DD177</f>
        <v>0</v>
      </c>
      <c r="DF177" s="1051">
        <f>0-SUM(DD177:DE177)</f>
        <v>0</v>
      </c>
      <c r="DG177" s="1051">
        <v>0</v>
      </c>
      <c r="DH177" s="1052">
        <f t="shared" si="426"/>
        <v>0</v>
      </c>
      <c r="DI177" s="1051">
        <v>0</v>
      </c>
      <c r="DJ177" s="1051">
        <f>-IS!DJ77</f>
        <v>0</v>
      </c>
      <c r="DK177" s="1051">
        <f>-IS!DK77</f>
        <v>0</v>
      </c>
      <c r="DL177" s="1051">
        <f>-IS!DL77</f>
        <v>-40</v>
      </c>
      <c r="DM177" s="1052">
        <f t="shared" si="427"/>
        <v>-40</v>
      </c>
      <c r="DN177" s="1051">
        <v>0</v>
      </c>
      <c r="DO177" s="1051">
        <v>0</v>
      </c>
      <c r="DP177" s="1051">
        <v>0</v>
      </c>
      <c r="DQ177" s="1051">
        <v>0</v>
      </c>
      <c r="DR177" s="1052">
        <f t="shared" si="428"/>
        <v>0</v>
      </c>
      <c r="DS177" s="1051">
        <v>0</v>
      </c>
      <c r="DT177" s="1051">
        <v>0</v>
      </c>
      <c r="DU177" s="1051">
        <v>0</v>
      </c>
      <c r="DV177" s="1051">
        <v>0</v>
      </c>
      <c r="DW177" s="1052">
        <f t="shared" si="429"/>
        <v>0</v>
      </c>
      <c r="DX177" s="1054">
        <v>0</v>
      </c>
      <c r="DY177" s="1054">
        <v>0</v>
      </c>
      <c r="DZ177" s="1054">
        <v>0</v>
      </c>
      <c r="EA177" s="1054">
        <v>0</v>
      </c>
      <c r="EB177" s="1052">
        <f t="shared" si="430"/>
        <v>0</v>
      </c>
      <c r="EC177" s="1054">
        <v>0</v>
      </c>
      <c r="ED177" s="1054">
        <v>0</v>
      </c>
      <c r="EE177" s="1054">
        <v>0</v>
      </c>
      <c r="EF177" s="1054">
        <v>0</v>
      </c>
      <c r="EG177" s="1052">
        <f t="shared" si="431"/>
        <v>0</v>
      </c>
      <c r="EH177" s="1054">
        <v>0</v>
      </c>
      <c r="EI177" s="1054">
        <v>0</v>
      </c>
      <c r="EJ177" s="1054">
        <v>0</v>
      </c>
      <c r="EK177" s="1054">
        <v>0</v>
      </c>
      <c r="EL177" s="1052">
        <f t="shared" ref="EL177:EL180" si="441">SUM(EH177:EK177)</f>
        <v>0</v>
      </c>
      <c r="EM177" s="901"/>
      <c r="EN177"/>
      <c r="EO177"/>
      <c r="EP177"/>
      <c r="EQ177"/>
      <c r="ER177"/>
      <c r="ES177"/>
      <c r="ET177" s="135"/>
      <c r="EU177" s="135"/>
      <c r="EV177" s="135"/>
      <c r="EW177" s="135"/>
      <c r="EX177" s="135"/>
      <c r="EY177" s="135"/>
      <c r="EZ177" s="135"/>
      <c r="FA177" s="135"/>
      <c r="FB177" s="135"/>
      <c r="FC177" s="135"/>
      <c r="FD177" s="135"/>
      <c r="FE177" s="135"/>
      <c r="FF177" s="135"/>
      <c r="FG177" s="135"/>
      <c r="FH177" s="135"/>
      <c r="FI177" s="135"/>
      <c r="FJ177" s="135"/>
      <c r="FK177" s="135"/>
      <c r="FL177" s="135"/>
      <c r="FM177" s="135"/>
      <c r="FN177" s="135"/>
      <c r="FO177" s="135"/>
      <c r="FP177" s="135"/>
      <c r="FQ177" s="135"/>
      <c r="FR177" s="135"/>
      <c r="FS177" s="135"/>
      <c r="FT177" s="135"/>
      <c r="FU177" s="135"/>
      <c r="FV177" s="135"/>
      <c r="FW177" s="135"/>
      <c r="FX177" s="135"/>
      <c r="FY177" s="135"/>
      <c r="FZ177" s="135"/>
      <c r="GA177" s="135"/>
      <c r="GB177" s="135"/>
      <c r="GC177" s="135"/>
      <c r="GD177" s="135"/>
      <c r="GE177" s="135"/>
      <c r="GF177" s="135"/>
      <c r="GG177" s="135"/>
      <c r="GH177" s="135"/>
      <c r="GI177" s="135"/>
      <c r="GJ177" s="135"/>
      <c r="GK177" s="135"/>
      <c r="GL177" s="135"/>
      <c r="GM177" s="135"/>
      <c r="GN177" s="135"/>
      <c r="GO177" s="135"/>
      <c r="GP177" s="135"/>
      <c r="GQ177" s="135"/>
      <c r="GR177" s="135"/>
      <c r="GS177" s="135"/>
      <c r="GT177" s="135"/>
      <c r="GU177" s="135"/>
      <c r="GV177" s="135"/>
      <c r="GW177" s="135"/>
      <c r="GX177" s="135"/>
      <c r="GY177" s="135"/>
      <c r="GZ177" s="135"/>
      <c r="HA177" s="135"/>
      <c r="HB177" s="135"/>
      <c r="HC177" s="135"/>
      <c r="HD177" s="135"/>
      <c r="HE177" s="135"/>
      <c r="HF177" s="135"/>
      <c r="HG177" s="135"/>
      <c r="HH177" s="135"/>
      <c r="HI177" s="135"/>
      <c r="HJ177" s="135"/>
      <c r="HK177" s="135"/>
      <c r="HL177" s="135"/>
      <c r="HM177" s="135"/>
      <c r="HN177" s="135"/>
      <c r="HO177" s="135"/>
      <c r="HP177" s="135"/>
      <c r="HQ177" s="135"/>
      <c r="HR177" s="135"/>
      <c r="HS177" s="135"/>
      <c r="HT177" s="135"/>
      <c r="HU177" s="135"/>
      <c r="HV177" s="135"/>
      <c r="HW177" s="135"/>
      <c r="HX177" s="135"/>
      <c r="HY177" s="135"/>
      <c r="HZ177" s="135"/>
      <c r="IA177" s="135"/>
      <c r="IB177" s="135"/>
      <c r="IC177" s="135"/>
      <c r="ID177" s="135"/>
      <c r="IE177" s="135"/>
      <c r="IF177" s="135"/>
      <c r="IG177" s="135"/>
      <c r="IH177" s="135"/>
      <c r="II177" s="135"/>
      <c r="IJ177" s="135"/>
      <c r="IK177" s="135"/>
      <c r="IL177" s="135"/>
      <c r="IM177" s="135"/>
      <c r="IN177" s="135"/>
      <c r="IO177" s="135"/>
      <c r="IP177" s="135"/>
      <c r="IQ177" s="135"/>
      <c r="IR177" s="135"/>
      <c r="IS177" s="135"/>
      <c r="IT177" s="135"/>
      <c r="IU177" s="135"/>
      <c r="IV177" s="135"/>
      <c r="IW177" s="135"/>
      <c r="IX177" s="135"/>
      <c r="IY177" s="135"/>
      <c r="IZ177" s="135"/>
      <c r="JA177" s="135"/>
      <c r="JB177" s="135"/>
      <c r="JC177" s="135"/>
      <c r="JD177" s="135"/>
      <c r="JE177" s="135"/>
      <c r="JF177" s="135"/>
      <c r="JG177" s="135"/>
      <c r="JH177" s="135"/>
    </row>
    <row r="178" spans="1:268" s="4" customFormat="1">
      <c r="A178" s="801"/>
      <c r="B178" s="557" t="s">
        <v>80</v>
      </c>
      <c r="C178" s="1051"/>
      <c r="D178" s="1051">
        <v>0</v>
      </c>
      <c r="E178" s="1051">
        <f>0-D178</f>
        <v>0</v>
      </c>
      <c r="F178" s="1051">
        <f>0-SUM(D178:E178)</f>
        <v>0</v>
      </c>
      <c r="G178" s="1051">
        <f>0-SUM(D178:F178)</f>
        <v>0</v>
      </c>
      <c r="H178" s="1052">
        <f t="shared" si="406"/>
        <v>0</v>
      </c>
      <c r="I178" s="1051">
        <v>0</v>
      </c>
      <c r="J178" s="1051">
        <f>0-I178</f>
        <v>0</v>
      </c>
      <c r="K178" s="1051">
        <f>0-SUM(I178:J178)</f>
        <v>0</v>
      </c>
      <c r="L178" s="1051">
        <f>0-SUM(I178:K178)</f>
        <v>0</v>
      </c>
      <c r="M178" s="1052">
        <f t="shared" si="407"/>
        <v>0</v>
      </c>
      <c r="N178" s="1051">
        <v>0</v>
      </c>
      <c r="O178" s="1051">
        <f>0-N178</f>
        <v>0</v>
      </c>
      <c r="P178" s="1051">
        <f>0-SUM(N178:O178)</f>
        <v>0</v>
      </c>
      <c r="Q178" s="1051">
        <f>0-SUM(N178:P178)</f>
        <v>0</v>
      </c>
      <c r="R178" s="1052">
        <f t="shared" si="408"/>
        <v>0</v>
      </c>
      <c r="S178" s="1051">
        <v>0</v>
      </c>
      <c r="T178" s="1051">
        <f>0-S178</f>
        <v>0</v>
      </c>
      <c r="U178" s="1051">
        <f>0-SUM(S178:T178)</f>
        <v>0</v>
      </c>
      <c r="V178" s="1051">
        <f>0-SUM(S178:U178)</f>
        <v>0</v>
      </c>
      <c r="W178" s="1052">
        <f t="shared" si="409"/>
        <v>0</v>
      </c>
      <c r="X178" s="1051">
        <v>0</v>
      </c>
      <c r="Y178" s="1051">
        <f>0-X178</f>
        <v>0</v>
      </c>
      <c r="Z178" s="1051">
        <f>0-SUM(X178:Y178)</f>
        <v>0</v>
      </c>
      <c r="AA178" s="1051">
        <f>0-SUM(X178:Z178)</f>
        <v>0</v>
      </c>
      <c r="AB178" s="1052">
        <f t="shared" si="410"/>
        <v>0</v>
      </c>
      <c r="AC178" s="1051">
        <v>0</v>
      </c>
      <c r="AD178" s="1051">
        <f>0-AC178</f>
        <v>0</v>
      </c>
      <c r="AE178" s="1051">
        <f>0-SUM(AC178:AD178)</f>
        <v>0</v>
      </c>
      <c r="AF178" s="1051">
        <f>0-SUM(AC178:AE178)</f>
        <v>0</v>
      </c>
      <c r="AG178" s="1052">
        <f t="shared" si="411"/>
        <v>0</v>
      </c>
      <c r="AH178" s="1051">
        <v>0</v>
      </c>
      <c r="AI178" s="1051">
        <f>0-AH178</f>
        <v>0</v>
      </c>
      <c r="AJ178" s="1051">
        <f>0-SUM(AH178:AI178)</f>
        <v>0</v>
      </c>
      <c r="AK178" s="1051">
        <f>0-SUM(AH178:AJ178)</f>
        <v>0</v>
      </c>
      <c r="AL178" s="1052">
        <f t="shared" si="412"/>
        <v>0</v>
      </c>
      <c r="AM178" s="1051">
        <v>0</v>
      </c>
      <c r="AN178" s="1051">
        <f>0-AM178</f>
        <v>0</v>
      </c>
      <c r="AO178" s="1051">
        <f>0-SUM(AM178:AN178)</f>
        <v>0</v>
      </c>
      <c r="AP178" s="1051">
        <f>0-SUM(AM178:AO178)</f>
        <v>0</v>
      </c>
      <c r="AQ178" s="1052">
        <f t="shared" si="413"/>
        <v>0</v>
      </c>
      <c r="AR178" s="1051">
        <v>0</v>
      </c>
      <c r="AS178" s="1051">
        <f>0-AR178</f>
        <v>0</v>
      </c>
      <c r="AT178" s="1051">
        <f>0-SUM(AR178:AS178)</f>
        <v>0</v>
      </c>
      <c r="AU178" s="802"/>
      <c r="AV178" s="555"/>
      <c r="AW178" s="555"/>
      <c r="AX178" s="555"/>
      <c r="AY178" s="555"/>
      <c r="AZ178" s="1053">
        <v>0</v>
      </c>
      <c r="BA178" s="1051">
        <v>0</v>
      </c>
      <c r="BB178" s="1051">
        <f>0-BA178</f>
        <v>0</v>
      </c>
      <c r="BC178" s="1051">
        <f>0-SUM(BA178:BB178)</f>
        <v>0</v>
      </c>
      <c r="BD178" s="1051">
        <f>0-SUM(BA178:BC178)</f>
        <v>0</v>
      </c>
      <c r="BE178" s="1052">
        <f t="shared" si="414"/>
        <v>0</v>
      </c>
      <c r="BF178" s="1051">
        <v>0</v>
      </c>
      <c r="BG178" s="1051">
        <f>0-BF178</f>
        <v>0</v>
      </c>
      <c r="BH178" s="1051">
        <f>0-SUM(BF178:BG178)</f>
        <v>0</v>
      </c>
      <c r="BI178" s="1051">
        <f>0-SUM(BF178:BH178)</f>
        <v>0</v>
      </c>
      <c r="BJ178" s="1052">
        <f t="shared" si="415"/>
        <v>0</v>
      </c>
      <c r="BK178" s="1051">
        <v>0</v>
      </c>
      <c r="BL178" s="1051">
        <f>0-BK178</f>
        <v>0</v>
      </c>
      <c r="BM178" s="1051">
        <f>0-SUM(BK178:BL178)</f>
        <v>0</v>
      </c>
      <c r="BN178" s="1051">
        <f>0-SUM(BK178:BM178)</f>
        <v>0</v>
      </c>
      <c r="BO178" s="1052">
        <f t="shared" si="416"/>
        <v>0</v>
      </c>
      <c r="BP178" s="1051">
        <v>0</v>
      </c>
      <c r="BQ178" s="1051">
        <f t="shared" si="435"/>
        <v>0</v>
      </c>
      <c r="BR178" s="1051">
        <f t="shared" si="436"/>
        <v>0</v>
      </c>
      <c r="BS178" s="1051">
        <f t="shared" si="437"/>
        <v>0</v>
      </c>
      <c r="BT178" s="1052">
        <f t="shared" si="417"/>
        <v>0</v>
      </c>
      <c r="BU178" s="1051">
        <v>0</v>
      </c>
      <c r="BV178" s="1051">
        <f t="shared" si="418"/>
        <v>0</v>
      </c>
      <c r="BW178" s="1051">
        <f t="shared" si="433"/>
        <v>0</v>
      </c>
      <c r="BX178" s="1051">
        <f t="shared" si="434"/>
        <v>0</v>
      </c>
      <c r="BY178" s="1052">
        <f t="shared" si="419"/>
        <v>0</v>
      </c>
      <c r="BZ178" s="1051">
        <v>0</v>
      </c>
      <c r="CA178" s="1051">
        <f t="shared" si="438"/>
        <v>0</v>
      </c>
      <c r="CB178" s="1051">
        <f t="shared" si="439"/>
        <v>0</v>
      </c>
      <c r="CC178" s="1051">
        <f t="shared" si="440"/>
        <v>0</v>
      </c>
      <c r="CD178" s="1052">
        <f t="shared" si="420"/>
        <v>0</v>
      </c>
      <c r="CE178" s="1051">
        <v>0</v>
      </c>
      <c r="CF178" s="1051">
        <f>0-CE178</f>
        <v>0</v>
      </c>
      <c r="CG178" s="1051">
        <f>0-SUM(CE178:CF178)</f>
        <v>0</v>
      </c>
      <c r="CH178" s="1051">
        <f>0-SUM(CE178:CG178)</f>
        <v>0</v>
      </c>
      <c r="CI178" s="1052">
        <f t="shared" si="421"/>
        <v>0</v>
      </c>
      <c r="CJ178" s="1051">
        <v>-6</v>
      </c>
      <c r="CK178" s="1051">
        <f>-12-CJ178</f>
        <v>-6</v>
      </c>
      <c r="CL178" s="1051">
        <f>-18-SUM(CJ178:CK178)</f>
        <v>-6</v>
      </c>
      <c r="CM178" s="1051">
        <f>-24-SUM(CJ178:CL178)</f>
        <v>-6</v>
      </c>
      <c r="CN178" s="1052">
        <f t="shared" si="422"/>
        <v>-24</v>
      </c>
      <c r="CO178" s="1051">
        <v>-6</v>
      </c>
      <c r="CP178" s="1051">
        <f>-12-CO178</f>
        <v>-6</v>
      </c>
      <c r="CQ178" s="1051">
        <f>-18-SUM(CO178:CP178)</f>
        <v>-6</v>
      </c>
      <c r="CR178" s="1051">
        <f>-24-SUM(CO178:CQ178)</f>
        <v>-6</v>
      </c>
      <c r="CS178" s="1052">
        <f t="shared" si="423"/>
        <v>-24</v>
      </c>
      <c r="CT178" s="1051">
        <v>-6</v>
      </c>
      <c r="CU178" s="1051">
        <f>-12-CT178</f>
        <v>-6</v>
      </c>
      <c r="CV178" s="1051">
        <f>-13-CT178-CU178</f>
        <v>-1</v>
      </c>
      <c r="CW178" s="1051">
        <f>-14-SUM(CT178:CV178)</f>
        <v>-1</v>
      </c>
      <c r="CX178" s="1052">
        <f t="shared" si="424"/>
        <v>-14</v>
      </c>
      <c r="CY178" s="1051">
        <v>0</v>
      </c>
      <c r="CZ178" s="1051">
        <f>0-CY178</f>
        <v>0</v>
      </c>
      <c r="DA178" s="1051">
        <v>0</v>
      </c>
      <c r="DB178" s="1051">
        <v>0</v>
      </c>
      <c r="DC178" s="1052">
        <f t="shared" si="425"/>
        <v>0</v>
      </c>
      <c r="DD178" s="1051">
        <v>0</v>
      </c>
      <c r="DE178" s="1051">
        <v>0</v>
      </c>
      <c r="DF178" s="1051">
        <v>0</v>
      </c>
      <c r="DG178" s="1051"/>
      <c r="DH178" s="1052">
        <f t="shared" si="426"/>
        <v>0</v>
      </c>
      <c r="DI178" s="1051">
        <v>0</v>
      </c>
      <c r="DJ178" s="1051"/>
      <c r="DK178" s="1051"/>
      <c r="DL178" s="1051"/>
      <c r="DM178" s="1052">
        <f t="shared" si="427"/>
        <v>0</v>
      </c>
      <c r="DN178" s="1051"/>
      <c r="DO178" s="1051"/>
      <c r="DP178" s="1051"/>
      <c r="DQ178" s="1051"/>
      <c r="DR178" s="1052">
        <f t="shared" si="428"/>
        <v>0</v>
      </c>
      <c r="DS178" s="1051">
        <v>0</v>
      </c>
      <c r="DT178" s="1051"/>
      <c r="DU178" s="1051"/>
      <c r="DV178" s="1051"/>
      <c r="DW178" s="1052">
        <f t="shared" si="429"/>
        <v>0</v>
      </c>
      <c r="DX178" s="1051">
        <v>0</v>
      </c>
      <c r="DY178" s="1050">
        <v>0</v>
      </c>
      <c r="DZ178" s="1050">
        <v>0</v>
      </c>
      <c r="EA178" s="1050">
        <v>0</v>
      </c>
      <c r="EB178" s="1052">
        <f t="shared" si="430"/>
        <v>0</v>
      </c>
      <c r="EC178" s="1051">
        <v>0</v>
      </c>
      <c r="ED178" s="1050">
        <v>0</v>
      </c>
      <c r="EE178" s="1050">
        <v>0</v>
      </c>
      <c r="EF178" s="1050">
        <v>0</v>
      </c>
      <c r="EG178" s="1052">
        <f t="shared" si="431"/>
        <v>0</v>
      </c>
      <c r="EH178" s="1051">
        <v>0</v>
      </c>
      <c r="EI178" s="1050">
        <v>0</v>
      </c>
      <c r="EJ178" s="1050">
        <v>0</v>
      </c>
      <c r="EK178" s="1050">
        <v>0</v>
      </c>
      <c r="EL178" s="1052">
        <f t="shared" si="441"/>
        <v>0</v>
      </c>
      <c r="EM178" s="901"/>
      <c r="EN178"/>
      <c r="EO178"/>
      <c r="EP178"/>
      <c r="EQ178"/>
      <c r="ER178"/>
      <c r="ES178"/>
      <c r="ET178" s="135"/>
      <c r="EU178" s="135"/>
      <c r="EV178" s="135"/>
      <c r="EW178" s="135"/>
      <c r="EX178" s="135"/>
      <c r="EY178" s="135"/>
      <c r="EZ178" s="135"/>
      <c r="FA178" s="135"/>
      <c r="FB178" s="135"/>
      <c r="FC178" s="135"/>
      <c r="FD178" s="135"/>
      <c r="FE178" s="135"/>
      <c r="FF178" s="135"/>
      <c r="FG178" s="135"/>
      <c r="FH178" s="135"/>
      <c r="FI178" s="135"/>
      <c r="FJ178" s="135"/>
      <c r="FK178" s="135"/>
      <c r="FL178" s="135"/>
      <c r="FM178" s="135"/>
      <c r="FN178" s="135"/>
      <c r="FO178" s="135"/>
      <c r="FP178" s="135"/>
      <c r="FQ178" s="135"/>
      <c r="FR178" s="135"/>
      <c r="FS178" s="135"/>
      <c r="FT178" s="135"/>
      <c r="FU178" s="135"/>
      <c r="FV178" s="135"/>
      <c r="FW178" s="135"/>
      <c r="FX178" s="135"/>
      <c r="FY178" s="135"/>
      <c r="FZ178" s="135"/>
      <c r="GA178" s="135"/>
      <c r="GB178" s="135"/>
      <c r="GC178" s="135"/>
      <c r="GD178" s="135"/>
      <c r="GE178" s="135"/>
      <c r="GF178" s="135"/>
      <c r="GG178" s="135"/>
      <c r="GH178" s="135"/>
      <c r="GI178" s="135"/>
      <c r="GJ178" s="135"/>
      <c r="GK178" s="135"/>
      <c r="GL178" s="135"/>
      <c r="GM178" s="135"/>
      <c r="GN178" s="135"/>
      <c r="GO178" s="135"/>
      <c r="GP178" s="135"/>
      <c r="GQ178" s="135"/>
      <c r="GR178" s="135"/>
      <c r="GS178" s="135"/>
      <c r="GT178" s="135"/>
      <c r="GU178" s="135"/>
      <c r="GV178" s="135"/>
      <c r="GW178" s="135"/>
      <c r="GX178" s="135"/>
      <c r="GY178" s="135"/>
      <c r="GZ178" s="135"/>
      <c r="HA178" s="135"/>
      <c r="HB178" s="135"/>
      <c r="HC178" s="135"/>
      <c r="HD178" s="135"/>
      <c r="HE178" s="135"/>
      <c r="HF178" s="135"/>
      <c r="HG178" s="135"/>
      <c r="HH178" s="135"/>
      <c r="HI178" s="135"/>
      <c r="HJ178" s="135"/>
      <c r="HK178" s="135"/>
      <c r="HL178" s="135"/>
      <c r="HM178" s="135"/>
      <c r="HN178" s="135"/>
      <c r="HO178" s="135"/>
      <c r="HP178" s="135"/>
      <c r="HQ178" s="135"/>
      <c r="HR178" s="135"/>
      <c r="HS178" s="135"/>
      <c r="HT178" s="135"/>
      <c r="HU178" s="135"/>
      <c r="HV178" s="135"/>
      <c r="HW178" s="135"/>
      <c r="HX178" s="135"/>
      <c r="HY178" s="135"/>
      <c r="HZ178" s="135"/>
      <c r="IA178" s="135"/>
      <c r="IB178" s="135"/>
      <c r="IC178" s="135"/>
      <c r="ID178" s="135"/>
      <c r="IE178" s="135"/>
      <c r="IF178" s="135"/>
      <c r="IG178" s="135"/>
      <c r="IH178" s="135"/>
      <c r="II178" s="135"/>
      <c r="IJ178" s="135"/>
      <c r="IK178" s="135"/>
      <c r="IL178" s="135"/>
      <c r="IM178" s="135"/>
      <c r="IN178" s="135"/>
      <c r="IO178" s="135"/>
      <c r="IP178" s="135"/>
      <c r="IQ178" s="135"/>
      <c r="IR178" s="135"/>
      <c r="IS178" s="135"/>
      <c r="IT178" s="135"/>
      <c r="IU178" s="135"/>
      <c r="IV178" s="135"/>
      <c r="IW178" s="135"/>
      <c r="IX178" s="135"/>
      <c r="IY178" s="135"/>
      <c r="IZ178" s="135"/>
      <c r="JA178" s="135"/>
      <c r="JB178" s="135"/>
      <c r="JC178" s="135"/>
      <c r="JD178" s="135"/>
      <c r="JE178" s="135"/>
      <c r="JF178" s="135"/>
      <c r="JG178" s="135"/>
      <c r="JH178" s="135"/>
    </row>
    <row r="179" spans="1:268" s="4" customFormat="1">
      <c r="A179" s="801"/>
      <c r="B179" s="555" t="s">
        <v>81</v>
      </c>
      <c r="C179" s="555"/>
      <c r="D179" s="1051">
        <v>0</v>
      </c>
      <c r="E179" s="1051">
        <f>0-D179</f>
        <v>0</v>
      </c>
      <c r="F179" s="1051">
        <f>0-SUM(D179:E179)</f>
        <v>0</v>
      </c>
      <c r="G179" s="1051">
        <f>0-SUM(D179:F179)</f>
        <v>0</v>
      </c>
      <c r="H179" s="1052">
        <f t="shared" si="406"/>
        <v>0</v>
      </c>
      <c r="I179" s="1051">
        <v>0</v>
      </c>
      <c r="J179" s="1051">
        <f>0-I179</f>
        <v>0</v>
      </c>
      <c r="K179" s="1051">
        <f>0-SUM(I179:J179)</f>
        <v>0</v>
      </c>
      <c r="L179" s="1051">
        <f>0-SUM(I179:K179)</f>
        <v>0</v>
      </c>
      <c r="M179" s="1052">
        <f t="shared" si="407"/>
        <v>0</v>
      </c>
      <c r="N179" s="1051">
        <v>-3</v>
      </c>
      <c r="O179" s="1051">
        <f>-4.3-N179</f>
        <v>-1.2999999999999998</v>
      </c>
      <c r="P179" s="1051">
        <f>0-SUM(N179:O179)</f>
        <v>4.3</v>
      </c>
      <c r="Q179" s="1051">
        <f>0-SUM(N179:P179)</f>
        <v>0</v>
      </c>
      <c r="R179" s="1052">
        <f t="shared" si="408"/>
        <v>0</v>
      </c>
      <c r="S179" s="1051">
        <v>0</v>
      </c>
      <c r="T179" s="1051">
        <f>0-S179</f>
        <v>0</v>
      </c>
      <c r="U179" s="1051">
        <f>0-SUM(S179:T179)</f>
        <v>0</v>
      </c>
      <c r="V179" s="1051">
        <f>0-SUM(S179:U179)</f>
        <v>0</v>
      </c>
      <c r="W179" s="1052">
        <f t="shared" si="409"/>
        <v>0</v>
      </c>
      <c r="X179" s="1051">
        <v>0</v>
      </c>
      <c r="Y179" s="1051">
        <f>0-X179</f>
        <v>0</v>
      </c>
      <c r="Z179" s="1051">
        <f>0-SUM(X179:Y179)</f>
        <v>0</v>
      </c>
      <c r="AA179" s="1051">
        <f>0-SUM(X179:Z179)</f>
        <v>0</v>
      </c>
      <c r="AB179" s="1052">
        <f t="shared" si="410"/>
        <v>0</v>
      </c>
      <c r="AC179" s="1051">
        <v>0</v>
      </c>
      <c r="AD179" s="1051">
        <f>0-AC179</f>
        <v>0</v>
      </c>
      <c r="AE179" s="1051">
        <f>0-SUM(AC179:AD179)</f>
        <v>0</v>
      </c>
      <c r="AF179" s="1051">
        <f>0-SUM(AC179:AE179)</f>
        <v>0</v>
      </c>
      <c r="AG179" s="1052">
        <f t="shared" si="411"/>
        <v>0</v>
      </c>
      <c r="AH179" s="1051">
        <v>0</v>
      </c>
      <c r="AI179" s="1051">
        <f>0-AH179</f>
        <v>0</v>
      </c>
      <c r="AJ179" s="1051">
        <f>0-SUM(AH179:AI179)</f>
        <v>0</v>
      </c>
      <c r="AK179" s="1051">
        <f>0-SUM(AH179:AJ179)</f>
        <v>0</v>
      </c>
      <c r="AL179" s="1052">
        <f t="shared" si="412"/>
        <v>0</v>
      </c>
      <c r="AM179" s="1051">
        <v>0</v>
      </c>
      <c r="AN179" s="1051">
        <f>0-AM179</f>
        <v>0</v>
      </c>
      <c r="AO179" s="1051">
        <f>0-SUM(AM179:AN179)</f>
        <v>0</v>
      </c>
      <c r="AP179" s="1051">
        <f>0-SUM(AM179:AO179)</f>
        <v>0</v>
      </c>
      <c r="AQ179" s="1052">
        <f t="shared" si="413"/>
        <v>0</v>
      </c>
      <c r="AR179" s="1051">
        <v>0</v>
      </c>
      <c r="AS179" s="1051">
        <f>0-AR179</f>
        <v>0</v>
      </c>
      <c r="AT179" s="1051">
        <f>0-SUM(AR179:AS179)</f>
        <v>0</v>
      </c>
      <c r="AU179" s="802"/>
      <c r="AV179" s="555"/>
      <c r="AW179" s="555"/>
      <c r="AX179" s="555"/>
      <c r="AY179" s="555"/>
      <c r="AZ179" s="1053">
        <v>0</v>
      </c>
      <c r="BA179" s="1051">
        <v>0</v>
      </c>
      <c r="BB179" s="1051">
        <f>0-BA179</f>
        <v>0</v>
      </c>
      <c r="BC179" s="1051">
        <f>0-SUM(BA179:BB179)</f>
        <v>0</v>
      </c>
      <c r="BD179" s="1051">
        <f>0-SUM(BA179:BC179)</f>
        <v>0</v>
      </c>
      <c r="BE179" s="1052">
        <f t="shared" si="414"/>
        <v>0</v>
      </c>
      <c r="BF179" s="1051">
        <v>0</v>
      </c>
      <c r="BG179" s="1051">
        <f>0-BF179</f>
        <v>0</v>
      </c>
      <c r="BH179" s="1051">
        <f>0-SUM(BF179:BG179)</f>
        <v>0</v>
      </c>
      <c r="BI179" s="1051">
        <f>0-SUM(BF179:BH179)</f>
        <v>0</v>
      </c>
      <c r="BJ179" s="1052">
        <f t="shared" si="415"/>
        <v>0</v>
      </c>
      <c r="BK179" s="1051">
        <v>0</v>
      </c>
      <c r="BL179" s="1051">
        <f>0-BK179</f>
        <v>0</v>
      </c>
      <c r="BM179" s="1051">
        <f>0-SUM(BK179:BL179)</f>
        <v>0</v>
      </c>
      <c r="BN179" s="1051">
        <f>0-SUM(BK179:BM179)</f>
        <v>0</v>
      </c>
      <c r="BO179" s="1052">
        <f t="shared" si="416"/>
        <v>0</v>
      </c>
      <c r="BP179" s="1051">
        <v>0</v>
      </c>
      <c r="BQ179" s="1051">
        <f t="shared" si="435"/>
        <v>0</v>
      </c>
      <c r="BR179" s="1051">
        <f t="shared" si="436"/>
        <v>0</v>
      </c>
      <c r="BS179" s="1051">
        <f t="shared" si="437"/>
        <v>0</v>
      </c>
      <c r="BT179" s="1052">
        <f t="shared" si="417"/>
        <v>0</v>
      </c>
      <c r="BU179" s="1051">
        <v>0</v>
      </c>
      <c r="BV179" s="1051">
        <f t="shared" si="418"/>
        <v>0</v>
      </c>
      <c r="BW179" s="1051">
        <f t="shared" si="433"/>
        <v>0</v>
      </c>
      <c r="BX179" s="1051">
        <f t="shared" si="434"/>
        <v>0</v>
      </c>
      <c r="BY179" s="1052">
        <f t="shared" si="419"/>
        <v>0</v>
      </c>
      <c r="BZ179" s="1051">
        <v>0</v>
      </c>
      <c r="CA179" s="1051">
        <f t="shared" si="438"/>
        <v>0</v>
      </c>
      <c r="CB179" s="1051">
        <f t="shared" si="439"/>
        <v>0</v>
      </c>
      <c r="CC179" s="1051">
        <f t="shared" si="440"/>
        <v>0</v>
      </c>
      <c r="CD179" s="1052">
        <f t="shared" si="420"/>
        <v>0</v>
      </c>
      <c r="CE179" s="1051">
        <v>-2</v>
      </c>
      <c r="CF179" s="1051">
        <f>-3-CE179</f>
        <v>-1</v>
      </c>
      <c r="CG179" s="1051">
        <f>-5-SUM(CE179:CF179)</f>
        <v>-2</v>
      </c>
      <c r="CH179" s="1051">
        <f>-7-SUM(CE179:CG179)</f>
        <v>-2</v>
      </c>
      <c r="CI179" s="1052">
        <f t="shared" si="421"/>
        <v>-7</v>
      </c>
      <c r="CJ179" s="1051">
        <v>-1</v>
      </c>
      <c r="CK179" s="1051">
        <f>-3-CJ179</f>
        <v>-2</v>
      </c>
      <c r="CL179" s="1051">
        <f>-6-SUM(CJ179:CK179)</f>
        <v>-3</v>
      </c>
      <c r="CM179" s="1051">
        <f>-8-SUM(CJ179:CL179)</f>
        <v>-2</v>
      </c>
      <c r="CN179" s="1052">
        <f t="shared" si="422"/>
        <v>-8</v>
      </c>
      <c r="CO179" s="1051">
        <v>-2</v>
      </c>
      <c r="CP179" s="1051">
        <f>-4-CO179</f>
        <v>-2</v>
      </c>
      <c r="CQ179" s="1051">
        <f>-8-SUM(CO179:CP179)</f>
        <v>-4</v>
      </c>
      <c r="CR179" s="1051">
        <f>-10-SUM(CO179:CQ179)</f>
        <v>-2</v>
      </c>
      <c r="CS179" s="1052">
        <f t="shared" si="423"/>
        <v>-10</v>
      </c>
      <c r="CT179" s="1051">
        <v>-3</v>
      </c>
      <c r="CU179" s="1051">
        <f>-6-CT179</f>
        <v>-3</v>
      </c>
      <c r="CV179" s="1051">
        <f>-9-CT179-CU179</f>
        <v>-3</v>
      </c>
      <c r="CW179" s="1051">
        <f>-15-SUM(CT179:CV179)</f>
        <v>-6</v>
      </c>
      <c r="CX179" s="1052">
        <f t="shared" si="424"/>
        <v>-15</v>
      </c>
      <c r="CY179" s="1051">
        <v>-6</v>
      </c>
      <c r="CZ179" s="1051">
        <f>-10+98-CY179</f>
        <v>94</v>
      </c>
      <c r="DA179" s="1051">
        <f>-18-CZ179-CY179+98</f>
        <v>-8</v>
      </c>
      <c r="DB179" s="1051">
        <f>-27-SUM(CY179:DA179)</f>
        <v>-107</v>
      </c>
      <c r="DC179" s="1052">
        <f t="shared" si="425"/>
        <v>-27</v>
      </c>
      <c r="DD179" s="1051">
        <v>2</v>
      </c>
      <c r="DE179" s="1051">
        <f>-20+13-DD179</f>
        <v>-9</v>
      </c>
      <c r="DF179" s="1051">
        <f>-15-SUM(DD179:DE179)</f>
        <v>-8</v>
      </c>
      <c r="DG179" s="1051">
        <f>17-45-SUM(DD179:DF179)</f>
        <v>-13</v>
      </c>
      <c r="DH179" s="1052">
        <f t="shared" si="426"/>
        <v>-28</v>
      </c>
      <c r="DI179" s="1051">
        <v>-9</v>
      </c>
      <c r="DJ179" s="1051">
        <f>-23-DI179</f>
        <v>-14</v>
      </c>
      <c r="DK179" s="1051">
        <f>-65-DJ179-DI179</f>
        <v>-42</v>
      </c>
      <c r="DL179" s="1051">
        <f>-110+4-DK179-DJ179-DI179</f>
        <v>-41</v>
      </c>
      <c r="DM179" s="1052">
        <f t="shared" si="427"/>
        <v>-106</v>
      </c>
      <c r="DN179" s="1051">
        <v>-44</v>
      </c>
      <c r="DO179" s="1051">
        <f>-95+15-177-DN179</f>
        <v>-213</v>
      </c>
      <c r="DP179" s="1051">
        <f>-151-DO179-DN179+19-180</f>
        <v>-55</v>
      </c>
      <c r="DQ179" s="1051">
        <f>-186+22-218-DP179-DO179-DN179</f>
        <v>-70</v>
      </c>
      <c r="DR179" s="1052">
        <f t="shared" si="428"/>
        <v>-382</v>
      </c>
      <c r="DS179" s="1051">
        <v>-63</v>
      </c>
      <c r="DT179" s="1051">
        <f>-123+14-5-DS179</f>
        <v>-51</v>
      </c>
      <c r="DU179" s="1051">
        <f>-178+29-722-DT179-DS179</f>
        <v>-757</v>
      </c>
      <c r="DV179" s="1051">
        <f>-258+31-729-DU179-DT179-DS179</f>
        <v>-85</v>
      </c>
      <c r="DW179" s="1052">
        <f t="shared" si="429"/>
        <v>-956</v>
      </c>
      <c r="DX179" s="1050">
        <v>0</v>
      </c>
      <c r="DY179" s="1050">
        <v>0</v>
      </c>
      <c r="DZ179" s="1050">
        <v>0</v>
      </c>
      <c r="EA179" s="1050">
        <v>0</v>
      </c>
      <c r="EB179" s="1052">
        <f t="shared" si="430"/>
        <v>0</v>
      </c>
      <c r="EC179" s="1050">
        <v>0</v>
      </c>
      <c r="ED179" s="1050">
        <v>0</v>
      </c>
      <c r="EE179" s="1050">
        <v>0</v>
      </c>
      <c r="EF179" s="1050">
        <v>0</v>
      </c>
      <c r="EG179" s="1052">
        <f t="shared" si="431"/>
        <v>0</v>
      </c>
      <c r="EH179" s="1050">
        <v>0</v>
      </c>
      <c r="EI179" s="1050">
        <v>0</v>
      </c>
      <c r="EJ179" s="1050">
        <v>0</v>
      </c>
      <c r="EK179" s="1050">
        <v>0</v>
      </c>
      <c r="EL179" s="1052">
        <f t="shared" si="441"/>
        <v>0</v>
      </c>
      <c r="EM179" s="901"/>
      <c r="EN179"/>
      <c r="EO179"/>
      <c r="EP179"/>
      <c r="EQ179"/>
      <c r="ER179"/>
      <c r="ES179"/>
      <c r="ET179" s="135"/>
      <c r="EU179" s="135"/>
      <c r="EV179" s="135"/>
      <c r="EW179" s="135"/>
      <c r="EX179" s="135"/>
      <c r="EY179" s="135"/>
      <c r="EZ179" s="135"/>
      <c r="FA179" s="135"/>
      <c r="FB179" s="135"/>
      <c r="FC179" s="135"/>
      <c r="FD179" s="135"/>
      <c r="FE179" s="135"/>
      <c r="FF179" s="135"/>
      <c r="FG179" s="135"/>
      <c r="FH179" s="135"/>
      <c r="FI179" s="135"/>
      <c r="FJ179" s="135"/>
      <c r="FK179" s="135"/>
      <c r="FL179" s="135"/>
      <c r="FM179" s="135"/>
      <c r="FN179" s="135"/>
      <c r="FO179" s="135"/>
      <c r="FP179" s="135"/>
      <c r="FQ179" s="135"/>
      <c r="FR179" s="135"/>
      <c r="FS179" s="135"/>
      <c r="FT179" s="135"/>
      <c r="FU179" s="135"/>
      <c r="FV179" s="135"/>
      <c r="FW179" s="135"/>
      <c r="FX179" s="135"/>
      <c r="FY179" s="135"/>
      <c r="FZ179" s="135"/>
      <c r="GA179" s="135"/>
      <c r="GB179" s="135"/>
      <c r="GC179" s="135"/>
      <c r="GD179" s="135"/>
      <c r="GE179" s="135"/>
      <c r="GF179" s="135"/>
      <c r="GG179" s="135"/>
      <c r="GH179" s="135"/>
      <c r="GI179" s="135"/>
      <c r="GJ179" s="135"/>
      <c r="GK179" s="135"/>
      <c r="GL179" s="135"/>
      <c r="GM179" s="135"/>
      <c r="GN179" s="135"/>
      <c r="GO179" s="135"/>
      <c r="GP179" s="135"/>
      <c r="GQ179" s="135"/>
      <c r="GR179" s="135"/>
      <c r="GS179" s="135"/>
      <c r="GT179" s="135"/>
      <c r="GU179" s="135"/>
      <c r="GV179" s="135"/>
      <c r="GW179" s="135"/>
      <c r="GX179" s="135"/>
      <c r="GY179" s="135"/>
      <c r="GZ179" s="135"/>
      <c r="HA179" s="135"/>
      <c r="HB179" s="135"/>
      <c r="HC179" s="135"/>
      <c r="HD179" s="135"/>
      <c r="HE179" s="135"/>
      <c r="HF179" s="135"/>
      <c r="HG179" s="135"/>
      <c r="HH179" s="135"/>
      <c r="HI179" s="135"/>
      <c r="HJ179" s="135"/>
      <c r="HK179" s="135"/>
      <c r="HL179" s="135"/>
      <c r="HM179" s="135"/>
      <c r="HN179" s="135"/>
      <c r="HO179" s="135"/>
      <c r="HP179" s="135"/>
      <c r="HQ179" s="135"/>
      <c r="HR179" s="135"/>
      <c r="HS179" s="135"/>
      <c r="HT179" s="135"/>
      <c r="HU179" s="135"/>
      <c r="HV179" s="135"/>
      <c r="HW179" s="135"/>
      <c r="HX179" s="135"/>
      <c r="HY179" s="135"/>
      <c r="HZ179" s="135"/>
      <c r="IA179" s="135"/>
      <c r="IB179" s="135"/>
      <c r="IC179" s="135"/>
      <c r="ID179" s="135"/>
      <c r="IE179" s="135"/>
      <c r="IF179" s="135"/>
      <c r="IG179" s="135"/>
      <c r="IH179" s="135"/>
      <c r="II179" s="135"/>
      <c r="IJ179" s="135"/>
      <c r="IK179" s="135"/>
      <c r="IL179" s="135"/>
      <c r="IM179" s="135"/>
      <c r="IN179" s="135"/>
      <c r="IO179" s="135"/>
      <c r="IP179" s="135"/>
      <c r="IQ179" s="135"/>
      <c r="IR179" s="135"/>
      <c r="IS179" s="135"/>
      <c r="IT179" s="135"/>
      <c r="IU179" s="135"/>
      <c r="IV179" s="135"/>
      <c r="IW179" s="135"/>
      <c r="IX179" s="135"/>
      <c r="IY179" s="135"/>
      <c r="IZ179" s="135"/>
      <c r="JA179" s="135"/>
      <c r="JB179" s="135"/>
      <c r="JC179" s="135"/>
      <c r="JD179" s="135"/>
      <c r="JE179" s="135"/>
      <c r="JF179" s="135"/>
      <c r="JG179" s="135"/>
      <c r="JH179" s="135"/>
    </row>
    <row r="180" spans="1:268" s="4" customFormat="1">
      <c r="A180" s="801"/>
      <c r="B180" s="557" t="s">
        <v>71</v>
      </c>
      <c r="C180" s="1078"/>
      <c r="D180" s="1078">
        <f>3.416</f>
        <v>3.4159999999999999</v>
      </c>
      <c r="E180" s="1078">
        <f>3.9+0.6+0.001-D180</f>
        <v>1.0850000000000004</v>
      </c>
      <c r="F180" s="1078">
        <f>5.4+0.7+0.001-SUM(D180:E180)</f>
        <v>1.6000000000000005</v>
      </c>
      <c r="G180" s="1078">
        <f>8+0.001-SUM(D180:F180)-0.2</f>
        <v>1.6999999999999986</v>
      </c>
      <c r="H180" s="1079">
        <f t="shared" si="406"/>
        <v>7.8009999999999993</v>
      </c>
      <c r="I180" s="1078">
        <v>1.2</v>
      </c>
      <c r="J180" s="1078">
        <f>44.9+9.4-I180</f>
        <v>53.099999999999994</v>
      </c>
      <c r="K180" s="1078">
        <f>25.2+179.1+4.8-SUM(I180:J180)</f>
        <v>154.80000000000001</v>
      </c>
      <c r="L180" s="1078">
        <f>203+30-SUM(I180:K180)</f>
        <v>23.899999999999977</v>
      </c>
      <c r="M180" s="1079">
        <f t="shared" si="407"/>
        <v>233</v>
      </c>
      <c r="N180" s="1078">
        <f>7.8+2.1</f>
        <v>9.9</v>
      </c>
      <c r="O180" s="1078">
        <f>14.6+4.8-N180</f>
        <v>9.4999999999999982</v>
      </c>
      <c r="P180" s="1078">
        <f>44.3+8.3-15.9-SUM(N180:O180)+13.9</f>
        <v>31.199999999999996</v>
      </c>
      <c r="Q180" s="1078">
        <f>59+12-23-SUM(N180:P180)+13.8</f>
        <v>11.200000000000006</v>
      </c>
      <c r="R180" s="1079">
        <f t="shared" si="408"/>
        <v>61.8</v>
      </c>
      <c r="S180" s="1078">
        <v>22</v>
      </c>
      <c r="T180" s="1078">
        <f>32-S180</f>
        <v>10</v>
      </c>
      <c r="U180" s="1078">
        <f>58-SUM(S180:T180)</f>
        <v>26</v>
      </c>
      <c r="V180" s="1078">
        <f>80+17-16-SUM(S180:U180)</f>
        <v>23</v>
      </c>
      <c r="W180" s="1079">
        <f t="shared" si="409"/>
        <v>81</v>
      </c>
      <c r="X180" s="1078">
        <v>2</v>
      </c>
      <c r="Y180" s="1078">
        <f>8-X180</f>
        <v>6</v>
      </c>
      <c r="Z180" s="1078">
        <f>14-SUM(X180:Y180)</f>
        <v>6</v>
      </c>
      <c r="AA180" s="1078">
        <f>13+23-14-SUM(X180:Z180)</f>
        <v>8</v>
      </c>
      <c r="AB180" s="1079">
        <f t="shared" si="410"/>
        <v>22</v>
      </c>
      <c r="AC180" s="1078">
        <v>1</v>
      </c>
      <c r="AD180" s="1078">
        <f>-2-AC180</f>
        <v>-3</v>
      </c>
      <c r="AE180" s="1078">
        <f>13-SUM(AC180:AD180)</f>
        <v>15</v>
      </c>
      <c r="AF180" s="1078">
        <f>25+20+15-SUM(AC180:AE180)</f>
        <v>47</v>
      </c>
      <c r="AG180" s="1079">
        <f t="shared" si="411"/>
        <v>60</v>
      </c>
      <c r="AH180" s="1078">
        <v>35</v>
      </c>
      <c r="AI180" s="1078">
        <f>121-AH180</f>
        <v>86</v>
      </c>
      <c r="AJ180" s="1078">
        <f>211-SUM(AH180:AI180)</f>
        <v>90</v>
      </c>
      <c r="AK180" s="1078">
        <f>254+15-28-SUM(AH180:AJ180)</f>
        <v>30</v>
      </c>
      <c r="AL180" s="1079">
        <f t="shared" si="412"/>
        <v>241</v>
      </c>
      <c r="AM180" s="1078">
        <f>70+12</f>
        <v>82</v>
      </c>
      <c r="AN180" s="1078">
        <f>73-AM180</f>
        <v>-9</v>
      </c>
      <c r="AO180" s="1078">
        <f>173-SUM(AM180:AN180)</f>
        <v>100</v>
      </c>
      <c r="AP180" s="1078">
        <f>-50+273+21-SUM(AM180:AO180)</f>
        <v>71</v>
      </c>
      <c r="AQ180" s="1079">
        <f t="shared" si="413"/>
        <v>244</v>
      </c>
      <c r="AR180" s="1078">
        <f>17+7</f>
        <v>24</v>
      </c>
      <c r="AS180" s="1078">
        <f>3+41-AR180</f>
        <v>20</v>
      </c>
      <c r="AT180" s="1078">
        <f>42+1-SUM(AR180:AS180)</f>
        <v>-1</v>
      </c>
      <c r="AU180" s="802"/>
      <c r="AV180" s="1080"/>
      <c r="AW180" s="1080"/>
      <c r="AX180" s="1080"/>
      <c r="AY180" s="1080"/>
      <c r="AZ180" s="1081">
        <f>-17+43+15</f>
        <v>41</v>
      </c>
      <c r="BA180" s="1078">
        <f>2+1</f>
        <v>3</v>
      </c>
      <c r="BB180" s="1078">
        <f>7+2-BA180</f>
        <v>6</v>
      </c>
      <c r="BC180" s="1078">
        <f>3-SUM(BA180:BB180)</f>
        <v>-6</v>
      </c>
      <c r="BD180" s="1078">
        <f>5+5-SUM(BA180:BC180)</f>
        <v>7</v>
      </c>
      <c r="BE180" s="1079">
        <f t="shared" si="414"/>
        <v>10</v>
      </c>
      <c r="BF180" s="1078">
        <v>4</v>
      </c>
      <c r="BG180" s="1078">
        <f>5-BF180</f>
        <v>1</v>
      </c>
      <c r="BH180" s="1078">
        <f>9-SUM(BF180:BG180)</f>
        <v>4</v>
      </c>
      <c r="BI180" s="1078">
        <f>8+2-263-SUM(BF180:BH180)</f>
        <v>-262</v>
      </c>
      <c r="BJ180" s="1079">
        <f t="shared" si="415"/>
        <v>-253</v>
      </c>
      <c r="BK180" s="1078">
        <f>3+8</f>
        <v>11</v>
      </c>
      <c r="BL180" s="1078">
        <f>3+9-BK180</f>
        <v>1</v>
      </c>
      <c r="BM180" s="1078">
        <f>2+11-SUM(BK180:BL180)</f>
        <v>1</v>
      </c>
      <c r="BN180" s="1078">
        <f>1+12-SUM(BK180:BM180)</f>
        <v>0</v>
      </c>
      <c r="BO180" s="1079">
        <f t="shared" si="416"/>
        <v>13</v>
      </c>
      <c r="BP180" s="1078">
        <v>1</v>
      </c>
      <c r="BQ180" s="1078">
        <f>3-BP180</f>
        <v>2</v>
      </c>
      <c r="BR180" s="1078">
        <f>2-SUM(BP180:BQ180)</f>
        <v>-1</v>
      </c>
      <c r="BS180" s="1078">
        <f>9+263-SUM(BP180:BR180)</f>
        <v>270</v>
      </c>
      <c r="BT180" s="1079">
        <f t="shared" si="417"/>
        <v>272</v>
      </c>
      <c r="BU180" s="1078">
        <v>1</v>
      </c>
      <c r="BV180" s="1078">
        <f>1-BU180</f>
        <v>0</v>
      </c>
      <c r="BW180" s="1078">
        <f>1-SUM(BU180:BV180)</f>
        <v>0</v>
      </c>
      <c r="BX180" s="1078">
        <f>4-SUM(BU180:BW180)</f>
        <v>3</v>
      </c>
      <c r="BY180" s="1079">
        <f t="shared" si="419"/>
        <v>4</v>
      </c>
      <c r="BZ180" s="1078">
        <v>1</v>
      </c>
      <c r="CA180" s="1078">
        <f>2-BZ180</f>
        <v>1</v>
      </c>
      <c r="CB180" s="1078">
        <f>3-SUM(BZ180:CA180)</f>
        <v>1</v>
      </c>
      <c r="CC180" s="1078">
        <f>2-SUM(BZ180:CB180)</f>
        <v>-1</v>
      </c>
      <c r="CD180" s="1079">
        <f t="shared" si="420"/>
        <v>2</v>
      </c>
      <c r="CE180" s="1078">
        <v>2</v>
      </c>
      <c r="CF180" s="1078">
        <f>2-CE180</f>
        <v>0</v>
      </c>
      <c r="CG180" s="1078">
        <f>3+334-SUM(CE180:CF180)</f>
        <v>335</v>
      </c>
      <c r="CH180" s="1078">
        <f>4+4+334-SUM(CE180:CG180)</f>
        <v>5</v>
      </c>
      <c r="CI180" s="1079">
        <f t="shared" si="421"/>
        <v>342</v>
      </c>
      <c r="CJ180" s="1078">
        <f>1+1</f>
        <v>2</v>
      </c>
      <c r="CK180" s="1078">
        <f>3+1-CJ180</f>
        <v>2</v>
      </c>
      <c r="CL180" s="1078">
        <f>6-SUM(CJ180:CK180)</f>
        <v>2</v>
      </c>
      <c r="CM180" s="1078">
        <f>7-SUM(CJ180:CL180)</f>
        <v>1</v>
      </c>
      <c r="CN180" s="1079">
        <f t="shared" si="422"/>
        <v>7</v>
      </c>
      <c r="CO180" s="1078">
        <v>2</v>
      </c>
      <c r="CP180" s="1078">
        <f>4-CO180</f>
        <v>2</v>
      </c>
      <c r="CQ180" s="1078">
        <f>6-SUM(CP180,CO180)</f>
        <v>2</v>
      </c>
      <c r="CR180" s="1078">
        <f>6-SUM(CO180:CQ180)</f>
        <v>0</v>
      </c>
      <c r="CS180" s="1079">
        <f t="shared" si="423"/>
        <v>6</v>
      </c>
      <c r="CT180" s="1078">
        <v>5</v>
      </c>
      <c r="CU180" s="1078">
        <f>9-CT180</f>
        <v>4</v>
      </c>
      <c r="CV180" s="1078">
        <f>11-CT180-CU180</f>
        <v>2</v>
      </c>
      <c r="CW180" s="1083">
        <f>20-SUM(CT180:CV180)</f>
        <v>9</v>
      </c>
      <c r="CX180" s="1079">
        <f t="shared" si="424"/>
        <v>20</v>
      </c>
      <c r="CY180" s="1078">
        <f>15+2</f>
        <v>17</v>
      </c>
      <c r="CZ180" s="1078">
        <f>21-2-CY180</f>
        <v>2</v>
      </c>
      <c r="DA180" s="1078">
        <f>22-8-CZ180-CY180</f>
        <v>-5</v>
      </c>
      <c r="DB180" s="1083">
        <f>99+22+5-SUM(CY180:DA180)</f>
        <v>112</v>
      </c>
      <c r="DC180" s="1079">
        <f t="shared" si="425"/>
        <v>126</v>
      </c>
      <c r="DD180" s="1078">
        <v>6</v>
      </c>
      <c r="DE180" s="1078">
        <f>11+2-DD180</f>
        <v>7</v>
      </c>
      <c r="DF180" s="1078">
        <f>3+23-SUM(DD180:DE180)</f>
        <v>13</v>
      </c>
      <c r="DG180" s="1086">
        <f>26+4-SUM(DD180:DF180)</f>
        <v>4</v>
      </c>
      <c r="DH180" s="1079">
        <f t="shared" si="426"/>
        <v>30</v>
      </c>
      <c r="DI180" s="1078">
        <f>-254+7-3</f>
        <v>-250</v>
      </c>
      <c r="DJ180" s="1078">
        <f>9-254+3-DI180</f>
        <v>8</v>
      </c>
      <c r="DK180" s="1078">
        <f>-16+15+3-254-DJ180-DI180</f>
        <v>-10</v>
      </c>
      <c r="DL180" s="1086">
        <f>15+30-254-DK180-DJ180-DI180</f>
        <v>43</v>
      </c>
      <c r="DM180" s="1079">
        <f t="shared" si="427"/>
        <v>-209</v>
      </c>
      <c r="DN180" s="1078">
        <v>-14</v>
      </c>
      <c r="DO180" s="1078">
        <f>-6+3-DN180</f>
        <v>11</v>
      </c>
      <c r="DP180" s="1078">
        <f>4+9-DO180-DN180</f>
        <v>16</v>
      </c>
      <c r="DQ180" s="1086">
        <f>4+16-DP180-DO180-DN180</f>
        <v>7</v>
      </c>
      <c r="DR180" s="1079">
        <f t="shared" si="428"/>
        <v>20</v>
      </c>
      <c r="DS180" s="1078">
        <f>10+2-5</f>
        <v>7</v>
      </c>
      <c r="DT180" s="1078">
        <f>-2+3-DS180</f>
        <v>-6</v>
      </c>
      <c r="DU180" s="1078">
        <f>5+16-DT180-DS180</f>
        <v>20</v>
      </c>
      <c r="DV180" s="1086">
        <f>7+29-DU180-DT180-DS180</f>
        <v>15</v>
      </c>
      <c r="DW180" s="1079">
        <f t="shared" si="429"/>
        <v>36</v>
      </c>
      <c r="DX180" s="1087">
        <v>0</v>
      </c>
      <c r="DY180" s="1087">
        <v>0</v>
      </c>
      <c r="DZ180" s="1087">
        <v>0</v>
      </c>
      <c r="EA180" s="1087">
        <v>0</v>
      </c>
      <c r="EB180" s="1079">
        <f t="shared" si="430"/>
        <v>0</v>
      </c>
      <c r="EC180" s="1088">
        <v>0</v>
      </c>
      <c r="ED180" s="1088">
        <v>0</v>
      </c>
      <c r="EE180" s="1088">
        <v>0</v>
      </c>
      <c r="EF180" s="1088">
        <v>0</v>
      </c>
      <c r="EG180" s="1079">
        <f t="shared" si="431"/>
        <v>0</v>
      </c>
      <c r="EH180" s="1088">
        <v>0</v>
      </c>
      <c r="EI180" s="1088">
        <v>0</v>
      </c>
      <c r="EJ180" s="1088">
        <v>0</v>
      </c>
      <c r="EK180" s="1088">
        <v>0</v>
      </c>
      <c r="EL180" s="1079">
        <f t="shared" si="441"/>
        <v>0</v>
      </c>
      <c r="EM180" s="901"/>
      <c r="EN180"/>
      <c r="EO180"/>
      <c r="EP180"/>
      <c r="EQ180"/>
      <c r="ER180"/>
      <c r="ES180"/>
      <c r="ET180" s="135"/>
      <c r="EU180" s="135"/>
      <c r="EV180" s="135"/>
      <c r="EW180" s="135"/>
      <c r="EX180" s="135"/>
      <c r="EY180" s="135"/>
      <c r="EZ180" s="135"/>
      <c r="FA180" s="135"/>
      <c r="FB180" s="135"/>
      <c r="FC180" s="135"/>
      <c r="FD180" s="135"/>
      <c r="FE180" s="135"/>
      <c r="FF180" s="135"/>
      <c r="FG180" s="135"/>
      <c r="FH180" s="135"/>
      <c r="FI180" s="135"/>
      <c r="FJ180" s="135"/>
      <c r="FK180" s="135"/>
      <c r="FL180" s="135"/>
      <c r="FM180" s="135"/>
      <c r="FN180" s="135"/>
      <c r="FO180" s="135"/>
      <c r="FP180" s="135"/>
      <c r="FQ180" s="135"/>
      <c r="FR180" s="135"/>
      <c r="FS180" s="135"/>
      <c r="FT180" s="135"/>
      <c r="FU180" s="135"/>
      <c r="FV180" s="135"/>
      <c r="FW180" s="135"/>
      <c r="FX180" s="135"/>
      <c r="FY180" s="135"/>
      <c r="FZ180" s="135"/>
      <c r="GA180" s="135"/>
      <c r="GB180" s="135"/>
      <c r="GC180" s="135"/>
      <c r="GD180" s="135"/>
      <c r="GE180" s="135"/>
      <c r="GF180" s="135"/>
      <c r="GG180" s="135"/>
      <c r="GH180" s="135"/>
      <c r="GI180" s="135"/>
      <c r="GJ180" s="135"/>
      <c r="GK180" s="135"/>
      <c r="GL180" s="135"/>
      <c r="GM180" s="135"/>
      <c r="GN180" s="135"/>
      <c r="GO180" s="135"/>
      <c r="GP180" s="135"/>
      <c r="GQ180" s="135"/>
      <c r="GR180" s="135"/>
      <c r="GS180" s="135"/>
      <c r="GT180" s="135"/>
      <c r="GU180" s="135"/>
      <c r="GV180" s="135"/>
      <c r="GW180" s="135"/>
      <c r="GX180" s="135"/>
      <c r="GY180" s="135"/>
      <c r="GZ180" s="135"/>
      <c r="HA180" s="135"/>
      <c r="HB180" s="135"/>
      <c r="HC180" s="135"/>
      <c r="HD180" s="135"/>
      <c r="HE180" s="135"/>
      <c r="HF180" s="135"/>
      <c r="HG180" s="135"/>
      <c r="HH180" s="135"/>
      <c r="HI180" s="135"/>
      <c r="HJ180" s="135"/>
      <c r="HK180" s="135"/>
      <c r="HL180" s="135"/>
      <c r="HM180" s="135"/>
      <c r="HN180" s="135"/>
      <c r="HO180" s="135"/>
      <c r="HP180" s="135"/>
      <c r="HQ180" s="135"/>
      <c r="HR180" s="135"/>
      <c r="HS180" s="135"/>
      <c r="HT180" s="135"/>
      <c r="HU180" s="135"/>
      <c r="HV180" s="135"/>
      <c r="HW180" s="135"/>
      <c r="HX180" s="135"/>
      <c r="HY180" s="135"/>
      <c r="HZ180" s="135"/>
      <c r="IA180" s="135"/>
      <c r="IB180" s="135"/>
      <c r="IC180" s="135"/>
      <c r="ID180" s="135"/>
      <c r="IE180" s="135"/>
      <c r="IF180" s="135"/>
      <c r="IG180" s="135"/>
      <c r="IH180" s="135"/>
      <c r="II180" s="135"/>
      <c r="IJ180" s="135"/>
      <c r="IK180" s="135"/>
      <c r="IL180" s="135"/>
      <c r="IM180" s="135"/>
      <c r="IN180" s="135"/>
      <c r="IO180" s="135"/>
      <c r="IP180" s="135"/>
      <c r="IQ180" s="135"/>
      <c r="IR180" s="135"/>
      <c r="IS180" s="135"/>
      <c r="IT180" s="135"/>
      <c r="IU180" s="135"/>
      <c r="IV180" s="135"/>
      <c r="IW180" s="135"/>
      <c r="IX180" s="135"/>
      <c r="IY180" s="135"/>
      <c r="IZ180" s="135"/>
      <c r="JA180" s="135"/>
      <c r="JB180" s="135"/>
      <c r="JC180" s="135"/>
      <c r="JD180" s="135"/>
      <c r="JE180" s="135"/>
      <c r="JF180" s="135"/>
      <c r="JG180" s="135"/>
      <c r="JH180" s="135"/>
    </row>
    <row r="181" spans="1:268" s="4" customFormat="1">
      <c r="A181" s="803"/>
      <c r="B181" s="804" t="s">
        <v>82</v>
      </c>
      <c r="C181" s="1042"/>
      <c r="D181" s="1042">
        <f t="shared" ref="D181:AT181" si="442">SUM(D171:D180)</f>
        <v>67.504999999999995</v>
      </c>
      <c r="E181" s="1042">
        <f t="shared" si="442"/>
        <v>-6.1040000000000063</v>
      </c>
      <c r="F181" s="1042">
        <f t="shared" si="442"/>
        <v>8.1000000000000014</v>
      </c>
      <c r="G181" s="1042">
        <f t="shared" si="442"/>
        <v>1292.3</v>
      </c>
      <c r="H181" s="1084">
        <f t="shared" si="442"/>
        <v>1361.8009999999999</v>
      </c>
      <c r="I181" s="1042">
        <f t="shared" si="442"/>
        <v>-12.900000000000002</v>
      </c>
      <c r="J181" s="1042">
        <f t="shared" si="442"/>
        <v>80.499999999999631</v>
      </c>
      <c r="K181" s="1042">
        <f t="shared" si="442"/>
        <v>-14.299999999999898</v>
      </c>
      <c r="L181" s="1042">
        <f t="shared" si="442"/>
        <v>-46.299999999999841</v>
      </c>
      <c r="M181" s="1084">
        <f t="shared" si="442"/>
        <v>7</v>
      </c>
      <c r="N181" s="1042">
        <f t="shared" si="442"/>
        <v>-8.699999999999994</v>
      </c>
      <c r="O181" s="1042">
        <f t="shared" si="442"/>
        <v>138.99999999999994</v>
      </c>
      <c r="P181" s="1042">
        <f t="shared" si="442"/>
        <v>420.00000000000045</v>
      </c>
      <c r="Q181" s="1042">
        <f t="shared" si="442"/>
        <v>116.49999999999928</v>
      </c>
      <c r="R181" s="1084">
        <f t="shared" si="442"/>
        <v>666.8</v>
      </c>
      <c r="S181" s="1042">
        <f t="shared" si="442"/>
        <v>282</v>
      </c>
      <c r="T181" s="1042">
        <f t="shared" si="442"/>
        <v>247</v>
      </c>
      <c r="U181" s="1042">
        <f t="shared" si="442"/>
        <v>256</v>
      </c>
      <c r="V181" s="1042">
        <f t="shared" si="442"/>
        <v>-117</v>
      </c>
      <c r="W181" s="1084">
        <f t="shared" si="442"/>
        <v>668</v>
      </c>
      <c r="X181" s="1042">
        <f t="shared" si="442"/>
        <v>175</v>
      </c>
      <c r="Y181" s="1042">
        <f t="shared" si="442"/>
        <v>284</v>
      </c>
      <c r="Z181" s="1042">
        <f t="shared" si="442"/>
        <v>217</v>
      </c>
      <c r="AA181" s="1042">
        <f t="shared" si="442"/>
        <v>-105</v>
      </c>
      <c r="AB181" s="1084">
        <f t="shared" si="442"/>
        <v>571</v>
      </c>
      <c r="AC181" s="1042">
        <f t="shared" si="442"/>
        <v>131</v>
      </c>
      <c r="AD181" s="1042">
        <f t="shared" si="442"/>
        <v>-761</v>
      </c>
      <c r="AE181" s="1042">
        <f t="shared" si="442"/>
        <v>189</v>
      </c>
      <c r="AF181" s="1042">
        <f t="shared" si="442"/>
        <v>-286</v>
      </c>
      <c r="AG181" s="1084">
        <f t="shared" si="442"/>
        <v>-727</v>
      </c>
      <c r="AH181" s="1042">
        <f t="shared" si="442"/>
        <v>-212</v>
      </c>
      <c r="AI181" s="1042">
        <f t="shared" si="442"/>
        <v>-296</v>
      </c>
      <c r="AJ181" s="1042">
        <f t="shared" si="442"/>
        <v>-101</v>
      </c>
      <c r="AK181" s="1042">
        <f t="shared" si="442"/>
        <v>-708</v>
      </c>
      <c r="AL181" s="1084">
        <f t="shared" si="442"/>
        <v>-1317</v>
      </c>
      <c r="AM181" s="1042">
        <f t="shared" si="442"/>
        <v>25</v>
      </c>
      <c r="AN181" s="1042">
        <f t="shared" si="442"/>
        <v>-327</v>
      </c>
      <c r="AO181" s="1042">
        <f t="shared" si="442"/>
        <v>-267</v>
      </c>
      <c r="AP181" s="1042">
        <f t="shared" si="442"/>
        <v>-543</v>
      </c>
      <c r="AQ181" s="1084">
        <f t="shared" si="442"/>
        <v>-1112</v>
      </c>
      <c r="AR181" s="1042">
        <f t="shared" si="442"/>
        <v>-523</v>
      </c>
      <c r="AS181" s="1042">
        <f t="shared" si="442"/>
        <v>-39</v>
      </c>
      <c r="AT181" s="1042">
        <f t="shared" si="442"/>
        <v>31</v>
      </c>
      <c r="AU181" s="1001"/>
      <c r="AV181" s="992"/>
      <c r="AW181" s="992"/>
      <c r="AX181" s="992"/>
      <c r="AY181" s="992"/>
      <c r="AZ181" s="980">
        <f t="shared" ref="AZ181:CE181" si="443">SUM(AZ171:AZ180)</f>
        <v>-565</v>
      </c>
      <c r="BA181" s="1042">
        <f t="shared" si="443"/>
        <v>34</v>
      </c>
      <c r="BB181" s="1042">
        <f t="shared" si="443"/>
        <v>-111</v>
      </c>
      <c r="BC181" s="1042">
        <f t="shared" si="443"/>
        <v>-2</v>
      </c>
      <c r="BD181" s="1042">
        <f t="shared" si="443"/>
        <v>-17</v>
      </c>
      <c r="BE181" s="1084">
        <f t="shared" si="443"/>
        <v>-96</v>
      </c>
      <c r="BF181" s="1042">
        <f t="shared" si="443"/>
        <v>3</v>
      </c>
      <c r="BG181" s="1042">
        <f t="shared" si="443"/>
        <v>493</v>
      </c>
      <c r="BH181" s="1042">
        <f t="shared" si="443"/>
        <v>1</v>
      </c>
      <c r="BI181" s="1042">
        <f t="shared" si="443"/>
        <v>-368</v>
      </c>
      <c r="BJ181" s="1084">
        <f t="shared" si="443"/>
        <v>129</v>
      </c>
      <c r="BK181" s="1042">
        <f t="shared" si="443"/>
        <v>349</v>
      </c>
      <c r="BL181" s="1042">
        <f t="shared" si="443"/>
        <v>1</v>
      </c>
      <c r="BM181" s="1042">
        <f t="shared" si="443"/>
        <v>-2</v>
      </c>
      <c r="BN181" s="1042">
        <f t="shared" si="443"/>
        <v>0</v>
      </c>
      <c r="BO181" s="1084">
        <f t="shared" si="443"/>
        <v>348</v>
      </c>
      <c r="BP181" s="1042">
        <f t="shared" si="443"/>
        <v>1</v>
      </c>
      <c r="BQ181" s="1042">
        <f t="shared" si="443"/>
        <v>1</v>
      </c>
      <c r="BR181" s="1042">
        <f t="shared" si="443"/>
        <v>-3</v>
      </c>
      <c r="BS181" s="1042">
        <f t="shared" si="443"/>
        <v>253</v>
      </c>
      <c r="BT181" s="1084">
        <f t="shared" si="443"/>
        <v>252</v>
      </c>
      <c r="BU181" s="1042">
        <f t="shared" si="443"/>
        <v>1</v>
      </c>
      <c r="BV181" s="1042">
        <f t="shared" si="443"/>
        <v>0</v>
      </c>
      <c r="BW181" s="1042">
        <f t="shared" si="443"/>
        <v>-21</v>
      </c>
      <c r="BX181" s="1042">
        <f t="shared" si="443"/>
        <v>2</v>
      </c>
      <c r="BY181" s="1084">
        <f t="shared" si="443"/>
        <v>-18</v>
      </c>
      <c r="BZ181" s="1042">
        <f t="shared" si="443"/>
        <v>0</v>
      </c>
      <c r="CA181" s="1042">
        <f t="shared" si="443"/>
        <v>1</v>
      </c>
      <c r="CB181" s="1042">
        <f t="shared" si="443"/>
        <v>1</v>
      </c>
      <c r="CC181" s="1042">
        <f t="shared" si="443"/>
        <v>-1</v>
      </c>
      <c r="CD181" s="1084">
        <f t="shared" si="443"/>
        <v>1</v>
      </c>
      <c r="CE181" s="1042">
        <f t="shared" si="443"/>
        <v>-23</v>
      </c>
      <c r="CF181" s="1042">
        <f t="shared" ref="CF181:DK181" si="444">SUM(CF171:CF180)</f>
        <v>-40</v>
      </c>
      <c r="CG181" s="1042">
        <f t="shared" si="444"/>
        <v>-52</v>
      </c>
      <c r="CH181" s="1042">
        <f t="shared" si="444"/>
        <v>-2</v>
      </c>
      <c r="CI181" s="1084">
        <f t="shared" si="444"/>
        <v>-117</v>
      </c>
      <c r="CJ181" s="1042">
        <f t="shared" si="444"/>
        <v>-11</v>
      </c>
      <c r="CK181" s="1042">
        <f t="shared" si="444"/>
        <v>-11</v>
      </c>
      <c r="CL181" s="1042">
        <f t="shared" si="444"/>
        <v>-296</v>
      </c>
      <c r="CM181" s="1042">
        <f t="shared" si="444"/>
        <v>-19</v>
      </c>
      <c r="CN181" s="1084">
        <f t="shared" si="444"/>
        <v>-337</v>
      </c>
      <c r="CO181" s="1042">
        <f t="shared" si="444"/>
        <v>-7</v>
      </c>
      <c r="CP181" s="1042">
        <f t="shared" si="444"/>
        <v>-79</v>
      </c>
      <c r="CQ181" s="1042">
        <f t="shared" si="444"/>
        <v>-134</v>
      </c>
      <c r="CR181" s="1042">
        <f t="shared" si="444"/>
        <v>-66</v>
      </c>
      <c r="CS181" s="1084">
        <f t="shared" si="444"/>
        <v>-286</v>
      </c>
      <c r="CT181" s="1042">
        <f t="shared" si="444"/>
        <v>169</v>
      </c>
      <c r="CU181" s="1042">
        <f t="shared" si="444"/>
        <v>-153</v>
      </c>
      <c r="CV181" s="1042">
        <f t="shared" si="444"/>
        <v>-37</v>
      </c>
      <c r="CW181" s="1042">
        <f t="shared" si="444"/>
        <v>341</v>
      </c>
      <c r="CX181" s="1084">
        <f t="shared" si="444"/>
        <v>320</v>
      </c>
      <c r="CY181" s="1042">
        <f t="shared" si="444"/>
        <v>-133</v>
      </c>
      <c r="CZ181" s="1042">
        <f t="shared" si="444"/>
        <v>-9</v>
      </c>
      <c r="DA181" s="1042">
        <f t="shared" si="444"/>
        <v>35</v>
      </c>
      <c r="DB181" s="1042">
        <f t="shared" si="444"/>
        <v>1431</v>
      </c>
      <c r="DC181" s="1084">
        <f t="shared" si="444"/>
        <v>1324</v>
      </c>
      <c r="DD181" s="1042">
        <f t="shared" si="444"/>
        <v>338</v>
      </c>
      <c r="DE181" s="1042">
        <f t="shared" si="444"/>
        <v>284</v>
      </c>
      <c r="DF181" s="1042">
        <f t="shared" si="444"/>
        <v>-89</v>
      </c>
      <c r="DG181" s="1042">
        <f t="shared" si="444"/>
        <v>182</v>
      </c>
      <c r="DH181" s="1084">
        <f t="shared" si="444"/>
        <v>715</v>
      </c>
      <c r="DI181" s="1042">
        <f t="shared" si="444"/>
        <v>236</v>
      </c>
      <c r="DJ181" s="1042">
        <f t="shared" si="444"/>
        <v>502</v>
      </c>
      <c r="DK181" s="1042">
        <f t="shared" si="444"/>
        <v>-44</v>
      </c>
      <c r="DL181" s="1042">
        <f t="shared" ref="DL181:EG181" si="445">SUM(DL171:DL180)</f>
        <v>-240</v>
      </c>
      <c r="DM181" s="1084">
        <f t="shared" si="445"/>
        <v>454</v>
      </c>
      <c r="DN181" s="1042">
        <f t="shared" si="445"/>
        <v>-95</v>
      </c>
      <c r="DO181" s="1042">
        <f t="shared" si="445"/>
        <v>-241</v>
      </c>
      <c r="DP181" s="1042">
        <f t="shared" si="445"/>
        <v>-72</v>
      </c>
      <c r="DQ181" s="1042">
        <f t="shared" si="445"/>
        <v>640</v>
      </c>
      <c r="DR181" s="1084">
        <f t="shared" si="445"/>
        <v>232</v>
      </c>
      <c r="DS181" s="1042">
        <f t="shared" si="445"/>
        <v>-141</v>
      </c>
      <c r="DT181" s="1042">
        <f>SUM(DT171:DT180)</f>
        <v>-193</v>
      </c>
      <c r="DU181" s="1042">
        <f>SUM(DU171:DU180)</f>
        <v>-889</v>
      </c>
      <c r="DV181" s="1042">
        <f t="shared" ref="DV181" si="446">SUM(DV171:DV180)</f>
        <v>-103</v>
      </c>
      <c r="DW181" s="1084">
        <f t="shared" si="445"/>
        <v>-1326</v>
      </c>
      <c r="DX181" s="1042">
        <f t="shared" si="445"/>
        <v>-500</v>
      </c>
      <c r="DY181" s="1042">
        <f t="shared" si="445"/>
        <v>-500</v>
      </c>
      <c r="DZ181" s="1042">
        <f t="shared" si="445"/>
        <v>0</v>
      </c>
      <c r="EA181" s="1042">
        <f t="shared" si="445"/>
        <v>-500</v>
      </c>
      <c r="EB181" s="1084">
        <f t="shared" si="445"/>
        <v>-1500</v>
      </c>
      <c r="EC181" s="1042">
        <f t="shared" si="445"/>
        <v>0</v>
      </c>
      <c r="ED181" s="1042">
        <f t="shared" si="445"/>
        <v>0</v>
      </c>
      <c r="EE181" s="1042">
        <f t="shared" si="445"/>
        <v>0</v>
      </c>
      <c r="EF181" s="1042">
        <f t="shared" si="445"/>
        <v>0</v>
      </c>
      <c r="EG181" s="1084">
        <f t="shared" si="445"/>
        <v>0</v>
      </c>
      <c r="EH181" s="1042">
        <f t="shared" ref="EH181:EL181" si="447">SUM(EH171:EH180)</f>
        <v>-200</v>
      </c>
      <c r="EI181" s="1042">
        <f t="shared" si="447"/>
        <v>-200</v>
      </c>
      <c r="EJ181" s="1042">
        <f t="shared" si="447"/>
        <v>-200</v>
      </c>
      <c r="EK181" s="1042">
        <f t="shared" si="447"/>
        <v>-200</v>
      </c>
      <c r="EL181" s="1084">
        <f t="shared" si="447"/>
        <v>-800</v>
      </c>
      <c r="EM181" s="917"/>
      <c r="EN181"/>
      <c r="EO181"/>
      <c r="EP181"/>
      <c r="EQ181"/>
      <c r="ER181"/>
      <c r="ES181"/>
      <c r="ET181" s="135"/>
      <c r="EU181" s="135"/>
      <c r="EV181" s="135"/>
      <c r="EW181" s="135"/>
      <c r="EX181" s="135"/>
      <c r="EY181" s="135"/>
      <c r="EZ181" s="135"/>
      <c r="FA181" s="135"/>
      <c r="FB181" s="135"/>
      <c r="FC181" s="135"/>
      <c r="FD181" s="135"/>
      <c r="FE181" s="135"/>
      <c r="FF181" s="135"/>
      <c r="FG181" s="135"/>
      <c r="FH181" s="135"/>
      <c r="FI181" s="135"/>
      <c r="FJ181" s="135"/>
      <c r="FK181" s="135"/>
      <c r="FL181" s="135"/>
      <c r="FM181" s="135"/>
      <c r="FN181" s="135"/>
      <c r="FO181" s="135"/>
      <c r="FP181" s="135"/>
      <c r="FQ181" s="135"/>
      <c r="FR181" s="135"/>
      <c r="FS181" s="135"/>
      <c r="FT181" s="135"/>
      <c r="FU181" s="135"/>
      <c r="FV181" s="135"/>
      <c r="FW181" s="135"/>
      <c r="FX181" s="135"/>
      <c r="FY181" s="135"/>
      <c r="FZ181" s="135"/>
      <c r="GA181" s="135"/>
      <c r="GB181" s="135"/>
      <c r="GC181" s="135"/>
      <c r="GD181" s="135"/>
      <c r="GE181" s="135"/>
      <c r="GF181" s="135"/>
      <c r="GG181" s="135"/>
      <c r="GH181" s="135"/>
      <c r="GI181" s="135"/>
      <c r="GJ181" s="135"/>
      <c r="GK181" s="135"/>
      <c r="GL181" s="135"/>
      <c r="GM181" s="135"/>
      <c r="GN181" s="135"/>
      <c r="GO181" s="135"/>
      <c r="GP181" s="135"/>
      <c r="GQ181" s="135"/>
      <c r="GR181" s="135"/>
      <c r="GS181" s="135"/>
      <c r="GT181" s="135"/>
      <c r="GU181" s="135"/>
      <c r="GV181" s="135"/>
      <c r="GW181" s="135"/>
      <c r="GX181" s="135"/>
      <c r="GY181" s="135"/>
      <c r="GZ181" s="135"/>
      <c r="HA181" s="135"/>
      <c r="HB181" s="135"/>
      <c r="HC181" s="135"/>
      <c r="HD181" s="135"/>
      <c r="HE181" s="135"/>
      <c r="HF181" s="135"/>
      <c r="HG181" s="135"/>
      <c r="HH181" s="135"/>
      <c r="HI181" s="135"/>
      <c r="HJ181" s="135"/>
      <c r="HK181" s="135"/>
      <c r="HL181" s="135"/>
      <c r="HM181" s="135"/>
      <c r="HN181" s="135"/>
      <c r="HO181" s="135"/>
      <c r="HP181" s="135"/>
      <c r="HQ181" s="135"/>
      <c r="HR181" s="135"/>
      <c r="HS181" s="135"/>
      <c r="HT181" s="135"/>
      <c r="HU181" s="135"/>
      <c r="HV181" s="135"/>
      <c r="HW181" s="135"/>
      <c r="HX181" s="135"/>
      <c r="HY181" s="135"/>
      <c r="HZ181" s="135"/>
      <c r="IA181" s="135"/>
      <c r="IB181" s="135"/>
      <c r="IC181" s="135"/>
      <c r="ID181" s="135"/>
      <c r="IE181" s="135"/>
      <c r="IF181" s="135"/>
      <c r="IG181" s="135"/>
      <c r="IH181" s="135"/>
      <c r="II181" s="135"/>
      <c r="IJ181" s="135"/>
      <c r="IK181" s="135"/>
      <c r="IL181" s="135"/>
      <c r="IM181" s="135"/>
      <c r="IN181" s="135"/>
      <c r="IO181" s="135"/>
      <c r="IP181" s="135"/>
      <c r="IQ181" s="135"/>
      <c r="IR181" s="135"/>
      <c r="IS181" s="135"/>
      <c r="IT181" s="135"/>
      <c r="IU181" s="135"/>
      <c r="IV181" s="135"/>
      <c r="IW181" s="135"/>
      <c r="IX181" s="135"/>
      <c r="IY181" s="135"/>
      <c r="IZ181" s="135"/>
      <c r="JA181" s="135"/>
      <c r="JB181" s="135"/>
      <c r="JC181" s="135"/>
      <c r="JD181" s="135"/>
      <c r="JE181" s="135"/>
      <c r="JF181" s="135"/>
      <c r="JG181" s="135"/>
      <c r="JH181" s="135"/>
    </row>
    <row r="182" spans="1:268" s="4" customFormat="1">
      <c r="A182" s="801"/>
      <c r="B182" s="557"/>
      <c r="C182" s="1045"/>
      <c r="D182" s="1045"/>
      <c r="E182" s="1085"/>
      <c r="F182" s="1045"/>
      <c r="G182" s="1045"/>
      <c r="H182" s="1047"/>
      <c r="I182" s="1022"/>
      <c r="J182" s="1085"/>
      <c r="K182" s="1045"/>
      <c r="L182" s="1045"/>
      <c r="M182" s="1047"/>
      <c r="N182" s="1022"/>
      <c r="O182" s="1085"/>
      <c r="P182" s="1045"/>
      <c r="Q182" s="1045"/>
      <c r="R182" s="1047"/>
      <c r="S182" s="1022"/>
      <c r="T182" s="1085"/>
      <c r="U182" s="1045"/>
      <c r="V182" s="1045"/>
      <c r="W182" s="1047"/>
      <c r="X182" s="1022"/>
      <c r="Y182" s="1085"/>
      <c r="Z182" s="1045"/>
      <c r="AA182" s="1045"/>
      <c r="AB182" s="1047"/>
      <c r="AC182" s="1022"/>
      <c r="AD182" s="1085"/>
      <c r="AE182" s="1045"/>
      <c r="AF182" s="1045"/>
      <c r="AG182" s="1047"/>
      <c r="AH182" s="1022"/>
      <c r="AI182" s="1085"/>
      <c r="AJ182" s="1045"/>
      <c r="AK182" s="1045"/>
      <c r="AL182" s="1047"/>
      <c r="AM182" s="1022"/>
      <c r="AN182" s="1085"/>
      <c r="AO182" s="1045"/>
      <c r="AP182" s="1045"/>
      <c r="AQ182" s="1047"/>
      <c r="AR182" s="1022"/>
      <c r="AS182" s="1085"/>
      <c r="AT182" s="1022"/>
      <c r="AU182" s="802"/>
      <c r="AV182" s="555"/>
      <c r="AW182" s="555"/>
      <c r="AX182" s="555"/>
      <c r="AY182" s="555"/>
      <c r="AZ182" s="802"/>
      <c r="BA182" s="1022"/>
      <c r="BB182" s="1085"/>
      <c r="BC182" s="1045"/>
      <c r="BD182" s="1045"/>
      <c r="BE182" s="1047"/>
      <c r="BF182" s="1022"/>
      <c r="BG182" s="1085"/>
      <c r="BH182" s="1045"/>
      <c r="BI182" s="1045"/>
      <c r="BJ182" s="1047"/>
      <c r="BK182" s="1022"/>
      <c r="BL182" s="1085"/>
      <c r="BM182" s="1045"/>
      <c r="BN182" s="1045"/>
      <c r="BO182" s="1047"/>
      <c r="BP182" s="1022"/>
      <c r="BQ182" s="1085"/>
      <c r="BR182" s="1045"/>
      <c r="BS182" s="1045"/>
      <c r="BT182" s="1047"/>
      <c r="BU182" s="1022"/>
      <c r="BV182" s="1085"/>
      <c r="BW182" s="1045"/>
      <c r="BX182" s="1045"/>
      <c r="BY182" s="1047"/>
      <c r="BZ182" s="1022"/>
      <c r="CA182" s="1085"/>
      <c r="CB182" s="1045"/>
      <c r="CC182" s="1045"/>
      <c r="CD182" s="1047"/>
      <c r="CE182" s="1022"/>
      <c r="CF182" s="1085"/>
      <c r="CG182" s="1045"/>
      <c r="CH182" s="1045"/>
      <c r="CI182" s="1047"/>
      <c r="CJ182" s="1022"/>
      <c r="CK182" s="1085"/>
      <c r="CL182" s="1045"/>
      <c r="CM182" s="1045"/>
      <c r="CN182" s="1047"/>
      <c r="CO182" s="1022"/>
      <c r="CP182" s="1085"/>
      <c r="CQ182" s="1045"/>
      <c r="CR182" s="1045"/>
      <c r="CS182" s="1047"/>
      <c r="CT182" s="1045"/>
      <c r="CU182" s="1045"/>
      <c r="CV182" s="1045"/>
      <c r="CW182" s="1045"/>
      <c r="CX182" s="1047"/>
      <c r="CY182" s="1045"/>
      <c r="CZ182" s="1045"/>
      <c r="DA182" s="1045"/>
      <c r="DB182" s="1045"/>
      <c r="DC182" s="1047"/>
      <c r="DD182" s="1045"/>
      <c r="DE182" s="1045"/>
      <c r="DF182" s="1045"/>
      <c r="DG182" s="1045"/>
      <c r="DH182" s="1047"/>
      <c r="DI182" s="1045"/>
      <c r="DJ182" s="1045"/>
      <c r="DK182" s="1045"/>
      <c r="DL182" s="1045"/>
      <c r="DM182" s="1047"/>
      <c r="DN182" s="1045"/>
      <c r="DO182" s="1045"/>
      <c r="DP182" s="1045"/>
      <c r="DQ182" s="1045"/>
      <c r="DR182" s="1047"/>
      <c r="DS182" s="1045"/>
      <c r="DT182" s="1045"/>
      <c r="DU182" s="1045"/>
      <c r="DV182" s="1045"/>
      <c r="DW182" s="1047"/>
      <c r="DX182" s="1045"/>
      <c r="DY182" s="1045"/>
      <c r="DZ182" s="1045"/>
      <c r="EA182" s="1045"/>
      <c r="EB182" s="1047"/>
      <c r="EC182" s="1045"/>
      <c r="ED182" s="1045"/>
      <c r="EE182" s="1045"/>
      <c r="EF182" s="1045"/>
      <c r="EG182" s="1047"/>
      <c r="EH182" s="1045"/>
      <c r="EI182" s="1045"/>
      <c r="EJ182" s="1045"/>
      <c r="EK182" s="1045"/>
      <c r="EL182" s="1047"/>
      <c r="EM182" s="555"/>
      <c r="EN182"/>
      <c r="EO182"/>
      <c r="EP182"/>
      <c r="EQ182"/>
      <c r="ER182"/>
      <c r="ES182"/>
      <c r="ET182" s="135"/>
      <c r="EU182" s="135"/>
      <c r="EV182" s="135"/>
      <c r="EW182" s="135"/>
      <c r="EX182" s="135"/>
      <c r="EY182" s="135"/>
      <c r="EZ182" s="135"/>
      <c r="FA182" s="135"/>
      <c r="FB182" s="135"/>
      <c r="FC182" s="135"/>
      <c r="FD182" s="135"/>
      <c r="FE182" s="135"/>
      <c r="FF182" s="135"/>
      <c r="FG182" s="135"/>
      <c r="FH182" s="135"/>
      <c r="FI182" s="135"/>
      <c r="FJ182" s="135"/>
      <c r="FK182" s="135"/>
      <c r="FL182" s="135"/>
      <c r="FM182" s="135"/>
      <c r="FN182" s="135"/>
      <c r="FO182" s="135"/>
      <c r="FP182" s="135"/>
      <c r="FQ182" s="135"/>
      <c r="FR182" s="135"/>
      <c r="FS182" s="135"/>
      <c r="FT182" s="135"/>
      <c r="FU182" s="135"/>
      <c r="FV182" s="135"/>
      <c r="FW182" s="135"/>
      <c r="FX182" s="135"/>
      <c r="FY182" s="135"/>
      <c r="FZ182" s="135"/>
      <c r="GA182" s="135"/>
      <c r="GB182" s="135"/>
      <c r="GC182" s="135"/>
      <c r="GD182" s="135"/>
      <c r="GE182" s="135"/>
      <c r="GF182" s="135"/>
      <c r="GG182" s="135"/>
      <c r="GH182" s="135"/>
      <c r="GI182" s="135"/>
      <c r="GJ182" s="135"/>
      <c r="GK182" s="135"/>
      <c r="GL182" s="135"/>
      <c r="GM182" s="135"/>
      <c r="GN182" s="135"/>
      <c r="GO182" s="135"/>
      <c r="GP182" s="135"/>
      <c r="GQ182" s="135"/>
      <c r="GR182" s="135"/>
      <c r="GS182" s="135"/>
      <c r="GT182" s="135"/>
      <c r="GU182" s="135"/>
      <c r="GV182" s="135"/>
      <c r="GW182" s="135"/>
      <c r="GX182" s="135"/>
      <c r="GY182" s="135"/>
      <c r="GZ182" s="135"/>
      <c r="HA182" s="135"/>
      <c r="HB182" s="135"/>
      <c r="HC182" s="135"/>
      <c r="HD182" s="135"/>
      <c r="HE182" s="135"/>
      <c r="HF182" s="135"/>
      <c r="HG182" s="135"/>
      <c r="HH182" s="135"/>
      <c r="HI182" s="135"/>
      <c r="HJ182" s="135"/>
      <c r="HK182" s="135"/>
      <c r="HL182" s="135"/>
      <c r="HM182" s="135"/>
      <c r="HN182" s="135"/>
      <c r="HO182" s="135"/>
      <c r="HP182" s="135"/>
      <c r="HQ182" s="135"/>
      <c r="HR182" s="135"/>
      <c r="HS182" s="135"/>
      <c r="HT182" s="135"/>
      <c r="HU182" s="135"/>
      <c r="HV182" s="135"/>
      <c r="HW182" s="135"/>
      <c r="HX182" s="135"/>
      <c r="HY182" s="135"/>
      <c r="HZ182" s="135"/>
      <c r="IA182" s="135"/>
      <c r="IB182" s="135"/>
      <c r="IC182" s="135"/>
      <c r="ID182" s="135"/>
      <c r="IE182" s="135"/>
      <c r="IF182" s="135"/>
      <c r="IG182" s="135"/>
      <c r="IH182" s="135"/>
      <c r="II182" s="135"/>
      <c r="IJ182" s="135"/>
      <c r="IK182" s="135"/>
      <c r="IL182" s="135"/>
      <c r="IM182" s="135"/>
      <c r="IN182" s="135"/>
      <c r="IO182" s="135"/>
      <c r="IP182" s="135"/>
      <c r="IQ182" s="135"/>
      <c r="IR182" s="135"/>
      <c r="IS182" s="135"/>
      <c r="IT182" s="135"/>
      <c r="IU182" s="135"/>
      <c r="IV182" s="135"/>
      <c r="IW182" s="135"/>
      <c r="IX182" s="135"/>
      <c r="IY182" s="135"/>
      <c r="IZ182" s="135"/>
      <c r="JA182" s="135"/>
      <c r="JB182" s="135"/>
      <c r="JC182" s="135"/>
      <c r="JD182" s="135"/>
      <c r="JE182" s="135"/>
      <c r="JF182" s="135"/>
      <c r="JG182" s="135"/>
      <c r="JH182" s="135"/>
    </row>
    <row r="183" spans="1:268" s="4" customFormat="1">
      <c r="A183" s="803"/>
      <c r="B183" s="804" t="s">
        <v>83</v>
      </c>
      <c r="C183" s="1040"/>
      <c r="D183" s="1040">
        <v>313.19900000000001</v>
      </c>
      <c r="E183" s="1042">
        <f>D185</f>
        <v>112.30400000000003</v>
      </c>
      <c r="F183" s="1042">
        <f>E185</f>
        <v>131.80000000000004</v>
      </c>
      <c r="G183" s="1042">
        <f>F185</f>
        <v>144.50000000000003</v>
      </c>
      <c r="H183" s="1084">
        <f>D183</f>
        <v>313.19900000000001</v>
      </c>
      <c r="I183" s="1042">
        <f>H185</f>
        <v>154.99999999999994</v>
      </c>
      <c r="J183" s="1042">
        <f>I185</f>
        <v>106.39999999999996</v>
      </c>
      <c r="K183" s="1042">
        <f>J185</f>
        <v>98.799999999999599</v>
      </c>
      <c r="L183" s="1042">
        <f>K185</f>
        <v>114.19999999999972</v>
      </c>
      <c r="M183" s="1084">
        <f>H185</f>
        <v>154.99999999999994</v>
      </c>
      <c r="N183" s="1042">
        <f>M185+0.2</f>
        <v>89.199999999999946</v>
      </c>
      <c r="O183" s="1042">
        <f>N185</f>
        <v>104.09999999999995</v>
      </c>
      <c r="P183" s="1042">
        <f>O185</f>
        <v>56.799999999999883</v>
      </c>
      <c r="Q183" s="1042">
        <f>P185</f>
        <v>61.300000000000395</v>
      </c>
      <c r="R183" s="1084">
        <f>N183</f>
        <v>89.199999999999946</v>
      </c>
      <c r="S183" s="1042">
        <f>R185</f>
        <v>34.999999999999901</v>
      </c>
      <c r="T183" s="1042">
        <f>S185</f>
        <v>102.9999999999999</v>
      </c>
      <c r="U183" s="1042">
        <f>T185</f>
        <v>13.999999999999901</v>
      </c>
      <c r="V183" s="1042">
        <f>U185</f>
        <v>16.999999999999901</v>
      </c>
      <c r="W183" s="1084">
        <f>S183</f>
        <v>34.999999999999901</v>
      </c>
      <c r="X183" s="1042">
        <f>W185</f>
        <v>22.999999999999901</v>
      </c>
      <c r="Y183" s="1042">
        <f>X185</f>
        <v>20.999999999999901</v>
      </c>
      <c r="Z183" s="1042">
        <f>Y185</f>
        <v>31.999999999999901</v>
      </c>
      <c r="AA183" s="1042">
        <f>Z185</f>
        <v>60.999999999999901</v>
      </c>
      <c r="AB183" s="1084">
        <f>X183</f>
        <v>22.999999999999901</v>
      </c>
      <c r="AC183" s="1042">
        <f>AB185</f>
        <v>28.999999999999901</v>
      </c>
      <c r="AD183" s="1042">
        <f>AC185</f>
        <v>23.999999999999901</v>
      </c>
      <c r="AE183" s="1042">
        <f>AD185</f>
        <v>30.999999999999901</v>
      </c>
      <c r="AF183" s="1042">
        <f>AE185</f>
        <v>37.999999999999901</v>
      </c>
      <c r="AG183" s="1084">
        <f>AC183</f>
        <v>28.999999999999901</v>
      </c>
      <c r="AH183" s="1042">
        <f>AG185</f>
        <v>134.99999999999989</v>
      </c>
      <c r="AI183" s="1042">
        <f>AH185</f>
        <v>82.999999999999886</v>
      </c>
      <c r="AJ183" s="1042">
        <f>AI185</f>
        <v>81.999999999999886</v>
      </c>
      <c r="AK183" s="1042">
        <f>AJ185</f>
        <v>56.999999999999886</v>
      </c>
      <c r="AL183" s="1084">
        <f>AH183</f>
        <v>134.99999999999989</v>
      </c>
      <c r="AM183" s="1042">
        <f>AL185</f>
        <v>61.999999999999886</v>
      </c>
      <c r="AN183" s="1042">
        <f>AM185</f>
        <v>65.999999999999886</v>
      </c>
      <c r="AO183" s="1042">
        <f>AN185</f>
        <v>62.999999999999886</v>
      </c>
      <c r="AP183" s="1042">
        <f>AO185</f>
        <v>51.999999999999886</v>
      </c>
      <c r="AQ183" s="1084">
        <f>AM183</f>
        <v>61.999999999999886</v>
      </c>
      <c r="AR183" s="1042">
        <f>AQ185</f>
        <v>37.999999999999886</v>
      </c>
      <c r="AS183" s="1042">
        <f>AR185</f>
        <v>41.999999999999886</v>
      </c>
      <c r="AT183" s="1042">
        <f>AS185</f>
        <v>39.999999999999886</v>
      </c>
      <c r="AU183" s="1001"/>
      <c r="AV183" s="917"/>
      <c r="AW183" s="917"/>
      <c r="AX183" s="917"/>
      <c r="AY183" s="917"/>
      <c r="AZ183" s="1089">
        <v>38</v>
      </c>
      <c r="BA183" s="1042">
        <f>AZ185</f>
        <v>210</v>
      </c>
      <c r="BB183" s="1042">
        <f>BA185</f>
        <v>135</v>
      </c>
      <c r="BC183" s="1042">
        <f>BB185</f>
        <v>221</v>
      </c>
      <c r="BD183" s="1042">
        <f>BC185</f>
        <v>219</v>
      </c>
      <c r="BE183" s="1084">
        <f>BA183</f>
        <v>210</v>
      </c>
      <c r="BF183" s="1042">
        <f>BE185</f>
        <v>619</v>
      </c>
      <c r="BG183" s="1042">
        <f>BF185</f>
        <v>507</v>
      </c>
      <c r="BH183" s="1042">
        <f>BG185</f>
        <v>1193</v>
      </c>
      <c r="BI183" s="1042">
        <f>BH185</f>
        <v>1323</v>
      </c>
      <c r="BJ183" s="1084">
        <f>BF183</f>
        <v>619</v>
      </c>
      <c r="BK183" s="1040">
        <v>654</v>
      </c>
      <c r="BL183" s="1042">
        <f>BK185</f>
        <v>1497</v>
      </c>
      <c r="BM183" s="1042">
        <f>BL185</f>
        <v>1594</v>
      </c>
      <c r="BN183" s="1042">
        <f>BM185</f>
        <v>1480</v>
      </c>
      <c r="BO183" s="1084">
        <f>BK183</f>
        <v>654</v>
      </c>
      <c r="BP183" s="1042">
        <f>BO185</f>
        <v>1373</v>
      </c>
      <c r="BQ183" s="1042">
        <f>BP185</f>
        <v>975</v>
      </c>
      <c r="BR183" s="1042">
        <f>BQ185</f>
        <v>568</v>
      </c>
      <c r="BS183" s="1042">
        <f>BR185</f>
        <v>809</v>
      </c>
      <c r="BT183" s="1084">
        <f>BO185</f>
        <v>1373</v>
      </c>
      <c r="BU183" s="1042">
        <f>BT185</f>
        <v>784</v>
      </c>
      <c r="BV183" s="1042">
        <f>BU185</f>
        <v>584</v>
      </c>
      <c r="BW183" s="1042">
        <f>BV185</f>
        <v>675</v>
      </c>
      <c r="BX183" s="1042">
        <f>BW185</f>
        <v>655</v>
      </c>
      <c r="BY183" s="1084">
        <f>BT185</f>
        <v>784</v>
      </c>
      <c r="BZ183" s="1042">
        <f>BY185</f>
        <v>572</v>
      </c>
      <c r="CA183" s="1042">
        <f>BZ185</f>
        <v>278</v>
      </c>
      <c r="CB183" s="1042">
        <f>CA185</f>
        <v>352</v>
      </c>
      <c r="CC183" s="1042">
        <f>CB185</f>
        <v>512</v>
      </c>
      <c r="CD183" s="1084">
        <f>BY185</f>
        <v>572</v>
      </c>
      <c r="CE183" s="1042">
        <f>CD185</f>
        <v>507</v>
      </c>
      <c r="CF183" s="1042">
        <f>CE185</f>
        <v>652</v>
      </c>
      <c r="CG183" s="1042">
        <f>CF185</f>
        <v>758</v>
      </c>
      <c r="CH183" s="1042">
        <f>CG185</f>
        <v>731</v>
      </c>
      <c r="CI183" s="1084">
        <f>CD185</f>
        <v>507</v>
      </c>
      <c r="CJ183" s="1042">
        <f>CI185</f>
        <v>690</v>
      </c>
      <c r="CK183" s="1042">
        <f>CJ185</f>
        <v>589</v>
      </c>
      <c r="CL183" s="1042">
        <f>CK185</f>
        <v>711</v>
      </c>
      <c r="CM183" s="1042">
        <f>CL185</f>
        <v>398</v>
      </c>
      <c r="CN183" s="1084">
        <f>CI185</f>
        <v>690</v>
      </c>
      <c r="CO183" s="1042">
        <f>CN185</f>
        <v>405</v>
      </c>
      <c r="CP183" s="1042">
        <f>CO185</f>
        <v>267</v>
      </c>
      <c r="CQ183" s="1042">
        <f>CP185</f>
        <v>264</v>
      </c>
      <c r="CR183" s="1042">
        <f>CQ185</f>
        <v>185</v>
      </c>
      <c r="CS183" s="1084">
        <f>CN185</f>
        <v>405</v>
      </c>
      <c r="CT183" s="1042">
        <f>CS185</f>
        <v>113</v>
      </c>
      <c r="CU183" s="1042">
        <f>CT185</f>
        <v>104</v>
      </c>
      <c r="CV183" s="1042">
        <f>CU185</f>
        <v>82</v>
      </c>
      <c r="CW183" s="1042">
        <f>CV6</f>
        <v>83</v>
      </c>
      <c r="CX183" s="1084">
        <f>CS6</f>
        <v>113</v>
      </c>
      <c r="CY183" s="1042">
        <f>CX6</f>
        <v>364</v>
      </c>
      <c r="CZ183" s="1042">
        <f>CY6</f>
        <v>95</v>
      </c>
      <c r="DA183" s="1042">
        <f>CZ6</f>
        <v>90</v>
      </c>
      <c r="DB183" s="1042">
        <f>DA6</f>
        <v>82</v>
      </c>
      <c r="DC183" s="1084">
        <f>CX6</f>
        <v>364</v>
      </c>
      <c r="DD183" s="1042">
        <f>DC6</f>
        <v>113</v>
      </c>
      <c r="DE183" s="1042">
        <f>DD6</f>
        <v>141</v>
      </c>
      <c r="DF183" s="1042">
        <f>DE6</f>
        <v>406</v>
      </c>
      <c r="DG183" s="1042">
        <f>DF6</f>
        <v>200</v>
      </c>
      <c r="DH183" s="1084">
        <f>DC6</f>
        <v>113</v>
      </c>
      <c r="DI183" s="1042">
        <f>DH6</f>
        <v>193</v>
      </c>
      <c r="DJ183" s="1042">
        <f>DI6</f>
        <v>185</v>
      </c>
      <c r="DK183" s="1042">
        <f>DJ6</f>
        <v>299</v>
      </c>
      <c r="DL183" s="1042">
        <f>DK6</f>
        <v>450</v>
      </c>
      <c r="DM183" s="1084">
        <f>DH6</f>
        <v>193</v>
      </c>
      <c r="DN183" s="1042">
        <f>DM6</f>
        <v>356</v>
      </c>
      <c r="DO183" s="1042">
        <f>DN6</f>
        <v>728</v>
      </c>
      <c r="DP183" s="1042">
        <f>DO6</f>
        <v>656</v>
      </c>
      <c r="DQ183" s="1042">
        <f>DP6</f>
        <v>649</v>
      </c>
      <c r="DR183" s="1084">
        <f>DM6</f>
        <v>356</v>
      </c>
      <c r="DS183" s="1042">
        <f>DR6</f>
        <v>0</v>
      </c>
      <c r="DT183" s="1042">
        <f>DS6</f>
        <v>572</v>
      </c>
      <c r="DU183" s="1042">
        <f>DT6</f>
        <v>475</v>
      </c>
      <c r="DV183" s="1042">
        <f>DU6</f>
        <v>429</v>
      </c>
      <c r="DW183" s="1084">
        <f>DR6</f>
        <v>0</v>
      </c>
      <c r="DX183" s="1042">
        <f>DW6</f>
        <v>611</v>
      </c>
      <c r="DY183" s="1042">
        <f>DX6</f>
        <v>829.37035815589047</v>
      </c>
      <c r="DZ183" s="1042">
        <f>DY6</f>
        <v>605.37663535468903</v>
      </c>
      <c r="EA183" s="1042">
        <f>DZ6</f>
        <v>853.21887238129329</v>
      </c>
      <c r="EB183" s="1084">
        <f>DW6</f>
        <v>611</v>
      </c>
      <c r="EC183" s="1042">
        <f>EB6</f>
        <v>567.71087398451732</v>
      </c>
      <c r="ED183" s="1042">
        <f>EC6</f>
        <v>376.97417916896063</v>
      </c>
      <c r="EE183" s="1042">
        <f>ED6</f>
        <v>520.54772891988341</v>
      </c>
      <c r="EF183" s="1042">
        <f>EE6</f>
        <v>689.98221824519351</v>
      </c>
      <c r="EG183" s="1084">
        <f>EB6</f>
        <v>567.71087398451732</v>
      </c>
      <c r="EH183" s="1042">
        <f>EG6</f>
        <v>714.63062624325505</v>
      </c>
      <c r="EI183" s="1042">
        <f>EH6</f>
        <v>657.96794350851678</v>
      </c>
      <c r="EJ183" s="1042">
        <f>EI6</f>
        <v>602.90493870577018</v>
      </c>
      <c r="EK183" s="1042">
        <f>EJ6</f>
        <v>652.42194509847184</v>
      </c>
      <c r="EL183" s="1084">
        <f>EG6</f>
        <v>714.63062624325505</v>
      </c>
      <c r="EM183" s="917"/>
      <c r="EN183"/>
      <c r="EO183"/>
      <c r="EP183"/>
      <c r="EQ183"/>
      <c r="ER183"/>
      <c r="ES183"/>
      <c r="ET183" s="135"/>
      <c r="EU183" s="135"/>
      <c r="EV183" s="135"/>
      <c r="EW183" s="135"/>
      <c r="EX183" s="135"/>
      <c r="EY183" s="135"/>
      <c r="EZ183" s="135"/>
      <c r="FA183" s="135"/>
      <c r="FB183" s="135"/>
      <c r="FC183" s="135"/>
      <c r="FD183" s="135"/>
      <c r="FE183" s="135"/>
      <c r="FF183" s="135"/>
      <c r="FG183" s="135"/>
      <c r="FH183" s="135"/>
      <c r="FI183" s="135"/>
      <c r="FJ183" s="135"/>
      <c r="FK183" s="135"/>
      <c r="FL183" s="135"/>
      <c r="FM183" s="135"/>
      <c r="FN183" s="135"/>
      <c r="FO183" s="135"/>
      <c r="FP183" s="135"/>
      <c r="FQ183" s="135"/>
      <c r="FR183" s="135"/>
      <c r="FS183" s="135"/>
      <c r="FT183" s="135"/>
      <c r="FU183" s="135"/>
      <c r="FV183" s="135"/>
      <c r="FW183" s="135"/>
      <c r="FX183" s="135"/>
      <c r="FY183" s="135"/>
      <c r="FZ183" s="135"/>
      <c r="GA183" s="135"/>
      <c r="GB183" s="135"/>
      <c r="GC183" s="135"/>
      <c r="GD183" s="135"/>
      <c r="GE183" s="135"/>
      <c r="GF183" s="135"/>
      <c r="GG183" s="135"/>
      <c r="GH183" s="135"/>
      <c r="GI183" s="135"/>
      <c r="GJ183" s="135"/>
      <c r="GK183" s="135"/>
      <c r="GL183" s="135"/>
      <c r="GM183" s="135"/>
      <c r="GN183" s="135"/>
      <c r="GO183" s="135"/>
      <c r="GP183" s="135"/>
      <c r="GQ183" s="135"/>
      <c r="GR183" s="135"/>
      <c r="GS183" s="135"/>
      <c r="GT183" s="135"/>
      <c r="GU183" s="135"/>
      <c r="GV183" s="135"/>
      <c r="GW183" s="135"/>
      <c r="GX183" s="135"/>
      <c r="GY183" s="135"/>
      <c r="GZ183" s="135"/>
      <c r="HA183" s="135"/>
      <c r="HB183" s="135"/>
      <c r="HC183" s="135"/>
      <c r="HD183" s="135"/>
      <c r="HE183" s="135"/>
      <c r="HF183" s="135"/>
      <c r="HG183" s="135"/>
      <c r="HH183" s="135"/>
      <c r="HI183" s="135"/>
      <c r="HJ183" s="135"/>
      <c r="HK183" s="135"/>
      <c r="HL183" s="135"/>
      <c r="HM183" s="135"/>
      <c r="HN183" s="135"/>
      <c r="HO183" s="135"/>
      <c r="HP183" s="135"/>
      <c r="HQ183" s="135"/>
      <c r="HR183" s="135"/>
      <c r="HS183" s="135"/>
      <c r="HT183" s="135"/>
      <c r="HU183" s="135"/>
      <c r="HV183" s="135"/>
      <c r="HW183" s="135"/>
      <c r="HX183" s="135"/>
      <c r="HY183" s="135"/>
      <c r="HZ183" s="135"/>
      <c r="IA183" s="135"/>
      <c r="IB183" s="135"/>
      <c r="IC183" s="135"/>
      <c r="ID183" s="135"/>
      <c r="IE183" s="135"/>
      <c r="IF183" s="135"/>
      <c r="IG183" s="135"/>
      <c r="IH183" s="135"/>
      <c r="II183" s="135"/>
      <c r="IJ183" s="135"/>
      <c r="IK183" s="135"/>
      <c r="IL183" s="135"/>
      <c r="IM183" s="135"/>
      <c r="IN183" s="135"/>
      <c r="IO183" s="135"/>
      <c r="IP183" s="135"/>
      <c r="IQ183" s="135"/>
      <c r="IR183" s="135"/>
      <c r="IS183" s="135"/>
      <c r="IT183" s="135"/>
      <c r="IU183" s="135"/>
      <c r="IV183" s="135"/>
      <c r="IW183" s="135"/>
      <c r="IX183" s="135"/>
      <c r="IY183" s="135"/>
      <c r="IZ183" s="135"/>
      <c r="JA183" s="135"/>
      <c r="JB183" s="135"/>
      <c r="JC183" s="135"/>
      <c r="JD183" s="135"/>
      <c r="JE183" s="135"/>
      <c r="JF183" s="135"/>
      <c r="JG183" s="135"/>
      <c r="JH183" s="135"/>
    </row>
    <row r="184" spans="1:268" s="4" customFormat="1">
      <c r="A184" s="845"/>
      <c r="B184" s="846" t="s">
        <v>84</v>
      </c>
      <c r="C184" s="1090"/>
      <c r="D184" s="1090">
        <f t="shared" ref="D184:AT184" si="448">SUM(D158,D169,D181)</f>
        <v>-200.89499999999998</v>
      </c>
      <c r="E184" s="1090">
        <f t="shared" si="448"/>
        <v>19.496000000000009</v>
      </c>
      <c r="F184" s="1090">
        <f t="shared" si="448"/>
        <v>12.699999999999996</v>
      </c>
      <c r="G184" s="1090">
        <f t="shared" si="448"/>
        <v>10.5</v>
      </c>
      <c r="H184" s="1091">
        <f t="shared" si="448"/>
        <v>-158.19900000000007</v>
      </c>
      <c r="I184" s="1090">
        <f t="shared" si="448"/>
        <v>-48.59999999999998</v>
      </c>
      <c r="J184" s="1090">
        <f t="shared" si="448"/>
        <v>-7.6000000000003638</v>
      </c>
      <c r="K184" s="1090">
        <f t="shared" si="448"/>
        <v>15.400000000000119</v>
      </c>
      <c r="L184" s="1090">
        <f t="shared" si="448"/>
        <v>-25.199999999999875</v>
      </c>
      <c r="M184" s="1091">
        <f t="shared" si="448"/>
        <v>-66</v>
      </c>
      <c r="N184" s="1090">
        <f t="shared" si="448"/>
        <v>14.9</v>
      </c>
      <c r="O184" s="1090">
        <f t="shared" si="448"/>
        <v>-47.300000000000068</v>
      </c>
      <c r="P184" s="1090">
        <f t="shared" si="448"/>
        <v>4.5000000000005116</v>
      </c>
      <c r="Q184" s="1090">
        <f t="shared" si="448"/>
        <v>-26.300000000000679</v>
      </c>
      <c r="R184" s="1091">
        <f t="shared" si="448"/>
        <v>-54.200000000000045</v>
      </c>
      <c r="S184" s="1090">
        <f t="shared" si="448"/>
        <v>68</v>
      </c>
      <c r="T184" s="1090">
        <f t="shared" si="448"/>
        <v>-89</v>
      </c>
      <c r="U184" s="1090">
        <f t="shared" si="448"/>
        <v>3</v>
      </c>
      <c r="V184" s="1090">
        <f t="shared" si="448"/>
        <v>6</v>
      </c>
      <c r="W184" s="1091">
        <f t="shared" si="448"/>
        <v>-12</v>
      </c>
      <c r="X184" s="1090">
        <f t="shared" si="448"/>
        <v>-2</v>
      </c>
      <c r="Y184" s="1090">
        <f t="shared" si="448"/>
        <v>11</v>
      </c>
      <c r="Z184" s="1090">
        <f t="shared" si="448"/>
        <v>29</v>
      </c>
      <c r="AA184" s="1090">
        <f t="shared" si="448"/>
        <v>-32</v>
      </c>
      <c r="AB184" s="1091">
        <f t="shared" si="448"/>
        <v>6</v>
      </c>
      <c r="AC184" s="1090">
        <f t="shared" si="448"/>
        <v>-5</v>
      </c>
      <c r="AD184" s="1090">
        <f t="shared" si="448"/>
        <v>7</v>
      </c>
      <c r="AE184" s="1090">
        <f t="shared" si="448"/>
        <v>7</v>
      </c>
      <c r="AF184" s="1090">
        <f t="shared" si="448"/>
        <v>97</v>
      </c>
      <c r="AG184" s="1091">
        <f t="shared" si="448"/>
        <v>106</v>
      </c>
      <c r="AH184" s="1090">
        <f t="shared" si="448"/>
        <v>-52</v>
      </c>
      <c r="AI184" s="1090">
        <f t="shared" si="448"/>
        <v>-1</v>
      </c>
      <c r="AJ184" s="1090">
        <f t="shared" si="448"/>
        <v>-25</v>
      </c>
      <c r="AK184" s="1090">
        <f t="shared" si="448"/>
        <v>5</v>
      </c>
      <c r="AL184" s="1091">
        <f t="shared" si="448"/>
        <v>-73</v>
      </c>
      <c r="AM184" s="1090">
        <f t="shared" si="448"/>
        <v>4</v>
      </c>
      <c r="AN184" s="1090">
        <f t="shared" si="448"/>
        <v>-3</v>
      </c>
      <c r="AO184" s="1090">
        <f t="shared" si="448"/>
        <v>-11</v>
      </c>
      <c r="AP184" s="1090">
        <f t="shared" si="448"/>
        <v>-14</v>
      </c>
      <c r="AQ184" s="1091">
        <f t="shared" si="448"/>
        <v>-24</v>
      </c>
      <c r="AR184" s="1090">
        <f t="shared" si="448"/>
        <v>4</v>
      </c>
      <c r="AS184" s="1090">
        <f t="shared" si="448"/>
        <v>-2</v>
      </c>
      <c r="AT184" s="1090">
        <f t="shared" si="448"/>
        <v>78</v>
      </c>
      <c r="AU184" s="802"/>
      <c r="AV184" s="1092"/>
      <c r="AW184" s="1092"/>
      <c r="AX184" s="1092"/>
      <c r="AY184" s="1092"/>
      <c r="AZ184" s="1093">
        <f t="shared" ref="AZ184:CE184" si="449">SUM(AZ158,AZ169,AZ181)</f>
        <v>172</v>
      </c>
      <c r="BA184" s="1090">
        <f t="shared" si="449"/>
        <v>-75</v>
      </c>
      <c r="BB184" s="1090">
        <f t="shared" si="449"/>
        <v>86</v>
      </c>
      <c r="BC184" s="1090">
        <f t="shared" si="449"/>
        <v>-2</v>
      </c>
      <c r="BD184" s="1090">
        <f t="shared" si="449"/>
        <v>400</v>
      </c>
      <c r="BE184" s="1091">
        <f t="shared" si="449"/>
        <v>409</v>
      </c>
      <c r="BF184" s="1090">
        <f t="shared" si="449"/>
        <v>-112</v>
      </c>
      <c r="BG184" s="1090">
        <f t="shared" si="449"/>
        <v>686</v>
      </c>
      <c r="BH184" s="1090">
        <f t="shared" si="449"/>
        <v>130</v>
      </c>
      <c r="BI184" s="1090">
        <f t="shared" si="449"/>
        <v>-669</v>
      </c>
      <c r="BJ184" s="1091">
        <f t="shared" si="449"/>
        <v>35</v>
      </c>
      <c r="BK184" s="1090">
        <f t="shared" si="449"/>
        <v>843</v>
      </c>
      <c r="BL184" s="1090">
        <f t="shared" si="449"/>
        <v>97</v>
      </c>
      <c r="BM184" s="1090">
        <f t="shared" si="449"/>
        <v>-114</v>
      </c>
      <c r="BN184" s="1090">
        <f t="shared" si="449"/>
        <v>-107</v>
      </c>
      <c r="BO184" s="1091">
        <f t="shared" si="449"/>
        <v>719</v>
      </c>
      <c r="BP184" s="1090">
        <f t="shared" si="449"/>
        <v>-398</v>
      </c>
      <c r="BQ184" s="1090">
        <f t="shared" si="449"/>
        <v>-407</v>
      </c>
      <c r="BR184" s="1090">
        <f t="shared" si="449"/>
        <v>241</v>
      </c>
      <c r="BS184" s="1090">
        <f t="shared" si="449"/>
        <v>-25</v>
      </c>
      <c r="BT184" s="1091">
        <f t="shared" si="449"/>
        <v>-589</v>
      </c>
      <c r="BU184" s="1090">
        <f t="shared" si="449"/>
        <v>-200</v>
      </c>
      <c r="BV184" s="1090">
        <f t="shared" si="449"/>
        <v>91</v>
      </c>
      <c r="BW184" s="1090">
        <f t="shared" si="449"/>
        <v>-20</v>
      </c>
      <c r="BX184" s="1090">
        <f t="shared" si="449"/>
        <v>-83</v>
      </c>
      <c r="BY184" s="1091">
        <f t="shared" si="449"/>
        <v>-212</v>
      </c>
      <c r="BZ184" s="1090">
        <f t="shared" si="449"/>
        <v>-294</v>
      </c>
      <c r="CA184" s="1090">
        <f t="shared" si="449"/>
        <v>74</v>
      </c>
      <c r="CB184" s="1090">
        <f t="shared" si="449"/>
        <v>160</v>
      </c>
      <c r="CC184" s="1090">
        <f t="shared" si="449"/>
        <v>-5</v>
      </c>
      <c r="CD184" s="1091">
        <f t="shared" si="449"/>
        <v>-65</v>
      </c>
      <c r="CE184" s="1090">
        <f t="shared" si="449"/>
        <v>145</v>
      </c>
      <c r="CF184" s="1090">
        <f t="shared" ref="CF184:DB184" si="450">SUM(CF158,CF169,CF181)</f>
        <v>106</v>
      </c>
      <c r="CG184" s="1090">
        <f t="shared" si="450"/>
        <v>-27</v>
      </c>
      <c r="CH184" s="1090">
        <f t="shared" si="450"/>
        <v>-41</v>
      </c>
      <c r="CI184" s="1091">
        <f t="shared" si="450"/>
        <v>183</v>
      </c>
      <c r="CJ184" s="1090">
        <f t="shared" si="450"/>
        <v>-101</v>
      </c>
      <c r="CK184" s="1090">
        <f t="shared" si="450"/>
        <v>122</v>
      </c>
      <c r="CL184" s="1090">
        <f t="shared" si="450"/>
        <v>-313</v>
      </c>
      <c r="CM184" s="1090">
        <f t="shared" si="450"/>
        <v>7</v>
      </c>
      <c r="CN184" s="1091">
        <f t="shared" si="450"/>
        <v>-285</v>
      </c>
      <c r="CO184" s="1090">
        <f t="shared" si="450"/>
        <v>-138</v>
      </c>
      <c r="CP184" s="1090">
        <f t="shared" si="450"/>
        <v>-3</v>
      </c>
      <c r="CQ184" s="1090">
        <f t="shared" si="450"/>
        <v>-79</v>
      </c>
      <c r="CR184" s="1090">
        <f t="shared" si="450"/>
        <v>-72</v>
      </c>
      <c r="CS184" s="1091">
        <f t="shared" si="450"/>
        <v>-292</v>
      </c>
      <c r="CT184" s="1090">
        <f t="shared" si="450"/>
        <v>-9</v>
      </c>
      <c r="CU184" s="1090">
        <f t="shared" si="450"/>
        <v>-22</v>
      </c>
      <c r="CV184" s="1090">
        <f t="shared" si="450"/>
        <v>1</v>
      </c>
      <c r="CW184" s="1090">
        <f t="shared" si="450"/>
        <v>281</v>
      </c>
      <c r="CX184" s="1091">
        <f t="shared" si="450"/>
        <v>251</v>
      </c>
      <c r="CY184" s="1090">
        <f t="shared" si="450"/>
        <v>-269</v>
      </c>
      <c r="CZ184" s="1090">
        <f t="shared" si="450"/>
        <v>-5</v>
      </c>
      <c r="DA184" s="1090">
        <f t="shared" si="450"/>
        <v>-8</v>
      </c>
      <c r="DB184" s="1090">
        <f t="shared" si="450"/>
        <v>31</v>
      </c>
      <c r="DC184" s="1091">
        <f>SUM(CY184:DB184)</f>
        <v>-251</v>
      </c>
      <c r="DD184" s="1090">
        <f t="shared" ref="DD184:EG184" si="451">SUM(DD158,DD169,DD181)</f>
        <v>28</v>
      </c>
      <c r="DE184" s="1090">
        <f t="shared" si="451"/>
        <v>265</v>
      </c>
      <c r="DF184" s="1090">
        <f t="shared" si="451"/>
        <v>-206</v>
      </c>
      <c r="DG184" s="1090">
        <f t="shared" si="451"/>
        <v>-7</v>
      </c>
      <c r="DH184" s="1091">
        <f t="shared" si="451"/>
        <v>80</v>
      </c>
      <c r="DI184" s="1090">
        <f t="shared" si="451"/>
        <v>-8</v>
      </c>
      <c r="DJ184" s="1090">
        <f t="shared" si="451"/>
        <v>114</v>
      </c>
      <c r="DK184" s="1090">
        <f t="shared" si="451"/>
        <v>151</v>
      </c>
      <c r="DL184" s="1090">
        <f t="shared" si="451"/>
        <v>-94</v>
      </c>
      <c r="DM184" s="1091">
        <f t="shared" si="451"/>
        <v>163</v>
      </c>
      <c r="DN184" s="1090">
        <f t="shared" si="451"/>
        <v>372</v>
      </c>
      <c r="DO184" s="1090">
        <f t="shared" si="451"/>
        <v>-72</v>
      </c>
      <c r="DP184" s="1090">
        <f t="shared" si="451"/>
        <v>-7</v>
      </c>
      <c r="DQ184" s="1090">
        <f t="shared" si="451"/>
        <v>67</v>
      </c>
      <c r="DR184" s="1091">
        <f t="shared" si="451"/>
        <v>360</v>
      </c>
      <c r="DS184" s="1090">
        <f t="shared" si="451"/>
        <v>-144</v>
      </c>
      <c r="DT184" s="1090">
        <f t="shared" si="451"/>
        <v>-97</v>
      </c>
      <c r="DU184" s="1090">
        <f>SUM(DU158,DU169,DU181)</f>
        <v>-46</v>
      </c>
      <c r="DV184" s="1090">
        <f t="shared" ref="DV184" si="452">SUM(DV158,DV169,DV181)</f>
        <v>182</v>
      </c>
      <c r="DW184" s="1091">
        <f t="shared" si="451"/>
        <v>-105</v>
      </c>
      <c r="DX184" s="1090">
        <f t="shared" si="451"/>
        <v>218.37035815589047</v>
      </c>
      <c r="DY184" s="1090">
        <f t="shared" si="451"/>
        <v>-223.99372280120144</v>
      </c>
      <c r="DZ184" s="1090">
        <f t="shared" si="451"/>
        <v>247.84223702660427</v>
      </c>
      <c r="EA184" s="1090">
        <f t="shared" si="451"/>
        <v>-285.50799839677597</v>
      </c>
      <c r="EB184" s="1091">
        <f t="shared" si="451"/>
        <v>-43.289126015482907</v>
      </c>
      <c r="EC184" s="1090">
        <f t="shared" si="451"/>
        <v>-190.73669481555672</v>
      </c>
      <c r="ED184" s="1090">
        <f t="shared" si="451"/>
        <v>143.57354975092275</v>
      </c>
      <c r="EE184" s="1090">
        <f t="shared" si="451"/>
        <v>169.43448932531004</v>
      </c>
      <c r="EF184" s="1090">
        <f t="shared" si="451"/>
        <v>24.648407998061515</v>
      </c>
      <c r="EG184" s="1091">
        <f t="shared" si="451"/>
        <v>146.9197522587383</v>
      </c>
      <c r="EH184" s="1090">
        <f t="shared" ref="EH184:EL184" si="453">SUM(EH158,EH169,EH181)</f>
        <v>-56.662682734738212</v>
      </c>
      <c r="EI184" s="1090">
        <f t="shared" si="453"/>
        <v>-55.063004802746605</v>
      </c>
      <c r="EJ184" s="1090">
        <f t="shared" si="453"/>
        <v>49.517006392701688</v>
      </c>
      <c r="EK184" s="1090">
        <f t="shared" si="453"/>
        <v>-181.16381372168769</v>
      </c>
      <c r="EL184" s="1091">
        <f t="shared" si="453"/>
        <v>-243.37249486647056</v>
      </c>
      <c r="EM184" s="561"/>
      <c r="EN184"/>
      <c r="EO184"/>
      <c r="EP184"/>
      <c r="EQ184"/>
      <c r="ER184"/>
      <c r="ES184"/>
      <c r="ET184" s="135"/>
      <c r="EU184" s="135"/>
      <c r="EV184" s="135"/>
      <c r="EW184" s="135"/>
      <c r="EX184" s="135"/>
      <c r="EY184" s="135"/>
      <c r="EZ184" s="135"/>
      <c r="FA184" s="135"/>
      <c r="FB184" s="135"/>
      <c r="FC184" s="135"/>
      <c r="FD184" s="135"/>
      <c r="FE184" s="135"/>
      <c r="FF184" s="135"/>
      <c r="FG184" s="135"/>
      <c r="FH184" s="135"/>
      <c r="FI184" s="135"/>
      <c r="FJ184" s="135"/>
      <c r="FK184" s="135"/>
      <c r="FL184" s="135"/>
      <c r="FM184" s="135"/>
      <c r="FN184" s="135"/>
      <c r="FO184" s="135"/>
      <c r="FP184" s="135"/>
      <c r="FQ184" s="135"/>
      <c r="FR184" s="135"/>
      <c r="FS184" s="135"/>
      <c r="FT184" s="135"/>
      <c r="FU184" s="135"/>
      <c r="FV184" s="135"/>
      <c r="FW184" s="135"/>
      <c r="FX184" s="135"/>
      <c r="FY184" s="135"/>
      <c r="FZ184" s="135"/>
      <c r="GA184" s="135"/>
      <c r="GB184" s="135"/>
      <c r="GC184" s="135"/>
      <c r="GD184" s="135"/>
      <c r="GE184" s="135"/>
      <c r="GF184" s="135"/>
      <c r="GG184" s="135"/>
      <c r="GH184" s="135"/>
      <c r="GI184" s="135"/>
      <c r="GJ184" s="135"/>
      <c r="GK184" s="135"/>
      <c r="GL184" s="135"/>
      <c r="GM184" s="135"/>
      <c r="GN184" s="135"/>
      <c r="GO184" s="135"/>
      <c r="GP184" s="135"/>
      <c r="GQ184" s="135"/>
      <c r="GR184" s="135"/>
      <c r="GS184" s="135"/>
      <c r="GT184" s="135"/>
      <c r="GU184" s="135"/>
      <c r="GV184" s="135"/>
      <c r="GW184" s="135"/>
      <c r="GX184" s="135"/>
      <c r="GY184" s="135"/>
      <c r="GZ184" s="135"/>
      <c r="HA184" s="135"/>
      <c r="HB184" s="135"/>
      <c r="HC184" s="135"/>
      <c r="HD184" s="135"/>
      <c r="HE184" s="135"/>
      <c r="HF184" s="135"/>
      <c r="HG184" s="135"/>
      <c r="HH184" s="135"/>
      <c r="HI184" s="135"/>
      <c r="HJ184" s="135"/>
      <c r="HK184" s="135"/>
      <c r="HL184" s="135"/>
      <c r="HM184" s="135"/>
      <c r="HN184" s="135"/>
      <c r="HO184" s="135"/>
      <c r="HP184" s="135"/>
      <c r="HQ184" s="135"/>
      <c r="HR184" s="135"/>
      <c r="HS184" s="135"/>
      <c r="HT184" s="135"/>
      <c r="HU184" s="135"/>
      <c r="HV184" s="135"/>
      <c r="HW184" s="135"/>
      <c r="HX184" s="135"/>
      <c r="HY184" s="135"/>
      <c r="HZ184" s="135"/>
      <c r="IA184" s="135"/>
      <c r="IB184" s="135"/>
      <c r="IC184" s="135"/>
      <c r="ID184" s="135"/>
      <c r="IE184" s="135"/>
      <c r="IF184" s="135"/>
      <c r="IG184" s="135"/>
      <c r="IH184" s="135"/>
      <c r="II184" s="135"/>
      <c r="IJ184" s="135"/>
      <c r="IK184" s="135"/>
      <c r="IL184" s="135"/>
      <c r="IM184" s="135"/>
      <c r="IN184" s="135"/>
      <c r="IO184" s="135"/>
      <c r="IP184" s="135"/>
      <c r="IQ184" s="135"/>
      <c r="IR184" s="135"/>
      <c r="IS184" s="135"/>
      <c r="IT184" s="135"/>
      <c r="IU184" s="135"/>
      <c r="IV184" s="135"/>
      <c r="IW184" s="135"/>
      <c r="IX184" s="135"/>
      <c r="IY184" s="135"/>
      <c r="IZ184" s="135"/>
      <c r="JA184" s="135"/>
      <c r="JB184" s="135"/>
      <c r="JC184" s="135"/>
      <c r="JD184" s="135"/>
      <c r="JE184" s="135"/>
      <c r="JF184" s="135"/>
      <c r="JG184" s="135"/>
      <c r="JH184" s="135"/>
    </row>
    <row r="185" spans="1:268" s="4" customFormat="1">
      <c r="A185" s="803"/>
      <c r="B185" s="892" t="s">
        <v>85</v>
      </c>
      <c r="C185" s="892"/>
      <c r="D185" s="1042">
        <f t="shared" ref="D185:AT185" si="454">SUM(D183:D184)</f>
        <v>112.30400000000003</v>
      </c>
      <c r="E185" s="1042">
        <f t="shared" si="454"/>
        <v>131.80000000000004</v>
      </c>
      <c r="F185" s="1042">
        <f t="shared" si="454"/>
        <v>144.50000000000003</v>
      </c>
      <c r="G185" s="1042">
        <f t="shared" si="454"/>
        <v>155.00000000000003</v>
      </c>
      <c r="H185" s="1084">
        <f t="shared" si="454"/>
        <v>154.99999999999994</v>
      </c>
      <c r="I185" s="1042">
        <f t="shared" si="454"/>
        <v>106.39999999999996</v>
      </c>
      <c r="J185" s="1042">
        <f t="shared" si="454"/>
        <v>98.799999999999599</v>
      </c>
      <c r="K185" s="1042">
        <f t="shared" si="454"/>
        <v>114.19999999999972</v>
      </c>
      <c r="L185" s="1042">
        <f t="shared" si="454"/>
        <v>88.999999999999844</v>
      </c>
      <c r="M185" s="1084">
        <f t="shared" si="454"/>
        <v>88.999999999999943</v>
      </c>
      <c r="N185" s="1042">
        <f t="shared" si="454"/>
        <v>104.09999999999995</v>
      </c>
      <c r="O185" s="1042">
        <f t="shared" si="454"/>
        <v>56.799999999999883</v>
      </c>
      <c r="P185" s="1042">
        <f t="shared" si="454"/>
        <v>61.300000000000395</v>
      </c>
      <c r="Q185" s="1042">
        <f t="shared" si="454"/>
        <v>34.999999999999716</v>
      </c>
      <c r="R185" s="1084">
        <f t="shared" si="454"/>
        <v>34.999999999999901</v>
      </c>
      <c r="S185" s="1042">
        <f t="shared" si="454"/>
        <v>102.9999999999999</v>
      </c>
      <c r="T185" s="1042">
        <f t="shared" si="454"/>
        <v>13.999999999999901</v>
      </c>
      <c r="U185" s="1042">
        <f t="shared" si="454"/>
        <v>16.999999999999901</v>
      </c>
      <c r="V185" s="1042">
        <f t="shared" si="454"/>
        <v>22.999999999999901</v>
      </c>
      <c r="W185" s="1084">
        <f t="shared" si="454"/>
        <v>22.999999999999901</v>
      </c>
      <c r="X185" s="1042">
        <f t="shared" si="454"/>
        <v>20.999999999999901</v>
      </c>
      <c r="Y185" s="1042">
        <f t="shared" si="454"/>
        <v>31.999999999999901</v>
      </c>
      <c r="Z185" s="1042">
        <f t="shared" si="454"/>
        <v>60.999999999999901</v>
      </c>
      <c r="AA185" s="1042">
        <f t="shared" si="454"/>
        <v>28.999999999999901</v>
      </c>
      <c r="AB185" s="1084">
        <f t="shared" si="454"/>
        <v>28.999999999999901</v>
      </c>
      <c r="AC185" s="1042">
        <f t="shared" si="454"/>
        <v>23.999999999999901</v>
      </c>
      <c r="AD185" s="1042">
        <f t="shared" si="454"/>
        <v>30.999999999999901</v>
      </c>
      <c r="AE185" s="1042">
        <f t="shared" si="454"/>
        <v>37.999999999999901</v>
      </c>
      <c r="AF185" s="1042">
        <f t="shared" si="454"/>
        <v>134.99999999999989</v>
      </c>
      <c r="AG185" s="1084">
        <f t="shared" si="454"/>
        <v>134.99999999999989</v>
      </c>
      <c r="AH185" s="1042">
        <f t="shared" si="454"/>
        <v>82.999999999999886</v>
      </c>
      <c r="AI185" s="1042">
        <f t="shared" si="454"/>
        <v>81.999999999999886</v>
      </c>
      <c r="AJ185" s="1042">
        <f t="shared" si="454"/>
        <v>56.999999999999886</v>
      </c>
      <c r="AK185" s="1042">
        <f t="shared" si="454"/>
        <v>61.999999999999886</v>
      </c>
      <c r="AL185" s="1084">
        <f t="shared" si="454"/>
        <v>61.999999999999886</v>
      </c>
      <c r="AM185" s="1042">
        <f t="shared" si="454"/>
        <v>65.999999999999886</v>
      </c>
      <c r="AN185" s="1042">
        <f t="shared" si="454"/>
        <v>62.999999999999886</v>
      </c>
      <c r="AO185" s="1042">
        <f t="shared" si="454"/>
        <v>51.999999999999886</v>
      </c>
      <c r="AP185" s="1042">
        <f t="shared" si="454"/>
        <v>37.999999999999886</v>
      </c>
      <c r="AQ185" s="1084">
        <f t="shared" si="454"/>
        <v>37.999999999999886</v>
      </c>
      <c r="AR185" s="1042">
        <f t="shared" si="454"/>
        <v>41.999999999999886</v>
      </c>
      <c r="AS185" s="1042">
        <f t="shared" si="454"/>
        <v>39.999999999999886</v>
      </c>
      <c r="AT185" s="1042">
        <f t="shared" si="454"/>
        <v>117.99999999999989</v>
      </c>
      <c r="AU185" s="1001"/>
      <c r="AV185" s="917"/>
      <c r="AW185" s="917"/>
      <c r="AX185" s="917"/>
      <c r="AY185" s="917"/>
      <c r="AZ185" s="1084">
        <f t="shared" ref="AZ185:CE185" si="455">SUM(AZ183:AZ184)</f>
        <v>210</v>
      </c>
      <c r="BA185" s="1042">
        <f t="shared" si="455"/>
        <v>135</v>
      </c>
      <c r="BB185" s="1042">
        <f t="shared" si="455"/>
        <v>221</v>
      </c>
      <c r="BC185" s="1042">
        <f t="shared" si="455"/>
        <v>219</v>
      </c>
      <c r="BD185" s="1042">
        <f t="shared" si="455"/>
        <v>619</v>
      </c>
      <c r="BE185" s="1084">
        <f t="shared" si="455"/>
        <v>619</v>
      </c>
      <c r="BF185" s="1042">
        <f t="shared" si="455"/>
        <v>507</v>
      </c>
      <c r="BG185" s="1042">
        <f t="shared" si="455"/>
        <v>1193</v>
      </c>
      <c r="BH185" s="1042">
        <f t="shared" si="455"/>
        <v>1323</v>
      </c>
      <c r="BI185" s="1042">
        <f t="shared" si="455"/>
        <v>654</v>
      </c>
      <c r="BJ185" s="1084">
        <f t="shared" si="455"/>
        <v>654</v>
      </c>
      <c r="BK185" s="1042">
        <f t="shared" si="455"/>
        <v>1497</v>
      </c>
      <c r="BL185" s="1042">
        <f t="shared" si="455"/>
        <v>1594</v>
      </c>
      <c r="BM185" s="1042">
        <f t="shared" si="455"/>
        <v>1480</v>
      </c>
      <c r="BN185" s="1042">
        <f t="shared" si="455"/>
        <v>1373</v>
      </c>
      <c r="BO185" s="1084">
        <f t="shared" si="455"/>
        <v>1373</v>
      </c>
      <c r="BP185" s="1042">
        <f t="shared" si="455"/>
        <v>975</v>
      </c>
      <c r="BQ185" s="1042">
        <f t="shared" si="455"/>
        <v>568</v>
      </c>
      <c r="BR185" s="1042">
        <f t="shared" si="455"/>
        <v>809</v>
      </c>
      <c r="BS185" s="1042">
        <f t="shared" si="455"/>
        <v>784</v>
      </c>
      <c r="BT185" s="1084">
        <f t="shared" si="455"/>
        <v>784</v>
      </c>
      <c r="BU185" s="1042">
        <f t="shared" si="455"/>
        <v>584</v>
      </c>
      <c r="BV185" s="1042">
        <f t="shared" si="455"/>
        <v>675</v>
      </c>
      <c r="BW185" s="1042">
        <f t="shared" si="455"/>
        <v>655</v>
      </c>
      <c r="BX185" s="1042">
        <f t="shared" si="455"/>
        <v>572</v>
      </c>
      <c r="BY185" s="1084">
        <f t="shared" si="455"/>
        <v>572</v>
      </c>
      <c r="BZ185" s="1042">
        <f t="shared" si="455"/>
        <v>278</v>
      </c>
      <c r="CA185" s="1042">
        <f t="shared" si="455"/>
        <v>352</v>
      </c>
      <c r="CB185" s="1042">
        <f t="shared" si="455"/>
        <v>512</v>
      </c>
      <c r="CC185" s="1042">
        <f t="shared" si="455"/>
        <v>507</v>
      </c>
      <c r="CD185" s="1084">
        <f t="shared" si="455"/>
        <v>507</v>
      </c>
      <c r="CE185" s="1042">
        <f t="shared" si="455"/>
        <v>652</v>
      </c>
      <c r="CF185" s="1042">
        <f t="shared" ref="CF185:DH185" si="456">SUM(CF183:CF184)</f>
        <v>758</v>
      </c>
      <c r="CG185" s="1042">
        <f t="shared" si="456"/>
        <v>731</v>
      </c>
      <c r="CH185" s="1042">
        <f t="shared" si="456"/>
        <v>690</v>
      </c>
      <c r="CI185" s="1084">
        <f t="shared" si="456"/>
        <v>690</v>
      </c>
      <c r="CJ185" s="1042">
        <f t="shared" si="456"/>
        <v>589</v>
      </c>
      <c r="CK185" s="1042">
        <f t="shared" si="456"/>
        <v>711</v>
      </c>
      <c r="CL185" s="1042">
        <f t="shared" si="456"/>
        <v>398</v>
      </c>
      <c r="CM185" s="1042">
        <f t="shared" si="456"/>
        <v>405</v>
      </c>
      <c r="CN185" s="1084">
        <f t="shared" si="456"/>
        <v>405</v>
      </c>
      <c r="CO185" s="1042">
        <f t="shared" si="456"/>
        <v>267</v>
      </c>
      <c r="CP185" s="1042">
        <f t="shared" si="456"/>
        <v>264</v>
      </c>
      <c r="CQ185" s="1042">
        <f t="shared" si="456"/>
        <v>185</v>
      </c>
      <c r="CR185" s="1042">
        <f t="shared" si="456"/>
        <v>113</v>
      </c>
      <c r="CS185" s="1084">
        <f t="shared" si="456"/>
        <v>113</v>
      </c>
      <c r="CT185" s="1042">
        <f t="shared" si="456"/>
        <v>104</v>
      </c>
      <c r="CU185" s="1042">
        <f t="shared" si="456"/>
        <v>82</v>
      </c>
      <c r="CV185" s="1042">
        <f t="shared" si="456"/>
        <v>83</v>
      </c>
      <c r="CW185" s="1042">
        <f t="shared" si="456"/>
        <v>364</v>
      </c>
      <c r="CX185" s="1084">
        <f t="shared" si="456"/>
        <v>364</v>
      </c>
      <c r="CY185" s="1042">
        <f t="shared" si="456"/>
        <v>95</v>
      </c>
      <c r="CZ185" s="1042">
        <f t="shared" si="456"/>
        <v>90</v>
      </c>
      <c r="DA185" s="1042">
        <f t="shared" si="456"/>
        <v>82</v>
      </c>
      <c r="DB185" s="1042">
        <f t="shared" si="456"/>
        <v>113</v>
      </c>
      <c r="DC185" s="1084">
        <f t="shared" si="456"/>
        <v>113</v>
      </c>
      <c r="DD185" s="1042">
        <f t="shared" si="456"/>
        <v>141</v>
      </c>
      <c r="DE185" s="1042">
        <f t="shared" si="456"/>
        <v>406</v>
      </c>
      <c r="DF185" s="1042">
        <f t="shared" si="456"/>
        <v>200</v>
      </c>
      <c r="DG185" s="1042">
        <f t="shared" si="456"/>
        <v>193</v>
      </c>
      <c r="DH185" s="1084">
        <f t="shared" si="456"/>
        <v>193</v>
      </c>
      <c r="DI185" s="1042">
        <f t="shared" ref="DI185:DW185" si="457">SUM(DI183:DI184)</f>
        <v>185</v>
      </c>
      <c r="DJ185" s="1042">
        <f t="shared" si="457"/>
        <v>299</v>
      </c>
      <c r="DK185" s="1042">
        <f t="shared" si="457"/>
        <v>450</v>
      </c>
      <c r="DL185" s="1042">
        <f t="shared" si="457"/>
        <v>356</v>
      </c>
      <c r="DM185" s="1084">
        <f t="shared" si="457"/>
        <v>356</v>
      </c>
      <c r="DN185" s="1042">
        <f t="shared" si="457"/>
        <v>728</v>
      </c>
      <c r="DO185" s="1042">
        <f t="shared" si="457"/>
        <v>656</v>
      </c>
      <c r="DP185" s="1042">
        <f t="shared" si="457"/>
        <v>649</v>
      </c>
      <c r="DQ185" s="1042">
        <f t="shared" si="457"/>
        <v>716</v>
      </c>
      <c r="DR185" s="1084">
        <f t="shared" si="457"/>
        <v>716</v>
      </c>
      <c r="DS185" s="1042">
        <f t="shared" si="457"/>
        <v>-144</v>
      </c>
      <c r="DT185" s="1042">
        <f t="shared" si="457"/>
        <v>475</v>
      </c>
      <c r="DU185" s="1042">
        <f t="shared" si="457"/>
        <v>429</v>
      </c>
      <c r="DV185" s="1042">
        <f t="shared" si="457"/>
        <v>611</v>
      </c>
      <c r="DW185" s="1084">
        <f t="shared" si="457"/>
        <v>-105</v>
      </c>
      <c r="DX185" s="1042">
        <f t="shared" ref="DX185:EG185" si="458">SUM(DX183:DX184)</f>
        <v>829.37035815589047</v>
      </c>
      <c r="DY185" s="1042">
        <f t="shared" si="458"/>
        <v>605.37663535468903</v>
      </c>
      <c r="DZ185" s="1042">
        <f t="shared" si="458"/>
        <v>853.21887238129329</v>
      </c>
      <c r="EA185" s="1042">
        <f t="shared" si="458"/>
        <v>567.71087398451732</v>
      </c>
      <c r="EB185" s="1084">
        <f t="shared" si="458"/>
        <v>567.71087398451709</v>
      </c>
      <c r="EC185" s="1042">
        <f t="shared" si="458"/>
        <v>376.97417916896063</v>
      </c>
      <c r="ED185" s="1042">
        <f t="shared" si="458"/>
        <v>520.54772891988341</v>
      </c>
      <c r="EE185" s="1042">
        <f t="shared" si="458"/>
        <v>689.98221824519351</v>
      </c>
      <c r="EF185" s="1042">
        <f t="shared" si="458"/>
        <v>714.63062624325505</v>
      </c>
      <c r="EG185" s="1084">
        <f t="shared" si="458"/>
        <v>714.63062624325562</v>
      </c>
      <c r="EH185" s="1042">
        <f t="shared" ref="EH185:EL185" si="459">SUM(EH183:EH184)</f>
        <v>657.96794350851678</v>
      </c>
      <c r="EI185" s="1042">
        <f t="shared" si="459"/>
        <v>602.90493870577018</v>
      </c>
      <c r="EJ185" s="1042">
        <f t="shared" si="459"/>
        <v>652.42194509847184</v>
      </c>
      <c r="EK185" s="1042">
        <f t="shared" si="459"/>
        <v>471.25813137678415</v>
      </c>
      <c r="EL185" s="1084">
        <f t="shared" si="459"/>
        <v>471.25813137678449</v>
      </c>
      <c r="EM185" s="917"/>
      <c r="EN185"/>
      <c r="EO185"/>
      <c r="EP185"/>
      <c r="EQ185"/>
      <c r="ER185"/>
      <c r="ES185"/>
      <c r="ET185" s="135"/>
      <c r="EU185" s="135"/>
      <c r="EV185" s="135"/>
      <c r="EW185" s="135"/>
      <c r="EX185" s="135"/>
      <c r="EY185" s="135"/>
      <c r="EZ185" s="135"/>
      <c r="FA185" s="135"/>
      <c r="FB185" s="135"/>
      <c r="FC185" s="135"/>
      <c r="FD185" s="135"/>
      <c r="FE185" s="135"/>
      <c r="FF185" s="135"/>
      <c r="FG185" s="135"/>
      <c r="FH185" s="135"/>
      <c r="FI185" s="135"/>
      <c r="FJ185" s="135"/>
      <c r="FK185" s="135"/>
      <c r="FL185" s="135"/>
      <c r="FM185" s="135"/>
      <c r="FN185" s="135"/>
      <c r="FO185" s="135"/>
      <c r="FP185" s="135"/>
      <c r="FQ185" s="135"/>
      <c r="FR185" s="135"/>
      <c r="FS185" s="135"/>
      <c r="FT185" s="135"/>
      <c r="FU185" s="135"/>
      <c r="FV185" s="135"/>
      <c r="FW185" s="135"/>
      <c r="FX185" s="135"/>
      <c r="FY185" s="135"/>
      <c r="FZ185" s="135"/>
      <c r="GA185" s="135"/>
      <c r="GB185" s="135"/>
      <c r="GC185" s="135"/>
      <c r="GD185" s="135"/>
      <c r="GE185" s="135"/>
      <c r="GF185" s="135"/>
      <c r="GG185" s="135"/>
      <c r="GH185" s="135"/>
      <c r="GI185" s="135"/>
      <c r="GJ185" s="135"/>
      <c r="GK185" s="135"/>
      <c r="GL185" s="135"/>
      <c r="GM185" s="135"/>
      <c r="GN185" s="135"/>
      <c r="GO185" s="135"/>
      <c r="GP185" s="135"/>
      <c r="GQ185" s="135"/>
      <c r="GR185" s="135"/>
      <c r="GS185" s="135"/>
      <c r="GT185" s="135"/>
      <c r="GU185" s="135"/>
      <c r="GV185" s="135"/>
      <c r="GW185" s="135"/>
      <c r="GX185" s="135"/>
      <c r="GY185" s="135"/>
      <c r="GZ185" s="135"/>
      <c r="HA185" s="135"/>
      <c r="HB185" s="135"/>
      <c r="HC185" s="135"/>
      <c r="HD185" s="135"/>
      <c r="HE185" s="135"/>
      <c r="HF185" s="135"/>
      <c r="HG185" s="135"/>
      <c r="HH185" s="135"/>
      <c r="HI185" s="135"/>
      <c r="HJ185" s="135"/>
      <c r="HK185" s="135"/>
      <c r="HL185" s="135"/>
      <c r="HM185" s="135"/>
      <c r="HN185" s="135"/>
      <c r="HO185" s="135"/>
      <c r="HP185" s="135"/>
      <c r="HQ185" s="135"/>
      <c r="HR185" s="135"/>
      <c r="HS185" s="135"/>
      <c r="HT185" s="135"/>
      <c r="HU185" s="135"/>
      <c r="HV185" s="135"/>
      <c r="HW185" s="135"/>
      <c r="HX185" s="135"/>
      <c r="HY185" s="135"/>
      <c r="HZ185" s="135"/>
      <c r="IA185" s="135"/>
      <c r="IB185" s="135"/>
      <c r="IC185" s="135"/>
      <c r="ID185" s="135"/>
      <c r="IE185" s="135"/>
      <c r="IF185" s="135"/>
      <c r="IG185" s="135"/>
      <c r="IH185" s="135"/>
      <c r="II185" s="135"/>
      <c r="IJ185" s="135"/>
      <c r="IK185" s="135"/>
      <c r="IL185" s="135"/>
      <c r="IM185" s="135"/>
      <c r="IN185" s="135"/>
      <c r="IO185" s="135"/>
      <c r="IP185" s="135"/>
      <c r="IQ185" s="135"/>
      <c r="IR185" s="135"/>
      <c r="IS185" s="135"/>
      <c r="IT185" s="135"/>
      <c r="IU185" s="135"/>
      <c r="IV185" s="135"/>
      <c r="IW185" s="135"/>
      <c r="IX185" s="135"/>
      <c r="IY185" s="135"/>
      <c r="IZ185" s="135"/>
      <c r="JA185" s="135"/>
      <c r="JB185" s="135"/>
      <c r="JC185" s="135"/>
      <c r="JD185" s="135"/>
      <c r="JE185" s="135"/>
      <c r="JF185" s="135"/>
      <c r="JG185" s="135"/>
      <c r="JH185" s="135"/>
    </row>
    <row r="186" spans="1:268" s="4" customFormat="1" hidden="1" outlineLevel="1">
      <c r="A186" s="801"/>
      <c r="B186" s="555"/>
      <c r="C186" s="555"/>
      <c r="D186" s="555"/>
      <c r="E186" s="555"/>
      <c r="F186" s="555"/>
      <c r="G186" s="555"/>
      <c r="H186" s="802"/>
      <c r="I186" s="555"/>
      <c r="J186" s="555"/>
      <c r="K186" s="555"/>
      <c r="L186" s="555"/>
      <c r="M186" s="802"/>
      <c r="N186" s="557"/>
      <c r="O186" s="1022"/>
      <c r="P186" s="555"/>
      <c r="Q186" s="555"/>
      <c r="R186" s="1094"/>
      <c r="S186" s="555"/>
      <c r="T186" s="555"/>
      <c r="U186" s="555"/>
      <c r="V186" s="555"/>
      <c r="W186" s="802"/>
      <c r="X186" s="555"/>
      <c r="Y186" s="555"/>
      <c r="Z186" s="555"/>
      <c r="AA186" s="555"/>
      <c r="AB186" s="802"/>
      <c r="AC186" s="555"/>
      <c r="AD186" s="555"/>
      <c r="AE186" s="555"/>
      <c r="AF186" s="555"/>
      <c r="AG186" s="802"/>
      <c r="AH186" s="555"/>
      <c r="AI186" s="555"/>
      <c r="AJ186" s="555"/>
      <c r="AK186" s="555"/>
      <c r="AL186" s="802"/>
      <c r="AM186" s="555"/>
      <c r="AN186" s="555"/>
      <c r="AO186" s="555"/>
      <c r="AP186" s="555"/>
      <c r="AQ186" s="802"/>
      <c r="AR186" s="555"/>
      <c r="AS186" s="555"/>
      <c r="AT186" s="555"/>
      <c r="AU186" s="802"/>
      <c r="AV186" s="555"/>
      <c r="AW186" s="555"/>
      <c r="AX186" s="555"/>
      <c r="AY186" s="555"/>
      <c r="AZ186" s="802"/>
      <c r="BA186" s="555"/>
      <c r="BB186" s="555"/>
      <c r="BC186" s="555"/>
      <c r="BD186" s="555"/>
      <c r="BE186" s="802"/>
      <c r="BF186" s="555"/>
      <c r="BG186" s="555"/>
      <c r="BH186" s="555"/>
      <c r="BI186" s="555"/>
      <c r="BJ186" s="802"/>
      <c r="BK186" s="555"/>
      <c r="BL186" s="555"/>
      <c r="BM186" s="555"/>
      <c r="BN186" s="555"/>
      <c r="BO186" s="802"/>
      <c r="BP186" s="555"/>
      <c r="BQ186" s="555"/>
      <c r="BR186" s="555"/>
      <c r="BS186" s="555"/>
      <c r="BT186" s="802"/>
      <c r="BU186" s="555"/>
      <c r="BV186" s="555"/>
      <c r="BW186" s="555"/>
      <c r="BX186" s="555"/>
      <c r="BY186" s="802"/>
      <c r="BZ186" s="555"/>
      <c r="CA186" s="555"/>
      <c r="CB186" s="555"/>
      <c r="CC186" s="555"/>
      <c r="CD186" s="802"/>
      <c r="CE186" s="555"/>
      <c r="CF186" s="555"/>
      <c r="CG186" s="555"/>
      <c r="CH186" s="555"/>
      <c r="CI186" s="802"/>
      <c r="CJ186" s="555"/>
      <c r="CK186" s="555"/>
      <c r="CL186" s="555"/>
      <c r="CM186" s="555"/>
      <c r="CN186" s="802"/>
      <c r="CO186" s="555"/>
      <c r="CP186" s="555"/>
      <c r="CQ186" s="555"/>
      <c r="CR186" s="555"/>
      <c r="CS186" s="802"/>
      <c r="CT186" s="555"/>
      <c r="CU186" s="555"/>
      <c r="CV186" s="555"/>
      <c r="CW186" s="555"/>
      <c r="CX186" s="802"/>
      <c r="CY186" s="555"/>
      <c r="CZ186" s="555"/>
      <c r="DA186" s="555"/>
      <c r="DB186" s="555"/>
      <c r="DC186" s="802"/>
      <c r="DD186" s="555"/>
      <c r="DE186" s="555"/>
      <c r="DF186" s="555"/>
      <c r="DG186" s="555"/>
      <c r="DH186" s="802"/>
      <c r="DI186" s="555"/>
      <c r="DJ186" s="555"/>
      <c r="DK186" s="555"/>
      <c r="DL186" s="555"/>
      <c r="DM186" s="802"/>
      <c r="DN186" s="555"/>
      <c r="DO186" s="555"/>
      <c r="DP186" s="555"/>
      <c r="DQ186" s="555"/>
      <c r="DR186" s="802"/>
      <c r="DS186" s="555"/>
      <c r="DT186" s="555"/>
      <c r="DU186" s="555"/>
      <c r="DV186" s="555"/>
      <c r="DW186" s="802"/>
      <c r="DX186" s="555"/>
      <c r="DY186" s="555"/>
      <c r="DZ186" s="555"/>
      <c r="EA186" s="555"/>
      <c r="EB186" s="802"/>
      <c r="EC186" s="555"/>
      <c r="ED186" s="555"/>
      <c r="EE186" s="555"/>
      <c r="EF186" s="555"/>
      <c r="EG186" s="802"/>
      <c r="EH186" s="555"/>
      <c r="EI186" s="555"/>
      <c r="EJ186" s="555"/>
      <c r="EK186" s="555"/>
      <c r="EL186" s="802"/>
      <c r="EM186" s="555"/>
      <c r="EN186"/>
      <c r="EO186"/>
      <c r="EP186"/>
      <c r="EQ186"/>
      <c r="ER186"/>
      <c r="ES186"/>
      <c r="ET186" s="135"/>
      <c r="EU186" s="135"/>
      <c r="EV186" s="135"/>
      <c r="EW186" s="135"/>
      <c r="EX186" s="135"/>
      <c r="EY186" s="135"/>
      <c r="EZ186" s="135"/>
      <c r="FA186" s="135"/>
      <c r="FB186" s="135"/>
      <c r="FC186" s="135"/>
      <c r="FD186" s="135"/>
      <c r="FE186" s="135"/>
      <c r="FF186" s="135"/>
      <c r="FG186" s="135"/>
      <c r="FH186" s="135"/>
      <c r="FI186" s="135"/>
      <c r="FJ186" s="135"/>
      <c r="FK186" s="135"/>
      <c r="FL186" s="135"/>
      <c r="FM186" s="135"/>
      <c r="FN186" s="135"/>
      <c r="FO186" s="135"/>
      <c r="FP186" s="135"/>
      <c r="FQ186" s="135"/>
      <c r="FR186" s="135"/>
      <c r="FS186" s="135"/>
      <c r="FT186" s="135"/>
      <c r="FU186" s="135"/>
      <c r="FV186" s="135"/>
      <c r="FW186" s="135"/>
      <c r="FX186" s="135"/>
      <c r="FY186" s="135"/>
      <c r="FZ186" s="135"/>
      <c r="GA186" s="135"/>
      <c r="GB186" s="135"/>
      <c r="GC186" s="135"/>
      <c r="GD186" s="135"/>
      <c r="GE186" s="135"/>
      <c r="GF186" s="135"/>
      <c r="GG186" s="135"/>
      <c r="GH186" s="135"/>
      <c r="GI186" s="135"/>
      <c r="GJ186" s="135"/>
      <c r="GK186" s="135"/>
      <c r="GL186" s="135"/>
      <c r="GM186" s="135"/>
      <c r="GN186" s="135"/>
      <c r="GO186" s="135"/>
      <c r="GP186" s="135"/>
      <c r="GQ186" s="135"/>
      <c r="GR186" s="135"/>
      <c r="GS186" s="135"/>
      <c r="GT186" s="135"/>
      <c r="GU186" s="135"/>
      <c r="GV186" s="135"/>
      <c r="GW186" s="135"/>
      <c r="GX186" s="135"/>
      <c r="GY186" s="135"/>
      <c r="GZ186" s="135"/>
      <c r="HA186" s="135"/>
      <c r="HB186" s="135"/>
      <c r="HC186" s="135"/>
      <c r="HD186" s="135"/>
      <c r="HE186" s="135"/>
      <c r="HF186" s="135"/>
      <c r="HG186" s="135"/>
      <c r="HH186" s="135"/>
      <c r="HI186" s="135"/>
      <c r="HJ186" s="135"/>
      <c r="HK186" s="135"/>
      <c r="HL186" s="135"/>
      <c r="HM186" s="135"/>
      <c r="HN186" s="135"/>
      <c r="HO186" s="135"/>
      <c r="HP186" s="135"/>
      <c r="HQ186" s="135"/>
      <c r="HR186" s="135"/>
      <c r="HS186" s="135"/>
      <c r="HT186" s="135"/>
      <c r="HU186" s="135"/>
      <c r="HV186" s="135"/>
      <c r="HW186" s="135"/>
      <c r="HX186" s="135"/>
      <c r="HY186" s="135"/>
      <c r="HZ186" s="135"/>
      <c r="IA186" s="135"/>
      <c r="IB186" s="135"/>
      <c r="IC186" s="135"/>
      <c r="ID186" s="135"/>
      <c r="IE186" s="135"/>
      <c r="IF186" s="135"/>
      <c r="IG186" s="135"/>
      <c r="IH186" s="135"/>
      <c r="II186" s="135"/>
      <c r="IJ186" s="135"/>
      <c r="IK186" s="135"/>
      <c r="IL186" s="135"/>
      <c r="IM186" s="135"/>
      <c r="IN186" s="135"/>
      <c r="IO186" s="135"/>
      <c r="IP186" s="135"/>
      <c r="IQ186" s="135"/>
      <c r="IR186" s="135"/>
      <c r="IS186" s="135"/>
      <c r="IT186" s="135"/>
      <c r="IU186" s="135"/>
      <c r="IV186" s="135"/>
      <c r="IW186" s="135"/>
      <c r="IX186" s="135"/>
      <c r="IY186" s="135"/>
      <c r="IZ186" s="135"/>
      <c r="JA186" s="135"/>
      <c r="JB186" s="135"/>
      <c r="JC186" s="135"/>
      <c r="JD186" s="135"/>
      <c r="JE186" s="135"/>
      <c r="JF186" s="135"/>
      <c r="JG186" s="135"/>
      <c r="JH186" s="135"/>
    </row>
    <row r="187" spans="1:268" s="4" customFormat="1" hidden="1" outlineLevel="1">
      <c r="A187" s="963"/>
      <c r="B187" s="964" t="s">
        <v>86</v>
      </c>
      <c r="C187" s="968"/>
      <c r="D187" s="968" t="str">
        <f>IF(ROUND('BS &amp; CF'!D6,3)=ROUND(D185,3),"ok",'BS &amp; CF'!D6-D185)</f>
        <v>ok</v>
      </c>
      <c r="E187" s="968" t="str">
        <f>IF(ROUND('BS &amp; CF'!E6,3)=ROUND(E185,3),"ok",'BS &amp; CF'!E6-E185)</f>
        <v>ok</v>
      </c>
      <c r="F187" s="968" t="str">
        <f>IF(ROUND('BS &amp; CF'!F6,3)=ROUND(F185,3),"ok",'BS &amp; CF'!F6-F185)</f>
        <v>ok</v>
      </c>
      <c r="G187" s="968" t="str">
        <f>IF(ROUND('BS &amp; CF'!G6,3)=ROUND(G185,3),"ok",'BS &amp; CF'!G6-G185)</f>
        <v>ok</v>
      </c>
      <c r="H187" s="970" t="str">
        <f>IF(ROUND('BS &amp; CF'!H6,3)=ROUND(H185,3),"ok",'BS &amp; CF'!H6-H185)</f>
        <v>ok</v>
      </c>
      <c r="I187" s="968" t="str">
        <f>IF(ROUND('BS &amp; CF'!I6,3)=ROUND(I185,3),"ok",'BS &amp; CF'!I6-I185)</f>
        <v>ok</v>
      </c>
      <c r="J187" s="968" t="str">
        <f>IF(ROUND('BS &amp; CF'!J6,3)=ROUND(J185,3),"ok",'BS &amp; CF'!J6-J185)</f>
        <v>ok</v>
      </c>
      <c r="K187" s="968" t="str">
        <f>IF(ROUND('BS &amp; CF'!K6,3)=ROUND(K185,3),"ok",'BS &amp; CF'!K6-K185)</f>
        <v>ok</v>
      </c>
      <c r="L187" s="968" t="str">
        <f>IF(ROUND('BS &amp; CF'!L6,3)=ROUND(L185,3),"ok",'BS &amp; CF'!L6-L185)</f>
        <v>ok</v>
      </c>
      <c r="M187" s="970" t="str">
        <f>IF(ROUND('BS &amp; CF'!M6,3)=ROUND(M185,3),"ok",'BS &amp; CF'!M6-M185)</f>
        <v>ok</v>
      </c>
      <c r="N187" s="968" t="str">
        <f>IF(ROUND('BS &amp; CF'!N6,3)=ROUND(N185,3),"ok",'BS &amp; CF'!N6-N185)</f>
        <v>ok</v>
      </c>
      <c r="O187" s="968" t="str">
        <f>IF(ROUND('BS &amp; CF'!O6,3)=ROUND(O185,3),"ok",'BS &amp; CF'!O6-O185)</f>
        <v>ok</v>
      </c>
      <c r="P187" s="968" t="str">
        <f>IF(ROUND('BS &amp; CF'!P6,3)=ROUND(P185,3),"ok",'BS &amp; CF'!P6-P185)</f>
        <v>ok</v>
      </c>
      <c r="Q187" s="968" t="str">
        <f>IF(ROUND('BS &amp; CF'!Q6,3)=ROUND(Q185,3),"ok",'BS &amp; CF'!Q6-Q185)</f>
        <v>ok</v>
      </c>
      <c r="R187" s="1095" t="str">
        <f>IF(ROUND('BS &amp; CF'!R6,3)=ROUND(R185,3),"ok",'BS &amp; CF'!R6-R185)</f>
        <v>ok</v>
      </c>
      <c r="S187" s="968" t="str">
        <f>IF(ROUND('BS &amp; CF'!S6,3)=ROUND(S185,3),"ok",'BS &amp; CF'!S6-S185)</f>
        <v>ok</v>
      </c>
      <c r="T187" s="968" t="str">
        <f>IF(ROUND('BS &amp; CF'!T6,3)=ROUND(T185,3),"ok",'BS &amp; CF'!T6-T185)</f>
        <v>ok</v>
      </c>
      <c r="U187" s="968" t="str">
        <f>IF(ROUND('BS &amp; CF'!U6,3)=ROUND(U185,3),"ok",'BS &amp; CF'!U6-U185)</f>
        <v>ok</v>
      </c>
      <c r="V187" s="968" t="str">
        <f>IF(ROUND('BS &amp; CF'!V6,3)=ROUND(V185,3),"ok",'BS &amp; CF'!V6-V185)</f>
        <v>ok</v>
      </c>
      <c r="W187" s="970" t="str">
        <f>IF(ROUND('BS &amp; CF'!W6,3)=ROUND(W185,3),"ok",'BS &amp; CF'!W6-W185)</f>
        <v>ok</v>
      </c>
      <c r="X187" s="968" t="str">
        <f>IF(ROUND('BS &amp; CF'!X6,3)=ROUND(X185,3),"ok",'BS &amp; CF'!X6-X185)</f>
        <v>ok</v>
      </c>
      <c r="Y187" s="968" t="str">
        <f>IF(ROUND('BS &amp; CF'!Y6,3)=ROUND(Y185,3),"ok",'BS &amp; CF'!Y6-Y185)</f>
        <v>ok</v>
      </c>
      <c r="Z187" s="968" t="str">
        <f>IF(ROUND('BS &amp; CF'!Z6,3)=ROUND(Z185,3),"ok",'BS &amp; CF'!Z6-Z185)</f>
        <v>ok</v>
      </c>
      <c r="AA187" s="968" t="str">
        <f>IF(ROUND('BS &amp; CF'!AA6,3)=ROUND(AA185,3),"ok",'BS &amp; CF'!AA6-AA185)</f>
        <v>ok</v>
      </c>
      <c r="AB187" s="970" t="str">
        <f>IF(ROUND('BS &amp; CF'!AB6,3)=ROUND(AB185,3),"ok",'BS &amp; CF'!AB6-AB185)</f>
        <v>ok</v>
      </c>
      <c r="AC187" s="968" t="str">
        <f>IF(ROUND('BS &amp; CF'!AC6,3)=ROUND(AC185,3),"ok",'BS &amp; CF'!AC6-AC185)</f>
        <v>ok</v>
      </c>
      <c r="AD187" s="968" t="str">
        <f>IF(ROUND('BS &amp; CF'!AD6,3)=ROUND(AD185,3),"ok",'BS &amp; CF'!AD6-AD185)</f>
        <v>ok</v>
      </c>
      <c r="AE187" s="968" t="str">
        <f>IF(ROUND('BS &amp; CF'!AE6,3)=ROUND(AE185,3),"ok",'BS &amp; CF'!AE6-AE185)</f>
        <v>ok</v>
      </c>
      <c r="AF187" s="968" t="str">
        <f>IF(ROUND('BS &amp; CF'!AF6,3)=ROUND(AF185,3),"ok",'BS &amp; CF'!AF6-AF185)</f>
        <v>ok</v>
      </c>
      <c r="AG187" s="970" t="str">
        <f>IF(ROUND('BS &amp; CF'!AG6,3)=ROUND(AG185,3),"ok",'BS &amp; CF'!AG6-AG185)</f>
        <v>ok</v>
      </c>
      <c r="AH187" s="968" t="str">
        <f>IF(ROUND('BS &amp; CF'!AH6,3)=ROUND(AH185,3),"ok",'BS &amp; CF'!AH6-AH185)</f>
        <v>ok</v>
      </c>
      <c r="AI187" s="968" t="str">
        <f>IF(ROUND('BS &amp; CF'!AI6,3)=ROUND(AI185,3),"ok",'BS &amp; CF'!AI6-AI185)</f>
        <v>ok</v>
      </c>
      <c r="AJ187" s="968" t="str">
        <f>IF(ROUND('BS &amp; CF'!AJ6,3)=ROUND(AJ185,3),"ok",'BS &amp; CF'!AJ6-AJ185)</f>
        <v>ok</v>
      </c>
      <c r="AK187" s="968" t="str">
        <f>IF(ROUND('BS &amp; CF'!AK6,3)=ROUND(AK185,3),"ok",'BS &amp; CF'!AK6-AK185)</f>
        <v>ok</v>
      </c>
      <c r="AL187" s="970" t="str">
        <f>IF(ROUND('BS &amp; CF'!AL6,3)=ROUND(AL185,3),"ok",'BS &amp; CF'!AL6-AL185)</f>
        <v>ok</v>
      </c>
      <c r="AM187" s="968" t="str">
        <f>IF(ROUND('BS &amp; CF'!AM6,3)=ROUND(AM185,3),"ok",'BS &amp; CF'!AM6-AM185)</f>
        <v>ok</v>
      </c>
      <c r="AN187" s="968" t="str">
        <f>IF(ROUND('BS &amp; CF'!AN6,3)=ROUND(AN185,3),"ok",'BS &amp; CF'!AN6-AN185)</f>
        <v>ok</v>
      </c>
      <c r="AO187" s="968" t="str">
        <f>IF(ROUND('BS &amp; CF'!AO6,3)=ROUND(AO185,3),"ok",'BS &amp; CF'!AO6-AO185)</f>
        <v>ok</v>
      </c>
      <c r="AP187" s="968" t="str">
        <f>IF(ROUND('BS &amp; CF'!AP6,3)=ROUND(AP185,3),"ok",'BS &amp; CF'!AP6-AP185)</f>
        <v>ok</v>
      </c>
      <c r="AQ187" s="970" t="str">
        <f>IF(ROUND('BS &amp; CF'!AQ6,3)=ROUND(AQ185,3),"ok",'BS &amp; CF'!AQ6-AQ185)</f>
        <v>ok</v>
      </c>
      <c r="AR187" s="968" t="str">
        <f>IF(ROUND('BS &amp; CF'!AR6,3)=ROUND(AR185,3),"ok",'BS &amp; CF'!AR6-AR185)</f>
        <v>ok</v>
      </c>
      <c r="AS187" s="968" t="str">
        <f>IF(ROUND('BS &amp; CF'!AS6,3)=ROUND(AS185,3),"ok",'BS &amp; CF'!AS6-AS185)</f>
        <v>ok</v>
      </c>
      <c r="AT187" s="968" t="str">
        <f>IF(ROUND('BS &amp; CF'!AT6,3)=ROUND(AT185,3),"ok",'BS &amp; CF'!AT6-AT185)</f>
        <v>ok</v>
      </c>
      <c r="AU187" s="1096"/>
      <c r="AV187" s="964"/>
      <c r="AW187" s="964"/>
      <c r="AX187" s="964"/>
      <c r="AY187" s="964"/>
      <c r="AZ187" s="970" t="str">
        <f>IF('BS &amp; CF'!AZ6=AZ185,"ok",'BS &amp; CF'!AZ6-AZ185)</f>
        <v>ok</v>
      </c>
      <c r="BA187" s="968" t="str">
        <f>IF('BS &amp; CF'!BA6=BA185,"ok",'BS &amp; CF'!BA6-BA185)</f>
        <v>ok</v>
      </c>
      <c r="BB187" s="968" t="str">
        <f>IF('BS &amp; CF'!BB6=BB185,"ok",'BS &amp; CF'!BB6-BB185)</f>
        <v>ok</v>
      </c>
      <c r="BC187" s="968" t="str">
        <f>IF('BS &amp; CF'!BC6=BC185,"ok",'BS &amp; CF'!BC6-BC185)</f>
        <v>ok</v>
      </c>
      <c r="BD187" s="968" t="str">
        <f>IF('BS &amp; CF'!BD6=BD185,"ok",'BS &amp; CF'!BD6-BD185)</f>
        <v>ok</v>
      </c>
      <c r="BE187" s="970" t="str">
        <f>IF('BS &amp; CF'!BE6=BE185,"ok",'BS &amp; CF'!BE6-BE185)</f>
        <v>ok</v>
      </c>
      <c r="BF187" s="968" t="str">
        <f>IF('BS &amp; CF'!BF6=BF185,"ok",'BS &amp; CF'!BF6-BF185)</f>
        <v>ok</v>
      </c>
      <c r="BG187" s="968" t="str">
        <f>IF('BS &amp; CF'!BG6=BG185,"ok",'BS &amp; CF'!BG6-BG185)</f>
        <v>ok</v>
      </c>
      <c r="BH187" s="968" t="str">
        <f>IF('BS &amp; CF'!BH6=BH185,"ok",'BS &amp; CF'!BH6-BH185)</f>
        <v>ok</v>
      </c>
      <c r="BI187" s="968" t="str">
        <f>IF('BS &amp; CF'!BI6=BI185,"ok",'BS &amp; CF'!BI6-BI185)</f>
        <v>ok</v>
      </c>
      <c r="BJ187" s="970" t="str">
        <f>IF('BS &amp; CF'!BJ6=BJ185,"ok",'BS &amp; CF'!BJ6-BJ185)</f>
        <v>ok</v>
      </c>
      <c r="BK187" s="968" t="str">
        <f>IF('BS &amp; CF'!BK6=BK185,"ok",'BS &amp; CF'!BK6-BK185)</f>
        <v>ok</v>
      </c>
      <c r="BL187" s="968" t="str">
        <f>IF('BS &amp; CF'!BL6=BL185,"ok",'BS &amp; CF'!BL6-BL185)</f>
        <v>ok</v>
      </c>
      <c r="BM187" s="968" t="str">
        <f>IF('BS &amp; CF'!BM6=BM185,"ok",'BS &amp; CF'!BM6-BM185)</f>
        <v>ok</v>
      </c>
      <c r="BN187" s="968" t="str">
        <f>IF('BS &amp; CF'!BN6=BN185,"ok",'BS &amp; CF'!BN6-BN185)</f>
        <v>ok</v>
      </c>
      <c r="BO187" s="970" t="str">
        <f>IF('BS &amp; CF'!BO6=BO185,"ok",'BS &amp; CF'!BO6-BO185)</f>
        <v>ok</v>
      </c>
      <c r="BP187" s="968" t="str">
        <f>IF('BS &amp; CF'!BP6=BP185,"ok",'BS &amp; CF'!BP6-BP185)</f>
        <v>ok</v>
      </c>
      <c r="BQ187" s="968" t="str">
        <f>IF('BS &amp; CF'!BQ6=BQ185,"ok",'BS &amp; CF'!BQ6-BQ185)</f>
        <v>ok</v>
      </c>
      <c r="BR187" s="968" t="str">
        <f>IF('BS &amp; CF'!BR6=BR185,"ok",'BS &amp; CF'!BR6-BR185)</f>
        <v>ok</v>
      </c>
      <c r="BS187" s="968" t="str">
        <f>IF('BS &amp; CF'!BS6=BS185,"ok",'BS &amp; CF'!BS6-BS185)</f>
        <v>ok</v>
      </c>
      <c r="BT187" s="970" t="str">
        <f>IF('BS &amp; CF'!BT6=BT185,"ok",'BS &amp; CF'!BT6-BT185)</f>
        <v>ok</v>
      </c>
      <c r="BU187" s="968" t="str">
        <f>IF('BS &amp; CF'!BU6=BU185,"ok",'BS &amp; CF'!BU6-BU185)</f>
        <v>ok</v>
      </c>
      <c r="BV187" s="968" t="str">
        <f>IF('BS &amp; CF'!BV6=BV185,"ok",'BS &amp; CF'!BV6-BV185)</f>
        <v>ok</v>
      </c>
      <c r="BW187" s="968" t="str">
        <f>IF('BS &amp; CF'!BW6=BW185,"ok",'BS &amp; CF'!BW6-BW185)</f>
        <v>ok</v>
      </c>
      <c r="BX187" s="968" t="str">
        <f>IF('BS &amp; CF'!BX6=BX185,"ok",'BS &amp; CF'!BX6-BX185)</f>
        <v>ok</v>
      </c>
      <c r="BY187" s="970" t="str">
        <f>IF('BS &amp; CF'!BY6=BY185,"ok",'BS &amp; CF'!BY6-BY185)</f>
        <v>ok</v>
      </c>
      <c r="BZ187" s="968" t="str">
        <f>IF('BS &amp; CF'!BZ6=BZ185,"ok",'BS &amp; CF'!BZ6-BZ185)</f>
        <v>ok</v>
      </c>
      <c r="CA187" s="968" t="str">
        <f>IF(ROUND('BS &amp; CF'!CA6,3)=ROUND(CA185,3),"ok",'BS &amp; CF'!CA6-CA185)</f>
        <v>ok</v>
      </c>
      <c r="CB187" s="968" t="str">
        <f>IF(ROUND('BS &amp; CF'!CB6,3)=ROUND(CB185,3),"ok",'BS &amp; CF'!CB6-CB185)</f>
        <v>ok</v>
      </c>
      <c r="CC187" s="968" t="str">
        <f>IF(ROUND('BS &amp; CF'!CC6,3)=ROUND(CC185,3),"ok",'BS &amp; CF'!CC6-CC185)</f>
        <v>ok</v>
      </c>
      <c r="CD187" s="970" t="str">
        <f>IF(ROUND('BS &amp; CF'!CD6,3)=ROUND(CD185,3),"ok",'BS &amp; CF'!CD6-CD185)</f>
        <v>ok</v>
      </c>
      <c r="CE187" s="968" t="str">
        <f>IF(ROUND('BS &amp; CF'!CE6,3)=ROUND(CE185,3),"ok",'BS &amp; CF'!CE6-CE185)</f>
        <v>ok</v>
      </c>
      <c r="CF187" s="968" t="str">
        <f>IF(ROUND('BS &amp; CF'!CF6,3)=ROUND(CF185,3),"ok",'BS &amp; CF'!CF6-CF185)</f>
        <v>ok</v>
      </c>
      <c r="CG187" s="968" t="str">
        <f>IF(ROUND('BS &amp; CF'!CG6,3)=ROUND(CG185,3),"ok",'BS &amp; CF'!CG6-CG185)</f>
        <v>ok</v>
      </c>
      <c r="CH187" s="968" t="str">
        <f>IF(ROUND('BS &amp; CF'!CH6,3)=ROUND(CH185,3),"ok",'BS &amp; CF'!CH6-CH185)</f>
        <v>ok</v>
      </c>
      <c r="CI187" s="970" t="str">
        <f>IF(ROUND('BS &amp; CF'!CI6,3)=ROUND(CI185,3),"ok",'BS &amp; CF'!CI6-CI185)</f>
        <v>ok</v>
      </c>
      <c r="CJ187" s="968" t="str">
        <f>IF(ROUND('BS &amp; CF'!CJ6,3)=ROUND(CJ185,3),"ok",'BS &amp; CF'!CJ6-CJ185)</f>
        <v>ok</v>
      </c>
      <c r="CK187" s="968" t="str">
        <f>IF(ROUND('BS &amp; CF'!CK6,3)=ROUND(CK185,3),"ok",'BS &amp; CF'!CK6-CK185)</f>
        <v>ok</v>
      </c>
      <c r="CL187" s="968" t="str">
        <f>IF(ROUND('BS &amp; CF'!CL6,3)=ROUND(CL185,3),"ok",'BS &amp; CF'!CL6-CL185)</f>
        <v>ok</v>
      </c>
      <c r="CM187" s="968" t="str">
        <f>IF(ROUND('BS &amp; CF'!CM6,3)=ROUND(CM185,3),"ok",'BS &amp; CF'!CM6-CM185)</f>
        <v>ok</v>
      </c>
      <c r="CN187" s="970" t="str">
        <f>IF(ROUND('BS &amp; CF'!CN6,3)=ROUND(CN185,3),"ok",'BS &amp; CF'!CN6-CN185)</f>
        <v>ok</v>
      </c>
      <c r="CO187" s="968" t="str">
        <f>IF(ROUND('BS &amp; CF'!CO6,3)=ROUND(CO185,3),"ok",'BS &amp; CF'!CO6-CO185)</f>
        <v>ok</v>
      </c>
      <c r="CP187" s="968" t="str">
        <f>IF(ROUND('BS &amp; CF'!CP6,3)=ROUND(CP185,3),"ok",'BS &amp; CF'!CP6-CP185)</f>
        <v>ok</v>
      </c>
      <c r="CQ187" s="968" t="str">
        <f>IF(ROUND('BS &amp; CF'!CQ6,3)=ROUND(CQ185,3),"ok",'BS &amp; CF'!CQ6-CQ185)</f>
        <v>ok</v>
      </c>
      <c r="CR187" s="968" t="str">
        <f>IF(ROUND('BS &amp; CF'!CR6,3)=ROUND(CR185,3),"ok",'BS &amp; CF'!CR6-CR185)</f>
        <v>ok</v>
      </c>
      <c r="CS187" s="970" t="str">
        <f>IF(ROUND('BS &amp; CF'!CS6,3)=ROUND(CS185,3),"ok",'BS &amp; CF'!CS6-CS185)</f>
        <v>ok</v>
      </c>
      <c r="CT187" s="968" t="str">
        <f>IF(ROUND('BS &amp; CF'!CT6,3)=ROUND(CT185,3),"ok",'BS &amp; CF'!CT6-CT185)</f>
        <v>ok</v>
      </c>
      <c r="CU187" s="968" t="str">
        <f>IF(ROUND('BS &amp; CF'!CU6,3)=ROUND(CU185,3),"ok",'BS &amp; CF'!CU6-CU185)</f>
        <v>ok</v>
      </c>
      <c r="CV187" s="968" t="str">
        <f>IF(ROUND('BS &amp; CF'!CV6,3)=ROUND(CV185,3),"ok",'BS &amp; CF'!CV6-CV185)</f>
        <v>ok</v>
      </c>
      <c r="CW187" s="968" t="str">
        <f>IF(ROUND('BS &amp; CF'!CW6,3)=ROUND(CW185,3),"ok",'BS &amp; CF'!CW6-CW185)</f>
        <v>ok</v>
      </c>
      <c r="CX187" s="970" t="str">
        <f>IF(ROUND('BS &amp; CF'!CX6,3)=ROUND(CX185,3),"ok",'BS &amp; CF'!CX6-CX185)</f>
        <v>ok</v>
      </c>
      <c r="CY187" s="968" t="str">
        <f>IF(ROUND('BS &amp; CF'!CY6,3)=ROUND(CY185,3),"ok",'BS &amp; CF'!CY6-CY185)</f>
        <v>ok</v>
      </c>
      <c r="CZ187" s="968" t="str">
        <f>IF(ROUND('BS &amp; CF'!CZ6,3)=ROUND(CZ185,3),"ok",'BS &amp; CF'!CZ6-CZ185)</f>
        <v>ok</v>
      </c>
      <c r="DA187" s="968" t="str">
        <f>IF(ROUND('BS &amp; CF'!DA6,3)=ROUND(DA185,3),"ok",'BS &amp; CF'!DA6-DA185)</f>
        <v>ok</v>
      </c>
      <c r="DB187" s="968" t="str">
        <f>IF(ROUND('BS &amp; CF'!DB6,3)=ROUND(DB185,3),"ok",'BS &amp; CF'!DB6-DB185)</f>
        <v>ok</v>
      </c>
      <c r="DC187" s="970" t="str">
        <f>IF(ROUND('BS &amp; CF'!DC6,3)=ROUND(DC185,3),"ok",'BS &amp; CF'!DC6-DC185)</f>
        <v>ok</v>
      </c>
      <c r="DD187" s="968" t="str">
        <f>IF(ROUND('BS &amp; CF'!DD6,3)=ROUND(DD185,3),"ok",'BS &amp; CF'!DD6-DD185)</f>
        <v>ok</v>
      </c>
      <c r="DE187" s="968" t="str">
        <f>IF(ROUND('BS &amp; CF'!DE6,3)=ROUND(DE185,3),"ok",'BS &amp; CF'!DE6-DE185)</f>
        <v>ok</v>
      </c>
      <c r="DF187" s="968" t="str">
        <f>IF(ROUND('BS &amp; CF'!DF6,3)=ROUND(DF185,3),"ok",'BS &amp; CF'!DF6-DF185)</f>
        <v>ok</v>
      </c>
      <c r="DG187" s="968" t="str">
        <f>IF(ROUND('BS &amp; CF'!DG6,3)=ROUND(DG185,3),"ok",'BS &amp; CF'!DG6-DG185)</f>
        <v>ok</v>
      </c>
      <c r="DH187" s="970" t="str">
        <f>IF(ROUND('BS &amp; CF'!DH6,3)=ROUND(DH185,3),"ok",'BS &amp; CF'!DH6-DH185)</f>
        <v>ok</v>
      </c>
      <c r="DI187" s="968" t="str">
        <f>IF(ROUND('BS &amp; CF'!DI6,3)=ROUND(DI185,3),"ok",'BS &amp; CF'!DI6-DI185)</f>
        <v>ok</v>
      </c>
      <c r="DJ187" s="968" t="str">
        <f>IF(ROUND('BS &amp; CF'!DJ6,3)=ROUND(DJ185,3),"ok",'BS &amp; CF'!DJ6-DJ185)</f>
        <v>ok</v>
      </c>
      <c r="DK187" s="968" t="str">
        <f>IF(ROUND('BS &amp; CF'!DK6,3)=ROUND(DK185,3),"ok",'BS &amp; CF'!DK6-DK185)</f>
        <v>ok</v>
      </c>
      <c r="DL187" s="968" t="str">
        <f>IF(ROUND('BS &amp; CF'!DL6,3)=ROUND(DL185,3),"ok",'BS &amp; CF'!DL6-DL185)</f>
        <v>ok</v>
      </c>
      <c r="DM187" s="970" t="str">
        <f>IF(ROUND('BS &amp; CF'!DM6,3)=ROUND(DM185,3),"ok",'BS &amp; CF'!DM6-DM185)</f>
        <v>ok</v>
      </c>
      <c r="DN187" s="968" t="str">
        <f>IF(ROUND('BS &amp; CF'!DN6,3)=ROUND(DN185,3),"ok",'BS &amp; CF'!DN6-DN185)</f>
        <v>ok</v>
      </c>
      <c r="DO187" s="968" t="str">
        <f>IF(ROUND('BS &amp; CF'!DO6,3)=ROUND(DO185,3),"ok",'BS &amp; CF'!DO6-DO185)</f>
        <v>ok</v>
      </c>
      <c r="DP187" s="968" t="str">
        <f>IF(ROUND('BS &amp; CF'!DP6,3)=ROUND(DP185,3),"ok",'BS &amp; CF'!DP6-DP185)</f>
        <v>ok</v>
      </c>
      <c r="DQ187" s="968" t="str">
        <f>IF(ROUND('BS &amp; CF'!DQ6,3)=ROUND(DQ185,3),"ok",'BS &amp; CF'!DQ6-DQ185)</f>
        <v>ok</v>
      </c>
      <c r="DR187" s="970">
        <f>IF(ROUND('BS &amp; CF'!DR6,3)=ROUND(DR185,3),"ok",'BS &amp; CF'!DR6-DR185)</f>
        <v>-716</v>
      </c>
      <c r="DS187" s="968">
        <f>IF(ROUND('BS &amp; CF'!DS6,3)=ROUND(DS185,3),"ok",'BS &amp; CF'!DS6-DS185)</f>
        <v>716</v>
      </c>
      <c r="DT187" s="968" t="str">
        <f>IF(ROUND('BS &amp; CF'!DT6,3)=ROUND(DT185,3),"ok",'BS &amp; CF'!DT6-DT185)</f>
        <v>ok</v>
      </c>
      <c r="DU187" s="968" t="str">
        <f>IF(ROUND('BS &amp; CF'!DU6,3)=ROUND(DU185,3),"ok",'BS &amp; CF'!DU6-DU185)</f>
        <v>ok</v>
      </c>
      <c r="DV187" s="968" t="str">
        <f>IF(ROUND('BS &amp; CF'!DV6,3)=ROUND(DV185,3),"ok",'BS &amp; CF'!DV6-DV185)</f>
        <v>ok</v>
      </c>
      <c r="DW187" s="970">
        <f>IF(ROUND('BS &amp; CF'!DW6,3)=ROUND(DW185,3),"ok",'BS &amp; CF'!DW6-DW185)</f>
        <v>716</v>
      </c>
      <c r="DX187" s="968" t="str">
        <f>IF(ROUND('BS &amp; CF'!DX6,3)=ROUND(DX185,3),"ok",'BS &amp; CF'!DX6-DX185)</f>
        <v>ok</v>
      </c>
      <c r="DY187" s="968" t="str">
        <f>IF(ROUND('BS &amp; CF'!DY6,3)=ROUND(DY185,3),"ok",'BS &amp; CF'!DY6-DY185)</f>
        <v>ok</v>
      </c>
      <c r="DZ187" s="968" t="str">
        <f>IF(ROUND('BS &amp; CF'!DZ6,3)=ROUND(DZ185,3),"ok",'BS &amp; CF'!DZ6-DZ185)</f>
        <v>ok</v>
      </c>
      <c r="EA187" s="968" t="str">
        <f>IF(ROUND('BS &amp; CF'!EA6,3)=ROUND(EA185,3),"ok",'BS &amp; CF'!EA6-EA185)</f>
        <v>ok</v>
      </c>
      <c r="EB187" s="970" t="str">
        <f>IF(ROUND('BS &amp; CF'!EB6,3)=ROUND(EB185,3),"ok",'BS &amp; CF'!EB6-EB185)</f>
        <v>ok</v>
      </c>
      <c r="EC187" s="968" t="str">
        <f>IF(ROUND('BS &amp; CF'!EC6,3)=ROUND(EC185,3),"ok",'BS &amp; CF'!EC6-EC185)</f>
        <v>ok</v>
      </c>
      <c r="ED187" s="968" t="str">
        <f>IF(ROUND('BS &amp; CF'!ED6,3)=ROUND(ED185,3),"ok",'BS &amp; CF'!ED6-ED185)</f>
        <v>ok</v>
      </c>
      <c r="EE187" s="968" t="str">
        <f>IF(ROUND('BS &amp; CF'!EE6,3)=ROUND(EE185,3),"ok",'BS &amp; CF'!EE6-EE185)</f>
        <v>ok</v>
      </c>
      <c r="EF187" s="968" t="str">
        <f>IF(ROUND('BS &amp; CF'!EF6,3)=ROUND(EF185,3),"ok",'BS &amp; CF'!EF6-EF185)</f>
        <v>ok</v>
      </c>
      <c r="EG187" s="970" t="str">
        <f>IF(ROUND('BS &amp; CF'!EG6,3)=ROUND(EG185,3),"ok",'BS &amp; CF'!EG6-EG185)</f>
        <v>ok</v>
      </c>
      <c r="EH187" s="968" t="str">
        <f>IF(ROUND('BS &amp; CF'!EH6,3)=ROUND(EH185,3),"ok",'BS &amp; CF'!EH6-EH185)</f>
        <v>ok</v>
      </c>
      <c r="EI187" s="968" t="str">
        <f>IF(ROUND('BS &amp; CF'!EI6,3)=ROUND(EI185,3),"ok",'BS &amp; CF'!EI6-EI185)</f>
        <v>ok</v>
      </c>
      <c r="EJ187" s="968" t="str">
        <f>IF(ROUND('BS &amp; CF'!EJ6,3)=ROUND(EJ185,3),"ok",'BS &amp; CF'!EJ6-EJ185)</f>
        <v>ok</v>
      </c>
      <c r="EK187" s="968" t="str">
        <f>IF(ROUND('BS &amp; CF'!EK6,3)=ROUND(EK185,3),"ok",'BS &amp; CF'!EK6-EK185)</f>
        <v>ok</v>
      </c>
      <c r="EL187" s="970" t="str">
        <f>IF(ROUND('BS &amp; CF'!EL6,3)=ROUND(EL185,3),"ok",'BS &amp; CF'!EL6-EL185)</f>
        <v>ok</v>
      </c>
      <c r="EM187" s="971"/>
      <c r="EN187"/>
      <c r="EO187"/>
      <c r="EP187"/>
      <c r="EQ187"/>
      <c r="ER187"/>
      <c r="ES187"/>
      <c r="ET187" s="135"/>
      <c r="EU187" s="135"/>
      <c r="EV187" s="135"/>
      <c r="EW187" s="135"/>
      <c r="EX187" s="135"/>
      <c r="EY187" s="135"/>
      <c r="EZ187" s="135"/>
      <c r="FA187" s="135"/>
      <c r="FB187" s="135"/>
      <c r="FC187" s="135"/>
      <c r="FD187" s="135"/>
      <c r="FE187" s="135"/>
      <c r="FF187" s="135"/>
      <c r="FG187" s="135"/>
      <c r="FH187" s="135"/>
      <c r="FI187" s="135"/>
      <c r="FJ187" s="135"/>
      <c r="FK187" s="135"/>
      <c r="FL187" s="135"/>
      <c r="FM187" s="135"/>
      <c r="FN187" s="135"/>
      <c r="FO187" s="135"/>
      <c r="FP187" s="135"/>
      <c r="FQ187" s="135"/>
      <c r="FR187" s="135"/>
      <c r="FS187" s="135"/>
      <c r="FT187" s="135"/>
      <c r="FU187" s="135"/>
      <c r="FV187" s="135"/>
      <c r="FW187" s="135"/>
      <c r="FX187" s="135"/>
      <c r="FY187" s="135"/>
      <c r="FZ187" s="135"/>
      <c r="GA187" s="135"/>
      <c r="GB187" s="135"/>
      <c r="GC187" s="135"/>
      <c r="GD187" s="135"/>
      <c r="GE187" s="135"/>
      <c r="GF187" s="135"/>
      <c r="GG187" s="135"/>
      <c r="GH187" s="135"/>
      <c r="GI187" s="135"/>
      <c r="GJ187" s="135"/>
      <c r="GK187" s="135"/>
      <c r="GL187" s="135"/>
      <c r="GM187" s="135"/>
      <c r="GN187" s="135"/>
      <c r="GO187" s="135"/>
      <c r="GP187" s="135"/>
      <c r="GQ187" s="135"/>
      <c r="GR187" s="135"/>
      <c r="GS187" s="135"/>
      <c r="GT187" s="135"/>
      <c r="GU187" s="135"/>
      <c r="GV187" s="135"/>
      <c r="GW187" s="135"/>
      <c r="GX187" s="135"/>
      <c r="GY187" s="135"/>
      <c r="GZ187" s="135"/>
      <c r="HA187" s="135"/>
      <c r="HB187" s="135"/>
      <c r="HC187" s="135"/>
      <c r="HD187" s="135"/>
      <c r="HE187" s="135"/>
      <c r="HF187" s="135"/>
      <c r="HG187" s="135"/>
      <c r="HH187" s="135"/>
      <c r="HI187" s="135"/>
      <c r="HJ187" s="135"/>
      <c r="HK187" s="135"/>
      <c r="HL187" s="135"/>
      <c r="HM187" s="135"/>
      <c r="HN187" s="135"/>
      <c r="HO187" s="135"/>
      <c r="HP187" s="135"/>
      <c r="HQ187" s="135"/>
      <c r="HR187" s="135"/>
      <c r="HS187" s="135"/>
      <c r="HT187" s="135"/>
      <c r="HU187" s="135"/>
      <c r="HV187" s="135"/>
      <c r="HW187" s="135"/>
      <c r="HX187" s="135"/>
      <c r="HY187" s="135"/>
      <c r="HZ187" s="135"/>
      <c r="IA187" s="135"/>
      <c r="IB187" s="135"/>
      <c r="IC187" s="135"/>
      <c r="ID187" s="135"/>
      <c r="IE187" s="135"/>
      <c r="IF187" s="135"/>
      <c r="IG187" s="135"/>
      <c r="IH187" s="135"/>
      <c r="II187" s="135"/>
      <c r="IJ187" s="135"/>
      <c r="IK187" s="135"/>
      <c r="IL187" s="135"/>
      <c r="IM187" s="135"/>
      <c r="IN187" s="135"/>
      <c r="IO187" s="135"/>
      <c r="IP187" s="135"/>
      <c r="IQ187" s="135"/>
      <c r="IR187" s="135"/>
      <c r="IS187" s="135"/>
      <c r="IT187" s="135"/>
      <c r="IU187" s="135"/>
      <c r="IV187" s="135"/>
      <c r="IW187" s="135"/>
      <c r="IX187" s="135"/>
      <c r="IY187" s="135"/>
      <c r="IZ187" s="135"/>
      <c r="JA187" s="135"/>
      <c r="JB187" s="135"/>
      <c r="JC187" s="135"/>
      <c r="JD187" s="135"/>
      <c r="JE187" s="135"/>
      <c r="JF187" s="135"/>
      <c r="JG187" s="135"/>
      <c r="JH187" s="135"/>
    </row>
    <row r="188" spans="1:268" s="4" customFormat="1" collapsed="1">
      <c r="A188" s="801"/>
      <c r="B188" s="557"/>
      <c r="C188" s="555"/>
      <c r="D188" s="555"/>
      <c r="E188" s="555"/>
      <c r="F188" s="555"/>
      <c r="G188" s="555"/>
      <c r="H188" s="802"/>
      <c r="I188" s="555"/>
      <c r="J188" s="555"/>
      <c r="K188" s="555"/>
      <c r="L188" s="555"/>
      <c r="M188" s="802"/>
      <c r="N188" s="555"/>
      <c r="O188" s="555"/>
      <c r="P188" s="555"/>
      <c r="Q188" s="555"/>
      <c r="R188" s="802"/>
      <c r="S188" s="555"/>
      <c r="T188" s="555"/>
      <c r="U188" s="555"/>
      <c r="V188" s="555"/>
      <c r="W188" s="802"/>
      <c r="X188" s="555"/>
      <c r="Y188" s="555"/>
      <c r="Z188" s="555"/>
      <c r="AA188" s="555"/>
      <c r="AB188" s="802"/>
      <c r="AC188" s="555"/>
      <c r="AD188" s="555"/>
      <c r="AE188" s="555"/>
      <c r="AF188" s="555"/>
      <c r="AG188" s="802"/>
      <c r="AH188" s="555"/>
      <c r="AI188" s="555"/>
      <c r="AJ188" s="555"/>
      <c r="AK188" s="555"/>
      <c r="AL188" s="802"/>
      <c r="AM188" s="555"/>
      <c r="AN188" s="555"/>
      <c r="AO188" s="555"/>
      <c r="AP188" s="555"/>
      <c r="AQ188" s="802"/>
      <c r="AR188" s="555"/>
      <c r="AS188" s="555"/>
      <c r="AT188" s="555"/>
      <c r="AU188" s="802"/>
      <c r="AV188" s="555"/>
      <c r="AW188" s="555"/>
      <c r="AX188" s="555"/>
      <c r="AY188" s="555"/>
      <c r="AZ188" s="802"/>
      <c r="BA188" s="555"/>
      <c r="BB188" s="555"/>
      <c r="BC188" s="555"/>
      <c r="BD188" s="555"/>
      <c r="BE188" s="802"/>
      <c r="BF188" s="555"/>
      <c r="BG188" s="555"/>
      <c r="BH188" s="555"/>
      <c r="BI188" s="555"/>
      <c r="BJ188" s="802"/>
      <c r="BK188" s="555"/>
      <c r="BL188" s="555"/>
      <c r="BM188" s="555"/>
      <c r="BN188" s="555"/>
      <c r="BO188" s="802"/>
      <c r="BP188" s="555"/>
      <c r="BQ188" s="555"/>
      <c r="BR188" s="555"/>
      <c r="BS188" s="555"/>
      <c r="BT188" s="802"/>
      <c r="BU188" s="555"/>
      <c r="BV188" s="555"/>
      <c r="BW188" s="555"/>
      <c r="BX188" s="555"/>
      <c r="BY188" s="802"/>
      <c r="BZ188" s="557"/>
      <c r="CA188" s="555"/>
      <c r="CB188" s="555"/>
      <c r="CC188" s="555"/>
      <c r="CD188" s="802"/>
      <c r="CE188" s="555"/>
      <c r="CF188" s="555"/>
      <c r="CG188" s="555"/>
      <c r="CH188" s="555"/>
      <c r="CI188" s="802"/>
      <c r="CJ188" s="555"/>
      <c r="CK188" s="555"/>
      <c r="CL188" s="555"/>
      <c r="CM188" s="555"/>
      <c r="CN188" s="802"/>
      <c r="CO188" s="557"/>
      <c r="CP188" s="1097"/>
      <c r="CQ188" s="555"/>
      <c r="CR188" s="555"/>
      <c r="CS188" s="802"/>
      <c r="CT188" s="555"/>
      <c r="CU188" s="555"/>
      <c r="CV188" s="555"/>
      <c r="CW188" s="555"/>
      <c r="CX188" s="802"/>
      <c r="CY188" s="555"/>
      <c r="CZ188" s="555"/>
      <c r="DA188" s="555"/>
      <c r="DB188" s="555"/>
      <c r="DC188" s="802"/>
      <c r="DD188" s="555"/>
      <c r="DE188" s="555"/>
      <c r="DF188" s="555"/>
      <c r="DG188" s="555"/>
      <c r="DH188" s="802"/>
      <c r="DI188" s="555"/>
      <c r="DJ188" s="555"/>
      <c r="DK188" s="555"/>
      <c r="DL188" s="555"/>
      <c r="DM188" s="802"/>
      <c r="DN188" s="555"/>
      <c r="DO188" s="555"/>
      <c r="DP188" s="555"/>
      <c r="DQ188" s="555"/>
      <c r="DR188" s="802"/>
      <c r="DS188" s="555"/>
      <c r="DT188" s="555"/>
      <c r="DU188" s="555"/>
      <c r="DV188" s="555"/>
      <c r="DW188" s="802"/>
      <c r="DX188" s="555"/>
      <c r="DY188" s="555"/>
      <c r="DZ188" s="555"/>
      <c r="EA188" s="555"/>
      <c r="EB188" s="802"/>
      <c r="EC188" s="555"/>
      <c r="ED188" s="555"/>
      <c r="EE188" s="555"/>
      <c r="EF188" s="555"/>
      <c r="EG188" s="802"/>
      <c r="EH188" s="555"/>
      <c r="EI188" s="555"/>
      <c r="EJ188" s="555"/>
      <c r="EK188" s="555"/>
      <c r="EL188" s="802"/>
      <c r="EM188" s="555"/>
      <c r="EN188"/>
      <c r="EO188"/>
      <c r="EP188"/>
      <c r="EQ188"/>
      <c r="ER188"/>
      <c r="ES188"/>
      <c r="ET188" s="135"/>
      <c r="EU188" s="135"/>
      <c r="EV188" s="135"/>
      <c r="EW188" s="135"/>
      <c r="EX188" s="135"/>
      <c r="EY188" s="135"/>
      <c r="EZ188" s="135"/>
      <c r="FA188" s="135"/>
      <c r="FB188" s="135"/>
      <c r="FC188" s="135"/>
      <c r="FD188" s="135"/>
      <c r="FE188" s="135"/>
      <c r="FF188" s="135"/>
      <c r="FG188" s="135"/>
      <c r="FH188" s="135"/>
      <c r="FI188" s="135"/>
      <c r="FJ188" s="135"/>
      <c r="FK188" s="135"/>
      <c r="FL188" s="135"/>
      <c r="FM188" s="135"/>
      <c r="FN188" s="135"/>
      <c r="FO188" s="135"/>
      <c r="FP188" s="135"/>
      <c r="FQ188" s="135"/>
      <c r="FR188" s="135"/>
      <c r="FS188" s="135"/>
      <c r="FT188" s="135"/>
      <c r="FU188" s="135"/>
      <c r="FV188" s="135"/>
      <c r="FW188" s="135"/>
      <c r="FX188" s="135"/>
      <c r="FY188" s="135"/>
      <c r="FZ188" s="135"/>
      <c r="GA188" s="135"/>
      <c r="GB188" s="135"/>
      <c r="GC188" s="135"/>
      <c r="GD188" s="135"/>
      <c r="GE188" s="135"/>
      <c r="GF188" s="135"/>
      <c r="GG188" s="135"/>
      <c r="GH188" s="135"/>
      <c r="GI188" s="135"/>
      <c r="GJ188" s="135"/>
      <c r="GK188" s="135"/>
      <c r="GL188" s="135"/>
      <c r="GM188" s="135"/>
      <c r="GN188" s="135"/>
      <c r="GO188" s="135"/>
      <c r="GP188" s="135"/>
      <c r="GQ188" s="135"/>
      <c r="GR188" s="135"/>
      <c r="GS188" s="135"/>
      <c r="GT188" s="135"/>
      <c r="GU188" s="135"/>
      <c r="GV188" s="135"/>
      <c r="GW188" s="135"/>
      <c r="GX188" s="135"/>
      <c r="GY188" s="135"/>
      <c r="GZ188" s="135"/>
      <c r="HA188" s="135"/>
      <c r="HB188" s="135"/>
      <c r="HC188" s="135"/>
      <c r="HD188" s="135"/>
      <c r="HE188" s="135"/>
      <c r="HF188" s="135"/>
      <c r="HG188" s="135"/>
      <c r="HH188" s="135"/>
      <c r="HI188" s="135"/>
      <c r="HJ188" s="135"/>
      <c r="HK188" s="135"/>
      <c r="HL188" s="135"/>
      <c r="HM188" s="135"/>
      <c r="HN188" s="135"/>
      <c r="HO188" s="135"/>
      <c r="HP188" s="135"/>
      <c r="HQ188" s="135"/>
      <c r="HR188" s="135"/>
      <c r="HS188" s="135"/>
      <c r="HT188" s="135"/>
      <c r="HU188" s="135"/>
      <c r="HV188" s="135"/>
      <c r="HW188" s="135"/>
      <c r="HX188" s="135"/>
      <c r="HY188" s="135"/>
      <c r="HZ188" s="135"/>
      <c r="IA188" s="135"/>
      <c r="IB188" s="135"/>
      <c r="IC188" s="135"/>
      <c r="ID188" s="135"/>
      <c r="IE188" s="135"/>
      <c r="IF188" s="135"/>
      <c r="IG188" s="135"/>
      <c r="IH188" s="135"/>
      <c r="II188" s="135"/>
      <c r="IJ188" s="135"/>
      <c r="IK188" s="135"/>
      <c r="IL188" s="135"/>
      <c r="IM188" s="135"/>
      <c r="IN188" s="135"/>
      <c r="IO188" s="135"/>
      <c r="IP188" s="135"/>
      <c r="IQ188" s="135"/>
      <c r="IR188" s="135"/>
      <c r="IS188" s="135"/>
      <c r="IT188" s="135"/>
      <c r="IU188" s="135"/>
      <c r="IV188" s="135"/>
      <c r="IW188" s="135"/>
      <c r="IX188" s="135"/>
      <c r="IY188" s="135"/>
      <c r="IZ188" s="135"/>
      <c r="JA188" s="135"/>
      <c r="JB188" s="135"/>
      <c r="JC188" s="135"/>
      <c r="JD188" s="135"/>
      <c r="JE188" s="135"/>
      <c r="JF188" s="135"/>
      <c r="JG188" s="135"/>
      <c r="JH188" s="135"/>
    </row>
    <row r="189" spans="1:268" s="4" customFormat="1">
      <c r="A189" s="972"/>
      <c r="B189" s="973" t="s">
        <v>87</v>
      </c>
      <c r="C189" s="892"/>
      <c r="D189" s="892"/>
      <c r="E189" s="892"/>
      <c r="F189" s="892"/>
      <c r="G189" s="892"/>
      <c r="H189" s="1001"/>
      <c r="I189" s="892"/>
      <c r="J189" s="892"/>
      <c r="K189" s="892"/>
      <c r="L189" s="892"/>
      <c r="M189" s="1001"/>
      <c r="N189" s="892"/>
      <c r="O189" s="892"/>
      <c r="P189" s="892"/>
      <c r="Q189" s="892"/>
      <c r="R189" s="1001"/>
      <c r="S189" s="892"/>
      <c r="T189" s="892"/>
      <c r="U189" s="892"/>
      <c r="V189" s="892"/>
      <c r="W189" s="1001"/>
      <c r="X189" s="892"/>
      <c r="Y189" s="892"/>
      <c r="Z189" s="892"/>
      <c r="AA189" s="892"/>
      <c r="AB189" s="1001"/>
      <c r="AC189" s="892"/>
      <c r="AD189" s="892"/>
      <c r="AE189" s="892"/>
      <c r="AF189" s="892"/>
      <c r="AG189" s="1001"/>
      <c r="AH189" s="892"/>
      <c r="AI189" s="892"/>
      <c r="AJ189" s="892"/>
      <c r="AK189" s="892"/>
      <c r="AL189" s="1001"/>
      <c r="AM189" s="892"/>
      <c r="AN189" s="892"/>
      <c r="AO189" s="892"/>
      <c r="AP189" s="892"/>
      <c r="AQ189" s="1001"/>
      <c r="AR189" s="892"/>
      <c r="AS189" s="892"/>
      <c r="AT189" s="892"/>
      <c r="AU189" s="802"/>
      <c r="AV189" s="892"/>
      <c r="AW189" s="892"/>
      <c r="AX189" s="892"/>
      <c r="AY189" s="892"/>
      <c r="AZ189" s="1001"/>
      <c r="BA189" s="892"/>
      <c r="BB189" s="892"/>
      <c r="BC189" s="892"/>
      <c r="BD189" s="892"/>
      <c r="BE189" s="1001"/>
      <c r="BF189" s="892"/>
      <c r="BG189" s="892"/>
      <c r="BH189" s="892"/>
      <c r="BI189" s="892"/>
      <c r="BJ189" s="1001"/>
      <c r="BK189" s="892"/>
      <c r="BL189" s="892"/>
      <c r="BM189" s="892"/>
      <c r="BN189" s="892"/>
      <c r="BO189" s="1001"/>
      <c r="BP189" s="892"/>
      <c r="BQ189" s="892"/>
      <c r="BR189" s="892"/>
      <c r="BS189" s="892"/>
      <c r="BT189" s="1001"/>
      <c r="BU189" s="892"/>
      <c r="BV189" s="892"/>
      <c r="BW189" s="892"/>
      <c r="BX189" s="892"/>
      <c r="BY189" s="1001"/>
      <c r="BZ189" s="804"/>
      <c r="CA189" s="892"/>
      <c r="CB189" s="892"/>
      <c r="CC189" s="892"/>
      <c r="CD189" s="1001"/>
      <c r="CE189" s="892"/>
      <c r="CF189" s="892"/>
      <c r="CG189" s="892"/>
      <c r="CH189" s="892"/>
      <c r="CI189" s="1001"/>
      <c r="CJ189" s="892"/>
      <c r="CK189" s="892"/>
      <c r="CL189" s="892"/>
      <c r="CM189" s="892"/>
      <c r="CN189" s="1001"/>
      <c r="CO189" s="892"/>
      <c r="CP189" s="892"/>
      <c r="CQ189" s="892"/>
      <c r="CR189" s="892"/>
      <c r="CS189" s="1001"/>
      <c r="CT189" s="892"/>
      <c r="CU189" s="892"/>
      <c r="CV189" s="892"/>
      <c r="CW189" s="892"/>
      <c r="CX189" s="1001"/>
      <c r="CY189" s="892"/>
      <c r="CZ189" s="892"/>
      <c r="DA189" s="892"/>
      <c r="DB189" s="892"/>
      <c r="DC189" s="1001"/>
      <c r="DD189" s="892"/>
      <c r="DE189" s="892"/>
      <c r="DF189" s="892"/>
      <c r="DG189" s="892"/>
      <c r="DH189" s="1001"/>
      <c r="DI189" s="892"/>
      <c r="DJ189" s="892"/>
      <c r="DK189" s="892"/>
      <c r="DL189" s="892"/>
      <c r="DM189" s="1001"/>
      <c r="DN189" s="892"/>
      <c r="DO189" s="892"/>
      <c r="DP189" s="892"/>
      <c r="DQ189" s="892"/>
      <c r="DR189" s="1001"/>
      <c r="DS189" s="892"/>
      <c r="DT189" s="892"/>
      <c r="DU189" s="892"/>
      <c r="DV189" s="892"/>
      <c r="DW189" s="1001"/>
      <c r="DX189" s="892"/>
      <c r="DY189" s="892"/>
      <c r="DZ189" s="892"/>
      <c r="EA189" s="892"/>
      <c r="EB189" s="1001"/>
      <c r="EC189" s="892"/>
      <c r="ED189" s="892"/>
      <c r="EE189" s="892"/>
      <c r="EF189" s="892"/>
      <c r="EG189" s="1001"/>
      <c r="EH189" s="892"/>
      <c r="EI189" s="892"/>
      <c r="EJ189" s="892"/>
      <c r="EK189" s="892"/>
      <c r="EL189" s="1001"/>
      <c r="EM189" s="892"/>
      <c r="EN189"/>
      <c r="EO189"/>
      <c r="EP189"/>
      <c r="EQ189"/>
      <c r="ER189"/>
      <c r="ES189"/>
      <c r="ET189" s="135"/>
      <c r="EU189" s="135"/>
      <c r="EV189" s="135"/>
      <c r="EW189" s="135"/>
      <c r="EX189" s="135"/>
      <c r="EY189" s="135"/>
      <c r="EZ189" s="135"/>
      <c r="FA189" s="135"/>
      <c r="FB189" s="135"/>
      <c r="FC189" s="135"/>
      <c r="FD189" s="135"/>
      <c r="FE189" s="135"/>
      <c r="FF189" s="135"/>
      <c r="FG189" s="135"/>
      <c r="FH189" s="135"/>
      <c r="FI189" s="135"/>
      <c r="FJ189" s="135"/>
      <c r="FK189" s="135"/>
      <c r="FL189" s="135"/>
      <c r="FM189" s="135"/>
      <c r="FN189" s="135"/>
      <c r="FO189" s="135"/>
      <c r="FP189" s="135"/>
      <c r="FQ189" s="135"/>
      <c r="FR189" s="135"/>
      <c r="FS189" s="135"/>
      <c r="FT189" s="135"/>
      <c r="FU189" s="135"/>
      <c r="FV189" s="135"/>
      <c r="FW189" s="135"/>
      <c r="FX189" s="135"/>
      <c r="FY189" s="135"/>
      <c r="FZ189" s="135"/>
      <c r="GA189" s="135"/>
      <c r="GB189" s="135"/>
      <c r="GC189" s="135"/>
      <c r="GD189" s="135"/>
      <c r="GE189" s="135"/>
      <c r="GF189" s="135"/>
      <c r="GG189" s="135"/>
      <c r="GH189" s="135"/>
      <c r="GI189" s="135"/>
      <c r="GJ189" s="135"/>
      <c r="GK189" s="135"/>
      <c r="GL189" s="135"/>
      <c r="GM189" s="135"/>
      <c r="GN189" s="135"/>
      <c r="GO189" s="135"/>
      <c r="GP189" s="135"/>
      <c r="GQ189" s="135"/>
      <c r="GR189" s="135"/>
      <c r="GS189" s="135"/>
      <c r="GT189" s="135"/>
      <c r="GU189" s="135"/>
      <c r="GV189" s="135"/>
      <c r="GW189" s="135"/>
      <c r="GX189" s="135"/>
      <c r="GY189" s="135"/>
      <c r="GZ189" s="135"/>
      <c r="HA189" s="135"/>
      <c r="HB189" s="135"/>
      <c r="HC189" s="135"/>
      <c r="HD189" s="135"/>
      <c r="HE189" s="135"/>
      <c r="HF189" s="135"/>
      <c r="HG189" s="135"/>
      <c r="HH189" s="135"/>
      <c r="HI189" s="135"/>
      <c r="HJ189" s="135"/>
      <c r="HK189" s="135"/>
      <c r="HL189" s="135"/>
      <c r="HM189" s="135"/>
      <c r="HN189" s="135"/>
      <c r="HO189" s="135"/>
      <c r="HP189" s="135"/>
      <c r="HQ189" s="135"/>
      <c r="HR189" s="135"/>
      <c r="HS189" s="135"/>
      <c r="HT189" s="135"/>
      <c r="HU189" s="135"/>
      <c r="HV189" s="135"/>
      <c r="HW189" s="135"/>
      <c r="HX189" s="135"/>
      <c r="HY189" s="135"/>
      <c r="HZ189" s="135"/>
      <c r="IA189" s="135"/>
      <c r="IB189" s="135"/>
      <c r="IC189" s="135"/>
      <c r="ID189" s="135"/>
      <c r="IE189" s="135"/>
      <c r="IF189" s="135"/>
      <c r="IG189" s="135"/>
      <c r="IH189" s="135"/>
      <c r="II189" s="135"/>
      <c r="IJ189" s="135"/>
      <c r="IK189" s="135"/>
      <c r="IL189" s="135"/>
      <c r="IM189" s="135"/>
      <c r="IN189" s="135"/>
      <c r="IO189" s="135"/>
      <c r="IP189" s="135"/>
      <c r="IQ189" s="135"/>
      <c r="IR189" s="135"/>
      <c r="IS189" s="135"/>
      <c r="IT189" s="135"/>
      <c r="IU189" s="135"/>
      <c r="IV189" s="135"/>
      <c r="IW189" s="135"/>
      <c r="IX189" s="135"/>
      <c r="IY189" s="135"/>
      <c r="IZ189" s="135"/>
      <c r="JA189" s="135"/>
      <c r="JB189" s="135"/>
      <c r="JC189" s="135"/>
      <c r="JD189" s="135"/>
      <c r="JE189" s="135"/>
      <c r="JF189" s="135"/>
      <c r="JG189" s="135"/>
      <c r="JH189" s="135"/>
    </row>
    <row r="190" spans="1:268" s="4" customFormat="1">
      <c r="A190" s="801"/>
      <c r="B190" s="557" t="s">
        <v>88</v>
      </c>
      <c r="C190" s="843"/>
      <c r="D190" s="843">
        <f>D158+D161+D162+D163</f>
        <v>-405.387</v>
      </c>
      <c r="E190" s="843">
        <f>E158+E161+E162+E163</f>
        <v>25.28700000000001</v>
      </c>
      <c r="F190" s="843">
        <f>F158+F161+F162+F163</f>
        <v>39.000000000000007</v>
      </c>
      <c r="G190" s="843">
        <f>G158+G161+G162+G163</f>
        <v>70.099999999999994</v>
      </c>
      <c r="H190" s="844">
        <f>SUM(D190:G190)</f>
        <v>-271</v>
      </c>
      <c r="I190" s="843">
        <f>I158+I161+I162+I163</f>
        <v>-34.299999999999997</v>
      </c>
      <c r="J190" s="843">
        <f>J158+J161+J162+J163</f>
        <v>-115.1</v>
      </c>
      <c r="K190" s="843">
        <f>K158+K161+K162+K163</f>
        <v>-6.6000000000000085</v>
      </c>
      <c r="L190" s="843">
        <f>L158+L161+L162+L163</f>
        <v>-19.000000000000014</v>
      </c>
      <c r="M190" s="844">
        <f>SUM(I190:L190)</f>
        <v>-175</v>
      </c>
      <c r="N190" s="843">
        <f>N158+N161+N162+N163</f>
        <v>-4.1000000000000014</v>
      </c>
      <c r="O190" s="843">
        <f>O158+O161+O162+O163</f>
        <v>-105.5</v>
      </c>
      <c r="P190" s="843">
        <f>P158+P161+P162+P163</f>
        <v>103.1</v>
      </c>
      <c r="Q190" s="843">
        <f>Q158+Q161+Q162+Q163</f>
        <v>4.5</v>
      </c>
      <c r="R190" s="844">
        <f>SUM(N190:Q190)</f>
        <v>-2</v>
      </c>
      <c r="S190" s="843">
        <f>S158+S161+S162+S163</f>
        <v>-102</v>
      </c>
      <c r="T190" s="843">
        <f>T158+T161+T162+T163</f>
        <v>-101</v>
      </c>
      <c r="U190" s="843">
        <f>U158+U161+U162+U163</f>
        <v>-31</v>
      </c>
      <c r="V190" s="843">
        <f>V158+V161+V162+V163</f>
        <v>103</v>
      </c>
      <c r="W190" s="844">
        <f>SUM(S190:V190)</f>
        <v>-131</v>
      </c>
      <c r="X190" s="843">
        <f>X158+X161+X162+X163</f>
        <v>-66</v>
      </c>
      <c r="Y190" s="843">
        <f>Y158+Y161+Y162+Y163</f>
        <v>122</v>
      </c>
      <c r="Z190" s="843">
        <f>Z158+Z161+Z162+Z163</f>
        <v>-142</v>
      </c>
      <c r="AA190" s="843">
        <f>AA158+AA161+AA162+AA163</f>
        <v>76</v>
      </c>
      <c r="AB190" s="844">
        <f>SUM(X190:AA190)</f>
        <v>-10</v>
      </c>
      <c r="AC190" s="843">
        <f>AC158+AC161+AC162+AC163</f>
        <v>-126</v>
      </c>
      <c r="AD190" s="843">
        <f>AD158+AD161+AD162+AD163</f>
        <v>187</v>
      </c>
      <c r="AE190" s="843">
        <f>AE158+AE161+AE162+AE163</f>
        <v>-135</v>
      </c>
      <c r="AF190" s="843">
        <f>AF158+AF161+AF162+AF163</f>
        <v>324</v>
      </c>
      <c r="AG190" s="844">
        <f>SUM(AC190:AF190)</f>
        <v>250</v>
      </c>
      <c r="AH190" s="843">
        <f>AH158+AH161+AH162+AH163</f>
        <v>151</v>
      </c>
      <c r="AI190" s="843">
        <f>AI158+AI161+AI162+AI163</f>
        <v>335</v>
      </c>
      <c r="AJ190" s="843">
        <f>AJ158+AJ161+AJ162+AJ163</f>
        <v>56</v>
      </c>
      <c r="AK190" s="843">
        <f>AK158+AK161+AK162+AK163</f>
        <v>675</v>
      </c>
      <c r="AL190" s="844">
        <f>SUM(AH190:AK190)</f>
        <v>1217</v>
      </c>
      <c r="AM190" s="843">
        <f>AM158+AM161+AM162+AM163</f>
        <v>278</v>
      </c>
      <c r="AN190" s="843">
        <f>AN158+AN161+AN162+AN163</f>
        <v>325</v>
      </c>
      <c r="AO190" s="843">
        <f>AO158+AO161+AO162+AO163</f>
        <v>307</v>
      </c>
      <c r="AP190" s="843">
        <f>AP158+AP161+AP162+AP163</f>
        <v>516</v>
      </c>
      <c r="AQ190" s="844">
        <f>SUM(AM190:AP190)</f>
        <v>1426</v>
      </c>
      <c r="AR190" s="843">
        <f>AR158+AR161+AR162+AR163</f>
        <v>501</v>
      </c>
      <c r="AS190" s="843">
        <f>AS158+AS161+AS162+AS163</f>
        <v>28</v>
      </c>
      <c r="AT190" s="843">
        <f>AT158+AT161+AT162+AT163</f>
        <v>98</v>
      </c>
      <c r="AU190" s="802"/>
      <c r="AV190" s="561"/>
      <c r="AW190" s="561"/>
      <c r="AX190" s="561"/>
      <c r="AY190" s="561"/>
      <c r="AZ190" s="844">
        <f>AZ158+AZ161+AZ162+AZ163</f>
        <v>636</v>
      </c>
      <c r="BA190" s="843">
        <f>BA158+BA161+BA162+BA163</f>
        <v>4</v>
      </c>
      <c r="BB190" s="843">
        <f>BB158+BB161+BB162+BB163</f>
        <v>161</v>
      </c>
      <c r="BC190" s="843">
        <f>BC158+BC161+BC162+BC163</f>
        <v>-8</v>
      </c>
      <c r="BD190" s="843">
        <f>BD158+BD161+BD162+BD163</f>
        <v>-152</v>
      </c>
      <c r="BE190" s="844">
        <f>SUM(BA190:BD190)</f>
        <v>5</v>
      </c>
      <c r="BF190" s="843">
        <f>BF158+BF161+BF162+BF163</f>
        <v>-173</v>
      </c>
      <c r="BG190" s="843">
        <f>BG158+BG161+BG162+BG163</f>
        <v>8</v>
      </c>
      <c r="BH190" s="843">
        <f>BH158+BH161+BH162+BH163</f>
        <v>7</v>
      </c>
      <c r="BI190" s="843">
        <f>BI158+BI161+BI162+BI163</f>
        <v>-482</v>
      </c>
      <c r="BJ190" s="844">
        <f>SUM(BF190:BI190)</f>
        <v>-640</v>
      </c>
      <c r="BK190" s="843">
        <f>BK158+BK161+BK162+BK163</f>
        <v>420</v>
      </c>
      <c r="BL190" s="843">
        <f>BL158+BL161+BL162+BL163</f>
        <v>56</v>
      </c>
      <c r="BM190" s="843">
        <f>BM158+BM161+BM162+BM163</f>
        <v>-151</v>
      </c>
      <c r="BN190" s="843">
        <f>BN158+BN161+BN162+BN163</f>
        <v>-140</v>
      </c>
      <c r="BO190" s="844">
        <f>SUM(BK190:BN190)</f>
        <v>185</v>
      </c>
      <c r="BP190" s="843">
        <f>BP158+BP161+BP162+BP163</f>
        <v>-438</v>
      </c>
      <c r="BQ190" s="843">
        <f>BQ158+BQ161+BQ162+BQ163</f>
        <v>-446</v>
      </c>
      <c r="BR190" s="843">
        <f>BR158+BR161+BR162+BR163</f>
        <v>52</v>
      </c>
      <c r="BS190" s="843">
        <f>BS158+BS161+BS162+BS163</f>
        <v>-323</v>
      </c>
      <c r="BT190" s="844">
        <f>SUM(BP190:BS190)</f>
        <v>-1155</v>
      </c>
      <c r="BU190" s="843">
        <f>BU158+BU161+BU162+BU163</f>
        <v>-265</v>
      </c>
      <c r="BV190" s="843">
        <f>BV158+BV161+BV162+BV163</f>
        <v>135</v>
      </c>
      <c r="BW190" s="843">
        <f>BW158+BW161+BW162+BW163</f>
        <v>-96</v>
      </c>
      <c r="BX190" s="843">
        <f>BX158+BX161+BX162+BX163</f>
        <v>-191</v>
      </c>
      <c r="BY190" s="844">
        <f>SUM(BU190:BX190)</f>
        <v>-417</v>
      </c>
      <c r="BZ190" s="843">
        <f>BZ158+BZ161+BZ162+BZ163</f>
        <v>-322</v>
      </c>
      <c r="CA190" s="843">
        <f>CA158+CA161+CA162+CA163</f>
        <v>13</v>
      </c>
      <c r="CB190" s="843">
        <f>CB158+CB161+CB162+CB163</f>
        <v>37</v>
      </c>
      <c r="CC190" s="843">
        <f>CC158+CC161+CC162+CC163</f>
        <v>-67</v>
      </c>
      <c r="CD190" s="844">
        <f>SUM(BZ190:CC190)</f>
        <v>-339</v>
      </c>
      <c r="CE190" s="843">
        <f>CE158+CE161+CE162+CE163</f>
        <v>-108</v>
      </c>
      <c r="CF190" s="843">
        <f>CF158+CF161+CF162+CF163</f>
        <v>99</v>
      </c>
      <c r="CG190" s="843">
        <f>CG158+CG161+CG162+CG163</f>
        <v>29</v>
      </c>
      <c r="CH190" s="843">
        <f>CH158+CH161+CH162+CH163</f>
        <v>-51</v>
      </c>
      <c r="CI190" s="844">
        <f>SUM(CE190:CH190)</f>
        <v>-31</v>
      </c>
      <c r="CJ190" s="843">
        <f>CJ158+CJ161+CJ162+CJ163</f>
        <v>-105</v>
      </c>
      <c r="CK190" s="843">
        <f>CK158+CK161+CK162+CK163</f>
        <v>114</v>
      </c>
      <c r="CL190" s="843">
        <f>CL158+CL161+CL162+CL163</f>
        <v>8</v>
      </c>
      <c r="CM190" s="843">
        <f>CM158+CM161+CM162+CM163</f>
        <v>-21</v>
      </c>
      <c r="CN190" s="844">
        <f>SUM(CJ190:CM190)</f>
        <v>-4</v>
      </c>
      <c r="CO190" s="843">
        <f>CO158+CO161+CO162+CO163</f>
        <v>-118</v>
      </c>
      <c r="CP190" s="843">
        <f>CP158+CP161+CP162+CP163</f>
        <v>96</v>
      </c>
      <c r="CQ190" s="843">
        <f>CQ158+CQ161+CQ162+CQ163</f>
        <v>48</v>
      </c>
      <c r="CR190" s="843">
        <f>CR158+CR161+CR162+CR163</f>
        <v>-4</v>
      </c>
      <c r="CS190" s="844">
        <f>SUM(CO190:CR190)</f>
        <v>22</v>
      </c>
      <c r="CT190" s="843">
        <f>CT158+CT161+CT162+CT163</f>
        <v>-178</v>
      </c>
      <c r="CU190" s="843">
        <f>CU158+CU161+CU162+CU163</f>
        <v>127</v>
      </c>
      <c r="CV190" s="843">
        <f>CV158+CV161+CV162+CV163</f>
        <v>28</v>
      </c>
      <c r="CW190" s="843">
        <f>CW158+CW161+CW162+CW163</f>
        <v>108</v>
      </c>
      <c r="CX190" s="844">
        <f>SUM(CT190:CW190)</f>
        <v>85</v>
      </c>
      <c r="CY190" s="843">
        <f>CY158+CY161+CY162+CY163+CY164+CY165</f>
        <v>-170</v>
      </c>
      <c r="CZ190" s="843">
        <f>CZ158+CZ161+CZ162+CZ163+CZ164+CZ165</f>
        <v>27</v>
      </c>
      <c r="DA190" s="843">
        <f>DA158+DA161+DA162+DA163+DA164+DA165</f>
        <v>-52</v>
      </c>
      <c r="DB190" s="843">
        <f>DB158+DB161+DB162+DB163+DB164+DB165</f>
        <v>-1406</v>
      </c>
      <c r="DC190" s="844">
        <f>DC158+DC161+DC162+DC163+DC164+DC165</f>
        <v>-1601</v>
      </c>
      <c r="DD190" s="843">
        <f>DD158+DD161+DD162+DD163</f>
        <v>-300</v>
      </c>
      <c r="DE190" s="843">
        <f>DE158+DE161+DE162+DE163</f>
        <v>24</v>
      </c>
      <c r="DF190" s="843">
        <f>DF158+DF161+DF162+DF163</f>
        <v>10</v>
      </c>
      <c r="DG190" s="843">
        <f>DG158+DG161+DG162+DG163</f>
        <v>20</v>
      </c>
      <c r="DH190" s="844">
        <f>SUM(DD190:DG190)</f>
        <v>-246</v>
      </c>
      <c r="DI190" s="843">
        <f>DI158+DI161+DI162+DI163</f>
        <v>-252</v>
      </c>
      <c r="DJ190" s="843">
        <f>DJ158+DJ161+DJ162+DJ163</f>
        <v>246</v>
      </c>
      <c r="DK190" s="843">
        <f>DK158+DK161+DK162+DK163</f>
        <v>275</v>
      </c>
      <c r="DL190" s="843">
        <f>DL158+DL161+DL162+DL163</f>
        <v>-85</v>
      </c>
      <c r="DM190" s="844">
        <f>SUM(DI190:DL190)</f>
        <v>184</v>
      </c>
      <c r="DN190" s="843">
        <f>DN158+DN161+DN162+DN163</f>
        <v>-61</v>
      </c>
      <c r="DO190" s="843">
        <f>DO158+DO161+DO162+DO163</f>
        <v>230</v>
      </c>
      <c r="DP190" s="843">
        <f>DP158+DP161+DP162+DP163</f>
        <v>68</v>
      </c>
      <c r="DQ190" s="843">
        <f>DQ158+DQ161+DQ162+DQ163</f>
        <v>-554</v>
      </c>
      <c r="DR190" s="844">
        <f>SUM(DN190:DQ190)</f>
        <v>-317</v>
      </c>
      <c r="DS190" s="843">
        <f>DS158+DS161+DS162+DS163</f>
        <v>-12</v>
      </c>
      <c r="DT190" s="843">
        <f>DT158+DT161+DT162+DT163</f>
        <v>65</v>
      </c>
      <c r="DU190" s="843">
        <f>DU158+DU161+DU162+DU163</f>
        <v>164</v>
      </c>
      <c r="DV190" s="843">
        <f>DV158+DV161+DV162+DV163</f>
        <v>276</v>
      </c>
      <c r="DW190" s="844">
        <f>SUM(DS190:DV190)</f>
        <v>493</v>
      </c>
      <c r="DX190" s="843">
        <f>DX158+DX161+DX162+DX163</f>
        <v>240.8703581558905</v>
      </c>
      <c r="DY190" s="843">
        <f>DY158+DY161+DY162+DY163</f>
        <v>198.50627719879859</v>
      </c>
      <c r="DZ190" s="843">
        <f>DZ158+DZ161+DZ162+DZ163</f>
        <v>170.34223702660427</v>
      </c>
      <c r="EA190" s="843">
        <f>EA158+EA161+EA162+EA163</f>
        <v>136.99200160322403</v>
      </c>
      <c r="EB190" s="844">
        <f>SUM(DX190:EA190)</f>
        <v>746.71087398451732</v>
      </c>
      <c r="EC190" s="843">
        <f>EC158+EC161+EC162+EC163</f>
        <v>-118.23669481555672</v>
      </c>
      <c r="ED190" s="843">
        <f>ED158+ED161+ED162+ED163</f>
        <v>216.07354975092275</v>
      </c>
      <c r="EE190" s="843">
        <f>EE158+EE161+EE162+EE163</f>
        <v>241.93448932531004</v>
      </c>
      <c r="EF190" s="843">
        <f>EF158+EF161+EF162+EF163</f>
        <v>97.148407998061515</v>
      </c>
      <c r="EG190" s="844">
        <f>SUM(EC190:EF190)</f>
        <v>436.91975225873762</v>
      </c>
      <c r="EH190" s="843">
        <f>EH158+EH161+EH162+EH163</f>
        <v>215.83731726526179</v>
      </c>
      <c r="EI190" s="843">
        <f>EI158+EI161+EI162+EI163</f>
        <v>217.4369951972534</v>
      </c>
      <c r="EJ190" s="843">
        <f>EJ158+EJ161+EJ162+EJ163</f>
        <v>322.01700639270166</v>
      </c>
      <c r="EK190" s="843">
        <f>EK158+EK161+EK162+EK163</f>
        <v>91.336186278312283</v>
      </c>
      <c r="EL190" s="844">
        <f>SUM(EH190:EK190)</f>
        <v>846.6275051335291</v>
      </c>
      <c r="EM190" s="561"/>
      <c r="EN190"/>
      <c r="EO190"/>
      <c r="EP190"/>
      <c r="EQ190"/>
      <c r="ER190"/>
      <c r="ES190"/>
      <c r="ET190" s="135"/>
      <c r="EU190" s="135"/>
      <c r="EV190" s="135"/>
      <c r="EW190" s="135"/>
      <c r="EX190" s="135"/>
      <c r="EY190" s="135"/>
      <c r="EZ190" s="135"/>
      <c r="FA190" s="135"/>
      <c r="FB190" s="135"/>
      <c r="FC190" s="135"/>
      <c r="FD190" s="135"/>
      <c r="FE190" s="135"/>
      <c r="FF190" s="135"/>
      <c r="FG190" s="135"/>
      <c r="FH190" s="135"/>
      <c r="FI190" s="135"/>
      <c r="FJ190" s="135"/>
      <c r="FK190" s="135"/>
      <c r="FL190" s="135"/>
      <c r="FM190" s="135"/>
      <c r="FN190" s="135"/>
      <c r="FO190" s="135"/>
      <c r="FP190" s="135"/>
      <c r="FQ190" s="135"/>
      <c r="FR190" s="135"/>
      <c r="FS190" s="135"/>
      <c r="FT190" s="135"/>
      <c r="FU190" s="135"/>
      <c r="FV190" s="135"/>
      <c r="FW190" s="135"/>
      <c r="FX190" s="135"/>
      <c r="FY190" s="135"/>
      <c r="FZ190" s="135"/>
      <c r="GA190" s="135"/>
      <c r="GB190" s="135"/>
      <c r="GC190" s="135"/>
      <c r="GD190" s="135"/>
      <c r="GE190" s="135"/>
      <c r="GF190" s="135"/>
      <c r="GG190" s="135"/>
      <c r="GH190" s="135"/>
      <c r="GI190" s="135"/>
      <c r="GJ190" s="135"/>
      <c r="GK190" s="135"/>
      <c r="GL190" s="135"/>
      <c r="GM190" s="135"/>
      <c r="GN190" s="135"/>
      <c r="GO190" s="135"/>
      <c r="GP190" s="135"/>
      <c r="GQ190" s="135"/>
      <c r="GR190" s="135"/>
      <c r="GS190" s="135"/>
      <c r="GT190" s="135"/>
      <c r="GU190" s="135"/>
      <c r="GV190" s="135"/>
      <c r="GW190" s="135"/>
      <c r="GX190" s="135"/>
      <c r="GY190" s="135"/>
      <c r="GZ190" s="135"/>
      <c r="HA190" s="135"/>
      <c r="HB190" s="135"/>
      <c r="HC190" s="135"/>
      <c r="HD190" s="135"/>
      <c r="HE190" s="135"/>
      <c r="HF190" s="135"/>
      <c r="HG190" s="135"/>
      <c r="HH190" s="135"/>
      <c r="HI190" s="135"/>
      <c r="HJ190" s="135"/>
      <c r="HK190" s="135"/>
      <c r="HL190" s="135"/>
      <c r="HM190" s="135"/>
      <c r="HN190" s="135"/>
      <c r="HO190" s="135"/>
      <c r="HP190" s="135"/>
      <c r="HQ190" s="135"/>
      <c r="HR190" s="135"/>
      <c r="HS190" s="135"/>
      <c r="HT190" s="135"/>
      <c r="HU190" s="135"/>
      <c r="HV190" s="135"/>
      <c r="HW190" s="135"/>
      <c r="HX190" s="135"/>
      <c r="HY190" s="135"/>
      <c r="HZ190" s="135"/>
      <c r="IA190" s="135"/>
      <c r="IB190" s="135"/>
      <c r="IC190" s="135"/>
      <c r="ID190" s="135"/>
      <c r="IE190" s="135"/>
      <c r="IF190" s="135"/>
      <c r="IG190" s="135"/>
      <c r="IH190" s="135"/>
      <c r="II190" s="135"/>
      <c r="IJ190" s="135"/>
      <c r="IK190" s="135"/>
      <c r="IL190" s="135"/>
      <c r="IM190" s="135"/>
      <c r="IN190" s="135"/>
      <c r="IO190" s="135"/>
      <c r="IP190" s="135"/>
      <c r="IQ190" s="135"/>
      <c r="IR190" s="135"/>
      <c r="IS190" s="135"/>
      <c r="IT190" s="135"/>
      <c r="IU190" s="135"/>
      <c r="IV190" s="135"/>
      <c r="IW190" s="135"/>
      <c r="IX190" s="135"/>
      <c r="IY190" s="135"/>
      <c r="IZ190" s="135"/>
      <c r="JA190" s="135"/>
      <c r="JB190" s="135"/>
      <c r="JC190" s="135"/>
      <c r="JD190" s="135"/>
      <c r="JE190" s="135"/>
      <c r="JF190" s="135"/>
      <c r="JG190" s="135"/>
      <c r="JH190" s="135"/>
    </row>
    <row r="191" spans="1:268" s="4" customFormat="1">
      <c r="A191" s="847"/>
      <c r="B191" s="848" t="s">
        <v>497</v>
      </c>
      <c r="C191" s="1072"/>
      <c r="D191" s="1072"/>
      <c r="E191" s="1072"/>
      <c r="F191" s="1072"/>
      <c r="G191" s="1072"/>
      <c r="H191" s="1073"/>
      <c r="I191" s="1074" t="str">
        <f t="shared" ref="I191:AT191" si="460">IF(OR(I190&lt;=0,D190&lt;=0),"nm",I190/D190-1)</f>
        <v>nm</v>
      </c>
      <c r="J191" s="1074" t="str">
        <f t="shared" si="460"/>
        <v>nm</v>
      </c>
      <c r="K191" s="1074" t="str">
        <f t="shared" si="460"/>
        <v>nm</v>
      </c>
      <c r="L191" s="1074" t="str">
        <f t="shared" si="460"/>
        <v>nm</v>
      </c>
      <c r="M191" s="1073" t="str">
        <f t="shared" si="460"/>
        <v>nm</v>
      </c>
      <c r="N191" s="1074" t="str">
        <f t="shared" si="460"/>
        <v>nm</v>
      </c>
      <c r="O191" s="1074" t="str">
        <f t="shared" si="460"/>
        <v>nm</v>
      </c>
      <c r="P191" s="1074" t="str">
        <f t="shared" si="460"/>
        <v>nm</v>
      </c>
      <c r="Q191" s="1074" t="str">
        <f t="shared" si="460"/>
        <v>nm</v>
      </c>
      <c r="R191" s="1073" t="str">
        <f t="shared" si="460"/>
        <v>nm</v>
      </c>
      <c r="S191" s="1074" t="str">
        <f t="shared" si="460"/>
        <v>nm</v>
      </c>
      <c r="T191" s="1074" t="str">
        <f t="shared" si="460"/>
        <v>nm</v>
      </c>
      <c r="U191" s="1074" t="str">
        <f t="shared" si="460"/>
        <v>nm</v>
      </c>
      <c r="V191" s="1074">
        <f t="shared" si="460"/>
        <v>21.888888888888889</v>
      </c>
      <c r="W191" s="1073" t="str">
        <f t="shared" si="460"/>
        <v>nm</v>
      </c>
      <c r="X191" s="1074" t="str">
        <f t="shared" si="460"/>
        <v>nm</v>
      </c>
      <c r="Y191" s="1074" t="str">
        <f t="shared" si="460"/>
        <v>nm</v>
      </c>
      <c r="Z191" s="1074" t="str">
        <f t="shared" si="460"/>
        <v>nm</v>
      </c>
      <c r="AA191" s="1074">
        <f t="shared" si="460"/>
        <v>-0.26213592233009708</v>
      </c>
      <c r="AB191" s="1073" t="str">
        <f t="shared" si="460"/>
        <v>nm</v>
      </c>
      <c r="AC191" s="1074" t="str">
        <f t="shared" si="460"/>
        <v>nm</v>
      </c>
      <c r="AD191" s="1074">
        <f t="shared" si="460"/>
        <v>0.53278688524590168</v>
      </c>
      <c r="AE191" s="1074" t="str">
        <f t="shared" si="460"/>
        <v>nm</v>
      </c>
      <c r="AF191" s="1074">
        <f t="shared" si="460"/>
        <v>3.2631578947368425</v>
      </c>
      <c r="AG191" s="1073" t="str">
        <f t="shared" si="460"/>
        <v>nm</v>
      </c>
      <c r="AH191" s="1074" t="str">
        <f t="shared" si="460"/>
        <v>nm</v>
      </c>
      <c r="AI191" s="1074">
        <f t="shared" si="460"/>
        <v>0.79144385026737973</v>
      </c>
      <c r="AJ191" s="1074" t="str">
        <f t="shared" si="460"/>
        <v>nm</v>
      </c>
      <c r="AK191" s="1074">
        <f t="shared" si="460"/>
        <v>1.0833333333333335</v>
      </c>
      <c r="AL191" s="1073">
        <f t="shared" si="460"/>
        <v>3.8680000000000003</v>
      </c>
      <c r="AM191" s="1074">
        <f t="shared" si="460"/>
        <v>0.8410596026490067</v>
      </c>
      <c r="AN191" s="1074">
        <f t="shared" si="460"/>
        <v>-2.9850746268656692E-2</v>
      </c>
      <c r="AO191" s="1074">
        <f t="shared" si="460"/>
        <v>4.4821428571428568</v>
      </c>
      <c r="AP191" s="1074">
        <f t="shared" si="460"/>
        <v>-0.23555555555555552</v>
      </c>
      <c r="AQ191" s="1073">
        <f t="shared" si="460"/>
        <v>0.17173377156943292</v>
      </c>
      <c r="AR191" s="1074">
        <f t="shared" si="460"/>
        <v>0.80215827338129486</v>
      </c>
      <c r="AS191" s="1074">
        <f t="shared" si="460"/>
        <v>-0.91384615384615386</v>
      </c>
      <c r="AT191" s="1074">
        <f t="shared" si="460"/>
        <v>-0.6807817589576548</v>
      </c>
      <c r="AU191" s="885"/>
      <c r="AV191" s="881"/>
      <c r="AW191" s="881"/>
      <c r="AX191" s="881"/>
      <c r="AY191" s="881"/>
      <c r="AZ191" s="885"/>
      <c r="BA191" s="1074" t="str">
        <f t="shared" ref="BA191:BN191" si="461">IF(OR(BA190&lt;=0,AV190&lt;=0),"nm",BA190/AV190-1)</f>
        <v>nm</v>
      </c>
      <c r="BB191" s="1074" t="str">
        <f t="shared" si="461"/>
        <v>nm</v>
      </c>
      <c r="BC191" s="1074" t="str">
        <f t="shared" si="461"/>
        <v>nm</v>
      </c>
      <c r="BD191" s="1074" t="str">
        <f t="shared" si="461"/>
        <v>nm</v>
      </c>
      <c r="BE191" s="1073">
        <f t="shared" si="461"/>
        <v>-0.99213836477987416</v>
      </c>
      <c r="BF191" s="1074" t="str">
        <f t="shared" si="461"/>
        <v>nm</v>
      </c>
      <c r="BG191" s="1074">
        <f t="shared" si="461"/>
        <v>-0.9503105590062112</v>
      </c>
      <c r="BH191" s="1074" t="str">
        <f t="shared" si="461"/>
        <v>nm</v>
      </c>
      <c r="BI191" s="1074" t="str">
        <f t="shared" si="461"/>
        <v>nm</v>
      </c>
      <c r="BJ191" s="1073" t="str">
        <f t="shared" si="461"/>
        <v>nm</v>
      </c>
      <c r="BK191" s="1074" t="str">
        <f t="shared" si="461"/>
        <v>nm</v>
      </c>
      <c r="BL191" s="1074">
        <f t="shared" si="461"/>
        <v>6</v>
      </c>
      <c r="BM191" s="1074" t="str">
        <f t="shared" si="461"/>
        <v>nm</v>
      </c>
      <c r="BN191" s="1074" t="str">
        <f t="shared" si="461"/>
        <v>nm</v>
      </c>
      <c r="BO191" s="1073"/>
      <c r="BP191" s="1074" t="str">
        <f t="shared" ref="BP191:BX191" si="462">IF(OR(BP190&lt;=0,BK190&lt;=0),"nm",BP190/BK190-1)</f>
        <v>nm</v>
      </c>
      <c r="BQ191" s="1074" t="str">
        <f t="shared" si="462"/>
        <v>nm</v>
      </c>
      <c r="BR191" s="1074" t="str">
        <f t="shared" si="462"/>
        <v>nm</v>
      </c>
      <c r="BS191" s="1074" t="str">
        <f t="shared" si="462"/>
        <v>nm</v>
      </c>
      <c r="BT191" s="1073" t="str">
        <f t="shared" si="462"/>
        <v>nm</v>
      </c>
      <c r="BU191" s="1074" t="str">
        <f t="shared" si="462"/>
        <v>nm</v>
      </c>
      <c r="BV191" s="1074" t="str">
        <f t="shared" si="462"/>
        <v>nm</v>
      </c>
      <c r="BW191" s="1074" t="str">
        <f t="shared" si="462"/>
        <v>nm</v>
      </c>
      <c r="BX191" s="1074" t="str">
        <f t="shared" si="462"/>
        <v>nm</v>
      </c>
      <c r="BY191" s="1073" t="s">
        <v>89</v>
      </c>
      <c r="BZ191" s="1074" t="s">
        <v>89</v>
      </c>
      <c r="CA191" s="1074" t="s">
        <v>89</v>
      </c>
      <c r="CB191" s="1074" t="s">
        <v>89</v>
      </c>
      <c r="CC191" s="1074" t="s">
        <v>89</v>
      </c>
      <c r="CD191" s="1073" t="s">
        <v>89</v>
      </c>
      <c r="CE191" s="1074" t="s">
        <v>89</v>
      </c>
      <c r="CF191" s="1074" t="s">
        <v>89</v>
      </c>
      <c r="CG191" s="1074">
        <f t="shared" ref="CG191:DS191" si="463">IF(OR(CG190&lt;=0,CB190&lt;=0),"nm",CG190/CB190-1)</f>
        <v>-0.21621621621621623</v>
      </c>
      <c r="CH191" s="1074" t="str">
        <f t="shared" si="463"/>
        <v>nm</v>
      </c>
      <c r="CI191" s="1073" t="str">
        <f t="shared" si="463"/>
        <v>nm</v>
      </c>
      <c r="CJ191" s="1074" t="str">
        <f t="shared" si="463"/>
        <v>nm</v>
      </c>
      <c r="CK191" s="1074">
        <f t="shared" si="463"/>
        <v>0.1515151515151516</v>
      </c>
      <c r="CL191" s="1074">
        <f t="shared" si="463"/>
        <v>-0.72413793103448276</v>
      </c>
      <c r="CM191" s="1074" t="str">
        <f t="shared" si="463"/>
        <v>nm</v>
      </c>
      <c r="CN191" s="1073" t="str">
        <f t="shared" si="463"/>
        <v>nm</v>
      </c>
      <c r="CO191" s="1074" t="str">
        <f t="shared" si="463"/>
        <v>nm</v>
      </c>
      <c r="CP191" s="1074">
        <f t="shared" si="463"/>
        <v>-0.15789473684210531</v>
      </c>
      <c r="CQ191" s="1074">
        <f t="shared" si="463"/>
        <v>5</v>
      </c>
      <c r="CR191" s="1074" t="str">
        <f t="shared" si="463"/>
        <v>nm</v>
      </c>
      <c r="CS191" s="1073" t="str">
        <f t="shared" si="463"/>
        <v>nm</v>
      </c>
      <c r="CT191" s="1074" t="str">
        <f t="shared" si="463"/>
        <v>nm</v>
      </c>
      <c r="CU191" s="1074">
        <f t="shared" si="463"/>
        <v>0.32291666666666674</v>
      </c>
      <c r="CV191" s="1074">
        <f t="shared" si="463"/>
        <v>-0.41666666666666663</v>
      </c>
      <c r="CW191" s="1074" t="str">
        <f t="shared" si="463"/>
        <v>nm</v>
      </c>
      <c r="CX191" s="1073">
        <f t="shared" si="463"/>
        <v>2.8636363636363638</v>
      </c>
      <c r="CY191" s="1074" t="str">
        <f t="shared" si="463"/>
        <v>nm</v>
      </c>
      <c r="CZ191" s="1074">
        <f t="shared" si="463"/>
        <v>-0.78740157480314954</v>
      </c>
      <c r="DA191" s="1074" t="str">
        <f t="shared" si="463"/>
        <v>nm</v>
      </c>
      <c r="DB191" s="1074" t="str">
        <f t="shared" si="463"/>
        <v>nm</v>
      </c>
      <c r="DC191" s="1073" t="str">
        <f t="shared" si="463"/>
        <v>nm</v>
      </c>
      <c r="DD191" s="1074" t="str">
        <f t="shared" si="463"/>
        <v>nm</v>
      </c>
      <c r="DE191" s="1074">
        <f t="shared" si="463"/>
        <v>-0.11111111111111116</v>
      </c>
      <c r="DF191" s="1074" t="str">
        <f t="shared" si="463"/>
        <v>nm</v>
      </c>
      <c r="DG191" s="1074" t="str">
        <f t="shared" si="463"/>
        <v>nm</v>
      </c>
      <c r="DH191" s="1073" t="str">
        <f t="shared" si="463"/>
        <v>nm</v>
      </c>
      <c r="DI191" s="1074" t="str">
        <f t="shared" si="463"/>
        <v>nm</v>
      </c>
      <c r="DJ191" s="1074">
        <f t="shared" si="463"/>
        <v>9.25</v>
      </c>
      <c r="DK191" s="1074">
        <f t="shared" si="463"/>
        <v>26.5</v>
      </c>
      <c r="DL191" s="1074" t="str">
        <f t="shared" si="463"/>
        <v>nm</v>
      </c>
      <c r="DM191" s="1073" t="str">
        <f t="shared" si="463"/>
        <v>nm</v>
      </c>
      <c r="DN191" s="1074" t="str">
        <f t="shared" si="463"/>
        <v>nm</v>
      </c>
      <c r="DO191" s="1074">
        <f t="shared" si="463"/>
        <v>-6.5040650406504086E-2</v>
      </c>
      <c r="DP191" s="1074">
        <f t="shared" si="463"/>
        <v>-0.75272727272727269</v>
      </c>
      <c r="DQ191" s="1074" t="str">
        <f t="shared" si="463"/>
        <v>nm</v>
      </c>
      <c r="DR191" s="1073" t="str">
        <f t="shared" si="463"/>
        <v>nm</v>
      </c>
      <c r="DS191" s="1074" t="str">
        <f t="shared" si="463"/>
        <v>nm</v>
      </c>
      <c r="DT191" s="1074">
        <f t="shared" ref="DT191:EG191" si="464">IF(OR(DT190&lt;=0,DO190&lt;=0),"nm",DT190/DO190-1)</f>
        <v>-0.71739130434782616</v>
      </c>
      <c r="DU191" s="1074">
        <f t="shared" si="464"/>
        <v>1.4117647058823528</v>
      </c>
      <c r="DV191" s="1074" t="str">
        <f t="shared" si="464"/>
        <v>nm</v>
      </c>
      <c r="DW191" s="1073" t="str">
        <f t="shared" si="464"/>
        <v>nm</v>
      </c>
      <c r="DX191" s="1074" t="str">
        <f t="shared" si="464"/>
        <v>nm</v>
      </c>
      <c r="DY191" s="1074">
        <f t="shared" si="464"/>
        <v>2.0539427261353627</v>
      </c>
      <c r="DZ191" s="1074">
        <f t="shared" si="464"/>
        <v>3.8672176991489504E-2</v>
      </c>
      <c r="EA191" s="1074">
        <f t="shared" si="464"/>
        <v>-0.50365216810426072</v>
      </c>
      <c r="EB191" s="1073">
        <f t="shared" si="464"/>
        <v>0.51462651923837188</v>
      </c>
      <c r="EC191" s="1074" t="str">
        <f t="shared" si="464"/>
        <v>nm</v>
      </c>
      <c r="ED191" s="1074">
        <f t="shared" si="464"/>
        <v>8.8497315047276981E-2</v>
      </c>
      <c r="EE191" s="1074">
        <f t="shared" si="464"/>
        <v>0.42028479576397948</v>
      </c>
      <c r="EF191" s="1074">
        <f t="shared" si="464"/>
        <v>-0.29084613071472065</v>
      </c>
      <c r="EG191" s="1073">
        <f t="shared" si="464"/>
        <v>-0.41487426059929466</v>
      </c>
      <c r="EH191" s="1074" t="str">
        <f t="shared" ref="EH191" si="465">IF(OR(EH190&lt;=0,EC190&lt;=0),"nm",EH190/EC190-1)</f>
        <v>nm</v>
      </c>
      <c r="EI191" s="1074">
        <f t="shared" ref="EI191" si="466">IF(OR(EI190&lt;=0,ED190&lt;=0),"nm",EI190/ED190-1)</f>
        <v>6.3100987969251232E-3</v>
      </c>
      <c r="EJ191" s="1074">
        <f t="shared" ref="EJ191" si="467">IF(OR(EJ190&lt;=0,EE190&lt;=0),"nm",EJ190/EE190-1)</f>
        <v>0.33100909792035083</v>
      </c>
      <c r="EK191" s="1074">
        <f t="shared" ref="EK191" si="468">IF(OR(EK190&lt;=0,EF190&lt;=0),"nm",EK190/EF190-1)</f>
        <v>-5.9828275517033735E-2</v>
      </c>
      <c r="EL191" s="1073">
        <f t="shared" ref="EL191" si="469">IF(OR(EL190&lt;=0,EG190&lt;=0),"nm",EL190/EG190-1)</f>
        <v>0.93771854157824475</v>
      </c>
      <c r="EM191" s="1072"/>
      <c r="EN191"/>
      <c r="EO191"/>
      <c r="EP191"/>
      <c r="EQ191"/>
      <c r="ER191"/>
      <c r="ES191"/>
      <c r="ET191" s="135"/>
      <c r="EU191" s="135"/>
      <c r="EV191" s="135"/>
      <c r="EW191" s="135"/>
      <c r="EX191" s="135"/>
      <c r="EY191" s="135"/>
      <c r="EZ191" s="135"/>
      <c r="FA191" s="135"/>
      <c r="FB191" s="135"/>
      <c r="FC191" s="135"/>
      <c r="FD191" s="135"/>
      <c r="FE191" s="135"/>
      <c r="FF191" s="135"/>
      <c r="FG191" s="135"/>
      <c r="FH191" s="135"/>
      <c r="FI191" s="135"/>
      <c r="FJ191" s="135"/>
      <c r="FK191" s="135"/>
      <c r="FL191" s="135"/>
      <c r="FM191" s="135"/>
      <c r="FN191" s="135"/>
      <c r="FO191" s="135"/>
      <c r="FP191" s="135"/>
      <c r="FQ191" s="135"/>
      <c r="FR191" s="135"/>
      <c r="FS191" s="135"/>
      <c r="FT191" s="135"/>
      <c r="FU191" s="135"/>
      <c r="FV191" s="135"/>
      <c r="FW191" s="135"/>
      <c r="FX191" s="135"/>
      <c r="FY191" s="135"/>
      <c r="FZ191" s="135"/>
      <c r="GA191" s="135"/>
      <c r="GB191" s="135"/>
      <c r="GC191" s="135"/>
      <c r="GD191" s="135"/>
      <c r="GE191" s="135"/>
      <c r="GF191" s="135"/>
      <c r="GG191" s="135"/>
      <c r="GH191" s="135"/>
      <c r="GI191" s="135"/>
      <c r="GJ191" s="135"/>
      <c r="GK191" s="135"/>
      <c r="GL191" s="135"/>
      <c r="GM191" s="135"/>
      <c r="GN191" s="135"/>
      <c r="GO191" s="135"/>
      <c r="GP191" s="135"/>
      <c r="GQ191" s="135"/>
      <c r="GR191" s="135"/>
      <c r="GS191" s="135"/>
      <c r="GT191" s="135"/>
      <c r="GU191" s="135"/>
      <c r="GV191" s="135"/>
      <c r="GW191" s="135"/>
      <c r="GX191" s="135"/>
      <c r="GY191" s="135"/>
      <c r="GZ191" s="135"/>
      <c r="HA191" s="135"/>
      <c r="HB191" s="135"/>
      <c r="HC191" s="135"/>
      <c r="HD191" s="135"/>
      <c r="HE191" s="135"/>
      <c r="HF191" s="135"/>
      <c r="HG191" s="135"/>
      <c r="HH191" s="135"/>
      <c r="HI191" s="135"/>
      <c r="HJ191" s="135"/>
      <c r="HK191" s="135"/>
      <c r="HL191" s="135"/>
      <c r="HM191" s="135"/>
      <c r="HN191" s="135"/>
      <c r="HO191" s="135"/>
      <c r="HP191" s="135"/>
      <c r="HQ191" s="135"/>
      <c r="HR191" s="135"/>
      <c r="HS191" s="135"/>
      <c r="HT191" s="135"/>
      <c r="HU191" s="135"/>
      <c r="HV191" s="135"/>
      <c r="HW191" s="135"/>
      <c r="HX191" s="135"/>
      <c r="HY191" s="135"/>
      <c r="HZ191" s="135"/>
      <c r="IA191" s="135"/>
      <c r="IB191" s="135"/>
      <c r="IC191" s="135"/>
      <c r="ID191" s="135"/>
      <c r="IE191" s="135"/>
      <c r="IF191" s="135"/>
      <c r="IG191" s="135"/>
      <c r="IH191" s="135"/>
      <c r="II191" s="135"/>
      <c r="IJ191" s="135"/>
      <c r="IK191" s="135"/>
      <c r="IL191" s="135"/>
      <c r="IM191" s="135"/>
      <c r="IN191" s="135"/>
      <c r="IO191" s="135"/>
      <c r="IP191" s="135"/>
      <c r="IQ191" s="135"/>
      <c r="IR191" s="135"/>
      <c r="IS191" s="135"/>
      <c r="IT191" s="135"/>
      <c r="IU191" s="135"/>
      <c r="IV191" s="135"/>
      <c r="IW191" s="135"/>
      <c r="IX191" s="135"/>
      <c r="IY191" s="135"/>
      <c r="IZ191" s="135"/>
      <c r="JA191" s="135"/>
      <c r="JB191" s="135"/>
      <c r="JC191" s="135"/>
      <c r="JD191" s="135"/>
      <c r="JE191" s="135"/>
      <c r="JF191" s="135"/>
      <c r="JG191" s="135"/>
      <c r="JH191" s="135"/>
    </row>
    <row r="192" spans="1:268" s="4" customFormat="1">
      <c r="A192" s="847"/>
      <c r="B192" s="848"/>
      <c r="C192" s="1098"/>
      <c r="D192" s="1098"/>
      <c r="E192" s="1098"/>
      <c r="F192" s="1098"/>
      <c r="G192" s="1098"/>
      <c r="H192" s="1099"/>
      <c r="I192" s="1098"/>
      <c r="J192" s="1098"/>
      <c r="K192" s="1098"/>
      <c r="L192" s="1098"/>
      <c r="M192" s="1099"/>
      <c r="N192" s="1098"/>
      <c r="O192" s="1098"/>
      <c r="P192" s="1098"/>
      <c r="Q192" s="1098"/>
      <c r="R192" s="1099"/>
      <c r="S192" s="1098"/>
      <c r="T192" s="1098"/>
      <c r="U192" s="1098"/>
      <c r="V192" s="1098"/>
      <c r="W192" s="1099"/>
      <c r="X192" s="1098"/>
      <c r="Y192" s="1098"/>
      <c r="Z192" s="1098"/>
      <c r="AA192" s="1098"/>
      <c r="AB192" s="1099"/>
      <c r="AC192" s="1098"/>
      <c r="AD192" s="1098"/>
      <c r="AE192" s="1098"/>
      <c r="AF192" s="1098"/>
      <c r="AG192" s="1099"/>
      <c r="AH192" s="1098"/>
      <c r="AI192" s="1098"/>
      <c r="AJ192" s="1098"/>
      <c r="AK192" s="1098"/>
      <c r="AL192" s="1099"/>
      <c r="AM192" s="1098"/>
      <c r="AN192" s="1098"/>
      <c r="AO192" s="1098"/>
      <c r="AP192" s="1098"/>
      <c r="AQ192" s="1099"/>
      <c r="AR192" s="1098"/>
      <c r="AS192" s="1098"/>
      <c r="AT192" s="1098"/>
      <c r="AU192" s="885"/>
      <c r="AV192" s="1098"/>
      <c r="AW192" s="1098"/>
      <c r="AX192" s="1098"/>
      <c r="AY192" s="1098"/>
      <c r="AZ192" s="1099"/>
      <c r="BA192" s="1098"/>
      <c r="BB192" s="1098"/>
      <c r="BC192" s="1098"/>
      <c r="BD192" s="1098"/>
      <c r="BE192" s="1099"/>
      <c r="BF192" s="1098"/>
      <c r="BG192" s="1098"/>
      <c r="BH192" s="1098"/>
      <c r="BI192" s="1098"/>
      <c r="BJ192" s="1099"/>
      <c r="BK192" s="1098"/>
      <c r="BL192" s="1098"/>
      <c r="BM192" s="1098"/>
      <c r="BN192" s="1098"/>
      <c r="BO192" s="1099"/>
      <c r="BP192" s="1098"/>
      <c r="BQ192" s="1098"/>
      <c r="BR192" s="1098"/>
      <c r="BS192" s="1098"/>
      <c r="BT192" s="1099"/>
      <c r="BU192" s="1098"/>
      <c r="BV192" s="1098"/>
      <c r="BW192" s="1098"/>
      <c r="BX192" s="1098"/>
      <c r="BY192" s="1073"/>
      <c r="BZ192" s="1074"/>
      <c r="CA192" s="1072"/>
      <c r="CB192" s="1072"/>
      <c r="CC192" s="1072"/>
      <c r="CD192" s="1073"/>
      <c r="CE192" s="1072"/>
      <c r="CF192" s="1072"/>
      <c r="CG192" s="1072"/>
      <c r="CH192" s="1072"/>
      <c r="CI192" s="1073"/>
      <c r="CJ192" s="1072"/>
      <c r="CK192" s="1072"/>
      <c r="CL192" s="1072"/>
      <c r="CM192" s="1072"/>
      <c r="CN192" s="809">
        <f>(175/IS!CM69)/4.5</f>
        <v>0.27682815832751495</v>
      </c>
      <c r="CO192" s="1072"/>
      <c r="CP192" s="1072"/>
      <c r="CQ192" s="1098"/>
      <c r="CR192" s="1098"/>
      <c r="CS192" s="1073"/>
      <c r="CT192" s="1098"/>
      <c r="CU192" s="1098"/>
      <c r="CV192" s="1098"/>
      <c r="CW192" s="1098"/>
      <c r="CX192" s="1073"/>
      <c r="CY192" s="1098"/>
      <c r="CZ192" s="1098"/>
      <c r="DA192" s="1098"/>
      <c r="DB192" s="1098"/>
      <c r="DC192" s="1073"/>
      <c r="DD192" s="1098"/>
      <c r="DE192" s="1098"/>
      <c r="DF192" s="1098"/>
      <c r="DG192" s="1098"/>
      <c r="DH192" s="1073"/>
      <c r="DI192" s="1098"/>
      <c r="DJ192" s="1098"/>
      <c r="DK192" s="1098"/>
      <c r="DL192" s="1098"/>
      <c r="DM192" s="1073"/>
      <c r="DN192" s="1098"/>
      <c r="DO192" s="1098"/>
      <c r="DP192" s="1098"/>
      <c r="DQ192" s="1098"/>
      <c r="DR192" s="1073"/>
      <c r="DS192" s="1098"/>
      <c r="DT192" s="1098"/>
      <c r="DU192" s="1098"/>
      <c r="DV192" s="1098"/>
      <c r="DW192" s="1073"/>
      <c r="DX192" s="1098"/>
      <c r="DY192" s="1098"/>
      <c r="DZ192" s="1098"/>
      <c r="EA192" s="1098"/>
      <c r="EB192" s="1073"/>
      <c r="EC192" s="1098"/>
      <c r="ED192" s="1098"/>
      <c r="EE192" s="1098"/>
      <c r="EF192" s="1098"/>
      <c r="EG192" s="1073"/>
      <c r="EH192" s="1098"/>
      <c r="EI192" s="1098"/>
      <c r="EJ192" s="1098"/>
      <c r="EK192" s="1098"/>
      <c r="EL192" s="1073"/>
      <c r="EM192" s="1072"/>
      <c r="EN192"/>
      <c r="EO192"/>
      <c r="EP192"/>
      <c r="EQ192"/>
      <c r="ER192"/>
      <c r="ES192"/>
      <c r="ET192" s="135"/>
      <c r="EU192" s="135"/>
      <c r="EV192" s="135"/>
      <c r="EW192" s="135"/>
      <c r="EX192" s="135"/>
      <c r="EY192" s="135"/>
      <c r="EZ192" s="135"/>
      <c r="FA192" s="135"/>
      <c r="FB192" s="135"/>
      <c r="FC192" s="135"/>
      <c r="FD192" s="135"/>
      <c r="FE192" s="135"/>
      <c r="FF192" s="135"/>
      <c r="FG192" s="135"/>
      <c r="FH192" s="135"/>
      <c r="FI192" s="135"/>
      <c r="FJ192" s="135"/>
      <c r="FK192" s="135"/>
      <c r="FL192" s="135"/>
      <c r="FM192" s="135"/>
      <c r="FN192" s="135"/>
      <c r="FO192" s="135"/>
      <c r="FP192" s="135"/>
      <c r="FQ192" s="135"/>
      <c r="FR192" s="135"/>
      <c r="FS192" s="135"/>
      <c r="FT192" s="135"/>
      <c r="FU192" s="135"/>
      <c r="FV192" s="135"/>
      <c r="FW192" s="135"/>
      <c r="FX192" s="135"/>
      <c r="FY192" s="135"/>
      <c r="FZ192" s="135"/>
      <c r="GA192" s="135"/>
      <c r="GB192" s="135"/>
      <c r="GC192" s="135"/>
      <c r="GD192" s="135"/>
      <c r="GE192" s="135"/>
      <c r="GF192" s="135"/>
      <c r="GG192" s="135"/>
      <c r="GH192" s="135"/>
      <c r="GI192" s="135"/>
      <c r="GJ192" s="135"/>
      <c r="GK192" s="135"/>
      <c r="GL192" s="135"/>
      <c r="GM192" s="135"/>
      <c r="GN192" s="135"/>
      <c r="GO192" s="135"/>
      <c r="GP192" s="135"/>
      <c r="GQ192" s="135"/>
      <c r="GR192" s="135"/>
      <c r="GS192" s="135"/>
      <c r="GT192" s="135"/>
      <c r="GU192" s="135"/>
      <c r="GV192" s="135"/>
      <c r="GW192" s="135"/>
      <c r="GX192" s="135"/>
      <c r="GY192" s="135"/>
      <c r="GZ192" s="135"/>
      <c r="HA192" s="135"/>
      <c r="HB192" s="135"/>
      <c r="HC192" s="135"/>
      <c r="HD192" s="135"/>
      <c r="HE192" s="135"/>
      <c r="HF192" s="135"/>
      <c r="HG192" s="135"/>
      <c r="HH192" s="135"/>
      <c r="HI192" s="135"/>
      <c r="HJ192" s="135"/>
      <c r="HK192" s="135"/>
      <c r="HL192" s="135"/>
      <c r="HM192" s="135"/>
      <c r="HN192" s="135"/>
      <c r="HO192" s="135"/>
      <c r="HP192" s="135"/>
      <c r="HQ192" s="135"/>
      <c r="HR192" s="135"/>
      <c r="HS192" s="135"/>
      <c r="HT192" s="135"/>
      <c r="HU192" s="135"/>
      <c r="HV192" s="135"/>
      <c r="HW192" s="135"/>
      <c r="HX192" s="135"/>
      <c r="HY192" s="135"/>
      <c r="HZ192" s="135"/>
      <c r="IA192" s="135"/>
      <c r="IB192" s="135"/>
      <c r="IC192" s="135"/>
      <c r="ID192" s="135"/>
      <c r="IE192" s="135"/>
      <c r="IF192" s="135"/>
      <c r="IG192" s="135"/>
      <c r="IH192" s="135"/>
      <c r="II192" s="135"/>
      <c r="IJ192" s="135"/>
      <c r="IK192" s="135"/>
      <c r="IL192" s="135"/>
      <c r="IM192" s="135"/>
      <c r="IN192" s="135"/>
      <c r="IO192" s="135"/>
      <c r="IP192" s="135"/>
      <c r="IQ192" s="135"/>
      <c r="IR192" s="135"/>
      <c r="IS192" s="135"/>
      <c r="IT192" s="135"/>
      <c r="IU192" s="135"/>
      <c r="IV192" s="135"/>
      <c r="IW192" s="135"/>
      <c r="IX192" s="135"/>
      <c r="IY192" s="135"/>
      <c r="IZ192" s="135"/>
      <c r="JA192" s="135"/>
      <c r="JB192" s="135"/>
      <c r="JC192" s="135"/>
      <c r="JD192" s="135"/>
      <c r="JE192" s="135"/>
      <c r="JF192" s="135"/>
      <c r="JG192" s="135"/>
      <c r="JH192" s="135"/>
    </row>
    <row r="193" spans="1:268" s="4" customFormat="1">
      <c r="A193" s="972"/>
      <c r="B193" s="973" t="s">
        <v>90</v>
      </c>
      <c r="C193" s="892"/>
      <c r="D193" s="892"/>
      <c r="E193" s="892"/>
      <c r="F193" s="892"/>
      <c r="G193" s="892"/>
      <c r="H193" s="1001"/>
      <c r="I193" s="892"/>
      <c r="J193" s="892"/>
      <c r="K193" s="892"/>
      <c r="L193" s="892"/>
      <c r="M193" s="1001"/>
      <c r="N193" s="892"/>
      <c r="O193" s="892"/>
      <c r="P193" s="892"/>
      <c r="Q193" s="892"/>
      <c r="R193" s="1001"/>
      <c r="S193" s="892"/>
      <c r="T193" s="892"/>
      <c r="U193" s="892"/>
      <c r="V193" s="892"/>
      <c r="W193" s="1001"/>
      <c r="X193" s="892"/>
      <c r="Y193" s="892"/>
      <c r="Z193" s="892"/>
      <c r="AA193" s="892"/>
      <c r="AB193" s="1001"/>
      <c r="AC193" s="892"/>
      <c r="AD193" s="892"/>
      <c r="AE193" s="892"/>
      <c r="AF193" s="892"/>
      <c r="AG193" s="1001"/>
      <c r="AH193" s="892"/>
      <c r="AI193" s="892"/>
      <c r="AJ193" s="892"/>
      <c r="AK193" s="892"/>
      <c r="AL193" s="1001"/>
      <c r="AM193" s="892"/>
      <c r="AN193" s="892"/>
      <c r="AO193" s="892"/>
      <c r="AP193" s="892"/>
      <c r="AQ193" s="1001"/>
      <c r="AR193" s="892"/>
      <c r="AS193" s="892"/>
      <c r="AT193" s="892"/>
      <c r="AU193" s="1001"/>
      <c r="AV193" s="892"/>
      <c r="AW193" s="892"/>
      <c r="AX193" s="892"/>
      <c r="AY193" s="892"/>
      <c r="AZ193" s="1001"/>
      <c r="BA193" s="892"/>
      <c r="BB193" s="892"/>
      <c r="BC193" s="892"/>
      <c r="BD193" s="892"/>
      <c r="BE193" s="1001"/>
      <c r="BF193" s="892"/>
      <c r="BG193" s="892"/>
      <c r="BH193" s="892"/>
      <c r="BI193" s="892"/>
      <c r="BJ193" s="1001"/>
      <c r="BK193" s="892"/>
      <c r="BL193" s="892"/>
      <c r="BM193" s="892"/>
      <c r="BN193" s="892"/>
      <c r="BO193" s="1001"/>
      <c r="BP193" s="892"/>
      <c r="BQ193" s="892"/>
      <c r="BR193" s="892"/>
      <c r="BS193" s="892"/>
      <c r="BT193" s="1001"/>
      <c r="BU193" s="892"/>
      <c r="BV193" s="892"/>
      <c r="BW193" s="892"/>
      <c r="BX193" s="892"/>
      <c r="BY193" s="1001"/>
      <c r="BZ193" s="804"/>
      <c r="CA193" s="892"/>
      <c r="CB193" s="892"/>
      <c r="CC193" s="892"/>
      <c r="CD193" s="1001"/>
      <c r="CE193" s="892"/>
      <c r="CF193" s="892"/>
      <c r="CG193" s="892"/>
      <c r="CH193" s="892"/>
      <c r="CI193" s="1001"/>
      <c r="CJ193" s="892"/>
      <c r="CK193" s="892"/>
      <c r="CL193" s="892"/>
      <c r="CM193" s="892"/>
      <c r="CN193" s="1001"/>
      <c r="CO193" s="892"/>
      <c r="CP193" s="892"/>
      <c r="CQ193" s="892"/>
      <c r="CR193" s="892"/>
      <c r="CS193" s="1001"/>
      <c r="CT193" s="892"/>
      <c r="CU193" s="892"/>
      <c r="CV193" s="892"/>
      <c r="CW193" s="892"/>
      <c r="CX193" s="1001"/>
      <c r="CY193" s="892"/>
      <c r="CZ193" s="892"/>
      <c r="DA193" s="892"/>
      <c r="DB193" s="892"/>
      <c r="DC193" s="1001"/>
      <c r="DD193" s="892"/>
      <c r="DE193" s="892"/>
      <c r="DF193" s="892"/>
      <c r="DG193" s="892"/>
      <c r="DH193" s="1001"/>
      <c r="DI193" s="892"/>
      <c r="DJ193" s="892"/>
      <c r="DK193" s="892"/>
      <c r="DL193" s="892"/>
      <c r="DM193" s="1001"/>
      <c r="DN193" s="892"/>
      <c r="DO193" s="892"/>
      <c r="DP193" s="892"/>
      <c r="DQ193" s="892"/>
      <c r="DR193" s="1001"/>
      <c r="DS193" s="892"/>
      <c r="DT193" s="892"/>
      <c r="DU193" s="892"/>
      <c r="DV193" s="892"/>
      <c r="DW193" s="1001"/>
      <c r="DX193" s="892"/>
      <c r="DY193" s="892"/>
      <c r="DZ193" s="892"/>
      <c r="EA193" s="892"/>
      <c r="EB193" s="1001"/>
      <c r="EC193" s="892"/>
      <c r="ED193" s="892"/>
      <c r="EE193" s="892"/>
      <c r="EF193" s="892"/>
      <c r="EG193" s="1001"/>
      <c r="EH193" s="892"/>
      <c r="EI193" s="892"/>
      <c r="EJ193" s="892"/>
      <c r="EK193" s="892"/>
      <c r="EL193" s="1001"/>
      <c r="EM193" s="892"/>
      <c r="EN193"/>
      <c r="EO193"/>
      <c r="EP193"/>
      <c r="EQ193"/>
      <c r="ER193"/>
      <c r="ES193"/>
      <c r="ET193" s="135"/>
      <c r="EU193" s="135"/>
      <c r="EV193" s="135"/>
      <c r="EW193" s="135"/>
      <c r="EX193" s="135"/>
      <c r="EY193" s="135"/>
      <c r="EZ193" s="135"/>
      <c r="FA193" s="135"/>
      <c r="FB193" s="135"/>
      <c r="FC193" s="135"/>
      <c r="FD193" s="135"/>
      <c r="FE193" s="135"/>
      <c r="FF193" s="135"/>
      <c r="FG193" s="135"/>
      <c r="FH193" s="135"/>
      <c r="FI193" s="135"/>
      <c r="FJ193" s="135"/>
      <c r="FK193" s="135"/>
      <c r="FL193" s="135"/>
      <c r="FM193" s="135"/>
      <c r="FN193" s="135"/>
      <c r="FO193" s="135"/>
      <c r="FP193" s="135"/>
      <c r="FQ193" s="135"/>
      <c r="FR193" s="135"/>
      <c r="FS193" s="135"/>
      <c r="FT193" s="135"/>
      <c r="FU193" s="135"/>
      <c r="FV193" s="135"/>
      <c r="FW193" s="135"/>
      <c r="FX193" s="135"/>
      <c r="FY193" s="135"/>
      <c r="FZ193" s="135"/>
      <c r="GA193" s="135"/>
      <c r="GB193" s="135"/>
      <c r="GC193" s="135"/>
      <c r="GD193" s="135"/>
      <c r="GE193" s="135"/>
      <c r="GF193" s="135"/>
      <c r="GG193" s="135"/>
      <c r="GH193" s="135"/>
      <c r="GI193" s="135"/>
      <c r="GJ193" s="135"/>
      <c r="GK193" s="135"/>
      <c r="GL193" s="135"/>
      <c r="GM193" s="135"/>
      <c r="GN193" s="135"/>
      <c r="GO193" s="135"/>
      <c r="GP193" s="135"/>
      <c r="GQ193" s="135"/>
      <c r="GR193" s="135"/>
      <c r="GS193" s="135"/>
      <c r="GT193" s="135"/>
      <c r="GU193" s="135"/>
      <c r="GV193" s="135"/>
      <c r="GW193" s="135"/>
      <c r="GX193" s="135"/>
      <c r="GY193" s="135"/>
      <c r="GZ193" s="135"/>
      <c r="HA193" s="135"/>
      <c r="HB193" s="135"/>
      <c r="HC193" s="135"/>
      <c r="HD193" s="135"/>
      <c r="HE193" s="135"/>
      <c r="HF193" s="135"/>
      <c r="HG193" s="135"/>
      <c r="HH193" s="135"/>
      <c r="HI193" s="135"/>
      <c r="HJ193" s="135"/>
      <c r="HK193" s="135"/>
      <c r="HL193" s="135"/>
      <c r="HM193" s="135"/>
      <c r="HN193" s="135"/>
      <c r="HO193" s="135"/>
      <c r="HP193" s="135"/>
      <c r="HQ193" s="135"/>
      <c r="HR193" s="135"/>
      <c r="HS193" s="135"/>
      <c r="HT193" s="135"/>
      <c r="HU193" s="135"/>
      <c r="HV193" s="135"/>
      <c r="HW193" s="135"/>
      <c r="HX193" s="135"/>
      <c r="HY193" s="135"/>
      <c r="HZ193" s="135"/>
      <c r="IA193" s="135"/>
      <c r="IB193" s="135"/>
      <c r="IC193" s="135"/>
      <c r="ID193" s="135"/>
      <c r="IE193" s="135"/>
      <c r="IF193" s="135"/>
      <c r="IG193" s="135"/>
      <c r="IH193" s="135"/>
      <c r="II193" s="135"/>
      <c r="IJ193" s="135"/>
      <c r="IK193" s="135"/>
      <c r="IL193" s="135"/>
      <c r="IM193" s="135"/>
      <c r="IN193" s="135"/>
      <c r="IO193" s="135"/>
      <c r="IP193" s="135"/>
      <c r="IQ193" s="135"/>
      <c r="IR193" s="135"/>
      <c r="IS193" s="135"/>
      <c r="IT193" s="135"/>
      <c r="IU193" s="135"/>
      <c r="IV193" s="135"/>
      <c r="IW193" s="135"/>
      <c r="IX193" s="135"/>
      <c r="IY193" s="135"/>
      <c r="IZ193" s="135"/>
      <c r="JA193" s="135"/>
      <c r="JB193" s="135"/>
      <c r="JC193" s="135"/>
      <c r="JD193" s="135"/>
      <c r="JE193" s="135"/>
      <c r="JF193" s="135"/>
      <c r="JG193" s="135"/>
      <c r="JH193" s="135"/>
    </row>
    <row r="194" spans="1:268" s="4" customFormat="1">
      <c r="A194" s="801"/>
      <c r="B194" s="557" t="s">
        <v>62</v>
      </c>
      <c r="C194" s="1022"/>
      <c r="D194" s="1022">
        <f>D158</f>
        <v>-377.21100000000001</v>
      </c>
      <c r="E194" s="1022">
        <f>E158</f>
        <v>56.711000000000013</v>
      </c>
      <c r="F194" s="1022">
        <f>F158</f>
        <v>79.900000000000006</v>
      </c>
      <c r="G194" s="1022">
        <f>G158</f>
        <v>233.6</v>
      </c>
      <c r="H194" s="1047">
        <f>SUM(D194:G194)</f>
        <v>-7</v>
      </c>
      <c r="I194" s="1022">
        <f>I158</f>
        <v>60.8</v>
      </c>
      <c r="J194" s="1022">
        <f>J158</f>
        <v>-49.699999999999996</v>
      </c>
      <c r="K194" s="1022">
        <f>K158</f>
        <v>68.2</v>
      </c>
      <c r="L194" s="1022">
        <f>L158</f>
        <v>115.69999999999997</v>
      </c>
      <c r="M194" s="1047">
        <f>SUM(I194:L194)</f>
        <v>195</v>
      </c>
      <c r="N194" s="1022">
        <f>N158</f>
        <v>39.299999999999997</v>
      </c>
      <c r="O194" s="1022">
        <f>O158</f>
        <v>-53.5</v>
      </c>
      <c r="P194" s="1022">
        <f>P158</f>
        <v>269.09999999999997</v>
      </c>
      <c r="Q194" s="1022">
        <f>Q158</f>
        <v>149.10000000000002</v>
      </c>
      <c r="R194" s="1047">
        <f>SUM(N194:Q194)</f>
        <v>404</v>
      </c>
      <c r="S194" s="1022">
        <f>S158</f>
        <v>1</v>
      </c>
      <c r="T194" s="1022">
        <f>T158</f>
        <v>11</v>
      </c>
      <c r="U194" s="1022">
        <f>U158</f>
        <v>125</v>
      </c>
      <c r="V194" s="1022">
        <f>V158</f>
        <v>266</v>
      </c>
      <c r="W194" s="1047">
        <f>SUM(S194:V194)</f>
        <v>403</v>
      </c>
      <c r="X194" s="1022">
        <f>X158</f>
        <v>41</v>
      </c>
      <c r="Y194" s="1022">
        <f>Y158</f>
        <v>256</v>
      </c>
      <c r="Z194" s="1022">
        <f>Z158</f>
        <v>18</v>
      </c>
      <c r="AA194" s="1022">
        <f>AA158</f>
        <v>267</v>
      </c>
      <c r="AB194" s="1047">
        <f>SUM(X194:AA194)</f>
        <v>582</v>
      </c>
      <c r="AC194" s="1022">
        <f>AC158</f>
        <v>12</v>
      </c>
      <c r="AD194" s="1022">
        <f>AD158</f>
        <v>313</v>
      </c>
      <c r="AE194" s="1022">
        <f>AE158</f>
        <v>-3</v>
      </c>
      <c r="AF194" s="1022">
        <f>AF158</f>
        <v>547</v>
      </c>
      <c r="AG194" s="1047">
        <f>SUM(AC194:AF194)</f>
        <v>869</v>
      </c>
      <c r="AH194" s="1022">
        <f>AH158</f>
        <v>271</v>
      </c>
      <c r="AI194" s="1022">
        <f>AI158</f>
        <v>454</v>
      </c>
      <c r="AJ194" s="1022">
        <f>AJ158</f>
        <v>213</v>
      </c>
      <c r="AK194" s="1022">
        <f>AK158</f>
        <v>880</v>
      </c>
      <c r="AL194" s="1047">
        <f>SUM(AH194:AK194)</f>
        <v>1818</v>
      </c>
      <c r="AM194" s="1022">
        <f>AM158</f>
        <v>487</v>
      </c>
      <c r="AN194" s="1022">
        <f>AN158</f>
        <v>531</v>
      </c>
      <c r="AO194" s="1022">
        <f>AO158</f>
        <v>475</v>
      </c>
      <c r="AP194" s="1022">
        <f>AP158</f>
        <v>822</v>
      </c>
      <c r="AQ194" s="1047">
        <f>SUM(AM194:AP194)</f>
        <v>2315</v>
      </c>
      <c r="AR194" s="1022">
        <f>AR158</f>
        <v>696</v>
      </c>
      <c r="AS194" s="1022">
        <f>AS158</f>
        <v>246</v>
      </c>
      <c r="AT194" s="1022">
        <f>AT158</f>
        <v>327</v>
      </c>
      <c r="AU194" s="802"/>
      <c r="AV194" s="561"/>
      <c r="AW194" s="561"/>
      <c r="AX194" s="561"/>
      <c r="AY194" s="561"/>
      <c r="AZ194" s="844">
        <f>AZ158</f>
        <v>1126</v>
      </c>
      <c r="BA194" s="1022">
        <f>BA158</f>
        <v>224</v>
      </c>
      <c r="BB194" s="1022">
        <f>BB158</f>
        <v>359</v>
      </c>
      <c r="BC194" s="1022">
        <f>BC158</f>
        <v>137</v>
      </c>
      <c r="BD194" s="1022">
        <f>BD158</f>
        <v>118</v>
      </c>
      <c r="BE194" s="1047">
        <f>SUM(BA194:BD194)</f>
        <v>838</v>
      </c>
      <c r="BF194" s="1022">
        <f>BF158</f>
        <v>-59</v>
      </c>
      <c r="BG194" s="1022">
        <f>BG158</f>
        <v>144</v>
      </c>
      <c r="BH194" s="1022">
        <f>BH158</f>
        <v>123</v>
      </c>
      <c r="BI194" s="1022">
        <f>BI158</f>
        <v>-290</v>
      </c>
      <c r="BJ194" s="1047">
        <f>SUM(BF194:BI194)</f>
        <v>-82</v>
      </c>
      <c r="BK194" s="1022">
        <f>BK158</f>
        <v>516</v>
      </c>
      <c r="BL194" s="1022">
        <f>BL158</f>
        <v>184</v>
      </c>
      <c r="BM194" s="1022">
        <f>BM158</f>
        <v>-15</v>
      </c>
      <c r="BN194" s="1022">
        <f>BN158</f>
        <v>78</v>
      </c>
      <c r="BO194" s="1047">
        <f>SUM(BK194:BN194)</f>
        <v>763</v>
      </c>
      <c r="BP194" s="1022">
        <f>BP158</f>
        <v>-321</v>
      </c>
      <c r="BQ194" s="1022">
        <f>BQ158</f>
        <v>-320</v>
      </c>
      <c r="BR194" s="1022">
        <f>BR158</f>
        <v>200</v>
      </c>
      <c r="BS194" s="1022">
        <f>BS158</f>
        <v>-21</v>
      </c>
      <c r="BT194" s="1047">
        <f>SUM(BP194:BS194)</f>
        <v>-462</v>
      </c>
      <c r="BU194" s="1022">
        <f>BU158</f>
        <v>-154</v>
      </c>
      <c r="BV194" s="1022">
        <f>BV158</f>
        <v>285</v>
      </c>
      <c r="BW194" s="1022">
        <f>BW158</f>
        <v>83</v>
      </c>
      <c r="BX194" s="1022">
        <f>BX158</f>
        <v>112</v>
      </c>
      <c r="BY194" s="1047">
        <f>SUM(BU194:BX194)</f>
        <v>326</v>
      </c>
      <c r="BZ194" s="1022">
        <f>BZ158</f>
        <v>-133</v>
      </c>
      <c r="CA194" s="1022">
        <f>CA158</f>
        <v>123</v>
      </c>
      <c r="CB194" s="1022">
        <f>CB158</f>
        <v>151</v>
      </c>
      <c r="CC194" s="1022">
        <f>CC158</f>
        <v>67</v>
      </c>
      <c r="CD194" s="1047">
        <f>SUM(BZ194:CC194)</f>
        <v>208</v>
      </c>
      <c r="CE194" s="1022">
        <f>CE158</f>
        <v>-6</v>
      </c>
      <c r="CF194" s="1022">
        <f>CF158</f>
        <v>170</v>
      </c>
      <c r="CG194" s="1022">
        <f>CG158</f>
        <v>120</v>
      </c>
      <c r="CH194" s="1022">
        <f>CH158</f>
        <v>141</v>
      </c>
      <c r="CI194" s="1047">
        <f>SUM(CE194:CH194)</f>
        <v>425</v>
      </c>
      <c r="CJ194" s="1022">
        <f>CJ158</f>
        <v>-22</v>
      </c>
      <c r="CK194" s="1022">
        <f>CK158</f>
        <v>191</v>
      </c>
      <c r="CL194" s="1022">
        <f>CL158</f>
        <v>128</v>
      </c>
      <c r="CM194" s="1022">
        <f>CM158</f>
        <v>175</v>
      </c>
      <c r="CN194" s="1047">
        <f>SUM(CJ194:CM194)</f>
        <v>472</v>
      </c>
      <c r="CO194" s="1022">
        <f>CO158</f>
        <v>-2</v>
      </c>
      <c r="CP194" s="1022">
        <f>CP158</f>
        <v>178</v>
      </c>
      <c r="CQ194" s="1022">
        <f>CQ158</f>
        <v>148</v>
      </c>
      <c r="CR194" s="1022">
        <f>CR158</f>
        <v>173</v>
      </c>
      <c r="CS194" s="1047">
        <f>SUM(CO194:CR194)</f>
        <v>497</v>
      </c>
      <c r="CT194" s="1022">
        <f>CT158</f>
        <v>-42</v>
      </c>
      <c r="CU194" s="1022">
        <f>CU158</f>
        <v>243</v>
      </c>
      <c r="CV194" s="1022">
        <f>CV158</f>
        <v>136</v>
      </c>
      <c r="CW194" s="1022">
        <f>CW158</f>
        <v>256</v>
      </c>
      <c r="CX194" s="1047">
        <f>SUM(CT194:CW194)</f>
        <v>593</v>
      </c>
      <c r="CY194" s="1022">
        <f>CY158</f>
        <v>-32</v>
      </c>
      <c r="CZ194" s="1022">
        <f>CZ158</f>
        <v>160</v>
      </c>
      <c r="DA194" s="1022">
        <f>DA158</f>
        <v>206</v>
      </c>
      <c r="DB194" s="1022">
        <f>DB158</f>
        <v>255</v>
      </c>
      <c r="DC194" s="1047">
        <f>SUM(CY194:DB194)</f>
        <v>589</v>
      </c>
      <c r="DD194" s="1022">
        <f>DD158</f>
        <v>-19</v>
      </c>
      <c r="DE194" s="1022">
        <f>DE158</f>
        <v>266</v>
      </c>
      <c r="DF194" s="1022">
        <f>DF158</f>
        <v>221</v>
      </c>
      <c r="DG194" s="1022">
        <f>DG158</f>
        <v>219</v>
      </c>
      <c r="DH194" s="1047">
        <f>SUM(DD194:DG194)</f>
        <v>687</v>
      </c>
      <c r="DI194" s="1022">
        <f>DI158</f>
        <v>-57</v>
      </c>
      <c r="DJ194" s="1022">
        <f>DJ158</f>
        <v>410</v>
      </c>
      <c r="DK194" s="1022">
        <f>DK158</f>
        <v>482</v>
      </c>
      <c r="DL194" s="1022">
        <f>DL158</f>
        <v>191</v>
      </c>
      <c r="DM194" s="1047">
        <f>SUM(DI194:DL194)</f>
        <v>1026</v>
      </c>
      <c r="DN194" s="1022">
        <f>DN158</f>
        <v>147</v>
      </c>
      <c r="DO194" s="1022">
        <f>DO158</f>
        <v>435</v>
      </c>
      <c r="DP194" s="1022">
        <f>DP158</f>
        <v>269</v>
      </c>
      <c r="DQ194" s="1022">
        <f>DQ158</f>
        <v>-293</v>
      </c>
      <c r="DR194" s="1047">
        <f>SUM(DN194:DQ194)</f>
        <v>558</v>
      </c>
      <c r="DS194" s="1022">
        <f>DS158</f>
        <v>186</v>
      </c>
      <c r="DT194" s="1022">
        <f>DT158</f>
        <v>215</v>
      </c>
      <c r="DU194" s="1022">
        <f>DU158</f>
        <v>308</v>
      </c>
      <c r="DV194" s="1022">
        <f>DV158</f>
        <v>491</v>
      </c>
      <c r="DW194" s="1047">
        <f>SUM(DS194:DV194)</f>
        <v>1200</v>
      </c>
      <c r="DX194" s="1022">
        <f>DX158</f>
        <v>414.88902621087556</v>
      </c>
      <c r="DY194" s="1022">
        <f>DY158</f>
        <v>372.14250931334198</v>
      </c>
      <c r="DZ194" s="1022">
        <f>DZ158</f>
        <v>331.21563725564999</v>
      </c>
      <c r="EA194" s="1022">
        <f>EA158</f>
        <v>303.99317317246164</v>
      </c>
      <c r="EB194" s="1047">
        <f>SUM(DX194:EA194)</f>
        <v>1422.2403459523291</v>
      </c>
      <c r="EC194" s="1022">
        <f>EC158</f>
        <v>56.248820687435227</v>
      </c>
      <c r="ED194" s="1022">
        <f>ED158</f>
        <v>392.44660471454154</v>
      </c>
      <c r="EE194" s="1022">
        <f>EE158</f>
        <v>414.99037481094376</v>
      </c>
      <c r="EF194" s="1022">
        <f>EF158</f>
        <v>279.52060835602458</v>
      </c>
      <c r="EG194" s="1047">
        <f>SUM(EC194:EF194)</f>
        <v>1143.2064085689451</v>
      </c>
      <c r="EH194" s="1022">
        <f>EH158</f>
        <v>396.44814820131722</v>
      </c>
      <c r="EI194" s="1022">
        <f>EI158</f>
        <v>399.89116530049068</v>
      </c>
      <c r="EJ194" s="1022">
        <f>EJ158</f>
        <v>500.87592423253307</v>
      </c>
      <c r="EK194" s="1022">
        <f>EK158</f>
        <v>280.05727848665231</v>
      </c>
      <c r="EL194" s="1047">
        <f>SUM(EH194:EK194)</f>
        <v>1577.2725162209931</v>
      </c>
      <c r="EM194" s="561"/>
      <c r="EN194"/>
      <c r="EO194"/>
      <c r="EP194"/>
      <c r="EQ194"/>
      <c r="ER194"/>
      <c r="ES194"/>
      <c r="ET194" s="135"/>
      <c r="EU194" s="135"/>
      <c r="EV194" s="135"/>
      <c r="EW194" s="135"/>
      <c r="EX194" s="135"/>
      <c r="EY194" s="135"/>
      <c r="EZ194" s="135"/>
      <c r="FA194" s="135"/>
      <c r="FB194" s="135"/>
      <c r="FC194" s="135"/>
      <c r="FD194" s="135"/>
      <c r="FE194" s="135"/>
      <c r="FF194" s="135"/>
      <c r="FG194" s="135"/>
      <c r="FH194" s="135"/>
      <c r="FI194" s="135"/>
      <c r="FJ194" s="135"/>
      <c r="FK194" s="135"/>
      <c r="FL194" s="135"/>
      <c r="FM194" s="135"/>
      <c r="FN194" s="135"/>
      <c r="FO194" s="135"/>
      <c r="FP194" s="135"/>
      <c r="FQ194" s="135"/>
      <c r="FR194" s="135"/>
      <c r="FS194" s="135"/>
      <c r="FT194" s="135"/>
      <c r="FU194" s="135"/>
      <c r="FV194" s="135"/>
      <c r="FW194" s="135"/>
      <c r="FX194" s="135"/>
      <c r="FY194" s="135"/>
      <c r="FZ194" s="135"/>
      <c r="GA194" s="135"/>
      <c r="GB194" s="135"/>
      <c r="GC194" s="135"/>
      <c r="GD194" s="135"/>
      <c r="GE194" s="135"/>
      <c r="GF194" s="135"/>
      <c r="GG194" s="135"/>
      <c r="GH194" s="135"/>
      <c r="GI194" s="135"/>
      <c r="GJ194" s="135"/>
      <c r="GK194" s="135"/>
      <c r="GL194" s="135"/>
      <c r="GM194" s="135"/>
      <c r="GN194" s="135"/>
      <c r="GO194" s="135"/>
      <c r="GP194" s="135"/>
      <c r="GQ194" s="135"/>
      <c r="GR194" s="135"/>
      <c r="GS194" s="135"/>
      <c r="GT194" s="135"/>
      <c r="GU194" s="135"/>
      <c r="GV194" s="135"/>
      <c r="GW194" s="135"/>
      <c r="GX194" s="135"/>
      <c r="GY194" s="135"/>
      <c r="GZ194" s="135"/>
      <c r="HA194" s="135"/>
      <c r="HB194" s="135"/>
      <c r="HC194" s="135"/>
      <c r="HD194" s="135"/>
      <c r="HE194" s="135"/>
      <c r="HF194" s="135"/>
      <c r="HG194" s="135"/>
      <c r="HH194" s="135"/>
      <c r="HI194" s="135"/>
      <c r="HJ194" s="135"/>
      <c r="HK194" s="135"/>
      <c r="HL194" s="135"/>
      <c r="HM194" s="135"/>
      <c r="HN194" s="135"/>
      <c r="HO194" s="135"/>
      <c r="HP194" s="135"/>
      <c r="HQ194" s="135"/>
      <c r="HR194" s="135"/>
      <c r="HS194" s="135"/>
      <c r="HT194" s="135"/>
      <c r="HU194" s="135"/>
      <c r="HV194" s="135"/>
      <c r="HW194" s="135"/>
      <c r="HX194" s="135"/>
      <c r="HY194" s="135"/>
      <c r="HZ194" s="135"/>
      <c r="IA194" s="135"/>
      <c r="IB194" s="135"/>
      <c r="IC194" s="135"/>
      <c r="ID194" s="135"/>
      <c r="IE194" s="135"/>
      <c r="IF194" s="135"/>
      <c r="IG194" s="135"/>
      <c r="IH194" s="135"/>
      <c r="II194" s="135"/>
      <c r="IJ194" s="135"/>
      <c r="IK194" s="135"/>
      <c r="IL194" s="135"/>
      <c r="IM194" s="135"/>
      <c r="IN194" s="135"/>
      <c r="IO194" s="135"/>
      <c r="IP194" s="135"/>
      <c r="IQ194" s="135"/>
      <c r="IR194" s="135"/>
      <c r="IS194" s="135"/>
      <c r="IT194" s="135"/>
      <c r="IU194" s="135"/>
      <c r="IV194" s="135"/>
      <c r="IW194" s="135"/>
      <c r="IX194" s="135"/>
      <c r="IY194" s="135"/>
      <c r="IZ194" s="135"/>
      <c r="JA194" s="135"/>
      <c r="JB194" s="135"/>
      <c r="JC194" s="135"/>
      <c r="JD194" s="135"/>
      <c r="JE194" s="135"/>
      <c r="JF194" s="135"/>
      <c r="JG194" s="135"/>
      <c r="JH194" s="135"/>
    </row>
    <row r="195" spans="1:268" s="4" customFormat="1">
      <c r="A195" s="845"/>
      <c r="B195" s="846" t="s">
        <v>91</v>
      </c>
      <c r="C195" s="1051"/>
      <c r="D195" s="1051">
        <v>-34.18</v>
      </c>
      <c r="E195" s="1051">
        <f>-38.9-D195</f>
        <v>-4.7199999999999989</v>
      </c>
      <c r="F195" s="1051">
        <f>-38.9-E195-D195</f>
        <v>0</v>
      </c>
      <c r="G195" s="1051">
        <f>-45-F195-E195-D195</f>
        <v>-6.1000000000000014</v>
      </c>
      <c r="H195" s="1047">
        <f>+G195+F195+E195+D195</f>
        <v>-45</v>
      </c>
      <c r="I195" s="1051">
        <v>0</v>
      </c>
      <c r="J195" s="1051">
        <f>-19.7-I195</f>
        <v>-19.7</v>
      </c>
      <c r="K195" s="1051">
        <f>-26.1-J195-I195</f>
        <v>-6.4000000000000021</v>
      </c>
      <c r="L195" s="1051">
        <f>-28-K195-J195-I195</f>
        <v>-1.8999999999999986</v>
      </c>
      <c r="M195" s="1047">
        <f>+L195+K195+J195+I195</f>
        <v>-28</v>
      </c>
      <c r="N195" s="1051">
        <v>-20.5</v>
      </c>
      <c r="O195" s="1051">
        <f>-97.4-N195</f>
        <v>-76.900000000000006</v>
      </c>
      <c r="P195" s="1051">
        <f>-116.3-O195-N195</f>
        <v>-18.899999999999991</v>
      </c>
      <c r="Q195" s="1051">
        <f>-147-P195-O195-N195</f>
        <v>-30.700000000000017</v>
      </c>
      <c r="R195" s="1047">
        <f>+Q195+P195+O195+N195</f>
        <v>-147</v>
      </c>
      <c r="S195" s="1051">
        <v>-7</v>
      </c>
      <c r="T195" s="1051">
        <f>-12-S195</f>
        <v>-5</v>
      </c>
      <c r="U195" s="1051">
        <f>-11-T195-S195</f>
        <v>1</v>
      </c>
      <c r="V195" s="1051">
        <f>-11-U195-T195-S195</f>
        <v>0</v>
      </c>
      <c r="W195" s="1047">
        <f>+V195+U195+T195+S195</f>
        <v>-11</v>
      </c>
      <c r="X195" s="1051">
        <v>48</v>
      </c>
      <c r="Y195" s="1051">
        <f>30-X195</f>
        <v>-18</v>
      </c>
      <c r="Z195" s="1051">
        <f>30-Y195-X195</f>
        <v>0</v>
      </c>
      <c r="AA195" s="1051">
        <f>7-Z195-Y195-X195</f>
        <v>-23</v>
      </c>
      <c r="AB195" s="1047">
        <f>+AA195+Z195+Y195+X195</f>
        <v>7</v>
      </c>
      <c r="AC195" s="1051">
        <v>-4</v>
      </c>
      <c r="AD195" s="1051">
        <f>-41-AC195</f>
        <v>-37</v>
      </c>
      <c r="AE195" s="1051">
        <f>-101-75-AD195-AC195</f>
        <v>-135</v>
      </c>
      <c r="AF195" s="1051">
        <f>-226-AE195-AD195-AC195</f>
        <v>-50</v>
      </c>
      <c r="AG195" s="1047">
        <f>+AF195+AE195+AD195+AC195</f>
        <v>-226</v>
      </c>
      <c r="AH195" s="1051">
        <v>0.5</v>
      </c>
      <c r="AI195" s="1051">
        <f>-111-AH195</f>
        <v>-111.5</v>
      </c>
      <c r="AJ195" s="1051">
        <f>-190-AI195-AH195</f>
        <v>-79</v>
      </c>
      <c r="AK195" s="1051">
        <f>-257-AJ195-AI195-AH195</f>
        <v>-67</v>
      </c>
      <c r="AL195" s="1047">
        <f>+AK195+AJ195+AI195+AH195</f>
        <v>-257</v>
      </c>
      <c r="AM195" s="1051">
        <v>2</v>
      </c>
      <c r="AN195" s="1051">
        <f>-92-AM195</f>
        <v>-94</v>
      </c>
      <c r="AO195" s="1051">
        <f>-253-AN195-AM195</f>
        <v>-161</v>
      </c>
      <c r="AP195" s="1051">
        <f>-268-AO195-AN195-AM195</f>
        <v>-15</v>
      </c>
      <c r="AQ195" s="1047">
        <f>+AP195+AO195+AN195+AM195</f>
        <v>-268</v>
      </c>
      <c r="AR195" s="1051">
        <v>-23</v>
      </c>
      <c r="AS195" s="1051">
        <f>306-AR195</f>
        <v>329</v>
      </c>
      <c r="AT195" s="1051">
        <f>521-AS195-AR195</f>
        <v>215</v>
      </c>
      <c r="AU195" s="802"/>
      <c r="AV195" s="901"/>
      <c r="AW195" s="901"/>
      <c r="AX195" s="901"/>
      <c r="AY195" s="901"/>
      <c r="AZ195" s="1100">
        <v>-268</v>
      </c>
      <c r="BA195" s="1051">
        <v>-215</v>
      </c>
      <c r="BB195" s="1051">
        <f>-314-BA195</f>
        <v>-99</v>
      </c>
      <c r="BC195" s="1051">
        <f>-334-BB195-BA195</f>
        <v>-20</v>
      </c>
      <c r="BD195" s="1051">
        <f>-351-BC195-BB195-BA195</f>
        <v>-17</v>
      </c>
      <c r="BE195" s="1047">
        <f>+BD195+BC195+BB195+BA195</f>
        <v>-351</v>
      </c>
      <c r="BF195" s="1051">
        <v>-25</v>
      </c>
      <c r="BG195" s="1051">
        <f>-53-BF195</f>
        <v>-28</v>
      </c>
      <c r="BH195" s="1051">
        <f>-53-BG195-BF195</f>
        <v>0</v>
      </c>
      <c r="BI195" s="1051">
        <f>-46-BH195-BG195-BF195</f>
        <v>7</v>
      </c>
      <c r="BJ195" s="1047">
        <f>+BI195+BH195+BG195+BF195</f>
        <v>-46</v>
      </c>
      <c r="BK195" s="1055"/>
      <c r="BL195" s="1055"/>
      <c r="BM195" s="1055"/>
      <c r="BN195" s="1055"/>
      <c r="BO195" s="1047"/>
      <c r="BP195" s="1055"/>
      <c r="BQ195" s="1055"/>
      <c r="BR195" s="1055"/>
      <c r="BS195" s="1055"/>
      <c r="BT195" s="1047"/>
      <c r="BU195" s="1055"/>
      <c r="BV195" s="1055"/>
      <c r="BW195" s="1055"/>
      <c r="BX195" s="1055"/>
      <c r="BY195" s="1047">
        <v>-162</v>
      </c>
      <c r="BZ195" s="1054">
        <v>-1</v>
      </c>
      <c r="CA195" s="1054">
        <v>4</v>
      </c>
      <c r="CB195" s="1054">
        <v>0</v>
      </c>
      <c r="CC195" s="1054">
        <v>1</v>
      </c>
      <c r="CD195" s="1047">
        <f>SUM(BZ195:CC195)</f>
        <v>4</v>
      </c>
      <c r="CE195" s="1051">
        <v>0</v>
      </c>
      <c r="CF195" s="1051">
        <v>-22</v>
      </c>
      <c r="CG195" s="1051">
        <v>7</v>
      </c>
      <c r="CH195" s="1051">
        <v>58</v>
      </c>
      <c r="CI195" s="1047">
        <f>SUM(CE195:CH195)</f>
        <v>43</v>
      </c>
      <c r="CJ195" s="1051">
        <v>-17</v>
      </c>
      <c r="CK195" s="1051">
        <v>-17</v>
      </c>
      <c r="CL195" s="1051">
        <v>0</v>
      </c>
      <c r="CM195" s="1051">
        <f>-34-SUM(CJ195:CL195)</f>
        <v>0</v>
      </c>
      <c r="CN195" s="1047">
        <f>SUM(CJ195:CM195)</f>
        <v>-34</v>
      </c>
      <c r="CO195" s="1051">
        <v>24</v>
      </c>
      <c r="CP195" s="1051">
        <f>20-CO195</f>
        <v>-4</v>
      </c>
      <c r="CQ195" s="1051">
        <f>9-SUM(CP195,CO195)</f>
        <v>-11</v>
      </c>
      <c r="CR195" s="1051">
        <v>0</v>
      </c>
      <c r="CS195" s="1047">
        <f>SUM(CO195:CR195)</f>
        <v>9</v>
      </c>
      <c r="CT195" s="1051">
        <v>0</v>
      </c>
      <c r="CU195" s="1051">
        <v>0</v>
      </c>
      <c r="CV195" s="1051">
        <v>0</v>
      </c>
      <c r="CW195" s="1051">
        <v>0</v>
      </c>
      <c r="CX195" s="1047">
        <f>SUM(CT195:CW195)</f>
        <v>0</v>
      </c>
      <c r="CY195" s="1051">
        <v>0</v>
      </c>
      <c r="CZ195" s="1051">
        <v>0</v>
      </c>
      <c r="DA195" s="1051">
        <v>0</v>
      </c>
      <c r="DB195" s="1051">
        <v>0</v>
      </c>
      <c r="DC195" s="1047">
        <f>SUM(CY195:DB195)</f>
        <v>0</v>
      </c>
      <c r="DD195" s="1051">
        <v>0</v>
      </c>
      <c r="DE195" s="1051">
        <v>0</v>
      </c>
      <c r="DF195" s="1051">
        <v>0</v>
      </c>
      <c r="DG195" s="1051">
        <v>0</v>
      </c>
      <c r="DH195" s="1047">
        <f>SUM(DD195:DG195)</f>
        <v>0</v>
      </c>
      <c r="DI195" s="1051">
        <v>0</v>
      </c>
      <c r="DJ195" s="1051">
        <v>0</v>
      </c>
      <c r="DK195" s="1051">
        <v>0</v>
      </c>
      <c r="DL195" s="1051">
        <v>0</v>
      </c>
      <c r="DM195" s="1047">
        <f>SUM(DI195:DL195)</f>
        <v>0</v>
      </c>
      <c r="DN195" s="1051">
        <v>0</v>
      </c>
      <c r="DO195" s="1051">
        <v>0</v>
      </c>
      <c r="DP195" s="1051">
        <v>0</v>
      </c>
      <c r="DQ195" s="1051">
        <v>0</v>
      </c>
      <c r="DR195" s="1047">
        <f>SUM(DN195:DQ195)</f>
        <v>0</v>
      </c>
      <c r="DS195" s="1051">
        <v>0</v>
      </c>
      <c r="DT195" s="1051">
        <v>0</v>
      </c>
      <c r="DU195" s="1051">
        <v>0</v>
      </c>
      <c r="DV195" s="1051">
        <v>0</v>
      </c>
      <c r="DW195" s="1047">
        <f>SUM(DS195:DV195)</f>
        <v>0</v>
      </c>
      <c r="DX195" s="1051">
        <v>0</v>
      </c>
      <c r="DY195" s="1051">
        <v>0</v>
      </c>
      <c r="DZ195" s="1051">
        <v>0</v>
      </c>
      <c r="EA195" s="1051">
        <v>0</v>
      </c>
      <c r="EB195" s="1047">
        <f>SUM(DX195:EA195)</f>
        <v>0</v>
      </c>
      <c r="EC195" s="1051">
        <v>0</v>
      </c>
      <c r="ED195" s="1051">
        <v>0</v>
      </c>
      <c r="EE195" s="1051">
        <v>0</v>
      </c>
      <c r="EF195" s="1051">
        <v>0</v>
      </c>
      <c r="EG195" s="1047">
        <f>SUM(EC195:EF195)</f>
        <v>0</v>
      </c>
      <c r="EH195" s="1051">
        <v>0</v>
      </c>
      <c r="EI195" s="1051">
        <v>0</v>
      </c>
      <c r="EJ195" s="1051">
        <v>0</v>
      </c>
      <c r="EK195" s="1051">
        <v>0</v>
      </c>
      <c r="EL195" s="1047">
        <f>SUM(EH195:EK195)</f>
        <v>0</v>
      </c>
      <c r="EM195" s="901"/>
      <c r="EN195"/>
      <c r="EO195"/>
      <c r="EP195"/>
      <c r="EQ195"/>
      <c r="ER195"/>
      <c r="ES195"/>
      <c r="ET195" s="135"/>
      <c r="EU195" s="135"/>
      <c r="EV195" s="135"/>
      <c r="EW195" s="135"/>
      <c r="EX195" s="135"/>
      <c r="EY195" s="135"/>
      <c r="EZ195" s="135"/>
      <c r="FA195" s="135"/>
      <c r="FB195" s="135"/>
      <c r="FC195" s="135"/>
      <c r="FD195" s="135"/>
      <c r="FE195" s="135"/>
      <c r="FF195" s="135"/>
      <c r="FG195" s="135"/>
      <c r="FH195" s="135"/>
      <c r="FI195" s="135"/>
      <c r="FJ195" s="135"/>
      <c r="FK195" s="135"/>
      <c r="FL195" s="135"/>
      <c r="FM195" s="135"/>
      <c r="FN195" s="135"/>
      <c r="FO195" s="135"/>
      <c r="FP195" s="135"/>
      <c r="FQ195" s="135"/>
      <c r="FR195" s="135"/>
      <c r="FS195" s="135"/>
      <c r="FT195" s="135"/>
      <c r="FU195" s="135"/>
      <c r="FV195" s="135"/>
      <c r="FW195" s="135"/>
      <c r="FX195" s="135"/>
      <c r="FY195" s="135"/>
      <c r="FZ195" s="135"/>
      <c r="GA195" s="135"/>
      <c r="GB195" s="135"/>
      <c r="GC195" s="135"/>
      <c r="GD195" s="135"/>
      <c r="GE195" s="135"/>
      <c r="GF195" s="135"/>
      <c r="GG195" s="135"/>
      <c r="GH195" s="135"/>
      <c r="GI195" s="135"/>
      <c r="GJ195" s="135"/>
      <c r="GK195" s="135"/>
      <c r="GL195" s="135"/>
      <c r="GM195" s="135"/>
      <c r="GN195" s="135"/>
      <c r="GO195" s="135"/>
      <c r="GP195" s="135"/>
      <c r="GQ195" s="135"/>
      <c r="GR195" s="135"/>
      <c r="GS195" s="135"/>
      <c r="GT195" s="135"/>
      <c r="GU195" s="135"/>
      <c r="GV195" s="135"/>
      <c r="GW195" s="135"/>
      <c r="GX195" s="135"/>
      <c r="GY195" s="135"/>
      <c r="GZ195" s="135"/>
      <c r="HA195" s="135"/>
      <c r="HB195" s="135"/>
      <c r="HC195" s="135"/>
      <c r="HD195" s="135"/>
      <c r="HE195" s="135"/>
      <c r="HF195" s="135"/>
      <c r="HG195" s="135"/>
      <c r="HH195" s="135"/>
      <c r="HI195" s="135"/>
      <c r="HJ195" s="135"/>
      <c r="HK195" s="135"/>
      <c r="HL195" s="135"/>
      <c r="HM195" s="135"/>
      <c r="HN195" s="135"/>
      <c r="HO195" s="135"/>
      <c r="HP195" s="135"/>
      <c r="HQ195" s="135"/>
      <c r="HR195" s="135"/>
      <c r="HS195" s="135"/>
      <c r="HT195" s="135"/>
      <c r="HU195" s="135"/>
      <c r="HV195" s="135"/>
      <c r="HW195" s="135"/>
      <c r="HX195" s="135"/>
      <c r="HY195" s="135"/>
      <c r="HZ195" s="135"/>
      <c r="IA195" s="135"/>
      <c r="IB195" s="135"/>
      <c r="IC195" s="135"/>
      <c r="ID195" s="135"/>
      <c r="IE195" s="135"/>
      <c r="IF195" s="135"/>
      <c r="IG195" s="135"/>
      <c r="IH195" s="135"/>
      <c r="II195" s="135"/>
      <c r="IJ195" s="135"/>
      <c r="IK195" s="135"/>
      <c r="IL195" s="135"/>
      <c r="IM195" s="135"/>
      <c r="IN195" s="135"/>
      <c r="IO195" s="135"/>
      <c r="IP195" s="135"/>
      <c r="IQ195" s="135"/>
      <c r="IR195" s="135"/>
      <c r="IS195" s="135"/>
      <c r="IT195" s="135"/>
      <c r="IU195" s="135"/>
      <c r="IV195" s="135"/>
      <c r="IW195" s="135"/>
      <c r="IX195" s="135"/>
      <c r="IY195" s="135"/>
      <c r="IZ195" s="135"/>
      <c r="JA195" s="135"/>
      <c r="JB195" s="135"/>
      <c r="JC195" s="135"/>
      <c r="JD195" s="135"/>
      <c r="JE195" s="135"/>
      <c r="JF195" s="135"/>
      <c r="JG195" s="135"/>
      <c r="JH195" s="135"/>
    </row>
    <row r="196" spans="1:268" s="4" customFormat="1">
      <c r="A196" s="845"/>
      <c r="B196" s="846" t="s">
        <v>92</v>
      </c>
      <c r="C196" s="1051"/>
      <c r="D196" s="1051">
        <v>0</v>
      </c>
      <c r="E196" s="1051">
        <v>0</v>
      </c>
      <c r="F196" s="1051">
        <v>0</v>
      </c>
      <c r="G196" s="1051">
        <v>0</v>
      </c>
      <c r="H196" s="1047">
        <f>SUM(D196:G196)</f>
        <v>0</v>
      </c>
      <c r="I196" s="1051">
        <v>0</v>
      </c>
      <c r="J196" s="1051">
        <v>0</v>
      </c>
      <c r="K196" s="1051">
        <v>0</v>
      </c>
      <c r="L196" s="1051">
        <v>0</v>
      </c>
      <c r="M196" s="1047">
        <f>SUM(I196:L196)</f>
        <v>0</v>
      </c>
      <c r="N196" s="1051">
        <v>0</v>
      </c>
      <c r="O196" s="1051">
        <v>0</v>
      </c>
      <c r="P196" s="1051">
        <v>0</v>
      </c>
      <c r="Q196" s="1051">
        <v>0</v>
      </c>
      <c r="R196" s="1047">
        <f>SUM(N196:Q196)</f>
        <v>0</v>
      </c>
      <c r="S196" s="1051">
        <v>0</v>
      </c>
      <c r="T196" s="1051">
        <v>0</v>
      </c>
      <c r="U196" s="1051">
        <v>0</v>
      </c>
      <c r="V196" s="1051">
        <v>0</v>
      </c>
      <c r="W196" s="1047">
        <f>SUM(S196:V196)</f>
        <v>0</v>
      </c>
      <c r="X196" s="1051">
        <v>0</v>
      </c>
      <c r="Y196" s="1051">
        <v>0</v>
      </c>
      <c r="Z196" s="1051">
        <v>0</v>
      </c>
      <c r="AA196" s="1051">
        <v>0</v>
      </c>
      <c r="AB196" s="1047">
        <f>SUM(X196:AA196)</f>
        <v>0</v>
      </c>
      <c r="AC196" s="1051">
        <v>0</v>
      </c>
      <c r="AD196" s="1051">
        <v>0</v>
      </c>
      <c r="AE196" s="1051">
        <v>0</v>
      </c>
      <c r="AF196" s="1051">
        <v>0</v>
      </c>
      <c r="AG196" s="1047">
        <f>SUM(AC196:AF196)</f>
        <v>0</v>
      </c>
      <c r="AH196" s="1051">
        <v>0</v>
      </c>
      <c r="AI196" s="1051">
        <v>0</v>
      </c>
      <c r="AJ196" s="1051">
        <v>0</v>
      </c>
      <c r="AK196" s="1051">
        <v>0</v>
      </c>
      <c r="AL196" s="1047">
        <f>SUM(AH196:AK196)</f>
        <v>0</v>
      </c>
      <c r="AM196" s="1051">
        <v>0</v>
      </c>
      <c r="AN196" s="1051">
        <v>0</v>
      </c>
      <c r="AO196" s="1051">
        <v>0</v>
      </c>
      <c r="AP196" s="1051">
        <v>0</v>
      </c>
      <c r="AQ196" s="1047">
        <f>SUM(AM196:AP196)</f>
        <v>0</v>
      </c>
      <c r="AR196" s="1051">
        <v>0</v>
      </c>
      <c r="AS196" s="1051">
        <v>0</v>
      </c>
      <c r="AT196" s="1051">
        <v>0</v>
      </c>
      <c r="AU196" s="802"/>
      <c r="AV196" s="901"/>
      <c r="AW196" s="901"/>
      <c r="AX196" s="901"/>
      <c r="AY196" s="901"/>
      <c r="AZ196" s="1100">
        <v>0</v>
      </c>
      <c r="BA196" s="1051">
        <v>0</v>
      </c>
      <c r="BB196" s="1051">
        <v>0</v>
      </c>
      <c r="BC196" s="1051">
        <v>0</v>
      </c>
      <c r="BD196" s="1051">
        <v>0</v>
      </c>
      <c r="BE196" s="1047">
        <f>SUM(BA196:BD196)</f>
        <v>0</v>
      </c>
      <c r="BF196" s="1051">
        <v>0</v>
      </c>
      <c r="BG196" s="1051">
        <v>0</v>
      </c>
      <c r="BH196" s="1051">
        <v>0</v>
      </c>
      <c r="BI196" s="1051">
        <v>0</v>
      </c>
      <c r="BJ196" s="1047">
        <f>SUM(BF196:BI196)</f>
        <v>0</v>
      </c>
      <c r="BK196" s="1051">
        <v>0</v>
      </c>
      <c r="BL196" s="1051">
        <v>0</v>
      </c>
      <c r="BM196" s="1051">
        <v>0</v>
      </c>
      <c r="BN196" s="1051">
        <v>0</v>
      </c>
      <c r="BO196" s="1047">
        <f>SUM(BK196:BN196)</f>
        <v>0</v>
      </c>
      <c r="BP196" s="1051">
        <v>0</v>
      </c>
      <c r="BQ196" s="1051">
        <v>0</v>
      </c>
      <c r="BR196" s="1051">
        <v>0</v>
      </c>
      <c r="BS196" s="1051">
        <v>0</v>
      </c>
      <c r="BT196" s="1047">
        <f>SUM(BP196:BS196)</f>
        <v>0</v>
      </c>
      <c r="BU196" s="1051">
        <v>0</v>
      </c>
      <c r="BV196" s="1051">
        <v>0</v>
      </c>
      <c r="BW196" s="1051">
        <v>0</v>
      </c>
      <c r="BX196" s="1051">
        <v>0</v>
      </c>
      <c r="BY196" s="1047">
        <v>0</v>
      </c>
      <c r="BZ196" s="1051">
        <v>0</v>
      </c>
      <c r="CA196" s="1051">
        <v>0</v>
      </c>
      <c r="CB196" s="1051">
        <v>0</v>
      </c>
      <c r="CC196" s="1051">
        <v>0</v>
      </c>
      <c r="CD196" s="1047">
        <f>SUM(BZ196:CC196)</f>
        <v>0</v>
      </c>
      <c r="CE196" s="1051">
        <v>0</v>
      </c>
      <c r="CF196" s="1051">
        <v>0</v>
      </c>
      <c r="CG196" s="1051">
        <v>0</v>
      </c>
      <c r="CH196" s="1051">
        <v>0</v>
      </c>
      <c r="CI196" s="1047">
        <f>SUM(CE196:CH196)</f>
        <v>0</v>
      </c>
      <c r="CJ196" s="1051">
        <v>0</v>
      </c>
      <c r="CK196" s="1051">
        <v>0</v>
      </c>
      <c r="CL196" s="1051">
        <v>0</v>
      </c>
      <c r="CM196" s="1051">
        <v>0</v>
      </c>
      <c r="CN196" s="1047">
        <f>SUM(CJ196:CM196)</f>
        <v>0</v>
      </c>
      <c r="CO196" s="1051">
        <v>0</v>
      </c>
      <c r="CP196" s="1051">
        <v>0</v>
      </c>
      <c r="CQ196" s="1051">
        <v>0</v>
      </c>
      <c r="CR196" s="1054">
        <v>0</v>
      </c>
      <c r="CS196" s="1052">
        <f>SUM(CO196:CR196)</f>
        <v>0</v>
      </c>
      <c r="CT196" s="1051">
        <v>0</v>
      </c>
      <c r="CU196" s="1051">
        <v>0</v>
      </c>
      <c r="CV196" s="1051">
        <v>0</v>
      </c>
      <c r="CW196" s="1051">
        <v>0</v>
      </c>
      <c r="CX196" s="1052">
        <f>SUM(CT196:CW196)</f>
        <v>0</v>
      </c>
      <c r="CY196" s="1051">
        <v>0</v>
      </c>
      <c r="CZ196" s="1051">
        <v>0</v>
      </c>
      <c r="DA196" s="1051">
        <v>0</v>
      </c>
      <c r="DB196" s="1051">
        <v>0</v>
      </c>
      <c r="DC196" s="1052">
        <f>SUM(CY196:DB196)</f>
        <v>0</v>
      </c>
      <c r="DD196" s="1051">
        <v>0</v>
      </c>
      <c r="DE196" s="1051">
        <v>0</v>
      </c>
      <c r="DF196" s="1051">
        <v>0</v>
      </c>
      <c r="DG196" s="1051">
        <v>0</v>
      </c>
      <c r="DH196" s="1052">
        <f>SUM(DD196:DG196)</f>
        <v>0</v>
      </c>
      <c r="DI196" s="1051">
        <v>0</v>
      </c>
      <c r="DJ196" s="1051">
        <v>0</v>
      </c>
      <c r="DK196" s="1051">
        <v>0</v>
      </c>
      <c r="DL196" s="1051">
        <v>0</v>
      </c>
      <c r="DM196" s="1052">
        <f>SUM(DI196:DL196)</f>
        <v>0</v>
      </c>
      <c r="DN196" s="1051">
        <v>0</v>
      </c>
      <c r="DO196" s="1051">
        <v>0</v>
      </c>
      <c r="DP196" s="1051">
        <v>0</v>
      </c>
      <c r="DQ196" s="1051">
        <v>0</v>
      </c>
      <c r="DR196" s="1052">
        <f>SUM(DN196:DQ196)</f>
        <v>0</v>
      </c>
      <c r="DS196" s="1051">
        <v>0</v>
      </c>
      <c r="DT196" s="1051">
        <v>0</v>
      </c>
      <c r="DU196" s="1051">
        <v>0</v>
      </c>
      <c r="DV196" s="1051">
        <v>0</v>
      </c>
      <c r="DW196" s="1052">
        <f>SUM(DS196:DV196)</f>
        <v>0</v>
      </c>
      <c r="DX196" s="1051">
        <v>0</v>
      </c>
      <c r="DY196" s="1051">
        <v>0</v>
      </c>
      <c r="DZ196" s="1051">
        <v>0</v>
      </c>
      <c r="EA196" s="1051">
        <v>0</v>
      </c>
      <c r="EB196" s="1052">
        <f>SUM(DX196:EA196)</f>
        <v>0</v>
      </c>
      <c r="EC196" s="1051">
        <v>0</v>
      </c>
      <c r="ED196" s="1051">
        <v>0</v>
      </c>
      <c r="EE196" s="1051">
        <v>0</v>
      </c>
      <c r="EF196" s="1051">
        <v>0</v>
      </c>
      <c r="EG196" s="1052">
        <f>SUM(EC196:EF196)</f>
        <v>0</v>
      </c>
      <c r="EH196" s="1051">
        <v>0</v>
      </c>
      <c r="EI196" s="1051">
        <v>0</v>
      </c>
      <c r="EJ196" s="1051">
        <v>0</v>
      </c>
      <c r="EK196" s="1051">
        <v>0</v>
      </c>
      <c r="EL196" s="1052">
        <f>SUM(EH196:EK196)</f>
        <v>0</v>
      </c>
      <c r="EM196" s="901"/>
      <c r="EN196"/>
      <c r="EO196"/>
      <c r="EP196"/>
      <c r="EQ196"/>
      <c r="ER196"/>
      <c r="ES196"/>
      <c r="ET196" s="135"/>
      <c r="EU196" s="135"/>
      <c r="EV196" s="135"/>
      <c r="EW196" s="135"/>
      <c r="EX196" s="135"/>
      <c r="EY196" s="135"/>
      <c r="EZ196" s="135"/>
      <c r="FA196" s="135"/>
      <c r="FB196" s="135"/>
      <c r="FC196" s="135"/>
      <c r="FD196" s="135"/>
      <c r="FE196" s="135"/>
      <c r="FF196" s="135"/>
      <c r="FG196" s="135"/>
      <c r="FH196" s="135"/>
      <c r="FI196" s="135"/>
      <c r="FJ196" s="135"/>
      <c r="FK196" s="135"/>
      <c r="FL196" s="135"/>
      <c r="FM196" s="135"/>
      <c r="FN196" s="135"/>
      <c r="FO196" s="135"/>
      <c r="FP196" s="135"/>
      <c r="FQ196" s="135"/>
      <c r="FR196" s="135"/>
      <c r="FS196" s="135"/>
      <c r="FT196" s="135"/>
      <c r="FU196" s="135"/>
      <c r="FV196" s="135"/>
      <c r="FW196" s="135"/>
      <c r="FX196" s="135"/>
      <c r="FY196" s="135"/>
      <c r="FZ196" s="135"/>
      <c r="GA196" s="135"/>
      <c r="GB196" s="135"/>
      <c r="GC196" s="135"/>
      <c r="GD196" s="135"/>
      <c r="GE196" s="135"/>
      <c r="GF196" s="135"/>
      <c r="GG196" s="135"/>
      <c r="GH196" s="135"/>
      <c r="GI196" s="135"/>
      <c r="GJ196" s="135"/>
      <c r="GK196" s="135"/>
      <c r="GL196" s="135"/>
      <c r="GM196" s="135"/>
      <c r="GN196" s="135"/>
      <c r="GO196" s="135"/>
      <c r="GP196" s="135"/>
      <c r="GQ196" s="135"/>
      <c r="GR196" s="135"/>
      <c r="GS196" s="135"/>
      <c r="GT196" s="135"/>
      <c r="GU196" s="135"/>
      <c r="GV196" s="135"/>
      <c r="GW196" s="135"/>
      <c r="GX196" s="135"/>
      <c r="GY196" s="135"/>
      <c r="GZ196" s="135"/>
      <c r="HA196" s="135"/>
      <c r="HB196" s="135"/>
      <c r="HC196" s="135"/>
      <c r="HD196" s="135"/>
      <c r="HE196" s="135"/>
      <c r="HF196" s="135"/>
      <c r="HG196" s="135"/>
      <c r="HH196" s="135"/>
      <c r="HI196" s="135"/>
      <c r="HJ196" s="135"/>
      <c r="HK196" s="135"/>
      <c r="HL196" s="135"/>
      <c r="HM196" s="135"/>
      <c r="HN196" s="135"/>
      <c r="HO196" s="135"/>
      <c r="HP196" s="135"/>
      <c r="HQ196" s="135"/>
      <c r="HR196" s="135"/>
      <c r="HS196" s="135"/>
      <c r="HT196" s="135"/>
      <c r="HU196" s="135"/>
      <c r="HV196" s="135"/>
      <c r="HW196" s="135"/>
      <c r="HX196" s="135"/>
      <c r="HY196" s="135"/>
      <c r="HZ196" s="135"/>
      <c r="IA196" s="135"/>
      <c r="IB196" s="135"/>
      <c r="IC196" s="135"/>
      <c r="ID196" s="135"/>
      <c r="IE196" s="135"/>
      <c r="IF196" s="135"/>
      <c r="IG196" s="135"/>
      <c r="IH196" s="135"/>
      <c r="II196" s="135"/>
      <c r="IJ196" s="135"/>
      <c r="IK196" s="135"/>
      <c r="IL196" s="135"/>
      <c r="IM196" s="135"/>
      <c r="IN196" s="135"/>
      <c r="IO196" s="135"/>
      <c r="IP196" s="135"/>
      <c r="IQ196" s="135"/>
      <c r="IR196" s="135"/>
      <c r="IS196" s="135"/>
      <c r="IT196" s="135"/>
      <c r="IU196" s="135"/>
      <c r="IV196" s="135"/>
      <c r="IW196" s="135"/>
      <c r="IX196" s="135"/>
      <c r="IY196" s="135"/>
      <c r="IZ196" s="135"/>
      <c r="JA196" s="135"/>
      <c r="JB196" s="135"/>
      <c r="JC196" s="135"/>
      <c r="JD196" s="135"/>
      <c r="JE196" s="135"/>
      <c r="JF196" s="135"/>
      <c r="JG196" s="135"/>
      <c r="JH196" s="135"/>
    </row>
    <row r="197" spans="1:268" s="4" customFormat="1">
      <c r="A197" s="845"/>
      <c r="B197" s="846" t="s">
        <v>93</v>
      </c>
      <c r="C197" s="1054"/>
      <c r="D197" s="1054">
        <f t="shared" ref="D197:G198" si="470">-D156</f>
        <v>0</v>
      </c>
      <c r="E197" s="1054">
        <f t="shared" si="470"/>
        <v>0</v>
      </c>
      <c r="F197" s="1054">
        <f t="shared" si="470"/>
        <v>0</v>
      </c>
      <c r="G197" s="1054">
        <f t="shared" si="470"/>
        <v>0</v>
      </c>
      <c r="H197" s="1047">
        <f>SUM(D197:G197)</f>
        <v>0</v>
      </c>
      <c r="I197" s="1054">
        <f t="shared" ref="I197:L198" si="471">-I156</f>
        <v>0</v>
      </c>
      <c r="J197" s="1054">
        <f t="shared" si="471"/>
        <v>0</v>
      </c>
      <c r="K197" s="1054">
        <f t="shared" si="471"/>
        <v>0</v>
      </c>
      <c r="L197" s="1054">
        <f t="shared" si="471"/>
        <v>0</v>
      </c>
      <c r="M197" s="1047">
        <f>SUM(I197:L197)</f>
        <v>0</v>
      </c>
      <c r="N197" s="1054">
        <f t="shared" ref="N197:Q198" si="472">-N156</f>
        <v>0</v>
      </c>
      <c r="O197" s="1054">
        <f t="shared" si="472"/>
        <v>0</v>
      </c>
      <c r="P197" s="1054">
        <f t="shared" si="472"/>
        <v>0</v>
      </c>
      <c r="Q197" s="1054">
        <f t="shared" si="472"/>
        <v>0</v>
      </c>
      <c r="R197" s="1047">
        <f>SUM(N197:Q197)</f>
        <v>0</v>
      </c>
      <c r="S197" s="1054">
        <f t="shared" ref="S197:V198" si="473">-S156</f>
        <v>0</v>
      </c>
      <c r="T197" s="1054">
        <f t="shared" si="473"/>
        <v>0</v>
      </c>
      <c r="U197" s="1054">
        <f t="shared" si="473"/>
        <v>0</v>
      </c>
      <c r="V197" s="1054">
        <f t="shared" si="473"/>
        <v>0</v>
      </c>
      <c r="W197" s="1047">
        <f>SUM(S197:V197)</f>
        <v>0</v>
      </c>
      <c r="X197" s="1054">
        <f t="shared" ref="X197:AA198" si="474">-X156</f>
        <v>0</v>
      </c>
      <c r="Y197" s="1054">
        <f t="shared" si="474"/>
        <v>0</v>
      </c>
      <c r="Z197" s="1054">
        <f t="shared" si="474"/>
        <v>0</v>
      </c>
      <c r="AA197" s="1054">
        <f t="shared" si="474"/>
        <v>0</v>
      </c>
      <c r="AB197" s="1047">
        <f>SUM(X197:AA197)</f>
        <v>0</v>
      </c>
      <c r="AC197" s="1054">
        <f t="shared" ref="AC197:AF198" si="475">-AC156</f>
        <v>0</v>
      </c>
      <c r="AD197" s="1054">
        <f t="shared" si="475"/>
        <v>0</v>
      </c>
      <c r="AE197" s="1054">
        <f t="shared" si="475"/>
        <v>0</v>
      </c>
      <c r="AF197" s="1054">
        <f t="shared" si="475"/>
        <v>0</v>
      </c>
      <c r="AG197" s="1047">
        <f>SUM(AC197:AF197)</f>
        <v>0</v>
      </c>
      <c r="AH197" s="1054">
        <f t="shared" ref="AH197:AK198" si="476">-AH156</f>
        <v>0</v>
      </c>
      <c r="AI197" s="1054">
        <f t="shared" si="476"/>
        <v>0</v>
      </c>
      <c r="AJ197" s="1054">
        <f t="shared" si="476"/>
        <v>0</v>
      </c>
      <c r="AK197" s="1054">
        <f t="shared" si="476"/>
        <v>0</v>
      </c>
      <c r="AL197" s="1047">
        <f>SUM(AH197:AK197)</f>
        <v>0</v>
      </c>
      <c r="AM197" s="1054">
        <f t="shared" ref="AM197:AP198" si="477">-AM156</f>
        <v>0</v>
      </c>
      <c r="AN197" s="1054">
        <f t="shared" si="477"/>
        <v>0</v>
      </c>
      <c r="AO197" s="1054">
        <f t="shared" si="477"/>
        <v>0</v>
      </c>
      <c r="AP197" s="1054">
        <f t="shared" si="477"/>
        <v>0</v>
      </c>
      <c r="AQ197" s="1047">
        <f>SUM(AM197:AP197)</f>
        <v>0</v>
      </c>
      <c r="AR197" s="1054">
        <f t="shared" ref="AR197:AT198" si="478">-AR156</f>
        <v>0</v>
      </c>
      <c r="AS197" s="1054">
        <f t="shared" si="478"/>
        <v>0</v>
      </c>
      <c r="AT197" s="1054">
        <f t="shared" si="478"/>
        <v>0</v>
      </c>
      <c r="AU197" s="802"/>
      <c r="AV197" s="901"/>
      <c r="AW197" s="901"/>
      <c r="AX197" s="901"/>
      <c r="AY197" s="901"/>
      <c r="AZ197" s="844">
        <f t="shared" ref="AZ197:BD198" si="479">-AZ156</f>
        <v>18</v>
      </c>
      <c r="BA197" s="1054">
        <f t="shared" si="479"/>
        <v>0</v>
      </c>
      <c r="BB197" s="1054">
        <f t="shared" si="479"/>
        <v>0</v>
      </c>
      <c r="BC197" s="1054">
        <f t="shared" si="479"/>
        <v>0</v>
      </c>
      <c r="BD197" s="1054">
        <f t="shared" si="479"/>
        <v>148</v>
      </c>
      <c r="BE197" s="1047">
        <f>SUM(BA197:BD197)</f>
        <v>148</v>
      </c>
      <c r="BF197" s="1054">
        <f t="shared" ref="BF197:BI198" si="480">-BF156</f>
        <v>187</v>
      </c>
      <c r="BG197" s="1054">
        <f t="shared" si="480"/>
        <v>57</v>
      </c>
      <c r="BH197" s="1054">
        <f t="shared" si="480"/>
        <v>5</v>
      </c>
      <c r="BI197" s="1054">
        <f t="shared" si="480"/>
        <v>31</v>
      </c>
      <c r="BJ197" s="1047">
        <f>SUM(BF197:BI197)</f>
        <v>280</v>
      </c>
      <c r="BK197" s="1054">
        <f t="shared" ref="BK197:BN198" si="481">-BK156</f>
        <v>14</v>
      </c>
      <c r="BL197" s="1054">
        <f t="shared" si="481"/>
        <v>28</v>
      </c>
      <c r="BM197" s="1054">
        <f t="shared" si="481"/>
        <v>31</v>
      </c>
      <c r="BN197" s="1054">
        <f t="shared" si="481"/>
        <v>27</v>
      </c>
      <c r="BO197" s="1047">
        <f>SUM(BK197:BN197)</f>
        <v>100</v>
      </c>
      <c r="BP197" s="1054">
        <f t="shared" ref="BP197:BS198" si="482">-BP156</f>
        <v>175</v>
      </c>
      <c r="BQ197" s="1054">
        <f t="shared" si="482"/>
        <v>489</v>
      </c>
      <c r="BR197" s="1054">
        <f t="shared" si="482"/>
        <v>19</v>
      </c>
      <c r="BS197" s="1054">
        <f t="shared" si="482"/>
        <v>15</v>
      </c>
      <c r="BT197" s="1047">
        <f>SUM(BP197:BS197)</f>
        <v>698</v>
      </c>
      <c r="BU197" s="1054">
        <f t="shared" ref="BU197:BX198" si="483">-BU156</f>
        <v>7</v>
      </c>
      <c r="BV197" s="1054">
        <f t="shared" si="483"/>
        <v>21</v>
      </c>
      <c r="BW197" s="1054">
        <f t="shared" si="483"/>
        <v>11</v>
      </c>
      <c r="BX197" s="1054">
        <f t="shared" si="483"/>
        <v>31</v>
      </c>
      <c r="BY197" s="1047">
        <v>70</v>
      </c>
      <c r="BZ197" s="1054">
        <f t="shared" ref="BZ197:CC198" si="484">-BZ156</f>
        <v>27</v>
      </c>
      <c r="CA197" s="1054">
        <f t="shared" si="484"/>
        <v>29</v>
      </c>
      <c r="CB197" s="1054">
        <f t="shared" si="484"/>
        <v>23</v>
      </c>
      <c r="CC197" s="1054">
        <f t="shared" si="484"/>
        <v>21</v>
      </c>
      <c r="CD197" s="1047">
        <f>SUM(BZ197:CC197)</f>
        <v>100</v>
      </c>
      <c r="CE197" s="1054">
        <f t="shared" ref="CE197:CH198" si="485">-CE156</f>
        <v>28</v>
      </c>
      <c r="CF197" s="1054">
        <f t="shared" si="485"/>
        <v>28</v>
      </c>
      <c r="CG197" s="1054">
        <f t="shared" si="485"/>
        <v>109</v>
      </c>
      <c r="CH197" s="1054">
        <f t="shared" si="485"/>
        <v>27</v>
      </c>
      <c r="CI197" s="1047">
        <f>SUM(CE197:CH197)</f>
        <v>192</v>
      </c>
      <c r="CJ197" s="1054">
        <f t="shared" ref="CJ197:CM198" si="486">-CJ156</f>
        <v>24</v>
      </c>
      <c r="CK197" s="1054">
        <f t="shared" si="486"/>
        <v>27</v>
      </c>
      <c r="CL197" s="1054">
        <f t="shared" si="486"/>
        <v>25</v>
      </c>
      <c r="CM197" s="1054">
        <f t="shared" si="486"/>
        <v>7</v>
      </c>
      <c r="CN197" s="1047">
        <f>SUM(CJ197:CM197)</f>
        <v>83</v>
      </c>
      <c r="CO197" s="1054">
        <f t="shared" ref="CO197:CR198" si="487">-CO156</f>
        <v>7</v>
      </c>
      <c r="CP197" s="1054">
        <f t="shared" si="487"/>
        <v>14</v>
      </c>
      <c r="CQ197" s="1054">
        <f t="shared" si="487"/>
        <v>6</v>
      </c>
      <c r="CR197" s="1054">
        <f t="shared" si="487"/>
        <v>17</v>
      </c>
      <c r="CS197" s="1052">
        <f>SUM(CO197:CR197)</f>
        <v>44</v>
      </c>
      <c r="CT197" s="1054">
        <f t="shared" ref="CT197:CW198" si="488">-CT156</f>
        <v>11</v>
      </c>
      <c r="CU197" s="1054">
        <f t="shared" si="488"/>
        <v>39</v>
      </c>
      <c r="CV197" s="1054">
        <f t="shared" si="488"/>
        <v>6</v>
      </c>
      <c r="CW197" s="1054">
        <f t="shared" si="488"/>
        <v>7</v>
      </c>
      <c r="CX197" s="1052">
        <f>SUM(CT197:CW197)</f>
        <v>63</v>
      </c>
      <c r="CY197" s="1054">
        <f>-CY156</f>
        <v>7</v>
      </c>
      <c r="CZ197" s="1054">
        <f>-CZ156</f>
        <v>12</v>
      </c>
      <c r="DA197" s="1054">
        <f>-DA156</f>
        <v>17</v>
      </c>
      <c r="DB197" s="1054">
        <f>-DB156</f>
        <v>78</v>
      </c>
      <c r="DC197" s="1052">
        <f>SUM(CY197:DB197)</f>
        <v>114</v>
      </c>
      <c r="DD197" s="1054">
        <f t="shared" ref="DD197:DG198" si="489">-DD156</f>
        <v>30</v>
      </c>
      <c r="DE197" s="1054">
        <f t="shared" si="489"/>
        <v>54</v>
      </c>
      <c r="DF197" s="1054">
        <f t="shared" si="489"/>
        <v>31</v>
      </c>
      <c r="DG197" s="1054">
        <f t="shared" si="489"/>
        <v>53</v>
      </c>
      <c r="DH197" s="1052">
        <f>SUM(DD197:DG197)</f>
        <v>168</v>
      </c>
      <c r="DI197" s="1054">
        <f t="shared" ref="DI197:DL198" si="490">-DI156</f>
        <v>33</v>
      </c>
      <c r="DJ197" s="1054">
        <f t="shared" si="490"/>
        <v>53</v>
      </c>
      <c r="DK197" s="1054">
        <f t="shared" si="490"/>
        <v>71</v>
      </c>
      <c r="DL197" s="1054">
        <f t="shared" si="490"/>
        <v>43</v>
      </c>
      <c r="DM197" s="1052">
        <f>SUM(DI197:DL197)</f>
        <v>200</v>
      </c>
      <c r="DN197" s="1054">
        <f t="shared" ref="DN197:DQ198" si="491">-DN156</f>
        <v>69</v>
      </c>
      <c r="DO197" s="1054">
        <f t="shared" si="491"/>
        <v>30</v>
      </c>
      <c r="DP197" s="1054">
        <f t="shared" si="491"/>
        <v>33</v>
      </c>
      <c r="DQ197" s="1054">
        <f t="shared" si="491"/>
        <v>559</v>
      </c>
      <c r="DR197" s="1052">
        <f>SUM(DN197:DQ197)</f>
        <v>691</v>
      </c>
      <c r="DS197" s="1054">
        <f t="shared" ref="DS197:DV198" si="492">-DS156</f>
        <v>24</v>
      </c>
      <c r="DT197" s="1054">
        <f>-DT156</f>
        <v>38</v>
      </c>
      <c r="DU197" s="1054">
        <f>-DU156</f>
        <v>26</v>
      </c>
      <c r="DV197" s="1054">
        <f t="shared" si="492"/>
        <v>37</v>
      </c>
      <c r="DW197" s="1052">
        <f>SUM(DS197:DV197)</f>
        <v>125</v>
      </c>
      <c r="DX197" s="1054">
        <f>(75/5)</f>
        <v>15</v>
      </c>
      <c r="DY197" s="1054">
        <f>DX197</f>
        <v>15</v>
      </c>
      <c r="DZ197" s="1054">
        <f>DY197</f>
        <v>15</v>
      </c>
      <c r="EA197" s="1054">
        <f>DZ197</f>
        <v>15</v>
      </c>
      <c r="EB197" s="1052">
        <f>SUM(DX197:EA197)</f>
        <v>60</v>
      </c>
      <c r="EC197" s="1054">
        <f t="shared" ref="EC197:EF198" si="493">-EC156</f>
        <v>0</v>
      </c>
      <c r="ED197" s="1054">
        <f t="shared" si="493"/>
        <v>0</v>
      </c>
      <c r="EE197" s="1054">
        <f t="shared" si="493"/>
        <v>0</v>
      </c>
      <c r="EF197" s="1054">
        <f t="shared" si="493"/>
        <v>0</v>
      </c>
      <c r="EG197" s="1052">
        <f>SUM(EC197:EF197)</f>
        <v>0</v>
      </c>
      <c r="EH197" s="1054">
        <f t="shared" ref="EH197:EK197" si="494">-EH156</f>
        <v>0</v>
      </c>
      <c r="EI197" s="1054">
        <f t="shared" si="494"/>
        <v>0</v>
      </c>
      <c r="EJ197" s="1054">
        <f t="shared" si="494"/>
        <v>0</v>
      </c>
      <c r="EK197" s="1054">
        <f t="shared" si="494"/>
        <v>0</v>
      </c>
      <c r="EL197" s="1052">
        <f>SUM(EH197:EK197)</f>
        <v>0</v>
      </c>
      <c r="EM197" s="901"/>
      <c r="EN197"/>
      <c r="EO197"/>
      <c r="EP197"/>
      <c r="EQ197"/>
      <c r="ER197"/>
      <c r="ES197"/>
      <c r="ET197" s="135"/>
      <c r="EU197" s="135"/>
      <c r="EV197" s="135"/>
      <c r="EW197" s="135"/>
      <c r="EX197" s="135"/>
      <c r="EY197" s="135"/>
      <c r="EZ197" s="135"/>
      <c r="FA197" s="135"/>
      <c r="FB197" s="135"/>
      <c r="FC197" s="135"/>
      <c r="FD197" s="135"/>
      <c r="FE197" s="135"/>
      <c r="FF197" s="135"/>
      <c r="FG197" s="135"/>
      <c r="FH197" s="135"/>
      <c r="FI197" s="135"/>
      <c r="FJ197" s="135"/>
      <c r="FK197" s="135"/>
      <c r="FL197" s="135"/>
      <c r="FM197" s="135"/>
      <c r="FN197" s="135"/>
      <c r="FO197" s="135"/>
      <c r="FP197" s="135"/>
      <c r="FQ197" s="135"/>
      <c r="FR197" s="135"/>
      <c r="FS197" s="135"/>
      <c r="FT197" s="135"/>
      <c r="FU197" s="135"/>
      <c r="FV197" s="135"/>
      <c r="FW197" s="135"/>
      <c r="FX197" s="135"/>
      <c r="FY197" s="135"/>
      <c r="FZ197" s="135"/>
      <c r="GA197" s="135"/>
      <c r="GB197" s="135"/>
      <c r="GC197" s="135"/>
      <c r="GD197" s="135"/>
      <c r="GE197" s="135"/>
      <c r="GF197" s="135"/>
      <c r="GG197" s="135"/>
      <c r="GH197" s="135"/>
      <c r="GI197" s="135"/>
      <c r="GJ197" s="135"/>
      <c r="GK197" s="135"/>
      <c r="GL197" s="135"/>
      <c r="GM197" s="135"/>
      <c r="GN197" s="135"/>
      <c r="GO197" s="135"/>
      <c r="GP197" s="135"/>
      <c r="GQ197" s="135"/>
      <c r="GR197" s="135"/>
      <c r="GS197" s="135"/>
      <c r="GT197" s="135"/>
      <c r="GU197" s="135"/>
      <c r="GV197" s="135"/>
      <c r="GW197" s="135"/>
      <c r="GX197" s="135"/>
      <c r="GY197" s="135"/>
      <c r="GZ197" s="135"/>
      <c r="HA197" s="135"/>
      <c r="HB197" s="135"/>
      <c r="HC197" s="135"/>
      <c r="HD197" s="135"/>
      <c r="HE197" s="135"/>
      <c r="HF197" s="135"/>
      <c r="HG197" s="135"/>
      <c r="HH197" s="135"/>
      <c r="HI197" s="135"/>
      <c r="HJ197" s="135"/>
      <c r="HK197" s="135"/>
      <c r="HL197" s="135"/>
      <c r="HM197" s="135"/>
      <c r="HN197" s="135"/>
      <c r="HO197" s="135"/>
      <c r="HP197" s="135"/>
      <c r="HQ197" s="135"/>
      <c r="HR197" s="135"/>
      <c r="HS197" s="135"/>
      <c r="HT197" s="135"/>
      <c r="HU197" s="135"/>
      <c r="HV197" s="135"/>
      <c r="HW197" s="135"/>
      <c r="HX197" s="135"/>
      <c r="HY197" s="135"/>
      <c r="HZ197" s="135"/>
      <c r="IA197" s="135"/>
      <c r="IB197" s="135"/>
      <c r="IC197" s="135"/>
      <c r="ID197" s="135"/>
      <c r="IE197" s="135"/>
      <c r="IF197" s="135"/>
      <c r="IG197" s="135"/>
      <c r="IH197" s="135"/>
      <c r="II197" s="135"/>
      <c r="IJ197" s="135"/>
      <c r="IK197" s="135"/>
      <c r="IL197" s="135"/>
      <c r="IM197" s="135"/>
      <c r="IN197" s="135"/>
      <c r="IO197" s="135"/>
      <c r="IP197" s="135"/>
      <c r="IQ197" s="135"/>
      <c r="IR197" s="135"/>
      <c r="IS197" s="135"/>
      <c r="IT197" s="135"/>
      <c r="IU197" s="135"/>
      <c r="IV197" s="135"/>
      <c r="IW197" s="135"/>
      <c r="IX197" s="135"/>
      <c r="IY197" s="135"/>
      <c r="IZ197" s="135"/>
      <c r="JA197" s="135"/>
      <c r="JB197" s="135"/>
      <c r="JC197" s="135"/>
      <c r="JD197" s="135"/>
      <c r="JE197" s="135"/>
      <c r="JF197" s="135"/>
      <c r="JG197" s="135"/>
      <c r="JH197" s="135"/>
    </row>
    <row r="198" spans="1:268" s="4" customFormat="1">
      <c r="A198" s="845"/>
      <c r="B198" s="846" t="s">
        <v>94</v>
      </c>
      <c r="C198" s="1101"/>
      <c r="D198" s="1101">
        <f t="shared" si="470"/>
        <v>0</v>
      </c>
      <c r="E198" s="1101">
        <f t="shared" si="470"/>
        <v>0</v>
      </c>
      <c r="F198" s="1101">
        <f t="shared" si="470"/>
        <v>0</v>
      </c>
      <c r="G198" s="1101">
        <f t="shared" si="470"/>
        <v>0</v>
      </c>
      <c r="H198" s="1091">
        <f>SUM(D198:G198)</f>
        <v>0</v>
      </c>
      <c r="I198" s="1101">
        <f t="shared" si="471"/>
        <v>0</v>
      </c>
      <c r="J198" s="1101">
        <f t="shared" si="471"/>
        <v>0</v>
      </c>
      <c r="K198" s="1101">
        <f t="shared" si="471"/>
        <v>0</v>
      </c>
      <c r="L198" s="1101">
        <f t="shared" si="471"/>
        <v>0</v>
      </c>
      <c r="M198" s="1091">
        <f>SUM(I198:L198)</f>
        <v>0</v>
      </c>
      <c r="N198" s="1101">
        <f t="shared" si="472"/>
        <v>0</v>
      </c>
      <c r="O198" s="1101">
        <f t="shared" si="472"/>
        <v>0</v>
      </c>
      <c r="P198" s="1101">
        <f t="shared" si="472"/>
        <v>0</v>
      </c>
      <c r="Q198" s="1101">
        <f t="shared" si="472"/>
        <v>0</v>
      </c>
      <c r="R198" s="1091">
        <f>SUM(N198:Q198)</f>
        <v>0</v>
      </c>
      <c r="S198" s="1101">
        <f t="shared" si="473"/>
        <v>0</v>
      </c>
      <c r="T198" s="1101">
        <f t="shared" si="473"/>
        <v>0</v>
      </c>
      <c r="U198" s="1101">
        <f t="shared" si="473"/>
        <v>0</v>
      </c>
      <c r="V198" s="1101">
        <f t="shared" si="473"/>
        <v>0</v>
      </c>
      <c r="W198" s="1091">
        <f>SUM(S198:V198)</f>
        <v>0</v>
      </c>
      <c r="X198" s="1101">
        <f t="shared" si="474"/>
        <v>8</v>
      </c>
      <c r="Y198" s="1101">
        <f t="shared" si="474"/>
        <v>12</v>
      </c>
      <c r="Z198" s="1101">
        <f t="shared" si="474"/>
        <v>17</v>
      </c>
      <c r="AA198" s="1101">
        <f t="shared" si="474"/>
        <v>-37</v>
      </c>
      <c r="AB198" s="1091">
        <f>SUM(X198:AA198)</f>
        <v>0</v>
      </c>
      <c r="AC198" s="1101">
        <f t="shared" si="475"/>
        <v>0</v>
      </c>
      <c r="AD198" s="1101">
        <f t="shared" si="475"/>
        <v>0</v>
      </c>
      <c r="AE198" s="1101">
        <f t="shared" si="475"/>
        <v>0</v>
      </c>
      <c r="AF198" s="1101">
        <f t="shared" si="475"/>
        <v>0</v>
      </c>
      <c r="AG198" s="1091">
        <f>SUM(AC198:AF198)</f>
        <v>0</v>
      </c>
      <c r="AH198" s="1101">
        <f t="shared" si="476"/>
        <v>0</v>
      </c>
      <c r="AI198" s="1101">
        <f t="shared" si="476"/>
        <v>0</v>
      </c>
      <c r="AJ198" s="1101">
        <f t="shared" si="476"/>
        <v>0</v>
      </c>
      <c r="AK198" s="1101">
        <f t="shared" si="476"/>
        <v>0</v>
      </c>
      <c r="AL198" s="1091">
        <f>SUM(AH198:AK198)</f>
        <v>0</v>
      </c>
      <c r="AM198" s="1101">
        <f t="shared" si="477"/>
        <v>0</v>
      </c>
      <c r="AN198" s="1101">
        <f t="shared" si="477"/>
        <v>0</v>
      </c>
      <c r="AO198" s="1101">
        <f t="shared" si="477"/>
        <v>0</v>
      </c>
      <c r="AP198" s="1101">
        <f t="shared" si="477"/>
        <v>0</v>
      </c>
      <c r="AQ198" s="1091">
        <f>SUM(AM198:AP198)</f>
        <v>0</v>
      </c>
      <c r="AR198" s="1101">
        <f t="shared" si="478"/>
        <v>0</v>
      </c>
      <c r="AS198" s="1101">
        <f t="shared" si="478"/>
        <v>0</v>
      </c>
      <c r="AT198" s="1101">
        <f t="shared" si="478"/>
        <v>0</v>
      </c>
      <c r="AU198" s="802"/>
      <c r="AV198" s="910"/>
      <c r="AW198" s="910"/>
      <c r="AX198" s="910"/>
      <c r="AY198" s="910"/>
      <c r="AZ198" s="1015">
        <f t="shared" si="479"/>
        <v>0</v>
      </c>
      <c r="BA198" s="1101">
        <f t="shared" si="479"/>
        <v>0</v>
      </c>
      <c r="BB198" s="1101">
        <f t="shared" si="479"/>
        <v>0</v>
      </c>
      <c r="BC198" s="1101">
        <f t="shared" si="479"/>
        <v>0</v>
      </c>
      <c r="BD198" s="1101">
        <f t="shared" si="479"/>
        <v>0</v>
      </c>
      <c r="BE198" s="1091">
        <f>SUM(BA198:BD198)</f>
        <v>0</v>
      </c>
      <c r="BF198" s="1101">
        <f t="shared" si="480"/>
        <v>-46</v>
      </c>
      <c r="BG198" s="1101">
        <f t="shared" si="480"/>
        <v>-27</v>
      </c>
      <c r="BH198" s="1101">
        <f t="shared" si="480"/>
        <v>42</v>
      </c>
      <c r="BI198" s="1101">
        <f t="shared" si="480"/>
        <v>439</v>
      </c>
      <c r="BJ198" s="1091">
        <f>SUM(BF198:BI198)</f>
        <v>408</v>
      </c>
      <c r="BK198" s="1101">
        <f t="shared" si="481"/>
        <v>-45</v>
      </c>
      <c r="BL198" s="1101">
        <f t="shared" si="481"/>
        <v>-32</v>
      </c>
      <c r="BM198" s="1101">
        <f t="shared" si="481"/>
        <v>24</v>
      </c>
      <c r="BN198" s="1101">
        <f t="shared" si="481"/>
        <v>8</v>
      </c>
      <c r="BO198" s="1091">
        <f>SUM(BK198:BN198)</f>
        <v>-45</v>
      </c>
      <c r="BP198" s="1101">
        <f t="shared" si="482"/>
        <v>8</v>
      </c>
      <c r="BQ198" s="1101">
        <f t="shared" si="482"/>
        <v>41</v>
      </c>
      <c r="BR198" s="1101">
        <f t="shared" si="482"/>
        <v>-21</v>
      </c>
      <c r="BS198" s="1101">
        <f t="shared" si="482"/>
        <v>-5</v>
      </c>
      <c r="BT198" s="1091">
        <f>SUM(BP198:BS198)</f>
        <v>23</v>
      </c>
      <c r="BU198" s="1101">
        <f t="shared" si="483"/>
        <v>-17</v>
      </c>
      <c r="BV198" s="1101">
        <f t="shared" si="483"/>
        <v>8</v>
      </c>
      <c r="BW198" s="1101">
        <f t="shared" si="483"/>
        <v>6</v>
      </c>
      <c r="BX198" s="1101">
        <f t="shared" si="483"/>
        <v>-22</v>
      </c>
      <c r="BY198" s="1102">
        <v>-32</v>
      </c>
      <c r="BZ198" s="1101">
        <f t="shared" si="484"/>
        <v>0</v>
      </c>
      <c r="CA198" s="1101">
        <f t="shared" si="484"/>
        <v>-2</v>
      </c>
      <c r="CB198" s="1101">
        <f t="shared" si="484"/>
        <v>-34</v>
      </c>
      <c r="CC198" s="1101">
        <f t="shared" si="484"/>
        <v>12</v>
      </c>
      <c r="CD198" s="1102">
        <f>SUM(BZ198:CC198)</f>
        <v>-24</v>
      </c>
      <c r="CE198" s="1101">
        <f t="shared" si="485"/>
        <v>-56</v>
      </c>
      <c r="CF198" s="1101">
        <f t="shared" si="485"/>
        <v>28</v>
      </c>
      <c r="CG198" s="1101">
        <f t="shared" si="485"/>
        <v>-3</v>
      </c>
      <c r="CH198" s="1101">
        <f t="shared" si="485"/>
        <v>-9</v>
      </c>
      <c r="CI198" s="1102">
        <f>SUM(CE198:CH198)</f>
        <v>-40</v>
      </c>
      <c r="CJ198" s="1101">
        <f t="shared" si="486"/>
        <v>-2</v>
      </c>
      <c r="CK198" s="1101">
        <f t="shared" si="486"/>
        <v>-3</v>
      </c>
      <c r="CL198" s="1101">
        <f t="shared" si="486"/>
        <v>7</v>
      </c>
      <c r="CM198" s="1101">
        <f t="shared" si="486"/>
        <v>-2</v>
      </c>
      <c r="CN198" s="1102">
        <f>SUM(CJ198:CM198)</f>
        <v>0</v>
      </c>
      <c r="CO198" s="1101">
        <f t="shared" si="487"/>
        <v>13</v>
      </c>
      <c r="CP198" s="1101">
        <f t="shared" si="487"/>
        <v>6</v>
      </c>
      <c r="CQ198" s="1101">
        <f t="shared" si="487"/>
        <v>22</v>
      </c>
      <c r="CR198" s="1101">
        <f t="shared" si="487"/>
        <v>6</v>
      </c>
      <c r="CS198" s="1102">
        <f>SUM(CO198:CR198)</f>
        <v>47</v>
      </c>
      <c r="CT198" s="1101">
        <f t="shared" si="488"/>
        <v>19</v>
      </c>
      <c r="CU198" s="1101">
        <f t="shared" si="488"/>
        <v>3</v>
      </c>
      <c r="CV198" s="1101">
        <f t="shared" si="488"/>
        <v>-3</v>
      </c>
      <c r="CW198" s="1101">
        <f t="shared" si="488"/>
        <v>16</v>
      </c>
      <c r="CX198" s="1102">
        <f>SUM(CT198:CW198)</f>
        <v>35</v>
      </c>
      <c r="CY198" s="1101">
        <f>25/4</f>
        <v>6.25</v>
      </c>
      <c r="CZ198" s="1101">
        <f>25/4</f>
        <v>6.25</v>
      </c>
      <c r="DA198" s="1101">
        <f>25/4</f>
        <v>6.25</v>
      </c>
      <c r="DB198" s="1101">
        <f>25/4</f>
        <v>6.25</v>
      </c>
      <c r="DC198" s="1102">
        <f>SUM(CY198:DB198)</f>
        <v>25</v>
      </c>
      <c r="DD198" s="1101">
        <f t="shared" si="489"/>
        <v>14</v>
      </c>
      <c r="DE198" s="1101">
        <f t="shared" si="489"/>
        <v>-2</v>
      </c>
      <c r="DF198" s="1101">
        <f t="shared" si="489"/>
        <v>4</v>
      </c>
      <c r="DG198" s="1101">
        <f t="shared" si="489"/>
        <v>7</v>
      </c>
      <c r="DH198" s="1102">
        <f>SUM(DD198:DG198)</f>
        <v>23</v>
      </c>
      <c r="DI198" s="1101">
        <f t="shared" si="490"/>
        <v>4</v>
      </c>
      <c r="DJ198" s="1101">
        <f t="shared" si="490"/>
        <v>4</v>
      </c>
      <c r="DK198" s="1101">
        <f t="shared" si="490"/>
        <v>10</v>
      </c>
      <c r="DL198" s="1101">
        <f t="shared" si="490"/>
        <v>3</v>
      </c>
      <c r="DM198" s="1102">
        <f>SUM(DI198:DL198)</f>
        <v>21</v>
      </c>
      <c r="DN198" s="1101">
        <f t="shared" si="491"/>
        <v>3</v>
      </c>
      <c r="DO198" s="1101">
        <f t="shared" si="491"/>
        <v>-3</v>
      </c>
      <c r="DP198" s="1101">
        <f t="shared" si="491"/>
        <v>-1</v>
      </c>
      <c r="DQ198" s="1101">
        <f t="shared" si="491"/>
        <v>7</v>
      </c>
      <c r="DR198" s="1102">
        <f>SUM(DN198:DQ198)</f>
        <v>6</v>
      </c>
      <c r="DS198" s="1101">
        <f t="shared" si="492"/>
        <v>-2</v>
      </c>
      <c r="DT198" s="1101">
        <f t="shared" si="492"/>
        <v>4</v>
      </c>
      <c r="DU198" s="1101">
        <f>-DU157</f>
        <v>1</v>
      </c>
      <c r="DV198" s="1101">
        <f t="shared" si="492"/>
        <v>2</v>
      </c>
      <c r="DW198" s="1102">
        <f>SUM(DS198:DV198)</f>
        <v>5</v>
      </c>
      <c r="DX198" s="1101">
        <f>-DX157</f>
        <v>0</v>
      </c>
      <c r="DY198" s="1101">
        <f>-DY157</f>
        <v>0</v>
      </c>
      <c r="DZ198" s="1101">
        <f>-DZ157</f>
        <v>0</v>
      </c>
      <c r="EA198" s="1101">
        <v>5</v>
      </c>
      <c r="EB198" s="1102">
        <f>SUM(DX198:EA198)</f>
        <v>5</v>
      </c>
      <c r="EC198" s="1101">
        <f t="shared" si="493"/>
        <v>0</v>
      </c>
      <c r="ED198" s="1101">
        <f t="shared" si="493"/>
        <v>0</v>
      </c>
      <c r="EE198" s="1101">
        <f t="shared" si="493"/>
        <v>0</v>
      </c>
      <c r="EF198" s="1101">
        <f t="shared" si="493"/>
        <v>0</v>
      </c>
      <c r="EG198" s="1102">
        <f>SUM(EC198:EF198)</f>
        <v>0</v>
      </c>
      <c r="EH198" s="1101">
        <f t="shared" ref="EH198:EK198" si="495">-EH157</f>
        <v>0</v>
      </c>
      <c r="EI198" s="1101">
        <f t="shared" si="495"/>
        <v>0</v>
      </c>
      <c r="EJ198" s="1101">
        <f t="shared" si="495"/>
        <v>0</v>
      </c>
      <c r="EK198" s="1101">
        <f t="shared" si="495"/>
        <v>0</v>
      </c>
      <c r="EL198" s="1102">
        <f>SUM(EH198:EK198)</f>
        <v>0</v>
      </c>
      <c r="EM198" s="561"/>
      <c r="EN198"/>
      <c r="EO198"/>
      <c r="EP198"/>
      <c r="EQ198"/>
      <c r="ER198"/>
      <c r="ES198"/>
      <c r="ET198" s="135"/>
      <c r="EU198" s="135"/>
      <c r="EV198" s="135"/>
      <c r="EW198" s="135"/>
      <c r="EX198" s="135"/>
      <c r="EY198" s="135"/>
      <c r="EZ198" s="135"/>
      <c r="FA198" s="135"/>
      <c r="FB198" s="135"/>
      <c r="FC198" s="135"/>
      <c r="FD198" s="135"/>
      <c r="FE198" s="135"/>
      <c r="FF198" s="135"/>
      <c r="FG198" s="135"/>
      <c r="FH198" s="135"/>
      <c r="FI198" s="135"/>
      <c r="FJ198" s="135"/>
      <c r="FK198" s="135"/>
      <c r="FL198" s="135"/>
      <c r="FM198" s="135"/>
      <c r="FN198" s="135"/>
      <c r="FO198" s="135"/>
      <c r="FP198" s="135"/>
      <c r="FQ198" s="135"/>
      <c r="FR198" s="135"/>
      <c r="FS198" s="135"/>
      <c r="FT198" s="135"/>
      <c r="FU198" s="135"/>
      <c r="FV198" s="135"/>
      <c r="FW198" s="135"/>
      <c r="FX198" s="135"/>
      <c r="FY198" s="135"/>
      <c r="FZ198" s="135"/>
      <c r="GA198" s="135"/>
      <c r="GB198" s="135"/>
      <c r="GC198" s="135"/>
      <c r="GD198" s="135"/>
      <c r="GE198" s="135"/>
      <c r="GF198" s="135"/>
      <c r="GG198" s="135"/>
      <c r="GH198" s="135"/>
      <c r="GI198" s="135"/>
      <c r="GJ198" s="135"/>
      <c r="GK198" s="135"/>
      <c r="GL198" s="135"/>
      <c r="GM198" s="135"/>
      <c r="GN198" s="135"/>
      <c r="GO198" s="135"/>
      <c r="GP198" s="135"/>
      <c r="GQ198" s="135"/>
      <c r="GR198" s="135"/>
      <c r="GS198" s="135"/>
      <c r="GT198" s="135"/>
      <c r="GU198" s="135"/>
      <c r="GV198" s="135"/>
      <c r="GW198" s="135"/>
      <c r="GX198" s="135"/>
      <c r="GY198" s="135"/>
      <c r="GZ198" s="135"/>
      <c r="HA198" s="135"/>
      <c r="HB198" s="135"/>
      <c r="HC198" s="135"/>
      <c r="HD198" s="135"/>
      <c r="HE198" s="135"/>
      <c r="HF198" s="135"/>
      <c r="HG198" s="135"/>
      <c r="HH198" s="135"/>
      <c r="HI198" s="135"/>
      <c r="HJ198" s="135"/>
      <c r="HK198" s="135"/>
      <c r="HL198" s="135"/>
      <c r="HM198" s="135"/>
      <c r="HN198" s="135"/>
      <c r="HO198" s="135"/>
      <c r="HP198" s="135"/>
      <c r="HQ198" s="135"/>
      <c r="HR198" s="135"/>
      <c r="HS198" s="135"/>
      <c r="HT198" s="135"/>
      <c r="HU198" s="135"/>
      <c r="HV198" s="135"/>
      <c r="HW198" s="135"/>
      <c r="HX198" s="135"/>
      <c r="HY198" s="135"/>
      <c r="HZ198" s="135"/>
      <c r="IA198" s="135"/>
      <c r="IB198" s="135"/>
      <c r="IC198" s="135"/>
      <c r="ID198" s="135"/>
      <c r="IE198" s="135"/>
      <c r="IF198" s="135"/>
      <c r="IG198" s="135"/>
      <c r="IH198" s="135"/>
      <c r="II198" s="135"/>
      <c r="IJ198" s="135"/>
      <c r="IK198" s="135"/>
      <c r="IL198" s="135"/>
      <c r="IM198" s="135"/>
      <c r="IN198" s="135"/>
      <c r="IO198" s="135"/>
      <c r="IP198" s="135"/>
      <c r="IQ198" s="135"/>
      <c r="IR198" s="135"/>
      <c r="IS198" s="135"/>
      <c r="IT198" s="135"/>
      <c r="IU198" s="135"/>
      <c r="IV198" s="135"/>
      <c r="IW198" s="135"/>
      <c r="IX198" s="135"/>
      <c r="IY198" s="135"/>
      <c r="IZ198" s="135"/>
      <c r="JA198" s="135"/>
      <c r="JB198" s="135"/>
      <c r="JC198" s="135"/>
      <c r="JD198" s="135"/>
      <c r="JE198" s="135"/>
      <c r="JF198" s="135"/>
      <c r="JG198" s="135"/>
      <c r="JH198" s="135"/>
    </row>
    <row r="199" spans="1:268" s="4" customFormat="1">
      <c r="A199" s="803"/>
      <c r="B199" s="804" t="s">
        <v>95</v>
      </c>
      <c r="C199" s="1042"/>
      <c r="D199" s="1042">
        <f t="shared" ref="D199:AT199" si="496">SUM(D194:D198)</f>
        <v>-411.39100000000002</v>
      </c>
      <c r="E199" s="1042">
        <f t="shared" si="496"/>
        <v>51.991000000000014</v>
      </c>
      <c r="F199" s="1042">
        <f t="shared" si="496"/>
        <v>79.900000000000006</v>
      </c>
      <c r="G199" s="1042">
        <f t="shared" si="496"/>
        <v>227.5</v>
      </c>
      <c r="H199" s="1084">
        <f t="shared" si="496"/>
        <v>-52</v>
      </c>
      <c r="I199" s="1042">
        <f t="shared" si="496"/>
        <v>60.8</v>
      </c>
      <c r="J199" s="1042">
        <f t="shared" si="496"/>
        <v>-69.399999999999991</v>
      </c>
      <c r="K199" s="1042">
        <f t="shared" si="496"/>
        <v>61.8</v>
      </c>
      <c r="L199" s="1042">
        <f t="shared" si="496"/>
        <v>113.79999999999998</v>
      </c>
      <c r="M199" s="1084">
        <f t="shared" si="496"/>
        <v>167</v>
      </c>
      <c r="N199" s="1042">
        <f t="shared" si="496"/>
        <v>18.799999999999997</v>
      </c>
      <c r="O199" s="1042">
        <f t="shared" si="496"/>
        <v>-130.4</v>
      </c>
      <c r="P199" s="1042">
        <f t="shared" si="496"/>
        <v>250.2</v>
      </c>
      <c r="Q199" s="1042">
        <f t="shared" si="496"/>
        <v>118.4</v>
      </c>
      <c r="R199" s="1084">
        <f t="shared" si="496"/>
        <v>257</v>
      </c>
      <c r="S199" s="1042">
        <f t="shared" si="496"/>
        <v>-6</v>
      </c>
      <c r="T199" s="1042">
        <f t="shared" si="496"/>
        <v>6</v>
      </c>
      <c r="U199" s="1042">
        <f t="shared" si="496"/>
        <v>126</v>
      </c>
      <c r="V199" s="1042">
        <f t="shared" si="496"/>
        <v>266</v>
      </c>
      <c r="W199" s="1084">
        <f t="shared" si="496"/>
        <v>392</v>
      </c>
      <c r="X199" s="1042">
        <f t="shared" si="496"/>
        <v>97</v>
      </c>
      <c r="Y199" s="1042">
        <f t="shared" si="496"/>
        <v>250</v>
      </c>
      <c r="Z199" s="1042">
        <f t="shared" si="496"/>
        <v>35</v>
      </c>
      <c r="AA199" s="1042">
        <f t="shared" si="496"/>
        <v>207</v>
      </c>
      <c r="AB199" s="1084">
        <f t="shared" si="496"/>
        <v>589</v>
      </c>
      <c r="AC199" s="1042">
        <f t="shared" si="496"/>
        <v>8</v>
      </c>
      <c r="AD199" s="1042">
        <f t="shared" si="496"/>
        <v>276</v>
      </c>
      <c r="AE199" s="1042">
        <f t="shared" si="496"/>
        <v>-138</v>
      </c>
      <c r="AF199" s="1042">
        <f t="shared" si="496"/>
        <v>497</v>
      </c>
      <c r="AG199" s="1084">
        <f t="shared" si="496"/>
        <v>643</v>
      </c>
      <c r="AH199" s="1042">
        <f t="shared" si="496"/>
        <v>271.5</v>
      </c>
      <c r="AI199" s="1042">
        <f t="shared" si="496"/>
        <v>342.5</v>
      </c>
      <c r="AJ199" s="1042">
        <f t="shared" si="496"/>
        <v>134</v>
      </c>
      <c r="AK199" s="1042">
        <f t="shared" si="496"/>
        <v>813</v>
      </c>
      <c r="AL199" s="1084">
        <f t="shared" si="496"/>
        <v>1561</v>
      </c>
      <c r="AM199" s="1042">
        <f t="shared" si="496"/>
        <v>489</v>
      </c>
      <c r="AN199" s="1042">
        <f t="shared" si="496"/>
        <v>437</v>
      </c>
      <c r="AO199" s="1042">
        <f t="shared" si="496"/>
        <v>314</v>
      </c>
      <c r="AP199" s="1042">
        <f t="shared" si="496"/>
        <v>807</v>
      </c>
      <c r="AQ199" s="1084">
        <f t="shared" si="496"/>
        <v>2047</v>
      </c>
      <c r="AR199" s="1042">
        <f t="shared" si="496"/>
        <v>673</v>
      </c>
      <c r="AS199" s="1042">
        <f t="shared" si="496"/>
        <v>575</v>
      </c>
      <c r="AT199" s="1042">
        <f t="shared" si="496"/>
        <v>542</v>
      </c>
      <c r="AU199" s="1001"/>
      <c r="AV199" s="917"/>
      <c r="AW199" s="917"/>
      <c r="AX199" s="917"/>
      <c r="AY199" s="917"/>
      <c r="AZ199" s="916">
        <f t="shared" ref="AZ199:CE199" si="497">SUM(AZ194:AZ198)</f>
        <v>876</v>
      </c>
      <c r="BA199" s="1042">
        <f t="shared" si="497"/>
        <v>9</v>
      </c>
      <c r="BB199" s="1042">
        <f t="shared" si="497"/>
        <v>260</v>
      </c>
      <c r="BC199" s="1042">
        <f t="shared" si="497"/>
        <v>117</v>
      </c>
      <c r="BD199" s="1042">
        <f t="shared" si="497"/>
        <v>249</v>
      </c>
      <c r="BE199" s="1084">
        <f t="shared" si="497"/>
        <v>635</v>
      </c>
      <c r="BF199" s="1042">
        <f t="shared" si="497"/>
        <v>57</v>
      </c>
      <c r="BG199" s="1042">
        <f t="shared" si="497"/>
        <v>146</v>
      </c>
      <c r="BH199" s="1042">
        <f t="shared" si="497"/>
        <v>170</v>
      </c>
      <c r="BI199" s="1042">
        <f t="shared" si="497"/>
        <v>187</v>
      </c>
      <c r="BJ199" s="1084">
        <f t="shared" si="497"/>
        <v>560</v>
      </c>
      <c r="BK199" s="1042">
        <f t="shared" si="497"/>
        <v>485</v>
      </c>
      <c r="BL199" s="1042">
        <f t="shared" si="497"/>
        <v>180</v>
      </c>
      <c r="BM199" s="1042">
        <f t="shared" si="497"/>
        <v>40</v>
      </c>
      <c r="BN199" s="1042">
        <f t="shared" si="497"/>
        <v>113</v>
      </c>
      <c r="BO199" s="1084">
        <f t="shared" si="497"/>
        <v>818</v>
      </c>
      <c r="BP199" s="1042">
        <f t="shared" si="497"/>
        <v>-138</v>
      </c>
      <c r="BQ199" s="1042">
        <f t="shared" si="497"/>
        <v>210</v>
      </c>
      <c r="BR199" s="1042">
        <f t="shared" si="497"/>
        <v>198</v>
      </c>
      <c r="BS199" s="1042">
        <f t="shared" si="497"/>
        <v>-11</v>
      </c>
      <c r="BT199" s="1084">
        <f t="shared" si="497"/>
        <v>259</v>
      </c>
      <c r="BU199" s="1042">
        <f t="shared" si="497"/>
        <v>-164</v>
      </c>
      <c r="BV199" s="1042">
        <f t="shared" si="497"/>
        <v>314</v>
      </c>
      <c r="BW199" s="1042">
        <f t="shared" si="497"/>
        <v>100</v>
      </c>
      <c r="BX199" s="1042">
        <f t="shared" si="497"/>
        <v>121</v>
      </c>
      <c r="BY199" s="1084">
        <f t="shared" si="497"/>
        <v>202</v>
      </c>
      <c r="BZ199" s="1042">
        <f t="shared" si="497"/>
        <v>-107</v>
      </c>
      <c r="CA199" s="1042">
        <f t="shared" si="497"/>
        <v>154</v>
      </c>
      <c r="CB199" s="1042">
        <f t="shared" si="497"/>
        <v>140</v>
      </c>
      <c r="CC199" s="1042">
        <f t="shared" si="497"/>
        <v>101</v>
      </c>
      <c r="CD199" s="1084">
        <f t="shared" si="497"/>
        <v>288</v>
      </c>
      <c r="CE199" s="1042">
        <f t="shared" si="497"/>
        <v>-34</v>
      </c>
      <c r="CF199" s="1042">
        <f t="shared" ref="CF199:DK199" si="498">SUM(CF194:CF198)</f>
        <v>204</v>
      </c>
      <c r="CG199" s="1042">
        <f t="shared" si="498"/>
        <v>233</v>
      </c>
      <c r="CH199" s="1042">
        <f t="shared" si="498"/>
        <v>217</v>
      </c>
      <c r="CI199" s="1084">
        <f t="shared" si="498"/>
        <v>620</v>
      </c>
      <c r="CJ199" s="1042">
        <f t="shared" si="498"/>
        <v>-17</v>
      </c>
      <c r="CK199" s="1042">
        <f t="shared" si="498"/>
        <v>198</v>
      </c>
      <c r="CL199" s="1042">
        <f t="shared" si="498"/>
        <v>160</v>
      </c>
      <c r="CM199" s="1042">
        <f t="shared" si="498"/>
        <v>180</v>
      </c>
      <c r="CN199" s="1084">
        <f t="shared" si="498"/>
        <v>521</v>
      </c>
      <c r="CO199" s="1042">
        <f t="shared" si="498"/>
        <v>42</v>
      </c>
      <c r="CP199" s="1042">
        <f t="shared" si="498"/>
        <v>194</v>
      </c>
      <c r="CQ199" s="1042">
        <f t="shared" si="498"/>
        <v>165</v>
      </c>
      <c r="CR199" s="1042">
        <f t="shared" si="498"/>
        <v>196</v>
      </c>
      <c r="CS199" s="1084">
        <f t="shared" si="498"/>
        <v>597</v>
      </c>
      <c r="CT199" s="1042">
        <f t="shared" si="498"/>
        <v>-12</v>
      </c>
      <c r="CU199" s="1042">
        <f t="shared" si="498"/>
        <v>285</v>
      </c>
      <c r="CV199" s="1042">
        <f t="shared" si="498"/>
        <v>139</v>
      </c>
      <c r="CW199" s="1042">
        <f t="shared" si="498"/>
        <v>279</v>
      </c>
      <c r="CX199" s="1084">
        <f t="shared" si="498"/>
        <v>691</v>
      </c>
      <c r="CY199" s="1042">
        <f t="shared" si="498"/>
        <v>-18.75</v>
      </c>
      <c r="CZ199" s="1042">
        <f t="shared" si="498"/>
        <v>178.25</v>
      </c>
      <c r="DA199" s="1042">
        <f t="shared" si="498"/>
        <v>229.25</v>
      </c>
      <c r="DB199" s="1042">
        <f t="shared" si="498"/>
        <v>339.25</v>
      </c>
      <c r="DC199" s="1084">
        <f t="shared" si="498"/>
        <v>728</v>
      </c>
      <c r="DD199" s="1042">
        <f t="shared" si="498"/>
        <v>25</v>
      </c>
      <c r="DE199" s="1042">
        <f t="shared" si="498"/>
        <v>318</v>
      </c>
      <c r="DF199" s="1042">
        <f t="shared" si="498"/>
        <v>256</v>
      </c>
      <c r="DG199" s="1042">
        <f t="shared" si="498"/>
        <v>279</v>
      </c>
      <c r="DH199" s="1084">
        <f t="shared" si="498"/>
        <v>878</v>
      </c>
      <c r="DI199" s="1042">
        <f t="shared" si="498"/>
        <v>-20</v>
      </c>
      <c r="DJ199" s="1042">
        <f t="shared" si="498"/>
        <v>467</v>
      </c>
      <c r="DK199" s="1042">
        <f t="shared" si="498"/>
        <v>563</v>
      </c>
      <c r="DL199" s="1042">
        <f t="shared" ref="DL199:DR199" si="499">SUM(DL194:DL198)</f>
        <v>237</v>
      </c>
      <c r="DM199" s="1084">
        <f t="shared" si="499"/>
        <v>1247</v>
      </c>
      <c r="DN199" s="1042">
        <f t="shared" si="499"/>
        <v>219</v>
      </c>
      <c r="DO199" s="1042">
        <f t="shared" si="499"/>
        <v>462</v>
      </c>
      <c r="DP199" s="1042">
        <f t="shared" si="499"/>
        <v>301</v>
      </c>
      <c r="DQ199" s="1042">
        <f>SUM(DQ194:DQ198)</f>
        <v>273</v>
      </c>
      <c r="DR199" s="1084">
        <f t="shared" si="499"/>
        <v>1255</v>
      </c>
      <c r="DS199" s="1042">
        <f>SUM(DS194:DS198)</f>
        <v>208</v>
      </c>
      <c r="DT199" s="1042">
        <f>SUM(DT194:DT198)</f>
        <v>257</v>
      </c>
      <c r="DU199" s="1042">
        <f>SUM(DU194:DU198)</f>
        <v>335</v>
      </c>
      <c r="DV199" s="1042">
        <f>SUM(DV194:DV198)</f>
        <v>530</v>
      </c>
      <c r="DW199" s="1084">
        <f>SUM(DW194:DW198)</f>
        <v>1330</v>
      </c>
      <c r="DX199" s="1042">
        <f t="shared" ref="DX199:EG199" si="500">SUM(DX194:DX198)</f>
        <v>429.88902621087556</v>
      </c>
      <c r="DY199" s="1042">
        <f t="shared" si="500"/>
        <v>387.14250931334198</v>
      </c>
      <c r="DZ199" s="1042">
        <f t="shared" si="500"/>
        <v>346.21563725564999</v>
      </c>
      <c r="EA199" s="1042">
        <f t="shared" si="500"/>
        <v>323.99317317246164</v>
      </c>
      <c r="EB199" s="1084">
        <f t="shared" si="500"/>
        <v>1487.2403459523291</v>
      </c>
      <c r="EC199" s="1042">
        <f t="shared" si="500"/>
        <v>56.248820687435227</v>
      </c>
      <c r="ED199" s="1042">
        <f t="shared" si="500"/>
        <v>392.44660471454154</v>
      </c>
      <c r="EE199" s="1042">
        <f t="shared" si="500"/>
        <v>414.99037481094376</v>
      </c>
      <c r="EF199" s="1042">
        <f t="shared" si="500"/>
        <v>279.52060835602458</v>
      </c>
      <c r="EG199" s="1084">
        <f t="shared" si="500"/>
        <v>1143.2064085689451</v>
      </c>
      <c r="EH199" s="1042">
        <f t="shared" ref="EH199:EL199" si="501">SUM(EH194:EH198)</f>
        <v>396.44814820131722</v>
      </c>
      <c r="EI199" s="1042">
        <f t="shared" si="501"/>
        <v>399.89116530049068</v>
      </c>
      <c r="EJ199" s="1042">
        <f t="shared" si="501"/>
        <v>500.87592423253307</v>
      </c>
      <c r="EK199" s="1042">
        <f t="shared" si="501"/>
        <v>280.05727848665231</v>
      </c>
      <c r="EL199" s="1084">
        <f t="shared" si="501"/>
        <v>1577.2725162209931</v>
      </c>
      <c r="EM199" s="917"/>
      <c r="EN199"/>
      <c r="EO199"/>
      <c r="EP199"/>
      <c r="EQ199"/>
      <c r="ER199"/>
      <c r="ES199"/>
      <c r="ET199" s="135"/>
      <c r="EU199" s="135"/>
      <c r="EV199" s="135"/>
      <c r="EW199" s="135"/>
      <c r="EX199" s="135"/>
      <c r="EY199" s="135"/>
      <c r="EZ199" s="135"/>
      <c r="FA199" s="135"/>
      <c r="FB199" s="135"/>
      <c r="FC199" s="135"/>
      <c r="FD199" s="135"/>
      <c r="FE199" s="135"/>
      <c r="FF199" s="135"/>
      <c r="FG199" s="135"/>
      <c r="FH199" s="135"/>
      <c r="FI199" s="135"/>
      <c r="FJ199" s="135"/>
      <c r="FK199" s="135"/>
      <c r="FL199" s="135"/>
      <c r="FM199" s="135"/>
      <c r="FN199" s="135"/>
      <c r="FO199" s="135"/>
      <c r="FP199" s="135"/>
      <c r="FQ199" s="135"/>
      <c r="FR199" s="135"/>
      <c r="FS199" s="135"/>
      <c r="FT199" s="135"/>
      <c r="FU199" s="135"/>
      <c r="FV199" s="135"/>
      <c r="FW199" s="135"/>
      <c r="FX199" s="135"/>
      <c r="FY199" s="135"/>
      <c r="FZ199" s="135"/>
      <c r="GA199" s="135"/>
      <c r="GB199" s="135"/>
      <c r="GC199" s="135"/>
      <c r="GD199" s="135"/>
      <c r="GE199" s="135"/>
      <c r="GF199" s="135"/>
      <c r="GG199" s="135"/>
      <c r="GH199" s="135"/>
      <c r="GI199" s="135"/>
      <c r="GJ199" s="135"/>
      <c r="GK199" s="135"/>
      <c r="GL199" s="135"/>
      <c r="GM199" s="135"/>
      <c r="GN199" s="135"/>
      <c r="GO199" s="135"/>
      <c r="GP199" s="135"/>
      <c r="GQ199" s="135"/>
      <c r="GR199" s="135"/>
      <c r="GS199" s="135"/>
      <c r="GT199" s="135"/>
      <c r="GU199" s="135"/>
      <c r="GV199" s="135"/>
      <c r="GW199" s="135"/>
      <c r="GX199" s="135"/>
      <c r="GY199" s="135"/>
      <c r="GZ199" s="135"/>
      <c r="HA199" s="135"/>
      <c r="HB199" s="135"/>
      <c r="HC199" s="135"/>
      <c r="HD199" s="135"/>
      <c r="HE199" s="135"/>
      <c r="HF199" s="135"/>
      <c r="HG199" s="135"/>
      <c r="HH199" s="135"/>
      <c r="HI199" s="135"/>
      <c r="HJ199" s="135"/>
      <c r="HK199" s="135"/>
      <c r="HL199" s="135"/>
      <c r="HM199" s="135"/>
      <c r="HN199" s="135"/>
      <c r="HO199" s="135"/>
      <c r="HP199" s="135"/>
      <c r="HQ199" s="135"/>
      <c r="HR199" s="135"/>
      <c r="HS199" s="135"/>
      <c r="HT199" s="135"/>
      <c r="HU199" s="135"/>
      <c r="HV199" s="135"/>
      <c r="HW199" s="135"/>
      <c r="HX199" s="135"/>
      <c r="HY199" s="135"/>
      <c r="HZ199" s="135"/>
      <c r="IA199" s="135"/>
      <c r="IB199" s="135"/>
      <c r="IC199" s="135"/>
      <c r="ID199" s="135"/>
      <c r="IE199" s="135"/>
      <c r="IF199" s="135"/>
      <c r="IG199" s="135"/>
      <c r="IH199" s="135"/>
      <c r="II199" s="135"/>
      <c r="IJ199" s="135"/>
      <c r="IK199" s="135"/>
      <c r="IL199" s="135"/>
      <c r="IM199" s="135"/>
      <c r="IN199" s="135"/>
      <c r="IO199" s="135"/>
      <c r="IP199" s="135"/>
      <c r="IQ199" s="135"/>
      <c r="IR199" s="135"/>
      <c r="IS199" s="135"/>
      <c r="IT199" s="135"/>
      <c r="IU199" s="135"/>
      <c r="IV199" s="135"/>
      <c r="IW199" s="135"/>
      <c r="IX199" s="135"/>
      <c r="IY199" s="135"/>
      <c r="IZ199" s="135"/>
      <c r="JA199" s="135"/>
      <c r="JB199" s="135"/>
      <c r="JC199" s="135"/>
      <c r="JD199" s="135"/>
      <c r="JE199" s="135"/>
      <c r="JF199" s="135"/>
      <c r="JG199" s="135"/>
      <c r="JH199" s="135"/>
    </row>
    <row r="200" spans="1:268" s="4" customFormat="1">
      <c r="A200" s="845"/>
      <c r="B200" s="846" t="s">
        <v>96</v>
      </c>
      <c r="C200" s="1054"/>
      <c r="D200" s="1054">
        <f t="shared" ref="D200:G201" si="502">D161</f>
        <v>-28.175999999999998</v>
      </c>
      <c r="E200" s="1054">
        <f t="shared" si="502"/>
        <v>-31.424000000000003</v>
      </c>
      <c r="F200" s="1054">
        <f t="shared" si="502"/>
        <v>-40.9</v>
      </c>
      <c r="G200" s="1054">
        <f t="shared" si="502"/>
        <v>-163.5</v>
      </c>
      <c r="H200" s="1047">
        <f>SUM(D200:G200)</f>
        <v>-264</v>
      </c>
      <c r="I200" s="1054">
        <f t="shared" ref="I200:L201" si="503">I161</f>
        <v>-95.1</v>
      </c>
      <c r="J200" s="1054">
        <f t="shared" si="503"/>
        <v>-65.400000000000006</v>
      </c>
      <c r="K200" s="1054">
        <f t="shared" si="503"/>
        <v>-74.800000000000011</v>
      </c>
      <c r="L200" s="1054">
        <f t="shared" si="503"/>
        <v>-134.69999999999999</v>
      </c>
      <c r="M200" s="1047">
        <f>SUM(I200:L200)</f>
        <v>-370</v>
      </c>
      <c r="N200" s="1054">
        <f t="shared" ref="N200:Q201" si="504">N161</f>
        <v>-43.4</v>
      </c>
      <c r="O200" s="1054">
        <f t="shared" si="504"/>
        <v>-52.000000000000007</v>
      </c>
      <c r="P200" s="1054">
        <f t="shared" si="504"/>
        <v>-165.99999999999997</v>
      </c>
      <c r="Q200" s="1054">
        <f t="shared" si="504"/>
        <v>-144.60000000000002</v>
      </c>
      <c r="R200" s="1047">
        <f>SUM(N200:Q200)</f>
        <v>-406</v>
      </c>
      <c r="S200" s="1054">
        <f t="shared" ref="S200:V201" si="505">S161</f>
        <v>-103</v>
      </c>
      <c r="T200" s="1054">
        <f t="shared" si="505"/>
        <v>-112</v>
      </c>
      <c r="U200" s="1054">
        <f t="shared" si="505"/>
        <v>-156</v>
      </c>
      <c r="V200" s="1054">
        <f t="shared" si="505"/>
        <v>-163</v>
      </c>
      <c r="W200" s="1047">
        <f>SUM(S200:V200)</f>
        <v>-534</v>
      </c>
      <c r="X200" s="1054">
        <f t="shared" ref="X200:AA201" si="506">X161</f>
        <v>-107</v>
      </c>
      <c r="Y200" s="1054">
        <f t="shared" si="506"/>
        <v>-134</v>
      </c>
      <c r="Z200" s="1054">
        <f t="shared" si="506"/>
        <v>-160</v>
      </c>
      <c r="AA200" s="1054">
        <f t="shared" si="506"/>
        <v>-191</v>
      </c>
      <c r="AB200" s="1047">
        <f>SUM(X200:AA200)</f>
        <v>-592</v>
      </c>
      <c r="AC200" s="1054">
        <f t="shared" ref="AC200:AF201" si="507">AC161</f>
        <v>-138</v>
      </c>
      <c r="AD200" s="1054">
        <f t="shared" si="507"/>
        <v>-126</v>
      </c>
      <c r="AE200" s="1054">
        <f t="shared" si="507"/>
        <v>-132</v>
      </c>
      <c r="AF200" s="1054">
        <f t="shared" si="507"/>
        <v>-223</v>
      </c>
      <c r="AG200" s="1047">
        <f>SUM(AC200:AF200)</f>
        <v>-619</v>
      </c>
      <c r="AH200" s="1054">
        <f t="shared" ref="AH200:AK201" si="508">AH161</f>
        <v>-120</v>
      </c>
      <c r="AI200" s="1054">
        <f t="shared" si="508"/>
        <v>-119</v>
      </c>
      <c r="AJ200" s="1054">
        <f t="shared" si="508"/>
        <v>-157</v>
      </c>
      <c r="AK200" s="1054">
        <f t="shared" si="508"/>
        <v>-205</v>
      </c>
      <c r="AL200" s="1047">
        <f>SUM(AH200:AK200)</f>
        <v>-601</v>
      </c>
      <c r="AM200" s="1054">
        <f t="shared" ref="AM200:AP201" si="509">AM161</f>
        <v>-209</v>
      </c>
      <c r="AN200" s="1054">
        <f t="shared" si="509"/>
        <v>-206</v>
      </c>
      <c r="AO200" s="1054">
        <f t="shared" si="509"/>
        <v>-168</v>
      </c>
      <c r="AP200" s="1054">
        <f t="shared" si="509"/>
        <v>-306</v>
      </c>
      <c r="AQ200" s="1047">
        <f>SUM(AM200:AP200)</f>
        <v>-889</v>
      </c>
      <c r="AR200" s="1054">
        <f t="shared" ref="AR200:AT201" si="510">AR161</f>
        <v>-195</v>
      </c>
      <c r="AS200" s="1054">
        <f t="shared" si="510"/>
        <v>-218</v>
      </c>
      <c r="AT200" s="1054">
        <f t="shared" si="510"/>
        <v>-229</v>
      </c>
      <c r="AU200" s="802"/>
      <c r="AV200" s="901"/>
      <c r="AW200" s="901"/>
      <c r="AX200" s="901"/>
      <c r="AY200" s="901"/>
      <c r="AZ200" s="844">
        <f t="shared" ref="AZ200:BD201" si="511">AZ161</f>
        <v>-490</v>
      </c>
      <c r="BA200" s="1054">
        <f t="shared" si="511"/>
        <v>-220</v>
      </c>
      <c r="BB200" s="1054">
        <f t="shared" si="511"/>
        <v>-198</v>
      </c>
      <c r="BC200" s="1054">
        <f t="shared" si="511"/>
        <v>-145</v>
      </c>
      <c r="BD200" s="1054">
        <f t="shared" si="511"/>
        <v>-190</v>
      </c>
      <c r="BE200" s="1047">
        <f>SUM(BA200:BD200)</f>
        <v>-753</v>
      </c>
      <c r="BF200" s="1054">
        <f t="shared" ref="BF200:BI201" si="512">BF161</f>
        <v>-82</v>
      </c>
      <c r="BG200" s="1054">
        <f t="shared" si="512"/>
        <v>-93</v>
      </c>
      <c r="BH200" s="1054">
        <f t="shared" si="512"/>
        <v>-96</v>
      </c>
      <c r="BI200" s="1054">
        <f t="shared" si="512"/>
        <v>-183</v>
      </c>
      <c r="BJ200" s="1047">
        <f>SUM(BF200:BI200)</f>
        <v>-454</v>
      </c>
      <c r="BK200" s="1054">
        <f t="shared" ref="BK200:BN201" si="513">BK161</f>
        <v>-96</v>
      </c>
      <c r="BL200" s="1054">
        <f t="shared" si="513"/>
        <v>-127</v>
      </c>
      <c r="BM200" s="1054">
        <f t="shared" si="513"/>
        <v>-135</v>
      </c>
      <c r="BN200" s="1054">
        <f t="shared" si="513"/>
        <v>-218</v>
      </c>
      <c r="BO200" s="1047">
        <f>SUM(BK200:BN200)</f>
        <v>-576</v>
      </c>
      <c r="BP200" s="1054">
        <f t="shared" ref="BP200:BS201" si="514">BP161</f>
        <v>-116</v>
      </c>
      <c r="BQ200" s="1054">
        <f t="shared" si="514"/>
        <v>-97</v>
      </c>
      <c r="BR200" s="1054">
        <f t="shared" si="514"/>
        <v>-133</v>
      </c>
      <c r="BS200" s="1054">
        <f t="shared" si="514"/>
        <v>-297</v>
      </c>
      <c r="BT200" s="1047">
        <f>SUM(BP200:BS200)</f>
        <v>-643</v>
      </c>
      <c r="BU200" s="1054">
        <f t="shared" ref="BU200:BX201" si="515">BU161</f>
        <v>-110</v>
      </c>
      <c r="BV200" s="1054">
        <f t="shared" si="515"/>
        <v>-148</v>
      </c>
      <c r="BW200" s="1054">
        <f t="shared" si="515"/>
        <v>-171</v>
      </c>
      <c r="BX200" s="1054">
        <f t="shared" si="515"/>
        <v>-300</v>
      </c>
      <c r="BY200" s="1047">
        <f>SUM(BU200:BX200)</f>
        <v>-729</v>
      </c>
      <c r="BZ200" s="1054">
        <v>-157</v>
      </c>
      <c r="CA200" s="1054">
        <f t="shared" ref="CA200:CC201" si="516">CA161</f>
        <v>-101</v>
      </c>
      <c r="CB200" s="1054">
        <f t="shared" si="516"/>
        <v>-108</v>
      </c>
      <c r="CC200" s="1054">
        <f t="shared" si="516"/>
        <v>-130</v>
      </c>
      <c r="CD200" s="1047">
        <f>SUM(BZ200:CC200)</f>
        <v>-496</v>
      </c>
      <c r="CE200" s="1054">
        <f t="shared" ref="CE200:CH201" si="517">CE161</f>
        <v>-101</v>
      </c>
      <c r="CF200" s="1054">
        <f t="shared" si="517"/>
        <v>-71</v>
      </c>
      <c r="CG200" s="1054">
        <f t="shared" si="517"/>
        <v>-91</v>
      </c>
      <c r="CH200" s="1054">
        <f t="shared" si="517"/>
        <v>-192</v>
      </c>
      <c r="CI200" s="1047">
        <f>SUM(CE200:CH200)</f>
        <v>-455</v>
      </c>
      <c r="CJ200" s="1054">
        <f t="shared" ref="CJ200:CM201" si="518">CJ161</f>
        <v>-83</v>
      </c>
      <c r="CK200" s="1054">
        <f t="shared" si="518"/>
        <v>-77</v>
      </c>
      <c r="CL200" s="1054">
        <f t="shared" si="518"/>
        <v>-107</v>
      </c>
      <c r="CM200" s="1054">
        <f t="shared" si="518"/>
        <v>-196</v>
      </c>
      <c r="CN200" s="1052">
        <f>SUM(CJ200:CM200)</f>
        <v>-463</v>
      </c>
      <c r="CO200" s="1054">
        <f t="shared" ref="CO200:CR201" si="519">CO161</f>
        <v>-116</v>
      </c>
      <c r="CP200" s="1054">
        <f t="shared" si="519"/>
        <v>-82</v>
      </c>
      <c r="CQ200" s="1054">
        <f t="shared" si="519"/>
        <v>-100</v>
      </c>
      <c r="CR200" s="1054">
        <f t="shared" si="519"/>
        <v>-177</v>
      </c>
      <c r="CS200" s="1052">
        <f>SUM(CO200:CR200)</f>
        <v>-475</v>
      </c>
      <c r="CT200" s="1054">
        <f t="shared" ref="CT200:CW201" si="520">CT161</f>
        <v>-136</v>
      </c>
      <c r="CU200" s="1054">
        <f t="shared" si="520"/>
        <v>-115</v>
      </c>
      <c r="CV200" s="1054">
        <f t="shared" si="520"/>
        <v>-107</v>
      </c>
      <c r="CW200" s="1054">
        <f t="shared" si="520"/>
        <v>-148</v>
      </c>
      <c r="CX200" s="1052">
        <f>SUM(CT200:CW200)</f>
        <v>-506</v>
      </c>
      <c r="CY200" s="1054">
        <f t="shared" ref="CY200:DB201" si="521">CY161</f>
        <v>-133</v>
      </c>
      <c r="CZ200" s="1054">
        <f t="shared" si="521"/>
        <v>-123</v>
      </c>
      <c r="DA200" s="1054">
        <f t="shared" si="521"/>
        <v>-142</v>
      </c>
      <c r="DB200" s="1054">
        <f t="shared" si="521"/>
        <v>-293</v>
      </c>
      <c r="DC200" s="1052">
        <f>SUM(CY200:DB200)</f>
        <v>-691</v>
      </c>
      <c r="DD200" s="1054">
        <f t="shared" ref="DD200:DG201" si="522">DD161</f>
        <v>-281</v>
      </c>
      <c r="DE200" s="1054">
        <f t="shared" si="522"/>
        <v>-242</v>
      </c>
      <c r="DF200" s="1054">
        <f t="shared" si="522"/>
        <v>-211</v>
      </c>
      <c r="DG200" s="1054">
        <f t="shared" si="522"/>
        <v>-199</v>
      </c>
      <c r="DH200" s="1052">
        <f>SUM(DD200:DG200)</f>
        <v>-933</v>
      </c>
      <c r="DI200" s="1054">
        <f t="shared" ref="DI200:DL201" si="523">DI161</f>
        <v>-184</v>
      </c>
      <c r="DJ200" s="1054">
        <f t="shared" si="523"/>
        <v>-175</v>
      </c>
      <c r="DK200" s="1054">
        <f t="shared" si="523"/>
        <v>-207</v>
      </c>
      <c r="DL200" s="1054">
        <f t="shared" si="523"/>
        <v>-276</v>
      </c>
      <c r="DM200" s="1052">
        <f>SUM(DI200:DL200)</f>
        <v>-842</v>
      </c>
      <c r="DN200" s="1054">
        <f t="shared" ref="DN200:DQ201" si="524">DN161</f>
        <v>-208</v>
      </c>
      <c r="DO200" s="1054">
        <f t="shared" si="524"/>
        <v>-205</v>
      </c>
      <c r="DP200" s="1054">
        <f t="shared" si="524"/>
        <v>-201</v>
      </c>
      <c r="DQ200" s="1054">
        <f t="shared" si="524"/>
        <v>-261</v>
      </c>
      <c r="DR200" s="1052">
        <f>SUM(DN200:DQ200)</f>
        <v>-875</v>
      </c>
      <c r="DS200" s="1054">
        <f t="shared" ref="DS200:DV201" si="525">DS161</f>
        <v>-198</v>
      </c>
      <c r="DT200" s="1054">
        <f t="shared" si="525"/>
        <v>-150</v>
      </c>
      <c r="DU200" s="1054">
        <f>DU161</f>
        <v>-144</v>
      </c>
      <c r="DV200" s="1054">
        <f t="shared" si="525"/>
        <v>-215</v>
      </c>
      <c r="DW200" s="1052">
        <f>SUM(DS200:DV200)</f>
        <v>-707</v>
      </c>
      <c r="DX200" s="1054">
        <f t="shared" ref="DX200:EA201" si="526">DX161</f>
        <v>-174.01866805498506</v>
      </c>
      <c r="DY200" s="1054">
        <f t="shared" si="526"/>
        <v>-173.63623211454339</v>
      </c>
      <c r="DZ200" s="1054">
        <f t="shared" si="526"/>
        <v>-160.87340022904573</v>
      </c>
      <c r="EA200" s="1054">
        <f t="shared" si="526"/>
        <v>-167.00117156923761</v>
      </c>
      <c r="EB200" s="1052">
        <f>SUM(DX200:EA200)</f>
        <v>-675.52947196781179</v>
      </c>
      <c r="EC200" s="1054">
        <f t="shared" ref="EC200:EF201" si="527">EC161</f>
        <v>-174.48551550299194</v>
      </c>
      <c r="ED200" s="1054">
        <f t="shared" si="527"/>
        <v>-176.37305496361878</v>
      </c>
      <c r="EE200" s="1054">
        <f t="shared" si="527"/>
        <v>-173.05588548563372</v>
      </c>
      <c r="EF200" s="1054">
        <f t="shared" si="527"/>
        <v>-182.37220035796307</v>
      </c>
      <c r="EG200" s="1052">
        <f>SUM(EC200:EF200)</f>
        <v>-706.28665631020749</v>
      </c>
      <c r="EH200" s="1054">
        <f t="shared" ref="EH200:EK200" si="528">EH161</f>
        <v>-180.61083093605544</v>
      </c>
      <c r="EI200" s="1054">
        <f t="shared" si="528"/>
        <v>-182.45417010323729</v>
      </c>
      <c r="EJ200" s="1054">
        <f t="shared" si="528"/>
        <v>-178.85891783983138</v>
      </c>
      <c r="EK200" s="1054">
        <f t="shared" si="528"/>
        <v>-188.72109220834002</v>
      </c>
      <c r="EL200" s="1052">
        <f>SUM(EH200:EK200)</f>
        <v>-730.64501108746413</v>
      </c>
      <c r="EM200" s="901"/>
      <c r="EN200"/>
      <c r="EO200"/>
      <c r="EP200"/>
      <c r="EQ200"/>
      <c r="ER200"/>
      <c r="ES200"/>
      <c r="ET200" s="135"/>
      <c r="EU200" s="135"/>
      <c r="EV200" s="135"/>
      <c r="EW200" s="135"/>
      <c r="EX200" s="135"/>
      <c r="EY200" s="135"/>
      <c r="EZ200" s="135"/>
      <c r="FA200" s="135"/>
      <c r="FB200" s="135"/>
      <c r="FC200" s="135"/>
      <c r="FD200" s="135"/>
      <c r="FE200" s="135"/>
      <c r="FF200" s="135"/>
      <c r="FG200" s="135"/>
      <c r="FH200" s="135"/>
      <c r="FI200" s="135"/>
      <c r="FJ200" s="135"/>
      <c r="FK200" s="135"/>
      <c r="FL200" s="135"/>
      <c r="FM200" s="135"/>
      <c r="FN200" s="135"/>
      <c r="FO200" s="135"/>
      <c r="FP200" s="135"/>
      <c r="FQ200" s="135"/>
      <c r="FR200" s="135"/>
      <c r="FS200" s="135"/>
      <c r="FT200" s="135"/>
      <c r="FU200" s="135"/>
      <c r="FV200" s="135"/>
      <c r="FW200" s="135"/>
      <c r="FX200" s="135"/>
      <c r="FY200" s="135"/>
      <c r="FZ200" s="135"/>
      <c r="GA200" s="135"/>
      <c r="GB200" s="135"/>
      <c r="GC200" s="135"/>
      <c r="GD200" s="135"/>
      <c r="GE200" s="135"/>
      <c r="GF200" s="135"/>
      <c r="GG200" s="135"/>
      <c r="GH200" s="135"/>
      <c r="GI200" s="135"/>
      <c r="GJ200" s="135"/>
      <c r="GK200" s="135"/>
      <c r="GL200" s="135"/>
      <c r="GM200" s="135"/>
      <c r="GN200" s="135"/>
      <c r="GO200" s="135"/>
      <c r="GP200" s="135"/>
      <c r="GQ200" s="135"/>
      <c r="GR200" s="135"/>
      <c r="GS200" s="135"/>
      <c r="GT200" s="135"/>
      <c r="GU200" s="135"/>
      <c r="GV200" s="135"/>
      <c r="GW200" s="135"/>
      <c r="GX200" s="135"/>
      <c r="GY200" s="135"/>
      <c r="GZ200" s="135"/>
      <c r="HA200" s="135"/>
      <c r="HB200" s="135"/>
      <c r="HC200" s="135"/>
      <c r="HD200" s="135"/>
      <c r="HE200" s="135"/>
      <c r="HF200" s="135"/>
      <c r="HG200" s="135"/>
      <c r="HH200" s="135"/>
      <c r="HI200" s="135"/>
      <c r="HJ200" s="135"/>
      <c r="HK200" s="135"/>
      <c r="HL200" s="135"/>
      <c r="HM200" s="135"/>
      <c r="HN200" s="135"/>
      <c r="HO200" s="135"/>
      <c r="HP200" s="135"/>
      <c r="HQ200" s="135"/>
      <c r="HR200" s="135"/>
      <c r="HS200" s="135"/>
      <c r="HT200" s="135"/>
      <c r="HU200" s="135"/>
      <c r="HV200" s="135"/>
      <c r="HW200" s="135"/>
      <c r="HX200" s="135"/>
      <c r="HY200" s="135"/>
      <c r="HZ200" s="135"/>
      <c r="IA200" s="135"/>
      <c r="IB200" s="135"/>
      <c r="IC200" s="135"/>
      <c r="ID200" s="135"/>
      <c r="IE200" s="135"/>
      <c r="IF200" s="135"/>
      <c r="IG200" s="135"/>
      <c r="IH200" s="135"/>
      <c r="II200" s="135"/>
      <c r="IJ200" s="135"/>
      <c r="IK200" s="135"/>
      <c r="IL200" s="135"/>
      <c r="IM200" s="135"/>
      <c r="IN200" s="135"/>
      <c r="IO200" s="135"/>
      <c r="IP200" s="135"/>
      <c r="IQ200" s="135"/>
      <c r="IR200" s="135"/>
      <c r="IS200" s="135"/>
      <c r="IT200" s="135"/>
      <c r="IU200" s="135"/>
      <c r="IV200" s="135"/>
      <c r="IW200" s="135"/>
      <c r="IX200" s="135"/>
      <c r="IY200" s="135"/>
      <c r="IZ200" s="135"/>
      <c r="JA200" s="135"/>
      <c r="JB200" s="135"/>
      <c r="JC200" s="135"/>
      <c r="JD200" s="135"/>
      <c r="JE200" s="135"/>
      <c r="JF200" s="135"/>
      <c r="JG200" s="135"/>
      <c r="JH200" s="135"/>
    </row>
    <row r="201" spans="1:268" s="4" customFormat="1">
      <c r="A201" s="845"/>
      <c r="B201" s="846" t="s">
        <v>65</v>
      </c>
      <c r="C201" s="1090"/>
      <c r="D201" s="1090">
        <f t="shared" si="502"/>
        <v>0</v>
      </c>
      <c r="E201" s="1090">
        <f t="shared" si="502"/>
        <v>0</v>
      </c>
      <c r="F201" s="1090">
        <f t="shared" si="502"/>
        <v>0</v>
      </c>
      <c r="G201" s="1090">
        <f t="shared" si="502"/>
        <v>0</v>
      </c>
      <c r="H201" s="1091">
        <f>SUM(D201:G201)</f>
        <v>0</v>
      </c>
      <c r="I201" s="1090">
        <f t="shared" si="503"/>
        <v>0</v>
      </c>
      <c r="J201" s="1090">
        <f t="shared" si="503"/>
        <v>0</v>
      </c>
      <c r="K201" s="1090">
        <f t="shared" si="503"/>
        <v>0</v>
      </c>
      <c r="L201" s="1090">
        <f t="shared" si="503"/>
        <v>0</v>
      </c>
      <c r="M201" s="1091">
        <f>SUM(I201:L201)</f>
        <v>0</v>
      </c>
      <c r="N201" s="1090">
        <f t="shared" si="504"/>
        <v>0</v>
      </c>
      <c r="O201" s="1090">
        <f t="shared" si="504"/>
        <v>0</v>
      </c>
      <c r="P201" s="1090">
        <f t="shared" si="504"/>
        <v>0</v>
      </c>
      <c r="Q201" s="1090">
        <f t="shared" si="504"/>
        <v>0</v>
      </c>
      <c r="R201" s="1091">
        <f>SUM(N201:Q201)</f>
        <v>0</v>
      </c>
      <c r="S201" s="1090">
        <f t="shared" si="505"/>
        <v>0</v>
      </c>
      <c r="T201" s="1090">
        <f t="shared" si="505"/>
        <v>0</v>
      </c>
      <c r="U201" s="1090">
        <f t="shared" si="505"/>
        <v>0</v>
      </c>
      <c r="V201" s="1090">
        <f t="shared" si="505"/>
        <v>0</v>
      </c>
      <c r="W201" s="1091">
        <f>SUM(S201:V201)</f>
        <v>0</v>
      </c>
      <c r="X201" s="1090">
        <f t="shared" si="506"/>
        <v>0</v>
      </c>
      <c r="Y201" s="1090">
        <f t="shared" si="506"/>
        <v>0</v>
      </c>
      <c r="Z201" s="1090">
        <f t="shared" si="506"/>
        <v>0</v>
      </c>
      <c r="AA201" s="1090">
        <f t="shared" si="506"/>
        <v>0</v>
      </c>
      <c r="AB201" s="1091">
        <f>SUM(X201:AA201)</f>
        <v>0</v>
      </c>
      <c r="AC201" s="1090">
        <f t="shared" si="507"/>
        <v>0</v>
      </c>
      <c r="AD201" s="1090">
        <f t="shared" si="507"/>
        <v>0</v>
      </c>
      <c r="AE201" s="1090">
        <f t="shared" si="507"/>
        <v>0</v>
      </c>
      <c r="AF201" s="1090">
        <f t="shared" si="507"/>
        <v>0</v>
      </c>
      <c r="AG201" s="1091">
        <f>SUM(AC201:AF201)</f>
        <v>0</v>
      </c>
      <c r="AH201" s="1090">
        <f t="shared" si="508"/>
        <v>0</v>
      </c>
      <c r="AI201" s="1090">
        <f t="shared" si="508"/>
        <v>0</v>
      </c>
      <c r="AJ201" s="1090">
        <f t="shared" si="508"/>
        <v>0</v>
      </c>
      <c r="AK201" s="1090">
        <f t="shared" si="508"/>
        <v>0</v>
      </c>
      <c r="AL201" s="1091">
        <f>SUM(AH201:AK201)</f>
        <v>0</v>
      </c>
      <c r="AM201" s="1090">
        <f t="shared" si="509"/>
        <v>0</v>
      </c>
      <c r="AN201" s="1090">
        <f t="shared" si="509"/>
        <v>0</v>
      </c>
      <c r="AO201" s="1090">
        <f t="shared" si="509"/>
        <v>0</v>
      </c>
      <c r="AP201" s="1090">
        <f t="shared" si="509"/>
        <v>0</v>
      </c>
      <c r="AQ201" s="1091">
        <f>SUM(AM201:AP201)</f>
        <v>0</v>
      </c>
      <c r="AR201" s="1090">
        <f t="shared" si="510"/>
        <v>0</v>
      </c>
      <c r="AS201" s="1090">
        <f t="shared" si="510"/>
        <v>0</v>
      </c>
      <c r="AT201" s="1090">
        <f t="shared" si="510"/>
        <v>0</v>
      </c>
      <c r="AU201" s="802"/>
      <c r="AV201" s="910"/>
      <c r="AW201" s="910"/>
      <c r="AX201" s="910"/>
      <c r="AY201" s="910"/>
      <c r="AZ201" s="1015">
        <f t="shared" si="511"/>
        <v>0</v>
      </c>
      <c r="BA201" s="1090">
        <f t="shared" si="511"/>
        <v>0</v>
      </c>
      <c r="BB201" s="1090">
        <f t="shared" si="511"/>
        <v>0</v>
      </c>
      <c r="BC201" s="1090">
        <f t="shared" si="511"/>
        <v>0</v>
      </c>
      <c r="BD201" s="1090">
        <f t="shared" si="511"/>
        <v>-80</v>
      </c>
      <c r="BE201" s="1091">
        <f>SUM(BA201:BD201)</f>
        <v>-80</v>
      </c>
      <c r="BF201" s="1090">
        <f t="shared" si="512"/>
        <v>-27</v>
      </c>
      <c r="BG201" s="1090">
        <f t="shared" si="512"/>
        <v>-38</v>
      </c>
      <c r="BH201" s="1090">
        <f t="shared" si="512"/>
        <v>-14</v>
      </c>
      <c r="BI201" s="1090">
        <f t="shared" si="512"/>
        <v>-5</v>
      </c>
      <c r="BJ201" s="1091">
        <f>SUM(BF201:BI201)</f>
        <v>-84</v>
      </c>
      <c r="BK201" s="1090">
        <f t="shared" si="513"/>
        <v>0</v>
      </c>
      <c r="BL201" s="1090">
        <f t="shared" si="513"/>
        <v>0</v>
      </c>
      <c r="BM201" s="1090">
        <f t="shared" si="513"/>
        <v>0</v>
      </c>
      <c r="BN201" s="1090">
        <f t="shared" si="513"/>
        <v>0</v>
      </c>
      <c r="BO201" s="1091">
        <f>SUM(BK201:BN201)</f>
        <v>0</v>
      </c>
      <c r="BP201" s="1090">
        <f t="shared" si="514"/>
        <v>0</v>
      </c>
      <c r="BQ201" s="1090">
        <f t="shared" si="514"/>
        <v>0</v>
      </c>
      <c r="BR201" s="1090">
        <f t="shared" si="514"/>
        <v>0</v>
      </c>
      <c r="BS201" s="1090">
        <f t="shared" si="514"/>
        <v>0</v>
      </c>
      <c r="BT201" s="1091">
        <f>SUM(BP201:BS201)</f>
        <v>0</v>
      </c>
      <c r="BU201" s="1090">
        <f t="shared" si="515"/>
        <v>0</v>
      </c>
      <c r="BV201" s="1090">
        <f t="shared" si="515"/>
        <v>0</v>
      </c>
      <c r="BW201" s="1090">
        <f t="shared" si="515"/>
        <v>0</v>
      </c>
      <c r="BX201" s="1090">
        <f t="shared" si="515"/>
        <v>0</v>
      </c>
      <c r="BY201" s="1091">
        <f>SUM(BU201:BX201)</f>
        <v>0</v>
      </c>
      <c r="BZ201" s="1090">
        <f>BZ162</f>
        <v>0</v>
      </c>
      <c r="CA201" s="1090">
        <f t="shared" si="516"/>
        <v>0</v>
      </c>
      <c r="CB201" s="1090">
        <f t="shared" si="516"/>
        <v>0</v>
      </c>
      <c r="CC201" s="1090">
        <f t="shared" si="516"/>
        <v>0</v>
      </c>
      <c r="CD201" s="1091">
        <f>SUM(BZ201:CC201)</f>
        <v>0</v>
      </c>
      <c r="CE201" s="1090">
        <f t="shared" si="517"/>
        <v>0</v>
      </c>
      <c r="CF201" s="1090">
        <f t="shared" si="517"/>
        <v>0</v>
      </c>
      <c r="CG201" s="1090">
        <f t="shared" si="517"/>
        <v>0</v>
      </c>
      <c r="CH201" s="1090">
        <f t="shared" si="517"/>
        <v>0</v>
      </c>
      <c r="CI201" s="1091">
        <f>SUM(CE201:CH201)</f>
        <v>0</v>
      </c>
      <c r="CJ201" s="1090">
        <f t="shared" si="518"/>
        <v>0</v>
      </c>
      <c r="CK201" s="1090">
        <f t="shared" si="518"/>
        <v>0</v>
      </c>
      <c r="CL201" s="1090">
        <f t="shared" si="518"/>
        <v>0</v>
      </c>
      <c r="CM201" s="1090">
        <f t="shared" si="518"/>
        <v>0</v>
      </c>
      <c r="CN201" s="1091">
        <f>SUM(CJ201:CM201)</f>
        <v>0</v>
      </c>
      <c r="CO201" s="1090">
        <f t="shared" si="519"/>
        <v>0</v>
      </c>
      <c r="CP201" s="1090">
        <f t="shared" si="519"/>
        <v>0</v>
      </c>
      <c r="CQ201" s="1090">
        <f t="shared" si="519"/>
        <v>0</v>
      </c>
      <c r="CR201" s="1090">
        <f t="shared" si="519"/>
        <v>0</v>
      </c>
      <c r="CS201" s="1091">
        <f>SUM(CO201:CR201)</f>
        <v>0</v>
      </c>
      <c r="CT201" s="1090">
        <f t="shared" si="520"/>
        <v>0</v>
      </c>
      <c r="CU201" s="1090">
        <f t="shared" si="520"/>
        <v>0</v>
      </c>
      <c r="CV201" s="1090">
        <f t="shared" si="520"/>
        <v>0</v>
      </c>
      <c r="CW201" s="1090">
        <f t="shared" si="520"/>
        <v>0</v>
      </c>
      <c r="CX201" s="1091">
        <f>SUM(CT201:CW201)</f>
        <v>0</v>
      </c>
      <c r="CY201" s="1090">
        <f t="shared" si="521"/>
        <v>0</v>
      </c>
      <c r="CZ201" s="1090">
        <f t="shared" si="521"/>
        <v>0</v>
      </c>
      <c r="DA201" s="1090">
        <f t="shared" si="521"/>
        <v>0</v>
      </c>
      <c r="DB201" s="1090">
        <f t="shared" si="521"/>
        <v>0</v>
      </c>
      <c r="DC201" s="1091">
        <f>SUM(CY201:DB201)</f>
        <v>0</v>
      </c>
      <c r="DD201" s="1090">
        <f t="shared" si="522"/>
        <v>0</v>
      </c>
      <c r="DE201" s="1090">
        <f t="shared" si="522"/>
        <v>0</v>
      </c>
      <c r="DF201" s="1090">
        <f t="shared" si="522"/>
        <v>0</v>
      </c>
      <c r="DG201" s="1090">
        <f t="shared" si="522"/>
        <v>0</v>
      </c>
      <c r="DH201" s="1091">
        <f>SUM(DD201:DG201)</f>
        <v>0</v>
      </c>
      <c r="DI201" s="1090">
        <f t="shared" si="523"/>
        <v>-11</v>
      </c>
      <c r="DJ201" s="1090">
        <f t="shared" si="523"/>
        <v>11</v>
      </c>
      <c r="DK201" s="1090">
        <f t="shared" si="523"/>
        <v>0</v>
      </c>
      <c r="DL201" s="1090">
        <f t="shared" si="523"/>
        <v>0</v>
      </c>
      <c r="DM201" s="1091">
        <f>SUM(DI201:DL201)</f>
        <v>0</v>
      </c>
      <c r="DN201" s="1090">
        <f t="shared" si="524"/>
        <v>0</v>
      </c>
      <c r="DO201" s="1090">
        <f t="shared" si="524"/>
        <v>0</v>
      </c>
      <c r="DP201" s="1090">
        <f t="shared" si="524"/>
        <v>0</v>
      </c>
      <c r="DQ201" s="1090">
        <f t="shared" si="524"/>
        <v>0</v>
      </c>
      <c r="DR201" s="1091">
        <f>SUM(DN201:DQ201)</f>
        <v>0</v>
      </c>
      <c r="DS201" s="1090">
        <f t="shared" si="525"/>
        <v>0</v>
      </c>
      <c r="DT201" s="1090">
        <f t="shared" si="525"/>
        <v>0</v>
      </c>
      <c r="DU201" s="1090">
        <f>DU162</f>
        <v>0</v>
      </c>
      <c r="DV201" s="1090">
        <f t="shared" si="525"/>
        <v>0</v>
      </c>
      <c r="DW201" s="1091">
        <f>SUM(DS201:DV201)</f>
        <v>0</v>
      </c>
      <c r="DX201" s="1090">
        <f t="shared" si="526"/>
        <v>0</v>
      </c>
      <c r="DY201" s="1090">
        <f t="shared" si="526"/>
        <v>0</v>
      </c>
      <c r="DZ201" s="1090">
        <f t="shared" si="526"/>
        <v>0</v>
      </c>
      <c r="EA201" s="1090">
        <f t="shared" si="526"/>
        <v>0</v>
      </c>
      <c r="EB201" s="1091">
        <f>SUM(DX201:EA201)</f>
        <v>0</v>
      </c>
      <c r="EC201" s="1090">
        <f t="shared" si="527"/>
        <v>0</v>
      </c>
      <c r="ED201" s="1090">
        <f t="shared" si="527"/>
        <v>0</v>
      </c>
      <c r="EE201" s="1090">
        <f t="shared" si="527"/>
        <v>0</v>
      </c>
      <c r="EF201" s="1090">
        <f t="shared" si="527"/>
        <v>0</v>
      </c>
      <c r="EG201" s="1091">
        <f>SUM(EC201:EF201)</f>
        <v>0</v>
      </c>
      <c r="EH201" s="1090">
        <f t="shared" ref="EH201:EK201" si="529">EH162</f>
        <v>0</v>
      </c>
      <c r="EI201" s="1090">
        <f t="shared" si="529"/>
        <v>0</v>
      </c>
      <c r="EJ201" s="1090">
        <f t="shared" si="529"/>
        <v>0</v>
      </c>
      <c r="EK201" s="1090">
        <f t="shared" si="529"/>
        <v>0</v>
      </c>
      <c r="EL201" s="1091">
        <f>SUM(EH201:EK201)</f>
        <v>0</v>
      </c>
      <c r="EM201" s="561"/>
      <c r="EN201"/>
      <c r="EO201"/>
      <c r="EP201"/>
      <c r="EQ201"/>
      <c r="ER201"/>
      <c r="ES201"/>
      <c r="ET201" s="135"/>
      <c r="EU201" s="135"/>
      <c r="EV201" s="135"/>
      <c r="EW201" s="135"/>
      <c r="EX201" s="135"/>
      <c r="EY201" s="135"/>
      <c r="EZ201" s="135"/>
      <c r="FA201" s="135"/>
      <c r="FB201" s="135"/>
      <c r="FC201" s="135"/>
      <c r="FD201" s="135"/>
      <c r="FE201" s="135"/>
      <c r="FF201" s="135"/>
      <c r="FG201" s="135"/>
      <c r="FH201" s="135"/>
      <c r="FI201" s="135"/>
      <c r="FJ201" s="135"/>
      <c r="FK201" s="135"/>
      <c r="FL201" s="135"/>
      <c r="FM201" s="135"/>
      <c r="FN201" s="135"/>
      <c r="FO201" s="135"/>
      <c r="FP201" s="135"/>
      <c r="FQ201" s="135"/>
      <c r="FR201" s="135"/>
      <c r="FS201" s="135"/>
      <c r="FT201" s="135"/>
      <c r="FU201" s="135"/>
      <c r="FV201" s="135"/>
      <c r="FW201" s="135"/>
      <c r="FX201" s="135"/>
      <c r="FY201" s="135"/>
      <c r="FZ201" s="135"/>
      <c r="GA201" s="135"/>
      <c r="GB201" s="135"/>
      <c r="GC201" s="135"/>
      <c r="GD201" s="135"/>
      <c r="GE201" s="135"/>
      <c r="GF201" s="135"/>
      <c r="GG201" s="135"/>
      <c r="GH201" s="135"/>
      <c r="GI201" s="135"/>
      <c r="GJ201" s="135"/>
      <c r="GK201" s="135"/>
      <c r="GL201" s="135"/>
      <c r="GM201" s="135"/>
      <c r="GN201" s="135"/>
      <c r="GO201" s="135"/>
      <c r="GP201" s="135"/>
      <c r="GQ201" s="135"/>
      <c r="GR201" s="135"/>
      <c r="GS201" s="135"/>
      <c r="GT201" s="135"/>
      <c r="GU201" s="135"/>
      <c r="GV201" s="135"/>
      <c r="GW201" s="135"/>
      <c r="GX201" s="135"/>
      <c r="GY201" s="135"/>
      <c r="GZ201" s="135"/>
      <c r="HA201" s="135"/>
      <c r="HB201" s="135"/>
      <c r="HC201" s="135"/>
      <c r="HD201" s="135"/>
      <c r="HE201" s="135"/>
      <c r="HF201" s="135"/>
      <c r="HG201" s="135"/>
      <c r="HH201" s="135"/>
      <c r="HI201" s="135"/>
      <c r="HJ201" s="135"/>
      <c r="HK201" s="135"/>
      <c r="HL201" s="135"/>
      <c r="HM201" s="135"/>
      <c r="HN201" s="135"/>
      <c r="HO201" s="135"/>
      <c r="HP201" s="135"/>
      <c r="HQ201" s="135"/>
      <c r="HR201" s="135"/>
      <c r="HS201" s="135"/>
      <c r="HT201" s="135"/>
      <c r="HU201" s="135"/>
      <c r="HV201" s="135"/>
      <c r="HW201" s="135"/>
      <c r="HX201" s="135"/>
      <c r="HY201" s="135"/>
      <c r="HZ201" s="135"/>
      <c r="IA201" s="135"/>
      <c r="IB201" s="135"/>
      <c r="IC201" s="135"/>
      <c r="ID201" s="135"/>
      <c r="IE201" s="135"/>
      <c r="IF201" s="135"/>
      <c r="IG201" s="135"/>
      <c r="IH201" s="135"/>
      <c r="II201" s="135"/>
      <c r="IJ201" s="135"/>
      <c r="IK201" s="135"/>
      <c r="IL201" s="135"/>
      <c r="IM201" s="135"/>
      <c r="IN201" s="135"/>
      <c r="IO201" s="135"/>
      <c r="IP201" s="135"/>
      <c r="IQ201" s="135"/>
      <c r="IR201" s="135"/>
      <c r="IS201" s="135"/>
      <c r="IT201" s="135"/>
      <c r="IU201" s="135"/>
      <c r="IV201" s="135"/>
      <c r="IW201" s="135"/>
      <c r="IX201" s="135"/>
      <c r="IY201" s="135"/>
      <c r="IZ201" s="135"/>
      <c r="JA201" s="135"/>
      <c r="JB201" s="135"/>
      <c r="JC201" s="135"/>
      <c r="JD201" s="135"/>
      <c r="JE201" s="135"/>
      <c r="JF201" s="135"/>
      <c r="JG201" s="135"/>
      <c r="JH201" s="135"/>
    </row>
    <row r="202" spans="1:268" s="4" customFormat="1">
      <c r="A202" s="803"/>
      <c r="B202" s="804" t="s">
        <v>97</v>
      </c>
      <c r="C202" s="1042"/>
      <c r="D202" s="1042">
        <f t="shared" ref="D202:AT202" si="530">SUM(D199:D201)</f>
        <v>-439.56700000000001</v>
      </c>
      <c r="E202" s="1042">
        <f t="shared" si="530"/>
        <v>20.567000000000011</v>
      </c>
      <c r="F202" s="1042">
        <f t="shared" si="530"/>
        <v>39.000000000000007</v>
      </c>
      <c r="G202" s="1042">
        <f t="shared" si="530"/>
        <v>64</v>
      </c>
      <c r="H202" s="1084">
        <f t="shared" si="530"/>
        <v>-316</v>
      </c>
      <c r="I202" s="1042">
        <f t="shared" si="530"/>
        <v>-34.299999999999997</v>
      </c>
      <c r="J202" s="1042">
        <f t="shared" si="530"/>
        <v>-134.80000000000001</v>
      </c>
      <c r="K202" s="1042">
        <f t="shared" si="530"/>
        <v>-13.000000000000014</v>
      </c>
      <c r="L202" s="1042">
        <f t="shared" si="530"/>
        <v>-20.900000000000006</v>
      </c>
      <c r="M202" s="1084">
        <f t="shared" si="530"/>
        <v>-203</v>
      </c>
      <c r="N202" s="1042">
        <f t="shared" si="530"/>
        <v>-24.6</v>
      </c>
      <c r="O202" s="1042">
        <f t="shared" si="530"/>
        <v>-182.4</v>
      </c>
      <c r="P202" s="1042">
        <f t="shared" si="530"/>
        <v>84.200000000000017</v>
      </c>
      <c r="Q202" s="1042">
        <f t="shared" si="530"/>
        <v>-26.200000000000017</v>
      </c>
      <c r="R202" s="1084">
        <f t="shared" si="530"/>
        <v>-149</v>
      </c>
      <c r="S202" s="1042">
        <f t="shared" si="530"/>
        <v>-109</v>
      </c>
      <c r="T202" s="1042">
        <f t="shared" si="530"/>
        <v>-106</v>
      </c>
      <c r="U202" s="1042">
        <f t="shared" si="530"/>
        <v>-30</v>
      </c>
      <c r="V202" s="1042">
        <f t="shared" si="530"/>
        <v>103</v>
      </c>
      <c r="W202" s="1084">
        <f t="shared" si="530"/>
        <v>-142</v>
      </c>
      <c r="X202" s="1042">
        <f t="shared" si="530"/>
        <v>-10</v>
      </c>
      <c r="Y202" s="1042">
        <f t="shared" si="530"/>
        <v>116</v>
      </c>
      <c r="Z202" s="1042">
        <f t="shared" si="530"/>
        <v>-125</v>
      </c>
      <c r="AA202" s="1042">
        <f t="shared" si="530"/>
        <v>16</v>
      </c>
      <c r="AB202" s="1084">
        <f t="shared" si="530"/>
        <v>-3</v>
      </c>
      <c r="AC202" s="1042">
        <f t="shared" si="530"/>
        <v>-130</v>
      </c>
      <c r="AD202" s="1042">
        <f t="shared" si="530"/>
        <v>150</v>
      </c>
      <c r="AE202" s="1042">
        <f t="shared" si="530"/>
        <v>-270</v>
      </c>
      <c r="AF202" s="1042">
        <f t="shared" si="530"/>
        <v>274</v>
      </c>
      <c r="AG202" s="1084">
        <f t="shared" si="530"/>
        <v>24</v>
      </c>
      <c r="AH202" s="1042">
        <f t="shared" si="530"/>
        <v>151.5</v>
      </c>
      <c r="AI202" s="1042">
        <f t="shared" si="530"/>
        <v>223.5</v>
      </c>
      <c r="AJ202" s="1042">
        <f t="shared" si="530"/>
        <v>-23</v>
      </c>
      <c r="AK202" s="1042">
        <f t="shared" si="530"/>
        <v>608</v>
      </c>
      <c r="AL202" s="1084">
        <f t="shared" si="530"/>
        <v>960</v>
      </c>
      <c r="AM202" s="1042">
        <f t="shared" si="530"/>
        <v>280</v>
      </c>
      <c r="AN202" s="1042">
        <f t="shared" si="530"/>
        <v>231</v>
      </c>
      <c r="AO202" s="1042">
        <f t="shared" si="530"/>
        <v>146</v>
      </c>
      <c r="AP202" s="1042">
        <f t="shared" si="530"/>
        <v>501</v>
      </c>
      <c r="AQ202" s="1084">
        <f t="shared" si="530"/>
        <v>1158</v>
      </c>
      <c r="AR202" s="1042">
        <f t="shared" si="530"/>
        <v>478</v>
      </c>
      <c r="AS202" s="1042">
        <f t="shared" si="530"/>
        <v>357</v>
      </c>
      <c r="AT202" s="1042">
        <f t="shared" si="530"/>
        <v>313</v>
      </c>
      <c r="AU202" s="1001"/>
      <c r="AV202" s="917"/>
      <c r="AW202" s="917"/>
      <c r="AX202" s="917"/>
      <c r="AY202" s="917"/>
      <c r="AZ202" s="916">
        <f t="shared" ref="AZ202:CE202" si="531">SUM(AZ199:AZ201)</f>
        <v>386</v>
      </c>
      <c r="BA202" s="1042">
        <f t="shared" si="531"/>
        <v>-211</v>
      </c>
      <c r="BB202" s="1042">
        <f t="shared" si="531"/>
        <v>62</v>
      </c>
      <c r="BC202" s="1042">
        <f t="shared" si="531"/>
        <v>-28</v>
      </c>
      <c r="BD202" s="1042">
        <f t="shared" si="531"/>
        <v>-21</v>
      </c>
      <c r="BE202" s="1084">
        <f t="shared" si="531"/>
        <v>-198</v>
      </c>
      <c r="BF202" s="1042">
        <f t="shared" si="531"/>
        <v>-52</v>
      </c>
      <c r="BG202" s="1042">
        <f t="shared" si="531"/>
        <v>15</v>
      </c>
      <c r="BH202" s="1042">
        <f t="shared" si="531"/>
        <v>60</v>
      </c>
      <c r="BI202" s="1042">
        <f t="shared" si="531"/>
        <v>-1</v>
      </c>
      <c r="BJ202" s="1084">
        <f t="shared" si="531"/>
        <v>22</v>
      </c>
      <c r="BK202" s="1042">
        <f t="shared" si="531"/>
        <v>389</v>
      </c>
      <c r="BL202" s="1042">
        <f t="shared" si="531"/>
        <v>53</v>
      </c>
      <c r="BM202" s="1042">
        <f t="shared" si="531"/>
        <v>-95</v>
      </c>
      <c r="BN202" s="1042">
        <f t="shared" si="531"/>
        <v>-105</v>
      </c>
      <c r="BO202" s="1084">
        <f t="shared" si="531"/>
        <v>242</v>
      </c>
      <c r="BP202" s="1042">
        <f t="shared" si="531"/>
        <v>-254</v>
      </c>
      <c r="BQ202" s="1042">
        <f t="shared" si="531"/>
        <v>113</v>
      </c>
      <c r="BR202" s="1042">
        <f t="shared" si="531"/>
        <v>65</v>
      </c>
      <c r="BS202" s="1042">
        <f t="shared" si="531"/>
        <v>-308</v>
      </c>
      <c r="BT202" s="1084">
        <f t="shared" si="531"/>
        <v>-384</v>
      </c>
      <c r="BU202" s="1042">
        <f t="shared" si="531"/>
        <v>-274</v>
      </c>
      <c r="BV202" s="1042">
        <f t="shared" si="531"/>
        <v>166</v>
      </c>
      <c r="BW202" s="1042">
        <f t="shared" si="531"/>
        <v>-71</v>
      </c>
      <c r="BX202" s="1042">
        <f t="shared" si="531"/>
        <v>-179</v>
      </c>
      <c r="BY202" s="1084">
        <f t="shared" si="531"/>
        <v>-527</v>
      </c>
      <c r="BZ202" s="1042">
        <f t="shared" si="531"/>
        <v>-264</v>
      </c>
      <c r="CA202" s="1042">
        <f t="shared" si="531"/>
        <v>53</v>
      </c>
      <c r="CB202" s="1042">
        <f t="shared" si="531"/>
        <v>32</v>
      </c>
      <c r="CC202" s="1042">
        <f t="shared" si="531"/>
        <v>-29</v>
      </c>
      <c r="CD202" s="1084">
        <f t="shared" si="531"/>
        <v>-208</v>
      </c>
      <c r="CE202" s="1042">
        <f t="shared" si="531"/>
        <v>-135</v>
      </c>
      <c r="CF202" s="1042">
        <f t="shared" ref="CF202:DK202" si="532">SUM(CF199:CF201)</f>
        <v>133</v>
      </c>
      <c r="CG202" s="1042">
        <f t="shared" si="532"/>
        <v>142</v>
      </c>
      <c r="CH202" s="1042">
        <f t="shared" si="532"/>
        <v>25</v>
      </c>
      <c r="CI202" s="1084">
        <f t="shared" si="532"/>
        <v>165</v>
      </c>
      <c r="CJ202" s="1042">
        <f t="shared" si="532"/>
        <v>-100</v>
      </c>
      <c r="CK202" s="1042">
        <f t="shared" si="532"/>
        <v>121</v>
      </c>
      <c r="CL202" s="1042">
        <f t="shared" si="532"/>
        <v>53</v>
      </c>
      <c r="CM202" s="1042">
        <f t="shared" si="532"/>
        <v>-16</v>
      </c>
      <c r="CN202" s="1084">
        <f t="shared" si="532"/>
        <v>58</v>
      </c>
      <c r="CO202" s="1042">
        <f t="shared" si="532"/>
        <v>-74</v>
      </c>
      <c r="CP202" s="1042">
        <f t="shared" si="532"/>
        <v>112</v>
      </c>
      <c r="CQ202" s="1042">
        <f t="shared" si="532"/>
        <v>65</v>
      </c>
      <c r="CR202" s="1042">
        <f t="shared" si="532"/>
        <v>19</v>
      </c>
      <c r="CS202" s="1084">
        <f t="shared" si="532"/>
        <v>122</v>
      </c>
      <c r="CT202" s="1042">
        <f t="shared" si="532"/>
        <v>-148</v>
      </c>
      <c r="CU202" s="1042">
        <f t="shared" si="532"/>
        <v>170</v>
      </c>
      <c r="CV202" s="1042">
        <f t="shared" si="532"/>
        <v>32</v>
      </c>
      <c r="CW202" s="1042">
        <f t="shared" si="532"/>
        <v>131</v>
      </c>
      <c r="CX202" s="1084">
        <f t="shared" si="532"/>
        <v>185</v>
      </c>
      <c r="CY202" s="1042">
        <f t="shared" si="532"/>
        <v>-151.75</v>
      </c>
      <c r="CZ202" s="1042">
        <f t="shared" si="532"/>
        <v>55.25</v>
      </c>
      <c r="DA202" s="1042">
        <f t="shared" si="532"/>
        <v>87.25</v>
      </c>
      <c r="DB202" s="1042">
        <f t="shared" si="532"/>
        <v>46.25</v>
      </c>
      <c r="DC202" s="1084">
        <f t="shared" si="532"/>
        <v>37</v>
      </c>
      <c r="DD202" s="1042">
        <f t="shared" si="532"/>
        <v>-256</v>
      </c>
      <c r="DE202" s="1042">
        <f t="shared" si="532"/>
        <v>76</v>
      </c>
      <c r="DF202" s="1042">
        <f t="shared" si="532"/>
        <v>45</v>
      </c>
      <c r="DG202" s="1042">
        <f t="shared" si="532"/>
        <v>80</v>
      </c>
      <c r="DH202" s="1084">
        <f t="shared" si="532"/>
        <v>-55</v>
      </c>
      <c r="DI202" s="1042">
        <f t="shared" si="532"/>
        <v>-215</v>
      </c>
      <c r="DJ202" s="1042">
        <f t="shared" si="532"/>
        <v>303</v>
      </c>
      <c r="DK202" s="1042">
        <f t="shared" si="532"/>
        <v>356</v>
      </c>
      <c r="DL202" s="1042">
        <f t="shared" ref="DL202:DR202" si="533">SUM(DL199:DL201)</f>
        <v>-39</v>
      </c>
      <c r="DM202" s="1084">
        <f t="shared" si="533"/>
        <v>405</v>
      </c>
      <c r="DN202" s="1042">
        <f t="shared" si="533"/>
        <v>11</v>
      </c>
      <c r="DO202" s="1042">
        <f t="shared" si="533"/>
        <v>257</v>
      </c>
      <c r="DP202" s="1042">
        <f t="shared" si="533"/>
        <v>100</v>
      </c>
      <c r="DQ202" s="1042">
        <f>SUM(DQ199:DQ201)</f>
        <v>12</v>
      </c>
      <c r="DR202" s="1084">
        <f t="shared" si="533"/>
        <v>380</v>
      </c>
      <c r="DS202" s="1042">
        <f>SUM(DS199:DS201)</f>
        <v>10</v>
      </c>
      <c r="DT202" s="1042">
        <f>SUM(DT199:DT201)</f>
        <v>107</v>
      </c>
      <c r="DU202" s="1042">
        <f>SUM(DU199:DU201)</f>
        <v>191</v>
      </c>
      <c r="DV202" s="1042">
        <f>SUM(DV199:DV201)</f>
        <v>315</v>
      </c>
      <c r="DW202" s="1084">
        <f>SUM(DW199:DW201)</f>
        <v>623</v>
      </c>
      <c r="DX202" s="1042">
        <f t="shared" ref="DX202:EG202" si="534">SUM(DX199:DX201)</f>
        <v>255.8703581558905</v>
      </c>
      <c r="DY202" s="1042">
        <f t="shared" si="534"/>
        <v>213.50627719879859</v>
      </c>
      <c r="DZ202" s="1042">
        <f t="shared" si="534"/>
        <v>185.34223702660427</v>
      </c>
      <c r="EA202" s="1042">
        <f t="shared" si="534"/>
        <v>156.99200160322403</v>
      </c>
      <c r="EB202" s="1084">
        <f t="shared" si="534"/>
        <v>811.71087398451732</v>
      </c>
      <c r="EC202" s="1042">
        <f t="shared" si="534"/>
        <v>-118.23669481555672</v>
      </c>
      <c r="ED202" s="1042">
        <f t="shared" si="534"/>
        <v>216.07354975092275</v>
      </c>
      <c r="EE202" s="1042">
        <f t="shared" si="534"/>
        <v>241.93448932531004</v>
      </c>
      <c r="EF202" s="1042">
        <f t="shared" si="534"/>
        <v>97.148407998061515</v>
      </c>
      <c r="EG202" s="1084">
        <f t="shared" si="534"/>
        <v>436.91975225873762</v>
      </c>
      <c r="EH202" s="1042">
        <f t="shared" ref="EH202:EL202" si="535">SUM(EH199:EH201)</f>
        <v>215.83731726526179</v>
      </c>
      <c r="EI202" s="1042">
        <f t="shared" si="535"/>
        <v>217.4369951972534</v>
      </c>
      <c r="EJ202" s="1042">
        <f t="shared" si="535"/>
        <v>322.01700639270166</v>
      </c>
      <c r="EK202" s="1042">
        <f t="shared" si="535"/>
        <v>91.336186278312283</v>
      </c>
      <c r="EL202" s="1084">
        <f t="shared" si="535"/>
        <v>846.62750513352898</v>
      </c>
      <c r="EM202" s="917"/>
      <c r="EN202"/>
      <c r="EO202"/>
      <c r="EP202"/>
      <c r="EQ202"/>
      <c r="ER202"/>
      <c r="ES202"/>
      <c r="ET202" s="135"/>
      <c r="EU202" s="135"/>
      <c r="EV202" s="135"/>
      <c r="EW202" s="135"/>
      <c r="EX202" s="135"/>
      <c r="EY202" s="135"/>
      <c r="EZ202" s="135"/>
      <c r="FA202" s="135"/>
      <c r="FB202" s="135"/>
      <c r="FC202" s="135"/>
      <c r="FD202" s="135"/>
      <c r="FE202" s="135"/>
      <c r="FF202" s="135"/>
      <c r="FG202" s="135"/>
      <c r="FH202" s="135"/>
      <c r="FI202" s="135"/>
      <c r="FJ202" s="135"/>
      <c r="FK202" s="135"/>
      <c r="FL202" s="135"/>
      <c r="FM202" s="135"/>
      <c r="FN202" s="135"/>
      <c r="FO202" s="135"/>
      <c r="FP202" s="135"/>
      <c r="FQ202" s="135"/>
      <c r="FR202" s="135"/>
      <c r="FS202" s="135"/>
      <c r="FT202" s="135"/>
      <c r="FU202" s="135"/>
      <c r="FV202" s="135"/>
      <c r="FW202" s="135"/>
      <c r="FX202" s="135"/>
      <c r="FY202" s="135"/>
      <c r="FZ202" s="135"/>
      <c r="GA202" s="135"/>
      <c r="GB202" s="135"/>
      <c r="GC202" s="135"/>
      <c r="GD202" s="135"/>
      <c r="GE202" s="135"/>
      <c r="GF202" s="135"/>
      <c r="GG202" s="135"/>
      <c r="GH202" s="135"/>
      <c r="GI202" s="135"/>
      <c r="GJ202" s="135"/>
      <c r="GK202" s="135"/>
      <c r="GL202" s="135"/>
      <c r="GM202" s="135"/>
      <c r="GN202" s="135"/>
      <c r="GO202" s="135"/>
      <c r="GP202" s="135"/>
      <c r="GQ202" s="135"/>
      <c r="GR202" s="135"/>
      <c r="GS202" s="135"/>
      <c r="GT202" s="135"/>
      <c r="GU202" s="135"/>
      <c r="GV202" s="135"/>
      <c r="GW202" s="135"/>
      <c r="GX202" s="135"/>
      <c r="GY202" s="135"/>
      <c r="GZ202" s="135"/>
      <c r="HA202" s="135"/>
      <c r="HB202" s="135"/>
      <c r="HC202" s="135"/>
      <c r="HD202" s="135"/>
      <c r="HE202" s="135"/>
      <c r="HF202" s="135"/>
      <c r="HG202" s="135"/>
      <c r="HH202" s="135"/>
      <c r="HI202" s="135"/>
      <c r="HJ202" s="135"/>
      <c r="HK202" s="135"/>
      <c r="HL202" s="135"/>
      <c r="HM202" s="135"/>
      <c r="HN202" s="135"/>
      <c r="HO202" s="135"/>
      <c r="HP202" s="135"/>
      <c r="HQ202" s="135"/>
      <c r="HR202" s="135"/>
      <c r="HS202" s="135"/>
      <c r="HT202" s="135"/>
      <c r="HU202" s="135"/>
      <c r="HV202" s="135"/>
      <c r="HW202" s="135"/>
      <c r="HX202" s="135"/>
      <c r="HY202" s="135"/>
      <c r="HZ202" s="135"/>
      <c r="IA202" s="135"/>
      <c r="IB202" s="135"/>
      <c r="IC202" s="135"/>
      <c r="ID202" s="135"/>
      <c r="IE202" s="135"/>
      <c r="IF202" s="135"/>
      <c r="IG202" s="135"/>
      <c r="IH202" s="135"/>
      <c r="II202" s="135"/>
      <c r="IJ202" s="135"/>
      <c r="IK202" s="135"/>
      <c r="IL202" s="135"/>
      <c r="IM202" s="135"/>
      <c r="IN202" s="135"/>
      <c r="IO202" s="135"/>
      <c r="IP202" s="135"/>
      <c r="IQ202" s="135"/>
      <c r="IR202" s="135"/>
      <c r="IS202" s="135"/>
      <c r="IT202" s="135"/>
      <c r="IU202" s="135"/>
      <c r="IV202" s="135"/>
      <c r="IW202" s="135"/>
      <c r="IX202" s="135"/>
      <c r="IY202" s="135"/>
      <c r="IZ202" s="135"/>
      <c r="JA202" s="135"/>
      <c r="JB202" s="135"/>
      <c r="JC202" s="135"/>
      <c r="JD202" s="135"/>
      <c r="JE202" s="135"/>
      <c r="JF202" s="135"/>
      <c r="JG202" s="135"/>
      <c r="JH202" s="135"/>
    </row>
    <row r="203" spans="1:268" s="4" customFormat="1">
      <c r="A203" s="1103"/>
      <c r="B203" s="1104" t="s">
        <v>98</v>
      </c>
      <c r="C203" s="1105"/>
      <c r="D203" s="1105" t="str">
        <f>+IF(D202&lt;0, "nm", D202/D136)</f>
        <v>nm</v>
      </c>
      <c r="E203" s="1105" t="str">
        <f>IF(ISERROR(+IF(E202&lt;0, "nm", E202/E136)),"nm",+IF(E202&lt;0, "nm", E202/E136))</f>
        <v>nm</v>
      </c>
      <c r="F203" s="1105" t="str">
        <f>IF(ISERROR(+IF(F202&lt;0, "nm", F202/F136)),"nm",+IF(F202&lt;0, "nm", F202/F136))</f>
        <v>nm</v>
      </c>
      <c r="G203" s="1105" t="str">
        <f>IF(ISERROR(+IF(G202&lt;0, "nm", G202/G136)),"nm",+IF(G202&lt;0, "nm", G202/G136))</f>
        <v>nm</v>
      </c>
      <c r="H203" s="1106" t="str">
        <f t="shared" ref="H203:O203" si="536">+IF(H202&lt;0, "nm", H202/H136)</f>
        <v>nm</v>
      </c>
      <c r="I203" s="1105" t="str">
        <f t="shared" si="536"/>
        <v>nm</v>
      </c>
      <c r="J203" s="1105" t="str">
        <f t="shared" si="536"/>
        <v>nm</v>
      </c>
      <c r="K203" s="1105" t="str">
        <f t="shared" si="536"/>
        <v>nm</v>
      </c>
      <c r="L203" s="1105" t="str">
        <f t="shared" si="536"/>
        <v>nm</v>
      </c>
      <c r="M203" s="1106" t="str">
        <f t="shared" si="536"/>
        <v>nm</v>
      </c>
      <c r="N203" s="1105" t="str">
        <f t="shared" si="536"/>
        <v>nm</v>
      </c>
      <c r="O203" s="1105" t="str">
        <f t="shared" si="536"/>
        <v>nm</v>
      </c>
      <c r="P203" s="1105" t="str">
        <f>IF(ISERROR(+IF(P202&lt;0, "nm", P202/P136)),"nm",+IF(P202&lt;0, "nm", P202/P136))</f>
        <v>nm</v>
      </c>
      <c r="Q203" s="1105" t="str">
        <f>+IF(Q202&lt;0, "nm", Q202/Q136)</f>
        <v>nm</v>
      </c>
      <c r="R203" s="1106" t="str">
        <f>+IF(R202&lt;0, "nm", R202/R136)</f>
        <v>nm</v>
      </c>
      <c r="S203" s="1105" t="str">
        <f>+IF(S202&lt;0, "nm", S202/S136)</f>
        <v>nm</v>
      </c>
      <c r="T203" s="1105" t="str">
        <f>+IF(T202&lt;0, "nm", T202/T136)</f>
        <v>nm</v>
      </c>
      <c r="U203" s="1105" t="str">
        <f>+IF(U202&lt;0, "nm", U202/U136)</f>
        <v>nm</v>
      </c>
      <c r="V203" s="1105" t="str">
        <f>IF(ISERROR(+IF(V202&lt;0, "nm", V202/V136)),"nm",+IF(V202&lt;0, "nm", V202/V136))</f>
        <v>nm</v>
      </c>
      <c r="W203" s="1106" t="str">
        <f>+IF(W202&lt;0, "nm", W202/W136)</f>
        <v>nm</v>
      </c>
      <c r="X203" s="1105" t="str">
        <f>+IF(X202&lt;0, "nm", X202/X136)</f>
        <v>nm</v>
      </c>
      <c r="Y203" s="1105">
        <f>IF(ISERROR(+IF(Y202&lt;0, "nm", Y202/Y136)),"nm",+IF(Y202&lt;0, "nm", Y202/Y136))</f>
        <v>0.92800000000000005</v>
      </c>
      <c r="Z203" s="1105" t="str">
        <f>+IF(Z202&lt;0, "nm", Z202/Z136)</f>
        <v>nm</v>
      </c>
      <c r="AA203" s="1105">
        <f>IF(ISERROR(+IF(AA202&lt;0, "nm", AA202/AA136)),"nm",+IF(AA202&lt;0, "nm", AA202/AA136))</f>
        <v>-0.11678832116788321</v>
      </c>
      <c r="AB203" s="1106" t="str">
        <f t="shared" ref="AB203:AT203" si="537">+IF(AB202&lt;0, "nm", AB202/AB136)</f>
        <v>nm</v>
      </c>
      <c r="AC203" s="1105" t="str">
        <f t="shared" si="537"/>
        <v>nm</v>
      </c>
      <c r="AD203" s="1105">
        <f t="shared" si="537"/>
        <v>1.1111111111111112</v>
      </c>
      <c r="AE203" s="1105" t="str">
        <f t="shared" si="537"/>
        <v>nm</v>
      </c>
      <c r="AF203" s="1105">
        <f t="shared" si="537"/>
        <v>13.7</v>
      </c>
      <c r="AG203" s="1106">
        <f t="shared" si="537"/>
        <v>7.9470198675496692E-2</v>
      </c>
      <c r="AH203" s="1105">
        <f t="shared" si="537"/>
        <v>0.98376623376623373</v>
      </c>
      <c r="AI203" s="1105">
        <f t="shared" si="537"/>
        <v>1.2771428571428571</v>
      </c>
      <c r="AJ203" s="1105" t="str">
        <f t="shared" si="537"/>
        <v>nm</v>
      </c>
      <c r="AK203" s="1105">
        <f t="shared" si="537"/>
        <v>5.2413793103448274</v>
      </c>
      <c r="AL203" s="1106">
        <f t="shared" si="537"/>
        <v>1.4930015552099534</v>
      </c>
      <c r="AM203" s="1105">
        <f t="shared" si="537"/>
        <v>1.8064516129032258</v>
      </c>
      <c r="AN203" s="1105">
        <f t="shared" si="537"/>
        <v>2.595505617977528</v>
      </c>
      <c r="AO203" s="1105">
        <f t="shared" si="537"/>
        <v>0.52142857142857146</v>
      </c>
      <c r="AP203" s="1105">
        <f t="shared" si="537"/>
        <v>1.9195402298850575</v>
      </c>
      <c r="AQ203" s="1106">
        <f t="shared" si="537"/>
        <v>1.4751592356687897</v>
      </c>
      <c r="AR203" s="1105">
        <f t="shared" si="537"/>
        <v>1.4142011834319526</v>
      </c>
      <c r="AS203" s="1105">
        <f t="shared" si="537"/>
        <v>1.1333333333333333</v>
      </c>
      <c r="AT203" s="1105">
        <f t="shared" si="537"/>
        <v>-5.6909090909090905</v>
      </c>
      <c r="AU203" s="1107"/>
      <c r="AV203" s="1108"/>
      <c r="AW203" s="1108"/>
      <c r="AX203" s="1108"/>
      <c r="AY203" s="1108"/>
      <c r="AZ203" s="1106">
        <f t="shared" ref="AZ203:CE203" si="538">+IF(AZ202&lt;0, "nm", AZ202/AZ136)</f>
        <v>0.84095860566448799</v>
      </c>
      <c r="BA203" s="1105" t="str">
        <f t="shared" si="538"/>
        <v>nm</v>
      </c>
      <c r="BB203" s="1105">
        <f t="shared" si="538"/>
        <v>-0.31794871794871793</v>
      </c>
      <c r="BC203" s="1105" t="str">
        <f t="shared" si="538"/>
        <v>nm</v>
      </c>
      <c r="BD203" s="1105" t="str">
        <f t="shared" si="538"/>
        <v>nm</v>
      </c>
      <c r="BE203" s="1106" t="str">
        <f t="shared" si="538"/>
        <v>nm</v>
      </c>
      <c r="BF203" s="1105" t="str">
        <f t="shared" si="538"/>
        <v>nm</v>
      </c>
      <c r="BG203" s="1105">
        <f t="shared" si="538"/>
        <v>-3.5211267605633804E-2</v>
      </c>
      <c r="BH203" s="1105">
        <f t="shared" si="538"/>
        <v>-0.8571428571428571</v>
      </c>
      <c r="BI203" s="1105" t="str">
        <f t="shared" si="538"/>
        <v>nm</v>
      </c>
      <c r="BJ203" s="1106">
        <f t="shared" si="538"/>
        <v>-8.3333333333333332E-3</v>
      </c>
      <c r="BK203" s="1105">
        <f t="shared" si="538"/>
        <v>-97.25</v>
      </c>
      <c r="BL203" s="1105">
        <f t="shared" si="538"/>
        <v>-1.606060606060606</v>
      </c>
      <c r="BM203" s="1105" t="str">
        <f t="shared" si="538"/>
        <v>nm</v>
      </c>
      <c r="BN203" s="1105" t="str">
        <f t="shared" si="538"/>
        <v>nm</v>
      </c>
      <c r="BO203" s="1106">
        <f t="shared" si="538"/>
        <v>-0.33425414364640882</v>
      </c>
      <c r="BP203" s="1105" t="str">
        <f t="shared" si="538"/>
        <v>nm</v>
      </c>
      <c r="BQ203" s="1105">
        <f t="shared" si="538"/>
        <v>-0.28391959798994976</v>
      </c>
      <c r="BR203" s="1105">
        <f t="shared" si="538"/>
        <v>-0.7303370786516854</v>
      </c>
      <c r="BS203" s="1105" t="str">
        <f t="shared" si="538"/>
        <v>nm</v>
      </c>
      <c r="BT203" s="1106" t="str">
        <f t="shared" si="538"/>
        <v>nm</v>
      </c>
      <c r="BU203" s="1105" t="str">
        <f t="shared" si="538"/>
        <v>nm</v>
      </c>
      <c r="BV203" s="1105">
        <f t="shared" si="538"/>
        <v>-5.5333333333333332</v>
      </c>
      <c r="BW203" s="1105" t="str">
        <f t="shared" si="538"/>
        <v>nm</v>
      </c>
      <c r="BX203" s="1105" t="str">
        <f t="shared" si="538"/>
        <v>nm</v>
      </c>
      <c r="BY203" s="1106" t="str">
        <f t="shared" si="538"/>
        <v>nm</v>
      </c>
      <c r="BZ203" s="1105" t="str">
        <f t="shared" si="538"/>
        <v>nm</v>
      </c>
      <c r="CA203" s="1105">
        <f t="shared" si="538"/>
        <v>-3.5333333333333332</v>
      </c>
      <c r="CB203" s="1105">
        <f t="shared" si="538"/>
        <v>0.30769230769230771</v>
      </c>
      <c r="CC203" s="1105" t="str">
        <f t="shared" si="538"/>
        <v>nm</v>
      </c>
      <c r="CD203" s="1106" t="str">
        <f t="shared" si="538"/>
        <v>nm</v>
      </c>
      <c r="CE203" s="1105" t="str">
        <f t="shared" si="538"/>
        <v>nm</v>
      </c>
      <c r="CF203" s="1105">
        <f t="shared" ref="CF203:DK203" si="539">+IF(CF202&lt;0, "nm", CF202/CF136)</f>
        <v>-9.5</v>
      </c>
      <c r="CG203" s="1105">
        <f t="shared" si="539"/>
        <v>-142</v>
      </c>
      <c r="CH203" s="1105">
        <f t="shared" si="539"/>
        <v>0.86206896551724133</v>
      </c>
      <c r="CI203" s="1106">
        <f t="shared" si="539"/>
        <v>0.8375634517766497</v>
      </c>
      <c r="CJ203" s="1105" t="str">
        <f t="shared" si="539"/>
        <v>nm</v>
      </c>
      <c r="CK203" s="1105">
        <f t="shared" si="539"/>
        <v>3.4571428571428573</v>
      </c>
      <c r="CL203" s="1105">
        <f t="shared" si="539"/>
        <v>5.6382978723404253E-2</v>
      </c>
      <c r="CM203" s="1105" t="str">
        <f t="shared" si="539"/>
        <v>nm</v>
      </c>
      <c r="CN203" s="1106">
        <f t="shared" si="539"/>
        <v>5.0347222222222224E-2</v>
      </c>
      <c r="CO203" s="1105" t="str">
        <f t="shared" si="539"/>
        <v>nm</v>
      </c>
      <c r="CP203" s="1105">
        <f t="shared" si="539"/>
        <v>1.7777777777777777</v>
      </c>
      <c r="CQ203" s="1105">
        <f t="shared" si="539"/>
        <v>4.333333333333333</v>
      </c>
      <c r="CR203" s="1105">
        <f t="shared" si="539"/>
        <v>-0.2878787878787879</v>
      </c>
      <c r="CS203" s="1106">
        <f t="shared" si="539"/>
        <v>1.2978723404255319</v>
      </c>
      <c r="CT203" s="1105" t="str">
        <f t="shared" si="539"/>
        <v>nm</v>
      </c>
      <c r="CU203" s="1105">
        <f t="shared" si="539"/>
        <v>-8.5</v>
      </c>
      <c r="CV203" s="1105">
        <f t="shared" si="539"/>
        <v>1</v>
      </c>
      <c r="CW203" s="1105">
        <f t="shared" si="539"/>
        <v>2.425925925925926</v>
      </c>
      <c r="CX203" s="1106">
        <f t="shared" si="539"/>
        <v>1.3909774436090225</v>
      </c>
      <c r="CY203" s="1105" t="str">
        <f t="shared" si="539"/>
        <v>nm</v>
      </c>
      <c r="CZ203" s="1105">
        <f t="shared" si="539"/>
        <v>-1.2848837209302326</v>
      </c>
      <c r="DA203" s="1105">
        <f t="shared" si="539"/>
        <v>2.4236111111111112</v>
      </c>
      <c r="DB203" s="1105">
        <f t="shared" si="539"/>
        <v>-3.3035714285714284</v>
      </c>
      <c r="DC203" s="1106">
        <f t="shared" si="539"/>
        <v>-0.35576923076923078</v>
      </c>
      <c r="DD203" s="1105" t="str">
        <f t="shared" si="539"/>
        <v>nm</v>
      </c>
      <c r="DE203" s="1105">
        <f t="shared" si="539"/>
        <v>-10.857142857142858</v>
      </c>
      <c r="DF203" s="1105">
        <f t="shared" si="539"/>
        <v>2.5</v>
      </c>
      <c r="DG203" s="1105">
        <f t="shared" si="539"/>
        <v>0.98765432098765427</v>
      </c>
      <c r="DH203" s="1106" t="str">
        <f t="shared" si="539"/>
        <v>nm</v>
      </c>
      <c r="DI203" s="1105" t="str">
        <f t="shared" si="539"/>
        <v>nm</v>
      </c>
      <c r="DJ203" s="1105">
        <f t="shared" si="539"/>
        <v>-10.821428571428571</v>
      </c>
      <c r="DK203" s="1105">
        <f t="shared" si="539"/>
        <v>12.714285714285714</v>
      </c>
      <c r="DL203" s="1105" t="str">
        <f t="shared" ref="DL203:EG203" si="540">+IF(DL202&lt;0, "nm", DL202/DL136)</f>
        <v>nm</v>
      </c>
      <c r="DM203" s="1106">
        <f t="shared" si="540"/>
        <v>5.1923076923076925</v>
      </c>
      <c r="DN203" s="1105">
        <f t="shared" si="540"/>
        <v>0.3235294117647059</v>
      </c>
      <c r="DO203" s="1105">
        <f t="shared" si="540"/>
        <v>6.5897435897435894</v>
      </c>
      <c r="DP203" s="1105">
        <f t="shared" si="540"/>
        <v>1.25</v>
      </c>
      <c r="DQ203" s="1105">
        <f t="shared" si="540"/>
        <v>0.52173913043478259</v>
      </c>
      <c r="DR203" s="1106">
        <f t="shared" si="540"/>
        <v>2.1590909090909092</v>
      </c>
      <c r="DS203" s="1105">
        <f t="shared" si="540"/>
        <v>0.27777777777777779</v>
      </c>
      <c r="DT203" s="1105">
        <f t="shared" si="540"/>
        <v>3.34375</v>
      </c>
      <c r="DU203" s="1105">
        <f>+IF(DU202&lt;0, "nm", DU202/DU136)</f>
        <v>-0.66089965397923878</v>
      </c>
      <c r="DV203" s="1105">
        <f t="shared" si="540"/>
        <v>-3.1818181818181817</v>
      </c>
      <c r="DW203" s="1106">
        <f t="shared" si="540"/>
        <v>-1.9468749999999999</v>
      </c>
      <c r="DX203" s="1105">
        <f t="shared" si="540"/>
        <v>2.2056488915808856</v>
      </c>
      <c r="DY203" s="1105">
        <f t="shared" si="540"/>
        <v>1.3576346725987474</v>
      </c>
      <c r="DZ203" s="1105">
        <f t="shared" si="540"/>
        <v>1.1548866753989042</v>
      </c>
      <c r="EA203" s="1105">
        <f t="shared" si="540"/>
        <v>1.033803365410896</v>
      </c>
      <c r="EB203" s="1106">
        <f t="shared" si="540"/>
        <v>1.3860848100765666</v>
      </c>
      <c r="EC203" s="1105" t="str">
        <f t="shared" si="540"/>
        <v>nm</v>
      </c>
      <c r="ED203" s="1105">
        <f t="shared" si="540"/>
        <v>1.3651550856229264</v>
      </c>
      <c r="EE203" s="1105">
        <f t="shared" si="540"/>
        <v>1.478550969272783</v>
      </c>
      <c r="EF203" s="1105">
        <f t="shared" si="540"/>
        <v>0.52932019062662972</v>
      </c>
      <c r="EG203" s="1106">
        <f t="shared" si="540"/>
        <v>0.65268797425346659</v>
      </c>
      <c r="EH203" s="1105">
        <f t="shared" ref="EH203:EL203" si="541">+IF(EH202&lt;0, "nm", EH202/EH136)</f>
        <v>1.2129688568246801</v>
      </c>
      <c r="EI203" s="1105">
        <f t="shared" si="541"/>
        <v>1.1913286948127757</v>
      </c>
      <c r="EJ203" s="1105">
        <f t="shared" si="541"/>
        <v>1.7797277547983286</v>
      </c>
      <c r="EK203" s="1105">
        <f t="shared" si="541"/>
        <v>0.52078701880193001</v>
      </c>
      <c r="EL203" s="1106">
        <f t="shared" si="541"/>
        <v>1.1811623155531581</v>
      </c>
      <c r="EM203" s="1109"/>
      <c r="EN203"/>
      <c r="EO203"/>
      <c r="EP203"/>
      <c r="EQ203"/>
      <c r="ER203"/>
      <c r="ES203"/>
      <c r="ET203" s="135"/>
      <c r="EU203" s="135"/>
      <c r="EV203" s="135"/>
      <c r="EW203" s="135"/>
      <c r="EX203" s="135"/>
      <c r="EY203" s="135"/>
      <c r="EZ203" s="135"/>
      <c r="FA203" s="135"/>
      <c r="FB203" s="135"/>
      <c r="FC203" s="135"/>
      <c r="FD203" s="135"/>
      <c r="FE203" s="135"/>
      <c r="FF203" s="135"/>
      <c r="FG203" s="135"/>
      <c r="FH203" s="135"/>
      <c r="FI203" s="135"/>
      <c r="FJ203" s="135"/>
      <c r="FK203" s="135"/>
      <c r="FL203" s="135"/>
      <c r="FM203" s="135"/>
      <c r="FN203" s="135"/>
      <c r="FO203" s="135"/>
      <c r="FP203" s="135"/>
      <c r="FQ203" s="135"/>
      <c r="FR203" s="135"/>
      <c r="FS203" s="135"/>
      <c r="FT203" s="135"/>
      <c r="FU203" s="135"/>
      <c r="FV203" s="135"/>
      <c r="FW203" s="135"/>
      <c r="FX203" s="135"/>
      <c r="FY203" s="135"/>
      <c r="FZ203" s="135"/>
      <c r="GA203" s="135"/>
      <c r="GB203" s="135"/>
      <c r="GC203" s="135"/>
      <c r="GD203" s="135"/>
      <c r="GE203" s="135"/>
      <c r="GF203" s="135"/>
      <c r="GG203" s="135"/>
      <c r="GH203" s="135"/>
      <c r="GI203" s="135"/>
      <c r="GJ203" s="135"/>
      <c r="GK203" s="135"/>
      <c r="GL203" s="135"/>
      <c r="GM203" s="135"/>
      <c r="GN203" s="135"/>
      <c r="GO203" s="135"/>
      <c r="GP203" s="135"/>
      <c r="GQ203" s="135"/>
      <c r="GR203" s="135"/>
      <c r="GS203" s="135"/>
      <c r="GT203" s="135"/>
      <c r="GU203" s="135"/>
      <c r="GV203" s="135"/>
      <c r="GW203" s="135"/>
      <c r="GX203" s="135"/>
      <c r="GY203" s="135"/>
      <c r="GZ203" s="135"/>
      <c r="HA203" s="135"/>
      <c r="HB203" s="135"/>
      <c r="HC203" s="135"/>
      <c r="HD203" s="135"/>
      <c r="HE203" s="135"/>
      <c r="HF203" s="135"/>
      <c r="HG203" s="135"/>
      <c r="HH203" s="135"/>
      <c r="HI203" s="135"/>
      <c r="HJ203" s="135"/>
      <c r="HK203" s="135"/>
      <c r="HL203" s="135"/>
      <c r="HM203" s="135"/>
      <c r="HN203" s="135"/>
      <c r="HO203" s="135"/>
      <c r="HP203" s="135"/>
      <c r="HQ203" s="135"/>
      <c r="HR203" s="135"/>
      <c r="HS203" s="135"/>
      <c r="HT203" s="135"/>
      <c r="HU203" s="135"/>
      <c r="HV203" s="135"/>
      <c r="HW203" s="135"/>
      <c r="HX203" s="135"/>
      <c r="HY203" s="135"/>
      <c r="HZ203" s="135"/>
      <c r="IA203" s="135"/>
      <c r="IB203" s="135"/>
      <c r="IC203" s="135"/>
      <c r="ID203" s="135"/>
      <c r="IE203" s="135"/>
      <c r="IF203" s="135"/>
      <c r="IG203" s="135"/>
      <c r="IH203" s="135"/>
      <c r="II203" s="135"/>
      <c r="IJ203" s="135"/>
      <c r="IK203" s="135"/>
      <c r="IL203" s="135"/>
      <c r="IM203" s="135"/>
      <c r="IN203" s="135"/>
      <c r="IO203" s="135"/>
      <c r="IP203" s="135"/>
      <c r="IQ203" s="135"/>
      <c r="IR203" s="135"/>
      <c r="IS203" s="135"/>
      <c r="IT203" s="135"/>
      <c r="IU203" s="135"/>
      <c r="IV203" s="135"/>
      <c r="IW203" s="135"/>
      <c r="IX203" s="135"/>
      <c r="IY203" s="135"/>
      <c r="IZ203" s="135"/>
      <c r="JA203" s="135"/>
      <c r="JB203" s="135"/>
      <c r="JC203" s="135"/>
      <c r="JD203" s="135"/>
      <c r="JE203" s="135"/>
      <c r="JF203" s="135"/>
      <c r="JG203" s="135"/>
      <c r="JH203" s="135"/>
    </row>
    <row r="204" spans="1:268" s="4" customFormat="1">
      <c r="A204" s="801"/>
      <c r="B204" s="557"/>
      <c r="C204" s="555"/>
      <c r="D204" s="555"/>
      <c r="E204" s="555"/>
      <c r="F204" s="555"/>
      <c r="G204" s="555"/>
      <c r="H204" s="802"/>
      <c r="I204" s="555"/>
      <c r="J204" s="555"/>
      <c r="K204" s="555"/>
      <c r="L204" s="555"/>
      <c r="M204" s="802"/>
      <c r="N204" s="555"/>
      <c r="O204" s="555"/>
      <c r="P204" s="555"/>
      <c r="Q204" s="555"/>
      <c r="R204" s="802"/>
      <c r="S204" s="555"/>
      <c r="T204" s="555"/>
      <c r="U204" s="555"/>
      <c r="V204" s="555"/>
      <c r="W204" s="802"/>
      <c r="X204" s="555"/>
      <c r="Y204" s="555"/>
      <c r="Z204" s="555"/>
      <c r="AA204" s="555"/>
      <c r="AB204" s="802"/>
      <c r="AC204" s="555"/>
      <c r="AD204" s="555"/>
      <c r="AE204" s="555"/>
      <c r="AF204" s="555"/>
      <c r="AG204" s="802"/>
      <c r="AH204" s="555"/>
      <c r="AI204" s="555"/>
      <c r="AJ204" s="555"/>
      <c r="AK204" s="555"/>
      <c r="AL204" s="802"/>
      <c r="AM204" s="555"/>
      <c r="AN204" s="555"/>
      <c r="AO204" s="555"/>
      <c r="AP204" s="555"/>
      <c r="AQ204" s="802"/>
      <c r="AR204" s="555"/>
      <c r="AS204" s="555"/>
      <c r="AT204" s="555"/>
      <c r="AU204" s="802"/>
      <c r="AV204" s="555"/>
      <c r="AW204" s="555"/>
      <c r="AX204" s="555"/>
      <c r="AY204" s="555"/>
      <c r="AZ204" s="802"/>
      <c r="BA204" s="555"/>
      <c r="BB204" s="555"/>
      <c r="BC204" s="555"/>
      <c r="BD204" s="555"/>
      <c r="BE204" s="802"/>
      <c r="BF204" s="555"/>
      <c r="BG204" s="555"/>
      <c r="BH204" s="555"/>
      <c r="BI204" s="555"/>
      <c r="BJ204" s="802"/>
      <c r="BK204" s="555"/>
      <c r="BL204" s="555"/>
      <c r="BM204" s="555"/>
      <c r="BN204" s="555"/>
      <c r="BO204" s="802"/>
      <c r="BP204" s="555"/>
      <c r="BQ204" s="555"/>
      <c r="BR204" s="555"/>
      <c r="BS204" s="555"/>
      <c r="BT204" s="802"/>
      <c r="BU204" s="555"/>
      <c r="BV204" s="555"/>
      <c r="BW204" s="555"/>
      <c r="BX204" s="555"/>
      <c r="BY204" s="802"/>
      <c r="BZ204" s="557"/>
      <c r="CA204" s="555"/>
      <c r="CB204" s="555"/>
      <c r="CC204" s="555"/>
      <c r="CD204" s="802"/>
      <c r="CE204" s="555"/>
      <c r="CF204" s="555"/>
      <c r="CG204" s="555"/>
      <c r="CH204" s="555"/>
      <c r="CI204" s="844"/>
      <c r="CJ204" s="555"/>
      <c r="CK204" s="555"/>
      <c r="CL204" s="555"/>
      <c r="CM204" s="555"/>
      <c r="CN204" s="802"/>
      <c r="CO204" s="555"/>
      <c r="CP204" s="555"/>
      <c r="CQ204" s="555"/>
      <c r="CR204" s="555"/>
      <c r="CS204" s="802"/>
      <c r="CT204" s="555"/>
      <c r="CU204" s="555"/>
      <c r="CV204" s="555"/>
      <c r="CW204" s="555"/>
      <c r="CX204" s="802"/>
      <c r="CY204" s="555"/>
      <c r="CZ204" s="555"/>
      <c r="DA204" s="555"/>
      <c r="DB204" s="555"/>
      <c r="DC204" s="802"/>
      <c r="DD204" s="555"/>
      <c r="DE204" s="555"/>
      <c r="DF204" s="555"/>
      <c r="DG204" s="555"/>
      <c r="DH204" s="802"/>
      <c r="DI204" s="555"/>
      <c r="DJ204" s="555"/>
      <c r="DK204" s="555"/>
      <c r="DL204" s="555"/>
      <c r="DM204" s="802"/>
      <c r="DN204" s="555"/>
      <c r="DO204" s="555"/>
      <c r="DP204" s="555"/>
      <c r="DQ204" s="555"/>
      <c r="DR204" s="802"/>
      <c r="DS204" s="555"/>
      <c r="DT204" s="555"/>
      <c r="DU204" s="555"/>
      <c r="DV204" s="555"/>
      <c r="DW204" s="802"/>
      <c r="DX204" s="555"/>
      <c r="DY204" s="555"/>
      <c r="DZ204" s="555"/>
      <c r="EA204" s="555"/>
      <c r="EB204" s="802"/>
      <c r="EC204" s="555"/>
      <c r="ED204" s="555"/>
      <c r="EE204" s="555"/>
      <c r="EF204" s="555"/>
      <c r="EG204" s="802"/>
      <c r="EH204" s="555"/>
      <c r="EI204" s="555"/>
      <c r="EJ204" s="555"/>
      <c r="EK204" s="555"/>
      <c r="EL204" s="802"/>
      <c r="EM204" s="555"/>
      <c r="EN204"/>
      <c r="EO204"/>
      <c r="EP204"/>
      <c r="EQ204"/>
      <c r="ER204"/>
      <c r="ES204"/>
      <c r="ET204" s="135"/>
      <c r="EU204" s="135"/>
      <c r="EV204" s="135"/>
      <c r="EW204" s="135"/>
      <c r="EX204" s="135"/>
      <c r="EY204" s="135"/>
      <c r="EZ204" s="135"/>
      <c r="FA204" s="135"/>
      <c r="FB204" s="135"/>
      <c r="FC204" s="135"/>
      <c r="FD204" s="135"/>
      <c r="FE204" s="135"/>
      <c r="FF204" s="135"/>
      <c r="FG204" s="135"/>
      <c r="FH204" s="135"/>
      <c r="FI204" s="135"/>
      <c r="FJ204" s="135"/>
      <c r="FK204" s="135"/>
      <c r="FL204" s="135"/>
      <c r="FM204" s="135"/>
      <c r="FN204" s="135"/>
      <c r="FO204" s="135"/>
      <c r="FP204" s="135"/>
      <c r="FQ204" s="135"/>
      <c r="FR204" s="135"/>
      <c r="FS204" s="135"/>
      <c r="FT204" s="135"/>
      <c r="FU204" s="135"/>
      <c r="FV204" s="135"/>
      <c r="FW204" s="135"/>
      <c r="FX204" s="135"/>
      <c r="FY204" s="135"/>
      <c r="FZ204" s="135"/>
      <c r="GA204" s="135"/>
      <c r="GB204" s="135"/>
      <c r="GC204" s="135"/>
      <c r="GD204" s="135"/>
      <c r="GE204" s="135"/>
      <c r="GF204" s="135"/>
      <c r="GG204" s="135"/>
      <c r="GH204" s="135"/>
      <c r="GI204" s="135"/>
      <c r="GJ204" s="135"/>
      <c r="GK204" s="135"/>
      <c r="GL204" s="135"/>
      <c r="GM204" s="135"/>
      <c r="GN204" s="135"/>
      <c r="GO204" s="135"/>
      <c r="GP204" s="135"/>
      <c r="GQ204" s="135"/>
      <c r="GR204" s="135"/>
      <c r="GS204" s="135"/>
      <c r="GT204" s="135"/>
      <c r="GU204" s="135"/>
      <c r="GV204" s="135"/>
      <c r="GW204" s="135"/>
      <c r="GX204" s="135"/>
      <c r="GY204" s="135"/>
      <c r="GZ204" s="135"/>
      <c r="HA204" s="135"/>
      <c r="HB204" s="135"/>
      <c r="HC204" s="135"/>
      <c r="HD204" s="135"/>
      <c r="HE204" s="135"/>
      <c r="HF204" s="135"/>
      <c r="HG204" s="135"/>
      <c r="HH204" s="135"/>
      <c r="HI204" s="135"/>
      <c r="HJ204" s="135"/>
      <c r="HK204" s="135"/>
      <c r="HL204" s="135"/>
      <c r="HM204" s="135"/>
      <c r="HN204" s="135"/>
      <c r="HO204" s="135"/>
      <c r="HP204" s="135"/>
      <c r="HQ204" s="135"/>
      <c r="HR204" s="135"/>
      <c r="HS204" s="135"/>
      <c r="HT204" s="135"/>
      <c r="HU204" s="135"/>
      <c r="HV204" s="135"/>
      <c r="HW204" s="135"/>
      <c r="HX204" s="135"/>
      <c r="HY204" s="135"/>
      <c r="HZ204" s="135"/>
      <c r="IA204" s="135"/>
      <c r="IB204" s="135"/>
      <c r="IC204" s="135"/>
      <c r="ID204" s="135"/>
      <c r="IE204" s="135"/>
      <c r="IF204" s="135"/>
      <c r="IG204" s="135"/>
      <c r="IH204" s="135"/>
      <c r="II204" s="135"/>
      <c r="IJ204" s="135"/>
      <c r="IK204" s="135"/>
      <c r="IL204" s="135"/>
      <c r="IM204" s="135"/>
      <c r="IN204" s="135"/>
      <c r="IO204" s="135"/>
      <c r="IP204" s="135"/>
      <c r="IQ204" s="135"/>
      <c r="IR204" s="135"/>
      <c r="IS204" s="135"/>
      <c r="IT204" s="135"/>
      <c r="IU204" s="135"/>
      <c r="IV204" s="135"/>
      <c r="IW204" s="135"/>
      <c r="IX204" s="135"/>
      <c r="IY204" s="135"/>
      <c r="IZ204" s="135"/>
      <c r="JA204" s="135"/>
      <c r="JB204" s="135"/>
      <c r="JC204" s="135"/>
      <c r="JD204" s="135"/>
      <c r="JE204" s="135"/>
      <c r="JF204" s="135"/>
      <c r="JG204" s="135"/>
      <c r="JH204" s="135"/>
    </row>
    <row r="205" spans="1:268" s="4" customFormat="1">
      <c r="A205" s="801"/>
      <c r="B205" s="557" t="s">
        <v>99</v>
      </c>
      <c r="C205" s="1022"/>
      <c r="D205" s="1022">
        <f>D202/IS!D69</f>
        <v>-6.506573116554633</v>
      </c>
      <c r="E205" s="1022">
        <f>E202/IS!E69</f>
        <v>0.3010684218134444</v>
      </c>
      <c r="F205" s="1022">
        <f>F202/IS!F69</f>
        <v>0.57120887570714562</v>
      </c>
      <c r="G205" s="1110">
        <f>IF(ISERROR(G202/IS!G69),"nm",G202/IS!G69)</f>
        <v>1.0860606060606059</v>
      </c>
      <c r="H205" s="1111">
        <f>IF(ISERROR(H202/IS!H69),"nm",H202/IS!H69)</f>
        <v>-4.4318454744511468</v>
      </c>
      <c r="I205" s="1022">
        <f>I202/IS!I69</f>
        <v>-0.42377658449045652</v>
      </c>
      <c r="J205" s="1022">
        <f>J202/IS!J69</f>
        <v>-1.6627887792595473</v>
      </c>
      <c r="K205" s="1022">
        <f>K202/IS!K69</f>
        <v>-0.15901921838996116</v>
      </c>
      <c r="L205" s="1110">
        <f>IF(ISERROR(L202/IS!L69),"nm",L202/IS!L69)</f>
        <v>-0.270704761904762</v>
      </c>
      <c r="M205" s="1047">
        <f>M202/IS!M69</f>
        <v>-2.4983539170620341</v>
      </c>
      <c r="N205" s="1022">
        <f>N202/IS!N69</f>
        <v>-0.29866970056805431</v>
      </c>
      <c r="O205" s="1022">
        <f>O202/IS!O69</f>
        <v>-2.2042062999333845</v>
      </c>
      <c r="P205" s="1022">
        <f>P202/IS!P69</f>
        <v>0.73553097234006093</v>
      </c>
      <c r="Q205" s="1110">
        <f>IF(ISERROR(Q202/IS!Q69),"nm",Q202/IS!Q69)</f>
        <v>-0.22723624595469272</v>
      </c>
      <c r="R205" s="1047">
        <f>R202/IS!R69</f>
        <v>-1.3063600665892932</v>
      </c>
      <c r="S205" s="1022">
        <f>S202/IS!S69</f>
        <v>-0.93763440860215053</v>
      </c>
      <c r="T205" s="1022">
        <f>T202/IS!T69</f>
        <v>-0.90788889067326162</v>
      </c>
      <c r="U205" s="1022">
        <f>U202/IS!U69</f>
        <v>-0.25574139430208176</v>
      </c>
      <c r="V205" s="1110">
        <f>IF(ISERROR(V202/IS!V69),"nm",V202/IS!V69)</f>
        <v>0.91555555555555557</v>
      </c>
      <c r="W205" s="1047">
        <f>W202/IS!W69</f>
        <v>-1.2132358045536926</v>
      </c>
      <c r="X205" s="1022">
        <f>X202/IS!X69</f>
        <v>-8.5016392223125514E-2</v>
      </c>
      <c r="Y205" s="1022">
        <f>Y202/IS!Y69</f>
        <v>0.98534197631144449</v>
      </c>
      <c r="Z205" s="1022">
        <f>Z202/IS!Z69</f>
        <v>-1.0651498932187231</v>
      </c>
      <c r="AA205" s="1112">
        <f>IF(ISERROR(AA202/IS!AA69),"nm",AA202/IS!AA69)</f>
        <v>0.1370316301703163</v>
      </c>
      <c r="AB205" s="1047">
        <f>AB202/IS!AB69</f>
        <v>-2.5527624080207791E-2</v>
      </c>
      <c r="AC205" s="1022">
        <f>AC202/IS!AC69</f>
        <v>-1.1067691705190748</v>
      </c>
      <c r="AD205" s="1022">
        <f>AD202/IS!AD69</f>
        <v>1.2749207158679818</v>
      </c>
      <c r="AE205" s="1022">
        <f>AE202/IS!AE69</f>
        <v>-2.2794259645612578</v>
      </c>
      <c r="AF205" s="1110">
        <f>IF(ISERROR(AF202/IS!AF69),"nm",AF202/IS!AF69)</f>
        <v>2.2482051282051283</v>
      </c>
      <c r="AG205" s="1047">
        <f>AG202/IS!AG69</f>
        <v>0.20322750684305121</v>
      </c>
      <c r="AH205" s="1022">
        <f>AH202/IS!AH69</f>
        <v>1.2635147602918593</v>
      </c>
      <c r="AI205" s="1022">
        <f>AI202/IS!AI69</f>
        <v>1.8297587542904159</v>
      </c>
      <c r="AJ205" s="1022">
        <f>AJ202/IS!AJ69</f>
        <v>-0.18579102548568197</v>
      </c>
      <c r="AK205" s="1110">
        <f>IF(ISERROR(AK202/IS!AK69),"nm",AK202/IS!AK69)</f>
        <v>4.9391611479028699</v>
      </c>
      <c r="AL205" s="1047">
        <f>AL202/IS!AL69</f>
        <v>7.8251088179195003</v>
      </c>
      <c r="AM205" s="1022">
        <f>AM202/IS!AM69</f>
        <v>2.2248509896117339</v>
      </c>
      <c r="AN205" s="1022">
        <f>AN202/IS!AN69</f>
        <v>1.8377252779708648</v>
      </c>
      <c r="AO205" s="1022">
        <f>AO202/IS!AO69</f>
        <v>1.1617694305439927</v>
      </c>
      <c r="AP205" s="1110">
        <f>IF(ISERROR(AP202/IS!AP69),"nm",AP202/IS!AP69)</f>
        <v>3.9955140186915887</v>
      </c>
      <c r="AQ205" s="1047">
        <f>AQ202/IS!AQ69</f>
        <v>9.2105969588326886</v>
      </c>
      <c r="AR205" s="1022">
        <f>AR202/IS!AR69</f>
        <v>3.8233959034472553</v>
      </c>
      <c r="AS205" s="1022">
        <f>AS202/IS!AS69</f>
        <v>2.8964870966367888</v>
      </c>
      <c r="AT205" s="1022">
        <f>AT202/IS!AT69</f>
        <v>2.6509192464783218</v>
      </c>
      <c r="AU205" s="802"/>
      <c r="AV205" s="555"/>
      <c r="AW205" s="555"/>
      <c r="AX205" s="555"/>
      <c r="AY205" s="555"/>
      <c r="AZ205" s="1113">
        <f>IF(ISERROR(AZ202/IS!AA68),"nm",AZ202/IS!AA68)</f>
        <v>3.3058880778588806</v>
      </c>
      <c r="BA205" s="1022">
        <f>BA202/IS!BA69</f>
        <v>-1.7869052029852326</v>
      </c>
      <c r="BB205" s="1022">
        <f>BB202/IS!BB69</f>
        <v>0.533207198297177</v>
      </c>
      <c r="BC205" s="1022">
        <f>BC202/IS!BC69</f>
        <v>-0.24157246419011752</v>
      </c>
      <c r="BD205" s="1022">
        <f>BD202/IS!BD69</f>
        <v>-0.18082053776888984</v>
      </c>
      <c r="BE205" s="1047">
        <f>BE202/IS!BE69</f>
        <v>-1.6998370989446845</v>
      </c>
      <c r="BF205" s="1022">
        <f>BF202/IS!BF69</f>
        <v>-0.44702726866338849</v>
      </c>
      <c r="BG205" s="1022">
        <f>BG202/IS!BG69</f>
        <v>0.12877691974193103</v>
      </c>
      <c r="BH205" s="1022">
        <f>BH202/IS!BH69</f>
        <v>0.51430849080459273</v>
      </c>
      <c r="BI205" s="1022">
        <f>BI202/IS!BI69</f>
        <v>-8.5645769099006504E-3</v>
      </c>
      <c r="BJ205" s="1047">
        <f>BJ202/IS!BJ69</f>
        <v>0.18874966218100234</v>
      </c>
      <c r="BK205" s="1022">
        <f>BK202/IS!BK69</f>
        <v>3.3180721915269742</v>
      </c>
      <c r="BL205" s="1022">
        <f>BL202/IS!BL69</f>
        <v>0.45225894811395223</v>
      </c>
      <c r="BM205" s="1022">
        <f>BM202/IS!BM69</f>
        <v>-0.80992542291961067</v>
      </c>
      <c r="BN205" s="1022">
        <f>BN202/IS!BN69</f>
        <v>-0.89436486253399117</v>
      </c>
      <c r="BO205" s="1114">
        <f>BO202/IS!BO69</f>
        <v>2.0644148620808789</v>
      </c>
      <c r="BP205" s="1115">
        <f>BP202/IS!BP69</f>
        <v>-2.158281022634335</v>
      </c>
      <c r="BQ205" s="1115">
        <f>BQ202/IS!BQ69</f>
        <v>0.96045966069425082</v>
      </c>
      <c r="BR205" s="1115">
        <f>BR202/IS!BR69</f>
        <v>0.55175106689557263</v>
      </c>
      <c r="BS205" s="1115">
        <f>BS202/IS!BS69</f>
        <v>-2.6130261048094954</v>
      </c>
      <c r="BT205" s="1114">
        <f>BT202/IS!BT69</f>
        <v>-3.2622061943688716</v>
      </c>
      <c r="BU205" s="1115">
        <f>BU202/IS!BU69</f>
        <v>-2.3106471076854316</v>
      </c>
      <c r="BV205" s="1115">
        <f>BV202/IS!BV69</f>
        <v>1.4031765889284296</v>
      </c>
      <c r="BW205" s="1115">
        <f>BW202/IS!BW69</f>
        <v>-0.59917634350526605</v>
      </c>
      <c r="BX205" s="1115">
        <f>BX202/IS!BX69</f>
        <v>-1.5096376447965996</v>
      </c>
      <c r="BY205" s="1114">
        <f>BY202/IS!BY69</f>
        <v>-4.4528469281059557</v>
      </c>
      <c r="BZ205" s="1115">
        <f>BZ202/IS!BZ69</f>
        <v>-2.2228490357129327</v>
      </c>
      <c r="CA205" s="1115">
        <f>CA202/IS!CA69</f>
        <v>0.44509015175054795</v>
      </c>
      <c r="CB205" s="1115">
        <f>CB202/IS!CB69</f>
        <v>0.26622905266135455</v>
      </c>
      <c r="CC205" s="1115">
        <f>CC202/IS!CC69</f>
        <v>-0.24312236180799204</v>
      </c>
      <c r="CD205" s="1114">
        <f>CD202/IS!CD69</f>
        <v>-1.738381884054943</v>
      </c>
      <c r="CE205" s="1115">
        <f>CE202/IS!CE69</f>
        <v>-1.1261449139958959</v>
      </c>
      <c r="CF205" s="1115">
        <f>CF202/IS!CF69</f>
        <v>1.0896191248637976</v>
      </c>
      <c r="CG205" s="1115">
        <f>CG202/IS!CG69</f>
        <v>1.1403698974470169</v>
      </c>
      <c r="CH205" s="1115">
        <f>CH202/IS!CH69</f>
        <v>0.19976946603619422</v>
      </c>
      <c r="CI205" s="1114">
        <f>CI202/IS!CI69</f>
        <v>1.3010643100317973</v>
      </c>
      <c r="CJ205" s="1115">
        <f>CJ202/IS!CJ69</f>
        <v>-0.71527176750806476</v>
      </c>
      <c r="CK205" s="1115">
        <f>CK202/IS!CK69</f>
        <v>0.96309016633203925</v>
      </c>
      <c r="CL205" s="1115">
        <f>CL202/IS!CL69</f>
        <v>0.37867285880146467</v>
      </c>
      <c r="CM205" s="1115">
        <f>CM202/IS!CM69</f>
        <v>-0.11389501371189188</v>
      </c>
      <c r="CN205" s="1114">
        <f>CN202/IS!CN69</f>
        <v>0.41381942846542558</v>
      </c>
      <c r="CO205" s="1115">
        <f>CO202/IS!CO69</f>
        <v>-0.52372602759116105</v>
      </c>
      <c r="CP205" s="1115">
        <f>CP202/IS!CP69</f>
        <v>0.88933355566672223</v>
      </c>
      <c r="CQ205" s="1115">
        <f>CQ202/IS!CQ69</f>
        <v>0.53759883547821485</v>
      </c>
      <c r="CR205" s="1115">
        <f>CR202/IS!CR69</f>
        <v>0.17574123490590907</v>
      </c>
      <c r="CS205" s="1114">
        <f>CS202/IS!CS69</f>
        <v>1.0058102027902989</v>
      </c>
      <c r="CT205" s="1115">
        <f>CT202/IS!CT69</f>
        <v>-1.2209382663089097</v>
      </c>
      <c r="CU205" s="1115">
        <f>CU202/IS!CU69</f>
        <v>1.5898697242043636</v>
      </c>
      <c r="CV205" s="1115">
        <f>CV202/IS!CV69</f>
        <v>0.29819869351697403</v>
      </c>
      <c r="CW205" s="1115">
        <f>CW202/IS!CW69</f>
        <v>1.2022760646108663</v>
      </c>
      <c r="CX205" s="1114">
        <f>CX202/IS!CX69</f>
        <v>1.6984007491324384</v>
      </c>
      <c r="CY205" s="1115">
        <f>CY202/IS!CY69</f>
        <v>-1.4576909407029577</v>
      </c>
      <c r="CZ205" s="1115">
        <f>CZ202/IS!CZ69</f>
        <v>0.53635569362197844</v>
      </c>
      <c r="DA205" s="1115">
        <f>DA202/IS!DA69</f>
        <v>0.84628217812178708</v>
      </c>
      <c r="DB205" s="1115">
        <f>DB202/IS!DB69</f>
        <v>0.4691335483740085</v>
      </c>
      <c r="DC205" s="1114">
        <f>DC202/IS!DC69</f>
        <v>0.36400125924759957</v>
      </c>
      <c r="DD205" s="1115">
        <f>DD202/IS!DD69</f>
        <v>-2.5820767562660749</v>
      </c>
      <c r="DE205" s="1115">
        <f>DE202/IS!DE69</f>
        <v>0.76152304609218424</v>
      </c>
      <c r="DF205" s="1115">
        <f>DF202/IS!DF69</f>
        <v>0.44587123238808629</v>
      </c>
      <c r="DG205" s="1115">
        <f>DG202/IS!DG69</f>
        <v>0.789897214624947</v>
      </c>
      <c r="DH205" s="1114">
        <f>DH202/IS!DH69</f>
        <v>-0.54842328306119903</v>
      </c>
      <c r="DI205" s="1115">
        <f>DI202/IS!DI69</f>
        <v>-2.1314140693155683</v>
      </c>
      <c r="DJ205" s="1115">
        <f>DJ202/IS!DJ69</f>
        <v>3.0530812945870784</v>
      </c>
      <c r="DK205" s="1115">
        <f>DK202/IS!DK69</f>
        <v>3.5765594703477097</v>
      </c>
      <c r="DL205" s="1115">
        <f>DL202/IS!DL69</f>
        <v>-0.39319272492640239</v>
      </c>
      <c r="DM205" s="1114">
        <f>DM202/IS!DM69</f>
        <v>4.084019885647443</v>
      </c>
      <c r="DN205" s="1115">
        <f>DN202/IS!DN69</f>
        <v>0.11137210432528755</v>
      </c>
      <c r="DO205" s="1115">
        <f>DO202/IS!DO69</f>
        <v>2.5870486506075037</v>
      </c>
      <c r="DP205" s="1115">
        <f>DP202/IS!DP69</f>
        <v>1.0047928619515087</v>
      </c>
      <c r="DQ205" s="1115">
        <f>DQ202/IS!DQ69</f>
        <v>0.12042026673089082</v>
      </c>
      <c r="DR205" s="1114">
        <f>DR202/IS!DR69</f>
        <v>3.8259783932904421</v>
      </c>
      <c r="DS205" s="1115">
        <f>DS202/IS!DS69</f>
        <v>0.1</v>
      </c>
      <c r="DT205" s="1115">
        <f>DT202/IS!DT69</f>
        <v>1.063491432433507</v>
      </c>
      <c r="DU205" s="1115">
        <f>DU202/IS!DU69</f>
        <v>1.8946157203507519</v>
      </c>
      <c r="DV205" s="1115">
        <f>DV202/IS!DV69</f>
        <v>3.0926924096492003</v>
      </c>
      <c r="DW205" s="1114">
        <f>DW202/IS!DW69</f>
        <v>6.1793754664907743</v>
      </c>
      <c r="DX205" s="1115">
        <f>DX202/IS!DX69</f>
        <v>2.4896946485387974</v>
      </c>
      <c r="DY205" s="1115">
        <f>DY202/IS!DY69</f>
        <v>2.07747954707372</v>
      </c>
      <c r="DZ205" s="1115">
        <f>DZ202/IS!DZ69</f>
        <v>1.8034350637529009</v>
      </c>
      <c r="EA205" s="1115">
        <f>EA202/IS!EA69</f>
        <v>1.5275788452869796</v>
      </c>
      <c r="EB205" s="1114">
        <f>EB202/IS!EB69</f>
        <v>7.8981881046523972</v>
      </c>
      <c r="EC205" s="1115">
        <f>EC202/IS!EC69</f>
        <v>-1.1709874907879634</v>
      </c>
      <c r="ED205" s="1115">
        <f>ED202/IS!ED69</f>
        <v>2.1399399251068267</v>
      </c>
      <c r="EE205" s="1115">
        <f>EE202/IS!EE69</f>
        <v>2.3960603857546032</v>
      </c>
      <c r="EF205" s="1115">
        <f>EF202/IS!EF69</f>
        <v>0.96213422316273767</v>
      </c>
      <c r="EG205" s="1114">
        <f>EG202/IS!EG69</f>
        <v>4.3271470432362049</v>
      </c>
      <c r="EH205" s="1115">
        <f>EH202/IS!EH69</f>
        <v>2.1376003359796254</v>
      </c>
      <c r="EI205" s="1115">
        <f>EI202/IS!EI69</f>
        <v>2.1534431574537356</v>
      </c>
      <c r="EJ205" s="1115">
        <f>EJ202/IS!EJ69</f>
        <v>3.1891781726059221</v>
      </c>
      <c r="EK205" s="1115">
        <f>EK202/IS!EK69</f>
        <v>0.90457139177499024</v>
      </c>
      <c r="EL205" s="1114">
        <f>EL202/IS!EL69</f>
        <v>8.3847930578142709</v>
      </c>
      <c r="EM205" s="1116"/>
      <c r="EN205"/>
      <c r="EO205"/>
      <c r="EP205"/>
      <c r="EQ205"/>
      <c r="ER205"/>
      <c r="ES205"/>
      <c r="ET205" s="135"/>
      <c r="EU205" s="135"/>
      <c r="EV205" s="135"/>
      <c r="EW205" s="135"/>
      <c r="EX205" s="135"/>
      <c r="EY205" s="135"/>
      <c r="EZ205" s="135"/>
      <c r="FA205" s="135"/>
      <c r="FB205" s="135"/>
      <c r="FC205" s="135"/>
      <c r="FD205" s="135"/>
      <c r="FE205" s="135"/>
      <c r="FF205" s="135"/>
      <c r="FG205" s="135"/>
      <c r="FH205" s="135"/>
      <c r="FI205" s="135"/>
      <c r="FJ205" s="135"/>
      <c r="FK205" s="135"/>
      <c r="FL205" s="135"/>
      <c r="FM205" s="135"/>
      <c r="FN205" s="135"/>
      <c r="FO205" s="135"/>
      <c r="FP205" s="135"/>
      <c r="FQ205" s="135"/>
      <c r="FR205" s="135"/>
      <c r="FS205" s="135"/>
      <c r="FT205" s="135"/>
      <c r="FU205" s="135"/>
      <c r="FV205" s="135"/>
      <c r="FW205" s="135"/>
      <c r="FX205" s="135"/>
      <c r="FY205" s="135"/>
      <c r="FZ205" s="135"/>
      <c r="GA205" s="135"/>
      <c r="GB205" s="135"/>
      <c r="GC205" s="135"/>
      <c r="GD205" s="135"/>
      <c r="GE205" s="135"/>
      <c r="GF205" s="135"/>
      <c r="GG205" s="135"/>
      <c r="GH205" s="135"/>
      <c r="GI205" s="135"/>
      <c r="GJ205" s="135"/>
      <c r="GK205" s="135"/>
      <c r="GL205" s="135"/>
      <c r="GM205" s="135"/>
      <c r="GN205" s="135"/>
      <c r="GO205" s="135"/>
      <c r="GP205" s="135"/>
      <c r="GQ205" s="135"/>
      <c r="GR205" s="135"/>
      <c r="GS205" s="135"/>
      <c r="GT205" s="135"/>
      <c r="GU205" s="135"/>
      <c r="GV205" s="135"/>
      <c r="GW205" s="135"/>
      <c r="GX205" s="135"/>
      <c r="GY205" s="135"/>
      <c r="GZ205" s="135"/>
      <c r="HA205" s="135"/>
      <c r="HB205" s="135"/>
      <c r="HC205" s="135"/>
      <c r="HD205" s="135"/>
      <c r="HE205" s="135"/>
      <c r="HF205" s="135"/>
      <c r="HG205" s="135"/>
      <c r="HH205" s="135"/>
      <c r="HI205" s="135"/>
      <c r="HJ205" s="135"/>
      <c r="HK205" s="135"/>
      <c r="HL205" s="135"/>
      <c r="HM205" s="135"/>
      <c r="HN205" s="135"/>
      <c r="HO205" s="135"/>
      <c r="HP205" s="135"/>
      <c r="HQ205" s="135"/>
      <c r="HR205" s="135"/>
      <c r="HS205" s="135"/>
      <c r="HT205" s="135"/>
      <c r="HU205" s="135"/>
      <c r="HV205" s="135"/>
      <c r="HW205" s="135"/>
      <c r="HX205" s="135"/>
      <c r="HY205" s="135"/>
      <c r="HZ205" s="135"/>
      <c r="IA205" s="135"/>
      <c r="IB205" s="135"/>
      <c r="IC205" s="135"/>
      <c r="ID205" s="135"/>
      <c r="IE205" s="135"/>
      <c r="IF205" s="135"/>
      <c r="IG205" s="135"/>
      <c r="IH205" s="135"/>
      <c r="II205" s="135"/>
      <c r="IJ205" s="135"/>
      <c r="IK205" s="135"/>
      <c r="IL205" s="135"/>
      <c r="IM205" s="135"/>
      <c r="IN205" s="135"/>
      <c r="IO205" s="135"/>
      <c r="IP205" s="135"/>
      <c r="IQ205" s="135"/>
      <c r="IR205" s="135"/>
      <c r="IS205" s="135"/>
      <c r="IT205" s="135"/>
      <c r="IU205" s="135"/>
      <c r="IV205" s="135"/>
      <c r="IW205" s="135"/>
      <c r="IX205" s="135"/>
      <c r="IY205" s="135"/>
      <c r="IZ205" s="135"/>
      <c r="JA205" s="135"/>
      <c r="JB205" s="135"/>
      <c r="JC205" s="135"/>
      <c r="JD205" s="135"/>
      <c r="JE205" s="135"/>
      <c r="JF205" s="135"/>
      <c r="JG205" s="135"/>
      <c r="JH205" s="135"/>
    </row>
    <row r="206" spans="1:268" s="4" customFormat="1">
      <c r="A206" s="801"/>
      <c r="B206" s="557"/>
      <c r="C206" s="555"/>
      <c r="D206" s="555"/>
      <c r="E206" s="555"/>
      <c r="F206" s="555"/>
      <c r="G206" s="555"/>
      <c r="H206" s="802"/>
      <c r="I206" s="555"/>
      <c r="J206" s="555"/>
      <c r="K206" s="555"/>
      <c r="L206" s="555"/>
      <c r="M206" s="802"/>
      <c r="N206" s="555"/>
      <c r="O206" s="555"/>
      <c r="P206" s="555"/>
      <c r="Q206" s="555"/>
      <c r="R206" s="802"/>
      <c r="S206" s="555"/>
      <c r="T206" s="555"/>
      <c r="U206" s="555"/>
      <c r="V206" s="555"/>
      <c r="W206" s="802"/>
      <c r="X206" s="555"/>
      <c r="Y206" s="555"/>
      <c r="Z206" s="555"/>
      <c r="AA206" s="555"/>
      <c r="AB206" s="802"/>
      <c r="AC206" s="555"/>
      <c r="AD206" s="555"/>
      <c r="AE206" s="555"/>
      <c r="AF206" s="555"/>
      <c r="AG206" s="802"/>
      <c r="AH206" s="555"/>
      <c r="AI206" s="555"/>
      <c r="AJ206" s="555"/>
      <c r="AK206" s="555"/>
      <c r="AL206" s="802"/>
      <c r="AM206" s="555"/>
      <c r="AN206" s="555"/>
      <c r="AO206" s="555"/>
      <c r="AP206" s="555"/>
      <c r="AQ206" s="802"/>
      <c r="AR206" s="555"/>
      <c r="AS206" s="555"/>
      <c r="AT206" s="555"/>
      <c r="AU206" s="802"/>
      <c r="AV206" s="555"/>
      <c r="AW206" s="555"/>
      <c r="AX206" s="555"/>
      <c r="AY206" s="555"/>
      <c r="AZ206" s="802"/>
      <c r="BA206" s="555"/>
      <c r="BB206" s="555"/>
      <c r="BC206" s="555"/>
      <c r="BD206" s="555"/>
      <c r="BE206" s="802"/>
      <c r="BF206" s="555"/>
      <c r="BG206" s="555"/>
      <c r="BH206" s="555"/>
      <c r="BI206" s="555"/>
      <c r="BJ206" s="802"/>
      <c r="BK206" s="555"/>
      <c r="BL206" s="555"/>
      <c r="BM206" s="555"/>
      <c r="BN206" s="555"/>
      <c r="BO206" s="802"/>
      <c r="BP206" s="555"/>
      <c r="BQ206" s="555"/>
      <c r="BR206" s="555"/>
      <c r="BS206" s="555"/>
      <c r="BT206" s="802"/>
      <c r="BU206" s="555"/>
      <c r="BV206" s="555"/>
      <c r="BW206" s="555"/>
      <c r="BX206" s="555"/>
      <c r="BY206" s="802"/>
      <c r="BZ206" s="555"/>
      <c r="CA206" s="555"/>
      <c r="CB206" s="555"/>
      <c r="CC206" s="555"/>
      <c r="CD206" s="802"/>
      <c r="CE206" s="555"/>
      <c r="CF206" s="555"/>
      <c r="CG206" s="555"/>
      <c r="CH206" s="555"/>
      <c r="CI206" s="802"/>
      <c r="CJ206" s="555"/>
      <c r="CK206" s="555"/>
      <c r="CL206" s="555"/>
      <c r="CM206" s="555"/>
      <c r="CN206" s="802"/>
      <c r="CO206" s="555"/>
      <c r="CP206" s="555"/>
      <c r="CQ206" s="555"/>
      <c r="CR206" s="555"/>
      <c r="CS206" s="802"/>
      <c r="CT206" s="555"/>
      <c r="CU206" s="555"/>
      <c r="CV206" s="555"/>
      <c r="CW206" s="555"/>
      <c r="CX206" s="802"/>
      <c r="CY206" s="555"/>
      <c r="CZ206" s="555"/>
      <c r="DA206" s="555"/>
      <c r="DB206" s="555"/>
      <c r="DC206" s="802"/>
      <c r="DD206" s="555"/>
      <c r="DE206" s="555"/>
      <c r="DF206" s="555"/>
      <c r="DG206" s="555"/>
      <c r="DH206" s="802"/>
      <c r="DI206" s="555"/>
      <c r="DJ206" s="555"/>
      <c r="DK206" s="555"/>
      <c r="DL206" s="555"/>
      <c r="DM206" s="802"/>
      <c r="DN206" s="555"/>
      <c r="DO206" s="555"/>
      <c r="DP206" s="555"/>
      <c r="DQ206" s="555"/>
      <c r="DR206" s="802"/>
      <c r="DS206" s="555"/>
      <c r="DT206" s="555"/>
      <c r="DU206" s="555"/>
      <c r="DV206" s="555"/>
      <c r="DW206" s="802"/>
      <c r="DX206" s="555"/>
      <c r="DY206" s="555"/>
      <c r="DZ206" s="555"/>
      <c r="EA206" s="555"/>
      <c r="EB206" s="802"/>
      <c r="EC206" s="555"/>
      <c r="ED206" s="555"/>
      <c r="EE206" s="555"/>
      <c r="EF206" s="555"/>
      <c r="EG206" s="802"/>
      <c r="EH206" s="555"/>
      <c r="EI206" s="555"/>
      <c r="EJ206" s="555"/>
      <c r="EK206" s="555"/>
      <c r="EL206" s="802"/>
      <c r="EM206" s="555"/>
      <c r="EN206"/>
      <c r="EO206"/>
      <c r="EP206"/>
      <c r="EQ206"/>
      <c r="ER206"/>
      <c r="ES206"/>
      <c r="ET206" s="135"/>
      <c r="EU206" s="135"/>
      <c r="EV206" s="135"/>
      <c r="EW206" s="135"/>
      <c r="EX206" s="135"/>
      <c r="EY206" s="135"/>
      <c r="EZ206" s="135"/>
      <c r="FA206" s="135"/>
      <c r="FB206" s="135"/>
      <c r="FC206" s="135"/>
      <c r="FD206" s="135"/>
      <c r="FE206" s="135"/>
      <c r="FF206" s="135"/>
      <c r="FG206" s="135"/>
      <c r="FH206" s="135"/>
      <c r="FI206" s="135"/>
      <c r="FJ206" s="135"/>
      <c r="FK206" s="135"/>
      <c r="FL206" s="135"/>
      <c r="FM206" s="135"/>
      <c r="FN206" s="135"/>
      <c r="FO206" s="135"/>
      <c r="FP206" s="135"/>
      <c r="FQ206" s="135"/>
      <c r="FR206" s="135"/>
      <c r="FS206" s="135"/>
      <c r="FT206" s="135"/>
      <c r="FU206" s="135"/>
      <c r="FV206" s="135"/>
      <c r="FW206" s="135"/>
      <c r="FX206" s="135"/>
      <c r="FY206" s="135"/>
      <c r="FZ206" s="135"/>
      <c r="GA206" s="135"/>
      <c r="GB206" s="135"/>
      <c r="GC206" s="135"/>
      <c r="GD206" s="135"/>
      <c r="GE206" s="135"/>
      <c r="GF206" s="135"/>
      <c r="GG206" s="135"/>
      <c r="GH206" s="135"/>
      <c r="GI206" s="135"/>
      <c r="GJ206" s="135"/>
      <c r="GK206" s="135"/>
      <c r="GL206" s="135"/>
      <c r="GM206" s="135"/>
      <c r="GN206" s="135"/>
      <c r="GO206" s="135"/>
      <c r="GP206" s="135"/>
      <c r="GQ206" s="135"/>
      <c r="GR206" s="135"/>
      <c r="GS206" s="135"/>
      <c r="GT206" s="135"/>
      <c r="GU206" s="135"/>
      <c r="GV206" s="135"/>
      <c r="GW206" s="135"/>
      <c r="GX206" s="135"/>
      <c r="GY206" s="135"/>
      <c r="GZ206" s="135"/>
      <c r="HA206" s="135"/>
      <c r="HB206" s="135"/>
      <c r="HC206" s="135"/>
      <c r="HD206" s="135"/>
      <c r="HE206" s="135"/>
      <c r="HF206" s="135"/>
      <c r="HG206" s="135"/>
      <c r="HH206" s="135"/>
      <c r="HI206" s="135"/>
      <c r="HJ206" s="135"/>
      <c r="HK206" s="135"/>
      <c r="HL206" s="135"/>
      <c r="HM206" s="135"/>
      <c r="HN206" s="135"/>
      <c r="HO206" s="135"/>
      <c r="HP206" s="135"/>
      <c r="HQ206" s="135"/>
      <c r="HR206" s="135"/>
      <c r="HS206" s="135"/>
      <c r="HT206" s="135"/>
      <c r="HU206" s="135"/>
      <c r="HV206" s="135"/>
      <c r="HW206" s="135"/>
      <c r="HX206" s="135"/>
      <c r="HY206" s="135"/>
      <c r="HZ206" s="135"/>
      <c r="IA206" s="135"/>
      <c r="IB206" s="135"/>
      <c r="IC206" s="135"/>
      <c r="ID206" s="135"/>
      <c r="IE206" s="135"/>
      <c r="IF206" s="135"/>
      <c r="IG206" s="135"/>
      <c r="IH206" s="135"/>
      <c r="II206" s="135"/>
      <c r="IJ206" s="135"/>
      <c r="IK206" s="135"/>
      <c r="IL206" s="135"/>
      <c r="IM206" s="135"/>
      <c r="IN206" s="135"/>
      <c r="IO206" s="135"/>
      <c r="IP206" s="135"/>
      <c r="IQ206" s="135"/>
      <c r="IR206" s="135"/>
      <c r="IS206" s="135"/>
      <c r="IT206" s="135"/>
      <c r="IU206" s="135"/>
      <c r="IV206" s="135"/>
      <c r="IW206" s="135"/>
      <c r="IX206" s="135"/>
      <c r="IY206" s="135"/>
      <c r="IZ206" s="135"/>
      <c r="JA206" s="135"/>
      <c r="JB206" s="135"/>
      <c r="JC206" s="135"/>
      <c r="JD206" s="135"/>
      <c r="JE206" s="135"/>
      <c r="JF206" s="135"/>
      <c r="JG206" s="135"/>
      <c r="JH206" s="135"/>
    </row>
    <row r="207" spans="1:268" s="4" customFormat="1">
      <c r="A207" s="801"/>
      <c r="B207" s="557" t="s">
        <v>606</v>
      </c>
      <c r="C207" s="700"/>
      <c r="D207" s="700">
        <f>-D200/IS!D12</f>
        <v>4.2508316549367486E-2</v>
      </c>
      <c r="E207" s="700">
        <f>-E200/IS!E12</f>
        <v>4.9192235441452729E-2</v>
      </c>
      <c r="F207" s="700">
        <f>-F200/IS!F12</f>
        <v>6.1922785768357302E-2</v>
      </c>
      <c r="G207" s="700">
        <f>-G200/IS!G12</f>
        <v>0.12058722660441858</v>
      </c>
      <c r="H207" s="78">
        <f>-H200/IS!H12</f>
        <v>7.956600361663653E-2</v>
      </c>
      <c r="I207" s="700">
        <f>-I200/IS!I12</f>
        <v>7.4071189344964553E-2</v>
      </c>
      <c r="J207" s="700">
        <f>-J200/IS!J12</f>
        <v>4.770588664381064E-2</v>
      </c>
      <c r="K207" s="700">
        <f>-K200/IS!K12</f>
        <v>5.2238284796424339E-2</v>
      </c>
      <c r="L207" s="700">
        <f>-L200/IS!L12</f>
        <v>9.1489506214766023E-2</v>
      </c>
      <c r="M207" s="78">
        <f>-M200/IS!M12</f>
        <v>6.6558733585177193E-2</v>
      </c>
      <c r="N207" s="700">
        <f>-N200/IS!N12</f>
        <v>3.016821910190463E-2</v>
      </c>
      <c r="O207" s="700">
        <f>-O200/IS!O12</f>
        <v>3.5227965584987475E-2</v>
      </c>
      <c r="P207" s="700">
        <f>-P200/IS!P12</f>
        <v>7.4209843980508727E-2</v>
      </c>
      <c r="Q207" s="700">
        <f>-Q200/IS!Q12</f>
        <v>4.0854382098660803E-2</v>
      </c>
      <c r="R207" s="78">
        <f>-R200/IS!R12</f>
        <v>4.6714992520998734E-2</v>
      </c>
      <c r="S207" s="700">
        <f>-S200/IS!S12</f>
        <v>4.4187044187044187E-2</v>
      </c>
      <c r="T207" s="700">
        <f>-T200/IS!T12</f>
        <v>4.6109510086455328E-2</v>
      </c>
      <c r="U207" s="700">
        <f>-U200/IS!U12</f>
        <v>6.0842433697347896E-2</v>
      </c>
      <c r="V207" s="700">
        <f>-V200/IS!V12</f>
        <v>6.3399455464799692E-2</v>
      </c>
      <c r="W207" s="78">
        <f>-W200/IS!W12</f>
        <v>5.3966649823143004E-2</v>
      </c>
      <c r="X207" s="700">
        <f>-X200/IS!X12</f>
        <v>4.1911476694085389E-2</v>
      </c>
      <c r="Y207" s="700">
        <f>-Y200/IS!Y12</f>
        <v>5.2282481467030822E-2</v>
      </c>
      <c r="Z207" s="700">
        <f>-Z200/IS!Z12</f>
        <v>5.6697377746279233E-2</v>
      </c>
      <c r="AA207" s="700">
        <f>-AA200/IS!AA12</f>
        <v>6.4921821889870834E-2</v>
      </c>
      <c r="AB207" s="78">
        <f>-AB200/IS!AB12</f>
        <v>5.4411764705882354E-2</v>
      </c>
      <c r="AC207" s="700">
        <f>-AC200/IS!AC12</f>
        <v>4.8033414549251655E-2</v>
      </c>
      <c r="AD207" s="700">
        <f>-AD200/IS!AD12</f>
        <v>4.5323741007194246E-2</v>
      </c>
      <c r="AE207" s="700">
        <f>-AE200/IS!AE12</f>
        <v>4.6315789473684213E-2</v>
      </c>
      <c r="AF207" s="700">
        <f>-AF200/IS!AF12</f>
        <v>7.6605977327378907E-2</v>
      </c>
      <c r="AG207" s="78">
        <f>-AG200/IS!AG12</f>
        <v>5.423164534781847E-2</v>
      </c>
      <c r="AH207" s="700">
        <f>-AH200/IS!AH12</f>
        <v>4.1479433114414106E-2</v>
      </c>
      <c r="AI207" s="700">
        <f>-AI200/IS!AI12</f>
        <v>4.0823327615780447E-2</v>
      </c>
      <c r="AJ207" s="700">
        <f>-AJ200/IS!AJ12</f>
        <v>5.1712779973649536E-2</v>
      </c>
      <c r="AK207" s="700">
        <f>-AK200/IS!AK12</f>
        <v>6.3882829541913363E-2</v>
      </c>
      <c r="AL207" s="78">
        <f>-AL200/IS!AL12</f>
        <v>4.9863104621256121E-2</v>
      </c>
      <c r="AM207" s="700">
        <f>-AM200/IS!AM12</f>
        <v>6.3390961480133456E-2</v>
      </c>
      <c r="AN207" s="700">
        <f>-AN200/IS!AN12</f>
        <v>6.0695344725987033E-2</v>
      </c>
      <c r="AO207" s="700">
        <f>-AO200/IS!AO12</f>
        <v>4.8220436280137773E-2</v>
      </c>
      <c r="AP207" s="700">
        <f>-AP200/IS!AP12</f>
        <v>8.186195826645265E-2</v>
      </c>
      <c r="AQ207" s="78">
        <f>-AQ200/IS!AQ12</f>
        <v>6.3897074678358368E-2</v>
      </c>
      <c r="AR207" s="700">
        <f>-AR200/IS!AR12</f>
        <v>5.2660005401026194E-2</v>
      </c>
      <c r="AS207" s="700">
        <f>-AS200/IS!AS12</f>
        <v>5.7702488088935945E-2</v>
      </c>
      <c r="AT207" s="700">
        <f>-AT200/IS!AT12</f>
        <v>6.2126966901790558E-2</v>
      </c>
      <c r="AU207" s="802"/>
      <c r="AV207" s="555"/>
      <c r="AW207" s="555"/>
      <c r="AX207" s="555"/>
      <c r="AY207" s="555"/>
      <c r="AZ207" s="78">
        <f>-AZ200/IS!AA12</f>
        <v>0.16655336505778381</v>
      </c>
      <c r="BA207" s="700">
        <f>-BA200/IS!BA12</f>
        <v>6.3731170336037077E-2</v>
      </c>
      <c r="BB207" s="700">
        <f>-BB200/IS!BB12</f>
        <v>5.8597218111867418E-2</v>
      </c>
      <c r="BC207" s="700">
        <f>-BC200/IS!BC12</f>
        <v>4.3979375189566274E-2</v>
      </c>
      <c r="BD207" s="700">
        <f>-BD200/IS!BD12</f>
        <v>5.9729644765796917E-2</v>
      </c>
      <c r="BE207" s="78">
        <f>-BE200/IS!BE12</f>
        <v>5.6578255315951613E-2</v>
      </c>
      <c r="BF207" s="700">
        <f>-BF200/IS!BF12</f>
        <v>3.0723117272386663E-2</v>
      </c>
      <c r="BG207" s="700">
        <f>-BG200/IS!BG12</f>
        <v>3.6186770428015567E-2</v>
      </c>
      <c r="BH207" s="700">
        <f>-BH200/IS!BH12</f>
        <v>3.9344262295081971E-2</v>
      </c>
      <c r="BI207" s="700">
        <f>-BI200/IS!BI12</f>
        <v>7.5870646766169156E-2</v>
      </c>
      <c r="BJ207" s="78">
        <f>-BJ200/IS!BJ12</f>
        <v>4.4990585670399368E-2</v>
      </c>
      <c r="BK207" s="700">
        <f>-BK200/IS!BK12</f>
        <v>3.8384646141543383E-2</v>
      </c>
      <c r="BL207" s="700">
        <f>-BL200/IS!BL12</f>
        <v>5.2479338842975204E-2</v>
      </c>
      <c r="BM207" s="700">
        <f>-BM200/IS!BM12</f>
        <v>5.6390977443609019E-2</v>
      </c>
      <c r="BN207" s="700">
        <f>-BN200/IS!BN12</f>
        <v>9.4823836450630708E-2</v>
      </c>
      <c r="BO207" s="78">
        <f>-BO200/IS!BO12</f>
        <v>5.9912627418348241E-2</v>
      </c>
      <c r="BP207" s="700">
        <f>-BP200/IS!BP12</f>
        <v>4.8053024026512015E-2</v>
      </c>
      <c r="BQ207" s="700">
        <f>-BQ200/IS!BQ12</f>
        <v>4.419134396355353E-2</v>
      </c>
      <c r="BR207" s="700">
        <f>-BR200/IS!BR12</f>
        <v>6.2824752007557869E-2</v>
      </c>
      <c r="BS207" s="700">
        <f>-BS200/IS!BS12</f>
        <v>0.13630105553005967</v>
      </c>
      <c r="BT207" s="78">
        <f>-BT200/IS!BT12</f>
        <v>7.2206625491297027E-2</v>
      </c>
      <c r="BU207" s="700">
        <f>-BU200/IS!BU12</f>
        <v>4.8266783677051339E-2</v>
      </c>
      <c r="BV207" s="700">
        <f>-BV200/IS!BV12</f>
        <v>6.6427289048473961E-2</v>
      </c>
      <c r="BW207" s="700">
        <f>-BW200/IS!BW12</f>
        <v>7.730560578661845E-2</v>
      </c>
      <c r="BX207" s="700">
        <f>-BX200/IS!BX12</f>
        <v>0.13327410039982229</v>
      </c>
      <c r="BY207" s="78">
        <f>-BY200/IS!BY12</f>
        <v>8.1270903010033452E-2</v>
      </c>
      <c r="BZ207" s="700">
        <f>-BZ200/IS!BZ12</f>
        <v>6.6216786166174615E-2</v>
      </c>
      <c r="CA207" s="700">
        <f>-CA200/IS!CA12</f>
        <v>4.6245421245421248E-2</v>
      </c>
      <c r="CB207" s="700">
        <f>-CB200/IS!CB12</f>
        <v>5.0046339202965709E-2</v>
      </c>
      <c r="CC207" s="700">
        <f>-CC200/IS!CC12</f>
        <v>5.9225512528473807E-2</v>
      </c>
      <c r="CD207" s="78">
        <f>-CD200/IS!CD12</f>
        <v>5.5680287382128421E-2</v>
      </c>
      <c r="CE207" s="700">
        <f>-CE200/IS!CE12</f>
        <v>4.4317683194383499E-2</v>
      </c>
      <c r="CF207" s="700">
        <f>-CF200/IS!CF12</f>
        <v>3.1852848811126065E-2</v>
      </c>
      <c r="CG207" s="700">
        <f>-CG200/IS!CG12</f>
        <v>4.0229885057471264E-2</v>
      </c>
      <c r="CH207" s="700">
        <f>-CH200/IS!CH12</f>
        <v>8.4918177797434768E-2</v>
      </c>
      <c r="CI207" s="78">
        <f>-CI200/IS!CI12</f>
        <v>5.0382017495293988E-2</v>
      </c>
      <c r="CJ207" s="700">
        <f>-CJ200/IS!CJ12</f>
        <v>3.5485250106883283E-2</v>
      </c>
      <c r="CK207" s="700">
        <f>-CK200/IS!CK12</f>
        <v>3.3434650455927049E-2</v>
      </c>
      <c r="CL207" s="700">
        <f>-CL200/IS!CL12</f>
        <v>4.7303271441202478E-2</v>
      </c>
      <c r="CM207" s="700">
        <f>-CM200/IS!CM12</f>
        <v>8.518035636679705E-2</v>
      </c>
      <c r="CN207" s="78">
        <f>-CN200/IS!CN12</f>
        <v>5.0298750678978814E-2</v>
      </c>
      <c r="CO207" s="700">
        <f>-CO200/IS!CO12</f>
        <v>4.7756278303828739E-2</v>
      </c>
      <c r="CP207" s="700">
        <f>-CP200/IS!CP12</f>
        <v>3.5652173913043476E-2</v>
      </c>
      <c r="CQ207" s="700">
        <f>-CQ200/IS!CQ12</f>
        <v>4.3687199650502405E-2</v>
      </c>
      <c r="CR207" s="700">
        <f>-CR200/IS!CR12</f>
        <v>7.5223119422014456E-2</v>
      </c>
      <c r="CS207" s="78">
        <f>-CS200/IS!CS12</f>
        <v>5.0688293671966707E-2</v>
      </c>
      <c r="CT207" s="700">
        <f>-CT200/IS!CT12</f>
        <v>5.4596547571256523E-2</v>
      </c>
      <c r="CU207" s="700">
        <f>-CU200/IS!CU12</f>
        <v>4.684317718940937E-2</v>
      </c>
      <c r="CV207" s="700">
        <f>-CV200/IS!CV12</f>
        <v>4.4087350638648534E-2</v>
      </c>
      <c r="CW207" s="700">
        <f>-CW200/IS!CW12</f>
        <v>5.8474911102331092E-2</v>
      </c>
      <c r="CX207" s="78">
        <f>-CX200/IS!CX12</f>
        <v>5.1090468497576737E-2</v>
      </c>
      <c r="CY207" s="700">
        <f>-CY200/IS!CY12</f>
        <v>5.1272166538164993E-2</v>
      </c>
      <c r="CZ207" s="700">
        <f>-CZ200/IS!CZ12</f>
        <v>4.6785850133130469E-2</v>
      </c>
      <c r="DA207" s="700">
        <f>-DA200/IS!DA12</f>
        <v>5.4239877769289534E-2</v>
      </c>
      <c r="DB207" s="700">
        <f>-DB200/IS!DB12</f>
        <v>6.9218048665249235E-2</v>
      </c>
      <c r="DC207" s="78">
        <f>-DC200/IS!DC12</f>
        <v>5.7230412456518137E-2</v>
      </c>
      <c r="DD207" s="700">
        <f>-DD200/IS!DD12</f>
        <v>6.5257779842080824E-2</v>
      </c>
      <c r="DE207" s="700">
        <f>-DE200/IS!DE12</f>
        <v>5.5479138010087116E-2</v>
      </c>
      <c r="DF207" s="700">
        <f>-DF200/IS!DF12</f>
        <v>4.7651309846431796E-2</v>
      </c>
      <c r="DG207" s="700">
        <f>-DG200/IS!DG12</f>
        <v>4.1252072968490879E-2</v>
      </c>
      <c r="DH207" s="78">
        <f>-DH200/IS!DH12</f>
        <v>5.2064732142857145E-2</v>
      </c>
      <c r="DI207" s="700">
        <f>-DI200/IS!DI12</f>
        <v>3.8405343352118558E-2</v>
      </c>
      <c r="DJ207" s="700">
        <f>-DJ200/IS!DJ12</f>
        <v>3.6127167630057806E-2</v>
      </c>
      <c r="DK207" s="700">
        <f>-DK200/IS!DK12</f>
        <v>4.0884850878925537E-2</v>
      </c>
      <c r="DL207" s="700">
        <f>-DL200/IS!DL12</f>
        <v>5.0950710725493814E-2</v>
      </c>
      <c r="DM207" s="78">
        <f>-DM200/IS!DM12</f>
        <v>4.1867634627815627E-2</v>
      </c>
      <c r="DN207" s="700">
        <v>3.6499999999999998E-2</v>
      </c>
      <c r="DO207" s="700">
        <v>3.6499999999999998E-2</v>
      </c>
      <c r="DP207" s="700">
        <v>3.6499999999999998E-2</v>
      </c>
      <c r="DQ207" s="700">
        <v>3.6499999999999998E-2</v>
      </c>
      <c r="DR207" s="78">
        <f>-DR200/IS!DR12</f>
        <v>4.1528239202657809E-2</v>
      </c>
      <c r="DS207" s="700">
        <v>3.6499999999999998E-2</v>
      </c>
      <c r="DT207" s="700">
        <v>0.03</v>
      </c>
      <c r="DU207" s="700">
        <v>0.03</v>
      </c>
      <c r="DV207" s="700">
        <v>0.03</v>
      </c>
      <c r="DW207" s="78">
        <f>-DW200/IS!DW12</f>
        <v>3.4298743511376316E-2</v>
      </c>
      <c r="DX207" s="700">
        <v>2.75E-2</v>
      </c>
      <c r="DY207" s="700">
        <v>2.75E-2</v>
      </c>
      <c r="DZ207" s="700">
        <v>2.5999999999999999E-2</v>
      </c>
      <c r="EA207" s="700">
        <v>2.5999999999999999E-2</v>
      </c>
      <c r="EB207" s="78">
        <f>-EB200/IS!EB12</f>
        <v>3.439442321867768E-2</v>
      </c>
      <c r="EC207" s="700">
        <v>2.8000000000000001E-2</v>
      </c>
      <c r="ED207" s="700">
        <v>2.8000000000000001E-2</v>
      </c>
      <c r="EE207" s="700">
        <v>2.8000000000000001E-2</v>
      </c>
      <c r="EF207" s="700">
        <v>2.8000000000000001E-2</v>
      </c>
      <c r="EG207" s="78">
        <f>-EG200/IS!EG12</f>
        <v>3.5550064256184344E-2</v>
      </c>
      <c r="EH207" s="700">
        <v>2.8000000000000001E-2</v>
      </c>
      <c r="EI207" s="700">
        <v>2.8000000000000001E-2</v>
      </c>
      <c r="EJ207" s="700">
        <v>2.8000000000000001E-2</v>
      </c>
      <c r="EK207" s="700">
        <v>2.8000000000000001E-2</v>
      </c>
      <c r="EL207" s="78">
        <f>-EL200/IS!EL12</f>
        <v>3.523333520447202E-2</v>
      </c>
      <c r="EM207" s="555"/>
      <c r="EN207"/>
      <c r="EO207"/>
      <c r="EP207"/>
      <c r="EQ207"/>
      <c r="ER207"/>
      <c r="ES207"/>
      <c r="ET207" s="135"/>
      <c r="EU207" s="135"/>
      <c r="EV207" s="135"/>
      <c r="EW207" s="135"/>
      <c r="EX207" s="135"/>
      <c r="EY207" s="135"/>
      <c r="EZ207" s="135"/>
      <c r="FA207" s="135"/>
      <c r="FB207" s="135"/>
      <c r="FC207" s="135"/>
      <c r="FD207" s="135"/>
      <c r="FE207" s="135"/>
      <c r="FF207" s="135"/>
      <c r="FG207" s="135"/>
      <c r="FH207" s="135"/>
      <c r="FI207" s="135"/>
      <c r="FJ207" s="135"/>
      <c r="FK207" s="135"/>
      <c r="FL207" s="135"/>
      <c r="FM207" s="135"/>
      <c r="FN207" s="135"/>
      <c r="FO207" s="135"/>
      <c r="FP207" s="135"/>
      <c r="FQ207" s="135"/>
      <c r="FR207" s="135"/>
      <c r="FS207" s="135"/>
      <c r="FT207" s="135"/>
      <c r="FU207" s="135"/>
      <c r="FV207" s="135"/>
      <c r="FW207" s="135"/>
      <c r="FX207" s="135"/>
      <c r="FY207" s="135"/>
      <c r="FZ207" s="135"/>
      <c r="GA207" s="135"/>
      <c r="GB207" s="135"/>
      <c r="GC207" s="135"/>
      <c r="GD207" s="135"/>
      <c r="GE207" s="135"/>
      <c r="GF207" s="135"/>
      <c r="GG207" s="135"/>
      <c r="GH207" s="135"/>
      <c r="GI207" s="135"/>
      <c r="GJ207" s="135"/>
      <c r="GK207" s="135"/>
      <c r="GL207" s="135"/>
      <c r="GM207" s="135"/>
      <c r="GN207" s="135"/>
      <c r="GO207" s="135"/>
      <c r="GP207" s="135"/>
      <c r="GQ207" s="135"/>
      <c r="GR207" s="135"/>
      <c r="GS207" s="135"/>
      <c r="GT207" s="135"/>
      <c r="GU207" s="135"/>
      <c r="GV207" s="135"/>
      <c r="GW207" s="135"/>
      <c r="GX207" s="135"/>
      <c r="GY207" s="135"/>
      <c r="GZ207" s="135"/>
      <c r="HA207" s="135"/>
      <c r="HB207" s="135"/>
      <c r="HC207" s="135"/>
      <c r="HD207" s="135"/>
      <c r="HE207" s="135"/>
      <c r="HF207" s="135"/>
      <c r="HG207" s="135"/>
      <c r="HH207" s="135"/>
      <c r="HI207" s="135"/>
      <c r="HJ207" s="135"/>
      <c r="HK207" s="135"/>
      <c r="HL207" s="135"/>
      <c r="HM207" s="135"/>
      <c r="HN207" s="135"/>
      <c r="HO207" s="135"/>
      <c r="HP207" s="135"/>
      <c r="HQ207" s="135"/>
      <c r="HR207" s="135"/>
      <c r="HS207" s="135"/>
      <c r="HT207" s="135"/>
      <c r="HU207" s="135"/>
      <c r="HV207" s="135"/>
      <c r="HW207" s="135"/>
      <c r="HX207" s="135"/>
      <c r="HY207" s="135"/>
      <c r="HZ207" s="135"/>
      <c r="IA207" s="135"/>
      <c r="IB207" s="135"/>
      <c r="IC207" s="135"/>
      <c r="ID207" s="135"/>
      <c r="IE207" s="135"/>
      <c r="IF207" s="135"/>
      <c r="IG207" s="135"/>
      <c r="IH207" s="135"/>
      <c r="II207" s="135"/>
      <c r="IJ207" s="135"/>
      <c r="IK207" s="135"/>
      <c r="IL207" s="135"/>
      <c r="IM207" s="135"/>
      <c r="IN207" s="135"/>
      <c r="IO207" s="135"/>
      <c r="IP207" s="135"/>
      <c r="IQ207" s="135"/>
      <c r="IR207" s="135"/>
      <c r="IS207" s="135"/>
      <c r="IT207" s="135"/>
      <c r="IU207" s="135"/>
      <c r="IV207" s="135"/>
      <c r="IW207" s="135"/>
      <c r="IX207" s="135"/>
      <c r="IY207" s="135"/>
      <c r="IZ207" s="135"/>
      <c r="JA207" s="135"/>
      <c r="JB207" s="135"/>
      <c r="JC207" s="135"/>
      <c r="JD207" s="135"/>
      <c r="JE207" s="135"/>
      <c r="JF207" s="135"/>
      <c r="JG207" s="135"/>
      <c r="JH207" s="135"/>
    </row>
    <row r="208" spans="1:268" s="4" customFormat="1">
      <c r="A208" s="801"/>
      <c r="B208" s="557" t="s">
        <v>598</v>
      </c>
      <c r="C208" s="555"/>
      <c r="D208" s="555"/>
      <c r="E208" s="555"/>
      <c r="F208" s="555"/>
      <c r="G208" s="555"/>
      <c r="H208" s="802"/>
      <c r="I208" s="555"/>
      <c r="J208" s="555"/>
      <c r="K208" s="555"/>
      <c r="L208" s="555"/>
      <c r="M208" s="802"/>
      <c r="N208" s="555"/>
      <c r="O208" s="555"/>
      <c r="P208" s="555"/>
      <c r="Q208" s="555"/>
      <c r="R208" s="802"/>
      <c r="S208" s="555"/>
      <c r="T208" s="555"/>
      <c r="U208" s="555"/>
      <c r="V208" s="555"/>
      <c r="W208" s="802"/>
      <c r="X208" s="555"/>
      <c r="Y208" s="555"/>
      <c r="Z208" s="555"/>
      <c r="AA208" s="555"/>
      <c r="AB208" s="802"/>
      <c r="AC208" s="555"/>
      <c r="AD208" s="555"/>
      <c r="AE208" s="555"/>
      <c r="AF208" s="555"/>
      <c r="AG208" s="802"/>
      <c r="AH208" s="555"/>
      <c r="AI208" s="555"/>
      <c r="AJ208" s="555"/>
      <c r="AK208" s="555"/>
      <c r="AL208" s="802"/>
      <c r="AM208" s="555"/>
      <c r="AN208" s="555"/>
      <c r="AO208" s="555"/>
      <c r="AP208" s="555"/>
      <c r="AQ208" s="802"/>
      <c r="AR208" s="555"/>
      <c r="AS208" s="555"/>
      <c r="AT208" s="555"/>
      <c r="AU208" s="802"/>
      <c r="AV208" s="555"/>
      <c r="AW208" s="555"/>
      <c r="AX208" s="555"/>
      <c r="AY208" s="555"/>
      <c r="AZ208" s="802"/>
      <c r="BA208" s="555"/>
      <c r="BB208" s="555"/>
      <c r="BC208" s="555"/>
      <c r="BD208" s="555"/>
      <c r="BE208" s="802"/>
      <c r="BF208" s="555"/>
      <c r="BG208" s="555"/>
      <c r="BH208" s="555"/>
      <c r="BI208" s="555"/>
      <c r="BJ208" s="802"/>
      <c r="BK208" s="555"/>
      <c r="BL208" s="555"/>
      <c r="BM208" s="555"/>
      <c r="BN208" s="555"/>
      <c r="BO208" s="802"/>
      <c r="BP208" s="555"/>
      <c r="BQ208" s="555"/>
      <c r="BR208" s="555"/>
      <c r="BS208" s="555"/>
      <c r="BT208" s="802"/>
      <c r="BU208" s="555"/>
      <c r="BV208" s="555"/>
      <c r="BW208" s="555"/>
      <c r="BX208" s="555"/>
      <c r="BY208" s="802"/>
      <c r="BZ208" s="557"/>
      <c r="CA208" s="555"/>
      <c r="CB208" s="555"/>
      <c r="CC208" s="555"/>
      <c r="CD208" s="802"/>
      <c r="CE208" s="555"/>
      <c r="CF208" s="555"/>
      <c r="CG208" s="555"/>
      <c r="CH208" s="555"/>
      <c r="CI208" s="802"/>
      <c r="CJ208" s="555"/>
      <c r="CK208" s="555"/>
      <c r="CL208" s="555"/>
      <c r="CM208" s="555"/>
      <c r="CN208" s="78"/>
      <c r="CO208" s="555"/>
      <c r="CP208" s="555"/>
      <c r="CQ208" s="555"/>
      <c r="CR208" s="555"/>
      <c r="CS208" s="78"/>
      <c r="CT208" s="555"/>
      <c r="CU208" s="555"/>
      <c r="CV208" s="555"/>
      <c r="CW208" s="555"/>
      <c r="CX208" s="78"/>
      <c r="CY208" s="555"/>
      <c r="CZ208" s="555"/>
      <c r="DA208" s="555"/>
      <c r="DB208" s="555"/>
      <c r="DC208" s="78"/>
      <c r="DD208" s="555"/>
      <c r="DE208" s="555"/>
      <c r="DF208" s="555"/>
      <c r="DG208" s="555"/>
      <c r="DH208" s="78"/>
      <c r="DI208" s="555"/>
      <c r="DJ208" s="555"/>
      <c r="DK208" s="555"/>
      <c r="DL208" s="555"/>
      <c r="DM208" s="78"/>
      <c r="DN208" s="555">
        <f>-150/4</f>
        <v>-37.5</v>
      </c>
      <c r="DO208" s="555">
        <f>-150/4</f>
        <v>-37.5</v>
      </c>
      <c r="DP208" s="555">
        <f>-150/4</f>
        <v>-37.5</v>
      </c>
      <c r="DQ208" s="555">
        <f>-150/4</f>
        <v>-37.5</v>
      </c>
      <c r="DR208" s="1117">
        <f>SUM(DN208:DQ208)</f>
        <v>-150</v>
      </c>
      <c r="DS208" s="555">
        <f>-160/4</f>
        <v>-40</v>
      </c>
      <c r="DT208" s="555">
        <f>DS208</f>
        <v>-40</v>
      </c>
      <c r="DU208" s="555">
        <f>DT208</f>
        <v>-40</v>
      </c>
      <c r="DV208" s="555">
        <v>-25</v>
      </c>
      <c r="DW208" s="1117">
        <f>SUM(DS208:DV208)</f>
        <v>-145</v>
      </c>
      <c r="DX208" s="555">
        <f>-150/4</f>
        <v>-37.5</v>
      </c>
      <c r="DY208" s="555">
        <f>-150/4</f>
        <v>-37.5</v>
      </c>
      <c r="DZ208" s="555">
        <f>-150/4</f>
        <v>-37.5</v>
      </c>
      <c r="EA208" s="555">
        <f>-150/4</f>
        <v>-37.5</v>
      </c>
      <c r="EB208" s="1117">
        <f>SUM(DX208:EA208)</f>
        <v>-150</v>
      </c>
      <c r="EC208" s="555">
        <f>-150/4</f>
        <v>-37.5</v>
      </c>
      <c r="ED208" s="555">
        <f>-150/4</f>
        <v>-37.5</v>
      </c>
      <c r="EE208" s="555">
        <f>-150/4</f>
        <v>-37.5</v>
      </c>
      <c r="EF208" s="555">
        <f>-150/4</f>
        <v>-37.5</v>
      </c>
      <c r="EG208" s="1117">
        <f>SUM(EC208:EF208)</f>
        <v>-150</v>
      </c>
      <c r="EH208" s="555">
        <f>-150/4</f>
        <v>-37.5</v>
      </c>
      <c r="EI208" s="555">
        <f>-150/4</f>
        <v>-37.5</v>
      </c>
      <c r="EJ208" s="555">
        <f>-150/4</f>
        <v>-37.5</v>
      </c>
      <c r="EK208" s="555">
        <f>-150/4</f>
        <v>-37.5</v>
      </c>
      <c r="EL208" s="1117">
        <f>SUM(EH208:EK208)</f>
        <v>-150</v>
      </c>
      <c r="EM208" s="558"/>
      <c r="EN208"/>
      <c r="EO208"/>
      <c r="EP208"/>
      <c r="EQ208"/>
      <c r="ER208"/>
      <c r="ES208"/>
      <c r="ET208" s="135"/>
      <c r="EU208" s="135"/>
      <c r="EV208" s="135"/>
      <c r="EW208" s="135"/>
      <c r="EX208" s="135"/>
      <c r="EY208" s="135"/>
      <c r="EZ208" s="135"/>
      <c r="FA208" s="135"/>
      <c r="FB208" s="135"/>
      <c r="FC208" s="135"/>
      <c r="FD208" s="135"/>
      <c r="FE208" s="135"/>
      <c r="FF208" s="135"/>
      <c r="FG208" s="135"/>
      <c r="FH208" s="135"/>
      <c r="FI208" s="135"/>
      <c r="FJ208" s="135"/>
      <c r="FK208" s="135"/>
      <c r="FL208" s="135"/>
      <c r="FM208" s="135"/>
      <c r="FN208" s="135"/>
      <c r="FO208" s="135"/>
      <c r="FP208" s="135"/>
      <c r="FQ208" s="135"/>
      <c r="FR208" s="135"/>
      <c r="FS208" s="135"/>
      <c r="FT208" s="135"/>
      <c r="FU208" s="135"/>
      <c r="FV208" s="135"/>
      <c r="FW208" s="135"/>
      <c r="FX208" s="135"/>
      <c r="FY208" s="135"/>
      <c r="FZ208" s="135"/>
      <c r="GA208" s="135"/>
      <c r="GB208" s="135"/>
      <c r="GC208" s="135"/>
      <c r="GD208" s="135"/>
      <c r="GE208" s="135"/>
      <c r="GF208" s="135"/>
      <c r="GG208" s="135"/>
      <c r="GH208" s="135"/>
      <c r="GI208" s="135"/>
      <c r="GJ208" s="135"/>
      <c r="GK208" s="135"/>
      <c r="GL208" s="135"/>
      <c r="GM208" s="135"/>
      <c r="GN208" s="135"/>
      <c r="GO208" s="135"/>
      <c r="GP208" s="135"/>
      <c r="GQ208" s="135"/>
      <c r="GR208" s="135"/>
      <c r="GS208" s="135"/>
      <c r="GT208" s="135"/>
      <c r="GU208" s="135"/>
      <c r="GV208" s="135"/>
      <c r="GW208" s="135"/>
      <c r="GX208" s="135"/>
      <c r="GY208" s="135"/>
      <c r="GZ208" s="135"/>
      <c r="HA208" s="135"/>
      <c r="HB208" s="135"/>
      <c r="HC208" s="135"/>
      <c r="HD208" s="135"/>
      <c r="HE208" s="135"/>
      <c r="HF208" s="135"/>
      <c r="HG208" s="135"/>
      <c r="HH208" s="135"/>
      <c r="HI208" s="135"/>
      <c r="HJ208" s="135"/>
      <c r="HK208" s="135"/>
      <c r="HL208" s="135"/>
      <c r="HM208" s="135"/>
      <c r="HN208" s="135"/>
      <c r="HO208" s="135"/>
      <c r="HP208" s="135"/>
      <c r="HQ208" s="135"/>
      <c r="HR208" s="135"/>
      <c r="HS208" s="135"/>
      <c r="HT208" s="135"/>
      <c r="HU208" s="135"/>
      <c r="HV208" s="135"/>
      <c r="HW208" s="135"/>
      <c r="HX208" s="135"/>
      <c r="HY208" s="135"/>
      <c r="HZ208" s="135"/>
      <c r="IA208" s="135"/>
      <c r="IB208" s="135"/>
      <c r="IC208" s="135"/>
      <c r="ID208" s="135"/>
      <c r="IE208" s="135"/>
      <c r="IF208" s="135"/>
      <c r="IG208" s="135"/>
      <c r="IH208" s="135"/>
      <c r="II208" s="135"/>
      <c r="IJ208" s="135"/>
      <c r="IK208" s="135"/>
      <c r="IL208" s="135"/>
      <c r="IM208" s="135"/>
      <c r="IN208" s="135"/>
      <c r="IO208" s="135"/>
      <c r="IP208" s="135"/>
      <c r="IQ208" s="135"/>
      <c r="IR208" s="135"/>
      <c r="IS208" s="135"/>
      <c r="IT208" s="135"/>
      <c r="IU208" s="135"/>
      <c r="IV208" s="135"/>
      <c r="IW208" s="135"/>
      <c r="IX208" s="135"/>
      <c r="IY208" s="135"/>
      <c r="IZ208" s="135"/>
      <c r="JA208" s="135"/>
      <c r="JB208" s="135"/>
      <c r="JC208" s="135"/>
      <c r="JD208" s="135"/>
      <c r="JE208" s="135"/>
      <c r="JF208" s="135"/>
      <c r="JG208" s="135"/>
      <c r="JH208" s="135"/>
    </row>
    <row r="209" spans="1:268" s="4" customFormat="1">
      <c r="A209" s="801"/>
      <c r="B209" s="557"/>
      <c r="C209" s="555"/>
      <c r="D209" s="555"/>
      <c r="E209" s="555"/>
      <c r="F209" s="555"/>
      <c r="G209" s="555"/>
      <c r="H209" s="802"/>
      <c r="I209" s="555"/>
      <c r="J209" s="555"/>
      <c r="K209" s="555"/>
      <c r="L209" s="555"/>
      <c r="M209" s="802"/>
      <c r="N209" s="555"/>
      <c r="O209" s="555"/>
      <c r="P209" s="555"/>
      <c r="Q209" s="555"/>
      <c r="R209" s="802"/>
      <c r="S209" s="555"/>
      <c r="T209" s="555"/>
      <c r="U209" s="555"/>
      <c r="V209" s="555"/>
      <c r="W209" s="802"/>
      <c r="X209" s="555"/>
      <c r="Y209" s="555"/>
      <c r="Z209" s="555"/>
      <c r="AA209" s="555"/>
      <c r="AB209" s="802"/>
      <c r="AC209" s="555"/>
      <c r="AD209" s="555"/>
      <c r="AE209" s="555"/>
      <c r="AF209" s="555"/>
      <c r="AG209" s="802"/>
      <c r="AH209" s="555"/>
      <c r="AI209" s="555"/>
      <c r="AJ209" s="555"/>
      <c r="AK209" s="555"/>
      <c r="AL209" s="802"/>
      <c r="AM209" s="555"/>
      <c r="AN209" s="555"/>
      <c r="AO209" s="555"/>
      <c r="AP209" s="555"/>
      <c r="AQ209" s="802"/>
      <c r="AR209" s="555"/>
      <c r="AS209" s="555"/>
      <c r="AT209" s="555"/>
      <c r="AU209" s="802"/>
      <c r="AV209" s="555"/>
      <c r="AW209" s="555"/>
      <c r="AX209" s="555"/>
      <c r="AY209" s="555"/>
      <c r="AZ209" s="802"/>
      <c r="BA209" s="555"/>
      <c r="BB209" s="555"/>
      <c r="BC209" s="555"/>
      <c r="BD209" s="555"/>
      <c r="BE209" s="802"/>
      <c r="BF209" s="555"/>
      <c r="BG209" s="555"/>
      <c r="BH209" s="555"/>
      <c r="BI209" s="555"/>
      <c r="BJ209" s="802"/>
      <c r="BK209" s="555"/>
      <c r="BL209" s="555"/>
      <c r="BM209" s="555"/>
      <c r="BN209" s="555"/>
      <c r="BO209" s="802"/>
      <c r="BP209" s="555"/>
      <c r="BQ209" s="555"/>
      <c r="BR209" s="555"/>
      <c r="BS209" s="555"/>
      <c r="BT209" s="802"/>
      <c r="BU209" s="555"/>
      <c r="BV209" s="555"/>
      <c r="BW209" s="555"/>
      <c r="BX209" s="555"/>
      <c r="BY209" s="802"/>
      <c r="BZ209" s="557"/>
      <c r="CA209" s="792"/>
      <c r="CB209" s="555"/>
      <c r="CC209" s="555"/>
      <c r="CD209" s="802"/>
      <c r="CE209" s="555"/>
      <c r="CF209" s="555"/>
      <c r="CG209" s="555"/>
      <c r="CH209" s="555"/>
      <c r="CI209" s="802"/>
      <c r="CJ209" s="555"/>
      <c r="CK209" s="555"/>
      <c r="CL209" s="555"/>
      <c r="CM209" s="555"/>
      <c r="CN209" s="802"/>
      <c r="CO209" s="555"/>
      <c r="CP209" s="555"/>
      <c r="CQ209" s="555"/>
      <c r="CR209" s="555"/>
      <c r="CS209" s="802"/>
      <c r="CT209" s="555"/>
      <c r="CU209" s="555"/>
      <c r="CV209" s="555"/>
      <c r="CW209" s="555"/>
      <c r="CX209" s="802"/>
      <c r="CY209" s="555"/>
      <c r="CZ209" s="555"/>
      <c r="DA209" s="555"/>
      <c r="DB209" s="555"/>
      <c r="DC209" s="802"/>
      <c r="DD209" s="555"/>
      <c r="DE209" s="555"/>
      <c r="DF209" s="555"/>
      <c r="DG209" s="555"/>
      <c r="DH209" s="802"/>
      <c r="DI209" s="555"/>
      <c r="DJ209" s="555"/>
      <c r="DK209" s="555"/>
      <c r="DL209" s="555"/>
      <c r="DM209" s="802"/>
      <c r="DN209" s="555"/>
      <c r="DO209" s="555"/>
      <c r="DP209" s="555"/>
      <c r="DQ209" s="555"/>
      <c r="DR209" s="802"/>
      <c r="DS209" s="555"/>
      <c r="DT209" s="555"/>
      <c r="DU209" s="555"/>
      <c r="DV209" s="555"/>
      <c r="DW209" s="802"/>
      <c r="DX209" s="555"/>
      <c r="DY209" s="555"/>
      <c r="DZ209" s="555"/>
      <c r="EA209" s="555"/>
      <c r="EB209" s="802"/>
      <c r="EC209" s="555"/>
      <c r="ED209" s="555"/>
      <c r="EE209" s="555"/>
      <c r="EF209" s="555"/>
      <c r="EG209" s="802"/>
      <c r="EH209" s="555"/>
      <c r="EI209" s="555"/>
      <c r="EJ209" s="555"/>
      <c r="EK209" s="555"/>
      <c r="EL209" s="802"/>
      <c r="EM209" s="555"/>
      <c r="EN209"/>
      <c r="EO209"/>
      <c r="EP209"/>
      <c r="EQ209"/>
      <c r="ER209"/>
      <c r="ES209"/>
      <c r="ET209" s="135"/>
      <c r="EU209" s="135"/>
      <c r="EV209" s="135"/>
      <c r="EW209" s="135"/>
      <c r="EX209" s="135"/>
      <c r="EY209" s="135"/>
      <c r="EZ209" s="135"/>
      <c r="FA209" s="135"/>
      <c r="FB209" s="135"/>
      <c r="FC209" s="135"/>
      <c r="FD209" s="135"/>
      <c r="FE209" s="135"/>
      <c r="FF209" s="135"/>
      <c r="FG209" s="135"/>
      <c r="FH209" s="135"/>
      <c r="FI209" s="135"/>
      <c r="FJ209" s="135"/>
      <c r="FK209" s="135"/>
      <c r="FL209" s="135"/>
      <c r="FM209" s="135"/>
      <c r="FN209" s="135"/>
      <c r="FO209" s="135"/>
      <c r="FP209" s="135"/>
      <c r="FQ209" s="135"/>
      <c r="FR209" s="135"/>
      <c r="FS209" s="135"/>
      <c r="FT209" s="135"/>
      <c r="FU209" s="135"/>
      <c r="FV209" s="135"/>
      <c r="FW209" s="135"/>
      <c r="FX209" s="135"/>
      <c r="FY209" s="135"/>
      <c r="FZ209" s="135"/>
      <c r="GA209" s="135"/>
      <c r="GB209" s="135"/>
      <c r="GC209" s="135"/>
      <c r="GD209" s="135"/>
      <c r="GE209" s="135"/>
      <c r="GF209" s="135"/>
      <c r="GG209" s="135"/>
      <c r="GH209" s="135"/>
      <c r="GI209" s="135"/>
      <c r="GJ209" s="135"/>
      <c r="GK209" s="135"/>
      <c r="GL209" s="135"/>
      <c r="GM209" s="135"/>
      <c r="GN209" s="135"/>
      <c r="GO209" s="135"/>
      <c r="GP209" s="135"/>
      <c r="GQ209" s="135"/>
      <c r="GR209" s="135"/>
      <c r="GS209" s="135"/>
      <c r="GT209" s="135"/>
      <c r="GU209" s="135"/>
      <c r="GV209" s="135"/>
      <c r="GW209" s="135"/>
      <c r="GX209" s="135"/>
      <c r="GY209" s="135"/>
      <c r="GZ209" s="135"/>
      <c r="HA209" s="135"/>
      <c r="HB209" s="135"/>
      <c r="HC209" s="135"/>
      <c r="HD209" s="135"/>
      <c r="HE209" s="135"/>
      <c r="HF209" s="135"/>
      <c r="HG209" s="135"/>
      <c r="HH209" s="135"/>
      <c r="HI209" s="135"/>
      <c r="HJ209" s="135"/>
      <c r="HK209" s="135"/>
      <c r="HL209" s="135"/>
      <c r="HM209" s="135"/>
      <c r="HN209" s="135"/>
      <c r="HO209" s="135"/>
      <c r="HP209" s="135"/>
      <c r="HQ209" s="135"/>
      <c r="HR209" s="135"/>
      <c r="HS209" s="135"/>
      <c r="HT209" s="135"/>
      <c r="HU209" s="135"/>
      <c r="HV209" s="135"/>
      <c r="HW209" s="135"/>
      <c r="HX209" s="135"/>
      <c r="HY209" s="135"/>
      <c r="HZ209" s="135"/>
      <c r="IA209" s="135"/>
      <c r="IB209" s="135"/>
      <c r="IC209" s="135"/>
      <c r="ID209" s="135"/>
      <c r="IE209" s="135"/>
      <c r="IF209" s="135"/>
      <c r="IG209" s="135"/>
      <c r="IH209" s="135"/>
      <c r="II209" s="135"/>
      <c r="IJ209" s="135"/>
      <c r="IK209" s="135"/>
      <c r="IL209" s="135"/>
      <c r="IM209" s="135"/>
      <c r="IN209" s="135"/>
      <c r="IO209" s="135"/>
      <c r="IP209" s="135"/>
      <c r="IQ209" s="135"/>
      <c r="IR209" s="135"/>
      <c r="IS209" s="135"/>
      <c r="IT209" s="135"/>
      <c r="IU209" s="135"/>
      <c r="IV209" s="135"/>
      <c r="IW209" s="135"/>
      <c r="IX209" s="135"/>
      <c r="IY209" s="135"/>
      <c r="IZ209" s="135"/>
      <c r="JA209" s="135"/>
      <c r="JB209" s="135"/>
      <c r="JC209" s="135"/>
      <c r="JD209" s="135"/>
      <c r="JE209" s="135"/>
      <c r="JF209" s="135"/>
      <c r="JG209" s="135"/>
      <c r="JH209" s="135"/>
    </row>
    <row r="210" spans="1:268" s="142" customFormat="1">
      <c r="A210" s="1435" t="s">
        <v>678</v>
      </c>
      <c r="B210" s="1436"/>
      <c r="C210" s="555"/>
      <c r="D210" s="555"/>
      <c r="E210" s="555"/>
      <c r="F210" s="555"/>
      <c r="G210" s="555"/>
      <c r="H210" s="802"/>
      <c r="I210" s="555"/>
      <c r="J210" s="555"/>
      <c r="K210" s="555"/>
      <c r="L210" s="555"/>
      <c r="M210" s="802"/>
      <c r="N210" s="555"/>
      <c r="O210" s="555"/>
      <c r="P210" s="555"/>
      <c r="Q210" s="555"/>
      <c r="R210" s="802"/>
      <c r="S210" s="555"/>
      <c r="T210" s="555"/>
      <c r="U210" s="555"/>
      <c r="V210" s="555"/>
      <c r="W210" s="802"/>
      <c r="X210" s="555"/>
      <c r="Y210" s="555"/>
      <c r="Z210" s="555"/>
      <c r="AA210" s="555"/>
      <c r="AB210" s="802"/>
      <c r="AC210" s="555"/>
      <c r="AD210" s="555"/>
      <c r="AE210" s="555"/>
      <c r="AF210" s="555"/>
      <c r="AG210" s="802"/>
      <c r="AH210" s="555"/>
      <c r="AI210" s="555"/>
      <c r="AJ210" s="555"/>
      <c r="AK210" s="555"/>
      <c r="AL210" s="802"/>
      <c r="AM210" s="555"/>
      <c r="AN210" s="555"/>
      <c r="AO210" s="555"/>
      <c r="AP210" s="555"/>
      <c r="AQ210" s="802"/>
      <c r="AR210" s="555"/>
      <c r="AS210" s="555"/>
      <c r="AT210" s="555"/>
      <c r="AU210" s="802"/>
      <c r="AV210" s="555"/>
      <c r="AW210" s="555"/>
      <c r="AX210" s="555"/>
      <c r="AY210" s="555"/>
      <c r="AZ210" s="802"/>
      <c r="BA210" s="555"/>
      <c r="BB210" s="555"/>
      <c r="BC210" s="555"/>
      <c r="BD210" s="555"/>
      <c r="BE210" s="802"/>
      <c r="BF210" s="555"/>
      <c r="BG210" s="555"/>
      <c r="BH210" s="555"/>
      <c r="BI210" s="555"/>
      <c r="BJ210" s="802"/>
      <c r="BK210" s="555"/>
      <c r="BL210" s="555"/>
      <c r="BM210" s="555"/>
      <c r="BN210" s="555"/>
      <c r="BO210" s="802"/>
      <c r="BP210" s="555"/>
      <c r="BQ210" s="555"/>
      <c r="BR210" s="555"/>
      <c r="BS210" s="555"/>
      <c r="BT210" s="802"/>
      <c r="BU210" s="555"/>
      <c r="BV210" s="555"/>
      <c r="BW210" s="555"/>
      <c r="BX210" s="555"/>
      <c r="BY210" s="802"/>
      <c r="BZ210" s="557"/>
      <c r="CA210" s="555"/>
      <c r="CB210" s="555"/>
      <c r="CC210" s="555"/>
      <c r="CD210" s="802"/>
      <c r="CE210" s="555"/>
      <c r="CF210" s="555"/>
      <c r="CG210" s="555"/>
      <c r="CH210" s="555"/>
      <c r="CI210" s="802"/>
      <c r="CJ210" s="555"/>
      <c r="CK210" s="555"/>
      <c r="CL210" s="555"/>
      <c r="CM210" s="555"/>
      <c r="CN210" s="802"/>
      <c r="CO210" s="555"/>
      <c r="CP210" s="555"/>
      <c r="CQ210" s="555"/>
      <c r="CR210" s="555"/>
      <c r="CS210" s="802"/>
      <c r="CT210" s="555"/>
      <c r="CU210" s="555"/>
      <c r="CV210" s="555"/>
      <c r="CW210" s="555"/>
      <c r="CX210" s="802"/>
      <c r="CY210" s="555"/>
      <c r="CZ210" s="555"/>
      <c r="DA210" s="555"/>
      <c r="DB210" s="555"/>
      <c r="DC210" s="802"/>
      <c r="DD210" s="555"/>
      <c r="DE210" s="555"/>
      <c r="DF210" s="555"/>
      <c r="DG210" s="555"/>
      <c r="DH210" s="802"/>
      <c r="DI210" s="555"/>
      <c r="DJ210" s="555"/>
      <c r="DK210" s="555"/>
      <c r="DL210" s="555"/>
      <c r="DM210" s="802"/>
      <c r="DN210" s="555"/>
      <c r="DO210" s="555"/>
      <c r="DP210" s="555"/>
      <c r="DQ210" s="555"/>
      <c r="DR210" s="802"/>
      <c r="DS210" s="555"/>
      <c r="DT210" s="555"/>
      <c r="DU210" s="555"/>
      <c r="DV210" s="555"/>
      <c r="DW210" s="802"/>
      <c r="DX210" s="555"/>
      <c r="DY210" s="555"/>
      <c r="DZ210" s="555"/>
      <c r="EA210" s="555"/>
      <c r="EB210" s="802"/>
      <c r="EC210" s="555"/>
      <c r="ED210" s="555"/>
      <c r="EE210" s="555"/>
      <c r="EF210" s="555"/>
      <c r="EG210" s="1047"/>
      <c r="EH210" s="555"/>
      <c r="EI210" s="555"/>
      <c r="EJ210" s="555"/>
      <c r="EK210" s="555"/>
      <c r="EL210" s="1047"/>
      <c r="EM210" s="555"/>
      <c r="EN210"/>
      <c r="EO210"/>
      <c r="EP210"/>
      <c r="EQ210"/>
      <c r="ER210"/>
      <c r="ES210"/>
      <c r="ET210" s="141"/>
      <c r="EU210" s="141"/>
      <c r="EV210" s="141"/>
      <c r="EW210" s="141"/>
      <c r="EX210" s="141"/>
      <c r="EY210" s="141"/>
      <c r="EZ210" s="141"/>
      <c r="FA210" s="141"/>
      <c r="FB210" s="141"/>
      <c r="FC210" s="141"/>
      <c r="FD210" s="141"/>
      <c r="FE210" s="141"/>
      <c r="FF210" s="141"/>
      <c r="FG210" s="141"/>
      <c r="FH210" s="141"/>
      <c r="FI210" s="141"/>
      <c r="FJ210" s="141"/>
      <c r="FK210" s="141"/>
      <c r="FL210" s="141"/>
      <c r="FM210" s="141"/>
      <c r="FN210" s="141"/>
      <c r="FO210" s="141"/>
      <c r="FP210" s="141"/>
      <c r="FQ210" s="141"/>
      <c r="FR210" s="141"/>
      <c r="FS210" s="141"/>
      <c r="FT210" s="141"/>
      <c r="FU210" s="141"/>
      <c r="FV210" s="141"/>
      <c r="FW210" s="141"/>
      <c r="FX210" s="141"/>
      <c r="FY210" s="141"/>
      <c r="FZ210" s="141"/>
      <c r="GA210" s="141"/>
      <c r="GB210" s="141"/>
      <c r="GC210" s="141"/>
      <c r="GD210" s="141"/>
      <c r="GE210" s="141"/>
      <c r="GF210" s="141"/>
      <c r="GG210" s="141"/>
      <c r="GH210" s="141"/>
      <c r="GI210" s="141"/>
      <c r="GJ210" s="141"/>
      <c r="GK210" s="141"/>
      <c r="GL210" s="141"/>
      <c r="GM210" s="141"/>
      <c r="GN210" s="141"/>
      <c r="GO210" s="141"/>
      <c r="GP210" s="141"/>
      <c r="GQ210" s="141"/>
      <c r="GR210" s="141"/>
      <c r="GS210" s="141"/>
      <c r="GT210" s="141"/>
      <c r="GU210" s="141"/>
      <c r="GV210" s="141"/>
      <c r="GW210" s="141"/>
      <c r="GX210" s="141"/>
      <c r="GY210" s="141"/>
      <c r="GZ210" s="141"/>
      <c r="HA210" s="141"/>
      <c r="HB210" s="141"/>
      <c r="HC210" s="141"/>
      <c r="HD210" s="141"/>
      <c r="HE210" s="141"/>
      <c r="HF210" s="141"/>
      <c r="HG210" s="141"/>
      <c r="HH210" s="141"/>
      <c r="HI210" s="141"/>
      <c r="HJ210" s="141"/>
      <c r="HK210" s="141"/>
      <c r="HL210" s="141"/>
      <c r="HM210" s="141"/>
      <c r="HN210" s="141"/>
      <c r="HO210" s="141"/>
      <c r="HP210" s="141"/>
      <c r="HQ210" s="141"/>
      <c r="HR210" s="141"/>
      <c r="HS210" s="141"/>
      <c r="HT210" s="141"/>
      <c r="HU210" s="141"/>
      <c r="HV210" s="141"/>
      <c r="HW210" s="141"/>
      <c r="HX210" s="141"/>
      <c r="HY210" s="141"/>
      <c r="HZ210" s="141"/>
      <c r="IA210" s="141"/>
      <c r="IB210" s="141"/>
      <c r="IC210" s="141"/>
      <c r="ID210" s="141"/>
      <c r="IE210" s="141"/>
      <c r="IF210" s="141"/>
      <c r="IG210" s="141"/>
      <c r="IH210" s="141"/>
      <c r="II210" s="141"/>
      <c r="IJ210" s="141"/>
      <c r="IK210" s="141"/>
      <c r="IL210" s="141"/>
      <c r="IM210" s="141"/>
      <c r="IN210" s="141"/>
      <c r="IO210" s="141"/>
      <c r="IP210" s="141"/>
      <c r="IQ210" s="141"/>
      <c r="IR210" s="141"/>
      <c r="IS210" s="141"/>
      <c r="IT210" s="141"/>
      <c r="IU210" s="141"/>
      <c r="IV210" s="141"/>
      <c r="IW210" s="141"/>
      <c r="IX210" s="141"/>
      <c r="IY210" s="141"/>
      <c r="IZ210" s="141"/>
      <c r="JA210" s="141"/>
      <c r="JB210" s="141"/>
      <c r="JC210" s="141"/>
      <c r="JD210" s="141"/>
      <c r="JE210" s="141"/>
      <c r="JF210" s="141"/>
      <c r="JG210" s="141"/>
      <c r="JH210" s="141"/>
    </row>
    <row r="211" spans="1:268" s="142" customFormat="1">
      <c r="A211" s="1437">
        <v>17</v>
      </c>
      <c r="B211" s="1438">
        <v>17</v>
      </c>
      <c r="C211" s="555"/>
      <c r="D211" s="555"/>
      <c r="E211" s="555"/>
      <c r="F211" s="555"/>
      <c r="G211" s="555"/>
      <c r="H211" s="802"/>
      <c r="I211" s="555"/>
      <c r="J211" s="555"/>
      <c r="K211" s="555"/>
      <c r="L211" s="555"/>
      <c r="M211" s="802"/>
      <c r="N211" s="555"/>
      <c r="O211" s="555"/>
      <c r="P211" s="555"/>
      <c r="Q211" s="555"/>
      <c r="R211" s="802"/>
      <c r="S211" s="555"/>
      <c r="T211" s="555"/>
      <c r="U211" s="555"/>
      <c r="V211" s="555"/>
      <c r="W211" s="802"/>
      <c r="X211" s="555"/>
      <c r="Y211" s="555"/>
      <c r="Z211" s="555"/>
      <c r="AA211" s="555"/>
      <c r="AB211" s="802"/>
      <c r="AC211" s="555"/>
      <c r="AD211" s="555"/>
      <c r="AE211" s="555"/>
      <c r="AF211" s="555"/>
      <c r="AG211" s="802"/>
      <c r="AH211" s="555"/>
      <c r="AI211" s="555"/>
      <c r="AJ211" s="555"/>
      <c r="AK211" s="555"/>
      <c r="AL211" s="802"/>
      <c r="AM211" s="555"/>
      <c r="AN211" s="555"/>
      <c r="AO211" s="555"/>
      <c r="AP211" s="555"/>
      <c r="AQ211" s="802"/>
      <c r="AR211" s="555"/>
      <c r="AS211" s="555"/>
      <c r="AT211" s="555"/>
      <c r="AU211" s="802"/>
      <c r="AV211" s="555"/>
      <c r="AW211" s="555"/>
      <c r="AX211" s="555"/>
      <c r="AY211" s="555"/>
      <c r="AZ211" s="802"/>
      <c r="BA211" s="555"/>
      <c r="BB211" s="555"/>
      <c r="BC211" s="555"/>
      <c r="BD211" s="555"/>
      <c r="BE211" s="802"/>
      <c r="BF211" s="555"/>
      <c r="BG211" s="555"/>
      <c r="BH211" s="555"/>
      <c r="BI211" s="555"/>
      <c r="BJ211" s="802"/>
      <c r="BK211" s="555"/>
      <c r="BL211" s="555"/>
      <c r="BM211" s="555"/>
      <c r="BN211" s="555"/>
      <c r="BO211" s="802"/>
      <c r="BP211" s="555"/>
      <c r="BQ211" s="555"/>
      <c r="BR211" s="555"/>
      <c r="BS211" s="555"/>
      <c r="BT211" s="802"/>
      <c r="BU211" s="555"/>
      <c r="BV211" s="555"/>
      <c r="BW211" s="555"/>
      <c r="BX211" s="555"/>
      <c r="BY211" s="802"/>
      <c r="BZ211" s="557"/>
      <c r="CA211" s="555"/>
      <c r="CB211" s="555"/>
      <c r="CC211" s="555"/>
      <c r="CD211" s="802"/>
      <c r="CE211" s="555"/>
      <c r="CF211" s="555"/>
      <c r="CG211" s="555"/>
      <c r="CH211" s="555"/>
      <c r="CI211" s="802"/>
      <c r="CJ211" s="555"/>
      <c r="CK211" s="555"/>
      <c r="CL211" s="555"/>
      <c r="CM211" s="555"/>
      <c r="CN211" s="802"/>
      <c r="CO211" s="555"/>
      <c r="CP211" s="555"/>
      <c r="CQ211" s="555"/>
      <c r="CR211" s="555"/>
      <c r="CS211" s="802"/>
      <c r="CT211" s="555"/>
      <c r="CU211" s="555"/>
      <c r="CV211" s="555"/>
      <c r="CW211" s="555"/>
      <c r="CX211" s="802"/>
      <c r="CY211" s="555"/>
      <c r="CZ211" s="555"/>
      <c r="DA211" s="555"/>
      <c r="DB211" s="555"/>
      <c r="DC211" s="802"/>
      <c r="DD211" s="555"/>
      <c r="DE211" s="555"/>
      <c r="DF211" s="555"/>
      <c r="DG211" s="555"/>
      <c r="DH211" s="802"/>
      <c r="DI211" s="555"/>
      <c r="DJ211" s="555"/>
      <c r="DK211" s="555"/>
      <c r="DL211" s="555"/>
      <c r="DM211" s="913"/>
      <c r="DN211" s="556"/>
      <c r="DO211" s="556"/>
      <c r="DP211" s="556"/>
      <c r="DQ211" s="556"/>
      <c r="DR211" s="913"/>
      <c r="DS211" s="556"/>
      <c r="DT211" s="556"/>
      <c r="DU211" s="556"/>
      <c r="DV211" s="556"/>
      <c r="DW211" s="913"/>
      <c r="DX211" s="556"/>
      <c r="DY211" s="556"/>
      <c r="DZ211" s="556"/>
      <c r="EA211" s="556"/>
      <c r="EB211" s="913"/>
      <c r="EC211" s="556"/>
      <c r="ED211" s="556"/>
      <c r="EE211" s="556"/>
      <c r="EF211" s="556"/>
      <c r="EG211" s="913"/>
      <c r="EH211" s="556"/>
      <c r="EI211" s="556"/>
      <c r="EJ211" s="556"/>
      <c r="EK211" s="556"/>
      <c r="EL211" s="913"/>
      <c r="EM211" s="555"/>
      <c r="EN211"/>
      <c r="EO211"/>
      <c r="EP211"/>
      <c r="EQ211"/>
      <c r="ER211"/>
      <c r="ES211"/>
      <c r="ET211" s="141"/>
      <c r="EU211" s="141"/>
      <c r="EV211" s="141"/>
      <c r="EW211" s="141"/>
      <c r="EX211" s="141"/>
      <c r="EY211" s="141"/>
      <c r="EZ211" s="141"/>
      <c r="FA211" s="141"/>
      <c r="FB211" s="141"/>
      <c r="FC211" s="141"/>
      <c r="FD211" s="141"/>
      <c r="FE211" s="141"/>
      <c r="FF211" s="141"/>
      <c r="FG211" s="141"/>
      <c r="FH211" s="141"/>
      <c r="FI211" s="141"/>
      <c r="FJ211" s="141"/>
      <c r="FK211" s="141"/>
      <c r="FL211" s="141"/>
      <c r="FM211" s="141"/>
      <c r="FN211" s="141"/>
      <c r="FO211" s="141"/>
      <c r="FP211" s="141"/>
      <c r="FQ211" s="141"/>
      <c r="FR211" s="141"/>
      <c r="FS211" s="141"/>
      <c r="FT211" s="141"/>
      <c r="FU211" s="141"/>
      <c r="FV211" s="141"/>
      <c r="FW211" s="141"/>
      <c r="FX211" s="141"/>
      <c r="FY211" s="141"/>
      <c r="FZ211" s="141"/>
      <c r="GA211" s="141"/>
      <c r="GB211" s="141"/>
      <c r="GC211" s="141"/>
      <c r="GD211" s="141"/>
      <c r="GE211" s="141"/>
      <c r="GF211" s="141"/>
      <c r="GG211" s="141"/>
      <c r="GH211" s="141"/>
      <c r="GI211" s="141"/>
      <c r="GJ211" s="141"/>
      <c r="GK211" s="141"/>
      <c r="GL211" s="141"/>
      <c r="GM211" s="141"/>
      <c r="GN211" s="141"/>
      <c r="GO211" s="141"/>
      <c r="GP211" s="141"/>
      <c r="GQ211" s="141"/>
      <c r="GR211" s="141"/>
      <c r="GS211" s="141"/>
      <c r="GT211" s="141"/>
      <c r="GU211" s="141"/>
      <c r="GV211" s="141"/>
      <c r="GW211" s="141"/>
      <c r="GX211" s="141"/>
      <c r="GY211" s="141"/>
      <c r="GZ211" s="141"/>
      <c r="HA211" s="141"/>
      <c r="HB211" s="141"/>
      <c r="HC211" s="141"/>
      <c r="HD211" s="141"/>
      <c r="HE211" s="141"/>
      <c r="HF211" s="141"/>
      <c r="HG211" s="141"/>
      <c r="HH211" s="141"/>
      <c r="HI211" s="141"/>
      <c r="HJ211" s="141"/>
      <c r="HK211" s="141"/>
      <c r="HL211" s="141"/>
      <c r="HM211" s="141"/>
      <c r="HN211" s="141"/>
      <c r="HO211" s="141"/>
      <c r="HP211" s="141"/>
      <c r="HQ211" s="141"/>
      <c r="HR211" s="141"/>
      <c r="HS211" s="141"/>
      <c r="HT211" s="141"/>
      <c r="HU211" s="141"/>
      <c r="HV211" s="141"/>
      <c r="HW211" s="141"/>
      <c r="HX211" s="141"/>
      <c r="HY211" s="141"/>
      <c r="HZ211" s="141"/>
      <c r="IA211" s="141"/>
      <c r="IB211" s="141"/>
      <c r="IC211" s="141"/>
      <c r="ID211" s="141"/>
      <c r="IE211" s="141"/>
      <c r="IF211" s="141"/>
      <c r="IG211" s="141"/>
      <c r="IH211" s="141"/>
      <c r="II211" s="141"/>
      <c r="IJ211" s="141"/>
      <c r="IK211" s="141"/>
      <c r="IL211" s="141"/>
      <c r="IM211" s="141"/>
      <c r="IN211" s="141"/>
      <c r="IO211" s="141"/>
      <c r="IP211" s="141"/>
      <c r="IQ211" s="141"/>
      <c r="IR211" s="141"/>
      <c r="IS211" s="141"/>
      <c r="IT211" s="141"/>
      <c r="IU211" s="141"/>
      <c r="IV211" s="141"/>
      <c r="IW211" s="141"/>
      <c r="IX211" s="141"/>
      <c r="IY211" s="141"/>
      <c r="IZ211" s="141"/>
      <c r="JA211" s="141"/>
      <c r="JB211" s="141"/>
      <c r="JC211" s="141"/>
      <c r="JD211" s="141"/>
      <c r="JE211" s="141"/>
      <c r="JF211" s="141"/>
      <c r="JG211" s="141"/>
      <c r="JH211" s="141"/>
    </row>
    <row r="212" spans="1:268">
      <c r="A212" s="680"/>
      <c r="B212" s="680"/>
      <c r="C212" s="680"/>
      <c r="D212" s="680"/>
      <c r="E212" s="680"/>
      <c r="F212" s="680"/>
      <c r="G212" s="680"/>
      <c r="H212" s="680"/>
      <c r="I212" s="680"/>
      <c r="J212" s="680"/>
      <c r="K212" s="680"/>
      <c r="L212" s="680"/>
      <c r="M212" s="680"/>
      <c r="N212" s="680"/>
      <c r="O212" s="680"/>
      <c r="P212" s="680"/>
      <c r="Q212" s="680"/>
      <c r="R212" s="680"/>
      <c r="S212" s="680"/>
      <c r="T212" s="680"/>
      <c r="U212" s="680"/>
      <c r="V212" s="680"/>
      <c r="W212" s="680"/>
      <c r="X212" s="680"/>
      <c r="Y212" s="680"/>
      <c r="Z212" s="680"/>
      <c r="AA212" s="680"/>
      <c r="AB212" s="680"/>
      <c r="AC212" s="680"/>
      <c r="AD212" s="680"/>
      <c r="AE212" s="680"/>
      <c r="AF212" s="680"/>
      <c r="AG212" s="680"/>
      <c r="AH212" s="680"/>
      <c r="AI212" s="680"/>
      <c r="AJ212" s="680"/>
      <c r="AK212" s="680"/>
      <c r="AL212" s="680"/>
      <c r="AM212" s="680"/>
      <c r="AN212" s="680"/>
      <c r="AO212" s="680"/>
      <c r="AP212" s="680"/>
      <c r="AQ212" s="680"/>
      <c r="AR212" s="680"/>
      <c r="AS212" s="680"/>
      <c r="AT212" s="680"/>
      <c r="AU212" s="680"/>
      <c r="AV212" s="680"/>
      <c r="AW212" s="680"/>
      <c r="AX212" s="680"/>
      <c r="AY212" s="680"/>
      <c r="AZ212" s="680"/>
      <c r="BA212" s="680"/>
      <c r="BB212" s="680"/>
      <c r="BC212" s="680"/>
      <c r="BD212" s="680"/>
      <c r="BE212" s="680"/>
      <c r="BF212" s="680"/>
      <c r="BG212" s="680"/>
      <c r="BH212" s="680"/>
      <c r="BI212" s="680"/>
      <c r="BJ212" s="680"/>
      <c r="BK212" s="680"/>
      <c r="BL212" s="680"/>
      <c r="BM212" s="680"/>
      <c r="BN212" s="680"/>
      <c r="BO212" s="680"/>
      <c r="BP212" s="680"/>
      <c r="BQ212" s="680"/>
      <c r="BR212" s="680"/>
      <c r="BS212" s="680"/>
      <c r="BT212" s="680"/>
      <c r="BU212" s="680"/>
      <c r="BV212" s="680"/>
      <c r="BW212" s="680"/>
      <c r="BX212" s="680"/>
      <c r="BY212" s="680"/>
      <c r="BZ212" s="680"/>
      <c r="CA212" s="680"/>
      <c r="CB212" s="680"/>
      <c r="CC212" s="680"/>
      <c r="CD212" s="680"/>
      <c r="CE212" s="680"/>
      <c r="CF212" s="680"/>
      <c r="CG212" s="680"/>
      <c r="CH212" s="680"/>
      <c r="CI212" s="680"/>
      <c r="CJ212" s="680"/>
      <c r="CK212" s="680"/>
      <c r="CL212" s="680"/>
      <c r="CM212" s="680"/>
      <c r="CN212" s="680"/>
      <c r="CO212" s="680"/>
      <c r="CP212" s="680"/>
      <c r="CQ212" s="680"/>
      <c r="CR212" s="680"/>
      <c r="CS212" s="680"/>
      <c r="CT212" s="680"/>
      <c r="CU212" s="680"/>
      <c r="CV212" s="680"/>
      <c r="CW212" s="680"/>
      <c r="CX212" s="680"/>
      <c r="CY212" s="680"/>
      <c r="CZ212" s="680"/>
      <c r="DA212" s="680"/>
      <c r="DB212" s="680"/>
      <c r="DC212" s="680"/>
      <c r="DD212" s="680"/>
      <c r="DE212" s="680"/>
      <c r="DF212" s="680"/>
      <c r="DG212" s="680"/>
      <c r="DH212" s="680"/>
      <c r="DI212" s="680"/>
      <c r="DJ212" s="680"/>
      <c r="DK212" s="680"/>
      <c r="DL212" s="680"/>
      <c r="DM212" s="680"/>
      <c r="DN212" s="680"/>
      <c r="DO212" s="680"/>
      <c r="DP212" s="680"/>
      <c r="DQ212" s="680"/>
      <c r="DR212" s="680"/>
      <c r="DS212" s="680"/>
      <c r="DT212" s="680"/>
      <c r="DU212" s="680"/>
      <c r="DV212" s="680"/>
      <c r="DW212" s="680"/>
      <c r="DX212" s="680"/>
      <c r="DY212" s="680"/>
      <c r="DZ212" s="680"/>
      <c r="EA212" s="680"/>
      <c r="EB212" s="680"/>
      <c r="EC212" s="680"/>
      <c r="ED212" s="680"/>
      <c r="EE212" s="680"/>
      <c r="EF212" s="680"/>
      <c r="EG212" s="680"/>
      <c r="EH212" s="680"/>
      <c r="EI212" s="680"/>
      <c r="EJ212" s="680"/>
      <c r="EK212" s="680"/>
      <c r="EL212" s="680"/>
      <c r="EM212" s="680"/>
    </row>
    <row r="213" spans="1:268" customFormat="1" hidden="1" outlineLevel="1"/>
    <row r="214" spans="1:268" collapsed="1">
      <c r="A214" s="680"/>
      <c r="B214" s="680"/>
      <c r="C214" s="680"/>
      <c r="D214" s="680"/>
      <c r="E214" s="680"/>
      <c r="F214" s="680"/>
      <c r="G214" s="680"/>
      <c r="H214" s="680"/>
      <c r="I214" s="680"/>
      <c r="J214" s="680"/>
      <c r="K214" s="680"/>
      <c r="L214" s="680"/>
      <c r="M214" s="680"/>
      <c r="N214" s="680"/>
      <c r="O214" s="680"/>
      <c r="P214" s="680"/>
      <c r="Q214" s="680"/>
      <c r="R214" s="680"/>
      <c r="S214" s="680"/>
      <c r="T214" s="680"/>
      <c r="U214" s="680"/>
      <c r="V214" s="680"/>
      <c r="W214" s="680"/>
      <c r="X214" s="680"/>
      <c r="Y214" s="680"/>
      <c r="Z214" s="680"/>
      <c r="AA214" s="680"/>
      <c r="AB214" s="680"/>
      <c r="AC214" s="680"/>
      <c r="AD214" s="680"/>
      <c r="AE214" s="680"/>
      <c r="AF214" s="680"/>
      <c r="AG214" s="680"/>
      <c r="AH214" s="680"/>
      <c r="AI214" s="680"/>
      <c r="AJ214" s="680"/>
      <c r="AK214" s="680"/>
      <c r="AL214" s="680"/>
      <c r="AM214" s="680"/>
      <c r="AN214" s="680"/>
      <c r="AO214" s="680"/>
      <c r="AP214" s="680"/>
      <c r="AQ214" s="680"/>
      <c r="AR214" s="680"/>
      <c r="AS214" s="680"/>
      <c r="AT214" s="680"/>
      <c r="AU214" s="680"/>
      <c r="AV214" s="680"/>
      <c r="AW214" s="680"/>
      <c r="AX214" s="680"/>
      <c r="AY214" s="680"/>
      <c r="AZ214" s="680"/>
      <c r="BA214" s="680"/>
      <c r="BB214" s="680"/>
      <c r="BC214" s="680"/>
      <c r="BD214" s="680"/>
      <c r="BE214" s="680"/>
      <c r="BF214" s="680"/>
      <c r="BG214" s="680"/>
      <c r="BH214" s="680"/>
      <c r="BI214" s="680"/>
      <c r="BJ214" s="680"/>
      <c r="BK214" s="680"/>
      <c r="BL214" s="680"/>
      <c r="BM214" s="680"/>
      <c r="BN214" s="680"/>
      <c r="BO214" s="680"/>
      <c r="BP214" s="680"/>
      <c r="BQ214" s="680"/>
      <c r="BR214" s="680"/>
      <c r="BS214" s="680"/>
      <c r="BT214" s="680"/>
      <c r="BU214" s="680"/>
      <c r="BV214" s="680"/>
      <c r="BW214" s="680"/>
      <c r="BX214" s="680"/>
      <c r="BY214" s="680"/>
      <c r="BZ214" s="680"/>
      <c r="CA214" s="680"/>
      <c r="CB214" s="680"/>
      <c r="CC214" s="680"/>
      <c r="CD214" s="680"/>
      <c r="CE214" s="680"/>
      <c r="CF214" s="680"/>
      <c r="CG214" s="680"/>
      <c r="CH214" s="680"/>
      <c r="CI214" s="680"/>
      <c r="CJ214" s="680"/>
      <c r="CK214" s="680"/>
      <c r="CL214" s="680"/>
      <c r="CM214" s="680"/>
      <c r="CN214" s="680"/>
      <c r="CO214" s="680"/>
      <c r="CP214" s="680"/>
      <c r="CQ214" s="680"/>
      <c r="CR214" s="680"/>
      <c r="CS214" s="680"/>
      <c r="CT214" s="680"/>
      <c r="CU214" s="680"/>
      <c r="CV214" s="680"/>
      <c r="CW214" s="680"/>
      <c r="CX214" s="680"/>
      <c r="CY214" s="680"/>
      <c r="CZ214" s="680"/>
      <c r="DA214" s="680"/>
      <c r="DB214" s="680"/>
      <c r="DC214" s="680"/>
      <c r="DD214" s="680"/>
      <c r="DE214" s="680"/>
      <c r="DF214" s="680"/>
      <c r="DG214" s="680"/>
      <c r="DH214" s="680"/>
      <c r="DI214" s="680"/>
      <c r="DJ214" s="680"/>
      <c r="DK214" s="680"/>
      <c r="DL214" s="680"/>
      <c r="DM214" s="680"/>
      <c r="DN214" s="680"/>
      <c r="DO214" s="680"/>
      <c r="DP214" s="680"/>
      <c r="DQ214" s="680"/>
      <c r="DR214" s="680"/>
      <c r="DS214" s="680"/>
      <c r="DT214" s="680"/>
      <c r="DU214" s="680"/>
      <c r="DV214" s="680"/>
      <c r="DW214" s="680"/>
      <c r="DX214" s="680"/>
      <c r="DY214" s="680"/>
      <c r="DZ214" s="680"/>
      <c r="EA214" s="680"/>
      <c r="EB214" s="680"/>
      <c r="EC214" s="680"/>
      <c r="ED214" s="680"/>
      <c r="EE214" s="680"/>
      <c r="EF214" s="680"/>
      <c r="EG214" s="680"/>
      <c r="EH214" s="680"/>
      <c r="EI214" s="680"/>
      <c r="EJ214" s="680"/>
      <c r="EK214" s="680"/>
      <c r="EL214" s="680"/>
      <c r="EM214" s="680"/>
    </row>
    <row r="215" spans="1:268">
      <c r="A215" s="680"/>
      <c r="B215" s="680"/>
      <c r="C215" s="680"/>
      <c r="D215" s="680"/>
      <c r="E215" s="680"/>
      <c r="F215" s="680"/>
      <c r="G215" s="680"/>
      <c r="H215" s="680"/>
      <c r="I215" s="680"/>
      <c r="J215" s="680"/>
      <c r="K215" s="680"/>
      <c r="L215" s="680"/>
      <c r="M215" s="680"/>
      <c r="N215" s="680"/>
      <c r="O215" s="680"/>
      <c r="P215" s="680"/>
      <c r="Q215" s="680"/>
      <c r="R215" s="680"/>
      <c r="S215" s="680"/>
      <c r="T215" s="680"/>
      <c r="U215" s="680"/>
      <c r="V215" s="680"/>
      <c r="W215" s="680"/>
      <c r="X215" s="680"/>
      <c r="Y215" s="680"/>
      <c r="Z215" s="680"/>
      <c r="AA215" s="680"/>
      <c r="AB215" s="680"/>
      <c r="AC215" s="680"/>
      <c r="AD215" s="680"/>
      <c r="AE215" s="680"/>
      <c r="AF215" s="680"/>
      <c r="AG215" s="680"/>
      <c r="AH215" s="680"/>
      <c r="AI215" s="680"/>
      <c r="AJ215" s="680"/>
      <c r="AK215" s="680"/>
      <c r="AL215" s="680"/>
      <c r="AM215" s="680"/>
      <c r="AN215" s="680"/>
      <c r="AO215" s="680"/>
      <c r="AP215" s="680"/>
      <c r="AQ215" s="680"/>
      <c r="AR215" s="680"/>
      <c r="AS215" s="680"/>
      <c r="AT215" s="680"/>
      <c r="AU215" s="680"/>
      <c r="AV215" s="680"/>
      <c r="AW215" s="680"/>
      <c r="AX215" s="680"/>
      <c r="AY215" s="680"/>
      <c r="AZ215" s="680"/>
      <c r="BA215" s="680"/>
      <c r="BB215" s="680"/>
      <c r="BC215" s="680"/>
      <c r="BD215" s="680"/>
      <c r="BE215" s="680"/>
      <c r="BF215" s="680"/>
      <c r="BG215" s="680"/>
      <c r="BH215" s="680"/>
      <c r="BI215" s="680"/>
      <c r="BJ215" s="680"/>
      <c r="BK215" s="680"/>
      <c r="BL215" s="680"/>
      <c r="BM215" s="680"/>
      <c r="BN215" s="680"/>
      <c r="BO215" s="680"/>
      <c r="BP215" s="680"/>
      <c r="BQ215" s="680"/>
      <c r="BR215" s="680"/>
      <c r="BS215" s="680"/>
      <c r="BT215" s="680"/>
      <c r="BU215" s="680"/>
      <c r="BV215" s="680"/>
      <c r="BW215" s="680"/>
      <c r="BX215" s="680"/>
      <c r="BY215" s="680"/>
      <c r="BZ215" s="680"/>
      <c r="CA215" s="680"/>
      <c r="CB215" s="680"/>
      <c r="CC215" s="680"/>
      <c r="CD215" s="680"/>
      <c r="CE215" s="680"/>
      <c r="CF215" s="680"/>
      <c r="CG215" s="680"/>
      <c r="CH215" s="680"/>
      <c r="CI215" s="680"/>
      <c r="CJ215" s="680"/>
      <c r="CK215" s="680"/>
      <c r="CL215" s="680"/>
      <c r="CM215" s="680"/>
      <c r="CN215" s="680"/>
      <c r="CO215" s="680"/>
      <c r="CP215" s="680"/>
      <c r="CQ215" s="680"/>
      <c r="CR215" s="680"/>
      <c r="CS215" s="680"/>
      <c r="CT215" s="680"/>
      <c r="CU215" s="680"/>
      <c r="CV215" s="680"/>
      <c r="CW215" s="680"/>
      <c r="CX215" s="680"/>
      <c r="CY215" s="680"/>
      <c r="CZ215" s="680"/>
      <c r="DA215" s="680"/>
      <c r="DB215" s="680"/>
      <c r="DC215" s="680"/>
      <c r="DD215" s="680"/>
      <c r="DE215" s="680"/>
      <c r="DF215" s="680"/>
      <c r="DG215" s="680"/>
      <c r="DH215" s="680"/>
      <c r="DI215" s="680"/>
      <c r="DJ215" s="680"/>
      <c r="DK215" s="680"/>
      <c r="DL215" s="680"/>
      <c r="DM215" s="680"/>
      <c r="DN215" s="680"/>
      <c r="DO215" s="680"/>
      <c r="DP215" s="680"/>
      <c r="DQ215" s="680"/>
      <c r="DR215" s="680"/>
      <c r="DS215" s="680"/>
      <c r="DT215" s="680"/>
      <c r="DU215" s="680"/>
      <c r="DV215" s="680"/>
      <c r="DW215" s="680"/>
      <c r="DX215" s="680"/>
      <c r="DY215" s="680"/>
      <c r="DZ215" s="680"/>
      <c r="EA215" s="680"/>
      <c r="EB215" s="680"/>
      <c r="EC215" s="680"/>
      <c r="ED215" s="680"/>
      <c r="EE215" s="680"/>
      <c r="EF215" s="680"/>
      <c r="EG215" s="680"/>
      <c r="EH215" s="680"/>
      <c r="EI215" s="680"/>
      <c r="EJ215" s="680"/>
      <c r="EK215" s="680"/>
      <c r="EL215" s="680"/>
      <c r="EM215" s="680"/>
    </row>
    <row r="216" spans="1:268">
      <c r="A216" s="680"/>
      <c r="B216" s="680"/>
      <c r="C216" s="680"/>
      <c r="D216" s="680"/>
      <c r="E216" s="680"/>
      <c r="F216" s="680"/>
      <c r="G216" s="680"/>
      <c r="H216" s="680"/>
      <c r="I216" s="680"/>
      <c r="J216" s="680"/>
      <c r="K216" s="680"/>
      <c r="L216" s="680"/>
      <c r="M216" s="680"/>
      <c r="N216" s="680"/>
      <c r="O216" s="680"/>
      <c r="P216" s="680"/>
      <c r="Q216" s="680"/>
      <c r="R216" s="680"/>
      <c r="S216" s="680"/>
      <c r="T216" s="680"/>
      <c r="U216" s="680"/>
      <c r="V216" s="680"/>
      <c r="W216" s="680"/>
      <c r="X216" s="680"/>
      <c r="Y216" s="680"/>
      <c r="Z216" s="680"/>
      <c r="AA216" s="680"/>
      <c r="AB216" s="680"/>
      <c r="AC216" s="680"/>
      <c r="AD216" s="680"/>
      <c r="AE216" s="680"/>
      <c r="AF216" s="680"/>
      <c r="AG216" s="680"/>
      <c r="AH216" s="680"/>
      <c r="AI216" s="680"/>
      <c r="AJ216" s="680"/>
      <c r="AK216" s="680"/>
      <c r="AL216" s="680"/>
      <c r="AM216" s="680"/>
      <c r="AN216" s="680"/>
      <c r="AO216" s="680"/>
      <c r="AP216" s="680"/>
      <c r="AQ216" s="680"/>
      <c r="AR216" s="680"/>
      <c r="AS216" s="680"/>
      <c r="AT216" s="680"/>
      <c r="AU216" s="680"/>
      <c r="AV216" s="680"/>
      <c r="AW216" s="680"/>
      <c r="AX216" s="680"/>
      <c r="AY216" s="680"/>
      <c r="AZ216" s="680"/>
      <c r="BA216" s="680"/>
      <c r="BB216" s="680"/>
      <c r="BC216" s="680"/>
      <c r="BD216" s="680"/>
      <c r="BE216" s="680"/>
      <c r="BF216" s="680"/>
      <c r="BG216" s="680"/>
      <c r="BH216" s="680"/>
      <c r="BI216" s="680"/>
      <c r="BJ216" s="680"/>
      <c r="BK216" s="680"/>
      <c r="BL216" s="680"/>
      <c r="BM216" s="680"/>
      <c r="BN216" s="680"/>
      <c r="BO216" s="680"/>
      <c r="BP216" s="680"/>
      <c r="BQ216" s="680"/>
      <c r="BR216" s="680"/>
      <c r="BS216" s="680"/>
      <c r="BT216" s="680"/>
      <c r="BU216" s="680"/>
      <c r="BV216" s="680"/>
      <c r="BW216" s="680"/>
      <c r="BX216" s="680"/>
      <c r="BY216" s="680"/>
      <c r="BZ216" s="680"/>
      <c r="CA216" s="680"/>
      <c r="CB216" s="680"/>
      <c r="CC216" s="680"/>
      <c r="CD216" s="680"/>
      <c r="CE216" s="680"/>
      <c r="CF216" s="680"/>
      <c r="CG216" s="680"/>
      <c r="CH216" s="680"/>
      <c r="CI216" s="680"/>
      <c r="CJ216" s="680"/>
      <c r="CK216" s="680"/>
      <c r="CL216" s="680"/>
      <c r="CM216" s="680"/>
      <c r="CN216" s="680"/>
      <c r="CO216" s="680"/>
      <c r="CP216" s="680"/>
      <c r="CQ216" s="680"/>
      <c r="CR216" s="680"/>
      <c r="CS216" s="680"/>
      <c r="CT216" s="680"/>
      <c r="CU216" s="680"/>
      <c r="CV216" s="680"/>
      <c r="CW216" s="680"/>
      <c r="CX216" s="680"/>
      <c r="CY216" s="680"/>
      <c r="CZ216" s="680"/>
      <c r="DA216" s="680"/>
      <c r="DB216" s="680"/>
      <c r="DC216" s="680"/>
      <c r="DD216" s="680"/>
      <c r="DE216" s="680"/>
      <c r="DF216" s="680"/>
      <c r="DG216" s="680"/>
      <c r="DH216" s="680"/>
      <c r="DI216" s="680"/>
      <c r="DJ216" s="680"/>
      <c r="DK216" s="680"/>
      <c r="DL216" s="680"/>
      <c r="DM216" s="680"/>
      <c r="DN216" s="680"/>
      <c r="DO216" s="680"/>
      <c r="DP216" s="680"/>
      <c r="DQ216" s="680"/>
      <c r="DR216" s="680"/>
      <c r="DS216" s="680"/>
      <c r="DT216" s="680"/>
      <c r="DU216" s="680"/>
      <c r="DV216" s="680"/>
      <c r="DW216" s="680"/>
      <c r="DX216" s="680"/>
      <c r="DY216" s="680"/>
      <c r="DZ216" s="680"/>
      <c r="EA216" s="680"/>
      <c r="EB216" s="680"/>
      <c r="EC216" s="680"/>
      <c r="ED216" s="680"/>
      <c r="EE216" s="680"/>
      <c r="EF216" s="680"/>
      <c r="EG216" s="680"/>
      <c r="EH216" s="680"/>
      <c r="EI216" s="680"/>
      <c r="EJ216" s="680"/>
      <c r="EK216" s="680"/>
      <c r="EL216" s="680"/>
      <c r="EM216" s="680"/>
    </row>
    <row r="217" spans="1:268">
      <c r="A217" s="680"/>
      <c r="B217" s="680"/>
      <c r="C217" s="680"/>
      <c r="D217" s="680"/>
      <c r="E217" s="680"/>
      <c r="F217" s="680"/>
      <c r="G217" s="680"/>
      <c r="H217" s="680"/>
      <c r="I217" s="680"/>
      <c r="J217" s="680"/>
      <c r="K217" s="680"/>
      <c r="L217" s="680"/>
      <c r="M217" s="680"/>
      <c r="N217" s="680"/>
      <c r="O217" s="680"/>
      <c r="P217" s="680"/>
      <c r="Q217" s="680"/>
      <c r="R217" s="680"/>
      <c r="S217" s="680"/>
      <c r="T217" s="680"/>
      <c r="U217" s="680"/>
      <c r="V217" s="680"/>
      <c r="W217" s="680"/>
      <c r="X217" s="680"/>
      <c r="Y217" s="680"/>
      <c r="Z217" s="680"/>
      <c r="AA217" s="680"/>
      <c r="AB217" s="680"/>
      <c r="AC217" s="680"/>
      <c r="AD217" s="680"/>
      <c r="AE217" s="680"/>
      <c r="AF217" s="680"/>
      <c r="AG217" s="680"/>
      <c r="AH217" s="680"/>
      <c r="AI217" s="680"/>
      <c r="AJ217" s="680"/>
      <c r="AK217" s="680"/>
      <c r="AL217" s="680"/>
      <c r="AM217" s="680"/>
      <c r="AN217" s="680"/>
      <c r="AO217" s="680"/>
      <c r="AP217" s="680"/>
      <c r="AQ217" s="680"/>
      <c r="AR217" s="680"/>
      <c r="AS217" s="680"/>
      <c r="AT217" s="680"/>
      <c r="AU217" s="680"/>
      <c r="AV217" s="680"/>
      <c r="AW217" s="680"/>
      <c r="AX217" s="680"/>
      <c r="AY217" s="680"/>
      <c r="AZ217" s="680"/>
      <c r="BA217" s="680"/>
      <c r="BB217" s="680"/>
      <c r="BC217" s="680"/>
      <c r="BD217" s="680"/>
      <c r="BE217" s="680"/>
      <c r="BF217" s="680"/>
      <c r="BG217" s="680"/>
      <c r="BH217" s="680"/>
      <c r="BI217" s="680"/>
      <c r="BJ217" s="680"/>
      <c r="BK217" s="680"/>
      <c r="BL217" s="680"/>
      <c r="BM217" s="680"/>
      <c r="BN217" s="680"/>
      <c r="BO217" s="680"/>
      <c r="BP217" s="680"/>
      <c r="BQ217" s="680"/>
      <c r="BR217" s="680"/>
      <c r="BS217" s="680"/>
      <c r="BT217" s="680"/>
      <c r="BU217" s="680"/>
      <c r="BV217" s="680"/>
      <c r="BW217" s="680"/>
      <c r="BX217" s="680"/>
      <c r="BY217" s="680"/>
      <c r="BZ217" s="680"/>
      <c r="CA217" s="680"/>
      <c r="CB217" s="680"/>
      <c r="CC217" s="680"/>
      <c r="CD217" s="680"/>
      <c r="CE217" s="680"/>
      <c r="CF217" s="680"/>
      <c r="CG217" s="680"/>
      <c r="CH217" s="680"/>
      <c r="CI217" s="680"/>
      <c r="CJ217" s="680"/>
      <c r="CK217" s="680"/>
      <c r="CL217" s="680"/>
      <c r="CM217" s="680"/>
      <c r="CN217" s="680"/>
      <c r="CO217" s="680"/>
      <c r="CP217" s="680"/>
      <c r="CQ217" s="680"/>
      <c r="CR217" s="680"/>
      <c r="CS217" s="680"/>
      <c r="CT217" s="680"/>
      <c r="CU217" s="680"/>
      <c r="CV217" s="680"/>
      <c r="CW217" s="680"/>
      <c r="CX217" s="680"/>
      <c r="CY217" s="680"/>
      <c r="CZ217" s="680"/>
      <c r="DA217" s="680"/>
      <c r="DB217" s="680"/>
      <c r="DC217" s="680"/>
      <c r="DD217" s="680"/>
      <c r="DE217" s="680"/>
      <c r="DF217" s="680"/>
      <c r="DG217" s="680"/>
      <c r="DH217" s="680"/>
      <c r="DI217" s="680"/>
      <c r="DJ217" s="680"/>
      <c r="DK217" s="680"/>
      <c r="DL217" s="680"/>
      <c r="DM217" s="680"/>
      <c r="DN217" s="680"/>
      <c r="DO217" s="680"/>
      <c r="DP217" s="680"/>
      <c r="DQ217" s="680"/>
      <c r="DR217" s="680"/>
      <c r="DS217" s="680"/>
      <c r="DT217" s="680"/>
      <c r="DU217" s="680"/>
      <c r="DV217" s="680"/>
      <c r="DW217" s="680"/>
      <c r="DX217" s="680"/>
      <c r="DY217" s="680"/>
      <c r="DZ217" s="680"/>
      <c r="EA217" s="680"/>
      <c r="EB217" s="680"/>
      <c r="EC217" s="680"/>
      <c r="ED217" s="680"/>
      <c r="EE217" s="680"/>
      <c r="EF217" s="680"/>
      <c r="EG217" s="680"/>
      <c r="EH217" s="680"/>
      <c r="EI217" s="680"/>
      <c r="EJ217" s="680"/>
      <c r="EK217" s="680"/>
      <c r="EL217" s="680"/>
      <c r="EM217" s="680"/>
    </row>
  </sheetData>
  <phoneticPr fontId="35" type="noConversion"/>
  <conditionalFormatting sqref="CV69:DC69 DH69 DQ69">
    <cfRule type="cellIs" dxfId="36" priority="34" stopIfTrue="1" operator="lessThan">
      <formula>0</formula>
    </cfRule>
  </conditionalFormatting>
  <conditionalFormatting sqref="DD69">
    <cfRule type="cellIs" dxfId="35" priority="33" stopIfTrue="1" operator="lessThan">
      <formula>0</formula>
    </cfRule>
  </conditionalFormatting>
  <conditionalFormatting sqref="DE69">
    <cfRule type="cellIs" dxfId="34" priority="32" stopIfTrue="1" operator="lessThan">
      <formula>0</formula>
    </cfRule>
  </conditionalFormatting>
  <conditionalFormatting sqref="DF69">
    <cfRule type="cellIs" dxfId="33" priority="31" stopIfTrue="1" operator="lessThan">
      <formula>0</formula>
    </cfRule>
  </conditionalFormatting>
  <conditionalFormatting sqref="DG69">
    <cfRule type="cellIs" dxfId="32" priority="29" stopIfTrue="1" operator="lessThan">
      <formula>0</formula>
    </cfRule>
  </conditionalFormatting>
  <conditionalFormatting sqref="DT69:DV69">
    <cfRule type="cellIs" dxfId="31" priority="27" stopIfTrue="1" operator="lessThan">
      <formula>0</formula>
    </cfRule>
  </conditionalFormatting>
  <conditionalFormatting sqref="DI69">
    <cfRule type="cellIs" dxfId="30" priority="25" stopIfTrue="1" operator="lessThan">
      <formula>0</formula>
    </cfRule>
  </conditionalFormatting>
  <conditionalFormatting sqref="DJ69">
    <cfRule type="cellIs" dxfId="29" priority="24" stopIfTrue="1" operator="lessThan">
      <formula>0</formula>
    </cfRule>
  </conditionalFormatting>
  <conditionalFormatting sqref="DK69">
    <cfRule type="cellIs" dxfId="28" priority="23" stopIfTrue="1" operator="lessThan">
      <formula>0</formula>
    </cfRule>
  </conditionalFormatting>
  <conditionalFormatting sqref="DL69">
    <cfRule type="cellIs" dxfId="27" priority="21" stopIfTrue="1" operator="lessThan">
      <formula>0</formula>
    </cfRule>
  </conditionalFormatting>
  <conditionalFormatting sqref="DM69">
    <cfRule type="cellIs" dxfId="26" priority="20" stopIfTrue="1" operator="lessThan">
      <formula>0</formula>
    </cfRule>
  </conditionalFormatting>
  <conditionalFormatting sqref="DX69:EA69">
    <cfRule type="cellIs" dxfId="25" priority="13" stopIfTrue="1" operator="lessThan">
      <formula>0</formula>
    </cfRule>
  </conditionalFormatting>
  <conditionalFormatting sqref="EC69:EF69">
    <cfRule type="cellIs" dxfId="24" priority="11" stopIfTrue="1" operator="lessThan">
      <formula>0</formula>
    </cfRule>
  </conditionalFormatting>
  <conditionalFormatting sqref="EG69">
    <cfRule type="cellIs" dxfId="23" priority="10" stopIfTrue="1" operator="lessThan">
      <formula>0</formula>
    </cfRule>
  </conditionalFormatting>
  <conditionalFormatting sqref="DR69">
    <cfRule type="cellIs" dxfId="22" priority="9" stopIfTrue="1" operator="lessThan">
      <formula>0</formula>
    </cfRule>
  </conditionalFormatting>
  <conditionalFormatting sqref="DW69">
    <cfRule type="cellIs" dxfId="21" priority="8" stopIfTrue="1" operator="lessThan">
      <formula>0</formula>
    </cfRule>
  </conditionalFormatting>
  <conditionalFormatting sqref="EB69">
    <cfRule type="cellIs" dxfId="20" priority="7" stopIfTrue="1" operator="lessThan">
      <formula>0</formula>
    </cfRule>
  </conditionalFormatting>
  <conditionalFormatting sqref="DN69">
    <cfRule type="cellIs" dxfId="19" priority="6" stopIfTrue="1" operator="lessThan">
      <formula>0</formula>
    </cfRule>
  </conditionalFormatting>
  <conditionalFormatting sqref="DO69">
    <cfRule type="cellIs" dxfId="18" priority="5" stopIfTrue="1" operator="lessThan">
      <formula>0</formula>
    </cfRule>
  </conditionalFormatting>
  <conditionalFormatting sqref="DP69">
    <cfRule type="cellIs" dxfId="17" priority="4" stopIfTrue="1" operator="lessThan">
      <formula>0</formula>
    </cfRule>
  </conditionalFormatting>
  <conditionalFormatting sqref="DS69">
    <cfRule type="cellIs" dxfId="16" priority="3" stopIfTrue="1" operator="lessThan">
      <formula>0</formula>
    </cfRule>
  </conditionalFormatting>
  <conditionalFormatting sqref="EH69:EK69">
    <cfRule type="cellIs" dxfId="15" priority="2" stopIfTrue="1" operator="lessThan">
      <formula>0</formula>
    </cfRule>
  </conditionalFormatting>
  <conditionalFormatting sqref="EL69">
    <cfRule type="cellIs" dxfId="14" priority="1" stopIfTrue="1" operator="lessThan">
      <formula>0</formula>
    </cfRule>
  </conditionalFormatting>
  <pageMargins left="0" right="0" top="0" bottom="0" header="0" footer="0"/>
  <pageSetup paperSize="5" scale="94"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L477"/>
  <sheetViews>
    <sheetView showGridLines="0" zoomScaleNormal="100" workbookViewId="0">
      <pane xSplit="2" ySplit="5" topLeftCell="DM6" activePane="bottomRight" state="frozen"/>
      <selection pane="topRight" activeCell="B1" sqref="B1"/>
      <selection pane="bottomLeft" activeCell="A8" sqref="A8"/>
      <selection pane="bottomRight" activeCell="DR7" sqref="DR7"/>
    </sheetView>
  </sheetViews>
  <sheetFormatPr defaultRowHeight="12.75" outlineLevelRow="1" outlineLevelCol="1"/>
  <cols>
    <col min="1" max="1" width="1.140625" style="89" customWidth="1"/>
    <col min="2" max="2" width="32.85546875" style="89" customWidth="1"/>
    <col min="3" max="3" width="4.85546875" style="89" hidden="1" customWidth="1"/>
    <col min="4" max="22" width="9" style="89" hidden="1" customWidth="1"/>
    <col min="23" max="23" width="9.85546875" style="89" hidden="1" customWidth="1"/>
    <col min="24" max="46" width="9" style="89" hidden="1" customWidth="1"/>
    <col min="47" max="47" width="1.42578125" style="89" hidden="1" customWidth="1"/>
    <col min="48" max="62" width="9" style="89" hidden="1" customWidth="1"/>
    <col min="63" max="63" width="10.42578125" style="89" hidden="1" customWidth="1"/>
    <col min="64" max="67" width="9" style="89" hidden="1" customWidth="1"/>
    <col min="68" max="68" width="10.42578125" style="89" hidden="1" customWidth="1"/>
    <col min="69" max="72" width="9" style="89" hidden="1" customWidth="1"/>
    <col min="73" max="73" width="10.42578125" style="89" hidden="1" customWidth="1"/>
    <col min="74" max="77" width="9" style="89" hidden="1" customWidth="1"/>
    <col min="78" max="78" width="10.42578125" style="89" hidden="1" customWidth="1"/>
    <col min="79" max="82" width="9" style="89" hidden="1" customWidth="1"/>
    <col min="83" max="83" width="10.42578125" style="89" hidden="1" customWidth="1"/>
    <col min="84" max="87" width="9" style="89" hidden="1" customWidth="1"/>
    <col min="88" max="88" width="10.42578125" style="89" hidden="1" customWidth="1"/>
    <col min="89" max="92" width="9" style="89" hidden="1" customWidth="1"/>
    <col min="93" max="93" width="10.42578125" style="89" hidden="1" customWidth="1"/>
    <col min="94" max="97" width="9" style="89" hidden="1" customWidth="1"/>
    <col min="98" max="98" width="10.42578125" style="89" hidden="1" customWidth="1"/>
    <col min="99" max="102" width="9" style="89" hidden="1" customWidth="1"/>
    <col min="103" max="103" width="10.42578125" style="89" hidden="1" customWidth="1"/>
    <col min="104" max="107" width="9" style="89" hidden="1" customWidth="1"/>
    <col min="108" max="108" width="10.42578125" style="89" hidden="1" customWidth="1"/>
    <col min="109" max="112" width="9" style="89" hidden="1" customWidth="1"/>
    <col min="113" max="113" width="10.42578125" style="89" hidden="1" customWidth="1" outlineLevel="1"/>
    <col min="114" max="116" width="9" style="89" hidden="1" customWidth="1" outlineLevel="1"/>
    <col min="117" max="117" width="9.85546875" style="89" hidden="1" customWidth="1" collapsed="1"/>
    <col min="118" max="118" width="10.42578125" style="89" hidden="1" customWidth="1" outlineLevel="1"/>
    <col min="119" max="121" width="9" style="89" hidden="1" customWidth="1" outlineLevel="1"/>
    <col min="122" max="122" width="9" style="89" customWidth="1" collapsed="1"/>
    <col min="123" max="126" width="9" style="89" hidden="1" customWidth="1" outlineLevel="1"/>
    <col min="127" max="127" width="9" style="89" customWidth="1" collapsed="1"/>
    <col min="128" max="131" width="9" style="89" customWidth="1" outlineLevel="1"/>
    <col min="132" max="132" width="9" style="89" customWidth="1"/>
    <col min="133" max="136" width="9" style="89" customWidth="1" outlineLevel="1"/>
    <col min="137" max="137" width="9" style="89" customWidth="1"/>
    <col min="138" max="141" width="9" style="89" hidden="1" customWidth="1" outlineLevel="1"/>
    <col min="142" max="142" width="9" style="89" customWidth="1" collapsed="1"/>
    <col min="143" max="16384" width="9.140625" style="89"/>
  </cols>
  <sheetData>
    <row r="1" spans="1:142" ht="15.75">
      <c r="A1" s="627" t="s">
        <v>331</v>
      </c>
      <c r="B1" s="627"/>
      <c r="C1" s="628"/>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8"/>
      <c r="AI1" s="628"/>
      <c r="AJ1" s="628"/>
      <c r="AK1" s="640"/>
      <c r="AL1" s="628"/>
      <c r="AM1" s="628"/>
      <c r="AN1" s="628"/>
      <c r="AO1" s="628"/>
      <c r="AP1" s="628"/>
      <c r="AQ1" s="641"/>
      <c r="AR1" s="640"/>
      <c r="AS1" s="628"/>
      <c r="AT1" s="628"/>
      <c r="AU1" s="628"/>
      <c r="AV1" s="628"/>
      <c r="AW1" s="628"/>
      <c r="AX1" s="628"/>
      <c r="AY1" s="628"/>
      <c r="AZ1" s="628"/>
      <c r="BA1" s="628"/>
      <c r="BB1" s="628"/>
      <c r="BC1" s="628"/>
      <c r="BD1" s="628"/>
      <c r="BE1" s="628"/>
      <c r="BF1" s="628"/>
      <c r="BG1" s="628"/>
      <c r="BH1" s="628"/>
      <c r="BI1" s="628"/>
      <c r="BJ1" s="628"/>
      <c r="BK1" s="650"/>
      <c r="BL1" s="650"/>
      <c r="BM1" s="650"/>
      <c r="BN1" s="650"/>
      <c r="BO1" s="650"/>
      <c r="BP1" s="650"/>
      <c r="BQ1" s="650"/>
      <c r="BR1" s="650"/>
      <c r="BS1" s="650"/>
      <c r="BT1" s="650"/>
      <c r="BU1" s="650"/>
      <c r="BV1" s="650"/>
      <c r="BW1" s="650"/>
      <c r="BX1" s="650"/>
      <c r="BY1" s="650"/>
      <c r="BZ1" s="650"/>
      <c r="CA1" s="650"/>
      <c r="CB1" s="650"/>
      <c r="CC1" s="650"/>
      <c r="CD1" s="650"/>
      <c r="CE1" s="650"/>
      <c r="CF1" s="650"/>
      <c r="CG1" s="650"/>
      <c r="CH1" s="650"/>
      <c r="CI1" s="650"/>
      <c r="CJ1" s="650"/>
      <c r="CK1" s="650"/>
      <c r="CL1" s="650"/>
      <c r="CM1" s="650"/>
      <c r="CN1" s="650"/>
      <c r="CO1" s="650"/>
      <c r="CP1" s="650"/>
      <c r="CQ1" s="650"/>
      <c r="CR1" s="650"/>
      <c r="CS1" s="650"/>
      <c r="CT1" s="650"/>
      <c r="CU1" s="650"/>
      <c r="CV1" s="650"/>
      <c r="CW1" s="650"/>
      <c r="CX1" s="650"/>
      <c r="CY1" s="650"/>
      <c r="CZ1" s="650"/>
      <c r="DA1" s="650"/>
      <c r="DB1" s="650"/>
      <c r="DC1" s="650"/>
      <c r="DD1" s="650"/>
      <c r="DE1" s="650"/>
      <c r="DF1" s="650"/>
      <c r="DG1" s="650"/>
      <c r="DH1" s="650"/>
      <c r="DI1" s="650"/>
      <c r="DJ1" s="650"/>
      <c r="DK1" s="650"/>
      <c r="DL1" s="650"/>
      <c r="DM1" s="650"/>
      <c r="DN1" s="650"/>
      <c r="DO1" s="650"/>
      <c r="DP1" s="650"/>
      <c r="DQ1" s="650"/>
      <c r="DR1" s="650"/>
      <c r="DS1" s="650"/>
      <c r="DT1" s="650"/>
      <c r="DU1" s="650"/>
      <c r="DV1" s="650"/>
      <c r="DW1" s="650"/>
      <c r="DX1" s="650"/>
      <c r="DY1" s="650"/>
      <c r="DZ1" s="650"/>
      <c r="EA1" s="650"/>
      <c r="EB1" s="650"/>
      <c r="EC1" s="650"/>
      <c r="ED1" s="650"/>
      <c r="EE1" s="650"/>
      <c r="EF1" s="650"/>
      <c r="EG1" s="650"/>
      <c r="EH1" s="650"/>
      <c r="EI1" s="650"/>
      <c r="EJ1" s="650"/>
      <c r="EK1" s="650"/>
      <c r="EL1" s="650"/>
    </row>
    <row r="2" spans="1:142" ht="13.5" thickBot="1">
      <c r="A2" s="634" t="s">
        <v>112</v>
      </c>
      <c r="B2" s="634"/>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5"/>
      <c r="AK2" s="635"/>
      <c r="AL2" s="635"/>
      <c r="AM2" s="635"/>
      <c r="AN2" s="635"/>
      <c r="AO2" s="635"/>
      <c r="AP2" s="635"/>
      <c r="AQ2" s="635"/>
      <c r="AR2" s="635"/>
      <c r="AS2" s="635"/>
      <c r="AT2" s="635"/>
      <c r="AU2" s="635"/>
      <c r="AV2" s="635"/>
      <c r="AW2" s="635"/>
      <c r="AX2" s="635"/>
      <c r="AY2" s="635"/>
      <c r="AZ2" s="635"/>
      <c r="BA2" s="635"/>
      <c r="BB2" s="635"/>
      <c r="BC2" s="635"/>
      <c r="BD2" s="635"/>
      <c r="BE2" s="635"/>
      <c r="BF2" s="635"/>
      <c r="BG2" s="635"/>
      <c r="BH2" s="635"/>
      <c r="BI2" s="635"/>
      <c r="BJ2" s="635"/>
      <c r="BK2" s="651"/>
      <c r="BL2" s="651"/>
      <c r="BM2" s="635"/>
      <c r="BN2" s="635"/>
      <c r="BO2" s="652"/>
      <c r="BP2" s="651"/>
      <c r="BQ2" s="651"/>
      <c r="BR2" s="635"/>
      <c r="BS2" s="635"/>
      <c r="BT2" s="652"/>
      <c r="BU2" s="651"/>
      <c r="BV2" s="651"/>
      <c r="BW2" s="635"/>
      <c r="BX2" s="635"/>
      <c r="BY2" s="652"/>
      <c r="BZ2" s="651"/>
      <c r="CA2" s="651"/>
      <c r="CB2" s="635"/>
      <c r="CC2" s="635"/>
      <c r="CD2" s="652"/>
      <c r="CE2" s="651"/>
      <c r="CF2" s="651"/>
      <c r="CG2" s="635"/>
      <c r="CH2" s="635"/>
      <c r="CI2" s="652"/>
      <c r="CJ2" s="651"/>
      <c r="CK2" s="651"/>
      <c r="CL2" s="635"/>
      <c r="CM2" s="635"/>
      <c r="CN2" s="652"/>
      <c r="CO2" s="651"/>
      <c r="CP2" s="651"/>
      <c r="CQ2" s="635"/>
      <c r="CR2" s="635"/>
      <c r="CS2" s="652"/>
      <c r="CT2" s="651"/>
      <c r="CU2" s="651"/>
      <c r="CV2" s="635"/>
      <c r="CW2" s="635"/>
      <c r="CX2" s="652"/>
      <c r="CY2" s="651"/>
      <c r="CZ2" s="651"/>
      <c r="DA2" s="635"/>
      <c r="DB2" s="635"/>
      <c r="DC2" s="652"/>
      <c r="DD2" s="651"/>
      <c r="DE2" s="651"/>
      <c r="DF2" s="635"/>
      <c r="DG2" s="635"/>
      <c r="DH2" s="652"/>
      <c r="DI2" s="651"/>
      <c r="DJ2" s="651"/>
      <c r="DK2" s="635"/>
      <c r="DL2" s="635"/>
      <c r="DM2" s="652"/>
      <c r="DN2" s="651"/>
      <c r="DO2" s="651"/>
      <c r="DP2" s="635"/>
      <c r="DQ2" s="635"/>
      <c r="DR2" s="652"/>
      <c r="DS2" s="652"/>
      <c r="DT2" s="652"/>
      <c r="DU2" s="652"/>
      <c r="DV2" s="652"/>
      <c r="DW2" s="652"/>
      <c r="DX2" s="652"/>
      <c r="DY2" s="652"/>
      <c r="DZ2" s="652"/>
      <c r="EA2" s="652"/>
      <c r="EB2" s="652"/>
      <c r="EC2" s="652"/>
      <c r="ED2" s="652"/>
      <c r="EE2" s="652"/>
      <c r="EF2" s="652"/>
      <c r="EG2" s="652"/>
      <c r="EH2" s="652"/>
      <c r="EI2" s="652"/>
      <c r="EJ2" s="652"/>
      <c r="EK2" s="652"/>
      <c r="EL2" s="652"/>
    </row>
    <row r="3" spans="1:142" ht="13.5" hidden="1" thickBot="1">
      <c r="A3" s="180"/>
      <c r="B3" s="180" t="s">
        <v>385</v>
      </c>
      <c r="C3" s="181"/>
      <c r="D3" s="181">
        <v>34577</v>
      </c>
      <c r="E3" s="181">
        <v>34668</v>
      </c>
      <c r="F3" s="181">
        <v>34758</v>
      </c>
      <c r="G3" s="181">
        <v>34850</v>
      </c>
      <c r="H3" s="182"/>
      <c r="I3" s="181">
        <v>34942</v>
      </c>
      <c r="J3" s="181">
        <v>35033</v>
      </c>
      <c r="K3" s="181">
        <v>35123</v>
      </c>
      <c r="L3" s="181">
        <v>35216</v>
      </c>
      <c r="M3" s="182"/>
      <c r="N3" s="181">
        <v>35308</v>
      </c>
      <c r="O3" s="181">
        <v>35399</v>
      </c>
      <c r="P3" s="181">
        <v>35489</v>
      </c>
      <c r="Q3" s="181">
        <v>35581</v>
      </c>
      <c r="R3" s="182"/>
      <c r="S3" s="181">
        <v>35673</v>
      </c>
      <c r="T3" s="181">
        <v>35764</v>
      </c>
      <c r="U3" s="181">
        <v>35854</v>
      </c>
      <c r="V3" s="181">
        <v>35946</v>
      </c>
      <c r="W3" s="182"/>
      <c r="X3" s="181">
        <v>36038</v>
      </c>
      <c r="Y3" s="181">
        <v>36129</v>
      </c>
      <c r="Z3" s="181">
        <v>36219</v>
      </c>
      <c r="AA3" s="181">
        <v>36311</v>
      </c>
      <c r="AB3" s="182"/>
      <c r="AC3" s="181">
        <v>36403</v>
      </c>
      <c r="AD3" s="181">
        <v>36494</v>
      </c>
      <c r="AE3" s="181">
        <v>36584</v>
      </c>
      <c r="AF3" s="181">
        <v>36677</v>
      </c>
      <c r="AG3" s="182"/>
      <c r="AH3" s="181">
        <v>36769</v>
      </c>
      <c r="AI3" s="181">
        <v>36860</v>
      </c>
      <c r="AJ3" s="181">
        <v>36950</v>
      </c>
      <c r="AK3" s="181">
        <v>37042</v>
      </c>
      <c r="AL3" s="182"/>
      <c r="AM3" s="181">
        <v>37134</v>
      </c>
      <c r="AN3" s="181">
        <v>37225</v>
      </c>
      <c r="AO3" s="181">
        <v>37315</v>
      </c>
      <c r="AP3" s="181">
        <v>37407</v>
      </c>
      <c r="AQ3" s="182"/>
      <c r="AR3" s="181">
        <v>37499</v>
      </c>
      <c r="AS3" s="181">
        <v>37590</v>
      </c>
      <c r="AT3" s="181">
        <v>37680</v>
      </c>
      <c r="AU3" s="137"/>
      <c r="AV3" s="181">
        <v>37346</v>
      </c>
      <c r="AW3" s="181">
        <v>37437</v>
      </c>
      <c r="AX3" s="181">
        <v>37529</v>
      </c>
      <c r="AY3" s="181">
        <v>37621</v>
      </c>
      <c r="AZ3" s="182"/>
      <c r="BA3" s="181">
        <v>37711</v>
      </c>
      <c r="BB3" s="181">
        <v>37802</v>
      </c>
      <c r="BC3" s="181">
        <v>37894</v>
      </c>
      <c r="BD3" s="181">
        <v>37986</v>
      </c>
      <c r="BE3" s="182"/>
      <c r="BF3" s="181">
        <v>38077</v>
      </c>
      <c r="BG3" s="181">
        <v>38168</v>
      </c>
      <c r="BH3" s="181">
        <v>38260</v>
      </c>
      <c r="BI3" s="181">
        <v>38352</v>
      </c>
      <c r="BJ3" s="182"/>
      <c r="BK3" s="138">
        <v>38442</v>
      </c>
      <c r="BL3" s="138">
        <v>38533</v>
      </c>
      <c r="BM3" s="138">
        <v>38625</v>
      </c>
      <c r="BN3" s="138">
        <v>38717</v>
      </c>
      <c r="BO3" s="139"/>
      <c r="BP3" s="138">
        <v>38807</v>
      </c>
      <c r="BQ3" s="138">
        <v>38898</v>
      </c>
      <c r="BR3" s="138">
        <v>38990</v>
      </c>
      <c r="BS3" s="138">
        <v>39082</v>
      </c>
      <c r="BT3" s="139"/>
      <c r="BU3" s="138">
        <v>39172</v>
      </c>
      <c r="BV3" s="138">
        <v>39263</v>
      </c>
      <c r="BW3" s="138">
        <v>39355</v>
      </c>
      <c r="BX3" s="138">
        <v>39447</v>
      </c>
      <c r="BY3" s="139"/>
      <c r="BZ3" s="138">
        <v>39538</v>
      </c>
      <c r="CA3" s="138">
        <v>39629</v>
      </c>
      <c r="CB3" s="138">
        <v>39721</v>
      </c>
      <c r="CC3" s="138">
        <v>39813</v>
      </c>
      <c r="CD3" s="139"/>
      <c r="CE3" s="138">
        <v>39903</v>
      </c>
      <c r="CF3" s="138">
        <v>39994</v>
      </c>
      <c r="CG3" s="138">
        <v>40086</v>
      </c>
      <c r="CH3" s="138">
        <v>40178</v>
      </c>
      <c r="CI3" s="139"/>
      <c r="CJ3" s="138">
        <v>40268</v>
      </c>
      <c r="CK3" s="138">
        <v>40359</v>
      </c>
      <c r="CL3" s="138">
        <v>40451</v>
      </c>
      <c r="CM3" s="138">
        <v>40543</v>
      </c>
      <c r="CN3" s="139"/>
      <c r="CO3" s="138">
        <v>40633</v>
      </c>
      <c r="CP3" s="138">
        <v>40724</v>
      </c>
      <c r="CQ3" s="138">
        <v>40816</v>
      </c>
      <c r="CR3" s="138">
        <v>40908</v>
      </c>
      <c r="CS3" s="139"/>
      <c r="CT3" s="138">
        <f>IS!CT3</f>
        <v>40999</v>
      </c>
      <c r="CU3" s="138">
        <f>IS!CU3</f>
        <v>41090</v>
      </c>
      <c r="CV3" s="138">
        <f>IS!CV3</f>
        <v>41182</v>
      </c>
      <c r="CW3" s="138">
        <f>IS!CW3</f>
        <v>41274</v>
      </c>
      <c r="CX3" s="139"/>
      <c r="CY3" s="138">
        <f>IS!CY3</f>
        <v>41364</v>
      </c>
      <c r="CZ3" s="138">
        <f>IS!CZ3</f>
        <v>41455</v>
      </c>
      <c r="DA3" s="138">
        <f>IS!DA3</f>
        <v>41547</v>
      </c>
      <c r="DB3" s="138">
        <f>IS!DB3</f>
        <v>41639</v>
      </c>
      <c r="DC3" s="139"/>
      <c r="DD3" s="138">
        <f>IS!DD3</f>
        <v>41729</v>
      </c>
      <c r="DE3" s="138">
        <f>IS!DE3</f>
        <v>41820</v>
      </c>
      <c r="DF3" s="138">
        <f>IS!DF3</f>
        <v>41912</v>
      </c>
      <c r="DG3" s="138">
        <f>IS!DG3</f>
        <v>42004</v>
      </c>
      <c r="DH3" s="139"/>
      <c r="DI3" s="138">
        <f>IS!DI3</f>
        <v>42094</v>
      </c>
      <c r="DJ3" s="138">
        <f>IS!DJ3</f>
        <v>42185</v>
      </c>
      <c r="DK3" s="138">
        <f>IS!DK3</f>
        <v>42277</v>
      </c>
      <c r="DL3" s="138">
        <f>IS!DL3</f>
        <v>42369</v>
      </c>
      <c r="DM3" s="139"/>
      <c r="DN3" s="138">
        <f>IS!DN3</f>
        <v>42460</v>
      </c>
      <c r="DO3" s="138">
        <f>IS!DO3</f>
        <v>42551</v>
      </c>
      <c r="DP3" s="138">
        <f>IS!DP3</f>
        <v>42643</v>
      </c>
      <c r="DQ3" s="138">
        <f>IS!DQ3</f>
        <v>42735</v>
      </c>
      <c r="DR3" s="139"/>
      <c r="DS3" s="138">
        <f>IS!DS3</f>
        <v>42825</v>
      </c>
      <c r="DT3" s="138">
        <f>IS!DT3</f>
        <v>42916</v>
      </c>
      <c r="DU3" s="138">
        <f>IS!DU3</f>
        <v>43008</v>
      </c>
      <c r="DV3" s="138">
        <f>IS!DV3</f>
        <v>43100</v>
      </c>
      <c r="DW3" s="139"/>
      <c r="DX3" s="138">
        <f>IS!DX3</f>
        <v>43190</v>
      </c>
      <c r="DY3" s="138">
        <f>IS!DY3</f>
        <v>43281</v>
      </c>
      <c r="DZ3" s="138">
        <f>IS!DZ3</f>
        <v>43373</v>
      </c>
      <c r="EA3" s="138">
        <f>IS!EA3</f>
        <v>43465</v>
      </c>
      <c r="EB3" s="139"/>
      <c r="EC3" s="138">
        <f>IS!EC3</f>
        <v>43555</v>
      </c>
      <c r="ED3" s="138">
        <f>IS!ED3</f>
        <v>43646</v>
      </c>
      <c r="EE3" s="138">
        <f>IS!EE3</f>
        <v>43738</v>
      </c>
      <c r="EF3" s="138">
        <f>IS!EF3</f>
        <v>43830</v>
      </c>
      <c r="EG3" s="139"/>
      <c r="EH3" s="138">
        <f>IS!EH3</f>
        <v>43921</v>
      </c>
      <c r="EI3" s="138">
        <f>IS!EI3</f>
        <v>44012</v>
      </c>
      <c r="EJ3" s="138">
        <f>IS!EJ3</f>
        <v>44104</v>
      </c>
      <c r="EK3" s="138">
        <f>IS!EK3</f>
        <v>44196</v>
      </c>
      <c r="EL3" s="139"/>
    </row>
    <row r="4" spans="1:142">
      <c r="A4" s="575"/>
      <c r="B4" s="575"/>
      <c r="C4" s="576"/>
      <c r="D4" s="576"/>
      <c r="E4" s="576"/>
      <c r="F4" s="576"/>
      <c r="G4" s="576"/>
      <c r="H4" s="15"/>
      <c r="I4" s="576"/>
      <c r="J4" s="576"/>
      <c r="K4" s="576"/>
      <c r="L4" s="576"/>
      <c r="M4" s="15"/>
      <c r="N4" s="576"/>
      <c r="O4" s="576"/>
      <c r="P4" s="576"/>
      <c r="Q4" s="576"/>
      <c r="R4" s="15"/>
      <c r="S4" s="576"/>
      <c r="T4" s="576"/>
      <c r="U4" s="576"/>
      <c r="V4" s="576"/>
      <c r="W4" s="15"/>
      <c r="X4" s="576"/>
      <c r="Y4" s="576"/>
      <c r="Z4" s="576"/>
      <c r="AA4" s="576"/>
      <c r="AB4" s="15"/>
      <c r="AC4" s="576"/>
      <c r="AD4" s="576"/>
      <c r="AE4" s="576"/>
      <c r="AF4" s="576"/>
      <c r="AG4" s="15"/>
      <c r="AH4" s="576"/>
      <c r="AI4" s="576"/>
      <c r="AJ4" s="576"/>
      <c r="AK4" s="576"/>
      <c r="AL4" s="15"/>
      <c r="AM4" s="576"/>
      <c r="AN4" s="576"/>
      <c r="AO4" s="576"/>
      <c r="AP4" s="576"/>
      <c r="AQ4" s="15"/>
      <c r="AR4" s="576"/>
      <c r="AS4" s="576"/>
      <c r="AT4" s="576"/>
      <c r="AU4" s="137"/>
      <c r="AV4" s="576"/>
      <c r="AW4" s="576"/>
      <c r="AX4" s="576"/>
      <c r="AY4" s="576"/>
      <c r="AZ4" s="15"/>
      <c r="BA4" s="576"/>
      <c r="BB4" s="576"/>
      <c r="BC4" s="576"/>
      <c r="BD4" s="576"/>
      <c r="BE4" s="15"/>
      <c r="BF4" s="589"/>
      <c r="BG4" s="589"/>
      <c r="BH4" s="589"/>
      <c r="BI4" s="589"/>
      <c r="BJ4" s="600"/>
      <c r="BK4" s="596"/>
      <c r="BL4" s="596"/>
      <c r="BM4" s="596"/>
      <c r="BN4" s="596"/>
      <c r="BO4" s="598"/>
      <c r="BP4" s="596"/>
      <c r="BQ4" s="596"/>
      <c r="BR4" s="596"/>
      <c r="BS4" s="596"/>
      <c r="BT4" s="598"/>
      <c r="BU4" s="596"/>
      <c r="BV4" s="596"/>
      <c r="BW4" s="596"/>
      <c r="BX4" s="596"/>
      <c r="BY4" s="598"/>
      <c r="BZ4" s="596"/>
      <c r="CA4" s="596"/>
      <c r="CB4" s="596"/>
      <c r="CC4" s="596"/>
      <c r="CD4" s="598"/>
      <c r="CE4" s="596"/>
      <c r="CF4" s="596"/>
      <c r="CG4" s="596"/>
      <c r="CH4" s="596"/>
      <c r="CI4" s="598"/>
      <c r="CJ4" s="596"/>
      <c r="CK4" s="596"/>
      <c r="CL4" s="596"/>
      <c r="CM4" s="596"/>
      <c r="CN4" s="598"/>
      <c r="CO4" s="596"/>
      <c r="CP4" s="596"/>
      <c r="CQ4" s="596"/>
      <c r="CR4" s="596"/>
      <c r="CS4" s="598"/>
      <c r="CT4" s="596"/>
      <c r="CU4" s="596"/>
      <c r="CV4" s="596"/>
      <c r="CW4" s="596"/>
      <c r="CX4" s="598"/>
      <c r="CY4" s="596"/>
      <c r="CZ4" s="596"/>
      <c r="DA4" s="596"/>
      <c r="DB4" s="596"/>
      <c r="DC4" s="598"/>
      <c r="DD4" s="596"/>
      <c r="DE4" s="596"/>
      <c r="DF4" s="596"/>
      <c r="DG4" s="596"/>
      <c r="DH4" s="598"/>
      <c r="DI4" s="596"/>
      <c r="DJ4" s="596"/>
      <c r="DK4" s="596"/>
      <c r="DL4" s="596"/>
      <c r="DM4" s="598"/>
      <c r="DN4" s="596"/>
      <c r="DO4" s="596"/>
      <c r="DP4" s="596"/>
      <c r="DQ4" s="596"/>
      <c r="DR4" s="598"/>
      <c r="DS4" s="596"/>
      <c r="DT4" s="596"/>
      <c r="DU4" s="596"/>
      <c r="DV4" s="596"/>
      <c r="DW4" s="598"/>
      <c r="DX4" s="596"/>
      <c r="DY4" s="596"/>
      <c r="DZ4" s="596"/>
      <c r="EA4" s="596"/>
      <c r="EB4" s="598"/>
      <c r="EC4" s="596"/>
      <c r="ED4" s="596"/>
      <c r="EE4" s="596"/>
      <c r="EF4" s="596"/>
      <c r="EG4" s="598"/>
      <c r="EH4" s="596"/>
      <c r="EI4" s="596"/>
      <c r="EJ4" s="596"/>
      <c r="EK4" s="596"/>
      <c r="EL4" s="598"/>
    </row>
    <row r="5" spans="1:142" ht="13.5" thickBot="1">
      <c r="A5" s="183"/>
      <c r="B5" s="183" t="s">
        <v>386</v>
      </c>
      <c r="C5" s="184"/>
      <c r="D5" s="184" t="s">
        <v>388</v>
      </c>
      <c r="E5" s="184" t="s">
        <v>389</v>
      </c>
      <c r="F5" s="184" t="s">
        <v>390</v>
      </c>
      <c r="G5" s="184" t="s">
        <v>391</v>
      </c>
      <c r="H5" s="185" t="s">
        <v>392</v>
      </c>
      <c r="I5" s="184" t="s">
        <v>393</v>
      </c>
      <c r="J5" s="184" t="s">
        <v>394</v>
      </c>
      <c r="K5" s="184" t="s">
        <v>395</v>
      </c>
      <c r="L5" s="184" t="s">
        <v>396</v>
      </c>
      <c r="M5" s="185" t="s">
        <v>397</v>
      </c>
      <c r="N5" s="184" t="s">
        <v>398</v>
      </c>
      <c r="O5" s="184" t="s">
        <v>399</v>
      </c>
      <c r="P5" s="184" t="s">
        <v>400</v>
      </c>
      <c r="Q5" s="184" t="s">
        <v>401</v>
      </c>
      <c r="R5" s="185" t="s">
        <v>402</v>
      </c>
      <c r="S5" s="184" t="s">
        <v>403</v>
      </c>
      <c r="T5" s="184" t="s">
        <v>404</v>
      </c>
      <c r="U5" s="184" t="s">
        <v>405</v>
      </c>
      <c r="V5" s="184" t="s">
        <v>406</v>
      </c>
      <c r="W5" s="185" t="s">
        <v>407</v>
      </c>
      <c r="X5" s="184" t="s">
        <v>408</v>
      </c>
      <c r="Y5" s="184" t="s">
        <v>409</v>
      </c>
      <c r="Z5" s="184" t="s">
        <v>410</v>
      </c>
      <c r="AA5" s="184" t="s">
        <v>411</v>
      </c>
      <c r="AB5" s="185" t="s">
        <v>412</v>
      </c>
      <c r="AC5" s="184" t="s">
        <v>413</v>
      </c>
      <c r="AD5" s="184" t="s">
        <v>414</v>
      </c>
      <c r="AE5" s="184" t="s">
        <v>415</v>
      </c>
      <c r="AF5" s="184" t="s">
        <v>416</v>
      </c>
      <c r="AG5" s="185" t="s">
        <v>417</v>
      </c>
      <c r="AH5" s="184" t="s">
        <v>418</v>
      </c>
      <c r="AI5" s="184" t="s">
        <v>419</v>
      </c>
      <c r="AJ5" s="184" t="s">
        <v>420</v>
      </c>
      <c r="AK5" s="184" t="s">
        <v>421</v>
      </c>
      <c r="AL5" s="185" t="s">
        <v>422</v>
      </c>
      <c r="AM5" s="184" t="s">
        <v>423</v>
      </c>
      <c r="AN5" s="184" t="s">
        <v>424</v>
      </c>
      <c r="AO5" s="184" t="s">
        <v>425</v>
      </c>
      <c r="AP5" s="184" t="s">
        <v>426</v>
      </c>
      <c r="AQ5" s="185" t="s">
        <v>427</v>
      </c>
      <c r="AR5" s="184" t="s">
        <v>428</v>
      </c>
      <c r="AS5" s="184" t="s">
        <v>429</v>
      </c>
      <c r="AT5" s="184" t="s">
        <v>430</v>
      </c>
      <c r="AU5" s="137"/>
      <c r="AV5" s="184" t="s">
        <v>431</v>
      </c>
      <c r="AW5" s="184" t="s">
        <v>432</v>
      </c>
      <c r="AX5" s="184" t="s">
        <v>433</v>
      </c>
      <c r="AY5" s="184" t="s">
        <v>434</v>
      </c>
      <c r="AZ5" s="185" t="s">
        <v>435</v>
      </c>
      <c r="BA5" s="184" t="s">
        <v>436</v>
      </c>
      <c r="BB5" s="184" t="s">
        <v>437</v>
      </c>
      <c r="BC5" s="184" t="s">
        <v>438</v>
      </c>
      <c r="BD5" s="184" t="s">
        <v>439</v>
      </c>
      <c r="BE5" s="185" t="s">
        <v>440</v>
      </c>
      <c r="BF5" s="184" t="s">
        <v>441</v>
      </c>
      <c r="BG5" s="184" t="s">
        <v>442</v>
      </c>
      <c r="BH5" s="184" t="s">
        <v>443</v>
      </c>
      <c r="BI5" s="184" t="s">
        <v>444</v>
      </c>
      <c r="BJ5" s="601" t="s">
        <v>445</v>
      </c>
      <c r="BK5" s="594" t="s">
        <v>446</v>
      </c>
      <c r="BL5" s="594" t="s">
        <v>447</v>
      </c>
      <c r="BM5" s="594" t="s">
        <v>448</v>
      </c>
      <c r="BN5" s="594" t="s">
        <v>449</v>
      </c>
      <c r="BO5" s="594" t="s">
        <v>450</v>
      </c>
      <c r="BP5" s="594" t="s">
        <v>451</v>
      </c>
      <c r="BQ5" s="594" t="s">
        <v>452</v>
      </c>
      <c r="BR5" s="594" t="s">
        <v>453</v>
      </c>
      <c r="BS5" s="594" t="s">
        <v>454</v>
      </c>
      <c r="BT5" s="594" t="s">
        <v>455</v>
      </c>
      <c r="BU5" s="594" t="s">
        <v>456</v>
      </c>
      <c r="BV5" s="594" t="s">
        <v>457</v>
      </c>
      <c r="BW5" s="594" t="s">
        <v>458</v>
      </c>
      <c r="BX5" s="594" t="s">
        <v>459</v>
      </c>
      <c r="BY5" s="594" t="s">
        <v>460</v>
      </c>
      <c r="BZ5" s="594" t="s">
        <v>461</v>
      </c>
      <c r="CA5" s="594" t="s">
        <v>462</v>
      </c>
      <c r="CB5" s="594" t="s">
        <v>463</v>
      </c>
      <c r="CC5" s="594" t="s">
        <v>464</v>
      </c>
      <c r="CD5" s="594" t="s">
        <v>465</v>
      </c>
      <c r="CE5" s="594" t="s">
        <v>466</v>
      </c>
      <c r="CF5" s="594" t="s">
        <v>467</v>
      </c>
      <c r="CG5" s="594" t="s">
        <v>468</v>
      </c>
      <c r="CH5" s="594" t="s">
        <v>469</v>
      </c>
      <c r="CI5" s="594" t="s">
        <v>470</v>
      </c>
      <c r="CJ5" s="594" t="s">
        <v>471</v>
      </c>
      <c r="CK5" s="594" t="s">
        <v>472</v>
      </c>
      <c r="CL5" s="594" t="s">
        <v>473</v>
      </c>
      <c r="CM5" s="594" t="s">
        <v>474</v>
      </c>
      <c r="CN5" s="594" t="s">
        <v>475</v>
      </c>
      <c r="CO5" s="594" t="s">
        <v>476</v>
      </c>
      <c r="CP5" s="594" t="s">
        <v>477</v>
      </c>
      <c r="CQ5" s="594" t="s">
        <v>478</v>
      </c>
      <c r="CR5" s="594" t="s">
        <v>479</v>
      </c>
      <c r="CS5" s="594" t="s">
        <v>480</v>
      </c>
      <c r="CT5" s="594" t="str">
        <f>IS!CT5</f>
        <v>1Q12A</v>
      </c>
      <c r="CU5" s="594" t="str">
        <f>IS!CU5</f>
        <v>2Q12A</v>
      </c>
      <c r="CV5" s="594" t="str">
        <f>IS!CV5</f>
        <v>3Q12A</v>
      </c>
      <c r="CW5" s="594" t="str">
        <f>IS!CW5</f>
        <v>4Q12A</v>
      </c>
      <c r="CX5" s="594" t="str">
        <f>IS!CX5</f>
        <v>2012A</v>
      </c>
      <c r="CY5" s="594" t="str">
        <f>IS!CY5</f>
        <v>1Q13A</v>
      </c>
      <c r="CZ5" s="594" t="str">
        <f>IS!CZ5</f>
        <v>2Q13A</v>
      </c>
      <c r="DA5" s="594" t="str">
        <f>IS!DA5</f>
        <v>3Q13A</v>
      </c>
      <c r="DB5" s="594" t="str">
        <f>IS!DB5</f>
        <v>4Q13A</v>
      </c>
      <c r="DC5" s="594" t="str">
        <f>IS!DC5</f>
        <v>2013A</v>
      </c>
      <c r="DD5" s="594" t="str">
        <f>IS!DD5</f>
        <v>1Q14A</v>
      </c>
      <c r="DE5" s="594" t="str">
        <f>IS!DE5</f>
        <v>2Q14A</v>
      </c>
      <c r="DF5" s="594" t="str">
        <f>IS!DF5</f>
        <v>3Q14A</v>
      </c>
      <c r="DG5" s="594" t="str">
        <f>IS!DG5</f>
        <v>4Q14A</v>
      </c>
      <c r="DH5" s="594" t="str">
        <f>IS!DH5</f>
        <v>2014A</v>
      </c>
      <c r="DI5" s="594" t="str">
        <f>IS!DI5</f>
        <v>1Q15A</v>
      </c>
      <c r="DJ5" s="594" t="str">
        <f>IS!DJ5</f>
        <v>2Q15A</v>
      </c>
      <c r="DK5" s="594" t="str">
        <f>IS!DK5</f>
        <v>3Q15A</v>
      </c>
      <c r="DL5" s="594" t="str">
        <f>IS!DL5</f>
        <v>4Q15A</v>
      </c>
      <c r="DM5" s="594" t="str">
        <f>IS!DM5</f>
        <v>2015A</v>
      </c>
      <c r="DN5" s="594" t="str">
        <f>IS!DN5</f>
        <v>1Q16A</v>
      </c>
      <c r="DO5" s="594" t="str">
        <f>IS!DO5</f>
        <v>2Q16A</v>
      </c>
      <c r="DP5" s="594" t="str">
        <f>IS!DP5</f>
        <v>3Q16A</v>
      </c>
      <c r="DQ5" s="594" t="str">
        <f>IS!DQ5</f>
        <v>4Q16A</v>
      </c>
      <c r="DR5" s="594" t="str">
        <f>IS!DR5</f>
        <v>2016A</v>
      </c>
      <c r="DS5" s="594" t="str">
        <f>IS!DS5</f>
        <v>1Q17A</v>
      </c>
      <c r="DT5" s="594" t="str">
        <f>IS!DT5</f>
        <v>2Q17A</v>
      </c>
      <c r="DU5" s="594" t="str">
        <f>IS!DU5</f>
        <v>3Q17A</v>
      </c>
      <c r="DV5" s="594" t="str">
        <f>IS!DV5</f>
        <v>4Q17A</v>
      </c>
      <c r="DW5" s="594" t="str">
        <f>IS!DW5</f>
        <v>2017A</v>
      </c>
      <c r="DX5" s="594" t="str">
        <f>IS!DX5</f>
        <v>1Q18E</v>
      </c>
      <c r="DY5" s="594" t="str">
        <f>IS!DY5</f>
        <v>2Q18E</v>
      </c>
      <c r="DZ5" s="594" t="str">
        <f>IS!DZ5</f>
        <v>3Q18E</v>
      </c>
      <c r="EA5" s="594" t="str">
        <f>IS!EA5</f>
        <v>4Q18E</v>
      </c>
      <c r="EB5" s="594" t="str">
        <f>IS!EB5</f>
        <v>2018E</v>
      </c>
      <c r="EC5" s="594" t="str">
        <f>IS!EC5</f>
        <v>1Q19E</v>
      </c>
      <c r="ED5" s="594" t="str">
        <f>IS!ED5</f>
        <v>2Q19E</v>
      </c>
      <c r="EE5" s="594" t="str">
        <f>IS!EE5</f>
        <v>3Q19E</v>
      </c>
      <c r="EF5" s="594" t="str">
        <f>IS!EF5</f>
        <v>4Q19E</v>
      </c>
      <c r="EG5" s="594" t="str">
        <f>IS!EG5</f>
        <v>2019E</v>
      </c>
      <c r="EH5" s="594" t="str">
        <f>IS!EH5</f>
        <v>1Q20E</v>
      </c>
      <c r="EI5" s="594" t="str">
        <f>IS!EI5</f>
        <v>2Q20E</v>
      </c>
      <c r="EJ5" s="594" t="str">
        <f>IS!EJ5</f>
        <v>3Q20E</v>
      </c>
      <c r="EK5" s="594" t="str">
        <f>IS!EK5</f>
        <v>4Q20E</v>
      </c>
      <c r="EL5" s="594" t="str">
        <f>IS!EL5</f>
        <v>2020E</v>
      </c>
    </row>
    <row r="6" spans="1:142" s="680" customFormat="1" hidden="1" outlineLevel="1">
      <c r="A6" s="557"/>
      <c r="B6" s="557" t="s">
        <v>491</v>
      </c>
      <c r="C6" s="1236"/>
      <c r="D6" s="1236">
        <v>91</v>
      </c>
      <c r="E6" s="1236">
        <f>E3-D3</f>
        <v>91</v>
      </c>
      <c r="F6" s="1236">
        <f>F3-E3</f>
        <v>90</v>
      </c>
      <c r="G6" s="1236">
        <f>G3-F3</f>
        <v>92</v>
      </c>
      <c r="H6" s="1237">
        <f>SUM(D6:G6)</f>
        <v>364</v>
      </c>
      <c r="I6" s="1236">
        <v>91</v>
      </c>
      <c r="J6" s="1236">
        <f>J3-I3</f>
        <v>91</v>
      </c>
      <c r="K6" s="1236">
        <f>K3-J3</f>
        <v>90</v>
      </c>
      <c r="L6" s="1236">
        <f>L3-K3</f>
        <v>93</v>
      </c>
      <c r="M6" s="1237">
        <f>SUM(I6:L6)</f>
        <v>365</v>
      </c>
      <c r="N6" s="1236">
        <v>91</v>
      </c>
      <c r="O6" s="1236">
        <f>O3-N3</f>
        <v>91</v>
      </c>
      <c r="P6" s="1236">
        <f>P3-O3</f>
        <v>90</v>
      </c>
      <c r="Q6" s="1236">
        <f>Q3-P3</f>
        <v>92</v>
      </c>
      <c r="R6" s="1237">
        <f>SUM(N6:Q6)</f>
        <v>364</v>
      </c>
      <c r="S6" s="1236">
        <v>91</v>
      </c>
      <c r="T6" s="1236">
        <f>T3-S3</f>
        <v>91</v>
      </c>
      <c r="U6" s="1236">
        <f>U3-T3</f>
        <v>90</v>
      </c>
      <c r="V6" s="1236">
        <f>V3-U3</f>
        <v>92</v>
      </c>
      <c r="W6" s="1237">
        <f>SUM(S6:V6)</f>
        <v>364</v>
      </c>
      <c r="X6" s="1236">
        <v>91</v>
      </c>
      <c r="Y6" s="1236">
        <f>Y3-X3</f>
        <v>91</v>
      </c>
      <c r="Z6" s="1236">
        <f>Z3-Y3</f>
        <v>90</v>
      </c>
      <c r="AA6" s="1236">
        <f>AA3-Z3</f>
        <v>92</v>
      </c>
      <c r="AB6" s="1237">
        <f>SUM(X6:AA6)</f>
        <v>364</v>
      </c>
      <c r="AC6" s="1236">
        <f>AC3-AA3</f>
        <v>92</v>
      </c>
      <c r="AD6" s="1236">
        <f>AD3-AC3</f>
        <v>91</v>
      </c>
      <c r="AE6" s="1236">
        <f>AE3-AD3</f>
        <v>90</v>
      </c>
      <c r="AF6" s="1236">
        <f>AF3-AE3</f>
        <v>93</v>
      </c>
      <c r="AG6" s="1237">
        <f>SUM(AC6:AF6)</f>
        <v>366</v>
      </c>
      <c r="AH6" s="1236">
        <f>AH3-AF3</f>
        <v>92</v>
      </c>
      <c r="AI6" s="1236">
        <f>AI3-AH3</f>
        <v>91</v>
      </c>
      <c r="AJ6" s="1236">
        <f>AJ3-AI3</f>
        <v>90</v>
      </c>
      <c r="AK6" s="1236">
        <f>AK3-AJ3</f>
        <v>92</v>
      </c>
      <c r="AL6" s="1237">
        <f>SUM(AH6:AK6)</f>
        <v>365</v>
      </c>
      <c r="AM6" s="1236">
        <f>AM3-AK3</f>
        <v>92</v>
      </c>
      <c r="AN6" s="1236">
        <f>AN3-AM3</f>
        <v>91</v>
      </c>
      <c r="AO6" s="1236">
        <f>AO3-AN3</f>
        <v>90</v>
      </c>
      <c r="AP6" s="1236">
        <f>AP3-AO3</f>
        <v>92</v>
      </c>
      <c r="AQ6" s="1237">
        <f>SUM(AM6:AP6)</f>
        <v>365</v>
      </c>
      <c r="AR6" s="1236">
        <f>AR3-AP3</f>
        <v>92</v>
      </c>
      <c r="AS6" s="1236">
        <f>AS3-AR3</f>
        <v>91</v>
      </c>
      <c r="AT6" s="1236">
        <f>AT3-AS3</f>
        <v>90</v>
      </c>
      <c r="AU6" s="802"/>
      <c r="AV6" s="1236">
        <v>91</v>
      </c>
      <c r="AW6" s="1236">
        <f>AW3-AV3</f>
        <v>91</v>
      </c>
      <c r="AX6" s="1236">
        <f>AX3-AW3</f>
        <v>92</v>
      </c>
      <c r="AY6" s="1236">
        <f>AY3-AX3</f>
        <v>92</v>
      </c>
      <c r="AZ6" s="1238">
        <f>SUM(AV6:AY6)</f>
        <v>366</v>
      </c>
      <c r="BA6" s="1236">
        <f>BA3-AY3</f>
        <v>90</v>
      </c>
      <c r="BB6" s="1236">
        <f>BB3-BA3</f>
        <v>91</v>
      </c>
      <c r="BC6" s="1236">
        <f>BC3-BB3</f>
        <v>92</v>
      </c>
      <c r="BD6" s="1236">
        <f>BD3-BC3</f>
        <v>92</v>
      </c>
      <c r="BE6" s="1238">
        <f>SUM(BA6:BD6)</f>
        <v>365</v>
      </c>
      <c r="BF6" s="1236">
        <f>BF3-BD3</f>
        <v>91</v>
      </c>
      <c r="BG6" s="1236">
        <f>BG3-BF3</f>
        <v>91</v>
      </c>
      <c r="BH6" s="1236">
        <f>BH3-BG3</f>
        <v>92</v>
      </c>
      <c r="BI6" s="1236">
        <f>BI3-BH3</f>
        <v>92</v>
      </c>
      <c r="BJ6" s="1238">
        <f>SUM(BF6:BI6)</f>
        <v>366</v>
      </c>
      <c r="BK6" s="1236">
        <f>BK3-BI3</f>
        <v>90</v>
      </c>
      <c r="BL6" s="1236">
        <f>BL3-BK3</f>
        <v>91</v>
      </c>
      <c r="BM6" s="1236">
        <f>BM3-BL3</f>
        <v>92</v>
      </c>
      <c r="BN6" s="1236">
        <f>BN3-BM3</f>
        <v>92</v>
      </c>
      <c r="BO6" s="1238">
        <f>SUM(BK6:BN6)</f>
        <v>365</v>
      </c>
      <c r="BP6" s="1236">
        <f>BP3-BN3</f>
        <v>90</v>
      </c>
      <c r="BQ6" s="1236">
        <f>BQ3-BP3</f>
        <v>91</v>
      </c>
      <c r="BR6" s="1236">
        <f>BR3-BQ3</f>
        <v>92</v>
      </c>
      <c r="BS6" s="1236">
        <f>BS3-BR3</f>
        <v>92</v>
      </c>
      <c r="BT6" s="1238">
        <f>SUM(BP6:BS6)</f>
        <v>365</v>
      </c>
      <c r="BU6" s="1236">
        <f>BU3-BS3</f>
        <v>90</v>
      </c>
      <c r="BV6" s="1236">
        <f>BV3-BU3</f>
        <v>91</v>
      </c>
      <c r="BW6" s="1236">
        <f>BW3-BV3</f>
        <v>92</v>
      </c>
      <c r="BX6" s="1236">
        <f>BX3-BW3</f>
        <v>92</v>
      </c>
      <c r="BY6" s="1238">
        <f>SUM(BU6:BX6)</f>
        <v>365</v>
      </c>
      <c r="BZ6" s="1236">
        <f>BZ3-BX3</f>
        <v>91</v>
      </c>
      <c r="CA6" s="1236">
        <f>CA3-BZ3</f>
        <v>91</v>
      </c>
      <c r="CB6" s="1236">
        <f>CB3-CA3</f>
        <v>92</v>
      </c>
      <c r="CC6" s="1236">
        <f>CC3-CB3</f>
        <v>92</v>
      </c>
      <c r="CD6" s="1238">
        <f>SUM(BZ6:CC6)</f>
        <v>366</v>
      </c>
      <c r="CE6" s="1236">
        <f>CE3-CC3</f>
        <v>90</v>
      </c>
      <c r="CF6" s="1236">
        <f>CF3-CE3</f>
        <v>91</v>
      </c>
      <c r="CG6" s="1236">
        <f>CG3-CF3</f>
        <v>92</v>
      </c>
      <c r="CH6" s="1236">
        <f>CH3-CG3</f>
        <v>92</v>
      </c>
      <c r="CI6" s="1238">
        <f>SUM(CE6:CH6)</f>
        <v>365</v>
      </c>
      <c r="CJ6" s="1236">
        <f>CJ3-CH3</f>
        <v>90</v>
      </c>
      <c r="CK6" s="1236">
        <f>CK3-CJ3</f>
        <v>91</v>
      </c>
      <c r="CL6" s="1236">
        <f>CL3-CK3</f>
        <v>92</v>
      </c>
      <c r="CM6" s="1236">
        <f>CM3-CL3</f>
        <v>92</v>
      </c>
      <c r="CN6" s="1238">
        <f>SUM(CJ6:CM6)</f>
        <v>365</v>
      </c>
      <c r="CO6" s="1236">
        <f>CO3-CM3</f>
        <v>90</v>
      </c>
      <c r="CP6" s="1236">
        <f>CP3-CO3</f>
        <v>91</v>
      </c>
      <c r="CQ6" s="1236">
        <f>CQ3-CP3</f>
        <v>92</v>
      </c>
      <c r="CR6" s="1236">
        <f>CR3-CQ3</f>
        <v>92</v>
      </c>
      <c r="CS6" s="1238">
        <f>SUM(CO6:CR6)</f>
        <v>365</v>
      </c>
      <c r="CT6" s="1236">
        <f>CT3-CR3</f>
        <v>91</v>
      </c>
      <c r="CU6" s="1236">
        <f>CU3-CT3</f>
        <v>91</v>
      </c>
      <c r="CV6" s="1236">
        <f>CV3-CU3</f>
        <v>92</v>
      </c>
      <c r="CW6" s="1236">
        <f>CW3-CV3</f>
        <v>92</v>
      </c>
      <c r="CX6" s="1238">
        <f>SUM(CT6:CW6)</f>
        <v>366</v>
      </c>
      <c r="CY6" s="1236">
        <f>CY3-CW3</f>
        <v>90</v>
      </c>
      <c r="CZ6" s="1236">
        <f>CZ3-CY3</f>
        <v>91</v>
      </c>
      <c r="DA6" s="1236">
        <f>DA3-CZ3</f>
        <v>92</v>
      </c>
      <c r="DB6" s="1236">
        <f>DB3-DA3</f>
        <v>92</v>
      </c>
      <c r="DC6" s="1238">
        <f>SUM(CY6:DB6)</f>
        <v>365</v>
      </c>
      <c r="DD6" s="1236">
        <f>DD3-DB3</f>
        <v>90</v>
      </c>
      <c r="DE6" s="1236">
        <f>DE3-DD3</f>
        <v>91</v>
      </c>
      <c r="DF6" s="1236">
        <f>DF3-DE3</f>
        <v>92</v>
      </c>
      <c r="DG6" s="1236">
        <f>DG3-DF3</f>
        <v>92</v>
      </c>
      <c r="DH6" s="1238">
        <f>SUM(DD6:DG6)</f>
        <v>365</v>
      </c>
      <c r="DI6" s="1236">
        <f>DI3-DG3</f>
        <v>90</v>
      </c>
      <c r="DJ6" s="1236">
        <f>DJ3-DI3</f>
        <v>91</v>
      </c>
      <c r="DK6" s="1236">
        <f>DK3-DJ3</f>
        <v>92</v>
      </c>
      <c r="DL6" s="1236">
        <f>DL3-DK3</f>
        <v>92</v>
      </c>
      <c r="DM6" s="1238">
        <f>SUM(DI6:DL6)</f>
        <v>365</v>
      </c>
      <c r="DN6" s="1236">
        <f>DN3-DL3</f>
        <v>91</v>
      </c>
      <c r="DO6" s="1236">
        <f>DO3-DN3</f>
        <v>91</v>
      </c>
      <c r="DP6" s="1236">
        <f>DP3-DO3</f>
        <v>92</v>
      </c>
      <c r="DQ6" s="1236">
        <f>DQ3-DP3</f>
        <v>92</v>
      </c>
      <c r="DR6" s="1238">
        <f>SUM(DN6:DQ6)</f>
        <v>366</v>
      </c>
      <c r="DS6" s="1236">
        <f>DS3-DQ3</f>
        <v>90</v>
      </c>
      <c r="DT6" s="1236">
        <f>DT3-DS3</f>
        <v>91</v>
      </c>
      <c r="DU6" s="1236">
        <f>DU3-DT3</f>
        <v>92</v>
      </c>
      <c r="DV6" s="1236">
        <f>DV3-DU3</f>
        <v>92</v>
      </c>
      <c r="DW6" s="1238">
        <f>SUM(DS6:DV6)</f>
        <v>365</v>
      </c>
      <c r="DX6" s="1236">
        <f>DX3-DV3</f>
        <v>90</v>
      </c>
      <c r="DY6" s="1236">
        <f>DY3-DX3</f>
        <v>91</v>
      </c>
      <c r="DZ6" s="1236">
        <f>DZ3-DY3</f>
        <v>92</v>
      </c>
      <c r="EA6" s="1236">
        <f>EA3-DZ3</f>
        <v>92</v>
      </c>
      <c r="EB6" s="1238">
        <f>SUM(DX6:EA6)</f>
        <v>365</v>
      </c>
      <c r="EC6" s="1236">
        <f>EC3-EA3</f>
        <v>90</v>
      </c>
      <c r="ED6" s="1236">
        <f>ED3-EC3</f>
        <v>91</v>
      </c>
      <c r="EE6" s="1236">
        <f>EE3-ED3</f>
        <v>92</v>
      </c>
      <c r="EF6" s="1236">
        <f>EF3-EE3</f>
        <v>92</v>
      </c>
      <c r="EG6" s="1238">
        <f>SUM(EC6:EF6)</f>
        <v>365</v>
      </c>
      <c r="EH6" s="1236">
        <f>EH3-EF3</f>
        <v>91</v>
      </c>
      <c r="EI6" s="1236">
        <f>EI3-EH3</f>
        <v>91</v>
      </c>
      <c r="EJ6" s="1236">
        <f>EJ3-EI3</f>
        <v>92</v>
      </c>
      <c r="EK6" s="1236">
        <f>EK3-EJ3</f>
        <v>92</v>
      </c>
      <c r="EL6" s="1238">
        <f>SUM(EH6:EK6)</f>
        <v>366</v>
      </c>
    </row>
    <row r="7" spans="1:142" s="680" customFormat="1" ht="3.75" customHeight="1" collapsed="1">
      <c r="A7" s="555"/>
      <c r="B7" s="555"/>
      <c r="C7" s="555"/>
      <c r="D7" s="555"/>
      <c r="E7" s="555"/>
      <c r="F7" s="555"/>
      <c r="G7" s="555"/>
      <c r="H7" s="802"/>
      <c r="I7" s="555"/>
      <c r="J7" s="555"/>
      <c r="K7" s="555"/>
      <c r="L7" s="555"/>
      <c r="M7" s="802"/>
      <c r="N7" s="555"/>
      <c r="O7" s="555"/>
      <c r="P7" s="555"/>
      <c r="Q7" s="555"/>
      <c r="R7" s="802"/>
      <c r="S7" s="555"/>
      <c r="T7" s="555"/>
      <c r="U7" s="555"/>
      <c r="V7" s="555"/>
      <c r="W7" s="802"/>
      <c r="X7" s="555"/>
      <c r="Y7" s="555"/>
      <c r="Z7" s="555"/>
      <c r="AA7" s="555"/>
      <c r="AB7" s="802"/>
      <c r="AC7" s="555"/>
      <c r="AD7" s="555"/>
      <c r="AE7" s="555"/>
      <c r="AF7" s="555"/>
      <c r="AG7" s="802"/>
      <c r="AH7" s="555"/>
      <c r="AI7" s="555"/>
      <c r="AJ7" s="555"/>
      <c r="AK7" s="555"/>
      <c r="AL7" s="802"/>
      <c r="AM7" s="555"/>
      <c r="AN7" s="555"/>
      <c r="AO7" s="555"/>
      <c r="AP7" s="555"/>
      <c r="AQ7" s="802"/>
      <c r="AR7" s="555"/>
      <c r="AS7" s="555"/>
      <c r="AT7" s="555"/>
      <c r="AU7" s="802"/>
      <c r="AV7" s="555"/>
      <c r="AW7" s="555"/>
      <c r="AX7" s="555"/>
      <c r="AY7" s="555"/>
      <c r="AZ7" s="802"/>
      <c r="BA7" s="555"/>
      <c r="BB7" s="555"/>
      <c r="BC7" s="555"/>
      <c r="BD7" s="555"/>
      <c r="BE7" s="802"/>
      <c r="BF7" s="555"/>
      <c r="BG7" s="555"/>
      <c r="BH7" s="555"/>
      <c r="BI7" s="555"/>
      <c r="BJ7" s="802"/>
      <c r="BK7" s="555"/>
      <c r="BL7" s="555"/>
      <c r="BM7" s="555"/>
      <c r="BN7" s="555"/>
      <c r="BO7" s="802"/>
      <c r="BP7" s="555"/>
      <c r="BQ7" s="555"/>
      <c r="BR7" s="555"/>
      <c r="BS7" s="555"/>
      <c r="BT7" s="802"/>
      <c r="BU7" s="555"/>
      <c r="BV7" s="555"/>
      <c r="BW7" s="555"/>
      <c r="BX7" s="555"/>
      <c r="BY7" s="802"/>
      <c r="BZ7" s="555"/>
      <c r="CA7" s="555"/>
      <c r="CB7" s="555"/>
      <c r="CC7" s="555"/>
      <c r="CD7" s="802"/>
      <c r="CE7" s="555"/>
      <c r="CF7" s="555"/>
      <c r="CG7" s="555"/>
      <c r="CH7" s="555"/>
      <c r="CI7" s="802"/>
      <c r="CJ7" s="555"/>
      <c r="CK7" s="555"/>
      <c r="CL7" s="555"/>
      <c r="CM7" s="555"/>
      <c r="CN7" s="802"/>
      <c r="CO7" s="555"/>
      <c r="CP7" s="555"/>
      <c r="CQ7" s="555"/>
      <c r="CR7" s="555"/>
      <c r="CS7" s="802"/>
      <c r="CT7" s="555"/>
      <c r="CU7" s="555"/>
      <c r="CV7" s="555"/>
      <c r="CW7" s="555"/>
      <c r="CX7" s="802"/>
      <c r="CY7" s="555"/>
      <c r="CZ7" s="555"/>
      <c r="DA7" s="555"/>
      <c r="DB7" s="555"/>
      <c r="DC7" s="802"/>
      <c r="DD7" s="555"/>
      <c r="DE7" s="555"/>
      <c r="DF7" s="555"/>
      <c r="DG7" s="555"/>
      <c r="DH7" s="802"/>
      <c r="DI7" s="555"/>
      <c r="DJ7" s="555"/>
      <c r="DK7" s="555"/>
      <c r="DL7" s="555"/>
      <c r="DM7" s="802"/>
      <c r="DN7" s="555"/>
      <c r="DO7" s="555"/>
      <c r="DP7" s="555"/>
      <c r="DQ7" s="555"/>
      <c r="DR7" s="802"/>
      <c r="DS7" s="555"/>
      <c r="DT7" s="555"/>
      <c r="DU7" s="555"/>
      <c r="DV7" s="555"/>
      <c r="DW7" s="802"/>
      <c r="DX7" s="555"/>
      <c r="DY7" s="555"/>
      <c r="DZ7" s="555"/>
      <c r="EA7" s="555"/>
      <c r="EB7" s="802"/>
      <c r="EC7" s="555"/>
      <c r="ED7" s="555"/>
      <c r="EE7" s="555"/>
      <c r="EF7" s="555"/>
      <c r="EG7" s="802"/>
      <c r="EH7" s="555"/>
      <c r="EI7" s="555"/>
      <c r="EJ7" s="555"/>
      <c r="EK7" s="555"/>
      <c r="EL7" s="802"/>
    </row>
    <row r="8" spans="1:142" s="680" customFormat="1" ht="12" customHeight="1">
      <c r="A8" s="846"/>
      <c r="B8" s="846" t="s">
        <v>492</v>
      </c>
      <c r="C8" s="903"/>
      <c r="D8" s="903">
        <f>D69</f>
        <v>373.37799999999999</v>
      </c>
      <c r="E8" s="903">
        <f>E69</f>
        <v>366.77499999999998</v>
      </c>
      <c r="F8" s="903">
        <f>F69</f>
        <v>385.7</v>
      </c>
      <c r="G8" s="903">
        <f>G69</f>
        <v>812.04700000000003</v>
      </c>
      <c r="H8" s="844">
        <f>SUM(D8:G8)</f>
        <v>1937.9</v>
      </c>
      <c r="I8" s="903">
        <f>I69</f>
        <v>787.3</v>
      </c>
      <c r="J8" s="903">
        <f>J69</f>
        <v>839.4</v>
      </c>
      <c r="K8" s="903">
        <f>K69</f>
        <v>906.7</v>
      </c>
      <c r="L8" s="903">
        <f>L69</f>
        <v>906.60000000000036</v>
      </c>
      <c r="M8" s="844">
        <f>SUM(I8:L8)</f>
        <v>3440</v>
      </c>
      <c r="N8" s="903">
        <f>N69</f>
        <v>858.2</v>
      </c>
      <c r="O8" s="903">
        <f>O69</f>
        <v>884.5</v>
      </c>
      <c r="P8" s="903">
        <f>P69</f>
        <v>1377</v>
      </c>
      <c r="Q8" s="903">
        <f>Q69</f>
        <v>2107.3000000000002</v>
      </c>
      <c r="R8" s="844">
        <f>SUM(N8:Q8)</f>
        <v>5227</v>
      </c>
      <c r="S8" s="903">
        <f>S69</f>
        <v>1341</v>
      </c>
      <c r="T8" s="903">
        <f>T69</f>
        <v>1390</v>
      </c>
      <c r="U8" s="903">
        <f>U69</f>
        <v>1564</v>
      </c>
      <c r="V8" s="903">
        <f>V69</f>
        <v>1548</v>
      </c>
      <c r="W8" s="844">
        <f>SUM(S8:V8)</f>
        <v>5843</v>
      </c>
      <c r="X8" s="903">
        <f>X69</f>
        <v>1474</v>
      </c>
      <c r="Y8" s="903">
        <f>Y69</f>
        <v>1538</v>
      </c>
      <c r="Z8" s="903">
        <f>Z69</f>
        <v>1725</v>
      </c>
      <c r="AA8" s="903">
        <f>AA69</f>
        <v>1779</v>
      </c>
      <c r="AB8" s="844">
        <f>SUM(X8:AA8)</f>
        <v>6516</v>
      </c>
      <c r="AC8" s="903">
        <f>AC69</f>
        <v>1703</v>
      </c>
      <c r="AD8" s="903">
        <f>AD69</f>
        <v>1700</v>
      </c>
      <c r="AE8" s="903">
        <f>AE69</f>
        <v>1831</v>
      </c>
      <c r="AF8" s="903">
        <f>AF69</f>
        <v>1795</v>
      </c>
      <c r="AG8" s="844">
        <f>SUM(AC8:AF8)</f>
        <v>7029</v>
      </c>
      <c r="AH8" s="903">
        <f>AH69</f>
        <v>1777</v>
      </c>
      <c r="AI8" s="903">
        <f>AI69</f>
        <v>1842</v>
      </c>
      <c r="AJ8" s="903">
        <f>AJ69</f>
        <v>1987</v>
      </c>
      <c r="AK8" s="903">
        <f>AK69</f>
        <v>2071</v>
      </c>
      <c r="AL8" s="844">
        <f>SUM(AH8:AK8)</f>
        <v>7677</v>
      </c>
      <c r="AM8" s="903">
        <f>AM69</f>
        <v>2121</v>
      </c>
      <c r="AN8" s="903">
        <f>AN69</f>
        <v>2210</v>
      </c>
      <c r="AO8" s="903">
        <f>AO69</f>
        <v>2335</v>
      </c>
      <c r="AP8" s="903">
        <f>AP69</f>
        <v>2474</v>
      </c>
      <c r="AQ8" s="844">
        <f>SUM(AM8:AP8)</f>
        <v>9140</v>
      </c>
      <c r="AR8" s="903">
        <f>AR69</f>
        <v>2424</v>
      </c>
      <c r="AS8" s="903">
        <f>AS69</f>
        <v>2470</v>
      </c>
      <c r="AT8" s="903">
        <f>AT69</f>
        <v>2390</v>
      </c>
      <c r="AU8" s="802"/>
      <c r="AV8" s="1149" t="str">
        <f>AV69</f>
        <v>ND</v>
      </c>
      <c r="AW8" s="1149" t="str">
        <f>AW69</f>
        <v>ND</v>
      </c>
      <c r="AX8" s="1149" t="str">
        <f>AX69</f>
        <v>ND</v>
      </c>
      <c r="AY8" s="1149" t="str">
        <f>AY69</f>
        <v>ND</v>
      </c>
      <c r="AZ8" s="902">
        <f>SUM(AV8:AY8)</f>
        <v>0</v>
      </c>
      <c r="BA8" s="903">
        <f>BA69</f>
        <v>2266</v>
      </c>
      <c r="BB8" s="903">
        <f>BB69</f>
        <v>2181</v>
      </c>
      <c r="BC8" s="903">
        <f>BC69</f>
        <v>2139</v>
      </c>
      <c r="BD8" s="903">
        <f>BD69</f>
        <v>1985</v>
      </c>
      <c r="BE8" s="902">
        <f>SUM(BA8:BD8)</f>
        <v>8571</v>
      </c>
      <c r="BF8" s="903">
        <f>BF69</f>
        <v>1765</v>
      </c>
      <c r="BG8" s="903">
        <f>BG69</f>
        <v>1690</v>
      </c>
      <c r="BH8" s="903">
        <f>BH69</f>
        <v>1597</v>
      </c>
      <c r="BI8" s="903">
        <f>BI69</f>
        <v>1605</v>
      </c>
      <c r="BJ8" s="902">
        <f>SUM(BF8:BI8)</f>
        <v>6657</v>
      </c>
      <c r="BK8" s="903">
        <f>BK69</f>
        <v>1701</v>
      </c>
      <c r="BL8" s="903">
        <f>BL69</f>
        <v>1598</v>
      </c>
      <c r="BM8" s="903">
        <f>BM69</f>
        <v>1603</v>
      </c>
      <c r="BN8" s="903">
        <f>BN69</f>
        <v>1590</v>
      </c>
      <c r="BO8" s="902">
        <f>SUM(BK8:BN8)</f>
        <v>6492</v>
      </c>
      <c r="BP8" s="903">
        <f>BP69</f>
        <v>1677</v>
      </c>
      <c r="BQ8" s="903">
        <f>BQ69</f>
        <v>1480</v>
      </c>
      <c r="BR8" s="903">
        <f>BR69</f>
        <v>1418</v>
      </c>
      <c r="BS8" s="903">
        <f>BS69</f>
        <v>1494</v>
      </c>
      <c r="BT8" s="902">
        <f>SUM(BP8:BS8)</f>
        <v>6069</v>
      </c>
      <c r="BU8" s="903">
        <f>BU69</f>
        <v>1540</v>
      </c>
      <c r="BV8" s="903">
        <f>BV69</f>
        <v>1491</v>
      </c>
      <c r="BW8" s="903">
        <f>BW69</f>
        <v>1484</v>
      </c>
      <c r="BX8" s="903">
        <f>BX69</f>
        <v>1517</v>
      </c>
      <c r="BY8" s="902">
        <f>SUM(BU8:BX8)</f>
        <v>6032</v>
      </c>
      <c r="BZ8" s="903">
        <f>BZ69</f>
        <v>1614</v>
      </c>
      <c r="CA8" s="903">
        <f>CA69</f>
        <v>1439</v>
      </c>
      <c r="CB8" s="903">
        <f>CB69</f>
        <v>1414</v>
      </c>
      <c r="CC8" s="903">
        <f>CC69</f>
        <v>1452</v>
      </c>
      <c r="CD8" s="902">
        <f>SUM(BZ8:CC8)</f>
        <v>5919</v>
      </c>
      <c r="CE8" s="903">
        <f>CE69</f>
        <v>1524</v>
      </c>
      <c r="CF8" s="903">
        <f>CF69</f>
        <v>1441</v>
      </c>
      <c r="CG8" s="903">
        <f>CG69</f>
        <v>1466</v>
      </c>
      <c r="CH8" s="903">
        <f>CH69</f>
        <v>1481</v>
      </c>
      <c r="CI8" s="902">
        <f>SUM(CE8:CH8)</f>
        <v>5912</v>
      </c>
      <c r="CJ8" s="903">
        <f>CJ69</f>
        <v>1544</v>
      </c>
      <c r="CK8" s="903">
        <f>CK69</f>
        <v>1478</v>
      </c>
      <c r="CL8" s="903">
        <f>CL69</f>
        <v>1430</v>
      </c>
      <c r="CM8" s="903">
        <f>CM69</f>
        <v>1477</v>
      </c>
      <c r="CN8" s="902">
        <f>SUM(CJ8:CM8)</f>
        <v>5929</v>
      </c>
      <c r="CO8" s="903">
        <f>CO69</f>
        <v>1619</v>
      </c>
      <c r="CP8" s="903">
        <f>CP69</f>
        <v>1466</v>
      </c>
      <c r="CQ8" s="903">
        <f>CQ69</f>
        <v>1444</v>
      </c>
      <c r="CR8" s="903">
        <f>CR69</f>
        <v>1499</v>
      </c>
      <c r="CS8" s="902">
        <f>SUM(CO8:CR8)</f>
        <v>6028</v>
      </c>
      <c r="CT8" s="903">
        <f>CT69</f>
        <v>1607</v>
      </c>
      <c r="CU8" s="903">
        <f>CU69</f>
        <v>1548</v>
      </c>
      <c r="CV8" s="903">
        <f>CV69</f>
        <v>1501</v>
      </c>
      <c r="CW8" s="903">
        <f>CW69</f>
        <v>1544</v>
      </c>
      <c r="CX8" s="902">
        <f>SUM(CT8:CW8)</f>
        <v>6200</v>
      </c>
      <c r="CY8" s="903">
        <f>CY69</f>
        <v>1536</v>
      </c>
      <c r="CZ8" s="903">
        <f>CZ69</f>
        <v>1542</v>
      </c>
      <c r="DA8" s="903">
        <f>DA69</f>
        <v>1502</v>
      </c>
      <c r="DB8" s="903">
        <f>DB69</f>
        <v>2372</v>
      </c>
      <c r="DC8" s="902">
        <f>SUM(CY8:DB8)</f>
        <v>6952</v>
      </c>
      <c r="DD8" s="903">
        <f>DD69</f>
        <v>2440</v>
      </c>
      <c r="DE8" s="903">
        <f>DE69</f>
        <v>2393</v>
      </c>
      <c r="DF8" s="903">
        <f>DF69</f>
        <v>2463</v>
      </c>
      <c r="DG8" s="903">
        <f>DG69</f>
        <v>2719</v>
      </c>
      <c r="DH8" s="902">
        <f>SUM(DD8:DG8)</f>
        <v>10015</v>
      </c>
      <c r="DI8" s="903">
        <f>DI69</f>
        <v>2691</v>
      </c>
      <c r="DJ8" s="903">
        <f>DJ69</f>
        <v>2623</v>
      </c>
      <c r="DK8" s="903">
        <f>DK69</f>
        <v>2603</v>
      </c>
      <c r="DL8" s="903">
        <f>DL69</f>
        <v>2736</v>
      </c>
      <c r="DM8" s="902">
        <f>SUM(DI8:DL8)</f>
        <v>10653</v>
      </c>
      <c r="DN8" s="903">
        <f>DN69</f>
        <v>2781</v>
      </c>
      <c r="DO8" s="903">
        <f>DO69</f>
        <v>2588</v>
      </c>
      <c r="DP8" s="903">
        <f>DP69</f>
        <v>2644</v>
      </c>
      <c r="DQ8" s="903">
        <f>DQ69</f>
        <v>2606</v>
      </c>
      <c r="DR8" s="902">
        <f>SUM(DN8:DQ8)</f>
        <v>10619</v>
      </c>
      <c r="DS8" s="903">
        <f>DS69</f>
        <v>2605</v>
      </c>
      <c r="DT8" s="903">
        <f>DT69</f>
        <v>2545</v>
      </c>
      <c r="DU8" s="903">
        <f>DU69</f>
        <v>2391</v>
      </c>
      <c r="DV8" s="903">
        <f>DV69</f>
        <v>2695</v>
      </c>
      <c r="DW8" s="902">
        <f>SUM(DS8:DV8)</f>
        <v>10236</v>
      </c>
      <c r="DX8" s="903">
        <f>DX138</f>
        <v>2381.0276114494573</v>
      </c>
      <c r="DY8" s="903">
        <f t="shared" ref="DY8:EA8" si="0">DY138</f>
        <v>2338.3707146788502</v>
      </c>
      <c r="DZ8" s="903">
        <f t="shared" si="0"/>
        <v>2217.0305965652201</v>
      </c>
      <c r="EA8" s="903">
        <f t="shared" si="0"/>
        <v>2389.5379586245249</v>
      </c>
      <c r="EB8" s="902">
        <f>SUM(DX8:EA8)</f>
        <v>9325.9668813180524</v>
      </c>
      <c r="EC8" s="903">
        <f>EC138</f>
        <v>2203.9296928510144</v>
      </c>
      <c r="ED8" s="903">
        <f t="shared" ref="ED8:EF8" si="1">ED138</f>
        <v>2246.1289015249372</v>
      </c>
      <c r="EE8" s="903">
        <f t="shared" si="1"/>
        <v>2213.7014868601013</v>
      </c>
      <c r="EF8" s="903">
        <f t="shared" si="1"/>
        <v>2474.3447793820005</v>
      </c>
      <c r="EG8" s="902">
        <f>SUM(EC8:EF8)</f>
        <v>9138.104860618052</v>
      </c>
      <c r="EH8" s="903">
        <f>EH138</f>
        <v>2276.486210671103</v>
      </c>
      <c r="EI8" s="903">
        <f t="shared" ref="EI8:EK8" si="2">EI138</f>
        <v>2314.317668527382</v>
      </c>
      <c r="EJ8" s="903">
        <f t="shared" si="2"/>
        <v>2275.2459951550481</v>
      </c>
      <c r="EK8" s="903">
        <f t="shared" si="2"/>
        <v>2536.8250857324288</v>
      </c>
      <c r="EL8" s="902">
        <f>SUM(EH8:EK8)</f>
        <v>9402.8749600859628</v>
      </c>
    </row>
    <row r="9" spans="1:142" s="680" customFormat="1" ht="12" customHeight="1">
      <c r="A9" s="846"/>
      <c r="B9" s="846" t="s">
        <v>493</v>
      </c>
      <c r="C9" s="903"/>
      <c r="D9" s="903">
        <f>D73</f>
        <v>144.14400000000001</v>
      </c>
      <c r="E9" s="903">
        <f>E73</f>
        <v>138.39599999999999</v>
      </c>
      <c r="F9" s="903">
        <f>F73</f>
        <v>144.19999999999999</v>
      </c>
      <c r="G9" s="903">
        <f>G73</f>
        <v>359.56</v>
      </c>
      <c r="H9" s="844">
        <f>SUM(D9:G9)</f>
        <v>786.3</v>
      </c>
      <c r="I9" s="903">
        <f>I73</f>
        <v>365.3</v>
      </c>
      <c r="J9" s="903">
        <f>J73</f>
        <v>390</v>
      </c>
      <c r="K9" s="903">
        <f>K73</f>
        <v>402.6</v>
      </c>
      <c r="L9" s="903">
        <f>L73</f>
        <v>414.09999999999991</v>
      </c>
      <c r="M9" s="844">
        <f>SUM(I9:L9)</f>
        <v>1572</v>
      </c>
      <c r="N9" s="903">
        <f>N73</f>
        <v>410.5</v>
      </c>
      <c r="O9" s="903">
        <f>O73</f>
        <v>425.7</v>
      </c>
      <c r="P9" s="903">
        <f>P73</f>
        <v>639.79999999999995</v>
      </c>
      <c r="Q9" s="903">
        <f>Q73</f>
        <v>1039</v>
      </c>
      <c r="R9" s="844">
        <f>SUM(N9:Q9)</f>
        <v>2515</v>
      </c>
      <c r="S9" s="903">
        <f>S73</f>
        <v>735</v>
      </c>
      <c r="T9" s="903">
        <f>T73</f>
        <v>759</v>
      </c>
      <c r="U9" s="903">
        <f>U73</f>
        <v>724</v>
      </c>
      <c r="V9" s="903">
        <f>V73</f>
        <v>760</v>
      </c>
      <c r="W9" s="844">
        <f>SUM(S9:V9)</f>
        <v>2978</v>
      </c>
      <c r="X9" s="903">
        <f>X73</f>
        <v>786</v>
      </c>
      <c r="Y9" s="903">
        <f>Y73</f>
        <v>755</v>
      </c>
      <c r="Z9" s="903">
        <f>Z73</f>
        <v>807</v>
      </c>
      <c r="AA9" s="903">
        <f>AA73</f>
        <v>837</v>
      </c>
      <c r="AB9" s="844">
        <f>SUM(X9:AA9)</f>
        <v>3185</v>
      </c>
      <c r="AC9" s="903">
        <f>AC73</f>
        <v>902</v>
      </c>
      <c r="AD9" s="903">
        <f>AD73</f>
        <v>823</v>
      </c>
      <c r="AE9" s="903">
        <f>AE73</f>
        <v>795</v>
      </c>
      <c r="AF9" s="903">
        <f>AF73</f>
        <v>874</v>
      </c>
      <c r="AG9" s="844">
        <f>SUM(AC9:AF9)</f>
        <v>3394</v>
      </c>
      <c r="AH9" s="903">
        <f>AH73</f>
        <v>912</v>
      </c>
      <c r="AI9" s="903">
        <f>AI73</f>
        <v>879</v>
      </c>
      <c r="AJ9" s="903">
        <f>AJ73</f>
        <v>864</v>
      </c>
      <c r="AK9" s="903">
        <f>AK73</f>
        <v>948</v>
      </c>
      <c r="AL9" s="844">
        <f>SUM(AH9:AK9)</f>
        <v>3603</v>
      </c>
      <c r="AM9" s="903">
        <f>AM73</f>
        <v>997</v>
      </c>
      <c r="AN9" s="903">
        <f>AN73</f>
        <v>1014</v>
      </c>
      <c r="AO9" s="903">
        <f>AO73</f>
        <v>982</v>
      </c>
      <c r="AP9" s="903">
        <f>AP73</f>
        <v>1115</v>
      </c>
      <c r="AQ9" s="844">
        <f>SUM(AM9:AP9)</f>
        <v>4108</v>
      </c>
      <c r="AR9" s="903">
        <f>AR73</f>
        <v>1122</v>
      </c>
      <c r="AS9" s="903">
        <f>AS73</f>
        <v>1138</v>
      </c>
      <c r="AT9" s="903">
        <f>AT73</f>
        <v>1103</v>
      </c>
      <c r="AU9" s="802"/>
      <c r="AV9" s="1149" t="str">
        <f>AV73</f>
        <v>ND</v>
      </c>
      <c r="AW9" s="1149" t="str">
        <f>AW73</f>
        <v>ND</v>
      </c>
      <c r="AX9" s="1149" t="str">
        <f>AX73</f>
        <v>ND</v>
      </c>
      <c r="AY9" s="1149" t="str">
        <f>AY73</f>
        <v>ND</v>
      </c>
      <c r="AZ9" s="902">
        <f>SUM(AV9:AY9)</f>
        <v>0</v>
      </c>
      <c r="BA9" s="903">
        <f>BA73</f>
        <v>1012</v>
      </c>
      <c r="BB9" s="903">
        <f>BB73</f>
        <v>1014</v>
      </c>
      <c r="BC9" s="903">
        <f>BC73</f>
        <v>1006</v>
      </c>
      <c r="BD9" s="903">
        <f>BD73</f>
        <v>929</v>
      </c>
      <c r="BE9" s="902">
        <f>SUM(BA9:BD9)</f>
        <v>3961</v>
      </c>
      <c r="BF9" s="903">
        <f>BF73</f>
        <v>808</v>
      </c>
      <c r="BG9" s="903">
        <f>BG73</f>
        <v>781</v>
      </c>
      <c r="BH9" s="903">
        <f>BH73</f>
        <v>751</v>
      </c>
      <c r="BI9" s="903">
        <f>BI73</f>
        <v>714</v>
      </c>
      <c r="BJ9" s="902">
        <f>SUM(BF9:BI9)</f>
        <v>3054</v>
      </c>
      <c r="BK9" s="903">
        <f>BK73</f>
        <v>709</v>
      </c>
      <c r="BL9" s="903">
        <f>BL73</f>
        <v>727</v>
      </c>
      <c r="BM9" s="903">
        <f>BM73</f>
        <v>708</v>
      </c>
      <c r="BN9" s="903">
        <f>BN73</f>
        <v>641</v>
      </c>
      <c r="BO9" s="902">
        <f>SUM(BK9:BN9)</f>
        <v>2785</v>
      </c>
      <c r="BP9" s="903">
        <f>BP73</f>
        <v>664</v>
      </c>
      <c r="BQ9" s="903">
        <f>BQ73</f>
        <v>632</v>
      </c>
      <c r="BR9" s="903">
        <f>BR73</f>
        <v>623</v>
      </c>
      <c r="BS9" s="903">
        <f>BS73</f>
        <v>622</v>
      </c>
      <c r="BT9" s="902">
        <f>SUM(BP9:BS9)</f>
        <v>2541</v>
      </c>
      <c r="BU9" s="903">
        <f>BU73</f>
        <v>657</v>
      </c>
      <c r="BV9" s="903">
        <f>BV73</f>
        <v>667</v>
      </c>
      <c r="BW9" s="903">
        <f>BW73</f>
        <v>654</v>
      </c>
      <c r="BX9" s="903">
        <f>BX73</f>
        <v>660</v>
      </c>
      <c r="BY9" s="902">
        <f>SUM(BU9:BX9)</f>
        <v>2638</v>
      </c>
      <c r="BZ9" s="903">
        <f>BZ73</f>
        <v>683</v>
      </c>
      <c r="CA9" s="903">
        <f>CA73</f>
        <v>670</v>
      </c>
      <c r="CB9" s="903">
        <f>CB73</f>
        <v>664</v>
      </c>
      <c r="CC9" s="903">
        <f>CC73</f>
        <v>654</v>
      </c>
      <c r="CD9" s="902">
        <f>SUM(BZ9:CC9)</f>
        <v>2671</v>
      </c>
      <c r="CE9" s="903">
        <f>CE73</f>
        <v>674</v>
      </c>
      <c r="CF9" s="903">
        <f>CF73</f>
        <v>702</v>
      </c>
      <c r="CG9" s="903">
        <f>CG73</f>
        <v>709</v>
      </c>
      <c r="CH9" s="903">
        <f>CH73</f>
        <v>691</v>
      </c>
      <c r="CI9" s="902">
        <f>SUM(CE9:CH9)</f>
        <v>2776</v>
      </c>
      <c r="CJ9" s="903">
        <f>CJ73</f>
        <v>706</v>
      </c>
      <c r="CK9" s="903">
        <f>CK73</f>
        <v>733</v>
      </c>
      <c r="CL9" s="903">
        <f>CL73</f>
        <v>734</v>
      </c>
      <c r="CM9" s="903">
        <f>CM73</f>
        <v>730</v>
      </c>
      <c r="CN9" s="902">
        <f>SUM(CJ9:CM9)</f>
        <v>2903</v>
      </c>
      <c r="CO9" s="903">
        <f>CO73</f>
        <v>720</v>
      </c>
      <c r="CP9" s="903">
        <f>CP73</f>
        <v>738</v>
      </c>
      <c r="CQ9" s="903">
        <f>CQ73</f>
        <v>734</v>
      </c>
      <c r="CR9" s="903">
        <f>CR73</f>
        <v>736</v>
      </c>
      <c r="CS9" s="902">
        <f>SUM(CO9:CR9)</f>
        <v>2928</v>
      </c>
      <c r="CT9" s="903">
        <f>CT73</f>
        <v>766</v>
      </c>
      <c r="CU9" s="903">
        <f>CU73</f>
        <v>791</v>
      </c>
      <c r="CV9" s="903">
        <f>CV73</f>
        <v>789</v>
      </c>
      <c r="CW9" s="903">
        <f>CW73</f>
        <v>821</v>
      </c>
      <c r="CX9" s="902">
        <f>SUM(CT9:CW9)</f>
        <v>3167</v>
      </c>
      <c r="CY9" s="903">
        <f>CY73</f>
        <v>813</v>
      </c>
      <c r="CZ9" s="903">
        <f>CZ73</f>
        <v>844</v>
      </c>
      <c r="DA9" s="903">
        <f>DA73</f>
        <v>845</v>
      </c>
      <c r="DB9" s="903">
        <f>DB73</f>
        <v>1357</v>
      </c>
      <c r="DC9" s="902">
        <f>SUM(CY9:DB9)</f>
        <v>3859</v>
      </c>
      <c r="DD9" s="903">
        <f>DD73</f>
        <v>1346</v>
      </c>
      <c r="DE9" s="903">
        <f>DE73</f>
        <v>1448</v>
      </c>
      <c r="DF9" s="903">
        <f>DF73</f>
        <v>1441</v>
      </c>
      <c r="DG9" s="903">
        <f>DG73</f>
        <v>1539</v>
      </c>
      <c r="DH9" s="902">
        <f>SUM(DD9:DG9)</f>
        <v>5774</v>
      </c>
      <c r="DI9" s="903">
        <f>DI73</f>
        <v>1412</v>
      </c>
      <c r="DJ9" s="903">
        <f>DJ73</f>
        <v>1484</v>
      </c>
      <c r="DK9" s="903">
        <f>DK73</f>
        <v>1515</v>
      </c>
      <c r="DL9" s="903">
        <f>DL73</f>
        <v>1616</v>
      </c>
      <c r="DM9" s="902">
        <f>SUM(DI9:DL9)</f>
        <v>6027</v>
      </c>
      <c r="DN9" s="903">
        <f>DN73</f>
        <v>1514</v>
      </c>
      <c r="DO9" s="903">
        <f>DO73</f>
        <v>1460</v>
      </c>
      <c r="DP9" s="903">
        <f>DP73</f>
        <v>1417</v>
      </c>
      <c r="DQ9" s="903">
        <f>DQ73</f>
        <v>1457</v>
      </c>
      <c r="DR9" s="902">
        <f>SUM(DN9:DQ9)</f>
        <v>5848</v>
      </c>
      <c r="DS9" s="903">
        <f>DS73</f>
        <v>1463</v>
      </c>
      <c r="DT9" s="903">
        <f>DT73</f>
        <v>1491</v>
      </c>
      <c r="DU9" s="903">
        <f>DU73</f>
        <v>1386</v>
      </c>
      <c r="DV9" s="903">
        <f>DV73</f>
        <v>1431</v>
      </c>
      <c r="DW9" s="902">
        <f>SUM(DS9:DV9)</f>
        <v>5771</v>
      </c>
      <c r="DX9" s="903">
        <f>DX73</f>
        <v>1470.3149999999998</v>
      </c>
      <c r="DY9" s="903">
        <f>DY73</f>
        <v>1498.4549999999999</v>
      </c>
      <c r="DZ9" s="903">
        <f>DZ73</f>
        <v>1392.9299999999998</v>
      </c>
      <c r="EA9" s="903">
        <f>EA73</f>
        <v>1438.1549999999997</v>
      </c>
      <c r="EB9" s="902">
        <f>SUM(DX9:EA9)</f>
        <v>5799.8549999999987</v>
      </c>
      <c r="EC9" s="903">
        <f>EC73</f>
        <v>1492.3697249999998</v>
      </c>
      <c r="ED9" s="903">
        <f>ED73</f>
        <v>1520.9318249999999</v>
      </c>
      <c r="EE9" s="903">
        <f>EE73</f>
        <v>1413.8239499999997</v>
      </c>
      <c r="EF9" s="903">
        <f>EF73</f>
        <v>1459.7273249999996</v>
      </c>
      <c r="EG9" s="902">
        <f>SUM(EC9:EF9)</f>
        <v>5886.852824999999</v>
      </c>
      <c r="EH9" s="903">
        <f>EH73</f>
        <v>1514.7552708749997</v>
      </c>
      <c r="EI9" s="903">
        <f>EI73</f>
        <v>1543.7458023749998</v>
      </c>
      <c r="EJ9" s="903">
        <f>EJ73</f>
        <v>1435.0313092499996</v>
      </c>
      <c r="EK9" s="903">
        <f>EK73</f>
        <v>1481.6232348749995</v>
      </c>
      <c r="EL9" s="902">
        <f>SUM(EH9:EK9)</f>
        <v>5975.1556173749996</v>
      </c>
    </row>
    <row r="10" spans="1:142" s="680" customFormat="1" ht="12" customHeight="1">
      <c r="A10" s="846"/>
      <c r="B10" s="846" t="str">
        <f>IS!B10</f>
        <v>Ambulatory Care</v>
      </c>
      <c r="C10" s="903"/>
      <c r="D10" s="903"/>
      <c r="E10" s="903"/>
      <c r="F10" s="903"/>
      <c r="G10" s="903"/>
      <c r="H10" s="844"/>
      <c r="I10" s="903"/>
      <c r="J10" s="903"/>
      <c r="K10" s="903"/>
      <c r="L10" s="903"/>
      <c r="M10" s="844"/>
      <c r="N10" s="903"/>
      <c r="O10" s="903"/>
      <c r="P10" s="903"/>
      <c r="Q10" s="903"/>
      <c r="R10" s="844"/>
      <c r="S10" s="903"/>
      <c r="T10" s="903"/>
      <c r="U10" s="903"/>
      <c r="V10" s="903"/>
      <c r="W10" s="844"/>
      <c r="X10" s="903"/>
      <c r="Y10" s="903"/>
      <c r="Z10" s="903"/>
      <c r="AA10" s="903"/>
      <c r="AB10" s="844"/>
      <c r="AC10" s="903"/>
      <c r="AD10" s="903"/>
      <c r="AE10" s="903"/>
      <c r="AF10" s="903"/>
      <c r="AG10" s="844"/>
      <c r="AH10" s="903"/>
      <c r="AI10" s="903"/>
      <c r="AJ10" s="903"/>
      <c r="AK10" s="903"/>
      <c r="AL10" s="844"/>
      <c r="AM10" s="903"/>
      <c r="AN10" s="903"/>
      <c r="AO10" s="903"/>
      <c r="AP10" s="903"/>
      <c r="AQ10" s="844"/>
      <c r="AR10" s="903"/>
      <c r="AS10" s="903"/>
      <c r="AT10" s="903"/>
      <c r="AU10" s="802"/>
      <c r="AV10" s="1149"/>
      <c r="AW10" s="1149"/>
      <c r="AX10" s="1149"/>
      <c r="AY10" s="1149"/>
      <c r="AZ10" s="902"/>
      <c r="BA10" s="903"/>
      <c r="BB10" s="903"/>
      <c r="BC10" s="903"/>
      <c r="BD10" s="903"/>
      <c r="BE10" s="902"/>
      <c r="BF10" s="903"/>
      <c r="BG10" s="903"/>
      <c r="BH10" s="903"/>
      <c r="BI10" s="903"/>
      <c r="BJ10" s="902"/>
      <c r="BK10" s="903"/>
      <c r="BL10" s="903"/>
      <c r="BM10" s="903"/>
      <c r="BN10" s="903"/>
      <c r="BO10" s="902"/>
      <c r="BP10" s="903"/>
      <c r="BQ10" s="903"/>
      <c r="BR10" s="903"/>
      <c r="BS10" s="903"/>
      <c r="BT10" s="902"/>
      <c r="BU10" s="903"/>
      <c r="BV10" s="903"/>
      <c r="BW10" s="903"/>
      <c r="BX10" s="903"/>
      <c r="BY10" s="902"/>
      <c r="BZ10" s="903"/>
      <c r="CA10" s="903"/>
      <c r="CB10" s="903"/>
      <c r="CC10" s="903"/>
      <c r="CD10" s="902"/>
      <c r="CE10" s="903"/>
      <c r="CF10" s="903"/>
      <c r="CG10" s="903"/>
      <c r="CH10" s="903"/>
      <c r="CI10" s="902"/>
      <c r="CJ10" s="903"/>
      <c r="CK10" s="903"/>
      <c r="CL10" s="903"/>
      <c r="CM10" s="903"/>
      <c r="CN10" s="902"/>
      <c r="CO10" s="903"/>
      <c r="CP10" s="903"/>
      <c r="CQ10" s="903"/>
      <c r="CR10" s="903"/>
      <c r="CS10" s="902"/>
      <c r="CT10" s="903"/>
      <c r="CU10" s="903"/>
      <c r="CV10" s="903"/>
      <c r="CW10" s="903"/>
      <c r="CX10" s="902"/>
      <c r="CY10" s="903"/>
      <c r="CZ10" s="903"/>
      <c r="DA10" s="903"/>
      <c r="DB10" s="903"/>
      <c r="DC10" s="902"/>
      <c r="DD10" s="903"/>
      <c r="DE10" s="903"/>
      <c r="DF10" s="903"/>
      <c r="DG10" s="903"/>
      <c r="DH10" s="902"/>
      <c r="DI10" s="903">
        <v>474</v>
      </c>
      <c r="DJ10" s="903">
        <v>520</v>
      </c>
      <c r="DK10" s="903">
        <f>IS!DK$10</f>
        <v>341</v>
      </c>
      <c r="DL10" s="903">
        <f>IS!DL$10</f>
        <v>411</v>
      </c>
      <c r="DM10" s="902">
        <f>SUM(DI10:DL10)</f>
        <v>1746</v>
      </c>
      <c r="DN10" s="903">
        <v>437</v>
      </c>
      <c r="DO10" s="903">
        <v>452</v>
      </c>
      <c r="DP10" s="903">
        <v>457</v>
      </c>
      <c r="DQ10" s="903">
        <v>487</v>
      </c>
      <c r="DR10" s="902">
        <f>SUM(DN10:DQ10)</f>
        <v>1833</v>
      </c>
      <c r="DS10" s="903">
        <v>462</v>
      </c>
      <c r="DT10" s="903">
        <v>483</v>
      </c>
      <c r="DU10" s="903">
        <v>477</v>
      </c>
      <c r="DV10" s="903">
        <v>556</v>
      </c>
      <c r="DW10" s="902">
        <f>SUM(DS10:DV10)</f>
        <v>1978</v>
      </c>
      <c r="DX10" s="903">
        <v>485.7125905499999</v>
      </c>
      <c r="DY10" s="903">
        <v>496.78272585000002</v>
      </c>
      <c r="DZ10" s="903">
        <v>487.00018147499986</v>
      </c>
      <c r="EA10" s="903">
        <v>567.79133249999984</v>
      </c>
      <c r="EB10" s="902">
        <f>SUM(DX10:EA10)</f>
        <v>2037.2868303749997</v>
      </c>
      <c r="EC10" s="903">
        <v>542.32482154155514</v>
      </c>
      <c r="ED10" s="903">
        <v>554.68523646144683</v>
      </c>
      <c r="EE10" s="903">
        <v>543.76248762681848</v>
      </c>
      <c r="EF10" s="903">
        <v>633.97025125953735</v>
      </c>
      <c r="EG10" s="902">
        <f>SUM(EC10:EF10)</f>
        <v>2274.742796889358</v>
      </c>
      <c r="EH10" s="903">
        <v>657.0487073130206</v>
      </c>
      <c r="EI10" s="903">
        <v>672.02385564180713</v>
      </c>
      <c r="EJ10" s="903">
        <v>658.79049858892972</v>
      </c>
      <c r="EK10" s="903">
        <v>768.08089454757169</v>
      </c>
      <c r="EL10" s="902">
        <f>SUM(EH10:EK10)</f>
        <v>2755.9439560913293</v>
      </c>
    </row>
    <row r="11" spans="1:142" s="680" customFormat="1" ht="12" customHeight="1">
      <c r="A11" s="846"/>
      <c r="B11" s="846" t="s">
        <v>494</v>
      </c>
      <c r="C11" s="903"/>
      <c r="D11" s="903">
        <f>D78</f>
        <v>145.3130000000001</v>
      </c>
      <c r="E11" s="903">
        <f>E78</f>
        <v>133.62900000000002</v>
      </c>
      <c r="F11" s="903">
        <f>F78</f>
        <v>130.60000000000002</v>
      </c>
      <c r="G11" s="903">
        <f>G78</f>
        <v>184.25800000000004</v>
      </c>
      <c r="H11" s="844">
        <f>SUM(D11:G11)</f>
        <v>593.80000000000018</v>
      </c>
      <c r="I11" s="903">
        <f>I78</f>
        <v>131.30000000000018</v>
      </c>
      <c r="J11" s="903">
        <f>J78</f>
        <v>141.5</v>
      </c>
      <c r="K11" s="903">
        <f>K78</f>
        <v>122.59999999999991</v>
      </c>
      <c r="L11" s="903">
        <f>L78</f>
        <v>151.59999999999945</v>
      </c>
      <c r="M11" s="844">
        <f>SUM(I11:L11)</f>
        <v>546.99999999999955</v>
      </c>
      <c r="N11" s="903">
        <f>N78</f>
        <v>169.89999999999986</v>
      </c>
      <c r="O11" s="903">
        <f>O78</f>
        <v>165.89999999999986</v>
      </c>
      <c r="P11" s="903">
        <f>P78</f>
        <v>220.10000000000014</v>
      </c>
      <c r="Q11" s="903">
        <f>Q78</f>
        <v>393.09999999999945</v>
      </c>
      <c r="R11" s="844">
        <f>SUM(N11:Q11)</f>
        <v>948.99999999999932</v>
      </c>
      <c r="S11" s="903">
        <f>S78</f>
        <v>255</v>
      </c>
      <c r="T11" s="903">
        <f>T78</f>
        <v>280</v>
      </c>
      <c r="U11" s="903">
        <f>U78</f>
        <v>276</v>
      </c>
      <c r="V11" s="903">
        <f>V78</f>
        <v>263</v>
      </c>
      <c r="W11" s="844">
        <f>SUM(S11:V11)</f>
        <v>1074</v>
      </c>
      <c r="X11" s="903">
        <f>X78</f>
        <v>293</v>
      </c>
      <c r="Y11" s="903">
        <f>Y78</f>
        <v>270</v>
      </c>
      <c r="Z11" s="903">
        <f>Z78</f>
        <v>290</v>
      </c>
      <c r="AA11" s="903">
        <f>AA78</f>
        <v>326</v>
      </c>
      <c r="AB11" s="844">
        <f>SUM(X11:AA11)</f>
        <v>1179</v>
      </c>
      <c r="AC11" s="903">
        <f>AC78</f>
        <v>268</v>
      </c>
      <c r="AD11" s="903">
        <f>AD78</f>
        <v>257</v>
      </c>
      <c r="AE11" s="903">
        <f>AE78</f>
        <v>224</v>
      </c>
      <c r="AF11" s="903">
        <f>AF78</f>
        <v>242</v>
      </c>
      <c r="AG11" s="844">
        <f>SUM(AC11:AF11)</f>
        <v>991</v>
      </c>
      <c r="AH11" s="903">
        <f>AH78</f>
        <v>204</v>
      </c>
      <c r="AI11" s="903">
        <f>AI78</f>
        <v>194</v>
      </c>
      <c r="AJ11" s="903">
        <f>AJ78</f>
        <v>185</v>
      </c>
      <c r="AK11" s="903">
        <f>AK78</f>
        <v>190</v>
      </c>
      <c r="AL11" s="844">
        <f>SUM(AH11:AK11)</f>
        <v>773</v>
      </c>
      <c r="AM11" s="903">
        <f>AM78</f>
        <v>179</v>
      </c>
      <c r="AN11" s="903">
        <f>AN78</f>
        <v>170</v>
      </c>
      <c r="AO11" s="903">
        <f>AO78</f>
        <v>167</v>
      </c>
      <c r="AP11" s="903">
        <f>AP78</f>
        <v>149</v>
      </c>
      <c r="AQ11" s="844">
        <f>SUM(AM11:AP11)</f>
        <v>665</v>
      </c>
      <c r="AR11" s="903">
        <f>AR78</f>
        <v>157</v>
      </c>
      <c r="AS11" s="903">
        <f>AS78</f>
        <v>170</v>
      </c>
      <c r="AT11" s="903">
        <f>AT78</f>
        <v>193</v>
      </c>
      <c r="AU11" s="802"/>
      <c r="AV11" s="903">
        <f>AV78</f>
        <v>146</v>
      </c>
      <c r="AW11" s="903">
        <f>AW78</f>
        <v>135</v>
      </c>
      <c r="AX11" s="903">
        <f>AX78</f>
        <v>149</v>
      </c>
      <c r="AY11" s="903">
        <f>AY78</f>
        <v>123</v>
      </c>
      <c r="AZ11" s="902">
        <f>SUM(AV11:AY11)</f>
        <v>553</v>
      </c>
      <c r="BA11" s="903">
        <f>BA78</f>
        <v>174</v>
      </c>
      <c r="BB11" s="903">
        <f>BB78</f>
        <v>184</v>
      </c>
      <c r="BC11" s="903">
        <f>BC78</f>
        <v>152</v>
      </c>
      <c r="BD11" s="903">
        <f>BD78</f>
        <v>169</v>
      </c>
      <c r="BE11" s="902">
        <f>SUM(BA11:BD11)</f>
        <v>679</v>
      </c>
      <c r="BF11" s="903">
        <f>BF78</f>
        <v>96</v>
      </c>
      <c r="BG11" s="903">
        <f>BG78</f>
        <v>99</v>
      </c>
      <c r="BH11" s="903">
        <f>BH78</f>
        <v>92</v>
      </c>
      <c r="BI11" s="903">
        <f>BI78</f>
        <v>93</v>
      </c>
      <c r="BJ11" s="902">
        <f>SUM(BF11:BI11)</f>
        <v>380</v>
      </c>
      <c r="BK11" s="903">
        <f>BK78</f>
        <v>91</v>
      </c>
      <c r="BL11" s="903">
        <f>BL78</f>
        <v>95</v>
      </c>
      <c r="BM11" s="903">
        <f>BM78</f>
        <v>83</v>
      </c>
      <c r="BN11" s="903">
        <f>BN78</f>
        <v>68</v>
      </c>
      <c r="BO11" s="902">
        <f>SUM(BK11:BN11)</f>
        <v>337</v>
      </c>
      <c r="BP11" s="903">
        <f>BP78</f>
        <v>73</v>
      </c>
      <c r="BQ11" s="903">
        <f>BQ78</f>
        <v>83</v>
      </c>
      <c r="BR11" s="903">
        <f>BR78</f>
        <v>76</v>
      </c>
      <c r="BS11" s="903">
        <f>BS78</f>
        <v>63</v>
      </c>
      <c r="BT11" s="902">
        <f>SUM(BP11:BS11)</f>
        <v>295</v>
      </c>
      <c r="BU11" s="903">
        <f>BU78</f>
        <v>82</v>
      </c>
      <c r="BV11" s="903">
        <f>BV78</f>
        <v>70</v>
      </c>
      <c r="BW11" s="903">
        <f>BW78</f>
        <v>74</v>
      </c>
      <c r="BX11" s="903">
        <f>BX78</f>
        <v>74</v>
      </c>
      <c r="BY11" s="902">
        <f>SUM(BU11:BX11)</f>
        <v>300</v>
      </c>
      <c r="BZ11" s="903">
        <f>BZ78</f>
        <v>74</v>
      </c>
      <c r="CA11" s="903">
        <f>CA78</f>
        <v>75</v>
      </c>
      <c r="CB11" s="903">
        <f>CB78</f>
        <v>80</v>
      </c>
      <c r="CC11" s="903">
        <f>CC78</f>
        <v>89</v>
      </c>
      <c r="CD11" s="902">
        <f>SUM(BZ11:CC11)</f>
        <v>318</v>
      </c>
      <c r="CE11" s="903">
        <f>CE78</f>
        <v>81</v>
      </c>
      <c r="CF11" s="903">
        <f>CF78</f>
        <v>86</v>
      </c>
      <c r="CG11" s="903">
        <f>CG78</f>
        <v>87</v>
      </c>
      <c r="CH11" s="903">
        <f>CH78</f>
        <v>89</v>
      </c>
      <c r="CI11" s="902">
        <f>SUM(CE11:CH11)</f>
        <v>343</v>
      </c>
      <c r="CJ11" s="903">
        <f>CJ78</f>
        <v>89</v>
      </c>
      <c r="CK11" s="903">
        <f>CK78</f>
        <v>92</v>
      </c>
      <c r="CL11" s="903">
        <f>CL78</f>
        <v>98</v>
      </c>
      <c r="CM11" s="903">
        <f>CM78</f>
        <v>94</v>
      </c>
      <c r="CN11" s="902">
        <f>SUM(CJ11:CM11)</f>
        <v>373</v>
      </c>
      <c r="CO11" s="903">
        <f>CO78</f>
        <v>90</v>
      </c>
      <c r="CP11" s="903">
        <f>CP78</f>
        <v>96</v>
      </c>
      <c r="CQ11" s="903">
        <f>CQ78</f>
        <v>111</v>
      </c>
      <c r="CR11" s="903">
        <f>CR78</f>
        <v>118</v>
      </c>
      <c r="CS11" s="902">
        <f>SUM(CO11:CR11)</f>
        <v>415</v>
      </c>
      <c r="CT11" s="903">
        <f>CT78</f>
        <v>118</v>
      </c>
      <c r="CU11" s="903">
        <f>CU78</f>
        <v>116</v>
      </c>
      <c r="CV11" s="903">
        <f>CV78</f>
        <v>137</v>
      </c>
      <c r="CW11" s="903">
        <f>CW148</f>
        <v>166</v>
      </c>
      <c r="CX11" s="902">
        <f>SUM(CT11:CW11)</f>
        <v>537</v>
      </c>
      <c r="CY11" s="903">
        <f>CY148</f>
        <v>245</v>
      </c>
      <c r="CZ11" s="903">
        <f>CZ148</f>
        <v>243</v>
      </c>
      <c r="DA11" s="903">
        <f>DA148</f>
        <v>271</v>
      </c>
      <c r="DB11" s="903">
        <f>DB148</f>
        <v>504</v>
      </c>
      <c r="DC11" s="902">
        <f>SUM(CY11:DB11)</f>
        <v>1263</v>
      </c>
      <c r="DD11" s="903">
        <f>DD148</f>
        <v>520</v>
      </c>
      <c r="DE11" s="903">
        <f>DE148</f>
        <v>521</v>
      </c>
      <c r="DF11" s="903">
        <f>DF148</f>
        <v>524</v>
      </c>
      <c r="DG11" s="903">
        <f>DG148</f>
        <v>566</v>
      </c>
      <c r="DH11" s="902">
        <f>SUM(DD11:DG11)</f>
        <v>2131</v>
      </c>
      <c r="DI11" s="903">
        <f>DI148</f>
        <v>688</v>
      </c>
      <c r="DJ11" s="903">
        <f>DJ148</f>
        <v>675</v>
      </c>
      <c r="DK11" s="903">
        <f>DK148</f>
        <v>604</v>
      </c>
      <c r="DL11" s="903">
        <f>DL148</f>
        <v>654</v>
      </c>
      <c r="DM11" s="902">
        <f>SUM(DI11:DL11)</f>
        <v>2621</v>
      </c>
      <c r="DN11" s="903">
        <f>DN148</f>
        <v>688</v>
      </c>
      <c r="DO11" s="903">
        <f>DO148</f>
        <v>720</v>
      </c>
      <c r="DP11" s="903">
        <f>DP148</f>
        <v>698</v>
      </c>
      <c r="DQ11" s="903">
        <f>DQ148</f>
        <v>664</v>
      </c>
      <c r="DR11" s="902">
        <f>SUM(DN11:DQ11)</f>
        <v>2770</v>
      </c>
      <c r="DS11" s="903">
        <f>DS148</f>
        <v>666</v>
      </c>
      <c r="DT11" s="903">
        <f>DT148</f>
        <v>654</v>
      </c>
      <c r="DU11" s="903">
        <f>DU148</f>
        <v>687</v>
      </c>
      <c r="DV11" s="903">
        <f>DV148</f>
        <v>621</v>
      </c>
      <c r="DW11" s="902">
        <f>SUM(DS11:DV11)</f>
        <v>2628</v>
      </c>
      <c r="DX11" s="903">
        <f>DX148</f>
        <v>644.76</v>
      </c>
      <c r="DY11" s="903">
        <f>DY148</f>
        <v>629.29999999999995</v>
      </c>
      <c r="DZ11" s="903">
        <f>DZ148</f>
        <v>660.67</v>
      </c>
      <c r="EA11" s="903">
        <f>EA148</f>
        <v>597.82999999999993</v>
      </c>
      <c r="EB11" s="902">
        <f>SUM(DX11:EA11)</f>
        <v>2532.56</v>
      </c>
      <c r="EC11" s="903">
        <f>EC148</f>
        <v>653.71559999999999</v>
      </c>
      <c r="ED11" s="903">
        <f>ED148</f>
        <v>638.00599999999997</v>
      </c>
      <c r="EE11" s="903">
        <f>EE148</f>
        <v>669.99369999999999</v>
      </c>
      <c r="EF11" s="903">
        <f>EF148</f>
        <v>605.96479999999997</v>
      </c>
      <c r="EG11" s="902">
        <f>SUM(EC11:EF11)</f>
        <v>2567.6800999999996</v>
      </c>
      <c r="EH11" s="903">
        <f>EH148</f>
        <v>662.81091599999991</v>
      </c>
      <c r="EI11" s="903">
        <f>EI148</f>
        <v>646.84731999999997</v>
      </c>
      <c r="EJ11" s="903">
        <f>EJ148</f>
        <v>679.46497700000009</v>
      </c>
      <c r="EK11" s="903">
        <f>EK148</f>
        <v>614.22407799999996</v>
      </c>
      <c r="EL11" s="902">
        <f>SUM(EH11:EK11)</f>
        <v>2603.347291</v>
      </c>
    </row>
    <row r="12" spans="1:142">
      <c r="A12" s="381"/>
      <c r="B12" s="1274" t="str">
        <f>IS!B12</f>
        <v>Gross Revenue</v>
      </c>
      <c r="C12" s="1275"/>
      <c r="D12" s="1275">
        <f>IS!D12</f>
        <v>662.83500000000004</v>
      </c>
      <c r="E12" s="1275">
        <f>IS!E12</f>
        <v>638.79999999999995</v>
      </c>
      <c r="F12" s="1275">
        <f>IS!F12</f>
        <v>660.5</v>
      </c>
      <c r="G12" s="1275">
        <f>IS!G12</f>
        <v>1355.865</v>
      </c>
      <c r="H12" s="1276">
        <f>IS!H12</f>
        <v>3318</v>
      </c>
      <c r="I12" s="1275">
        <f>IS!I12</f>
        <v>1283.9000000000001</v>
      </c>
      <c r="J12" s="1275">
        <f>IS!J12</f>
        <v>1370.9</v>
      </c>
      <c r="K12" s="1275">
        <f>IS!K12</f>
        <v>1431.9</v>
      </c>
      <c r="L12" s="1275">
        <f>IS!L12</f>
        <v>1472.2999999999997</v>
      </c>
      <c r="M12" s="1276">
        <f>IS!M12</f>
        <v>5559</v>
      </c>
      <c r="N12" s="1275">
        <f>IS!N12</f>
        <v>1438.6</v>
      </c>
      <c r="O12" s="1275">
        <f>IS!O12</f>
        <v>1476.1</v>
      </c>
      <c r="P12" s="1275">
        <f>IS!P12</f>
        <v>2236.9</v>
      </c>
      <c r="Q12" s="1275">
        <f>IS!Q12</f>
        <v>3539.3999999999996</v>
      </c>
      <c r="R12" s="1276">
        <f>IS!R12</f>
        <v>8691</v>
      </c>
      <c r="S12" s="1275">
        <f>IS!S12</f>
        <v>2331</v>
      </c>
      <c r="T12" s="1275">
        <f>IS!T12</f>
        <v>2429</v>
      </c>
      <c r="U12" s="1275">
        <f>IS!U12</f>
        <v>2564</v>
      </c>
      <c r="V12" s="1275">
        <f>IS!V12</f>
        <v>2571</v>
      </c>
      <c r="W12" s="1276">
        <f>IS!W12</f>
        <v>9895</v>
      </c>
      <c r="X12" s="1275">
        <f>IS!X12</f>
        <v>2553</v>
      </c>
      <c r="Y12" s="1275">
        <f>IS!Y12</f>
        <v>2563</v>
      </c>
      <c r="Z12" s="1275">
        <f>IS!Z12</f>
        <v>2822</v>
      </c>
      <c r="AA12" s="1275">
        <f>IS!AA12</f>
        <v>2942</v>
      </c>
      <c r="AB12" s="1276">
        <f>IS!AB12</f>
        <v>10880</v>
      </c>
      <c r="AC12" s="1275">
        <f>IS!AC12</f>
        <v>2873</v>
      </c>
      <c r="AD12" s="1275">
        <f>IS!AD12</f>
        <v>2780</v>
      </c>
      <c r="AE12" s="1275">
        <f>IS!AE12</f>
        <v>2850</v>
      </c>
      <c r="AF12" s="1275">
        <f>IS!AF12</f>
        <v>2911</v>
      </c>
      <c r="AG12" s="1276">
        <f>IS!AG12</f>
        <v>11414</v>
      </c>
      <c r="AH12" s="1275">
        <f>IS!AH12</f>
        <v>2893</v>
      </c>
      <c r="AI12" s="1275">
        <f>IS!AI12</f>
        <v>2915</v>
      </c>
      <c r="AJ12" s="1275">
        <f>IS!AJ12</f>
        <v>3036</v>
      </c>
      <c r="AK12" s="1275">
        <f>IS!AK12</f>
        <v>3209</v>
      </c>
      <c r="AL12" s="1276">
        <f>IS!AL12</f>
        <v>12053</v>
      </c>
      <c r="AM12" s="1275">
        <f>IS!AM12</f>
        <v>3297</v>
      </c>
      <c r="AN12" s="1275">
        <f>IS!AN12</f>
        <v>3394</v>
      </c>
      <c r="AO12" s="1275">
        <f>IS!AO12</f>
        <v>3484</v>
      </c>
      <c r="AP12" s="1275">
        <f>IS!AP12</f>
        <v>3738</v>
      </c>
      <c r="AQ12" s="1276">
        <f>IS!AQ12</f>
        <v>13913</v>
      </c>
      <c r="AR12" s="1275">
        <f>IS!AR12</f>
        <v>3703</v>
      </c>
      <c r="AS12" s="1275">
        <f>IS!AS12</f>
        <v>3778</v>
      </c>
      <c r="AT12" s="1275">
        <f>IS!AT12</f>
        <v>3686</v>
      </c>
      <c r="AU12" s="1276"/>
      <c r="AV12" s="1275">
        <f>IS!AV12</f>
        <v>3375</v>
      </c>
      <c r="AW12" s="1275">
        <f>IS!AW12</f>
        <v>3430</v>
      </c>
      <c r="AX12" s="1275">
        <f>IS!AX12</f>
        <v>3521</v>
      </c>
      <c r="AY12" s="1275">
        <f>IS!AY12</f>
        <v>3493</v>
      </c>
      <c r="AZ12" s="1276">
        <f>IS!AZ12</f>
        <v>13819</v>
      </c>
      <c r="BA12" s="1275">
        <f>IS!BA12</f>
        <v>3452</v>
      </c>
      <c r="BB12" s="1275">
        <f>IS!BB12</f>
        <v>3379</v>
      </c>
      <c r="BC12" s="1275">
        <f>IS!BC12</f>
        <v>3297</v>
      </c>
      <c r="BD12" s="1275">
        <f>IS!BD12</f>
        <v>3181</v>
      </c>
      <c r="BE12" s="1276">
        <f>IS!BE12</f>
        <v>13309</v>
      </c>
      <c r="BF12" s="1275">
        <f>IS!BF12</f>
        <v>2669</v>
      </c>
      <c r="BG12" s="1275">
        <f>IS!BG12</f>
        <v>2570</v>
      </c>
      <c r="BH12" s="1275">
        <f>IS!BH12</f>
        <v>2440</v>
      </c>
      <c r="BI12" s="1275">
        <f>IS!BI12</f>
        <v>2412</v>
      </c>
      <c r="BJ12" s="1276">
        <f>IS!BJ12</f>
        <v>10091</v>
      </c>
      <c r="BK12" s="1275">
        <f>IS!BK12</f>
        <v>2501</v>
      </c>
      <c r="BL12" s="1275">
        <f>IS!BL12</f>
        <v>2420</v>
      </c>
      <c r="BM12" s="1275">
        <f>IS!BM12</f>
        <v>2394</v>
      </c>
      <c r="BN12" s="1275">
        <f>IS!BN12</f>
        <v>2299</v>
      </c>
      <c r="BO12" s="1276">
        <f>IS!BO12</f>
        <v>9614</v>
      </c>
      <c r="BP12" s="1275">
        <f>IS!BP12</f>
        <v>2414</v>
      </c>
      <c r="BQ12" s="1275">
        <f>IS!BQ12</f>
        <v>2195</v>
      </c>
      <c r="BR12" s="1275">
        <f>IS!BR12</f>
        <v>2117</v>
      </c>
      <c r="BS12" s="1275">
        <f>IS!BS12</f>
        <v>2179</v>
      </c>
      <c r="BT12" s="1276">
        <f>IS!BT12</f>
        <v>8905</v>
      </c>
      <c r="BU12" s="1275">
        <f>IS!BU12</f>
        <v>2279</v>
      </c>
      <c r="BV12" s="1275">
        <f>IS!BV12</f>
        <v>2228</v>
      </c>
      <c r="BW12" s="1275">
        <f>IS!BW12</f>
        <v>2212</v>
      </c>
      <c r="BX12" s="1275">
        <f>IS!BX12</f>
        <v>2251</v>
      </c>
      <c r="BY12" s="1276">
        <f>IS!BY12</f>
        <v>8970</v>
      </c>
      <c r="BZ12" s="1275">
        <f>IS!BZ12</f>
        <v>2371</v>
      </c>
      <c r="CA12" s="1275">
        <f>IS!CA12</f>
        <v>2184</v>
      </c>
      <c r="CB12" s="1275">
        <f>IS!CB12</f>
        <v>2158</v>
      </c>
      <c r="CC12" s="1275">
        <f>IS!CC12</f>
        <v>2195</v>
      </c>
      <c r="CD12" s="1276">
        <f>IS!CD12</f>
        <v>8908</v>
      </c>
      <c r="CE12" s="1275">
        <f>IS!CE12</f>
        <v>2279</v>
      </c>
      <c r="CF12" s="1275">
        <f>IS!CF12</f>
        <v>2229</v>
      </c>
      <c r="CG12" s="1275">
        <f>IS!CG12</f>
        <v>2262</v>
      </c>
      <c r="CH12" s="1275">
        <f>IS!CH12</f>
        <v>2261</v>
      </c>
      <c r="CI12" s="1276">
        <f>IS!CI12</f>
        <v>9031</v>
      </c>
      <c r="CJ12" s="1275">
        <f>IS!CJ12</f>
        <v>2339</v>
      </c>
      <c r="CK12" s="1275">
        <f>IS!CK12</f>
        <v>2303</v>
      </c>
      <c r="CL12" s="1275">
        <f>IS!CL12</f>
        <v>2262</v>
      </c>
      <c r="CM12" s="1275">
        <f>IS!CM12</f>
        <v>2301</v>
      </c>
      <c r="CN12" s="1276">
        <f>IS!CN12</f>
        <v>9205</v>
      </c>
      <c r="CO12" s="1275">
        <f>IS!CO12</f>
        <v>2429</v>
      </c>
      <c r="CP12" s="1275">
        <f>IS!CP12</f>
        <v>2300</v>
      </c>
      <c r="CQ12" s="1275">
        <f>IS!CQ12</f>
        <v>2289</v>
      </c>
      <c r="CR12" s="1275">
        <f>IS!CR12</f>
        <v>2353</v>
      </c>
      <c r="CS12" s="1276">
        <f>IS!CS12</f>
        <v>9371</v>
      </c>
      <c r="CT12" s="1275">
        <f>IS!CT12</f>
        <v>2491</v>
      </c>
      <c r="CU12" s="1275">
        <f>IS!CU12</f>
        <v>2455</v>
      </c>
      <c r="CV12" s="1275">
        <f>IS!CV12</f>
        <v>2427</v>
      </c>
      <c r="CW12" s="1275">
        <f>IS!CW12</f>
        <v>2531</v>
      </c>
      <c r="CX12" s="1276">
        <f>IS!CX12</f>
        <v>9904</v>
      </c>
      <c r="CY12" s="1275">
        <f>IS!CY12</f>
        <v>2594</v>
      </c>
      <c r="CZ12" s="1275">
        <f>CZ138+CZ143+CZ148+CZ29</f>
        <v>2629</v>
      </c>
      <c r="DA12" s="1275">
        <f>DA138+DA143+DA148+DA29</f>
        <v>2618</v>
      </c>
      <c r="DB12" s="1275">
        <f>DB138+DB143+DB148+DB29</f>
        <v>4233</v>
      </c>
      <c r="DC12" s="1276">
        <f>IS!DC12</f>
        <v>12074</v>
      </c>
      <c r="DD12" s="1275">
        <f>IS!DD$12</f>
        <v>4306</v>
      </c>
      <c r="DE12" s="1275">
        <f>IS!DE$12</f>
        <v>4362</v>
      </c>
      <c r="DF12" s="1275">
        <f>IS!DF$12</f>
        <v>4428</v>
      </c>
      <c r="DG12" s="1275">
        <f>IS!DG$12</f>
        <v>4824</v>
      </c>
      <c r="DH12" s="1276">
        <f>IS!DH12</f>
        <v>17920</v>
      </c>
      <c r="DI12" s="1275">
        <f>IS!DI$12</f>
        <v>4791</v>
      </c>
      <c r="DJ12" s="1275">
        <f>IS!DJ$12</f>
        <v>4844</v>
      </c>
      <c r="DK12" s="1275">
        <f>IS!DK$12</f>
        <v>5063</v>
      </c>
      <c r="DL12" s="1275">
        <f>IS!DL$12</f>
        <v>5417</v>
      </c>
      <c r="DM12" s="1276">
        <f>IS!DM12</f>
        <v>20111</v>
      </c>
      <c r="DN12" s="1275">
        <f>IS!DN$12</f>
        <v>5420</v>
      </c>
      <c r="DO12" s="1275">
        <f>DO138+DO143+DO148+DO29+DO10</f>
        <v>5191</v>
      </c>
      <c r="DP12" s="1275">
        <f>DP138+DP143+DP148+DP29+DP10</f>
        <v>4838</v>
      </c>
      <c r="DQ12" s="1275">
        <f>DQ138+DQ143+DQ148+DQ29+DQ10</f>
        <v>4933</v>
      </c>
      <c r="DR12" s="1276">
        <f>IS!DR12</f>
        <v>21070</v>
      </c>
      <c r="DS12" s="1275">
        <f>DS138+DS143+DS148+DS29+DS10</f>
        <v>5196</v>
      </c>
      <c r="DT12" s="1275">
        <f>DT138+DT143+DT148+DT29+DT10</f>
        <v>5173</v>
      </c>
      <c r="DU12" s="1275">
        <f>DU138+DU143+DU148+DU29+DU10</f>
        <v>4941</v>
      </c>
      <c r="DV12" s="1275">
        <f>DV138+DV143+DV148+DV29+DV10</f>
        <v>5303</v>
      </c>
      <c r="DW12" s="1276">
        <f>IS!DW12</f>
        <v>20613</v>
      </c>
      <c r="DX12" s="1275">
        <f>DX138+DX143+DX148+DX29+DX10+DX17</f>
        <v>4964.3152019994568</v>
      </c>
      <c r="DY12" s="1275">
        <f>DY138+DY143+DY148+DY29+DY10+DY17</f>
        <v>4950.4084405288504</v>
      </c>
      <c r="DZ12" s="1275">
        <f>DZ138+DZ143+DZ148+DZ29+DZ10+DZ17</f>
        <v>4745.1307780402203</v>
      </c>
      <c r="EA12" s="1275">
        <f>EA138+EA143+EA148+EA29+EA10+EA17</f>
        <v>4980.8142911245241</v>
      </c>
      <c r="EB12" s="1276">
        <f>IS!EB12</f>
        <v>19640.668711693052</v>
      </c>
      <c r="EC12" s="1275">
        <f>EC138+EC143+EC148+EC29+EC10+EC17</f>
        <v>4892.339839392569</v>
      </c>
      <c r="ED12" s="1275">
        <f>ED138+ED143+ED148+ED29+ED10+ED17</f>
        <v>4959.7519629863846</v>
      </c>
      <c r="EE12" s="1275">
        <f>EE138+EE143+EE148+EE29+EE10+EE17</f>
        <v>4841.2816244869191</v>
      </c>
      <c r="EF12" s="1275">
        <f>EF138+EF143+EF148+EF29+EF10+EF17</f>
        <v>5174.0071556415378</v>
      </c>
      <c r="EG12" s="1276">
        <f>IS!EG12</f>
        <v>19867.380582507409</v>
      </c>
      <c r="EH12" s="1275">
        <f>EH138+EH143+EH148+EH29+EH10+EH17</f>
        <v>5111.1011048591226</v>
      </c>
      <c r="EI12" s="1275">
        <f>EI138+EI143+EI148+EI29+EI10+EI17</f>
        <v>5176.9346465441886</v>
      </c>
      <c r="EJ12" s="1275">
        <f>EJ138+EJ143+EJ148+EJ29+EJ10+EJ17</f>
        <v>5048.5327799939778</v>
      </c>
      <c r="EK12" s="1275">
        <f>EK138+EK143+EK148+EK29+EK10+EK17</f>
        <v>5400.7532931550004</v>
      </c>
      <c r="EL12" s="1276">
        <f>IS!EL12</f>
        <v>20737.321824552291</v>
      </c>
    </row>
    <row r="13" spans="1:142">
      <c r="A13" s="483"/>
      <c r="B13" s="483" t="s">
        <v>497</v>
      </c>
      <c r="C13" s="401"/>
      <c r="D13" s="401"/>
      <c r="E13" s="177"/>
      <c r="F13" s="405"/>
      <c r="G13" s="405"/>
      <c r="H13" s="402"/>
      <c r="I13" s="403">
        <f t="shared" ref="I13:AT13" si="3">IF(OR(I12&lt;=0,D12&lt;=0),"nm",I12/D12-1)</f>
        <v>0.9369828086929628</v>
      </c>
      <c r="J13" s="403">
        <f t="shared" si="3"/>
        <v>1.146055103318723</v>
      </c>
      <c r="K13" s="403">
        <f t="shared" si="3"/>
        <v>1.1679031037093113</v>
      </c>
      <c r="L13" s="403">
        <f t="shared" si="3"/>
        <v>8.587506868309136E-2</v>
      </c>
      <c r="M13" s="402">
        <f t="shared" si="3"/>
        <v>0.67540687160940327</v>
      </c>
      <c r="N13" s="403">
        <f t="shared" si="3"/>
        <v>0.12049225017524723</v>
      </c>
      <c r="O13" s="403">
        <f t="shared" si="3"/>
        <v>7.6737909402582183E-2</v>
      </c>
      <c r="P13" s="403">
        <f t="shared" si="3"/>
        <v>0.56219009707381806</v>
      </c>
      <c r="Q13" s="403">
        <f t="shared" si="3"/>
        <v>1.4039937512735179</v>
      </c>
      <c r="R13" s="402">
        <f t="shared" si="3"/>
        <v>0.56341068537506755</v>
      </c>
      <c r="S13" s="403">
        <f t="shared" si="3"/>
        <v>0.62032531627971643</v>
      </c>
      <c r="T13" s="403">
        <f t="shared" si="3"/>
        <v>0.64555246934489552</v>
      </c>
      <c r="U13" s="403">
        <f t="shared" si="3"/>
        <v>0.14622915642183365</v>
      </c>
      <c r="V13" s="403">
        <f t="shared" si="3"/>
        <v>-0.27360569588065764</v>
      </c>
      <c r="W13" s="402">
        <f t="shared" si="3"/>
        <v>0.13853411575192731</v>
      </c>
      <c r="X13" s="403">
        <f t="shared" si="3"/>
        <v>9.5238095238095344E-2</v>
      </c>
      <c r="Y13" s="403">
        <f t="shared" si="3"/>
        <v>5.5166735282009105E-2</v>
      </c>
      <c r="Z13" s="403">
        <f t="shared" si="3"/>
        <v>0.10062402496099843</v>
      </c>
      <c r="AA13" s="403">
        <f t="shared" si="3"/>
        <v>0.14430182808245817</v>
      </c>
      <c r="AB13" s="402">
        <f t="shared" si="3"/>
        <v>9.9545224861040893E-2</v>
      </c>
      <c r="AC13" s="403">
        <f t="shared" si="3"/>
        <v>0.12534273403838614</v>
      </c>
      <c r="AD13" s="403">
        <f t="shared" si="3"/>
        <v>8.4666406554818607E-2</v>
      </c>
      <c r="AE13" s="403">
        <f t="shared" si="3"/>
        <v>9.9220411055989111E-3</v>
      </c>
      <c r="AF13" s="403">
        <f t="shared" si="3"/>
        <v>-1.0537049626104689E-2</v>
      </c>
      <c r="AG13" s="402">
        <f t="shared" si="3"/>
        <v>4.9080882352941169E-2</v>
      </c>
      <c r="AH13" s="403">
        <f t="shared" si="3"/>
        <v>6.9613644274277853E-3</v>
      </c>
      <c r="AI13" s="403">
        <f t="shared" si="3"/>
        <v>4.8561151079136611E-2</v>
      </c>
      <c r="AJ13" s="403">
        <f t="shared" si="3"/>
        <v>6.5263157894736912E-2</v>
      </c>
      <c r="AK13" s="403">
        <f t="shared" si="3"/>
        <v>0.1023703194778427</v>
      </c>
      <c r="AL13" s="402">
        <f t="shared" si="3"/>
        <v>5.5983879446294127E-2</v>
      </c>
      <c r="AM13" s="403">
        <f t="shared" si="3"/>
        <v>0.13964742481852754</v>
      </c>
      <c r="AN13" s="403">
        <f t="shared" si="3"/>
        <v>0.16432246998284739</v>
      </c>
      <c r="AO13" s="403">
        <f t="shared" si="3"/>
        <v>0.14756258234519115</v>
      </c>
      <c r="AP13" s="403">
        <f t="shared" si="3"/>
        <v>0.16484886257401055</v>
      </c>
      <c r="AQ13" s="402">
        <f t="shared" si="3"/>
        <v>0.15431842694764786</v>
      </c>
      <c r="AR13" s="403">
        <f t="shared" si="3"/>
        <v>0.12314225053078554</v>
      </c>
      <c r="AS13" s="403">
        <f t="shared" si="3"/>
        <v>0.11314083677077202</v>
      </c>
      <c r="AT13" s="403">
        <f t="shared" si="3"/>
        <v>5.7979334098737123E-2</v>
      </c>
      <c r="AU13" s="484"/>
      <c r="AV13" s="401"/>
      <c r="AW13" s="401"/>
      <c r="AX13" s="401"/>
      <c r="AY13" s="401"/>
      <c r="AZ13" s="402"/>
      <c r="BA13" s="403">
        <f t="shared" ref="BA13:CF13" si="4">IF(OR(BA12&lt;=0,AV12&lt;=0),"nm",BA12/AV12-1)</f>
        <v>2.2814814814814843E-2</v>
      </c>
      <c r="BB13" s="403">
        <f t="shared" si="4"/>
        <v>-1.4868804664723068E-2</v>
      </c>
      <c r="BC13" s="403">
        <f t="shared" si="4"/>
        <v>-6.3618290258449339E-2</v>
      </c>
      <c r="BD13" s="403">
        <f t="shared" si="4"/>
        <v>-8.932150014314344E-2</v>
      </c>
      <c r="BE13" s="402">
        <f t="shared" si="4"/>
        <v>-3.6905709530356767E-2</v>
      </c>
      <c r="BF13" s="403">
        <f t="shared" si="4"/>
        <v>-0.22682502896871382</v>
      </c>
      <c r="BG13" s="403">
        <f t="shared" si="4"/>
        <v>-0.23941994672980171</v>
      </c>
      <c r="BH13" s="403">
        <f t="shared" si="4"/>
        <v>-0.25993327267212618</v>
      </c>
      <c r="BI13" s="403">
        <f t="shared" si="4"/>
        <v>-0.24174787802577802</v>
      </c>
      <c r="BJ13" s="402">
        <f t="shared" si="4"/>
        <v>-0.24179126906604553</v>
      </c>
      <c r="BK13" s="407">
        <f t="shared" si="4"/>
        <v>-6.2944923192206792E-2</v>
      </c>
      <c r="BL13" s="407">
        <f t="shared" si="4"/>
        <v>-5.8365758754863828E-2</v>
      </c>
      <c r="BM13" s="407">
        <f t="shared" si="4"/>
        <v>-1.885245901639343E-2</v>
      </c>
      <c r="BN13" s="407">
        <f t="shared" si="4"/>
        <v>-4.6849087893863994E-2</v>
      </c>
      <c r="BO13" s="406">
        <f t="shared" si="4"/>
        <v>-4.7269844415816054E-2</v>
      </c>
      <c r="BP13" s="407">
        <f t="shared" si="4"/>
        <v>-3.4786085565773672E-2</v>
      </c>
      <c r="BQ13" s="407">
        <f t="shared" si="4"/>
        <v>-9.2975206611570216E-2</v>
      </c>
      <c r="BR13" s="407">
        <f t="shared" si="4"/>
        <v>-0.1157059314954052</v>
      </c>
      <c r="BS13" s="407">
        <f t="shared" si="4"/>
        <v>-5.2196607220530655E-2</v>
      </c>
      <c r="BT13" s="406">
        <f t="shared" si="4"/>
        <v>-7.3746619513209932E-2</v>
      </c>
      <c r="BU13" s="407">
        <f t="shared" si="4"/>
        <v>-5.5923777961888965E-2</v>
      </c>
      <c r="BV13" s="407">
        <f t="shared" si="4"/>
        <v>1.5034168564920236E-2</v>
      </c>
      <c r="BW13" s="407">
        <f t="shared" si="4"/>
        <v>4.4874822862541297E-2</v>
      </c>
      <c r="BX13" s="407">
        <f t="shared" si="4"/>
        <v>3.3042680128499313E-2</v>
      </c>
      <c r="BY13" s="406">
        <f t="shared" si="4"/>
        <v>7.2992700729928028E-3</v>
      </c>
      <c r="BZ13" s="407">
        <f t="shared" si="4"/>
        <v>4.0368582711715728E-2</v>
      </c>
      <c r="CA13" s="407">
        <f t="shared" si="4"/>
        <v>-1.9748653500897717E-2</v>
      </c>
      <c r="CB13" s="407">
        <f t="shared" si="4"/>
        <v>-2.4412296564195302E-2</v>
      </c>
      <c r="CC13" s="407">
        <f t="shared" si="4"/>
        <v>-2.4877832074633455E-2</v>
      </c>
      <c r="CD13" s="406">
        <f t="shared" si="4"/>
        <v>-6.9119286510590516E-3</v>
      </c>
      <c r="CE13" s="407">
        <f t="shared" si="4"/>
        <v>-3.8802193167439936E-2</v>
      </c>
      <c r="CF13" s="407">
        <f t="shared" si="4"/>
        <v>2.0604395604395531E-2</v>
      </c>
      <c r="CG13" s="407">
        <f t="shared" ref="CG13:DN13" si="5">IF(OR(CG12&lt;=0,CB12&lt;=0),"nm",CG12/CB12-1)</f>
        <v>4.8192771084337283E-2</v>
      </c>
      <c r="CH13" s="407">
        <f t="shared" si="5"/>
        <v>3.0068337129840472E-2</v>
      </c>
      <c r="CI13" s="406">
        <f t="shared" si="5"/>
        <v>1.3807813201616614E-2</v>
      </c>
      <c r="CJ13" s="407">
        <f t="shared" si="5"/>
        <v>2.6327336551118963E-2</v>
      </c>
      <c r="CK13" s="407">
        <f t="shared" si="5"/>
        <v>3.3198743831314381E-2</v>
      </c>
      <c r="CL13" s="407">
        <f t="shared" si="5"/>
        <v>0</v>
      </c>
      <c r="CM13" s="407">
        <f t="shared" si="5"/>
        <v>1.769128704113232E-2</v>
      </c>
      <c r="CN13" s="406">
        <f t="shared" si="5"/>
        <v>1.9266969327870642E-2</v>
      </c>
      <c r="CO13" s="407">
        <f t="shared" si="5"/>
        <v>3.8477982043608305E-2</v>
      </c>
      <c r="CP13" s="407">
        <f t="shared" si="5"/>
        <v>-1.3026487190620495E-3</v>
      </c>
      <c r="CQ13" s="407">
        <f t="shared" si="5"/>
        <v>1.1936339522546469E-2</v>
      </c>
      <c r="CR13" s="407">
        <f t="shared" si="5"/>
        <v>2.2598870056497189E-2</v>
      </c>
      <c r="CS13" s="406">
        <f t="shared" si="5"/>
        <v>1.8033677349266641E-2</v>
      </c>
      <c r="CT13" s="407">
        <f t="shared" si="5"/>
        <v>2.5524907369287808E-2</v>
      </c>
      <c r="CU13" s="407">
        <f t="shared" si="5"/>
        <v>6.7391304347826031E-2</v>
      </c>
      <c r="CV13" s="407">
        <f t="shared" si="5"/>
        <v>6.0288335517693303E-2</v>
      </c>
      <c r="CW13" s="407">
        <f t="shared" si="5"/>
        <v>7.5648108797280011E-2</v>
      </c>
      <c r="CX13" s="406">
        <f t="shared" si="5"/>
        <v>5.6877601109806886E-2</v>
      </c>
      <c r="CY13" s="407">
        <f t="shared" si="5"/>
        <v>4.1348855881172319E-2</v>
      </c>
      <c r="CZ13" s="407">
        <f t="shared" si="5"/>
        <v>7.087576374745419E-2</v>
      </c>
      <c r="DA13" s="407">
        <f t="shared" si="5"/>
        <v>7.8697981046559562E-2</v>
      </c>
      <c r="DB13" s="407">
        <f t="shared" si="5"/>
        <v>0.67246147767680764</v>
      </c>
      <c r="DC13" s="406">
        <f t="shared" si="5"/>
        <v>0.21910339256865918</v>
      </c>
      <c r="DD13" s="407">
        <f t="shared" si="5"/>
        <v>0.6599845797995374</v>
      </c>
      <c r="DE13" s="407">
        <f t="shared" si="5"/>
        <v>0.65918600228223667</v>
      </c>
      <c r="DF13" s="407">
        <f t="shared" si="5"/>
        <v>0.69136745607333849</v>
      </c>
      <c r="DG13" s="407">
        <f t="shared" si="5"/>
        <v>0.13961729270021261</v>
      </c>
      <c r="DH13" s="406">
        <f t="shared" si="5"/>
        <v>0.48418088454530395</v>
      </c>
      <c r="DI13" s="407">
        <f t="shared" si="5"/>
        <v>0.11263353460287973</v>
      </c>
      <c r="DJ13" s="407">
        <f t="shared" si="5"/>
        <v>0.11049977074736361</v>
      </c>
      <c r="DK13" s="407">
        <f t="shared" si="5"/>
        <v>0.14340560072267383</v>
      </c>
      <c r="DL13" s="407">
        <f t="shared" si="5"/>
        <v>0.1229270315091211</v>
      </c>
      <c r="DM13" s="406">
        <f t="shared" ref="DM13:DR13" si="6">IF(OR(DM12&lt;=0,DH12&lt;=0),"nm",DM12/DH12-1)</f>
        <v>0.12226562500000004</v>
      </c>
      <c r="DN13" s="407">
        <f t="shared" si="5"/>
        <v>0.13128783135044886</v>
      </c>
      <c r="DO13" s="407">
        <f t="shared" si="6"/>
        <v>7.1635012386457531E-2</v>
      </c>
      <c r="DP13" s="407">
        <f t="shared" si="6"/>
        <v>-4.4440055303179959E-2</v>
      </c>
      <c r="DQ13" s="407">
        <f t="shared" si="6"/>
        <v>-8.934834779398193E-2</v>
      </c>
      <c r="DR13" s="406">
        <f t="shared" si="6"/>
        <v>4.7685346327880351E-2</v>
      </c>
      <c r="DS13" s="407">
        <f t="shared" ref="DS13:EG13" si="7">IF(OR(DS12&lt;=0,DN12&lt;=0),"nm",DS12/DN12-1)</f>
        <v>-4.1328413284132837E-2</v>
      </c>
      <c r="DT13" s="407">
        <f t="shared" si="7"/>
        <v>-3.4675399730302869E-3</v>
      </c>
      <c r="DU13" s="407">
        <f t="shared" si="7"/>
        <v>2.1289789169078199E-2</v>
      </c>
      <c r="DV13" s="407">
        <f t="shared" si="7"/>
        <v>7.5005067909993839E-2</v>
      </c>
      <c r="DW13" s="406">
        <f t="shared" si="7"/>
        <v>-2.1689606074988155E-2</v>
      </c>
      <c r="DX13" s="407">
        <f t="shared" si="7"/>
        <v>-4.458906812943475E-2</v>
      </c>
      <c r="DY13" s="407">
        <f t="shared" si="7"/>
        <v>-4.3029491488720151E-2</v>
      </c>
      <c r="DZ13" s="407">
        <f t="shared" si="7"/>
        <v>-3.9641615454316881E-2</v>
      </c>
      <c r="EA13" s="407">
        <f t="shared" si="7"/>
        <v>-6.075536656147007E-2</v>
      </c>
      <c r="EB13" s="406">
        <f t="shared" si="7"/>
        <v>-4.7170780008099156E-2</v>
      </c>
      <c r="EC13" s="407">
        <f t="shared" si="7"/>
        <v>-1.4498548073236472E-2</v>
      </c>
      <c r="ED13" s="407">
        <f t="shared" si="7"/>
        <v>1.8874245569393544E-3</v>
      </c>
      <c r="EE13" s="407">
        <f t="shared" si="7"/>
        <v>2.0263055107283989E-2</v>
      </c>
      <c r="EF13" s="407">
        <f t="shared" si="7"/>
        <v>3.8787405678077702E-2</v>
      </c>
      <c r="EG13" s="406">
        <f t="shared" si="7"/>
        <v>1.1542981257017138E-2</v>
      </c>
      <c r="EH13" s="407">
        <f t="shared" ref="EH13" si="8">IF(OR(EH12&lt;=0,EC12&lt;=0),"nm",EH12/EC12-1)</f>
        <v>4.4715059183974226E-2</v>
      </c>
      <c r="EI13" s="407">
        <f t="shared" ref="EI13" si="9">IF(OR(EI12&lt;=0,ED12&lt;=0),"nm",EI12/ED12-1)</f>
        <v>4.3789021140289597E-2</v>
      </c>
      <c r="EJ13" s="407">
        <f t="shared" ref="EJ13" si="10">IF(OR(EJ12&lt;=0,EE12&lt;=0),"nm",EJ12/EE12-1)</f>
        <v>4.2809150878311719E-2</v>
      </c>
      <c r="EK13" s="407">
        <f t="shared" ref="EK13" si="11">IF(OR(EK12&lt;=0,EF12&lt;=0),"nm",EK12/EF12-1)</f>
        <v>4.3824086572092913E-2</v>
      </c>
      <c r="EL13" s="406">
        <f t="shared" ref="EL13" si="12">IF(OR(EL12&lt;=0,EG12&lt;=0),"nm",EL12/EG12-1)</f>
        <v>4.3787415176957944E-2</v>
      </c>
    </row>
    <row r="14" spans="1:142" s="680" customFormat="1" ht="12" customHeight="1">
      <c r="A14" s="557"/>
      <c r="B14" s="557" t="str">
        <f>IS!B13</f>
        <v>Provision for doubtful accounts</v>
      </c>
      <c r="C14" s="557"/>
      <c r="D14" s="557">
        <f>IS!D13</f>
        <v>26.117000000000001</v>
      </c>
      <c r="E14" s="557">
        <f>IS!E13</f>
        <v>20.7</v>
      </c>
      <c r="F14" s="557">
        <f>IS!F13</f>
        <v>22.1</v>
      </c>
      <c r="G14" s="557">
        <f>IS!G13</f>
        <v>68.082999999999998</v>
      </c>
      <c r="H14" s="802">
        <f>IS!H13</f>
        <v>137</v>
      </c>
      <c r="I14" s="557">
        <f>IS!I13</f>
        <v>67.3</v>
      </c>
      <c r="J14" s="557">
        <f>IS!J13</f>
        <v>69.7</v>
      </c>
      <c r="K14" s="557">
        <f>IS!K13</f>
        <v>71.900000000000006</v>
      </c>
      <c r="L14" s="557">
        <f>IS!L13</f>
        <v>81.099999999999994</v>
      </c>
      <c r="M14" s="802">
        <f>IS!M13</f>
        <v>290</v>
      </c>
      <c r="N14" s="557">
        <f>IS!N13</f>
        <v>74.5</v>
      </c>
      <c r="O14" s="557">
        <f>IS!O13</f>
        <v>78.7</v>
      </c>
      <c r="P14" s="557">
        <f>IS!P13</f>
        <v>128.1</v>
      </c>
      <c r="Q14" s="557">
        <f>IS!Q13</f>
        <v>212.70000000000005</v>
      </c>
      <c r="R14" s="802">
        <f>IS!R13</f>
        <v>494</v>
      </c>
      <c r="S14" s="557">
        <f>IS!S13</f>
        <v>148</v>
      </c>
      <c r="T14" s="557">
        <f>IS!T13</f>
        <v>136</v>
      </c>
      <c r="U14" s="557">
        <f>IS!U13</f>
        <v>163</v>
      </c>
      <c r="V14" s="557">
        <f>IS!V13</f>
        <v>141</v>
      </c>
      <c r="W14" s="802">
        <f>IS!W13</f>
        <v>588</v>
      </c>
      <c r="X14" s="557">
        <f>IS!X13</f>
        <v>159</v>
      </c>
      <c r="Y14" s="557">
        <f>IS!Y13</f>
        <v>184</v>
      </c>
      <c r="Z14" s="557">
        <f>IS!Z13</f>
        <v>190</v>
      </c>
      <c r="AA14" s="557">
        <f>IS!AA13</f>
        <v>210</v>
      </c>
      <c r="AB14" s="802">
        <f>IS!AB13</f>
        <v>743</v>
      </c>
      <c r="AC14" s="557">
        <f>IS!AC13</f>
        <v>223</v>
      </c>
      <c r="AD14" s="557">
        <f>IS!AD13</f>
        <v>210</v>
      </c>
      <c r="AE14" s="557">
        <f>IS!AE13</f>
        <v>214</v>
      </c>
      <c r="AF14" s="557">
        <f>IS!AF13</f>
        <v>204</v>
      </c>
      <c r="AG14" s="802">
        <f>IS!AG13</f>
        <v>851</v>
      </c>
      <c r="AH14" s="557">
        <f>IS!AH13</f>
        <v>213</v>
      </c>
      <c r="AI14" s="557">
        <f>IS!AI13</f>
        <v>206</v>
      </c>
      <c r="AJ14" s="557">
        <f>IS!AJ13</f>
        <v>219</v>
      </c>
      <c r="AK14" s="557">
        <f>IS!AK13</f>
        <v>211</v>
      </c>
      <c r="AL14" s="802">
        <f>IS!AL13</f>
        <v>849</v>
      </c>
      <c r="AM14" s="903">
        <f>IS!AM13</f>
        <v>246</v>
      </c>
      <c r="AN14" s="903">
        <f>IS!AN13</f>
        <v>258</v>
      </c>
      <c r="AO14" s="903">
        <f>IS!AO13</f>
        <v>236</v>
      </c>
      <c r="AP14" s="903">
        <f>IS!AP13</f>
        <v>246</v>
      </c>
      <c r="AQ14" s="844">
        <f>IS!AQ13</f>
        <v>986</v>
      </c>
      <c r="AR14" s="903">
        <f>IS!AR13</f>
        <v>277</v>
      </c>
      <c r="AS14" s="903">
        <f>IS!AS13</f>
        <v>291</v>
      </c>
      <c r="AT14" s="903">
        <f>IS!AT13</f>
        <v>304</v>
      </c>
      <c r="AU14" s="802"/>
      <c r="AV14" s="903">
        <f>IS!AV13</f>
        <v>225</v>
      </c>
      <c r="AW14" s="903">
        <f>IS!AW13</f>
        <v>219</v>
      </c>
      <c r="AX14" s="903">
        <f>IS!AX13</f>
        <v>260</v>
      </c>
      <c r="AY14" s="903">
        <f>IS!AY13</f>
        <v>271</v>
      </c>
      <c r="AZ14" s="902">
        <f>IS!AZ13</f>
        <v>975</v>
      </c>
      <c r="BA14" s="903">
        <f>IS!BA13</f>
        <v>274</v>
      </c>
      <c r="BB14" s="903">
        <f>IS!BB13</f>
        <v>288</v>
      </c>
      <c r="BC14" s="903">
        <f>IS!BC13</f>
        <v>522</v>
      </c>
      <c r="BD14" s="903">
        <f>IS!BD13</f>
        <v>364</v>
      </c>
      <c r="BE14" s="902">
        <f>IS!BE13</f>
        <v>1448</v>
      </c>
      <c r="BF14" s="903">
        <f>IS!BF13</f>
        <v>293</v>
      </c>
      <c r="BG14" s="903">
        <f>IS!BG13</f>
        <v>499</v>
      </c>
      <c r="BH14" s="903">
        <f>IS!BH13</f>
        <v>253</v>
      </c>
      <c r="BI14" s="903">
        <f>IS!BI13</f>
        <v>195</v>
      </c>
      <c r="BJ14" s="902">
        <f>IS!BJ13</f>
        <v>1240</v>
      </c>
      <c r="BK14" s="903">
        <f>IS!BK13</f>
        <v>167</v>
      </c>
      <c r="BL14" s="903">
        <f>IS!BL13</f>
        <v>153</v>
      </c>
      <c r="BM14" s="903">
        <f>IS!BM13</f>
        <v>206</v>
      </c>
      <c r="BN14" s="903">
        <f>IS!BN13</f>
        <v>172</v>
      </c>
      <c r="BO14" s="902">
        <f>IS!BO13</f>
        <v>698</v>
      </c>
      <c r="BP14" s="903">
        <f>IS!BP13</f>
        <v>138</v>
      </c>
      <c r="BQ14" s="903">
        <f>IS!BQ13</f>
        <v>128</v>
      </c>
      <c r="BR14" s="903">
        <f>IS!BR13</f>
        <v>157</v>
      </c>
      <c r="BS14" s="903">
        <f>IS!BS13</f>
        <v>124</v>
      </c>
      <c r="BT14" s="902">
        <f>IS!BT13</f>
        <v>547</v>
      </c>
      <c r="BU14" s="903">
        <f>IS!BU13</f>
        <v>141</v>
      </c>
      <c r="BV14" s="903">
        <f>IS!BV13</f>
        <v>151</v>
      </c>
      <c r="BW14" s="903">
        <f>IS!BW13</f>
        <v>159</v>
      </c>
      <c r="BX14" s="903">
        <f>IS!BX13</f>
        <v>134</v>
      </c>
      <c r="BY14" s="902">
        <f>IS!BY13</f>
        <v>585</v>
      </c>
      <c r="BZ14" s="903">
        <f>IS!BZ13</f>
        <v>149</v>
      </c>
      <c r="CA14" s="903">
        <f>IS!CA13</f>
        <v>154</v>
      </c>
      <c r="CB14" s="903">
        <f>IS!CB13</f>
        <v>166</v>
      </c>
      <c r="CC14" s="903">
        <f>IS!CC13</f>
        <v>166</v>
      </c>
      <c r="CD14" s="902">
        <f>IS!CD13</f>
        <v>635</v>
      </c>
      <c r="CE14" s="903">
        <f>IS!CE13</f>
        <v>156</v>
      </c>
      <c r="CF14" s="903">
        <f>IS!CF13</f>
        <v>167</v>
      </c>
      <c r="CG14" s="903">
        <f>IS!CG13</f>
        <v>193</v>
      </c>
      <c r="CH14" s="903">
        <f>IS!CH13</f>
        <v>181</v>
      </c>
      <c r="CI14" s="902">
        <f>IS!CI13</f>
        <v>697</v>
      </c>
      <c r="CJ14" s="903">
        <f>IS!CJ13</f>
        <v>189</v>
      </c>
      <c r="CK14" s="903">
        <f>IS!CK13</f>
        <v>173</v>
      </c>
      <c r="CL14" s="903">
        <f>IS!CL13</f>
        <v>187</v>
      </c>
      <c r="CM14" s="903">
        <f>IS!CM13</f>
        <v>191</v>
      </c>
      <c r="CN14" s="902">
        <f>IS!CN13</f>
        <v>740</v>
      </c>
      <c r="CO14" s="903">
        <f>IS!CO13</f>
        <v>179</v>
      </c>
      <c r="CP14" s="903">
        <f>IS!CP13</f>
        <v>168</v>
      </c>
      <c r="CQ14" s="903">
        <f>IS!CQ13</f>
        <v>189</v>
      </c>
      <c r="CR14" s="903">
        <f>IS!CR13</f>
        <v>181</v>
      </c>
      <c r="CS14" s="902">
        <f>IS!CS13</f>
        <v>717</v>
      </c>
      <c r="CT14" s="903">
        <f>IS!CT13</f>
        <v>189</v>
      </c>
      <c r="CU14" s="903">
        <f>IS!CU13</f>
        <v>190</v>
      </c>
      <c r="CV14" s="903">
        <f>IS!CV13</f>
        <v>206</v>
      </c>
      <c r="CW14" s="903">
        <f>IS!CW13</f>
        <v>200</v>
      </c>
      <c r="CX14" s="902">
        <f>IS!CX13</f>
        <v>785</v>
      </c>
      <c r="CY14" s="903">
        <f>IS!CY13</f>
        <v>207</v>
      </c>
      <c r="CZ14" s="903">
        <f>IS!CZ13</f>
        <v>207</v>
      </c>
      <c r="DA14" s="903">
        <f>IS!DA13</f>
        <v>210</v>
      </c>
      <c r="DB14" s="903">
        <f>IS!DB13</f>
        <v>348</v>
      </c>
      <c r="DC14" s="902">
        <f>IS!DC13</f>
        <v>972</v>
      </c>
      <c r="DD14" s="903">
        <f>IS!DD13</f>
        <v>380</v>
      </c>
      <c r="DE14" s="903">
        <f>IS!DE13</f>
        <v>320</v>
      </c>
      <c r="DF14" s="903">
        <f>IS!DF13</f>
        <v>249</v>
      </c>
      <c r="DG14" s="903">
        <f>IS!DG13</f>
        <v>356</v>
      </c>
      <c r="DH14" s="902">
        <f>IS!DH13</f>
        <v>1305</v>
      </c>
      <c r="DI14" s="903">
        <f>IS!DI13</f>
        <v>363</v>
      </c>
      <c r="DJ14" s="903">
        <f>IS!DJ13</f>
        <v>352</v>
      </c>
      <c r="DK14" s="903">
        <f>IS!DK13</f>
        <v>371</v>
      </c>
      <c r="DL14" s="903">
        <f>IS!DL13</f>
        <v>391</v>
      </c>
      <c r="DM14" s="902">
        <f>IS!DM13</f>
        <v>1477</v>
      </c>
      <c r="DN14" s="903">
        <f>IS!DN13</f>
        <v>376</v>
      </c>
      <c r="DO14" s="903">
        <f>IS!DO13</f>
        <v>352</v>
      </c>
      <c r="DP14" s="903">
        <f>IS!DP13</f>
        <v>367</v>
      </c>
      <c r="DQ14" s="903">
        <f>IS!DQ13</f>
        <v>354</v>
      </c>
      <c r="DR14" s="902">
        <f>IS!DR13</f>
        <v>1449</v>
      </c>
      <c r="DS14" s="903">
        <f>IS!DS13</f>
        <v>383</v>
      </c>
      <c r="DT14" s="903">
        <f>IS!DT13</f>
        <v>371</v>
      </c>
      <c r="DU14" s="903">
        <f>IS!DU13</f>
        <v>355</v>
      </c>
      <c r="DV14" s="903">
        <f>IS!DV13</f>
        <v>325</v>
      </c>
      <c r="DW14" s="902">
        <f>IS!DW13</f>
        <v>1434</v>
      </c>
      <c r="DX14" s="903">
        <f>IS!DX13</f>
        <v>379.2288165338615</v>
      </c>
      <c r="DY14" s="903">
        <f>IS!DY13</f>
        <v>378.48077233031057</v>
      </c>
      <c r="DZ14" s="903">
        <f>IS!DZ13</f>
        <v>363.00784110143934</v>
      </c>
      <c r="EA14" s="903">
        <f>IS!EA13</f>
        <v>379.77080284616454</v>
      </c>
      <c r="EB14" s="902">
        <f>IS!EB13</f>
        <v>1500.4882328117758</v>
      </c>
      <c r="EC14" s="903">
        <f>IS!EC13</f>
        <v>368.0435585811594</v>
      </c>
      <c r="ED14" s="903">
        <f>IS!ED13</f>
        <v>373.26918243588312</v>
      </c>
      <c r="EE14" s="903">
        <f>IS!EE13</f>
        <v>364.40015606766138</v>
      </c>
      <c r="EF14" s="903">
        <f>IS!EF13</f>
        <v>390.53638559369347</v>
      </c>
      <c r="EG14" s="902">
        <f>IS!EG13</f>
        <v>1496.2492826783973</v>
      </c>
      <c r="EH14" s="903">
        <f>IS!EH13</f>
        <v>378.40492450892515</v>
      </c>
      <c r="EI14" s="903">
        <f>IS!EI13</f>
        <v>383.45211786141363</v>
      </c>
      <c r="EJ14" s="903">
        <f>IS!EJ13</f>
        <v>374.00945809385172</v>
      </c>
      <c r="EK14" s="903">
        <f>IS!EK13</f>
        <v>401.37604212760067</v>
      </c>
      <c r="EL14" s="902">
        <f>IS!EL13</f>
        <v>1537.2425425917911</v>
      </c>
    </row>
    <row r="15" spans="1:142" ht="12" customHeight="1">
      <c r="A15" s="381"/>
      <c r="B15" s="381" t="str">
        <f>IS!B14</f>
        <v>Net Revenue</v>
      </c>
      <c r="C15" s="485"/>
      <c r="D15" s="485">
        <f>IS!D14</f>
        <v>636.71800000000007</v>
      </c>
      <c r="E15" s="486">
        <f>IS!E14</f>
        <v>618.09999999999991</v>
      </c>
      <c r="F15" s="485">
        <f>IS!F14</f>
        <v>638.4</v>
      </c>
      <c r="G15" s="486">
        <f>IS!G14</f>
        <v>1287.7819999999999</v>
      </c>
      <c r="H15" s="487">
        <f>IS!H14</f>
        <v>3181</v>
      </c>
      <c r="I15" s="485">
        <f>IS!I14</f>
        <v>1216.6000000000001</v>
      </c>
      <c r="J15" s="486">
        <f>IS!J14</f>
        <v>1301.2</v>
      </c>
      <c r="K15" s="485">
        <f>IS!K14</f>
        <v>1360</v>
      </c>
      <c r="L15" s="486">
        <f>IS!L14</f>
        <v>1391.1999999999998</v>
      </c>
      <c r="M15" s="487">
        <f>IS!M14</f>
        <v>5269</v>
      </c>
      <c r="N15" s="485">
        <f>IS!N14</f>
        <v>1364.1</v>
      </c>
      <c r="O15" s="486">
        <f>IS!O14</f>
        <v>1397.3999999999999</v>
      </c>
      <c r="P15" s="485">
        <f>IS!P14</f>
        <v>2108.8000000000002</v>
      </c>
      <c r="Q15" s="486">
        <f>IS!Q14</f>
        <v>3326.7</v>
      </c>
      <c r="R15" s="487">
        <f>IS!R14</f>
        <v>8197</v>
      </c>
      <c r="S15" s="485">
        <f>IS!S14</f>
        <v>2183</v>
      </c>
      <c r="T15" s="486">
        <f>IS!T14</f>
        <v>2293</v>
      </c>
      <c r="U15" s="485">
        <f>IS!U14</f>
        <v>2401</v>
      </c>
      <c r="V15" s="486">
        <f>IS!V14</f>
        <v>2430</v>
      </c>
      <c r="W15" s="487">
        <f>IS!W14</f>
        <v>9307</v>
      </c>
      <c r="X15" s="485">
        <f>IS!X14</f>
        <v>2394</v>
      </c>
      <c r="Y15" s="486">
        <f>IS!Y14</f>
        <v>2379</v>
      </c>
      <c r="Z15" s="485">
        <f>IS!Z14</f>
        <v>2632</v>
      </c>
      <c r="AA15" s="486">
        <f>IS!AA14</f>
        <v>2732</v>
      </c>
      <c r="AB15" s="487">
        <f>IS!AB14</f>
        <v>10137</v>
      </c>
      <c r="AC15" s="485">
        <f>IS!AC14</f>
        <v>2650</v>
      </c>
      <c r="AD15" s="486">
        <f>IS!AD14</f>
        <v>2570</v>
      </c>
      <c r="AE15" s="485">
        <f>IS!AE14</f>
        <v>2636</v>
      </c>
      <c r="AF15" s="486">
        <f>IS!AF14</f>
        <v>2707</v>
      </c>
      <c r="AG15" s="487">
        <f>IS!AG14</f>
        <v>10563</v>
      </c>
      <c r="AH15" s="485">
        <f>IS!AH14</f>
        <v>2680</v>
      </c>
      <c r="AI15" s="485">
        <f>IS!AI14</f>
        <v>2709</v>
      </c>
      <c r="AJ15" s="485">
        <f>IS!AJ14</f>
        <v>2817</v>
      </c>
      <c r="AK15" s="485">
        <f>IS!AK14</f>
        <v>2998</v>
      </c>
      <c r="AL15" s="488">
        <f>IS!AL14</f>
        <v>11204</v>
      </c>
      <c r="AM15" s="489">
        <f>IS!AM14</f>
        <v>3051</v>
      </c>
      <c r="AN15" s="489">
        <f>IS!AN14</f>
        <v>3136</v>
      </c>
      <c r="AO15" s="489">
        <f>IS!AO14</f>
        <v>3248</v>
      </c>
      <c r="AP15" s="489">
        <f>IS!AP14</f>
        <v>3492</v>
      </c>
      <c r="AQ15" s="490">
        <f>IS!AQ14</f>
        <v>12927</v>
      </c>
      <c r="AR15" s="489">
        <f>IS!AR14</f>
        <v>3426</v>
      </c>
      <c r="AS15" s="489">
        <f>IS!AS14</f>
        <v>3487</v>
      </c>
      <c r="AT15" s="489">
        <f>IS!AT14</f>
        <v>3382</v>
      </c>
      <c r="AU15" s="491"/>
      <c r="AV15" s="489">
        <f>IS!AV14</f>
        <v>3150</v>
      </c>
      <c r="AW15" s="489">
        <f>IS!AW14</f>
        <v>3211</v>
      </c>
      <c r="AX15" s="489">
        <f>IS!AX14</f>
        <v>3261</v>
      </c>
      <c r="AY15" s="489">
        <f>IS!AY14</f>
        <v>3222</v>
      </c>
      <c r="AZ15" s="490">
        <f>IS!AZ14</f>
        <v>12844</v>
      </c>
      <c r="BA15" s="489">
        <f>IS!BA14</f>
        <v>3178</v>
      </c>
      <c r="BB15" s="489">
        <f>IS!BB14</f>
        <v>3091</v>
      </c>
      <c r="BC15" s="489">
        <f>IS!BC14</f>
        <v>2775</v>
      </c>
      <c r="BD15" s="489">
        <f>IS!BD14</f>
        <v>2817</v>
      </c>
      <c r="BE15" s="490">
        <f>IS!BE14</f>
        <v>11861</v>
      </c>
      <c r="BF15" s="489">
        <f>IS!BF14</f>
        <v>2376</v>
      </c>
      <c r="BG15" s="489">
        <f>IS!BG14</f>
        <v>2071</v>
      </c>
      <c r="BH15" s="489">
        <f>IS!BH14</f>
        <v>2187</v>
      </c>
      <c r="BI15" s="489">
        <f>IS!BI14</f>
        <v>2217</v>
      </c>
      <c r="BJ15" s="490">
        <f>IS!BJ14</f>
        <v>8851</v>
      </c>
      <c r="BK15" s="489">
        <f>IS!BK14</f>
        <v>2334</v>
      </c>
      <c r="BL15" s="489">
        <f>IS!BL14</f>
        <v>2267</v>
      </c>
      <c r="BM15" s="489">
        <f>IS!BM14</f>
        <v>2188</v>
      </c>
      <c r="BN15" s="489">
        <f>IS!BN14</f>
        <v>2127</v>
      </c>
      <c r="BO15" s="490">
        <f>IS!BO14</f>
        <v>8916</v>
      </c>
      <c r="BP15" s="489">
        <f>IS!BP14</f>
        <v>2276</v>
      </c>
      <c r="BQ15" s="489">
        <f>IS!BQ14</f>
        <v>2067</v>
      </c>
      <c r="BR15" s="489">
        <f>IS!BR14</f>
        <v>1960</v>
      </c>
      <c r="BS15" s="489">
        <f>IS!BS14</f>
        <v>2055</v>
      </c>
      <c r="BT15" s="490">
        <f>IS!BT14</f>
        <v>8358</v>
      </c>
      <c r="BU15" s="489">
        <f>IS!BU14</f>
        <v>2138</v>
      </c>
      <c r="BV15" s="489">
        <f>IS!BV14</f>
        <v>2077</v>
      </c>
      <c r="BW15" s="489">
        <f>IS!BW14</f>
        <v>2053</v>
      </c>
      <c r="BX15" s="489">
        <f>IS!BX14</f>
        <v>2117</v>
      </c>
      <c r="BY15" s="490">
        <f>IS!BY14</f>
        <v>8385</v>
      </c>
      <c r="BZ15" s="489">
        <f>IS!BZ14</f>
        <v>2222</v>
      </c>
      <c r="CA15" s="489">
        <f>IS!CA14</f>
        <v>2030</v>
      </c>
      <c r="CB15" s="489">
        <f>IS!CB14</f>
        <v>1992</v>
      </c>
      <c r="CC15" s="489">
        <f>IS!CC14</f>
        <v>2029</v>
      </c>
      <c r="CD15" s="490">
        <f>IS!CD14</f>
        <v>8273</v>
      </c>
      <c r="CE15" s="489">
        <f>IS!CE14</f>
        <v>2123</v>
      </c>
      <c r="CF15" s="489">
        <f>IS!CF14</f>
        <v>2062</v>
      </c>
      <c r="CG15" s="489">
        <f>IS!CG14</f>
        <v>2069</v>
      </c>
      <c r="CH15" s="489">
        <f>IS!CH14</f>
        <v>2080</v>
      </c>
      <c r="CI15" s="490">
        <f>IS!CI14</f>
        <v>8334</v>
      </c>
      <c r="CJ15" s="489">
        <f>IS!CJ14</f>
        <v>2150</v>
      </c>
      <c r="CK15" s="489">
        <f>IS!CK14</f>
        <v>2130</v>
      </c>
      <c r="CL15" s="489">
        <f>IS!CL14</f>
        <v>2075</v>
      </c>
      <c r="CM15" s="489">
        <f>IS!CM14</f>
        <v>2110</v>
      </c>
      <c r="CN15" s="490">
        <f>IS!CN14</f>
        <v>8465</v>
      </c>
      <c r="CO15" s="489">
        <f>IS!CO14</f>
        <v>2250</v>
      </c>
      <c r="CP15" s="489">
        <f>IS!CP14</f>
        <v>2132</v>
      </c>
      <c r="CQ15" s="489">
        <f>IS!CQ14</f>
        <v>2100</v>
      </c>
      <c r="CR15" s="489">
        <f>IS!CR14</f>
        <v>2172</v>
      </c>
      <c r="CS15" s="490">
        <f>IS!CS14</f>
        <v>8654</v>
      </c>
      <c r="CT15" s="489">
        <f>IS!CT14</f>
        <v>2302</v>
      </c>
      <c r="CU15" s="489">
        <f>IS!CU14</f>
        <v>2265</v>
      </c>
      <c r="CV15" s="489">
        <f>IS!CV14</f>
        <v>2221</v>
      </c>
      <c r="CW15" s="489">
        <f>CW12-CW14</f>
        <v>2331</v>
      </c>
      <c r="CX15" s="490">
        <f>IS!CX14</f>
        <v>9119</v>
      </c>
      <c r="CY15" s="489">
        <f>IS!CY14</f>
        <v>2387</v>
      </c>
      <c r="CZ15" s="489">
        <f>IS!CZ14</f>
        <v>2422</v>
      </c>
      <c r="DA15" s="489">
        <f>DA29+DA138+DA143+DA148</f>
        <v>2618</v>
      </c>
      <c r="DB15" s="489">
        <f>DB29+DB138+DB143+DB148</f>
        <v>4233</v>
      </c>
      <c r="DC15" s="490">
        <f>IS!DC14</f>
        <v>11102</v>
      </c>
      <c r="DD15" s="489">
        <f>IS!DD14</f>
        <v>3926</v>
      </c>
      <c r="DE15" s="489">
        <f>IS!DE14</f>
        <v>4042</v>
      </c>
      <c r="DF15" s="489">
        <f>IS!DF14</f>
        <v>4179</v>
      </c>
      <c r="DG15" s="489">
        <f>IS!DG14</f>
        <v>4468</v>
      </c>
      <c r="DH15" s="490">
        <f>IS!DH14</f>
        <v>16615</v>
      </c>
      <c r="DI15" s="489">
        <f>IS!DI14</f>
        <v>4424</v>
      </c>
      <c r="DJ15" s="489">
        <f>IS!DJ14</f>
        <v>4492</v>
      </c>
      <c r="DK15" s="489">
        <f>IS!DK14</f>
        <v>4692</v>
      </c>
      <c r="DL15" s="489">
        <f>IS!DL14</f>
        <v>5026</v>
      </c>
      <c r="DM15" s="490">
        <f>IS!DM14</f>
        <v>18634</v>
      </c>
      <c r="DN15" s="489">
        <f>IS!DN14</f>
        <v>5044</v>
      </c>
      <c r="DO15" s="489">
        <f>IS!DO14</f>
        <v>4868</v>
      </c>
      <c r="DP15" s="489">
        <f>IS!DP14</f>
        <v>4849</v>
      </c>
      <c r="DQ15" s="489">
        <f>IS!DQ14</f>
        <v>4860</v>
      </c>
      <c r="DR15" s="490">
        <f>IS!DR14</f>
        <v>19621</v>
      </c>
      <c r="DS15" s="489">
        <f>IS!DS14</f>
        <v>4813</v>
      </c>
      <c r="DT15" s="489">
        <f>IS!DT14</f>
        <v>4802</v>
      </c>
      <c r="DU15" s="489">
        <f>IS!DU14</f>
        <v>4586</v>
      </c>
      <c r="DV15" s="489">
        <f>IS!DV14</f>
        <v>4978</v>
      </c>
      <c r="DW15" s="490">
        <f>IS!DW14</f>
        <v>19179</v>
      </c>
      <c r="DX15" s="489">
        <f>IS!DX14</f>
        <v>4585.0863854655954</v>
      </c>
      <c r="DY15" s="489">
        <f>IS!DY14</f>
        <v>4571.9276681985402</v>
      </c>
      <c r="DZ15" s="489">
        <f>IS!DZ14</f>
        <v>4382.1229369387811</v>
      </c>
      <c r="EA15" s="489">
        <f>IS!EA14</f>
        <v>4601.0434882783593</v>
      </c>
      <c r="EB15" s="490">
        <f>IS!EB14</f>
        <v>18140.180478881277</v>
      </c>
      <c r="EC15" s="489">
        <f>IS!EC14</f>
        <v>4524.2962808114098</v>
      </c>
      <c r="ED15" s="489">
        <f>IS!ED14</f>
        <v>4586.482780550501</v>
      </c>
      <c r="EE15" s="489">
        <f>IS!EE14</f>
        <v>4476.8814684192575</v>
      </c>
      <c r="EF15" s="489">
        <f>IS!EF14</f>
        <v>4783.4707700478448</v>
      </c>
      <c r="EG15" s="490">
        <f>IS!EG14</f>
        <v>18371.131299829012</v>
      </c>
      <c r="EH15" s="489">
        <f>IS!EH14</f>
        <v>4732.6961803501972</v>
      </c>
      <c r="EI15" s="489">
        <f>IS!EI14</f>
        <v>4793.4825286827745</v>
      </c>
      <c r="EJ15" s="489">
        <f>IS!EJ14</f>
        <v>4674.5233219001257</v>
      </c>
      <c r="EK15" s="489">
        <f>IS!EK14</f>
        <v>4999.3772510273993</v>
      </c>
      <c r="EL15" s="490">
        <f>IS!EL14</f>
        <v>19200.079281960501</v>
      </c>
    </row>
    <row r="16" spans="1:142">
      <c r="A16" s="483"/>
      <c r="B16" s="483" t="s">
        <v>497</v>
      </c>
      <c r="C16" s="401"/>
      <c r="D16" s="401"/>
      <c r="E16" s="177"/>
      <c r="F16" s="405"/>
      <c r="G16" s="405"/>
      <c r="H16" s="402"/>
      <c r="I16" s="403">
        <f t="shared" ref="I16:AT16" si="13">IF(OR(I15&lt;=0,D15&lt;=0),"nm",I15/D15-1)</f>
        <v>0.91073599301417585</v>
      </c>
      <c r="J16" s="403">
        <f t="shared" si="13"/>
        <v>1.1051609771881576</v>
      </c>
      <c r="K16" s="403">
        <f t="shared" si="13"/>
        <v>1.1303258145363411</v>
      </c>
      <c r="L16" s="403">
        <f t="shared" si="13"/>
        <v>8.0307070606670861E-2</v>
      </c>
      <c r="M16" s="402">
        <f t="shared" si="13"/>
        <v>0.65639735932096821</v>
      </c>
      <c r="N16" s="403">
        <f t="shared" si="13"/>
        <v>0.12123951997369709</v>
      </c>
      <c r="O16" s="403">
        <f t="shared" si="13"/>
        <v>7.3931755302797386E-2</v>
      </c>
      <c r="P16" s="403">
        <f t="shared" si="13"/>
        <v>0.55058823529411782</v>
      </c>
      <c r="Q16" s="403">
        <f t="shared" si="13"/>
        <v>1.3912449683726282</v>
      </c>
      <c r="R16" s="402">
        <f t="shared" si="13"/>
        <v>0.55570316948187504</v>
      </c>
      <c r="S16" s="403">
        <f t="shared" si="13"/>
        <v>0.60032255699728765</v>
      </c>
      <c r="T16" s="403">
        <f t="shared" si="13"/>
        <v>0.64090453699728078</v>
      </c>
      <c r="U16" s="403">
        <f t="shared" si="13"/>
        <v>0.13856221547799685</v>
      </c>
      <c r="V16" s="403">
        <f t="shared" si="13"/>
        <v>-0.26954639733068808</v>
      </c>
      <c r="W16" s="402">
        <f t="shared" si="13"/>
        <v>0.13541539587654028</v>
      </c>
      <c r="X16" s="403">
        <f t="shared" si="13"/>
        <v>9.6655978011910282E-2</v>
      </c>
      <c r="Y16" s="403">
        <f t="shared" si="13"/>
        <v>3.7505451373746279E-2</v>
      </c>
      <c r="Z16" s="403">
        <f t="shared" si="13"/>
        <v>9.6209912536443065E-2</v>
      </c>
      <c r="AA16" s="403">
        <f t="shared" si="13"/>
        <v>0.12427983539094645</v>
      </c>
      <c r="AB16" s="402">
        <f t="shared" si="13"/>
        <v>8.9180186956054674E-2</v>
      </c>
      <c r="AC16" s="403">
        <f t="shared" si="13"/>
        <v>0.10693400167084377</v>
      </c>
      <c r="AD16" s="403">
        <f t="shared" si="13"/>
        <v>8.028583438419501E-2</v>
      </c>
      <c r="AE16" s="403">
        <f t="shared" si="13"/>
        <v>1.5197568389058169E-3</v>
      </c>
      <c r="AF16" s="403">
        <f t="shared" si="13"/>
        <v>-9.150805270863871E-3</v>
      </c>
      <c r="AG16" s="402">
        <f t="shared" si="13"/>
        <v>4.2024267534773507E-2</v>
      </c>
      <c r="AH16" s="403">
        <f t="shared" si="13"/>
        <v>1.132075471698113E-2</v>
      </c>
      <c r="AI16" s="403">
        <f t="shared" si="13"/>
        <v>5.4085603112840497E-2</v>
      </c>
      <c r="AJ16" s="403">
        <f t="shared" si="13"/>
        <v>6.866464339908962E-2</v>
      </c>
      <c r="AK16" s="403">
        <f t="shared" si="13"/>
        <v>0.10749907646841517</v>
      </c>
      <c r="AL16" s="402">
        <f t="shared" si="13"/>
        <v>6.068351793997917E-2</v>
      </c>
      <c r="AM16" s="403">
        <f t="shared" si="13"/>
        <v>0.13843283582089549</v>
      </c>
      <c r="AN16" s="403">
        <f t="shared" si="13"/>
        <v>0.15762273901808777</v>
      </c>
      <c r="AO16" s="403">
        <f t="shared" si="13"/>
        <v>0.15299964501242447</v>
      </c>
      <c r="AP16" s="403">
        <f t="shared" si="13"/>
        <v>0.16477651767845236</v>
      </c>
      <c r="AQ16" s="402">
        <f t="shared" si="13"/>
        <v>0.15378436272759721</v>
      </c>
      <c r="AR16" s="403">
        <f t="shared" si="13"/>
        <v>0.12291052114060963</v>
      </c>
      <c r="AS16" s="403">
        <f t="shared" si="13"/>
        <v>0.11192602040816335</v>
      </c>
      <c r="AT16" s="403">
        <f t="shared" si="13"/>
        <v>4.1256157635467972E-2</v>
      </c>
      <c r="AU16" s="484"/>
      <c r="AV16" s="401"/>
      <c r="AW16" s="401"/>
      <c r="AX16" s="401"/>
      <c r="AY16" s="401"/>
      <c r="AZ16" s="402"/>
      <c r="BA16" s="403">
        <f t="shared" ref="BA16:CF16" si="14">IF(OR(BA15&lt;=0,AV15&lt;=0),"nm",BA15/AV15-1)</f>
        <v>8.8888888888889461E-3</v>
      </c>
      <c r="BB16" s="403">
        <f t="shared" si="14"/>
        <v>-3.7371535347243801E-2</v>
      </c>
      <c r="BC16" s="403">
        <f t="shared" si="14"/>
        <v>-0.14903403863845444</v>
      </c>
      <c r="BD16" s="403">
        <f t="shared" si="14"/>
        <v>-0.12569832402234637</v>
      </c>
      <c r="BE16" s="402">
        <f t="shared" si="14"/>
        <v>-7.6533790096543153E-2</v>
      </c>
      <c r="BF16" s="403">
        <f t="shared" si="14"/>
        <v>-0.25235997482693517</v>
      </c>
      <c r="BG16" s="403">
        <f t="shared" si="14"/>
        <v>-0.32999029440310579</v>
      </c>
      <c r="BH16" s="403">
        <f t="shared" si="14"/>
        <v>-0.21189189189189184</v>
      </c>
      <c r="BI16" s="403">
        <f t="shared" si="14"/>
        <v>-0.21299254526091582</v>
      </c>
      <c r="BJ16" s="402">
        <f t="shared" si="14"/>
        <v>-0.25377286906668917</v>
      </c>
      <c r="BK16" s="407">
        <f t="shared" si="14"/>
        <v>-1.7676767676767624E-2</v>
      </c>
      <c r="BL16" s="407">
        <f t="shared" si="14"/>
        <v>9.4640270400772497E-2</v>
      </c>
      <c r="BM16" s="407">
        <f t="shared" si="14"/>
        <v>4.5724737082752931E-4</v>
      </c>
      <c r="BN16" s="407">
        <f t="shared" si="14"/>
        <v>-4.0595399188091963E-2</v>
      </c>
      <c r="BO16" s="406">
        <f t="shared" si="14"/>
        <v>7.3438029601176069E-3</v>
      </c>
      <c r="BP16" s="407">
        <f t="shared" si="14"/>
        <v>-2.4850042844901443E-2</v>
      </c>
      <c r="BQ16" s="407">
        <f t="shared" si="14"/>
        <v>-8.8222320247022479E-2</v>
      </c>
      <c r="BR16" s="407">
        <f t="shared" si="14"/>
        <v>-0.1042047531992687</v>
      </c>
      <c r="BS16" s="407">
        <f t="shared" si="14"/>
        <v>-3.3850493653032387E-2</v>
      </c>
      <c r="BT16" s="406">
        <f t="shared" si="14"/>
        <v>-6.2584118438761771E-2</v>
      </c>
      <c r="BU16" s="407">
        <f t="shared" si="14"/>
        <v>-6.0632688927943712E-2</v>
      </c>
      <c r="BV16" s="407">
        <f t="shared" si="14"/>
        <v>4.8379293662312861E-3</v>
      </c>
      <c r="BW16" s="407">
        <f t="shared" si="14"/>
        <v>4.7448979591836693E-2</v>
      </c>
      <c r="BX16" s="407">
        <f t="shared" si="14"/>
        <v>3.0170316301703082E-2</v>
      </c>
      <c r="BY16" s="406">
        <f t="shared" si="14"/>
        <v>3.2304379038048392E-3</v>
      </c>
      <c r="BZ16" s="407">
        <f t="shared" si="14"/>
        <v>3.9289055191767952E-2</v>
      </c>
      <c r="CA16" s="407">
        <f t="shared" si="14"/>
        <v>-2.2628791526239755E-2</v>
      </c>
      <c r="CB16" s="407">
        <f t="shared" si="14"/>
        <v>-2.9712615684364341E-2</v>
      </c>
      <c r="CC16" s="407">
        <f t="shared" si="14"/>
        <v>-4.1568256967406736E-2</v>
      </c>
      <c r="CD16" s="406">
        <f t="shared" si="14"/>
        <v>-1.3357185450208697E-2</v>
      </c>
      <c r="CE16" s="407">
        <f t="shared" si="14"/>
        <v>-4.4554455445544594E-2</v>
      </c>
      <c r="CF16" s="407">
        <f t="shared" si="14"/>
        <v>1.5763546798029493E-2</v>
      </c>
      <c r="CG16" s="407">
        <f t="shared" ref="CG16:DN16" si="15">IF(OR(CG15&lt;=0,CB15&lt;=0),"nm",CG15/CB15-1)</f>
        <v>3.8654618473895619E-2</v>
      </c>
      <c r="CH16" s="407">
        <f t="shared" si="15"/>
        <v>2.5135534746180355E-2</v>
      </c>
      <c r="CI16" s="406">
        <f t="shared" si="15"/>
        <v>7.3733832950562128E-3</v>
      </c>
      <c r="CJ16" s="407">
        <f t="shared" si="15"/>
        <v>1.2717852096090443E-2</v>
      </c>
      <c r="CK16" s="407">
        <f t="shared" si="15"/>
        <v>3.2977691561590694E-2</v>
      </c>
      <c r="CL16" s="407">
        <f t="shared" si="15"/>
        <v>2.8999516674721448E-3</v>
      </c>
      <c r="CM16" s="407">
        <f t="shared" si="15"/>
        <v>1.4423076923076872E-2</v>
      </c>
      <c r="CN16" s="406">
        <f t="shared" si="15"/>
        <v>1.5718742500600014E-2</v>
      </c>
      <c r="CO16" s="407">
        <f t="shared" si="15"/>
        <v>4.6511627906976827E-2</v>
      </c>
      <c r="CP16" s="407">
        <f t="shared" si="15"/>
        <v>9.3896713615015948E-4</v>
      </c>
      <c r="CQ16" s="407">
        <f t="shared" si="15"/>
        <v>1.2048192771084265E-2</v>
      </c>
      <c r="CR16" s="407">
        <f t="shared" si="15"/>
        <v>2.9383886255924141E-2</v>
      </c>
      <c r="CS16" s="406">
        <f t="shared" si="15"/>
        <v>2.2327229769639745E-2</v>
      </c>
      <c r="CT16" s="407">
        <f t="shared" si="15"/>
        <v>2.3111111111111082E-2</v>
      </c>
      <c r="CU16" s="407">
        <f t="shared" si="15"/>
        <v>6.2382739212007543E-2</v>
      </c>
      <c r="CV16" s="407">
        <f t="shared" si="15"/>
        <v>5.7619047619047681E-2</v>
      </c>
      <c r="CW16" s="407">
        <f t="shared" si="15"/>
        <v>7.320441988950277E-2</v>
      </c>
      <c r="CX16" s="406">
        <f t="shared" si="15"/>
        <v>5.3732378091056132E-2</v>
      </c>
      <c r="CY16" s="407">
        <f t="shared" si="15"/>
        <v>3.6924413553431901E-2</v>
      </c>
      <c r="CZ16" s="407">
        <f t="shared" si="15"/>
        <v>6.9315673289183311E-2</v>
      </c>
      <c r="DA16" s="407">
        <f t="shared" si="15"/>
        <v>0.17874831157136417</v>
      </c>
      <c r="DB16" s="407">
        <f t="shared" si="15"/>
        <v>0.81595881595881603</v>
      </c>
      <c r="DC16" s="406">
        <f t="shared" si="15"/>
        <v>0.21745805461125123</v>
      </c>
      <c r="DD16" s="407">
        <f t="shared" si="15"/>
        <v>0.64474235441977368</v>
      </c>
      <c r="DE16" s="407">
        <f t="shared" si="15"/>
        <v>0.66886870355078454</v>
      </c>
      <c r="DF16" s="407">
        <f t="shared" si="15"/>
        <v>0.59625668449197855</v>
      </c>
      <c r="DG16" s="407">
        <f t="shared" si="15"/>
        <v>5.5516182376565082E-2</v>
      </c>
      <c r="DH16" s="406">
        <f t="shared" si="15"/>
        <v>0.4965771932985048</v>
      </c>
      <c r="DI16" s="407">
        <f t="shared" si="15"/>
        <v>0.12684666327050431</v>
      </c>
      <c r="DJ16" s="407">
        <f t="shared" si="15"/>
        <v>0.11133102424542307</v>
      </c>
      <c r="DK16" s="407">
        <f t="shared" si="15"/>
        <v>0.12275664034458011</v>
      </c>
      <c r="DL16" s="407">
        <f t="shared" si="15"/>
        <v>0.12488809310653526</v>
      </c>
      <c r="DM16" s="406">
        <f t="shared" ref="DM16:DR16" si="16">IF(OR(DM15&lt;=0,DH15&lt;=0),"nm",DM15/DH15-1)</f>
        <v>0.12151670177550411</v>
      </c>
      <c r="DN16" s="407">
        <f t="shared" si="15"/>
        <v>0.14014466546112114</v>
      </c>
      <c r="DO16" s="407">
        <f t="shared" si="16"/>
        <v>8.3704363312555596E-2</v>
      </c>
      <c r="DP16" s="407">
        <f t="shared" si="16"/>
        <v>3.3461210571184896E-2</v>
      </c>
      <c r="DQ16" s="407">
        <f t="shared" si="16"/>
        <v>-3.3028253083963399E-2</v>
      </c>
      <c r="DR16" s="406">
        <f t="shared" si="16"/>
        <v>5.2967693463561227E-2</v>
      </c>
      <c r="DS16" s="407">
        <f t="shared" ref="DS16:EG16" si="17">IF(OR(DS15&lt;=0,DN15&lt;=0),"nm",DS15/DN15-1)</f>
        <v>-4.5796986518635951E-2</v>
      </c>
      <c r="DT16" s="407">
        <f t="shared" si="17"/>
        <v>-1.3557929334428898E-2</v>
      </c>
      <c r="DU16" s="407">
        <f t="shared" si="17"/>
        <v>-5.423798721385853E-2</v>
      </c>
      <c r="DV16" s="407">
        <f t="shared" si="17"/>
        <v>2.427983539094658E-2</v>
      </c>
      <c r="DW16" s="406">
        <f t="shared" si="17"/>
        <v>-2.2526884460526975E-2</v>
      </c>
      <c r="DX16" s="407">
        <f t="shared" si="17"/>
        <v>-4.7353753279535504E-2</v>
      </c>
      <c r="DY16" s="407">
        <f t="shared" si="17"/>
        <v>-4.7911772553406839E-2</v>
      </c>
      <c r="DZ16" s="407">
        <f t="shared" si="17"/>
        <v>-4.4456402760841507E-2</v>
      </c>
      <c r="EA16" s="407">
        <f t="shared" si="17"/>
        <v>-7.5724490100771535E-2</v>
      </c>
      <c r="EB16" s="406">
        <f t="shared" si="17"/>
        <v>-5.4164425732244781E-2</v>
      </c>
      <c r="EC16" s="407">
        <f t="shared" si="17"/>
        <v>-1.3258224500826365E-2</v>
      </c>
      <c r="ED16" s="407">
        <f t="shared" si="17"/>
        <v>3.1835832515907381E-3</v>
      </c>
      <c r="EE16" s="407">
        <f t="shared" si="17"/>
        <v>2.1623887062071301E-2</v>
      </c>
      <c r="EF16" s="407">
        <f t="shared" si="17"/>
        <v>3.964911051900244E-2</v>
      </c>
      <c r="EG16" s="406">
        <f t="shared" si="17"/>
        <v>1.2731451112992342E-2</v>
      </c>
      <c r="EH16" s="407">
        <f t="shared" ref="EH16" si="18">IF(OR(EH15&lt;=0,EC15&lt;=0),"nm",EH15/EC15-1)</f>
        <v>4.6062389950600746E-2</v>
      </c>
      <c r="EI16" s="407">
        <f t="shared" ref="EI16" si="19">IF(OR(EI15&lt;=0,ED15&lt;=0),"nm",EI15/ED15-1)</f>
        <v>4.5132568470567236E-2</v>
      </c>
      <c r="EJ16" s="407">
        <f t="shared" ref="EJ16" si="20">IF(OR(EJ15&lt;=0,EE15&lt;=0),"nm",EJ15/EE15-1)</f>
        <v>4.4147216064367667E-2</v>
      </c>
      <c r="EK16" s="407">
        <f t="shared" ref="EK16" si="21">IF(OR(EK15&lt;=0,EF15&lt;=0),"nm",EK15/EF15-1)</f>
        <v>4.5135946545649119E-2</v>
      </c>
      <c r="EL16" s="406">
        <f t="shared" ref="EL16" si="22">IF(OR(EL15&lt;=0,EG15&lt;=0),"nm",EL15/EG15-1)</f>
        <v>4.5122315474344532E-2</v>
      </c>
    </row>
    <row r="17" spans="1:142">
      <c r="B17" s="381" t="s">
        <v>736</v>
      </c>
      <c r="DN17" s="1240">
        <v>0</v>
      </c>
      <c r="DO17" s="1240">
        <v>0</v>
      </c>
      <c r="DP17" s="1240">
        <v>0</v>
      </c>
      <c r="DQ17" s="1240">
        <v>0</v>
      </c>
      <c r="DR17" s="1047">
        <f>SUM(DN17:DQ17)</f>
        <v>0</v>
      </c>
      <c r="DS17" s="1240">
        <v>0</v>
      </c>
      <c r="DT17" s="1240">
        <v>0</v>
      </c>
      <c r="DU17" s="1240">
        <v>0</v>
      </c>
      <c r="DV17" s="1240">
        <v>0</v>
      </c>
      <c r="DW17" s="1047">
        <f>SUM(DS17:DV17)</f>
        <v>0</v>
      </c>
      <c r="DX17" s="1240">
        <f>250/4</f>
        <v>62.5</v>
      </c>
      <c r="DY17" s="1240">
        <v>62.5</v>
      </c>
      <c r="DZ17" s="1240">
        <v>62.5</v>
      </c>
      <c r="EA17" s="1240">
        <v>62.5</v>
      </c>
      <c r="EB17" s="1047">
        <f t="shared" ref="EB17" si="23">SUM(DX17:EA17)</f>
        <v>250</v>
      </c>
      <c r="EC17" s="1240">
        <v>0</v>
      </c>
      <c r="ED17" s="1240">
        <v>0</v>
      </c>
      <c r="EE17" s="1240">
        <v>0</v>
      </c>
      <c r="EF17" s="1240">
        <v>0</v>
      </c>
      <c r="EG17" s="1047">
        <f t="shared" ref="EG17" si="24">SUM(EC17:EF17)</f>
        <v>0</v>
      </c>
      <c r="EH17" s="1240">
        <v>0</v>
      </c>
      <c r="EI17" s="1240">
        <v>0</v>
      </c>
      <c r="EJ17" s="1240">
        <v>0</v>
      </c>
      <c r="EK17" s="1240">
        <v>0</v>
      </c>
      <c r="EL17" s="1047">
        <f t="shared" ref="EL17" si="25">SUM(EH17:EK17)</f>
        <v>0</v>
      </c>
    </row>
    <row r="18" spans="1:142" ht="3.95" customHeight="1">
      <c r="DN18" s="1240"/>
      <c r="DO18" s="1240"/>
      <c r="DP18" s="1240"/>
      <c r="DQ18" s="1240"/>
      <c r="DR18" s="1047"/>
      <c r="DS18" s="1240"/>
      <c r="DT18" s="1240"/>
      <c r="DU18" s="1240"/>
      <c r="DV18" s="1240"/>
      <c r="DW18" s="1047"/>
      <c r="DX18" s="1240"/>
      <c r="DY18" s="1240"/>
      <c r="DZ18" s="1240"/>
      <c r="EA18" s="1240"/>
      <c r="EB18" s="1047"/>
      <c r="EC18" s="1240"/>
      <c r="ED18" s="1240"/>
      <c r="EE18" s="1240"/>
      <c r="EF18" s="1240"/>
      <c r="EG18" s="1047"/>
      <c r="EH18" s="1240"/>
      <c r="EI18" s="1240"/>
      <c r="EJ18" s="1240"/>
      <c r="EK18" s="1240"/>
      <c r="EL18" s="1047"/>
    </row>
    <row r="19" spans="1:142" hidden="1" outlineLevel="1">
      <c r="A19" s="381"/>
      <c r="B19" s="381" t="s">
        <v>113</v>
      </c>
      <c r="C19" s="10"/>
      <c r="D19" s="10"/>
      <c r="E19" s="10"/>
      <c r="F19" s="10"/>
      <c r="G19" s="10"/>
      <c r="H19" s="492"/>
      <c r="I19" s="10"/>
      <c r="J19" s="10"/>
      <c r="K19" s="10"/>
      <c r="L19" s="10"/>
      <c r="M19" s="492"/>
      <c r="N19" s="10"/>
      <c r="O19" s="10"/>
      <c r="P19" s="10"/>
      <c r="Q19" s="10"/>
      <c r="R19" s="492"/>
      <c r="S19" s="10"/>
      <c r="T19" s="10"/>
      <c r="U19" s="10"/>
      <c r="V19" s="10"/>
      <c r="W19" s="492"/>
      <c r="X19" s="10"/>
      <c r="Y19" s="10"/>
      <c r="Z19" s="10"/>
      <c r="AA19" s="10"/>
      <c r="AB19" s="492"/>
      <c r="AC19" s="10"/>
      <c r="AD19" s="10"/>
      <c r="AE19" s="10"/>
      <c r="AF19" s="10"/>
      <c r="AG19" s="492"/>
      <c r="AH19" s="10"/>
      <c r="AI19" s="10"/>
      <c r="AJ19" s="10"/>
      <c r="AK19" s="10"/>
      <c r="AL19" s="492"/>
      <c r="AM19" s="10"/>
      <c r="AN19" s="10"/>
      <c r="AO19" s="10"/>
      <c r="AP19" s="10"/>
      <c r="AQ19" s="492"/>
      <c r="AR19" s="10"/>
      <c r="AS19" s="10"/>
      <c r="AT19" s="10"/>
      <c r="AU19" s="137"/>
      <c r="AV19" s="10"/>
      <c r="AW19" s="10"/>
      <c r="AX19" s="10"/>
      <c r="AY19" s="10"/>
      <c r="AZ19" s="492"/>
      <c r="BA19" s="10"/>
      <c r="BB19" s="10"/>
      <c r="BC19" s="10"/>
      <c r="BD19" s="10"/>
      <c r="BE19" s="492"/>
      <c r="BF19" s="10"/>
      <c r="BG19" s="10"/>
      <c r="BH19" s="10"/>
      <c r="BI19" s="10"/>
      <c r="BJ19" s="492"/>
      <c r="BK19" s="10"/>
      <c r="BL19" s="10"/>
      <c r="BM19" s="10"/>
      <c r="BN19" s="10"/>
      <c r="BO19" s="492"/>
      <c r="BP19" s="10"/>
      <c r="BQ19" s="10"/>
      <c r="BR19" s="10"/>
      <c r="BS19" s="10"/>
      <c r="BT19" s="492"/>
      <c r="BU19" s="10"/>
      <c r="BV19" s="10"/>
      <c r="BW19" s="10"/>
      <c r="BX19" s="10"/>
      <c r="BY19" s="492"/>
      <c r="BZ19" s="10"/>
      <c r="CA19" s="10"/>
      <c r="CB19" s="10"/>
      <c r="CC19" s="10"/>
      <c r="CD19" s="492"/>
      <c r="CE19" s="10"/>
      <c r="CF19" s="10"/>
      <c r="CG19" s="10"/>
      <c r="CH19" s="10"/>
      <c r="CI19" s="492"/>
      <c r="CJ19" s="10"/>
      <c r="CK19" s="10"/>
      <c r="CL19" s="10"/>
      <c r="CM19" s="10"/>
      <c r="CN19" s="492"/>
      <c r="CO19" s="10"/>
      <c r="CP19" s="10"/>
      <c r="CQ19" s="10"/>
      <c r="CR19" s="10"/>
      <c r="CS19" s="492"/>
      <c r="CT19" s="10"/>
      <c r="CU19" s="10"/>
      <c r="CV19" s="10"/>
      <c r="CW19" s="10"/>
      <c r="CX19" s="492"/>
      <c r="CY19" s="10"/>
      <c r="CZ19" s="10"/>
      <c r="DA19" s="10"/>
      <c r="DB19" s="10"/>
      <c r="DC19" s="492"/>
      <c r="DD19" s="10">
        <v>4362.7221755827322</v>
      </c>
      <c r="DE19" s="10">
        <v>4400.4682311449678</v>
      </c>
      <c r="DF19" s="10">
        <v>4371.7701426936264</v>
      </c>
      <c r="DG19" s="10">
        <v>4406.4684766979408</v>
      </c>
      <c r="DH19" s="492">
        <v>17536.4555364427</v>
      </c>
      <c r="DI19" s="1439">
        <v>4503.1787913175212</v>
      </c>
      <c r="DJ19" s="1439">
        <v>4538.0517034379618</v>
      </c>
      <c r="DK19" s="1439">
        <v>4509.395559797038</v>
      </c>
      <c r="DL19" s="1439">
        <v>4541.9043417330113</v>
      </c>
      <c r="DM19" s="492"/>
      <c r="DN19" s="10"/>
      <c r="DO19" s="10"/>
      <c r="DP19" s="10"/>
      <c r="DQ19" s="10"/>
      <c r="DR19" s="492"/>
      <c r="DS19" s="10"/>
      <c r="DT19" s="10"/>
      <c r="DU19" s="10"/>
      <c r="DV19" s="10"/>
      <c r="DW19" s="492"/>
      <c r="DX19" s="10"/>
      <c r="DY19" s="10"/>
      <c r="DZ19" s="10"/>
      <c r="EA19" s="10"/>
      <c r="EB19" s="492"/>
      <c r="EC19" s="10"/>
      <c r="ED19" s="10"/>
      <c r="EE19" s="10"/>
      <c r="EF19" s="10"/>
      <c r="EG19" s="492"/>
      <c r="EH19" s="10"/>
      <c r="EI19" s="10"/>
      <c r="EJ19" s="10"/>
      <c r="EK19" s="10"/>
      <c r="EL19" s="492"/>
    </row>
    <row r="20" spans="1:142" s="680" customFormat="1" hidden="1" outlineLevel="1">
      <c r="A20" s="557"/>
      <c r="B20" s="557" t="s">
        <v>114</v>
      </c>
      <c r="C20" s="555"/>
      <c r="D20" s="555"/>
      <c r="E20" s="555"/>
      <c r="F20" s="555"/>
      <c r="G20" s="555"/>
      <c r="H20" s="1047">
        <f>SUM(D20:G20)</f>
        <v>0</v>
      </c>
      <c r="I20" s="555"/>
      <c r="J20" s="555"/>
      <c r="K20" s="555"/>
      <c r="L20" s="555"/>
      <c r="M20" s="1047">
        <f>SUM(I20:L20)</f>
        <v>0</v>
      </c>
      <c r="N20" s="555"/>
      <c r="O20" s="555"/>
      <c r="P20" s="555"/>
      <c r="Q20" s="555"/>
      <c r="R20" s="1047">
        <f>SUM(N20:Q20)</f>
        <v>0</v>
      </c>
      <c r="S20" s="555"/>
      <c r="T20" s="555"/>
      <c r="U20" s="555"/>
      <c r="V20" s="555"/>
      <c r="W20" s="1047">
        <f>SUM(S20:V20)</f>
        <v>0</v>
      </c>
      <c r="X20" s="555"/>
      <c r="Y20" s="555"/>
      <c r="Z20" s="555"/>
      <c r="AA20" s="555"/>
      <c r="AB20" s="1047">
        <f>SUM(X20:AA20)</f>
        <v>0</v>
      </c>
      <c r="AC20" s="555"/>
      <c r="AD20" s="555"/>
      <c r="AE20" s="555"/>
      <c r="AF20" s="555"/>
      <c r="AG20" s="1047">
        <f>SUM(AC20:AF20)</f>
        <v>0</v>
      </c>
      <c r="AH20" s="555"/>
      <c r="AI20" s="555"/>
      <c r="AJ20" s="555"/>
      <c r="AK20" s="555"/>
      <c r="AL20" s="1047">
        <f>SUM(AH20:AK20)</f>
        <v>0</v>
      </c>
      <c r="AM20" s="555"/>
      <c r="AN20" s="555"/>
      <c r="AO20" s="555"/>
      <c r="AP20" s="555"/>
      <c r="AQ20" s="1047">
        <f>SUM(AM20:AP20)</f>
        <v>0</v>
      </c>
      <c r="AR20" s="555"/>
      <c r="AS20" s="555"/>
      <c r="AT20" s="555"/>
      <c r="AU20" s="802"/>
      <c r="AV20" s="555"/>
      <c r="AW20" s="555"/>
      <c r="AX20" s="555"/>
      <c r="AY20" s="555"/>
      <c r="AZ20" s="1047">
        <f>SUM(AV20:AY20)</f>
        <v>0</v>
      </c>
      <c r="BA20" s="555"/>
      <c r="BB20" s="555"/>
      <c r="BC20" s="555"/>
      <c r="BD20" s="555"/>
      <c r="BE20" s="1047">
        <f>SUM(BA20:BD20)</f>
        <v>0</v>
      </c>
      <c r="BF20" s="555"/>
      <c r="BG20" s="555"/>
      <c r="BH20" s="555"/>
      <c r="BI20" s="555"/>
      <c r="BJ20" s="1047">
        <f>SUM(BF20:BI20)</f>
        <v>0</v>
      </c>
      <c r="BK20" s="1045"/>
      <c r="BL20" s="1045"/>
      <c r="BM20" s="1045"/>
      <c r="BN20" s="1045"/>
      <c r="BO20" s="1047">
        <f>SUM(BK20:BN20)</f>
        <v>0</v>
      </c>
      <c r="BP20" s="1045"/>
      <c r="BQ20" s="1045"/>
      <c r="BR20" s="1045"/>
      <c r="BS20" s="1045"/>
      <c r="BT20" s="1047">
        <f>SUM(BP20:BS20)</f>
        <v>0</v>
      </c>
      <c r="BU20" s="1045"/>
      <c r="BV20" s="1045"/>
      <c r="BW20" s="1045"/>
      <c r="BX20" s="1045"/>
      <c r="BY20" s="1047">
        <f>SUM(BU20:BX20)</f>
        <v>0</v>
      </c>
      <c r="BZ20" s="1045"/>
      <c r="CA20" s="1045"/>
      <c r="CB20" s="1045"/>
      <c r="CC20" s="1045"/>
      <c r="CD20" s="1047">
        <f>SUM(BZ20:CC20)</f>
        <v>0</v>
      </c>
      <c r="CE20" s="1045"/>
      <c r="CF20" s="1045"/>
      <c r="CG20" s="1045"/>
      <c r="CH20" s="1045"/>
      <c r="CI20" s="1047">
        <f>SUM(CE20:CH20)</f>
        <v>0</v>
      </c>
      <c r="CJ20" s="1045"/>
      <c r="CK20" s="1045"/>
      <c r="CL20" s="1045"/>
      <c r="CM20" s="1045"/>
      <c r="CN20" s="1047">
        <f>SUM(CJ20:CM20)</f>
        <v>0</v>
      </c>
      <c r="CO20" s="1045"/>
      <c r="CP20" s="1045"/>
      <c r="CQ20" s="1045"/>
      <c r="CR20" s="1045"/>
      <c r="CS20" s="1047">
        <f>SUM(CO20:CR20)</f>
        <v>0</v>
      </c>
      <c r="CT20" s="1045"/>
      <c r="CU20" s="1045"/>
      <c r="CV20" s="1045"/>
      <c r="CW20" s="1045"/>
      <c r="CX20" s="1047"/>
      <c r="CY20" s="1045"/>
      <c r="CZ20" s="1045"/>
      <c r="DA20" s="1045"/>
      <c r="DB20" s="1045"/>
      <c r="DC20" s="1047"/>
      <c r="DD20" s="1045">
        <f t="shared" ref="DD20:DL20" si="26">DD12-DD19</f>
        <v>-56.722175582732234</v>
      </c>
      <c r="DE20" s="1045">
        <f t="shared" si="26"/>
        <v>-38.468231144967831</v>
      </c>
      <c r="DF20" s="1045">
        <f t="shared" si="26"/>
        <v>56.22985730637356</v>
      </c>
      <c r="DG20" s="1045">
        <f t="shared" si="26"/>
        <v>417.53152330205921</v>
      </c>
      <c r="DH20" s="1047">
        <f t="shared" si="26"/>
        <v>383.54446355730033</v>
      </c>
      <c r="DI20" s="1045">
        <f t="shared" si="26"/>
        <v>287.82120868247875</v>
      </c>
      <c r="DJ20" s="1045">
        <f t="shared" si="26"/>
        <v>305.94829656203819</v>
      </c>
      <c r="DK20" s="1045">
        <f t="shared" si="26"/>
        <v>553.604440202962</v>
      </c>
      <c r="DL20" s="1045">
        <f t="shared" si="26"/>
        <v>875.09565826698872</v>
      </c>
      <c r="DM20" s="1047">
        <f>SUM(DI20:DL20)</f>
        <v>2022.4696037144677</v>
      </c>
      <c r="DN20" s="1240">
        <v>0</v>
      </c>
      <c r="DO20" s="1240">
        <v>0</v>
      </c>
      <c r="DP20" s="1240">
        <v>0</v>
      </c>
      <c r="DQ20" s="1240">
        <v>0</v>
      </c>
      <c r="DR20" s="1047">
        <f>SUM(DN20:DQ20)</f>
        <v>0</v>
      </c>
      <c r="DS20" s="1240">
        <v>0</v>
      </c>
      <c r="DT20" s="1240">
        <v>0</v>
      </c>
      <c r="DU20" s="1240">
        <v>0</v>
      </c>
      <c r="DV20" s="1240">
        <v>0</v>
      </c>
      <c r="DW20" s="1047">
        <f>SUM(DS20:DV20)</f>
        <v>0</v>
      </c>
      <c r="DX20" s="1240">
        <v>0</v>
      </c>
      <c r="DY20" s="1240">
        <v>0</v>
      </c>
      <c r="DZ20" s="1240">
        <v>0</v>
      </c>
      <c r="EA20" s="1240">
        <v>0</v>
      </c>
      <c r="EB20" s="1047">
        <f t="shared" ref="EB20:EB31" si="27">SUM(DX20:EA20)</f>
        <v>0</v>
      </c>
      <c r="EC20" s="1240">
        <v>0</v>
      </c>
      <c r="ED20" s="1240">
        <v>0</v>
      </c>
      <c r="EE20" s="1240">
        <v>0</v>
      </c>
      <c r="EF20" s="1240">
        <v>0</v>
      </c>
      <c r="EG20" s="1047">
        <f t="shared" ref="EG20:EG26" si="28">SUM(EC20:EF20)</f>
        <v>0</v>
      </c>
      <c r="EH20" s="1240">
        <v>0</v>
      </c>
      <c r="EI20" s="1240">
        <v>0</v>
      </c>
      <c r="EJ20" s="1240">
        <v>0</v>
      </c>
      <c r="EK20" s="1240">
        <v>0</v>
      </c>
      <c r="EL20" s="1047">
        <f t="shared" ref="EL20:EL26" si="29">SUM(EH20:EK20)</f>
        <v>0</v>
      </c>
    </row>
    <row r="21" spans="1:142" s="680" customFormat="1" hidden="1" outlineLevel="1">
      <c r="A21" s="557"/>
      <c r="B21" s="557" t="s">
        <v>252</v>
      </c>
      <c r="C21" s="555"/>
      <c r="D21" s="555"/>
      <c r="E21" s="555"/>
      <c r="F21" s="555"/>
      <c r="G21" s="555"/>
      <c r="H21" s="1047"/>
      <c r="I21" s="555"/>
      <c r="J21" s="555"/>
      <c r="K21" s="555"/>
      <c r="L21" s="555"/>
      <c r="M21" s="1047"/>
      <c r="N21" s="555"/>
      <c r="O21" s="555"/>
      <c r="P21" s="555"/>
      <c r="Q21" s="555"/>
      <c r="R21" s="1047"/>
      <c r="S21" s="555"/>
      <c r="T21" s="555"/>
      <c r="U21" s="555"/>
      <c r="V21" s="555"/>
      <c r="W21" s="1047"/>
      <c r="X21" s="555"/>
      <c r="Y21" s="555"/>
      <c r="Z21" s="555"/>
      <c r="AA21" s="555"/>
      <c r="AB21" s="1047"/>
      <c r="AC21" s="555"/>
      <c r="AD21" s="555"/>
      <c r="AE21" s="555"/>
      <c r="AF21" s="555"/>
      <c r="AG21" s="1047"/>
      <c r="AH21" s="555"/>
      <c r="AI21" s="555"/>
      <c r="AJ21" s="555"/>
      <c r="AK21" s="555"/>
      <c r="AL21" s="1047"/>
      <c r="AM21" s="555"/>
      <c r="AN21" s="555"/>
      <c r="AO21" s="555"/>
      <c r="AP21" s="555"/>
      <c r="AQ21" s="1047"/>
      <c r="AR21" s="555"/>
      <c r="AS21" s="555"/>
      <c r="AT21" s="555"/>
      <c r="AU21" s="802"/>
      <c r="AV21" s="555"/>
      <c r="AW21" s="555"/>
      <c r="AX21" s="555"/>
      <c r="AY21" s="555"/>
      <c r="AZ21" s="1047"/>
      <c r="BA21" s="555"/>
      <c r="BB21" s="555"/>
      <c r="BC21" s="555"/>
      <c r="BD21" s="555"/>
      <c r="BE21" s="1047"/>
      <c r="BF21" s="555"/>
      <c r="BG21" s="555"/>
      <c r="BH21" s="555"/>
      <c r="BI21" s="555"/>
      <c r="BJ21" s="1047"/>
      <c r="BK21" s="1045"/>
      <c r="BL21" s="1045"/>
      <c r="BM21" s="1045"/>
      <c r="BN21" s="1045"/>
      <c r="BO21" s="1047"/>
      <c r="BP21" s="1045"/>
      <c r="BQ21" s="1045"/>
      <c r="BR21" s="1045"/>
      <c r="BS21" s="1045"/>
      <c r="BT21" s="1047"/>
      <c r="BU21" s="1045"/>
      <c r="BV21" s="1045"/>
      <c r="BW21" s="1045"/>
      <c r="BX21" s="1045"/>
      <c r="BY21" s="1047"/>
      <c r="BZ21" s="1045"/>
      <c r="CA21" s="1045"/>
      <c r="CB21" s="1045"/>
      <c r="CC21" s="1045"/>
      <c r="CD21" s="1047"/>
      <c r="CE21" s="1045"/>
      <c r="CF21" s="1045"/>
      <c r="CG21" s="1045"/>
      <c r="CH21" s="1045"/>
      <c r="CI21" s="1047"/>
      <c r="CJ21" s="1045"/>
      <c r="CK21" s="1045"/>
      <c r="CL21" s="1045"/>
      <c r="CM21" s="1045"/>
      <c r="CN21" s="1047"/>
      <c r="CO21" s="1045"/>
      <c r="CP21" s="1045"/>
      <c r="CQ21" s="1045"/>
      <c r="CR21" s="1045"/>
      <c r="CS21" s="1047"/>
      <c r="CT21" s="1045"/>
      <c r="CU21" s="1045"/>
      <c r="CV21" s="1045"/>
      <c r="CW21" s="1045"/>
      <c r="CX21" s="1047"/>
      <c r="CY21" s="1045"/>
      <c r="CZ21" s="1045"/>
      <c r="DA21" s="1045"/>
      <c r="DB21" s="1045"/>
      <c r="DC21" s="1047"/>
      <c r="DD21" s="1045"/>
      <c r="DE21" s="1045"/>
      <c r="DF21" s="1045">
        <v>5</v>
      </c>
      <c r="DG21" s="1045">
        <v>5</v>
      </c>
      <c r="DH21" s="1047">
        <v>20</v>
      </c>
      <c r="DI21" s="1045">
        <v>20</v>
      </c>
      <c r="DJ21" s="1045">
        <v>20</v>
      </c>
      <c r="DK21" s="1045">
        <v>15</v>
      </c>
      <c r="DL21" s="1045">
        <v>10</v>
      </c>
      <c r="DM21" s="1047">
        <f>SUM(DI21:DL21)</f>
        <v>65</v>
      </c>
      <c r="DN21" s="1240">
        <v>0</v>
      </c>
      <c r="DO21" s="1240">
        <v>0</v>
      </c>
      <c r="DP21" s="1240">
        <v>0</v>
      </c>
      <c r="DQ21" s="1240">
        <v>0</v>
      </c>
      <c r="DR21" s="1047">
        <f>SUM(DN21:DQ21)</f>
        <v>0</v>
      </c>
      <c r="DS21" s="1240">
        <v>0</v>
      </c>
      <c r="DT21" s="1240">
        <v>0</v>
      </c>
      <c r="DU21" s="1240">
        <v>0</v>
      </c>
      <c r="DV21" s="1240">
        <v>0</v>
      </c>
      <c r="DW21" s="1047">
        <f>SUM(DS21:DV21)</f>
        <v>0</v>
      </c>
      <c r="DX21" s="1240">
        <v>0</v>
      </c>
      <c r="DY21" s="1240">
        <v>0</v>
      </c>
      <c r="DZ21" s="1240">
        <v>0</v>
      </c>
      <c r="EA21" s="1240">
        <v>0</v>
      </c>
      <c r="EB21" s="1047">
        <f t="shared" si="27"/>
        <v>0</v>
      </c>
      <c r="EC21" s="1240">
        <v>0</v>
      </c>
      <c r="ED21" s="1240">
        <v>0</v>
      </c>
      <c r="EE21" s="1240">
        <v>0</v>
      </c>
      <c r="EF21" s="1240">
        <v>0</v>
      </c>
      <c r="EG21" s="1047">
        <f t="shared" si="28"/>
        <v>0</v>
      </c>
      <c r="EH21" s="1240">
        <v>0</v>
      </c>
      <c r="EI21" s="1240">
        <v>0</v>
      </c>
      <c r="EJ21" s="1240">
        <v>0</v>
      </c>
      <c r="EK21" s="1240">
        <v>0</v>
      </c>
      <c r="EL21" s="1047">
        <f t="shared" si="29"/>
        <v>0</v>
      </c>
    </row>
    <row r="22" spans="1:142" s="680" customFormat="1" hidden="1" outlineLevel="1">
      <c r="A22" s="557"/>
      <c r="B22" s="557" t="s">
        <v>591</v>
      </c>
      <c r="C22" s="555"/>
      <c r="D22" s="555"/>
      <c r="E22" s="555"/>
      <c r="F22" s="555"/>
      <c r="G22" s="555"/>
      <c r="H22" s="1047"/>
      <c r="I22" s="555"/>
      <c r="J22" s="555"/>
      <c r="K22" s="555"/>
      <c r="L22" s="555"/>
      <c r="M22" s="1047"/>
      <c r="N22" s="555"/>
      <c r="O22" s="555"/>
      <c r="P22" s="555"/>
      <c r="Q22" s="555"/>
      <c r="R22" s="1047"/>
      <c r="S22" s="555"/>
      <c r="T22" s="555"/>
      <c r="U22" s="555"/>
      <c r="V22" s="555"/>
      <c r="W22" s="1047"/>
      <c r="X22" s="555"/>
      <c r="Y22" s="555"/>
      <c r="Z22" s="555"/>
      <c r="AA22" s="555"/>
      <c r="AB22" s="1047"/>
      <c r="AC22" s="555"/>
      <c r="AD22" s="555"/>
      <c r="AE22" s="555"/>
      <c r="AF22" s="555"/>
      <c r="AG22" s="1047"/>
      <c r="AH22" s="555"/>
      <c r="AI22" s="555"/>
      <c r="AJ22" s="555"/>
      <c r="AK22" s="555"/>
      <c r="AL22" s="1047"/>
      <c r="AM22" s="555"/>
      <c r="AN22" s="555"/>
      <c r="AO22" s="555"/>
      <c r="AP22" s="555"/>
      <c r="AQ22" s="1047"/>
      <c r="AR22" s="555"/>
      <c r="AS22" s="555"/>
      <c r="AT22" s="555"/>
      <c r="AU22" s="802"/>
      <c r="AV22" s="555"/>
      <c r="AW22" s="555"/>
      <c r="AX22" s="555"/>
      <c r="AY22" s="555"/>
      <c r="AZ22" s="1047"/>
      <c r="BA22" s="555"/>
      <c r="BB22" s="555"/>
      <c r="BC22" s="555"/>
      <c r="BD22" s="555"/>
      <c r="BE22" s="1047"/>
      <c r="BF22" s="555"/>
      <c r="BG22" s="555"/>
      <c r="BH22" s="555"/>
      <c r="BI22" s="555"/>
      <c r="BJ22" s="1047"/>
      <c r="BK22" s="1239"/>
      <c r="BL22" s="1239"/>
      <c r="BM22" s="1045"/>
      <c r="BN22" s="1045"/>
      <c r="BO22" s="1047"/>
      <c r="BP22" s="1239"/>
      <c r="BQ22" s="1239"/>
      <c r="BR22" s="1045"/>
      <c r="BS22" s="1045"/>
      <c r="BT22" s="1047"/>
      <c r="BU22" s="1239"/>
      <c r="BV22" s="1239"/>
      <c r="BW22" s="1045"/>
      <c r="BX22" s="1045"/>
      <c r="BY22" s="1047"/>
      <c r="BZ22" s="1239"/>
      <c r="CA22" s="1239"/>
      <c r="CB22" s="1045"/>
      <c r="CC22" s="1045"/>
      <c r="CD22" s="1047"/>
      <c r="CE22" s="1239"/>
      <c r="CF22" s="1239"/>
      <c r="CG22" s="1045"/>
      <c r="CH22" s="1045"/>
      <c r="CI22" s="1047"/>
      <c r="CJ22" s="1239"/>
      <c r="CK22" s="1239"/>
      <c r="CL22" s="1045"/>
      <c r="CM22" s="1045"/>
      <c r="CN22" s="1047"/>
      <c r="CO22" s="1239"/>
      <c r="CP22" s="1239"/>
      <c r="CQ22" s="1045"/>
      <c r="CR22" s="1045"/>
      <c r="CS22" s="1047"/>
      <c r="CT22" s="1239"/>
      <c r="CU22" s="1239"/>
      <c r="CV22" s="1045"/>
      <c r="CW22" s="1045"/>
      <c r="CX22" s="1047"/>
      <c r="CY22" s="1239"/>
      <c r="CZ22" s="1239"/>
      <c r="DA22" s="1045"/>
      <c r="DB22" s="1045"/>
      <c r="DC22" s="1047"/>
      <c r="DD22" s="1239"/>
      <c r="DE22" s="1239"/>
      <c r="DF22" s="1045"/>
      <c r="DG22" s="1045"/>
      <c r="DH22" s="1047"/>
      <c r="DI22" s="1240">
        <v>0</v>
      </c>
      <c r="DJ22" s="1240">
        <v>0</v>
      </c>
      <c r="DK22" s="1045">
        <f>517/4</f>
        <v>129.25</v>
      </c>
      <c r="DL22" s="1045">
        <f>517/4</f>
        <v>129.25</v>
      </c>
      <c r="DM22" s="1047">
        <f t="shared" ref="DM22:DM28" si="30">SUM(DI22:DL22)</f>
        <v>258.5</v>
      </c>
      <c r="DN22" s="1240">
        <f>517/4</f>
        <v>129.25</v>
      </c>
      <c r="DO22" s="1240">
        <f>517/4</f>
        <v>129.25</v>
      </c>
      <c r="DP22" s="1045">
        <v>0</v>
      </c>
      <c r="DQ22" s="1045">
        <v>0</v>
      </c>
      <c r="DR22" s="1047">
        <f>SUM(DN22:DQ22)</f>
        <v>258.5</v>
      </c>
      <c r="DS22" s="1240">
        <v>0</v>
      </c>
      <c r="DT22" s="1240">
        <v>0</v>
      </c>
      <c r="DU22" s="1240">
        <v>0</v>
      </c>
      <c r="DV22" s="1240">
        <v>0</v>
      </c>
      <c r="DW22" s="1047">
        <f>SUM(DS22:DV22)</f>
        <v>0</v>
      </c>
      <c r="DX22" s="1240">
        <v>0</v>
      </c>
      <c r="DY22" s="1240">
        <v>0</v>
      </c>
      <c r="DZ22" s="1240">
        <v>0</v>
      </c>
      <c r="EA22" s="1240">
        <v>0</v>
      </c>
      <c r="EB22" s="1047">
        <f t="shared" si="27"/>
        <v>0</v>
      </c>
      <c r="EC22" s="1240">
        <v>0</v>
      </c>
      <c r="ED22" s="1240">
        <v>0</v>
      </c>
      <c r="EE22" s="1240">
        <v>0</v>
      </c>
      <c r="EF22" s="1240">
        <v>0</v>
      </c>
      <c r="EG22" s="1047">
        <f t="shared" si="28"/>
        <v>0</v>
      </c>
      <c r="EH22" s="1240">
        <v>0</v>
      </c>
      <c r="EI22" s="1240">
        <v>0</v>
      </c>
      <c r="EJ22" s="1240">
        <v>0</v>
      </c>
      <c r="EK22" s="1240">
        <v>0</v>
      </c>
      <c r="EL22" s="1047">
        <f t="shared" si="29"/>
        <v>0</v>
      </c>
    </row>
    <row r="23" spans="1:142" s="680" customFormat="1" hidden="1" outlineLevel="1">
      <c r="A23" s="557"/>
      <c r="B23" s="557" t="s">
        <v>592</v>
      </c>
      <c r="C23" s="555"/>
      <c r="D23" s="555"/>
      <c r="E23" s="555"/>
      <c r="F23" s="555"/>
      <c r="G23" s="555"/>
      <c r="H23" s="1047"/>
      <c r="I23" s="555"/>
      <c r="J23" s="555"/>
      <c r="K23" s="555"/>
      <c r="L23" s="555"/>
      <c r="M23" s="1047"/>
      <c r="N23" s="555"/>
      <c r="O23" s="555"/>
      <c r="P23" s="555"/>
      <c r="Q23" s="555"/>
      <c r="R23" s="1047"/>
      <c r="S23" s="555"/>
      <c r="T23" s="555"/>
      <c r="U23" s="555"/>
      <c r="V23" s="555"/>
      <c r="W23" s="1047"/>
      <c r="X23" s="555"/>
      <c r="Y23" s="555"/>
      <c r="Z23" s="555"/>
      <c r="AA23" s="555"/>
      <c r="AB23" s="1047"/>
      <c r="AC23" s="555"/>
      <c r="AD23" s="555"/>
      <c r="AE23" s="555"/>
      <c r="AF23" s="555"/>
      <c r="AG23" s="1047"/>
      <c r="AH23" s="555"/>
      <c r="AI23" s="555"/>
      <c r="AJ23" s="555"/>
      <c r="AK23" s="555"/>
      <c r="AL23" s="1047"/>
      <c r="AM23" s="555"/>
      <c r="AN23" s="555"/>
      <c r="AO23" s="555"/>
      <c r="AP23" s="555"/>
      <c r="AQ23" s="1047"/>
      <c r="AR23" s="555"/>
      <c r="AS23" s="555"/>
      <c r="AT23" s="555"/>
      <c r="AU23" s="802"/>
      <c r="AV23" s="555"/>
      <c r="AW23" s="555"/>
      <c r="AX23" s="555"/>
      <c r="AY23" s="555"/>
      <c r="AZ23" s="1047"/>
      <c r="BA23" s="555"/>
      <c r="BB23" s="555"/>
      <c r="BC23" s="555"/>
      <c r="BD23" s="555"/>
      <c r="BE23" s="1047"/>
      <c r="BF23" s="555"/>
      <c r="BG23" s="555"/>
      <c r="BH23" s="555"/>
      <c r="BI23" s="555"/>
      <c r="BJ23" s="1047"/>
      <c r="BK23" s="1240"/>
      <c r="BL23" s="1240"/>
      <c r="BM23" s="1240"/>
      <c r="BN23" s="1045"/>
      <c r="BO23" s="1047"/>
      <c r="BP23" s="1240"/>
      <c r="BQ23" s="1240"/>
      <c r="BR23" s="1240"/>
      <c r="BS23" s="1045"/>
      <c r="BT23" s="1047"/>
      <c r="BU23" s="1240"/>
      <c r="BV23" s="1240"/>
      <c r="BW23" s="1240"/>
      <c r="BX23" s="1045"/>
      <c r="BY23" s="1047"/>
      <c r="BZ23" s="1240"/>
      <c r="CA23" s="1240"/>
      <c r="CB23" s="1240"/>
      <c r="CC23" s="1045"/>
      <c r="CD23" s="1047"/>
      <c r="CE23" s="1240"/>
      <c r="CF23" s="1240"/>
      <c r="CG23" s="1240"/>
      <c r="CH23" s="1045"/>
      <c r="CI23" s="1047"/>
      <c r="CJ23" s="1240"/>
      <c r="CK23" s="1240"/>
      <c r="CL23" s="1240"/>
      <c r="CM23" s="1045"/>
      <c r="CN23" s="1047"/>
      <c r="CO23" s="1240"/>
      <c r="CP23" s="1240"/>
      <c r="CQ23" s="1240"/>
      <c r="CR23" s="1045"/>
      <c r="CS23" s="1047"/>
      <c r="CT23" s="1240"/>
      <c r="CU23" s="1240"/>
      <c r="CV23" s="1240"/>
      <c r="CW23" s="1045"/>
      <c r="CX23" s="1047"/>
      <c r="CY23" s="1240"/>
      <c r="CZ23" s="1240"/>
      <c r="DA23" s="1240"/>
      <c r="DB23" s="1045"/>
      <c r="DC23" s="1047"/>
      <c r="DD23" s="1240"/>
      <c r="DE23" s="1240"/>
      <c r="DF23" s="1240"/>
      <c r="DG23" s="1045"/>
      <c r="DH23" s="1047"/>
      <c r="DI23" s="1240">
        <v>0</v>
      </c>
      <c r="DJ23" s="1240">
        <v>0</v>
      </c>
      <c r="DK23" s="1240">
        <v>0</v>
      </c>
      <c r="DL23" s="1240">
        <v>0</v>
      </c>
      <c r="DM23" s="1047">
        <f t="shared" si="30"/>
        <v>0</v>
      </c>
      <c r="DN23" s="1240">
        <f>-600/4</f>
        <v>-150</v>
      </c>
      <c r="DO23" s="1240">
        <f>-600/4</f>
        <v>-150</v>
      </c>
      <c r="DP23" s="1240">
        <f>-600/4</f>
        <v>-150</v>
      </c>
      <c r="DQ23" s="1045">
        <v>0</v>
      </c>
      <c r="DR23" s="1047">
        <f t="shared" ref="DR23:DR28" si="31">SUM(DN23:DQ23)</f>
        <v>-450</v>
      </c>
      <c r="DS23" s="1240">
        <v>0</v>
      </c>
      <c r="DT23" s="1240">
        <v>0</v>
      </c>
      <c r="DU23" s="1045">
        <v>0</v>
      </c>
      <c r="DV23" s="1045">
        <f>DU23</f>
        <v>0</v>
      </c>
      <c r="DW23" s="1047">
        <v>0</v>
      </c>
      <c r="DX23" s="1240">
        <v>0</v>
      </c>
      <c r="DY23" s="1240">
        <v>0</v>
      </c>
      <c r="DZ23" s="1240">
        <v>0</v>
      </c>
      <c r="EA23" s="1240">
        <v>0</v>
      </c>
      <c r="EB23" s="1047">
        <f t="shared" si="27"/>
        <v>0</v>
      </c>
      <c r="EC23" s="1240">
        <v>0</v>
      </c>
      <c r="ED23" s="1240">
        <v>0</v>
      </c>
      <c r="EE23" s="1240">
        <v>0</v>
      </c>
      <c r="EF23" s="1240">
        <v>0</v>
      </c>
      <c r="EG23" s="1047">
        <f t="shared" si="28"/>
        <v>0</v>
      </c>
      <c r="EH23" s="1240">
        <v>0</v>
      </c>
      <c r="EI23" s="1240">
        <v>0</v>
      </c>
      <c r="EJ23" s="1240">
        <v>0</v>
      </c>
      <c r="EK23" s="1240">
        <v>0</v>
      </c>
      <c r="EL23" s="1047">
        <f t="shared" si="29"/>
        <v>0</v>
      </c>
    </row>
    <row r="24" spans="1:142" s="680" customFormat="1" hidden="1" outlineLevel="1">
      <c r="A24" s="557"/>
      <c r="B24" s="557" t="s">
        <v>593</v>
      </c>
      <c r="C24" s="555"/>
      <c r="D24" s="555"/>
      <c r="E24" s="555"/>
      <c r="F24" s="555"/>
      <c r="G24" s="555"/>
      <c r="H24" s="1047"/>
      <c r="I24" s="555"/>
      <c r="J24" s="555"/>
      <c r="K24" s="555"/>
      <c r="L24" s="555"/>
      <c r="M24" s="1047"/>
      <c r="N24" s="555"/>
      <c r="O24" s="555"/>
      <c r="P24" s="555"/>
      <c r="Q24" s="555"/>
      <c r="R24" s="1047"/>
      <c r="S24" s="555"/>
      <c r="T24" s="555"/>
      <c r="U24" s="555"/>
      <c r="V24" s="555"/>
      <c r="W24" s="1047"/>
      <c r="X24" s="555"/>
      <c r="Y24" s="555"/>
      <c r="Z24" s="555"/>
      <c r="AA24" s="555"/>
      <c r="AB24" s="1047"/>
      <c r="AC24" s="555"/>
      <c r="AD24" s="555"/>
      <c r="AE24" s="555"/>
      <c r="AF24" s="555"/>
      <c r="AG24" s="1047"/>
      <c r="AH24" s="555"/>
      <c r="AI24" s="555"/>
      <c r="AJ24" s="555"/>
      <c r="AK24" s="555"/>
      <c r="AL24" s="1047"/>
      <c r="AM24" s="555"/>
      <c r="AN24" s="555"/>
      <c r="AO24" s="555"/>
      <c r="AP24" s="555"/>
      <c r="AQ24" s="1047"/>
      <c r="AR24" s="555"/>
      <c r="AS24" s="555"/>
      <c r="AT24" s="555"/>
      <c r="AU24" s="802"/>
      <c r="AV24" s="555"/>
      <c r="AW24" s="555"/>
      <c r="AX24" s="555"/>
      <c r="AY24" s="555"/>
      <c r="AZ24" s="1047"/>
      <c r="BA24" s="555"/>
      <c r="BB24" s="555"/>
      <c r="BC24" s="555"/>
      <c r="BD24" s="555"/>
      <c r="BE24" s="1047"/>
      <c r="BF24" s="555"/>
      <c r="BG24" s="555"/>
      <c r="BH24" s="555"/>
      <c r="BI24" s="555"/>
      <c r="BJ24" s="1047"/>
      <c r="BK24" s="1239"/>
      <c r="BL24" s="1239"/>
      <c r="BM24" s="1239"/>
      <c r="BN24" s="1045"/>
      <c r="BO24" s="1047"/>
      <c r="BP24" s="1239"/>
      <c r="BQ24" s="1239"/>
      <c r="BR24" s="1239"/>
      <c r="BS24" s="1045"/>
      <c r="BT24" s="1047"/>
      <c r="BU24" s="1239"/>
      <c r="BV24" s="1239"/>
      <c r="BW24" s="1239"/>
      <c r="BX24" s="1045"/>
      <c r="BY24" s="1047"/>
      <c r="BZ24" s="1239"/>
      <c r="CA24" s="1239"/>
      <c r="CB24" s="1239"/>
      <c r="CC24" s="1045"/>
      <c r="CD24" s="1047"/>
      <c r="CE24" s="1239"/>
      <c r="CF24" s="1239"/>
      <c r="CG24" s="1239"/>
      <c r="CH24" s="1045"/>
      <c r="CI24" s="1047"/>
      <c r="CJ24" s="1239"/>
      <c r="CK24" s="1239"/>
      <c r="CL24" s="1239"/>
      <c r="CM24" s="1045"/>
      <c r="CN24" s="1047"/>
      <c r="CO24" s="1239"/>
      <c r="CP24" s="1239"/>
      <c r="CQ24" s="1239"/>
      <c r="CR24" s="1045"/>
      <c r="CS24" s="1047"/>
      <c r="CT24" s="1239"/>
      <c r="CU24" s="1239"/>
      <c r="CV24" s="1239"/>
      <c r="CW24" s="1045"/>
      <c r="CX24" s="1047"/>
      <c r="CY24" s="1239"/>
      <c r="CZ24" s="1239"/>
      <c r="DA24" s="1239"/>
      <c r="DB24" s="1045"/>
      <c r="DC24" s="1047"/>
      <c r="DD24" s="1239"/>
      <c r="DE24" s="1239"/>
      <c r="DF24" s="1239"/>
      <c r="DG24" s="1045"/>
      <c r="DH24" s="1047"/>
      <c r="DI24" s="1240">
        <v>0</v>
      </c>
      <c r="DJ24" s="1240">
        <v>0</v>
      </c>
      <c r="DK24" s="1240">
        <v>0</v>
      </c>
      <c r="DL24" s="1045">
        <f>475/4</f>
        <v>118.75</v>
      </c>
      <c r="DM24" s="1047">
        <f t="shared" si="30"/>
        <v>118.75</v>
      </c>
      <c r="DN24" s="1240">
        <f>475/4</f>
        <v>118.75</v>
      </c>
      <c r="DO24" s="1240">
        <f>475/4</f>
        <v>118.75</v>
      </c>
      <c r="DP24" s="1240">
        <f>475/4</f>
        <v>118.75</v>
      </c>
      <c r="DQ24" s="1045">
        <v>0</v>
      </c>
      <c r="DR24" s="1047">
        <f t="shared" si="31"/>
        <v>356.25</v>
      </c>
      <c r="DS24" s="1240">
        <v>0</v>
      </c>
      <c r="DT24" s="1240">
        <v>0</v>
      </c>
      <c r="DU24" s="1240">
        <v>0</v>
      </c>
      <c r="DV24" s="1240">
        <v>0</v>
      </c>
      <c r="DW24" s="1047">
        <f t="shared" ref="DW24:DW31" si="32">SUM(DS24:DV24)</f>
        <v>0</v>
      </c>
      <c r="DX24" s="1240">
        <v>0</v>
      </c>
      <c r="DY24" s="1240">
        <v>0</v>
      </c>
      <c r="DZ24" s="1240">
        <v>0</v>
      </c>
      <c r="EA24" s="1240">
        <v>0</v>
      </c>
      <c r="EB24" s="1047">
        <f t="shared" si="27"/>
        <v>0</v>
      </c>
      <c r="EC24" s="1240">
        <v>0</v>
      </c>
      <c r="ED24" s="1240">
        <v>0</v>
      </c>
      <c r="EE24" s="1240">
        <v>0</v>
      </c>
      <c r="EF24" s="1240">
        <v>0</v>
      </c>
      <c r="EG24" s="1047">
        <f t="shared" si="28"/>
        <v>0</v>
      </c>
      <c r="EH24" s="1240">
        <v>0</v>
      </c>
      <c r="EI24" s="1240">
        <v>0</v>
      </c>
      <c r="EJ24" s="1240">
        <v>0</v>
      </c>
      <c r="EK24" s="1240">
        <v>0</v>
      </c>
      <c r="EL24" s="1047">
        <f t="shared" si="29"/>
        <v>0</v>
      </c>
    </row>
    <row r="25" spans="1:142" s="680" customFormat="1" hidden="1" outlineLevel="1">
      <c r="A25" s="557"/>
      <c r="B25" s="557" t="s">
        <v>601</v>
      </c>
      <c r="C25" s="555"/>
      <c r="D25" s="555"/>
      <c r="E25" s="555"/>
      <c r="F25" s="555"/>
      <c r="G25" s="555"/>
      <c r="H25" s="1047"/>
      <c r="I25" s="555"/>
      <c r="J25" s="555"/>
      <c r="K25" s="555"/>
      <c r="L25" s="555"/>
      <c r="M25" s="1047"/>
      <c r="N25" s="555"/>
      <c r="O25" s="555"/>
      <c r="P25" s="555"/>
      <c r="Q25" s="555"/>
      <c r="R25" s="1047"/>
      <c r="S25" s="555"/>
      <c r="T25" s="555"/>
      <c r="U25" s="555"/>
      <c r="V25" s="555"/>
      <c r="W25" s="1047"/>
      <c r="X25" s="555"/>
      <c r="Y25" s="555"/>
      <c r="Z25" s="555"/>
      <c r="AA25" s="555"/>
      <c r="AB25" s="1047"/>
      <c r="AC25" s="555"/>
      <c r="AD25" s="555"/>
      <c r="AE25" s="555"/>
      <c r="AF25" s="555"/>
      <c r="AG25" s="1047"/>
      <c r="AH25" s="555"/>
      <c r="AI25" s="555"/>
      <c r="AJ25" s="555"/>
      <c r="AK25" s="555"/>
      <c r="AL25" s="1047"/>
      <c r="AM25" s="555"/>
      <c r="AN25" s="555"/>
      <c r="AO25" s="555"/>
      <c r="AP25" s="555"/>
      <c r="AQ25" s="1047"/>
      <c r="AR25" s="555"/>
      <c r="AS25" s="555"/>
      <c r="AT25" s="555"/>
      <c r="AU25" s="802"/>
      <c r="AV25" s="555"/>
      <c r="AW25" s="555"/>
      <c r="AX25" s="555"/>
      <c r="AY25" s="555"/>
      <c r="AZ25" s="1047"/>
      <c r="BA25" s="555"/>
      <c r="BB25" s="555"/>
      <c r="BC25" s="555"/>
      <c r="BD25" s="555"/>
      <c r="BE25" s="1047"/>
      <c r="BF25" s="555"/>
      <c r="BG25" s="555"/>
      <c r="BH25" s="555"/>
      <c r="BI25" s="555"/>
      <c r="BJ25" s="1047"/>
      <c r="BK25" s="1240"/>
      <c r="BL25" s="1240"/>
      <c r="BM25" s="1045"/>
      <c r="BN25" s="1045"/>
      <c r="BO25" s="1047"/>
      <c r="BP25" s="1240"/>
      <c r="BQ25" s="1240"/>
      <c r="BR25" s="1045"/>
      <c r="BS25" s="1045"/>
      <c r="BT25" s="1047"/>
      <c r="BU25" s="1240"/>
      <c r="BV25" s="1240"/>
      <c r="BW25" s="1045"/>
      <c r="BX25" s="1045"/>
      <c r="BY25" s="1047"/>
      <c r="BZ25" s="1240"/>
      <c r="CA25" s="1240"/>
      <c r="CB25" s="1045"/>
      <c r="CC25" s="1045"/>
      <c r="CD25" s="1047"/>
      <c r="CE25" s="1240"/>
      <c r="CF25" s="1240"/>
      <c r="CG25" s="1045"/>
      <c r="CH25" s="1045"/>
      <c r="CI25" s="1047"/>
      <c r="CJ25" s="1240"/>
      <c r="CK25" s="1240"/>
      <c r="CL25" s="1045"/>
      <c r="CM25" s="1045"/>
      <c r="CN25" s="1047"/>
      <c r="CO25" s="1240"/>
      <c r="CP25" s="1240"/>
      <c r="CQ25" s="1045"/>
      <c r="CR25" s="1045"/>
      <c r="CS25" s="1047"/>
      <c r="CT25" s="1240"/>
      <c r="CU25" s="1240"/>
      <c r="CV25" s="1045"/>
      <c r="CW25" s="1045"/>
      <c r="CX25" s="1047"/>
      <c r="CY25" s="1240"/>
      <c r="CZ25" s="1240"/>
      <c r="DA25" s="1045"/>
      <c r="DB25" s="1045"/>
      <c r="DC25" s="1047"/>
      <c r="DD25" s="1240"/>
      <c r="DE25" s="1240"/>
      <c r="DF25" s="1045"/>
      <c r="DG25" s="1045"/>
      <c r="DH25" s="1047"/>
      <c r="DI25" s="1240">
        <v>0</v>
      </c>
      <c r="DJ25" s="1240">
        <v>0</v>
      </c>
      <c r="DK25" s="1045">
        <f>-400/4</f>
        <v>-100</v>
      </c>
      <c r="DL25" s="1045">
        <f>DK25</f>
        <v>-100</v>
      </c>
      <c r="DM25" s="1047">
        <f t="shared" si="30"/>
        <v>-200</v>
      </c>
      <c r="DN25" s="1240">
        <f>DL25</f>
        <v>-100</v>
      </c>
      <c r="DO25" s="1240">
        <f>DN25</f>
        <v>-100</v>
      </c>
      <c r="DP25" s="1045">
        <v>0</v>
      </c>
      <c r="DQ25" s="1045">
        <v>0</v>
      </c>
      <c r="DR25" s="1047">
        <f t="shared" si="31"/>
        <v>-200</v>
      </c>
      <c r="DS25" s="1240">
        <v>0</v>
      </c>
      <c r="DT25" s="1240">
        <v>0</v>
      </c>
      <c r="DU25" s="1240">
        <v>0</v>
      </c>
      <c r="DV25" s="1240">
        <v>0</v>
      </c>
      <c r="DW25" s="1047">
        <f t="shared" si="32"/>
        <v>0</v>
      </c>
      <c r="DX25" s="1240">
        <v>0</v>
      </c>
      <c r="DY25" s="1240">
        <v>0</v>
      </c>
      <c r="DZ25" s="1240">
        <v>0</v>
      </c>
      <c r="EA25" s="1240">
        <v>0</v>
      </c>
      <c r="EB25" s="1047">
        <f t="shared" si="27"/>
        <v>0</v>
      </c>
      <c r="EC25" s="1240">
        <v>0</v>
      </c>
      <c r="ED25" s="1240">
        <v>0</v>
      </c>
      <c r="EE25" s="1240">
        <v>0</v>
      </c>
      <c r="EF25" s="1240">
        <v>0</v>
      </c>
      <c r="EG25" s="1047">
        <f t="shared" si="28"/>
        <v>0</v>
      </c>
      <c r="EH25" s="1240">
        <v>0</v>
      </c>
      <c r="EI25" s="1240">
        <v>0</v>
      </c>
      <c r="EJ25" s="1240">
        <v>0</v>
      </c>
      <c r="EK25" s="1240">
        <v>0</v>
      </c>
      <c r="EL25" s="1047">
        <f t="shared" si="29"/>
        <v>0</v>
      </c>
    </row>
    <row r="26" spans="1:142" s="680" customFormat="1" hidden="1" outlineLevel="1">
      <c r="A26" s="557"/>
      <c r="B26" s="557" t="s">
        <v>600</v>
      </c>
      <c r="C26" s="555"/>
      <c r="D26" s="555"/>
      <c r="E26" s="555"/>
      <c r="F26" s="555"/>
      <c r="G26" s="555"/>
      <c r="H26" s="1047"/>
      <c r="I26" s="555"/>
      <c r="J26" s="555"/>
      <c r="K26" s="555"/>
      <c r="L26" s="555"/>
      <c r="M26" s="1047"/>
      <c r="N26" s="555"/>
      <c r="O26" s="555"/>
      <c r="P26" s="555"/>
      <c r="Q26" s="555"/>
      <c r="R26" s="1047"/>
      <c r="S26" s="555"/>
      <c r="T26" s="555"/>
      <c r="U26" s="555"/>
      <c r="V26" s="555"/>
      <c r="W26" s="1047"/>
      <c r="X26" s="555"/>
      <c r="Y26" s="555"/>
      <c r="Z26" s="555"/>
      <c r="AA26" s="555"/>
      <c r="AB26" s="1047"/>
      <c r="AC26" s="555"/>
      <c r="AD26" s="555"/>
      <c r="AE26" s="555"/>
      <c r="AF26" s="555"/>
      <c r="AG26" s="1047"/>
      <c r="AH26" s="555"/>
      <c r="AI26" s="555"/>
      <c r="AJ26" s="555"/>
      <c r="AK26" s="555"/>
      <c r="AL26" s="1047"/>
      <c r="AM26" s="555"/>
      <c r="AN26" s="555"/>
      <c r="AO26" s="555"/>
      <c r="AP26" s="555"/>
      <c r="AQ26" s="1047"/>
      <c r="AR26" s="555"/>
      <c r="AS26" s="555"/>
      <c r="AT26" s="555"/>
      <c r="AU26" s="802"/>
      <c r="AV26" s="555"/>
      <c r="AW26" s="555"/>
      <c r="AX26" s="555"/>
      <c r="AY26" s="555"/>
      <c r="AZ26" s="1047"/>
      <c r="BA26" s="555"/>
      <c r="BB26" s="555"/>
      <c r="BC26" s="555"/>
      <c r="BD26" s="555"/>
      <c r="BE26" s="1047"/>
      <c r="BF26" s="555"/>
      <c r="BG26" s="555"/>
      <c r="BH26" s="555"/>
      <c r="BI26" s="555"/>
      <c r="BJ26" s="1047"/>
      <c r="BK26" s="1240"/>
      <c r="BL26" s="1240"/>
      <c r="BM26" s="1045"/>
      <c r="BN26" s="1045"/>
      <c r="BO26" s="1047"/>
      <c r="BP26" s="1240"/>
      <c r="BQ26" s="1240"/>
      <c r="BR26" s="1045"/>
      <c r="BS26" s="1045"/>
      <c r="BT26" s="1047"/>
      <c r="BU26" s="1240"/>
      <c r="BV26" s="1240"/>
      <c r="BW26" s="1045"/>
      <c r="BX26" s="1045"/>
      <c r="BY26" s="1047"/>
      <c r="BZ26" s="1240"/>
      <c r="CA26" s="1240"/>
      <c r="CB26" s="1045"/>
      <c r="CC26" s="1045"/>
      <c r="CD26" s="1047"/>
      <c r="CE26" s="1240"/>
      <c r="CF26" s="1240"/>
      <c r="CG26" s="1045"/>
      <c r="CH26" s="1045"/>
      <c r="CI26" s="1047"/>
      <c r="CJ26" s="1240"/>
      <c r="CK26" s="1240"/>
      <c r="CL26" s="1045"/>
      <c r="CM26" s="1045"/>
      <c r="CN26" s="1047"/>
      <c r="CO26" s="1240"/>
      <c r="CP26" s="1240"/>
      <c r="CQ26" s="1045"/>
      <c r="CR26" s="1045"/>
      <c r="CS26" s="1047"/>
      <c r="CT26" s="1240"/>
      <c r="CU26" s="1240"/>
      <c r="CV26" s="1045"/>
      <c r="CW26" s="1045"/>
      <c r="CX26" s="1047"/>
      <c r="CY26" s="1240"/>
      <c r="CZ26" s="1240"/>
      <c r="DA26" s="1045"/>
      <c r="DB26" s="1045"/>
      <c r="DC26" s="1047"/>
      <c r="DD26" s="1240"/>
      <c r="DE26" s="1240"/>
      <c r="DF26" s="1045"/>
      <c r="DG26" s="1045"/>
      <c r="DH26" s="1047"/>
      <c r="DI26" s="1240">
        <v>0</v>
      </c>
      <c r="DJ26" s="1240">
        <v>0</v>
      </c>
      <c r="DK26" s="1240">
        <v>0</v>
      </c>
      <c r="DL26" s="1240">
        <v>0</v>
      </c>
      <c r="DM26" s="1047">
        <f t="shared" si="30"/>
        <v>0</v>
      </c>
      <c r="DN26" s="1240">
        <f>DO26*0.66</f>
        <v>-115.995</v>
      </c>
      <c r="DO26" s="1240">
        <f>-703/4</f>
        <v>-175.75</v>
      </c>
      <c r="DP26" s="1045">
        <f>DO26</f>
        <v>-175.75</v>
      </c>
      <c r="DQ26" s="1045">
        <v>0</v>
      </c>
      <c r="DR26" s="1047">
        <f t="shared" si="31"/>
        <v>-467.495</v>
      </c>
      <c r="DS26" s="1045">
        <v>0</v>
      </c>
      <c r="DT26" s="1240">
        <v>0</v>
      </c>
      <c r="DU26" s="1240">
        <v>0</v>
      </c>
      <c r="DV26" s="1240">
        <v>0</v>
      </c>
      <c r="DW26" s="1047">
        <f t="shared" si="32"/>
        <v>0</v>
      </c>
      <c r="DX26" s="1240">
        <v>0</v>
      </c>
      <c r="DY26" s="1240">
        <v>0</v>
      </c>
      <c r="DZ26" s="1240">
        <v>0</v>
      </c>
      <c r="EA26" s="1240">
        <v>0</v>
      </c>
      <c r="EB26" s="1047">
        <f t="shared" si="27"/>
        <v>0</v>
      </c>
      <c r="EC26" s="1240">
        <v>0</v>
      </c>
      <c r="ED26" s="1240">
        <v>0</v>
      </c>
      <c r="EE26" s="1240">
        <v>0</v>
      </c>
      <c r="EF26" s="1240">
        <v>0</v>
      </c>
      <c r="EG26" s="1047">
        <f t="shared" si="28"/>
        <v>0</v>
      </c>
      <c r="EH26" s="1240">
        <v>0</v>
      </c>
      <c r="EI26" s="1240">
        <v>0</v>
      </c>
      <c r="EJ26" s="1240">
        <v>0</v>
      </c>
      <c r="EK26" s="1240">
        <v>0</v>
      </c>
      <c r="EL26" s="1047">
        <f t="shared" si="29"/>
        <v>0</v>
      </c>
    </row>
    <row r="27" spans="1:142" s="680" customFormat="1" hidden="1" outlineLevel="1">
      <c r="A27" s="557"/>
      <c r="B27" s="557" t="s">
        <v>599</v>
      </c>
      <c r="C27" s="555"/>
      <c r="D27" s="555"/>
      <c r="E27" s="555"/>
      <c r="F27" s="555"/>
      <c r="G27" s="555"/>
      <c r="H27" s="1047"/>
      <c r="I27" s="555"/>
      <c r="J27" s="555"/>
      <c r="K27" s="555"/>
      <c r="L27" s="555"/>
      <c r="M27" s="1047"/>
      <c r="N27" s="555"/>
      <c r="O27" s="555"/>
      <c r="P27" s="555"/>
      <c r="Q27" s="555"/>
      <c r="R27" s="1047"/>
      <c r="S27" s="555"/>
      <c r="T27" s="555"/>
      <c r="U27" s="555"/>
      <c r="V27" s="555"/>
      <c r="W27" s="1047"/>
      <c r="X27" s="555"/>
      <c r="Y27" s="555"/>
      <c r="Z27" s="555"/>
      <c r="AA27" s="555"/>
      <c r="AB27" s="1047"/>
      <c r="AC27" s="555"/>
      <c r="AD27" s="555"/>
      <c r="AE27" s="555"/>
      <c r="AF27" s="555"/>
      <c r="AG27" s="1047"/>
      <c r="AH27" s="555"/>
      <c r="AI27" s="555"/>
      <c r="AJ27" s="555"/>
      <c r="AK27" s="555"/>
      <c r="AL27" s="1047"/>
      <c r="AM27" s="555"/>
      <c r="AN27" s="555"/>
      <c r="AO27" s="555"/>
      <c r="AP27" s="555"/>
      <c r="AQ27" s="1047"/>
      <c r="AR27" s="555"/>
      <c r="AS27" s="555"/>
      <c r="AT27" s="555"/>
      <c r="AU27" s="802"/>
      <c r="AV27" s="555"/>
      <c r="AW27" s="555"/>
      <c r="AX27" s="555"/>
      <c r="AY27" s="555"/>
      <c r="AZ27" s="1047"/>
      <c r="BA27" s="555"/>
      <c r="BB27" s="555"/>
      <c r="BC27" s="555"/>
      <c r="BD27" s="555"/>
      <c r="BE27" s="1047"/>
      <c r="BF27" s="555"/>
      <c r="BG27" s="555"/>
      <c r="BH27" s="555"/>
      <c r="BI27" s="555"/>
      <c r="BJ27" s="1047"/>
      <c r="BK27" s="1240"/>
      <c r="BL27" s="1240"/>
      <c r="BM27" s="1045"/>
      <c r="BN27" s="1045"/>
      <c r="BO27" s="1047"/>
      <c r="BP27" s="1240"/>
      <c r="BQ27" s="1240"/>
      <c r="BR27" s="1045"/>
      <c r="BS27" s="1045"/>
      <c r="BT27" s="1047"/>
      <c r="BU27" s="1240"/>
      <c r="BV27" s="1240"/>
      <c r="BW27" s="1045"/>
      <c r="BX27" s="1045"/>
      <c r="BY27" s="1047"/>
      <c r="BZ27" s="1240"/>
      <c r="CA27" s="1240"/>
      <c r="CB27" s="1045"/>
      <c r="CC27" s="1045"/>
      <c r="CD27" s="1047"/>
      <c r="CE27" s="1240"/>
      <c r="CF27" s="1240"/>
      <c r="CG27" s="1045"/>
      <c r="CH27" s="1045"/>
      <c r="CI27" s="1047"/>
      <c r="CJ27" s="1240"/>
      <c r="CK27" s="1240"/>
      <c r="CL27" s="1045"/>
      <c r="CM27" s="1045"/>
      <c r="CN27" s="1047"/>
      <c r="CO27" s="1240"/>
      <c r="CP27" s="1240"/>
      <c r="CQ27" s="1045"/>
      <c r="CR27" s="1045"/>
      <c r="CS27" s="1047"/>
      <c r="CT27" s="1240"/>
      <c r="CU27" s="1240"/>
      <c r="CV27" s="1045"/>
      <c r="CW27" s="1045"/>
      <c r="CX27" s="1047"/>
      <c r="CY27" s="1240"/>
      <c r="CZ27" s="1240"/>
      <c r="DA27" s="1045"/>
      <c r="DB27" s="1045"/>
      <c r="DC27" s="1047"/>
      <c r="DD27" s="1240"/>
      <c r="DE27" s="1240"/>
      <c r="DF27" s="1045"/>
      <c r="DG27" s="1045"/>
      <c r="DH27" s="1047"/>
      <c r="DI27" s="1240">
        <v>0</v>
      </c>
      <c r="DJ27" s="1240">
        <v>0</v>
      </c>
      <c r="DK27" s="1240">
        <v>0</v>
      </c>
      <c r="DL27" s="1240">
        <v>0</v>
      </c>
      <c r="DM27" s="1047">
        <f t="shared" si="30"/>
        <v>0</v>
      </c>
      <c r="DN27" s="1240">
        <f>-280/4</f>
        <v>-70</v>
      </c>
      <c r="DO27" s="1240">
        <f>DN27</f>
        <v>-70</v>
      </c>
      <c r="DP27" s="1045">
        <f>DO27</f>
        <v>-70</v>
      </c>
      <c r="DQ27" s="1045">
        <v>0</v>
      </c>
      <c r="DR27" s="1047">
        <f t="shared" si="31"/>
        <v>-210</v>
      </c>
      <c r="DS27" s="1240">
        <v>0</v>
      </c>
      <c r="DT27" s="1240">
        <v>0</v>
      </c>
      <c r="DU27" s="1240">
        <v>0</v>
      </c>
      <c r="DV27" s="1240">
        <v>0</v>
      </c>
      <c r="DW27" s="1047">
        <f t="shared" si="32"/>
        <v>0</v>
      </c>
      <c r="DX27" s="1240">
        <v>0</v>
      </c>
      <c r="DY27" s="1240">
        <v>0</v>
      </c>
      <c r="DZ27" s="1240">
        <v>0</v>
      </c>
      <c r="EA27" s="1240">
        <v>0</v>
      </c>
      <c r="EB27" s="1047">
        <f t="shared" si="27"/>
        <v>0</v>
      </c>
      <c r="EC27" s="1240">
        <v>0</v>
      </c>
      <c r="ED27" s="1240">
        <v>0</v>
      </c>
      <c r="EE27" s="1240">
        <v>0</v>
      </c>
      <c r="EF27" s="1240">
        <v>0</v>
      </c>
      <c r="EG27" s="1047">
        <f>SUM(EC27:EF27)</f>
        <v>0</v>
      </c>
      <c r="EH27" s="1240">
        <v>0</v>
      </c>
      <c r="EI27" s="1240">
        <v>0</v>
      </c>
      <c r="EJ27" s="1240">
        <v>0</v>
      </c>
      <c r="EK27" s="1240">
        <v>0</v>
      </c>
      <c r="EL27" s="1047">
        <f>SUM(EH27:EK27)</f>
        <v>0</v>
      </c>
    </row>
    <row r="28" spans="1:142" s="680" customFormat="1" hidden="1" outlineLevel="1">
      <c r="A28" s="557"/>
      <c r="B28" s="557" t="s">
        <v>703</v>
      </c>
      <c r="C28" s="1241"/>
      <c r="D28" s="1241" t="str">
        <f>IF(ISERROR(D29-SUM(D20:D20)),"nm",D29-SUM(D20:D20))</f>
        <v>nm</v>
      </c>
      <c r="E28" s="1241" t="str">
        <f>IF(ISERROR(E29-SUM(E20:E20)),"nm",E29-SUM(E20:E20))</f>
        <v>nm</v>
      </c>
      <c r="F28" s="1241" t="str">
        <f>IF(ISERROR(F29-SUM(F20:F20)),"nm",F29-SUM(F20:F20))</f>
        <v>nm</v>
      </c>
      <c r="G28" s="1241" t="str">
        <f>IF(ISERROR(G29-SUM(G20:G20)),"nm",G29-SUM(G20:G20))</f>
        <v>nm</v>
      </c>
      <c r="H28" s="1047">
        <f>H29-SUM(H20:H20)</f>
        <v>0</v>
      </c>
      <c r="I28" s="1241" t="str">
        <f>IF(ISERROR(I29-SUM(I20:I20)),"nm",I29-SUM(I20:I20))</f>
        <v>nm</v>
      </c>
      <c r="J28" s="1241" t="str">
        <f>IF(ISERROR(J29-SUM(J20:J20)),"nm",J29-SUM(J20:J20))</f>
        <v>nm</v>
      </c>
      <c r="K28" s="1241" t="str">
        <f>IF(ISERROR(K29-SUM(K20:K20)),"nm",K29-SUM(K20:K20))</f>
        <v>nm</v>
      </c>
      <c r="L28" s="1241" t="str">
        <f>IF(ISERROR(L29-SUM(L20:L20)),"nm",L29-SUM(L20:L20))</f>
        <v>nm</v>
      </c>
      <c r="M28" s="1047">
        <f>M29-SUM(M20:M20)</f>
        <v>0</v>
      </c>
      <c r="N28" s="1241" t="str">
        <f>IF(ISERROR(N29-SUM(N20:N20)),"nm",N29-SUM(N20:N20))</f>
        <v>nm</v>
      </c>
      <c r="O28" s="1241" t="str">
        <f>IF(ISERROR(O29-SUM(O20:O20)),"nm",O29-SUM(O20:O20))</f>
        <v>nm</v>
      </c>
      <c r="P28" s="1241" t="str">
        <f>IF(ISERROR(P29-SUM(P20:P20)),"nm",P29-SUM(P20:P20))</f>
        <v>nm</v>
      </c>
      <c r="Q28" s="1241" t="str">
        <f>IF(ISERROR(Q29-SUM(Q20:Q20)),"nm",Q29-SUM(Q20:Q20))</f>
        <v>nm</v>
      </c>
      <c r="R28" s="1047">
        <f>R29-SUM(R20:R20)</f>
        <v>0</v>
      </c>
      <c r="S28" s="1241" t="str">
        <f>IF(ISERROR(S29-SUM(S20:S20)),"nm",S29-SUM(S20:S20))</f>
        <v>nm</v>
      </c>
      <c r="T28" s="1241" t="str">
        <f>IF(ISERROR(T29-SUM(T20:T20)),"nm",T29-SUM(T20:T20))</f>
        <v>nm</v>
      </c>
      <c r="U28" s="1241" t="str">
        <f>IF(ISERROR(U29-SUM(U20:U20)),"nm",U29-SUM(U20:U20))</f>
        <v>nm</v>
      </c>
      <c r="V28" s="1241" t="str">
        <f>IF(ISERROR(V29-SUM(V20:V20)),"nm",V29-SUM(V20:V20))</f>
        <v>nm</v>
      </c>
      <c r="W28" s="1047">
        <f>W29-SUM(W20:W20)</f>
        <v>0</v>
      </c>
      <c r="X28" s="1241" t="str">
        <f>IF(ISERROR(X29-SUM(X20:X20)),"nm",X29-SUM(X20:X20))</f>
        <v>nm</v>
      </c>
      <c r="Y28" s="1241" t="str">
        <f>IF(ISERROR(Y29-SUM(Y20:Y20)),"nm",Y29-SUM(Y20:Y20))</f>
        <v>nm</v>
      </c>
      <c r="Z28" s="1241" t="str">
        <f>IF(ISERROR(Z29-SUM(Z20:Z20)),"nm",Z29-SUM(Z20:Z20))</f>
        <v>nm</v>
      </c>
      <c r="AA28" s="1241" t="str">
        <f>IF(ISERROR(AA29-SUM(AA20:AA20)),"nm",AA29-SUM(AA20:AA20))</f>
        <v>nm</v>
      </c>
      <c r="AB28" s="1047">
        <f>AB29-SUM(AB20:AB20)</f>
        <v>0</v>
      </c>
      <c r="AC28" s="1241" t="str">
        <f>IF(ISERROR(AC29-SUM(AC20:AC20)),"nm",AC29-SUM(AC20:AC20))</f>
        <v>nm</v>
      </c>
      <c r="AD28" s="1241" t="str">
        <f>IF(ISERROR(AD29-SUM(AD20:AD20)),"nm",AD29-SUM(AD20:AD20))</f>
        <v>nm</v>
      </c>
      <c r="AE28" s="1241" t="str">
        <f>IF(ISERROR(AE29-SUM(AE20:AE20)),"nm",AE29-SUM(AE20:AE20))</f>
        <v>nm</v>
      </c>
      <c r="AF28" s="1241" t="str">
        <f>IF(ISERROR(AF29-SUM(AF20:AF20)),"nm",AF29-SUM(AF20:AF20))</f>
        <v>nm</v>
      </c>
      <c r="AG28" s="1047">
        <f>AG29-SUM(AG20:AG20)</f>
        <v>0</v>
      </c>
      <c r="AH28" s="1241" t="str">
        <f>IF(ISERROR(AH29-SUM(AH20:AH20)),"nm",AH29-SUM(AH20:AH20))</f>
        <v>nm</v>
      </c>
      <c r="AI28" s="1241" t="str">
        <f>IF(ISERROR(AI29-SUM(AI20:AI20)),"nm",AI29-SUM(AI20:AI20))</f>
        <v>nm</v>
      </c>
      <c r="AJ28" s="1241" t="str">
        <f>IF(ISERROR(AJ29-SUM(AJ20:AJ20)),"nm",AJ29-SUM(AJ20:AJ20))</f>
        <v>nm</v>
      </c>
      <c r="AK28" s="1241" t="str">
        <f>IF(ISERROR(AK29-SUM(AK20:AK20)),"nm",AK29-SUM(AK20:AK20))</f>
        <v>nm</v>
      </c>
      <c r="AL28" s="1047">
        <f>AL29-SUM(AL20:AL20)</f>
        <v>0</v>
      </c>
      <c r="AM28" s="1241" t="str">
        <f>IF(ISERROR(AM29-SUM(AM20:AM20)),"nm",AM29-SUM(AM20:AM20))</f>
        <v>nm</v>
      </c>
      <c r="AN28" s="1241" t="str">
        <f>IF(ISERROR(AN29-SUM(AN20:AN20)),"nm",AN29-SUM(AN20:AN20))</f>
        <v>nm</v>
      </c>
      <c r="AO28" s="1241" t="str">
        <f>IF(ISERROR(AO29-SUM(AO20:AO20)),"nm",AO29-SUM(AO20:AO20))</f>
        <v>nm</v>
      </c>
      <c r="AP28" s="1241" t="str">
        <f>IF(ISERROR(AP29-SUM(AP20:AP20)),"nm",AP29-SUM(AP20:AP20))</f>
        <v>nm</v>
      </c>
      <c r="AQ28" s="1047">
        <f>AQ29-SUM(AQ20:AQ20)</f>
        <v>0</v>
      </c>
      <c r="AR28" s="1241" t="str">
        <f>IF(ISERROR(AR29-SUM(AR20:AR20)),"nm",AR29-SUM(AR20:AR20))</f>
        <v>nm</v>
      </c>
      <c r="AS28" s="1241" t="str">
        <f>IF(ISERROR(AS29-SUM(AS20:AS20)),"nm",AS29-SUM(AS20:AS20))</f>
        <v>nm</v>
      </c>
      <c r="AT28" s="1241" t="str">
        <f>IF(ISERROR(AT29-SUM(AT20:AT20)),"nm",AT29-SUM(AT20:AT20))</f>
        <v>nm</v>
      </c>
      <c r="AU28" s="802"/>
      <c r="AV28" s="1045" t="e">
        <f t="shared" ref="AV28:CH28" si="33">AV29-SUM(AV20:AV20)</f>
        <v>#VALUE!</v>
      </c>
      <c r="AW28" s="1045" t="e">
        <f t="shared" si="33"/>
        <v>#VALUE!</v>
      </c>
      <c r="AX28" s="1045" t="e">
        <f t="shared" si="33"/>
        <v>#VALUE!</v>
      </c>
      <c r="AY28" s="1045" t="e">
        <f t="shared" si="33"/>
        <v>#VALUE!</v>
      </c>
      <c r="AZ28" s="1045" t="e">
        <f t="shared" si="33"/>
        <v>#VALUE!</v>
      </c>
      <c r="BA28" s="1045">
        <f t="shared" si="33"/>
        <v>0</v>
      </c>
      <c r="BB28" s="1045">
        <f t="shared" si="33"/>
        <v>0</v>
      </c>
      <c r="BC28" s="1045">
        <f t="shared" si="33"/>
        <v>0</v>
      </c>
      <c r="BD28" s="1045">
        <f t="shared" si="33"/>
        <v>98</v>
      </c>
      <c r="BE28" s="1045">
        <f t="shared" si="33"/>
        <v>98</v>
      </c>
      <c r="BF28" s="1045">
        <f t="shared" si="33"/>
        <v>0</v>
      </c>
      <c r="BG28" s="1045">
        <f t="shared" si="33"/>
        <v>0</v>
      </c>
      <c r="BH28" s="1045">
        <f t="shared" si="33"/>
        <v>0</v>
      </c>
      <c r="BI28" s="1045">
        <f t="shared" si="33"/>
        <v>0</v>
      </c>
      <c r="BJ28" s="1045">
        <f t="shared" si="33"/>
        <v>166</v>
      </c>
      <c r="BK28" s="1045">
        <f t="shared" si="33"/>
        <v>0</v>
      </c>
      <c r="BL28" s="1045">
        <f t="shared" si="33"/>
        <v>0</v>
      </c>
      <c r="BM28" s="1045">
        <f t="shared" si="33"/>
        <v>0</v>
      </c>
      <c r="BN28" s="1045">
        <f t="shared" si="33"/>
        <v>0</v>
      </c>
      <c r="BO28" s="1045">
        <f t="shared" si="33"/>
        <v>0</v>
      </c>
      <c r="BP28" s="1045">
        <f t="shared" si="33"/>
        <v>0</v>
      </c>
      <c r="BQ28" s="1045">
        <f t="shared" si="33"/>
        <v>0</v>
      </c>
      <c r="BR28" s="1045">
        <f t="shared" si="33"/>
        <v>0</v>
      </c>
      <c r="BS28" s="1045">
        <f t="shared" si="33"/>
        <v>0</v>
      </c>
      <c r="BT28" s="1045">
        <f t="shared" si="33"/>
        <v>199</v>
      </c>
      <c r="BU28" s="1045">
        <f t="shared" si="33"/>
        <v>0</v>
      </c>
      <c r="BV28" s="1045">
        <f t="shared" si="33"/>
        <v>0</v>
      </c>
      <c r="BW28" s="1045">
        <f t="shared" si="33"/>
        <v>0</v>
      </c>
      <c r="BX28" s="1045">
        <f t="shared" si="33"/>
        <v>0</v>
      </c>
      <c r="BY28" s="1045">
        <f t="shared" si="33"/>
        <v>113</v>
      </c>
      <c r="BZ28" s="1045">
        <f t="shared" si="33"/>
        <v>0</v>
      </c>
      <c r="CA28" s="1045">
        <f t="shared" si="33"/>
        <v>0</v>
      </c>
      <c r="CB28" s="1045">
        <f t="shared" si="33"/>
        <v>0</v>
      </c>
      <c r="CC28" s="1045">
        <f t="shared" si="33"/>
        <v>0</v>
      </c>
      <c r="CD28" s="1045">
        <f t="shared" si="33"/>
        <v>242</v>
      </c>
      <c r="CE28" s="1045">
        <f t="shared" si="33"/>
        <v>0</v>
      </c>
      <c r="CF28" s="1045">
        <f t="shared" si="33"/>
        <v>0</v>
      </c>
      <c r="CG28" s="1045">
        <f t="shared" si="33"/>
        <v>0</v>
      </c>
      <c r="CH28" s="1045">
        <f t="shared" si="33"/>
        <v>0</v>
      </c>
      <c r="CI28" s="1047">
        <f t="shared" ref="CI28:CV28" si="34">CI29-SUM(CI20:CI20)</f>
        <v>0</v>
      </c>
      <c r="CJ28" s="1045">
        <f t="shared" si="34"/>
        <v>0</v>
      </c>
      <c r="CK28" s="1045">
        <f t="shared" si="34"/>
        <v>0</v>
      </c>
      <c r="CL28" s="1045">
        <f t="shared" si="34"/>
        <v>0</v>
      </c>
      <c r="CM28" s="1045">
        <f t="shared" si="34"/>
        <v>0</v>
      </c>
      <c r="CN28" s="1047">
        <f t="shared" si="34"/>
        <v>0</v>
      </c>
      <c r="CO28" s="1045">
        <f t="shared" si="34"/>
        <v>0</v>
      </c>
      <c r="CP28" s="1045">
        <f t="shared" si="34"/>
        <v>0</v>
      </c>
      <c r="CQ28" s="1045">
        <f t="shared" si="34"/>
        <v>0</v>
      </c>
      <c r="CR28" s="1045">
        <f t="shared" si="34"/>
        <v>0</v>
      </c>
      <c r="CS28" s="1047">
        <f t="shared" si="34"/>
        <v>0</v>
      </c>
      <c r="CT28" s="1045">
        <f t="shared" si="34"/>
        <v>0</v>
      </c>
      <c r="CU28" s="1045">
        <f t="shared" si="34"/>
        <v>0</v>
      </c>
      <c r="CV28" s="1045">
        <f t="shared" si="34"/>
        <v>0</v>
      </c>
      <c r="CW28" s="1045"/>
      <c r="CX28" s="1047"/>
      <c r="CY28" s="1045"/>
      <c r="CZ28" s="1045"/>
      <c r="DA28" s="1045"/>
      <c r="DB28" s="1045"/>
      <c r="DC28" s="1047">
        <f>SUM(CY28:DB28)</f>
        <v>0</v>
      </c>
      <c r="DD28" s="1045"/>
      <c r="DE28" s="1045"/>
      <c r="DF28" s="1045"/>
      <c r="DG28" s="1045"/>
      <c r="DH28" s="1047"/>
      <c r="DI28" s="1045">
        <f>DI29-SUM(DI21:DI27)</f>
        <v>-20</v>
      </c>
      <c r="DJ28" s="1045">
        <f>DJ29-SUM(DJ21:DJ27)</f>
        <v>-20</v>
      </c>
      <c r="DK28" s="1045">
        <f>DK29-SUM(DK21:DK27)</f>
        <v>-44.25</v>
      </c>
      <c r="DL28" s="1045">
        <f>DL29-SUM(DL21:DL27)</f>
        <v>-158</v>
      </c>
      <c r="DM28" s="1047">
        <f t="shared" si="30"/>
        <v>-242.25</v>
      </c>
      <c r="DN28" s="1240">
        <v>0</v>
      </c>
      <c r="DO28" s="1240">
        <v>0</v>
      </c>
      <c r="DP28" s="1240">
        <v>0</v>
      </c>
      <c r="DQ28" s="1240">
        <v>0</v>
      </c>
      <c r="DR28" s="1047">
        <f t="shared" si="31"/>
        <v>0</v>
      </c>
      <c r="DS28" s="1240">
        <v>0</v>
      </c>
      <c r="DT28" s="1277">
        <v>0</v>
      </c>
      <c r="DU28" s="1045">
        <v>0</v>
      </c>
      <c r="DV28" s="1045">
        <f>DU28</f>
        <v>0</v>
      </c>
      <c r="DW28" s="1047">
        <f t="shared" si="32"/>
        <v>0</v>
      </c>
      <c r="DX28" s="1240">
        <v>-80</v>
      </c>
      <c r="DY28" s="1240">
        <v>-75</v>
      </c>
      <c r="DZ28" s="1240">
        <v>-75</v>
      </c>
      <c r="EA28" s="1240">
        <v>-75</v>
      </c>
      <c r="EB28" s="1047">
        <f t="shared" si="27"/>
        <v>-305</v>
      </c>
      <c r="EC28" s="1240">
        <v>0</v>
      </c>
      <c r="ED28" s="1240">
        <v>0</v>
      </c>
      <c r="EE28" s="1240">
        <v>0</v>
      </c>
      <c r="EF28" s="1240">
        <v>0</v>
      </c>
      <c r="EG28" s="1047">
        <f>SUM(EC28:EF28)</f>
        <v>0</v>
      </c>
      <c r="EH28" s="1240">
        <v>0</v>
      </c>
      <c r="EI28" s="1240">
        <v>0</v>
      </c>
      <c r="EJ28" s="1240">
        <v>0</v>
      </c>
      <c r="EK28" s="1240">
        <v>0</v>
      </c>
      <c r="EL28" s="1047">
        <f>SUM(EH28:EK28)</f>
        <v>0</v>
      </c>
    </row>
    <row r="29" spans="1:142" hidden="1" outlineLevel="1" collapsed="1">
      <c r="A29" s="381"/>
      <c r="B29" s="1269" t="s">
        <v>704</v>
      </c>
      <c r="C29" s="1270"/>
      <c r="D29" s="1270" t="str">
        <f>IF(ISERROR(D82-D156),"nm",D82-D156)</f>
        <v>nm</v>
      </c>
      <c r="E29" s="1270" t="str">
        <f>IF(ISERROR(E82-E156),"nm",E82-E156)</f>
        <v>nm</v>
      </c>
      <c r="F29" s="1270" t="str">
        <f>IF(ISERROR(F82-F156),"nm",F82-F156)</f>
        <v>nm</v>
      </c>
      <c r="G29" s="1270" t="str">
        <f>IF(ISERROR(G82-G156),"nm",G82-G156)</f>
        <v>nm</v>
      </c>
      <c r="H29" s="1271">
        <f>SUM(D29:G29)</f>
        <v>0</v>
      </c>
      <c r="I29" s="1270" t="str">
        <f>IF(ISERROR(I82-I156),"nm",I82-I156)</f>
        <v>nm</v>
      </c>
      <c r="J29" s="1270" t="str">
        <f>IF(ISERROR(J82-J156),"nm",J82-J156)</f>
        <v>nm</v>
      </c>
      <c r="K29" s="1270" t="str">
        <f>IF(ISERROR(K82-K156),"nm",K82-K156)</f>
        <v>nm</v>
      </c>
      <c r="L29" s="1270" t="str">
        <f>IF(ISERROR(L82-L156),"nm",L82-L156)</f>
        <v>nm</v>
      </c>
      <c r="M29" s="1271">
        <f>SUM(I29:L29)</f>
        <v>0</v>
      </c>
      <c r="N29" s="1270" t="str">
        <f>IF(ISERROR(N82-N156),"nm",N82-N156)</f>
        <v>nm</v>
      </c>
      <c r="O29" s="1270" t="str">
        <f>IF(ISERROR(O82-O156),"nm",O82-O156)</f>
        <v>nm</v>
      </c>
      <c r="P29" s="1270" t="str">
        <f>IF(ISERROR(P82-P156),"nm",P82-P156)</f>
        <v>nm</v>
      </c>
      <c r="Q29" s="1270" t="str">
        <f>IF(ISERROR(Q82-Q156),"nm",Q82-Q156)</f>
        <v>nm</v>
      </c>
      <c r="R29" s="1271">
        <f>SUM(N29:Q29)</f>
        <v>0</v>
      </c>
      <c r="S29" s="1270" t="str">
        <f>IF(ISERROR(S82-S156),"nm",S82-S156)</f>
        <v>nm</v>
      </c>
      <c r="T29" s="1270" t="str">
        <f>IF(ISERROR(T82-T156),"nm",T82-T156)</f>
        <v>nm</v>
      </c>
      <c r="U29" s="1270" t="str">
        <f>IF(ISERROR(U82-U156),"nm",U82-U156)</f>
        <v>nm</v>
      </c>
      <c r="V29" s="1270" t="str">
        <f>IF(ISERROR(V82-V156),"nm",V82-V156)</f>
        <v>nm</v>
      </c>
      <c r="W29" s="1271">
        <f>SUM(S29:V29)</f>
        <v>0</v>
      </c>
      <c r="X29" s="1270" t="str">
        <f>IF(ISERROR(X82-X156),"nm",X82-X156)</f>
        <v>nm</v>
      </c>
      <c r="Y29" s="1270" t="str">
        <f>IF(ISERROR(Y82-Y156),"nm",Y82-Y156)</f>
        <v>nm</v>
      </c>
      <c r="Z29" s="1270" t="str">
        <f>IF(ISERROR(Z82-Z156),"nm",Z82-Z156)</f>
        <v>nm</v>
      </c>
      <c r="AA29" s="1270" t="str">
        <f>IF(ISERROR(AA82-AA156),"nm",AA82-AA156)</f>
        <v>nm</v>
      </c>
      <c r="AB29" s="1271">
        <f>SUM(X29:AA29)</f>
        <v>0</v>
      </c>
      <c r="AC29" s="1270" t="str">
        <f>IF(ISERROR(AC82-AC156),"nm",AC82-AC156)</f>
        <v>nm</v>
      </c>
      <c r="AD29" s="1270" t="str">
        <f>IF(ISERROR(AD82-AD156),"nm",AD82-AD156)</f>
        <v>nm</v>
      </c>
      <c r="AE29" s="1270" t="str">
        <f>IF(ISERROR(AE82-AE156),"nm",AE82-AE156)</f>
        <v>nm</v>
      </c>
      <c r="AF29" s="1270" t="str">
        <f>IF(ISERROR(AF82-AF156),"nm",AF82-AF156)</f>
        <v>nm</v>
      </c>
      <c r="AG29" s="1271">
        <f>SUM(AC29:AF29)</f>
        <v>0</v>
      </c>
      <c r="AH29" s="1270" t="str">
        <f>IF(ISERROR(AH82-AH156),"nm",AH82-AH156)</f>
        <v>nm</v>
      </c>
      <c r="AI29" s="1270" t="str">
        <f>IF(ISERROR(AI82-AI156),"nm",AI82-AI156)</f>
        <v>nm</v>
      </c>
      <c r="AJ29" s="1270" t="str">
        <f>IF(ISERROR(AJ82-AJ156),"nm",AJ82-AJ156)</f>
        <v>nm</v>
      </c>
      <c r="AK29" s="1270" t="str">
        <f>IF(ISERROR(AK82-AK156),"nm",AK82-AK156)</f>
        <v>nm</v>
      </c>
      <c r="AL29" s="1271">
        <f>SUM(AH29:AK29)</f>
        <v>0</v>
      </c>
      <c r="AM29" s="1270" t="str">
        <f>IF(ISERROR(AM82-AM156),"nm",AM82-AM156)</f>
        <v>nm</v>
      </c>
      <c r="AN29" s="1270" t="str">
        <f>IF(ISERROR(AN82-AN156),"nm",AN82-AN156)</f>
        <v>nm</v>
      </c>
      <c r="AO29" s="1270" t="str">
        <f>IF(ISERROR(AO82-AO156),"nm",AO82-AO156)</f>
        <v>nm</v>
      </c>
      <c r="AP29" s="1270" t="str">
        <f>IF(ISERROR(AP82-AP156),"nm",AP82-AP156)</f>
        <v>nm</v>
      </c>
      <c r="AQ29" s="1271">
        <f>SUM(AM29:AP29)</f>
        <v>0</v>
      </c>
      <c r="AR29" s="1270" t="str">
        <f>IF(ISERROR(AR82-AR156),"nm",AR82-AR156)</f>
        <v>nm</v>
      </c>
      <c r="AS29" s="1270" t="str">
        <f>IF(ISERROR(AS82-AS156),"nm",AS82-AS156)</f>
        <v>nm</v>
      </c>
      <c r="AT29" s="1270" t="str">
        <f>IF(ISERROR(AT82-AT156),"nm",AT82-AT156)</f>
        <v>nm</v>
      </c>
      <c r="AU29" s="1272"/>
      <c r="AV29" s="1273" t="e">
        <f t="shared" ref="AV29:CG29" si="35">AV82-AV156</f>
        <v>#VALUE!</v>
      </c>
      <c r="AW29" s="1273" t="e">
        <f t="shared" si="35"/>
        <v>#VALUE!</v>
      </c>
      <c r="AX29" s="1273" t="e">
        <f t="shared" si="35"/>
        <v>#VALUE!</v>
      </c>
      <c r="AY29" s="1273" t="e">
        <f t="shared" si="35"/>
        <v>#VALUE!</v>
      </c>
      <c r="AZ29" s="1273" t="e">
        <f t="shared" si="35"/>
        <v>#VALUE!</v>
      </c>
      <c r="BA29" s="1273">
        <f t="shared" si="35"/>
        <v>0</v>
      </c>
      <c r="BB29" s="1273">
        <f t="shared" si="35"/>
        <v>0</v>
      </c>
      <c r="BC29" s="1273">
        <f t="shared" si="35"/>
        <v>0</v>
      </c>
      <c r="BD29" s="1273">
        <f t="shared" si="35"/>
        <v>98</v>
      </c>
      <c r="BE29" s="1273">
        <f t="shared" si="35"/>
        <v>98</v>
      </c>
      <c r="BF29" s="1273">
        <f t="shared" si="35"/>
        <v>0</v>
      </c>
      <c r="BG29" s="1273">
        <f t="shared" si="35"/>
        <v>0</v>
      </c>
      <c r="BH29" s="1273">
        <f t="shared" si="35"/>
        <v>0</v>
      </c>
      <c r="BI29" s="1273">
        <f t="shared" si="35"/>
        <v>0</v>
      </c>
      <c r="BJ29" s="1273">
        <f t="shared" si="35"/>
        <v>166</v>
      </c>
      <c r="BK29" s="1273">
        <f t="shared" si="35"/>
        <v>0</v>
      </c>
      <c r="BL29" s="1273">
        <f t="shared" si="35"/>
        <v>0</v>
      </c>
      <c r="BM29" s="1273">
        <f t="shared" si="35"/>
        <v>0</v>
      </c>
      <c r="BN29" s="1273">
        <f t="shared" si="35"/>
        <v>0</v>
      </c>
      <c r="BO29" s="1273">
        <f t="shared" si="35"/>
        <v>0</v>
      </c>
      <c r="BP29" s="1273">
        <f t="shared" si="35"/>
        <v>0</v>
      </c>
      <c r="BQ29" s="1273">
        <f t="shared" si="35"/>
        <v>0</v>
      </c>
      <c r="BR29" s="1273">
        <f t="shared" si="35"/>
        <v>0</v>
      </c>
      <c r="BS29" s="1273">
        <f t="shared" si="35"/>
        <v>0</v>
      </c>
      <c r="BT29" s="1273">
        <f t="shared" si="35"/>
        <v>199</v>
      </c>
      <c r="BU29" s="1273">
        <f t="shared" si="35"/>
        <v>0</v>
      </c>
      <c r="BV29" s="1273">
        <f t="shared" si="35"/>
        <v>0</v>
      </c>
      <c r="BW29" s="1273">
        <f t="shared" si="35"/>
        <v>0</v>
      </c>
      <c r="BX29" s="1273">
        <f t="shared" si="35"/>
        <v>0</v>
      </c>
      <c r="BY29" s="1273">
        <f t="shared" si="35"/>
        <v>113</v>
      </c>
      <c r="BZ29" s="1273">
        <f t="shared" si="35"/>
        <v>0</v>
      </c>
      <c r="CA29" s="1273">
        <f t="shared" si="35"/>
        <v>0</v>
      </c>
      <c r="CB29" s="1273">
        <f t="shared" si="35"/>
        <v>0</v>
      </c>
      <c r="CC29" s="1273">
        <f t="shared" si="35"/>
        <v>0</v>
      </c>
      <c r="CD29" s="1273">
        <f t="shared" si="35"/>
        <v>242</v>
      </c>
      <c r="CE29" s="1273">
        <f t="shared" si="35"/>
        <v>0</v>
      </c>
      <c r="CF29" s="1273">
        <f t="shared" si="35"/>
        <v>0</v>
      </c>
      <c r="CG29" s="1273">
        <f t="shared" si="35"/>
        <v>0</v>
      </c>
      <c r="CH29" s="1528">
        <f>CH82-CH156</f>
        <v>0</v>
      </c>
      <c r="CI29" s="1271">
        <f>SUM(CE29:CH29)</f>
        <v>0</v>
      </c>
      <c r="CJ29" s="1273">
        <f>CJ82-CJ156</f>
        <v>0</v>
      </c>
      <c r="CK29" s="1273">
        <f>CK82-CK156</f>
        <v>0</v>
      </c>
      <c r="CL29" s="1273">
        <f>CL82-CL156</f>
        <v>0</v>
      </c>
      <c r="CM29" s="1273">
        <f>CM82-CM156</f>
        <v>0</v>
      </c>
      <c r="CN29" s="1271">
        <f>SUM(CJ29:CM29)</f>
        <v>0</v>
      </c>
      <c r="CO29" s="1273">
        <f>CO82-CO156</f>
        <v>0</v>
      </c>
      <c r="CP29" s="1273">
        <f>CP82-CP156</f>
        <v>0</v>
      </c>
      <c r="CQ29" s="1273">
        <f>CQ82-CQ156</f>
        <v>0</v>
      </c>
      <c r="CR29" s="1273">
        <f>CR82-CR156</f>
        <v>0</v>
      </c>
      <c r="CS29" s="1271">
        <f>SUM(CO29:CR29)</f>
        <v>0</v>
      </c>
      <c r="CT29" s="1273">
        <f>CT82-CT156</f>
        <v>0</v>
      </c>
      <c r="CU29" s="1273">
        <f>CU82-CU156</f>
        <v>0</v>
      </c>
      <c r="CV29" s="1273">
        <f>CV82-CV156</f>
        <v>0</v>
      </c>
      <c r="CW29" s="1273">
        <v>0</v>
      </c>
      <c r="CX29" s="1271"/>
      <c r="CY29" s="1273">
        <f>SUM(CY21:CY28)</f>
        <v>0</v>
      </c>
      <c r="CZ29" s="1273">
        <f>SUM(CZ21:CZ28)</f>
        <v>0</v>
      </c>
      <c r="DA29" s="1273">
        <f>SUM(DA21:DA28)</f>
        <v>0</v>
      </c>
      <c r="DB29" s="1273">
        <f>SUM(DB21:DB28)</f>
        <v>0</v>
      </c>
      <c r="DC29" s="1271">
        <f>SUM(CY29:DB29)</f>
        <v>0</v>
      </c>
      <c r="DD29" s="1273">
        <f>(DD8+DD9)-(DD352+DD353)</f>
        <v>0</v>
      </c>
      <c r="DE29" s="1273">
        <f>(DE8+DE9)-(DE352+DE353)</f>
        <v>0</v>
      </c>
      <c r="DF29" s="1273">
        <f>(DF8+DF9)-(DF352+DF353)</f>
        <v>0</v>
      </c>
      <c r="DG29" s="1273">
        <f>(DG8+DG9)-(DG352+DG353)</f>
        <v>0</v>
      </c>
      <c r="DH29" s="1271">
        <f>SUM(DD29:DG29)</f>
        <v>0</v>
      </c>
      <c r="DI29" s="1273">
        <f>(DI8+DI9)-(DI352+DI353)</f>
        <v>0</v>
      </c>
      <c r="DJ29" s="1273">
        <f>(DJ8+DJ9)-(DJ352+DJ353)</f>
        <v>0</v>
      </c>
      <c r="DK29" s="1273">
        <f>(DK8+DK9)-(DK352+DK353)</f>
        <v>0</v>
      </c>
      <c r="DL29" s="1273">
        <f>(DL8+DL9)-(DL352+DL353)</f>
        <v>0</v>
      </c>
      <c r="DM29" s="1271">
        <f>(DM8+DM9)-(DM352+DM353)</f>
        <v>1</v>
      </c>
      <c r="DN29" s="1273">
        <f>(DN8+DN9)-(DN390+DN391)</f>
        <v>187</v>
      </c>
      <c r="DO29" s="1273">
        <f>(DO8+DO9)-(DO352+DO353)</f>
        <v>0</v>
      </c>
      <c r="DP29" s="1273">
        <f>(DP8+DP9)-(DP352+DP353)</f>
        <v>0</v>
      </c>
      <c r="DQ29" s="1273">
        <f>SUM(DQ21:DQ28)</f>
        <v>0</v>
      </c>
      <c r="DR29" s="1271">
        <f>SUM(DN29:DQ29)</f>
        <v>187</v>
      </c>
      <c r="DS29" s="1273">
        <f>SUM(DS21:DS28)</f>
        <v>0</v>
      </c>
      <c r="DT29" s="1273">
        <f>SUM(DT21:DT28)</f>
        <v>0</v>
      </c>
      <c r="DU29" s="1273">
        <f>SUM(DU21:DU28)</f>
        <v>0</v>
      </c>
      <c r="DV29" s="1273">
        <f>SUM(DV21:DV28)</f>
        <v>0</v>
      </c>
      <c r="DW29" s="1271">
        <f t="shared" si="32"/>
        <v>0</v>
      </c>
      <c r="DX29" s="1273">
        <f>SUM(DX21:DX28)</f>
        <v>-80</v>
      </c>
      <c r="DY29" s="1273">
        <f>SUM(DY21:DY28)</f>
        <v>-75</v>
      </c>
      <c r="DZ29" s="1273">
        <f>SUM(DZ21:DZ28)</f>
        <v>-75</v>
      </c>
      <c r="EA29" s="1273">
        <f>SUM(EA21:EA28)</f>
        <v>-75</v>
      </c>
      <c r="EB29" s="1271">
        <f t="shared" si="27"/>
        <v>-305</v>
      </c>
      <c r="EC29" s="1273">
        <f>SUM(EC21:EC28)</f>
        <v>0</v>
      </c>
      <c r="ED29" s="1273">
        <f>SUM(ED21:ED28)</f>
        <v>0</v>
      </c>
      <c r="EE29" s="1273">
        <f>SUM(EE21:EE28)</f>
        <v>0</v>
      </c>
      <c r="EF29" s="1273">
        <f>SUM(EF21:EF28)</f>
        <v>0</v>
      </c>
      <c r="EG29" s="1271">
        <f>SUM(EC29:EF29)</f>
        <v>0</v>
      </c>
      <c r="EH29" s="1273">
        <f>SUM(EH21:EH28)</f>
        <v>0</v>
      </c>
      <c r="EI29" s="1273">
        <f>SUM(EI21:EI28)</f>
        <v>0</v>
      </c>
      <c r="EJ29" s="1273">
        <f>SUM(EJ21:EJ28)</f>
        <v>0</v>
      </c>
      <c r="EK29" s="1273">
        <f>SUM(EK21:EK28)</f>
        <v>0</v>
      </c>
      <c r="EL29" s="1271">
        <f>SUM(EH29:EK29)</f>
        <v>0</v>
      </c>
    </row>
    <row r="30" spans="1:142" hidden="1" outlineLevel="1">
      <c r="A30" s="4"/>
      <c r="B30" s="4" t="s">
        <v>116</v>
      </c>
      <c r="C30" s="9"/>
      <c r="D30" s="9"/>
      <c r="E30" s="9"/>
      <c r="F30" s="9"/>
      <c r="G30" s="9"/>
      <c r="H30" s="63"/>
      <c r="I30" s="9"/>
      <c r="J30" s="9"/>
      <c r="K30" s="9"/>
      <c r="L30" s="9"/>
      <c r="M30" s="63"/>
      <c r="N30" s="9"/>
      <c r="O30" s="9"/>
      <c r="P30" s="9"/>
      <c r="Q30" s="9"/>
      <c r="R30" s="63"/>
      <c r="S30" s="9"/>
      <c r="T30" s="9"/>
      <c r="U30" s="9"/>
      <c r="V30" s="9"/>
      <c r="W30" s="63"/>
      <c r="X30" s="9"/>
      <c r="Y30" s="9"/>
      <c r="Z30" s="9"/>
      <c r="AA30" s="9"/>
      <c r="AB30" s="63"/>
      <c r="AC30" s="9"/>
      <c r="AD30" s="9"/>
      <c r="AE30" s="9"/>
      <c r="AF30" s="9"/>
      <c r="AG30" s="63"/>
      <c r="AH30" s="9"/>
      <c r="AI30" s="9"/>
      <c r="AJ30" s="9"/>
      <c r="AK30" s="9"/>
      <c r="AL30" s="63"/>
      <c r="AM30" s="9"/>
      <c r="AN30" s="9"/>
      <c r="AO30" s="9"/>
      <c r="AP30" s="9"/>
      <c r="AQ30" s="63"/>
      <c r="AR30" s="9"/>
      <c r="AS30" s="9"/>
      <c r="AT30" s="9"/>
      <c r="AU30" s="137"/>
      <c r="AV30" s="9"/>
      <c r="AW30" s="9"/>
      <c r="AX30" s="9"/>
      <c r="AY30" s="9"/>
      <c r="AZ30" s="63"/>
      <c r="BA30" s="9"/>
      <c r="BB30" s="9"/>
      <c r="BC30" s="9"/>
      <c r="BD30" s="9"/>
      <c r="BE30" s="63"/>
      <c r="BF30" s="9"/>
      <c r="BG30" s="9"/>
      <c r="BH30" s="9"/>
      <c r="BI30" s="9"/>
      <c r="BJ30" s="63"/>
      <c r="BK30" s="165"/>
      <c r="BL30" s="165"/>
      <c r="BM30" s="165"/>
      <c r="BN30" s="165"/>
      <c r="BO30" s="170"/>
      <c r="BP30" s="165"/>
      <c r="BQ30" s="165"/>
      <c r="BR30" s="165"/>
      <c r="BS30" s="165"/>
      <c r="BT30" s="170"/>
      <c r="BU30" s="165"/>
      <c r="BV30" s="165"/>
      <c r="BW30" s="165"/>
      <c r="BX30" s="165"/>
      <c r="BY30" s="170"/>
      <c r="BZ30" s="165"/>
      <c r="CA30" s="165"/>
      <c r="CB30" s="165"/>
      <c r="CC30" s="165"/>
      <c r="CD30" s="170"/>
      <c r="CE30" s="165"/>
      <c r="CF30" s="165"/>
      <c r="CG30" s="165"/>
      <c r="CH30" s="165"/>
      <c r="CI30" s="170"/>
      <c r="CJ30" s="165"/>
      <c r="CK30" s="165"/>
      <c r="CL30" s="165"/>
      <c r="CM30" s="165"/>
      <c r="CN30" s="170"/>
      <c r="CO30" s="165"/>
      <c r="CP30" s="165"/>
      <c r="CQ30" s="165"/>
      <c r="CR30" s="165"/>
      <c r="CS30" s="170"/>
      <c r="CT30" s="165"/>
      <c r="CU30" s="165"/>
      <c r="CV30" s="165"/>
      <c r="CW30" s="165">
        <f>CW31/CW170</f>
        <v>0</v>
      </c>
      <c r="CX30" s="170"/>
      <c r="CY30" s="165">
        <f>CY31/CY170</f>
        <v>0</v>
      </c>
      <c r="CZ30" s="165">
        <f>CZ31/CZ170</f>
        <v>0</v>
      </c>
      <c r="DA30" s="165">
        <f>DA31/DA170</f>
        <v>0</v>
      </c>
      <c r="DB30" s="165">
        <f>DB31/DB170</f>
        <v>0</v>
      </c>
      <c r="DC30" s="170">
        <f>SUM(CY30:DB30)</f>
        <v>0</v>
      </c>
      <c r="DD30" s="165">
        <f>DD258-DD332</f>
        <v>194196</v>
      </c>
      <c r="DE30" s="165">
        <f>DE258-DE332</f>
        <v>194562</v>
      </c>
      <c r="DF30" s="165">
        <f>DF258-DF332</f>
        <v>199834</v>
      </c>
      <c r="DG30" s="165">
        <f>DG258-DG332</f>
        <v>202257</v>
      </c>
      <c r="DH30" s="170">
        <f>DH258-DH332</f>
        <v>791085</v>
      </c>
      <c r="DI30" s="165">
        <f>DI86-DI160</f>
        <v>0</v>
      </c>
      <c r="DJ30" s="165">
        <f>DJ86-DJ160</f>
        <v>0</v>
      </c>
      <c r="DK30" s="165">
        <f>DK86-DK160</f>
        <v>0</v>
      </c>
      <c r="DL30" s="165">
        <f>DL86-DL160</f>
        <v>0</v>
      </c>
      <c r="DM30" s="170">
        <f>SUM(DI30:DL30)</f>
        <v>0</v>
      </c>
      <c r="DN30" s="165">
        <f>DN86-DN160</f>
        <v>17819</v>
      </c>
      <c r="DO30" s="165">
        <f>DO86-DO160</f>
        <v>119</v>
      </c>
      <c r="DP30" s="165">
        <f>DP86-DP160</f>
        <v>16716</v>
      </c>
      <c r="DQ30" s="165">
        <f>DQ86-DQ160</f>
        <v>16429</v>
      </c>
      <c r="DR30" s="170">
        <f>SUM(DN30:DQ30)</f>
        <v>51083</v>
      </c>
      <c r="DS30" s="165">
        <v>0</v>
      </c>
      <c r="DT30" s="165">
        <v>0</v>
      </c>
      <c r="DU30" s="165">
        <v>0</v>
      </c>
      <c r="DV30" s="165">
        <v>0</v>
      </c>
      <c r="DW30" s="170">
        <f t="shared" si="32"/>
        <v>0</v>
      </c>
      <c r="DX30" s="165">
        <f>DX29/(DX205/1000000)</f>
        <v>-6018.7643450599317</v>
      </c>
      <c r="DY30" s="165">
        <f>DY29/(DY205/1000000)</f>
        <v>-5578.1055879287715</v>
      </c>
      <c r="DZ30" s="165">
        <f>DZ29/(DZ205/1000000)</f>
        <v>-5702.265112553695</v>
      </c>
      <c r="EA30" s="165">
        <f>EA29/(EA205/1000000)</f>
        <v>-5139.8601398601404</v>
      </c>
      <c r="EB30" s="170">
        <f t="shared" si="27"/>
        <v>-22438.995185402535</v>
      </c>
      <c r="EC30" s="165">
        <v>0</v>
      </c>
      <c r="ED30" s="165">
        <v>0</v>
      </c>
      <c r="EE30" s="165">
        <v>0</v>
      </c>
      <c r="EF30" s="165">
        <v>0</v>
      </c>
      <c r="EG30" s="170">
        <f>SUM(EC30:EF30)</f>
        <v>0</v>
      </c>
      <c r="EH30" s="165">
        <v>0</v>
      </c>
      <c r="EI30" s="165">
        <v>0</v>
      </c>
      <c r="EJ30" s="165">
        <v>0</v>
      </c>
      <c r="EK30" s="165">
        <v>0</v>
      </c>
      <c r="EL30" s="170">
        <f>SUM(EH30:EK30)</f>
        <v>0</v>
      </c>
    </row>
    <row r="31" spans="1:142" hidden="1" outlineLevel="1">
      <c r="A31" s="4"/>
      <c r="B31" s="4" t="s">
        <v>117</v>
      </c>
      <c r="C31" s="9"/>
      <c r="D31" s="9"/>
      <c r="E31" s="9"/>
      <c r="F31" s="9"/>
      <c r="G31" s="9"/>
      <c r="H31" s="63"/>
      <c r="I31" s="9"/>
      <c r="J31" s="9"/>
      <c r="K31" s="9"/>
      <c r="L31" s="9"/>
      <c r="M31" s="63"/>
      <c r="N31" s="9"/>
      <c r="O31" s="9"/>
      <c r="P31" s="9"/>
      <c r="Q31" s="9"/>
      <c r="R31" s="63"/>
      <c r="S31" s="9"/>
      <c r="T31" s="9"/>
      <c r="U31" s="9"/>
      <c r="V31" s="9"/>
      <c r="W31" s="63"/>
      <c r="X31" s="9"/>
      <c r="Y31" s="9"/>
      <c r="Z31" s="9"/>
      <c r="AA31" s="9"/>
      <c r="AB31" s="63"/>
      <c r="AC31" s="9"/>
      <c r="AD31" s="9"/>
      <c r="AE31" s="9"/>
      <c r="AF31" s="9"/>
      <c r="AG31" s="63"/>
      <c r="AH31" s="9"/>
      <c r="AI31" s="9"/>
      <c r="AJ31" s="9"/>
      <c r="AK31" s="9"/>
      <c r="AL31" s="63"/>
      <c r="AM31" s="9"/>
      <c r="AN31" s="9"/>
      <c r="AO31" s="9"/>
      <c r="AP31" s="9"/>
      <c r="AQ31" s="63"/>
      <c r="AR31" s="9"/>
      <c r="AS31" s="9"/>
      <c r="AT31" s="9"/>
      <c r="AU31" s="137"/>
      <c r="AV31" s="9"/>
      <c r="AW31" s="9"/>
      <c r="AX31" s="9"/>
      <c r="AY31" s="9"/>
      <c r="AZ31" s="63"/>
      <c r="BA31" s="9"/>
      <c r="BB31" s="9"/>
      <c r="BC31" s="9"/>
      <c r="BD31" s="9"/>
      <c r="BE31" s="63"/>
      <c r="BF31" s="9"/>
      <c r="BG31" s="9"/>
      <c r="BH31" s="9"/>
      <c r="BI31" s="9"/>
      <c r="BJ31" s="63"/>
      <c r="BK31" s="165"/>
      <c r="BL31" s="165"/>
      <c r="BM31" s="165"/>
      <c r="BN31" s="165"/>
      <c r="BO31" s="170"/>
      <c r="BP31" s="165"/>
      <c r="BQ31" s="165"/>
      <c r="BR31" s="165"/>
      <c r="BS31" s="165"/>
      <c r="BT31" s="170"/>
      <c r="BU31" s="165"/>
      <c r="BV31" s="165"/>
      <c r="BW31" s="165"/>
      <c r="BX31" s="165"/>
      <c r="BY31" s="170"/>
      <c r="BZ31" s="165"/>
      <c r="CA31" s="165"/>
      <c r="CB31" s="165"/>
      <c r="CC31" s="165"/>
      <c r="CD31" s="170"/>
      <c r="CE31" s="165"/>
      <c r="CF31" s="165"/>
      <c r="CG31" s="165"/>
      <c r="CH31" s="165"/>
      <c r="CI31" s="170"/>
      <c r="CJ31" s="165"/>
      <c r="CK31" s="165"/>
      <c r="CL31" s="165"/>
      <c r="CM31" s="165"/>
      <c r="CN31" s="170"/>
      <c r="CO31" s="165"/>
      <c r="CP31" s="165"/>
      <c r="CQ31" s="165"/>
      <c r="CR31" s="165"/>
      <c r="CS31" s="170"/>
      <c r="CT31" s="165"/>
      <c r="CU31" s="165"/>
      <c r="CV31" s="165"/>
      <c r="CW31" s="165">
        <f>CW29/CW209</f>
        <v>0</v>
      </c>
      <c r="CX31" s="170"/>
      <c r="CY31" s="165">
        <f>100000*CY29/CY209</f>
        <v>0</v>
      </c>
      <c r="CZ31" s="165">
        <f>100000*CZ29/CZ209</f>
        <v>0</v>
      </c>
      <c r="DA31" s="165">
        <f>100000*DA29/DA209</f>
        <v>0</v>
      </c>
      <c r="DB31" s="165">
        <f>100000*DB29/DB209</f>
        <v>0</v>
      </c>
      <c r="DC31" s="170">
        <f>SUM(CY31:DB31)</f>
        <v>0</v>
      </c>
      <c r="DD31" s="165">
        <f>DD259-DD343</f>
        <v>303531</v>
      </c>
      <c r="DE31" s="165">
        <f>DE259-DE343</f>
        <v>316956</v>
      </c>
      <c r="DF31" s="165">
        <f>DF259-DF343</f>
        <v>325025</v>
      </c>
      <c r="DG31" s="165">
        <f>DG259-DG343</f>
        <v>326976</v>
      </c>
      <c r="DH31" s="170">
        <f>DH259-DH343</f>
        <v>1334082</v>
      </c>
      <c r="DI31" s="165">
        <f>DI91-DI167</f>
        <v>0</v>
      </c>
      <c r="DJ31" s="165">
        <f>DJ91-DJ167</f>
        <v>0</v>
      </c>
      <c r="DK31" s="165">
        <f>DK91-DK167</f>
        <v>0</v>
      </c>
      <c r="DL31" s="165">
        <f>DL91-DL167</f>
        <v>0</v>
      </c>
      <c r="DM31" s="170">
        <f>SUM(DI31:DL31)</f>
        <v>0</v>
      </c>
      <c r="DN31" s="165">
        <f>DN91-DN167</f>
        <v>32244</v>
      </c>
      <c r="DO31" s="165">
        <f>DO91-DO167</f>
        <v>2021</v>
      </c>
      <c r="DP31" s="165">
        <f>DP91-DP167</f>
        <v>34954</v>
      </c>
      <c r="DQ31" s="165">
        <f>DQ91-DQ167</f>
        <v>35017</v>
      </c>
      <c r="DR31" s="170">
        <f>SUM(DN31:DQ31)</f>
        <v>104236</v>
      </c>
      <c r="DS31" s="165">
        <v>0</v>
      </c>
      <c r="DT31" s="165">
        <v>0</v>
      </c>
      <c r="DU31" s="165">
        <v>0</v>
      </c>
      <c r="DV31" s="165">
        <v>0</v>
      </c>
      <c r="DW31" s="170">
        <f t="shared" si="32"/>
        <v>0</v>
      </c>
      <c r="DX31" s="165">
        <f ca="1">DX29/(DX209/1000000)</f>
        <v>-6418.0549778239611</v>
      </c>
      <c r="DY31" s="165">
        <f ca="1">DY29/(DY209/1000000)</f>
        <v>-5944.9118566466423</v>
      </c>
      <c r="DZ31" s="165">
        <f ca="1">DZ29/(DZ209/1000000)</f>
        <v>-6117.1361601333383</v>
      </c>
      <c r="EA31" s="165">
        <f ca="1">EA29/(EA209/1000000)</f>
        <v>-5555.1180404284696</v>
      </c>
      <c r="EB31" s="170">
        <f t="shared" ca="1" si="27"/>
        <v>-24035.221035032409</v>
      </c>
      <c r="EC31" s="165">
        <v>0</v>
      </c>
      <c r="ED31" s="165">
        <v>0</v>
      </c>
      <c r="EE31" s="165">
        <v>0</v>
      </c>
      <c r="EF31" s="165">
        <v>0</v>
      </c>
      <c r="EG31" s="170">
        <f>SUM(EC31:EF31)</f>
        <v>0</v>
      </c>
      <c r="EH31" s="165">
        <v>0</v>
      </c>
      <c r="EI31" s="165">
        <v>0</v>
      </c>
      <c r="EJ31" s="165">
        <v>0</v>
      </c>
      <c r="EK31" s="165">
        <v>0</v>
      </c>
      <c r="EL31" s="170">
        <f>SUM(EH31:EK31)</f>
        <v>0</v>
      </c>
    </row>
    <row r="32" spans="1:142" ht="5.25" customHeight="1" collapsed="1">
      <c r="A32" s="9"/>
      <c r="B32" s="9"/>
      <c r="C32" s="203"/>
      <c r="D32" s="203"/>
      <c r="E32" s="203"/>
      <c r="F32" s="203"/>
      <c r="G32" s="203"/>
      <c r="H32" s="493"/>
      <c r="I32" s="203"/>
      <c r="J32" s="203"/>
      <c r="K32" s="203"/>
      <c r="L32" s="203"/>
      <c r="M32" s="493"/>
      <c r="N32" s="203"/>
      <c r="O32" s="203"/>
      <c r="P32" s="203"/>
      <c r="Q32" s="203"/>
      <c r="R32" s="493"/>
      <c r="S32" s="203"/>
      <c r="T32" s="203"/>
      <c r="U32" s="203"/>
      <c r="V32" s="203"/>
      <c r="W32" s="493"/>
      <c r="X32" s="203"/>
      <c r="Y32" s="203"/>
      <c r="Z32" s="203"/>
      <c r="AA32" s="203"/>
      <c r="AB32" s="493"/>
      <c r="AC32" s="205"/>
      <c r="AD32" s="17"/>
      <c r="AE32" s="205"/>
      <c r="AF32" s="17"/>
      <c r="AG32" s="493"/>
      <c r="AH32" s="203"/>
      <c r="AI32" s="203"/>
      <c r="AJ32" s="203"/>
      <c r="AK32" s="203"/>
      <c r="AL32" s="204"/>
      <c r="AM32" s="494"/>
      <c r="AN32" s="494"/>
      <c r="AO32" s="494"/>
      <c r="AP32" s="207"/>
      <c r="AQ32" s="204"/>
      <c r="AR32" s="494"/>
      <c r="AS32" s="494"/>
      <c r="AT32" s="494"/>
      <c r="AU32" s="137"/>
      <c r="AV32" s="494"/>
      <c r="AW32" s="494"/>
      <c r="AX32" s="494"/>
      <c r="AY32" s="494"/>
      <c r="AZ32" s="204"/>
      <c r="BA32" s="494"/>
      <c r="BB32" s="494"/>
      <c r="BC32" s="494"/>
      <c r="BD32" s="494"/>
      <c r="BE32" s="204"/>
      <c r="BF32" s="494"/>
      <c r="BG32" s="494"/>
      <c r="BH32" s="494"/>
      <c r="BI32" s="494"/>
      <c r="BJ32" s="204"/>
      <c r="BK32" s="495"/>
      <c r="BL32" s="495"/>
      <c r="BM32" s="495"/>
      <c r="BN32" s="495"/>
      <c r="BO32" s="204"/>
      <c r="BP32" s="495"/>
      <c r="BQ32" s="495"/>
      <c r="BR32" s="495"/>
      <c r="BS32" s="495"/>
      <c r="BT32" s="204"/>
      <c r="BU32" s="495"/>
      <c r="BV32" s="495"/>
      <c r="BW32" s="495"/>
      <c r="BX32" s="495"/>
      <c r="BY32" s="204"/>
      <c r="BZ32" s="495"/>
      <c r="CA32" s="495"/>
      <c r="CB32" s="495"/>
      <c r="CC32" s="495"/>
      <c r="CD32" s="204"/>
      <c r="CE32" s="495"/>
      <c r="CF32" s="495"/>
      <c r="CG32" s="495"/>
      <c r="CH32" s="495"/>
      <c r="CI32" s="204"/>
      <c r="CJ32" s="495"/>
      <c r="CK32" s="495"/>
      <c r="CL32" s="495"/>
      <c r="CM32" s="495"/>
      <c r="CN32" s="204"/>
      <c r="CO32" s="495"/>
      <c r="CP32" s="495"/>
      <c r="CQ32" s="495"/>
      <c r="CR32" s="495"/>
      <c r="CS32" s="204"/>
      <c r="CT32" s="495"/>
      <c r="CU32" s="495"/>
      <c r="CV32" s="495"/>
      <c r="CW32" s="495"/>
      <c r="CX32" s="204"/>
      <c r="CY32" s="495"/>
      <c r="CZ32" s="495"/>
      <c r="DA32" s="495"/>
      <c r="DB32" s="495"/>
      <c r="DC32" s="204"/>
      <c r="DD32" s="495"/>
      <c r="DE32" s="495"/>
      <c r="DF32" s="495"/>
      <c r="DG32" s="495"/>
      <c r="DH32" s="204"/>
      <c r="DI32" s="495"/>
      <c r="DJ32" s="495"/>
      <c r="DK32" s="495"/>
      <c r="DL32" s="495"/>
      <c r="DM32" s="204"/>
      <c r="DN32" s="495"/>
      <c r="DO32" s="495"/>
      <c r="DP32" s="495"/>
      <c r="DQ32" s="495"/>
      <c r="DR32" s="204"/>
      <c r="DS32" s="495"/>
      <c r="DT32" s="495" t="s">
        <v>115</v>
      </c>
      <c r="DU32" s="495"/>
      <c r="DV32" s="495"/>
      <c r="DW32" s="204"/>
      <c r="DX32" s="495"/>
      <c r="DY32" s="495"/>
      <c r="DZ32" s="495"/>
      <c r="EA32" s="495"/>
      <c r="EB32" s="204"/>
      <c r="EC32" s="495"/>
      <c r="ED32" s="495"/>
      <c r="EE32" s="495"/>
      <c r="EF32" s="495"/>
      <c r="EG32" s="204"/>
      <c r="EH32" s="495"/>
      <c r="EI32" s="495"/>
      <c r="EJ32" s="495"/>
      <c r="EK32" s="495"/>
      <c r="EL32" s="204"/>
    </row>
    <row r="33" spans="1:142" ht="12.75" customHeight="1">
      <c r="A33" s="9"/>
      <c r="B33" s="1440" t="s">
        <v>664</v>
      </c>
      <c r="C33" s="1441"/>
      <c r="D33" s="1441"/>
      <c r="E33" s="1441"/>
      <c r="F33" s="1441"/>
      <c r="G33" s="1441"/>
      <c r="H33" s="1442"/>
      <c r="I33" s="1441"/>
      <c r="J33" s="1441"/>
      <c r="K33" s="1441"/>
      <c r="L33" s="1441"/>
      <c r="M33" s="1442"/>
      <c r="N33" s="1441"/>
      <c r="O33" s="1441"/>
      <c r="P33" s="1441"/>
      <c r="Q33" s="1441"/>
      <c r="R33" s="1442"/>
      <c r="S33" s="1441"/>
      <c r="T33" s="1441"/>
      <c r="U33" s="1441"/>
      <c r="V33" s="1441"/>
      <c r="W33" s="1442"/>
      <c r="X33" s="1441"/>
      <c r="Y33" s="1441"/>
      <c r="Z33" s="1441"/>
      <c r="AA33" s="1441"/>
      <c r="AB33" s="1442"/>
      <c r="AC33" s="1441"/>
      <c r="AD33" s="1443"/>
      <c r="AE33" s="1441"/>
      <c r="AF33" s="1443"/>
      <c r="AG33" s="1442"/>
      <c r="AH33" s="1441"/>
      <c r="AI33" s="1441"/>
      <c r="AJ33" s="1441"/>
      <c r="AK33" s="1441"/>
      <c r="AL33" s="1444"/>
      <c r="AM33" s="1445"/>
      <c r="AN33" s="1445"/>
      <c r="AO33" s="1445"/>
      <c r="AP33" s="1446"/>
      <c r="AQ33" s="1444"/>
      <c r="AR33" s="1445"/>
      <c r="AS33" s="1445"/>
      <c r="AT33" s="1445"/>
      <c r="AU33" s="1447"/>
      <c r="AV33" s="1445"/>
      <c r="AW33" s="1445"/>
      <c r="AX33" s="1445"/>
      <c r="AY33" s="1445"/>
      <c r="AZ33" s="1444"/>
      <c r="BA33" s="1445"/>
      <c r="BB33" s="1445"/>
      <c r="BC33" s="1445"/>
      <c r="BD33" s="1445"/>
      <c r="BE33" s="1444"/>
      <c r="BF33" s="1445"/>
      <c r="BG33" s="1445"/>
      <c r="BH33" s="1445"/>
      <c r="BI33" s="1445"/>
      <c r="BJ33" s="1444"/>
      <c r="BK33" s="1446"/>
      <c r="BL33" s="1446"/>
      <c r="BM33" s="1446"/>
      <c r="BN33" s="1446"/>
      <c r="BO33" s="1444"/>
      <c r="BP33" s="1446"/>
      <c r="BQ33" s="1446"/>
      <c r="BR33" s="1446"/>
      <c r="BS33" s="1446"/>
      <c r="BT33" s="1444"/>
      <c r="BU33" s="1446"/>
      <c r="BV33" s="1446"/>
      <c r="BW33" s="1446"/>
      <c r="BX33" s="1446"/>
      <c r="BY33" s="1444"/>
      <c r="BZ33" s="1446"/>
      <c r="CA33" s="1446"/>
      <c r="CB33" s="1446"/>
      <c r="CC33" s="1446"/>
      <c r="CD33" s="1444"/>
      <c r="CE33" s="1446"/>
      <c r="CF33" s="1446"/>
      <c r="CG33" s="1446"/>
      <c r="CH33" s="1446"/>
      <c r="CI33" s="1444"/>
      <c r="CJ33" s="1446"/>
      <c r="CK33" s="1446"/>
      <c r="CL33" s="1446"/>
      <c r="CM33" s="1446"/>
      <c r="CN33" s="1444"/>
      <c r="CO33" s="1446"/>
      <c r="CP33" s="1446"/>
      <c r="CQ33" s="1446"/>
      <c r="CR33" s="1446"/>
      <c r="CS33" s="1444"/>
      <c r="CT33" s="1446"/>
      <c r="CU33" s="1446"/>
      <c r="CV33" s="1446"/>
      <c r="CW33" s="1446"/>
      <c r="CX33" s="1444"/>
      <c r="CY33" s="1446"/>
      <c r="CZ33" s="1446"/>
      <c r="DA33" s="1446"/>
      <c r="DB33" s="1446"/>
      <c r="DC33" s="1444"/>
      <c r="DD33" s="1446"/>
      <c r="DE33" s="1446"/>
      <c r="DF33" s="1446"/>
      <c r="DG33" s="1446"/>
      <c r="DH33" s="1444"/>
      <c r="DI33" s="1446"/>
      <c r="DJ33" s="1446"/>
      <c r="DK33" s="1446"/>
      <c r="DL33" s="1446"/>
      <c r="DM33" s="1444"/>
      <c r="DN33" s="1446"/>
      <c r="DO33" s="1446"/>
      <c r="DP33" s="1446"/>
      <c r="DQ33" s="1446"/>
      <c r="DR33" s="1444"/>
      <c r="DS33" s="1446"/>
      <c r="DT33" s="1446"/>
      <c r="DU33" s="1446"/>
      <c r="DV33" s="1446"/>
      <c r="DW33" s="1444"/>
      <c r="DX33" s="1446"/>
      <c r="DY33" s="1446"/>
      <c r="DZ33" s="1446"/>
      <c r="EA33" s="1446"/>
      <c r="EB33" s="1444"/>
      <c r="EC33" s="1446"/>
      <c r="ED33" s="1446"/>
      <c r="EE33" s="1446"/>
      <c r="EF33" s="1446"/>
      <c r="EG33" s="1444"/>
      <c r="EH33" s="1446"/>
      <c r="EI33" s="1446"/>
      <c r="EJ33" s="1446"/>
      <c r="EK33" s="1446"/>
      <c r="EL33" s="1444"/>
    </row>
    <row r="34" spans="1:142" s="680" customFormat="1" ht="12.75" customHeight="1">
      <c r="A34" s="1242"/>
      <c r="B34" s="1242" t="s">
        <v>118</v>
      </c>
      <c r="C34" s="555"/>
      <c r="D34" s="555"/>
      <c r="E34" s="555"/>
      <c r="F34" s="555"/>
      <c r="G34" s="555"/>
      <c r="H34" s="802"/>
      <c r="I34" s="555"/>
      <c r="J34" s="555"/>
      <c r="K34" s="555"/>
      <c r="L34" s="555"/>
      <c r="M34" s="802"/>
      <c r="N34" s="555"/>
      <c r="O34" s="555"/>
      <c r="P34" s="555"/>
      <c r="Q34" s="555"/>
      <c r="R34" s="802"/>
      <c r="S34" s="555"/>
      <c r="T34" s="555"/>
      <c r="U34" s="555"/>
      <c r="V34" s="555"/>
      <c r="W34" s="802"/>
      <c r="X34" s="555"/>
      <c r="Y34" s="555"/>
      <c r="Z34" s="555"/>
      <c r="AA34" s="555"/>
      <c r="AB34" s="802"/>
      <c r="AC34" s="555"/>
      <c r="AD34" s="555"/>
      <c r="AE34" s="555"/>
      <c r="AF34" s="555"/>
      <c r="AG34" s="802"/>
      <c r="AH34" s="555"/>
      <c r="AI34" s="555"/>
      <c r="AJ34" s="555"/>
      <c r="AK34" s="555"/>
      <c r="AL34" s="802"/>
      <c r="AM34" s="555"/>
      <c r="AN34" s="555"/>
      <c r="AO34" s="555"/>
      <c r="AP34" s="555"/>
      <c r="AQ34" s="802"/>
      <c r="AR34" s="555"/>
      <c r="AS34" s="555"/>
      <c r="AT34" s="555"/>
      <c r="AU34" s="802"/>
      <c r="AV34" s="555"/>
      <c r="AW34" s="555"/>
      <c r="AX34" s="555"/>
      <c r="AY34" s="555"/>
      <c r="AZ34" s="802"/>
      <c r="BA34" s="555"/>
      <c r="BB34" s="555"/>
      <c r="BC34" s="555"/>
      <c r="BD34" s="555"/>
      <c r="BE34" s="802"/>
      <c r="BF34" s="555"/>
      <c r="BG34" s="555"/>
      <c r="BH34" s="555"/>
      <c r="BI34" s="555"/>
      <c r="BJ34" s="802"/>
      <c r="BK34" s="1243"/>
      <c r="BL34" s="1243"/>
      <c r="BM34" s="1243"/>
      <c r="BN34" s="1243"/>
      <c r="BO34" s="802"/>
      <c r="BP34" s="1243"/>
      <c r="BQ34" s="1243"/>
      <c r="BR34" s="1243"/>
      <c r="BS34" s="1243"/>
      <c r="BT34" s="802"/>
      <c r="BU34" s="1243"/>
      <c r="BV34" s="1243"/>
      <c r="BW34" s="1243"/>
      <c r="BX34" s="1243"/>
      <c r="BY34" s="802"/>
      <c r="BZ34" s="1243"/>
      <c r="CA34" s="1243"/>
      <c r="CB34" s="1243"/>
      <c r="CC34" s="1243"/>
      <c r="CD34" s="802"/>
      <c r="CE34" s="1243"/>
      <c r="CF34" s="1243"/>
      <c r="CG34" s="1243"/>
      <c r="CH34" s="1243"/>
      <c r="CI34" s="802"/>
      <c r="CJ34" s="1243"/>
      <c r="CK34" s="1243"/>
      <c r="CL34" s="1243"/>
      <c r="CM34" s="1243"/>
      <c r="CN34" s="802"/>
      <c r="CO34" s="1243"/>
      <c r="CP34" s="1243"/>
      <c r="CQ34" s="1243"/>
      <c r="CR34" s="1243"/>
      <c r="CS34" s="802"/>
      <c r="CT34" s="1243"/>
      <c r="CU34" s="1243"/>
      <c r="CV34" s="1243"/>
      <c r="CW34" s="1243"/>
      <c r="CX34" s="802"/>
      <c r="CY34" s="1243"/>
      <c r="CZ34" s="1243"/>
      <c r="DA34" s="1243"/>
      <c r="DB34" s="1243"/>
      <c r="DC34" s="802"/>
      <c r="DD34" s="1243"/>
      <c r="DE34" s="1243"/>
      <c r="DF34" s="1243"/>
      <c r="DG34" s="1243"/>
      <c r="DH34" s="802"/>
      <c r="DI34" s="1243"/>
      <c r="DJ34" s="1243"/>
      <c r="DK34" s="1243"/>
      <c r="DL34" s="1243"/>
      <c r="DM34" s="802"/>
      <c r="DN34" s="1243"/>
      <c r="DO34" s="1243"/>
      <c r="DP34" s="1243"/>
      <c r="DQ34" s="1243"/>
      <c r="DR34" s="802"/>
      <c r="DS34" s="555"/>
      <c r="DT34" s="555"/>
      <c r="DU34" s="555"/>
      <c r="DV34" s="555"/>
      <c r="DW34" s="802"/>
      <c r="DX34" s="555"/>
      <c r="DY34" s="555"/>
      <c r="DZ34" s="555"/>
      <c r="EA34" s="555"/>
      <c r="EB34" s="802"/>
      <c r="EC34" s="555"/>
      <c r="ED34" s="555"/>
      <c r="EE34" s="555"/>
      <c r="EF34" s="555"/>
      <c r="EG34" s="802"/>
      <c r="EH34" s="555"/>
      <c r="EI34" s="555"/>
      <c r="EJ34" s="555"/>
      <c r="EK34" s="555"/>
      <c r="EL34" s="802"/>
    </row>
    <row r="35" spans="1:142" s="680" customFormat="1">
      <c r="A35" s="973"/>
      <c r="B35" s="973" t="s">
        <v>119</v>
      </c>
      <c r="C35" s="1244"/>
      <c r="D35" s="1244"/>
      <c r="E35" s="1244"/>
      <c r="F35" s="1244"/>
      <c r="G35" s="1244"/>
      <c r="H35" s="1245"/>
      <c r="I35" s="1244"/>
      <c r="J35" s="1244"/>
      <c r="K35" s="1244"/>
      <c r="L35" s="1244"/>
      <c r="M35" s="1245"/>
      <c r="N35" s="1244"/>
      <c r="O35" s="1244"/>
      <c r="P35" s="1244"/>
      <c r="Q35" s="1244"/>
      <c r="R35" s="1245"/>
      <c r="S35" s="1244"/>
      <c r="T35" s="1244"/>
      <c r="U35" s="1244"/>
      <c r="V35" s="1244"/>
      <c r="W35" s="1245"/>
      <c r="X35" s="1244"/>
      <c r="Y35" s="1244"/>
      <c r="Z35" s="1244"/>
      <c r="AA35" s="1244"/>
      <c r="AB35" s="1245"/>
      <c r="AC35" s="1244"/>
      <c r="AD35" s="1244"/>
      <c r="AE35" s="1244"/>
      <c r="AF35" s="1244"/>
      <c r="AG35" s="1245"/>
      <c r="AH35" s="1244"/>
      <c r="AI35" s="1244"/>
      <c r="AJ35" s="1244"/>
      <c r="AK35" s="1244"/>
      <c r="AL35" s="1245"/>
      <c r="AM35" s="1244"/>
      <c r="AN35" s="1244"/>
      <c r="AO35" s="1244"/>
      <c r="AP35" s="1244"/>
      <c r="AQ35" s="1245"/>
      <c r="AR35" s="1246"/>
      <c r="AS35" s="1246"/>
      <c r="AT35" s="1246"/>
      <c r="AU35" s="802"/>
      <c r="AV35" s="1247"/>
      <c r="AW35" s="1248"/>
      <c r="AX35" s="1246"/>
      <c r="AY35" s="1246"/>
      <c r="AZ35" s="1249"/>
      <c r="BA35" s="843"/>
      <c r="BB35" s="1248"/>
      <c r="BC35" s="1246"/>
      <c r="BD35" s="1246"/>
      <c r="BE35" s="1249"/>
      <c r="BF35" s="843"/>
      <c r="BG35" s="1248"/>
      <c r="BH35" s="1246"/>
      <c r="BI35" s="1246"/>
      <c r="BJ35" s="1249"/>
      <c r="BK35" s="555"/>
      <c r="BL35" s="555"/>
      <c r="BM35" s="555"/>
      <c r="BN35" s="555"/>
      <c r="BO35" s="802"/>
      <c r="BP35" s="555"/>
      <c r="BQ35" s="555"/>
      <c r="BR35" s="555"/>
      <c r="BS35" s="555"/>
      <c r="BT35" s="802"/>
      <c r="BU35" s="555"/>
      <c r="BV35" s="555"/>
      <c r="BW35" s="555"/>
      <c r="BX35" s="555"/>
      <c r="BY35" s="802"/>
      <c r="BZ35" s="555"/>
      <c r="CA35" s="555"/>
      <c r="CB35" s="555"/>
      <c r="CC35" s="555"/>
      <c r="CD35" s="802"/>
      <c r="CE35" s="555"/>
      <c r="CF35" s="555"/>
      <c r="CG35" s="555"/>
      <c r="CH35" s="555"/>
      <c r="CI35" s="802"/>
      <c r="CJ35" s="555"/>
      <c r="CK35" s="555"/>
      <c r="CL35" s="555"/>
      <c r="CM35" s="555"/>
      <c r="CN35" s="802"/>
      <c r="CO35" s="555"/>
      <c r="CP35" s="555"/>
      <c r="CQ35" s="555"/>
      <c r="CR35" s="555"/>
      <c r="CS35" s="802"/>
      <c r="CT35" s="555"/>
      <c r="CU35" s="555"/>
      <c r="CV35" s="555"/>
      <c r="CW35" s="555"/>
      <c r="CX35" s="802"/>
      <c r="CY35" s="555"/>
      <c r="CZ35" s="555"/>
      <c r="DA35" s="555"/>
      <c r="DB35" s="555"/>
      <c r="DC35" s="802"/>
      <c r="DD35" s="555"/>
      <c r="DE35" s="555"/>
      <c r="DF35" s="555"/>
      <c r="DG35" s="555"/>
      <c r="DH35" s="802"/>
      <c r="DI35" s="555"/>
      <c r="DJ35" s="555"/>
      <c r="DK35" s="555"/>
      <c r="DL35" s="555"/>
      <c r="DM35" s="802"/>
      <c r="DN35" s="555"/>
      <c r="DO35" s="555"/>
      <c r="DP35" s="555"/>
      <c r="DQ35" s="555"/>
      <c r="DR35" s="802"/>
      <c r="DS35" s="555"/>
      <c r="DT35" s="555"/>
      <c r="DU35" s="555"/>
      <c r="DV35" s="555"/>
      <c r="DW35" s="802"/>
      <c r="DX35" s="555"/>
      <c r="DY35" s="555"/>
      <c r="DZ35" s="555"/>
      <c r="EA35" s="555"/>
      <c r="EB35" s="802"/>
      <c r="EC35" s="555"/>
      <c r="ED35" s="555"/>
      <c r="EE35" s="555"/>
      <c r="EF35" s="555"/>
      <c r="EG35" s="802"/>
      <c r="EH35" s="555"/>
      <c r="EI35" s="555"/>
      <c r="EJ35" s="555"/>
      <c r="EK35" s="555"/>
      <c r="EL35" s="802"/>
    </row>
    <row r="36" spans="1:142" s="680" customFormat="1" ht="11.25" customHeight="1">
      <c r="A36" s="846"/>
      <c r="B36" s="846" t="s">
        <v>120</v>
      </c>
      <c r="C36" s="898"/>
      <c r="D36" s="898">
        <v>35</v>
      </c>
      <c r="E36" s="843">
        <f>D40</f>
        <v>33</v>
      </c>
      <c r="F36" s="843">
        <f>E40</f>
        <v>33</v>
      </c>
      <c r="G36" s="843">
        <f>F40</f>
        <v>33</v>
      </c>
      <c r="H36" s="844">
        <f>D36</f>
        <v>35</v>
      </c>
      <c r="I36" s="843">
        <f>G40</f>
        <v>70</v>
      </c>
      <c r="J36" s="843">
        <f>I40</f>
        <v>72</v>
      </c>
      <c r="K36" s="843">
        <f>J40</f>
        <v>75</v>
      </c>
      <c r="L36" s="843">
        <f>K40</f>
        <v>75</v>
      </c>
      <c r="M36" s="844">
        <f>H40</f>
        <v>70</v>
      </c>
      <c r="N36" s="843">
        <f>L40</f>
        <v>74</v>
      </c>
      <c r="O36" s="843">
        <f>N40</f>
        <v>75</v>
      </c>
      <c r="P36" s="843">
        <f>O40</f>
        <v>76</v>
      </c>
      <c r="Q36" s="843">
        <f>P40</f>
        <v>127</v>
      </c>
      <c r="R36" s="844">
        <f>M40</f>
        <v>74</v>
      </c>
      <c r="S36" s="843">
        <f>Q40</f>
        <v>128</v>
      </c>
      <c r="T36" s="843">
        <f>S40</f>
        <v>130</v>
      </c>
      <c r="U36" s="843">
        <f>T40</f>
        <v>129</v>
      </c>
      <c r="V36" s="843">
        <f>U40</f>
        <v>125</v>
      </c>
      <c r="W36" s="844">
        <f>R40</f>
        <v>128</v>
      </c>
      <c r="X36" s="843">
        <f>V40</f>
        <v>122</v>
      </c>
      <c r="Y36" s="843">
        <f>X40</f>
        <v>121</v>
      </c>
      <c r="Z36" s="843">
        <f>Y40</f>
        <v>128</v>
      </c>
      <c r="AA36" s="843">
        <f>Z40</f>
        <v>129</v>
      </c>
      <c r="AB36" s="844">
        <f>W40</f>
        <v>122</v>
      </c>
      <c r="AC36" s="843">
        <f>AA40</f>
        <v>130</v>
      </c>
      <c r="AD36" s="843">
        <f>AC40</f>
        <v>130</v>
      </c>
      <c r="AE36" s="843">
        <f>AD40</f>
        <v>113</v>
      </c>
      <c r="AF36" s="843">
        <f>AE40</f>
        <v>112</v>
      </c>
      <c r="AG36" s="844">
        <f>AB40</f>
        <v>130</v>
      </c>
      <c r="AH36" s="843">
        <f>AF40</f>
        <v>110</v>
      </c>
      <c r="AI36" s="843">
        <f>AH40</f>
        <v>110</v>
      </c>
      <c r="AJ36" s="843">
        <f>AI40</f>
        <v>111</v>
      </c>
      <c r="AK36" s="843">
        <f>AJ40</f>
        <v>110</v>
      </c>
      <c r="AL36" s="844">
        <f>AG40</f>
        <v>110</v>
      </c>
      <c r="AM36" s="843">
        <f>AK40</f>
        <v>111</v>
      </c>
      <c r="AN36" s="843">
        <f>AM40</f>
        <v>114</v>
      </c>
      <c r="AO36" s="843">
        <f>AN40</f>
        <v>114</v>
      </c>
      <c r="AP36" s="843">
        <f>AO40</f>
        <v>116</v>
      </c>
      <c r="AQ36" s="844">
        <f>AL40</f>
        <v>111</v>
      </c>
      <c r="AR36" s="843">
        <f>AQ40</f>
        <v>116</v>
      </c>
      <c r="AS36" s="843">
        <f>AR40</f>
        <v>114</v>
      </c>
      <c r="AT36" s="843">
        <f>AS40</f>
        <v>113</v>
      </c>
      <c r="AU36" s="802"/>
      <c r="AV36" s="1213" t="s">
        <v>503</v>
      </c>
      <c r="AW36" s="1215" t="str">
        <f>AV40</f>
        <v>ND</v>
      </c>
      <c r="AX36" s="1215" t="str">
        <f>AW40</f>
        <v>ND</v>
      </c>
      <c r="AY36" s="1215" t="str">
        <f>AX40</f>
        <v>ND</v>
      </c>
      <c r="AZ36" s="1214" t="s">
        <v>503</v>
      </c>
      <c r="BA36" s="843">
        <f>AZ40</f>
        <v>114</v>
      </c>
      <c r="BB36" s="843">
        <f>BA40</f>
        <v>99</v>
      </c>
      <c r="BC36" s="843">
        <f>BB40</f>
        <v>99</v>
      </c>
      <c r="BD36" s="843">
        <f>BC40</f>
        <v>99</v>
      </c>
      <c r="BE36" s="844">
        <f>AZ40</f>
        <v>114</v>
      </c>
      <c r="BF36" s="843">
        <f>BE40</f>
        <v>99</v>
      </c>
      <c r="BG36" s="843">
        <f>BF40</f>
        <v>71</v>
      </c>
      <c r="BH36" s="843">
        <f>BG40</f>
        <v>72</v>
      </c>
      <c r="BI36" s="843">
        <f>BH40</f>
        <v>70</v>
      </c>
      <c r="BJ36" s="844">
        <f>BE40</f>
        <v>99</v>
      </c>
      <c r="BK36" s="843">
        <f>BJ40</f>
        <v>69</v>
      </c>
      <c r="BL36" s="843">
        <f>BK40</f>
        <v>69</v>
      </c>
      <c r="BM36" s="843">
        <f>BL40</f>
        <v>69</v>
      </c>
      <c r="BN36" s="843">
        <f>BM40</f>
        <v>69</v>
      </c>
      <c r="BO36" s="844">
        <f>BJ40</f>
        <v>69</v>
      </c>
      <c r="BP36" s="843">
        <f>BO40</f>
        <v>69</v>
      </c>
      <c r="BQ36" s="843">
        <f>BP40</f>
        <v>69</v>
      </c>
      <c r="BR36" s="843">
        <f>BQ40</f>
        <v>57</v>
      </c>
      <c r="BS36" s="843">
        <f>BR40</f>
        <v>57</v>
      </c>
      <c r="BT36" s="844">
        <f>BO40</f>
        <v>69</v>
      </c>
      <c r="BU36" s="843">
        <f>BT40</f>
        <v>57</v>
      </c>
      <c r="BV36" s="843">
        <f>BU40</f>
        <v>57</v>
      </c>
      <c r="BW36" s="843">
        <f>BV40</f>
        <v>58</v>
      </c>
      <c r="BX36" s="843">
        <f>BW40</f>
        <v>54</v>
      </c>
      <c r="BY36" s="844">
        <f>BT40</f>
        <v>57</v>
      </c>
      <c r="BZ36" s="843">
        <f>BY40</f>
        <v>54</v>
      </c>
      <c r="CA36" s="843">
        <f>BZ40</f>
        <v>54</v>
      </c>
      <c r="CB36" s="843">
        <f>CA40</f>
        <v>52</v>
      </c>
      <c r="CC36" s="843">
        <f>CB40</f>
        <v>50</v>
      </c>
      <c r="CD36" s="844">
        <f>BY40</f>
        <v>54</v>
      </c>
      <c r="CE36" s="843">
        <f>CD40</f>
        <v>50</v>
      </c>
      <c r="CF36" s="843">
        <f>CE40</f>
        <v>50</v>
      </c>
      <c r="CG36" s="843">
        <f>CF40</f>
        <v>49</v>
      </c>
      <c r="CH36" s="843">
        <f>CG40</f>
        <v>49</v>
      </c>
      <c r="CI36" s="844">
        <f>CD40</f>
        <v>50</v>
      </c>
      <c r="CJ36" s="843">
        <f>CI40</f>
        <v>49</v>
      </c>
      <c r="CK36" s="843">
        <f>CJ40</f>
        <v>49</v>
      </c>
      <c r="CL36" s="843">
        <f>CK40</f>
        <v>49</v>
      </c>
      <c r="CM36" s="843">
        <f>CL40</f>
        <v>49</v>
      </c>
      <c r="CN36" s="844">
        <f>CI40</f>
        <v>49</v>
      </c>
      <c r="CO36" s="843">
        <f>CN40</f>
        <v>49</v>
      </c>
      <c r="CP36" s="843">
        <f>CO40</f>
        <v>49</v>
      </c>
      <c r="CQ36" s="843">
        <f>CP40</f>
        <v>49</v>
      </c>
      <c r="CR36" s="843">
        <f>CQ40</f>
        <v>49</v>
      </c>
      <c r="CS36" s="844">
        <f>CN40</f>
        <v>49</v>
      </c>
      <c r="CT36" s="843">
        <f>CS40</f>
        <v>49</v>
      </c>
      <c r="CU36" s="843">
        <f>CT40</f>
        <v>49</v>
      </c>
      <c r="CV36" s="843">
        <f>CU40</f>
        <v>49</v>
      </c>
      <c r="CW36" s="843">
        <f>CV40</f>
        <v>49</v>
      </c>
      <c r="CX36" s="844">
        <f>CS40</f>
        <v>49</v>
      </c>
      <c r="CY36" s="843">
        <f>CX40</f>
        <v>49</v>
      </c>
      <c r="CZ36" s="843">
        <f>CY40</f>
        <v>49</v>
      </c>
      <c r="DA36" s="843">
        <f>CZ40</f>
        <v>49</v>
      </c>
      <c r="DB36" s="843">
        <f>DA40</f>
        <v>49</v>
      </c>
      <c r="DC36" s="844">
        <f>CX40</f>
        <v>49</v>
      </c>
      <c r="DD36" s="843">
        <f>DC40</f>
        <v>77</v>
      </c>
      <c r="DE36" s="843">
        <f>DD40</f>
        <v>77</v>
      </c>
      <c r="DF36" s="843">
        <f>DE40</f>
        <v>79</v>
      </c>
      <c r="DG36" s="843">
        <f>DF40</f>
        <v>80</v>
      </c>
      <c r="DH36" s="844">
        <f>DC40</f>
        <v>77</v>
      </c>
      <c r="DI36" s="843">
        <f>DH40</f>
        <v>80</v>
      </c>
      <c r="DJ36" s="843">
        <f>DI40</f>
        <v>80</v>
      </c>
      <c r="DK36" s="843">
        <f>DJ40</f>
        <v>80</v>
      </c>
      <c r="DL36" s="843">
        <f>DK40</f>
        <v>83</v>
      </c>
      <c r="DM36" s="844">
        <f>DH40</f>
        <v>80</v>
      </c>
      <c r="DN36" s="843">
        <f>DM40</f>
        <v>86</v>
      </c>
      <c r="DO36" s="843">
        <f>DN40</f>
        <v>80</v>
      </c>
      <c r="DP36" s="843">
        <f>DO40</f>
        <v>75</v>
      </c>
      <c r="DQ36" s="843">
        <f>DP40</f>
        <v>75</v>
      </c>
      <c r="DR36" s="844">
        <f>DM40</f>
        <v>86</v>
      </c>
      <c r="DS36" s="843">
        <f>DR40</f>
        <v>80</v>
      </c>
      <c r="DT36" s="843">
        <f>DS40</f>
        <v>76</v>
      </c>
      <c r="DU36" s="843">
        <f>DT40</f>
        <v>75</v>
      </c>
      <c r="DV36" s="843">
        <f>DU40</f>
        <v>75</v>
      </c>
      <c r="DW36" s="844">
        <f>DR40</f>
        <v>80</v>
      </c>
      <c r="DX36" s="843">
        <f>DW40</f>
        <v>72</v>
      </c>
      <c r="DY36" s="843">
        <f>DX40</f>
        <v>69</v>
      </c>
      <c r="DZ36" s="843">
        <f>DY40</f>
        <v>68</v>
      </c>
      <c r="EA36" s="843">
        <f>DZ40</f>
        <v>67</v>
      </c>
      <c r="EB36" s="844">
        <f>DW40</f>
        <v>72</v>
      </c>
      <c r="EC36" s="843">
        <f>EB40</f>
        <v>66</v>
      </c>
      <c r="ED36" s="843">
        <f>EC40</f>
        <v>66</v>
      </c>
      <c r="EE36" s="843">
        <f>ED40</f>
        <v>66</v>
      </c>
      <c r="EF36" s="843">
        <f>EE40</f>
        <v>66</v>
      </c>
      <c r="EG36" s="844">
        <f>EB40</f>
        <v>66</v>
      </c>
      <c r="EH36" s="843">
        <f>EG40</f>
        <v>66</v>
      </c>
      <c r="EI36" s="843">
        <f>EH40</f>
        <v>66</v>
      </c>
      <c r="EJ36" s="843">
        <f>EI40</f>
        <v>66</v>
      </c>
      <c r="EK36" s="843">
        <f>EJ40</f>
        <v>66</v>
      </c>
      <c r="EL36" s="844">
        <f>EG40</f>
        <v>66</v>
      </c>
    </row>
    <row r="37" spans="1:142" s="680" customFormat="1" ht="11.25" customHeight="1">
      <c r="A37" s="1250"/>
      <c r="B37" s="1250" t="s">
        <v>121</v>
      </c>
      <c r="C37" s="147"/>
      <c r="D37" s="147">
        <v>0</v>
      </c>
      <c r="E37" s="147">
        <v>0</v>
      </c>
      <c r="F37" s="147">
        <v>0</v>
      </c>
      <c r="G37" s="147">
        <v>0</v>
      </c>
      <c r="H37" s="902">
        <f>SUM(D37:G37)</f>
        <v>0</v>
      </c>
      <c r="I37" s="147">
        <v>0</v>
      </c>
      <c r="J37" s="147">
        <v>0</v>
      </c>
      <c r="K37" s="147">
        <v>0</v>
      </c>
      <c r="L37" s="147">
        <v>0</v>
      </c>
      <c r="M37" s="902">
        <f>SUM(I37:L37)</f>
        <v>0</v>
      </c>
      <c r="N37" s="147">
        <v>0</v>
      </c>
      <c r="O37" s="147">
        <v>0</v>
      </c>
      <c r="P37" s="147">
        <v>0</v>
      </c>
      <c r="Q37" s="147">
        <v>0</v>
      </c>
      <c r="R37" s="902">
        <f>SUM(N37:Q37)</f>
        <v>0</v>
      </c>
      <c r="S37" s="147">
        <v>0</v>
      </c>
      <c r="T37" s="147">
        <v>0</v>
      </c>
      <c r="U37" s="147">
        <v>0</v>
      </c>
      <c r="V37" s="147">
        <v>0</v>
      </c>
      <c r="W37" s="902">
        <f>SUM(S37:V37)</f>
        <v>0</v>
      </c>
      <c r="X37" s="147">
        <v>0</v>
      </c>
      <c r="Y37" s="147">
        <v>0</v>
      </c>
      <c r="Z37" s="147">
        <v>0</v>
      </c>
      <c r="AA37" s="147">
        <v>0</v>
      </c>
      <c r="AB37" s="902">
        <f>SUM(X37:AA37)</f>
        <v>0</v>
      </c>
      <c r="AC37" s="147">
        <v>0</v>
      </c>
      <c r="AD37" s="147">
        <v>0</v>
      </c>
      <c r="AE37" s="147">
        <v>0</v>
      </c>
      <c r="AF37" s="147">
        <v>0</v>
      </c>
      <c r="AG37" s="902">
        <f>SUM(AC37:AF37)</f>
        <v>0</v>
      </c>
      <c r="AH37" s="147">
        <v>0</v>
      </c>
      <c r="AI37" s="147">
        <v>0</v>
      </c>
      <c r="AJ37" s="147">
        <v>0</v>
      </c>
      <c r="AK37" s="147">
        <v>0</v>
      </c>
      <c r="AL37" s="902">
        <f>SUM(AH37:AK37)</f>
        <v>0</v>
      </c>
      <c r="AM37" s="147">
        <v>1</v>
      </c>
      <c r="AN37" s="147">
        <v>0</v>
      </c>
      <c r="AO37" s="147">
        <v>0</v>
      </c>
      <c r="AP37" s="147">
        <v>0</v>
      </c>
      <c r="AQ37" s="902">
        <f>SUM(AM37:AP37)</f>
        <v>1</v>
      </c>
      <c r="AR37" s="147">
        <v>0</v>
      </c>
      <c r="AS37" s="147">
        <v>0</v>
      </c>
      <c r="AT37" s="147">
        <v>0</v>
      </c>
      <c r="AU37" s="802"/>
      <c r="AV37" s="903">
        <v>0</v>
      </c>
      <c r="AW37" s="903">
        <v>0</v>
      </c>
      <c r="AX37" s="903">
        <v>0</v>
      </c>
      <c r="AY37" s="843">
        <v>0</v>
      </c>
      <c r="AZ37" s="902">
        <f>SUM(AV37:AY37)</f>
        <v>0</v>
      </c>
      <c r="BA37" s="843">
        <v>0</v>
      </c>
      <c r="BB37" s="843">
        <v>0</v>
      </c>
      <c r="BC37" s="843">
        <v>0</v>
      </c>
      <c r="BD37" s="843">
        <v>0</v>
      </c>
      <c r="BE37" s="902">
        <f>SUM(BA37:BD37)</f>
        <v>0</v>
      </c>
      <c r="BF37" s="843">
        <v>0</v>
      </c>
      <c r="BG37" s="898">
        <v>2</v>
      </c>
      <c r="BH37" s="843">
        <v>0</v>
      </c>
      <c r="BI37" s="843">
        <v>0</v>
      </c>
      <c r="BJ37" s="902">
        <f>SUM(BF37:BI37)</f>
        <v>2</v>
      </c>
      <c r="BK37" s="147">
        <v>0</v>
      </c>
      <c r="BL37" s="147">
        <v>0</v>
      </c>
      <c r="BM37" s="147">
        <v>0</v>
      </c>
      <c r="BN37" s="147">
        <v>0</v>
      </c>
      <c r="BO37" s="902">
        <f>SUM(BK37:BN37)</f>
        <v>0</v>
      </c>
      <c r="BP37" s="147">
        <v>0</v>
      </c>
      <c r="BQ37" s="147">
        <v>0</v>
      </c>
      <c r="BR37" s="147">
        <f>BR40-BR36</f>
        <v>0</v>
      </c>
      <c r="BS37" s="147">
        <f>BS40-BS36</f>
        <v>0</v>
      </c>
      <c r="BT37" s="902">
        <f>SUM(BP37:BS37)</f>
        <v>0</v>
      </c>
      <c r="BU37" s="147">
        <v>0</v>
      </c>
      <c r="BV37" s="147">
        <v>1</v>
      </c>
      <c r="BW37" s="147">
        <v>0</v>
      </c>
      <c r="BX37" s="147">
        <f>BX40-BX36</f>
        <v>0</v>
      </c>
      <c r="BY37" s="902">
        <f>SUM(BU37:BX37)</f>
        <v>1</v>
      </c>
      <c r="BZ37" s="147">
        <f>BZ40-BZ36</f>
        <v>0</v>
      </c>
      <c r="CA37" s="147">
        <v>1</v>
      </c>
      <c r="CB37" s="147">
        <v>0</v>
      </c>
      <c r="CC37" s="147">
        <v>0</v>
      </c>
      <c r="CD37" s="902">
        <f>SUM(BZ37:CC37)</f>
        <v>1</v>
      </c>
      <c r="CE37" s="147">
        <v>0</v>
      </c>
      <c r="CF37" s="147">
        <v>0</v>
      </c>
      <c r="CG37" s="147">
        <v>0</v>
      </c>
      <c r="CH37" s="147">
        <v>0</v>
      </c>
      <c r="CI37" s="902">
        <f>SUM(CE37:CH37)</f>
        <v>0</v>
      </c>
      <c r="CJ37" s="147">
        <v>0</v>
      </c>
      <c r="CK37" s="147">
        <v>0</v>
      </c>
      <c r="CL37" s="147">
        <v>0</v>
      </c>
      <c r="CM37" s="147">
        <v>0</v>
      </c>
      <c r="CN37" s="902">
        <f>SUM(CJ37:CM37)</f>
        <v>0</v>
      </c>
      <c r="CO37" s="147">
        <v>0</v>
      </c>
      <c r="CP37" s="147">
        <v>0</v>
      </c>
      <c r="CQ37" s="147">
        <v>0</v>
      </c>
      <c r="CR37" s="147">
        <v>0</v>
      </c>
      <c r="CS37" s="902">
        <f>SUM(CO37:CR37)</f>
        <v>0</v>
      </c>
      <c r="CT37" s="147">
        <v>0</v>
      </c>
      <c r="CU37" s="147">
        <v>0</v>
      </c>
      <c r="CV37" s="147">
        <v>0</v>
      </c>
      <c r="CW37" s="147">
        <v>0</v>
      </c>
      <c r="CX37" s="902">
        <f>SUM(CT37:CW37)</f>
        <v>0</v>
      </c>
      <c r="CY37" s="147">
        <v>0</v>
      </c>
      <c r="CZ37" s="147">
        <v>0</v>
      </c>
      <c r="DA37" s="147">
        <v>0</v>
      </c>
      <c r="DB37" s="147">
        <v>1</v>
      </c>
      <c r="DC37" s="902">
        <f>SUM(CY37:DB37)</f>
        <v>1</v>
      </c>
      <c r="DD37" s="147">
        <v>0</v>
      </c>
      <c r="DE37" s="147">
        <v>1</v>
      </c>
      <c r="DF37" s="147">
        <v>2</v>
      </c>
      <c r="DG37" s="147">
        <v>3</v>
      </c>
      <c r="DH37" s="902">
        <f>SUM(DD37:DG37)</f>
        <v>6</v>
      </c>
      <c r="DI37" s="147">
        <v>0</v>
      </c>
      <c r="DJ37" s="147">
        <v>1</v>
      </c>
      <c r="DK37" s="147">
        <v>0</v>
      </c>
      <c r="DL37" s="147">
        <v>1</v>
      </c>
      <c r="DM37" s="902">
        <f>SUM(DI37:DL37)</f>
        <v>2</v>
      </c>
      <c r="DN37" s="147">
        <v>0</v>
      </c>
      <c r="DO37" s="147">
        <v>1</v>
      </c>
      <c r="DP37" s="147">
        <v>2</v>
      </c>
      <c r="DQ37" s="147">
        <v>2</v>
      </c>
      <c r="DR37" s="902">
        <f>SUM(DN37:DQ37)</f>
        <v>5</v>
      </c>
      <c r="DS37" s="1416">
        <v>0</v>
      </c>
      <c r="DT37" s="1416">
        <v>0</v>
      </c>
      <c r="DU37" s="1416">
        <v>0</v>
      </c>
      <c r="DV37" s="1416">
        <v>0</v>
      </c>
      <c r="DW37" s="1523">
        <f>SUM(DS37:DV37)</f>
        <v>0</v>
      </c>
      <c r="DX37" s="1416">
        <v>0</v>
      </c>
      <c r="DY37" s="1416">
        <v>0</v>
      </c>
      <c r="DZ37" s="1416">
        <v>0</v>
      </c>
      <c r="EA37" s="1416">
        <v>0</v>
      </c>
      <c r="EB37" s="1523">
        <f>SUM(DX37:EA37)</f>
        <v>0</v>
      </c>
      <c r="EC37" s="1416">
        <v>0</v>
      </c>
      <c r="ED37" s="1416">
        <v>0</v>
      </c>
      <c r="EE37" s="1416">
        <v>0</v>
      </c>
      <c r="EF37" s="1416">
        <v>0</v>
      </c>
      <c r="EG37" s="1523">
        <f>SUM(EC37:EF37)</f>
        <v>0</v>
      </c>
      <c r="EH37" s="1416">
        <v>0</v>
      </c>
      <c r="EI37" s="1416">
        <v>0</v>
      </c>
      <c r="EJ37" s="1416">
        <v>0</v>
      </c>
      <c r="EK37" s="1416">
        <v>0</v>
      </c>
      <c r="EL37" s="1523">
        <f>SUM(EH37:EK37)</f>
        <v>0</v>
      </c>
    </row>
    <row r="38" spans="1:142" s="680" customFormat="1" ht="11.25" customHeight="1">
      <c r="A38" s="1250"/>
      <c r="B38" s="1250" t="s">
        <v>122</v>
      </c>
      <c r="C38" s="147"/>
      <c r="D38" s="147">
        <v>0</v>
      </c>
      <c r="E38" s="147">
        <v>0</v>
      </c>
      <c r="F38" s="147">
        <v>0</v>
      </c>
      <c r="G38" s="147">
        <v>37</v>
      </c>
      <c r="H38" s="902">
        <f>SUM(D38:G38)</f>
        <v>37</v>
      </c>
      <c r="I38" s="147">
        <v>2</v>
      </c>
      <c r="J38" s="147">
        <v>1</v>
      </c>
      <c r="K38" s="147">
        <v>0</v>
      </c>
      <c r="L38" s="147">
        <f>5-SUM(I38:K38)</f>
        <v>2</v>
      </c>
      <c r="M38" s="902">
        <f>SUM(I38:L38)</f>
        <v>5</v>
      </c>
      <c r="N38" s="147">
        <v>1</v>
      </c>
      <c r="O38" s="147">
        <v>1</v>
      </c>
      <c r="P38" s="147">
        <f>50+1</f>
        <v>51</v>
      </c>
      <c r="Q38" s="147">
        <f>50+11-N38-O38-P38</f>
        <v>8</v>
      </c>
      <c r="R38" s="902">
        <f>SUM(N38:Q38)</f>
        <v>61</v>
      </c>
      <c r="S38" s="147">
        <v>4</v>
      </c>
      <c r="T38" s="147">
        <f>5-S38</f>
        <v>1</v>
      </c>
      <c r="U38" s="147">
        <f>6-S38-T38</f>
        <v>1</v>
      </c>
      <c r="V38" s="147">
        <v>0</v>
      </c>
      <c r="W38" s="902">
        <f>SUM(S38:V38)</f>
        <v>6</v>
      </c>
      <c r="X38" s="147">
        <v>1</v>
      </c>
      <c r="Y38" s="147">
        <f>9-X38</f>
        <v>8</v>
      </c>
      <c r="Z38" s="147">
        <f>10-X38-Y38</f>
        <v>1</v>
      </c>
      <c r="AA38" s="147">
        <f>12-X38-Y38-Z38</f>
        <v>2</v>
      </c>
      <c r="AB38" s="902">
        <f>SUM(X38:AA38)</f>
        <v>12</v>
      </c>
      <c r="AC38" s="147">
        <v>0</v>
      </c>
      <c r="AD38" s="147">
        <v>0</v>
      </c>
      <c r="AE38" s="147">
        <v>1</v>
      </c>
      <c r="AF38" s="147">
        <v>0</v>
      </c>
      <c r="AG38" s="902">
        <f>SUM(AC38:AF38)</f>
        <v>1</v>
      </c>
      <c r="AH38" s="147">
        <v>1</v>
      </c>
      <c r="AI38" s="147">
        <v>0</v>
      </c>
      <c r="AJ38" s="147">
        <v>0</v>
      </c>
      <c r="AK38" s="147">
        <f>2-AH38-AI38-AJ38</f>
        <v>1</v>
      </c>
      <c r="AL38" s="902">
        <f>SUM(AH38:AK38)</f>
        <v>2</v>
      </c>
      <c r="AM38" s="147">
        <v>2</v>
      </c>
      <c r="AN38" s="147">
        <f>3-AM38</f>
        <v>1</v>
      </c>
      <c r="AO38" s="147">
        <f>5-AM38-AN38</f>
        <v>2</v>
      </c>
      <c r="AP38" s="147">
        <v>0</v>
      </c>
      <c r="AQ38" s="902">
        <f>SUM(AM38:AP38)</f>
        <v>5</v>
      </c>
      <c r="AR38" s="147">
        <v>0</v>
      </c>
      <c r="AS38" s="147">
        <v>0</v>
      </c>
      <c r="AT38" s="147">
        <v>0</v>
      </c>
      <c r="AU38" s="802"/>
      <c r="AV38" s="903">
        <v>0</v>
      </c>
      <c r="AW38" s="903">
        <v>0</v>
      </c>
      <c r="AX38" s="903">
        <v>0</v>
      </c>
      <c r="AY38" s="898">
        <v>0</v>
      </c>
      <c r="AZ38" s="902">
        <f>SUM(AV38:AY38)</f>
        <v>0</v>
      </c>
      <c r="BA38" s="843">
        <v>0</v>
      </c>
      <c r="BB38" s="843">
        <v>0</v>
      </c>
      <c r="BC38" s="843">
        <v>0</v>
      </c>
      <c r="BD38" s="898">
        <v>1</v>
      </c>
      <c r="BE38" s="902">
        <f>SUM(BA38:BD38)</f>
        <v>1</v>
      </c>
      <c r="BF38" s="843">
        <v>0</v>
      </c>
      <c r="BG38" s="843">
        <v>0</v>
      </c>
      <c r="BH38" s="843">
        <v>0</v>
      </c>
      <c r="BI38" s="843">
        <v>0</v>
      </c>
      <c r="BJ38" s="902">
        <f>SUM(BF38:BI38)</f>
        <v>0</v>
      </c>
      <c r="BK38" s="1251">
        <v>0</v>
      </c>
      <c r="BL38" s="1251">
        <v>0</v>
      </c>
      <c r="BM38" s="1251">
        <v>0</v>
      </c>
      <c r="BN38" s="1251">
        <v>0</v>
      </c>
      <c r="BO38" s="902">
        <f>SUM(BK38:BN38)</f>
        <v>0</v>
      </c>
      <c r="BP38" s="1251">
        <v>0</v>
      </c>
      <c r="BQ38" s="1251">
        <v>0</v>
      </c>
      <c r="BR38" s="1251">
        <v>0</v>
      </c>
      <c r="BS38" s="1251">
        <v>0</v>
      </c>
      <c r="BT38" s="902">
        <f>SUM(BP38:BS38)</f>
        <v>0</v>
      </c>
      <c r="BU38" s="1251">
        <v>0</v>
      </c>
      <c r="BV38" s="1251">
        <v>0</v>
      </c>
      <c r="BW38" s="1251">
        <v>0</v>
      </c>
      <c r="BX38" s="1251">
        <v>0</v>
      </c>
      <c r="BY38" s="902">
        <f>SUM(BU38:BX38)</f>
        <v>0</v>
      </c>
      <c r="BZ38" s="1251">
        <v>0</v>
      </c>
      <c r="CA38" s="1251">
        <v>0</v>
      </c>
      <c r="CB38" s="1251">
        <v>0</v>
      </c>
      <c r="CC38" s="1251">
        <v>0</v>
      </c>
      <c r="CD38" s="902">
        <f>SUM(BZ38:CC38)</f>
        <v>0</v>
      </c>
      <c r="CE38" s="1251"/>
      <c r="CF38" s="1251"/>
      <c r="CG38" s="1251"/>
      <c r="CH38" s="1251"/>
      <c r="CI38" s="902">
        <f>SUM(CE38:CH38)</f>
        <v>0</v>
      </c>
      <c r="CJ38" s="1251"/>
      <c r="CK38" s="1251"/>
      <c r="CL38" s="1251"/>
      <c r="CM38" s="1251"/>
      <c r="CN38" s="902">
        <f>SUM(CJ38:CM38)</f>
        <v>0</v>
      </c>
      <c r="CO38" s="1251"/>
      <c r="CP38" s="1251"/>
      <c r="CQ38" s="1251"/>
      <c r="CR38" s="1251"/>
      <c r="CS38" s="902">
        <f>SUM(CO38:CR38)</f>
        <v>0</v>
      </c>
      <c r="CT38" s="1251"/>
      <c r="CU38" s="1251"/>
      <c r="CV38" s="1251"/>
      <c r="CW38" s="1251"/>
      <c r="CX38" s="902">
        <f>SUM(CT38:CW38)</f>
        <v>0</v>
      </c>
      <c r="CY38" s="1251"/>
      <c r="CZ38" s="1251"/>
      <c r="DA38" s="1251"/>
      <c r="DB38" s="1251">
        <v>27</v>
      </c>
      <c r="DC38" s="902">
        <f>SUM(CY38:DB38)</f>
        <v>27</v>
      </c>
      <c r="DD38" s="1251">
        <f>DD40-DD36</f>
        <v>0</v>
      </c>
      <c r="DE38" s="1251">
        <f>DE40-DE36</f>
        <v>2</v>
      </c>
      <c r="DF38" s="1251">
        <f>DF40-DF36</f>
        <v>1</v>
      </c>
      <c r="DG38" s="1251">
        <f>DG40-DG36</f>
        <v>0</v>
      </c>
      <c r="DH38" s="902">
        <f>SUM(DD38:DG38)</f>
        <v>3</v>
      </c>
      <c r="DI38" s="1416">
        <v>0</v>
      </c>
      <c r="DJ38" s="1416">
        <v>0</v>
      </c>
      <c r="DK38" s="1416">
        <v>0</v>
      </c>
      <c r="DL38" s="1416">
        <v>0</v>
      </c>
      <c r="DM38" s="902">
        <f>SUM(DI38:DL38)</f>
        <v>0</v>
      </c>
      <c r="DN38" s="1251">
        <f>DN40-DN36</f>
        <v>-6</v>
      </c>
      <c r="DO38" s="1251">
        <f>DO40-DO36</f>
        <v>-5</v>
      </c>
      <c r="DP38" s="1416">
        <v>0</v>
      </c>
      <c r="DQ38" s="1416">
        <v>0</v>
      </c>
      <c r="DR38" s="902">
        <f>SUM(DN38:DQ38)</f>
        <v>-11</v>
      </c>
      <c r="DS38" s="1416">
        <v>0</v>
      </c>
      <c r="DT38" s="1416">
        <v>0</v>
      </c>
      <c r="DU38" s="1416">
        <v>0</v>
      </c>
      <c r="DV38" s="1416">
        <v>0</v>
      </c>
      <c r="DW38" s="170">
        <f>SUM(DS38:DV38)</f>
        <v>0</v>
      </c>
      <c r="DX38" s="1416">
        <v>0</v>
      </c>
      <c r="DY38" s="1416">
        <v>0</v>
      </c>
      <c r="DZ38" s="1416">
        <v>0</v>
      </c>
      <c r="EA38" s="1416">
        <v>0</v>
      </c>
      <c r="EB38" s="170">
        <f>SUM(DX38:EA38)</f>
        <v>0</v>
      </c>
      <c r="EC38" s="1416">
        <v>0</v>
      </c>
      <c r="ED38" s="1416">
        <v>0</v>
      </c>
      <c r="EE38" s="1416">
        <v>0</v>
      </c>
      <c r="EF38" s="1416">
        <v>0</v>
      </c>
      <c r="EG38" s="170">
        <f>SUM(EC38:EF38)</f>
        <v>0</v>
      </c>
      <c r="EH38" s="1416">
        <v>0</v>
      </c>
      <c r="EI38" s="1416">
        <v>0</v>
      </c>
      <c r="EJ38" s="1416">
        <v>0</v>
      </c>
      <c r="EK38" s="1416">
        <v>0</v>
      </c>
      <c r="EL38" s="170">
        <f>SUM(EH38:EK38)</f>
        <v>0</v>
      </c>
    </row>
    <row r="39" spans="1:142" s="680" customFormat="1" ht="11.25" customHeight="1">
      <c r="A39" s="1250"/>
      <c r="B39" s="1250" t="s">
        <v>123</v>
      </c>
      <c r="C39" s="1252"/>
      <c r="D39" s="1252">
        <f>D40-SUM(D36:D38)</f>
        <v>-2</v>
      </c>
      <c r="E39" s="1252">
        <f>E40-SUM(E36:E38)</f>
        <v>0</v>
      </c>
      <c r="F39" s="1252">
        <f>F40-SUM(F36:F38)</f>
        <v>0</v>
      </c>
      <c r="G39" s="1252">
        <f>G40-SUM(G36:G38)</f>
        <v>0</v>
      </c>
      <c r="H39" s="909">
        <f>SUM(D39:G39)</f>
        <v>-2</v>
      </c>
      <c r="I39" s="1252">
        <f>I40-SUM(I36:I38)</f>
        <v>0</v>
      </c>
      <c r="J39" s="1252">
        <f>J40-SUM(J36:J38)</f>
        <v>2</v>
      </c>
      <c r="K39" s="1252">
        <f>K40-SUM(K36:K38)</f>
        <v>0</v>
      </c>
      <c r="L39" s="1252">
        <f>L40-SUM(L36:L38)</f>
        <v>-3</v>
      </c>
      <c r="M39" s="909">
        <f>SUM(I39:L39)</f>
        <v>-1</v>
      </c>
      <c r="N39" s="1252">
        <f>N40-SUM(N36:N38)</f>
        <v>0</v>
      </c>
      <c r="O39" s="1252">
        <f>O40-SUM(O36:O38)</f>
        <v>0</v>
      </c>
      <c r="P39" s="1252">
        <f>P40-SUM(P36:P38)</f>
        <v>0</v>
      </c>
      <c r="Q39" s="1252">
        <f>Q40-SUM(Q36:Q38)</f>
        <v>-7</v>
      </c>
      <c r="R39" s="909">
        <f>SUM(N39:Q39)</f>
        <v>-7</v>
      </c>
      <c r="S39" s="1252">
        <f>S40-SUM(S36:S38)</f>
        <v>-2</v>
      </c>
      <c r="T39" s="1252">
        <f>T40-SUM(T36:T38)</f>
        <v>-2</v>
      </c>
      <c r="U39" s="1252">
        <f>U40-SUM(U36:U38)</f>
        <v>-5</v>
      </c>
      <c r="V39" s="1252">
        <f>V40-SUM(V36:V38)</f>
        <v>-3</v>
      </c>
      <c r="W39" s="909">
        <f>SUM(S39:V39)</f>
        <v>-12</v>
      </c>
      <c r="X39" s="1252">
        <f>X40-SUM(X36:X38)</f>
        <v>-2</v>
      </c>
      <c r="Y39" s="1252">
        <f>Y40-SUM(Y36:Y38)</f>
        <v>-1</v>
      </c>
      <c r="Z39" s="1252">
        <f>Z40-SUM(Z36:Z38)</f>
        <v>0</v>
      </c>
      <c r="AA39" s="1252">
        <f>AA40-SUM(AA36:AA38)</f>
        <v>-1</v>
      </c>
      <c r="AB39" s="909">
        <f>SUM(X39:AA39)</f>
        <v>-4</v>
      </c>
      <c r="AC39" s="1252">
        <f>AC40-SUM(AC36:AC38)</f>
        <v>0</v>
      </c>
      <c r="AD39" s="1252">
        <f>AD40-SUM(AD36:AD38)</f>
        <v>-17</v>
      </c>
      <c r="AE39" s="1252">
        <f>AE40-SUM(AE36:AE38)</f>
        <v>-2</v>
      </c>
      <c r="AF39" s="1252">
        <f>AF40-SUM(AF36:AF38)</f>
        <v>-2</v>
      </c>
      <c r="AG39" s="909">
        <f>SUM(AC39:AF39)</f>
        <v>-21</v>
      </c>
      <c r="AH39" s="1252">
        <f>AH40-SUM(AH36:AH38)</f>
        <v>-1</v>
      </c>
      <c r="AI39" s="1252">
        <f>AI40-SUM(AI36:AI38)</f>
        <v>1</v>
      </c>
      <c r="AJ39" s="1252">
        <f>AJ40-SUM(AJ36:AJ38)</f>
        <v>-1</v>
      </c>
      <c r="AK39" s="1252">
        <f>AK40-SUM(AK36:AK38)</f>
        <v>0</v>
      </c>
      <c r="AL39" s="909">
        <f>SUM(AH39:AK39)</f>
        <v>-1</v>
      </c>
      <c r="AM39" s="1252">
        <f>AM40-SUM(AM36:AM38)</f>
        <v>0</v>
      </c>
      <c r="AN39" s="1252">
        <f>AN40-SUM(AN36:AN38)</f>
        <v>-1</v>
      </c>
      <c r="AO39" s="1252">
        <f>AO40-SUM(AO36:AO38)</f>
        <v>0</v>
      </c>
      <c r="AP39" s="1252">
        <f>AP40-SUM(AP36:AP38)</f>
        <v>0</v>
      </c>
      <c r="AQ39" s="909">
        <f>SUM(AM39:AP39)</f>
        <v>-1</v>
      </c>
      <c r="AR39" s="1252">
        <f>AR40-SUM(AR36:AR38)</f>
        <v>-2</v>
      </c>
      <c r="AS39" s="1252">
        <f>AS40-SUM(AS36:AS38)</f>
        <v>-1</v>
      </c>
      <c r="AT39" s="1252">
        <f>AT40-SUM(AT36:AT38)</f>
        <v>1</v>
      </c>
      <c r="AU39" s="802"/>
      <c r="AV39" s="1253" t="str">
        <f>IF(ISERROR(AV40-SUM(AV36:AV38)),"nm",AV40-SUM(AV36:AV38))</f>
        <v>nm</v>
      </c>
      <c r="AW39" s="1253" t="str">
        <f>IF(ISERROR(AW40-SUM(AW36:AW38)),"nm",AW40-SUM(AW36:AW38))</f>
        <v>nm</v>
      </c>
      <c r="AX39" s="1253" t="str">
        <f>IF(ISERROR(AX40-SUM(AX36:AX38)),"nm",AX40-SUM(AX36:AX38))</f>
        <v>nm</v>
      </c>
      <c r="AY39" s="1253" t="str">
        <f>IF(ISERROR(AY40-SUM(AY36:AY38)),"nm",AY40-SUM(AY36:AY38))</f>
        <v>nm</v>
      </c>
      <c r="AZ39" s="909">
        <f>SUM(AV39:AY39)</f>
        <v>0</v>
      </c>
      <c r="BA39" s="904">
        <v>-15</v>
      </c>
      <c r="BB39" s="1252">
        <f>BB40-SUM(BB36:BB38)</f>
        <v>0</v>
      </c>
      <c r="BC39" s="1252">
        <f>BC40-SUM(BC36:BC38)</f>
        <v>0</v>
      </c>
      <c r="BD39" s="907">
        <v>-1</v>
      </c>
      <c r="BE39" s="909">
        <f>SUM(BA39:BD39)</f>
        <v>-16</v>
      </c>
      <c r="BF39" s="907">
        <v>-28</v>
      </c>
      <c r="BG39" s="907">
        <v>-1</v>
      </c>
      <c r="BH39" s="907">
        <v>-2</v>
      </c>
      <c r="BI39" s="907">
        <v>-1</v>
      </c>
      <c r="BJ39" s="909">
        <f>SUM(BF39:BI39)</f>
        <v>-32</v>
      </c>
      <c r="BK39" s="907">
        <f>BK40-BK36+BK37+BK38</f>
        <v>0</v>
      </c>
      <c r="BL39" s="907">
        <f>BL40-BL36+BL37+BL38</f>
        <v>0</v>
      </c>
      <c r="BM39" s="907">
        <f>BM40-BM36+BM37+BM38</f>
        <v>0</v>
      </c>
      <c r="BN39" s="907">
        <f>BN40-BN36+BN37+BN38</f>
        <v>0</v>
      </c>
      <c r="BO39" s="909">
        <f>SUM(BK39:BN39)</f>
        <v>0</v>
      </c>
      <c r="BP39" s="907">
        <f>BP40-BP36+BP37+BP38</f>
        <v>0</v>
      </c>
      <c r="BQ39" s="907">
        <f>BQ40-BQ36+BQ37+BQ38</f>
        <v>-12</v>
      </c>
      <c r="BR39" s="907">
        <f>BR40-BR36+BR37+BR38</f>
        <v>0</v>
      </c>
      <c r="BS39" s="907">
        <f>BS40-BS36+BS37+BS38</f>
        <v>0</v>
      </c>
      <c r="BT39" s="909">
        <f>SUM(BP39:BS39)</f>
        <v>-12</v>
      </c>
      <c r="BU39" s="907">
        <v>0</v>
      </c>
      <c r="BV39" s="907">
        <v>0</v>
      </c>
      <c r="BW39" s="907">
        <v>-4</v>
      </c>
      <c r="BX39" s="907">
        <v>0</v>
      </c>
      <c r="BY39" s="909">
        <f>SUM(BU39:BX39)</f>
        <v>-4</v>
      </c>
      <c r="BZ39" s="907">
        <v>0</v>
      </c>
      <c r="CA39" s="907">
        <v>-3</v>
      </c>
      <c r="CB39" s="907">
        <v>-2</v>
      </c>
      <c r="CC39" s="907">
        <v>0</v>
      </c>
      <c r="CD39" s="909">
        <f>SUM(BZ39:CC39)</f>
        <v>-5</v>
      </c>
      <c r="CE39" s="907"/>
      <c r="CF39" s="907">
        <v>-1</v>
      </c>
      <c r="CG39" s="907"/>
      <c r="CH39" s="907">
        <f>CH40-CH36-CH37-CH38</f>
        <v>0</v>
      </c>
      <c r="CI39" s="909">
        <f>SUM(CE39:CH39)</f>
        <v>-1</v>
      </c>
      <c r="CJ39" s="907"/>
      <c r="CK39" s="907"/>
      <c r="CL39" s="907"/>
      <c r="CM39" s="907"/>
      <c r="CN39" s="909">
        <f>SUM(CJ39:CM39)</f>
        <v>0</v>
      </c>
      <c r="CO39" s="907"/>
      <c r="CP39" s="907"/>
      <c r="CQ39" s="907"/>
      <c r="CR39" s="907"/>
      <c r="CS39" s="909">
        <f>SUM(CO39:CR39)</f>
        <v>0</v>
      </c>
      <c r="CT39" s="907"/>
      <c r="CU39" s="907"/>
      <c r="CV39" s="907"/>
      <c r="CW39" s="907"/>
      <c r="CX39" s="909">
        <f>SUM(CT39:CW39)</f>
        <v>0</v>
      </c>
      <c r="CY39" s="907"/>
      <c r="CZ39" s="907"/>
      <c r="DA39" s="907"/>
      <c r="DB39" s="907"/>
      <c r="DC39" s="909">
        <f>SUM(CY39:DB39)</f>
        <v>0</v>
      </c>
      <c r="DD39" s="907"/>
      <c r="DE39" s="907"/>
      <c r="DF39" s="907"/>
      <c r="DG39" s="907"/>
      <c r="DH39" s="909">
        <f>SUM(DD39:DG39)</f>
        <v>0</v>
      </c>
      <c r="DI39" s="1450">
        <v>0</v>
      </c>
      <c r="DJ39" s="1450">
        <v>0</v>
      </c>
      <c r="DK39" s="1450">
        <v>0</v>
      </c>
      <c r="DL39" s="1450">
        <v>0</v>
      </c>
      <c r="DM39" s="909">
        <f>SUM(DI39:DL39)</f>
        <v>0</v>
      </c>
      <c r="DN39" s="1448">
        <v>0</v>
      </c>
      <c r="DO39" s="1448">
        <v>0</v>
      </c>
      <c r="DP39" s="1450">
        <v>0</v>
      </c>
      <c r="DQ39" s="1450">
        <v>0</v>
      </c>
      <c r="DR39" s="1449">
        <f>SUM(DN39:DQ39)</f>
        <v>0</v>
      </c>
      <c r="DS39" s="1525">
        <v>-4</v>
      </c>
      <c r="DT39" s="1525">
        <v>-1</v>
      </c>
      <c r="DU39" s="1450">
        <v>0</v>
      </c>
      <c r="DV39" s="1525">
        <v>-3</v>
      </c>
      <c r="DW39" s="909">
        <f>SUM(DS39:DV39)</f>
        <v>-8</v>
      </c>
      <c r="DX39" s="1525">
        <v>-3</v>
      </c>
      <c r="DY39" s="1525">
        <v>-1</v>
      </c>
      <c r="DZ39" s="1525">
        <v>-1</v>
      </c>
      <c r="EA39" s="1525">
        <v>-1</v>
      </c>
      <c r="EB39" s="170">
        <f>SUM(DX39:EA39)</f>
        <v>-6</v>
      </c>
      <c r="EC39" s="1450">
        <v>0</v>
      </c>
      <c r="ED39" s="1450">
        <v>0</v>
      </c>
      <c r="EE39" s="1450">
        <v>0</v>
      </c>
      <c r="EF39" s="1450">
        <v>0</v>
      </c>
      <c r="EG39" s="170">
        <f>SUM(EC39:EF39)</f>
        <v>0</v>
      </c>
      <c r="EH39" s="1450">
        <v>0</v>
      </c>
      <c r="EI39" s="1450">
        <v>0</v>
      </c>
      <c r="EJ39" s="1450">
        <v>0</v>
      </c>
      <c r="EK39" s="1450">
        <v>0</v>
      </c>
      <c r="EL39" s="170">
        <f>SUM(EH39:EK39)</f>
        <v>0</v>
      </c>
    </row>
    <row r="40" spans="1:142" ht="11.25" customHeight="1">
      <c r="A40" s="159"/>
      <c r="B40" s="159" t="s">
        <v>124</v>
      </c>
      <c r="C40" s="73"/>
      <c r="D40" s="73">
        <f>D257</f>
        <v>33</v>
      </c>
      <c r="E40" s="73">
        <f>E257</f>
        <v>33</v>
      </c>
      <c r="F40" s="73">
        <f>F257</f>
        <v>33</v>
      </c>
      <c r="G40" s="73">
        <f>G257</f>
        <v>70</v>
      </c>
      <c r="H40" s="74">
        <f>SUM(H36:H39)</f>
        <v>70</v>
      </c>
      <c r="I40" s="73">
        <f>I257</f>
        <v>72</v>
      </c>
      <c r="J40" s="73">
        <f>J257</f>
        <v>75</v>
      </c>
      <c r="K40" s="73">
        <f>K257</f>
        <v>75</v>
      </c>
      <c r="L40" s="73">
        <f>L257</f>
        <v>74</v>
      </c>
      <c r="M40" s="74">
        <f>SUM(M36:M39)</f>
        <v>74</v>
      </c>
      <c r="N40" s="73">
        <f>N257</f>
        <v>75</v>
      </c>
      <c r="O40" s="73">
        <f>O257</f>
        <v>76</v>
      </c>
      <c r="P40" s="73">
        <f>P257</f>
        <v>127</v>
      </c>
      <c r="Q40" s="73">
        <f>Q257</f>
        <v>128</v>
      </c>
      <c r="R40" s="74">
        <f>SUM(R36:R39)</f>
        <v>128</v>
      </c>
      <c r="S40" s="73">
        <f>S257</f>
        <v>130</v>
      </c>
      <c r="T40" s="73">
        <f>T257</f>
        <v>129</v>
      </c>
      <c r="U40" s="73">
        <f>U257</f>
        <v>125</v>
      </c>
      <c r="V40" s="73">
        <f>V257</f>
        <v>122</v>
      </c>
      <c r="W40" s="74">
        <f>SUM(W36:W39)</f>
        <v>122</v>
      </c>
      <c r="X40" s="73">
        <f>X257</f>
        <v>121</v>
      </c>
      <c r="Y40" s="73">
        <f>Y257</f>
        <v>128</v>
      </c>
      <c r="Z40" s="73">
        <f>Z257</f>
        <v>129</v>
      </c>
      <c r="AA40" s="73">
        <f>AA257</f>
        <v>130</v>
      </c>
      <c r="AB40" s="74">
        <f>SUM(AB36:AB39)</f>
        <v>130</v>
      </c>
      <c r="AC40" s="73">
        <f>AC257</f>
        <v>130</v>
      </c>
      <c r="AD40" s="73">
        <f>AD257</f>
        <v>113</v>
      </c>
      <c r="AE40" s="73">
        <f>AE257</f>
        <v>112</v>
      </c>
      <c r="AF40" s="73">
        <f>AF257</f>
        <v>110</v>
      </c>
      <c r="AG40" s="74">
        <f>SUM(AG36:AG39)</f>
        <v>110</v>
      </c>
      <c r="AH40" s="73">
        <f>AH257</f>
        <v>110</v>
      </c>
      <c r="AI40" s="73">
        <f>AI257</f>
        <v>111</v>
      </c>
      <c r="AJ40" s="73">
        <f>AJ257</f>
        <v>110</v>
      </c>
      <c r="AK40" s="73">
        <f>AK257</f>
        <v>111</v>
      </c>
      <c r="AL40" s="74">
        <f>SUM(AL36:AL39)</f>
        <v>111</v>
      </c>
      <c r="AM40" s="73">
        <f>AM257</f>
        <v>114</v>
      </c>
      <c r="AN40" s="73">
        <f>AN257</f>
        <v>114</v>
      </c>
      <c r="AO40" s="73">
        <f>AO257</f>
        <v>116</v>
      </c>
      <c r="AP40" s="73">
        <f>AP257</f>
        <v>116</v>
      </c>
      <c r="AQ40" s="74">
        <f>SUM(AQ36:AQ39)</f>
        <v>116</v>
      </c>
      <c r="AR40" s="73">
        <f>AR257</f>
        <v>114</v>
      </c>
      <c r="AS40" s="73">
        <f>AS257</f>
        <v>113</v>
      </c>
      <c r="AT40" s="73">
        <f>AT257</f>
        <v>114</v>
      </c>
      <c r="AU40" s="137"/>
      <c r="AV40" s="497" t="str">
        <f>AV257</f>
        <v>ND</v>
      </c>
      <c r="AW40" s="497" t="str">
        <f>AW257</f>
        <v>ND</v>
      </c>
      <c r="AX40" s="497" t="str">
        <f>AX257</f>
        <v>ND</v>
      </c>
      <c r="AY40" s="497" t="str">
        <f>AY257</f>
        <v>ND</v>
      </c>
      <c r="AZ40" s="172">
        <v>114</v>
      </c>
      <c r="BA40" s="73">
        <f>BA257</f>
        <v>99</v>
      </c>
      <c r="BB40" s="73">
        <f>BB257</f>
        <v>99</v>
      </c>
      <c r="BC40" s="73">
        <f>BC257</f>
        <v>99</v>
      </c>
      <c r="BD40" s="73">
        <f>BD257</f>
        <v>99</v>
      </c>
      <c r="BE40" s="74">
        <f>SUM(BE36:BE39)</f>
        <v>99</v>
      </c>
      <c r="BF40" s="73">
        <f>BF257</f>
        <v>71</v>
      </c>
      <c r="BG40" s="73">
        <f>BG257</f>
        <v>72</v>
      </c>
      <c r="BH40" s="73">
        <f>BH257</f>
        <v>70</v>
      </c>
      <c r="BI40" s="73">
        <f>BI257</f>
        <v>69</v>
      </c>
      <c r="BJ40" s="74">
        <f>SUM(BJ36:BJ39)</f>
        <v>69</v>
      </c>
      <c r="BK40" s="73">
        <f>BK257</f>
        <v>69</v>
      </c>
      <c r="BL40" s="73">
        <f>BL257</f>
        <v>69</v>
      </c>
      <c r="BM40" s="73">
        <f>BM257</f>
        <v>69</v>
      </c>
      <c r="BN40" s="73">
        <f>BN257</f>
        <v>69</v>
      </c>
      <c r="BO40" s="74">
        <f>SUM(BO36:BO39)</f>
        <v>69</v>
      </c>
      <c r="BP40" s="73">
        <f>BP257</f>
        <v>69</v>
      </c>
      <c r="BQ40" s="73">
        <f>BQ257</f>
        <v>57</v>
      </c>
      <c r="BR40" s="73">
        <f>BR257</f>
        <v>57</v>
      </c>
      <c r="BS40" s="73">
        <f>BS257</f>
        <v>57</v>
      </c>
      <c r="BT40" s="74">
        <f>SUM(BT36:BT39)</f>
        <v>57</v>
      </c>
      <c r="BU40" s="73">
        <f>BU257</f>
        <v>57</v>
      </c>
      <c r="BV40" s="73">
        <f>BV257</f>
        <v>58</v>
      </c>
      <c r="BW40" s="73">
        <f>BW257</f>
        <v>54</v>
      </c>
      <c r="BX40" s="73">
        <f>BX257</f>
        <v>54</v>
      </c>
      <c r="BY40" s="74">
        <f>SUM(BY36:BY39)</f>
        <v>54</v>
      </c>
      <c r="BZ40" s="73">
        <f>BZ257</f>
        <v>54</v>
      </c>
      <c r="CA40" s="73">
        <f>CA257</f>
        <v>52</v>
      </c>
      <c r="CB40" s="73">
        <f>CB257</f>
        <v>50</v>
      </c>
      <c r="CC40" s="73">
        <f>CC257</f>
        <v>50</v>
      </c>
      <c r="CD40" s="74">
        <f>SUM(CD36:CD39)</f>
        <v>50</v>
      </c>
      <c r="CE40" s="73">
        <f>CE257</f>
        <v>50</v>
      </c>
      <c r="CF40" s="73">
        <f>CF257</f>
        <v>49</v>
      </c>
      <c r="CG40" s="73">
        <f>CG257</f>
        <v>49</v>
      </c>
      <c r="CH40" s="73">
        <f>CH257</f>
        <v>49</v>
      </c>
      <c r="CI40" s="74">
        <f>SUM(CI36:CI39)</f>
        <v>49</v>
      </c>
      <c r="CJ40" s="73">
        <f>CJ257</f>
        <v>49</v>
      </c>
      <c r="CK40" s="73">
        <f>CK257</f>
        <v>49</v>
      </c>
      <c r="CL40" s="73">
        <f>CL257</f>
        <v>49</v>
      </c>
      <c r="CM40" s="73">
        <f>CM257</f>
        <v>49</v>
      </c>
      <c r="CN40" s="74">
        <f>SUM(CN36:CN39)</f>
        <v>49</v>
      </c>
      <c r="CO40" s="73">
        <f>CO257</f>
        <v>49</v>
      </c>
      <c r="CP40" s="73">
        <f>CP257</f>
        <v>49</v>
      </c>
      <c r="CQ40" s="73">
        <f>CQ257</f>
        <v>49</v>
      </c>
      <c r="CR40" s="73">
        <f>CR257</f>
        <v>49</v>
      </c>
      <c r="CS40" s="74">
        <f>SUM(CS36:CS39)</f>
        <v>49</v>
      </c>
      <c r="CT40" s="73">
        <f>CT257</f>
        <v>49</v>
      </c>
      <c r="CU40" s="73">
        <f>CU257</f>
        <v>49</v>
      </c>
      <c r="CV40" s="73">
        <f>CV257</f>
        <v>49</v>
      </c>
      <c r="CW40" s="73">
        <f>CW257</f>
        <v>49</v>
      </c>
      <c r="CX40" s="74">
        <f>SUM(CX36:CX39)</f>
        <v>49</v>
      </c>
      <c r="CY40" s="73">
        <f t="shared" ref="CY40:DQ40" si="36">CY257</f>
        <v>49</v>
      </c>
      <c r="CZ40" s="73">
        <f t="shared" si="36"/>
        <v>49</v>
      </c>
      <c r="DA40" s="73">
        <f t="shared" si="36"/>
        <v>49</v>
      </c>
      <c r="DB40" s="73">
        <f t="shared" si="36"/>
        <v>77</v>
      </c>
      <c r="DC40" s="74">
        <f t="shared" si="36"/>
        <v>77</v>
      </c>
      <c r="DD40" s="73">
        <f t="shared" si="36"/>
        <v>77</v>
      </c>
      <c r="DE40" s="73">
        <f t="shared" si="36"/>
        <v>79</v>
      </c>
      <c r="DF40" s="73">
        <f t="shared" si="36"/>
        <v>80</v>
      </c>
      <c r="DG40" s="73">
        <f t="shared" si="36"/>
        <v>80</v>
      </c>
      <c r="DH40" s="74">
        <f t="shared" si="36"/>
        <v>80</v>
      </c>
      <c r="DI40" s="73">
        <f t="shared" si="36"/>
        <v>80</v>
      </c>
      <c r="DJ40" s="73">
        <f t="shared" si="36"/>
        <v>80</v>
      </c>
      <c r="DK40" s="73">
        <f t="shared" si="36"/>
        <v>83</v>
      </c>
      <c r="DL40" s="73">
        <f t="shared" si="36"/>
        <v>86</v>
      </c>
      <c r="DM40" s="74">
        <f t="shared" si="36"/>
        <v>86</v>
      </c>
      <c r="DN40" s="73">
        <f t="shared" si="36"/>
        <v>80</v>
      </c>
      <c r="DO40" s="73">
        <f t="shared" si="36"/>
        <v>75</v>
      </c>
      <c r="DP40" s="73">
        <f t="shared" si="36"/>
        <v>75</v>
      </c>
      <c r="DQ40" s="73">
        <f t="shared" si="36"/>
        <v>75</v>
      </c>
      <c r="DR40" s="74">
        <f>SUM(DR36:DR39)</f>
        <v>80</v>
      </c>
      <c r="DS40" s="73">
        <f>DS36+DS37+DS38+DS39</f>
        <v>76</v>
      </c>
      <c r="DT40" s="73">
        <f>DT36+DT37+DT38+DT39</f>
        <v>75</v>
      </c>
      <c r="DU40" s="73">
        <f>DU36+DU37+DU38+DU39</f>
        <v>75</v>
      </c>
      <c r="DV40" s="73">
        <f>DV36+DV37+DV38+DV39</f>
        <v>72</v>
      </c>
      <c r="DW40" s="74">
        <f>SUM(DW36:DW39)</f>
        <v>72</v>
      </c>
      <c r="DX40" s="73">
        <f>DX36+DX37+DX38+DX39</f>
        <v>69</v>
      </c>
      <c r="DY40" s="73">
        <f>DY36+DY37+DY38+DY39</f>
        <v>68</v>
      </c>
      <c r="DZ40" s="73">
        <f>DZ36+DZ37+DZ38+DZ39</f>
        <v>67</v>
      </c>
      <c r="EA40" s="73">
        <f>EA36+EA37+EA38+EA39</f>
        <v>66</v>
      </c>
      <c r="EB40" s="1524">
        <f>SUM(EB36:EB39)</f>
        <v>66</v>
      </c>
      <c r="EC40" s="73">
        <f>EC36+EC37+EC38+EC39</f>
        <v>66</v>
      </c>
      <c r="ED40" s="73">
        <f>ED36+ED37+ED38+ED39</f>
        <v>66</v>
      </c>
      <c r="EE40" s="73">
        <f>EE36+EE37+EE38+EE39</f>
        <v>66</v>
      </c>
      <c r="EF40" s="73">
        <f>EF36+EF37+EF38+EF39</f>
        <v>66</v>
      </c>
      <c r="EG40" s="1524">
        <f>SUM(EG36:EG39)</f>
        <v>66</v>
      </c>
      <c r="EH40" s="73">
        <f>EH36+EH37+EH38+EH39</f>
        <v>66</v>
      </c>
      <c r="EI40" s="73">
        <f>EI36+EI37+EI38+EI39</f>
        <v>66</v>
      </c>
      <c r="EJ40" s="73">
        <f>EJ36+EJ37+EJ38+EJ39</f>
        <v>66</v>
      </c>
      <c r="EK40" s="73">
        <f>EK36+EK37+EK38+EK39</f>
        <v>66</v>
      </c>
      <c r="EL40" s="1524">
        <f>SUM(EL36:EL39)</f>
        <v>66</v>
      </c>
    </row>
    <row r="41" spans="1:142" ht="8.25" customHeight="1">
      <c r="A41" s="501"/>
      <c r="B41" s="501"/>
      <c r="C41" s="31"/>
      <c r="D41" s="31"/>
      <c r="E41" s="31"/>
      <c r="F41" s="31"/>
      <c r="G41" s="31"/>
      <c r="H41" s="169"/>
      <c r="I41" s="31"/>
      <c r="J41" s="31"/>
      <c r="K41" s="31"/>
      <c r="L41" s="31"/>
      <c r="M41" s="169"/>
      <c r="N41" s="31"/>
      <c r="O41" s="31"/>
      <c r="P41" s="31"/>
      <c r="Q41" s="31"/>
      <c r="R41" s="169"/>
      <c r="S41" s="31"/>
      <c r="T41" s="31"/>
      <c r="U41" s="31"/>
      <c r="V41" s="31"/>
      <c r="W41" s="169"/>
      <c r="X41" s="31"/>
      <c r="Y41" s="31"/>
      <c r="Z41" s="31"/>
      <c r="AA41" s="31"/>
      <c r="AB41" s="169"/>
      <c r="AC41" s="31"/>
      <c r="AD41" s="31"/>
      <c r="AE41" s="31"/>
      <c r="AF41" s="31"/>
      <c r="AG41" s="169"/>
      <c r="AH41" s="31"/>
      <c r="AI41" s="31"/>
      <c r="AJ41" s="31"/>
      <c r="AK41" s="31"/>
      <c r="AL41" s="169"/>
      <c r="AM41" s="31"/>
      <c r="AN41" s="31"/>
      <c r="AO41" s="31"/>
      <c r="AP41" s="31"/>
      <c r="AQ41" s="169"/>
      <c r="AR41" s="31"/>
      <c r="AS41" s="31"/>
      <c r="AT41" s="31"/>
      <c r="AU41" s="137"/>
      <c r="AV41" s="160"/>
      <c r="AW41" s="475"/>
      <c r="AX41" s="475"/>
      <c r="AY41" s="475"/>
      <c r="AZ41" s="502"/>
      <c r="BA41" s="475"/>
      <c r="BB41" s="475"/>
      <c r="BC41" s="475"/>
      <c r="BD41" s="475"/>
      <c r="BE41" s="502"/>
      <c r="BF41" s="475"/>
      <c r="BG41" s="475"/>
      <c r="BH41" s="475"/>
      <c r="BI41" s="475"/>
      <c r="BJ41" s="502"/>
      <c r="BK41" s="477"/>
      <c r="BL41" s="477"/>
      <c r="BM41" s="477"/>
      <c r="BN41" s="477"/>
      <c r="BO41" s="503"/>
      <c r="BP41" s="477"/>
      <c r="BQ41" s="477"/>
      <c r="BR41" s="477"/>
      <c r="BS41" s="477"/>
      <c r="BT41" s="503"/>
      <c r="BU41" s="477"/>
      <c r="BV41" s="477"/>
      <c r="BW41" s="477"/>
      <c r="BX41" s="477"/>
      <c r="BY41" s="503"/>
      <c r="BZ41" s="477"/>
      <c r="CA41" s="477"/>
      <c r="CB41" s="477"/>
      <c r="CC41" s="477"/>
      <c r="CD41" s="503"/>
      <c r="CE41" s="477"/>
      <c r="CF41" s="477"/>
      <c r="CG41" s="477"/>
      <c r="CH41" s="477"/>
      <c r="CI41" s="503"/>
      <c r="CJ41" s="477"/>
      <c r="CK41" s="477"/>
      <c r="CL41" s="477"/>
      <c r="CM41" s="477"/>
      <c r="CN41" s="503"/>
      <c r="CO41" s="477"/>
      <c r="CP41" s="477"/>
      <c r="CQ41" s="477"/>
      <c r="CR41" s="477"/>
      <c r="CS41" s="503"/>
      <c r="CT41" s="477"/>
      <c r="CU41" s="477"/>
      <c r="CV41" s="477"/>
      <c r="CW41" s="477"/>
      <c r="CX41" s="503"/>
      <c r="CY41" s="477"/>
      <c r="CZ41" s="477"/>
      <c r="DA41" s="477"/>
      <c r="DB41" s="477"/>
      <c r="DC41" s="503"/>
      <c r="DD41" s="477"/>
      <c r="DE41" s="477"/>
      <c r="DF41" s="477"/>
      <c r="DG41" s="477"/>
      <c r="DH41" s="503"/>
      <c r="DI41" s="477"/>
      <c r="DJ41" s="477"/>
      <c r="DK41" s="477"/>
      <c r="DL41" s="477"/>
      <c r="DM41" s="503"/>
      <c r="DN41" s="477"/>
      <c r="DO41" s="477"/>
      <c r="DP41" s="477"/>
      <c r="DQ41" s="477"/>
      <c r="DR41" s="503"/>
      <c r="DS41" s="477"/>
      <c r="DT41" s="477"/>
      <c r="DU41" s="477"/>
      <c r="DV41" s="477"/>
      <c r="DW41" s="503"/>
      <c r="DX41" s="477"/>
      <c r="DY41" s="477"/>
      <c r="DZ41" s="477"/>
      <c r="EA41" s="477"/>
      <c r="EB41" s="503"/>
      <c r="EC41" s="477"/>
      <c r="ED41" s="477"/>
      <c r="EE41" s="477"/>
      <c r="EF41" s="477"/>
      <c r="EG41" s="503"/>
      <c r="EH41" s="477"/>
      <c r="EI41" s="477"/>
      <c r="EJ41" s="477"/>
      <c r="EK41" s="477"/>
      <c r="EL41" s="503"/>
    </row>
    <row r="42" spans="1:142" ht="11.25" customHeight="1">
      <c r="A42" s="168"/>
      <c r="B42" s="168" t="s">
        <v>125</v>
      </c>
      <c r="C42" s="31"/>
      <c r="D42" s="31"/>
      <c r="E42" s="31"/>
      <c r="F42" s="31"/>
      <c r="G42" s="31"/>
      <c r="H42" s="169"/>
      <c r="I42" s="31"/>
      <c r="J42" s="31"/>
      <c r="K42" s="31"/>
      <c r="L42" s="31"/>
      <c r="M42" s="169"/>
      <c r="N42" s="31"/>
      <c r="O42" s="31"/>
      <c r="P42" s="31"/>
      <c r="Q42" s="31"/>
      <c r="R42" s="169"/>
      <c r="S42" s="31"/>
      <c r="T42" s="31"/>
      <c r="U42" s="31"/>
      <c r="V42" s="31"/>
      <c r="W42" s="169"/>
      <c r="X42" s="31"/>
      <c r="Y42" s="31"/>
      <c r="Z42" s="31"/>
      <c r="AA42" s="31"/>
      <c r="AB42" s="169"/>
      <c r="AC42" s="31"/>
      <c r="AD42" s="31"/>
      <c r="AE42" s="31"/>
      <c r="AF42" s="31"/>
      <c r="AG42" s="169"/>
      <c r="AH42" s="31"/>
      <c r="AI42" s="31"/>
      <c r="AJ42" s="31"/>
      <c r="AK42" s="31"/>
      <c r="AL42" s="169"/>
      <c r="AM42" s="31"/>
      <c r="AN42" s="31"/>
      <c r="AO42" s="31"/>
      <c r="AP42" s="31"/>
      <c r="AQ42" s="169"/>
      <c r="AR42" s="31"/>
      <c r="AS42" s="31"/>
      <c r="AT42" s="31"/>
      <c r="AU42" s="137"/>
      <c r="AV42" s="160"/>
      <c r="AW42" s="475"/>
      <c r="AX42" s="475"/>
      <c r="AY42" s="475"/>
      <c r="AZ42" s="502"/>
      <c r="BA42" s="475"/>
      <c r="BB42" s="475"/>
      <c r="BC42" s="475"/>
      <c r="BD42" s="475"/>
      <c r="BE42" s="502"/>
      <c r="BF42" s="475"/>
      <c r="BG42" s="475"/>
      <c r="BH42" s="475"/>
      <c r="BI42" s="475"/>
      <c r="BJ42" s="502"/>
      <c r="BK42" s="477"/>
      <c r="BL42" s="477"/>
      <c r="BM42" s="477"/>
      <c r="BN42" s="477"/>
      <c r="BO42" s="503"/>
      <c r="BP42" s="477"/>
      <c r="BQ42" s="477"/>
      <c r="BR42" s="477"/>
      <c r="BS42" s="477"/>
      <c r="BT42" s="503"/>
      <c r="BU42" s="477"/>
      <c r="BV42" s="477"/>
      <c r="BW42" s="477"/>
      <c r="BX42" s="477"/>
      <c r="BY42" s="503"/>
      <c r="BZ42" s="477"/>
      <c r="CA42" s="477"/>
      <c r="CB42" s="477"/>
      <c r="CC42" s="477"/>
      <c r="CD42" s="503"/>
      <c r="CE42" s="477"/>
      <c r="CF42" s="477"/>
      <c r="CG42" s="477"/>
      <c r="CH42" s="477"/>
      <c r="CI42" s="503"/>
      <c r="CJ42" s="477"/>
      <c r="CK42" s="477"/>
      <c r="CL42" s="477"/>
      <c r="CM42" s="477"/>
      <c r="CN42" s="503"/>
      <c r="CO42" s="477"/>
      <c r="CP42" s="477"/>
      <c r="CQ42" s="477"/>
      <c r="CR42" s="477"/>
      <c r="CS42" s="503"/>
      <c r="CT42" s="477"/>
      <c r="CU42" s="477"/>
      <c r="CV42" s="477"/>
      <c r="CW42" s="477"/>
      <c r="CX42" s="503"/>
      <c r="CY42" s="477"/>
      <c r="CZ42" s="477"/>
      <c r="DA42" s="477"/>
      <c r="DB42" s="477"/>
      <c r="DC42" s="503"/>
      <c r="DD42" s="477"/>
      <c r="DE42" s="477"/>
      <c r="DF42" s="477"/>
      <c r="DG42" s="477"/>
      <c r="DH42" s="503"/>
      <c r="DI42" s="477"/>
      <c r="DJ42" s="477"/>
      <c r="DK42" s="477"/>
      <c r="DL42" s="477"/>
      <c r="DM42" s="503"/>
      <c r="DN42" s="477"/>
      <c r="DO42" s="477"/>
      <c r="DP42" s="477"/>
      <c r="DQ42" s="477"/>
      <c r="DR42" s="503"/>
      <c r="DS42" s="477"/>
      <c r="DT42" s="477"/>
      <c r="DU42" s="477"/>
      <c r="DV42" s="477"/>
      <c r="DW42" s="503"/>
      <c r="DX42" s="477"/>
      <c r="DY42" s="477"/>
      <c r="DZ42" s="477"/>
      <c r="EA42" s="477"/>
      <c r="EB42" s="503"/>
      <c r="EC42" s="477"/>
      <c r="ED42" s="477"/>
      <c r="EE42" s="477"/>
      <c r="EF42" s="477"/>
      <c r="EG42" s="503"/>
      <c r="EH42" s="477"/>
      <c r="EI42" s="477"/>
      <c r="EJ42" s="477"/>
      <c r="EK42" s="477"/>
      <c r="EL42" s="503"/>
    </row>
    <row r="43" spans="1:142" ht="11.25" customHeight="1">
      <c r="A43" s="159"/>
      <c r="B43" s="159" t="s">
        <v>126</v>
      </c>
      <c r="C43" s="210"/>
      <c r="D43" s="210">
        <v>6873</v>
      </c>
      <c r="E43" s="90">
        <f>D47</f>
        <v>6622</v>
      </c>
      <c r="F43" s="90">
        <f>E47</f>
        <v>6622</v>
      </c>
      <c r="G43" s="90">
        <f>F47</f>
        <v>6620</v>
      </c>
      <c r="H43" s="74">
        <f>D43</f>
        <v>6873</v>
      </c>
      <c r="I43" s="90">
        <f>G47</f>
        <v>15622</v>
      </c>
      <c r="J43" s="90">
        <f>I47</f>
        <v>16210</v>
      </c>
      <c r="K43" s="90">
        <f>J47</f>
        <v>16827</v>
      </c>
      <c r="L43" s="90">
        <f>K47</f>
        <v>16874</v>
      </c>
      <c r="M43" s="74">
        <f>H47</f>
        <v>15622</v>
      </c>
      <c r="N43" s="90">
        <f>L47</f>
        <v>16666</v>
      </c>
      <c r="O43" s="90">
        <f>N47</f>
        <v>17031</v>
      </c>
      <c r="P43" s="90">
        <f>O47</f>
        <v>17344</v>
      </c>
      <c r="Q43" s="90">
        <f>P47</f>
        <v>27366</v>
      </c>
      <c r="R43" s="74">
        <f>M47</f>
        <v>16666</v>
      </c>
      <c r="S43" s="90">
        <f>Q47</f>
        <v>27959</v>
      </c>
      <c r="T43" s="90">
        <f>S47</f>
        <v>28691</v>
      </c>
      <c r="U43" s="90">
        <f>T47</f>
        <v>28715</v>
      </c>
      <c r="V43" s="90">
        <f>U47</f>
        <v>28433</v>
      </c>
      <c r="W43" s="74">
        <f>R47</f>
        <v>27959</v>
      </c>
      <c r="X43" s="90">
        <f>V47</f>
        <v>27867</v>
      </c>
      <c r="Y43" s="90">
        <f>X47</f>
        <v>28126</v>
      </c>
      <c r="Z43" s="90">
        <f>Y47</f>
        <v>30410</v>
      </c>
      <c r="AA43" s="90">
        <f>Z47</f>
        <v>30471</v>
      </c>
      <c r="AB43" s="74">
        <f>W47</f>
        <v>27867</v>
      </c>
      <c r="AC43" s="90">
        <f>AA47</f>
        <v>30791</v>
      </c>
      <c r="AD43" s="90">
        <f>AC47</f>
        <v>30731</v>
      </c>
      <c r="AE43" s="90">
        <f>AD47</f>
        <v>27625</v>
      </c>
      <c r="AF43" s="90">
        <f>AE47</f>
        <v>27414</v>
      </c>
      <c r="AG43" s="74">
        <f>AB47</f>
        <v>30791</v>
      </c>
      <c r="AH43" s="90">
        <f>AF47</f>
        <v>26939</v>
      </c>
      <c r="AI43" s="90">
        <f>AH47</f>
        <v>26965</v>
      </c>
      <c r="AJ43" s="90">
        <f>AI47</f>
        <v>27008</v>
      </c>
      <c r="AK43" s="90">
        <f>AJ47</f>
        <v>26931</v>
      </c>
      <c r="AL43" s="74">
        <f>AG47</f>
        <v>26939</v>
      </c>
      <c r="AM43" s="90">
        <f>AK47</f>
        <v>27277</v>
      </c>
      <c r="AN43" s="90">
        <f>AM47</f>
        <v>28166</v>
      </c>
      <c r="AO43" s="90">
        <f>AN47</f>
        <v>28262</v>
      </c>
      <c r="AP43" s="90">
        <f>AO47</f>
        <v>28677</v>
      </c>
      <c r="AQ43" s="74">
        <f>AL47</f>
        <v>27277</v>
      </c>
      <c r="AR43" s="90">
        <f>AQ47</f>
        <v>28667</v>
      </c>
      <c r="AS43" s="90">
        <f>AR47</f>
        <v>28134</v>
      </c>
      <c r="AT43" s="90">
        <f>AS47</f>
        <v>27748</v>
      </c>
      <c r="AU43" s="137"/>
      <c r="AV43" s="496" t="s">
        <v>503</v>
      </c>
      <c r="AW43" s="497" t="str">
        <f>AV47</f>
        <v>ND</v>
      </c>
      <c r="AX43" s="497" t="str">
        <f>AW47</f>
        <v>ND</v>
      </c>
      <c r="AY43" s="497" t="str">
        <f>AX47</f>
        <v>ND</v>
      </c>
      <c r="AZ43" s="498" t="s">
        <v>503</v>
      </c>
      <c r="BA43" s="73">
        <f>AZ47</f>
        <v>27870</v>
      </c>
      <c r="BB43" s="73">
        <f>BA47</f>
        <v>24933</v>
      </c>
      <c r="BC43" s="73">
        <f>BB47</f>
        <v>24911</v>
      </c>
      <c r="BD43" s="73">
        <f>BC47</f>
        <v>24861</v>
      </c>
      <c r="BE43" s="74">
        <f>AZ47</f>
        <v>27870</v>
      </c>
      <c r="BF43" s="73">
        <f>BE47</f>
        <v>24649</v>
      </c>
      <c r="BG43" s="73">
        <f>BF47</f>
        <v>18764</v>
      </c>
      <c r="BH43" s="73">
        <f>BG47</f>
        <v>18784</v>
      </c>
      <c r="BI43" s="73">
        <f>BH47</f>
        <v>18090</v>
      </c>
      <c r="BJ43" s="74">
        <f>BE47</f>
        <v>24649</v>
      </c>
      <c r="BK43" s="73">
        <f>BJ47</f>
        <v>17902</v>
      </c>
      <c r="BL43" s="73">
        <f>BK47</f>
        <v>17941</v>
      </c>
      <c r="BM43" s="73">
        <f>BL47</f>
        <v>17897</v>
      </c>
      <c r="BN43" s="73">
        <f>BM47</f>
        <v>17859</v>
      </c>
      <c r="BO43" s="74">
        <f>BJ47</f>
        <v>17902</v>
      </c>
      <c r="BP43" s="73">
        <f>BO47</f>
        <v>17863</v>
      </c>
      <c r="BQ43" s="73">
        <f>BP47</f>
        <v>17851</v>
      </c>
      <c r="BR43" s="73">
        <f>BQ47</f>
        <v>15047</v>
      </c>
      <c r="BS43" s="73">
        <f>BR47</f>
        <v>14941</v>
      </c>
      <c r="BT43" s="74">
        <f>BO47</f>
        <v>17863</v>
      </c>
      <c r="BU43" s="73">
        <f>BT47</f>
        <v>14941</v>
      </c>
      <c r="BV43" s="73">
        <f>BU47</f>
        <v>14957</v>
      </c>
      <c r="BW43" s="73">
        <f>BV47</f>
        <v>15081</v>
      </c>
      <c r="BX43" s="73">
        <f>BW47</f>
        <v>14486</v>
      </c>
      <c r="BY43" s="74">
        <f>BT47</f>
        <v>14941</v>
      </c>
      <c r="BZ43" s="73">
        <f>BY47</f>
        <v>14516</v>
      </c>
      <c r="CA43" s="73">
        <f>BZ47</f>
        <v>14459</v>
      </c>
      <c r="CB43" s="73">
        <f>CA47</f>
        <v>13864</v>
      </c>
      <c r="CC43" s="73">
        <f>CB47</f>
        <v>13531</v>
      </c>
      <c r="CD43" s="74">
        <f>BY47</f>
        <v>14516</v>
      </c>
      <c r="CE43" s="73">
        <f>CD47</f>
        <v>13562</v>
      </c>
      <c r="CF43" s="73">
        <f>CE47</f>
        <v>13580</v>
      </c>
      <c r="CG43" s="73">
        <f>CF47</f>
        <v>13419</v>
      </c>
      <c r="CH43" s="73">
        <f>CG47</f>
        <v>13419</v>
      </c>
      <c r="CI43" s="74">
        <f>CD47</f>
        <v>13562</v>
      </c>
      <c r="CJ43" s="73">
        <f>CI47</f>
        <v>13436</v>
      </c>
      <c r="CK43" s="73">
        <f>CJ47</f>
        <v>13430</v>
      </c>
      <c r="CL43" s="73">
        <f>CK47</f>
        <v>13420</v>
      </c>
      <c r="CM43" s="73">
        <f>CL47</f>
        <v>13430</v>
      </c>
      <c r="CN43" s="74">
        <f>CI47</f>
        <v>13436</v>
      </c>
      <c r="CO43" s="73">
        <f>CN47</f>
        <v>13428</v>
      </c>
      <c r="CP43" s="73">
        <f>CO47</f>
        <v>13123</v>
      </c>
      <c r="CQ43" s="73">
        <f>CP47</f>
        <v>13086</v>
      </c>
      <c r="CR43" s="73">
        <f>CQ47</f>
        <v>13119</v>
      </c>
      <c r="CS43" s="74">
        <f>CN47</f>
        <v>13428</v>
      </c>
      <c r="CT43" s="73">
        <f>CR47</f>
        <v>13119</v>
      </c>
      <c r="CU43" s="73">
        <f>CT47</f>
        <v>13175</v>
      </c>
      <c r="CV43" s="73">
        <f>CU47</f>
        <v>13176</v>
      </c>
      <c r="CW43" s="73">
        <f>CV47</f>
        <v>13216</v>
      </c>
      <c r="CX43" s="74">
        <f>CS47</f>
        <v>13119</v>
      </c>
      <c r="CY43" s="73">
        <f>CX47</f>
        <v>13216</v>
      </c>
      <c r="CZ43" s="73">
        <f>CY47</f>
        <v>13180</v>
      </c>
      <c r="DA43" s="73">
        <f>CZ47</f>
        <v>13180</v>
      </c>
      <c r="DB43" s="73">
        <f>DA47</f>
        <v>13180</v>
      </c>
      <c r="DC43" s="74">
        <f>CX47</f>
        <v>13216</v>
      </c>
      <c r="DD43" s="73">
        <f>DC47</f>
        <v>20293</v>
      </c>
      <c r="DE43" s="73">
        <f>DD47</f>
        <v>20279</v>
      </c>
      <c r="DF43" s="73">
        <f>DE47</f>
        <v>20553</v>
      </c>
      <c r="DG43" s="73">
        <f>DF47</f>
        <v>20762</v>
      </c>
      <c r="DH43" s="74">
        <f>DC47</f>
        <v>20293</v>
      </c>
      <c r="DI43" s="73">
        <f>DH47</f>
        <v>20814</v>
      </c>
      <c r="DJ43" s="73">
        <f>DI47</f>
        <v>20823</v>
      </c>
      <c r="DK43" s="73">
        <f>DJ47</f>
        <v>20826</v>
      </c>
      <c r="DL43" s="73">
        <f>DK47</f>
        <v>21527</v>
      </c>
      <c r="DM43" s="74">
        <f>DH47</f>
        <v>20814</v>
      </c>
      <c r="DN43" s="73">
        <f>DM47</f>
        <v>22525</v>
      </c>
      <c r="DO43" s="73">
        <f>DN47</f>
        <v>21529</v>
      </c>
      <c r="DP43" s="73">
        <f>DO47</f>
        <v>20380</v>
      </c>
      <c r="DQ43" s="73">
        <f>DP47</f>
        <v>20340</v>
      </c>
      <c r="DR43" s="74">
        <f>DM47</f>
        <v>22525</v>
      </c>
      <c r="DS43" s="73">
        <f>DR47</f>
        <v>20354</v>
      </c>
      <c r="DT43" s="73">
        <f>DS47</f>
        <v>20354</v>
      </c>
      <c r="DU43" s="73">
        <f>DT47</f>
        <v>20354</v>
      </c>
      <c r="DV43" s="73">
        <f>DU47</f>
        <v>20354</v>
      </c>
      <c r="DW43" s="74">
        <f>DR47</f>
        <v>20354</v>
      </c>
      <c r="DX43" s="73">
        <f>DW47</f>
        <v>20354</v>
      </c>
      <c r="DY43" s="73">
        <f>DX47</f>
        <v>20354</v>
      </c>
      <c r="DZ43" s="73">
        <f>DY47</f>
        <v>20354</v>
      </c>
      <c r="EA43" s="73">
        <f>DZ47</f>
        <v>20354</v>
      </c>
      <c r="EB43" s="74">
        <f>DW47</f>
        <v>20354</v>
      </c>
      <c r="EC43" s="73">
        <f>EB47</f>
        <v>20354</v>
      </c>
      <c r="ED43" s="73">
        <f>EC47</f>
        <v>20354</v>
      </c>
      <c r="EE43" s="73">
        <f>ED47</f>
        <v>20354</v>
      </c>
      <c r="EF43" s="73">
        <f>EE47</f>
        <v>20354</v>
      </c>
      <c r="EG43" s="74">
        <f>EB47</f>
        <v>20354</v>
      </c>
      <c r="EH43" s="73">
        <f>EG47</f>
        <v>20354</v>
      </c>
      <c r="EI43" s="73">
        <f>EH47</f>
        <v>20354</v>
      </c>
      <c r="EJ43" s="73">
        <f>EI47</f>
        <v>20354</v>
      </c>
      <c r="EK43" s="73">
        <f>EJ47</f>
        <v>20354</v>
      </c>
      <c r="EL43" s="74">
        <f>EG47</f>
        <v>20354</v>
      </c>
    </row>
    <row r="44" spans="1:142" ht="11.25" customHeight="1">
      <c r="A44" s="499"/>
      <c r="B44" s="499" t="s">
        <v>121</v>
      </c>
      <c r="C44" s="146"/>
      <c r="D44" s="146">
        <v>0</v>
      </c>
      <c r="E44" s="146">
        <v>0</v>
      </c>
      <c r="F44" s="146">
        <v>0</v>
      </c>
      <c r="G44" s="146">
        <v>0</v>
      </c>
      <c r="H44" s="193">
        <f>SUM(D44:G44)</f>
        <v>0</v>
      </c>
      <c r="I44" s="146">
        <v>0</v>
      </c>
      <c r="J44" s="146">
        <v>0</v>
      </c>
      <c r="K44" s="146">
        <v>0</v>
      </c>
      <c r="L44" s="146">
        <v>0</v>
      </c>
      <c r="M44" s="193">
        <f>SUM(I44:L44)</f>
        <v>0</v>
      </c>
      <c r="N44" s="146">
        <v>0</v>
      </c>
      <c r="O44" s="146">
        <v>0</v>
      </c>
      <c r="P44" s="146">
        <v>0</v>
      </c>
      <c r="Q44" s="146">
        <v>0</v>
      </c>
      <c r="R44" s="193">
        <f>SUM(N44:Q44)</f>
        <v>0</v>
      </c>
      <c r="S44" s="146">
        <v>0</v>
      </c>
      <c r="T44" s="146">
        <v>0</v>
      </c>
      <c r="U44" s="146">
        <v>0</v>
      </c>
      <c r="V44" s="146">
        <v>0</v>
      </c>
      <c r="W44" s="193">
        <f>SUM(S44:V44)</f>
        <v>0</v>
      </c>
      <c r="X44" s="146">
        <v>0</v>
      </c>
      <c r="Y44" s="146">
        <v>0</v>
      </c>
      <c r="Z44" s="146">
        <v>0</v>
      </c>
      <c r="AA44" s="146">
        <v>0</v>
      </c>
      <c r="AB44" s="193">
        <f>SUM(X44:AA44)</f>
        <v>0</v>
      </c>
      <c r="AC44" s="146">
        <v>0</v>
      </c>
      <c r="AD44" s="146">
        <v>0</v>
      </c>
      <c r="AE44" s="146">
        <v>0</v>
      </c>
      <c r="AF44" s="146">
        <v>0</v>
      </c>
      <c r="AG44" s="193">
        <f>SUM(AC44:AF44)</f>
        <v>0</v>
      </c>
      <c r="AH44" s="146">
        <v>0</v>
      </c>
      <c r="AI44" s="146">
        <v>0</v>
      </c>
      <c r="AJ44" s="146">
        <v>0</v>
      </c>
      <c r="AK44" s="146">
        <v>0</v>
      </c>
      <c r="AL44" s="193">
        <f>SUM(AH44:AK44)</f>
        <v>0</v>
      </c>
      <c r="AM44" s="146">
        <v>0</v>
      </c>
      <c r="AN44" s="146">
        <v>0</v>
      </c>
      <c r="AO44" s="146">
        <v>0</v>
      </c>
      <c r="AP44" s="146">
        <v>0</v>
      </c>
      <c r="AQ44" s="193">
        <f>SUM(AM44:AP44)</f>
        <v>0</v>
      </c>
      <c r="AR44" s="146">
        <v>0</v>
      </c>
      <c r="AS44" s="146">
        <v>0</v>
      </c>
      <c r="AT44" s="146">
        <v>0</v>
      </c>
      <c r="AU44" s="137"/>
      <c r="AV44" s="73">
        <v>0</v>
      </c>
      <c r="AW44" s="73">
        <v>0</v>
      </c>
      <c r="AX44" s="73">
        <v>0</v>
      </c>
      <c r="AY44" s="73">
        <v>0</v>
      </c>
      <c r="AZ44" s="193">
        <f>SUM(AV44:AY44)</f>
        <v>0</v>
      </c>
      <c r="BA44" s="73">
        <v>0</v>
      </c>
      <c r="BB44" s="73">
        <v>0</v>
      </c>
      <c r="BC44" s="73">
        <v>0</v>
      </c>
      <c r="BD44" s="73">
        <v>0</v>
      </c>
      <c r="BE44" s="193">
        <f>SUM(BA44:BD44)</f>
        <v>0</v>
      </c>
      <c r="BF44" s="73">
        <v>0</v>
      </c>
      <c r="BG44" s="146">
        <f>90+118</f>
        <v>208</v>
      </c>
      <c r="BH44" s="73">
        <v>0</v>
      </c>
      <c r="BI44" s="73">
        <v>0</v>
      </c>
      <c r="BJ44" s="193">
        <f>SUM(BF44:BI44)</f>
        <v>208</v>
      </c>
      <c r="BK44" s="73">
        <f>BK47-BK43</f>
        <v>39</v>
      </c>
      <c r="BL44" s="73">
        <f>BL47-BL43</f>
        <v>-44</v>
      </c>
      <c r="BM44" s="73">
        <f>BM47-BM43</f>
        <v>-38</v>
      </c>
      <c r="BN44" s="73">
        <f>BN47-BN43</f>
        <v>4</v>
      </c>
      <c r="BO44" s="193">
        <f>SUM(BK44:BN44)</f>
        <v>-39</v>
      </c>
      <c r="BP44" s="73">
        <f>BP47-BP43</f>
        <v>-12</v>
      </c>
      <c r="BQ44" s="73">
        <f>BQ47-BQ43</f>
        <v>-2804</v>
      </c>
      <c r="BR44" s="73">
        <f>BR47-BR43</f>
        <v>-106</v>
      </c>
      <c r="BS44" s="73">
        <f>BS47-BS43</f>
        <v>0</v>
      </c>
      <c r="BT44" s="193">
        <f>SUM(BP44:BS44)</f>
        <v>-2922</v>
      </c>
      <c r="BU44" s="73">
        <f>BU47-BU43</f>
        <v>16</v>
      </c>
      <c r="BV44" s="73">
        <f>BV47-BV43</f>
        <v>124</v>
      </c>
      <c r="BW44" s="73">
        <f>BW47-BW43</f>
        <v>-595</v>
      </c>
      <c r="BX44" s="73">
        <f>BX47-BX43</f>
        <v>30</v>
      </c>
      <c r="BY44" s="193">
        <f>SUM(BU44:BX44)</f>
        <v>-425</v>
      </c>
      <c r="BZ44" s="73">
        <f>BZ47-BZ43</f>
        <v>-57</v>
      </c>
      <c r="CA44" s="73">
        <f>CA47-CA43</f>
        <v>-595</v>
      </c>
      <c r="CB44" s="73">
        <f>CB47-CB43</f>
        <v>-333</v>
      </c>
      <c r="CC44" s="73">
        <f>CC47-CC43</f>
        <v>31</v>
      </c>
      <c r="CD44" s="193">
        <f>SUM(BZ44:CC44)</f>
        <v>-954</v>
      </c>
      <c r="CE44" s="73">
        <f>CE47-CE43</f>
        <v>18</v>
      </c>
      <c r="CF44" s="73">
        <f>CF47-CF43</f>
        <v>-161</v>
      </c>
      <c r="CG44" s="73">
        <f>CG47-CG43</f>
        <v>0</v>
      </c>
      <c r="CH44" s="73">
        <f>CH47-CH43</f>
        <v>17</v>
      </c>
      <c r="CI44" s="193">
        <f>SUM(CE44:CH44)</f>
        <v>-126</v>
      </c>
      <c r="CJ44" s="73">
        <f>CJ47-CJ43</f>
        <v>-6</v>
      </c>
      <c r="CK44" s="73">
        <f>CK47-CK43</f>
        <v>-10</v>
      </c>
      <c r="CL44" s="73">
        <f>CL47-CL43</f>
        <v>10</v>
      </c>
      <c r="CM44" s="73">
        <f>CM47-CM43</f>
        <v>-2</v>
      </c>
      <c r="CN44" s="193">
        <f>SUM(CJ44:CM44)</f>
        <v>-8</v>
      </c>
      <c r="CO44" s="73">
        <f>CO47-CO43</f>
        <v>-305</v>
      </c>
      <c r="CP44" s="73">
        <f>CP47-CP43</f>
        <v>-37</v>
      </c>
      <c r="CQ44" s="73">
        <f>CQ47-CQ43</f>
        <v>33</v>
      </c>
      <c r="CR44" s="73">
        <f>CR47-CR43</f>
        <v>0</v>
      </c>
      <c r="CS44" s="193">
        <f>SUM(CO44:CR44)</f>
        <v>-309</v>
      </c>
      <c r="CT44" s="73">
        <f>CT47-CT43</f>
        <v>56</v>
      </c>
      <c r="CU44" s="73">
        <f>CU47-CU43</f>
        <v>1</v>
      </c>
      <c r="CV44" s="73">
        <f>CV47-CV43</f>
        <v>40</v>
      </c>
      <c r="CW44" s="73">
        <f>CW47-CW43</f>
        <v>0</v>
      </c>
      <c r="CX44" s="193">
        <f>SUM(CT44:CW44)</f>
        <v>97</v>
      </c>
      <c r="CY44" s="73">
        <f>CY47-CY43</f>
        <v>-36</v>
      </c>
      <c r="CZ44" s="73">
        <f>CZ47-CZ43</f>
        <v>0</v>
      </c>
      <c r="DA44" s="73">
        <f>DA47-DA43</f>
        <v>0</v>
      </c>
      <c r="DB44" s="73">
        <f>DB47-DB43</f>
        <v>7113</v>
      </c>
      <c r="DC44" s="193">
        <f>SUM(CY44:DB44)</f>
        <v>7077</v>
      </c>
      <c r="DD44" s="73">
        <f>DD47-DD43</f>
        <v>-14</v>
      </c>
      <c r="DE44" s="73">
        <f>DE47-DE43</f>
        <v>274</v>
      </c>
      <c r="DF44" s="73">
        <f>DF47-DF43</f>
        <v>209</v>
      </c>
      <c r="DG44" s="73">
        <f>DG47-DG43</f>
        <v>52</v>
      </c>
      <c r="DH44" s="193">
        <f>SUM(DD44:DG44)</f>
        <v>521</v>
      </c>
      <c r="DI44" s="73">
        <f>DI47-DI43</f>
        <v>9</v>
      </c>
      <c r="DJ44" s="73">
        <f>DJ47-DJ43</f>
        <v>3</v>
      </c>
      <c r="DK44" s="73">
        <f>DK47-DK43</f>
        <v>701</v>
      </c>
      <c r="DL44" s="73">
        <f>DL47-DL43</f>
        <v>998</v>
      </c>
      <c r="DM44" s="193">
        <f>SUM(DI44:DL44)</f>
        <v>1711</v>
      </c>
      <c r="DN44" s="73">
        <f>DN47-DN43</f>
        <v>-996</v>
      </c>
      <c r="DO44" s="73">
        <f>DO47-DO43</f>
        <v>-1149</v>
      </c>
      <c r="DP44" s="73">
        <f>DP47-DP43</f>
        <v>-40</v>
      </c>
      <c r="DQ44" s="73">
        <f>DQ47-DQ43</f>
        <v>14</v>
      </c>
      <c r="DR44" s="193">
        <f>SUM(DN44:DQ44)</f>
        <v>-2171</v>
      </c>
      <c r="DS44" s="1416">
        <v>0</v>
      </c>
      <c r="DT44" s="1416">
        <v>0</v>
      </c>
      <c r="DU44" s="1416">
        <v>0</v>
      </c>
      <c r="DV44" s="1416">
        <v>0</v>
      </c>
      <c r="DW44" s="193">
        <f>SUM(DS44:DV44)</f>
        <v>0</v>
      </c>
      <c r="DX44" s="1416">
        <v>0</v>
      </c>
      <c r="DY44" s="1416">
        <v>0</v>
      </c>
      <c r="DZ44" s="1416">
        <v>0</v>
      </c>
      <c r="EA44" s="1416">
        <v>0</v>
      </c>
      <c r="EB44" s="193">
        <f>SUM(DX44:EA44)</f>
        <v>0</v>
      </c>
      <c r="EC44" s="1416">
        <v>0</v>
      </c>
      <c r="ED44" s="1416">
        <v>0</v>
      </c>
      <c r="EE44" s="1416">
        <v>0</v>
      </c>
      <c r="EF44" s="1416">
        <v>0</v>
      </c>
      <c r="EG44" s="193">
        <f>SUM(EC44:EF44)</f>
        <v>0</v>
      </c>
      <c r="EH44" s="1416">
        <v>0</v>
      </c>
      <c r="EI44" s="1416">
        <v>0</v>
      </c>
      <c r="EJ44" s="1416">
        <v>0</v>
      </c>
      <c r="EK44" s="1416">
        <v>0</v>
      </c>
      <c r="EL44" s="193">
        <f>SUM(EH44:EK44)</f>
        <v>0</v>
      </c>
    </row>
    <row r="45" spans="1:142" ht="11.25" customHeight="1">
      <c r="A45" s="499"/>
      <c r="B45" s="499" t="s">
        <v>122</v>
      </c>
      <c r="C45" s="146"/>
      <c r="D45" s="146">
        <v>0</v>
      </c>
      <c r="E45" s="146">
        <v>0</v>
      </c>
      <c r="F45" s="146">
        <v>0</v>
      </c>
      <c r="G45" s="146">
        <v>0</v>
      </c>
      <c r="H45" s="193">
        <f>SUM(D45:G45)</f>
        <v>0</v>
      </c>
      <c r="I45" s="146">
        <f>759</f>
        <v>759</v>
      </c>
      <c r="J45" s="146">
        <v>471</v>
      </c>
      <c r="K45" s="146">
        <v>0</v>
      </c>
      <c r="L45" s="146">
        <v>0</v>
      </c>
      <c r="M45" s="193">
        <f>SUM(I45:L45)</f>
        <v>1230</v>
      </c>
      <c r="N45" s="146">
        <v>0</v>
      </c>
      <c r="O45" s="146">
        <v>0</v>
      </c>
      <c r="P45" s="146">
        <v>0</v>
      </c>
      <c r="Q45" s="146">
        <v>0</v>
      </c>
      <c r="R45" s="193">
        <f>SUM(N45:Q45)</f>
        <v>0</v>
      </c>
      <c r="S45" s="146">
        <v>0</v>
      </c>
      <c r="T45" s="146">
        <v>0</v>
      </c>
      <c r="U45" s="146">
        <v>0</v>
      </c>
      <c r="V45" s="146">
        <v>0</v>
      </c>
      <c r="W45" s="193">
        <f>SUM(S45:V45)</f>
        <v>0</v>
      </c>
      <c r="X45" s="146">
        <v>0</v>
      </c>
      <c r="Y45" s="146">
        <v>2484</v>
      </c>
      <c r="Z45" s="146">
        <v>0</v>
      </c>
      <c r="AA45" s="146">
        <v>0</v>
      </c>
      <c r="AB45" s="193">
        <f>SUM(X45:AA45)</f>
        <v>2484</v>
      </c>
      <c r="AC45" s="146">
        <v>0</v>
      </c>
      <c r="AD45" s="146">
        <v>0</v>
      </c>
      <c r="AE45" s="146">
        <v>0</v>
      </c>
      <c r="AF45" s="146">
        <v>0</v>
      </c>
      <c r="AG45" s="193">
        <f>SUM(AC45:AF45)</f>
        <v>0</v>
      </c>
      <c r="AH45" s="146">
        <v>0</v>
      </c>
      <c r="AI45" s="146">
        <v>0</v>
      </c>
      <c r="AJ45" s="146">
        <v>0</v>
      </c>
      <c r="AK45" s="146">
        <v>0</v>
      </c>
      <c r="AL45" s="193">
        <f>SUM(AH45:AK45)</f>
        <v>0</v>
      </c>
      <c r="AM45" s="73">
        <f>$AQ$45/4</f>
        <v>382</v>
      </c>
      <c r="AN45" s="73">
        <f>$AQ$45/4</f>
        <v>382</v>
      </c>
      <c r="AO45" s="73">
        <f>$AQ$45/4</f>
        <v>382</v>
      </c>
      <c r="AP45" s="73">
        <f>$AQ$45/4</f>
        <v>382</v>
      </c>
      <c r="AQ45" s="88">
        <v>1528</v>
      </c>
      <c r="AR45" s="146">
        <v>0</v>
      </c>
      <c r="AS45" s="146">
        <v>0</v>
      </c>
      <c r="AT45" s="146">
        <v>0</v>
      </c>
      <c r="AU45" s="137"/>
      <c r="AV45" s="73">
        <v>0</v>
      </c>
      <c r="AW45" s="73">
        <v>0</v>
      </c>
      <c r="AX45" s="73">
        <v>0</v>
      </c>
      <c r="AY45" s="73">
        <v>0</v>
      </c>
      <c r="AZ45" s="193">
        <f>SUM(AV45:AY45)</f>
        <v>0</v>
      </c>
      <c r="BA45" s="73">
        <v>0</v>
      </c>
      <c r="BB45" s="73">
        <v>0</v>
      </c>
      <c r="BC45" s="73">
        <v>0</v>
      </c>
      <c r="BD45" s="146">
        <v>60</v>
      </c>
      <c r="BE45" s="193">
        <f>SUM(BA45:BD45)</f>
        <v>60</v>
      </c>
      <c r="BF45" s="73">
        <v>0</v>
      </c>
      <c r="BG45" s="73">
        <v>0</v>
      </c>
      <c r="BH45" s="73">
        <v>0</v>
      </c>
      <c r="BI45" s="73">
        <v>0</v>
      </c>
      <c r="BJ45" s="193">
        <f>SUM(BF45:BI45)</f>
        <v>0</v>
      </c>
      <c r="BK45" s="162"/>
      <c r="BL45" s="162"/>
      <c r="BM45" s="162"/>
      <c r="BN45" s="162"/>
      <c r="BO45" s="193">
        <f>SUM(BK45:BN45)</f>
        <v>0</v>
      </c>
      <c r="BP45" s="162"/>
      <c r="BQ45" s="162"/>
      <c r="BR45" s="162"/>
      <c r="BS45" s="162"/>
      <c r="BT45" s="193">
        <f>SUM(BP45:BS45)</f>
        <v>0</v>
      </c>
      <c r="BU45" s="162"/>
      <c r="BV45" s="162"/>
      <c r="BW45" s="162"/>
      <c r="BX45" s="162"/>
      <c r="BY45" s="193">
        <f>SUM(BU45:BX45)</f>
        <v>0</v>
      </c>
      <c r="BZ45" s="162"/>
      <c r="CA45" s="162"/>
      <c r="CB45" s="162"/>
      <c r="CC45" s="162"/>
      <c r="CD45" s="193">
        <f>SUM(BZ45:CC45)</f>
        <v>0</v>
      </c>
      <c r="CE45" s="162"/>
      <c r="CF45" s="162"/>
      <c r="CG45" s="162"/>
      <c r="CH45" s="162"/>
      <c r="CI45" s="193">
        <f>SUM(CE45:CH45)</f>
        <v>0</v>
      </c>
      <c r="CJ45" s="162"/>
      <c r="CK45" s="162"/>
      <c r="CL45" s="162"/>
      <c r="CM45" s="162"/>
      <c r="CN45" s="193">
        <f>SUM(CJ45:CM45)</f>
        <v>0</v>
      </c>
      <c r="CO45" s="162"/>
      <c r="CP45" s="162"/>
      <c r="CQ45" s="162"/>
      <c r="CR45" s="162"/>
      <c r="CS45" s="193">
        <f>SUM(CO45:CR45)</f>
        <v>0</v>
      </c>
      <c r="CT45" s="162"/>
      <c r="CU45" s="162"/>
      <c r="CV45" s="162"/>
      <c r="CW45" s="162"/>
      <c r="CX45" s="193">
        <f>SUM(CT45:CW45)</f>
        <v>0</v>
      </c>
      <c r="CY45" s="162"/>
      <c r="CZ45" s="162"/>
      <c r="DA45" s="162"/>
      <c r="DB45" s="162"/>
      <c r="DC45" s="193">
        <f>SUM(CY45:DB45)</f>
        <v>0</v>
      </c>
      <c r="DD45" s="162"/>
      <c r="DE45" s="162"/>
      <c r="DF45" s="162"/>
      <c r="DG45" s="162"/>
      <c r="DH45" s="193">
        <f>SUM(DD45:DG45)</f>
        <v>0</v>
      </c>
      <c r="DI45" s="1416">
        <v>0</v>
      </c>
      <c r="DJ45" s="1416">
        <v>0</v>
      </c>
      <c r="DK45" s="1416">
        <v>0</v>
      </c>
      <c r="DL45" s="1416">
        <v>0</v>
      </c>
      <c r="DM45" s="193">
        <f>SUM(DI45:DL45)</f>
        <v>0</v>
      </c>
      <c r="DN45" s="1416">
        <v>0</v>
      </c>
      <c r="DO45" s="1416">
        <v>0</v>
      </c>
      <c r="DP45" s="1416">
        <v>0</v>
      </c>
      <c r="DQ45" s="1416">
        <v>0</v>
      </c>
      <c r="DR45" s="193">
        <f>SUM(DN45:DQ45)</f>
        <v>0</v>
      </c>
      <c r="DS45" s="1416">
        <v>0</v>
      </c>
      <c r="DT45" s="1416">
        <v>0</v>
      </c>
      <c r="DU45" s="1416">
        <v>0</v>
      </c>
      <c r="DV45" s="1416">
        <v>0</v>
      </c>
      <c r="DW45" s="193">
        <f>SUM(DS45:DV45)</f>
        <v>0</v>
      </c>
      <c r="DX45" s="1416">
        <v>0</v>
      </c>
      <c r="DY45" s="1416">
        <v>0</v>
      </c>
      <c r="DZ45" s="1416">
        <v>0</v>
      </c>
      <c r="EA45" s="1416">
        <v>0</v>
      </c>
      <c r="EB45" s="193">
        <f>SUM(DX45:EA45)</f>
        <v>0</v>
      </c>
      <c r="EC45" s="1416">
        <v>0</v>
      </c>
      <c r="ED45" s="1416">
        <v>0</v>
      </c>
      <c r="EE45" s="1416">
        <v>0</v>
      </c>
      <c r="EF45" s="1416">
        <v>0</v>
      </c>
      <c r="EG45" s="193">
        <f>SUM(EC45:EF45)</f>
        <v>0</v>
      </c>
      <c r="EH45" s="1416">
        <v>0</v>
      </c>
      <c r="EI45" s="1416">
        <v>0</v>
      </c>
      <c r="EJ45" s="1416">
        <v>0</v>
      </c>
      <c r="EK45" s="1416">
        <v>0</v>
      </c>
      <c r="EL45" s="193">
        <f>SUM(EH45:EK45)</f>
        <v>0</v>
      </c>
    </row>
    <row r="46" spans="1:142" ht="11.25" customHeight="1">
      <c r="A46" s="499"/>
      <c r="B46" s="499" t="s">
        <v>123</v>
      </c>
      <c r="C46" s="504"/>
      <c r="D46" s="504">
        <f>D47-SUM(D43:D45)</f>
        <v>-251</v>
      </c>
      <c r="E46" s="504">
        <f>E47-SUM(E43:E45)</f>
        <v>0</v>
      </c>
      <c r="F46" s="504">
        <f>F47-SUM(F43:F45)</f>
        <v>-2</v>
      </c>
      <c r="G46" s="504">
        <f>G47-SUM(G43:G45)</f>
        <v>9002</v>
      </c>
      <c r="H46" s="500">
        <f>SUM(D46:G46)</f>
        <v>8749</v>
      </c>
      <c r="I46" s="504">
        <f>I47-SUM(I43:I45)</f>
        <v>-171</v>
      </c>
      <c r="J46" s="504">
        <f>J47-SUM(J43:J45)</f>
        <v>146</v>
      </c>
      <c r="K46" s="504">
        <f>K47-SUM(K43:K45)</f>
        <v>47</v>
      </c>
      <c r="L46" s="504">
        <f>L47-SUM(L43:L45)</f>
        <v>-208</v>
      </c>
      <c r="M46" s="500">
        <f>SUM(I46:L46)</f>
        <v>-186</v>
      </c>
      <c r="N46" s="504">
        <f>N47-SUM(N43:N45)</f>
        <v>365</v>
      </c>
      <c r="O46" s="504">
        <f>O47-SUM(O43:O45)</f>
        <v>313</v>
      </c>
      <c r="P46" s="504">
        <f>P47-SUM(P43:P45)</f>
        <v>10022</v>
      </c>
      <c r="Q46" s="504">
        <f>Q47-SUM(Q43:Q45)</f>
        <v>593</v>
      </c>
      <c r="R46" s="500">
        <f>SUM(N46:Q46)</f>
        <v>11293</v>
      </c>
      <c r="S46" s="504">
        <f>S47-SUM(S43:S45)</f>
        <v>732</v>
      </c>
      <c r="T46" s="504">
        <f>T47-SUM(T43:T45)</f>
        <v>24</v>
      </c>
      <c r="U46" s="504">
        <f>U47-SUM(U43:U45)</f>
        <v>-282</v>
      </c>
      <c r="V46" s="504">
        <f>V47-SUM(V43:V45)</f>
        <v>-566</v>
      </c>
      <c r="W46" s="500">
        <f>SUM(S46:V46)</f>
        <v>-92</v>
      </c>
      <c r="X46" s="504">
        <f>X47-SUM(X43:X45)</f>
        <v>259</v>
      </c>
      <c r="Y46" s="504">
        <f>Y47-SUM(Y43:Y45)</f>
        <v>-200</v>
      </c>
      <c r="Z46" s="504">
        <f>Z47-SUM(Z43:Z45)</f>
        <v>61</v>
      </c>
      <c r="AA46" s="504">
        <f>AA47-SUM(AA43:AA45)</f>
        <v>320</v>
      </c>
      <c r="AB46" s="500">
        <f>SUM(X46:AA46)</f>
        <v>440</v>
      </c>
      <c r="AC46" s="504">
        <f>AC47-SUM(AC43:AC45)</f>
        <v>-60</v>
      </c>
      <c r="AD46" s="504">
        <f>AD47-SUM(AD43:AD45)</f>
        <v>-3106</v>
      </c>
      <c r="AE46" s="504">
        <f>AE47-SUM(AE43:AE45)</f>
        <v>-211</v>
      </c>
      <c r="AF46" s="504">
        <f>AF47-SUM(AF43:AF45)</f>
        <v>-475</v>
      </c>
      <c r="AG46" s="500">
        <f>SUM(AC46:AF46)</f>
        <v>-3852</v>
      </c>
      <c r="AH46" s="504">
        <f>AH47-SUM(AH43:AH45)</f>
        <v>26</v>
      </c>
      <c r="AI46" s="504">
        <f>AI47-SUM(AI43:AI45)</f>
        <v>43</v>
      </c>
      <c r="AJ46" s="504">
        <f>AJ47-SUM(AJ43:AJ45)</f>
        <v>-77</v>
      </c>
      <c r="AK46" s="504">
        <f>AK47-SUM(AK43:AK45)</f>
        <v>346</v>
      </c>
      <c r="AL46" s="500">
        <f>SUM(AH46:AK46)</f>
        <v>338</v>
      </c>
      <c r="AM46" s="504">
        <f>AM47-SUM(AM43:AM45)</f>
        <v>507</v>
      </c>
      <c r="AN46" s="504">
        <f>AN47-SUM(AN43:AN45)</f>
        <v>-286</v>
      </c>
      <c r="AO46" s="504">
        <f>AO47-SUM(AO43:AO45)</f>
        <v>33</v>
      </c>
      <c r="AP46" s="504">
        <f>AP47-SUM(AP43:AP45)</f>
        <v>-392</v>
      </c>
      <c r="AQ46" s="500">
        <f>SUM(AM46:AP46)</f>
        <v>-138</v>
      </c>
      <c r="AR46" s="504">
        <f>AR47-SUM(AR43:AR45)</f>
        <v>-533</v>
      </c>
      <c r="AS46" s="504">
        <f>AS47-SUM(AS43:AS45)</f>
        <v>-386</v>
      </c>
      <c r="AT46" s="504">
        <f>AT47-SUM(AT43:AT45)</f>
        <v>134</v>
      </c>
      <c r="AU46" s="137"/>
      <c r="AV46" s="505" t="str">
        <f>IF(ISERROR(AV47-SUM(AV43:AV45)),"nm",AV47-SUM(AV43:AV45))</f>
        <v>nm</v>
      </c>
      <c r="AW46" s="505" t="str">
        <f>IF(ISERROR(AW47-SUM(AW43:AW45)),"nm",AW47-SUM(AW43:AW45))</f>
        <v>nm</v>
      </c>
      <c r="AX46" s="505" t="str">
        <f>IF(ISERROR(AX47-SUM(AX43:AX45)),"nm",AX47-SUM(AX43:AX45))</f>
        <v>nm</v>
      </c>
      <c r="AY46" s="505" t="str">
        <f>IF(ISERROR(AY47-SUM(AY43:AY45)),"nm",AY47-SUM(AY43:AY45))</f>
        <v>nm</v>
      </c>
      <c r="AZ46" s="500">
        <f>SUM(AV46:AY46)</f>
        <v>0</v>
      </c>
      <c r="BA46" s="504">
        <f>BA47-SUM(BA43:BA45)</f>
        <v>-2937</v>
      </c>
      <c r="BB46" s="504">
        <f>BB47-SUM(BB43:BB45)</f>
        <v>-22</v>
      </c>
      <c r="BC46" s="504">
        <f>BC47-SUM(BC43:BC45)</f>
        <v>-50</v>
      </c>
      <c r="BD46" s="504">
        <f>BD47-SUM(BD43:BD45)</f>
        <v>-272</v>
      </c>
      <c r="BE46" s="500">
        <f>SUM(BA46:BD46)</f>
        <v>-3281</v>
      </c>
      <c r="BF46" s="504">
        <f>BF47-SUM(BF43:BF45)</f>
        <v>-5885</v>
      </c>
      <c r="BG46" s="504">
        <f>BG47-SUM(BG43:BG45)</f>
        <v>-188</v>
      </c>
      <c r="BH46" s="504">
        <f>BH47-SUM(BH43:BH45)</f>
        <v>-694</v>
      </c>
      <c r="BI46" s="504">
        <f>BI47-SUM(BI43:BI45)</f>
        <v>-188</v>
      </c>
      <c r="BJ46" s="500">
        <f>SUM(BF46:BI46)</f>
        <v>-6955</v>
      </c>
      <c r="BK46" s="506"/>
      <c r="BL46" s="506"/>
      <c r="BM46" s="506"/>
      <c r="BN46" s="506"/>
      <c r="BO46" s="500">
        <f>SUM(BK46:BN46)</f>
        <v>0</v>
      </c>
      <c r="BP46" s="506"/>
      <c r="BQ46" s="506"/>
      <c r="BR46" s="506"/>
      <c r="BS46" s="506"/>
      <c r="BT46" s="500">
        <f>SUM(BP46:BS46)</f>
        <v>0</v>
      </c>
      <c r="BU46" s="506"/>
      <c r="BV46" s="506"/>
      <c r="BW46" s="506"/>
      <c r="BX46" s="506"/>
      <c r="BY46" s="500">
        <f>SUM(BU46:BX46)</f>
        <v>0</v>
      </c>
      <c r="BZ46" s="506"/>
      <c r="CA46" s="506"/>
      <c r="CB46" s="506"/>
      <c r="CC46" s="506"/>
      <c r="CD46" s="500">
        <f>SUM(BZ46:CC46)</f>
        <v>0</v>
      </c>
      <c r="CE46" s="506"/>
      <c r="CF46" s="506"/>
      <c r="CG46" s="506"/>
      <c r="CH46" s="506"/>
      <c r="CI46" s="500">
        <f>SUM(CE46:CH46)</f>
        <v>0</v>
      </c>
      <c r="CJ46" s="506"/>
      <c r="CK46" s="506"/>
      <c r="CL46" s="506"/>
      <c r="CM46" s="506"/>
      <c r="CN46" s="500">
        <f>SUM(CJ46:CM46)</f>
        <v>0</v>
      </c>
      <c r="CO46" s="506"/>
      <c r="CP46" s="506"/>
      <c r="CQ46" s="506"/>
      <c r="CR46" s="506"/>
      <c r="CS46" s="500">
        <f>SUM(CO46:CR46)</f>
        <v>0</v>
      </c>
      <c r="CT46" s="506"/>
      <c r="CU46" s="506"/>
      <c r="CV46" s="506"/>
      <c r="CW46" s="506"/>
      <c r="CX46" s="500">
        <f>SUM(CT46:CW46)</f>
        <v>0</v>
      </c>
      <c r="CY46" s="506"/>
      <c r="CZ46" s="506"/>
      <c r="DA46" s="506"/>
      <c r="DB46" s="506"/>
      <c r="DC46" s="500">
        <f>SUM(CY46:DB46)</f>
        <v>0</v>
      </c>
      <c r="DD46" s="506"/>
      <c r="DE46" s="506"/>
      <c r="DF46" s="506"/>
      <c r="DG46" s="506"/>
      <c r="DH46" s="500">
        <f>SUM(DD46:DG46)</f>
        <v>0</v>
      </c>
      <c r="DI46" s="1450">
        <v>0</v>
      </c>
      <c r="DJ46" s="1450">
        <v>0</v>
      </c>
      <c r="DK46" s="1450">
        <v>0</v>
      </c>
      <c r="DL46" s="1450">
        <v>0</v>
      </c>
      <c r="DM46" s="500">
        <f>SUM(DI46:DL46)</f>
        <v>0</v>
      </c>
      <c r="DN46" s="1450">
        <v>0</v>
      </c>
      <c r="DO46" s="1450">
        <v>0</v>
      </c>
      <c r="DP46" s="1450">
        <v>0</v>
      </c>
      <c r="DQ46" s="1450">
        <v>0</v>
      </c>
      <c r="DR46" s="500">
        <f>SUM(DN46:DQ46)</f>
        <v>0</v>
      </c>
      <c r="DS46" s="1450">
        <v>0</v>
      </c>
      <c r="DT46" s="1450">
        <v>0</v>
      </c>
      <c r="DU46" s="1450">
        <v>0</v>
      </c>
      <c r="DV46" s="1450">
        <v>0</v>
      </c>
      <c r="DW46" s="500">
        <f>SUM(DS46:DV46)</f>
        <v>0</v>
      </c>
      <c r="DX46" s="1450">
        <v>0</v>
      </c>
      <c r="DY46" s="1450">
        <v>0</v>
      </c>
      <c r="DZ46" s="1450">
        <v>0</v>
      </c>
      <c r="EA46" s="1450">
        <v>0</v>
      </c>
      <c r="EB46" s="500">
        <f>SUM(DX46:EA46)</f>
        <v>0</v>
      </c>
      <c r="EC46" s="1450">
        <v>0</v>
      </c>
      <c r="ED46" s="1450">
        <v>0</v>
      </c>
      <c r="EE46" s="1450">
        <v>0</v>
      </c>
      <c r="EF46" s="1450">
        <v>0</v>
      </c>
      <c r="EG46" s="500">
        <f>SUM(EC46:EF46)</f>
        <v>0</v>
      </c>
      <c r="EH46" s="1450">
        <v>0</v>
      </c>
      <c r="EI46" s="1450">
        <v>0</v>
      </c>
      <c r="EJ46" s="1450">
        <v>0</v>
      </c>
      <c r="EK46" s="1450">
        <v>0</v>
      </c>
      <c r="EL46" s="500">
        <f>SUM(EH46:EK46)</f>
        <v>0</v>
      </c>
    </row>
    <row r="47" spans="1:142" ht="11.25" customHeight="1">
      <c r="A47" s="159"/>
      <c r="B47" s="159" t="s">
        <v>127</v>
      </c>
      <c r="C47" s="507"/>
      <c r="D47" s="507">
        <f>D268</f>
        <v>6622</v>
      </c>
      <c r="E47" s="507">
        <f>E268</f>
        <v>6622</v>
      </c>
      <c r="F47" s="507">
        <f>F268</f>
        <v>6620</v>
      </c>
      <c r="G47" s="507">
        <f>G268</f>
        <v>15622</v>
      </c>
      <c r="H47" s="193">
        <f>SUM(H43:H46)</f>
        <v>15622</v>
      </c>
      <c r="I47" s="507">
        <f>I268</f>
        <v>16210</v>
      </c>
      <c r="J47" s="507">
        <f>J268</f>
        <v>16827</v>
      </c>
      <c r="K47" s="507">
        <f>K268</f>
        <v>16874</v>
      </c>
      <c r="L47" s="507">
        <f>L268</f>
        <v>16666</v>
      </c>
      <c r="M47" s="193">
        <f>SUM(M43:M46)</f>
        <v>16666</v>
      </c>
      <c r="N47" s="507">
        <f>N268</f>
        <v>17031</v>
      </c>
      <c r="O47" s="507">
        <f>O268</f>
        <v>17344</v>
      </c>
      <c r="P47" s="507">
        <f>P268</f>
        <v>27366</v>
      </c>
      <c r="Q47" s="507">
        <f>Q268</f>
        <v>27959</v>
      </c>
      <c r="R47" s="193">
        <f>SUM(R43:R46)</f>
        <v>27959</v>
      </c>
      <c r="S47" s="507">
        <f>S268</f>
        <v>28691</v>
      </c>
      <c r="T47" s="507">
        <f>T268</f>
        <v>28715</v>
      </c>
      <c r="U47" s="507">
        <f>U268</f>
        <v>28433</v>
      </c>
      <c r="V47" s="507">
        <f>V268</f>
        <v>27867</v>
      </c>
      <c r="W47" s="193">
        <f>SUM(W43:W46)</f>
        <v>27867</v>
      </c>
      <c r="X47" s="507">
        <f>X268</f>
        <v>28126</v>
      </c>
      <c r="Y47" s="507">
        <f>Y268</f>
        <v>30410</v>
      </c>
      <c r="Z47" s="507">
        <f>Z268</f>
        <v>30471</v>
      </c>
      <c r="AA47" s="507">
        <f>AA268</f>
        <v>30791</v>
      </c>
      <c r="AB47" s="193">
        <f>SUM(AB43:AB46)</f>
        <v>30791</v>
      </c>
      <c r="AC47" s="507">
        <f>AC268</f>
        <v>30731</v>
      </c>
      <c r="AD47" s="507">
        <f>AD268</f>
        <v>27625</v>
      </c>
      <c r="AE47" s="507">
        <f>AE268</f>
        <v>27414</v>
      </c>
      <c r="AF47" s="507">
        <f>AF268</f>
        <v>26939</v>
      </c>
      <c r="AG47" s="193">
        <f>SUM(AG43:AG46)</f>
        <v>26939</v>
      </c>
      <c r="AH47" s="507">
        <f>AH268</f>
        <v>26965</v>
      </c>
      <c r="AI47" s="507">
        <f>AI268</f>
        <v>27008</v>
      </c>
      <c r="AJ47" s="507">
        <f>AJ268</f>
        <v>26931</v>
      </c>
      <c r="AK47" s="507">
        <f>AK268</f>
        <v>27277</v>
      </c>
      <c r="AL47" s="193">
        <f>SUM(AL43:AL46)</f>
        <v>27277</v>
      </c>
      <c r="AM47" s="507">
        <f>AM268</f>
        <v>28166</v>
      </c>
      <c r="AN47" s="507">
        <f>AN268</f>
        <v>28262</v>
      </c>
      <c r="AO47" s="507">
        <f>AO268</f>
        <v>28677</v>
      </c>
      <c r="AP47" s="507">
        <f>AP268</f>
        <v>28667</v>
      </c>
      <c r="AQ47" s="193">
        <f>SUM(AQ43:AQ46)</f>
        <v>28667</v>
      </c>
      <c r="AR47" s="507">
        <f>AR268</f>
        <v>28134</v>
      </c>
      <c r="AS47" s="507">
        <f>AS268</f>
        <v>27748</v>
      </c>
      <c r="AT47" s="507">
        <f>AT268</f>
        <v>27882</v>
      </c>
      <c r="AU47" s="137"/>
      <c r="AV47" s="507" t="str">
        <f>AV268</f>
        <v>ND</v>
      </c>
      <c r="AW47" s="507" t="str">
        <f>AW268</f>
        <v>ND</v>
      </c>
      <c r="AX47" s="507" t="str">
        <f>AX268</f>
        <v>ND</v>
      </c>
      <c r="AY47" s="507" t="str">
        <f>AY268</f>
        <v>ND</v>
      </c>
      <c r="AZ47" s="88">
        <v>27870</v>
      </c>
      <c r="BA47" s="90">
        <f>BA268</f>
        <v>24933</v>
      </c>
      <c r="BB47" s="90">
        <f>BB268</f>
        <v>24911</v>
      </c>
      <c r="BC47" s="90">
        <f>BC268</f>
        <v>24861</v>
      </c>
      <c r="BD47" s="90">
        <f>BD268</f>
        <v>24649</v>
      </c>
      <c r="BE47" s="193">
        <f>SUM(BE43:BE46)</f>
        <v>24649</v>
      </c>
      <c r="BF47" s="90">
        <f>BF268</f>
        <v>18764</v>
      </c>
      <c r="BG47" s="90">
        <f>BG268</f>
        <v>18784</v>
      </c>
      <c r="BH47" s="90">
        <f>BH268</f>
        <v>18090</v>
      </c>
      <c r="BI47" s="90">
        <f>BI268</f>
        <v>17902</v>
      </c>
      <c r="BJ47" s="193">
        <f>SUM(BJ43:BJ46)</f>
        <v>17902</v>
      </c>
      <c r="BK47" s="90">
        <f>BK268</f>
        <v>17941</v>
      </c>
      <c r="BL47" s="90">
        <f>BL268</f>
        <v>17897</v>
      </c>
      <c r="BM47" s="90">
        <f>BM268</f>
        <v>17859</v>
      </c>
      <c r="BN47" s="90">
        <f>BN268</f>
        <v>17863</v>
      </c>
      <c r="BO47" s="193">
        <f>SUM(BO43:BO46)</f>
        <v>17863</v>
      </c>
      <c r="BP47" s="90">
        <f>BP268</f>
        <v>17851</v>
      </c>
      <c r="BQ47" s="90">
        <f>BQ268</f>
        <v>15047</v>
      </c>
      <c r="BR47" s="90">
        <f>BR268</f>
        <v>14941</v>
      </c>
      <c r="BS47" s="90">
        <f>BS268</f>
        <v>14941</v>
      </c>
      <c r="BT47" s="193">
        <f>BT43+BT44+BT45+BT46</f>
        <v>14941</v>
      </c>
      <c r="BU47" s="90">
        <f>BU268</f>
        <v>14957</v>
      </c>
      <c r="BV47" s="90">
        <f>BV268</f>
        <v>15081</v>
      </c>
      <c r="BW47" s="90">
        <f>BW268</f>
        <v>14486</v>
      </c>
      <c r="BX47" s="90">
        <f>BX268</f>
        <v>14516</v>
      </c>
      <c r="BY47" s="193">
        <f>BY43+BY44+BY45+BY46</f>
        <v>14516</v>
      </c>
      <c r="BZ47" s="90">
        <f>BZ268</f>
        <v>14459</v>
      </c>
      <c r="CA47" s="90">
        <f>CA268</f>
        <v>13864</v>
      </c>
      <c r="CB47" s="90">
        <f>CB268</f>
        <v>13531</v>
      </c>
      <c r="CC47" s="90">
        <f>CC268</f>
        <v>13562</v>
      </c>
      <c r="CD47" s="193">
        <f>CD43+CD44+CD45+CD46</f>
        <v>13562</v>
      </c>
      <c r="CE47" s="90">
        <f>CE268</f>
        <v>13580</v>
      </c>
      <c r="CF47" s="90">
        <f>CF268</f>
        <v>13419</v>
      </c>
      <c r="CG47" s="90">
        <f>CG268</f>
        <v>13419</v>
      </c>
      <c r="CH47" s="90">
        <f>CH268</f>
        <v>13436</v>
      </c>
      <c r="CI47" s="193">
        <f>CI43+CI44+CI45+CI46</f>
        <v>13436</v>
      </c>
      <c r="CJ47" s="90">
        <f>CJ268</f>
        <v>13430</v>
      </c>
      <c r="CK47" s="90">
        <f>CK268</f>
        <v>13420</v>
      </c>
      <c r="CL47" s="90">
        <f>CL268</f>
        <v>13430</v>
      </c>
      <c r="CM47" s="90">
        <f>CM268</f>
        <v>13428</v>
      </c>
      <c r="CN47" s="193">
        <f>CN43+CN44+CN45+CN46</f>
        <v>13428</v>
      </c>
      <c r="CO47" s="90">
        <f>CO268</f>
        <v>13123</v>
      </c>
      <c r="CP47" s="90">
        <f>CP268</f>
        <v>13086</v>
      </c>
      <c r="CQ47" s="90">
        <f>CQ268</f>
        <v>13119</v>
      </c>
      <c r="CR47" s="90">
        <f>CR268</f>
        <v>13119</v>
      </c>
      <c r="CS47" s="193">
        <f>CS43+CS44+CS45+CS46</f>
        <v>13119</v>
      </c>
      <c r="CT47" s="90">
        <f>CT268</f>
        <v>13175</v>
      </c>
      <c r="CU47" s="90">
        <f>CU268</f>
        <v>13176</v>
      </c>
      <c r="CV47" s="90">
        <f>CV268</f>
        <v>13216</v>
      </c>
      <c r="CW47" s="90">
        <f>CW268</f>
        <v>13216</v>
      </c>
      <c r="CX47" s="193">
        <f>CX43+CX44+CX45+CX46</f>
        <v>13216</v>
      </c>
      <c r="CY47" s="90">
        <f>CY268</f>
        <v>13180</v>
      </c>
      <c r="CZ47" s="90">
        <f>CZ268</f>
        <v>13180</v>
      </c>
      <c r="DA47" s="90">
        <f>DA268</f>
        <v>13180</v>
      </c>
      <c r="DB47" s="90">
        <f>DB268</f>
        <v>20293</v>
      </c>
      <c r="DC47" s="193">
        <f>DC43+DC44+DC45+DC46</f>
        <v>20293</v>
      </c>
      <c r="DD47" s="90">
        <f>DD268</f>
        <v>20279</v>
      </c>
      <c r="DE47" s="90">
        <f>DE268</f>
        <v>20553</v>
      </c>
      <c r="DF47" s="90">
        <f>DF268</f>
        <v>20762</v>
      </c>
      <c r="DG47" s="90">
        <f>DG268</f>
        <v>20814</v>
      </c>
      <c r="DH47" s="193">
        <f>DH43+DH44+DH45+DH46</f>
        <v>20814</v>
      </c>
      <c r="DI47" s="90">
        <f>DI268</f>
        <v>20823</v>
      </c>
      <c r="DJ47" s="90">
        <f>DJ268</f>
        <v>20826</v>
      </c>
      <c r="DK47" s="90">
        <f>DK268</f>
        <v>21527</v>
      </c>
      <c r="DL47" s="90">
        <f>DL268</f>
        <v>22525</v>
      </c>
      <c r="DM47" s="193">
        <f>DM43+DM44+DM45+DM46</f>
        <v>22525</v>
      </c>
      <c r="DN47" s="90">
        <f>DN268</f>
        <v>21529</v>
      </c>
      <c r="DO47" s="90">
        <f>DO268</f>
        <v>20380</v>
      </c>
      <c r="DP47" s="90">
        <f>DP268</f>
        <v>20340</v>
      </c>
      <c r="DQ47" s="90">
        <f>DQ268</f>
        <v>20354</v>
      </c>
      <c r="DR47" s="193">
        <f t="shared" ref="DR47:EG47" si="37">DR43+DR44+DR45+DR46</f>
        <v>20354</v>
      </c>
      <c r="DS47" s="90">
        <f t="shared" si="37"/>
        <v>20354</v>
      </c>
      <c r="DT47" s="90">
        <f t="shared" si="37"/>
        <v>20354</v>
      </c>
      <c r="DU47" s="90">
        <f t="shared" si="37"/>
        <v>20354</v>
      </c>
      <c r="DV47" s="90">
        <f t="shared" si="37"/>
        <v>20354</v>
      </c>
      <c r="DW47" s="193">
        <f t="shared" si="37"/>
        <v>20354</v>
      </c>
      <c r="DX47" s="90">
        <f t="shared" si="37"/>
        <v>20354</v>
      </c>
      <c r="DY47" s="90">
        <f t="shared" si="37"/>
        <v>20354</v>
      </c>
      <c r="DZ47" s="90">
        <f t="shared" si="37"/>
        <v>20354</v>
      </c>
      <c r="EA47" s="90">
        <f t="shared" si="37"/>
        <v>20354</v>
      </c>
      <c r="EB47" s="193">
        <f t="shared" si="37"/>
        <v>20354</v>
      </c>
      <c r="EC47" s="90">
        <f t="shared" si="37"/>
        <v>20354</v>
      </c>
      <c r="ED47" s="90">
        <f t="shared" si="37"/>
        <v>20354</v>
      </c>
      <c r="EE47" s="90">
        <f t="shared" si="37"/>
        <v>20354</v>
      </c>
      <c r="EF47" s="90">
        <f t="shared" si="37"/>
        <v>20354</v>
      </c>
      <c r="EG47" s="193">
        <f t="shared" si="37"/>
        <v>20354</v>
      </c>
      <c r="EH47" s="90">
        <f t="shared" ref="EH47" si="38">EH43+EH44+EH45+EH46</f>
        <v>20354</v>
      </c>
      <c r="EI47" s="90">
        <f t="shared" ref="EI47" si="39">EI43+EI44+EI45+EI46</f>
        <v>20354</v>
      </c>
      <c r="EJ47" s="90">
        <f t="shared" ref="EJ47" si="40">EJ43+EJ44+EJ45+EJ46</f>
        <v>20354</v>
      </c>
      <c r="EK47" s="90">
        <f t="shared" ref="EK47" si="41">EK43+EK44+EK45+EK46</f>
        <v>20354</v>
      </c>
      <c r="EL47" s="193">
        <f t="shared" ref="EL47" si="42">EL43+EL44+EL45+EL46</f>
        <v>20354</v>
      </c>
    </row>
    <row r="48" spans="1:142" ht="4.5" customHeight="1">
      <c r="A48" s="508"/>
      <c r="B48" s="508"/>
      <c r="C48" s="9"/>
      <c r="D48" s="9"/>
      <c r="E48" s="9"/>
      <c r="F48" s="9"/>
      <c r="G48" s="9"/>
      <c r="H48" s="63"/>
      <c r="I48" s="9"/>
      <c r="J48" s="9"/>
      <c r="K48" s="9"/>
      <c r="L48" s="9"/>
      <c r="M48" s="63"/>
      <c r="N48" s="9"/>
      <c r="O48" s="9"/>
      <c r="P48" s="9"/>
      <c r="Q48" s="9"/>
      <c r="R48" s="63"/>
      <c r="S48" s="9"/>
      <c r="T48" s="9"/>
      <c r="U48" s="9"/>
      <c r="V48" s="9"/>
      <c r="W48" s="63"/>
      <c r="X48" s="9"/>
      <c r="Y48" s="9"/>
      <c r="Z48" s="9"/>
      <c r="AA48" s="9"/>
      <c r="AB48" s="63"/>
      <c r="AC48" s="9"/>
      <c r="AD48" s="9"/>
      <c r="AE48" s="9"/>
      <c r="AF48" s="9"/>
      <c r="AG48" s="63"/>
      <c r="AH48" s="9"/>
      <c r="AI48" s="9"/>
      <c r="AJ48" s="9"/>
      <c r="AK48" s="9"/>
      <c r="AL48" s="63"/>
      <c r="AM48" s="9"/>
      <c r="AN48" s="9"/>
      <c r="AO48" s="9"/>
      <c r="AP48" s="9"/>
      <c r="AQ48" s="63"/>
      <c r="AR48" s="44"/>
      <c r="AS48" s="44"/>
      <c r="AT48" s="4"/>
      <c r="AU48" s="137"/>
      <c r="AV48" s="509"/>
      <c r="AW48" s="509"/>
      <c r="AX48" s="509"/>
      <c r="AY48" s="509"/>
      <c r="AZ48" s="65"/>
      <c r="BA48" s="509"/>
      <c r="BB48" s="509"/>
      <c r="BC48" s="509"/>
      <c r="BD48" s="509"/>
      <c r="BE48" s="65"/>
      <c r="BF48" s="509"/>
      <c r="BG48" s="509"/>
      <c r="BH48" s="509"/>
      <c r="BI48" s="509"/>
      <c r="BJ48" s="67"/>
      <c r="BK48" s="66"/>
      <c r="BL48" s="66"/>
      <c r="BM48" s="66"/>
      <c r="BN48" s="66"/>
      <c r="BO48" s="67"/>
      <c r="BP48" s="66"/>
      <c r="BQ48" s="66"/>
      <c r="BR48" s="66"/>
      <c r="BS48" s="66"/>
      <c r="BT48" s="67"/>
      <c r="BU48" s="66"/>
      <c r="BV48" s="66"/>
      <c r="BW48" s="66"/>
      <c r="BX48" s="66"/>
      <c r="BY48" s="67"/>
      <c r="BZ48" s="66"/>
      <c r="CA48" s="66"/>
      <c r="CB48" s="66"/>
      <c r="CC48" s="66"/>
      <c r="CD48" s="67"/>
      <c r="CE48" s="66"/>
      <c r="CF48" s="66"/>
      <c r="CG48" s="66"/>
      <c r="CH48" s="66"/>
      <c r="CI48" s="67"/>
      <c r="CJ48" s="66"/>
      <c r="CK48" s="66"/>
      <c r="CL48" s="66"/>
      <c r="CM48" s="66"/>
      <c r="CN48" s="67"/>
      <c r="CO48" s="66"/>
      <c r="CP48" s="66"/>
      <c r="CQ48" s="66"/>
      <c r="CR48" s="66"/>
      <c r="CS48" s="67"/>
      <c r="CT48" s="66"/>
      <c r="CU48" s="66"/>
      <c r="CV48" s="66"/>
      <c r="CW48" s="66"/>
      <c r="CX48" s="67"/>
      <c r="CY48" s="66"/>
      <c r="CZ48" s="66"/>
      <c r="DA48" s="66"/>
      <c r="DB48" s="66"/>
      <c r="DC48" s="67"/>
      <c r="DD48" s="66"/>
      <c r="DE48" s="66"/>
      <c r="DF48" s="66"/>
      <c r="DG48" s="66"/>
      <c r="DH48" s="67"/>
      <c r="DI48" s="66"/>
      <c r="DJ48" s="66"/>
      <c r="DK48" s="66"/>
      <c r="DL48" s="66"/>
      <c r="DM48" s="67"/>
      <c r="DN48" s="66"/>
      <c r="DO48" s="66"/>
      <c r="DP48" s="66"/>
      <c r="DQ48" s="66"/>
      <c r="DR48" s="67"/>
      <c r="DS48" s="66"/>
      <c r="DT48" s="66"/>
      <c r="DU48" s="66"/>
      <c r="DV48" s="66"/>
      <c r="DW48" s="67"/>
      <c r="DX48" s="66"/>
      <c r="DY48" s="66"/>
      <c r="DZ48" s="66"/>
      <c r="EA48" s="66"/>
      <c r="EB48" s="67"/>
      <c r="EC48" s="66"/>
      <c r="ED48" s="66"/>
      <c r="EE48" s="66"/>
      <c r="EF48" s="66"/>
      <c r="EG48" s="67"/>
      <c r="EH48" s="66"/>
      <c r="EI48" s="66"/>
      <c r="EJ48" s="66"/>
      <c r="EK48" s="66"/>
      <c r="EL48" s="67"/>
    </row>
    <row r="49" spans="1:142" ht="11.25" customHeight="1">
      <c r="A49" s="159"/>
      <c r="B49" s="159" t="s">
        <v>128</v>
      </c>
      <c r="C49" s="162"/>
      <c r="D49" s="162"/>
      <c r="E49" s="73">
        <f>AVERAGE(E47,D47)</f>
        <v>6622</v>
      </c>
      <c r="F49" s="73">
        <f>AVERAGE(F47,E47)</f>
        <v>6621</v>
      </c>
      <c r="G49" s="73">
        <f>AVERAGE(G47,F47)</f>
        <v>11121</v>
      </c>
      <c r="H49" s="193"/>
      <c r="I49" s="73">
        <f>AVERAGE(I47,H47)</f>
        <v>15916</v>
      </c>
      <c r="J49" s="73">
        <f>AVERAGE(J47,I47)</f>
        <v>16518.5</v>
      </c>
      <c r="K49" s="73">
        <f>AVERAGE(K47,J47)</f>
        <v>16850.5</v>
      </c>
      <c r="L49" s="73">
        <f>AVERAGE(L47,K47)</f>
        <v>16770</v>
      </c>
      <c r="M49" s="193">
        <f>AVERAGE(I47:L47,H47)</f>
        <v>16439.8</v>
      </c>
      <c r="N49" s="73">
        <f>AVERAGE(N47,M47)</f>
        <v>16848.5</v>
      </c>
      <c r="O49" s="73">
        <f>AVERAGE(O47,N47)</f>
        <v>17187.5</v>
      </c>
      <c r="P49" s="73">
        <f>AVERAGE(P47,O47)</f>
        <v>22355</v>
      </c>
      <c r="Q49" s="73">
        <f>AVERAGE(Q47,P47)</f>
        <v>27662.5</v>
      </c>
      <c r="R49" s="193">
        <f>AVERAGE(N47:Q47,M47)</f>
        <v>21273.200000000001</v>
      </c>
      <c r="S49" s="73">
        <f>AVERAGE(S47,R47)</f>
        <v>28325</v>
      </c>
      <c r="T49" s="73">
        <f>AVERAGE(T47,S47)</f>
        <v>28703</v>
      </c>
      <c r="U49" s="73">
        <f>AVERAGE(U47,T47)</f>
        <v>28574</v>
      </c>
      <c r="V49" s="73">
        <f>AVERAGE(V47,U47)</f>
        <v>28150</v>
      </c>
      <c r="W49" s="193">
        <f>AVERAGE(S47:V47,R47)</f>
        <v>28333</v>
      </c>
      <c r="X49" s="73">
        <f>AVERAGE(X47,W47)</f>
        <v>27996.5</v>
      </c>
      <c r="Y49" s="73">
        <f>AVERAGE(Y47,X47)</f>
        <v>29268</v>
      </c>
      <c r="Z49" s="73">
        <f>AVERAGE(Z47,Y47)</f>
        <v>30440.5</v>
      </c>
      <c r="AA49" s="73">
        <f>AVERAGE(AA47,Z47)</f>
        <v>30631</v>
      </c>
      <c r="AB49" s="193">
        <f>AVERAGE(X47:AA47,W47)</f>
        <v>29533</v>
      </c>
      <c r="AC49" s="73">
        <f>AVERAGE(AC47,AB47)</f>
        <v>30761</v>
      </c>
      <c r="AD49" s="73">
        <f>AVERAGE(AD47,AC47)</f>
        <v>29178</v>
      </c>
      <c r="AE49" s="73">
        <f>AVERAGE(AE47,AD47)</f>
        <v>27519.5</v>
      </c>
      <c r="AF49" s="73">
        <f>AVERAGE(AF47,AE47)</f>
        <v>27176.5</v>
      </c>
      <c r="AG49" s="193">
        <f>AVERAGE(AC47:AF47,AB47)</f>
        <v>28700</v>
      </c>
      <c r="AH49" s="73">
        <f>AVERAGE(AH47,AG47)</f>
        <v>26952</v>
      </c>
      <c r="AI49" s="73">
        <f>AVERAGE(AI47,AH47)</f>
        <v>26986.5</v>
      </c>
      <c r="AJ49" s="73">
        <f>AVERAGE(AJ47,AI47)</f>
        <v>26969.5</v>
      </c>
      <c r="AK49" s="73">
        <f>AVERAGE(AK47,AJ47)</f>
        <v>27104</v>
      </c>
      <c r="AL49" s="193">
        <f>AVERAGE(AH47:AK47,AG47)</f>
        <v>27024</v>
      </c>
      <c r="AM49" s="73">
        <f>AVERAGE(AM47,AL47)</f>
        <v>27721.5</v>
      </c>
      <c r="AN49" s="73">
        <f>AVERAGE(AN47,AM47)</f>
        <v>28214</v>
      </c>
      <c r="AO49" s="73">
        <f>AVERAGE(AO47,AN47)</f>
        <v>28469.5</v>
      </c>
      <c r="AP49" s="73">
        <f>AVERAGE(AP47,AO47)</f>
        <v>28672</v>
      </c>
      <c r="AQ49" s="193">
        <f>AVERAGE(AM47:AP47,AL47)</f>
        <v>28209.8</v>
      </c>
      <c r="AR49" s="73">
        <f>AVERAGE(AR47,AQ47)</f>
        <v>28400.5</v>
      </c>
      <c r="AS49" s="73">
        <f>AVERAGE(AS47,AR47)</f>
        <v>27941</v>
      </c>
      <c r="AT49" s="73">
        <f>AVERAGE(AT47,AS47)</f>
        <v>27815</v>
      </c>
      <c r="AU49" s="137"/>
      <c r="AV49" s="507" t="str">
        <f>AV269</f>
        <v>ND</v>
      </c>
      <c r="AW49" s="507" t="str">
        <f>AW269</f>
        <v>ND</v>
      </c>
      <c r="AX49" s="507" t="str">
        <f>AX269</f>
        <v>ND</v>
      </c>
      <c r="AY49" s="507" t="str">
        <f>AY269</f>
        <v>ND</v>
      </c>
      <c r="AZ49" s="88">
        <v>25392</v>
      </c>
      <c r="BA49" s="507" t="str">
        <f>BA269</f>
        <v>ND</v>
      </c>
      <c r="BB49" s="507" t="str">
        <f>BB269</f>
        <v>ND</v>
      </c>
      <c r="BC49" s="507" t="str">
        <f>BC269</f>
        <v>ND</v>
      </c>
      <c r="BD49" s="507" t="str">
        <f>BD269</f>
        <v>ND</v>
      </c>
      <c r="BE49" s="193">
        <f>AVERAGE(BA47:BD47,AZ47)</f>
        <v>25444.799999999999</v>
      </c>
      <c r="BF49" s="507" t="str">
        <f>BF269</f>
        <v>ND</v>
      </c>
      <c r="BG49" s="90">
        <f>BG269</f>
        <v>18647</v>
      </c>
      <c r="BH49" s="90">
        <f>BH269</f>
        <v>18106</v>
      </c>
      <c r="BI49" s="90">
        <f>BI269</f>
        <v>17902</v>
      </c>
      <c r="BJ49" s="193">
        <f>AVERAGE(BF47:BI47,BE47)</f>
        <v>19637.8</v>
      </c>
      <c r="BK49" s="90">
        <f t="shared" ref="BK49:CV49" si="43">BK269</f>
        <v>17924</v>
      </c>
      <c r="BL49" s="90">
        <f t="shared" si="43"/>
        <v>17930</v>
      </c>
      <c r="BM49" s="90">
        <f t="shared" si="43"/>
        <v>17859</v>
      </c>
      <c r="BN49" s="90">
        <f t="shared" si="43"/>
        <v>17842</v>
      </c>
      <c r="BO49" s="193">
        <f t="shared" si="43"/>
        <v>17889</v>
      </c>
      <c r="BP49" s="90">
        <f t="shared" si="43"/>
        <v>17851</v>
      </c>
      <c r="BQ49" s="90">
        <f t="shared" si="43"/>
        <v>15069</v>
      </c>
      <c r="BR49" s="90">
        <f t="shared" si="43"/>
        <v>14967</v>
      </c>
      <c r="BS49" s="90">
        <f t="shared" si="43"/>
        <v>14941</v>
      </c>
      <c r="BT49" s="193">
        <f t="shared" si="43"/>
        <v>15023</v>
      </c>
      <c r="BU49" s="90">
        <f t="shared" si="43"/>
        <v>14953</v>
      </c>
      <c r="BV49" s="90">
        <f t="shared" si="43"/>
        <v>14990</v>
      </c>
      <c r="BW49" s="90">
        <f t="shared" si="43"/>
        <v>14389</v>
      </c>
      <c r="BX49" s="90">
        <f t="shared" si="43"/>
        <v>14516</v>
      </c>
      <c r="BY49" s="193">
        <f t="shared" si="43"/>
        <v>14379</v>
      </c>
      <c r="BZ49" s="90">
        <f t="shared" si="43"/>
        <v>14478</v>
      </c>
      <c r="CA49" s="90">
        <f t="shared" si="43"/>
        <v>13829</v>
      </c>
      <c r="CB49" s="90">
        <f t="shared" si="43"/>
        <v>13536</v>
      </c>
      <c r="CC49" s="90">
        <f t="shared" si="43"/>
        <v>13547</v>
      </c>
      <c r="CD49" s="193">
        <f t="shared" si="43"/>
        <v>13512</v>
      </c>
      <c r="CE49" s="90">
        <f t="shared" si="43"/>
        <v>13574</v>
      </c>
      <c r="CF49" s="90">
        <f t="shared" si="43"/>
        <v>13411</v>
      </c>
      <c r="CG49" s="90">
        <f t="shared" si="43"/>
        <v>13419</v>
      </c>
      <c r="CH49" s="90">
        <f t="shared" si="43"/>
        <v>13436</v>
      </c>
      <c r="CI49" s="193">
        <f t="shared" si="43"/>
        <v>13419</v>
      </c>
      <c r="CJ49" s="90">
        <f t="shared" si="43"/>
        <v>13431</v>
      </c>
      <c r="CK49" s="90">
        <f t="shared" si="43"/>
        <v>13435</v>
      </c>
      <c r="CL49" s="90">
        <f t="shared" si="43"/>
        <v>13423</v>
      </c>
      <c r="CM49" s="90">
        <f t="shared" si="43"/>
        <v>13429</v>
      </c>
      <c r="CN49" s="193">
        <f t="shared" si="43"/>
        <v>13430</v>
      </c>
      <c r="CO49" s="90">
        <f t="shared" si="43"/>
        <v>13123</v>
      </c>
      <c r="CP49" s="90">
        <f t="shared" si="43"/>
        <v>13111</v>
      </c>
      <c r="CQ49" s="90">
        <f t="shared" si="43"/>
        <v>13106</v>
      </c>
      <c r="CR49" s="90">
        <f t="shared" si="43"/>
        <v>13119</v>
      </c>
      <c r="CS49" s="193">
        <f t="shared" si="43"/>
        <v>13115</v>
      </c>
      <c r="CT49" s="90">
        <f t="shared" si="43"/>
        <v>13138</v>
      </c>
      <c r="CU49" s="90">
        <f t="shared" si="43"/>
        <v>13176</v>
      </c>
      <c r="CV49" s="90">
        <f t="shared" si="43"/>
        <v>13216</v>
      </c>
      <c r="CW49" s="90">
        <f>AVERAGE(CV47,CW47)</f>
        <v>13216</v>
      </c>
      <c r="CX49" s="193">
        <f>AVERAGE(CT47:CW47,CS47)</f>
        <v>13180.4</v>
      </c>
      <c r="CY49" s="90">
        <f>CY269</f>
        <v>13180</v>
      </c>
      <c r="CZ49" s="90">
        <f>CZ269</f>
        <v>13180</v>
      </c>
      <c r="DA49" s="90">
        <f>DA269</f>
        <v>13180</v>
      </c>
      <c r="DB49" s="90">
        <f>DB269</f>
        <v>20294</v>
      </c>
      <c r="DC49" s="193">
        <f>AVERAGE(CY47:DB47,CX47)</f>
        <v>14609.8</v>
      </c>
      <c r="DD49" s="90">
        <f>DD269</f>
        <v>20263</v>
      </c>
      <c r="DE49" s="90">
        <f>DE269</f>
        <v>20370</v>
      </c>
      <c r="DF49" s="90">
        <f>DF269</f>
        <v>20692</v>
      </c>
      <c r="DG49" s="90">
        <f>DG269</f>
        <v>20805</v>
      </c>
      <c r="DH49" s="193">
        <f>AVERAGE(DD47:DG47,DC47)</f>
        <v>20540.2</v>
      </c>
      <c r="DI49" s="90">
        <f>DI269</f>
        <v>20823</v>
      </c>
      <c r="DJ49" s="90">
        <f>DJ269</f>
        <v>20826</v>
      </c>
      <c r="DK49" s="90">
        <f>DK269</f>
        <v>21122</v>
      </c>
      <c r="DL49" s="90">
        <f>DL269</f>
        <v>22549</v>
      </c>
      <c r="DM49" s="193">
        <f>AVERAGE(DI47:DL47,DH47)</f>
        <v>21303</v>
      </c>
      <c r="DN49" s="90">
        <f>DN269</f>
        <v>21524</v>
      </c>
      <c r="DO49" s="90">
        <f>DO269</f>
        <v>20380</v>
      </c>
      <c r="DP49" s="90">
        <f>DP269</f>
        <v>20367</v>
      </c>
      <c r="DQ49" s="90">
        <f>DQ269</f>
        <v>20326</v>
      </c>
      <c r="DR49" s="193">
        <f>AVERAGE(DN47:DQ47,DM47)</f>
        <v>21025.599999999999</v>
      </c>
      <c r="DS49" s="90">
        <f>AVERAGE(DR47,DS47)</f>
        <v>20354</v>
      </c>
      <c r="DT49" s="90">
        <f>AVERAGE(DS47,DT47)</f>
        <v>20354</v>
      </c>
      <c r="DU49" s="90">
        <f>AVERAGE(DT47,DU47)</f>
        <v>20354</v>
      </c>
      <c r="DV49" s="90">
        <f>AVERAGE(DU47,DV47)</f>
        <v>20354</v>
      </c>
      <c r="DW49" s="193">
        <f>AVERAGE(DS47:DV47,DR47)</f>
        <v>20354</v>
      </c>
      <c r="DX49" s="90">
        <f>AVERAGE(DW47,DX47)</f>
        <v>20354</v>
      </c>
      <c r="DY49" s="90">
        <f>AVERAGE(DX47,DY47)</f>
        <v>20354</v>
      </c>
      <c r="DZ49" s="90">
        <f>AVERAGE(DY47,DZ47)</f>
        <v>20354</v>
      </c>
      <c r="EA49" s="90">
        <f>AVERAGE(DZ47,EA47)</f>
        <v>20354</v>
      </c>
      <c r="EB49" s="193">
        <f>AVERAGE(DX47:EA47,DW47)</f>
        <v>20354</v>
      </c>
      <c r="EC49" s="90">
        <f>AVERAGE(EB47,EC47)</f>
        <v>20354</v>
      </c>
      <c r="ED49" s="90">
        <f>AVERAGE(EC47,ED47)</f>
        <v>20354</v>
      </c>
      <c r="EE49" s="90">
        <f>AVERAGE(ED47,EE47)</f>
        <v>20354</v>
      </c>
      <c r="EF49" s="90">
        <f>AVERAGE(EE47,EF47)</f>
        <v>20354</v>
      </c>
      <c r="EG49" s="193">
        <f>AVERAGE(EC47:EF47,EB47)</f>
        <v>20354</v>
      </c>
      <c r="EH49" s="90">
        <f>AVERAGE(EG47,EH47)</f>
        <v>20354</v>
      </c>
      <c r="EI49" s="90">
        <f>AVERAGE(EH47,EI47)</f>
        <v>20354</v>
      </c>
      <c r="EJ49" s="90">
        <f>AVERAGE(EI47,EJ47)</f>
        <v>20354</v>
      </c>
      <c r="EK49" s="90">
        <f>AVERAGE(EJ47,EK47)</f>
        <v>20354</v>
      </c>
      <c r="EL49" s="193">
        <f>AVERAGE(EH47:EK47,EG47)</f>
        <v>20354</v>
      </c>
    </row>
    <row r="50" spans="1:142" ht="11.25" customHeight="1">
      <c r="A50" s="511"/>
      <c r="B50" s="511" t="s">
        <v>129</v>
      </c>
      <c r="C50" s="512"/>
      <c r="D50" s="512"/>
      <c r="E50" s="513">
        <f>IF(ISERROR(E49-D49),"NM",E49-D49)</f>
        <v>6622</v>
      </c>
      <c r="F50" s="513">
        <f>IF(ISERROR(F49-E49),"NM",F49-E49)</f>
        <v>-1</v>
      </c>
      <c r="G50" s="513">
        <f>IF(ISERROR(G49-F49),"NM",G49-F49)</f>
        <v>4500</v>
      </c>
      <c r="H50" s="63"/>
      <c r="I50" s="514">
        <f>I49-G49</f>
        <v>4795</v>
      </c>
      <c r="J50" s="513">
        <f>IF(ISERROR(J49-I49),"NM",J49-I49)</f>
        <v>602.5</v>
      </c>
      <c r="K50" s="513">
        <f>IF(ISERROR(K49-J49),"NM",K49-J49)</f>
        <v>332</v>
      </c>
      <c r="L50" s="513">
        <f>IF(ISERROR(L49-K49),"NM",L49-K49)</f>
        <v>-80.5</v>
      </c>
      <c r="M50" s="63"/>
      <c r="N50" s="514">
        <f>N49-L49</f>
        <v>78.5</v>
      </c>
      <c r="O50" s="513">
        <f>IF(ISERROR(O49-N49),"NM",O49-N49)</f>
        <v>339</v>
      </c>
      <c r="P50" s="513">
        <f>IF(ISERROR(P49-O49),"NM",P49-O49)</f>
        <v>5167.5</v>
      </c>
      <c r="Q50" s="513">
        <f>IF(ISERROR(Q49-P49),"NM",Q49-P49)</f>
        <v>5307.5</v>
      </c>
      <c r="R50" s="63"/>
      <c r="S50" s="514">
        <f>S49-Q49</f>
        <v>662.5</v>
      </c>
      <c r="T50" s="513">
        <f>IF(ISERROR(T49-S49),"NM",T49-S49)</f>
        <v>378</v>
      </c>
      <c r="U50" s="513">
        <f>IF(ISERROR(U49-T49),"NM",U49-T49)</f>
        <v>-129</v>
      </c>
      <c r="V50" s="513">
        <f>IF(ISERROR(V49-U49),"NM",V49-U49)</f>
        <v>-424</v>
      </c>
      <c r="W50" s="63"/>
      <c r="X50" s="514">
        <f>X49-V49</f>
        <v>-153.5</v>
      </c>
      <c r="Y50" s="513">
        <f>IF(ISERROR(Y49-X49),"NM",Y49-X49)</f>
        <v>1271.5</v>
      </c>
      <c r="Z50" s="513">
        <f>IF(ISERROR(Z49-Y49),"NM",Z49-Y49)</f>
        <v>1172.5</v>
      </c>
      <c r="AA50" s="513">
        <f>IF(ISERROR(AA49-Z49),"NM",AA49-Z49)</f>
        <v>190.5</v>
      </c>
      <c r="AB50" s="63"/>
      <c r="AC50" s="514">
        <f>AC49-AA49</f>
        <v>130</v>
      </c>
      <c r="AD50" s="513">
        <f>IF(ISERROR(AD49-AC49),"NM",AD49-AC49)</f>
        <v>-1583</v>
      </c>
      <c r="AE50" s="513">
        <f>IF(ISERROR(AE49-AD49),"NM",AE49-AD49)</f>
        <v>-1658.5</v>
      </c>
      <c r="AF50" s="513">
        <f>IF(ISERROR(AF49-AE49),"NM",AF49-AE49)</f>
        <v>-343</v>
      </c>
      <c r="AG50" s="63"/>
      <c r="AH50" s="514">
        <f>AH49-AF49</f>
        <v>-224.5</v>
      </c>
      <c r="AI50" s="513">
        <f>IF(ISERROR(AI49-AH49),"NM",AI49-AH49)</f>
        <v>34.5</v>
      </c>
      <c r="AJ50" s="513">
        <f>IF(ISERROR(AJ49-AI49),"NM",AJ49-AI49)</f>
        <v>-17</v>
      </c>
      <c r="AK50" s="513">
        <f>IF(ISERROR(AK49-AJ49),"NM",AK49-AJ49)</f>
        <v>134.5</v>
      </c>
      <c r="AL50" s="63"/>
      <c r="AM50" s="514">
        <f>AM49-AK49</f>
        <v>617.5</v>
      </c>
      <c r="AN50" s="513">
        <f>IF(ISERROR(AN49-AM49),"NM",AN49-AM49)</f>
        <v>492.5</v>
      </c>
      <c r="AO50" s="513">
        <f>IF(ISERROR(AO49-AN49),"NM",AO49-AN49)</f>
        <v>255.5</v>
      </c>
      <c r="AP50" s="513">
        <f>IF(ISERROR(AP49-AO49),"NM",AP49-AO49)</f>
        <v>202.5</v>
      </c>
      <c r="AQ50" s="63"/>
      <c r="AR50" s="514">
        <f>AR49-AP49</f>
        <v>-271.5</v>
      </c>
      <c r="AS50" s="513">
        <f>IF(ISERROR(AS49-AR49),"NM",AS49-AR49)</f>
        <v>-459.5</v>
      </c>
      <c r="AT50" s="513">
        <f>IF(ISERROR(AT49-AS49),"NM",AT49-AS49)</f>
        <v>-126</v>
      </c>
      <c r="AU50" s="137"/>
      <c r="AV50" s="514"/>
      <c r="AW50" s="513" t="str">
        <f>IF(ISERROR(AW49-AV49),"nm",AW49-AV49)</f>
        <v>nm</v>
      </c>
      <c r="AX50" s="513" t="str">
        <f>IF(ISERROR(AX49-AW49),"nm",AX49-AW49)</f>
        <v>nm</v>
      </c>
      <c r="AY50" s="513" t="str">
        <f>IF(ISERROR(AY49-AX49),"nm",AY49-AX49)</f>
        <v>nm</v>
      </c>
      <c r="AZ50" s="193"/>
      <c r="BA50" s="515" t="str">
        <f>IF(ISERROR(BA49-AY49),"nm",BA49-AY49)</f>
        <v>nm</v>
      </c>
      <c r="BB50" s="515" t="str">
        <f>IF(ISERROR(BB49-AZ49),"nm",BB49-AZ49)</f>
        <v>nm</v>
      </c>
      <c r="BC50" s="515" t="str">
        <f>IF(ISERROR(BC49-BA49),"nm",BC49-BA49)</f>
        <v>nm</v>
      </c>
      <c r="BD50" s="515" t="str">
        <f>IF(ISERROR(BD49-BB49),"nm",BD49-BB49)</f>
        <v>nm</v>
      </c>
      <c r="BE50" s="193"/>
      <c r="BF50" s="513" t="str">
        <f>IF(ISERROR(BF49-BD49),"nm",BF49-BD49)</f>
        <v>nm</v>
      </c>
      <c r="BG50" s="513" t="str">
        <f>IF(ISERROR(BG49-BF49),"nm",BG49-BF49)</f>
        <v>nm</v>
      </c>
      <c r="BH50" s="513">
        <f>IF(ISERROR(BH49-BG49),"nm",BH49-BG49)</f>
        <v>-541</v>
      </c>
      <c r="BI50" s="513">
        <f>IF(ISERROR(BI49-BH49),"nm",BI49-BH49)</f>
        <v>-204</v>
      </c>
      <c r="BJ50" s="193"/>
      <c r="BK50" s="514">
        <f>BK49-BI49</f>
        <v>22</v>
      </c>
      <c r="BL50" s="514">
        <f>BL49-BK49</f>
        <v>6</v>
      </c>
      <c r="BM50" s="514">
        <f>BM49-BL49</f>
        <v>-71</v>
      </c>
      <c r="BN50" s="514">
        <f>BN49-BM49</f>
        <v>-17</v>
      </c>
      <c r="BO50" s="193"/>
      <c r="BP50" s="514">
        <f>BP49-BN49</f>
        <v>9</v>
      </c>
      <c r="BQ50" s="514">
        <f>BQ49-BP49</f>
        <v>-2782</v>
      </c>
      <c r="BR50" s="514">
        <f>BR49-BQ49</f>
        <v>-102</v>
      </c>
      <c r="BS50" s="514">
        <f>BS49-BR49</f>
        <v>-26</v>
      </c>
      <c r="BT50" s="193"/>
      <c r="BU50" s="514">
        <f>BU49-BS49</f>
        <v>12</v>
      </c>
      <c r="BV50" s="514">
        <f>BV49-BU49</f>
        <v>37</v>
      </c>
      <c r="BW50" s="514">
        <f>BW49-BV49</f>
        <v>-601</v>
      </c>
      <c r="BX50" s="514">
        <f>BX49-BW49</f>
        <v>127</v>
      </c>
      <c r="BY50" s="193"/>
      <c r="BZ50" s="514">
        <f>BZ49-BX49</f>
        <v>-38</v>
      </c>
      <c r="CA50" s="514">
        <f>CA49-BZ49</f>
        <v>-649</v>
      </c>
      <c r="CB50" s="514">
        <f>CB49-CA49</f>
        <v>-293</v>
      </c>
      <c r="CC50" s="514">
        <f>CC49-CB49</f>
        <v>11</v>
      </c>
      <c r="CD50" s="193"/>
      <c r="CE50" s="514">
        <f>CE49-CC49</f>
        <v>27</v>
      </c>
      <c r="CF50" s="514">
        <f>CF49-CE49</f>
        <v>-163</v>
      </c>
      <c r="CG50" s="514">
        <f>CG49-CF49</f>
        <v>8</v>
      </c>
      <c r="CH50" s="514">
        <f>CH49-CG49</f>
        <v>17</v>
      </c>
      <c r="CI50" s="193"/>
      <c r="CJ50" s="514">
        <f>CJ49-CH49</f>
        <v>-5</v>
      </c>
      <c r="CK50" s="514">
        <f>CK49-CJ49</f>
        <v>4</v>
      </c>
      <c r="CL50" s="514">
        <f>CL49-CK49</f>
        <v>-12</v>
      </c>
      <c r="CM50" s="514">
        <f>CM49-CL49</f>
        <v>6</v>
      </c>
      <c r="CN50" s="193"/>
      <c r="CO50" s="514">
        <f>CO49-CM49</f>
        <v>-306</v>
      </c>
      <c r="CP50" s="514">
        <f>CP49-CO49</f>
        <v>-12</v>
      </c>
      <c r="CQ50" s="514">
        <f>CQ49-CP49</f>
        <v>-5</v>
      </c>
      <c r="CR50" s="514">
        <f>CR49-CQ49</f>
        <v>13</v>
      </c>
      <c r="CS50" s="193"/>
      <c r="CT50" s="514">
        <f>CT49-CR49</f>
        <v>19</v>
      </c>
      <c r="CU50" s="514">
        <f>CU49-CT49</f>
        <v>38</v>
      </c>
      <c r="CV50" s="514">
        <f>CV49-CU49</f>
        <v>40</v>
      </c>
      <c r="CW50" s="514">
        <f>CW49-CV49</f>
        <v>0</v>
      </c>
      <c r="CX50" s="193"/>
      <c r="CY50" s="514">
        <f>CY49-CW49</f>
        <v>-36</v>
      </c>
      <c r="CZ50" s="514">
        <f>CZ49-CY49</f>
        <v>0</v>
      </c>
      <c r="DA50" s="514">
        <f>DA49-CZ49</f>
        <v>0</v>
      </c>
      <c r="DB50" s="514"/>
      <c r="DC50" s="193"/>
      <c r="DD50" s="514">
        <f>DD49-DB49</f>
        <v>-31</v>
      </c>
      <c r="DE50" s="514">
        <f>DE49-DC49</f>
        <v>5760.2000000000007</v>
      </c>
      <c r="DF50" s="514">
        <f>DF49-DD49</f>
        <v>429</v>
      </c>
      <c r="DG50" s="514">
        <f>DG49-DE49</f>
        <v>435</v>
      </c>
      <c r="DH50" s="193"/>
      <c r="DI50" s="514">
        <f>DI49-DG49</f>
        <v>18</v>
      </c>
      <c r="DJ50" s="514">
        <f>DJ49-DH49</f>
        <v>285.79999999999927</v>
      </c>
      <c r="DK50" s="514">
        <f>DK49-DI49</f>
        <v>299</v>
      </c>
      <c r="DL50" s="514">
        <f>DL49-DJ49</f>
        <v>1723</v>
      </c>
      <c r="DM50" s="193"/>
      <c r="DN50" s="514">
        <f>DN49-DL49</f>
        <v>-1025</v>
      </c>
      <c r="DO50" s="514">
        <f>DO49-DM49</f>
        <v>-923</v>
      </c>
      <c r="DP50" s="514">
        <f>DP49-DN49</f>
        <v>-1157</v>
      </c>
      <c r="DQ50" s="514">
        <f>DQ49-DO49</f>
        <v>-54</v>
      </c>
      <c r="DR50" s="193"/>
      <c r="DS50" s="171"/>
      <c r="DT50" s="171"/>
      <c r="DU50" s="171"/>
      <c r="DV50" s="171"/>
      <c r="DW50" s="193"/>
      <c r="DX50" s="171"/>
      <c r="DY50" s="171"/>
      <c r="DZ50" s="171"/>
      <c r="EA50" s="171"/>
      <c r="EB50" s="193"/>
      <c r="EC50" s="171"/>
      <c r="ED50" s="171"/>
      <c r="EE50" s="171"/>
      <c r="EF50" s="171"/>
      <c r="EG50" s="193"/>
      <c r="EH50" s="171"/>
      <c r="EI50" s="171"/>
      <c r="EJ50" s="171"/>
      <c r="EK50" s="171"/>
      <c r="EL50" s="193"/>
    </row>
    <row r="51" spans="1:142" ht="11.25" customHeight="1">
      <c r="A51" s="511"/>
      <c r="B51" s="511" t="s">
        <v>497</v>
      </c>
      <c r="C51" s="44"/>
      <c r="D51" s="44"/>
      <c r="E51" s="44"/>
      <c r="F51" s="44"/>
      <c r="G51" s="44"/>
      <c r="H51" s="65"/>
      <c r="I51" s="515" t="str">
        <f>IF(ISERROR(I49/D49-1),"nm",I49/D49-1)</f>
        <v>nm</v>
      </c>
      <c r="J51" s="515">
        <f>IF(ISERROR(J49/E49-1),"NM",J49/E49-1)</f>
        <v>1.4944880700694654</v>
      </c>
      <c r="K51" s="515">
        <f>IF(ISERROR(K49/F49-1),"NM",K49/F49-1)</f>
        <v>1.5450083069022806</v>
      </c>
      <c r="L51" s="515">
        <f>IF(ISERROR(L49/G49-1),"NM",L49/G49-1)</f>
        <v>0.50795791745346652</v>
      </c>
      <c r="M51" s="516" t="str">
        <f>IF(ISERROR(M49/H49-1),"NM",M49/H49-1)</f>
        <v>NM</v>
      </c>
      <c r="N51" s="515">
        <f>IF(ISERROR(N49/I49-1),"nm",N49/I49-1)</f>
        <v>5.8588841417441584E-2</v>
      </c>
      <c r="O51" s="515">
        <f>IF(ISERROR(O49/J49-1),"NM",O49/J49-1)</f>
        <v>4.0500045403638385E-2</v>
      </c>
      <c r="P51" s="515">
        <f>IF(ISERROR(P49/K49-1),"NM",P49/K49-1)</f>
        <v>0.32666686448473348</v>
      </c>
      <c r="Q51" s="515">
        <f>IF(ISERROR(Q49/L49-1),"NM",Q49/L49-1)</f>
        <v>0.64952295766249257</v>
      </c>
      <c r="R51" s="516">
        <f>IF(ISERROR(R49/M49-1),"NM",R49/M49-1)</f>
        <v>0.2940060098054722</v>
      </c>
      <c r="S51" s="515">
        <f>IF(ISERROR(S49/N49-1),"nm",S49/N49-1)</f>
        <v>0.6811585601092085</v>
      </c>
      <c r="T51" s="515">
        <f>IF(ISERROR(T49/O49-1),"NM",T49/O49-1)</f>
        <v>0.6699927272727273</v>
      </c>
      <c r="U51" s="515">
        <f>IF(ISERROR(U49/P49-1),"NM",U49/P49-1)</f>
        <v>0.27819279803176022</v>
      </c>
      <c r="V51" s="515">
        <f>IF(ISERROR(V49/Q49-1),"NM",V49/Q49-1)</f>
        <v>1.7623136014460083E-2</v>
      </c>
      <c r="W51" s="516">
        <f>IF(ISERROR(W49/R49-1),"NM",W49/R49-1)</f>
        <v>0.3318635654250417</v>
      </c>
      <c r="X51" s="515">
        <f>IF(ISERROR(X49/S49-1),"nm",X49/S49-1)</f>
        <v>-1.1597528684907377E-2</v>
      </c>
      <c r="Y51" s="515">
        <f>IF(ISERROR(Y49/T49-1),"NM",Y49/T49-1)</f>
        <v>1.9684353551893574E-2</v>
      </c>
      <c r="Z51" s="515">
        <f>IF(ISERROR(Z49/U49-1),"NM",Z49/U49-1)</f>
        <v>6.5321621054105217E-2</v>
      </c>
      <c r="AA51" s="515">
        <f>IF(ISERROR(AA49/V49-1),"NM",AA49/V49-1)</f>
        <v>8.8134991119005246E-2</v>
      </c>
      <c r="AB51" s="516">
        <f>IF(ISERROR(AB49/W49-1),"NM",AB49/W49-1)</f>
        <v>4.2353439452228914E-2</v>
      </c>
      <c r="AC51" s="515">
        <f>IF(ISERROR(AC49/X49-1),"nm",AC49/X49-1)</f>
        <v>9.8744485917882541E-2</v>
      </c>
      <c r="AD51" s="515">
        <f>IF(ISERROR(AD49/Y49-1),"NM",AD49/Y49-1)</f>
        <v>-3.0750307503074614E-3</v>
      </c>
      <c r="AE51" s="515">
        <f>IF(ISERROR(AE49/Z49-1),"NM",AE49/Z49-1)</f>
        <v>-9.5957687948621029E-2</v>
      </c>
      <c r="AF51" s="515">
        <f>IF(ISERROR(AF49/AA49-1),"NM",AF49/AA49-1)</f>
        <v>-0.11277790473703109</v>
      </c>
      <c r="AG51" s="516">
        <f>IF(ISERROR(AG49/AB49-1),"NM",AG49/AB49-1)</f>
        <v>-2.8205735956387756E-2</v>
      </c>
      <c r="AH51" s="515">
        <f>IF(ISERROR(AH49/AC49-1),"nm",AH49/AC49-1)</f>
        <v>-0.12382562335424729</v>
      </c>
      <c r="AI51" s="515">
        <f>IF(ISERROR(AI49/AD49-1),"NM",AI49/AD49-1)</f>
        <v>-7.510795805058601E-2</v>
      </c>
      <c r="AJ51" s="515">
        <f>IF(ISERROR(AJ49/AE49-1),"NM",AJ49/AE49-1)</f>
        <v>-1.998582823089079E-2</v>
      </c>
      <c r="AK51" s="515">
        <f>IF(ISERROR(AK49/AF49-1),"NM",AK49/AF49-1)</f>
        <v>-2.6677460305778444E-3</v>
      </c>
      <c r="AL51" s="516">
        <f>IF(ISERROR(AL49/AG49-1),"NM",AL49/AG49-1)</f>
        <v>-5.8397212543554011E-2</v>
      </c>
      <c r="AM51" s="515">
        <f>IF(ISERROR(AM49/AH49-1),"nm",AM49/AH49-1)</f>
        <v>2.8550756901157603E-2</v>
      </c>
      <c r="AN51" s="515">
        <f t="shared" ref="AN51:AT51" si="44">IF(ISERROR(AN49/AI49-1),"NM",AN49/AI49-1)</f>
        <v>4.5485705815870858E-2</v>
      </c>
      <c r="AO51" s="515">
        <f t="shared" si="44"/>
        <v>5.5618383729768794E-2</v>
      </c>
      <c r="AP51" s="515">
        <f t="shared" si="44"/>
        <v>5.7851239669421517E-2</v>
      </c>
      <c r="AQ51" s="516">
        <f t="shared" si="44"/>
        <v>4.3879514505624551E-2</v>
      </c>
      <c r="AR51" s="515">
        <f t="shared" si="44"/>
        <v>2.4493624082390975E-2</v>
      </c>
      <c r="AS51" s="515">
        <f t="shared" si="44"/>
        <v>-9.6760473523782586E-3</v>
      </c>
      <c r="AT51" s="515">
        <f t="shared" si="44"/>
        <v>-2.298951509510172E-2</v>
      </c>
      <c r="AU51" s="137"/>
      <c r="AV51" s="44"/>
      <c r="AW51" s="44"/>
      <c r="AX51" s="44"/>
      <c r="AY51" s="44"/>
      <c r="AZ51" s="65"/>
      <c r="BA51" s="515" t="str">
        <f>IF(ISERROR(BA49/AV49-1),"nm",BA49/AV49-1)</f>
        <v>nm</v>
      </c>
      <c r="BB51" s="515" t="str">
        <f>IF(ISERROR(BB49/AW49-1),"nm",BB49/AW49-1)</f>
        <v>nm</v>
      </c>
      <c r="BC51" s="515" t="str">
        <f>IF(ISERROR(BC49/AX49-1),"nm",BC49/AX49-1)</f>
        <v>nm</v>
      </c>
      <c r="BD51" s="515" t="str">
        <f>IF(ISERROR(BD49/AY49-1),"nm",BD49/AY49-1)</f>
        <v>nm</v>
      </c>
      <c r="BE51" s="517">
        <f>BE49/AZ49-1</f>
        <v>2.0793950850661602E-3</v>
      </c>
      <c r="BF51" s="515" t="str">
        <f>IF(ISERROR(BF49/BA49-1),"nm",BF49/BA49-1)</f>
        <v>nm</v>
      </c>
      <c r="BG51" s="515" t="str">
        <f>IF(ISERROR(BG49/BB49-1),"nm",BG49/BB49-1)</f>
        <v>nm</v>
      </c>
      <c r="BH51" s="515" t="str">
        <f>IF(ISERROR(BH49/BC49-1),"nm",BH49/BC49-1)</f>
        <v>nm</v>
      </c>
      <c r="BI51" s="515" t="str">
        <f>IF(ISERROR(BI49/BD49-1),"nm",BI49/BD49-1)</f>
        <v>nm</v>
      </c>
      <c r="BJ51" s="517">
        <f>BJ49/BE49-1</f>
        <v>-0.22821951832987486</v>
      </c>
      <c r="BK51" s="518" t="str">
        <f>IF(ISERROR(BK49/BF49-1),"nm",BK49/BF49-1)</f>
        <v>nm</v>
      </c>
      <c r="BL51" s="518">
        <f>IF(ISERROR(BL49/BG49-1),"NM",BL49/BG49-1)</f>
        <v>-3.845122539818735E-2</v>
      </c>
      <c r="BM51" s="518">
        <f>IF(ISERROR(BM49/BH49-1),"NM",BM49/BH49-1)</f>
        <v>-1.3641886667403069E-2</v>
      </c>
      <c r="BN51" s="518">
        <f>IF(ISERROR(BN49/BI49-1),"NM",BN49/BI49-1)</f>
        <v>-3.3515808289577009E-3</v>
      </c>
      <c r="BO51" s="517">
        <f>IF(ISERROR(BO49/BJ49-1),"NM",BO49/BJ49-1)</f>
        <v>-8.9052745215859153E-2</v>
      </c>
      <c r="BP51" s="518">
        <f t="shared" ref="BP51:CU51" si="45">BP49/BK49-1</f>
        <v>-4.072751617942405E-3</v>
      </c>
      <c r="BQ51" s="518">
        <f t="shared" si="45"/>
        <v>-0.15956497490239818</v>
      </c>
      <c r="BR51" s="518">
        <f t="shared" si="45"/>
        <v>-0.16193515874349063</v>
      </c>
      <c r="BS51" s="518">
        <f t="shared" si="45"/>
        <v>-0.16259387960990923</v>
      </c>
      <c r="BT51" s="517">
        <f t="shared" si="45"/>
        <v>-0.16021018502990669</v>
      </c>
      <c r="BU51" s="518">
        <f t="shared" si="45"/>
        <v>-0.16234384628312137</v>
      </c>
      <c r="BV51" s="518">
        <f t="shared" si="45"/>
        <v>-5.2425509323776875E-3</v>
      </c>
      <c r="BW51" s="518">
        <f t="shared" si="45"/>
        <v>-3.8618293579207541E-2</v>
      </c>
      <c r="BX51" s="518">
        <f t="shared" si="45"/>
        <v>-2.8445217856903793E-2</v>
      </c>
      <c r="BY51" s="517">
        <f t="shared" si="45"/>
        <v>-4.2867603008719946E-2</v>
      </c>
      <c r="BZ51" s="518">
        <f t="shared" si="45"/>
        <v>-3.1766200762388785E-2</v>
      </c>
      <c r="CA51" s="518">
        <f t="shared" si="45"/>
        <v>-7.7451634422948668E-2</v>
      </c>
      <c r="CB51" s="518">
        <f t="shared" si="45"/>
        <v>-5.9281395510459411E-2</v>
      </c>
      <c r="CC51" s="518">
        <f t="shared" si="45"/>
        <v>-6.6753926701570654E-2</v>
      </c>
      <c r="CD51" s="517">
        <f t="shared" si="45"/>
        <v>-6.0296265387022707E-2</v>
      </c>
      <c r="CE51" s="518">
        <f t="shared" si="45"/>
        <v>-6.2439563475618187E-2</v>
      </c>
      <c r="CF51" s="518">
        <f t="shared" si="45"/>
        <v>-3.0226335960662376E-2</v>
      </c>
      <c r="CG51" s="518">
        <f t="shared" si="45"/>
        <v>-8.6436170212765839E-3</v>
      </c>
      <c r="CH51" s="518">
        <f t="shared" si="45"/>
        <v>-8.1936960212593002E-3</v>
      </c>
      <c r="CI51" s="517">
        <f t="shared" si="45"/>
        <v>-6.8827708703375068E-3</v>
      </c>
      <c r="CJ51" s="518">
        <f t="shared" si="45"/>
        <v>-1.0534846029173428E-2</v>
      </c>
      <c r="CK51" s="518">
        <f t="shared" si="45"/>
        <v>1.7895757214227981E-3</v>
      </c>
      <c r="CL51" s="518">
        <f t="shared" si="45"/>
        <v>2.9808480512705238E-4</v>
      </c>
      <c r="CM51" s="518">
        <f t="shared" si="45"/>
        <v>-5.2098838940162207E-4</v>
      </c>
      <c r="CN51" s="517">
        <f t="shared" si="45"/>
        <v>8.1973321409933853E-4</v>
      </c>
      <c r="CO51" s="518">
        <f t="shared" si="45"/>
        <v>-2.29320229320229E-2</v>
      </c>
      <c r="CP51" s="518">
        <f t="shared" si="45"/>
        <v>-2.4116114625976959E-2</v>
      </c>
      <c r="CQ51" s="518">
        <f t="shared" si="45"/>
        <v>-2.3616181181554063E-2</v>
      </c>
      <c r="CR51" s="518">
        <f t="shared" si="45"/>
        <v>-2.3084369647777159E-2</v>
      </c>
      <c r="CS51" s="517">
        <f t="shared" si="45"/>
        <v>-2.3454951600893503E-2</v>
      </c>
      <c r="CT51" s="518">
        <f t="shared" si="45"/>
        <v>1.1430313190581298E-3</v>
      </c>
      <c r="CU51" s="518">
        <f t="shared" si="45"/>
        <v>4.9576691327892775E-3</v>
      </c>
      <c r="CV51" s="518">
        <f t="shared" ref="CV51:DR51" si="46">CV49/CQ49-1</f>
        <v>8.3931023958492279E-3</v>
      </c>
      <c r="CW51" s="518">
        <f t="shared" si="46"/>
        <v>7.39385623904254E-3</v>
      </c>
      <c r="CX51" s="517">
        <f t="shared" si="46"/>
        <v>4.9866565001905894E-3</v>
      </c>
      <c r="CY51" s="518">
        <f t="shared" si="46"/>
        <v>3.1968336124219565E-3</v>
      </c>
      <c r="CZ51" s="518">
        <f t="shared" si="46"/>
        <v>3.0358227079529954E-4</v>
      </c>
      <c r="DA51" s="518">
        <f t="shared" si="46"/>
        <v>-2.7239709443098725E-3</v>
      </c>
      <c r="DB51" s="518">
        <f t="shared" si="46"/>
        <v>0.53556295399515741</v>
      </c>
      <c r="DC51" s="517">
        <f t="shared" si="46"/>
        <v>0.10844890898607029</v>
      </c>
      <c r="DD51" s="518">
        <f t="shared" si="46"/>
        <v>0.53740515933232169</v>
      </c>
      <c r="DE51" s="518">
        <f t="shared" si="46"/>
        <v>0.54552352048558417</v>
      </c>
      <c r="DF51" s="518">
        <f t="shared" si="46"/>
        <v>0.56995447647951436</v>
      </c>
      <c r="DG51" s="518">
        <f t="shared" si="46"/>
        <v>2.5179856115107979E-2</v>
      </c>
      <c r="DH51" s="517">
        <f t="shared" si="46"/>
        <v>0.40591931443277818</v>
      </c>
      <c r="DI51" s="518">
        <f t="shared" si="46"/>
        <v>2.7636578986329763E-2</v>
      </c>
      <c r="DJ51" s="518">
        <f t="shared" si="46"/>
        <v>2.2385861561119214E-2</v>
      </c>
      <c r="DK51" s="518">
        <f t="shared" si="46"/>
        <v>2.0780978155809038E-2</v>
      </c>
      <c r="DL51" s="518">
        <f t="shared" si="46"/>
        <v>8.3826003364575907E-2</v>
      </c>
      <c r="DM51" s="517">
        <f t="shared" si="46"/>
        <v>3.7136931480706181E-2</v>
      </c>
      <c r="DN51" s="518">
        <f t="shared" si="46"/>
        <v>3.3664697690054313E-2</v>
      </c>
      <c r="DO51" s="518">
        <f t="shared" si="46"/>
        <v>-2.1415538269470846E-2</v>
      </c>
      <c r="DP51" s="518">
        <f t="shared" si="46"/>
        <v>-3.5744721143831093E-2</v>
      </c>
      <c r="DQ51" s="518">
        <f t="shared" si="46"/>
        <v>-9.8585303117654899E-2</v>
      </c>
      <c r="DR51" s="517">
        <f t="shared" si="46"/>
        <v>-1.3021640144580626E-2</v>
      </c>
      <c r="DS51" s="518">
        <f t="shared" ref="DS51:EG51" si="47">DS49/DN49-1</f>
        <v>-5.4357926036052828E-2</v>
      </c>
      <c r="DT51" s="518">
        <f t="shared" si="47"/>
        <v>-1.2757605495583579E-3</v>
      </c>
      <c r="DU51" s="518">
        <f t="shared" si="47"/>
        <v>-6.3828742573768249E-4</v>
      </c>
      <c r="DV51" s="518">
        <f t="shared" si="47"/>
        <v>1.3775460001967943E-3</v>
      </c>
      <c r="DW51" s="517">
        <f t="shared" si="47"/>
        <v>-3.1942013545392167E-2</v>
      </c>
      <c r="DX51" s="518">
        <f t="shared" si="47"/>
        <v>0</v>
      </c>
      <c r="DY51" s="518">
        <f t="shared" si="47"/>
        <v>0</v>
      </c>
      <c r="DZ51" s="518">
        <f t="shared" si="47"/>
        <v>0</v>
      </c>
      <c r="EA51" s="518">
        <f t="shared" si="47"/>
        <v>0</v>
      </c>
      <c r="EB51" s="517">
        <f t="shared" si="47"/>
        <v>0</v>
      </c>
      <c r="EC51" s="518">
        <f t="shared" si="47"/>
        <v>0</v>
      </c>
      <c r="ED51" s="518">
        <f t="shared" si="47"/>
        <v>0</v>
      </c>
      <c r="EE51" s="518">
        <f t="shared" si="47"/>
        <v>0</v>
      </c>
      <c r="EF51" s="518">
        <f t="shared" si="47"/>
        <v>0</v>
      </c>
      <c r="EG51" s="517">
        <f t="shared" si="47"/>
        <v>0</v>
      </c>
      <c r="EH51" s="518">
        <f t="shared" ref="EH51" si="48">EH49/EC49-1</f>
        <v>0</v>
      </c>
      <c r="EI51" s="518">
        <f t="shared" ref="EI51" si="49">EI49/ED49-1</f>
        <v>0</v>
      </c>
      <c r="EJ51" s="518">
        <f t="shared" ref="EJ51" si="50">EJ49/EE49-1</f>
        <v>0</v>
      </c>
      <c r="EK51" s="518">
        <f t="shared" ref="EK51" si="51">EK49/EF49-1</f>
        <v>0</v>
      </c>
      <c r="EL51" s="517">
        <f t="shared" ref="EL51" si="52">EL49/EG49-1</f>
        <v>0</v>
      </c>
    </row>
    <row r="52" spans="1:142" ht="11.25" customHeight="1">
      <c r="A52" s="159"/>
      <c r="B52" s="159" t="s">
        <v>130</v>
      </c>
      <c r="C52" s="9"/>
      <c r="D52" s="9"/>
      <c r="E52" s="90">
        <f>E49/AVERAGE(E40,D40)</f>
        <v>200.66666666666666</v>
      </c>
      <c r="F52" s="90">
        <f>F49/AVERAGE(F40,E40)</f>
        <v>200.63636363636363</v>
      </c>
      <c r="G52" s="90">
        <f>G49/AVERAGE(G40,F40)</f>
        <v>215.94174757281553</v>
      </c>
      <c r="H52" s="193"/>
      <c r="I52" s="90">
        <f>I49/AVERAGE(I40,H40)</f>
        <v>224.16901408450704</v>
      </c>
      <c r="J52" s="90">
        <f>J49/AVERAGE(J40,I40)</f>
        <v>224.74149659863946</v>
      </c>
      <c r="K52" s="90">
        <f>K49/AVERAGE(K40,J40)</f>
        <v>224.67333333333335</v>
      </c>
      <c r="L52" s="90">
        <f>L49/AVERAGE(L40,K40)</f>
        <v>225.1006711409396</v>
      </c>
      <c r="M52" s="193">
        <f>M49/AVERAGE(I40:L40,H40)</f>
        <v>224.58743169398906</v>
      </c>
      <c r="N52" s="90">
        <f>N49/AVERAGE(N40,M40)</f>
        <v>226.15436241610738</v>
      </c>
      <c r="O52" s="90">
        <f>O49/AVERAGE(O40,N40)</f>
        <v>227.64900662251657</v>
      </c>
      <c r="P52" s="90">
        <f>P49/AVERAGE(P40,O40)</f>
        <v>220.2463054187192</v>
      </c>
      <c r="Q52" s="90">
        <f>Q49/AVERAGE(Q40,P40)</f>
        <v>216.9607843137255</v>
      </c>
      <c r="R52" s="193">
        <f>R49/AVERAGE(N40:Q40,M40)</f>
        <v>221.59583333333333</v>
      </c>
      <c r="S52" s="90">
        <f>S49/AVERAGE(S40,R40)</f>
        <v>219.57364341085272</v>
      </c>
      <c r="T52" s="90">
        <f>T49/AVERAGE(T40,S40)</f>
        <v>221.64478764478764</v>
      </c>
      <c r="U52" s="90">
        <f>U49/AVERAGE(U40,T40)</f>
        <v>224.99212598425197</v>
      </c>
      <c r="V52" s="90">
        <f>V49/AVERAGE(V40,U40)</f>
        <v>227.93522267206478</v>
      </c>
      <c r="W52" s="193">
        <f>W49/AVERAGE(S40:V40,R40)</f>
        <v>223.44637223974763</v>
      </c>
      <c r="X52" s="90">
        <f>X49/AVERAGE(X40,W40)</f>
        <v>230.42386831275721</v>
      </c>
      <c r="Y52" s="90">
        <f>Y49/AVERAGE(Y40,X40)</f>
        <v>235.0843373493976</v>
      </c>
      <c r="Z52" s="90">
        <f>Z49/AVERAGE(Z40,Y40)</f>
        <v>236.89105058365757</v>
      </c>
      <c r="AA52" s="90">
        <f>AA49/AVERAGE(AA40,Z40)</f>
        <v>236.53281853281854</v>
      </c>
      <c r="AB52" s="193">
        <f>AB49/AVERAGE(X40:AA40,W40)</f>
        <v>234.38888888888889</v>
      </c>
      <c r="AC52" s="90">
        <f>AC49/AVERAGE(AC40,AB40)</f>
        <v>236.62307692307692</v>
      </c>
      <c r="AD52" s="90">
        <f>AD49/AVERAGE(AD40,AC40)</f>
        <v>240.14814814814815</v>
      </c>
      <c r="AE52" s="90">
        <f>AE49/AVERAGE(AE40,AD40)</f>
        <v>244.61777777777777</v>
      </c>
      <c r="AF52" s="90">
        <f>AF49/AVERAGE(AF40,AE40)</f>
        <v>244.83333333333334</v>
      </c>
      <c r="AG52" s="193">
        <f>AG49/AVERAGE(AC40:AF40,AB40)</f>
        <v>241.1764705882353</v>
      </c>
      <c r="AH52" s="90">
        <f>AH49/AVERAGE(AH40,AG40)</f>
        <v>245.01818181818183</v>
      </c>
      <c r="AI52" s="90">
        <f>AI49/AVERAGE(AI40,AH40)</f>
        <v>244.22171945701356</v>
      </c>
      <c r="AJ52" s="90">
        <f>AJ49/AVERAGE(AJ40,AI40)</f>
        <v>244.06787330316743</v>
      </c>
      <c r="AK52" s="90">
        <f>AK49/AVERAGE(AK40,AJ40)</f>
        <v>245.28506787330318</v>
      </c>
      <c r="AL52" s="193">
        <f>AL49/AVERAGE(AH40:AK40,AG40)</f>
        <v>244.78260869565216</v>
      </c>
      <c r="AM52" s="90">
        <f>AM49/AVERAGE(AM40,AL40)</f>
        <v>246.41333333333333</v>
      </c>
      <c r="AN52" s="90">
        <f>AN49/AVERAGE(AN40,AM40)</f>
        <v>247.49122807017545</v>
      </c>
      <c r="AO52" s="90">
        <f>AO49/AVERAGE(AO40,AN40)</f>
        <v>247.56086956521739</v>
      </c>
      <c r="AP52" s="90">
        <f>AP49/AVERAGE(AP40,AO40)</f>
        <v>247.17241379310346</v>
      </c>
      <c r="AQ52" s="193">
        <f>AQ49/AVERAGE(AM40:AP40,AL40)</f>
        <v>247.02101576182136</v>
      </c>
      <c r="AR52" s="507">
        <f>IF(ISERROR(AR49/AVERAGE(AR40,AQ40)),"NM",AR49/AVERAGE(AR40,AQ40))</f>
        <v>246.96086956521739</v>
      </c>
      <c r="AS52" s="507">
        <f>IF(ISERROR(AS49/AVERAGE(AS40,AR40)),"NM",AS49/AVERAGE(AS40,AR40))</f>
        <v>246.17621145374449</v>
      </c>
      <c r="AT52" s="507">
        <f>IF(ISERROR(AT49/AVERAGE(AT40,AS40)),"NM",AT49/AVERAGE(AT40,AS40))</f>
        <v>245.0660792951542</v>
      </c>
      <c r="AU52" s="137"/>
      <c r="AV52" s="90"/>
      <c r="AW52" s="507" t="str">
        <f>IF(ISERROR(AW49/AVERAGE(AW40,AV40)),"nm",AW49/AVERAGE(AW40,AV40))</f>
        <v>nm</v>
      </c>
      <c r="AX52" s="507" t="str">
        <f>IF(ISERROR(AX49/AVERAGE(AX40,AW40)),"nm",AX49/AVERAGE(AX40,AW40))</f>
        <v>nm</v>
      </c>
      <c r="AY52" s="507" t="str">
        <f>IF(ISERROR(AY49/AVERAGE(AY40,AX40)),"nm",AY49/AVERAGE(AY40,AX40))</f>
        <v>nm</v>
      </c>
      <c r="AZ52" s="519">
        <f>IF(ISERROR(AZ49/AVERAGE(AZ40,AX40)),"nm",AZ49/AVERAGE(AZ40,AX40))</f>
        <v>222.73684210526315</v>
      </c>
      <c r="BA52" s="507" t="str">
        <f>IF(ISERROR(BA49/AVERAGE(BA40,AZ40)),"nm",BA49/AVERAGE(BA40,AZ40))</f>
        <v>nm</v>
      </c>
      <c r="BB52" s="507" t="str">
        <f>IF(ISERROR(BB49/AVERAGE(BB40,BA40)),"nm",BB49/AVERAGE(BB40,BA40))</f>
        <v>nm</v>
      </c>
      <c r="BC52" s="507" t="str">
        <f>IF(ISERROR(BC49/AVERAGE(BC40,BB40)),"nm",BC49/AVERAGE(BC40,BB40))</f>
        <v>nm</v>
      </c>
      <c r="BD52" s="507" t="str">
        <f>IF(ISERROR(BD49/AVERAGE(BD40,BC40)),"nm",BD49/AVERAGE(BD40,BC40))</f>
        <v>nm</v>
      </c>
      <c r="BE52" s="193">
        <f>BE49/AVERAGE(BA40:BD40,AZ40)</f>
        <v>249.45882352941175</v>
      </c>
      <c r="BF52" s="507" t="str">
        <f>IF(ISERROR(BF49/AVERAGE(BF40,BE40)),"nm",BF49/AVERAGE(BF40,BE40))</f>
        <v>nm</v>
      </c>
      <c r="BG52" s="90">
        <f>BG49/AVERAGE(BG40,BF40)</f>
        <v>260.79720279720277</v>
      </c>
      <c r="BH52" s="90">
        <f>BH49/AVERAGE(BH40,BG40)</f>
        <v>255.01408450704224</v>
      </c>
      <c r="BI52" s="90">
        <f>BI49/AVERAGE(BI40,BH40)</f>
        <v>257.58273381294964</v>
      </c>
      <c r="BJ52" s="193">
        <f>BJ49/AVERAGE(BF40:BI40,BE40)</f>
        <v>257.71391076115486</v>
      </c>
      <c r="BK52" s="90">
        <f>BK49/AVERAGE(BK40,BJ40)</f>
        <v>259.768115942029</v>
      </c>
      <c r="BL52" s="90">
        <f>BL49/AVERAGE(BL40,BK40)</f>
        <v>259.85507246376812</v>
      </c>
      <c r="BM52" s="90">
        <f>BM49/AVERAGE(BM40,BL40)</f>
        <v>258.82608695652175</v>
      </c>
      <c r="BN52" s="90">
        <f>BN49/AVERAGE(BN40,BM40)</f>
        <v>258.57971014492756</v>
      </c>
      <c r="BO52" s="193">
        <f>BO49/AVERAGE(BK40:BN40,BJ40)</f>
        <v>259.26086956521738</v>
      </c>
      <c r="BP52" s="90">
        <f>BP49/AVERAGE(BP40,BO40)</f>
        <v>258.71014492753625</v>
      </c>
      <c r="BQ52" s="90">
        <f>BQ49/AVERAGE(BQ40,BP40)</f>
        <v>239.1904761904762</v>
      </c>
      <c r="BR52" s="90">
        <f>BR49/AVERAGE(BR40,BQ40)</f>
        <v>262.57894736842104</v>
      </c>
      <c r="BS52" s="90">
        <f>BS49/AVERAGE(BS40,BR40)</f>
        <v>262.12280701754383</v>
      </c>
      <c r="BT52" s="193">
        <f>BT49/AVERAGE(BP40:BS40,BO40)</f>
        <v>243.0906148867314</v>
      </c>
      <c r="BU52" s="90">
        <f>BU49/AVERAGE(BU40,BT40)</f>
        <v>262.33333333333331</v>
      </c>
      <c r="BV52" s="90">
        <f>BV49/AVERAGE(BV40,BU40)</f>
        <v>260.69565217391306</v>
      </c>
      <c r="BW52" s="90">
        <f>BW49/AVERAGE(BW40,BV40)</f>
        <v>256.94642857142856</v>
      </c>
      <c r="BX52" s="90">
        <f>BX49/AVERAGE(BX40,BW40)</f>
        <v>268.81481481481484</v>
      </c>
      <c r="BY52" s="193">
        <f>BY49/AVERAGE(BU40:BX40,BT40)</f>
        <v>256.76785714285717</v>
      </c>
      <c r="BZ52" s="90">
        <f>BZ49/AVERAGE(BZ40,BY40)</f>
        <v>268.11111111111109</v>
      </c>
      <c r="CA52" s="90">
        <f>CA49/AVERAGE(CA40,BZ40)</f>
        <v>260.92452830188677</v>
      </c>
      <c r="CB52" s="90">
        <f>CB49/AVERAGE(CB40,CA40)</f>
        <v>265.41176470588238</v>
      </c>
      <c r="CC52" s="90">
        <f>CC49/AVERAGE(CC40,CB40)</f>
        <v>270.94</v>
      </c>
      <c r="CD52" s="193">
        <f>CD49/AVERAGE(BZ40:CC40,BY40)</f>
        <v>259.84615384615387</v>
      </c>
      <c r="CE52" s="90">
        <f>CE49/AVERAGE(CE40,CD40)</f>
        <v>271.48</v>
      </c>
      <c r="CF52" s="90">
        <f>CF49/AVERAGE(CF40,CE40)</f>
        <v>270.92929292929296</v>
      </c>
      <c r="CG52" s="90">
        <f>CG49/AVERAGE(CG40,CF40)</f>
        <v>273.85714285714283</v>
      </c>
      <c r="CH52" s="90">
        <f>CH49/AVERAGE(CH40,CG40)</f>
        <v>274.20408163265307</v>
      </c>
      <c r="CI52" s="193">
        <f>CI49/AVERAGE(CE40:CH40,CD40)</f>
        <v>271.63967611336034</v>
      </c>
      <c r="CJ52" s="90">
        <f>CJ49/AVERAGE(CJ40,CI40)</f>
        <v>274.10204081632651</v>
      </c>
      <c r="CK52" s="90">
        <f>CK49/AVERAGE(CK40,CJ40)</f>
        <v>274.18367346938777</v>
      </c>
      <c r="CL52" s="90">
        <f>CL49/AVERAGE(CL40,CK40)</f>
        <v>273.9387755102041</v>
      </c>
      <c r="CM52" s="90">
        <f>CM49/AVERAGE(CM40,CL40)</f>
        <v>274.0612244897959</v>
      </c>
      <c r="CN52" s="193">
        <f>CN49/AVERAGE(CJ40:CM40,CI40)</f>
        <v>274.08163265306121</v>
      </c>
      <c r="CO52" s="90">
        <f>CO49/AVERAGE(CO40,CN40)</f>
        <v>267.81632653061223</v>
      </c>
      <c r="CP52" s="90">
        <f>CP49/AVERAGE(CP40,CO40)</f>
        <v>267.57142857142856</v>
      </c>
      <c r="CQ52" s="90">
        <f>CQ49/AVERAGE(CQ40,CP40)</f>
        <v>267.46938775510205</v>
      </c>
      <c r="CR52" s="90">
        <f>CR49/AVERAGE(CR40,CQ40)</f>
        <v>267.73469387755102</v>
      </c>
      <c r="CS52" s="193">
        <f>CS49/AVERAGE(CO40:CR40,CN40)</f>
        <v>267.65306122448982</v>
      </c>
      <c r="CT52" s="90">
        <f>CT49/AVERAGE(CT40,CS40)</f>
        <v>268.12244897959181</v>
      </c>
      <c r="CU52" s="90">
        <f>CU49/AVERAGE(CU40,CT40)</f>
        <v>268.89795918367349</v>
      </c>
      <c r="CV52" s="90">
        <f>CV49/AVERAGE(CV40,CU40)</f>
        <v>269.71428571428572</v>
      </c>
      <c r="CW52" s="90">
        <f>CW49/AVERAGE(CW40,CV40)</f>
        <v>269.71428571428572</v>
      </c>
      <c r="CX52" s="193">
        <f>CX49/AVERAGE(CT40:CW40,CS40)</f>
        <v>268.98775510204081</v>
      </c>
      <c r="CY52" s="90">
        <f>CY49/AVERAGE(CY40,CX40)</f>
        <v>268.9795918367347</v>
      </c>
      <c r="CZ52" s="90">
        <f>CZ49/AVERAGE(CZ40,CY40)</f>
        <v>268.9795918367347</v>
      </c>
      <c r="DA52" s="90">
        <f>DA49/AVERAGE(DA40,CZ40)</f>
        <v>268.9795918367347</v>
      </c>
      <c r="DB52" s="90">
        <f>DB49/AVERAGE(DB40,DA40)</f>
        <v>322.12698412698415</v>
      </c>
      <c r="DC52" s="193">
        <f>DC49/AVERAGE(CY40:DB40,CX40)</f>
        <v>267.57875457875457</v>
      </c>
      <c r="DD52" s="90">
        <f>DD49/AVERAGE(DD40,DC40)</f>
        <v>263.15584415584414</v>
      </c>
      <c r="DE52" s="90">
        <f>DE49/AVERAGE(DE40,DD40)</f>
        <v>261.15384615384613</v>
      </c>
      <c r="DF52" s="90">
        <f>DF49/AVERAGE(DF40,DE40)</f>
        <v>260.27672955974845</v>
      </c>
      <c r="DG52" s="90">
        <f>DG49/AVERAGE(DG40,DF40)</f>
        <v>260.0625</v>
      </c>
      <c r="DH52" s="193">
        <f>DH49/AVERAGE(DD40:DG40,DC40)</f>
        <v>261.32569974554713</v>
      </c>
      <c r="DI52" s="90">
        <f>DI49/AVERAGE(DI40,DH40)</f>
        <v>260.28750000000002</v>
      </c>
      <c r="DJ52" s="90">
        <f>DJ49/AVERAGE(DJ40,DI40)</f>
        <v>260.32499999999999</v>
      </c>
      <c r="DK52" s="90">
        <f>DK49/AVERAGE(DK40,DJ40)</f>
        <v>259.16564417177915</v>
      </c>
      <c r="DL52" s="90">
        <f>DL49/AVERAGE(DL40,DK40)</f>
        <v>266.85207100591714</v>
      </c>
      <c r="DM52" s="193">
        <f>DM49/AVERAGE(DI40:DL40,DH40)</f>
        <v>260.42787286063572</v>
      </c>
      <c r="DN52" s="90">
        <f>DN49/AVERAGE(DN40,DM40)</f>
        <v>259.32530120481925</v>
      </c>
      <c r="DO52" s="90">
        <f>DO49/AVERAGE(DO40,DN40)</f>
        <v>262.96774193548384</v>
      </c>
      <c r="DP52" s="90">
        <f>DP49/AVERAGE(DP40,DO40)</f>
        <v>271.56</v>
      </c>
      <c r="DQ52" s="90">
        <f>DQ49/AVERAGE(DQ40,DP40)</f>
        <v>271.01333333333332</v>
      </c>
      <c r="DR52" s="193">
        <f>DR49/AVERAGE(DN40:DQ40,DM40)</f>
        <v>268.86956521739125</v>
      </c>
      <c r="DS52" s="90">
        <f>DS49/AVERAGE(DS40,DR40)</f>
        <v>260.94871794871796</v>
      </c>
      <c r="DT52" s="90">
        <f>DT49/AVERAGE(DT40,DS40)</f>
        <v>269.58940397350995</v>
      </c>
      <c r="DU52" s="90">
        <f>DU49/AVERAGE(DU40,DT40)</f>
        <v>271.38666666666666</v>
      </c>
      <c r="DV52" s="90">
        <f>DV49/AVERAGE(DV40,DU40)</f>
        <v>276.92517006802723</v>
      </c>
      <c r="DW52" s="193">
        <f>DW49/AVERAGE(DS40:DV40,DR40)</f>
        <v>269.23280423280426</v>
      </c>
      <c r="DX52" s="90">
        <f>DX49/AVERAGE(DX40,DW40)</f>
        <v>288.70921985815602</v>
      </c>
      <c r="DY52" s="90">
        <f>DY49/AVERAGE(DY40,DX40)</f>
        <v>297.13868613138686</v>
      </c>
      <c r="DZ52" s="90">
        <f>DZ49/AVERAGE(DZ40,DY40)</f>
        <v>301.54074074074072</v>
      </c>
      <c r="EA52" s="90">
        <f>EA49/AVERAGE(EA40,DZ40)</f>
        <v>306.0751879699248</v>
      </c>
      <c r="EB52" s="193">
        <f>EB49/AVERAGE(DX40:EA40,DW40)</f>
        <v>297.57309941520464</v>
      </c>
      <c r="EC52" s="90">
        <f>EC49/AVERAGE(EC40,EB40)</f>
        <v>308.39393939393938</v>
      </c>
      <c r="ED52" s="90">
        <f>ED49/AVERAGE(ED40,EC40)</f>
        <v>308.39393939393938</v>
      </c>
      <c r="EE52" s="90">
        <f>EE49/AVERAGE(EE40,ED40)</f>
        <v>308.39393939393938</v>
      </c>
      <c r="EF52" s="90">
        <f>EF49/AVERAGE(EF40,EE40)</f>
        <v>308.39393939393938</v>
      </c>
      <c r="EG52" s="193">
        <f>EG49/AVERAGE(EC40:EF40,EB40)</f>
        <v>308.39393939393938</v>
      </c>
      <c r="EH52" s="90">
        <f>EH49/AVERAGE(EH40,EG40)</f>
        <v>308.39393939393938</v>
      </c>
      <c r="EI52" s="90">
        <f>EI49/AVERAGE(EI40,EH40)</f>
        <v>308.39393939393938</v>
      </c>
      <c r="EJ52" s="90">
        <f>EJ49/AVERAGE(EJ40,EI40)</f>
        <v>308.39393939393938</v>
      </c>
      <c r="EK52" s="90">
        <f>EK49/AVERAGE(EK40,EJ40)</f>
        <v>308.39393939393938</v>
      </c>
      <c r="EL52" s="193">
        <f>EL49/AVERAGE(EH40:EK40,EG40)</f>
        <v>308.39393939393938</v>
      </c>
    </row>
    <row r="53" spans="1:142" ht="11.25" customHeight="1">
      <c r="A53" s="192"/>
      <c r="B53" s="192"/>
      <c r="C53" s="9"/>
      <c r="D53" s="9"/>
      <c r="E53" s="9"/>
      <c r="F53" s="9"/>
      <c r="G53" s="9"/>
      <c r="H53" s="63"/>
      <c r="I53" s="9"/>
      <c r="J53" s="9"/>
      <c r="K53" s="9"/>
      <c r="L53" s="9"/>
      <c r="M53" s="63"/>
      <c r="N53" s="9"/>
      <c r="O53" s="9"/>
      <c r="P53" s="9"/>
      <c r="Q53" s="9"/>
      <c r="R53" s="63"/>
      <c r="S53" s="9"/>
      <c r="T53" s="9"/>
      <c r="U53" s="9"/>
      <c r="V53" s="9"/>
      <c r="W53" s="63"/>
      <c r="X53" s="9"/>
      <c r="Y53" s="9"/>
      <c r="Z53" s="9"/>
      <c r="AA53" s="9"/>
      <c r="AB53" s="63"/>
      <c r="AC53" s="9"/>
      <c r="AD53" s="9"/>
      <c r="AE53" s="9"/>
      <c r="AF53" s="9"/>
      <c r="AG53" s="63"/>
      <c r="AH53" s="9"/>
      <c r="AI53" s="9"/>
      <c r="AJ53" s="9"/>
      <c r="AK53" s="9"/>
      <c r="AL53" s="63"/>
      <c r="AM53" s="9"/>
      <c r="AN53" s="9"/>
      <c r="AO53" s="9"/>
      <c r="AP53" s="9"/>
      <c r="AQ53" s="63"/>
      <c r="AR53" s="162"/>
      <c r="AS53" s="162"/>
      <c r="AT53" s="162"/>
      <c r="AU53" s="137"/>
      <c r="AV53" s="4"/>
      <c r="AW53" s="171"/>
      <c r="AX53" s="171"/>
      <c r="AY53" s="171"/>
      <c r="AZ53" s="193"/>
      <c r="BA53" s="171"/>
      <c r="BB53" s="171"/>
      <c r="BC53" s="171"/>
      <c r="BD53" s="171"/>
      <c r="BE53" s="193"/>
      <c r="BF53" s="171"/>
      <c r="BG53" s="171"/>
      <c r="BH53" s="171"/>
      <c r="BI53" s="171"/>
      <c r="BJ53" s="193"/>
      <c r="BK53" s="162"/>
      <c r="BL53" s="162"/>
      <c r="BM53" s="162"/>
      <c r="BN53" s="162"/>
      <c r="BO53" s="74"/>
      <c r="BP53" s="162"/>
      <c r="BQ53" s="162"/>
      <c r="BR53" s="162"/>
      <c r="BS53" s="162"/>
      <c r="BT53" s="74"/>
      <c r="BU53" s="162"/>
      <c r="BV53" s="162"/>
      <c r="BW53" s="162"/>
      <c r="BX53" s="162"/>
      <c r="BY53" s="74"/>
      <c r="BZ53" s="162"/>
      <c r="CA53" s="162"/>
      <c r="CB53" s="162"/>
      <c r="CC53" s="162"/>
      <c r="CD53" s="74"/>
      <c r="CE53" s="162"/>
      <c r="CF53" s="162"/>
      <c r="CG53" s="162"/>
      <c r="CH53" s="162"/>
      <c r="CI53" s="74"/>
      <c r="CJ53" s="162"/>
      <c r="CK53" s="162"/>
      <c r="CL53" s="162"/>
      <c r="CM53" s="162"/>
      <c r="CN53" s="74"/>
      <c r="CO53" s="162"/>
      <c r="CP53" s="162"/>
      <c r="CQ53" s="162"/>
      <c r="CR53" s="162"/>
      <c r="CS53" s="74"/>
      <c r="CT53" s="162"/>
      <c r="CU53" s="162"/>
      <c r="CV53" s="162"/>
      <c r="CW53" s="162"/>
      <c r="CX53" s="74"/>
      <c r="CY53" s="162"/>
      <c r="CZ53" s="162"/>
      <c r="DA53" s="162"/>
      <c r="DB53" s="162"/>
      <c r="DC53" s="74"/>
      <c r="DD53" s="162"/>
      <c r="DE53" s="162"/>
      <c r="DF53" s="162"/>
      <c r="DG53" s="162"/>
      <c r="DH53" s="74"/>
      <c r="DI53" s="162"/>
      <c r="DJ53" s="162"/>
      <c r="DK53" s="162"/>
      <c r="DL53" s="162"/>
      <c r="DM53" s="74"/>
      <c r="DN53" s="162"/>
      <c r="DO53" s="162"/>
      <c r="DP53" s="162"/>
      <c r="DQ53" s="162"/>
      <c r="DR53" s="74"/>
      <c r="DS53" s="162"/>
      <c r="DT53" s="162"/>
      <c r="DU53" s="162"/>
      <c r="DV53" s="162"/>
      <c r="DW53" s="74"/>
      <c r="DX53" s="162"/>
      <c r="DY53" s="162"/>
      <c r="DZ53" s="162"/>
      <c r="EA53" s="162"/>
      <c r="EB53" s="74"/>
      <c r="EC53" s="162"/>
      <c r="ED53" s="162"/>
      <c r="EE53" s="162"/>
      <c r="EF53" s="162"/>
      <c r="EG53" s="74"/>
      <c r="EH53" s="162"/>
      <c r="EI53" s="162"/>
      <c r="EJ53" s="162"/>
      <c r="EK53" s="162"/>
      <c r="EL53" s="74"/>
    </row>
    <row r="54" spans="1:142" ht="11.25" customHeight="1">
      <c r="A54" s="168"/>
      <c r="B54" s="168" t="s">
        <v>131</v>
      </c>
      <c r="C54" s="31"/>
      <c r="D54" s="31"/>
      <c r="E54" s="31"/>
      <c r="F54" s="31"/>
      <c r="G54" s="31"/>
      <c r="H54" s="169"/>
      <c r="I54" s="31"/>
      <c r="J54" s="31"/>
      <c r="K54" s="31"/>
      <c r="L54" s="31"/>
      <c r="M54" s="169"/>
      <c r="N54" s="31"/>
      <c r="O54" s="31"/>
      <c r="P54" s="31"/>
      <c r="Q54" s="31"/>
      <c r="R54" s="169"/>
      <c r="S54" s="31"/>
      <c r="T54" s="31"/>
      <c r="U54" s="31"/>
      <c r="V54" s="31"/>
      <c r="W54" s="169"/>
      <c r="X54" s="31"/>
      <c r="Y54" s="31"/>
      <c r="Z54" s="31"/>
      <c r="AA54" s="31"/>
      <c r="AB54" s="169"/>
      <c r="AC54" s="31"/>
      <c r="AD54" s="31"/>
      <c r="AE54" s="31"/>
      <c r="AF54" s="31"/>
      <c r="AG54" s="169"/>
      <c r="AH54" s="31"/>
      <c r="AI54" s="31"/>
      <c r="AJ54" s="31"/>
      <c r="AK54" s="31"/>
      <c r="AL54" s="169"/>
      <c r="AM54" s="31"/>
      <c r="AN54" s="31"/>
      <c r="AO54" s="31"/>
      <c r="AP54" s="31"/>
      <c r="AQ54" s="169"/>
      <c r="AR54" s="31"/>
      <c r="AS54" s="31"/>
      <c r="AT54" s="31"/>
      <c r="AU54" s="137"/>
      <c r="AV54" s="160"/>
      <c r="AW54" s="475"/>
      <c r="AX54" s="475"/>
      <c r="AY54" s="475"/>
      <c r="AZ54" s="502"/>
      <c r="BA54" s="475"/>
      <c r="BB54" s="475"/>
      <c r="BC54" s="475"/>
      <c r="BD54" s="475"/>
      <c r="BE54" s="502"/>
      <c r="BF54" s="475"/>
      <c r="BG54" s="475"/>
      <c r="BH54" s="475"/>
      <c r="BI54" s="475"/>
      <c r="BJ54" s="502"/>
      <c r="BK54" s="477"/>
      <c r="BL54" s="477"/>
      <c r="BM54" s="477"/>
      <c r="BN54" s="477"/>
      <c r="BO54" s="503"/>
      <c r="BP54" s="477"/>
      <c r="BQ54" s="477"/>
      <c r="BR54" s="477"/>
      <c r="BS54" s="477"/>
      <c r="BT54" s="503"/>
      <c r="BU54" s="477"/>
      <c r="BV54" s="477"/>
      <c r="BW54" s="477"/>
      <c r="BX54" s="477"/>
      <c r="BY54" s="503"/>
      <c r="BZ54" s="477"/>
      <c r="CA54" s="477"/>
      <c r="CB54" s="477"/>
      <c r="CC54" s="477"/>
      <c r="CD54" s="503"/>
      <c r="CE54" s="477"/>
      <c r="CF54" s="477"/>
      <c r="CG54" s="477"/>
      <c r="CH54" s="477"/>
      <c r="CI54" s="503"/>
      <c r="CJ54" s="477"/>
      <c r="CK54" s="477"/>
      <c r="CL54" s="477"/>
      <c r="CM54" s="477"/>
      <c r="CN54" s="503"/>
      <c r="CO54" s="477"/>
      <c r="CP54" s="477"/>
      <c r="CQ54" s="477"/>
      <c r="CR54" s="477"/>
      <c r="CS54" s="503"/>
      <c r="CT54" s="477"/>
      <c r="CU54" s="477"/>
      <c r="CV54" s="477"/>
      <c r="CW54" s="477"/>
      <c r="CX54" s="503"/>
      <c r="CY54" s="477"/>
      <c r="CZ54" s="477"/>
      <c r="DA54" s="477"/>
      <c r="DB54" s="477"/>
      <c r="DC54" s="503"/>
      <c r="DD54" s="477"/>
      <c r="DE54" s="477"/>
      <c r="DF54" s="477"/>
      <c r="DG54" s="477"/>
      <c r="DH54" s="503"/>
      <c r="DI54" s="477"/>
      <c r="DJ54" s="477"/>
      <c r="DK54" s="477"/>
      <c r="DL54" s="477"/>
      <c r="DM54" s="503"/>
      <c r="DN54" s="477"/>
      <c r="DO54" s="477"/>
      <c r="DP54" s="477"/>
      <c r="DQ54" s="477"/>
      <c r="DR54" s="503"/>
      <c r="DS54" s="477"/>
      <c r="DT54" s="477"/>
      <c r="DU54" s="477"/>
      <c r="DV54" s="477"/>
      <c r="DW54" s="503"/>
      <c r="DX54" s="477"/>
      <c r="DY54" s="477"/>
      <c r="DZ54" s="477"/>
      <c r="EA54" s="477"/>
      <c r="EB54" s="503"/>
      <c r="EC54" s="477"/>
      <c r="ED54" s="477"/>
      <c r="EE54" s="477"/>
      <c r="EF54" s="477"/>
      <c r="EG54" s="503"/>
      <c r="EH54" s="477"/>
      <c r="EI54" s="477"/>
      <c r="EJ54" s="477"/>
      <c r="EK54" s="477"/>
      <c r="EL54" s="503"/>
    </row>
    <row r="55" spans="1:142" ht="11.25" customHeight="1">
      <c r="A55" s="159"/>
      <c r="B55" s="159" t="s">
        <v>132</v>
      </c>
      <c r="C55" s="507"/>
      <c r="D55" s="507">
        <f>D265</f>
        <v>268939</v>
      </c>
      <c r="E55" s="507">
        <f>E265</f>
        <v>266541</v>
      </c>
      <c r="F55" s="507">
        <f>F265</f>
        <v>289897</v>
      </c>
      <c r="G55" s="507">
        <f>G265</f>
        <v>682488</v>
      </c>
      <c r="H55" s="193">
        <f>SUM(D55:G55)</f>
        <v>1507865</v>
      </c>
      <c r="I55" s="507">
        <f>I265</f>
        <v>619226</v>
      </c>
      <c r="J55" s="507">
        <f>J265</f>
        <v>661141</v>
      </c>
      <c r="K55" s="507">
        <f>K265</f>
        <v>734293</v>
      </c>
      <c r="L55" s="507">
        <f>L265</f>
        <v>695402</v>
      </c>
      <c r="M55" s="193">
        <f>SUM(I55:L55)</f>
        <v>2710062</v>
      </c>
      <c r="N55" s="507">
        <f>N265</f>
        <v>665006</v>
      </c>
      <c r="O55" s="507">
        <f>O265</f>
        <v>677525</v>
      </c>
      <c r="P55" s="507">
        <f>P265</f>
        <v>1119362</v>
      </c>
      <c r="Q55" s="507">
        <f>Q265</f>
        <v>1637816</v>
      </c>
      <c r="R55" s="193">
        <f>SUM(N55:Q55)</f>
        <v>4099709</v>
      </c>
      <c r="S55" s="507">
        <f>S265</f>
        <v>1054439</v>
      </c>
      <c r="T55" s="507">
        <f>T265</f>
        <v>1099812</v>
      </c>
      <c r="U55" s="507">
        <f>U265</f>
        <v>1230830</v>
      </c>
      <c r="V55" s="507">
        <f>V265</f>
        <v>1162231</v>
      </c>
      <c r="W55" s="193">
        <f>SUM(S55:V55)</f>
        <v>4547312</v>
      </c>
      <c r="X55" s="507">
        <f>X265</f>
        <v>1113315</v>
      </c>
      <c r="Y55" s="507">
        <f>Y265</f>
        <v>1136595</v>
      </c>
      <c r="Z55" s="507">
        <f>Z265</f>
        <v>1304313</v>
      </c>
      <c r="AA55" s="507">
        <f>AA265</f>
        <v>1327216</v>
      </c>
      <c r="AB55" s="193">
        <f>SUM(X55:AA55)</f>
        <v>4881439</v>
      </c>
      <c r="AC55" s="507">
        <f>AC265</f>
        <v>1223438</v>
      </c>
      <c r="AD55" s="507">
        <f>AD265</f>
        <v>1184765</v>
      </c>
      <c r="AE55" s="507">
        <f>AE265</f>
        <v>1274739</v>
      </c>
      <c r="AF55" s="507">
        <f>AF265</f>
        <v>1205707</v>
      </c>
      <c r="AG55" s="193">
        <f>SUM(AC55:AF55)</f>
        <v>4888649</v>
      </c>
      <c r="AH55" s="507">
        <f>AH265</f>
        <v>1183421</v>
      </c>
      <c r="AI55" s="507">
        <f>AI265</f>
        <v>1192364</v>
      </c>
      <c r="AJ55" s="507">
        <f>AJ265</f>
        <v>1269277</v>
      </c>
      <c r="AK55" s="507">
        <f>AK265</f>
        <v>1291691</v>
      </c>
      <c r="AL55" s="193">
        <f>SUM(AH55:AK55)</f>
        <v>4936753</v>
      </c>
      <c r="AM55" s="507">
        <f>AM265</f>
        <v>1275551</v>
      </c>
      <c r="AN55" s="507">
        <f>AN265</f>
        <v>1281472</v>
      </c>
      <c r="AO55" s="507">
        <f>AO265</f>
        <v>1375943</v>
      </c>
      <c r="AP55" s="507">
        <f>AP265</f>
        <v>1402953</v>
      </c>
      <c r="AQ55" s="193">
        <f>SUM(AM55:AP55)</f>
        <v>5335919</v>
      </c>
      <c r="AR55" s="507">
        <f>AR265</f>
        <v>1343673</v>
      </c>
      <c r="AS55" s="507">
        <f>AS265</f>
        <v>1349050</v>
      </c>
      <c r="AT55" s="507">
        <f>AT265</f>
        <v>1388530</v>
      </c>
      <c r="AU55" s="137"/>
      <c r="AV55" s="507" t="str">
        <f>AV265</f>
        <v>ND</v>
      </c>
      <c r="AW55" s="507" t="str">
        <f>AW265</f>
        <v>ND</v>
      </c>
      <c r="AX55" s="507" t="str">
        <f>AX265</f>
        <v>ND</v>
      </c>
      <c r="AY55" s="507" t="str">
        <f>AY265</f>
        <v>ND</v>
      </c>
      <c r="AZ55" s="74">
        <f>SUM(AV55:AY55)</f>
        <v>0</v>
      </c>
      <c r="BA55" s="90">
        <f>BA265</f>
        <v>1313502</v>
      </c>
      <c r="BB55" s="90">
        <f>BB265</f>
        <v>1256929</v>
      </c>
      <c r="BC55" s="90">
        <f>BC265</f>
        <v>1235744</v>
      </c>
      <c r="BD55" s="90">
        <f>BD265</f>
        <v>1213134</v>
      </c>
      <c r="BE55" s="193">
        <f>SUM(BA55:BD55)</f>
        <v>5019309</v>
      </c>
      <c r="BF55" s="90">
        <f>BF265</f>
        <v>979258</v>
      </c>
      <c r="BG55" s="90">
        <f>BG265</f>
        <v>897777</v>
      </c>
      <c r="BH55" s="90">
        <f>BH265</f>
        <v>877620</v>
      </c>
      <c r="BI55" s="90">
        <f>BI265</f>
        <v>877259</v>
      </c>
      <c r="BJ55" s="193">
        <f>SUM(BF55:BI55)</f>
        <v>3631914</v>
      </c>
      <c r="BK55" s="90">
        <f>BK265</f>
        <v>934203</v>
      </c>
      <c r="BL55" s="90">
        <f>BL265</f>
        <v>865396</v>
      </c>
      <c r="BM55" s="90">
        <f>BM265</f>
        <v>834601</v>
      </c>
      <c r="BN55" s="90">
        <f>BN265</f>
        <v>809577</v>
      </c>
      <c r="BO55" s="74">
        <f>SUM(BK55:BN55)</f>
        <v>3443777</v>
      </c>
      <c r="BP55" s="90">
        <f>BP265</f>
        <v>855620</v>
      </c>
      <c r="BQ55" s="90">
        <f>BQ265</f>
        <v>710339</v>
      </c>
      <c r="BR55" s="90">
        <f>BR265</f>
        <v>695656</v>
      </c>
      <c r="BS55" s="90">
        <f>BS265</f>
        <v>705249</v>
      </c>
      <c r="BT55" s="74">
        <f>SUM(BP55:BS55)</f>
        <v>2966864</v>
      </c>
      <c r="BU55" s="90">
        <f>BU265</f>
        <v>745651</v>
      </c>
      <c r="BV55" s="90">
        <f>BV265</f>
        <v>693016</v>
      </c>
      <c r="BW55" s="90">
        <f>BW265</f>
        <v>671502</v>
      </c>
      <c r="BX55" s="90">
        <f>BX265</f>
        <v>682853</v>
      </c>
      <c r="BY55" s="74">
        <f>SUM(BU55:BX55)</f>
        <v>2793022</v>
      </c>
      <c r="BZ55" s="90">
        <f>BZ265</f>
        <v>739709</v>
      </c>
      <c r="CA55" s="90">
        <f>CA265</f>
        <v>659534</v>
      </c>
      <c r="CB55" s="90">
        <f>CB265</f>
        <v>634755</v>
      </c>
      <c r="CC55" s="90">
        <f>CC265</f>
        <v>641594</v>
      </c>
      <c r="CD55" s="74">
        <f>SUM(BZ55:CC55)</f>
        <v>2675592</v>
      </c>
      <c r="CE55" s="90">
        <f>CE265</f>
        <v>679657</v>
      </c>
      <c r="CF55" s="90">
        <f>CF265</f>
        <v>629714</v>
      </c>
      <c r="CG55" s="90">
        <f>CG265</f>
        <v>622427</v>
      </c>
      <c r="CH55" s="90">
        <f>CH265</f>
        <v>628438</v>
      </c>
      <c r="CI55" s="74">
        <f>SUM(CE55:CH55)</f>
        <v>2560236</v>
      </c>
      <c r="CJ55" s="90">
        <f>CJ265</f>
        <v>652952</v>
      </c>
      <c r="CK55" s="90">
        <f>CK265</f>
        <v>614365</v>
      </c>
      <c r="CL55" s="90">
        <f>CL265</f>
        <v>596810</v>
      </c>
      <c r="CM55" s="90">
        <f>CM265</f>
        <v>608890</v>
      </c>
      <c r="CN55" s="74">
        <f>SUM(CJ55:CM55)</f>
        <v>2473017</v>
      </c>
      <c r="CO55" s="90">
        <f>CO265</f>
        <v>635463</v>
      </c>
      <c r="CP55" s="90">
        <f>CP265</f>
        <v>595986</v>
      </c>
      <c r="CQ55" s="90">
        <f>CQ265</f>
        <v>591948</v>
      </c>
      <c r="CR55" s="90">
        <f>CR265</f>
        <v>589848</v>
      </c>
      <c r="CS55" s="74">
        <f>SUM(CO55:CR55)</f>
        <v>2413245</v>
      </c>
      <c r="CT55" s="90">
        <f>CT265</f>
        <v>617459</v>
      </c>
      <c r="CU55" s="90">
        <f>CU265</f>
        <v>590437</v>
      </c>
      <c r="CV55" s="90">
        <f>CV265</f>
        <v>580594</v>
      </c>
      <c r="CW55" s="90">
        <f>CW265</f>
        <v>580426</v>
      </c>
      <c r="CX55" s="74">
        <f>SUM(CT55:CW55)</f>
        <v>2368916</v>
      </c>
      <c r="CY55" s="90">
        <f>CY265</f>
        <v>603285</v>
      </c>
      <c r="CZ55" s="90">
        <f>CZ265</f>
        <v>567390</v>
      </c>
      <c r="DA55" s="90">
        <f>DA265</f>
        <v>569833</v>
      </c>
      <c r="DB55" s="90">
        <f>DB265</f>
        <v>880737</v>
      </c>
      <c r="DC55" s="74">
        <f>SUM(CY55:DB55)</f>
        <v>2621245</v>
      </c>
      <c r="DD55" s="90">
        <f>DD265</f>
        <v>929164</v>
      </c>
      <c r="DE55" s="90">
        <f>DE265</f>
        <v>907093</v>
      </c>
      <c r="DF55" s="90">
        <f>DF265</f>
        <v>921228</v>
      </c>
      <c r="DG55" s="90">
        <f>DG265</f>
        <v>937803</v>
      </c>
      <c r="DH55" s="74">
        <f>SUM(DD55:DG55)</f>
        <v>3695288</v>
      </c>
      <c r="DI55" s="90">
        <f>DI265</f>
        <v>975912</v>
      </c>
      <c r="DJ55" s="90">
        <f>DJ265</f>
        <v>929840</v>
      </c>
      <c r="DK55" s="90">
        <f>DK265</f>
        <v>927964</v>
      </c>
      <c r="DL55" s="90">
        <f>DL265</f>
        <v>983856</v>
      </c>
      <c r="DM55" s="74">
        <f>SUM(DI55:DL55)</f>
        <v>3817572</v>
      </c>
      <c r="DN55" s="90">
        <f>DN265</f>
        <v>1010514</v>
      </c>
      <c r="DO55" s="90">
        <f>DO265</f>
        <v>897313</v>
      </c>
      <c r="DP55" s="90">
        <f>DP265</f>
        <v>894323</v>
      </c>
      <c r="DQ55" s="90">
        <f>DQ265</f>
        <v>888165</v>
      </c>
      <c r="DR55" s="74">
        <f>SUM(DN55:DQ55)</f>
        <v>3690315</v>
      </c>
      <c r="DS55" s="90">
        <f>DS302</f>
        <v>921014</v>
      </c>
      <c r="DT55" s="90">
        <f>DT302</f>
        <v>871816</v>
      </c>
      <c r="DU55" s="90">
        <f>DU302</f>
        <v>838215</v>
      </c>
      <c r="DV55" s="90">
        <f>DV302</f>
        <v>853217</v>
      </c>
      <c r="DW55" s="74">
        <f>SUM(DS55:DV55)</f>
        <v>3484262</v>
      </c>
      <c r="DX55" s="90">
        <f>DX86*DX63</f>
        <v>816192.27164731547</v>
      </c>
      <c r="DY55" s="90">
        <f>DY86*DY63</f>
        <v>777933.16929706978</v>
      </c>
      <c r="DZ55" s="90">
        <f>DZ86*DZ63</f>
        <v>753440.57141229964</v>
      </c>
      <c r="EA55" s="90">
        <f>EA86*EA63</f>
        <v>735205.88136437733</v>
      </c>
      <c r="EB55" s="74">
        <f>SUM(DX55:EA55)</f>
        <v>3082771.8937210622</v>
      </c>
      <c r="EC55" s="90">
        <f>EC86*EC63</f>
        <v>786110.91855278041</v>
      </c>
      <c r="ED55" s="90">
        <f>ED86*ED63</f>
        <v>776477.43731386901</v>
      </c>
      <c r="EE55" s="90">
        <f>EE86*EE63</f>
        <v>783149.84098818467</v>
      </c>
      <c r="EF55" s="90">
        <f>EF86*EF63</f>
        <v>790494.0813400388</v>
      </c>
      <c r="EG55" s="74">
        <f>SUM(EC55:EF55)</f>
        <v>3136232.2781948727</v>
      </c>
      <c r="EH55" s="90">
        <f>EH86*EH63</f>
        <v>816429.58315786999</v>
      </c>
      <c r="EI55" s="90">
        <f>EI86*EI63</f>
        <v>804590.57938317047</v>
      </c>
      <c r="EJ55" s="90">
        <f>EJ86*EJ63</f>
        <v>809481.6134283276</v>
      </c>
      <c r="EK55" s="90">
        <f>EK86*EK63</f>
        <v>815029.2716995097</v>
      </c>
      <c r="EL55" s="74">
        <f>SUM(EH55:EK55)</f>
        <v>3245531.0476688775</v>
      </c>
    </row>
    <row r="56" spans="1:142" ht="11.25" customHeight="1">
      <c r="A56" s="511"/>
      <c r="B56" s="511" t="s">
        <v>133</v>
      </c>
      <c r="C56" s="163"/>
      <c r="D56" s="163"/>
      <c r="E56" s="163"/>
      <c r="F56" s="163"/>
      <c r="G56" s="163"/>
      <c r="H56" s="85"/>
      <c r="I56" s="84">
        <f t="shared" ref="I56:AQ56" si="53">IF(ISERROR(I55/D55-1),"nm",I55/D55-1)</f>
        <v>1.302477513488189</v>
      </c>
      <c r="J56" s="84">
        <f t="shared" si="53"/>
        <v>1.4804476609602277</v>
      </c>
      <c r="K56" s="84">
        <f t="shared" si="53"/>
        <v>1.5329444595839212</v>
      </c>
      <c r="L56" s="84">
        <f t="shared" si="53"/>
        <v>1.8921944415139835E-2</v>
      </c>
      <c r="M56" s="85">
        <f t="shared" si="53"/>
        <v>0.79728423963683759</v>
      </c>
      <c r="N56" s="84">
        <f t="shared" si="53"/>
        <v>7.3931004189100591E-2</v>
      </c>
      <c r="O56" s="84">
        <f t="shared" si="53"/>
        <v>2.4781400639197981E-2</v>
      </c>
      <c r="P56" s="84">
        <f t="shared" si="53"/>
        <v>0.52440783175108563</v>
      </c>
      <c r="Q56" s="84">
        <f t="shared" si="53"/>
        <v>1.3552074914941286</v>
      </c>
      <c r="R56" s="85">
        <f t="shared" si="53"/>
        <v>0.51277313950750947</v>
      </c>
      <c r="S56" s="84">
        <f t="shared" si="53"/>
        <v>0.58560825015112639</v>
      </c>
      <c r="T56" s="84">
        <f t="shared" si="53"/>
        <v>0.62327884579904791</v>
      </c>
      <c r="U56" s="84">
        <f t="shared" si="53"/>
        <v>9.9581726018928673E-2</v>
      </c>
      <c r="V56" s="84">
        <f t="shared" si="53"/>
        <v>-0.2903775515686744</v>
      </c>
      <c r="W56" s="85">
        <f t="shared" si="53"/>
        <v>0.10917921247581241</v>
      </c>
      <c r="X56" s="84">
        <f t="shared" si="53"/>
        <v>5.5836326236036404E-2</v>
      </c>
      <c r="Y56" s="84">
        <f t="shared" si="53"/>
        <v>3.3444806930639004E-2</v>
      </c>
      <c r="Z56" s="84">
        <f t="shared" si="53"/>
        <v>5.9701989714257886E-2</v>
      </c>
      <c r="AA56" s="84">
        <f t="shared" si="53"/>
        <v>0.14195542882611112</v>
      </c>
      <c r="AB56" s="85">
        <f t="shared" si="53"/>
        <v>7.3477913985229071E-2</v>
      </c>
      <c r="AC56" s="84">
        <f t="shared" si="53"/>
        <v>9.8914503083134653E-2</v>
      </c>
      <c r="AD56" s="84">
        <f t="shared" si="53"/>
        <v>4.2380971234256659E-2</v>
      </c>
      <c r="AE56" s="84">
        <f t="shared" si="53"/>
        <v>-2.2674005395944108E-2</v>
      </c>
      <c r="AF56" s="84">
        <f t="shared" si="53"/>
        <v>-9.1551789610734069E-2</v>
      </c>
      <c r="AG56" s="85">
        <f t="shared" si="53"/>
        <v>1.4770234760692613E-3</v>
      </c>
      <c r="AH56" s="84">
        <f t="shared" si="53"/>
        <v>-3.2708645636313372E-2</v>
      </c>
      <c r="AI56" s="84">
        <f t="shared" si="53"/>
        <v>6.4139301886871891E-3</v>
      </c>
      <c r="AJ56" s="84">
        <f t="shared" si="53"/>
        <v>-4.2847986921243919E-3</v>
      </c>
      <c r="AK56" s="84">
        <f t="shared" si="53"/>
        <v>7.1314175002716196E-2</v>
      </c>
      <c r="AL56" s="85">
        <f t="shared" si="53"/>
        <v>9.839937373290697E-3</v>
      </c>
      <c r="AM56" s="84">
        <f t="shared" si="53"/>
        <v>7.7850570507030037E-2</v>
      </c>
      <c r="AN56" s="84">
        <f t="shared" si="53"/>
        <v>7.4732212646473783E-2</v>
      </c>
      <c r="AO56" s="84">
        <f t="shared" si="53"/>
        <v>8.4036817810454245E-2</v>
      </c>
      <c r="AP56" s="84">
        <f t="shared" si="53"/>
        <v>8.6136699876363521E-2</v>
      </c>
      <c r="AQ56" s="85">
        <f t="shared" si="53"/>
        <v>8.085597962871538E-2</v>
      </c>
      <c r="AR56" s="84">
        <f>IF(ISERROR(AR55/AM55-1),"NM",AR55/AM55-1)</f>
        <v>5.3405939864419327E-2</v>
      </c>
      <c r="AS56" s="84">
        <f>IF(ISERROR(AS55/AN55-1),"NM",AS55/AN55-1)</f>
        <v>5.2734667632222898E-2</v>
      </c>
      <c r="AT56" s="84">
        <f>IF(ISERROR(AT55/AO55-1),"NM",AT55/AO55-1)</f>
        <v>9.1479080165384197E-3</v>
      </c>
      <c r="AU56" s="137"/>
      <c r="AV56" s="66"/>
      <c r="AW56" s="66"/>
      <c r="AX56" s="66"/>
      <c r="AY56" s="66"/>
      <c r="AZ56" s="65"/>
      <c r="BA56" s="84" t="str">
        <f>IF(ISERROR(BA55/AV55-1),"nm",BA55/AV55-1)</f>
        <v>nm</v>
      </c>
      <c r="BB56" s="84" t="str">
        <f>IF(ISERROR(BB55/AW55-1),"nm",BB55/AW55-1)</f>
        <v>nm</v>
      </c>
      <c r="BC56" s="84" t="str">
        <f>IF(ISERROR(BC55/AX55-1),"nm",BC55/AX55-1)</f>
        <v>nm</v>
      </c>
      <c r="BD56" s="84" t="str">
        <f>IF(ISERROR(BD55/AY55-1),"nm",BD55/AY55-1)</f>
        <v>nm</v>
      </c>
      <c r="BE56" s="85" t="str">
        <f>IF(ISERROR(BE55/AZ55-1),"nm",BE55/AZ55-1)</f>
        <v>nm</v>
      </c>
      <c r="BF56" s="510">
        <f>BF55/BA55-1</f>
        <v>-0.25446782722827987</v>
      </c>
      <c r="BG56" s="510">
        <f>BG55/BB55-1</f>
        <v>-0.28573769878807798</v>
      </c>
      <c r="BH56" s="510">
        <f>BH55/BC55-1</f>
        <v>-0.28980436077375249</v>
      </c>
      <c r="BI56" s="510">
        <f>BI55/BD55-1</f>
        <v>-0.27686553999805463</v>
      </c>
      <c r="BJ56" s="67">
        <f>BJ55/BE55-1</f>
        <v>-0.27641155386129845</v>
      </c>
      <c r="BK56" s="510">
        <f>IF(ISERROR(BK55/BF55-1),"NM",BK55/BF55-1)</f>
        <v>-4.6009325428028158E-2</v>
      </c>
      <c r="BL56" s="510">
        <f>IF(ISERROR(BL55/BG55-1),"NM",BL55/BG55-1)</f>
        <v>-3.6067976791564038E-2</v>
      </c>
      <c r="BM56" s="510">
        <f>IF(ISERROR(BM55/BH55-1),"NM",BM55/BH55-1)</f>
        <v>-4.9017798135867485E-2</v>
      </c>
      <c r="BN56" s="510">
        <f>IF(ISERROR(BN55/BI55-1),"NM",BN55/BI55-1)</f>
        <v>-7.7151673565047485E-2</v>
      </c>
      <c r="BO56" s="67">
        <f>IF(ISERROR(BO55/BJ55-1),"NM",BO55/BJ55-1)</f>
        <v>-5.180106136874385E-2</v>
      </c>
      <c r="BP56" s="510">
        <f t="shared" ref="BP56:CU56" si="54">BP55/BK55-1</f>
        <v>-8.4117691765066005E-2</v>
      </c>
      <c r="BQ56" s="510">
        <f t="shared" si="54"/>
        <v>-0.1791746206361019</v>
      </c>
      <c r="BR56" s="510">
        <f t="shared" si="54"/>
        <v>-0.16648074948388514</v>
      </c>
      <c r="BS56" s="510">
        <f t="shared" si="54"/>
        <v>-0.12886729736640246</v>
      </c>
      <c r="BT56" s="67">
        <f t="shared" si="54"/>
        <v>-0.13848544780919325</v>
      </c>
      <c r="BU56" s="510">
        <f t="shared" si="54"/>
        <v>-0.12852551366260723</v>
      </c>
      <c r="BV56" s="510">
        <f t="shared" si="54"/>
        <v>-2.4386947640492762E-2</v>
      </c>
      <c r="BW56" s="510">
        <f t="shared" si="54"/>
        <v>-3.4721184033487784E-2</v>
      </c>
      <c r="BX56" s="510">
        <f t="shared" si="54"/>
        <v>-3.1756159881120016E-2</v>
      </c>
      <c r="BY56" s="67">
        <f t="shared" si="54"/>
        <v>-5.8594529442535959E-2</v>
      </c>
      <c r="BZ56" s="510">
        <f t="shared" si="54"/>
        <v>-7.9688755195125305E-3</v>
      </c>
      <c r="CA56" s="510">
        <f t="shared" si="54"/>
        <v>-4.8313458852320856E-2</v>
      </c>
      <c r="CB56" s="510">
        <f t="shared" si="54"/>
        <v>-5.4723589803157724E-2</v>
      </c>
      <c r="CC56" s="510">
        <f t="shared" si="54"/>
        <v>-6.0421496281044429E-2</v>
      </c>
      <c r="CD56" s="67">
        <f t="shared" si="54"/>
        <v>-4.2044065531886221E-2</v>
      </c>
      <c r="CE56" s="510">
        <f t="shared" si="54"/>
        <v>-8.1183276126152282E-2</v>
      </c>
      <c r="CF56" s="510">
        <f t="shared" si="54"/>
        <v>-4.521374182377258E-2</v>
      </c>
      <c r="CG56" s="510">
        <f t="shared" si="54"/>
        <v>-1.9421666627281398E-2</v>
      </c>
      <c r="CH56" s="510">
        <f t="shared" si="54"/>
        <v>-2.0505179287836239E-2</v>
      </c>
      <c r="CI56" s="67">
        <f t="shared" si="54"/>
        <v>-4.3114196783366032E-2</v>
      </c>
      <c r="CJ56" s="510">
        <f t="shared" si="54"/>
        <v>-3.9291878109105061E-2</v>
      </c>
      <c r="CK56" s="510">
        <f t="shared" si="54"/>
        <v>-2.4374557338728398E-2</v>
      </c>
      <c r="CL56" s="510">
        <f t="shared" si="54"/>
        <v>-4.1156633629325201E-2</v>
      </c>
      <c r="CM56" s="510">
        <f t="shared" si="54"/>
        <v>-3.1105693799547418E-2</v>
      </c>
      <c r="CN56" s="67">
        <f t="shared" si="54"/>
        <v>-3.4066781343594865E-2</v>
      </c>
      <c r="CO56" s="510">
        <f t="shared" si="54"/>
        <v>-2.6784510959457997E-2</v>
      </c>
      <c r="CP56" s="510">
        <f t="shared" si="54"/>
        <v>-2.9915441146549648E-2</v>
      </c>
      <c r="CQ56" s="510">
        <f t="shared" si="54"/>
        <v>-8.146646336354979E-3</v>
      </c>
      <c r="CR56" s="510">
        <f t="shared" si="54"/>
        <v>-3.1273300596166842E-2</v>
      </c>
      <c r="CS56" s="67">
        <f t="shared" si="54"/>
        <v>-2.4169668061319483E-2</v>
      </c>
      <c r="CT56" s="510">
        <f t="shared" si="54"/>
        <v>-2.8332098013574392E-2</v>
      </c>
      <c r="CU56" s="510">
        <f t="shared" si="54"/>
        <v>-9.3106213904353696E-3</v>
      </c>
      <c r="CV56" s="510">
        <f t="shared" ref="CV56:DS56" si="55">CV55/CQ55-1</f>
        <v>-1.9180738848682655E-2</v>
      </c>
      <c r="CW56" s="510">
        <f t="shared" si="55"/>
        <v>-1.5973606759707604E-2</v>
      </c>
      <c r="CX56" s="67">
        <f t="shared" si="55"/>
        <v>-1.8369042513296407E-2</v>
      </c>
      <c r="CY56" s="510">
        <f t="shared" si="55"/>
        <v>-2.2955370316085744E-2</v>
      </c>
      <c r="CZ56" s="510">
        <f t="shared" si="55"/>
        <v>-3.9033800388525774E-2</v>
      </c>
      <c r="DA56" s="510">
        <f t="shared" si="55"/>
        <v>-1.8534466425763951E-2</v>
      </c>
      <c r="DB56" s="510">
        <f t="shared" si="55"/>
        <v>0.51739756661486558</v>
      </c>
      <c r="DC56" s="67">
        <f t="shared" si="55"/>
        <v>0.10651665149798473</v>
      </c>
      <c r="DD56" s="510">
        <f t="shared" si="55"/>
        <v>0.54017421285130585</v>
      </c>
      <c r="DE56" s="510">
        <f t="shared" si="55"/>
        <v>0.59871164454784198</v>
      </c>
      <c r="DF56" s="510">
        <f t="shared" si="55"/>
        <v>0.61666312761809161</v>
      </c>
      <c r="DG56" s="510">
        <f t="shared" si="55"/>
        <v>6.4793462747676056E-2</v>
      </c>
      <c r="DH56" s="67">
        <f t="shared" si="55"/>
        <v>0.40974536908987913</v>
      </c>
      <c r="DI56" s="510">
        <f t="shared" si="55"/>
        <v>5.0311893271801411E-2</v>
      </c>
      <c r="DJ56" s="510">
        <f t="shared" si="55"/>
        <v>2.5076811308212044E-2</v>
      </c>
      <c r="DK56" s="510">
        <f t="shared" si="55"/>
        <v>7.3119792277265283E-3</v>
      </c>
      <c r="DL56" s="510">
        <f t="shared" si="55"/>
        <v>4.9107328511425186E-2</v>
      </c>
      <c r="DM56" s="67">
        <f t="shared" si="55"/>
        <v>3.309187267677105E-2</v>
      </c>
      <c r="DN56" s="510">
        <f t="shared" si="55"/>
        <v>3.5456065710842699E-2</v>
      </c>
      <c r="DO56" s="510">
        <f t="shared" si="55"/>
        <v>-3.498128710315751E-2</v>
      </c>
      <c r="DP56" s="510">
        <f t="shared" si="55"/>
        <v>-3.6252483932566304E-2</v>
      </c>
      <c r="DQ56" s="510">
        <f t="shared" si="55"/>
        <v>-9.7261184563594671E-2</v>
      </c>
      <c r="DR56" s="67">
        <f t="shared" si="55"/>
        <v>-3.333453828768651E-2</v>
      </c>
      <c r="DS56" s="510">
        <f t="shared" si="55"/>
        <v>-8.8568787765434198E-2</v>
      </c>
      <c r="DT56" s="510">
        <f t="shared" ref="DT56:EG56" si="56">DT55/DO55-1</f>
        <v>-2.8414834065705108E-2</v>
      </c>
      <c r="DU56" s="510">
        <f t="shared" si="56"/>
        <v>-6.2737959327893833E-2</v>
      </c>
      <c r="DV56" s="510">
        <f t="shared" si="56"/>
        <v>-3.9348544470903524E-2</v>
      </c>
      <c r="DW56" s="67">
        <f t="shared" si="56"/>
        <v>-5.5836154908185387E-2</v>
      </c>
      <c r="DX56" s="510">
        <f t="shared" si="56"/>
        <v>-0.11381122149357614</v>
      </c>
      <c r="DY56" s="510">
        <f t="shared" si="56"/>
        <v>-0.10768651952124098</v>
      </c>
      <c r="DZ56" s="510">
        <f t="shared" si="56"/>
        <v>-0.10113685461092958</v>
      </c>
      <c r="EA56" s="510">
        <f t="shared" si="56"/>
        <v>-0.13831313562156244</v>
      </c>
      <c r="EB56" s="67">
        <f t="shared" si="56"/>
        <v>-0.11522959705066316</v>
      </c>
      <c r="EC56" s="510">
        <f t="shared" si="56"/>
        <v>-3.6855719098910389E-2</v>
      </c>
      <c r="ED56" s="510">
        <f t="shared" si="56"/>
        <v>-1.8712815453236775E-3</v>
      </c>
      <c r="EE56" s="510">
        <f t="shared" si="56"/>
        <v>3.9431470381527278E-2</v>
      </c>
      <c r="EF56" s="510">
        <f t="shared" si="56"/>
        <v>7.520097618514554E-2</v>
      </c>
      <c r="EG56" s="67">
        <f t="shared" si="56"/>
        <v>1.7341660789985003E-2</v>
      </c>
      <c r="EH56" s="510">
        <f t="shared" ref="EH56" si="57">EH55/EC55-1</f>
        <v>3.8567922019078216E-2</v>
      </c>
      <c r="EI56" s="510">
        <f t="shared" ref="EI56" si="58">EI55/ED55-1</f>
        <v>3.620599996640661E-2</v>
      </c>
      <c r="EJ56" s="510">
        <f t="shared" ref="EJ56" si="59">EJ55/EE55-1</f>
        <v>3.3622904662685249E-2</v>
      </c>
      <c r="EK56" s="510">
        <f t="shared" ref="EK56" si="60">EK55/EF55-1</f>
        <v>3.1037791349277422E-2</v>
      </c>
      <c r="EL56" s="67">
        <f t="shared" ref="EL56" si="61">EL55/EG55-1</f>
        <v>3.4850342633714115E-2</v>
      </c>
    </row>
    <row r="57" spans="1:142" ht="11.25" customHeight="1">
      <c r="A57" s="159"/>
      <c r="B57" s="159" t="s">
        <v>134</v>
      </c>
      <c r="C57" s="507"/>
      <c r="D57" s="507" t="str">
        <f>D266</f>
        <v>ND</v>
      </c>
      <c r="E57" s="507">
        <f>E266</f>
        <v>350812</v>
      </c>
      <c r="F57" s="507">
        <f>F266</f>
        <v>375131</v>
      </c>
      <c r="G57" s="507">
        <f>G266</f>
        <v>1271565</v>
      </c>
      <c r="H57" s="193">
        <f>SUM(D57:G57)</f>
        <v>1997508</v>
      </c>
      <c r="I57" s="507">
        <f>I266</f>
        <v>860955</v>
      </c>
      <c r="J57" s="507">
        <f>J266</f>
        <v>894989</v>
      </c>
      <c r="K57" s="507">
        <f>K266</f>
        <v>1058125</v>
      </c>
      <c r="L57" s="507">
        <f>L266</f>
        <v>982115</v>
      </c>
      <c r="M57" s="193">
        <f>SUM(I57:L57)</f>
        <v>3796184</v>
      </c>
      <c r="N57" s="507">
        <f>N266</f>
        <v>955578</v>
      </c>
      <c r="O57" s="507">
        <f>O266</f>
        <v>968680</v>
      </c>
      <c r="P57" s="507">
        <f>P266</f>
        <v>1571915</v>
      </c>
      <c r="Q57" s="507">
        <f>Q266</f>
        <v>2321078</v>
      </c>
      <c r="R57" s="193">
        <f>SUM(N57:Q57)</f>
        <v>5817251</v>
      </c>
      <c r="S57" s="507">
        <f>S266</f>
        <v>1486640</v>
      </c>
      <c r="T57" s="507">
        <f>T266</f>
        <v>1661469</v>
      </c>
      <c r="U57" s="507">
        <f>U266</f>
        <v>1728411</v>
      </c>
      <c r="V57" s="507">
        <f>V266</f>
        <v>1681005</v>
      </c>
      <c r="W57" s="193">
        <f>SUM(S57:V57)</f>
        <v>6557525</v>
      </c>
      <c r="X57" s="507">
        <f>X266</f>
        <v>1624041</v>
      </c>
      <c r="Y57" s="507">
        <f>Y266</f>
        <v>1638011</v>
      </c>
      <c r="Z57" s="507">
        <f>Z266</f>
        <v>1832782</v>
      </c>
      <c r="AA57" s="507">
        <f>AA266</f>
        <v>1902245</v>
      </c>
      <c r="AB57" s="193">
        <f>SUM(X57:AA57)</f>
        <v>6997079</v>
      </c>
      <c r="AC57" s="507">
        <f>AC266</f>
        <v>1787716</v>
      </c>
      <c r="AD57" s="507">
        <f>AD266</f>
        <v>1695214</v>
      </c>
      <c r="AE57" s="507">
        <f>AE266</f>
        <v>1770750</v>
      </c>
      <c r="AF57" s="507">
        <f>AF266</f>
        <v>1721626</v>
      </c>
      <c r="AG57" s="193">
        <f>SUM(AC57:AF57)</f>
        <v>6975306</v>
      </c>
      <c r="AH57" s="507">
        <f>AH266</f>
        <v>1624041</v>
      </c>
      <c r="AI57" s="507">
        <f>AI266</f>
        <v>1690618</v>
      </c>
      <c r="AJ57" s="507">
        <f>AJ266</f>
        <v>1755163</v>
      </c>
      <c r="AK57" s="507">
        <f>AK266</f>
        <v>1886717</v>
      </c>
      <c r="AL57" s="193">
        <f>SUM(AH57:AK57)</f>
        <v>6956539</v>
      </c>
      <c r="AM57" s="507">
        <f>AM266</f>
        <v>1816959</v>
      </c>
      <c r="AN57" s="507">
        <f>AN266</f>
        <v>1816168</v>
      </c>
      <c r="AO57" s="507">
        <f>AO266</f>
        <v>1907956</v>
      </c>
      <c r="AP57" s="507">
        <f>AP266</f>
        <v>1975223</v>
      </c>
      <c r="AQ57" s="193">
        <f>SUM(AM57:AP57)</f>
        <v>7516306</v>
      </c>
      <c r="AR57" s="507">
        <f>AR266</f>
        <v>1895385</v>
      </c>
      <c r="AS57" s="507">
        <f>AS266</f>
        <v>1891584</v>
      </c>
      <c r="AT57" s="507">
        <f>AT266</f>
        <v>1917816</v>
      </c>
      <c r="AU57" s="137"/>
      <c r="AV57" s="507" t="str">
        <f>AV266</f>
        <v>ND</v>
      </c>
      <c r="AW57" s="507" t="str">
        <f>AW266</f>
        <v>ND</v>
      </c>
      <c r="AX57" s="507" t="str">
        <f>AX266</f>
        <v>ND</v>
      </c>
      <c r="AY57" s="507" t="str">
        <f>AY266</f>
        <v>ND</v>
      </c>
      <c r="AZ57" s="74">
        <f>SUM(AV57:AY57)</f>
        <v>0</v>
      </c>
      <c r="BA57" s="90">
        <f>BA266</f>
        <v>1795249</v>
      </c>
      <c r="BB57" s="90">
        <f>BB266</f>
        <v>1738964</v>
      </c>
      <c r="BC57" s="90">
        <f>BC266</f>
        <v>1716357</v>
      </c>
      <c r="BD57" s="90">
        <f>BD266</f>
        <v>1670246</v>
      </c>
      <c r="BE57" s="193">
        <f>SUM(BA57:BD57)</f>
        <v>6920816</v>
      </c>
      <c r="BF57" s="90">
        <f>BF266</f>
        <v>1345076</v>
      </c>
      <c r="BG57" s="90">
        <f>BG266</f>
        <v>1259222</v>
      </c>
      <c r="BH57" s="90">
        <f>BH266</f>
        <v>1231594</v>
      </c>
      <c r="BI57" s="90">
        <f>BI266</f>
        <v>1226873</v>
      </c>
      <c r="BJ57" s="193">
        <f>SUM(BF57:BI57)</f>
        <v>5062765</v>
      </c>
      <c r="BK57" s="90">
        <f>BK266</f>
        <v>1291165</v>
      </c>
      <c r="BL57" s="90">
        <f>BL266</f>
        <v>1222322</v>
      </c>
      <c r="BM57" s="90">
        <f>BM266</f>
        <v>1179032</v>
      </c>
      <c r="BN57" s="90">
        <f>BN266</f>
        <v>1134196</v>
      </c>
      <c r="BO57" s="74">
        <f>SUM(BK57:BN57)</f>
        <v>4826715</v>
      </c>
      <c r="BP57" s="90">
        <f>BP266</f>
        <v>1191546</v>
      </c>
      <c r="BQ57" s="90">
        <f>BQ266</f>
        <v>1008689</v>
      </c>
      <c r="BR57" s="90">
        <f>BR266</f>
        <v>990535</v>
      </c>
      <c r="BS57" s="90">
        <f>BS266</f>
        <v>997836</v>
      </c>
      <c r="BT57" s="74">
        <f>SUM(BP57:BS57)</f>
        <v>4188606</v>
      </c>
      <c r="BU57" s="90">
        <f>BU266</f>
        <v>1047936</v>
      </c>
      <c r="BV57" s="90">
        <f>BV266</f>
        <v>998019</v>
      </c>
      <c r="BW57" s="90">
        <f>BW266</f>
        <v>968418</v>
      </c>
      <c r="BX57" s="90">
        <f>BX266</f>
        <v>978344</v>
      </c>
      <c r="BY57" s="74">
        <f>SUM(BU57:BX57)</f>
        <v>3992717</v>
      </c>
      <c r="BZ57" s="90">
        <f>BZ266</f>
        <v>1044642</v>
      </c>
      <c r="CA57" s="90">
        <f>CA266</f>
        <v>955538</v>
      </c>
      <c r="CB57" s="90">
        <f>CB266</f>
        <v>930381</v>
      </c>
      <c r="CC57" s="90">
        <f>CC266</f>
        <v>934829</v>
      </c>
      <c r="CD57" s="74">
        <f>SUM(BZ57:CC57)</f>
        <v>3865390</v>
      </c>
      <c r="CE57" s="90">
        <f>CE266</f>
        <v>988935</v>
      </c>
      <c r="CF57" s="90">
        <f>CF266</f>
        <v>940472</v>
      </c>
      <c r="CG57" s="90">
        <f>CG266</f>
        <v>935375</v>
      </c>
      <c r="CH57" s="90">
        <f>CH266</f>
        <v>930542</v>
      </c>
      <c r="CI57" s="74">
        <f>SUM(CE57:CH57)</f>
        <v>3795324</v>
      </c>
      <c r="CJ57" s="90">
        <f>CJ266</f>
        <v>958248</v>
      </c>
      <c r="CK57" s="90">
        <f>CK266</f>
        <v>929186</v>
      </c>
      <c r="CL57" s="90">
        <f>CL266</f>
        <v>913049</v>
      </c>
      <c r="CM57" s="90">
        <f>CM266</f>
        <v>923219</v>
      </c>
      <c r="CN57" s="74">
        <f>SUM(CJ57:CM57)</f>
        <v>3723702</v>
      </c>
      <c r="CO57" s="90">
        <f>CO266</f>
        <v>948356</v>
      </c>
      <c r="CP57" s="90">
        <f>CP266</f>
        <v>912369</v>
      </c>
      <c r="CQ57" s="90">
        <f>CQ266</f>
        <v>909960</v>
      </c>
      <c r="CR57" s="90">
        <f>CR266</f>
        <v>902762</v>
      </c>
      <c r="CS57" s="74">
        <f>SUM(CO57:CR57)</f>
        <v>3673447</v>
      </c>
      <c r="CT57" s="90">
        <f>CT266</f>
        <v>947116</v>
      </c>
      <c r="CU57" s="90">
        <f>CU266</f>
        <v>919895</v>
      </c>
      <c r="CV57" s="90">
        <f>CV266</f>
        <v>911233</v>
      </c>
      <c r="CW57" s="90">
        <f>CW266</f>
        <v>915584</v>
      </c>
      <c r="CX57" s="74">
        <f>SUM(CT57:CW57)</f>
        <v>3693828</v>
      </c>
      <c r="CY57" s="90">
        <f>CY266</f>
        <v>939840</v>
      </c>
      <c r="CZ57" s="90">
        <f>CZ266</f>
        <v>909720</v>
      </c>
      <c r="DA57" s="90">
        <f>DA266</f>
        <v>912483</v>
      </c>
      <c r="DB57" s="90">
        <f>DB266</f>
        <v>1481291</v>
      </c>
      <c r="DC57" s="74">
        <f>SUM(CY57:DB57)</f>
        <v>4243334</v>
      </c>
      <c r="DD57" s="90">
        <f>DD266</f>
        <v>1525379</v>
      </c>
      <c r="DE57" s="90">
        <f>DE266</f>
        <v>1563681</v>
      </c>
      <c r="DF57" s="90">
        <f>DF266</f>
        <v>1574346</v>
      </c>
      <c r="DG57" s="90">
        <f>DG266</f>
        <v>1592166</v>
      </c>
      <c r="DH57" s="74">
        <f>SUM(DD57:DG57)</f>
        <v>6255572</v>
      </c>
      <c r="DI57" s="90">
        <f>DI266</f>
        <v>1631597</v>
      </c>
      <c r="DJ57" s="90">
        <f>DJ266</f>
        <v>1589567</v>
      </c>
      <c r="DK57" s="90">
        <f>DK266</f>
        <v>1601405</v>
      </c>
      <c r="DL57" s="90">
        <f>DL266</f>
        <v>1710620</v>
      </c>
      <c r="DM57" s="74">
        <f>SUM(DI57:DL57)</f>
        <v>6533189</v>
      </c>
      <c r="DN57" s="90">
        <f>DN266</f>
        <v>1714369</v>
      </c>
      <c r="DO57" s="90">
        <f>DO266</f>
        <v>1569272</v>
      </c>
      <c r="DP57" s="90">
        <f>DP266</f>
        <v>1567894</v>
      </c>
      <c r="DQ57" s="90">
        <f>DQ266</f>
        <v>1543490</v>
      </c>
      <c r="DR57" s="74">
        <f>SUM(DN57:DQ57)</f>
        <v>6395025</v>
      </c>
      <c r="DS57" s="90">
        <f>DS303</f>
        <v>1583962</v>
      </c>
      <c r="DT57" s="90">
        <f>DT303</f>
        <v>1538940</v>
      </c>
      <c r="DU57" s="90">
        <f>DU303</f>
        <v>1466266</v>
      </c>
      <c r="DV57" s="90">
        <f>DV303</f>
        <v>1485209</v>
      </c>
      <c r="DW57" s="74">
        <f>SUM(DS57:DV57)</f>
        <v>6074377</v>
      </c>
      <c r="DX57" s="90">
        <f>DX55*DX170</f>
        <v>1437027.3492029302</v>
      </c>
      <c r="DY57" s="90">
        <f>DY55*DY170</f>
        <v>1386970.1428609218</v>
      </c>
      <c r="DZ57" s="90">
        <f>DZ55*DZ170</f>
        <v>1343417.2071037164</v>
      </c>
      <c r="EA57" s="90">
        <f>EA55*EA170</f>
        <v>1297781.0060235923</v>
      </c>
      <c r="EB57" s="74">
        <f>SUM(DX57:EA57)</f>
        <v>5465195.7051911606</v>
      </c>
      <c r="EC57" s="90">
        <f>EC55*EC170</f>
        <v>1403717.4458470747</v>
      </c>
      <c r="ED57" s="90">
        <f>ED55*ED170</f>
        <v>1388257.1184152404</v>
      </c>
      <c r="EE57" s="90">
        <f>EE55*EE170</f>
        <v>1396390.1229156607</v>
      </c>
      <c r="EF57" s="90">
        <f>EF55*EF170</f>
        <v>1399327.8749578067</v>
      </c>
      <c r="EG57" s="74">
        <f>SUM(EC57:EF57)</f>
        <v>5587692.5621357821</v>
      </c>
      <c r="EH57" s="90">
        <f>EH55*EH170</f>
        <v>1457855.9108353243</v>
      </c>
      <c r="EI57" s="90">
        <f>EI55*EI170</f>
        <v>1438520.3555979466</v>
      </c>
      <c r="EJ57" s="90">
        <f>EJ55*EJ170</f>
        <v>1443340.8148903695</v>
      </c>
      <c r="EK57" s="90">
        <f>EK55*EK170</f>
        <v>1442759.9215699749</v>
      </c>
      <c r="EL57" s="74">
        <f>SUM(EH57:EK57)</f>
        <v>5782477.0028936155</v>
      </c>
    </row>
    <row r="58" spans="1:142" ht="11.25" customHeight="1">
      <c r="A58" s="511"/>
      <c r="B58" s="511" t="s">
        <v>133</v>
      </c>
      <c r="C58" s="66"/>
      <c r="D58" s="66"/>
      <c r="E58" s="66"/>
      <c r="F58" s="66"/>
      <c r="G58" s="66"/>
      <c r="H58" s="67"/>
      <c r="I58" s="84" t="str">
        <f>IF(ISERROR(I57/D57-1),"nm",I57/D57-1)</f>
        <v>nm</v>
      </c>
      <c r="J58" s="510">
        <f t="shared" ref="J58:AQ58" si="62">J57/E57-1</f>
        <v>1.5511926615965246</v>
      </c>
      <c r="K58" s="510">
        <f t="shared" si="62"/>
        <v>1.8206813086628406</v>
      </c>
      <c r="L58" s="510">
        <f t="shared" si="62"/>
        <v>-0.22763287759571871</v>
      </c>
      <c r="M58" s="67">
        <f t="shared" si="62"/>
        <v>0.90045997312651571</v>
      </c>
      <c r="N58" s="510">
        <f t="shared" si="62"/>
        <v>0.10990469885185639</v>
      </c>
      <c r="O58" s="510">
        <f t="shared" si="62"/>
        <v>8.2337324816282642E-2</v>
      </c>
      <c r="P58" s="510">
        <f t="shared" si="62"/>
        <v>0.48556645008860011</v>
      </c>
      <c r="Q58" s="510">
        <f t="shared" si="62"/>
        <v>1.3633464512811635</v>
      </c>
      <c r="R58" s="67">
        <f t="shared" si="62"/>
        <v>0.53239437287549807</v>
      </c>
      <c r="S58" s="510">
        <f t="shared" si="62"/>
        <v>0.55574950448838289</v>
      </c>
      <c r="T58" s="510">
        <f t="shared" si="62"/>
        <v>0.71518871041004251</v>
      </c>
      <c r="U58" s="510">
        <f t="shared" si="62"/>
        <v>9.9557546050518031E-2</v>
      </c>
      <c r="V58" s="510">
        <f t="shared" si="62"/>
        <v>-0.27576539866389671</v>
      </c>
      <c r="W58" s="67">
        <f t="shared" si="62"/>
        <v>0.12725495255405006</v>
      </c>
      <c r="X58" s="510">
        <f t="shared" si="62"/>
        <v>9.2423855136414934E-2</v>
      </c>
      <c r="Y58" s="510">
        <f t="shared" si="62"/>
        <v>-1.4118830986313946E-2</v>
      </c>
      <c r="Z58" s="510">
        <f t="shared" si="62"/>
        <v>6.0385521730653258E-2</v>
      </c>
      <c r="AA58" s="510">
        <f t="shared" si="62"/>
        <v>0.13161174416494892</v>
      </c>
      <c r="AB58" s="67">
        <f t="shared" si="62"/>
        <v>6.7030472624961313E-2</v>
      </c>
      <c r="AC58" s="510">
        <f t="shared" si="62"/>
        <v>0.1007825541350249</v>
      </c>
      <c r="AD58" s="510">
        <f t="shared" si="62"/>
        <v>3.4922231901983514E-2</v>
      </c>
      <c r="AE58" s="510">
        <f t="shared" si="62"/>
        <v>-3.3845814723191259E-2</v>
      </c>
      <c r="AF58" s="510">
        <f t="shared" si="62"/>
        <v>-9.4950440137837155E-2</v>
      </c>
      <c r="AG58" s="67">
        <f t="shared" si="62"/>
        <v>-3.1117270506735295E-3</v>
      </c>
      <c r="AH58" s="510">
        <f t="shared" si="62"/>
        <v>-9.1555370092341271E-2</v>
      </c>
      <c r="AI58" s="510">
        <f t="shared" si="62"/>
        <v>-2.711162130562883E-3</v>
      </c>
      <c r="AJ58" s="510">
        <f t="shared" si="62"/>
        <v>-8.8024848228152042E-3</v>
      </c>
      <c r="AK58" s="510">
        <f t="shared" si="62"/>
        <v>9.5892487683155281E-2</v>
      </c>
      <c r="AL58" s="67">
        <f t="shared" si="62"/>
        <v>-2.6904912845400197E-3</v>
      </c>
      <c r="AM58" s="510">
        <f t="shared" si="62"/>
        <v>0.11878887294101559</v>
      </c>
      <c r="AN58" s="510">
        <f t="shared" si="62"/>
        <v>7.4262784378256841E-2</v>
      </c>
      <c r="AO58" s="510">
        <f t="shared" si="62"/>
        <v>8.7053453155063076E-2</v>
      </c>
      <c r="AP58" s="510">
        <f t="shared" si="62"/>
        <v>4.6910055933136796E-2</v>
      </c>
      <c r="AQ58" s="67">
        <f t="shared" si="62"/>
        <v>8.0466306592976711E-2</v>
      </c>
      <c r="AR58" s="84">
        <f>IF(ISERROR(AR57/AM57-1),"NM",AR57/AM57-1)</f>
        <v>4.3163329497253322E-2</v>
      </c>
      <c r="AS58" s="84">
        <f>IF(ISERROR(AS57/AN57-1),"NM",AS57/AN57-1)</f>
        <v>4.1524792860572424E-2</v>
      </c>
      <c r="AT58" s="84">
        <f>IF(ISERROR(AT57/AO57-1),"NM",AT57/AO57-1)</f>
        <v>5.1678340590664007E-3</v>
      </c>
      <c r="AU58" s="137"/>
      <c r="AV58" s="44"/>
      <c r="AW58" s="44"/>
      <c r="AX58" s="44"/>
      <c r="AY58" s="44"/>
      <c r="AZ58" s="65"/>
      <c r="BA58" s="84" t="str">
        <f>IF(ISERROR(BA57/AV57-1),"nm",BA57/AV57-1)</f>
        <v>nm</v>
      </c>
      <c r="BB58" s="84" t="str">
        <f>IF(ISERROR(BB57/AW57-1),"nm",BB57/AW57-1)</f>
        <v>nm</v>
      </c>
      <c r="BC58" s="84" t="str">
        <f>IF(ISERROR(BC57/AX57-1),"nm",BC57/AX57-1)</f>
        <v>nm</v>
      </c>
      <c r="BD58" s="84" t="str">
        <f>IF(ISERROR(BD57/AY57-1),"nm",BD57/AY57-1)</f>
        <v>nm</v>
      </c>
      <c r="BE58" s="85" t="str">
        <f>IF(ISERROR(BE57/AZ57-1),"nm",BE57/AZ57-1)</f>
        <v>nm</v>
      </c>
      <c r="BF58" s="510">
        <f>BF57/BA57-1</f>
        <v>-0.25075797284944878</v>
      </c>
      <c r="BG58" s="510">
        <f>BG57/BB57-1</f>
        <v>-0.27587805152953138</v>
      </c>
      <c r="BH58" s="510">
        <f>BH57/BC57-1</f>
        <v>-0.28243716196572155</v>
      </c>
      <c r="BI58" s="510">
        <f>BI57/BD57-1</f>
        <v>-0.26545371160894859</v>
      </c>
      <c r="BJ58" s="67">
        <f>BJ57/BE57-1</f>
        <v>-0.26847282170194964</v>
      </c>
      <c r="BK58" s="510">
        <f>IF(ISERROR(BK57/BF57-1),"NM",BK57/BF57-1)</f>
        <v>-4.0080263122678539E-2</v>
      </c>
      <c r="BL58" s="510">
        <f>IF(ISERROR(BL57/BG57-1),"NM",BL57/BG57-1)</f>
        <v>-2.930380822444334E-2</v>
      </c>
      <c r="BM58" s="510">
        <f>IF(ISERROR(BM57/BH57-1),"NM",BM57/BH57-1)</f>
        <v>-4.2678025388236729E-2</v>
      </c>
      <c r="BN58" s="510">
        <f>IF(ISERROR(BN57/BI57-1),"NM",BN57/BI57-1)</f>
        <v>-7.5539195988500896E-2</v>
      </c>
      <c r="BO58" s="67">
        <f>IF(ISERROR(BO57/BJ57-1),"NM",BO57/BJ57-1)</f>
        <v>-4.6624719891205646E-2</v>
      </c>
      <c r="BP58" s="510">
        <f t="shared" ref="BP58:CU58" si="63">BP57/BK57-1</f>
        <v>-7.715435285188188E-2</v>
      </c>
      <c r="BQ58" s="510">
        <f t="shared" si="63"/>
        <v>-0.17477636825648235</v>
      </c>
      <c r="BR58" s="510">
        <f t="shared" si="63"/>
        <v>-0.15987437151833028</v>
      </c>
      <c r="BS58" s="510">
        <f t="shared" si="63"/>
        <v>-0.12022613375465974</v>
      </c>
      <c r="BT58" s="67">
        <f t="shared" si="63"/>
        <v>-0.13220357945310635</v>
      </c>
      <c r="BU58" s="510">
        <f t="shared" si="63"/>
        <v>-0.12052409222975868</v>
      </c>
      <c r="BV58" s="510">
        <f t="shared" si="63"/>
        <v>-1.0578087002039327E-2</v>
      </c>
      <c r="BW58" s="510">
        <f t="shared" si="63"/>
        <v>-2.2328337716486568E-2</v>
      </c>
      <c r="BX58" s="510">
        <f t="shared" si="63"/>
        <v>-1.953427216496495E-2</v>
      </c>
      <c r="BY58" s="67">
        <f t="shared" si="63"/>
        <v>-4.6767110585240079E-2</v>
      </c>
      <c r="BZ58" s="510">
        <f t="shared" si="63"/>
        <v>-3.1433217295713245E-3</v>
      </c>
      <c r="CA58" s="510">
        <f t="shared" si="63"/>
        <v>-4.2565321902689246E-2</v>
      </c>
      <c r="CB58" s="510">
        <f t="shared" si="63"/>
        <v>-3.9277460765908989E-2</v>
      </c>
      <c r="CC58" s="510">
        <f t="shared" si="63"/>
        <v>-4.4478220339676078E-2</v>
      </c>
      <c r="CD58" s="67">
        <f t="shared" si="63"/>
        <v>-3.1889813377707465E-2</v>
      </c>
      <c r="CE58" s="510">
        <f t="shared" si="63"/>
        <v>-5.3326402729356071E-2</v>
      </c>
      <c r="CF58" s="510">
        <f t="shared" si="63"/>
        <v>-1.5767033859459323E-2</v>
      </c>
      <c r="CG58" s="510">
        <f t="shared" si="63"/>
        <v>5.3676934503177343E-3</v>
      </c>
      <c r="CH58" s="510">
        <f t="shared" si="63"/>
        <v>-4.585865436352532E-3</v>
      </c>
      <c r="CI58" s="67">
        <f t="shared" si="63"/>
        <v>-1.8126502112335352E-2</v>
      </c>
      <c r="CJ58" s="510">
        <f t="shared" si="63"/>
        <v>-3.10303508319556E-2</v>
      </c>
      <c r="CK58" s="510">
        <f t="shared" si="63"/>
        <v>-1.2000357267414663E-2</v>
      </c>
      <c r="CL58" s="510">
        <f t="shared" si="63"/>
        <v>-2.3868501937725495E-2</v>
      </c>
      <c r="CM58" s="510">
        <f t="shared" si="63"/>
        <v>-7.8696071751731544E-3</v>
      </c>
      <c r="CN58" s="67">
        <f t="shared" si="63"/>
        <v>-1.8871116141862987E-2</v>
      </c>
      <c r="CO58" s="510">
        <f t="shared" si="63"/>
        <v>-1.032300615289572E-2</v>
      </c>
      <c r="CP58" s="510">
        <f t="shared" si="63"/>
        <v>-1.8098636871412221E-2</v>
      </c>
      <c r="CQ58" s="510">
        <f t="shared" si="63"/>
        <v>-3.3831700160670275E-3</v>
      </c>
      <c r="CR58" s="510">
        <f t="shared" si="63"/>
        <v>-2.2158339462251098E-2</v>
      </c>
      <c r="CS58" s="67">
        <f t="shared" si="63"/>
        <v>-1.3495977927342251E-2</v>
      </c>
      <c r="CT58" s="510">
        <f t="shared" si="63"/>
        <v>-1.3075258658140632E-3</v>
      </c>
      <c r="CU58" s="510">
        <f t="shared" si="63"/>
        <v>8.24885545212517E-3</v>
      </c>
      <c r="CV58" s="510">
        <f t="shared" ref="CV58:DS58" si="64">CV57/CQ57-1</f>
        <v>1.3989625917623094E-3</v>
      </c>
      <c r="CW58" s="510">
        <f t="shared" si="64"/>
        <v>1.4203078995349783E-2</v>
      </c>
      <c r="CX58" s="67">
        <f t="shared" si="64"/>
        <v>5.548194924276828E-3</v>
      </c>
      <c r="CY58" s="510">
        <f t="shared" si="64"/>
        <v>-7.6822691201500204E-3</v>
      </c>
      <c r="CZ58" s="510">
        <f t="shared" si="64"/>
        <v>-1.1061045010571813E-2</v>
      </c>
      <c r="DA58" s="510">
        <f t="shared" si="64"/>
        <v>1.3717677037596854E-3</v>
      </c>
      <c r="DB58" s="510">
        <f t="shared" si="64"/>
        <v>0.61786466342793234</v>
      </c>
      <c r="DC58" s="67">
        <f t="shared" si="64"/>
        <v>0.14876328838267505</v>
      </c>
      <c r="DD58" s="510">
        <f t="shared" si="64"/>
        <v>0.62301987572352746</v>
      </c>
      <c r="DE58" s="510">
        <f t="shared" si="64"/>
        <v>0.71885964912280698</v>
      </c>
      <c r="DF58" s="510">
        <f t="shared" si="64"/>
        <v>0.7253428283047465</v>
      </c>
      <c r="DG58" s="510">
        <f t="shared" si="64"/>
        <v>7.4850248870748537E-2</v>
      </c>
      <c r="DH58" s="67">
        <f t="shared" si="64"/>
        <v>0.47421155157713257</v>
      </c>
      <c r="DI58" s="510">
        <f t="shared" si="64"/>
        <v>6.963384181898391E-2</v>
      </c>
      <c r="DJ58" s="510">
        <f t="shared" si="64"/>
        <v>1.6554527425990395E-2</v>
      </c>
      <c r="DK58" s="510">
        <f t="shared" si="64"/>
        <v>1.7187454346122122E-2</v>
      </c>
      <c r="DL58" s="510">
        <f t="shared" si="64"/>
        <v>7.4398021311848028E-2</v>
      </c>
      <c r="DM58" s="67">
        <f t="shared" si="64"/>
        <v>4.4379155095649159E-2</v>
      </c>
      <c r="DN58" s="510">
        <f t="shared" si="64"/>
        <v>5.073066449619601E-2</v>
      </c>
      <c r="DO58" s="510">
        <f t="shared" si="64"/>
        <v>-1.2767627913765178E-2</v>
      </c>
      <c r="DP58" s="510">
        <f t="shared" si="64"/>
        <v>-2.0925999356814828E-2</v>
      </c>
      <c r="DQ58" s="510">
        <f t="shared" si="64"/>
        <v>-9.7701418199249379E-2</v>
      </c>
      <c r="DR58" s="67">
        <f t="shared" si="64"/>
        <v>-2.1148018218973941E-2</v>
      </c>
      <c r="DS58" s="510">
        <f t="shared" si="64"/>
        <v>-7.6067054408940016E-2</v>
      </c>
      <c r="DT58" s="510">
        <f t="shared" ref="DT58:EG58" si="65">DT57/DO57-1</f>
        <v>-1.932870783395102E-2</v>
      </c>
      <c r="DU58" s="510">
        <f t="shared" si="65"/>
        <v>-6.4818157349922911E-2</v>
      </c>
      <c r="DV58" s="510">
        <f t="shared" si="65"/>
        <v>-3.7759233943854498E-2</v>
      </c>
      <c r="DW58" s="67">
        <f t="shared" si="65"/>
        <v>-5.014022619145353E-2</v>
      </c>
      <c r="DX58" s="510">
        <f t="shared" si="65"/>
        <v>-9.2763999892086946E-2</v>
      </c>
      <c r="DY58" s="510">
        <f t="shared" si="65"/>
        <v>-9.8749695984949537E-2</v>
      </c>
      <c r="DZ58" s="510">
        <f t="shared" si="65"/>
        <v>-8.3783428720493824E-2</v>
      </c>
      <c r="EA58" s="510">
        <f t="shared" si="65"/>
        <v>-0.12619637638635883</v>
      </c>
      <c r="EB58" s="67">
        <f t="shared" si="65"/>
        <v>-0.10028704092762752</v>
      </c>
      <c r="EC58" s="510">
        <f t="shared" si="65"/>
        <v>-2.317972818981584E-2</v>
      </c>
      <c r="ED58" s="510">
        <f t="shared" si="65"/>
        <v>9.2790429624090009E-4</v>
      </c>
      <c r="EE58" s="510">
        <f t="shared" si="65"/>
        <v>3.9431470381527278E-2</v>
      </c>
      <c r="EF58" s="510">
        <f t="shared" si="65"/>
        <v>7.8246536559626767E-2</v>
      </c>
      <c r="EG58" s="67">
        <f t="shared" si="65"/>
        <v>2.2413992755696999E-2</v>
      </c>
      <c r="EH58" s="510">
        <f t="shared" ref="EH58" si="66">EH57/EC57-1</f>
        <v>3.8567922019078216E-2</v>
      </c>
      <c r="EI58" s="510">
        <f t="shared" ref="EI58" si="67">EI57/ED57-1</f>
        <v>3.6205999966406832E-2</v>
      </c>
      <c r="EJ58" s="510">
        <f t="shared" ref="EJ58" si="68">EJ57/EE57-1</f>
        <v>3.3622904662685471E-2</v>
      </c>
      <c r="EK58" s="510">
        <f t="shared" ref="EK58" si="69">EK57/EF57-1</f>
        <v>3.1037791349277422E-2</v>
      </c>
      <c r="EL58" s="67">
        <f t="shared" ref="EL58" si="70">EL57/EG57-1</f>
        <v>3.4859548658378703E-2</v>
      </c>
    </row>
    <row r="59" spans="1:142" ht="11.25" customHeight="1">
      <c r="A59" s="192"/>
      <c r="B59" s="192"/>
      <c r="C59" s="9"/>
      <c r="D59" s="9"/>
      <c r="E59" s="9"/>
      <c r="F59" s="9"/>
      <c r="G59" s="9"/>
      <c r="H59" s="63"/>
      <c r="I59" s="9"/>
      <c r="J59" s="9"/>
      <c r="K59" s="9"/>
      <c r="L59" s="9"/>
      <c r="M59" s="63"/>
      <c r="N59" s="9"/>
      <c r="O59" s="9"/>
      <c r="P59" s="9"/>
      <c r="Q59" s="9"/>
      <c r="R59" s="63"/>
      <c r="S59" s="9"/>
      <c r="T59" s="9"/>
      <c r="U59" s="9"/>
      <c r="V59" s="9"/>
      <c r="W59" s="63"/>
      <c r="X59" s="9"/>
      <c r="Y59" s="9"/>
      <c r="Z59" s="9"/>
      <c r="AA59" s="9"/>
      <c r="AB59" s="63"/>
      <c r="AC59" s="9"/>
      <c r="AD59" s="9"/>
      <c r="AE59" s="9"/>
      <c r="AF59" s="9"/>
      <c r="AG59" s="63"/>
      <c r="AH59" s="9"/>
      <c r="AI59" s="9"/>
      <c r="AJ59" s="9"/>
      <c r="AK59" s="9"/>
      <c r="AL59" s="63"/>
      <c r="AM59" s="9"/>
      <c r="AN59" s="9"/>
      <c r="AO59" s="9"/>
      <c r="AP59" s="9"/>
      <c r="AQ59" s="63"/>
      <c r="AR59" s="9"/>
      <c r="AS59" s="9"/>
      <c r="AT59" s="9"/>
      <c r="AU59" s="137"/>
      <c r="AV59" s="4"/>
      <c r="AW59" s="171"/>
      <c r="AX59" s="171"/>
      <c r="AY59" s="171"/>
      <c r="AZ59" s="193"/>
      <c r="BA59" s="171"/>
      <c r="BB59" s="171"/>
      <c r="BC59" s="171"/>
      <c r="BD59" s="171"/>
      <c r="BE59" s="193"/>
      <c r="BF59" s="171"/>
      <c r="BG59" s="171"/>
      <c r="BH59" s="171"/>
      <c r="BI59" s="171"/>
      <c r="BJ59" s="193"/>
      <c r="BK59" s="211"/>
      <c r="BL59" s="211"/>
      <c r="BM59" s="211"/>
      <c r="BN59" s="211"/>
      <c r="BO59" s="74"/>
      <c r="BP59" s="211"/>
      <c r="BQ59" s="211"/>
      <c r="BR59" s="211"/>
      <c r="BS59" s="211"/>
      <c r="BT59" s="74"/>
      <c r="BU59" s="211"/>
      <c r="BV59" s="211"/>
      <c r="BW59" s="211"/>
      <c r="BX59" s="211"/>
      <c r="BY59" s="74"/>
      <c r="BZ59" s="211"/>
      <c r="CA59" s="211"/>
      <c r="CB59" s="211"/>
      <c r="CC59" s="211"/>
      <c r="CD59" s="74"/>
      <c r="CE59" s="211"/>
      <c r="CF59" s="211"/>
      <c r="CG59" s="211"/>
      <c r="CH59" s="211"/>
      <c r="CI59" s="74"/>
      <c r="CJ59" s="211"/>
      <c r="CK59" s="211"/>
      <c r="CL59" s="211"/>
      <c r="CM59" s="211"/>
      <c r="CN59" s="74"/>
      <c r="CO59" s="211"/>
      <c r="CP59" s="211"/>
      <c r="CQ59" s="211"/>
      <c r="CR59" s="211"/>
      <c r="CS59" s="74"/>
      <c r="CT59" s="211"/>
      <c r="CU59" s="211"/>
      <c r="CV59" s="211"/>
      <c r="CW59" s="211"/>
      <c r="CX59" s="74"/>
      <c r="CY59" s="211"/>
      <c r="CZ59" s="211"/>
      <c r="DA59" s="211"/>
      <c r="DB59" s="211"/>
      <c r="DC59" s="74"/>
      <c r="DD59" s="211"/>
      <c r="DE59" s="211"/>
      <c r="DF59" s="211"/>
      <c r="DG59" s="211"/>
      <c r="DH59" s="74"/>
      <c r="DI59" s="211"/>
      <c r="DJ59" s="211"/>
      <c r="DK59" s="211"/>
      <c r="DL59" s="211"/>
      <c r="DM59" s="74"/>
      <c r="DN59" s="211"/>
      <c r="DO59" s="211"/>
      <c r="DP59" s="211"/>
      <c r="DQ59" s="211"/>
      <c r="DR59" s="74"/>
      <c r="DS59" s="211"/>
      <c r="DT59" s="211"/>
      <c r="DU59" s="211"/>
      <c r="DV59" s="211"/>
      <c r="DW59" s="74"/>
      <c r="DX59" s="211"/>
      <c r="DY59" s="211"/>
      <c r="DZ59" s="211"/>
      <c r="EA59" s="211"/>
      <c r="EB59" s="74"/>
      <c r="EC59" s="211"/>
      <c r="ED59" s="211"/>
      <c r="EE59" s="211"/>
      <c r="EF59" s="211"/>
      <c r="EG59" s="74"/>
      <c r="EH59" s="211"/>
      <c r="EI59" s="211"/>
      <c r="EJ59" s="211"/>
      <c r="EK59" s="211"/>
      <c r="EL59" s="74"/>
    </row>
    <row r="60" spans="1:142" s="680" customFormat="1" ht="11.25" customHeight="1">
      <c r="A60" s="1250"/>
      <c r="B60" s="1250" t="s">
        <v>135</v>
      </c>
      <c r="C60" s="903"/>
      <c r="D60" s="903">
        <f>D55/IS!D6</f>
        <v>2955.3736263736264</v>
      </c>
      <c r="E60" s="903">
        <f>E55/IS!E6</f>
        <v>2929.0219780219782</v>
      </c>
      <c r="F60" s="903">
        <f>F55/IS!F6</f>
        <v>3221.0777777777776</v>
      </c>
      <c r="G60" s="903">
        <f>G55/IS!G6</f>
        <v>7418.347826086957</v>
      </c>
      <c r="H60" s="902">
        <f>H55/IS!H6</f>
        <v>4142.4862637362639</v>
      </c>
      <c r="I60" s="903">
        <f>I55/IS!I6</f>
        <v>6730.717391304348</v>
      </c>
      <c r="J60" s="903">
        <f>J55/IS!J6</f>
        <v>7265.2857142857147</v>
      </c>
      <c r="K60" s="903">
        <f>K55/IS!K6</f>
        <v>8158.8111111111111</v>
      </c>
      <c r="L60" s="903">
        <f>L55/IS!L6</f>
        <v>7477.4408602150534</v>
      </c>
      <c r="M60" s="902">
        <f>M55/IS!M6</f>
        <v>7404.5409836065573</v>
      </c>
      <c r="N60" s="903">
        <f>N55/IS!N6</f>
        <v>7228.326086956522</v>
      </c>
      <c r="O60" s="903">
        <f>O55/IS!O6</f>
        <v>7445.3296703296701</v>
      </c>
      <c r="P60" s="903">
        <f>P55/IS!P6</f>
        <v>12437.355555555556</v>
      </c>
      <c r="Q60" s="903">
        <f>Q55/IS!Q6</f>
        <v>17802.347826086956</v>
      </c>
      <c r="R60" s="902">
        <f>R55/IS!R6</f>
        <v>11232.079452054795</v>
      </c>
      <c r="S60" s="903">
        <f>S55/IS!S6</f>
        <v>11461.29347826087</v>
      </c>
      <c r="T60" s="903">
        <f>T55/IS!T6</f>
        <v>12085.846153846154</v>
      </c>
      <c r="U60" s="903">
        <f>U55/IS!U6</f>
        <v>13675.888888888889</v>
      </c>
      <c r="V60" s="903">
        <f>V55/IS!V6</f>
        <v>12632.945652173914</v>
      </c>
      <c r="W60" s="902">
        <f>W55/IS!W6</f>
        <v>12458.38904109589</v>
      </c>
      <c r="X60" s="903">
        <f>X55/IS!X6</f>
        <v>12101.25</v>
      </c>
      <c r="Y60" s="903">
        <f>Y55/IS!Y6</f>
        <v>12490.054945054944</v>
      </c>
      <c r="Z60" s="903">
        <f>Z55/IS!Z6</f>
        <v>14492.366666666667</v>
      </c>
      <c r="AA60" s="903">
        <f>AA55/IS!AA6</f>
        <v>14426.260869565218</v>
      </c>
      <c r="AB60" s="902">
        <f>AB55/IS!AB6</f>
        <v>13373.805479452054</v>
      </c>
      <c r="AC60" s="903">
        <f>AC55/IS!AC6</f>
        <v>13444.373626373626</v>
      </c>
      <c r="AD60" s="903">
        <f>AD55/IS!AD6</f>
        <v>13019.395604395604</v>
      </c>
      <c r="AE60" s="903">
        <f>AE55/IS!AE6</f>
        <v>14163.766666666666</v>
      </c>
      <c r="AF60" s="903">
        <f>AF55/IS!AF6</f>
        <v>12964.591397849463</v>
      </c>
      <c r="AG60" s="902">
        <f>AG55/IS!AG6</f>
        <v>13393.558904109588</v>
      </c>
      <c r="AH60" s="903">
        <f>AH55/IS!AH6</f>
        <v>12863.271739130434</v>
      </c>
      <c r="AI60" s="903">
        <f>AI55/IS!AI6</f>
        <v>13102.901098901099</v>
      </c>
      <c r="AJ60" s="903">
        <f>AJ55/IS!AJ6</f>
        <v>14103.077777777778</v>
      </c>
      <c r="AK60" s="903">
        <f>AK55/IS!AK6</f>
        <v>14040.119565217392</v>
      </c>
      <c r="AL60" s="902">
        <f>AL55/IS!AL6</f>
        <v>13525.350684931507</v>
      </c>
      <c r="AM60" s="903">
        <f>AM55/IS!AM6</f>
        <v>13864.684782608696</v>
      </c>
      <c r="AN60" s="903">
        <f>AN55/IS!AN6</f>
        <v>14082.10989010989</v>
      </c>
      <c r="AO60" s="903">
        <f>AO55/IS!AO6</f>
        <v>15288.255555555555</v>
      </c>
      <c r="AP60" s="903">
        <f>AP55/IS!AP6</f>
        <v>15249.489130434782</v>
      </c>
      <c r="AQ60" s="902">
        <f>AQ55/IS!AQ6</f>
        <v>14618.956164383562</v>
      </c>
      <c r="AR60" s="903">
        <f>AR55/IS!AR6</f>
        <v>14605.141304347826</v>
      </c>
      <c r="AS60" s="903">
        <f>AS55/IS!AS6</f>
        <v>14824.725274725275</v>
      </c>
      <c r="AT60" s="903">
        <f>AT55/IS!AT6</f>
        <v>15428.111111111111</v>
      </c>
      <c r="AU60" s="802"/>
      <c r="AV60" s="1149" t="str">
        <f>IF(ISERROR(AV55/IS!AV6),"nm",AV55/IS!AV6)</f>
        <v>nm</v>
      </c>
      <c r="AW60" s="1149" t="str">
        <f>IF(ISERROR(AW55/IS!AW6),"nm",AW55/IS!AW6)</f>
        <v>nm</v>
      </c>
      <c r="AX60" s="1149" t="str">
        <f>IF(ISERROR(AX55/IS!AX6),"nm",AX55/IS!AX6)</f>
        <v>nm</v>
      </c>
      <c r="AY60" s="1149" t="str">
        <f>IF(ISERROR(AY55/IS!AY6),"nm",AY55/IS!AY6)</f>
        <v>nm</v>
      </c>
      <c r="AZ60" s="902">
        <f>AZ55/IS!AZ6</f>
        <v>0</v>
      </c>
      <c r="BA60" s="903">
        <f>BA55/IS!BA6</f>
        <v>14594.466666666667</v>
      </c>
      <c r="BB60" s="903">
        <f>BB55/IS!BB6</f>
        <v>13812.406593406593</v>
      </c>
      <c r="BC60" s="903">
        <f>BC55/IS!BC6</f>
        <v>13432</v>
      </c>
      <c r="BD60" s="903">
        <f>BD55/IS!BD6</f>
        <v>13186.239130434782</v>
      </c>
      <c r="BE60" s="902">
        <f>BE55/IS!BE6</f>
        <v>13751.531506849315</v>
      </c>
      <c r="BF60" s="903">
        <f>BF55/IS!BF6</f>
        <v>10761.076923076924</v>
      </c>
      <c r="BG60" s="903">
        <f>BG55/IS!BG6</f>
        <v>9865.6813186813179</v>
      </c>
      <c r="BH60" s="903">
        <f>BH55/IS!BH6</f>
        <v>9539.347826086956</v>
      </c>
      <c r="BI60" s="903">
        <f>BI55/IS!BI6</f>
        <v>9535.423913043478</v>
      </c>
      <c r="BJ60" s="902">
        <f>BJ55/IS!BJ6</f>
        <v>9923.2622950819677</v>
      </c>
      <c r="BK60" s="903">
        <f>BK55/IS!BK6</f>
        <v>10380.033333333333</v>
      </c>
      <c r="BL60" s="903">
        <f>BL55/IS!BL6</f>
        <v>9509.8461538461543</v>
      </c>
      <c r="BM60" s="903">
        <f>BM55/IS!BM6</f>
        <v>9071.75</v>
      </c>
      <c r="BN60" s="903">
        <f>BN55/IS!BN6</f>
        <v>8799.75</v>
      </c>
      <c r="BO60" s="902">
        <f>BO55/IS!BO6</f>
        <v>9435.0054794520547</v>
      </c>
      <c r="BP60" s="903">
        <f>BP55/IS!BP6</f>
        <v>9506.8888888888887</v>
      </c>
      <c r="BQ60" s="903">
        <f>BQ55/IS!BQ6</f>
        <v>7805.9230769230771</v>
      </c>
      <c r="BR60" s="903">
        <f>BR55/IS!BR6</f>
        <v>7561.478260869565</v>
      </c>
      <c r="BS60" s="903">
        <f>BS55/IS!BS6</f>
        <v>7665.75</v>
      </c>
      <c r="BT60" s="902">
        <f>BT55/IS!BT6</f>
        <v>8128.3945205479449</v>
      </c>
      <c r="BU60" s="903">
        <f>BU55/IS!BU6</f>
        <v>8285.0111111111109</v>
      </c>
      <c r="BV60" s="903">
        <f>BV55/IS!BV6</f>
        <v>7615.5604395604396</v>
      </c>
      <c r="BW60" s="903">
        <f>BW55/IS!BW6</f>
        <v>7298.934782608696</v>
      </c>
      <c r="BX60" s="903">
        <f>BX55/IS!BX6</f>
        <v>7422.315217391304</v>
      </c>
      <c r="BY60" s="902">
        <f>BY55/IS!BY6</f>
        <v>7652.1150684931508</v>
      </c>
      <c r="BZ60" s="903">
        <f>BZ55/IS!BZ6</f>
        <v>8128.6703296703299</v>
      </c>
      <c r="CA60" s="903">
        <f>CA55/IS!CA6</f>
        <v>7247.6263736263736</v>
      </c>
      <c r="CB60" s="903">
        <f>CB55/IS!CB6</f>
        <v>6899.510869565217</v>
      </c>
      <c r="CC60" s="903">
        <f>CC55/IS!CC6</f>
        <v>6973.847826086957</v>
      </c>
      <c r="CD60" s="902">
        <f>CD55/IS!CD6</f>
        <v>7310.3606557377052</v>
      </c>
      <c r="CE60" s="903">
        <f>CE55/IS!CE6</f>
        <v>7551.7444444444445</v>
      </c>
      <c r="CF60" s="903">
        <f>CF55/IS!CF6</f>
        <v>6919.934065934066</v>
      </c>
      <c r="CG60" s="903">
        <f>CG55/IS!CG6</f>
        <v>6765.510869565217</v>
      </c>
      <c r="CH60" s="903">
        <f>CH55/IS!CH6</f>
        <v>6830.847826086957</v>
      </c>
      <c r="CI60" s="902">
        <f>CI55/IS!CI6</f>
        <v>7014.3452054794525</v>
      </c>
      <c r="CJ60" s="903">
        <f>CJ55/IS!CJ6</f>
        <v>7255.0222222222219</v>
      </c>
      <c r="CK60" s="903">
        <f>CK55/IS!CK6</f>
        <v>6751.2637362637361</v>
      </c>
      <c r="CL60" s="903">
        <f>CL55/IS!CL6</f>
        <v>6487.065217391304</v>
      </c>
      <c r="CM60" s="903">
        <f>CM55/IS!CM6</f>
        <v>6618.369565217391</v>
      </c>
      <c r="CN60" s="902">
        <f>CN55/IS!CN6</f>
        <v>6775.3890410958902</v>
      </c>
      <c r="CO60" s="903">
        <f>CO55/IS!CO6</f>
        <v>7060.7</v>
      </c>
      <c r="CP60" s="903">
        <f>CP55/IS!CP6</f>
        <v>6549.2967032967035</v>
      </c>
      <c r="CQ60" s="903">
        <f>CQ55/IS!CQ6</f>
        <v>6434.217391304348</v>
      </c>
      <c r="CR60" s="903">
        <f>CR55/IS!CR6</f>
        <v>6411.391304347826</v>
      </c>
      <c r="CS60" s="902">
        <f>CS55/IS!CS6</f>
        <v>6611.6301369863013</v>
      </c>
      <c r="CT60" s="903">
        <f>CT55/IS!CT6</f>
        <v>6785.2637362637361</v>
      </c>
      <c r="CU60" s="903">
        <f>CU55/IS!CU6</f>
        <v>6488.3186813186812</v>
      </c>
      <c r="CV60" s="903">
        <f>CV55/IS!CV6</f>
        <v>6310.804347826087</v>
      </c>
      <c r="CW60" s="903">
        <f>CW55/IS!CW6</f>
        <v>6308.978260869565</v>
      </c>
      <c r="CX60" s="902">
        <f>CX55/IS!CX6</f>
        <v>6472.4480874316941</v>
      </c>
      <c r="CY60" s="903">
        <f>CY55/IS!CY6</f>
        <v>6703.166666666667</v>
      </c>
      <c r="CZ60" s="903">
        <f>CZ55/IS!CZ6</f>
        <v>6235.0549450549452</v>
      </c>
      <c r="DA60" s="903">
        <f>DA55/IS!DA6</f>
        <v>6193.836956521739</v>
      </c>
      <c r="DB60" s="903">
        <f>DB55/IS!DB6</f>
        <v>9573.2282608695659</v>
      </c>
      <c r="DC60" s="902">
        <f>DC55/IS!DC6</f>
        <v>7181.4931506849316</v>
      </c>
      <c r="DD60" s="903">
        <f>DD55/IS!DD6</f>
        <v>10324.044444444444</v>
      </c>
      <c r="DE60" s="903">
        <f>DE55/IS!DE6</f>
        <v>9968.0549450549443</v>
      </c>
      <c r="DF60" s="903">
        <f>DF55/IS!DF6</f>
        <v>10013.347826086956</v>
      </c>
      <c r="DG60" s="903">
        <f>DG55/IS!DG6</f>
        <v>10193.510869565218</v>
      </c>
      <c r="DH60" s="902">
        <f>DH55/IS!DH6</f>
        <v>10124.076712328768</v>
      </c>
      <c r="DI60" s="903">
        <f>DI55/IS!DI6</f>
        <v>10843.466666666667</v>
      </c>
      <c r="DJ60" s="903">
        <f>DJ55/IS!DJ6</f>
        <v>10218.021978021978</v>
      </c>
      <c r="DK60" s="903">
        <f>DK55/IS!DK6</f>
        <v>10086.565217391304</v>
      </c>
      <c r="DL60" s="903">
        <f>DL55/IS!DL6</f>
        <v>10694.08695652174</v>
      </c>
      <c r="DM60" s="902">
        <f>DM55/IS!DM6</f>
        <v>10459.101369863014</v>
      </c>
      <c r="DN60" s="903">
        <f>DN55/IS!DN6</f>
        <v>11104.54945054945</v>
      </c>
      <c r="DO60" s="903">
        <f>DO55/IS!DO6</f>
        <v>9860.5824175824182</v>
      </c>
      <c r="DP60" s="903">
        <f>DP55/IS!DP6</f>
        <v>9720.902173913044</v>
      </c>
      <c r="DQ60" s="903">
        <f>DQ55/IS!DQ6</f>
        <v>9653.967391304348</v>
      </c>
      <c r="DR60" s="902">
        <f>DR55/IS!DR6</f>
        <v>10082.827868852459</v>
      </c>
      <c r="DS60" s="903">
        <f>DS55/IS!DS6</f>
        <v>10233.488888888889</v>
      </c>
      <c r="DT60" s="903">
        <f>DT55/IS!DT6</f>
        <v>9580.3956043956041</v>
      </c>
      <c r="DU60" s="903">
        <f>DU55/IS!DU6</f>
        <v>9111.032608695652</v>
      </c>
      <c r="DV60" s="903">
        <f>DV55/IS!DV6</f>
        <v>9274.097826086956</v>
      </c>
      <c r="DW60" s="902">
        <f>DW55/IS!DW6</f>
        <v>9545.9232876712322</v>
      </c>
      <c r="DX60" s="903">
        <f>DX55/IS!DX6</f>
        <v>9068.8030183035044</v>
      </c>
      <c r="DY60" s="903">
        <f>DY55/IS!DY6</f>
        <v>8548.7161461216456</v>
      </c>
      <c r="DZ60" s="903">
        <f>DZ55/IS!DZ6</f>
        <v>8189.5714283945617</v>
      </c>
      <c r="EA60" s="903">
        <f>EA55/IS!EA6</f>
        <v>7991.3682756997532</v>
      </c>
      <c r="EB60" s="902">
        <f>EB55/IS!EB6</f>
        <v>8445.950393756335</v>
      </c>
      <c r="EC60" s="903">
        <f>EC55/IS!EC6</f>
        <v>8734.5657616975604</v>
      </c>
      <c r="ED60" s="903">
        <f>ED55/IS!ED6</f>
        <v>8532.7190913611976</v>
      </c>
      <c r="EE60" s="903">
        <f>EE55/IS!EE6</f>
        <v>8512.4982716107024</v>
      </c>
      <c r="EF60" s="903">
        <f>EF55/IS!EF6</f>
        <v>8592.3269710873774</v>
      </c>
      <c r="EG60" s="902">
        <f>EG55/IS!EG6</f>
        <v>8592.4172005338969</v>
      </c>
      <c r="EH60" s="903">
        <f>EH55/IS!EH6</f>
        <v>8971.7536610754942</v>
      </c>
      <c r="EI60" s="903">
        <f>EI55/IS!EI6</f>
        <v>8841.6547184963783</v>
      </c>
      <c r="EJ60" s="903">
        <f>EJ55/IS!EJ6</f>
        <v>8798.7131894383438</v>
      </c>
      <c r="EK60" s="903">
        <f>EK55/IS!EK6</f>
        <v>8859.0138228207579</v>
      </c>
      <c r="EL60" s="902">
        <f>EL55/IS!EL6</f>
        <v>8867.5711684942016</v>
      </c>
    </row>
    <row r="61" spans="1:142" s="680" customFormat="1" ht="11.25" customHeight="1">
      <c r="A61" s="1254"/>
      <c r="B61" s="1254" t="s">
        <v>133</v>
      </c>
      <c r="C61" s="849"/>
      <c r="D61" s="849"/>
      <c r="E61" s="849"/>
      <c r="F61" s="849"/>
      <c r="G61" s="849"/>
      <c r="H61" s="851"/>
      <c r="I61" s="850">
        <f t="shared" ref="I61:AT61" si="71">I60/D60-1</f>
        <v>1.277450583993752</v>
      </c>
      <c r="J61" s="850">
        <f t="shared" si="71"/>
        <v>1.4804476609602277</v>
      </c>
      <c r="K61" s="850">
        <f t="shared" si="71"/>
        <v>1.5329444595839212</v>
      </c>
      <c r="L61" s="850">
        <f t="shared" si="71"/>
        <v>7.9657944751920784E-3</v>
      </c>
      <c r="M61" s="851">
        <f t="shared" si="71"/>
        <v>0.78746301428363075</v>
      </c>
      <c r="N61" s="850">
        <f t="shared" si="71"/>
        <v>7.3931004189100591E-2</v>
      </c>
      <c r="O61" s="850">
        <f t="shared" si="71"/>
        <v>2.4781400639197981E-2</v>
      </c>
      <c r="P61" s="850">
        <f t="shared" si="71"/>
        <v>0.52440783175108585</v>
      </c>
      <c r="Q61" s="850">
        <f t="shared" si="71"/>
        <v>1.3808075729234126</v>
      </c>
      <c r="R61" s="851">
        <f t="shared" si="71"/>
        <v>0.51691772345136577</v>
      </c>
      <c r="S61" s="850">
        <f t="shared" si="71"/>
        <v>0.58560825015112639</v>
      </c>
      <c r="T61" s="850">
        <f t="shared" si="71"/>
        <v>0.62327884579904813</v>
      </c>
      <c r="U61" s="850">
        <f t="shared" si="71"/>
        <v>9.9581726018928673E-2</v>
      </c>
      <c r="V61" s="850">
        <f t="shared" si="71"/>
        <v>-0.29037755156867429</v>
      </c>
      <c r="W61" s="851">
        <f t="shared" si="71"/>
        <v>0.10917921247581219</v>
      </c>
      <c r="X61" s="850">
        <f t="shared" si="71"/>
        <v>5.5836326236036404E-2</v>
      </c>
      <c r="Y61" s="850">
        <f t="shared" si="71"/>
        <v>3.3444806930639004E-2</v>
      </c>
      <c r="Z61" s="850">
        <f t="shared" si="71"/>
        <v>5.9701989714257886E-2</v>
      </c>
      <c r="AA61" s="850">
        <f t="shared" si="71"/>
        <v>0.14195542882611112</v>
      </c>
      <c r="AB61" s="851">
        <f t="shared" si="71"/>
        <v>7.3477913985229071E-2</v>
      </c>
      <c r="AC61" s="850">
        <f t="shared" si="71"/>
        <v>0.11099048663349875</v>
      </c>
      <c r="AD61" s="850">
        <f t="shared" si="71"/>
        <v>4.2380971234256659E-2</v>
      </c>
      <c r="AE61" s="850">
        <f t="shared" si="71"/>
        <v>-2.2674005395944108E-2</v>
      </c>
      <c r="AF61" s="850">
        <f t="shared" si="71"/>
        <v>-0.10132004993750032</v>
      </c>
      <c r="AG61" s="851">
        <f t="shared" si="71"/>
        <v>1.4770234760692613E-3</v>
      </c>
      <c r="AH61" s="850">
        <f t="shared" si="71"/>
        <v>-4.3222682096788367E-2</v>
      </c>
      <c r="AI61" s="850">
        <f t="shared" si="71"/>
        <v>6.4139301886871891E-3</v>
      </c>
      <c r="AJ61" s="850">
        <f t="shared" si="71"/>
        <v>-4.2847986921243919E-3</v>
      </c>
      <c r="AK61" s="850">
        <f t="shared" si="71"/>
        <v>8.2958894296224051E-2</v>
      </c>
      <c r="AL61" s="851">
        <f t="shared" si="71"/>
        <v>9.839937373290697E-3</v>
      </c>
      <c r="AM61" s="850">
        <f t="shared" si="71"/>
        <v>7.7850570507030037E-2</v>
      </c>
      <c r="AN61" s="850">
        <f t="shared" si="71"/>
        <v>7.4732212646473783E-2</v>
      </c>
      <c r="AO61" s="850">
        <f t="shared" si="71"/>
        <v>8.4036817810454245E-2</v>
      </c>
      <c r="AP61" s="850">
        <f t="shared" si="71"/>
        <v>8.6136699876363521E-2</v>
      </c>
      <c r="AQ61" s="851">
        <f t="shared" si="71"/>
        <v>8.0855979628715602E-2</v>
      </c>
      <c r="AR61" s="850">
        <f t="shared" si="71"/>
        <v>5.3405939864419327E-2</v>
      </c>
      <c r="AS61" s="850">
        <f t="shared" si="71"/>
        <v>5.2734667632222898E-2</v>
      </c>
      <c r="AT61" s="850">
        <f t="shared" si="71"/>
        <v>9.1479080165384197E-3</v>
      </c>
      <c r="AU61" s="802"/>
      <c r="AV61" s="1255"/>
      <c r="AW61" s="1255"/>
      <c r="AX61" s="1255"/>
      <c r="AY61" s="1255"/>
      <c r="AZ61" s="885"/>
      <c r="BA61" s="1010" t="str">
        <f>IF(ISERROR(BA60/AV60-1),"nm",BA60/AV60-1)</f>
        <v>nm</v>
      </c>
      <c r="BB61" s="1010" t="str">
        <f>IF(ISERROR(BB60/AW60-1),"nm",BB60/AW60-1)</f>
        <v>nm</v>
      </c>
      <c r="BC61" s="1010" t="str">
        <f>IF(ISERROR(BC60/AX60-1),"nm",BC60/AX60-1)</f>
        <v>nm</v>
      </c>
      <c r="BD61" s="1010" t="str">
        <f>IF(ISERROR(BD60/AY60-1),"nm",BD60/AY60-1)</f>
        <v>nm</v>
      </c>
      <c r="BE61" s="1011" t="str">
        <f>IF(ISERROR(BE60/AZ60-1),"nm",BE60/AZ60-1)</f>
        <v>nm</v>
      </c>
      <c r="BF61" s="850">
        <f>BF60/BA60-1</f>
        <v>-0.26266048846752943</v>
      </c>
      <c r="BG61" s="850">
        <f>BG60/BB60-1</f>
        <v>-0.28573769878807798</v>
      </c>
      <c r="BH61" s="850">
        <f>BH60/BC60-1</f>
        <v>-0.28980436077375249</v>
      </c>
      <c r="BI61" s="850">
        <f>BI60/BD60-1</f>
        <v>-0.27686553999805463</v>
      </c>
      <c r="BJ61" s="851">
        <f>BJ60/BE60-1</f>
        <v>-0.27838857147369922</v>
      </c>
      <c r="BK61" s="850">
        <f>IF(ISERROR(BK60/BF60-1),"NM",BK60/BF60-1)</f>
        <v>-3.5409429043895213E-2</v>
      </c>
      <c r="BL61" s="850">
        <f>IF(ISERROR(BL60/BG60-1),"NM",BL60/BG60-1)</f>
        <v>-3.6067976791563927E-2</v>
      </c>
      <c r="BM61" s="850">
        <f>IF(ISERROR(BM60/BH60-1),"NM",BM60/BH60-1)</f>
        <v>-4.9017798135867374E-2</v>
      </c>
      <c r="BN61" s="850">
        <f>IF(ISERROR(BN60/BI60-1),"NM",BN60/BI60-1)</f>
        <v>-7.7151673565047485E-2</v>
      </c>
      <c r="BO61" s="851">
        <f>IF(ISERROR(BO60/BJ60-1),"NM",BO60/BJ60-1)</f>
        <v>-4.9203256057425371E-2</v>
      </c>
      <c r="BP61" s="850">
        <f t="shared" ref="BP61:CU61" si="72">BP60/BK60-1</f>
        <v>-8.4117691765066005E-2</v>
      </c>
      <c r="BQ61" s="850">
        <f t="shared" si="72"/>
        <v>-0.1791746206361019</v>
      </c>
      <c r="BR61" s="850">
        <f t="shared" si="72"/>
        <v>-0.16648074948388514</v>
      </c>
      <c r="BS61" s="850">
        <f t="shared" si="72"/>
        <v>-0.12886729736640246</v>
      </c>
      <c r="BT61" s="851">
        <f t="shared" si="72"/>
        <v>-0.13848544780919325</v>
      </c>
      <c r="BU61" s="850">
        <f t="shared" si="72"/>
        <v>-0.12852551366260723</v>
      </c>
      <c r="BV61" s="850">
        <f t="shared" si="72"/>
        <v>-2.4386947640492762E-2</v>
      </c>
      <c r="BW61" s="850">
        <f t="shared" si="72"/>
        <v>-3.4721184033487784E-2</v>
      </c>
      <c r="BX61" s="850">
        <f t="shared" si="72"/>
        <v>-3.1756159881120016E-2</v>
      </c>
      <c r="BY61" s="851">
        <f t="shared" si="72"/>
        <v>-5.8594529442535959E-2</v>
      </c>
      <c r="BZ61" s="850">
        <f t="shared" si="72"/>
        <v>-1.8870316447869406E-2</v>
      </c>
      <c r="CA61" s="850">
        <f t="shared" si="72"/>
        <v>-4.8313458852320856E-2</v>
      </c>
      <c r="CB61" s="850">
        <f t="shared" si="72"/>
        <v>-5.4723589803157835E-2</v>
      </c>
      <c r="CC61" s="850">
        <f t="shared" si="72"/>
        <v>-6.0421496281044318E-2</v>
      </c>
      <c r="CD61" s="851">
        <f t="shared" si="72"/>
        <v>-4.4661431473055901E-2</v>
      </c>
      <c r="CE61" s="850">
        <f t="shared" si="72"/>
        <v>-7.097420141644295E-2</v>
      </c>
      <c r="CF61" s="850">
        <f t="shared" si="72"/>
        <v>-4.521374182377258E-2</v>
      </c>
      <c r="CG61" s="850">
        <f t="shared" si="72"/>
        <v>-1.9421666627281398E-2</v>
      </c>
      <c r="CH61" s="850">
        <f t="shared" si="72"/>
        <v>-2.0505179287836239E-2</v>
      </c>
      <c r="CI61" s="851">
        <f t="shared" si="72"/>
        <v>-4.0492591843046544E-2</v>
      </c>
      <c r="CJ61" s="850">
        <f t="shared" si="72"/>
        <v>-3.9291878109105061E-2</v>
      </c>
      <c r="CK61" s="850">
        <f t="shared" si="72"/>
        <v>-2.4374557338728398E-2</v>
      </c>
      <c r="CL61" s="850">
        <f t="shared" si="72"/>
        <v>-4.1156633629325201E-2</v>
      </c>
      <c r="CM61" s="850">
        <f t="shared" si="72"/>
        <v>-3.1105693799547529E-2</v>
      </c>
      <c r="CN61" s="851">
        <f t="shared" si="72"/>
        <v>-3.4066781343594976E-2</v>
      </c>
      <c r="CO61" s="850">
        <f t="shared" si="72"/>
        <v>-2.6784510959457997E-2</v>
      </c>
      <c r="CP61" s="850">
        <f t="shared" si="72"/>
        <v>-2.9915441146549648E-2</v>
      </c>
      <c r="CQ61" s="850">
        <f t="shared" si="72"/>
        <v>-8.146646336354868E-3</v>
      </c>
      <c r="CR61" s="850">
        <f t="shared" si="72"/>
        <v>-3.1273300596166731E-2</v>
      </c>
      <c r="CS61" s="851">
        <f t="shared" si="72"/>
        <v>-2.4169668061319372E-2</v>
      </c>
      <c r="CT61" s="850">
        <f t="shared" si="72"/>
        <v>-3.9009767266172446E-2</v>
      </c>
      <c r="CU61" s="850">
        <f t="shared" si="72"/>
        <v>-9.3106213904353696E-3</v>
      </c>
      <c r="CV61" s="850">
        <f t="shared" ref="CV61:DS61" si="73">CV60/CQ60-1</f>
        <v>-1.9180738848682655E-2</v>
      </c>
      <c r="CW61" s="850">
        <f t="shared" si="73"/>
        <v>-1.5973606759707604E-2</v>
      </c>
      <c r="CX61" s="851">
        <f t="shared" si="73"/>
        <v>-2.1051094309708085E-2</v>
      </c>
      <c r="CY61" s="850">
        <f t="shared" si="73"/>
        <v>-1.2099318875153364E-2</v>
      </c>
      <c r="CZ61" s="850">
        <f t="shared" si="73"/>
        <v>-3.9033800388525774E-2</v>
      </c>
      <c r="DA61" s="850">
        <f t="shared" si="73"/>
        <v>-1.8534466425763951E-2</v>
      </c>
      <c r="DB61" s="850">
        <f t="shared" si="73"/>
        <v>0.5173975666148658</v>
      </c>
      <c r="DC61" s="851">
        <f t="shared" si="73"/>
        <v>0.10954820396784215</v>
      </c>
      <c r="DD61" s="850">
        <f t="shared" si="73"/>
        <v>0.54017421285130562</v>
      </c>
      <c r="DE61" s="850">
        <f t="shared" si="73"/>
        <v>0.59871164454784176</v>
      </c>
      <c r="DF61" s="850">
        <f t="shared" si="73"/>
        <v>0.61666312761809161</v>
      </c>
      <c r="DG61" s="850">
        <f t="shared" si="73"/>
        <v>6.4793462747676056E-2</v>
      </c>
      <c r="DH61" s="851">
        <f t="shared" si="73"/>
        <v>0.40974536908987913</v>
      </c>
      <c r="DI61" s="850">
        <f t="shared" si="73"/>
        <v>5.0311893271801411E-2</v>
      </c>
      <c r="DJ61" s="850">
        <f t="shared" si="73"/>
        <v>2.5076811308212044E-2</v>
      </c>
      <c r="DK61" s="850">
        <f t="shared" si="73"/>
        <v>7.3119792277265283E-3</v>
      </c>
      <c r="DL61" s="850">
        <f t="shared" si="73"/>
        <v>4.9107328511425186E-2</v>
      </c>
      <c r="DM61" s="851">
        <f t="shared" si="73"/>
        <v>3.309187267677105E-2</v>
      </c>
      <c r="DN61" s="850">
        <f t="shared" si="73"/>
        <v>2.4077427626108205E-2</v>
      </c>
      <c r="DO61" s="850">
        <f t="shared" si="73"/>
        <v>-3.4981287103157399E-2</v>
      </c>
      <c r="DP61" s="850">
        <f t="shared" si="73"/>
        <v>-3.6252483932566304E-2</v>
      </c>
      <c r="DQ61" s="850">
        <f t="shared" si="73"/>
        <v>-9.7261184563594671E-2</v>
      </c>
      <c r="DR61" s="851">
        <f t="shared" si="73"/>
        <v>-3.5975700751381456E-2</v>
      </c>
      <c r="DS61" s="850">
        <f t="shared" si="73"/>
        <v>-7.8441774296161171E-2</v>
      </c>
      <c r="DT61" s="850">
        <f t="shared" ref="DT61:EG61" si="74">DT60/DO60-1</f>
        <v>-2.8414834065705108E-2</v>
      </c>
      <c r="DU61" s="850">
        <f t="shared" si="74"/>
        <v>-6.2737959327893944E-2</v>
      </c>
      <c r="DV61" s="850">
        <f t="shared" si="74"/>
        <v>-3.9348544470903524E-2</v>
      </c>
      <c r="DW61" s="851">
        <f t="shared" si="74"/>
        <v>-5.3249404647659926E-2</v>
      </c>
      <c r="DX61" s="850">
        <f t="shared" si="74"/>
        <v>-0.11381122149357625</v>
      </c>
      <c r="DY61" s="850">
        <f t="shared" si="74"/>
        <v>-0.10768651952124098</v>
      </c>
      <c r="DZ61" s="850">
        <f t="shared" si="74"/>
        <v>-0.10113685461092958</v>
      </c>
      <c r="EA61" s="850">
        <f t="shared" si="74"/>
        <v>-0.13831313562156244</v>
      </c>
      <c r="EB61" s="851">
        <f t="shared" si="74"/>
        <v>-0.11522959705066305</v>
      </c>
      <c r="EC61" s="850">
        <f t="shared" si="74"/>
        <v>-3.6855719098910278E-2</v>
      </c>
      <c r="ED61" s="850">
        <f t="shared" si="74"/>
        <v>-1.8712815453236775E-3</v>
      </c>
      <c r="EE61" s="850">
        <f t="shared" si="74"/>
        <v>3.9431470381527056E-2</v>
      </c>
      <c r="EF61" s="850">
        <f t="shared" si="74"/>
        <v>7.520097618514554E-2</v>
      </c>
      <c r="EG61" s="851">
        <f t="shared" si="74"/>
        <v>1.7341660789985003E-2</v>
      </c>
      <c r="EH61" s="850">
        <f t="shared" ref="EH61" si="75">EH60/EC60-1</f>
        <v>2.715508771117614E-2</v>
      </c>
      <c r="EI61" s="850">
        <f t="shared" ref="EI61" si="76">EI60/ED60-1</f>
        <v>3.620599996640661E-2</v>
      </c>
      <c r="EJ61" s="850">
        <f t="shared" ref="EJ61" si="77">EJ60/EE60-1</f>
        <v>3.3622904662685471E-2</v>
      </c>
      <c r="EK61" s="850">
        <f t="shared" ref="EK61" si="78">EK60/EF60-1</f>
        <v>3.1037791349277644E-2</v>
      </c>
      <c r="EL61" s="851">
        <f t="shared" ref="EL61" si="79">EL60/EG60-1</f>
        <v>3.2022882681163045E-2</v>
      </c>
    </row>
    <row r="62" spans="1:142" s="680" customFormat="1" ht="3.75" customHeight="1">
      <c r="A62" s="1256"/>
      <c r="B62" s="1256"/>
      <c r="C62" s="901"/>
      <c r="D62" s="901"/>
      <c r="E62" s="901"/>
      <c r="F62" s="901"/>
      <c r="G62" s="557"/>
      <c r="H62" s="902"/>
      <c r="I62" s="901"/>
      <c r="J62" s="901"/>
      <c r="K62" s="901"/>
      <c r="L62" s="557"/>
      <c r="M62" s="902"/>
      <c r="N62" s="901"/>
      <c r="O62" s="901"/>
      <c r="P62" s="901"/>
      <c r="Q62" s="557"/>
      <c r="R62" s="902"/>
      <c r="S62" s="901"/>
      <c r="T62" s="901"/>
      <c r="U62" s="901"/>
      <c r="V62" s="557"/>
      <c r="W62" s="902"/>
      <c r="X62" s="901"/>
      <c r="Y62" s="901"/>
      <c r="Z62" s="901"/>
      <c r="AA62" s="557"/>
      <c r="AB62" s="902"/>
      <c r="AC62" s="901"/>
      <c r="AD62" s="901"/>
      <c r="AE62" s="901"/>
      <c r="AF62" s="557"/>
      <c r="AG62" s="902"/>
      <c r="AH62" s="901"/>
      <c r="AI62" s="901"/>
      <c r="AJ62" s="901"/>
      <c r="AK62" s="557"/>
      <c r="AL62" s="902"/>
      <c r="AM62" s="901"/>
      <c r="AN62" s="901"/>
      <c r="AO62" s="901"/>
      <c r="AP62" s="557"/>
      <c r="AQ62" s="902"/>
      <c r="AR62" s="901"/>
      <c r="AS62" s="901"/>
      <c r="AT62" s="901"/>
      <c r="AU62" s="802"/>
      <c r="AV62" s="1218"/>
      <c r="AW62" s="1257"/>
      <c r="AX62" s="1257"/>
      <c r="AY62" s="1257"/>
      <c r="AZ62" s="902"/>
      <c r="BA62" s="901"/>
      <c r="BB62" s="901"/>
      <c r="BC62" s="901"/>
      <c r="BD62" s="901"/>
      <c r="BE62" s="902"/>
      <c r="BF62" s="901"/>
      <c r="BG62" s="901"/>
      <c r="BH62" s="901"/>
      <c r="BI62" s="901"/>
      <c r="BJ62" s="902"/>
      <c r="BK62" s="930"/>
      <c r="BL62" s="930"/>
      <c r="BM62" s="930"/>
      <c r="BN62" s="930"/>
      <c r="BO62" s="844"/>
      <c r="BP62" s="930"/>
      <c r="BQ62" s="930"/>
      <c r="BR62" s="930"/>
      <c r="BS62" s="930"/>
      <c r="BT62" s="844"/>
      <c r="BU62" s="930"/>
      <c r="BV62" s="930"/>
      <c r="BW62" s="930"/>
      <c r="BX62" s="930"/>
      <c r="BY62" s="844"/>
      <c r="BZ62" s="930"/>
      <c r="CA62" s="930"/>
      <c r="CB62" s="930"/>
      <c r="CC62" s="930"/>
      <c r="CD62" s="844"/>
      <c r="CE62" s="930"/>
      <c r="CF62" s="930"/>
      <c r="CG62" s="930"/>
      <c r="CH62" s="930"/>
      <c r="CI62" s="844"/>
      <c r="CJ62" s="930"/>
      <c r="CK62" s="930"/>
      <c r="CL62" s="930"/>
      <c r="CM62" s="930"/>
      <c r="CN62" s="844"/>
      <c r="CO62" s="930"/>
      <c r="CP62" s="930"/>
      <c r="CQ62" s="930"/>
      <c r="CR62" s="930"/>
      <c r="CS62" s="844"/>
      <c r="CT62" s="930"/>
      <c r="CU62" s="930"/>
      <c r="CV62" s="930"/>
      <c r="CW62" s="930"/>
      <c r="CX62" s="844"/>
      <c r="CY62" s="930"/>
      <c r="CZ62" s="930"/>
      <c r="DA62" s="930"/>
      <c r="DB62" s="930"/>
      <c r="DC62" s="844"/>
      <c r="DD62" s="930"/>
      <c r="DE62" s="930"/>
      <c r="DF62" s="930"/>
      <c r="DG62" s="930"/>
      <c r="DH62" s="844"/>
      <c r="DI62" s="930"/>
      <c r="DJ62" s="930"/>
      <c r="DK62" s="930"/>
      <c r="DL62" s="930"/>
      <c r="DM62" s="844"/>
      <c r="DN62" s="930"/>
      <c r="DO62" s="930"/>
      <c r="DP62" s="930"/>
      <c r="DQ62" s="930"/>
      <c r="DR62" s="844"/>
      <c r="DS62" s="930"/>
      <c r="DT62" s="930"/>
      <c r="DU62" s="930"/>
      <c r="DV62" s="930"/>
      <c r="DW62" s="844"/>
      <c r="DX62" s="930"/>
      <c r="DY62" s="930"/>
      <c r="DZ62" s="930"/>
      <c r="EA62" s="930"/>
      <c r="EB62" s="844"/>
      <c r="EC62" s="930"/>
      <c r="ED62" s="930"/>
      <c r="EE62" s="930"/>
      <c r="EF62" s="930"/>
      <c r="EG62" s="844"/>
      <c r="EH62" s="930"/>
      <c r="EI62" s="930"/>
      <c r="EJ62" s="930"/>
      <c r="EK62" s="930"/>
      <c r="EL62" s="844"/>
    </row>
    <row r="63" spans="1:142" s="680" customFormat="1" ht="11.25" customHeight="1">
      <c r="A63" s="1250"/>
      <c r="B63" s="1250" t="s">
        <v>136</v>
      </c>
      <c r="C63" s="161"/>
      <c r="D63" s="161">
        <f t="shared" ref="D63:AT63" si="80">D55/D86</f>
        <v>5.4798280288520314</v>
      </c>
      <c r="E63" s="161">
        <f t="shared" si="80"/>
        <v>5.4772825349855125</v>
      </c>
      <c r="F63" s="161">
        <f t="shared" si="80"/>
        <v>5.5876219112601673</v>
      </c>
      <c r="G63" s="161">
        <f t="shared" si="80"/>
        <v>5.7718127616389703</v>
      </c>
      <c r="H63" s="817">
        <f t="shared" si="80"/>
        <v>5.629134499081637</v>
      </c>
      <c r="I63" s="161">
        <f t="shared" si="80"/>
        <v>5.5534469924576024</v>
      </c>
      <c r="J63" s="161">
        <f t="shared" si="80"/>
        <v>5.4928923340229137</v>
      </c>
      <c r="K63" s="161">
        <f t="shared" si="80"/>
        <v>5.6252145002145006</v>
      </c>
      <c r="L63" s="161">
        <f t="shared" si="80"/>
        <v>5.55437343748752</v>
      </c>
      <c r="M63" s="817">
        <f t="shared" si="80"/>
        <v>5.5579500452213999</v>
      </c>
      <c r="N63" s="161">
        <f t="shared" si="80"/>
        <v>5.4415023320513871</v>
      </c>
      <c r="O63" s="161">
        <f t="shared" si="80"/>
        <v>5.4391718313477408</v>
      </c>
      <c r="P63" s="161">
        <f t="shared" si="80"/>
        <v>5.2589241249706369</v>
      </c>
      <c r="Q63" s="161">
        <f t="shared" si="80"/>
        <v>5.0045865252106108</v>
      </c>
      <c r="R63" s="817">
        <f t="shared" si="80"/>
        <v>5.2100352401297769</v>
      </c>
      <c r="S63" s="161">
        <f t="shared" si="80"/>
        <v>5.1292928998112579</v>
      </c>
      <c r="T63" s="161">
        <f t="shared" si="80"/>
        <v>5.1568997045998026</v>
      </c>
      <c r="U63" s="161">
        <f t="shared" si="80"/>
        <v>5.3293065748738933</v>
      </c>
      <c r="V63" s="161">
        <f t="shared" si="80"/>
        <v>5.2203192655275874</v>
      </c>
      <c r="W63" s="817">
        <f t="shared" si="80"/>
        <v>5.2122191618152911</v>
      </c>
      <c r="X63" s="161">
        <f t="shared" si="80"/>
        <v>5.0797565326896841</v>
      </c>
      <c r="Y63" s="161">
        <f t="shared" si="80"/>
        <v>5.1313775682960197</v>
      </c>
      <c r="Z63" s="161">
        <f t="shared" si="80"/>
        <v>5.2456625081441084</v>
      </c>
      <c r="AA63" s="161">
        <f t="shared" si="80"/>
        <v>5.2890828302149959</v>
      </c>
      <c r="AB63" s="817">
        <f t="shared" si="80"/>
        <v>5.1916560223005233</v>
      </c>
      <c r="AC63" s="161">
        <f t="shared" si="80"/>
        <v>5.1109040931079717</v>
      </c>
      <c r="AD63" s="161">
        <f t="shared" si="80"/>
        <v>5.2043954016525582</v>
      </c>
      <c r="AE63" s="161">
        <f t="shared" si="80"/>
        <v>5.3160197170881434</v>
      </c>
      <c r="AF63" s="161">
        <f t="shared" si="80"/>
        <v>5.2576343617137251</v>
      </c>
      <c r="AG63" s="817">
        <f t="shared" si="80"/>
        <v>5.2221233530810496</v>
      </c>
      <c r="AH63" s="161">
        <f t="shared" si="80"/>
        <v>5.175008745845723</v>
      </c>
      <c r="AI63" s="161">
        <f t="shared" si="80"/>
        <v>5.2004483581282352</v>
      </c>
      <c r="AJ63" s="161">
        <f t="shared" si="80"/>
        <v>5.3091385930716015</v>
      </c>
      <c r="AK63" s="161">
        <f t="shared" si="80"/>
        <v>5.3251115160409954</v>
      </c>
      <c r="AL63" s="817">
        <f t="shared" si="80"/>
        <v>5.2540950892985423</v>
      </c>
      <c r="AM63" s="161">
        <f t="shared" si="80"/>
        <v>5.2671283220190608</v>
      </c>
      <c r="AN63" s="161">
        <f t="shared" si="80"/>
        <v>5.2765656074874103</v>
      </c>
      <c r="AO63" s="161">
        <f t="shared" si="80"/>
        <v>5.3571990344183149</v>
      </c>
      <c r="AP63" s="161">
        <f t="shared" si="80"/>
        <v>5.4134000609654924</v>
      </c>
      <c r="AQ63" s="817">
        <f t="shared" si="80"/>
        <v>5.3303967090094666</v>
      </c>
      <c r="AR63" s="161">
        <f t="shared" si="80"/>
        <v>5.3296246935909943</v>
      </c>
      <c r="AS63" s="161">
        <f t="shared" si="80"/>
        <v>5.3063737059064158</v>
      </c>
      <c r="AT63" s="161">
        <f t="shared" si="80"/>
        <v>5.3078161016204071</v>
      </c>
      <c r="AU63" s="802"/>
      <c r="AV63" s="999" t="str">
        <f>IF(ISERROR(AV55/AV86),"nm",AV55/AV86)</f>
        <v>nm</v>
      </c>
      <c r="AW63" s="999" t="str">
        <f>IF(ISERROR(AW55/AW86),"nm",AW55/AW86)</f>
        <v>nm</v>
      </c>
      <c r="AX63" s="999" t="str">
        <f>IF(ISERROR(AX55/AX86),"nm",AX55/AX86)</f>
        <v>nm</v>
      </c>
      <c r="AY63" s="999" t="str">
        <f>IF(ISERROR(AY55/AY86),"nm",AY55/AY86)</f>
        <v>nm</v>
      </c>
      <c r="AZ63" s="1258" t="str">
        <f>IF(ISERROR(AZ55/AZ86),"nm",AZ55/AZ86)</f>
        <v>nm</v>
      </c>
      <c r="BA63" s="161">
        <f t="shared" ref="BA63:CF63" si="81">BA55/BA86</f>
        <v>5.400335490449212</v>
      </c>
      <c r="BB63" s="161">
        <f t="shared" si="81"/>
        <v>5.3246391791882539</v>
      </c>
      <c r="BC63" s="161">
        <f t="shared" si="81"/>
        <v>5.2058944956060902</v>
      </c>
      <c r="BD63" s="161">
        <f t="shared" si="81"/>
        <v>5.2749314073771307</v>
      </c>
      <c r="BE63" s="817">
        <f t="shared" si="81"/>
        <v>5.302236330600862</v>
      </c>
      <c r="BF63" s="161">
        <f t="shared" si="81"/>
        <v>5.2860574457633618</v>
      </c>
      <c r="BG63" s="161">
        <f t="shared" si="81"/>
        <v>5.1572963999103854</v>
      </c>
      <c r="BH63" s="161">
        <f t="shared" si="81"/>
        <v>5.1409090110302085</v>
      </c>
      <c r="BI63" s="161">
        <f t="shared" si="81"/>
        <v>5.1803676561771077</v>
      </c>
      <c r="BJ63" s="817">
        <f t="shared" si="81"/>
        <v>5.1929887272872852</v>
      </c>
      <c r="BK63" s="752">
        <f t="shared" si="81"/>
        <v>5.234861984332448</v>
      </c>
      <c r="BL63" s="752">
        <f t="shared" si="81"/>
        <v>5.1350889476994643</v>
      </c>
      <c r="BM63" s="752">
        <f t="shared" si="81"/>
        <v>5.0981387478849411</v>
      </c>
      <c r="BN63" s="752">
        <f t="shared" si="81"/>
        <v>5.1272799817601458</v>
      </c>
      <c r="BO63" s="1117">
        <f t="shared" si="81"/>
        <v>5.1508285383951531</v>
      </c>
      <c r="BP63" s="752">
        <f t="shared" si="81"/>
        <v>5.1411438116640431</v>
      </c>
      <c r="BQ63" s="752">
        <f t="shared" si="81"/>
        <v>4.9682394247985675</v>
      </c>
      <c r="BR63" s="752">
        <f t="shared" si="81"/>
        <v>4.9266375360296877</v>
      </c>
      <c r="BS63" s="752">
        <f t="shared" si="81"/>
        <v>4.9280204038851236</v>
      </c>
      <c r="BT63" s="1117">
        <f t="shared" si="81"/>
        <v>4.9971181459117586</v>
      </c>
      <c r="BU63" s="752">
        <f t="shared" si="81"/>
        <v>5.0256861317804375</v>
      </c>
      <c r="BV63" s="752">
        <f t="shared" si="81"/>
        <v>4.9560615595857884</v>
      </c>
      <c r="BW63" s="752">
        <f t="shared" si="81"/>
        <v>4.9240098846545868</v>
      </c>
      <c r="BX63" s="752">
        <f t="shared" si="81"/>
        <v>4.8967938099233415</v>
      </c>
      <c r="BY63" s="1117">
        <f t="shared" si="81"/>
        <v>4.9519735045796089</v>
      </c>
      <c r="BZ63" s="752">
        <f t="shared" si="81"/>
        <v>5.0645227548149014</v>
      </c>
      <c r="CA63" s="752">
        <f t="shared" si="81"/>
        <v>4.9225200211967186</v>
      </c>
      <c r="CB63" s="752">
        <f t="shared" si="81"/>
        <v>4.8623463173618289</v>
      </c>
      <c r="CC63" s="752">
        <f t="shared" si="81"/>
        <v>4.8718914444959109</v>
      </c>
      <c r="CD63" s="1117">
        <f t="shared" si="81"/>
        <v>4.9339858891564843</v>
      </c>
      <c r="CE63" s="752">
        <f t="shared" si="81"/>
        <v>4.9694880306508926</v>
      </c>
      <c r="CF63" s="752">
        <f t="shared" si="81"/>
        <v>4.8325045277342911</v>
      </c>
      <c r="CG63" s="752">
        <f t="shared" ref="CG63:DC63" si="82">CG55/CG86</f>
        <v>4.778416680741298</v>
      </c>
      <c r="CH63" s="752">
        <f t="shared" si="82"/>
        <v>4.8478990364958996</v>
      </c>
      <c r="CI63" s="1117">
        <f t="shared" si="82"/>
        <v>4.8584739346026193</v>
      </c>
      <c r="CJ63" s="752">
        <f t="shared" si="82"/>
        <v>4.9242603639544793</v>
      </c>
      <c r="CK63" s="752">
        <f t="shared" si="82"/>
        <v>4.809081729301532</v>
      </c>
      <c r="CL63" s="752">
        <f t="shared" si="82"/>
        <v>4.7499701540053323</v>
      </c>
      <c r="CM63" s="752">
        <f t="shared" si="82"/>
        <v>4.795277884971294</v>
      </c>
      <c r="CN63" s="1117">
        <f t="shared" si="82"/>
        <v>4.8209590386999679</v>
      </c>
      <c r="CO63" s="752">
        <f t="shared" si="82"/>
        <v>4.8347345115911047</v>
      </c>
      <c r="CP63" s="752">
        <f t="shared" si="82"/>
        <v>4.7454137206191476</v>
      </c>
      <c r="CQ63" s="752">
        <f t="shared" si="82"/>
        <v>4.7182961628592839</v>
      </c>
      <c r="CR63" s="752">
        <f t="shared" si="82"/>
        <v>4.7057209187296065</v>
      </c>
      <c r="CS63" s="1117">
        <f t="shared" si="82"/>
        <v>4.7520351138364108</v>
      </c>
      <c r="CT63" s="752">
        <f t="shared" si="82"/>
        <v>4.7066011128897021</v>
      </c>
      <c r="CU63" s="752">
        <f t="shared" si="82"/>
        <v>4.7183624216852067</v>
      </c>
      <c r="CV63" s="752">
        <f t="shared" si="82"/>
        <v>4.6496248067975241</v>
      </c>
      <c r="CW63" s="752">
        <f t="shared" si="82"/>
        <v>4.6326602282704128</v>
      </c>
      <c r="CX63" s="1117">
        <f t="shared" si="82"/>
        <v>4.6771691165582396</v>
      </c>
      <c r="CY63" s="752">
        <f t="shared" si="82"/>
        <v>4.7906756982108964</v>
      </c>
      <c r="CZ63" s="752">
        <f t="shared" si="82"/>
        <v>4.6999718361193485</v>
      </c>
      <c r="DA63" s="752">
        <f t="shared" si="82"/>
        <v>4.6873216033692797</v>
      </c>
      <c r="DB63" s="752">
        <f t="shared" si="82"/>
        <v>4.6231457276936156</v>
      </c>
      <c r="DC63" s="1117">
        <f t="shared" si="82"/>
        <v>4.6914677319473226</v>
      </c>
      <c r="DD63" s="752">
        <f t="shared" ref="DD63:DI63" si="83">DD55/DD86</f>
        <v>4.7827747551126505</v>
      </c>
      <c r="DE63" s="752">
        <f t="shared" si="83"/>
        <v>4.6603387775442995</v>
      </c>
      <c r="DF63" s="752">
        <f t="shared" si="83"/>
        <v>4.608121492241664</v>
      </c>
      <c r="DG63" s="752">
        <f t="shared" si="83"/>
        <v>4.6348566994667308</v>
      </c>
      <c r="DH63" s="1117">
        <f t="shared" si="83"/>
        <v>4.6706919542699685</v>
      </c>
      <c r="DI63" s="752">
        <f t="shared" si="83"/>
        <v>4.6843850950161521</v>
      </c>
      <c r="DJ63" s="752">
        <f>DJ55/DJ86</f>
        <v>4.6052657646056616</v>
      </c>
      <c r="DK63" s="752">
        <f>DK55/DK86</f>
        <v>4.5968395502055781</v>
      </c>
      <c r="DL63" s="752">
        <f>DL55/DL86</f>
        <v>4.6410272134194379</v>
      </c>
      <c r="DM63" s="1117">
        <f>DM55/DM86</f>
        <v>4.6324022997153262</v>
      </c>
      <c r="DN63" s="752">
        <f>DN55/DN86</f>
        <v>4.7710990136875058</v>
      </c>
      <c r="DO63" s="752">
        <f t="shared" ref="DO63:DT63" si="84">DO55/DO86</f>
        <v>4.6277578933253567</v>
      </c>
      <c r="DP63" s="752">
        <f t="shared" si="84"/>
        <v>4.601799919729137</v>
      </c>
      <c r="DQ63" s="752">
        <f>DQ55/DQ86</f>
        <v>4.6234272596186381</v>
      </c>
      <c r="DR63" s="1117">
        <f t="shared" si="84"/>
        <v>4.6586651349508923</v>
      </c>
      <c r="DS63" s="752">
        <f t="shared" si="84"/>
        <v>4.6946916638631473</v>
      </c>
      <c r="DT63" s="752">
        <f t="shared" si="84"/>
        <v>4.601267726800125</v>
      </c>
      <c r="DU63" s="752">
        <f>DU55/DU86</f>
        <v>4.6063362092652635</v>
      </c>
      <c r="DV63" s="752">
        <f>DV55/DV86</f>
        <v>4.6150521698210163</v>
      </c>
      <c r="DW63" s="1117">
        <f>DW55/DW86</f>
        <v>4.6302361987077774</v>
      </c>
      <c r="DX63" s="1259">
        <f>DS63+0.02</f>
        <v>4.7146916638631469</v>
      </c>
      <c r="DY63" s="1259">
        <f>DT63+0.02</f>
        <v>4.6212677268001245</v>
      </c>
      <c r="DZ63" s="1259">
        <f>DU63+0.02</f>
        <v>4.6263362092652631</v>
      </c>
      <c r="EA63" s="1259">
        <f>DV63+0.02</f>
        <v>4.6350521698210159</v>
      </c>
      <c r="EB63" s="1117">
        <f>EB55/EB86</f>
        <v>4.6502075987279943</v>
      </c>
      <c r="EC63" s="1259">
        <f>DX63+0.05</f>
        <v>4.7646916638631467</v>
      </c>
      <c r="ED63" s="1259">
        <f>DY63+0.05</f>
        <v>4.6712677268001244</v>
      </c>
      <c r="EE63" s="1259">
        <f>DZ63+0.05</f>
        <v>4.6763362092652629</v>
      </c>
      <c r="EF63" s="1259">
        <f>EA63+0.05</f>
        <v>4.6850521698210157</v>
      </c>
      <c r="EG63" s="1117">
        <f>EG55/EG86</f>
        <v>4.6991192418694592</v>
      </c>
      <c r="EH63" s="1259">
        <f>EC63+0.05</f>
        <v>4.8146916638631465</v>
      </c>
      <c r="EI63" s="1259">
        <f>ED63+0.05</f>
        <v>4.7212677268001242</v>
      </c>
      <c r="EJ63" s="1259">
        <f>EE63+0.05</f>
        <v>4.7263362092652628</v>
      </c>
      <c r="EK63" s="1259">
        <f>EF63+0.05</f>
        <v>4.7350521698210155</v>
      </c>
      <c r="EL63" s="1117">
        <f>EL55/EL86</f>
        <v>4.7491914688404933</v>
      </c>
    </row>
    <row r="64" spans="1:142" s="680" customFormat="1" ht="11.25" customHeight="1">
      <c r="A64" s="1254"/>
      <c r="B64" s="1254" t="s">
        <v>133</v>
      </c>
      <c r="C64" s="849"/>
      <c r="D64" s="849"/>
      <c r="E64" s="849"/>
      <c r="F64" s="849"/>
      <c r="G64" s="849"/>
      <c r="H64" s="851"/>
      <c r="I64" s="850">
        <f t="shared" ref="I64:AT64" si="85">I63/D63-1</f>
        <v>1.3434539043553517E-2</v>
      </c>
      <c r="J64" s="850">
        <f t="shared" si="85"/>
        <v>2.8499167128399616E-3</v>
      </c>
      <c r="K64" s="850">
        <f t="shared" si="85"/>
        <v>6.72783333435234E-3</v>
      </c>
      <c r="L64" s="850">
        <f t="shared" si="85"/>
        <v>-3.7672622645802178E-2</v>
      </c>
      <c r="M64" s="851">
        <f t="shared" si="85"/>
        <v>-1.2645719137080569E-2</v>
      </c>
      <c r="N64" s="850">
        <f t="shared" si="85"/>
        <v>-2.015768954997732E-2</v>
      </c>
      <c r="O64" s="850">
        <f t="shared" si="85"/>
        <v>-9.7800028488503887E-3</v>
      </c>
      <c r="P64" s="850">
        <f t="shared" si="85"/>
        <v>-6.5115805847029695E-2</v>
      </c>
      <c r="Q64" s="850">
        <f t="shared" si="85"/>
        <v>-9.8982705873950305E-2</v>
      </c>
      <c r="R64" s="851">
        <f t="shared" si="85"/>
        <v>-6.2597684804805431E-2</v>
      </c>
      <c r="S64" s="850">
        <f t="shared" si="85"/>
        <v>-5.73755946774408E-2</v>
      </c>
      <c r="T64" s="850">
        <f t="shared" si="85"/>
        <v>-5.1896159102955863E-2</v>
      </c>
      <c r="U64" s="850">
        <f t="shared" si="85"/>
        <v>1.3383431331337015E-2</v>
      </c>
      <c r="V64" s="850">
        <f t="shared" si="85"/>
        <v>4.3107005789633668E-2</v>
      </c>
      <c r="W64" s="851">
        <f t="shared" si="85"/>
        <v>4.1917599111274129E-4</v>
      </c>
      <c r="X64" s="850">
        <f t="shared" si="85"/>
        <v>-9.6575430744842983E-3</v>
      </c>
      <c r="Y64" s="850">
        <f t="shared" si="85"/>
        <v>-4.9491240407522064E-3</v>
      </c>
      <c r="Z64" s="850">
        <f t="shared" si="85"/>
        <v>-1.5695112591972427E-2</v>
      </c>
      <c r="AA64" s="850">
        <f t="shared" si="85"/>
        <v>1.3172291040030704E-2</v>
      </c>
      <c r="AB64" s="851">
        <f t="shared" si="85"/>
        <v>-3.9451793710850724E-3</v>
      </c>
      <c r="AC64" s="850">
        <f t="shared" si="85"/>
        <v>6.1317034030754503E-3</v>
      </c>
      <c r="AD64" s="850">
        <f t="shared" si="85"/>
        <v>1.4229674660402258E-2</v>
      </c>
      <c r="AE64" s="850">
        <f t="shared" si="85"/>
        <v>1.3412454353440184E-2</v>
      </c>
      <c r="AF64" s="850">
        <f t="shared" si="85"/>
        <v>-5.9459209679256775E-3</v>
      </c>
      <c r="AG64" s="851">
        <f t="shared" si="85"/>
        <v>5.8685187635034719E-3</v>
      </c>
      <c r="AH64" s="850">
        <f t="shared" si="85"/>
        <v>1.2542722690530583E-2</v>
      </c>
      <c r="AI64" s="850">
        <f t="shared" si="85"/>
        <v>-7.5840577429409084E-4</v>
      </c>
      <c r="AJ64" s="850">
        <f t="shared" si="85"/>
        <v>-1.2944128093472784E-3</v>
      </c>
      <c r="AK64" s="850">
        <f t="shared" si="85"/>
        <v>1.2834128371238762E-2</v>
      </c>
      <c r="AL64" s="851">
        <f t="shared" si="85"/>
        <v>6.122363271757969E-3</v>
      </c>
      <c r="AM64" s="850">
        <f t="shared" si="85"/>
        <v>1.7800854200930027E-2</v>
      </c>
      <c r="AN64" s="850">
        <f t="shared" si="85"/>
        <v>1.4636670555569387E-2</v>
      </c>
      <c r="AO64" s="850">
        <f t="shared" si="85"/>
        <v>9.0523990858766279E-3</v>
      </c>
      <c r="AP64" s="850">
        <f t="shared" si="85"/>
        <v>1.6579661225599285E-2</v>
      </c>
      <c r="AQ64" s="851">
        <f t="shared" si="85"/>
        <v>1.4522314197612074E-2</v>
      </c>
      <c r="AR64" s="850">
        <f t="shared" si="85"/>
        <v>1.1865359594652292E-2</v>
      </c>
      <c r="AS64" s="850">
        <f t="shared" si="85"/>
        <v>5.6491476912003957E-3</v>
      </c>
      <c r="AT64" s="850">
        <f t="shared" si="85"/>
        <v>-9.2180507912135168E-3</v>
      </c>
      <c r="AU64" s="802"/>
      <c r="AV64" s="1255"/>
      <c r="AW64" s="1255"/>
      <c r="AX64" s="1255"/>
      <c r="AY64" s="1255"/>
      <c r="AZ64" s="885"/>
      <c r="BA64" s="1010" t="str">
        <f>IF(ISERROR(BA63/AV63-1),"nm",BA63/AV63-1)</f>
        <v>nm</v>
      </c>
      <c r="BB64" s="1010" t="str">
        <f>IF(ISERROR(BB63/AW63-1),"nm",BB63/AW63-1)</f>
        <v>nm</v>
      </c>
      <c r="BC64" s="1010" t="str">
        <f>IF(ISERROR(BC63/AX63-1),"nm",BC63/AX63-1)</f>
        <v>nm</v>
      </c>
      <c r="BD64" s="1010" t="str">
        <f>IF(ISERROR(BD63/AY63-1),"nm",BD63/AY63-1)</f>
        <v>nm</v>
      </c>
      <c r="BE64" s="1011" t="str">
        <f>IF(ISERROR(BE63/AZ63-1),"nm",BE63/AZ63-1)</f>
        <v>nm</v>
      </c>
      <c r="BF64" s="850">
        <f>BF63/BA63-1</f>
        <v>-2.1161286162305504E-2</v>
      </c>
      <c r="BG64" s="850">
        <f>BG63/BB63-1</f>
        <v>-3.1428003597302911E-2</v>
      </c>
      <c r="BH64" s="850">
        <f>BH63/BC63-1</f>
        <v>-1.2483058316055229E-2</v>
      </c>
      <c r="BI64" s="850">
        <f>BI63/BD63-1</f>
        <v>-1.7927010589706027E-2</v>
      </c>
      <c r="BJ64" s="851">
        <f>BJ63/BE63-1</f>
        <v>-2.0604061475546609E-2</v>
      </c>
      <c r="BK64" s="850">
        <f>IF(ISERROR(BK63/BF63-1),"NM",BK63/BF63-1)</f>
        <v>-9.6849990671110664E-3</v>
      </c>
      <c r="BL64" s="850">
        <f>IF(ISERROR(BL63/BG63-1),"NM",BL63/BG63-1)</f>
        <v>-4.3060259657186073E-3</v>
      </c>
      <c r="BM64" s="850">
        <f>IF(ISERROR(BM63/BH63-1),"NM",BM63/BH63-1)</f>
        <v>-8.3195915456780734E-3</v>
      </c>
      <c r="BN64" s="850">
        <f>IF(ISERROR(BN63/BI63-1),"NM",BN63/BI63-1)</f>
        <v>-1.0247858441796098E-2</v>
      </c>
      <c r="BO64" s="851">
        <f>IF(ISERROR(BO63/BJ63-1),"NM",BO63/BJ63-1)</f>
        <v>-8.1186752188764366E-3</v>
      </c>
      <c r="BP64" s="850">
        <f t="shared" ref="BP64:CU64" si="86">BP63/BK63-1</f>
        <v>-1.7902701723349401E-2</v>
      </c>
      <c r="BQ64" s="850">
        <f t="shared" si="86"/>
        <v>-3.2492041442757413E-2</v>
      </c>
      <c r="BR64" s="850">
        <f t="shared" si="86"/>
        <v>-3.3639965551428785E-2</v>
      </c>
      <c r="BS64" s="850">
        <f t="shared" si="86"/>
        <v>-3.8862628642061803E-2</v>
      </c>
      <c r="BT64" s="851">
        <f t="shared" si="86"/>
        <v>-2.9841877153861995E-2</v>
      </c>
      <c r="BU64" s="850">
        <f t="shared" si="86"/>
        <v>-2.2457586115692596E-2</v>
      </c>
      <c r="BV64" s="850">
        <f t="shared" si="86"/>
        <v>-2.4511429847753341E-3</v>
      </c>
      <c r="BW64" s="850">
        <f t="shared" si="86"/>
        <v>-5.3335593615000398E-4</v>
      </c>
      <c r="BX64" s="850">
        <f t="shared" si="86"/>
        <v>-6.3365390973552094E-3</v>
      </c>
      <c r="BY64" s="851">
        <f t="shared" si="86"/>
        <v>-9.0341352783670503E-3</v>
      </c>
      <c r="BZ64" s="850">
        <f t="shared" si="86"/>
        <v>7.7276260427161514E-3</v>
      </c>
      <c r="CA64" s="850">
        <f t="shared" si="86"/>
        <v>-6.7677808247146309E-3</v>
      </c>
      <c r="CB64" s="850">
        <f t="shared" si="86"/>
        <v>-1.2523038892535365E-2</v>
      </c>
      <c r="CC64" s="850">
        <f t="shared" si="86"/>
        <v>-5.0854429232788378E-3</v>
      </c>
      <c r="CD64" s="851">
        <f t="shared" si="86"/>
        <v>-3.6324135027155924E-3</v>
      </c>
      <c r="CE64" s="850">
        <f t="shared" si="86"/>
        <v>-1.8764793597512819E-2</v>
      </c>
      <c r="CF64" s="850">
        <f t="shared" si="86"/>
        <v>-1.8286465687252562E-2</v>
      </c>
      <c r="CG64" s="850">
        <f t="shared" si="86"/>
        <v>-1.7261139199576503E-2</v>
      </c>
      <c r="CH64" s="850">
        <f t="shared" si="86"/>
        <v>-4.9246598109481399E-3</v>
      </c>
      <c r="CI64" s="851">
        <f t="shared" si="86"/>
        <v>-1.5304452880544162E-2</v>
      </c>
      <c r="CJ64" s="850">
        <f t="shared" si="86"/>
        <v>-9.1010716632090594E-3</v>
      </c>
      <c r="CK64" s="850">
        <f t="shared" si="86"/>
        <v>-4.8469273641302824E-3</v>
      </c>
      <c r="CL64" s="850">
        <f t="shared" si="86"/>
        <v>-5.9531281251832269E-3</v>
      </c>
      <c r="CM64" s="850">
        <f t="shared" si="86"/>
        <v>-1.0854423973862382E-2</v>
      </c>
      <c r="CN64" s="851">
        <f t="shared" si="86"/>
        <v>-7.7215389868546813E-3</v>
      </c>
      <c r="CO64" s="850">
        <f t="shared" si="86"/>
        <v>-1.8180568399409291E-2</v>
      </c>
      <c r="CP64" s="850">
        <f t="shared" si="86"/>
        <v>-1.3239119704383073E-2</v>
      </c>
      <c r="CQ64" s="850">
        <f t="shared" si="86"/>
        <v>-6.6682505613935295E-3</v>
      </c>
      <c r="CR64" s="850">
        <f t="shared" si="86"/>
        <v>-1.8676074336038906E-2</v>
      </c>
      <c r="CS64" s="851">
        <f t="shared" si="86"/>
        <v>-1.4296724844636621E-2</v>
      </c>
      <c r="CT64" s="850">
        <f t="shared" si="86"/>
        <v>-2.6502675254288954E-2</v>
      </c>
      <c r="CU64" s="850">
        <f t="shared" si="86"/>
        <v>-5.700514333745299E-3</v>
      </c>
      <c r="CV64" s="850">
        <f t="shared" ref="CV64:DS64" si="87">CV63/CQ63-1</f>
        <v>-1.4554269950732612E-2</v>
      </c>
      <c r="CW64" s="850">
        <f t="shared" si="87"/>
        <v>-1.5525929336012934E-2</v>
      </c>
      <c r="CX64" s="851">
        <f t="shared" si="87"/>
        <v>-1.5754512642422447E-2</v>
      </c>
      <c r="CY64" s="850">
        <f t="shared" si="87"/>
        <v>1.7863121030363915E-2</v>
      </c>
      <c r="CZ64" s="850">
        <f t="shared" si="87"/>
        <v>-3.8976627741303949E-3</v>
      </c>
      <c r="DA64" s="850">
        <f t="shared" si="87"/>
        <v>8.1074921392894073E-3</v>
      </c>
      <c r="DB64" s="850">
        <f t="shared" si="87"/>
        <v>-2.0537876960489143E-3</v>
      </c>
      <c r="DC64" s="851">
        <f t="shared" si="87"/>
        <v>3.0571089119832973E-3</v>
      </c>
      <c r="DD64" s="850">
        <f t="shared" si="87"/>
        <v>-1.6492335520011947E-3</v>
      </c>
      <c r="DE64" s="850">
        <f t="shared" si="87"/>
        <v>-8.432616185158448E-3</v>
      </c>
      <c r="DF64" s="850">
        <f t="shared" si="87"/>
        <v>-1.6896666759687706E-2</v>
      </c>
      <c r="DG64" s="850">
        <f t="shared" si="87"/>
        <v>2.533117591981604E-3</v>
      </c>
      <c r="DH64" s="851">
        <f t="shared" si="87"/>
        <v>-4.4284174728258519E-3</v>
      </c>
      <c r="DI64" s="850">
        <f t="shared" si="87"/>
        <v>-2.0571669195025843E-2</v>
      </c>
      <c r="DJ64" s="850">
        <f t="shared" si="87"/>
        <v>-1.181738400736132E-2</v>
      </c>
      <c r="DK64" s="850">
        <f t="shared" si="87"/>
        <v>-2.4482735655039223E-3</v>
      </c>
      <c r="DL64" s="850">
        <f t="shared" si="87"/>
        <v>1.3313278819206964E-3</v>
      </c>
      <c r="DM64" s="851">
        <f t="shared" si="87"/>
        <v>-8.1978548209837854E-3</v>
      </c>
      <c r="DN64" s="850">
        <f t="shared" si="87"/>
        <v>1.8511270297485005E-2</v>
      </c>
      <c r="DO64" s="850">
        <f t="shared" si="87"/>
        <v>4.8840023289342671E-3</v>
      </c>
      <c r="DP64" s="850">
        <f t="shared" si="87"/>
        <v>1.0790825891100475E-3</v>
      </c>
      <c r="DQ64" s="850">
        <f t="shared" si="87"/>
        <v>-3.7922539540190536E-3</v>
      </c>
      <c r="DR64" s="851">
        <f t="shared" si="87"/>
        <v>5.6693770394640186E-3</v>
      </c>
      <c r="DS64" s="850">
        <f t="shared" si="87"/>
        <v>-1.6014622544021417E-2</v>
      </c>
      <c r="DT64" s="850">
        <f t="shared" ref="DT64:EG64" si="88">DT63/DO63-1</f>
        <v>-5.7241902311784276E-3</v>
      </c>
      <c r="DU64" s="850">
        <f t="shared" si="88"/>
        <v>9.8576418254925358E-4</v>
      </c>
      <c r="DV64" s="850">
        <f t="shared" si="88"/>
        <v>-1.8114462123737241E-3</v>
      </c>
      <c r="DW64" s="851">
        <f t="shared" si="88"/>
        <v>-6.1023781318454429E-3</v>
      </c>
      <c r="DX64" s="850">
        <f t="shared" si="88"/>
        <v>4.2601306820524432E-3</v>
      </c>
      <c r="DY64" s="850">
        <f t="shared" si="88"/>
        <v>4.346628187599233E-3</v>
      </c>
      <c r="DZ64" s="850">
        <f t="shared" si="88"/>
        <v>4.3418454692409902E-3</v>
      </c>
      <c r="EA64" s="850">
        <f t="shared" si="88"/>
        <v>4.3336454852633821E-3</v>
      </c>
      <c r="EB64" s="851">
        <f t="shared" si="88"/>
        <v>4.3132572860518081E-3</v>
      </c>
      <c r="EC64" s="850">
        <f t="shared" si="88"/>
        <v>1.0605147391341996E-2</v>
      </c>
      <c r="ED64" s="850">
        <f t="shared" si="88"/>
        <v>1.081954194301149E-2</v>
      </c>
      <c r="EE64" s="850">
        <f t="shared" si="88"/>
        <v>1.08076883603625E-2</v>
      </c>
      <c r="EF64" s="850">
        <f t="shared" si="88"/>
        <v>1.0787365097107537E-2</v>
      </c>
      <c r="EG64" s="851">
        <f t="shared" si="88"/>
        <v>1.0518163351426413E-2</v>
      </c>
      <c r="EH64" s="850">
        <f t="shared" ref="EH64" si="89">EH63/EC63-1</f>
        <v>1.0493858475505213E-2</v>
      </c>
      <c r="EI64" s="850">
        <f t="shared" ref="EI64" si="90">EI63/ED63-1</f>
        <v>1.0703732460706217E-2</v>
      </c>
      <c r="EJ64" s="850">
        <f t="shared" ref="EJ64" si="91">EJ63/EE63-1</f>
        <v>1.0692131139103056E-2</v>
      </c>
      <c r="EK64" s="850">
        <f t="shared" ref="EK64" si="92">EK63/EF63-1</f>
        <v>1.0672239750514789E-2</v>
      </c>
      <c r="EL64" s="851">
        <f t="shared" ref="EL64" si="93">EL63/EG63-1</f>
        <v>1.0655662134488431E-2</v>
      </c>
    </row>
    <row r="65" spans="1:142" s="680" customFormat="1" ht="3.75" customHeight="1">
      <c r="A65" s="1256"/>
      <c r="B65" s="1256"/>
      <c r="C65" s="901"/>
      <c r="D65" s="901"/>
      <c r="E65" s="901"/>
      <c r="F65" s="901"/>
      <c r="G65" s="557"/>
      <c r="H65" s="902"/>
      <c r="I65" s="901"/>
      <c r="J65" s="901"/>
      <c r="K65" s="901"/>
      <c r="L65" s="557"/>
      <c r="M65" s="902"/>
      <c r="N65" s="901"/>
      <c r="O65" s="901"/>
      <c r="P65" s="901"/>
      <c r="Q65" s="557"/>
      <c r="R65" s="902"/>
      <c r="S65" s="901"/>
      <c r="T65" s="901"/>
      <c r="U65" s="901"/>
      <c r="V65" s="557"/>
      <c r="W65" s="902"/>
      <c r="X65" s="901"/>
      <c r="Y65" s="901"/>
      <c r="Z65" s="901"/>
      <c r="AA65" s="557"/>
      <c r="AB65" s="902"/>
      <c r="AC65" s="901"/>
      <c r="AD65" s="901"/>
      <c r="AE65" s="901"/>
      <c r="AF65" s="557"/>
      <c r="AG65" s="902"/>
      <c r="AH65" s="901"/>
      <c r="AI65" s="901"/>
      <c r="AJ65" s="901"/>
      <c r="AK65" s="557"/>
      <c r="AL65" s="902"/>
      <c r="AM65" s="901"/>
      <c r="AN65" s="901"/>
      <c r="AO65" s="901"/>
      <c r="AP65" s="557"/>
      <c r="AQ65" s="902"/>
      <c r="AR65" s="901"/>
      <c r="AS65" s="901"/>
      <c r="AT65" s="901"/>
      <c r="AU65" s="802"/>
      <c r="AV65" s="1218"/>
      <c r="AW65" s="1257"/>
      <c r="AX65" s="1257"/>
      <c r="AY65" s="1257"/>
      <c r="AZ65" s="902"/>
      <c r="BA65" s="901"/>
      <c r="BB65" s="901"/>
      <c r="BC65" s="901"/>
      <c r="BD65" s="901"/>
      <c r="BE65" s="902"/>
      <c r="BF65" s="901"/>
      <c r="BG65" s="901"/>
      <c r="BH65" s="901"/>
      <c r="BI65" s="901"/>
      <c r="BJ65" s="902"/>
      <c r="BK65" s="930"/>
      <c r="BL65" s="930"/>
      <c r="BM65" s="930"/>
      <c r="BN65" s="930"/>
      <c r="BO65" s="844"/>
      <c r="BP65" s="930"/>
      <c r="BQ65" s="930"/>
      <c r="BR65" s="930"/>
      <c r="BS65" s="930"/>
      <c r="BT65" s="844"/>
      <c r="BU65" s="930"/>
      <c r="BV65" s="930"/>
      <c r="BW65" s="930"/>
      <c r="BX65" s="930"/>
      <c r="BY65" s="844"/>
      <c r="BZ65" s="930"/>
      <c r="CA65" s="930"/>
      <c r="CB65" s="930"/>
      <c r="CC65" s="930"/>
      <c r="CD65" s="844"/>
      <c r="CE65" s="930"/>
      <c r="CF65" s="930"/>
      <c r="CG65" s="930"/>
      <c r="CH65" s="930"/>
      <c r="CI65" s="844"/>
      <c r="CJ65" s="930"/>
      <c r="CK65" s="930"/>
      <c r="CL65" s="930"/>
      <c r="CM65" s="930"/>
      <c r="CN65" s="844"/>
      <c r="CO65" s="930"/>
      <c r="CP65" s="930"/>
      <c r="CQ65" s="930"/>
      <c r="CR65" s="930"/>
      <c r="CS65" s="844"/>
      <c r="CT65" s="930"/>
      <c r="CU65" s="930"/>
      <c r="CV65" s="930"/>
      <c r="CW65" s="930"/>
      <c r="CX65" s="844"/>
      <c r="CY65" s="930"/>
      <c r="CZ65" s="930"/>
      <c r="DA65" s="930"/>
      <c r="DB65" s="930"/>
      <c r="DC65" s="844"/>
      <c r="DD65" s="930"/>
      <c r="DE65" s="930"/>
      <c r="DF65" s="930"/>
      <c r="DG65" s="930"/>
      <c r="DH65" s="844"/>
      <c r="DI65" s="930"/>
      <c r="DJ65" s="930"/>
      <c r="DK65" s="930"/>
      <c r="DL65" s="930"/>
      <c r="DM65" s="844"/>
      <c r="DN65" s="930"/>
      <c r="DO65" s="930"/>
      <c r="DP65" s="930"/>
      <c r="DQ65" s="930"/>
      <c r="DR65" s="844"/>
      <c r="DS65" s="930"/>
      <c r="DT65" s="930"/>
      <c r="DU65" s="930"/>
      <c r="DV65" s="930"/>
      <c r="DW65" s="844"/>
      <c r="DX65" s="930"/>
      <c r="DY65" s="930"/>
      <c r="DZ65" s="930"/>
      <c r="EA65" s="930"/>
      <c r="EB65" s="844"/>
      <c r="EC65" s="930"/>
      <c r="ED65" s="930"/>
      <c r="EE65" s="930"/>
      <c r="EF65" s="930"/>
      <c r="EG65" s="844"/>
      <c r="EH65" s="930"/>
      <c r="EI65" s="930"/>
      <c r="EJ65" s="930"/>
      <c r="EK65" s="930"/>
      <c r="EL65" s="844"/>
    </row>
    <row r="66" spans="1:142" s="680" customFormat="1" ht="11.25" customHeight="1">
      <c r="A66" s="1250"/>
      <c r="B66" s="1250" t="s">
        <v>137</v>
      </c>
      <c r="C66" s="706"/>
      <c r="D66" s="706" t="str">
        <f>IF(ISERROR(D55/D49/IS!D6),"nm",D55/D49/IS!D6)</f>
        <v>nm</v>
      </c>
      <c r="E66" s="706">
        <f>IF(ISERROR(E55/E49/IS!E6),"NM",E55/E49/IS!E6)</f>
        <v>0.44231681939323136</v>
      </c>
      <c r="F66" s="706">
        <f>IF(ISERROR(F55/F49/IS!F6),"NM",F55/F49/IS!F6)</f>
        <v>0.48649415160516202</v>
      </c>
      <c r="G66" s="706">
        <f>IF(ISERROR(G55/G49/IS!G6),"NM",G55/G49/IS!G6)</f>
        <v>0.66705762306329974</v>
      </c>
      <c r="H66" s="974" t="str">
        <f>IF(ISERROR(H55/H49/IS!H6),"nm",H55/H49/IS!H6)</f>
        <v>nm</v>
      </c>
      <c r="I66" s="706">
        <f>IF(ISERROR(I55/I49/IS!I6),"NM",I55/I49/IS!I6)</f>
        <v>0.42289000950643046</v>
      </c>
      <c r="J66" s="706">
        <f>IF(ISERROR(J55/J49/IS!J6),"NM",J55/J49/IS!J6)</f>
        <v>0.43982720672492748</v>
      </c>
      <c r="K66" s="706">
        <f>IF(ISERROR(K55/K49/IS!K6),"NM",K55/K49/IS!K6)</f>
        <v>0.48418807222997012</v>
      </c>
      <c r="L66" s="706">
        <f>IF(ISERROR(L55/L49/IS!L6),"NM",L55/L49/IS!L6)</f>
        <v>0.44588198331634193</v>
      </c>
      <c r="M66" s="78">
        <f>M55/M49/IS!M6</f>
        <v>0.45040334940854254</v>
      </c>
      <c r="N66" s="706">
        <f>IF(ISERROR(N55/N49/IS!N6),"NM",N55/N49/IS!N6)</f>
        <v>0.42901896827352715</v>
      </c>
      <c r="O66" s="706">
        <f>IF(ISERROR(O55/O49/IS!O6),"NM",O55/O49/IS!O6)</f>
        <v>0.4331828171828172</v>
      </c>
      <c r="P66" s="706">
        <f>IF(ISERROR(P55/P49/IS!P6),"NM",P55/P49/IS!P6)</f>
        <v>0.55635676830935155</v>
      </c>
      <c r="Q66" s="706">
        <f>IF(ISERROR(Q55/Q49/IS!Q6),"NM",Q55/Q49/IS!Q6)</f>
        <v>0.643555276135091</v>
      </c>
      <c r="R66" s="78">
        <f>R55/R49/IS!R6</f>
        <v>0.52799200177005778</v>
      </c>
      <c r="S66" s="706">
        <f>IF(ISERROR(S55/S49/IS!S6),"NM",S55/S49/IS!S6)</f>
        <v>0.40463525077708279</v>
      </c>
      <c r="T66" s="706">
        <f>IF(ISERROR(T55/T49/IS!T6),"NM",T55/T49/IS!T6)</f>
        <v>0.42106560825858458</v>
      </c>
      <c r="U66" s="706">
        <f>IF(ISERROR(U55/U49/IS!U6),"NM",U55/U49/IS!U6)</f>
        <v>0.47861303593787669</v>
      </c>
      <c r="V66" s="706">
        <f>IF(ISERROR(V55/V49/IS!V6),"NM",V55/V49/IS!V6)</f>
        <v>0.4487724920843309</v>
      </c>
      <c r="W66" s="78">
        <f>W55/W49/IS!W6</f>
        <v>0.43971302160363851</v>
      </c>
      <c r="X66" s="706">
        <f>IF(ISERROR(X55/X49/IS!X6),"NM",X55/X49/IS!X6)</f>
        <v>0.43224153019127387</v>
      </c>
      <c r="Y66" s="706">
        <f>IF(ISERROR(Y55/Y49/IS!Y6),"NM",Y55/Y49/IS!Y6)</f>
        <v>0.4267478114341583</v>
      </c>
      <c r="Z66" s="706">
        <f>IF(ISERROR(Z55/Z49/IS!Z6),"NM",Z55/Z49/IS!Z6)</f>
        <v>0.47608832531222106</v>
      </c>
      <c r="AA66" s="706">
        <f>IF(ISERROR(AA55/AA49/IS!AA6),"NM",AA55/AA49/IS!AA6)</f>
        <v>0.47096930787650476</v>
      </c>
      <c r="AB66" s="78">
        <f>AB55/AB49/IS!AB6</f>
        <v>0.45284276840998394</v>
      </c>
      <c r="AC66" s="706">
        <f>IF(ISERROR(AC55/AC49/IS!AC6),"NM",AC55/AC49/IS!AC6)</f>
        <v>0.43705905615466423</v>
      </c>
      <c r="AD66" s="706">
        <f>IF(ISERROR(AD55/AD49/IS!AD6),"NM",AD55/AD49/IS!AD6)</f>
        <v>0.44620589500293384</v>
      </c>
      <c r="AE66" s="706">
        <f>IF(ISERROR(AE55/AE49/IS!AE6),"NM",AE55/AE49/IS!AE6)</f>
        <v>0.51468110491348551</v>
      </c>
      <c r="AF66" s="706">
        <f>IF(ISERROR(AF55/AF49/IS!AF6),"NM",AF55/AF49/IS!AF6)</f>
        <v>0.47705154813347789</v>
      </c>
      <c r="AG66" s="78">
        <f>AG55/AG49/IS!AG6</f>
        <v>0.46667452627559547</v>
      </c>
      <c r="AH66" s="706">
        <f>IF(ISERROR(AH55/AH49/IS!AH6),"NM",AH55/AH49/IS!AH6)</f>
        <v>0.47726594461006361</v>
      </c>
      <c r="AI66" s="706">
        <f>IF(ISERROR(AI55/AI49/IS!AI6),"NM",AI55/AI49/IS!AI6)</f>
        <v>0.48553540099312981</v>
      </c>
      <c r="AJ66" s="706">
        <f>IF(ISERROR(AJ55/AJ49/IS!AJ6),"NM",AJ55/AJ49/IS!AJ6)</f>
        <v>0.52292692774347982</v>
      </c>
      <c r="AK66" s="706">
        <f>IF(ISERROR(AK55/AK49/IS!AK6),"NM",AK55/AK49/IS!AK6)</f>
        <v>0.51800913389969716</v>
      </c>
      <c r="AL66" s="78">
        <f>AL55/AL49/IS!AL6</f>
        <v>0.5004940306739013</v>
      </c>
      <c r="AM66" s="706">
        <f>IF(ISERROR(AM55/AM49/IS!AM6),"NM",AM55/AM49/IS!AM6)</f>
        <v>0.50014193974383403</v>
      </c>
      <c r="AN66" s="706">
        <f>IF(ISERROR(AN55/AN49/IS!AN6),"NM",AN55/AN49/IS!AN6)</f>
        <v>0.4991178099564007</v>
      </c>
      <c r="AO66" s="706">
        <f>IF(ISERROR(AO55/AO49/IS!AO6),"NM",AO55/AO49/IS!AO6)</f>
        <v>0.53700470874288464</v>
      </c>
      <c r="AP66" s="706">
        <f>IF(ISERROR(AP55/AP49/IS!AP6),"NM",AP55/AP49/IS!AP6)</f>
        <v>0.53185997246215055</v>
      </c>
      <c r="AQ66" s="78">
        <f>AQ55/AQ49/IS!AQ6</f>
        <v>0.51822260931958264</v>
      </c>
      <c r="AR66" s="706">
        <f>IF(ISERROR(AR55/AR49/IS!AR6),"NM",AR55/AR49/IS!AR6)</f>
        <v>0.51425648507412991</v>
      </c>
      <c r="AS66" s="706">
        <f>IF(ISERROR(AS55/AS49/IS!AS6),"NM",AS55/AS49/IS!AS6)</f>
        <v>0.53057246607942721</v>
      </c>
      <c r="AT66" s="706">
        <f>IF(ISERROR(AT55/AT49/IS!AT6),"NM",AT55/AT49/IS!AT6)</f>
        <v>0.55466874388319654</v>
      </c>
      <c r="AU66" s="802"/>
      <c r="AV66" s="706" t="str">
        <f>IF(ISERROR(AV55/AV49/IS!AV6),"nm",AV55/AV49/IS!AV6)</f>
        <v>nm</v>
      </c>
      <c r="AW66" s="706" t="str">
        <f>IF(ISERROR(AW55/AW49/IS!AW6),"nm",AW55/AW49/IS!AW6)</f>
        <v>nm</v>
      </c>
      <c r="AX66" s="706" t="str">
        <f>IF(ISERROR(AX55/AX49/IS!AX6),"nm",AX55/AX49/IS!AX6)</f>
        <v>nm</v>
      </c>
      <c r="AY66" s="706" t="str">
        <f>IF(ISERROR(AY55/AY49/IS!AY6),"nm",AY55/AY49/IS!AY6)</f>
        <v>nm</v>
      </c>
      <c r="AZ66" s="78">
        <f>AZ55/AZ49/IS!AZ6</f>
        <v>0</v>
      </c>
      <c r="BA66" s="706" t="str">
        <f>IF(ISERROR(BA55/BA49/IS!BA6),"nm",BA55/BA49/IS!BA6)</f>
        <v>nm</v>
      </c>
      <c r="BB66" s="706" t="str">
        <f>IF(ISERROR(BB55/BB49/IS!BB6),"nm",BB55/BB49/IS!BB6)</f>
        <v>nm</v>
      </c>
      <c r="BC66" s="706" t="str">
        <f>IF(ISERROR(BC55/BC49/IS!BC6),"nm",BC55/BC49/IS!BC6)</f>
        <v>nm</v>
      </c>
      <c r="BD66" s="706" t="str">
        <f>IF(ISERROR(BD55/BD49/IS!BD6),"nm",BD55/BD49/IS!BD6)</f>
        <v>nm</v>
      </c>
      <c r="BE66" s="78">
        <f>BE55/BE49/IS!BE6</f>
        <v>0.54044565124698629</v>
      </c>
      <c r="BF66" s="706" t="str">
        <f>IF(ISERROR(BF55/BF49/IS!BF6),"nm",BF55/BF49/IS!BF6)</f>
        <v>nm</v>
      </c>
      <c r="BG66" s="700">
        <f>BG55/BG49/IS!BG6</f>
        <v>0.52907606149414488</v>
      </c>
      <c r="BH66" s="700">
        <f>BH55/BH49/IS!BH6</f>
        <v>0.52686114139439721</v>
      </c>
      <c r="BI66" s="700">
        <f>BI55/BI49/IS!BI6</f>
        <v>0.53264573304901563</v>
      </c>
      <c r="BJ66" s="78">
        <f>BJ55/BJ49/IS!BJ6</f>
        <v>0.50531435777337419</v>
      </c>
      <c r="BK66" s="700">
        <f>BK55/BK49/IS!BK6</f>
        <v>0.57911366510451534</v>
      </c>
      <c r="BL66" s="700">
        <f>BL55/BL49/IS!BL6</f>
        <v>0.53038740400703599</v>
      </c>
      <c r="BM66" s="700">
        <f>BM55/BM49/IS!BM6</f>
        <v>0.50796517162215127</v>
      </c>
      <c r="BN66" s="700">
        <f>BN55/BN49/IS!BN6</f>
        <v>0.49320423719313977</v>
      </c>
      <c r="BO66" s="78">
        <f>BO55/BO49/IS!BO6</f>
        <v>0.5274193906563841</v>
      </c>
      <c r="BP66" s="700">
        <f>BP55/BP49/IS!BP6</f>
        <v>0.53256898150741638</v>
      </c>
      <c r="BQ66" s="700">
        <f>BQ55/BQ49/IS!BQ6</f>
        <v>0.51801201651888484</v>
      </c>
      <c r="BR66" s="700">
        <f>BR55/BR49/IS!BR6</f>
        <v>0.50521001275269362</v>
      </c>
      <c r="BS66" s="700">
        <f>BS55/BS49/IS!BS6</f>
        <v>0.51306806773308344</v>
      </c>
      <c r="BT66" s="78">
        <f>BT55/BT49/IS!BT6</f>
        <v>0.54106333758556513</v>
      </c>
      <c r="BU66" s="700">
        <f>BU55/BU49/IS!BU6</f>
        <v>0.55407016057721603</v>
      </c>
      <c r="BV66" s="700">
        <f>BV55/BV49/IS!BV6</f>
        <v>0.50804272445366505</v>
      </c>
      <c r="BW66" s="700">
        <f>BW55/BW49/IS!BW6</f>
        <v>0.50725795973373378</v>
      </c>
      <c r="BX66" s="700">
        <f>BX55/BX49/IS!BX6</f>
        <v>0.51131959337223098</v>
      </c>
      <c r="BY66" s="78">
        <f>BY55/BY49/IS!BY6</f>
        <v>0.53217296533090974</v>
      </c>
      <c r="BZ66" s="700">
        <f>BZ55/BZ49/IS!BZ6</f>
        <v>0.56144980865246097</v>
      </c>
      <c r="CA66" s="700">
        <f>CA55/CA49/IS!CA6</f>
        <v>0.52408897054207637</v>
      </c>
      <c r="CB66" s="700">
        <f>CB55/CB49/IS!CB6</f>
        <v>0.50971563752698112</v>
      </c>
      <c r="CC66" s="700">
        <f>CC55/CC49/IS!CC6</f>
        <v>0.51478909176105092</v>
      </c>
      <c r="CD66" s="78">
        <f>CD55/CD49/IS!CD6</f>
        <v>0.54102728358035124</v>
      </c>
      <c r="CE66" s="700">
        <f>CE55/CE49/IS!CE6</f>
        <v>0.55633891590131457</v>
      </c>
      <c r="CF66" s="700">
        <f>CF55/CF49/IS!CF6</f>
        <v>0.51598941659339836</v>
      </c>
      <c r="CG66" s="700">
        <f>CG55/CG49/IS!CG6</f>
        <v>0.50417399728483625</v>
      </c>
      <c r="CH66" s="700">
        <f>CH55/CH49/IS!CH6</f>
        <v>0.50839891530864523</v>
      </c>
      <c r="CI66" s="78">
        <f>CI55/CI49/IS!CI6</f>
        <v>0.52271743091731515</v>
      </c>
      <c r="CJ66" s="700">
        <f>CJ55/CJ49/IS!CJ6</f>
        <v>0.54016992198810376</v>
      </c>
      <c r="CK66" s="700">
        <f>CK55/CK49/IS!CK6</f>
        <v>0.50251311769733809</v>
      </c>
      <c r="CL66" s="700">
        <f>CL55/CL49/IS!CL6</f>
        <v>0.48327983441788758</v>
      </c>
      <c r="CM66" s="700">
        <f>CM55/CM49/IS!CM6</f>
        <v>0.4928415790615378</v>
      </c>
      <c r="CN66" s="78">
        <f>CN55/CN49/IS!CN6</f>
        <v>0.50449657789247138</v>
      </c>
      <c r="CO66" s="700">
        <f>CO55/CO49/IS!CO6</f>
        <v>0.53804008229825495</v>
      </c>
      <c r="CP66" s="700">
        <f>CP55/CP49/IS!CP6</f>
        <v>0.49952686319096201</v>
      </c>
      <c r="CQ66" s="700">
        <f>CQ55/CQ49/IS!CQ6</f>
        <v>0.49093677638519362</v>
      </c>
      <c r="CR66" s="700">
        <f>CR55/CR49/IS!CR6</f>
        <v>0.48871036697521353</v>
      </c>
      <c r="CS66" s="78">
        <f>CS55/CS49/IS!CS6</f>
        <v>0.50412734555747629</v>
      </c>
      <c r="CT66" s="700">
        <f>CT55/CT49/IS!CT6</f>
        <v>0.51646093288656847</v>
      </c>
      <c r="CU66" s="700">
        <f>CU55/CU49/IS!CU6</f>
        <v>0.49243462972971175</v>
      </c>
      <c r="CV66" s="700">
        <f>CV55/CV49/IS!CV6</f>
        <v>0.47751243551952838</v>
      </c>
      <c r="CW66" s="700">
        <f>CW55/CW49/IS!CW6</f>
        <v>0.47737426308032427</v>
      </c>
      <c r="CX66" s="78">
        <f>CX55/CX49/IS!CX6</f>
        <v>0.49106613512728708</v>
      </c>
      <c r="CY66" s="700">
        <f>CY55/CY49/IS!CY6</f>
        <v>0.50858624178047551</v>
      </c>
      <c r="CZ66" s="700">
        <f>CZ55/CZ49/IS!CZ6</f>
        <v>0.47306941919991996</v>
      </c>
      <c r="DA66" s="700">
        <f>DA55/DA49/IS!DA6</f>
        <v>0.4699421059576433</v>
      </c>
      <c r="DB66" s="700">
        <f>DB55/DB49/IS!DB6</f>
        <v>0.47172702576473663</v>
      </c>
      <c r="DC66" s="78">
        <f>DC55/DC49/IS!DC6</f>
        <v>0.4915531458805002</v>
      </c>
      <c r="DD66" s="700">
        <f>DD55/DD49/IS!DD6</f>
        <v>0.50950226740583549</v>
      </c>
      <c r="DE66" s="700">
        <f>DE55/DE49/IS!DE6</f>
        <v>0.48934977638954075</v>
      </c>
      <c r="DF66" s="700">
        <f>DF55/DF49/IS!DF6</f>
        <v>0.48392363358239693</v>
      </c>
      <c r="DG66" s="700">
        <f>DG55/DG49/IS!DG6</f>
        <v>0.48995486034920532</v>
      </c>
      <c r="DH66" s="78">
        <f>DH55/DH49/IS!DH6</f>
        <v>0.49289085365910584</v>
      </c>
      <c r="DI66" s="700">
        <f>DI55/DI49/IS!DI6</f>
        <v>0.52074468936592544</v>
      </c>
      <c r="DJ66" s="700">
        <f>DJ55/DJ49/IS!DJ6</f>
        <v>0.49063775943637655</v>
      </c>
      <c r="DK66" s="700">
        <f>DK55/DK49/IS!DK6</f>
        <v>0.47753835893340141</v>
      </c>
      <c r="DL66" s="700">
        <f>DL55/DL49/IS!DL6</f>
        <v>0.47425992090654745</v>
      </c>
      <c r="DM66" s="78">
        <f>DM55/DM49/IS!DM6</f>
        <v>0.49096847250917774</v>
      </c>
      <c r="DN66" s="700">
        <f>DN55/DN49/IS!DN6</f>
        <v>0.51591476726210039</v>
      </c>
      <c r="DO66" s="700">
        <f>DO55/DO49/IS!DO6</f>
        <v>0.48383623246233654</v>
      </c>
      <c r="DP66" s="700">
        <f>DP55/DP49/IS!DP6</f>
        <v>0.4772868941873149</v>
      </c>
      <c r="DQ66" s="700">
        <f>DQ55/DQ49/IS!DQ6</f>
        <v>0.47495657735434166</v>
      </c>
      <c r="DR66" s="78">
        <f>DR55/DR49/IS!DR6</f>
        <v>0.47955006605530681</v>
      </c>
      <c r="DS66" s="700">
        <f>DS55/DS49/IS!DS6</f>
        <v>0.50277532125817481</v>
      </c>
      <c r="DT66" s="700">
        <f>DT55/DT49/IS!DT6</f>
        <v>0.47068859213892128</v>
      </c>
      <c r="DU66" s="700">
        <f>DU55/DU49/IS!DU6</f>
        <v>0.44762860414147848</v>
      </c>
      <c r="DV66" s="700">
        <f>DV55/DV49/IS!DV6</f>
        <v>0.45564006220334857</v>
      </c>
      <c r="DW66" s="78">
        <f>DW55/DW49/IS!DW6</f>
        <v>0.46899495370301825</v>
      </c>
      <c r="DX66" s="700">
        <f>DX55/DX49/IS!DX6</f>
        <v>0.44555384780895674</v>
      </c>
      <c r="DY66" s="700">
        <f>DY55/DY49/IS!DY6</f>
        <v>0.42000177587312787</v>
      </c>
      <c r="DZ66" s="700">
        <f>DZ55/DZ49/IS!DZ6</f>
        <v>0.4023568550847284</v>
      </c>
      <c r="EA66" s="700">
        <f>EA55/EA49/IS!EA6</f>
        <v>0.39261905648519962</v>
      </c>
      <c r="EB66" s="78">
        <f>EB55/EB49/IS!EB6</f>
        <v>0.414952854169025</v>
      </c>
      <c r="EC66" s="700">
        <f>EC55/EC49/IS!EC6</f>
        <v>0.42913264035067111</v>
      </c>
      <c r="ED66" s="700">
        <f>ED55/ED49/IS!ED6</f>
        <v>0.4192158343009334</v>
      </c>
      <c r="EE66" s="700">
        <f>EE55/EE49/IS!EE6</f>
        <v>0.41822237749880625</v>
      </c>
      <c r="EF66" s="700">
        <f>EF55/EF49/IS!EF6</f>
        <v>0.42214439280177746</v>
      </c>
      <c r="EG66" s="78">
        <f>EG55/EG49/IS!EG6</f>
        <v>0.42214882580986035</v>
      </c>
      <c r="EH66" s="700">
        <f>EH55/EH49/IS!EH6</f>
        <v>0.44078577483912224</v>
      </c>
      <c r="EI66" s="700">
        <f>EI55/EI49/IS!EI6</f>
        <v>0.43439396278355014</v>
      </c>
      <c r="EJ66" s="700">
        <f>EJ55/EJ49/IS!EJ6</f>
        <v>0.43228422862525029</v>
      </c>
      <c r="EK66" s="700">
        <f>EK55/EK49/IS!EK6</f>
        <v>0.43524682238482643</v>
      </c>
      <c r="EL66" s="78">
        <f>EL55/EL49/IS!EL6</f>
        <v>0.4356672481327602</v>
      </c>
    </row>
    <row r="67" spans="1:142" s="680" customFormat="1" ht="11.25" customHeight="1">
      <c r="A67" s="1056"/>
      <c r="B67" s="1056"/>
      <c r="C67" s="555"/>
      <c r="D67" s="555"/>
      <c r="E67" s="555"/>
      <c r="F67" s="555"/>
      <c r="G67" s="555"/>
      <c r="H67" s="802"/>
      <c r="I67" s="555"/>
      <c r="J67" s="555"/>
      <c r="K67" s="555"/>
      <c r="L67" s="555"/>
      <c r="M67" s="802"/>
      <c r="N67" s="555"/>
      <c r="O67" s="555"/>
      <c r="P67" s="555"/>
      <c r="Q67" s="555"/>
      <c r="R67" s="802"/>
      <c r="S67" s="555"/>
      <c r="T67" s="555"/>
      <c r="U67" s="555"/>
      <c r="V67" s="555"/>
      <c r="W67" s="802"/>
      <c r="X67" s="555"/>
      <c r="Y67" s="555"/>
      <c r="Z67" s="555"/>
      <c r="AA67" s="555"/>
      <c r="AB67" s="802"/>
      <c r="AC67" s="555"/>
      <c r="AD67" s="555"/>
      <c r="AE67" s="555"/>
      <c r="AF67" s="555"/>
      <c r="AG67" s="802"/>
      <c r="AH67" s="555"/>
      <c r="AI67" s="555"/>
      <c r="AJ67" s="555"/>
      <c r="AK67" s="555"/>
      <c r="AL67" s="802"/>
      <c r="AM67" s="700"/>
      <c r="AN67" s="555"/>
      <c r="AO67" s="555"/>
      <c r="AP67" s="555"/>
      <c r="AQ67" s="802"/>
      <c r="AR67" s="555"/>
      <c r="AS67" s="555"/>
      <c r="AT67" s="555"/>
      <c r="AU67" s="802"/>
      <c r="AV67" s="557"/>
      <c r="AW67" s="901"/>
      <c r="AX67" s="901"/>
      <c r="AY67" s="901"/>
      <c r="AZ67" s="902"/>
      <c r="BA67" s="901"/>
      <c r="BB67" s="901"/>
      <c r="BC67" s="901"/>
      <c r="BD67" s="901"/>
      <c r="BE67" s="902"/>
      <c r="BF67" s="901"/>
      <c r="BG67" s="901"/>
      <c r="BH67" s="901"/>
      <c r="BI67" s="901"/>
      <c r="BJ67" s="902"/>
      <c r="BK67" s="930"/>
      <c r="BL67" s="930"/>
      <c r="BM67" s="930"/>
      <c r="BN67" s="930"/>
      <c r="BO67" s="844"/>
      <c r="BP67" s="930"/>
      <c r="BQ67" s="930"/>
      <c r="BR67" s="930"/>
      <c r="BS67" s="930"/>
      <c r="BT67" s="844"/>
      <c r="BU67" s="930"/>
      <c r="BV67" s="930"/>
      <c r="BW67" s="930"/>
      <c r="BX67" s="930"/>
      <c r="BY67" s="844"/>
      <c r="BZ67" s="930"/>
      <c r="CA67" s="930"/>
      <c r="CB67" s="930"/>
      <c r="CC67" s="930"/>
      <c r="CD67" s="844"/>
      <c r="CE67" s="930"/>
      <c r="CF67" s="930"/>
      <c r="CG67" s="930"/>
      <c r="CH67" s="930"/>
      <c r="CI67" s="844"/>
      <c r="CJ67" s="930"/>
      <c r="CK67" s="930"/>
      <c r="CL67" s="930"/>
      <c r="CM67" s="930"/>
      <c r="CN67" s="844"/>
      <c r="CO67" s="930"/>
      <c r="CP67" s="930"/>
      <c r="CQ67" s="930"/>
      <c r="CR67" s="930"/>
      <c r="CS67" s="844"/>
      <c r="CT67" s="930"/>
      <c r="CU67" s="930"/>
      <c r="CV67" s="930"/>
      <c r="CW67" s="930"/>
      <c r="CX67" s="844"/>
      <c r="CY67" s="930"/>
      <c r="CZ67" s="930"/>
      <c r="DA67" s="930"/>
      <c r="DB67" s="930"/>
      <c r="DC67" s="844"/>
      <c r="DD67" s="930"/>
      <c r="DE67" s="930"/>
      <c r="DF67" s="930"/>
      <c r="DG67" s="930"/>
      <c r="DH67" s="844"/>
      <c r="DI67" s="930"/>
      <c r="DJ67" s="930"/>
      <c r="DK67" s="930"/>
      <c r="DL67" s="930"/>
      <c r="DM67" s="844"/>
      <c r="DN67" s="930"/>
      <c r="DO67" s="930"/>
      <c r="DP67" s="930"/>
      <c r="DQ67" s="930"/>
      <c r="DR67" s="844"/>
      <c r="DS67" s="930"/>
      <c r="DT67" s="930"/>
      <c r="DU67" s="930"/>
      <c r="DV67" s="930"/>
      <c r="DW67" s="844"/>
      <c r="DX67" s="930"/>
      <c r="DY67" s="930"/>
      <c r="DZ67" s="930"/>
      <c r="EA67" s="930"/>
      <c r="EB67" s="844"/>
      <c r="EC67" s="930"/>
      <c r="ED67" s="930"/>
      <c r="EE67" s="930"/>
      <c r="EF67" s="930"/>
      <c r="EG67" s="844"/>
      <c r="EH67" s="930"/>
      <c r="EI67" s="930"/>
      <c r="EJ67" s="930"/>
      <c r="EK67" s="930"/>
      <c r="EL67" s="844"/>
    </row>
    <row r="68" spans="1:142" s="680" customFormat="1" ht="11.25" customHeight="1">
      <c r="A68" s="973"/>
      <c r="B68" s="973" t="s">
        <v>138</v>
      </c>
      <c r="C68" s="555"/>
      <c r="D68" s="555"/>
      <c r="E68" s="555"/>
      <c r="F68" s="555"/>
      <c r="G68" s="555"/>
      <c r="H68" s="802"/>
      <c r="I68" s="555"/>
      <c r="J68" s="555"/>
      <c r="K68" s="555"/>
      <c r="L68" s="555"/>
      <c r="M68" s="802"/>
      <c r="N68" s="555"/>
      <c r="O68" s="555"/>
      <c r="P68" s="555"/>
      <c r="Q68" s="555"/>
      <c r="R68" s="802"/>
      <c r="S68" s="555"/>
      <c r="T68" s="555"/>
      <c r="U68" s="555"/>
      <c r="V68" s="555"/>
      <c r="W68" s="802"/>
      <c r="X68" s="555"/>
      <c r="Y68" s="555"/>
      <c r="Z68" s="555"/>
      <c r="AA68" s="555"/>
      <c r="AB68" s="802"/>
      <c r="AC68" s="555"/>
      <c r="AD68" s="555"/>
      <c r="AE68" s="555"/>
      <c r="AF68" s="555"/>
      <c r="AG68" s="802"/>
      <c r="AH68" s="555"/>
      <c r="AI68" s="555"/>
      <c r="AJ68" s="555"/>
      <c r="AK68" s="555"/>
      <c r="AL68" s="802"/>
      <c r="AM68" s="555"/>
      <c r="AN68" s="555"/>
      <c r="AO68" s="555"/>
      <c r="AP68" s="555"/>
      <c r="AQ68" s="802"/>
      <c r="AR68" s="561"/>
      <c r="AS68" s="561"/>
      <c r="AT68" s="561"/>
      <c r="AU68" s="802"/>
      <c r="AV68" s="557"/>
      <c r="AW68" s="901"/>
      <c r="AX68" s="901"/>
      <c r="AY68" s="901"/>
      <c r="AZ68" s="902"/>
      <c r="BA68" s="901"/>
      <c r="BB68" s="901"/>
      <c r="BC68" s="901"/>
      <c r="BD68" s="901"/>
      <c r="BE68" s="902"/>
      <c r="BF68" s="901"/>
      <c r="BG68" s="901"/>
      <c r="BH68" s="901"/>
      <c r="BI68" s="901"/>
      <c r="BJ68" s="902"/>
      <c r="BK68" s="930"/>
      <c r="BL68" s="930"/>
      <c r="BM68" s="930"/>
      <c r="BN68" s="930"/>
      <c r="BO68" s="844"/>
      <c r="BP68" s="930"/>
      <c r="BQ68" s="930"/>
      <c r="BR68" s="930"/>
      <c r="BS68" s="930"/>
      <c r="BT68" s="844"/>
      <c r="BU68" s="930"/>
      <c r="BV68" s="930"/>
      <c r="BW68" s="930"/>
      <c r="BX68" s="930"/>
      <c r="BY68" s="844"/>
      <c r="BZ68" s="930"/>
      <c r="CA68" s="930"/>
      <c r="CB68" s="930"/>
      <c r="CC68" s="930"/>
      <c r="CD68" s="844"/>
      <c r="CE68" s="930"/>
      <c r="CF68" s="930"/>
      <c r="CG68" s="930"/>
      <c r="CH68" s="930"/>
      <c r="CI68" s="844"/>
      <c r="CJ68" s="930"/>
      <c r="CK68" s="930"/>
      <c r="CL68" s="930"/>
      <c r="CM68" s="930"/>
      <c r="CN68" s="844"/>
      <c r="CO68" s="930"/>
      <c r="CP68" s="930"/>
      <c r="CQ68" s="930"/>
      <c r="CR68" s="930"/>
      <c r="CS68" s="844"/>
      <c r="CT68" s="930"/>
      <c r="CU68" s="930"/>
      <c r="CV68" s="930"/>
      <c r="CW68" s="930"/>
      <c r="CX68" s="844"/>
      <c r="CY68" s="930"/>
      <c r="CZ68" s="930"/>
      <c r="DA68" s="930"/>
      <c r="DB68" s="930"/>
      <c r="DC68" s="844"/>
      <c r="DD68" s="930"/>
      <c r="DE68" s="930"/>
      <c r="DF68" s="930"/>
      <c r="DG68" s="930"/>
      <c r="DH68" s="844"/>
      <c r="DI68" s="930"/>
      <c r="DJ68" s="930"/>
      <c r="DK68" s="930"/>
      <c r="DL68" s="930"/>
      <c r="DM68" s="844"/>
      <c r="DN68" s="930"/>
      <c r="DO68" s="930"/>
      <c r="DP68" s="930"/>
      <c r="DQ68" s="930"/>
      <c r="DR68" s="844"/>
      <c r="DS68" s="930"/>
      <c r="DT68" s="930"/>
      <c r="DU68" s="930"/>
      <c r="DV68" s="930"/>
      <c r="DW68" s="844"/>
      <c r="DX68" s="930"/>
      <c r="DY68" s="930"/>
      <c r="DZ68" s="930"/>
      <c r="EA68" s="930"/>
      <c r="EB68" s="844"/>
      <c r="EC68" s="930"/>
      <c r="ED68" s="930"/>
      <c r="EE68" s="930"/>
      <c r="EF68" s="930"/>
      <c r="EG68" s="844"/>
      <c r="EH68" s="930"/>
      <c r="EI68" s="930"/>
      <c r="EJ68" s="930"/>
      <c r="EK68" s="930"/>
      <c r="EL68" s="844"/>
    </row>
    <row r="69" spans="1:142" s="680" customFormat="1" ht="11.25" customHeight="1">
      <c r="A69" s="804"/>
      <c r="B69" s="804" t="s">
        <v>139</v>
      </c>
      <c r="C69" s="1119"/>
      <c r="D69" s="1119">
        <f>D277</f>
        <v>373.37799999999999</v>
      </c>
      <c r="E69" s="1119">
        <f>E277</f>
        <v>366.77499999999998</v>
      </c>
      <c r="F69" s="1119">
        <f>F277</f>
        <v>385.7</v>
      </c>
      <c r="G69" s="1119">
        <f>G277</f>
        <v>812.04700000000003</v>
      </c>
      <c r="H69" s="924">
        <f>SUM(D69:G69)</f>
        <v>1937.9</v>
      </c>
      <c r="I69" s="1119">
        <f>I277</f>
        <v>787.3</v>
      </c>
      <c r="J69" s="1119">
        <f>J277</f>
        <v>839.4</v>
      </c>
      <c r="K69" s="1119">
        <f>K277</f>
        <v>906.7</v>
      </c>
      <c r="L69" s="1119">
        <f>L277</f>
        <v>906.60000000000036</v>
      </c>
      <c r="M69" s="924">
        <f>SUM(I69:L69)</f>
        <v>3440</v>
      </c>
      <c r="N69" s="1119">
        <f>N277</f>
        <v>858.2</v>
      </c>
      <c r="O69" s="1119">
        <f>O277</f>
        <v>884.5</v>
      </c>
      <c r="P69" s="1119">
        <f>P277</f>
        <v>1377</v>
      </c>
      <c r="Q69" s="1119">
        <f>Q277</f>
        <v>2107.3000000000002</v>
      </c>
      <c r="R69" s="924">
        <f>SUM(N69:Q69)</f>
        <v>5227</v>
      </c>
      <c r="S69" s="1119">
        <f>S277</f>
        <v>1341</v>
      </c>
      <c r="T69" s="1119">
        <f>T277</f>
        <v>1390</v>
      </c>
      <c r="U69" s="1119">
        <f>U277</f>
        <v>1564</v>
      </c>
      <c r="V69" s="1119">
        <f>V277</f>
        <v>1548</v>
      </c>
      <c r="W69" s="924">
        <f>SUM(S69:V69)</f>
        <v>5843</v>
      </c>
      <c r="X69" s="1119">
        <f>X277</f>
        <v>1474</v>
      </c>
      <c r="Y69" s="1119">
        <f>Y277</f>
        <v>1538</v>
      </c>
      <c r="Z69" s="1119">
        <f>Z277</f>
        <v>1725</v>
      </c>
      <c r="AA69" s="1119">
        <f>AA277</f>
        <v>1779</v>
      </c>
      <c r="AB69" s="924">
        <f>SUM(X69:AA69)</f>
        <v>6516</v>
      </c>
      <c r="AC69" s="1119">
        <f>AC277</f>
        <v>1703</v>
      </c>
      <c r="AD69" s="1119">
        <f>AD277</f>
        <v>1700</v>
      </c>
      <c r="AE69" s="1119">
        <f>AE277</f>
        <v>1831</v>
      </c>
      <c r="AF69" s="1119">
        <f>AF277</f>
        <v>1795</v>
      </c>
      <c r="AG69" s="924">
        <f>SUM(AC69:AF69)</f>
        <v>7029</v>
      </c>
      <c r="AH69" s="1119">
        <f>AH277</f>
        <v>1777</v>
      </c>
      <c r="AI69" s="1119">
        <f>AI277</f>
        <v>1842</v>
      </c>
      <c r="AJ69" s="1119">
        <f>AJ277</f>
        <v>1987</v>
      </c>
      <c r="AK69" s="1119">
        <f>AK277</f>
        <v>2071</v>
      </c>
      <c r="AL69" s="924">
        <f>SUM(AH69:AK69)</f>
        <v>7677</v>
      </c>
      <c r="AM69" s="1119">
        <f>AM277</f>
        <v>2121</v>
      </c>
      <c r="AN69" s="1119">
        <f>AN277</f>
        <v>2210</v>
      </c>
      <c r="AO69" s="1119">
        <f>AO277</f>
        <v>2335</v>
      </c>
      <c r="AP69" s="1119">
        <f>AP277</f>
        <v>2474</v>
      </c>
      <c r="AQ69" s="924">
        <f>SUM(AM69:AP69)</f>
        <v>9140</v>
      </c>
      <c r="AR69" s="1119">
        <f>AR277</f>
        <v>2424</v>
      </c>
      <c r="AS69" s="1119">
        <f>AS277</f>
        <v>2470</v>
      </c>
      <c r="AT69" s="1119">
        <f>AT277</f>
        <v>2390</v>
      </c>
      <c r="AU69" s="802"/>
      <c r="AV69" s="1119" t="str">
        <f>AV277</f>
        <v>ND</v>
      </c>
      <c r="AW69" s="1119" t="str">
        <f>AW277</f>
        <v>ND</v>
      </c>
      <c r="AX69" s="1119" t="str">
        <f>AX277</f>
        <v>ND</v>
      </c>
      <c r="AY69" s="1119" t="str">
        <f>AY277</f>
        <v>ND</v>
      </c>
      <c r="AZ69" s="924">
        <f>SUM(AV69:AY69)</f>
        <v>0</v>
      </c>
      <c r="BA69" s="153">
        <f>BA277</f>
        <v>2266</v>
      </c>
      <c r="BB69" s="153">
        <f>BB277</f>
        <v>2181</v>
      </c>
      <c r="BC69" s="153">
        <f>BC277</f>
        <v>2139</v>
      </c>
      <c r="BD69" s="153">
        <f>BD277</f>
        <v>1985</v>
      </c>
      <c r="BE69" s="924">
        <f>SUM(BA69:BD69)</f>
        <v>8571</v>
      </c>
      <c r="BF69" s="153">
        <f>BF277</f>
        <v>1765</v>
      </c>
      <c r="BG69" s="153">
        <f>BG277</f>
        <v>1690</v>
      </c>
      <c r="BH69" s="153">
        <f>BH277</f>
        <v>1597</v>
      </c>
      <c r="BI69" s="153">
        <f>BI277</f>
        <v>1605</v>
      </c>
      <c r="BJ69" s="924">
        <f>SUM(BF69:BI69)</f>
        <v>6657</v>
      </c>
      <c r="BK69" s="153">
        <f>BK277</f>
        <v>1701</v>
      </c>
      <c r="BL69" s="153">
        <f>BL277</f>
        <v>1598</v>
      </c>
      <c r="BM69" s="153">
        <f>BM277</f>
        <v>1603</v>
      </c>
      <c r="BN69" s="153">
        <f>BN277</f>
        <v>1590</v>
      </c>
      <c r="BO69" s="924">
        <f>SUM(BK69:BN69)</f>
        <v>6492</v>
      </c>
      <c r="BP69" s="153">
        <f>BP277</f>
        <v>1677</v>
      </c>
      <c r="BQ69" s="153">
        <f>BQ277</f>
        <v>1480</v>
      </c>
      <c r="BR69" s="153">
        <f>BR277</f>
        <v>1418</v>
      </c>
      <c r="BS69" s="153">
        <f>BS277</f>
        <v>1494</v>
      </c>
      <c r="BT69" s="924">
        <f>SUM(BP69:BS69)</f>
        <v>6069</v>
      </c>
      <c r="BU69" s="153">
        <f>BU277</f>
        <v>1540</v>
      </c>
      <c r="BV69" s="153">
        <f>BV277</f>
        <v>1491</v>
      </c>
      <c r="BW69" s="153">
        <f>BW277</f>
        <v>1484</v>
      </c>
      <c r="BX69" s="153">
        <f>BX277</f>
        <v>1517</v>
      </c>
      <c r="BY69" s="924">
        <f>SUM(BU69:BX69)</f>
        <v>6032</v>
      </c>
      <c r="BZ69" s="153">
        <f>BZ277</f>
        <v>1614</v>
      </c>
      <c r="CA69" s="153">
        <f>CA277</f>
        <v>1439</v>
      </c>
      <c r="CB69" s="153">
        <f>CB277</f>
        <v>1414</v>
      </c>
      <c r="CC69" s="153">
        <f>CC277</f>
        <v>1452</v>
      </c>
      <c r="CD69" s="924">
        <f>SUM(BZ69:CC69)</f>
        <v>5919</v>
      </c>
      <c r="CE69" s="153">
        <f>CE277</f>
        <v>1524</v>
      </c>
      <c r="CF69" s="153">
        <f>CF277</f>
        <v>1441</v>
      </c>
      <c r="CG69" s="153">
        <f>CG277</f>
        <v>1466</v>
      </c>
      <c r="CH69" s="153">
        <f>CH277</f>
        <v>1481</v>
      </c>
      <c r="CI69" s="924">
        <f>SUM(CE69:CH69)</f>
        <v>5912</v>
      </c>
      <c r="CJ69" s="153">
        <f>CJ277</f>
        <v>1544</v>
      </c>
      <c r="CK69" s="153">
        <f>CK277</f>
        <v>1478</v>
      </c>
      <c r="CL69" s="153">
        <f>CL277</f>
        <v>1430</v>
      </c>
      <c r="CM69" s="153">
        <f>CM277</f>
        <v>1477</v>
      </c>
      <c r="CN69" s="924">
        <f>SUM(CJ69:CM69)</f>
        <v>5929</v>
      </c>
      <c r="CO69" s="153">
        <f>CO277</f>
        <v>1619</v>
      </c>
      <c r="CP69" s="153">
        <f>CP277</f>
        <v>1466</v>
      </c>
      <c r="CQ69" s="153">
        <f>CQ277</f>
        <v>1444</v>
      </c>
      <c r="CR69" s="153">
        <f>CR277</f>
        <v>1499</v>
      </c>
      <c r="CS69" s="924">
        <f>SUM(CO69:CR69)</f>
        <v>6028</v>
      </c>
      <c r="CT69" s="153">
        <f>CT277</f>
        <v>1607</v>
      </c>
      <c r="CU69" s="153">
        <f>CU277</f>
        <v>1548</v>
      </c>
      <c r="CV69" s="153">
        <f>CV277</f>
        <v>1501</v>
      </c>
      <c r="CW69" s="153">
        <f>CW277</f>
        <v>1544</v>
      </c>
      <c r="CX69" s="924">
        <f>SUM(CT69:CW69)</f>
        <v>6200</v>
      </c>
      <c r="CY69" s="153">
        <f>CY277</f>
        <v>1536</v>
      </c>
      <c r="CZ69" s="153">
        <f>CZ277</f>
        <v>1542</v>
      </c>
      <c r="DA69" s="153">
        <f>DA277</f>
        <v>1502</v>
      </c>
      <c r="DB69" s="153">
        <f>DB277</f>
        <v>2372</v>
      </c>
      <c r="DC69" s="924">
        <f>SUM(CY69:DB69)</f>
        <v>6952</v>
      </c>
      <c r="DD69" s="153">
        <f>DD277</f>
        <v>2440</v>
      </c>
      <c r="DE69" s="153">
        <f>DE277</f>
        <v>2393</v>
      </c>
      <c r="DF69" s="153">
        <f>DF277</f>
        <v>2463</v>
      </c>
      <c r="DG69" s="153">
        <f>DG277</f>
        <v>2719</v>
      </c>
      <c r="DH69" s="924">
        <f>SUM(DD69:DG69)</f>
        <v>10015</v>
      </c>
      <c r="DI69" s="153">
        <f>DI277</f>
        <v>2691</v>
      </c>
      <c r="DJ69" s="153">
        <f>DJ277</f>
        <v>2623</v>
      </c>
      <c r="DK69" s="153">
        <f>DK277</f>
        <v>2603</v>
      </c>
      <c r="DL69" s="153">
        <f>DL277</f>
        <v>2736</v>
      </c>
      <c r="DM69" s="924">
        <f>SUM(DI69:DL69)</f>
        <v>10653</v>
      </c>
      <c r="DN69" s="153">
        <f>DN277</f>
        <v>2781</v>
      </c>
      <c r="DO69" s="153">
        <f>DO277</f>
        <v>2588</v>
      </c>
      <c r="DP69" s="153">
        <f>DP277</f>
        <v>2644</v>
      </c>
      <c r="DQ69" s="153">
        <f>DQ277</f>
        <v>2606</v>
      </c>
      <c r="DR69" s="924">
        <f>SUM(DN69:DQ69)</f>
        <v>10619</v>
      </c>
      <c r="DS69" s="153">
        <f>DS314</f>
        <v>2605</v>
      </c>
      <c r="DT69" s="153">
        <f>DT314</f>
        <v>2545</v>
      </c>
      <c r="DU69" s="153">
        <f>DU314</f>
        <v>2391</v>
      </c>
      <c r="DV69" s="153">
        <f>DV314</f>
        <v>2695</v>
      </c>
      <c r="DW69" s="924">
        <f>SUM(DS69:DV69)</f>
        <v>10236</v>
      </c>
      <c r="DX69" s="1260">
        <f ca="1">DX138+DX29/DX94</f>
        <v>2335.2535197285997</v>
      </c>
      <c r="DY69" s="153">
        <f ca="1">DY138+DY29/DY94</f>
        <v>2296.0298623872814</v>
      </c>
      <c r="DZ69" s="153">
        <f>DZ138+DZ29/DZ94</f>
        <v>2172.9129495063967</v>
      </c>
      <c r="EA69" s="153">
        <f ca="1">EA138+EA29/EA94</f>
        <v>2346.738275994388</v>
      </c>
      <c r="EB69" s="924">
        <f ca="1">SUM(DX69:EA69)</f>
        <v>9150.9346076166657</v>
      </c>
      <c r="EC69" s="1260">
        <f>EC138+EC29/EC94</f>
        <v>2203.9296928510144</v>
      </c>
      <c r="ED69" s="153">
        <f>ED138+ED29/ED94</f>
        <v>2246.1289015249372</v>
      </c>
      <c r="EE69" s="153">
        <f>EE138+EE29/EE94</f>
        <v>2213.7014868601013</v>
      </c>
      <c r="EF69" s="153">
        <f>EF138+EF29/EF94</f>
        <v>2474.3447793820005</v>
      </c>
      <c r="EG69" s="924">
        <f>SUM(EC69:EF69)</f>
        <v>9138.104860618052</v>
      </c>
      <c r="EH69" s="1260">
        <f>EH138+EH29/EH94</f>
        <v>2276.486210671103</v>
      </c>
      <c r="EI69" s="153">
        <f>EI138+EI29/EI94</f>
        <v>2314.317668527382</v>
      </c>
      <c r="EJ69" s="153">
        <f>EJ138+EJ29/EJ94</f>
        <v>2275.2459951550481</v>
      </c>
      <c r="EK69" s="153">
        <f>EK138+EK29/EK94</f>
        <v>2536.8250857324288</v>
      </c>
      <c r="EL69" s="924">
        <f>SUM(EH69:EK69)</f>
        <v>9402.8749600859628</v>
      </c>
    </row>
    <row r="70" spans="1:142" ht="11.25" customHeight="1">
      <c r="A70" s="415"/>
      <c r="B70" s="415" t="s">
        <v>133</v>
      </c>
      <c r="C70" s="66"/>
      <c r="D70" s="66"/>
      <c r="E70" s="66"/>
      <c r="F70" s="66"/>
      <c r="G70" s="66"/>
      <c r="H70" s="85"/>
      <c r="I70" s="510">
        <f>I69/D69-1</f>
        <v>1.1085870083400735</v>
      </c>
      <c r="J70" s="510">
        <f>J69/E69-1</f>
        <v>1.2885965510190172</v>
      </c>
      <c r="K70" s="510">
        <f>K69/F69-1</f>
        <v>1.3507907700285195</v>
      </c>
      <c r="L70" s="510">
        <f>L69/G69-1</f>
        <v>0.11643784165202309</v>
      </c>
      <c r="M70" s="85">
        <f>IF(ISERROR(M69/H69-1),"nm",M69/H69-1)</f>
        <v>0.77511739511842714</v>
      </c>
      <c r="N70" s="510">
        <f>N69/I69-1</f>
        <v>9.0054617045598917E-2</v>
      </c>
      <c r="O70" s="510">
        <f>O69/J69-1</f>
        <v>5.3728853943292965E-2</v>
      </c>
      <c r="P70" s="510">
        <f>P69/K69-1</f>
        <v>0.51869416565567428</v>
      </c>
      <c r="Q70" s="510">
        <f>Q69/L69-1</f>
        <v>1.3243988528568269</v>
      </c>
      <c r="R70" s="85">
        <f>IF(ISERROR(R69/M69-1),"nm",R69/M69-1)</f>
        <v>0.51947674418604661</v>
      </c>
      <c r="S70" s="510">
        <f>S69/N69-1</f>
        <v>0.56257282684688881</v>
      </c>
      <c r="T70" s="510">
        <f>T69/O69-1</f>
        <v>0.57150932730356141</v>
      </c>
      <c r="U70" s="510">
        <f>U69/P69-1</f>
        <v>0.13580246913580241</v>
      </c>
      <c r="V70" s="510">
        <f>V69/Q69-1</f>
        <v>-0.26541071513310877</v>
      </c>
      <c r="W70" s="85">
        <f>IF(ISERROR(W69/R69-1),"nm",W69/R69-1)</f>
        <v>0.11784962693705769</v>
      </c>
      <c r="X70" s="510">
        <f>X69/S69-1</f>
        <v>9.9179716629381076E-2</v>
      </c>
      <c r="Y70" s="510">
        <f>Y69/T69-1</f>
        <v>0.10647482014388499</v>
      </c>
      <c r="Z70" s="510">
        <f>Z69/U69-1</f>
        <v>0.10294117647058831</v>
      </c>
      <c r="AA70" s="510">
        <f>AA69/V69-1</f>
        <v>0.14922480620155043</v>
      </c>
      <c r="AB70" s="85">
        <f>IF(ISERROR(AB69/W69-1),"nm",AB69/W69-1)</f>
        <v>0.11518055793256887</v>
      </c>
      <c r="AC70" s="510">
        <f>AC69/X69-1</f>
        <v>0.15535956580732702</v>
      </c>
      <c r="AD70" s="510">
        <f>AD69/Y69-1</f>
        <v>0.10533159947984405</v>
      </c>
      <c r="AE70" s="510">
        <f>AE69/Z69-1</f>
        <v>6.1449275362318811E-2</v>
      </c>
      <c r="AF70" s="510">
        <f>AF69/AA69-1</f>
        <v>8.993816750983763E-3</v>
      </c>
      <c r="AG70" s="85">
        <f>IF(ISERROR(AG69/AB69-1),"nm",AG69/AB69-1)</f>
        <v>7.8729281767955905E-2</v>
      </c>
      <c r="AH70" s="510">
        <f>AH69/AC69-1</f>
        <v>4.3452730475631141E-2</v>
      </c>
      <c r="AI70" s="510">
        <f>AI69/AD69-1</f>
        <v>8.3529411764705852E-2</v>
      </c>
      <c r="AJ70" s="510">
        <f>AJ69/AE69-1</f>
        <v>8.5199344620425999E-2</v>
      </c>
      <c r="AK70" s="510">
        <f>AK69/AF69-1</f>
        <v>0.15376044568245129</v>
      </c>
      <c r="AL70" s="85">
        <f>IF(ISERROR(AL69/AG69-1),"nm",AL69/AG69-1)</f>
        <v>9.2189500640204924E-2</v>
      </c>
      <c r="AM70" s="510">
        <f>AM69/AH69-1</f>
        <v>0.19358469330332029</v>
      </c>
      <c r="AN70" s="510">
        <f>AN69/AI69-1</f>
        <v>0.19978284473398489</v>
      </c>
      <c r="AO70" s="510">
        <f>AO69/AJ69-1</f>
        <v>0.17513839959738298</v>
      </c>
      <c r="AP70" s="510">
        <f>AP69/AK69-1</f>
        <v>0.19459198454852733</v>
      </c>
      <c r="AQ70" s="85">
        <f>IF(ISERROR(AQ69/AL69-1),"nm",AQ69/AL69-1)</f>
        <v>0.19056923277321869</v>
      </c>
      <c r="AR70" s="510">
        <f>AR69/AM69-1</f>
        <v>0.14285714285714279</v>
      </c>
      <c r="AS70" s="510">
        <f>AS69/AN69-1</f>
        <v>0.11764705882352944</v>
      </c>
      <c r="AT70" s="510">
        <f>AT69/AO69-1</f>
        <v>2.3554603854389677E-2</v>
      </c>
      <c r="AU70" s="137"/>
      <c r="AV70" s="66"/>
      <c r="AW70" s="66"/>
      <c r="AX70" s="66"/>
      <c r="AY70" s="66"/>
      <c r="AZ70" s="65"/>
      <c r="BA70" s="84" t="str">
        <f>IF(ISERROR(BA69/AV69-1),"nm",BA69/AV69-1)</f>
        <v>nm</v>
      </c>
      <c r="BB70" s="84" t="str">
        <f>IF(ISERROR(BB69/AW69-1),"nm",BB69/AW69-1)</f>
        <v>nm</v>
      </c>
      <c r="BC70" s="84" t="str">
        <f>IF(ISERROR(BC69/AX69-1),"nm",BC69/AX69-1)</f>
        <v>nm</v>
      </c>
      <c r="BD70" s="84" t="str">
        <f>IF(ISERROR(BD69/AY69-1),"nm",BD69/AY69-1)</f>
        <v>nm</v>
      </c>
      <c r="BE70" s="85" t="str">
        <f>IF(ISERROR(BE69/AZ69-1),"nm",BE69/AZ69-1)</f>
        <v>nm</v>
      </c>
      <c r="BF70" s="510">
        <f>BF69/BA69-1</f>
        <v>-0.22109443954104147</v>
      </c>
      <c r="BG70" s="510">
        <f>BG69/BB69-1</f>
        <v>-0.22512608895002295</v>
      </c>
      <c r="BH70" s="510">
        <f>BH69/BC69-1</f>
        <v>-0.25338943431510053</v>
      </c>
      <c r="BI70" s="510">
        <f>BI69/BD69-1</f>
        <v>-0.19143576826196473</v>
      </c>
      <c r="BJ70" s="67">
        <f>BJ69/BE69-1</f>
        <v>-0.2233111655582779</v>
      </c>
      <c r="BK70" s="510">
        <f>IF(ISERROR(BK69/BF69-1),"NM",BK69/BF69-1)</f>
        <v>-3.6260623229461775E-2</v>
      </c>
      <c r="BL70" s="510">
        <f>IF(ISERROR(BL69/BG69-1),"NM",BL69/BG69-1)</f>
        <v>-5.4437869822485219E-2</v>
      </c>
      <c r="BM70" s="510">
        <f>IF(ISERROR(BM69/BH69-1),"NM",BM69/BH69-1)</f>
        <v>3.7570444583594487E-3</v>
      </c>
      <c r="BN70" s="510">
        <f>IF(ISERROR(BN69/BI69-1),"NM",BN69/BI69-1)</f>
        <v>-9.3457943925233655E-3</v>
      </c>
      <c r="BO70" s="67">
        <f>IF(ISERROR(BO69/BJ69-1),"NM",BO69/BJ69-1)</f>
        <v>-2.4785939612438024E-2</v>
      </c>
      <c r="BP70" s="510">
        <f t="shared" ref="BP70:CU70" si="94">BP69/BK69-1</f>
        <v>-1.4109347442680775E-2</v>
      </c>
      <c r="BQ70" s="510">
        <f t="shared" si="94"/>
        <v>-7.3842302878598276E-2</v>
      </c>
      <c r="BR70" s="510">
        <f t="shared" si="94"/>
        <v>-0.11540860885839055</v>
      </c>
      <c r="BS70" s="510">
        <f t="shared" si="94"/>
        <v>-6.0377358490566024E-2</v>
      </c>
      <c r="BT70" s="67">
        <f t="shared" si="94"/>
        <v>-6.5157116451016628E-2</v>
      </c>
      <c r="BU70" s="510">
        <f t="shared" si="94"/>
        <v>-8.1693500298151478E-2</v>
      </c>
      <c r="BV70" s="510">
        <f t="shared" si="94"/>
        <v>7.432432432432412E-3</v>
      </c>
      <c r="BW70" s="510">
        <f t="shared" si="94"/>
        <v>4.6544428772919533E-2</v>
      </c>
      <c r="BX70" s="510">
        <f t="shared" si="94"/>
        <v>1.53949129852744E-2</v>
      </c>
      <c r="BY70" s="67">
        <f t="shared" si="94"/>
        <v>-6.096556269566622E-3</v>
      </c>
      <c r="BZ70" s="510">
        <f t="shared" si="94"/>
        <v>4.8051948051948123E-2</v>
      </c>
      <c r="CA70" s="510">
        <f t="shared" si="94"/>
        <v>-3.4875922199865905E-2</v>
      </c>
      <c r="CB70" s="510">
        <f t="shared" si="94"/>
        <v>-4.7169811320754707E-2</v>
      </c>
      <c r="CC70" s="510">
        <f t="shared" si="94"/>
        <v>-4.284772577455509E-2</v>
      </c>
      <c r="CD70" s="67">
        <f t="shared" si="94"/>
        <v>-1.8733421750663171E-2</v>
      </c>
      <c r="CE70" s="510">
        <f t="shared" si="94"/>
        <v>-5.5762081784386575E-2</v>
      </c>
      <c r="CF70" s="510">
        <f t="shared" si="94"/>
        <v>1.389854065323215E-3</v>
      </c>
      <c r="CG70" s="510">
        <f t="shared" si="94"/>
        <v>3.6775106082036713E-2</v>
      </c>
      <c r="CH70" s="510">
        <f t="shared" si="94"/>
        <v>1.9972451790633672E-2</v>
      </c>
      <c r="CI70" s="67">
        <f t="shared" si="94"/>
        <v>-1.1826322013853696E-3</v>
      </c>
      <c r="CJ70" s="510">
        <f t="shared" si="94"/>
        <v>1.3123359580052396E-2</v>
      </c>
      <c r="CK70" s="510">
        <f t="shared" si="94"/>
        <v>2.5676613462872977E-2</v>
      </c>
      <c r="CL70" s="510">
        <f t="shared" si="94"/>
        <v>-2.4556616643929052E-2</v>
      </c>
      <c r="CM70" s="510">
        <f t="shared" si="94"/>
        <v>-2.7008777852801646E-3</v>
      </c>
      <c r="CN70" s="67">
        <f t="shared" si="94"/>
        <v>2.8755074424897664E-3</v>
      </c>
      <c r="CO70" s="510">
        <f t="shared" si="94"/>
        <v>4.8575129533678707E-2</v>
      </c>
      <c r="CP70" s="510">
        <f t="shared" si="94"/>
        <v>-8.1190798376183926E-3</v>
      </c>
      <c r="CQ70" s="510">
        <f t="shared" si="94"/>
        <v>9.7902097902098362E-3</v>
      </c>
      <c r="CR70" s="510">
        <f t="shared" si="94"/>
        <v>1.4895057549086044E-2</v>
      </c>
      <c r="CS70" s="67">
        <f t="shared" si="94"/>
        <v>1.6697588126159513E-2</v>
      </c>
      <c r="CT70" s="510">
        <f t="shared" si="94"/>
        <v>-7.4119827053736875E-3</v>
      </c>
      <c r="CU70" s="510">
        <f t="shared" si="94"/>
        <v>5.5934515688949471E-2</v>
      </c>
      <c r="CV70" s="510">
        <f t="shared" ref="CV70:DR70" si="95">CV69/CQ69-1</f>
        <v>3.9473684210526327E-2</v>
      </c>
      <c r="CW70" s="510">
        <f t="shared" si="95"/>
        <v>3.0020013342228147E-2</v>
      </c>
      <c r="CX70" s="67">
        <f t="shared" si="95"/>
        <v>2.8533510285335018E-2</v>
      </c>
      <c r="CY70" s="510">
        <f t="shared" si="95"/>
        <v>-4.4181705040448049E-2</v>
      </c>
      <c r="CZ70" s="510">
        <f t="shared" si="95"/>
        <v>-3.8759689922480689E-3</v>
      </c>
      <c r="DA70" s="510">
        <f t="shared" si="95"/>
        <v>6.6622251832115786E-4</v>
      </c>
      <c r="DB70" s="510">
        <f t="shared" si="95"/>
        <v>0.53626943005181338</v>
      </c>
      <c r="DC70" s="67">
        <f t="shared" si="95"/>
        <v>0.1212903225806452</v>
      </c>
      <c r="DD70" s="510">
        <f t="shared" si="95"/>
        <v>0.58854166666666674</v>
      </c>
      <c r="DE70" s="510">
        <f t="shared" si="95"/>
        <v>0.55188067444876787</v>
      </c>
      <c r="DF70" s="510">
        <f t="shared" si="95"/>
        <v>0.63981358189081217</v>
      </c>
      <c r="DG70" s="510">
        <f t="shared" si="95"/>
        <v>0.14629005059021916</v>
      </c>
      <c r="DH70" s="67">
        <f t="shared" si="95"/>
        <v>0.44059263521288838</v>
      </c>
      <c r="DI70" s="510">
        <f t="shared" si="95"/>
        <v>0.10286885245901645</v>
      </c>
      <c r="DJ70" s="510">
        <f t="shared" si="95"/>
        <v>9.6113664855829395E-2</v>
      </c>
      <c r="DK70" s="510">
        <f t="shared" si="95"/>
        <v>5.6841250507511099E-2</v>
      </c>
      <c r="DL70" s="510">
        <f t="shared" si="95"/>
        <v>6.2522986392055113E-3</v>
      </c>
      <c r="DM70" s="67">
        <f t="shared" si="95"/>
        <v>6.3704443334997585E-2</v>
      </c>
      <c r="DN70" s="510">
        <f t="shared" si="95"/>
        <v>3.3444816053511683E-2</v>
      </c>
      <c r="DO70" s="510">
        <f t="shared" si="95"/>
        <v>-1.3343499809378545E-2</v>
      </c>
      <c r="DP70" s="510">
        <f t="shared" si="95"/>
        <v>1.5751056473300107E-2</v>
      </c>
      <c r="DQ70" s="510">
        <f t="shared" si="95"/>
        <v>-4.7514619883040954E-2</v>
      </c>
      <c r="DR70" s="67">
        <f t="shared" si="95"/>
        <v>-3.1915892236928922E-3</v>
      </c>
      <c r="DS70" s="510">
        <f t="shared" ref="DS70:EG70" si="96">DS69/DN69-1</f>
        <v>-6.3286587558432195E-2</v>
      </c>
      <c r="DT70" s="510">
        <f t="shared" si="96"/>
        <v>-1.6615146831530092E-2</v>
      </c>
      <c r="DU70" s="510">
        <f t="shared" si="96"/>
        <v>-9.5688350983358594E-2</v>
      </c>
      <c r="DV70" s="510">
        <f t="shared" si="96"/>
        <v>3.4151957022256374E-2</v>
      </c>
      <c r="DW70" s="67">
        <f t="shared" si="96"/>
        <v>-3.6067426311328754E-2</v>
      </c>
      <c r="DX70" s="510">
        <f t="shared" ca="1" si="96"/>
        <v>-0.10354951258019207</v>
      </c>
      <c r="DY70" s="510">
        <f t="shared" ca="1" si="96"/>
        <v>-9.7827166056078108E-2</v>
      </c>
      <c r="DZ70" s="510">
        <f t="shared" si="96"/>
        <v>-9.121164805253168E-2</v>
      </c>
      <c r="EA70" s="510">
        <f t="shared" ca="1" si="96"/>
        <v>-0.12922512950115472</v>
      </c>
      <c r="EB70" s="67">
        <f t="shared" ca="1" si="96"/>
        <v>-0.10600482535984113</v>
      </c>
      <c r="EC70" s="510">
        <f t="shared" ca="1" si="96"/>
        <v>-5.6235361928861471E-2</v>
      </c>
      <c r="ED70" s="510">
        <f t="shared" ca="1" si="96"/>
        <v>-2.1733585298607583E-2</v>
      </c>
      <c r="EE70" s="510">
        <f t="shared" si="96"/>
        <v>1.8771362821032644E-2</v>
      </c>
      <c r="EF70" s="510">
        <f t="shared" ca="1" si="96"/>
        <v>5.4376112024482781E-2</v>
      </c>
      <c r="EG70" s="67">
        <f t="shared" ca="1" si="96"/>
        <v>-1.402014936041085E-3</v>
      </c>
      <c r="EH70" s="510">
        <f t="shared" ref="EH70" si="97">EH69/EC69-1</f>
        <v>3.292143032304673E-2</v>
      </c>
      <c r="EI70" s="510">
        <f t="shared" ref="EI70" si="98">EI69/ED69-1</f>
        <v>3.0358349850781119E-2</v>
      </c>
      <c r="EJ70" s="510">
        <f t="shared" ref="EJ70" si="99">EJ69/EE69-1</f>
        <v>2.7801629379686998E-2</v>
      </c>
      <c r="EK70" s="510">
        <f t="shared" ref="EK70" si="100">EK69/EF69-1</f>
        <v>2.5251253128124596E-2</v>
      </c>
      <c r="EL70" s="67">
        <f t="shared" ref="EL70" si="101">EL69/EG69-1</f>
        <v>2.8974289910917328E-2</v>
      </c>
    </row>
    <row r="71" spans="1:142" ht="11.25" customHeight="1">
      <c r="A71" s="415"/>
      <c r="B71" s="415" t="s">
        <v>140</v>
      </c>
      <c r="C71" s="510"/>
      <c r="D71" s="510">
        <f t="shared" ref="D71:AT71" si="102">+D69/D82</f>
        <v>0.56330459314912451</v>
      </c>
      <c r="E71" s="510">
        <f t="shared" si="102"/>
        <v>0.574162492172824</v>
      </c>
      <c r="F71" s="510">
        <f t="shared" si="102"/>
        <v>0.58395155185465553</v>
      </c>
      <c r="G71" s="510">
        <f t="shared" si="102"/>
        <v>0.59891434619228312</v>
      </c>
      <c r="H71" s="67">
        <f t="shared" si="102"/>
        <v>0.58405666063893913</v>
      </c>
      <c r="I71" s="510">
        <f t="shared" si="102"/>
        <v>0.61320975153828172</v>
      </c>
      <c r="J71" s="510">
        <f t="shared" si="102"/>
        <v>0.61229849004303738</v>
      </c>
      <c r="K71" s="510">
        <f t="shared" si="102"/>
        <v>0.63321460995879597</v>
      </c>
      <c r="L71" s="510">
        <f t="shared" si="102"/>
        <v>0.61577124227399338</v>
      </c>
      <c r="M71" s="67">
        <f t="shared" si="102"/>
        <v>0.61881633387299873</v>
      </c>
      <c r="N71" s="510">
        <f t="shared" si="102"/>
        <v>0.59655220353121097</v>
      </c>
      <c r="O71" s="510">
        <f t="shared" si="102"/>
        <v>0.59921414538310414</v>
      </c>
      <c r="P71" s="510">
        <f t="shared" si="102"/>
        <v>0.61558406723590686</v>
      </c>
      <c r="Q71" s="510">
        <f t="shared" si="102"/>
        <v>0.59538339831609888</v>
      </c>
      <c r="R71" s="67">
        <f t="shared" si="102"/>
        <v>0.6014267633183753</v>
      </c>
      <c r="S71" s="510">
        <f t="shared" si="102"/>
        <v>0.57528957528957525</v>
      </c>
      <c r="T71" s="510">
        <f t="shared" si="102"/>
        <v>0.57225195553725816</v>
      </c>
      <c r="U71" s="510">
        <f t="shared" si="102"/>
        <v>0.60998439937597504</v>
      </c>
      <c r="V71" s="510">
        <f t="shared" si="102"/>
        <v>0.60210035005834306</v>
      </c>
      <c r="W71" s="67">
        <f t="shared" si="102"/>
        <v>0.590500252652855</v>
      </c>
      <c r="X71" s="510">
        <f t="shared" si="102"/>
        <v>0.57735996866431649</v>
      </c>
      <c r="Y71" s="510">
        <f t="shared" si="102"/>
        <v>0.60007803355442846</v>
      </c>
      <c r="Z71" s="510">
        <f t="shared" si="102"/>
        <v>0.61126860382707304</v>
      </c>
      <c r="AA71" s="510">
        <f t="shared" si="102"/>
        <v>0.60469068660774983</v>
      </c>
      <c r="AB71" s="67">
        <f t="shared" si="102"/>
        <v>0.59889705882352939</v>
      </c>
      <c r="AC71" s="510">
        <f t="shared" si="102"/>
        <v>0.59276018099547512</v>
      </c>
      <c r="AD71" s="510">
        <f t="shared" si="102"/>
        <v>0.61151079136690645</v>
      </c>
      <c r="AE71" s="510">
        <f t="shared" si="102"/>
        <v>0.64245614035087717</v>
      </c>
      <c r="AF71" s="510">
        <f t="shared" si="102"/>
        <v>0.61662658880109933</v>
      </c>
      <c r="AG71" s="67">
        <f t="shared" si="102"/>
        <v>0.61582267390923429</v>
      </c>
      <c r="AH71" s="510">
        <f t="shared" si="102"/>
        <v>0.6142412720359488</v>
      </c>
      <c r="AI71" s="510">
        <f t="shared" si="102"/>
        <v>0.63190394511149228</v>
      </c>
      <c r="AJ71" s="510">
        <f t="shared" si="102"/>
        <v>0.65447957839262183</v>
      </c>
      <c r="AK71" s="510">
        <f t="shared" si="102"/>
        <v>0.64537239015269554</v>
      </c>
      <c r="AL71" s="67">
        <f t="shared" si="102"/>
        <v>0.63693686219198542</v>
      </c>
      <c r="AM71" s="510">
        <f t="shared" si="102"/>
        <v>0.64331210191082799</v>
      </c>
      <c r="AN71" s="510">
        <f t="shared" si="102"/>
        <v>0.65114908662345317</v>
      </c>
      <c r="AO71" s="510">
        <f t="shared" si="102"/>
        <v>0.67020665901262921</v>
      </c>
      <c r="AP71" s="510">
        <f t="shared" si="102"/>
        <v>0.66185125735687533</v>
      </c>
      <c r="AQ71" s="67">
        <f t="shared" si="102"/>
        <v>0.65693955293610296</v>
      </c>
      <c r="AR71" s="510">
        <f t="shared" si="102"/>
        <v>0.65460437483121792</v>
      </c>
      <c r="AS71" s="510">
        <f t="shared" si="102"/>
        <v>0.65378507146638432</v>
      </c>
      <c r="AT71" s="510">
        <f t="shared" si="102"/>
        <v>0.64839934888768314</v>
      </c>
      <c r="AU71" s="137"/>
      <c r="AV71" s="84" t="str">
        <f>IF(ISERROR(+AV69/AV82),"nm",+AV69/AV82)</f>
        <v>nm</v>
      </c>
      <c r="AW71" s="84" t="str">
        <f>IF(ISERROR(+AW69/AW82),"nm",+AW69/AW82)</f>
        <v>nm</v>
      </c>
      <c r="AX71" s="84" t="str">
        <f>IF(ISERROR(+AX69/AX82),"nm",+AX69/AX82)</f>
        <v>nm</v>
      </c>
      <c r="AY71" s="84" t="str">
        <f>IF(ISERROR(+AY69/AY82),"nm",+AY69/AY82)</f>
        <v>nm</v>
      </c>
      <c r="AZ71" s="67">
        <f t="shared" ref="AZ71:CE71" si="103">+AZ69/AZ82</f>
        <v>0</v>
      </c>
      <c r="BA71" s="510">
        <f t="shared" si="103"/>
        <v>0.65643105446118188</v>
      </c>
      <c r="BB71" s="510">
        <f t="shared" si="103"/>
        <v>0.64545723586860015</v>
      </c>
      <c r="BC71" s="510">
        <f t="shared" si="103"/>
        <v>0.64877161055505006</v>
      </c>
      <c r="BD71" s="510">
        <f t="shared" si="103"/>
        <v>0.62401760452687838</v>
      </c>
      <c r="BE71" s="67">
        <f t="shared" si="103"/>
        <v>0.64400030054850099</v>
      </c>
      <c r="BF71" s="510">
        <f t="shared" si="103"/>
        <v>0.66129636568002992</v>
      </c>
      <c r="BG71" s="510">
        <f t="shared" si="103"/>
        <v>0.65758754863813229</v>
      </c>
      <c r="BH71" s="510">
        <f t="shared" si="103"/>
        <v>0.65450819672131144</v>
      </c>
      <c r="BI71" s="510">
        <f t="shared" si="103"/>
        <v>0.66542288557213936</v>
      </c>
      <c r="BJ71" s="67">
        <f t="shared" si="103"/>
        <v>0.65969675948865325</v>
      </c>
      <c r="BK71" s="510">
        <f t="shared" si="103"/>
        <v>0.68012794882047178</v>
      </c>
      <c r="BL71" s="510">
        <f t="shared" si="103"/>
        <v>0.66033057851239674</v>
      </c>
      <c r="BM71" s="510">
        <f t="shared" si="103"/>
        <v>0.66959064327485385</v>
      </c>
      <c r="BN71" s="510">
        <f t="shared" si="103"/>
        <v>0.69160504567203129</v>
      </c>
      <c r="BO71" s="67">
        <f t="shared" si="103"/>
        <v>0.67526523819429995</v>
      </c>
      <c r="BP71" s="510">
        <f t="shared" si="103"/>
        <v>0.69469759734879866</v>
      </c>
      <c r="BQ71" s="510">
        <f t="shared" si="103"/>
        <v>0.67425968109339407</v>
      </c>
      <c r="BR71" s="510">
        <f t="shared" si="103"/>
        <v>0.66981577704298534</v>
      </c>
      <c r="BS71" s="510">
        <f t="shared" si="103"/>
        <v>0.68563561266636075</v>
      </c>
      <c r="BT71" s="67">
        <f t="shared" si="103"/>
        <v>0.68152723189219544</v>
      </c>
      <c r="BU71" s="510">
        <f t="shared" si="103"/>
        <v>0.67573497147871875</v>
      </c>
      <c r="BV71" s="510">
        <f t="shared" si="103"/>
        <v>0.66921005385996413</v>
      </c>
      <c r="BW71" s="510">
        <f t="shared" si="103"/>
        <v>0.67088607594936711</v>
      </c>
      <c r="BX71" s="510">
        <f t="shared" si="103"/>
        <v>0.6739227010217681</v>
      </c>
      <c r="BY71" s="67">
        <f t="shared" si="103"/>
        <v>0.672463768115942</v>
      </c>
      <c r="BZ71" s="510">
        <f t="shared" si="103"/>
        <v>0.68072543230704341</v>
      </c>
      <c r="CA71" s="510">
        <f t="shared" si="103"/>
        <v>0.65888278388278387</v>
      </c>
      <c r="CB71" s="510">
        <f t="shared" si="103"/>
        <v>0.65523632993512515</v>
      </c>
      <c r="CC71" s="510">
        <f t="shared" si="103"/>
        <v>0.66150341685649205</v>
      </c>
      <c r="CD71" s="67">
        <f t="shared" si="103"/>
        <v>0.6644589133363269</v>
      </c>
      <c r="CE71" s="510">
        <f t="shared" si="103"/>
        <v>0.66871434839842037</v>
      </c>
      <c r="CF71" s="510">
        <f t="shared" ref="CF71:DE71" si="104">+CF69/CF82</f>
        <v>0.64647824136384024</v>
      </c>
      <c r="CG71" s="510">
        <f t="shared" si="104"/>
        <v>0.6480990274093722</v>
      </c>
      <c r="CH71" s="510">
        <f t="shared" si="104"/>
        <v>0.65501990269792132</v>
      </c>
      <c r="CI71" s="67">
        <f t="shared" si="104"/>
        <v>0.65463403831247924</v>
      </c>
      <c r="CJ71" s="510">
        <f t="shared" si="104"/>
        <v>0.66011115861479264</v>
      </c>
      <c r="CK71" s="510">
        <f t="shared" si="104"/>
        <v>0.6417716022579244</v>
      </c>
      <c r="CL71" s="510">
        <f t="shared" si="104"/>
        <v>0.63218390804597702</v>
      </c>
      <c r="CM71" s="510">
        <f t="shared" si="104"/>
        <v>0.64189482833550626</v>
      </c>
      <c r="CN71" s="67">
        <f t="shared" si="104"/>
        <v>0.64410646387832704</v>
      </c>
      <c r="CO71" s="510">
        <f t="shared" si="104"/>
        <v>0.66652943598188552</v>
      </c>
      <c r="CP71" s="510">
        <f t="shared" si="104"/>
        <v>0.63739130434782609</v>
      </c>
      <c r="CQ71" s="510">
        <f t="shared" si="104"/>
        <v>0.63084316295325471</v>
      </c>
      <c r="CR71" s="510">
        <f t="shared" si="104"/>
        <v>0.63705907352316193</v>
      </c>
      <c r="CS71" s="67">
        <f t="shared" si="104"/>
        <v>0.6432611247465585</v>
      </c>
      <c r="CT71" s="510">
        <f t="shared" si="104"/>
        <v>0.64512244078683256</v>
      </c>
      <c r="CU71" s="510">
        <f t="shared" si="104"/>
        <v>0.63054989816700613</v>
      </c>
      <c r="CV71" s="510">
        <f t="shared" si="104"/>
        <v>0.61845900288421918</v>
      </c>
      <c r="CW71" s="510">
        <f t="shared" si="104"/>
        <v>0.61003555906756224</v>
      </c>
      <c r="CX71" s="67">
        <f t="shared" si="104"/>
        <v>0.62600969305331178</v>
      </c>
      <c r="CY71" s="510">
        <f t="shared" si="104"/>
        <v>0.59213569776407093</v>
      </c>
      <c r="CZ71" s="510">
        <f t="shared" si="104"/>
        <v>0.58653480410802583</v>
      </c>
      <c r="DA71" s="510">
        <f t="shared" si="104"/>
        <v>0.57372039724980906</v>
      </c>
      <c r="DB71" s="510">
        <f t="shared" si="104"/>
        <v>0.56035908339239315</v>
      </c>
      <c r="DC71" s="67">
        <f t="shared" si="104"/>
        <v>0.57578267351333445</v>
      </c>
      <c r="DD71" s="510">
        <f t="shared" si="104"/>
        <v>0.56665118439386897</v>
      </c>
      <c r="DE71" s="510">
        <f t="shared" si="104"/>
        <v>0.5486015589179275</v>
      </c>
      <c r="DF71" s="510">
        <f t="shared" ref="DF71:EG71" si="105">+DF69/DF82</f>
        <v>0.55623306233062331</v>
      </c>
      <c r="DG71" s="510">
        <f t="shared" si="105"/>
        <v>0.56364013266998336</v>
      </c>
      <c r="DH71" s="67">
        <f t="shared" si="105"/>
        <v>0.5588727678571429</v>
      </c>
      <c r="DI71" s="510">
        <f t="shared" si="105"/>
        <v>0.56167814652473391</v>
      </c>
      <c r="DJ71" s="510">
        <f t="shared" si="105"/>
        <v>0.541494632535095</v>
      </c>
      <c r="DK71" s="510">
        <f t="shared" si="105"/>
        <v>0.51412206201856603</v>
      </c>
      <c r="DL71" s="510">
        <f t="shared" si="105"/>
        <v>0.50507661067011256</v>
      </c>
      <c r="DM71" s="67">
        <f t="shared" si="105"/>
        <v>0.5296047725577927</v>
      </c>
      <c r="DN71" s="510">
        <f t="shared" si="105"/>
        <v>0.51309963099630995</v>
      </c>
      <c r="DO71" s="510">
        <f t="shared" si="105"/>
        <v>0.49855519167790407</v>
      </c>
      <c r="DP71" s="510">
        <f t="shared" si="105"/>
        <v>0.54650682100041337</v>
      </c>
      <c r="DQ71" s="510">
        <f t="shared" si="105"/>
        <v>0.52827893776606527</v>
      </c>
      <c r="DR71" s="67">
        <f t="shared" si="105"/>
        <v>0.52099892061622999</v>
      </c>
      <c r="DS71" s="510">
        <f t="shared" si="105"/>
        <v>0.50134719014626639</v>
      </c>
      <c r="DT71" s="510">
        <f t="shared" si="105"/>
        <v>0.49197757587473417</v>
      </c>
      <c r="DU71" s="510">
        <f t="shared" si="105"/>
        <v>0.48391013964784457</v>
      </c>
      <c r="DV71" s="510">
        <f t="shared" ref="DV71" si="106">+DV69/DV82</f>
        <v>0.5082029040165944</v>
      </c>
      <c r="DW71" s="67">
        <f t="shared" si="105"/>
        <v>0.49657982826371705</v>
      </c>
      <c r="DX71" s="510">
        <f t="shared" ca="1" si="105"/>
        <v>0.47040798674267081</v>
      </c>
      <c r="DY71" s="510">
        <f t="shared" ca="1" si="105"/>
        <v>0.46380614649687313</v>
      </c>
      <c r="DZ71" s="510">
        <f t="shared" si="105"/>
        <v>0.4579247761857953</v>
      </c>
      <c r="EA71" s="510">
        <f t="shared" ca="1" si="105"/>
        <v>0.47115554582633562</v>
      </c>
      <c r="EB71" s="67">
        <f t="shared" ca="1" si="105"/>
        <v>0.46591767021499969</v>
      </c>
      <c r="EC71" s="510">
        <f t="shared" si="105"/>
        <v>0.45048581357844786</v>
      </c>
      <c r="ED71" s="510">
        <f t="shared" si="105"/>
        <v>0.45287121579614026</v>
      </c>
      <c r="EE71" s="510">
        <f t="shared" si="105"/>
        <v>0.45725525977735498</v>
      </c>
      <c r="EF71" s="510">
        <f t="shared" si="105"/>
        <v>0.47822600644919294</v>
      </c>
      <c r="EG71" s="67">
        <f t="shared" si="105"/>
        <v>0.45995519251611156</v>
      </c>
      <c r="EH71" s="510">
        <f t="shared" ref="EH71:EL71" si="107">+EH69/EH82</f>
        <v>0.44540034798115186</v>
      </c>
      <c r="EI71" s="510">
        <f t="shared" si="107"/>
        <v>0.44704401862061016</v>
      </c>
      <c r="EJ71" s="510">
        <f t="shared" si="107"/>
        <v>0.45067469981996672</v>
      </c>
      <c r="EK71" s="510">
        <f t="shared" si="107"/>
        <v>0.46971689837186986</v>
      </c>
      <c r="EL71" s="67">
        <f t="shared" si="107"/>
        <v>0.45342764314692147</v>
      </c>
    </row>
    <row r="72" spans="1:142" ht="11.25" customHeight="1">
      <c r="A72" s="9"/>
      <c r="B72" s="9"/>
      <c r="C72" s="9"/>
      <c r="D72" s="9"/>
      <c r="E72" s="9"/>
      <c r="F72" s="9"/>
      <c r="G72" s="9"/>
      <c r="H72" s="63"/>
      <c r="I72" s="9"/>
      <c r="J72" s="9"/>
      <c r="K72" s="9"/>
      <c r="L72" s="9"/>
      <c r="M72" s="63"/>
      <c r="N72" s="9"/>
      <c r="O72" s="9"/>
      <c r="P72" s="9"/>
      <c r="Q72" s="9"/>
      <c r="R72" s="63"/>
      <c r="S72" s="9"/>
      <c r="T72" s="9"/>
      <c r="U72" s="9"/>
      <c r="V72" s="9"/>
      <c r="W72" s="63"/>
      <c r="X72" s="9"/>
      <c r="Y72" s="9"/>
      <c r="Z72" s="9"/>
      <c r="AA72" s="9"/>
      <c r="AB72" s="63"/>
      <c r="AC72" s="9"/>
      <c r="AD72" s="9"/>
      <c r="AE72" s="9"/>
      <c r="AF72" s="9"/>
      <c r="AG72" s="63"/>
      <c r="AH72" s="9"/>
      <c r="AI72" s="9"/>
      <c r="AJ72" s="9"/>
      <c r="AK72" s="9"/>
      <c r="AL72" s="63"/>
      <c r="AM72" s="9"/>
      <c r="AN72" s="9"/>
      <c r="AO72" s="9"/>
      <c r="AP72" s="9"/>
      <c r="AQ72" s="63"/>
      <c r="AR72" s="9"/>
      <c r="AS72" s="9"/>
      <c r="AT72" s="9"/>
      <c r="AU72" s="137"/>
      <c r="AV72" s="9"/>
      <c r="AW72" s="9"/>
      <c r="AX72" s="9"/>
      <c r="AY72" s="9"/>
      <c r="AZ72" s="63"/>
      <c r="BA72" s="9"/>
      <c r="BB72" s="9"/>
      <c r="BC72" s="9"/>
      <c r="BD72" s="9"/>
      <c r="BE72" s="63"/>
      <c r="BF72" s="9"/>
      <c r="BG72" s="9"/>
      <c r="BH72" s="9"/>
      <c r="BI72" s="9"/>
      <c r="BJ72" s="63"/>
      <c r="BK72" s="9"/>
      <c r="BL72" s="9"/>
      <c r="BM72" s="9"/>
      <c r="BN72" s="9"/>
      <c r="BO72" s="63"/>
      <c r="BP72" s="9"/>
      <c r="BQ72" s="9"/>
      <c r="BR72" s="9"/>
      <c r="BS72" s="9"/>
      <c r="BT72" s="63"/>
      <c r="BU72" s="9"/>
      <c r="BV72" s="9"/>
      <c r="BW72" s="9"/>
      <c r="BX72" s="9"/>
      <c r="BY72" s="63"/>
      <c r="BZ72" s="9"/>
      <c r="CA72" s="9"/>
      <c r="CB72" s="9"/>
      <c r="CC72" s="9"/>
      <c r="CD72" s="63"/>
      <c r="CE72" s="9"/>
      <c r="CF72" s="9"/>
      <c r="CG72" s="9"/>
      <c r="CH72" s="9"/>
      <c r="CI72" s="63"/>
      <c r="CJ72" s="9"/>
      <c r="CK72" s="9"/>
      <c r="CL72" s="9"/>
      <c r="CM72" s="9"/>
      <c r="CN72" s="63"/>
      <c r="CO72" s="9"/>
      <c r="CP72" s="9"/>
      <c r="CQ72" s="9"/>
      <c r="CR72" s="9"/>
      <c r="CS72" s="63"/>
      <c r="CT72" s="9"/>
      <c r="CU72" s="9"/>
      <c r="CV72" s="9"/>
      <c r="CW72" s="9"/>
      <c r="CX72" s="63"/>
      <c r="CY72" s="9"/>
      <c r="CZ72" s="9"/>
      <c r="DA72" s="9"/>
      <c r="DB72" s="9" t="e">
        <f>DB69-#REF!</f>
        <v>#REF!</v>
      </c>
      <c r="DC72" s="63"/>
      <c r="DD72" s="9"/>
      <c r="DE72" s="9"/>
      <c r="DF72" s="9"/>
      <c r="DG72" s="9"/>
      <c r="DH72" s="63"/>
      <c r="DI72" s="9"/>
      <c r="DJ72" s="9"/>
      <c r="DK72" s="9"/>
      <c r="DL72" s="9"/>
      <c r="DM72" s="63"/>
      <c r="DN72" s="9"/>
      <c r="DO72" s="9"/>
      <c r="DP72" s="9"/>
      <c r="DQ72" s="9"/>
      <c r="DR72" s="63"/>
      <c r="DS72" s="9"/>
      <c r="DT72" s="9"/>
      <c r="DU72" s="9"/>
      <c r="DV72" s="9"/>
      <c r="DW72" s="63"/>
      <c r="DX72" s="9"/>
      <c r="DY72" s="9"/>
      <c r="DZ72" s="9"/>
      <c r="EA72" s="9"/>
      <c r="EB72" s="63"/>
      <c r="EC72" s="9"/>
      <c r="ED72" s="9"/>
      <c r="EE72" s="9"/>
      <c r="EF72" s="9"/>
      <c r="EG72" s="63"/>
      <c r="EH72" s="9"/>
      <c r="EI72" s="9"/>
      <c r="EJ72" s="9"/>
      <c r="EK72" s="9"/>
      <c r="EL72" s="63"/>
    </row>
    <row r="73" spans="1:142" ht="11.25" customHeight="1">
      <c r="A73" s="160"/>
      <c r="B73" s="160" t="s">
        <v>141</v>
      </c>
      <c r="C73" s="525"/>
      <c r="D73" s="525">
        <f>D278</f>
        <v>144.14400000000001</v>
      </c>
      <c r="E73" s="525">
        <f>E278</f>
        <v>138.39599999999999</v>
      </c>
      <c r="F73" s="525">
        <f>F278</f>
        <v>144.19999999999999</v>
      </c>
      <c r="G73" s="525">
        <f>G278</f>
        <v>359.56</v>
      </c>
      <c r="H73" s="503">
        <f>SUM(D73:G73)</f>
        <v>786.3</v>
      </c>
      <c r="I73" s="525">
        <f>I278</f>
        <v>365.3</v>
      </c>
      <c r="J73" s="525">
        <f>J278</f>
        <v>390</v>
      </c>
      <c r="K73" s="525">
        <f>K278</f>
        <v>402.6</v>
      </c>
      <c r="L73" s="525">
        <f>L278</f>
        <v>414.09999999999991</v>
      </c>
      <c r="M73" s="503">
        <f>SUM(I73:L73)</f>
        <v>1572</v>
      </c>
      <c r="N73" s="525">
        <f>N278</f>
        <v>410.5</v>
      </c>
      <c r="O73" s="525">
        <f>O278</f>
        <v>425.7</v>
      </c>
      <c r="P73" s="525">
        <f>P278</f>
        <v>639.79999999999995</v>
      </c>
      <c r="Q73" s="525">
        <f>Q278</f>
        <v>1039</v>
      </c>
      <c r="R73" s="503">
        <f>SUM(N73:Q73)</f>
        <v>2515</v>
      </c>
      <c r="S73" s="525">
        <f>S278</f>
        <v>735</v>
      </c>
      <c r="T73" s="525">
        <f>T278</f>
        <v>759</v>
      </c>
      <c r="U73" s="525">
        <f>U278</f>
        <v>724</v>
      </c>
      <c r="V73" s="525">
        <f>V278</f>
        <v>760</v>
      </c>
      <c r="W73" s="503">
        <f>SUM(S73:V73)</f>
        <v>2978</v>
      </c>
      <c r="X73" s="525">
        <f>X278</f>
        <v>786</v>
      </c>
      <c r="Y73" s="525">
        <f>Y278</f>
        <v>755</v>
      </c>
      <c r="Z73" s="525">
        <f>Z278</f>
        <v>807</v>
      </c>
      <c r="AA73" s="525">
        <f>AA278</f>
        <v>837</v>
      </c>
      <c r="AB73" s="503">
        <f>SUM(X73:AA73)</f>
        <v>3185</v>
      </c>
      <c r="AC73" s="525">
        <f>AC278</f>
        <v>902</v>
      </c>
      <c r="AD73" s="525">
        <f>AD278</f>
        <v>823</v>
      </c>
      <c r="AE73" s="525">
        <f>AE278</f>
        <v>795</v>
      </c>
      <c r="AF73" s="525">
        <f>AF278</f>
        <v>874</v>
      </c>
      <c r="AG73" s="503">
        <f>SUM(AC73:AF73)</f>
        <v>3394</v>
      </c>
      <c r="AH73" s="525">
        <f>AH278</f>
        <v>912</v>
      </c>
      <c r="AI73" s="525">
        <f>AI278</f>
        <v>879</v>
      </c>
      <c r="AJ73" s="525">
        <f>AJ278</f>
        <v>864</v>
      </c>
      <c r="AK73" s="525">
        <f>AK278</f>
        <v>948</v>
      </c>
      <c r="AL73" s="503">
        <f>SUM(AH73:AK73)</f>
        <v>3603</v>
      </c>
      <c r="AM73" s="525">
        <f>AM278</f>
        <v>997</v>
      </c>
      <c r="AN73" s="525">
        <f>AN278</f>
        <v>1014</v>
      </c>
      <c r="AO73" s="525">
        <f>AO278</f>
        <v>982</v>
      </c>
      <c r="AP73" s="525">
        <f>AP278</f>
        <v>1115</v>
      </c>
      <c r="AQ73" s="503">
        <f>SUM(AM73:AP73)</f>
        <v>4108</v>
      </c>
      <c r="AR73" s="525">
        <f>AR278</f>
        <v>1122</v>
      </c>
      <c r="AS73" s="525">
        <f>AS278</f>
        <v>1138</v>
      </c>
      <c r="AT73" s="525">
        <f>AT278</f>
        <v>1103</v>
      </c>
      <c r="AU73" s="137"/>
      <c r="AV73" s="525" t="str">
        <f>AV278</f>
        <v>ND</v>
      </c>
      <c r="AW73" s="525" t="str">
        <f>AW278</f>
        <v>ND</v>
      </c>
      <c r="AX73" s="525" t="str">
        <f>AX278</f>
        <v>ND</v>
      </c>
      <c r="AY73" s="525" t="str">
        <f>AY278</f>
        <v>ND</v>
      </c>
      <c r="AZ73" s="503">
        <f>SUM(AV73:AY73)</f>
        <v>0</v>
      </c>
      <c r="BA73" s="476">
        <f>BA278</f>
        <v>1012</v>
      </c>
      <c r="BB73" s="476">
        <f>BB278</f>
        <v>1014</v>
      </c>
      <c r="BC73" s="476">
        <f>BC278</f>
        <v>1006</v>
      </c>
      <c r="BD73" s="476">
        <f>BD278</f>
        <v>929</v>
      </c>
      <c r="BE73" s="503">
        <f>SUM(BA73:BD73)</f>
        <v>3961</v>
      </c>
      <c r="BF73" s="476">
        <f>BF278</f>
        <v>808</v>
      </c>
      <c r="BG73" s="476">
        <f>BG278</f>
        <v>781</v>
      </c>
      <c r="BH73" s="476">
        <f>BH278</f>
        <v>751</v>
      </c>
      <c r="BI73" s="476">
        <f>BI278</f>
        <v>714</v>
      </c>
      <c r="BJ73" s="503">
        <f>SUM(BF73:BI73)</f>
        <v>3054</v>
      </c>
      <c r="BK73" s="476">
        <f>BK278</f>
        <v>709</v>
      </c>
      <c r="BL73" s="476">
        <f>BL278</f>
        <v>727</v>
      </c>
      <c r="BM73" s="476">
        <f>BM278</f>
        <v>708</v>
      </c>
      <c r="BN73" s="476">
        <f>BN278</f>
        <v>641</v>
      </c>
      <c r="BO73" s="503">
        <f>SUM(BK73:BN73)</f>
        <v>2785</v>
      </c>
      <c r="BP73" s="476">
        <f>BP278</f>
        <v>664</v>
      </c>
      <c r="BQ73" s="476">
        <f>BQ278</f>
        <v>632</v>
      </c>
      <c r="BR73" s="476">
        <f>BR278</f>
        <v>623</v>
      </c>
      <c r="BS73" s="476">
        <f>BS278</f>
        <v>622</v>
      </c>
      <c r="BT73" s="503">
        <f>SUM(BP73:BS73)</f>
        <v>2541</v>
      </c>
      <c r="BU73" s="476">
        <f>BU278</f>
        <v>657</v>
      </c>
      <c r="BV73" s="476">
        <f>BV278</f>
        <v>667</v>
      </c>
      <c r="BW73" s="476">
        <f>BW278</f>
        <v>654</v>
      </c>
      <c r="BX73" s="476">
        <f>BX278</f>
        <v>660</v>
      </c>
      <c r="BY73" s="503">
        <f>SUM(BU73:BX73)</f>
        <v>2638</v>
      </c>
      <c r="BZ73" s="476">
        <f>BZ278</f>
        <v>683</v>
      </c>
      <c r="CA73" s="476">
        <f>CA278</f>
        <v>670</v>
      </c>
      <c r="CB73" s="476">
        <f>CB278</f>
        <v>664</v>
      </c>
      <c r="CC73" s="476">
        <f>CC278</f>
        <v>654</v>
      </c>
      <c r="CD73" s="503">
        <f>SUM(BZ73:CC73)</f>
        <v>2671</v>
      </c>
      <c r="CE73" s="476">
        <f>CE278</f>
        <v>674</v>
      </c>
      <c r="CF73" s="476">
        <f>CF278</f>
        <v>702</v>
      </c>
      <c r="CG73" s="476">
        <f>CG278</f>
        <v>709</v>
      </c>
      <c r="CH73" s="476">
        <f>CH278</f>
        <v>691</v>
      </c>
      <c r="CI73" s="503">
        <f>SUM(CE73:CH73)</f>
        <v>2776</v>
      </c>
      <c r="CJ73" s="476">
        <f>CJ278</f>
        <v>706</v>
      </c>
      <c r="CK73" s="476">
        <f>CK278</f>
        <v>733</v>
      </c>
      <c r="CL73" s="476">
        <f>CL278</f>
        <v>734</v>
      </c>
      <c r="CM73" s="476">
        <f>CM278</f>
        <v>730</v>
      </c>
      <c r="CN73" s="503">
        <f>SUM(CJ73:CM73)</f>
        <v>2903</v>
      </c>
      <c r="CO73" s="476">
        <f>CO278</f>
        <v>720</v>
      </c>
      <c r="CP73" s="476">
        <f>CP278</f>
        <v>738</v>
      </c>
      <c r="CQ73" s="476">
        <f>CQ278</f>
        <v>734</v>
      </c>
      <c r="CR73" s="476">
        <f>CR278</f>
        <v>736</v>
      </c>
      <c r="CS73" s="503">
        <f>SUM(CO73:CR73)</f>
        <v>2928</v>
      </c>
      <c r="CT73" s="476">
        <f>CT278</f>
        <v>766</v>
      </c>
      <c r="CU73" s="476">
        <f>CU278</f>
        <v>791</v>
      </c>
      <c r="CV73" s="476">
        <f>CV278</f>
        <v>789</v>
      </c>
      <c r="CW73" s="476">
        <f>CW278</f>
        <v>821</v>
      </c>
      <c r="CX73" s="503">
        <f>SUM(CT73:CW73)</f>
        <v>3167</v>
      </c>
      <c r="CY73" s="476">
        <f>CY278</f>
        <v>813</v>
      </c>
      <c r="CZ73" s="476">
        <f>CZ278</f>
        <v>844</v>
      </c>
      <c r="DA73" s="476">
        <f>DA278</f>
        <v>845</v>
      </c>
      <c r="DB73" s="476">
        <f>DB278</f>
        <v>1357</v>
      </c>
      <c r="DC73" s="503">
        <f>SUM(CY73:DB73)</f>
        <v>3859</v>
      </c>
      <c r="DD73" s="476">
        <f>DD278</f>
        <v>1346</v>
      </c>
      <c r="DE73" s="476">
        <f>DE278</f>
        <v>1448</v>
      </c>
      <c r="DF73" s="476">
        <f>DF278</f>
        <v>1441</v>
      </c>
      <c r="DG73" s="476">
        <f>DG278</f>
        <v>1539</v>
      </c>
      <c r="DH73" s="503">
        <f>SUM(DD73:DG73)</f>
        <v>5774</v>
      </c>
      <c r="DI73" s="476">
        <f>DI278</f>
        <v>1412</v>
      </c>
      <c r="DJ73" s="476">
        <f>DJ278</f>
        <v>1484</v>
      </c>
      <c r="DK73" s="476">
        <f>DK278</f>
        <v>1515</v>
      </c>
      <c r="DL73" s="476">
        <f>DL278</f>
        <v>1616</v>
      </c>
      <c r="DM73" s="503">
        <f>SUM(DI73:DL73)</f>
        <v>6027</v>
      </c>
      <c r="DN73" s="476">
        <f>DN278</f>
        <v>1514</v>
      </c>
      <c r="DO73" s="476">
        <f>DO278</f>
        <v>1460</v>
      </c>
      <c r="DP73" s="476">
        <f>DP278</f>
        <v>1417</v>
      </c>
      <c r="DQ73" s="476">
        <f>DQ278</f>
        <v>1457</v>
      </c>
      <c r="DR73" s="503">
        <f>SUM(DN73:DQ73)</f>
        <v>5848</v>
      </c>
      <c r="DS73" s="476">
        <f>DS143+(DS29-DS29/DS94)</f>
        <v>1463</v>
      </c>
      <c r="DT73" s="476">
        <f>DT143+(DT29-DT29/DT94)</f>
        <v>1491</v>
      </c>
      <c r="DU73" s="476">
        <f>DU143+(DU29-DU29/DU94)</f>
        <v>1386</v>
      </c>
      <c r="DV73" s="476">
        <f>DV143+(DV29-DV29/DV94)</f>
        <v>1431</v>
      </c>
      <c r="DW73" s="503">
        <f>SUM(DS73:DV73)</f>
        <v>5771</v>
      </c>
      <c r="DX73" s="476">
        <f>DX143</f>
        <v>1470.3149999999998</v>
      </c>
      <c r="DY73" s="476">
        <f>DY143</f>
        <v>1498.4549999999999</v>
      </c>
      <c r="DZ73" s="476">
        <f>DZ143</f>
        <v>1392.9299999999998</v>
      </c>
      <c r="EA73" s="476">
        <f>EA143</f>
        <v>1438.1549999999997</v>
      </c>
      <c r="EB73" s="503">
        <f>SUM(DX73:EA73)</f>
        <v>5799.8549999999987</v>
      </c>
      <c r="EC73" s="476">
        <f>EC143+(EC29-EC29/1.78)</f>
        <v>1492.3697249999998</v>
      </c>
      <c r="ED73" s="476">
        <f>ED143+(ED29-ED29/ED94)</f>
        <v>1520.9318249999999</v>
      </c>
      <c r="EE73" s="476">
        <f>EE143+(EE29-EE29/EE94)</f>
        <v>1413.8239499999997</v>
      </c>
      <c r="EF73" s="476">
        <f>EF143+(EF29-EF29/EF94)</f>
        <v>1459.7273249999996</v>
      </c>
      <c r="EG73" s="503">
        <f>SUM(EC73:EF73)</f>
        <v>5886.852824999999</v>
      </c>
      <c r="EH73" s="476">
        <f>EH143+(EH29-EH29/EH94)</f>
        <v>1514.7552708749997</v>
      </c>
      <c r="EI73" s="476">
        <f>EI143+(EI29-EI29/EI94)</f>
        <v>1543.7458023749998</v>
      </c>
      <c r="EJ73" s="476">
        <f>EJ143+(EJ29-EJ29/EJ94)</f>
        <v>1435.0313092499996</v>
      </c>
      <c r="EK73" s="476">
        <f>EK143+(EK29-EK29/EK94)</f>
        <v>1481.6232348749995</v>
      </c>
      <c r="EL73" s="503">
        <f>SUM(EH73:EK73)</f>
        <v>5975.1556173749996</v>
      </c>
    </row>
    <row r="74" spans="1:142" ht="11.25" customHeight="1">
      <c r="A74" s="415"/>
      <c r="B74" s="415" t="s">
        <v>133</v>
      </c>
      <c r="C74" s="66"/>
      <c r="D74" s="66"/>
      <c r="E74" s="66"/>
      <c r="F74" s="66"/>
      <c r="G74" s="66"/>
      <c r="H74" s="85"/>
      <c r="I74" s="510">
        <f>I73/D73-1</f>
        <v>1.5342712842712842</v>
      </c>
      <c r="J74" s="510">
        <f>J73/E73-1</f>
        <v>1.8180005202462501</v>
      </c>
      <c r="K74" s="510">
        <f>K73/F73-1</f>
        <v>1.7919556171983362</v>
      </c>
      <c r="L74" s="510">
        <f>L73/G73-1</f>
        <v>0.15168539325842678</v>
      </c>
      <c r="M74" s="85">
        <f>IF(ISERROR(M73/H73-1),"nm",M73/H73-1)</f>
        <v>0.99923693246852352</v>
      </c>
      <c r="N74" s="510">
        <f>N73/I73-1</f>
        <v>0.12373391732822325</v>
      </c>
      <c r="O74" s="510">
        <f>O73/J73-1</f>
        <v>9.1538461538461569E-2</v>
      </c>
      <c r="P74" s="510">
        <f>P73/K73-1</f>
        <v>0.58917039244908076</v>
      </c>
      <c r="Q74" s="510">
        <f>Q73/L73-1</f>
        <v>1.5090557836271437</v>
      </c>
      <c r="R74" s="85">
        <f>IF(ISERROR(R73/M73-1),"nm",R73/M73-1)</f>
        <v>0.59987277353689561</v>
      </c>
      <c r="S74" s="510">
        <f>S73/N73-1</f>
        <v>0.7904993909866016</v>
      </c>
      <c r="T74" s="510">
        <f>T73/O73-1</f>
        <v>0.78294573643410859</v>
      </c>
      <c r="U74" s="510">
        <f>U73/P73-1</f>
        <v>0.13160362613316678</v>
      </c>
      <c r="V74" s="510">
        <f>V73/Q73-1</f>
        <v>-0.26852743022136671</v>
      </c>
      <c r="W74" s="85">
        <f>IF(ISERROR(W73/R73-1),"nm",W73/R73-1)</f>
        <v>0.18409542743538765</v>
      </c>
      <c r="X74" s="510">
        <f>X73/S73-1</f>
        <v>6.938775510204076E-2</v>
      </c>
      <c r="Y74" s="510">
        <f>Y73/T73-1</f>
        <v>-5.2700922266140093E-3</v>
      </c>
      <c r="Z74" s="510">
        <f>Z73/U73-1</f>
        <v>0.11464088397790051</v>
      </c>
      <c r="AA74" s="510">
        <f>AA73/V73-1</f>
        <v>0.10131578947368425</v>
      </c>
      <c r="AB74" s="85">
        <f>IF(ISERROR(AB73/W73-1),"nm",AB73/W73-1)</f>
        <v>6.9509738079247763E-2</v>
      </c>
      <c r="AC74" s="510">
        <f>AC73/X73-1</f>
        <v>0.14758269720101791</v>
      </c>
      <c r="AD74" s="510">
        <f>AD73/Y73-1</f>
        <v>9.0066225165562841E-2</v>
      </c>
      <c r="AE74" s="510">
        <f>AE73/Z73-1</f>
        <v>-1.4869888475836479E-2</v>
      </c>
      <c r="AF74" s="510">
        <f>AF73/AA73-1</f>
        <v>4.4205495818399054E-2</v>
      </c>
      <c r="AG74" s="85">
        <f>IF(ISERROR(AG73/AB73-1),"nm",AG73/AB73-1)</f>
        <v>6.5620094191522815E-2</v>
      </c>
      <c r="AH74" s="510">
        <f>AH73/AC73-1</f>
        <v>1.1086474501108556E-2</v>
      </c>
      <c r="AI74" s="510">
        <f>AI73/AD73-1</f>
        <v>6.8043742405832219E-2</v>
      </c>
      <c r="AJ74" s="510">
        <f>AJ73/AE73-1</f>
        <v>8.679245283018866E-2</v>
      </c>
      <c r="AK74" s="510">
        <f>AK73/AF73-1</f>
        <v>8.4668192219679694E-2</v>
      </c>
      <c r="AL74" s="85">
        <f>IF(ISERROR(AL73/AG73-1),"nm",AL73/AG73-1)</f>
        <v>6.1579257513258767E-2</v>
      </c>
      <c r="AM74" s="510">
        <f>AM73/AH73-1</f>
        <v>9.3201754385964897E-2</v>
      </c>
      <c r="AN74" s="510">
        <f>AN73/AI73-1</f>
        <v>0.15358361774744034</v>
      </c>
      <c r="AO74" s="510">
        <f>AO73/AJ73-1</f>
        <v>0.13657407407407418</v>
      </c>
      <c r="AP74" s="510">
        <f>AP73/AK73-1</f>
        <v>0.17616033755274252</v>
      </c>
      <c r="AQ74" s="85">
        <f>IF(ISERROR(AQ73/AL73-1),"nm",AQ73/AL73-1)</f>
        <v>0.14016097696364138</v>
      </c>
      <c r="AR74" s="510">
        <f>AR73/AM73-1</f>
        <v>0.12537612838515555</v>
      </c>
      <c r="AS74" s="510">
        <f>AS73/AN73-1</f>
        <v>0.12228796844181455</v>
      </c>
      <c r="AT74" s="510">
        <f>AT73/AO73-1</f>
        <v>0.12321792260692455</v>
      </c>
      <c r="AU74" s="137"/>
      <c r="AV74" s="66"/>
      <c r="AW74" s="66"/>
      <c r="AX74" s="66"/>
      <c r="AY74" s="66"/>
      <c r="AZ74" s="65"/>
      <c r="BA74" s="84" t="str">
        <f>IF(ISERROR(BA73/AV73-1),"nm",BA73/AV73-1)</f>
        <v>nm</v>
      </c>
      <c r="BB74" s="84" t="str">
        <f>IF(ISERROR(BB73/AW73-1),"nm",BB73/AW73-1)</f>
        <v>nm</v>
      </c>
      <c r="BC74" s="84" t="str">
        <f>IF(ISERROR(BC73/AX73-1),"nm",BC73/AX73-1)</f>
        <v>nm</v>
      </c>
      <c r="BD74" s="84" t="str">
        <f>IF(ISERROR(BD73/AY73-1),"nm",BD73/AY73-1)</f>
        <v>nm</v>
      </c>
      <c r="BE74" s="85" t="str">
        <f>IF(ISERROR(BE73/AZ73-1),"nm",BE73/AZ73-1)</f>
        <v>nm</v>
      </c>
      <c r="BF74" s="510">
        <f>BF73/BA73-1</f>
        <v>-0.20158102766798414</v>
      </c>
      <c r="BG74" s="510">
        <f>BG73/BB73-1</f>
        <v>-0.22978303747534512</v>
      </c>
      <c r="BH74" s="510">
        <f>BH73/BC73-1</f>
        <v>-0.25347912524850891</v>
      </c>
      <c r="BI74" s="510">
        <f>BI73/BD73-1</f>
        <v>-0.2314316469321851</v>
      </c>
      <c r="BJ74" s="67">
        <f>BJ73/BE73-1</f>
        <v>-0.22898258015652617</v>
      </c>
      <c r="BK74" s="510">
        <f>IF(ISERROR(BK73/BF73-1),"NM",BK73/BF73-1)</f>
        <v>-0.12252475247524752</v>
      </c>
      <c r="BL74" s="510">
        <f>IF(ISERROR(BL73/BG73-1),"NM",BL73/BG73-1)</f>
        <v>-6.9142125480153638E-2</v>
      </c>
      <c r="BM74" s="510">
        <f>IF(ISERROR(BM73/BH73-1),"NM",BM73/BH73-1)</f>
        <v>-5.725699067909451E-2</v>
      </c>
      <c r="BN74" s="510">
        <f>IF(ISERROR(BN73/BI73-1),"NM",BN73/BI73-1)</f>
        <v>-0.10224089635854339</v>
      </c>
      <c r="BO74" s="67">
        <f>IF(ISERROR(BO73/BJ73-1),"NM",BO73/BJ73-1)</f>
        <v>-8.8081204977079275E-2</v>
      </c>
      <c r="BP74" s="510">
        <f t="shared" ref="BP74:CU74" si="108">BP73/BK73-1</f>
        <v>-6.3469675599435837E-2</v>
      </c>
      <c r="BQ74" s="510">
        <f t="shared" si="108"/>
        <v>-0.13067400275103158</v>
      </c>
      <c r="BR74" s="510">
        <f t="shared" si="108"/>
        <v>-0.12005649717514122</v>
      </c>
      <c r="BS74" s="510">
        <f t="shared" si="108"/>
        <v>-2.9641185647425905E-2</v>
      </c>
      <c r="BT74" s="67">
        <f t="shared" si="108"/>
        <v>-8.7612208258527779E-2</v>
      </c>
      <c r="BU74" s="510">
        <f t="shared" si="108"/>
        <v>-1.0542168674698815E-2</v>
      </c>
      <c r="BV74" s="510">
        <f t="shared" si="108"/>
        <v>5.5379746835443111E-2</v>
      </c>
      <c r="BW74" s="510">
        <f t="shared" si="108"/>
        <v>4.9759229534510396E-2</v>
      </c>
      <c r="BX74" s="510">
        <f t="shared" si="108"/>
        <v>6.1093247588424493E-2</v>
      </c>
      <c r="BY74" s="67">
        <f t="shared" si="108"/>
        <v>3.8173947264856345E-2</v>
      </c>
      <c r="BZ74" s="510">
        <f t="shared" si="108"/>
        <v>3.9573820395738313E-2</v>
      </c>
      <c r="CA74" s="510">
        <f t="shared" si="108"/>
        <v>4.4977511244377322E-3</v>
      </c>
      <c r="CB74" s="510">
        <f t="shared" si="108"/>
        <v>1.5290519877675823E-2</v>
      </c>
      <c r="CC74" s="510">
        <f t="shared" si="108"/>
        <v>-9.0909090909090384E-3</v>
      </c>
      <c r="CD74" s="67">
        <f t="shared" si="108"/>
        <v>1.2509476876421566E-2</v>
      </c>
      <c r="CE74" s="510">
        <f t="shared" si="108"/>
        <v>-1.3177159590043952E-2</v>
      </c>
      <c r="CF74" s="510">
        <f t="shared" si="108"/>
        <v>4.7761194029850795E-2</v>
      </c>
      <c r="CG74" s="510">
        <f t="shared" si="108"/>
        <v>6.7771084337349352E-2</v>
      </c>
      <c r="CH74" s="510">
        <f t="shared" si="108"/>
        <v>5.657492354740068E-2</v>
      </c>
      <c r="CI74" s="67">
        <f t="shared" si="108"/>
        <v>3.9311119430924801E-2</v>
      </c>
      <c r="CJ74" s="510">
        <f t="shared" si="108"/>
        <v>4.7477744807121747E-2</v>
      </c>
      <c r="CK74" s="510">
        <f t="shared" si="108"/>
        <v>4.4159544159544151E-2</v>
      </c>
      <c r="CL74" s="510">
        <f t="shared" si="108"/>
        <v>3.5260930888575404E-2</v>
      </c>
      <c r="CM74" s="510">
        <f t="shared" si="108"/>
        <v>5.6439942112879837E-2</v>
      </c>
      <c r="CN74" s="67">
        <f t="shared" si="108"/>
        <v>4.5749279538904952E-2</v>
      </c>
      <c r="CO74" s="510">
        <f t="shared" si="108"/>
        <v>1.9830028328611915E-2</v>
      </c>
      <c r="CP74" s="510">
        <f t="shared" si="108"/>
        <v>6.8212824010913664E-3</v>
      </c>
      <c r="CQ74" s="510">
        <f t="shared" si="108"/>
        <v>0</v>
      </c>
      <c r="CR74" s="510">
        <f t="shared" si="108"/>
        <v>8.2191780821918581E-3</v>
      </c>
      <c r="CS74" s="67">
        <f t="shared" si="108"/>
        <v>8.6117809162935544E-3</v>
      </c>
      <c r="CT74" s="510">
        <f t="shared" si="108"/>
        <v>6.3888888888888884E-2</v>
      </c>
      <c r="CU74" s="510">
        <f t="shared" si="108"/>
        <v>7.1815718157181463E-2</v>
      </c>
      <c r="CV74" s="510">
        <f t="shared" ref="CV74:DR74" si="109">CV73/CQ73-1</f>
        <v>7.4931880108991766E-2</v>
      </c>
      <c r="CW74" s="510">
        <f t="shared" si="109"/>
        <v>0.11548913043478271</v>
      </c>
      <c r="CX74" s="67">
        <f t="shared" si="109"/>
        <v>8.16256830601092E-2</v>
      </c>
      <c r="CY74" s="510">
        <f t="shared" si="109"/>
        <v>6.1357702349869481E-2</v>
      </c>
      <c r="CZ74" s="510">
        <f t="shared" si="109"/>
        <v>6.7003792667509554E-2</v>
      </c>
      <c r="DA74" s="510">
        <f t="shared" si="109"/>
        <v>7.0975918884664146E-2</v>
      </c>
      <c r="DB74" s="510">
        <f t="shared" si="109"/>
        <v>0.65286236297198541</v>
      </c>
      <c r="DC74" s="67">
        <f t="shared" si="109"/>
        <v>0.21850331544047985</v>
      </c>
      <c r="DD74" s="510">
        <f t="shared" si="109"/>
        <v>0.65559655596555966</v>
      </c>
      <c r="DE74" s="510">
        <f t="shared" si="109"/>
        <v>0.71563981042654023</v>
      </c>
      <c r="DF74" s="510">
        <f t="shared" si="109"/>
        <v>0.70532544378698225</v>
      </c>
      <c r="DG74" s="510">
        <f t="shared" si="109"/>
        <v>0.13411938098747234</v>
      </c>
      <c r="DH74" s="67">
        <f t="shared" si="109"/>
        <v>0.49624254988338956</v>
      </c>
      <c r="DI74" s="510">
        <f t="shared" si="109"/>
        <v>4.9034175334323971E-2</v>
      </c>
      <c r="DJ74" s="510">
        <f t="shared" si="109"/>
        <v>2.4861878453038777E-2</v>
      </c>
      <c r="DK74" s="510">
        <f t="shared" si="109"/>
        <v>5.1353226925745954E-2</v>
      </c>
      <c r="DL74" s="510">
        <f t="shared" si="109"/>
        <v>5.0032488628979799E-2</v>
      </c>
      <c r="DM74" s="67">
        <f t="shared" si="109"/>
        <v>4.3817111188084512E-2</v>
      </c>
      <c r="DN74" s="510">
        <f t="shared" si="109"/>
        <v>7.2237960339943452E-2</v>
      </c>
      <c r="DO74" s="510">
        <f t="shared" si="109"/>
        <v>-1.6172506738544423E-2</v>
      </c>
      <c r="DP74" s="510">
        <f t="shared" si="109"/>
        <v>-6.468646864686467E-2</v>
      </c>
      <c r="DQ74" s="510">
        <f t="shared" si="109"/>
        <v>-9.8391089108910923E-2</v>
      </c>
      <c r="DR74" s="67">
        <f t="shared" si="109"/>
        <v>-2.9699684751949507E-2</v>
      </c>
      <c r="DS74" s="510">
        <f t="shared" ref="DS74:EG74" si="110">DS73/DN73-1</f>
        <v>-3.3685601056803183E-2</v>
      </c>
      <c r="DT74" s="510">
        <f t="shared" si="110"/>
        <v>2.1232876712328874E-2</v>
      </c>
      <c r="DU74" s="510">
        <f t="shared" si="110"/>
        <v>-2.1877205363443841E-2</v>
      </c>
      <c r="DV74" s="510">
        <f t="shared" si="110"/>
        <v>-1.7844886753603295E-2</v>
      </c>
      <c r="DW74" s="67">
        <f t="shared" si="110"/>
        <v>-1.3166894664842665E-2</v>
      </c>
      <c r="DX74" s="510">
        <f t="shared" si="110"/>
        <v>4.9999999999998934E-3</v>
      </c>
      <c r="DY74" s="510">
        <f t="shared" si="110"/>
        <v>4.9999999999998934E-3</v>
      </c>
      <c r="DZ74" s="510">
        <f t="shared" si="110"/>
        <v>4.9999999999998934E-3</v>
      </c>
      <c r="EA74" s="510">
        <f t="shared" si="110"/>
        <v>4.9999999999998934E-3</v>
      </c>
      <c r="EB74" s="67">
        <f t="shared" si="110"/>
        <v>4.9999999999996714E-3</v>
      </c>
      <c r="EC74" s="510">
        <f t="shared" si="110"/>
        <v>1.4999999999999902E-2</v>
      </c>
      <c r="ED74" s="510">
        <f t="shared" si="110"/>
        <v>1.4999999999999902E-2</v>
      </c>
      <c r="EE74" s="510">
        <f t="shared" si="110"/>
        <v>1.4999999999999902E-2</v>
      </c>
      <c r="EF74" s="510">
        <f t="shared" si="110"/>
        <v>1.4999999999999902E-2</v>
      </c>
      <c r="EG74" s="67">
        <f t="shared" si="110"/>
        <v>1.5000000000000124E-2</v>
      </c>
      <c r="EH74" s="510">
        <f t="shared" ref="EH74" si="111">EH73/EC73-1</f>
        <v>1.4999999999999902E-2</v>
      </c>
      <c r="EI74" s="510">
        <f t="shared" ref="EI74" si="112">EI73/ED73-1</f>
        <v>1.4999999999999902E-2</v>
      </c>
      <c r="EJ74" s="510">
        <f t="shared" ref="EJ74" si="113">EJ73/EE73-1</f>
        <v>1.4999999999999902E-2</v>
      </c>
      <c r="EK74" s="510">
        <f t="shared" ref="EK74" si="114">EK73/EF73-1</f>
        <v>1.4999999999999902E-2</v>
      </c>
      <c r="EL74" s="67">
        <f t="shared" ref="EL74" si="115">EL73/EG73-1</f>
        <v>1.5000000000000124E-2</v>
      </c>
    </row>
    <row r="75" spans="1:142" s="680" customFormat="1" ht="11.25" customHeight="1">
      <c r="A75" s="848"/>
      <c r="B75" s="848" t="s">
        <v>140</v>
      </c>
      <c r="C75" s="850"/>
      <c r="D75" s="850">
        <f t="shared" ref="D75:AT75" si="116">+D73/D82</f>
        <v>0.21746588517504356</v>
      </c>
      <c r="E75" s="850">
        <f t="shared" si="116"/>
        <v>0.21664996869129619</v>
      </c>
      <c r="F75" s="850">
        <f t="shared" si="116"/>
        <v>0.21831945495836486</v>
      </c>
      <c r="G75" s="850">
        <f t="shared" si="116"/>
        <v>0.2651886434121391</v>
      </c>
      <c r="H75" s="851">
        <f t="shared" si="116"/>
        <v>0.23698010849909582</v>
      </c>
      <c r="I75" s="850">
        <f t="shared" si="116"/>
        <v>0.28452371680037386</v>
      </c>
      <c r="J75" s="850">
        <f t="shared" si="116"/>
        <v>0.28448464512364141</v>
      </c>
      <c r="K75" s="850">
        <f t="shared" si="116"/>
        <v>0.28116488581604859</v>
      </c>
      <c r="L75" s="850">
        <f t="shared" si="116"/>
        <v>0.28126061264687902</v>
      </c>
      <c r="M75" s="851">
        <f t="shared" si="116"/>
        <v>0.28278467350242847</v>
      </c>
      <c r="N75" s="850">
        <f t="shared" si="116"/>
        <v>0.28534686500764633</v>
      </c>
      <c r="O75" s="850">
        <f t="shared" si="116"/>
        <v>0.28839509518325318</v>
      </c>
      <c r="P75" s="850">
        <f t="shared" si="116"/>
        <v>0.28602083240198484</v>
      </c>
      <c r="Q75" s="850">
        <f t="shared" si="116"/>
        <v>0.29355257953325425</v>
      </c>
      <c r="R75" s="851">
        <f t="shared" si="116"/>
        <v>0.28937981820273845</v>
      </c>
      <c r="S75" s="850">
        <f t="shared" si="116"/>
        <v>0.31531531531531531</v>
      </c>
      <c r="T75" s="850">
        <f t="shared" si="116"/>
        <v>0.31247426924660354</v>
      </c>
      <c r="U75" s="850">
        <f t="shared" si="116"/>
        <v>0.28237129485179407</v>
      </c>
      <c r="V75" s="850">
        <f t="shared" si="116"/>
        <v>0.29560482302605989</v>
      </c>
      <c r="W75" s="851">
        <f t="shared" si="116"/>
        <v>0.30096008084891357</v>
      </c>
      <c r="X75" s="850">
        <f t="shared" si="116"/>
        <v>0.30787309048178613</v>
      </c>
      <c r="Y75" s="850">
        <f t="shared" si="116"/>
        <v>0.29457666796722592</v>
      </c>
      <c r="Z75" s="850">
        <f t="shared" si="116"/>
        <v>0.28596739900779589</v>
      </c>
      <c r="AA75" s="850">
        <f t="shared" si="116"/>
        <v>0.28450033990482665</v>
      </c>
      <c r="AB75" s="851">
        <f t="shared" si="116"/>
        <v>0.29273897058823528</v>
      </c>
      <c r="AC75" s="850">
        <f t="shared" si="116"/>
        <v>0.31395753567699269</v>
      </c>
      <c r="AD75" s="850">
        <f t="shared" si="116"/>
        <v>0.29604316546762588</v>
      </c>
      <c r="AE75" s="850">
        <f t="shared" si="116"/>
        <v>0.27894736842105261</v>
      </c>
      <c r="AF75" s="850">
        <f t="shared" si="116"/>
        <v>0.3002404671934043</v>
      </c>
      <c r="AG75" s="851">
        <f t="shared" si="116"/>
        <v>0.29735412651130189</v>
      </c>
      <c r="AH75" s="850">
        <f t="shared" si="116"/>
        <v>0.31524369166954719</v>
      </c>
      <c r="AI75" s="850">
        <f t="shared" si="116"/>
        <v>0.30154373927958833</v>
      </c>
      <c r="AJ75" s="850">
        <f t="shared" si="116"/>
        <v>0.28458498023715417</v>
      </c>
      <c r="AK75" s="850">
        <f t="shared" si="116"/>
        <v>0.29541913368650669</v>
      </c>
      <c r="AL75" s="851">
        <f t="shared" si="116"/>
        <v>0.29892972703891146</v>
      </c>
      <c r="AM75" s="850">
        <f t="shared" si="116"/>
        <v>0.30239611768274188</v>
      </c>
      <c r="AN75" s="850">
        <f t="shared" si="116"/>
        <v>0.29876252209781967</v>
      </c>
      <c r="AO75" s="850">
        <f t="shared" si="116"/>
        <v>0.28185993111366248</v>
      </c>
      <c r="AP75" s="850">
        <f t="shared" si="116"/>
        <v>0.29828785446762973</v>
      </c>
      <c r="AQ75" s="851">
        <f t="shared" si="116"/>
        <v>0.29526342269819594</v>
      </c>
      <c r="AR75" s="850">
        <f t="shared" si="116"/>
        <v>0.30299756953821227</v>
      </c>
      <c r="AS75" s="850">
        <f t="shared" si="116"/>
        <v>0.30121757543673899</v>
      </c>
      <c r="AT75" s="850">
        <f t="shared" si="116"/>
        <v>0.29924036896364625</v>
      </c>
      <c r="AU75" s="802"/>
      <c r="AV75" s="1010" t="str">
        <f>IF(ISERROR(+AV73/AV82),"nm",+AV73/AV82)</f>
        <v>nm</v>
      </c>
      <c r="AW75" s="1010" t="str">
        <f>IF(ISERROR(+AW73/AW82),"nm",+AW73/AW82)</f>
        <v>nm</v>
      </c>
      <c r="AX75" s="1010" t="str">
        <f>IF(ISERROR(+AX73/AX82),"nm",+AX73/AX82)</f>
        <v>nm</v>
      </c>
      <c r="AY75" s="1010" t="str">
        <f>IF(ISERROR(+AY73/AY82),"nm",+AY73/AY82)</f>
        <v>nm</v>
      </c>
      <c r="AZ75" s="851">
        <f t="shared" ref="AZ75:CE75" si="117">+AZ73/AZ82</f>
        <v>0</v>
      </c>
      <c r="BA75" s="850">
        <f t="shared" si="117"/>
        <v>0.29316338354577059</v>
      </c>
      <c r="BB75" s="850">
        <f t="shared" si="117"/>
        <v>0.30008878366380587</v>
      </c>
      <c r="BC75" s="850">
        <f t="shared" si="117"/>
        <v>0.30512587200485292</v>
      </c>
      <c r="BD75" s="850">
        <f t="shared" si="117"/>
        <v>0.29204652624960703</v>
      </c>
      <c r="BE75" s="851">
        <f t="shared" si="117"/>
        <v>0.29761815312946127</v>
      </c>
      <c r="BF75" s="850">
        <f t="shared" si="117"/>
        <v>0.30273510678156612</v>
      </c>
      <c r="BG75" s="850">
        <f t="shared" si="117"/>
        <v>0.30389105058365756</v>
      </c>
      <c r="BH75" s="850">
        <f t="shared" si="117"/>
        <v>0.30778688524590164</v>
      </c>
      <c r="BI75" s="850">
        <f t="shared" si="117"/>
        <v>0.29601990049751242</v>
      </c>
      <c r="BJ75" s="851">
        <f t="shared" si="117"/>
        <v>0.30264592210880981</v>
      </c>
      <c r="BK75" s="850">
        <f t="shared" si="117"/>
        <v>0.28348660535785686</v>
      </c>
      <c r="BL75" s="850">
        <f t="shared" si="117"/>
        <v>0.30041322314049584</v>
      </c>
      <c r="BM75" s="850">
        <f t="shared" si="117"/>
        <v>0.2957393483709273</v>
      </c>
      <c r="BN75" s="850">
        <f t="shared" si="117"/>
        <v>0.27881687690300133</v>
      </c>
      <c r="BO75" s="851">
        <f t="shared" si="117"/>
        <v>0.28968171416684002</v>
      </c>
      <c r="BP75" s="850">
        <f t="shared" si="117"/>
        <v>0.27506213753106878</v>
      </c>
      <c r="BQ75" s="850">
        <f t="shared" si="117"/>
        <v>0.28792710706150343</v>
      </c>
      <c r="BR75" s="850">
        <f t="shared" si="117"/>
        <v>0.2942843646669816</v>
      </c>
      <c r="BS75" s="850">
        <f t="shared" si="117"/>
        <v>0.28545204222120241</v>
      </c>
      <c r="BT75" s="851">
        <f t="shared" si="117"/>
        <v>0.28534531162268389</v>
      </c>
      <c r="BU75" s="850">
        <f t="shared" si="117"/>
        <v>0.28828433523475211</v>
      </c>
      <c r="BV75" s="850">
        <f t="shared" si="117"/>
        <v>0.29937163375224418</v>
      </c>
      <c r="BW75" s="850">
        <f t="shared" si="117"/>
        <v>0.29566003616636527</v>
      </c>
      <c r="BX75" s="850">
        <f t="shared" si="117"/>
        <v>0.29320302087960909</v>
      </c>
      <c r="BY75" s="851">
        <f t="shared" si="117"/>
        <v>0.29409141583054627</v>
      </c>
      <c r="BZ75" s="850">
        <f t="shared" si="117"/>
        <v>0.28806410797132009</v>
      </c>
      <c r="CA75" s="850">
        <f t="shared" si="117"/>
        <v>0.3067765567765568</v>
      </c>
      <c r="CB75" s="850">
        <f t="shared" si="117"/>
        <v>0.30769230769230771</v>
      </c>
      <c r="CC75" s="850">
        <f t="shared" si="117"/>
        <v>0.29794988610478362</v>
      </c>
      <c r="CD75" s="851">
        <f t="shared" si="117"/>
        <v>0.29984283789851818</v>
      </c>
      <c r="CE75" s="850">
        <f t="shared" si="117"/>
        <v>0.29574374725756913</v>
      </c>
      <c r="CF75" s="850">
        <f t="shared" ref="CF75:DE75" si="118">+CF73/CF82</f>
        <v>0.31493943472409153</v>
      </c>
      <c r="CG75" s="850">
        <f t="shared" si="118"/>
        <v>0.31343943412908931</v>
      </c>
      <c r="CH75" s="850">
        <f t="shared" si="118"/>
        <v>0.3056169836355595</v>
      </c>
      <c r="CI75" s="851">
        <f t="shared" si="118"/>
        <v>0.30738567157568375</v>
      </c>
      <c r="CJ75" s="850">
        <f t="shared" si="118"/>
        <v>0.30183839247541683</v>
      </c>
      <c r="CK75" s="850">
        <f t="shared" si="118"/>
        <v>0.31828050369083805</v>
      </c>
      <c r="CL75" s="850">
        <f t="shared" si="118"/>
        <v>0.32449160035366931</v>
      </c>
      <c r="CM75" s="850">
        <f t="shared" si="118"/>
        <v>0.31725336810082572</v>
      </c>
      <c r="CN75" s="851">
        <f t="shared" si="118"/>
        <v>0.31537208039109182</v>
      </c>
      <c r="CO75" s="850">
        <f t="shared" si="118"/>
        <v>0.29641827912721286</v>
      </c>
      <c r="CP75" s="850">
        <f t="shared" si="118"/>
        <v>0.32086956521739129</v>
      </c>
      <c r="CQ75" s="850">
        <f t="shared" si="118"/>
        <v>0.32066404543468763</v>
      </c>
      <c r="CR75" s="850">
        <f t="shared" si="118"/>
        <v>0.3127921801954951</v>
      </c>
      <c r="CS75" s="851">
        <f t="shared" si="118"/>
        <v>0.31245331341372318</v>
      </c>
      <c r="CT75" s="850">
        <f t="shared" si="118"/>
        <v>0.30750702529104779</v>
      </c>
      <c r="CU75" s="850">
        <f t="shared" si="118"/>
        <v>0.32219959266802445</v>
      </c>
      <c r="CV75" s="850">
        <f t="shared" si="118"/>
        <v>0.32509270704573545</v>
      </c>
      <c r="CW75" s="850">
        <f t="shared" si="118"/>
        <v>0.32437771631766099</v>
      </c>
      <c r="CX75" s="851">
        <f t="shared" si="118"/>
        <v>0.31976978998384492</v>
      </c>
      <c r="CY75" s="850">
        <f t="shared" si="118"/>
        <v>0.31341557440246726</v>
      </c>
      <c r="CZ75" s="850">
        <f t="shared" si="118"/>
        <v>0.32103461392164323</v>
      </c>
      <c r="DA75" s="850">
        <f t="shared" si="118"/>
        <v>0.32276546982429333</v>
      </c>
      <c r="DB75" s="850">
        <f t="shared" si="118"/>
        <v>0.32057642334042052</v>
      </c>
      <c r="DC75" s="851">
        <f t="shared" si="118"/>
        <v>0.31961239026006294</v>
      </c>
      <c r="DD75" s="850">
        <f t="shared" si="118"/>
        <v>0.31258708778448674</v>
      </c>
      <c r="DE75" s="850">
        <f t="shared" si="118"/>
        <v>0.33195781751490144</v>
      </c>
      <c r="DF75" s="850">
        <f t="shared" ref="DF75:EG75" si="119">+DF73/DF82</f>
        <v>0.32542908762420958</v>
      </c>
      <c r="DG75" s="850">
        <f t="shared" si="119"/>
        <v>0.31902985074626866</v>
      </c>
      <c r="DH75" s="851">
        <f t="shared" si="119"/>
        <v>0.32220982142857141</v>
      </c>
      <c r="DI75" s="850">
        <f t="shared" si="119"/>
        <v>0.29471926528908371</v>
      </c>
      <c r="DJ75" s="850">
        <f t="shared" si="119"/>
        <v>0.30635838150289019</v>
      </c>
      <c r="DK75" s="850">
        <f t="shared" si="119"/>
        <v>0.29922970570807822</v>
      </c>
      <c r="DL75" s="850">
        <f t="shared" si="119"/>
        <v>0.29832010337825365</v>
      </c>
      <c r="DM75" s="851">
        <f t="shared" si="119"/>
        <v>0.29962714392244594</v>
      </c>
      <c r="DN75" s="850">
        <f t="shared" si="119"/>
        <v>0.27933579335793357</v>
      </c>
      <c r="DO75" s="850">
        <f t="shared" si="119"/>
        <v>0.28125602003467542</v>
      </c>
      <c r="DP75" s="850">
        <f t="shared" si="119"/>
        <v>0.29288962381149236</v>
      </c>
      <c r="DQ75" s="850">
        <f t="shared" si="119"/>
        <v>0.29535779444557064</v>
      </c>
      <c r="DR75" s="851">
        <f t="shared" si="119"/>
        <v>0.28691983122362869</v>
      </c>
      <c r="DS75" s="850">
        <f t="shared" si="119"/>
        <v>0.28156274056966896</v>
      </c>
      <c r="DT75" s="850">
        <f t="shared" si="119"/>
        <v>0.28822733423545333</v>
      </c>
      <c r="DU75" s="850">
        <f t="shared" si="119"/>
        <v>0.28051001821493626</v>
      </c>
      <c r="DV75" s="850">
        <f t="shared" ref="DV75" si="120">+DV73/DV82</f>
        <v>0.26984725627003581</v>
      </c>
      <c r="DW75" s="851">
        <f t="shared" si="119"/>
        <v>0.27996895163246494</v>
      </c>
      <c r="DX75" s="850">
        <f t="shared" si="119"/>
        <v>0.29617680186943146</v>
      </c>
      <c r="DY75" s="850">
        <f t="shared" si="119"/>
        <v>0.3026932056216195</v>
      </c>
      <c r="DZ75" s="850">
        <f t="shared" si="119"/>
        <v>0.29354933829142887</v>
      </c>
      <c r="EA75" s="850">
        <f t="shared" si="119"/>
        <v>0.2887389322189135</v>
      </c>
      <c r="EB75" s="851">
        <f t="shared" si="119"/>
        <v>0.29529824493944351</v>
      </c>
      <c r="EC75" s="850">
        <f t="shared" si="119"/>
        <v>0.30504212176423373</v>
      </c>
      <c r="ED75" s="850">
        <f t="shared" si="119"/>
        <v>0.30665481587595578</v>
      </c>
      <c r="EE75" s="850">
        <f t="shared" si="119"/>
        <v>0.29203505593414786</v>
      </c>
      <c r="EF75" s="850">
        <f t="shared" si="119"/>
        <v>0.28212704023966595</v>
      </c>
      <c r="EG75" s="851">
        <f t="shared" si="119"/>
        <v>0.29630744730300201</v>
      </c>
      <c r="EH75" s="850">
        <f t="shared" ref="EH75:EL75" si="121">+EH73/EH82</f>
        <v>0.29636574190147058</v>
      </c>
      <c r="EI75" s="850">
        <f t="shared" si="121"/>
        <v>0.29819688826968521</v>
      </c>
      <c r="EJ75" s="850">
        <f t="shared" si="121"/>
        <v>0.28424720048102992</v>
      </c>
      <c r="EK75" s="850">
        <f t="shared" si="121"/>
        <v>0.27433640354445221</v>
      </c>
      <c r="EL75" s="851">
        <f t="shared" si="121"/>
        <v>0.28813535652904881</v>
      </c>
    </row>
    <row r="76" spans="1:142" s="680" customFormat="1" ht="11.25" customHeight="1">
      <c r="A76" s="848"/>
      <c r="B76" s="804" t="s">
        <v>142</v>
      </c>
      <c r="C76" s="849"/>
      <c r="D76" s="849"/>
      <c r="E76" s="849"/>
      <c r="F76" s="849"/>
      <c r="G76" s="849"/>
      <c r="H76" s="851"/>
      <c r="I76" s="849"/>
      <c r="J76" s="849"/>
      <c r="K76" s="849"/>
      <c r="L76" s="849"/>
      <c r="M76" s="851"/>
      <c r="N76" s="849"/>
      <c r="O76" s="849"/>
      <c r="P76" s="849"/>
      <c r="Q76" s="849"/>
      <c r="R76" s="851"/>
      <c r="S76" s="849"/>
      <c r="T76" s="849"/>
      <c r="U76" s="849"/>
      <c r="V76" s="849"/>
      <c r="W76" s="851"/>
      <c r="X76" s="849"/>
      <c r="Y76" s="849"/>
      <c r="Z76" s="849"/>
      <c r="AA76" s="849"/>
      <c r="AB76" s="851"/>
      <c r="AC76" s="849"/>
      <c r="AD76" s="849"/>
      <c r="AE76" s="849"/>
      <c r="AF76" s="849"/>
      <c r="AG76" s="851"/>
      <c r="AH76" s="849"/>
      <c r="AI76" s="849"/>
      <c r="AJ76" s="849"/>
      <c r="AK76" s="849"/>
      <c r="AL76" s="851"/>
      <c r="AM76" s="849"/>
      <c r="AN76" s="849"/>
      <c r="AO76" s="849"/>
      <c r="AP76" s="849"/>
      <c r="AQ76" s="851"/>
      <c r="AR76" s="849"/>
      <c r="AS76" s="849"/>
      <c r="AT76" s="849"/>
      <c r="AU76" s="802"/>
      <c r="AV76" s="1012"/>
      <c r="AW76" s="1012"/>
      <c r="AX76" s="1012"/>
      <c r="AY76" s="1012"/>
      <c r="AZ76" s="851"/>
      <c r="BA76" s="849"/>
      <c r="BB76" s="849"/>
      <c r="BC76" s="849"/>
      <c r="BD76" s="849"/>
      <c r="BE76" s="851"/>
      <c r="BF76" s="849"/>
      <c r="BG76" s="849"/>
      <c r="BH76" s="849"/>
      <c r="BI76" s="849"/>
      <c r="BJ76" s="851"/>
      <c r="BK76" s="153"/>
      <c r="BL76" s="153"/>
      <c r="BM76" s="153"/>
      <c r="BN76" s="153"/>
      <c r="BO76" s="924"/>
      <c r="BP76" s="153"/>
      <c r="BQ76" s="153"/>
      <c r="BR76" s="153"/>
      <c r="BS76" s="153"/>
      <c r="BT76" s="924"/>
      <c r="BU76" s="153"/>
      <c r="BV76" s="153"/>
      <c r="BW76" s="153"/>
      <c r="BX76" s="153"/>
      <c r="BY76" s="924"/>
      <c r="BZ76" s="153"/>
      <c r="CA76" s="153"/>
      <c r="CB76" s="153"/>
      <c r="CC76" s="153"/>
      <c r="CD76" s="924"/>
      <c r="CE76" s="153"/>
      <c r="CF76" s="153"/>
      <c r="CG76" s="153"/>
      <c r="CH76" s="153"/>
      <c r="CI76" s="924"/>
      <c r="CJ76" s="153"/>
      <c r="CK76" s="153"/>
      <c r="CL76" s="153"/>
      <c r="CM76" s="153"/>
      <c r="CN76" s="924"/>
      <c r="CO76" s="153"/>
      <c r="CP76" s="153"/>
      <c r="CQ76" s="153"/>
      <c r="CR76" s="153"/>
      <c r="CS76" s="924"/>
      <c r="CT76" s="153">
        <v>1438.3072520239086</v>
      </c>
      <c r="CU76" s="153">
        <v>1448.0311848132421</v>
      </c>
      <c r="CV76" s="153">
        <v>1457.1627800337637</v>
      </c>
      <c r="CW76" s="153">
        <v>1499.3098286028535</v>
      </c>
      <c r="CX76" s="924">
        <f>SUM(CT76:CW76)</f>
        <v>5842.811045473768</v>
      </c>
      <c r="CY76" s="153">
        <v>1471.221965300098</v>
      </c>
      <c r="CZ76" s="153">
        <v>1557.4876131950932</v>
      </c>
      <c r="DA76" s="153">
        <v>1546.5709190354519</v>
      </c>
      <c r="DB76" s="153">
        <f>DB73</f>
        <v>1357</v>
      </c>
      <c r="DC76" s="924">
        <f>SUM(CY76:DB76)</f>
        <v>5932.2804975306426</v>
      </c>
      <c r="DD76" s="153">
        <f>DD73</f>
        <v>1346</v>
      </c>
      <c r="DE76" s="153">
        <f>DE73</f>
        <v>1448</v>
      </c>
      <c r="DF76" s="153">
        <f>DF73</f>
        <v>1441</v>
      </c>
      <c r="DG76" s="153">
        <f>DG73</f>
        <v>1539</v>
      </c>
      <c r="DH76" s="924">
        <f>SUM(DD76:DG76)</f>
        <v>5774</v>
      </c>
      <c r="DI76" s="153">
        <f>DI73</f>
        <v>1412</v>
      </c>
      <c r="DJ76" s="153">
        <f>DJ73</f>
        <v>1484</v>
      </c>
      <c r="DK76" s="153">
        <f>DK73</f>
        <v>1515</v>
      </c>
      <c r="DL76" s="153">
        <f>DL73</f>
        <v>1616</v>
      </c>
      <c r="DM76" s="924">
        <f>SUM(DI76:DL76)</f>
        <v>6027</v>
      </c>
      <c r="DN76" s="153">
        <f t="shared" ref="DN76:EG76" si="122">DN73</f>
        <v>1514</v>
      </c>
      <c r="DO76" s="153">
        <f t="shared" si="122"/>
        <v>1460</v>
      </c>
      <c r="DP76" s="153">
        <f t="shared" si="122"/>
        <v>1417</v>
      </c>
      <c r="DQ76" s="153">
        <f t="shared" si="122"/>
        <v>1457</v>
      </c>
      <c r="DR76" s="924">
        <f t="shared" si="122"/>
        <v>5848</v>
      </c>
      <c r="DS76" s="153">
        <f t="shared" si="122"/>
        <v>1463</v>
      </c>
      <c r="DT76" s="153">
        <f t="shared" si="122"/>
        <v>1491</v>
      </c>
      <c r="DU76" s="153">
        <f t="shared" si="122"/>
        <v>1386</v>
      </c>
      <c r="DV76" s="153">
        <f t="shared" ref="DV76" si="123">DV73</f>
        <v>1431</v>
      </c>
      <c r="DW76" s="924">
        <f t="shared" si="122"/>
        <v>5771</v>
      </c>
      <c r="DX76" s="153">
        <f t="shared" si="122"/>
        <v>1470.3149999999998</v>
      </c>
      <c r="DY76" s="153">
        <f t="shared" si="122"/>
        <v>1498.4549999999999</v>
      </c>
      <c r="DZ76" s="153">
        <f t="shared" si="122"/>
        <v>1392.9299999999998</v>
      </c>
      <c r="EA76" s="153">
        <f t="shared" si="122"/>
        <v>1438.1549999999997</v>
      </c>
      <c r="EB76" s="924">
        <f t="shared" si="122"/>
        <v>5799.8549999999987</v>
      </c>
      <c r="EC76" s="153">
        <f t="shared" si="122"/>
        <v>1492.3697249999998</v>
      </c>
      <c r="ED76" s="153">
        <f t="shared" si="122"/>
        <v>1520.9318249999999</v>
      </c>
      <c r="EE76" s="153">
        <f t="shared" si="122"/>
        <v>1413.8239499999997</v>
      </c>
      <c r="EF76" s="153">
        <f t="shared" si="122"/>
        <v>1459.7273249999996</v>
      </c>
      <c r="EG76" s="924">
        <f t="shared" si="122"/>
        <v>5886.852824999999</v>
      </c>
      <c r="EH76" s="153">
        <f t="shared" ref="EH76:EL76" si="124">EH73</f>
        <v>1514.7552708749997</v>
      </c>
      <c r="EI76" s="153">
        <f t="shared" si="124"/>
        <v>1543.7458023749998</v>
      </c>
      <c r="EJ76" s="153">
        <f t="shared" si="124"/>
        <v>1435.0313092499996</v>
      </c>
      <c r="EK76" s="153">
        <f t="shared" si="124"/>
        <v>1481.6232348749995</v>
      </c>
      <c r="EL76" s="924">
        <f t="shared" si="124"/>
        <v>5975.1556173749996</v>
      </c>
    </row>
    <row r="77" spans="1:142" s="680" customFormat="1" ht="11.25" customHeight="1">
      <c r="A77" s="1056"/>
      <c r="B77" s="1056"/>
      <c r="C77" s="930"/>
      <c r="D77" s="930"/>
      <c r="E77" s="930"/>
      <c r="F77" s="930"/>
      <c r="G77" s="930"/>
      <c r="H77" s="902"/>
      <c r="I77" s="930"/>
      <c r="J77" s="930"/>
      <c r="K77" s="930"/>
      <c r="L77" s="930"/>
      <c r="M77" s="902"/>
      <c r="N77" s="930"/>
      <c r="O77" s="930"/>
      <c r="P77" s="930"/>
      <c r="Q77" s="930"/>
      <c r="R77" s="902"/>
      <c r="S77" s="930"/>
      <c r="T77" s="930"/>
      <c r="U77" s="930"/>
      <c r="V77" s="930"/>
      <c r="W77" s="902"/>
      <c r="X77" s="930"/>
      <c r="Y77" s="930"/>
      <c r="Z77" s="930"/>
      <c r="AA77" s="930"/>
      <c r="AB77" s="902"/>
      <c r="AC77" s="930"/>
      <c r="AD77" s="930"/>
      <c r="AE77" s="930"/>
      <c r="AF77" s="930"/>
      <c r="AG77" s="902"/>
      <c r="AH77" s="930"/>
      <c r="AI77" s="930"/>
      <c r="AJ77" s="930"/>
      <c r="AK77" s="930"/>
      <c r="AL77" s="902"/>
      <c r="AM77" s="930"/>
      <c r="AN77" s="930"/>
      <c r="AO77" s="930"/>
      <c r="AP77" s="930"/>
      <c r="AQ77" s="902"/>
      <c r="AR77" s="930"/>
      <c r="AS77" s="930"/>
      <c r="AT77" s="930"/>
      <c r="AU77" s="802"/>
      <c r="AV77" s="930"/>
      <c r="AW77" s="930"/>
      <c r="AX77" s="930"/>
      <c r="AY77" s="930"/>
      <c r="AZ77" s="902"/>
      <c r="BA77" s="930"/>
      <c r="BB77" s="930"/>
      <c r="BC77" s="930"/>
      <c r="BD77" s="930"/>
      <c r="BE77" s="902"/>
      <c r="BF77" s="930"/>
      <c r="BG77" s="930"/>
      <c r="BH77" s="930"/>
      <c r="BI77" s="930"/>
      <c r="BJ77" s="902"/>
      <c r="BK77" s="930"/>
      <c r="BL77" s="930"/>
      <c r="BM77" s="930"/>
      <c r="BN77" s="930"/>
      <c r="BO77" s="844"/>
      <c r="BP77" s="930"/>
      <c r="BQ77" s="930"/>
      <c r="BR77" s="930"/>
      <c r="BS77" s="930"/>
      <c r="BT77" s="844"/>
      <c r="BU77" s="930"/>
      <c r="BV77" s="930"/>
      <c r="BW77" s="930"/>
      <c r="BX77" s="930"/>
      <c r="BY77" s="844"/>
      <c r="BZ77" s="930"/>
      <c r="CA77" s="930"/>
      <c r="CB77" s="930"/>
      <c r="CC77" s="930"/>
      <c r="CD77" s="844"/>
      <c r="CE77" s="930"/>
      <c r="CF77" s="930"/>
      <c r="CG77" s="930"/>
      <c r="CH77" s="930"/>
      <c r="CI77" s="844"/>
      <c r="CJ77" s="930"/>
      <c r="CK77" s="930"/>
      <c r="CL77" s="930"/>
      <c r="CM77" s="930"/>
      <c r="CN77" s="844"/>
      <c r="CO77" s="930"/>
      <c r="CP77" s="930"/>
      <c r="CQ77" s="930"/>
      <c r="CR77" s="930"/>
      <c r="CS77" s="844"/>
      <c r="CT77" s="930"/>
      <c r="CU77" s="930"/>
      <c r="CV77" s="930"/>
      <c r="CW77" s="930"/>
      <c r="CX77" s="844"/>
      <c r="CY77" s="930"/>
      <c r="CZ77" s="930"/>
      <c r="DA77" s="930"/>
      <c r="DB77" s="930"/>
      <c r="DC77" s="844"/>
      <c r="DD77" s="930"/>
      <c r="DE77" s="930"/>
      <c r="DF77" s="930"/>
      <c r="DG77" s="930"/>
      <c r="DH77" s="844"/>
      <c r="DI77" s="930"/>
      <c r="DJ77" s="930"/>
      <c r="DK77" s="930"/>
      <c r="DL77" s="930"/>
      <c r="DM77" s="844"/>
      <c r="DN77" s="930"/>
      <c r="DO77" s="930"/>
      <c r="DP77" s="930"/>
      <c r="DQ77" s="930"/>
      <c r="DR77" s="844"/>
      <c r="DS77" s="930"/>
      <c r="DT77" s="930"/>
      <c r="DU77" s="930"/>
      <c r="DV77" s="930"/>
      <c r="DW77" s="844"/>
      <c r="DX77" s="930"/>
      <c r="DY77" s="930"/>
      <c r="DZ77" s="930"/>
      <c r="EA77" s="930"/>
      <c r="EB77" s="844"/>
      <c r="EC77" s="930"/>
      <c r="ED77" s="930"/>
      <c r="EE77" s="930"/>
      <c r="EF77" s="930"/>
      <c r="EG77" s="844"/>
      <c r="EH77" s="930"/>
      <c r="EI77" s="930"/>
      <c r="EJ77" s="930"/>
      <c r="EK77" s="930"/>
      <c r="EL77" s="844"/>
    </row>
    <row r="78" spans="1:142" s="680" customFormat="1" ht="12.95" customHeight="1">
      <c r="A78" s="804"/>
      <c r="B78" s="804" t="s">
        <v>494</v>
      </c>
      <c r="C78" s="153"/>
      <c r="D78" s="153">
        <f>IS!D11</f>
        <v>145.3130000000001</v>
      </c>
      <c r="E78" s="153">
        <f>IS!E11</f>
        <v>133.62900000000002</v>
      </c>
      <c r="F78" s="153">
        <f>IS!F11</f>
        <v>130.60000000000002</v>
      </c>
      <c r="G78" s="153">
        <f>IS!G11</f>
        <v>184.25800000000004</v>
      </c>
      <c r="H78" s="924">
        <f>SUM(D78:G78)</f>
        <v>593.80000000000018</v>
      </c>
      <c r="I78" s="153">
        <f>IS!I11</f>
        <v>131.30000000000018</v>
      </c>
      <c r="J78" s="153">
        <f>IS!J11</f>
        <v>141.5</v>
      </c>
      <c r="K78" s="153">
        <f>IS!K11</f>
        <v>122.59999999999991</v>
      </c>
      <c r="L78" s="153">
        <f>IS!L11</f>
        <v>151.59999999999945</v>
      </c>
      <c r="M78" s="924">
        <f>SUM(I78:L78)</f>
        <v>546.99999999999955</v>
      </c>
      <c r="N78" s="153">
        <f>IS!N11</f>
        <v>169.89999999999986</v>
      </c>
      <c r="O78" s="153">
        <f>IS!O11</f>
        <v>165.89999999999986</v>
      </c>
      <c r="P78" s="153">
        <f>IS!P11</f>
        <v>220.10000000000014</v>
      </c>
      <c r="Q78" s="153">
        <f>IS!Q11</f>
        <v>393.09999999999945</v>
      </c>
      <c r="R78" s="924">
        <f>SUM(N78:Q78)</f>
        <v>948.99999999999932</v>
      </c>
      <c r="S78" s="153">
        <f>IS!S11</f>
        <v>255</v>
      </c>
      <c r="T78" s="153">
        <f>IS!T11</f>
        <v>280</v>
      </c>
      <c r="U78" s="153">
        <f>IS!U11</f>
        <v>276</v>
      </c>
      <c r="V78" s="153">
        <f>IS!V11</f>
        <v>263</v>
      </c>
      <c r="W78" s="924">
        <f>SUM(S78:V78)</f>
        <v>1074</v>
      </c>
      <c r="X78" s="153">
        <f>IS!X11</f>
        <v>293</v>
      </c>
      <c r="Y78" s="153">
        <f>IS!Y11</f>
        <v>270</v>
      </c>
      <c r="Z78" s="153">
        <f>IS!Z11</f>
        <v>290</v>
      </c>
      <c r="AA78" s="153">
        <f>IS!AA11</f>
        <v>326</v>
      </c>
      <c r="AB78" s="924">
        <f>SUM(X78:AA78)</f>
        <v>1179</v>
      </c>
      <c r="AC78" s="153">
        <f>IS!AC11</f>
        <v>268</v>
      </c>
      <c r="AD78" s="153">
        <f>IS!AD11</f>
        <v>257</v>
      </c>
      <c r="AE78" s="153">
        <f>IS!AE11</f>
        <v>224</v>
      </c>
      <c r="AF78" s="153">
        <f>IS!AF11</f>
        <v>242</v>
      </c>
      <c r="AG78" s="924">
        <f>SUM(AC78:AF78)</f>
        <v>991</v>
      </c>
      <c r="AH78" s="153">
        <f>IS!AH11</f>
        <v>204</v>
      </c>
      <c r="AI78" s="153">
        <f>IS!AI11</f>
        <v>194</v>
      </c>
      <c r="AJ78" s="153">
        <f>IS!AJ11</f>
        <v>185</v>
      </c>
      <c r="AK78" s="153">
        <f>IS!AK11</f>
        <v>190</v>
      </c>
      <c r="AL78" s="924">
        <f>SUM(AH78:AK78)</f>
        <v>773</v>
      </c>
      <c r="AM78" s="153">
        <f>IS!AM11</f>
        <v>179</v>
      </c>
      <c r="AN78" s="153">
        <f>IS!AN11</f>
        <v>170</v>
      </c>
      <c r="AO78" s="153">
        <f>IS!AO11</f>
        <v>167</v>
      </c>
      <c r="AP78" s="153">
        <f>IS!AP11</f>
        <v>149</v>
      </c>
      <c r="AQ78" s="924">
        <f>SUM(AM78:AP78)</f>
        <v>665</v>
      </c>
      <c r="AR78" s="153">
        <f>IS!AR11</f>
        <v>157</v>
      </c>
      <c r="AS78" s="153">
        <f>IS!AS11</f>
        <v>170</v>
      </c>
      <c r="AT78" s="153">
        <f>IS!AT11</f>
        <v>193</v>
      </c>
      <c r="AU78" s="802"/>
      <c r="AV78" s="153">
        <f>IS!AV11</f>
        <v>146</v>
      </c>
      <c r="AW78" s="153">
        <f>IS!AW11</f>
        <v>135</v>
      </c>
      <c r="AX78" s="153">
        <f>IS!AX11</f>
        <v>149</v>
      </c>
      <c r="AY78" s="153">
        <f>IS!AY11</f>
        <v>123</v>
      </c>
      <c r="AZ78" s="924">
        <f>SUM(AV78:AY78)</f>
        <v>553</v>
      </c>
      <c r="BA78" s="153">
        <f>IS!BA11</f>
        <v>174</v>
      </c>
      <c r="BB78" s="153">
        <f>IS!BB11</f>
        <v>184</v>
      </c>
      <c r="BC78" s="153">
        <f>IS!BC11</f>
        <v>152</v>
      </c>
      <c r="BD78" s="153">
        <f>IS!BD11</f>
        <v>169</v>
      </c>
      <c r="BE78" s="924">
        <f>SUM(BA78:BD78)</f>
        <v>679</v>
      </c>
      <c r="BF78" s="153">
        <f>IS!BF11</f>
        <v>96</v>
      </c>
      <c r="BG78" s="153">
        <f>IS!BG11</f>
        <v>99</v>
      </c>
      <c r="BH78" s="153">
        <f>IS!BH11</f>
        <v>92</v>
      </c>
      <c r="BI78" s="153">
        <f>IS!BI11</f>
        <v>93</v>
      </c>
      <c r="BJ78" s="924">
        <f>SUM(BF78:BI78)</f>
        <v>380</v>
      </c>
      <c r="BK78" s="153">
        <f>IS!BK11</f>
        <v>91</v>
      </c>
      <c r="BL78" s="153">
        <f>IS!BL11</f>
        <v>95</v>
      </c>
      <c r="BM78" s="153">
        <f>IS!BM11</f>
        <v>83</v>
      </c>
      <c r="BN78" s="153">
        <f>IS!BN11</f>
        <v>68</v>
      </c>
      <c r="BO78" s="924">
        <f>SUM(BK78:BN78)</f>
        <v>337</v>
      </c>
      <c r="BP78" s="153">
        <f>IS!BP11</f>
        <v>73</v>
      </c>
      <c r="BQ78" s="153">
        <f>IS!BQ11</f>
        <v>83</v>
      </c>
      <c r="BR78" s="153">
        <f>IS!BR11</f>
        <v>76</v>
      </c>
      <c r="BS78" s="153">
        <f>IS!BS11</f>
        <v>63</v>
      </c>
      <c r="BT78" s="924">
        <f>SUM(BP78:BS78)</f>
        <v>295</v>
      </c>
      <c r="BU78" s="153">
        <f>IS!BU11</f>
        <v>82</v>
      </c>
      <c r="BV78" s="153">
        <f>IS!BV11</f>
        <v>70</v>
      </c>
      <c r="BW78" s="153">
        <f>IS!BW11</f>
        <v>74</v>
      </c>
      <c r="BX78" s="153">
        <f>IS!BX11</f>
        <v>74</v>
      </c>
      <c r="BY78" s="924">
        <f>SUM(BU78:BX78)</f>
        <v>300</v>
      </c>
      <c r="BZ78" s="153">
        <f>IS!BZ11</f>
        <v>74</v>
      </c>
      <c r="CA78" s="153">
        <f>IS!CA11</f>
        <v>75</v>
      </c>
      <c r="CB78" s="153">
        <f>IS!CB11</f>
        <v>80</v>
      </c>
      <c r="CC78" s="153">
        <f>IS!CC11</f>
        <v>89</v>
      </c>
      <c r="CD78" s="924">
        <f>SUM(BZ78:CC78)</f>
        <v>318</v>
      </c>
      <c r="CE78" s="153">
        <f>IS!CE11</f>
        <v>81</v>
      </c>
      <c r="CF78" s="153">
        <f>IS!CF11</f>
        <v>86</v>
      </c>
      <c r="CG78" s="153">
        <f>IS!CG11</f>
        <v>87</v>
      </c>
      <c r="CH78" s="153">
        <f>IS!CH11</f>
        <v>89</v>
      </c>
      <c r="CI78" s="924">
        <f>SUM(CE78:CH78)</f>
        <v>343</v>
      </c>
      <c r="CJ78" s="153">
        <f>IS!CJ11</f>
        <v>89</v>
      </c>
      <c r="CK78" s="153">
        <f>IS!CK11</f>
        <v>92</v>
      </c>
      <c r="CL78" s="153">
        <f>IS!CL11</f>
        <v>98</v>
      </c>
      <c r="CM78" s="153">
        <f>IS!CM11</f>
        <v>94</v>
      </c>
      <c r="CN78" s="924">
        <f>SUM(CJ78:CM78)</f>
        <v>373</v>
      </c>
      <c r="CO78" s="153">
        <f>IS!CO11</f>
        <v>90</v>
      </c>
      <c r="CP78" s="153">
        <f>IS!CP11</f>
        <v>96</v>
      </c>
      <c r="CQ78" s="153">
        <f>IS!CQ11</f>
        <v>111</v>
      </c>
      <c r="CR78" s="153">
        <f>IS!CR11</f>
        <v>118</v>
      </c>
      <c r="CS78" s="924">
        <f>SUM(CO78:CR78)</f>
        <v>415</v>
      </c>
      <c r="CT78" s="153">
        <f>IS!CT11</f>
        <v>118</v>
      </c>
      <c r="CU78" s="153">
        <f>IS!CU11</f>
        <v>116</v>
      </c>
      <c r="CV78" s="153">
        <f>IS!CV11</f>
        <v>137</v>
      </c>
      <c r="CW78" s="153">
        <f>IS!CW11</f>
        <v>166</v>
      </c>
      <c r="CX78" s="924">
        <f>SUM(CT78:CW78)</f>
        <v>537</v>
      </c>
      <c r="CY78" s="153">
        <f>IS!CY11</f>
        <v>245</v>
      </c>
      <c r="CZ78" s="153">
        <f>IS!CZ11</f>
        <v>243</v>
      </c>
      <c r="DA78" s="153">
        <f>IS!DA11</f>
        <v>271</v>
      </c>
      <c r="DB78" s="153">
        <f>IS!DB11</f>
        <v>504</v>
      </c>
      <c r="DC78" s="924">
        <f>SUM(CY78:DB78)</f>
        <v>1263</v>
      </c>
      <c r="DD78" s="153">
        <f>IS!DD11</f>
        <v>520</v>
      </c>
      <c r="DE78" s="153">
        <f>DE148</f>
        <v>521</v>
      </c>
      <c r="DF78" s="153">
        <f>DF148</f>
        <v>524</v>
      </c>
      <c r="DG78" s="153">
        <f>DG148</f>
        <v>566</v>
      </c>
      <c r="DH78" s="924">
        <f>SUM(DD78:DG78)</f>
        <v>2131</v>
      </c>
      <c r="DI78" s="153">
        <f>IS!DI11</f>
        <v>688</v>
      </c>
      <c r="DJ78" s="153">
        <f>IS!DJ11</f>
        <v>675</v>
      </c>
      <c r="DK78" s="153">
        <f>IS!DK11</f>
        <v>604</v>
      </c>
      <c r="DL78" s="153">
        <f>IS!DL11</f>
        <v>654</v>
      </c>
      <c r="DM78" s="924">
        <f>SUM(DI78:DL78)</f>
        <v>2621</v>
      </c>
      <c r="DN78" s="153">
        <f>IS!DN11</f>
        <v>688</v>
      </c>
      <c r="DO78" s="153">
        <f>IS!DO11</f>
        <v>720</v>
      </c>
      <c r="DP78" s="153">
        <f>IS!DP11</f>
        <v>698</v>
      </c>
      <c r="DQ78" s="153">
        <f>IS!DQ11</f>
        <v>664</v>
      </c>
      <c r="DR78" s="924">
        <f>SUM(DN78:DQ78)</f>
        <v>2770</v>
      </c>
      <c r="DS78" s="153">
        <f>DS148</f>
        <v>666</v>
      </c>
      <c r="DT78" s="153">
        <f>DT148</f>
        <v>654</v>
      </c>
      <c r="DU78" s="153">
        <f>DU148</f>
        <v>687</v>
      </c>
      <c r="DV78" s="153">
        <f>DV148</f>
        <v>621</v>
      </c>
      <c r="DW78" s="924">
        <f>SUM(DS78:DV78)</f>
        <v>2628</v>
      </c>
      <c r="DX78" s="153">
        <f>DX148</f>
        <v>644.76</v>
      </c>
      <c r="DY78" s="153">
        <f>DY148</f>
        <v>629.29999999999995</v>
      </c>
      <c r="DZ78" s="153">
        <f>DZ148</f>
        <v>660.67</v>
      </c>
      <c r="EA78" s="153">
        <f>EA148</f>
        <v>597.82999999999993</v>
      </c>
      <c r="EB78" s="924">
        <f>SUM(DX78:EA78)</f>
        <v>2532.56</v>
      </c>
      <c r="EC78" s="153">
        <f>EC148</f>
        <v>653.71559999999999</v>
      </c>
      <c r="ED78" s="153">
        <f>ED148</f>
        <v>638.00599999999997</v>
      </c>
      <c r="EE78" s="153">
        <f>EE148</f>
        <v>669.99369999999999</v>
      </c>
      <c r="EF78" s="153">
        <f>EF148</f>
        <v>605.96479999999997</v>
      </c>
      <c r="EG78" s="924">
        <f>SUM(EC78:EF78)</f>
        <v>2567.6800999999996</v>
      </c>
      <c r="EH78" s="153">
        <f>EH148</f>
        <v>662.81091599999991</v>
      </c>
      <c r="EI78" s="153">
        <f>EI148</f>
        <v>646.84731999999997</v>
      </c>
      <c r="EJ78" s="153">
        <f>EJ148</f>
        <v>679.46497700000009</v>
      </c>
      <c r="EK78" s="153">
        <f>EK148</f>
        <v>614.22407799999996</v>
      </c>
      <c r="EL78" s="924">
        <f>SUM(EH78:EK78)</f>
        <v>2603.347291</v>
      </c>
    </row>
    <row r="79" spans="1:142" s="680" customFormat="1" ht="11.25" customHeight="1">
      <c r="A79" s="848"/>
      <c r="B79" s="848" t="s">
        <v>140</v>
      </c>
      <c r="C79" s="850"/>
      <c r="D79" s="850">
        <f t="shared" ref="D79:AT79" si="125">+D78/D82</f>
        <v>0.21922952167583198</v>
      </c>
      <c r="E79" s="850">
        <f t="shared" si="125"/>
        <v>0.20918753913587981</v>
      </c>
      <c r="F79" s="850">
        <f t="shared" si="125"/>
        <v>0.19772899318697959</v>
      </c>
      <c r="G79" s="850">
        <f t="shared" si="125"/>
        <v>0.13589701039557775</v>
      </c>
      <c r="H79" s="851">
        <f t="shared" si="125"/>
        <v>0.17896323086196508</v>
      </c>
      <c r="I79" s="850">
        <f t="shared" si="125"/>
        <v>0.10226653166134447</v>
      </c>
      <c r="J79" s="850">
        <f t="shared" si="125"/>
        <v>0.10321686483332117</v>
      </c>
      <c r="K79" s="850">
        <f t="shared" si="125"/>
        <v>8.5620504225155325E-2</v>
      </c>
      <c r="L79" s="850">
        <f t="shared" si="125"/>
        <v>0.10296814507912755</v>
      </c>
      <c r="M79" s="851">
        <f t="shared" si="125"/>
        <v>9.839899262457269E-2</v>
      </c>
      <c r="N79" s="850">
        <f t="shared" si="125"/>
        <v>0.11810093146114269</v>
      </c>
      <c r="O79" s="850">
        <f t="shared" si="125"/>
        <v>0.11239075943364263</v>
      </c>
      <c r="P79" s="850">
        <f t="shared" si="125"/>
        <v>9.8395100362108329E-2</v>
      </c>
      <c r="Q79" s="850">
        <f t="shared" si="125"/>
        <v>0.11106402215064685</v>
      </c>
      <c r="R79" s="851">
        <f t="shared" si="125"/>
        <v>0.10919341847888613</v>
      </c>
      <c r="S79" s="850">
        <f t="shared" si="125"/>
        <v>0.10939510939510939</v>
      </c>
      <c r="T79" s="850">
        <f t="shared" si="125"/>
        <v>0.11527377521613832</v>
      </c>
      <c r="U79" s="850">
        <f t="shared" si="125"/>
        <v>0.10764430577223089</v>
      </c>
      <c r="V79" s="850">
        <f t="shared" si="125"/>
        <v>0.10229482691559705</v>
      </c>
      <c r="W79" s="851">
        <f t="shared" si="125"/>
        <v>0.10853966649823144</v>
      </c>
      <c r="X79" s="850">
        <f t="shared" si="125"/>
        <v>0.11476694085389738</v>
      </c>
      <c r="Y79" s="850">
        <f t="shared" si="125"/>
        <v>0.10534529847834569</v>
      </c>
      <c r="Z79" s="850">
        <f t="shared" si="125"/>
        <v>0.10276399716513111</v>
      </c>
      <c r="AA79" s="850">
        <f t="shared" si="125"/>
        <v>0.11080897348742352</v>
      </c>
      <c r="AB79" s="851">
        <f t="shared" si="125"/>
        <v>0.1083639705882353</v>
      </c>
      <c r="AC79" s="850">
        <f t="shared" si="125"/>
        <v>9.3282283327532189E-2</v>
      </c>
      <c r="AD79" s="850">
        <f t="shared" si="125"/>
        <v>9.2446043165467631E-2</v>
      </c>
      <c r="AE79" s="850">
        <f t="shared" si="125"/>
        <v>7.8596491228070178E-2</v>
      </c>
      <c r="AF79" s="850">
        <f t="shared" si="125"/>
        <v>8.3132944005496395E-2</v>
      </c>
      <c r="AG79" s="851">
        <f t="shared" si="125"/>
        <v>8.6823199579463814E-2</v>
      </c>
      <c r="AH79" s="850">
        <f t="shared" si="125"/>
        <v>7.051503629450398E-2</v>
      </c>
      <c r="AI79" s="850">
        <f t="shared" si="125"/>
        <v>6.6552315608919388E-2</v>
      </c>
      <c r="AJ79" s="850">
        <f t="shared" si="125"/>
        <v>6.0935441370223976E-2</v>
      </c>
      <c r="AK79" s="850">
        <f t="shared" si="125"/>
        <v>5.9208476160797753E-2</v>
      </c>
      <c r="AL79" s="851">
        <f t="shared" si="125"/>
        <v>6.413341076910313E-2</v>
      </c>
      <c r="AM79" s="850">
        <f t="shared" si="125"/>
        <v>5.4291780406430089E-2</v>
      </c>
      <c r="AN79" s="850">
        <f t="shared" si="125"/>
        <v>5.0088391278727162E-2</v>
      </c>
      <c r="AO79" s="850">
        <f t="shared" si="125"/>
        <v>4.793340987370838E-2</v>
      </c>
      <c r="AP79" s="850">
        <f t="shared" si="125"/>
        <v>3.9860888175494914E-2</v>
      </c>
      <c r="AQ79" s="851">
        <f t="shared" si="125"/>
        <v>4.7797024365701143E-2</v>
      </c>
      <c r="AR79" s="850">
        <f t="shared" si="125"/>
        <v>4.2398055630569809E-2</v>
      </c>
      <c r="AS79" s="850">
        <f t="shared" si="125"/>
        <v>4.4997353096876656E-2</v>
      </c>
      <c r="AT79" s="850">
        <f t="shared" si="125"/>
        <v>5.2360282148670646E-2</v>
      </c>
      <c r="AU79" s="802"/>
      <c r="AV79" s="850">
        <f t="shared" ref="AV79:CA79" si="126">+AV78/AV82</f>
        <v>4.3259259259259261E-2</v>
      </c>
      <c r="AW79" s="850">
        <f t="shared" si="126"/>
        <v>3.9358600583090382E-2</v>
      </c>
      <c r="AX79" s="850">
        <f t="shared" si="126"/>
        <v>4.2317523430843509E-2</v>
      </c>
      <c r="AY79" s="850">
        <f t="shared" si="126"/>
        <v>3.5213283710277696E-2</v>
      </c>
      <c r="AZ79" s="851">
        <f t="shared" si="126"/>
        <v>4.0017367392720167E-2</v>
      </c>
      <c r="BA79" s="850">
        <f t="shared" si="126"/>
        <v>5.0405561993047507E-2</v>
      </c>
      <c r="BB79" s="850">
        <f t="shared" si="126"/>
        <v>5.4453980467593963E-2</v>
      </c>
      <c r="BC79" s="850">
        <f t="shared" si="126"/>
        <v>4.6102517440097059E-2</v>
      </c>
      <c r="BD79" s="850">
        <f t="shared" si="126"/>
        <v>5.3127947186419368E-2</v>
      </c>
      <c r="BE79" s="851">
        <f t="shared" si="126"/>
        <v>5.1018108047186116E-2</v>
      </c>
      <c r="BF79" s="850">
        <f t="shared" si="126"/>
        <v>3.5968527538403898E-2</v>
      </c>
      <c r="BG79" s="850">
        <f t="shared" si="126"/>
        <v>3.8521400778210119E-2</v>
      </c>
      <c r="BH79" s="850">
        <f t="shared" si="126"/>
        <v>3.7704918032786888E-2</v>
      </c>
      <c r="BI79" s="850">
        <f t="shared" si="126"/>
        <v>3.8557213930348257E-2</v>
      </c>
      <c r="BJ79" s="851">
        <f t="shared" si="126"/>
        <v>3.7657318402536916E-2</v>
      </c>
      <c r="BK79" s="850">
        <f t="shared" si="126"/>
        <v>3.6385445821671331E-2</v>
      </c>
      <c r="BL79" s="850">
        <f t="shared" si="126"/>
        <v>3.9256198347107439E-2</v>
      </c>
      <c r="BM79" s="850">
        <f t="shared" si="126"/>
        <v>3.4670008354218879E-2</v>
      </c>
      <c r="BN79" s="850">
        <f t="shared" si="126"/>
        <v>2.9578077424967378E-2</v>
      </c>
      <c r="BO79" s="851">
        <f t="shared" si="126"/>
        <v>3.5053047638859997E-2</v>
      </c>
      <c r="BP79" s="850">
        <f t="shared" si="126"/>
        <v>3.0240265120132559E-2</v>
      </c>
      <c r="BQ79" s="850">
        <f t="shared" si="126"/>
        <v>3.7813211845102508E-2</v>
      </c>
      <c r="BR79" s="850">
        <f t="shared" si="126"/>
        <v>3.5899858290033067E-2</v>
      </c>
      <c r="BS79" s="850">
        <f t="shared" si="126"/>
        <v>2.8912345112436899E-2</v>
      </c>
      <c r="BT79" s="851">
        <f t="shared" si="126"/>
        <v>3.3127456485120721E-2</v>
      </c>
      <c r="BU79" s="850">
        <f t="shared" si="126"/>
        <v>3.5980693286529176E-2</v>
      </c>
      <c r="BV79" s="850">
        <f t="shared" si="126"/>
        <v>3.141831238779174E-2</v>
      </c>
      <c r="BW79" s="850">
        <f t="shared" si="126"/>
        <v>3.3453887884267633E-2</v>
      </c>
      <c r="BX79" s="850">
        <f t="shared" si="126"/>
        <v>3.2874278098622832E-2</v>
      </c>
      <c r="BY79" s="851">
        <f t="shared" si="126"/>
        <v>3.3444816053511704E-2</v>
      </c>
      <c r="BZ79" s="850">
        <f t="shared" si="126"/>
        <v>3.1210459721636441E-2</v>
      </c>
      <c r="CA79" s="850">
        <f t="shared" si="126"/>
        <v>3.4340659340659344E-2</v>
      </c>
      <c r="CB79" s="850">
        <f t="shared" ref="CB79:DE79" si="127">+CB78/CB82</f>
        <v>3.7071362372567189E-2</v>
      </c>
      <c r="CC79" s="850">
        <f t="shared" si="127"/>
        <v>4.0546697038724371E-2</v>
      </c>
      <c r="CD79" s="851">
        <f t="shared" si="127"/>
        <v>3.5698248765154914E-2</v>
      </c>
      <c r="CE79" s="850">
        <f t="shared" si="127"/>
        <v>3.5541904344010528E-2</v>
      </c>
      <c r="CF79" s="850">
        <f t="shared" si="127"/>
        <v>3.8582323912068194E-2</v>
      </c>
      <c r="CG79" s="850">
        <f t="shared" si="127"/>
        <v>3.8461538461538464E-2</v>
      </c>
      <c r="CH79" s="850">
        <f t="shared" si="127"/>
        <v>3.9363113666519241E-2</v>
      </c>
      <c r="CI79" s="851">
        <f t="shared" si="127"/>
        <v>3.7980290111837005E-2</v>
      </c>
      <c r="CJ79" s="850">
        <f t="shared" si="127"/>
        <v>3.8050448909790507E-2</v>
      </c>
      <c r="CK79" s="850">
        <f t="shared" si="127"/>
        <v>3.9947894051237519E-2</v>
      </c>
      <c r="CL79" s="850">
        <f t="shared" si="127"/>
        <v>4.3324491600353669E-2</v>
      </c>
      <c r="CM79" s="850">
        <f t="shared" si="127"/>
        <v>4.0851803563667972E-2</v>
      </c>
      <c r="CN79" s="851">
        <f t="shared" si="127"/>
        <v>4.0521455730581205E-2</v>
      </c>
      <c r="CO79" s="850">
        <f t="shared" si="127"/>
        <v>3.7052284890901607E-2</v>
      </c>
      <c r="CP79" s="850">
        <f t="shared" si="127"/>
        <v>4.1739130434782612E-2</v>
      </c>
      <c r="CQ79" s="850">
        <f t="shared" si="127"/>
        <v>4.8492791612057669E-2</v>
      </c>
      <c r="CR79" s="850">
        <f t="shared" si="127"/>
        <v>5.0148746281342964E-2</v>
      </c>
      <c r="CS79" s="851">
        <f t="shared" si="127"/>
        <v>4.4285561839718282E-2</v>
      </c>
      <c r="CT79" s="850">
        <f t="shared" si="127"/>
        <v>4.737053392211963E-2</v>
      </c>
      <c r="CU79" s="850">
        <f t="shared" si="127"/>
        <v>4.7250509164969451E-2</v>
      </c>
      <c r="CV79" s="850">
        <f t="shared" si="127"/>
        <v>5.6448290070045322E-2</v>
      </c>
      <c r="CW79" s="850">
        <f t="shared" si="127"/>
        <v>6.558672461477677E-2</v>
      </c>
      <c r="CX79" s="851">
        <f t="shared" si="127"/>
        <v>5.4220516962843295E-2</v>
      </c>
      <c r="CY79" s="850">
        <f t="shared" si="127"/>
        <v>9.4448727833461837E-2</v>
      </c>
      <c r="CZ79" s="850">
        <f t="shared" si="127"/>
        <v>9.2430581970330924E-2</v>
      </c>
      <c r="DA79" s="850">
        <f t="shared" si="127"/>
        <v>0.10351413292589763</v>
      </c>
      <c r="DB79" s="850">
        <f t="shared" si="127"/>
        <v>0.11906449326718639</v>
      </c>
      <c r="DC79" s="851">
        <f t="shared" si="127"/>
        <v>0.10460493622660262</v>
      </c>
      <c r="DD79" s="850">
        <f t="shared" si="127"/>
        <v>0.12076172782164422</v>
      </c>
      <c r="DE79" s="850">
        <f t="shared" si="127"/>
        <v>0.11944062356717103</v>
      </c>
      <c r="DF79" s="850">
        <f t="shared" ref="DF79:EG79" si="128">+DF78/DF82</f>
        <v>0.11833785004516711</v>
      </c>
      <c r="DG79" s="850">
        <f t="shared" si="128"/>
        <v>0.11733001658374792</v>
      </c>
      <c r="DH79" s="851">
        <f t="shared" si="128"/>
        <v>0.11891741071428572</v>
      </c>
      <c r="DI79" s="850">
        <f t="shared" si="128"/>
        <v>0.14360258818618243</v>
      </c>
      <c r="DJ79" s="850">
        <f t="shared" si="128"/>
        <v>0.1393476465730801</v>
      </c>
      <c r="DK79" s="850">
        <f t="shared" si="128"/>
        <v>0.11929685956942525</v>
      </c>
      <c r="DL79" s="850">
        <f t="shared" si="128"/>
        <v>0.12073103193649622</v>
      </c>
      <c r="DM79" s="851">
        <f t="shared" si="128"/>
        <v>0.13030077056922695</v>
      </c>
      <c r="DN79" s="850">
        <f t="shared" si="128"/>
        <v>0.12693726937269373</v>
      </c>
      <c r="DO79" s="850">
        <f t="shared" si="128"/>
        <v>0.13870159892120978</v>
      </c>
      <c r="DP79" s="850">
        <f t="shared" si="128"/>
        <v>0.14427449359239355</v>
      </c>
      <c r="DQ79" s="850">
        <f t="shared" si="128"/>
        <v>0.13460368943847556</v>
      </c>
      <c r="DR79" s="851">
        <f t="shared" si="128"/>
        <v>0.13590422922186243</v>
      </c>
      <c r="DS79" s="850">
        <f t="shared" si="128"/>
        <v>0.12817551963048499</v>
      </c>
      <c r="DT79" s="850">
        <f t="shared" si="128"/>
        <v>0.12642567175720085</v>
      </c>
      <c r="DU79" s="850">
        <f t="shared" si="128"/>
        <v>0.13904068002428657</v>
      </c>
      <c r="DV79" s="850">
        <f t="shared" si="128"/>
        <v>0.11710352630586461</v>
      </c>
      <c r="DW79" s="851">
        <f t="shared" si="128"/>
        <v>0.12749235919080193</v>
      </c>
      <c r="DX79" s="850">
        <f t="shared" si="128"/>
        <v>0.12987894075305947</v>
      </c>
      <c r="DY79" s="850">
        <f t="shared" si="128"/>
        <v>0.12712082398048999</v>
      </c>
      <c r="DZ79" s="850">
        <f t="shared" si="128"/>
        <v>0.13923114681211426</v>
      </c>
      <c r="EA79" s="850">
        <f t="shared" si="128"/>
        <v>0.12002655892336575</v>
      </c>
      <c r="EB79" s="851">
        <f t="shared" si="128"/>
        <v>0.12894469313523133</v>
      </c>
      <c r="EC79" s="850">
        <f t="shared" si="128"/>
        <v>0.13362023519632787</v>
      </c>
      <c r="ED79" s="850">
        <f t="shared" si="128"/>
        <v>0.12863667472916154</v>
      </c>
      <c r="EE79" s="850">
        <f t="shared" si="128"/>
        <v>0.13839180447822144</v>
      </c>
      <c r="EF79" s="850">
        <f t="shared" si="128"/>
        <v>0.11711711672823633</v>
      </c>
      <c r="EG79" s="851">
        <f t="shared" si="128"/>
        <v>0.12924099829550553</v>
      </c>
      <c r="EH79" s="850">
        <f t="shared" ref="EH79" si="129">+EH78/EH82</f>
        <v>0.12968065049033481</v>
      </c>
      <c r="EI79" s="850">
        <f t="shared" ref="EI79" si="130">+EI78/EI82</f>
        <v>0.12494794007720311</v>
      </c>
      <c r="EJ79" s="850">
        <f t="shared" ref="EJ79" si="131">+EJ78/EJ82</f>
        <v>0.13458662280901554</v>
      </c>
      <c r="EK79" s="850">
        <f t="shared" ref="EK79" si="132">+EK78/EK82</f>
        <v>0.11372933453162491</v>
      </c>
      <c r="EL79" s="851">
        <f t="shared" ref="EL79" si="133">+EL78/EL82</f>
        <v>0.12553922406304774</v>
      </c>
    </row>
    <row r="80" spans="1:142" s="680" customFormat="1" ht="11.25" customHeight="1">
      <c r="A80" s="1122"/>
      <c r="B80" s="1122" t="s">
        <v>143</v>
      </c>
      <c r="C80" s="849"/>
      <c r="D80" s="849"/>
      <c r="E80" s="849"/>
      <c r="F80" s="849"/>
      <c r="G80" s="849"/>
      <c r="H80" s="851"/>
      <c r="I80" s="850">
        <f t="shared" ref="I80:AT80" si="134">I78/D78-1</f>
        <v>-9.6433216573877822E-2</v>
      </c>
      <c r="J80" s="850">
        <f t="shared" si="134"/>
        <v>5.8901885069857496E-2</v>
      </c>
      <c r="K80" s="850">
        <f t="shared" si="134"/>
        <v>-6.1255742725881412E-2</v>
      </c>
      <c r="L80" s="850">
        <f t="shared" si="134"/>
        <v>-0.17724060827752708</v>
      </c>
      <c r="M80" s="851">
        <f t="shared" si="134"/>
        <v>-7.8814415628158718E-2</v>
      </c>
      <c r="N80" s="850">
        <f t="shared" si="134"/>
        <v>0.29398324447829105</v>
      </c>
      <c r="O80" s="850">
        <f t="shared" si="134"/>
        <v>0.17243816254416866</v>
      </c>
      <c r="P80" s="850">
        <f t="shared" si="134"/>
        <v>0.79526916802610348</v>
      </c>
      <c r="Q80" s="850">
        <f t="shared" si="134"/>
        <v>1.5930079155672883</v>
      </c>
      <c r="R80" s="851">
        <f t="shared" si="134"/>
        <v>0.73491773308957975</v>
      </c>
      <c r="S80" s="850">
        <f t="shared" si="134"/>
        <v>0.50088287227781159</v>
      </c>
      <c r="T80" s="850">
        <f t="shared" si="134"/>
        <v>0.68776371308017015</v>
      </c>
      <c r="U80" s="850">
        <f t="shared" si="134"/>
        <v>0.25397546569740959</v>
      </c>
      <c r="V80" s="850">
        <f t="shared" si="134"/>
        <v>-0.33095904350038063</v>
      </c>
      <c r="W80" s="851">
        <f t="shared" si="134"/>
        <v>0.13171759747102296</v>
      </c>
      <c r="X80" s="850">
        <f t="shared" si="134"/>
        <v>0.14901960784313717</v>
      </c>
      <c r="Y80" s="850">
        <f t="shared" si="134"/>
        <v>-3.5714285714285698E-2</v>
      </c>
      <c r="Z80" s="850">
        <f t="shared" si="134"/>
        <v>5.0724637681159424E-2</v>
      </c>
      <c r="AA80" s="850">
        <f t="shared" si="134"/>
        <v>0.23954372623574138</v>
      </c>
      <c r="AB80" s="851">
        <f t="shared" si="134"/>
        <v>9.77653631284916E-2</v>
      </c>
      <c r="AC80" s="850">
        <f t="shared" si="134"/>
        <v>-8.5324232081911311E-2</v>
      </c>
      <c r="AD80" s="850">
        <f t="shared" si="134"/>
        <v>-4.8148148148148162E-2</v>
      </c>
      <c r="AE80" s="850">
        <f t="shared" si="134"/>
        <v>-0.22758620689655173</v>
      </c>
      <c r="AF80" s="850">
        <f t="shared" si="134"/>
        <v>-0.25766871165644167</v>
      </c>
      <c r="AG80" s="851">
        <f t="shared" si="134"/>
        <v>-0.15945716709075486</v>
      </c>
      <c r="AH80" s="850">
        <f t="shared" si="134"/>
        <v>-0.23880597014925375</v>
      </c>
      <c r="AI80" s="850">
        <f t="shared" si="134"/>
        <v>-0.24513618677042803</v>
      </c>
      <c r="AJ80" s="850">
        <f t="shared" si="134"/>
        <v>-0.1741071428571429</v>
      </c>
      <c r="AK80" s="850">
        <f t="shared" si="134"/>
        <v>-0.21487603305785119</v>
      </c>
      <c r="AL80" s="851">
        <f t="shared" si="134"/>
        <v>-0.21997981836528757</v>
      </c>
      <c r="AM80" s="850">
        <f t="shared" si="134"/>
        <v>-0.12254901960784315</v>
      </c>
      <c r="AN80" s="850">
        <f t="shared" si="134"/>
        <v>-0.12371134020618557</v>
      </c>
      <c r="AO80" s="850">
        <f t="shared" si="134"/>
        <v>-9.7297297297297303E-2</v>
      </c>
      <c r="AP80" s="850">
        <f t="shared" si="134"/>
        <v>-0.21578947368421053</v>
      </c>
      <c r="AQ80" s="851">
        <f t="shared" si="134"/>
        <v>-0.13971539456662352</v>
      </c>
      <c r="AR80" s="850">
        <f t="shared" si="134"/>
        <v>-0.12290502793296088</v>
      </c>
      <c r="AS80" s="850">
        <f t="shared" si="134"/>
        <v>0</v>
      </c>
      <c r="AT80" s="850">
        <f t="shared" si="134"/>
        <v>0.15568862275449091</v>
      </c>
      <c r="AU80" s="802"/>
      <c r="AV80" s="849"/>
      <c r="AW80" s="849"/>
      <c r="AX80" s="849"/>
      <c r="AY80" s="849"/>
      <c r="AZ80" s="851"/>
      <c r="BA80" s="850">
        <f t="shared" ref="BA80:CF80" si="135">BA78/AV78-1</f>
        <v>0.19178082191780832</v>
      </c>
      <c r="BB80" s="850">
        <f t="shared" si="135"/>
        <v>0.36296296296296293</v>
      </c>
      <c r="BC80" s="850">
        <f t="shared" si="135"/>
        <v>2.0134228187919545E-2</v>
      </c>
      <c r="BD80" s="850">
        <f t="shared" si="135"/>
        <v>0.37398373983739841</v>
      </c>
      <c r="BE80" s="851">
        <f t="shared" si="135"/>
        <v>0.22784810126582289</v>
      </c>
      <c r="BF80" s="850">
        <f t="shared" si="135"/>
        <v>-0.44827586206896552</v>
      </c>
      <c r="BG80" s="850">
        <f t="shared" si="135"/>
        <v>-0.46195652173913049</v>
      </c>
      <c r="BH80" s="850">
        <f t="shared" si="135"/>
        <v>-0.39473684210526316</v>
      </c>
      <c r="BI80" s="850">
        <f t="shared" si="135"/>
        <v>-0.44970414201183428</v>
      </c>
      <c r="BJ80" s="851">
        <f t="shared" si="135"/>
        <v>-0.44035346097201766</v>
      </c>
      <c r="BK80" s="984">
        <f t="shared" si="135"/>
        <v>-5.208333333333337E-2</v>
      </c>
      <c r="BL80" s="984">
        <f t="shared" si="135"/>
        <v>-4.0404040404040442E-2</v>
      </c>
      <c r="BM80" s="984">
        <f t="shared" si="135"/>
        <v>-9.7826086956521729E-2</v>
      </c>
      <c r="BN80" s="984">
        <f t="shared" si="135"/>
        <v>-0.26881720430107525</v>
      </c>
      <c r="BO80" s="851">
        <f t="shared" si="135"/>
        <v>-0.11315789473684212</v>
      </c>
      <c r="BP80" s="984">
        <f t="shared" si="135"/>
        <v>-0.19780219780219777</v>
      </c>
      <c r="BQ80" s="984">
        <f t="shared" si="135"/>
        <v>-0.12631578947368416</v>
      </c>
      <c r="BR80" s="984">
        <f t="shared" si="135"/>
        <v>-8.4337349397590411E-2</v>
      </c>
      <c r="BS80" s="984">
        <f t="shared" si="135"/>
        <v>-7.3529411764705843E-2</v>
      </c>
      <c r="BT80" s="851">
        <f t="shared" si="135"/>
        <v>-0.12462908011869434</v>
      </c>
      <c r="BU80" s="984">
        <f t="shared" si="135"/>
        <v>0.12328767123287676</v>
      </c>
      <c r="BV80" s="984">
        <f t="shared" si="135"/>
        <v>-0.15662650602409633</v>
      </c>
      <c r="BW80" s="984">
        <f t="shared" si="135"/>
        <v>-2.6315789473684181E-2</v>
      </c>
      <c r="BX80" s="984">
        <f t="shared" si="135"/>
        <v>0.17460317460317465</v>
      </c>
      <c r="BY80" s="851">
        <f t="shared" si="135"/>
        <v>1.6949152542372836E-2</v>
      </c>
      <c r="BZ80" s="984">
        <f t="shared" si="135"/>
        <v>-9.7560975609756073E-2</v>
      </c>
      <c r="CA80" s="984">
        <f t="shared" si="135"/>
        <v>7.1428571428571397E-2</v>
      </c>
      <c r="CB80" s="984">
        <f t="shared" si="135"/>
        <v>8.1081081081081141E-2</v>
      </c>
      <c r="CC80" s="984">
        <f t="shared" si="135"/>
        <v>0.20270270270270263</v>
      </c>
      <c r="CD80" s="851">
        <f t="shared" si="135"/>
        <v>6.0000000000000053E-2</v>
      </c>
      <c r="CE80" s="984">
        <f t="shared" si="135"/>
        <v>9.4594594594594517E-2</v>
      </c>
      <c r="CF80" s="984">
        <f t="shared" si="135"/>
        <v>0.14666666666666672</v>
      </c>
      <c r="CG80" s="984">
        <f t="shared" ref="CG80:DQ80" si="136">CG78/CB78-1</f>
        <v>8.7499999999999911E-2</v>
      </c>
      <c r="CH80" s="984">
        <f t="shared" si="136"/>
        <v>0</v>
      </c>
      <c r="CI80" s="851">
        <f t="shared" si="136"/>
        <v>7.8616352201257955E-2</v>
      </c>
      <c r="CJ80" s="984">
        <f t="shared" si="136"/>
        <v>9.8765432098765427E-2</v>
      </c>
      <c r="CK80" s="984">
        <f t="shared" si="136"/>
        <v>6.9767441860465018E-2</v>
      </c>
      <c r="CL80" s="984">
        <f t="shared" si="136"/>
        <v>0.12643678160919536</v>
      </c>
      <c r="CM80" s="984">
        <f t="shared" si="136"/>
        <v>5.6179775280898792E-2</v>
      </c>
      <c r="CN80" s="851">
        <f t="shared" si="136"/>
        <v>8.7463556851312019E-2</v>
      </c>
      <c r="CO80" s="984">
        <f t="shared" si="136"/>
        <v>1.1235955056179803E-2</v>
      </c>
      <c r="CP80" s="984">
        <f t="shared" si="136"/>
        <v>4.3478260869565188E-2</v>
      </c>
      <c r="CQ80" s="984">
        <f t="shared" si="136"/>
        <v>0.13265306122448983</v>
      </c>
      <c r="CR80" s="984">
        <f t="shared" si="136"/>
        <v>0.25531914893617014</v>
      </c>
      <c r="CS80" s="851">
        <f t="shared" si="136"/>
        <v>0.11260053619302957</v>
      </c>
      <c r="CT80" s="984">
        <f t="shared" si="136"/>
        <v>0.31111111111111112</v>
      </c>
      <c r="CU80" s="984">
        <f t="shared" si="136"/>
        <v>0.20833333333333326</v>
      </c>
      <c r="CV80" s="984">
        <f t="shared" si="136"/>
        <v>0.23423423423423428</v>
      </c>
      <c r="CW80" s="984">
        <f t="shared" si="136"/>
        <v>0.40677966101694918</v>
      </c>
      <c r="CX80" s="851">
        <f t="shared" si="136"/>
        <v>0.2939759036144578</v>
      </c>
      <c r="CY80" s="984">
        <f t="shared" si="136"/>
        <v>1.0762711864406778</v>
      </c>
      <c r="CZ80" s="984">
        <f t="shared" si="136"/>
        <v>1.0948275862068964</v>
      </c>
      <c r="DA80" s="984">
        <f t="shared" si="136"/>
        <v>0.97810218978102181</v>
      </c>
      <c r="DB80" s="984">
        <f t="shared" si="136"/>
        <v>2.036144578313253</v>
      </c>
      <c r="DC80" s="851">
        <f t="shared" si="136"/>
        <v>1.3519553072625698</v>
      </c>
      <c r="DD80" s="984">
        <f t="shared" si="136"/>
        <v>1.1224489795918369</v>
      </c>
      <c r="DE80" s="984">
        <f t="shared" si="136"/>
        <v>1.1440329218106995</v>
      </c>
      <c r="DF80" s="984">
        <f t="shared" si="136"/>
        <v>0.93357933579335795</v>
      </c>
      <c r="DG80" s="984">
        <f t="shared" si="136"/>
        <v>0.12301587301587302</v>
      </c>
      <c r="DH80" s="851">
        <f t="shared" si="136"/>
        <v>0.68725257323832145</v>
      </c>
      <c r="DI80" s="984">
        <f t="shared" si="136"/>
        <v>0.32307692307692304</v>
      </c>
      <c r="DJ80" s="984">
        <f t="shared" si="136"/>
        <v>0.29558541266794625</v>
      </c>
      <c r="DK80" s="984">
        <f t="shared" si="136"/>
        <v>0.15267175572519087</v>
      </c>
      <c r="DL80" s="984">
        <f t="shared" si="136"/>
        <v>0.15547703180212014</v>
      </c>
      <c r="DM80" s="851">
        <f t="shared" si="136"/>
        <v>0.22993899577663068</v>
      </c>
      <c r="DN80" s="984">
        <f t="shared" si="136"/>
        <v>0</v>
      </c>
      <c r="DO80" s="984">
        <f t="shared" si="136"/>
        <v>6.6666666666666652E-2</v>
      </c>
      <c r="DP80" s="984">
        <f t="shared" si="136"/>
        <v>0.1556291390728477</v>
      </c>
      <c r="DQ80" s="984">
        <f t="shared" si="136"/>
        <v>1.5290519877675823E-2</v>
      </c>
      <c r="DR80" s="851">
        <f t="shared" ref="DR80:EG80" si="137">DR78/DM78-1</f>
        <v>5.6848531095001986E-2</v>
      </c>
      <c r="DS80" s="984">
        <f t="shared" si="137"/>
        <v>-3.1976744186046457E-2</v>
      </c>
      <c r="DT80" s="984">
        <f t="shared" si="137"/>
        <v>-9.1666666666666674E-2</v>
      </c>
      <c r="DU80" s="984">
        <f t="shared" si="137"/>
        <v>-1.5759312320916874E-2</v>
      </c>
      <c r="DV80" s="984">
        <f t="shared" si="137"/>
        <v>-6.4759036144578341E-2</v>
      </c>
      <c r="DW80" s="851">
        <f t="shared" si="137"/>
        <v>-5.1263537906137135E-2</v>
      </c>
      <c r="DX80" s="984">
        <f t="shared" si="137"/>
        <v>-3.1891891891891899E-2</v>
      </c>
      <c r="DY80" s="984">
        <f t="shared" si="137"/>
        <v>-3.7767584097859408E-2</v>
      </c>
      <c r="DZ80" s="984">
        <f t="shared" si="137"/>
        <v>-3.8326055312954965E-2</v>
      </c>
      <c r="EA80" s="984">
        <f t="shared" si="137"/>
        <v>-3.7310789049919579E-2</v>
      </c>
      <c r="EB80" s="851">
        <f t="shared" si="137"/>
        <v>-3.631659056316594E-2</v>
      </c>
      <c r="EC80" s="984">
        <f t="shared" si="137"/>
        <v>1.3889819467708842E-2</v>
      </c>
      <c r="ED80" s="984">
        <f t="shared" si="137"/>
        <v>1.3834419195932091E-2</v>
      </c>
      <c r="EE80" s="984">
        <f t="shared" si="137"/>
        <v>1.4112491864319621E-2</v>
      </c>
      <c r="EF80" s="984">
        <f t="shared" si="137"/>
        <v>1.3607212752789311E-2</v>
      </c>
      <c r="EG80" s="851">
        <f t="shared" si="137"/>
        <v>1.3867430584072915E-2</v>
      </c>
      <c r="EH80" s="984">
        <f t="shared" ref="EH80" si="138">EH78/EC78-1</f>
        <v>1.3913261363198259E-2</v>
      </c>
      <c r="EI80" s="984">
        <f t="shared" ref="EI80" si="139">EI78/ED78-1</f>
        <v>1.3857738015002896E-2</v>
      </c>
      <c r="EJ80" s="984">
        <f t="shared" ref="EJ80" si="140">EJ78/EE78-1</f>
        <v>1.4136367252408633E-2</v>
      </c>
      <c r="EK80" s="984">
        <f t="shared" ref="EK80" si="141">EK78/EF78-1</f>
        <v>1.3629963324602423E-2</v>
      </c>
      <c r="EL80" s="851">
        <f t="shared" ref="EL80" si="142">EL78/EG78-1</f>
        <v>1.3890823471350844E-2</v>
      </c>
    </row>
    <row r="81" spans="1:142" s="680" customFormat="1" ht="11.25" customHeight="1">
      <c r="A81" s="884"/>
      <c r="B81" s="884"/>
      <c r="C81" s="881"/>
      <c r="D81" s="881"/>
      <c r="E81" s="881"/>
      <c r="F81" s="881"/>
      <c r="G81" s="881"/>
      <c r="H81" s="885"/>
      <c r="I81" s="881"/>
      <c r="J81" s="881"/>
      <c r="K81" s="881"/>
      <c r="L81" s="881"/>
      <c r="M81" s="885"/>
      <c r="N81" s="881"/>
      <c r="O81" s="881"/>
      <c r="P81" s="881"/>
      <c r="Q81" s="881"/>
      <c r="R81" s="885"/>
      <c r="S81" s="881"/>
      <c r="T81" s="881"/>
      <c r="U81" s="881"/>
      <c r="V81" s="881"/>
      <c r="W81" s="885"/>
      <c r="X81" s="881"/>
      <c r="Y81" s="881"/>
      <c r="Z81" s="881"/>
      <c r="AA81" s="881"/>
      <c r="AB81" s="885"/>
      <c r="AC81" s="881"/>
      <c r="AD81" s="881"/>
      <c r="AE81" s="881"/>
      <c r="AF81" s="881"/>
      <c r="AG81" s="885"/>
      <c r="AH81" s="881"/>
      <c r="AI81" s="881"/>
      <c r="AJ81" s="881"/>
      <c r="AK81" s="881"/>
      <c r="AL81" s="885"/>
      <c r="AM81" s="881"/>
      <c r="AN81" s="881"/>
      <c r="AO81" s="881"/>
      <c r="AP81" s="881"/>
      <c r="AQ81" s="885"/>
      <c r="AR81" s="881"/>
      <c r="AS81" s="881"/>
      <c r="AT81" s="881"/>
      <c r="AU81" s="802"/>
      <c r="AV81" s="881"/>
      <c r="AW81" s="881"/>
      <c r="AX81" s="881"/>
      <c r="AY81" s="881"/>
      <c r="AZ81" s="885"/>
      <c r="BA81" s="881"/>
      <c r="BB81" s="881"/>
      <c r="BC81" s="881"/>
      <c r="BD81" s="881"/>
      <c r="BE81" s="885"/>
      <c r="BF81" s="881"/>
      <c r="BG81" s="881"/>
      <c r="BH81" s="881"/>
      <c r="BI81" s="881"/>
      <c r="BJ81" s="851"/>
      <c r="BK81" s="881"/>
      <c r="BL81" s="881"/>
      <c r="BM81" s="881"/>
      <c r="BN81" s="881"/>
      <c r="BO81" s="885"/>
      <c r="BP81" s="881"/>
      <c r="BQ81" s="881"/>
      <c r="BR81" s="881"/>
      <c r="BS81" s="881"/>
      <c r="BT81" s="885"/>
      <c r="BU81" s="881"/>
      <c r="BV81" s="881"/>
      <c r="BW81" s="881"/>
      <c r="BX81" s="881"/>
      <c r="BY81" s="885"/>
      <c r="BZ81" s="881"/>
      <c r="CA81" s="881"/>
      <c r="CB81" s="881"/>
      <c r="CC81" s="881"/>
      <c r="CD81" s="885"/>
      <c r="CE81" s="881"/>
      <c r="CF81" s="881"/>
      <c r="CG81" s="881"/>
      <c r="CH81" s="881"/>
      <c r="CI81" s="885"/>
      <c r="CJ81" s="881"/>
      <c r="CK81" s="881"/>
      <c r="CL81" s="881"/>
      <c r="CM81" s="881"/>
      <c r="CN81" s="885"/>
      <c r="CO81" s="881"/>
      <c r="CP81" s="881"/>
      <c r="CQ81" s="881"/>
      <c r="CR81" s="881"/>
      <c r="CS81" s="885"/>
      <c r="CT81" s="881"/>
      <c r="CU81" s="881"/>
      <c r="CV81" s="881"/>
      <c r="CW81" s="881"/>
      <c r="CX81" s="885"/>
      <c r="CY81" s="881"/>
      <c r="CZ81" s="881"/>
      <c r="DA81" s="881"/>
      <c r="DB81" s="881"/>
      <c r="DC81" s="885"/>
      <c r="DD81" s="881"/>
      <c r="DE81" s="881"/>
      <c r="DF81" s="881"/>
      <c r="DG81" s="881"/>
      <c r="DH81" s="885"/>
      <c r="DI81" s="881"/>
      <c r="DJ81" s="881"/>
      <c r="DK81" s="881"/>
      <c r="DL81" s="881"/>
      <c r="DM81" s="885"/>
      <c r="DN81" s="881"/>
      <c r="DO81" s="881"/>
      <c r="DP81" s="881"/>
      <c r="DQ81" s="881"/>
      <c r="DR81" s="885"/>
      <c r="DS81" s="881"/>
      <c r="DT81" s="881"/>
      <c r="DU81" s="881"/>
      <c r="DV81" s="881"/>
      <c r="DW81" s="885"/>
      <c r="DX81" s="881"/>
      <c r="DY81" s="881"/>
      <c r="DZ81" s="881"/>
      <c r="EA81" s="881"/>
      <c r="EB81" s="885"/>
      <c r="EC81" s="881"/>
      <c r="ED81" s="881"/>
      <c r="EE81" s="881"/>
      <c r="EF81" s="881"/>
      <c r="EG81" s="885"/>
      <c r="EH81" s="881"/>
      <c r="EI81" s="881"/>
      <c r="EJ81" s="881"/>
      <c r="EK81" s="881"/>
      <c r="EL81" s="885"/>
    </row>
    <row r="82" spans="1:142" s="680" customFormat="1" ht="12" customHeight="1">
      <c r="A82" s="804"/>
      <c r="B82" s="804" t="s">
        <v>144</v>
      </c>
      <c r="C82" s="1134"/>
      <c r="D82" s="1134">
        <f t="shared" ref="D82:AT82" si="143">+D69+D73+D78</f>
        <v>662.83500000000004</v>
      </c>
      <c r="E82" s="1134">
        <f t="shared" si="143"/>
        <v>638.79999999999995</v>
      </c>
      <c r="F82" s="1134">
        <f t="shared" si="143"/>
        <v>660.5</v>
      </c>
      <c r="G82" s="1134">
        <f t="shared" si="143"/>
        <v>1355.865</v>
      </c>
      <c r="H82" s="1135">
        <f t="shared" si="143"/>
        <v>3318</v>
      </c>
      <c r="I82" s="1134">
        <f t="shared" si="143"/>
        <v>1283.9000000000001</v>
      </c>
      <c r="J82" s="1134">
        <f t="shared" si="143"/>
        <v>1370.9</v>
      </c>
      <c r="K82" s="1134">
        <f t="shared" si="143"/>
        <v>1431.9</v>
      </c>
      <c r="L82" s="1134">
        <f t="shared" si="143"/>
        <v>1472.2999999999997</v>
      </c>
      <c r="M82" s="1135">
        <f t="shared" si="143"/>
        <v>5559</v>
      </c>
      <c r="N82" s="1134">
        <f t="shared" si="143"/>
        <v>1438.6</v>
      </c>
      <c r="O82" s="1134">
        <f t="shared" si="143"/>
        <v>1476.1</v>
      </c>
      <c r="P82" s="1134">
        <f t="shared" si="143"/>
        <v>2236.9</v>
      </c>
      <c r="Q82" s="1134">
        <f t="shared" si="143"/>
        <v>3539.3999999999996</v>
      </c>
      <c r="R82" s="1135">
        <f t="shared" si="143"/>
        <v>8691</v>
      </c>
      <c r="S82" s="1134">
        <f t="shared" si="143"/>
        <v>2331</v>
      </c>
      <c r="T82" s="1134">
        <f t="shared" si="143"/>
        <v>2429</v>
      </c>
      <c r="U82" s="1134">
        <f t="shared" si="143"/>
        <v>2564</v>
      </c>
      <c r="V82" s="1134">
        <f t="shared" si="143"/>
        <v>2571</v>
      </c>
      <c r="W82" s="1135">
        <f t="shared" si="143"/>
        <v>9895</v>
      </c>
      <c r="X82" s="1134">
        <f t="shared" si="143"/>
        <v>2553</v>
      </c>
      <c r="Y82" s="1134">
        <f t="shared" si="143"/>
        <v>2563</v>
      </c>
      <c r="Z82" s="1134">
        <f t="shared" si="143"/>
        <v>2822</v>
      </c>
      <c r="AA82" s="1134">
        <f t="shared" si="143"/>
        <v>2942</v>
      </c>
      <c r="AB82" s="1135">
        <f t="shared" si="143"/>
        <v>10880</v>
      </c>
      <c r="AC82" s="1134">
        <f t="shared" si="143"/>
        <v>2873</v>
      </c>
      <c r="AD82" s="1134">
        <f t="shared" si="143"/>
        <v>2780</v>
      </c>
      <c r="AE82" s="1134">
        <f t="shared" si="143"/>
        <v>2850</v>
      </c>
      <c r="AF82" s="1134">
        <f t="shared" si="143"/>
        <v>2911</v>
      </c>
      <c r="AG82" s="1135">
        <f t="shared" si="143"/>
        <v>11414</v>
      </c>
      <c r="AH82" s="1134">
        <f t="shared" si="143"/>
        <v>2893</v>
      </c>
      <c r="AI82" s="1134">
        <f t="shared" si="143"/>
        <v>2915</v>
      </c>
      <c r="AJ82" s="1134">
        <f t="shared" si="143"/>
        <v>3036</v>
      </c>
      <c r="AK82" s="1134">
        <f t="shared" si="143"/>
        <v>3209</v>
      </c>
      <c r="AL82" s="1135">
        <f t="shared" si="143"/>
        <v>12053</v>
      </c>
      <c r="AM82" s="1134">
        <f t="shared" si="143"/>
        <v>3297</v>
      </c>
      <c r="AN82" s="1134">
        <f t="shared" si="143"/>
        <v>3394</v>
      </c>
      <c r="AO82" s="1134">
        <f t="shared" si="143"/>
        <v>3484</v>
      </c>
      <c r="AP82" s="1134">
        <f t="shared" si="143"/>
        <v>3738</v>
      </c>
      <c r="AQ82" s="1135">
        <f t="shared" si="143"/>
        <v>13913</v>
      </c>
      <c r="AR82" s="1134">
        <f t="shared" si="143"/>
        <v>3703</v>
      </c>
      <c r="AS82" s="1134">
        <f t="shared" si="143"/>
        <v>3778</v>
      </c>
      <c r="AT82" s="1134">
        <f t="shared" si="143"/>
        <v>3686</v>
      </c>
      <c r="AU82" s="802"/>
      <c r="AV82" s="1134">
        <f>IS!AV12</f>
        <v>3375</v>
      </c>
      <c r="AW82" s="1134">
        <f>IS!AW12</f>
        <v>3430</v>
      </c>
      <c r="AX82" s="1134">
        <f>IS!AX12</f>
        <v>3521</v>
      </c>
      <c r="AY82" s="1134">
        <f>IS!AY12</f>
        <v>3493</v>
      </c>
      <c r="AZ82" s="1135">
        <f>IS!AZ12</f>
        <v>13819</v>
      </c>
      <c r="BA82" s="1134">
        <f>+BA69+BA73+BA78</f>
        <v>3452</v>
      </c>
      <c r="BB82" s="1134">
        <f>+BB69+BB73+BB78</f>
        <v>3379</v>
      </c>
      <c r="BC82" s="1134">
        <f>+BC69+BC73+BC78</f>
        <v>3297</v>
      </c>
      <c r="BD82" s="1134">
        <f>IS!BD12</f>
        <v>3181</v>
      </c>
      <c r="BE82" s="1135">
        <f>IS!BE12</f>
        <v>13309</v>
      </c>
      <c r="BF82" s="1134">
        <f t="shared" ref="BF82:CW82" si="144">+BF69+BF73+BF78</f>
        <v>2669</v>
      </c>
      <c r="BG82" s="1134">
        <f t="shared" si="144"/>
        <v>2570</v>
      </c>
      <c r="BH82" s="1134">
        <f t="shared" si="144"/>
        <v>2440</v>
      </c>
      <c r="BI82" s="1134">
        <f t="shared" si="144"/>
        <v>2412</v>
      </c>
      <c r="BJ82" s="1135">
        <f t="shared" si="144"/>
        <v>10091</v>
      </c>
      <c r="BK82" s="1134">
        <f t="shared" si="144"/>
        <v>2501</v>
      </c>
      <c r="BL82" s="1134">
        <f t="shared" si="144"/>
        <v>2420</v>
      </c>
      <c r="BM82" s="1134">
        <f t="shared" si="144"/>
        <v>2394</v>
      </c>
      <c r="BN82" s="1134">
        <f t="shared" si="144"/>
        <v>2299</v>
      </c>
      <c r="BO82" s="1135">
        <f t="shared" si="144"/>
        <v>9614</v>
      </c>
      <c r="BP82" s="1134">
        <f t="shared" si="144"/>
        <v>2414</v>
      </c>
      <c r="BQ82" s="1134">
        <f t="shared" si="144"/>
        <v>2195</v>
      </c>
      <c r="BR82" s="1134">
        <f t="shared" si="144"/>
        <v>2117</v>
      </c>
      <c r="BS82" s="1134">
        <f t="shared" si="144"/>
        <v>2179</v>
      </c>
      <c r="BT82" s="1135">
        <f t="shared" si="144"/>
        <v>8905</v>
      </c>
      <c r="BU82" s="1134">
        <f t="shared" si="144"/>
        <v>2279</v>
      </c>
      <c r="BV82" s="1134">
        <f t="shared" si="144"/>
        <v>2228</v>
      </c>
      <c r="BW82" s="1134">
        <f t="shared" si="144"/>
        <v>2212</v>
      </c>
      <c r="BX82" s="1134">
        <f t="shared" si="144"/>
        <v>2251</v>
      </c>
      <c r="BY82" s="1135">
        <f t="shared" si="144"/>
        <v>8970</v>
      </c>
      <c r="BZ82" s="1134">
        <f t="shared" si="144"/>
        <v>2371</v>
      </c>
      <c r="CA82" s="1134">
        <f t="shared" si="144"/>
        <v>2184</v>
      </c>
      <c r="CB82" s="1134">
        <f t="shared" si="144"/>
        <v>2158</v>
      </c>
      <c r="CC82" s="1134">
        <f t="shared" si="144"/>
        <v>2195</v>
      </c>
      <c r="CD82" s="1135">
        <f t="shared" si="144"/>
        <v>8908</v>
      </c>
      <c r="CE82" s="1134">
        <f t="shared" si="144"/>
        <v>2279</v>
      </c>
      <c r="CF82" s="1134">
        <f t="shared" si="144"/>
        <v>2229</v>
      </c>
      <c r="CG82" s="1134">
        <f t="shared" si="144"/>
        <v>2262</v>
      </c>
      <c r="CH82" s="1134">
        <f t="shared" si="144"/>
        <v>2261</v>
      </c>
      <c r="CI82" s="1135">
        <f t="shared" si="144"/>
        <v>9031</v>
      </c>
      <c r="CJ82" s="1134">
        <f t="shared" si="144"/>
        <v>2339</v>
      </c>
      <c r="CK82" s="1134">
        <f t="shared" si="144"/>
        <v>2303</v>
      </c>
      <c r="CL82" s="1134">
        <f t="shared" si="144"/>
        <v>2262</v>
      </c>
      <c r="CM82" s="1134">
        <f t="shared" si="144"/>
        <v>2301</v>
      </c>
      <c r="CN82" s="1135">
        <f t="shared" si="144"/>
        <v>9205</v>
      </c>
      <c r="CO82" s="1134">
        <f t="shared" si="144"/>
        <v>2429</v>
      </c>
      <c r="CP82" s="1134">
        <f t="shared" si="144"/>
        <v>2300</v>
      </c>
      <c r="CQ82" s="1134">
        <f t="shared" si="144"/>
        <v>2289</v>
      </c>
      <c r="CR82" s="1134">
        <f t="shared" si="144"/>
        <v>2353</v>
      </c>
      <c r="CS82" s="1135">
        <f t="shared" si="144"/>
        <v>9371</v>
      </c>
      <c r="CT82" s="1134">
        <f t="shared" si="144"/>
        <v>2491</v>
      </c>
      <c r="CU82" s="1134">
        <f t="shared" si="144"/>
        <v>2455</v>
      </c>
      <c r="CV82" s="1134">
        <f t="shared" si="144"/>
        <v>2427</v>
      </c>
      <c r="CW82" s="1134">
        <f t="shared" si="144"/>
        <v>2531</v>
      </c>
      <c r="CX82" s="1135">
        <f>SUM(CT82:CW82)</f>
        <v>9904</v>
      </c>
      <c r="CY82" s="1134">
        <f>+CY69+CY73+CY78</f>
        <v>2594</v>
      </c>
      <c r="CZ82" s="1134">
        <f>+CZ69+CZ73+CZ78</f>
        <v>2629</v>
      </c>
      <c r="DA82" s="1134">
        <f>+DA69+DA73+DA78</f>
        <v>2618</v>
      </c>
      <c r="DB82" s="1134">
        <f>+DB69+DB73+DB78</f>
        <v>4233</v>
      </c>
      <c r="DC82" s="1135">
        <f>SUM(CY82:DB82)</f>
        <v>12074</v>
      </c>
      <c r="DD82" s="1134">
        <f>DD12</f>
        <v>4306</v>
      </c>
      <c r="DE82" s="1134">
        <f>DE12</f>
        <v>4362</v>
      </c>
      <c r="DF82" s="1134">
        <f>DF12</f>
        <v>4428</v>
      </c>
      <c r="DG82" s="1134">
        <f>DG12</f>
        <v>4824</v>
      </c>
      <c r="DH82" s="1135">
        <f>SUM(DD82:DG82)</f>
        <v>17920</v>
      </c>
      <c r="DI82" s="1134">
        <f>DI12</f>
        <v>4791</v>
      </c>
      <c r="DJ82" s="1134">
        <f>DJ12</f>
        <v>4844</v>
      </c>
      <c r="DK82" s="1134">
        <f>DK12</f>
        <v>5063</v>
      </c>
      <c r="DL82" s="1134">
        <f>DL12</f>
        <v>5417</v>
      </c>
      <c r="DM82" s="1135">
        <f>SUM(DI82:DL82)</f>
        <v>20115</v>
      </c>
      <c r="DN82" s="1134">
        <f>DN12</f>
        <v>5420</v>
      </c>
      <c r="DO82" s="1134">
        <f>DO12</f>
        <v>5191</v>
      </c>
      <c r="DP82" s="1134">
        <f>DP12</f>
        <v>4838</v>
      </c>
      <c r="DQ82" s="1134">
        <f>DQ12</f>
        <v>4933</v>
      </c>
      <c r="DR82" s="1135">
        <f>SUM(DN82:DQ82)</f>
        <v>20382</v>
      </c>
      <c r="DS82" s="1134">
        <f>DS12</f>
        <v>5196</v>
      </c>
      <c r="DT82" s="1134">
        <f>DT12</f>
        <v>5173</v>
      </c>
      <c r="DU82" s="1134">
        <f>DU12</f>
        <v>4941</v>
      </c>
      <c r="DV82" s="1134">
        <f>DV12</f>
        <v>5303</v>
      </c>
      <c r="DW82" s="1135">
        <f>SUM(DS82:DV82)</f>
        <v>20613</v>
      </c>
      <c r="DX82" s="1134">
        <f>DX12</f>
        <v>4964.3152019994568</v>
      </c>
      <c r="DY82" s="1134">
        <f>DY12</f>
        <v>4950.4084405288504</v>
      </c>
      <c r="DZ82" s="1134">
        <f>DZ12</f>
        <v>4745.1307780402203</v>
      </c>
      <c r="EA82" s="1134">
        <f>EA12</f>
        <v>4980.8142911245241</v>
      </c>
      <c r="EB82" s="1135">
        <f>SUM(DX82:EA82)</f>
        <v>19640.668711693052</v>
      </c>
      <c r="EC82" s="1134">
        <f>EC12</f>
        <v>4892.339839392569</v>
      </c>
      <c r="ED82" s="1134">
        <f>ED12</f>
        <v>4959.7519629863846</v>
      </c>
      <c r="EE82" s="1134">
        <f>EE12</f>
        <v>4841.2816244869191</v>
      </c>
      <c r="EF82" s="1134">
        <f>EF12</f>
        <v>5174.0071556415378</v>
      </c>
      <c r="EG82" s="1135">
        <f>SUM(EC82:EF82)</f>
        <v>19867.380582507409</v>
      </c>
      <c r="EH82" s="1134">
        <f>EH12</f>
        <v>5111.1011048591226</v>
      </c>
      <c r="EI82" s="1134">
        <f>EI12</f>
        <v>5176.9346465441886</v>
      </c>
      <c r="EJ82" s="1134">
        <f>EJ12</f>
        <v>5048.5327799939778</v>
      </c>
      <c r="EK82" s="1134">
        <f>EK12</f>
        <v>5400.7532931550004</v>
      </c>
      <c r="EL82" s="1135">
        <f>SUM(EH82:EK82)</f>
        <v>20737.321824552291</v>
      </c>
    </row>
    <row r="83" spans="1:142" s="680" customFormat="1" ht="11.25" customHeight="1">
      <c r="A83" s="848"/>
      <c r="B83" s="848" t="s">
        <v>133</v>
      </c>
      <c r="C83" s="849"/>
      <c r="D83" s="849"/>
      <c r="E83" s="849"/>
      <c r="F83" s="849"/>
      <c r="G83" s="849"/>
      <c r="H83" s="851"/>
      <c r="I83" s="850">
        <f t="shared" ref="I83:AT83" si="145">+I82/D82-1</f>
        <v>0.9369828086929628</v>
      </c>
      <c r="J83" s="850">
        <f t="shared" si="145"/>
        <v>1.146055103318723</v>
      </c>
      <c r="K83" s="850">
        <f t="shared" si="145"/>
        <v>1.1679031037093113</v>
      </c>
      <c r="L83" s="850">
        <f t="shared" si="145"/>
        <v>8.587506868309136E-2</v>
      </c>
      <c r="M83" s="851">
        <f t="shared" si="145"/>
        <v>0.67540687160940327</v>
      </c>
      <c r="N83" s="850">
        <f t="shared" si="145"/>
        <v>0.12049225017524723</v>
      </c>
      <c r="O83" s="850">
        <f t="shared" si="145"/>
        <v>7.6737909402582183E-2</v>
      </c>
      <c r="P83" s="850">
        <f t="shared" si="145"/>
        <v>0.56219009707381806</v>
      </c>
      <c r="Q83" s="850">
        <f t="shared" si="145"/>
        <v>1.4039937512735179</v>
      </c>
      <c r="R83" s="851">
        <f t="shared" si="145"/>
        <v>0.56341068537506755</v>
      </c>
      <c r="S83" s="850">
        <f t="shared" si="145"/>
        <v>0.62032531627971643</v>
      </c>
      <c r="T83" s="850">
        <f t="shared" si="145"/>
        <v>0.64555246934489552</v>
      </c>
      <c r="U83" s="850">
        <f t="shared" si="145"/>
        <v>0.14622915642183365</v>
      </c>
      <c r="V83" s="850">
        <f t="shared" si="145"/>
        <v>-0.27360569588065764</v>
      </c>
      <c r="W83" s="851">
        <f t="shared" si="145"/>
        <v>0.13853411575192731</v>
      </c>
      <c r="X83" s="850">
        <f t="shared" si="145"/>
        <v>9.5238095238095344E-2</v>
      </c>
      <c r="Y83" s="850">
        <f t="shared" si="145"/>
        <v>5.5166735282009105E-2</v>
      </c>
      <c r="Z83" s="850">
        <f t="shared" si="145"/>
        <v>0.10062402496099843</v>
      </c>
      <c r="AA83" s="850">
        <f t="shared" si="145"/>
        <v>0.14430182808245817</v>
      </c>
      <c r="AB83" s="851">
        <f t="shared" si="145"/>
        <v>9.9545224861040893E-2</v>
      </c>
      <c r="AC83" s="850">
        <f t="shared" si="145"/>
        <v>0.12534273403838614</v>
      </c>
      <c r="AD83" s="850">
        <f t="shared" si="145"/>
        <v>8.4666406554818607E-2</v>
      </c>
      <c r="AE83" s="850">
        <f t="shared" si="145"/>
        <v>9.9220411055989111E-3</v>
      </c>
      <c r="AF83" s="850">
        <f t="shared" si="145"/>
        <v>-1.0537049626104689E-2</v>
      </c>
      <c r="AG83" s="851">
        <f t="shared" si="145"/>
        <v>4.9080882352941169E-2</v>
      </c>
      <c r="AH83" s="850">
        <f t="shared" si="145"/>
        <v>6.9613644274277853E-3</v>
      </c>
      <c r="AI83" s="850">
        <f t="shared" si="145"/>
        <v>4.8561151079136611E-2</v>
      </c>
      <c r="AJ83" s="850">
        <f t="shared" si="145"/>
        <v>6.5263157894736912E-2</v>
      </c>
      <c r="AK83" s="850">
        <f t="shared" si="145"/>
        <v>0.1023703194778427</v>
      </c>
      <c r="AL83" s="851">
        <f t="shared" si="145"/>
        <v>5.5983879446294127E-2</v>
      </c>
      <c r="AM83" s="850">
        <f t="shared" si="145"/>
        <v>0.13964742481852754</v>
      </c>
      <c r="AN83" s="850">
        <f t="shared" si="145"/>
        <v>0.16432246998284739</v>
      </c>
      <c r="AO83" s="850">
        <f t="shared" si="145"/>
        <v>0.14756258234519115</v>
      </c>
      <c r="AP83" s="850">
        <f t="shared" si="145"/>
        <v>0.16484886257401055</v>
      </c>
      <c r="AQ83" s="851">
        <f t="shared" si="145"/>
        <v>0.15431842694764786</v>
      </c>
      <c r="AR83" s="850">
        <f t="shared" si="145"/>
        <v>0.12314225053078554</v>
      </c>
      <c r="AS83" s="850">
        <f t="shared" si="145"/>
        <v>0.11314083677077202</v>
      </c>
      <c r="AT83" s="850">
        <f t="shared" si="145"/>
        <v>5.7979334098737123E-2</v>
      </c>
      <c r="AU83" s="802"/>
      <c r="AV83" s="849"/>
      <c r="AW83" s="849"/>
      <c r="AX83" s="849"/>
      <c r="AY83" s="849"/>
      <c r="AZ83" s="980"/>
      <c r="BA83" s="850">
        <f t="shared" ref="BA83:CF83" si="146">+BA82/AV82-1</f>
        <v>2.2814814814814843E-2</v>
      </c>
      <c r="BB83" s="850">
        <f t="shared" si="146"/>
        <v>-1.4868804664723068E-2</v>
      </c>
      <c r="BC83" s="850">
        <f t="shared" si="146"/>
        <v>-6.3618290258449339E-2</v>
      </c>
      <c r="BD83" s="850">
        <f t="shared" si="146"/>
        <v>-8.932150014314344E-2</v>
      </c>
      <c r="BE83" s="851">
        <f t="shared" si="146"/>
        <v>-3.6905709530356767E-2</v>
      </c>
      <c r="BF83" s="850">
        <f t="shared" si="146"/>
        <v>-0.22682502896871382</v>
      </c>
      <c r="BG83" s="850">
        <f t="shared" si="146"/>
        <v>-0.23941994672980171</v>
      </c>
      <c r="BH83" s="850">
        <f t="shared" si="146"/>
        <v>-0.25993327267212618</v>
      </c>
      <c r="BI83" s="850">
        <f t="shared" si="146"/>
        <v>-0.24174787802577802</v>
      </c>
      <c r="BJ83" s="851">
        <f t="shared" si="146"/>
        <v>-0.24179126906604553</v>
      </c>
      <c r="BK83" s="850">
        <f t="shared" si="146"/>
        <v>-6.2944923192206792E-2</v>
      </c>
      <c r="BL83" s="850">
        <f t="shared" si="146"/>
        <v>-5.8365758754863828E-2</v>
      </c>
      <c r="BM83" s="850">
        <f t="shared" si="146"/>
        <v>-1.885245901639343E-2</v>
      </c>
      <c r="BN83" s="850">
        <f t="shared" si="146"/>
        <v>-4.6849087893863994E-2</v>
      </c>
      <c r="BO83" s="851">
        <f t="shared" si="146"/>
        <v>-4.7269844415816054E-2</v>
      </c>
      <c r="BP83" s="850">
        <f t="shared" si="146"/>
        <v>-3.4786085565773672E-2</v>
      </c>
      <c r="BQ83" s="850">
        <f t="shared" si="146"/>
        <v>-9.2975206611570216E-2</v>
      </c>
      <c r="BR83" s="850">
        <f t="shared" si="146"/>
        <v>-0.1157059314954052</v>
      </c>
      <c r="BS83" s="850">
        <f t="shared" si="146"/>
        <v>-5.2196607220530655E-2</v>
      </c>
      <c r="BT83" s="851">
        <f t="shared" si="146"/>
        <v>-7.3746619513209932E-2</v>
      </c>
      <c r="BU83" s="850">
        <f t="shared" si="146"/>
        <v>-5.5923777961888965E-2</v>
      </c>
      <c r="BV83" s="850">
        <f t="shared" si="146"/>
        <v>1.5034168564920236E-2</v>
      </c>
      <c r="BW83" s="850">
        <f t="shared" si="146"/>
        <v>4.4874822862541297E-2</v>
      </c>
      <c r="BX83" s="850">
        <f t="shared" si="146"/>
        <v>3.3042680128499313E-2</v>
      </c>
      <c r="BY83" s="851">
        <f t="shared" si="146"/>
        <v>7.2992700729928028E-3</v>
      </c>
      <c r="BZ83" s="850">
        <f t="shared" si="146"/>
        <v>4.0368582711715728E-2</v>
      </c>
      <c r="CA83" s="850">
        <f t="shared" si="146"/>
        <v>-1.9748653500897717E-2</v>
      </c>
      <c r="CB83" s="850">
        <f t="shared" si="146"/>
        <v>-2.4412296564195302E-2</v>
      </c>
      <c r="CC83" s="850">
        <f t="shared" si="146"/>
        <v>-2.4877832074633455E-2</v>
      </c>
      <c r="CD83" s="851">
        <f t="shared" si="146"/>
        <v>-6.9119286510590516E-3</v>
      </c>
      <c r="CE83" s="850">
        <f t="shared" si="146"/>
        <v>-3.8802193167439936E-2</v>
      </c>
      <c r="CF83" s="850">
        <f t="shared" si="146"/>
        <v>2.0604395604395531E-2</v>
      </c>
      <c r="CG83" s="850">
        <f t="shared" ref="CG83:DQ83" si="147">+CG82/CB82-1</f>
        <v>4.8192771084337283E-2</v>
      </c>
      <c r="CH83" s="850">
        <f t="shared" si="147"/>
        <v>3.0068337129840472E-2</v>
      </c>
      <c r="CI83" s="851">
        <f t="shared" si="147"/>
        <v>1.3807813201616614E-2</v>
      </c>
      <c r="CJ83" s="850">
        <f t="shared" si="147"/>
        <v>2.6327336551118963E-2</v>
      </c>
      <c r="CK83" s="850">
        <f t="shared" si="147"/>
        <v>3.3198743831314381E-2</v>
      </c>
      <c r="CL83" s="850">
        <f t="shared" si="147"/>
        <v>0</v>
      </c>
      <c r="CM83" s="850">
        <f t="shared" si="147"/>
        <v>1.769128704113232E-2</v>
      </c>
      <c r="CN83" s="851">
        <f t="shared" si="147"/>
        <v>1.9266969327870642E-2</v>
      </c>
      <c r="CO83" s="850">
        <f t="shared" si="147"/>
        <v>3.8477982043608305E-2</v>
      </c>
      <c r="CP83" s="850">
        <f t="shared" si="147"/>
        <v>-1.3026487190620495E-3</v>
      </c>
      <c r="CQ83" s="850">
        <f t="shared" si="147"/>
        <v>1.1936339522546469E-2</v>
      </c>
      <c r="CR83" s="850">
        <f t="shared" si="147"/>
        <v>2.2598870056497189E-2</v>
      </c>
      <c r="CS83" s="851">
        <f t="shared" si="147"/>
        <v>1.8033677349266641E-2</v>
      </c>
      <c r="CT83" s="850">
        <f t="shared" si="147"/>
        <v>2.5524907369287808E-2</v>
      </c>
      <c r="CU83" s="850">
        <f t="shared" si="147"/>
        <v>6.7391304347826031E-2</v>
      </c>
      <c r="CV83" s="850">
        <f t="shared" si="147"/>
        <v>6.0288335517693303E-2</v>
      </c>
      <c r="CW83" s="850">
        <f t="shared" si="147"/>
        <v>7.5648108797280011E-2</v>
      </c>
      <c r="CX83" s="851">
        <f t="shared" si="147"/>
        <v>5.6877601109806886E-2</v>
      </c>
      <c r="CY83" s="850">
        <f t="shared" si="147"/>
        <v>4.1348855881172319E-2</v>
      </c>
      <c r="CZ83" s="850">
        <f t="shared" si="147"/>
        <v>7.087576374745419E-2</v>
      </c>
      <c r="DA83" s="850">
        <f t="shared" si="147"/>
        <v>7.8697981046559562E-2</v>
      </c>
      <c r="DB83" s="850">
        <f t="shared" si="147"/>
        <v>0.67246147767680764</v>
      </c>
      <c r="DC83" s="851">
        <f t="shared" si="147"/>
        <v>0.21910339256865918</v>
      </c>
      <c r="DD83" s="850">
        <f t="shared" si="147"/>
        <v>0.6599845797995374</v>
      </c>
      <c r="DE83" s="850">
        <f t="shared" si="147"/>
        <v>0.65918600228223667</v>
      </c>
      <c r="DF83" s="850">
        <f t="shared" si="147"/>
        <v>0.69136745607333849</v>
      </c>
      <c r="DG83" s="850">
        <f t="shared" si="147"/>
        <v>0.13961729270021261</v>
      </c>
      <c r="DH83" s="851">
        <f t="shared" si="147"/>
        <v>0.48418088454530395</v>
      </c>
      <c r="DI83" s="850">
        <f t="shared" si="147"/>
        <v>0.11263353460287973</v>
      </c>
      <c r="DJ83" s="850">
        <f t="shared" si="147"/>
        <v>0.11049977074736361</v>
      </c>
      <c r="DK83" s="850">
        <f t="shared" si="147"/>
        <v>0.14340560072267383</v>
      </c>
      <c r="DL83" s="850">
        <f t="shared" si="147"/>
        <v>0.1229270315091211</v>
      </c>
      <c r="DM83" s="851">
        <f t="shared" si="147"/>
        <v>0.12248883928571419</v>
      </c>
      <c r="DN83" s="850">
        <f t="shared" si="147"/>
        <v>0.13128783135044886</v>
      </c>
      <c r="DO83" s="850">
        <f t="shared" si="147"/>
        <v>7.1635012386457531E-2</v>
      </c>
      <c r="DP83" s="850">
        <f t="shared" si="147"/>
        <v>-4.4440055303179959E-2</v>
      </c>
      <c r="DQ83" s="850">
        <f t="shared" si="147"/>
        <v>-8.934834779398193E-2</v>
      </c>
      <c r="DR83" s="851">
        <f t="shared" ref="DR83:EG83" si="148">+DR82/DM82-1</f>
        <v>1.3273676360924691E-2</v>
      </c>
      <c r="DS83" s="850">
        <f t="shared" si="148"/>
        <v>-4.1328413284132837E-2</v>
      </c>
      <c r="DT83" s="850">
        <f t="shared" si="148"/>
        <v>-3.4675399730302869E-3</v>
      </c>
      <c r="DU83" s="850">
        <f t="shared" si="148"/>
        <v>2.1289789169078199E-2</v>
      </c>
      <c r="DV83" s="850">
        <f t="shared" si="148"/>
        <v>7.5005067909993839E-2</v>
      </c>
      <c r="DW83" s="851">
        <f t="shared" si="148"/>
        <v>1.1333529584927948E-2</v>
      </c>
      <c r="DX83" s="850">
        <f t="shared" si="148"/>
        <v>-4.458906812943475E-2</v>
      </c>
      <c r="DY83" s="850">
        <f t="shared" si="148"/>
        <v>-4.3029491488720151E-2</v>
      </c>
      <c r="DZ83" s="850">
        <f t="shared" si="148"/>
        <v>-3.9641615454316881E-2</v>
      </c>
      <c r="EA83" s="850">
        <f t="shared" si="148"/>
        <v>-6.075536656147007E-2</v>
      </c>
      <c r="EB83" s="851">
        <f t="shared" si="148"/>
        <v>-4.7170780008099156E-2</v>
      </c>
      <c r="EC83" s="850">
        <f t="shared" si="148"/>
        <v>-1.4498548073236472E-2</v>
      </c>
      <c r="ED83" s="850">
        <f t="shared" si="148"/>
        <v>1.8874245569393544E-3</v>
      </c>
      <c r="EE83" s="850">
        <f t="shared" si="148"/>
        <v>2.0263055107283989E-2</v>
      </c>
      <c r="EF83" s="850">
        <f t="shared" si="148"/>
        <v>3.8787405678077702E-2</v>
      </c>
      <c r="EG83" s="851">
        <f t="shared" si="148"/>
        <v>1.1542981257017138E-2</v>
      </c>
      <c r="EH83" s="850">
        <f t="shared" ref="EH83" si="149">+EH82/EC82-1</f>
        <v>4.4715059183974226E-2</v>
      </c>
      <c r="EI83" s="850">
        <f t="shared" ref="EI83" si="150">+EI82/ED82-1</f>
        <v>4.3789021140289597E-2</v>
      </c>
      <c r="EJ83" s="850">
        <f t="shared" ref="EJ83" si="151">+EJ82/EE82-1</f>
        <v>4.2809150878311719E-2</v>
      </c>
      <c r="EK83" s="850">
        <f t="shared" ref="EK83" si="152">+EK82/EF82-1</f>
        <v>4.3824086572092913E-2</v>
      </c>
      <c r="EL83" s="851">
        <f t="shared" ref="EL83" si="153">+EL82/EG82-1</f>
        <v>4.3787415176957944E-2</v>
      </c>
    </row>
    <row r="84" spans="1:142" s="680" customFormat="1" ht="11.25" customHeight="1">
      <c r="A84" s="1136"/>
      <c r="B84" s="1136"/>
      <c r="C84" s="1261"/>
      <c r="D84" s="1261">
        <f>D82-IS!D12</f>
        <v>0</v>
      </c>
      <c r="E84" s="1261">
        <f>E82-IS!E12</f>
        <v>0</v>
      </c>
      <c r="F84" s="1261">
        <f>F82-IS!F12</f>
        <v>0</v>
      </c>
      <c r="G84" s="1261">
        <f>G82-IS!G12</f>
        <v>0</v>
      </c>
      <c r="H84" s="1262">
        <f>H82-IS!H12</f>
        <v>0</v>
      </c>
      <c r="I84" s="1261">
        <f>I82-IS!I12</f>
        <v>0</v>
      </c>
      <c r="J84" s="1261">
        <f>J82-IS!J12</f>
        <v>0</v>
      </c>
      <c r="K84" s="1261">
        <f>K82-IS!K12</f>
        <v>0</v>
      </c>
      <c r="L84" s="1263">
        <f>L82-IS!L12</f>
        <v>0</v>
      </c>
      <c r="M84" s="1262">
        <f>M82-IS!M12</f>
        <v>0</v>
      </c>
      <c r="N84" s="1261">
        <f>N82-IS!N12</f>
        <v>0</v>
      </c>
      <c r="O84" s="1261">
        <f>O82-IS!O12</f>
        <v>0</v>
      </c>
      <c r="P84" s="1261">
        <f>P82-IS!P12</f>
        <v>0</v>
      </c>
      <c r="Q84" s="1261">
        <f>Q82-IS!Q12</f>
        <v>0</v>
      </c>
      <c r="R84" s="1262">
        <f>R82-IS!R12</f>
        <v>0</v>
      </c>
      <c r="S84" s="1261">
        <f>S82-IS!S12</f>
        <v>0</v>
      </c>
      <c r="T84" s="1261">
        <f>T82-IS!T12</f>
        <v>0</v>
      </c>
      <c r="U84" s="1261">
        <f>U82-IS!U12</f>
        <v>0</v>
      </c>
      <c r="V84" s="1261">
        <f>V82-IS!V12</f>
        <v>0</v>
      </c>
      <c r="W84" s="1262">
        <f>W82-IS!W12</f>
        <v>0</v>
      </c>
      <c r="X84" s="1261">
        <f>X82-IS!X12</f>
        <v>0</v>
      </c>
      <c r="Y84" s="1261">
        <f>Y82-IS!Y12</f>
        <v>0</v>
      </c>
      <c r="Z84" s="1261">
        <f>Z82-IS!Z12</f>
        <v>0</v>
      </c>
      <c r="AA84" s="1261">
        <f>AA82-IS!AA12</f>
        <v>0</v>
      </c>
      <c r="AB84" s="1262">
        <f>AB82-IS!AB12</f>
        <v>0</v>
      </c>
      <c r="AC84" s="1261">
        <f>AC82-IS!AC12</f>
        <v>0</v>
      </c>
      <c r="AD84" s="1261">
        <f>AD82-IS!AD12</f>
        <v>0</v>
      </c>
      <c r="AE84" s="1261">
        <f>AE82-IS!AE12</f>
        <v>0</v>
      </c>
      <c r="AF84" s="1261">
        <f>AF82-IS!AF12</f>
        <v>0</v>
      </c>
      <c r="AG84" s="1262">
        <f>AG82-IS!AG12</f>
        <v>0</v>
      </c>
      <c r="AH84" s="1261">
        <f>AH82-IS!AH12</f>
        <v>0</v>
      </c>
      <c r="AI84" s="1261">
        <f>AI82-IS!AI12</f>
        <v>0</v>
      </c>
      <c r="AJ84" s="1261">
        <f>AJ82-IS!AJ12</f>
        <v>0</v>
      </c>
      <c r="AK84" s="1261">
        <f>AK82-IS!AK12</f>
        <v>0</v>
      </c>
      <c r="AL84" s="1262">
        <f>AL82-IS!AL12</f>
        <v>0</v>
      </c>
      <c r="AM84" s="1261">
        <f>AM82-IS!AM12</f>
        <v>0</v>
      </c>
      <c r="AN84" s="1261">
        <f>AN82-IS!AN12</f>
        <v>0</v>
      </c>
      <c r="AO84" s="1261">
        <f>AO82-IS!AO12</f>
        <v>0</v>
      </c>
      <c r="AP84" s="1261">
        <f>AP82-IS!AP12</f>
        <v>0</v>
      </c>
      <c r="AQ84" s="1262">
        <f>AQ82-IS!AQ12</f>
        <v>0</v>
      </c>
      <c r="AR84" s="1261">
        <f>AR82-IS!AR12</f>
        <v>0</v>
      </c>
      <c r="AS84" s="1261">
        <f>AS82-IS!AS12</f>
        <v>0</v>
      </c>
      <c r="AT84" s="1261">
        <f>AT82-IS!AT12</f>
        <v>0</v>
      </c>
      <c r="AU84" s="802"/>
      <c r="AV84" s="1261">
        <f>AV82-IS!AV12</f>
        <v>0</v>
      </c>
      <c r="AW84" s="1261">
        <f>AW82-IS!AW12</f>
        <v>0</v>
      </c>
      <c r="AX84" s="1261">
        <f>AX82-IS!AX12</f>
        <v>0</v>
      </c>
      <c r="AY84" s="1261">
        <f>AY82-IS!AY12</f>
        <v>0</v>
      </c>
      <c r="AZ84" s="1264">
        <f>AZ82-IS!AZ12</f>
        <v>0</v>
      </c>
      <c r="BA84" s="1265">
        <f>BA82-IS!BA12</f>
        <v>0</v>
      </c>
      <c r="BB84" s="1265">
        <f>BB82-IS!BB12</f>
        <v>0</v>
      </c>
      <c r="BC84" s="1265">
        <f>BC82-IS!BC12</f>
        <v>0</v>
      </c>
      <c r="BD84" s="1265">
        <f>BD82-IS!BD12</f>
        <v>0</v>
      </c>
      <c r="BE84" s="1262">
        <f>BE82-IS!BE12</f>
        <v>0</v>
      </c>
      <c r="BF84" s="1265">
        <f>BF82-IS!BF12</f>
        <v>0</v>
      </c>
      <c r="BG84" s="1265">
        <f>BG82-IS!BG12</f>
        <v>0</v>
      </c>
      <c r="BH84" s="1265">
        <f>BH82-IS!BH12</f>
        <v>0</v>
      </c>
      <c r="BI84" s="1265">
        <f>BI82-IS!BI12</f>
        <v>0</v>
      </c>
      <c r="BJ84" s="1262">
        <f>BJ82-IS!BJ12</f>
        <v>0</v>
      </c>
      <c r="BK84" s="1265">
        <f>BK82-IS!BK12</f>
        <v>0</v>
      </c>
      <c r="BL84" s="1265">
        <f>BL82-IS!BL12</f>
        <v>0</v>
      </c>
      <c r="BM84" s="1265">
        <f>BM82-IS!BM12</f>
        <v>0</v>
      </c>
      <c r="BN84" s="1265">
        <f>BN82-IS!BN12</f>
        <v>0</v>
      </c>
      <c r="BO84" s="1262">
        <f>BO82-IS!BO12</f>
        <v>0</v>
      </c>
      <c r="BP84" s="1265">
        <f>BP82-IS!BP12</f>
        <v>0</v>
      </c>
      <c r="BQ84" s="1265">
        <f>BQ82-IS!BQ12</f>
        <v>0</v>
      </c>
      <c r="BR84" s="1265">
        <f>BR82-IS!BR12</f>
        <v>0</v>
      </c>
      <c r="BS84" s="1265">
        <f>BS82-IS!BS12</f>
        <v>0</v>
      </c>
      <c r="BT84" s="1262">
        <f>BT82-IS!BT12</f>
        <v>0</v>
      </c>
      <c r="BU84" s="1265">
        <f>BU82-IS!BU12</f>
        <v>0</v>
      </c>
      <c r="BV84" s="1265">
        <f>BV82-IS!BV12</f>
        <v>0</v>
      </c>
      <c r="BW84" s="1265">
        <f>BW82-IS!BW12</f>
        <v>0</v>
      </c>
      <c r="BX84" s="1265">
        <f>BX82-IS!BX12</f>
        <v>0</v>
      </c>
      <c r="BY84" s="1262">
        <f>BY82-IS!BY12</f>
        <v>0</v>
      </c>
      <c r="BZ84" s="1265">
        <f>BZ82-IS!BZ12</f>
        <v>0</v>
      </c>
      <c r="CA84" s="1265">
        <f>CA82-IS!CA12</f>
        <v>0</v>
      </c>
      <c r="CB84" s="1265">
        <f>CB82-IS!CB12</f>
        <v>0</v>
      </c>
      <c r="CC84" s="1265">
        <f>CC82-IS!CC12</f>
        <v>0</v>
      </c>
      <c r="CD84" s="1262">
        <f>CD82-IS!CD12</f>
        <v>0</v>
      </c>
      <c r="CE84" s="1265">
        <f>CE82-IS!CE12</f>
        <v>0</v>
      </c>
      <c r="CF84" s="1265">
        <f>CF82-IS!CF12</f>
        <v>0</v>
      </c>
      <c r="CG84" s="1265">
        <f>CG82-IS!CG12</f>
        <v>0</v>
      </c>
      <c r="CH84" s="1265">
        <f>CH82-IS!CH12</f>
        <v>0</v>
      </c>
      <c r="CI84" s="1262">
        <f>CI82-IS!CI12</f>
        <v>0</v>
      </c>
      <c r="CJ84" s="1265">
        <f>CJ82-IS!CJ12</f>
        <v>0</v>
      </c>
      <c r="CK84" s="1265">
        <f>CK82-IS!CK12</f>
        <v>0</v>
      </c>
      <c r="CL84" s="1265">
        <f>CL82-IS!CL12</f>
        <v>0</v>
      </c>
      <c r="CM84" s="1265">
        <f>CM82-IS!CM12</f>
        <v>0</v>
      </c>
      <c r="CN84" s="1262">
        <f>CN82-IS!CN12</f>
        <v>0</v>
      </c>
      <c r="CO84" s="1265">
        <f>CO82-IS!CO12</f>
        <v>0</v>
      </c>
      <c r="CP84" s="1265">
        <f>CP82-IS!CP12</f>
        <v>0</v>
      </c>
      <c r="CQ84" s="1265">
        <f>CQ82-IS!CQ12</f>
        <v>0</v>
      </c>
      <c r="CR84" s="1265">
        <f>CR82-IS!CR12</f>
        <v>0</v>
      </c>
      <c r="CS84" s="1262">
        <f>CS82-IS!CS12</f>
        <v>0</v>
      </c>
      <c r="CT84" s="1265">
        <f>CT82-IS!CT12</f>
        <v>0</v>
      </c>
      <c r="CU84" s="1265">
        <f>CU82-IS!CU12</f>
        <v>0</v>
      </c>
      <c r="CV84" s="1265">
        <f>CV82-IS!CV12</f>
        <v>0</v>
      </c>
      <c r="CW84" s="1265">
        <f>CW82-IS!CW12</f>
        <v>0</v>
      </c>
      <c r="CX84" s="1262">
        <f>CX82-IS!CX12</f>
        <v>0</v>
      </c>
      <c r="CY84" s="1265">
        <f>CY82-IS!CY12</f>
        <v>0</v>
      </c>
      <c r="CZ84" s="1265">
        <f>CZ82-IS!CZ12</f>
        <v>0</v>
      </c>
      <c r="DA84" s="1265">
        <f>DA82-IS!DA12</f>
        <v>0</v>
      </c>
      <c r="DB84" s="1265">
        <f>DB82-IS!DB12</f>
        <v>0</v>
      </c>
      <c r="DC84" s="1262">
        <f>DC82-IS!DC12</f>
        <v>0</v>
      </c>
      <c r="DD84" s="1265">
        <f>DD82-IS!DD12</f>
        <v>0</v>
      </c>
      <c r="DE84" s="1265">
        <f>DE82-IS!DE12</f>
        <v>0</v>
      </c>
      <c r="DF84" s="1265">
        <f>DF82-IS!DF12</f>
        <v>0</v>
      </c>
      <c r="DG84" s="1265">
        <f>DG82-IS!DG12</f>
        <v>0</v>
      </c>
      <c r="DH84" s="1262">
        <f>DH82-IS!DH12</f>
        <v>0</v>
      </c>
      <c r="DI84" s="1265">
        <f>DI82-IS!DI12</f>
        <v>0</v>
      </c>
      <c r="DJ84" s="1265">
        <f>DJ82-IS!DJ12</f>
        <v>0</v>
      </c>
      <c r="DK84" s="1265">
        <f>DK82-IS!DK12</f>
        <v>0</v>
      </c>
      <c r="DL84" s="1265">
        <f>DL82-IS!DL12</f>
        <v>0</v>
      </c>
      <c r="DM84" s="1262">
        <f>DM82-IS!DM12</f>
        <v>4</v>
      </c>
      <c r="DN84" s="1265">
        <f>DN82-IS!DN12</f>
        <v>0</v>
      </c>
      <c r="DO84" s="1265">
        <f>DO82-IS!DO12</f>
        <v>-29</v>
      </c>
      <c r="DP84" s="1265">
        <f>DP82-IS!DP12</f>
        <v>-378</v>
      </c>
      <c r="DQ84" s="1265">
        <f>DQ82-IS!DQ12</f>
        <v>-281</v>
      </c>
      <c r="DR84" s="1262">
        <f>DR82-IS!DR12</f>
        <v>-688</v>
      </c>
      <c r="DS84" s="1265">
        <f>DS82-IS!DS12</f>
        <v>0</v>
      </c>
      <c r="DT84" s="1265">
        <f>DT82-IS!DT12</f>
        <v>0</v>
      </c>
      <c r="DU84" s="1265">
        <f>DU82-IS!DU12</f>
        <v>0</v>
      </c>
      <c r="DV84" s="1265">
        <f>DV82-IS!DV12</f>
        <v>0</v>
      </c>
      <c r="DW84" s="1262">
        <f>DW82-IS!EQ12</f>
        <v>20613</v>
      </c>
      <c r="DX84" s="1265">
        <f>DX82-IS!DX12</f>
        <v>0</v>
      </c>
      <c r="DY84" s="1265">
        <f>DY82-IS!DY12</f>
        <v>0</v>
      </c>
      <c r="DZ84" s="1265">
        <f>DZ82-IS!DZ12</f>
        <v>0</v>
      </c>
      <c r="EA84" s="1265">
        <f>EA82-IS!EA12</f>
        <v>0</v>
      </c>
      <c r="EB84" s="1262">
        <f>EB82-IS!EV12</f>
        <v>19640.668711693052</v>
      </c>
      <c r="EC84" s="1265">
        <f>EC82-IS!EC12</f>
        <v>0</v>
      </c>
      <c r="ED84" s="1265">
        <f>ED82-IS!ED12</f>
        <v>0</v>
      </c>
      <c r="EE84" s="1265">
        <f>EE82-IS!EE12</f>
        <v>0</v>
      </c>
      <c r="EF84" s="1265">
        <f>EF82-IS!EF12</f>
        <v>0</v>
      </c>
      <c r="EG84" s="1262">
        <f>EG82-IS!FA12</f>
        <v>19867.380582507409</v>
      </c>
      <c r="EH84" s="1265">
        <f>EH82-IS!EH12</f>
        <v>0</v>
      </c>
      <c r="EI84" s="1265">
        <f>EI82-IS!EI12</f>
        <v>0</v>
      </c>
      <c r="EJ84" s="1265">
        <f>EJ82-IS!EJ12</f>
        <v>0</v>
      </c>
      <c r="EK84" s="1265">
        <f>EK82-IS!EK12</f>
        <v>0</v>
      </c>
      <c r="EL84" s="1262">
        <f>EL82-IS!FF12</f>
        <v>20737.321824552291</v>
      </c>
    </row>
    <row r="85" spans="1:142" ht="11.25" customHeight="1">
      <c r="A85" s="520"/>
      <c r="B85" s="520" t="s">
        <v>145</v>
      </c>
      <c r="C85" s="526"/>
      <c r="D85" s="526"/>
      <c r="E85" s="526"/>
      <c r="F85" s="526"/>
      <c r="G85" s="526"/>
      <c r="H85" s="527"/>
      <c r="I85" s="526"/>
      <c r="J85" s="526"/>
      <c r="K85" s="526"/>
      <c r="L85" s="526"/>
      <c r="M85" s="527"/>
      <c r="N85" s="526"/>
      <c r="O85" s="526"/>
      <c r="P85" s="526"/>
      <c r="Q85" s="526"/>
      <c r="R85" s="527"/>
      <c r="S85" s="526"/>
      <c r="T85" s="526"/>
      <c r="U85" s="526"/>
      <c r="V85" s="526"/>
      <c r="W85" s="527"/>
      <c r="X85" s="526"/>
      <c r="Y85" s="526"/>
      <c r="Z85" s="526"/>
      <c r="AA85" s="526"/>
      <c r="AB85" s="527"/>
      <c r="AC85" s="526"/>
      <c r="AD85" s="526"/>
      <c r="AE85" s="526"/>
      <c r="AF85" s="526"/>
      <c r="AG85" s="527"/>
      <c r="AH85" s="526"/>
      <c r="AI85" s="526"/>
      <c r="AJ85" s="526"/>
      <c r="AK85" s="526"/>
      <c r="AL85" s="527"/>
      <c r="AM85" s="526"/>
      <c r="AN85" s="526"/>
      <c r="AO85" s="526"/>
      <c r="AP85" s="526"/>
      <c r="AQ85" s="527"/>
      <c r="AR85" s="526"/>
      <c r="AS85" s="526"/>
      <c r="AT85" s="526"/>
      <c r="AU85" s="137"/>
      <c r="AV85" s="381"/>
      <c r="AW85" s="528"/>
      <c r="AX85" s="528"/>
      <c r="AY85" s="528"/>
      <c r="AZ85" s="529"/>
      <c r="BA85" s="528"/>
      <c r="BB85" s="528"/>
      <c r="BC85" s="528"/>
      <c r="BD85" s="528"/>
      <c r="BE85" s="529"/>
      <c r="BF85" s="528"/>
      <c r="BG85" s="528"/>
      <c r="BH85" s="528"/>
      <c r="BI85" s="528"/>
      <c r="BJ85" s="529"/>
      <c r="BK85" s="531"/>
      <c r="BL85" s="531"/>
      <c r="BM85" s="531"/>
      <c r="BN85" s="531"/>
      <c r="BO85" s="530"/>
      <c r="BP85" s="531"/>
      <c r="BQ85" s="531"/>
      <c r="BR85" s="531"/>
      <c r="BS85" s="531"/>
      <c r="BT85" s="530"/>
      <c r="BU85" s="531"/>
      <c r="BV85" s="531"/>
      <c r="BW85" s="531"/>
      <c r="BX85" s="531"/>
      <c r="BY85" s="530"/>
      <c r="BZ85" s="531"/>
      <c r="CA85" s="531"/>
      <c r="CB85" s="531"/>
      <c r="CC85" s="531"/>
      <c r="CD85" s="530"/>
      <c r="CE85" s="531"/>
      <c r="CF85" s="531"/>
      <c r="CG85" s="531"/>
      <c r="CH85" s="531"/>
      <c r="CI85" s="530"/>
      <c r="CJ85" s="531"/>
      <c r="CK85" s="531"/>
      <c r="CL85" s="531"/>
      <c r="CM85" s="531"/>
      <c r="CN85" s="530"/>
      <c r="CO85" s="531"/>
      <c r="CP85" s="531"/>
      <c r="CQ85" s="531"/>
      <c r="CR85" s="531"/>
      <c r="CS85" s="530"/>
      <c r="CT85" s="531"/>
      <c r="CU85" s="531"/>
      <c r="CV85" s="531"/>
      <c r="CW85" s="531"/>
      <c r="CX85" s="530"/>
      <c r="CY85" s="531"/>
      <c r="CZ85" s="531"/>
      <c r="DA85" s="531"/>
      <c r="DB85" s="531"/>
      <c r="DC85" s="530"/>
      <c r="DD85" s="531"/>
      <c r="DE85" s="531"/>
      <c r="DF85" s="531"/>
      <c r="DG85" s="531"/>
      <c r="DH85" s="530"/>
      <c r="DI85" s="531"/>
      <c r="DJ85" s="531"/>
      <c r="DK85" s="531"/>
      <c r="DL85" s="531"/>
      <c r="DM85" s="530"/>
      <c r="DN85" s="531"/>
      <c r="DO85" s="531"/>
      <c r="DP85" s="531"/>
      <c r="DQ85" s="531"/>
      <c r="DR85" s="530"/>
      <c r="DS85" s="531"/>
      <c r="DT85" s="531"/>
      <c r="DU85" s="531"/>
      <c r="DV85" s="531"/>
      <c r="DW85" s="530"/>
      <c r="DX85" s="531"/>
      <c r="DY85" s="531"/>
      <c r="DZ85" s="531"/>
      <c r="EA85" s="531"/>
      <c r="EB85" s="530"/>
      <c r="EC85" s="531"/>
      <c r="ED85" s="531"/>
      <c r="EE85" s="531"/>
      <c r="EF85" s="531"/>
      <c r="EG85" s="530"/>
      <c r="EH85" s="531"/>
      <c r="EI85" s="531"/>
      <c r="EJ85" s="531"/>
      <c r="EK85" s="531"/>
      <c r="EL85" s="530"/>
    </row>
    <row r="86" spans="1:142" ht="11.25" customHeight="1">
      <c r="A86" s="532"/>
      <c r="B86" s="532" t="s">
        <v>383</v>
      </c>
      <c r="C86" s="197"/>
      <c r="D86" s="197">
        <f>D258</f>
        <v>49078</v>
      </c>
      <c r="E86" s="197">
        <f>E258</f>
        <v>48663</v>
      </c>
      <c r="F86" s="197">
        <f>F258</f>
        <v>51882</v>
      </c>
      <c r="G86" s="197">
        <f>G258</f>
        <v>118245</v>
      </c>
      <c r="H86" s="533">
        <f>SUM(D86:G86)</f>
        <v>267868</v>
      </c>
      <c r="I86" s="197">
        <f>I258</f>
        <v>111503</v>
      </c>
      <c r="J86" s="197">
        <f>J258</f>
        <v>120363</v>
      </c>
      <c r="K86" s="197">
        <f>K258</f>
        <v>130536</v>
      </c>
      <c r="L86" s="197">
        <f>L258</f>
        <v>125199</v>
      </c>
      <c r="M86" s="533">
        <f>SUM(I86:L86)</f>
        <v>487601</v>
      </c>
      <c r="N86" s="197">
        <f>N258</f>
        <v>122210</v>
      </c>
      <c r="O86" s="197">
        <f>O258</f>
        <v>124564</v>
      </c>
      <c r="P86" s="197">
        <f>P258</f>
        <v>212850</v>
      </c>
      <c r="Q86" s="197">
        <f>Q258</f>
        <v>327263</v>
      </c>
      <c r="R86" s="533">
        <f>SUM(N86:Q86)</f>
        <v>786887</v>
      </c>
      <c r="S86" s="197">
        <f>S258</f>
        <v>205572</v>
      </c>
      <c r="T86" s="197">
        <f>T258</f>
        <v>213270</v>
      </c>
      <c r="U86" s="197">
        <f>U258</f>
        <v>230955</v>
      </c>
      <c r="V86" s="197">
        <f>V258</f>
        <v>222636</v>
      </c>
      <c r="W86" s="533">
        <f>SUM(S86:V86)</f>
        <v>872433</v>
      </c>
      <c r="X86" s="197">
        <f>X258</f>
        <v>219167</v>
      </c>
      <c r="Y86" s="197">
        <f>Y258</f>
        <v>221499</v>
      </c>
      <c r="Z86" s="197">
        <f>Z258</f>
        <v>248646</v>
      </c>
      <c r="AA86" s="197">
        <f>AA258</f>
        <v>250935</v>
      </c>
      <c r="AB86" s="533">
        <f>SUM(X86:AA86)</f>
        <v>940247</v>
      </c>
      <c r="AC86" s="197">
        <f>AC258</f>
        <v>239378</v>
      </c>
      <c r="AD86" s="197">
        <f>AD258</f>
        <v>227647</v>
      </c>
      <c r="AE86" s="197">
        <f>AE258</f>
        <v>239792</v>
      </c>
      <c r="AF86" s="197">
        <f>AF258</f>
        <v>229325</v>
      </c>
      <c r="AG86" s="533">
        <f>SUM(AC86:AF86)</f>
        <v>936142</v>
      </c>
      <c r="AH86" s="197">
        <f>AH258</f>
        <v>228680</v>
      </c>
      <c r="AI86" s="197">
        <f>AI258</f>
        <v>229281</v>
      </c>
      <c r="AJ86" s="197">
        <f>AJ258</f>
        <v>239074</v>
      </c>
      <c r="AK86" s="197">
        <f>AK258</f>
        <v>242566</v>
      </c>
      <c r="AL86" s="533">
        <f>SUM(AH86:AK86)</f>
        <v>939601</v>
      </c>
      <c r="AM86" s="197">
        <f>AM258</f>
        <v>242172</v>
      </c>
      <c r="AN86" s="197">
        <f>AN258</f>
        <v>242861</v>
      </c>
      <c r="AO86" s="197">
        <f>AO258</f>
        <v>256840</v>
      </c>
      <c r="AP86" s="197">
        <f>AP258</f>
        <v>259163</v>
      </c>
      <c r="AQ86" s="533">
        <f>SUM(AM86:AP86)</f>
        <v>1001036</v>
      </c>
      <c r="AR86" s="534">
        <f>AR258</f>
        <v>252114</v>
      </c>
      <c r="AS86" s="534">
        <f>AS258</f>
        <v>254232</v>
      </c>
      <c r="AT86" s="534">
        <f>AT258</f>
        <v>261601</v>
      </c>
      <c r="AU86" s="137"/>
      <c r="AV86" s="534" t="str">
        <f>AV258</f>
        <v>ND</v>
      </c>
      <c r="AW86" s="534" t="str">
        <f>AW258</f>
        <v>ND</v>
      </c>
      <c r="AX86" s="534" t="str">
        <f>AX258</f>
        <v>ND</v>
      </c>
      <c r="AY86" s="534" t="str">
        <f>AY258</f>
        <v>ND</v>
      </c>
      <c r="AZ86" s="198">
        <f>SUM(AV86:AY86)</f>
        <v>0</v>
      </c>
      <c r="BA86" s="197">
        <f>BA258</f>
        <v>243226</v>
      </c>
      <c r="BB86" s="197">
        <f>BB258</f>
        <v>236059</v>
      </c>
      <c r="BC86" s="197">
        <f>BC258</f>
        <v>237374</v>
      </c>
      <c r="BD86" s="197">
        <f>BD258</f>
        <v>229981</v>
      </c>
      <c r="BE86" s="533">
        <f>SUM(BA86:BD86)</f>
        <v>946640</v>
      </c>
      <c r="BF86" s="197">
        <f>BF258</f>
        <v>185253</v>
      </c>
      <c r="BG86" s="197">
        <f>BG258</f>
        <v>174079</v>
      </c>
      <c r="BH86" s="197">
        <f>BH258</f>
        <v>170713</v>
      </c>
      <c r="BI86" s="197">
        <f>BI258</f>
        <v>169343</v>
      </c>
      <c r="BJ86" s="533">
        <f>SUM(BF86:BI86)</f>
        <v>699388</v>
      </c>
      <c r="BK86" s="197">
        <f>BK258</f>
        <v>178458</v>
      </c>
      <c r="BL86" s="197">
        <f>BL258</f>
        <v>168526</v>
      </c>
      <c r="BM86" s="197">
        <f>BM258</f>
        <v>163707</v>
      </c>
      <c r="BN86" s="197">
        <f>BN258</f>
        <v>157896</v>
      </c>
      <c r="BO86" s="533">
        <f>SUM(BK86:BN86)</f>
        <v>668587</v>
      </c>
      <c r="BP86" s="197">
        <f>BP258</f>
        <v>166426</v>
      </c>
      <c r="BQ86" s="197">
        <f>BQ258</f>
        <v>142976</v>
      </c>
      <c r="BR86" s="197">
        <f>BR258</f>
        <v>141203</v>
      </c>
      <c r="BS86" s="197">
        <f>BS258</f>
        <v>143110</v>
      </c>
      <c r="BT86" s="533">
        <f>SUM(BP86:BS86)</f>
        <v>593715</v>
      </c>
      <c r="BU86" s="197">
        <f>BU258</f>
        <v>148368</v>
      </c>
      <c r="BV86" s="197">
        <f>BV258</f>
        <v>139832</v>
      </c>
      <c r="BW86" s="197">
        <f>BW258</f>
        <v>136373</v>
      </c>
      <c r="BX86" s="197">
        <f>BX258</f>
        <v>139449</v>
      </c>
      <c r="BY86" s="533">
        <f>SUM(BU86:BX86)</f>
        <v>564022</v>
      </c>
      <c r="BZ86" s="197">
        <f>BZ258</f>
        <v>146057</v>
      </c>
      <c r="CA86" s="197">
        <f>CA258</f>
        <v>133983</v>
      </c>
      <c r="CB86" s="197">
        <f>CB258</f>
        <v>130545</v>
      </c>
      <c r="CC86" s="197">
        <f>CC258</f>
        <v>131693</v>
      </c>
      <c r="CD86" s="533">
        <f>SUM(BZ86:CC86)</f>
        <v>542278</v>
      </c>
      <c r="CE86" s="197">
        <f>CE258</f>
        <v>136766</v>
      </c>
      <c r="CF86" s="197">
        <f>CF258</f>
        <v>130308</v>
      </c>
      <c r="CG86" s="197">
        <f>CG258</f>
        <v>130258</v>
      </c>
      <c r="CH86" s="197">
        <f>CH258</f>
        <v>129631</v>
      </c>
      <c r="CI86" s="533">
        <f>SUM(CE86:CH86)</f>
        <v>526963</v>
      </c>
      <c r="CJ86" s="197">
        <f>CJ258</f>
        <v>132599</v>
      </c>
      <c r="CK86" s="197">
        <f>CK258</f>
        <v>127751</v>
      </c>
      <c r="CL86" s="197">
        <f>CL258</f>
        <v>125645</v>
      </c>
      <c r="CM86" s="197">
        <f>CM258</f>
        <v>126977</v>
      </c>
      <c r="CN86" s="533">
        <f>SUM(CJ86:CM86)</f>
        <v>512972</v>
      </c>
      <c r="CO86" s="197">
        <f>CO258</f>
        <v>131437</v>
      </c>
      <c r="CP86" s="197">
        <f>CP258</f>
        <v>125592</v>
      </c>
      <c r="CQ86" s="197">
        <f>CQ258</f>
        <v>125458</v>
      </c>
      <c r="CR86" s="197">
        <f>CR258</f>
        <v>125347</v>
      </c>
      <c r="CS86" s="533">
        <f>SUM(CO86:CR86)</f>
        <v>507834</v>
      </c>
      <c r="CT86" s="197">
        <f>CT258</f>
        <v>131190</v>
      </c>
      <c r="CU86" s="197">
        <f>CU258</f>
        <v>125136</v>
      </c>
      <c r="CV86" s="197">
        <f>CV258</f>
        <v>124869</v>
      </c>
      <c r="CW86" s="197">
        <f>CW258</f>
        <v>125290</v>
      </c>
      <c r="CX86" s="533">
        <f>SUM(CT86:CW86)</f>
        <v>506485</v>
      </c>
      <c r="CY86" s="197">
        <f>CY258</f>
        <v>125929</v>
      </c>
      <c r="CZ86" s="197">
        <f>CZ258</f>
        <v>120722</v>
      </c>
      <c r="DA86" s="197">
        <f>DA258</f>
        <v>121569</v>
      </c>
      <c r="DB86" s="197">
        <f>DB258</f>
        <v>190506</v>
      </c>
      <c r="DC86" s="533">
        <f>SUM(CY86:DB86)</f>
        <v>558726</v>
      </c>
      <c r="DD86" s="197">
        <f>DD258</f>
        <v>194273</v>
      </c>
      <c r="DE86" s="197">
        <f>DE258</f>
        <v>194641</v>
      </c>
      <c r="DF86" s="197">
        <f>DF258</f>
        <v>199914</v>
      </c>
      <c r="DG86" s="197">
        <f>DG258</f>
        <v>202337</v>
      </c>
      <c r="DH86" s="533">
        <f>SUM(DD86:DG86)</f>
        <v>791165</v>
      </c>
      <c r="DI86" s="197">
        <f>DI258</f>
        <v>208333</v>
      </c>
      <c r="DJ86" s="197">
        <f>DJ258</f>
        <v>201908</v>
      </c>
      <c r="DK86" s="197">
        <f>DK258</f>
        <v>201870</v>
      </c>
      <c r="DL86" s="197">
        <f>DL258</f>
        <v>211991</v>
      </c>
      <c r="DM86" s="533">
        <f>SUM(DI86:DL86)</f>
        <v>824102</v>
      </c>
      <c r="DN86" s="197">
        <f>DN258</f>
        <v>211799</v>
      </c>
      <c r="DO86" s="197">
        <f>DO258</f>
        <v>193898</v>
      </c>
      <c r="DP86" s="197">
        <f>DP258</f>
        <v>194342</v>
      </c>
      <c r="DQ86" s="197">
        <f>DQ258</f>
        <v>192101</v>
      </c>
      <c r="DR86" s="533">
        <f>SUM(DN86:DQ86)</f>
        <v>792140</v>
      </c>
      <c r="DS86" s="197">
        <f>DS295</f>
        <v>196182</v>
      </c>
      <c r="DT86" s="197">
        <f>DT295</f>
        <v>189473</v>
      </c>
      <c r="DU86" s="197">
        <f>DU295</f>
        <v>181970</v>
      </c>
      <c r="DV86" s="197">
        <f>DV295</f>
        <v>184877</v>
      </c>
      <c r="DW86" s="533">
        <f>SUM(DS86:DV86)</f>
        <v>752502</v>
      </c>
      <c r="DX86" s="197">
        <f>DX160+DX30</f>
        <v>173116.78680988014</v>
      </c>
      <c r="DY86" s="197">
        <f>DY160+DY30</f>
        <v>168337.61108139242</v>
      </c>
      <c r="DZ86" s="197">
        <f>DZ160+DZ30</f>
        <v>162859.01787755243</v>
      </c>
      <c r="EA86" s="197">
        <f>EA160+EA30</f>
        <v>158618.68527636607</v>
      </c>
      <c r="EB86" s="533">
        <f>SUM(DX86:EA86)</f>
        <v>662932.10104519106</v>
      </c>
      <c r="EC86" s="197">
        <f>EC160+EC30</f>
        <v>164986.73450684792</v>
      </c>
      <c r="ED86" s="197">
        <f>ED160+ED30</f>
        <v>166224.13501564928</v>
      </c>
      <c r="EE86" s="197">
        <f>EE160+EE30</f>
        <v>167470.81602826665</v>
      </c>
      <c r="EF86" s="197">
        <f>EF160+EF30</f>
        <v>168726.84714847867</v>
      </c>
      <c r="EG86" s="533">
        <f>SUM(EC86:EF86)</f>
        <v>667408.53269924247</v>
      </c>
      <c r="EH86" s="197">
        <f>EH160+EH30</f>
        <v>169570.48138422106</v>
      </c>
      <c r="EI86" s="197">
        <f>EI160+EI30</f>
        <v>170418.33379114215</v>
      </c>
      <c r="EJ86" s="197">
        <f>EJ160+EJ30</f>
        <v>171270.42546009785</v>
      </c>
      <c r="EK86" s="197">
        <f>EK160+EK30</f>
        <v>172126.7775873983</v>
      </c>
      <c r="EL86" s="533">
        <f>SUM(EH86:EK86)</f>
        <v>683386.01822285936</v>
      </c>
    </row>
    <row r="87" spans="1:142" ht="11.25" customHeight="1">
      <c r="A87" s="511"/>
      <c r="B87" s="511" t="s">
        <v>133</v>
      </c>
      <c r="C87" s="163"/>
      <c r="D87" s="163"/>
      <c r="E87" s="163"/>
      <c r="F87" s="163"/>
      <c r="G87" s="163"/>
      <c r="H87" s="85"/>
      <c r="I87" s="84">
        <f t="shared" ref="I87:AT87" si="154">IF(ISERROR(I86/D86-1),"nm",I86/D86-1)</f>
        <v>1.271954847385794</v>
      </c>
      <c r="J87" s="84">
        <f t="shared" si="154"/>
        <v>1.4733986807225201</v>
      </c>
      <c r="K87" s="84">
        <f t="shared" si="154"/>
        <v>1.516017115762692</v>
      </c>
      <c r="L87" s="84">
        <f t="shared" si="154"/>
        <v>5.8810097678548834E-2</v>
      </c>
      <c r="M87" s="85">
        <f t="shared" si="154"/>
        <v>0.82030328370690042</v>
      </c>
      <c r="N87" s="84">
        <f t="shared" si="154"/>
        <v>9.6024322215545688E-2</v>
      </c>
      <c r="O87" s="84">
        <f t="shared" si="154"/>
        <v>3.490275250699959E-2</v>
      </c>
      <c r="P87" s="84">
        <f t="shared" si="154"/>
        <v>0.63058466629895205</v>
      </c>
      <c r="Q87" s="84">
        <f t="shared" si="154"/>
        <v>1.6139426033754263</v>
      </c>
      <c r="R87" s="85">
        <f t="shared" si="154"/>
        <v>0.61379283471526924</v>
      </c>
      <c r="S87" s="84">
        <f t="shared" si="154"/>
        <v>0.68212093936666385</v>
      </c>
      <c r="T87" s="84">
        <f t="shared" si="154"/>
        <v>0.71213191612343851</v>
      </c>
      <c r="U87" s="84">
        <f t="shared" si="154"/>
        <v>8.5059901338971011E-2</v>
      </c>
      <c r="V87" s="84">
        <f t="shared" si="154"/>
        <v>-0.31970311339809265</v>
      </c>
      <c r="W87" s="85">
        <f t="shared" si="154"/>
        <v>0.10871446599066958</v>
      </c>
      <c r="X87" s="84">
        <f t="shared" si="154"/>
        <v>6.6132547234059036E-2</v>
      </c>
      <c r="Y87" s="84">
        <f t="shared" si="154"/>
        <v>3.8584892389928349E-2</v>
      </c>
      <c r="Z87" s="84">
        <f t="shared" si="154"/>
        <v>7.6599337533285627E-2</v>
      </c>
      <c r="AA87" s="84">
        <f t="shared" si="154"/>
        <v>0.12710882337088347</v>
      </c>
      <c r="AB87" s="85">
        <f t="shared" si="154"/>
        <v>7.7729751167138428E-2</v>
      </c>
      <c r="AC87" s="84">
        <f t="shared" si="154"/>
        <v>9.2217350239771401E-2</v>
      </c>
      <c r="AD87" s="84">
        <f t="shared" si="154"/>
        <v>2.7756332985702015E-2</v>
      </c>
      <c r="AE87" s="84">
        <f t="shared" si="154"/>
        <v>-3.5608857572613228E-2</v>
      </c>
      <c r="AF87" s="84">
        <f t="shared" si="154"/>
        <v>-8.6117918983003583E-2</v>
      </c>
      <c r="AG87" s="85">
        <f t="shared" si="154"/>
        <v>-4.3658740735147417E-3</v>
      </c>
      <c r="AH87" s="84">
        <f t="shared" si="154"/>
        <v>-4.4690823718136152E-2</v>
      </c>
      <c r="AI87" s="84">
        <f t="shared" si="154"/>
        <v>7.1777796325012133E-3</v>
      </c>
      <c r="AJ87" s="84">
        <f t="shared" si="154"/>
        <v>-2.9942616934677257E-3</v>
      </c>
      <c r="AK87" s="84">
        <f t="shared" si="154"/>
        <v>5.7739016679385191E-2</v>
      </c>
      <c r="AL87" s="85">
        <f t="shared" si="154"/>
        <v>3.6949522615159491E-3</v>
      </c>
      <c r="AM87" s="84">
        <f t="shared" si="154"/>
        <v>5.8999475249256639E-2</v>
      </c>
      <c r="AN87" s="84">
        <f t="shared" si="154"/>
        <v>5.9228632115177371E-2</v>
      </c>
      <c r="AO87" s="84">
        <f t="shared" si="154"/>
        <v>7.4311719383956421E-2</v>
      </c>
      <c r="AP87" s="84">
        <f t="shared" si="154"/>
        <v>6.8422614875951249E-2</v>
      </c>
      <c r="AQ87" s="85">
        <f t="shared" si="154"/>
        <v>6.538413645792196E-2</v>
      </c>
      <c r="AR87" s="84">
        <f t="shared" si="154"/>
        <v>4.1053466131509841E-2</v>
      </c>
      <c r="AS87" s="84">
        <f t="shared" si="154"/>
        <v>4.6821021077900538E-2</v>
      </c>
      <c r="AT87" s="84">
        <f t="shared" si="154"/>
        <v>1.8536832269117065E-2</v>
      </c>
      <c r="AU87" s="137"/>
      <c r="AV87" s="66"/>
      <c r="AW87" s="66"/>
      <c r="AX87" s="66"/>
      <c r="AY87" s="66"/>
      <c r="AZ87" s="65"/>
      <c r="BA87" s="84" t="str">
        <f>IF(ISERROR(BA86/AV86-1),"nm",BA86/AV86-1)</f>
        <v>nm</v>
      </c>
      <c r="BB87" s="84" t="str">
        <f>IF(ISERROR(BB86/AW86-1),"nm",BB86/AW86-1)</f>
        <v>nm</v>
      </c>
      <c r="BC87" s="84" t="str">
        <f>IF(ISERROR(BC86/AX86-1),"nm",BC86/AX86-1)</f>
        <v>nm</v>
      </c>
      <c r="BD87" s="84" t="str">
        <f>IF(ISERROR(BD86/AY86-1),"nm",BD86/AY86-1)</f>
        <v>nm</v>
      </c>
      <c r="BE87" s="85" t="str">
        <f>IF(ISERROR(BE86/AZ86-1),"nm",BE86/AZ86-1)</f>
        <v>nm</v>
      </c>
      <c r="BF87" s="510">
        <f>BF86/BA86-1</f>
        <v>-0.23835034083527251</v>
      </c>
      <c r="BG87" s="510">
        <f>BG86/BB86-1</f>
        <v>-0.26256147827449916</v>
      </c>
      <c r="BH87" s="510">
        <f>BH86/BC86-1</f>
        <v>-0.2808268807872808</v>
      </c>
      <c r="BI87" s="510">
        <f>BI86/BD86-1</f>
        <v>-0.26366525930402951</v>
      </c>
      <c r="BJ87" s="67">
        <f>BJ86/BE86-1</f>
        <v>-0.26118904757880501</v>
      </c>
      <c r="BK87" s="510">
        <f>IF(ISERROR(BK86/BF86-1),"NM",BK86/BF86-1)</f>
        <v>-3.6679567942219604E-2</v>
      </c>
      <c r="BL87" s="510">
        <f>IF(ISERROR(BL86/BG86-1),"NM",BL86/BG86-1)</f>
        <v>-3.1899310083353005E-2</v>
      </c>
      <c r="BM87" s="510">
        <f>IF(ISERROR(BM86/BH86-1),"NM",BM86/BH86-1)</f>
        <v>-4.1039639629085078E-2</v>
      </c>
      <c r="BN87" s="510">
        <f>IF(ISERROR(BN86/BI86-1),"NM",BN86/BI86-1)</f>
        <v>-6.759653484348338E-2</v>
      </c>
      <c r="BO87" s="67">
        <f>IF(ISERROR(BO86/BJ86-1),"NM",BO86/BJ86-1)</f>
        <v>-4.4039932054882214E-2</v>
      </c>
      <c r="BP87" s="510">
        <f t="shared" ref="BP87:CU87" si="155">BP86/BK86-1</f>
        <v>-6.7422026471214536E-2</v>
      </c>
      <c r="BQ87" s="510">
        <f t="shared" si="155"/>
        <v>-0.15160865385756506</v>
      </c>
      <c r="BR87" s="510">
        <f t="shared" si="155"/>
        <v>-0.13746510534063905</v>
      </c>
      <c r="BS87" s="510">
        <f t="shared" si="155"/>
        <v>-9.3643917515326525E-2</v>
      </c>
      <c r="BT87" s="67">
        <f t="shared" si="155"/>
        <v>-0.11198542598046324</v>
      </c>
      <c r="BU87" s="510">
        <f t="shared" si="155"/>
        <v>-0.10850468075901598</v>
      </c>
      <c r="BV87" s="510">
        <f t="shared" si="155"/>
        <v>-2.1989704565801294E-2</v>
      </c>
      <c r="BW87" s="510">
        <f t="shared" si="155"/>
        <v>-3.4206072108949548E-2</v>
      </c>
      <c r="BX87" s="510">
        <f t="shared" si="155"/>
        <v>-2.5581720354971749E-2</v>
      </c>
      <c r="BY87" s="67">
        <f t="shared" si="155"/>
        <v>-5.001221124613664E-2</v>
      </c>
      <c r="BZ87" s="510">
        <f t="shared" si="155"/>
        <v>-1.5576135015636816E-2</v>
      </c>
      <c r="CA87" s="510">
        <f t="shared" si="155"/>
        <v>-4.1828765947708679E-2</v>
      </c>
      <c r="CB87" s="510">
        <f t="shared" si="155"/>
        <v>-4.2735732146392591E-2</v>
      </c>
      <c r="CC87" s="510">
        <f t="shared" si="155"/>
        <v>-5.561890009967807E-2</v>
      </c>
      <c r="CD87" s="67">
        <f t="shared" si="155"/>
        <v>-3.8551687700125181E-2</v>
      </c>
      <c r="CE87" s="510">
        <f t="shared" si="155"/>
        <v>-6.3612151420335938E-2</v>
      </c>
      <c r="CF87" s="510">
        <f t="shared" si="155"/>
        <v>-2.7428852914175628E-2</v>
      </c>
      <c r="CG87" s="510">
        <f t="shared" si="155"/>
        <v>-2.1984756214332712E-3</v>
      </c>
      <c r="CH87" s="510">
        <f t="shared" si="155"/>
        <v>-1.5657627968077237E-2</v>
      </c>
      <c r="CI87" s="67">
        <f t="shared" si="155"/>
        <v>-2.8241971829947032E-2</v>
      </c>
      <c r="CJ87" s="510">
        <f t="shared" si="155"/>
        <v>-3.0468098796484488E-2</v>
      </c>
      <c r="CK87" s="510">
        <f t="shared" si="155"/>
        <v>-1.962273996991748E-2</v>
      </c>
      <c r="CL87" s="510">
        <f t="shared" si="155"/>
        <v>-3.5414331557370726E-2</v>
      </c>
      <c r="CM87" s="510">
        <f t="shared" si="155"/>
        <v>-2.0473497851594136E-2</v>
      </c>
      <c r="CN87" s="67">
        <f t="shared" si="155"/>
        <v>-2.6550251156153282E-2</v>
      </c>
      <c r="CO87" s="510">
        <f t="shared" si="155"/>
        <v>-8.7632636746883819E-3</v>
      </c>
      <c r="CP87" s="510">
        <f t="shared" si="155"/>
        <v>-1.6900063404591714E-2</v>
      </c>
      <c r="CQ87" s="510">
        <f t="shared" si="155"/>
        <v>-1.4883202674200735E-3</v>
      </c>
      <c r="CR87" s="510">
        <f t="shared" si="155"/>
        <v>-1.2836970474967901E-2</v>
      </c>
      <c r="CS87" s="67">
        <f t="shared" si="155"/>
        <v>-1.0016141231880105E-2</v>
      </c>
      <c r="CT87" s="510">
        <f t="shared" si="155"/>
        <v>-1.8792273104224488E-3</v>
      </c>
      <c r="CU87" s="510">
        <f t="shared" si="155"/>
        <v>-3.6308045098414343E-3</v>
      </c>
      <c r="CV87" s="510">
        <f t="shared" ref="CV87:DR87" si="156">CV86/CQ86-1</f>
        <v>-4.694798259178401E-3</v>
      </c>
      <c r="CW87" s="510">
        <f t="shared" si="156"/>
        <v>-4.5473764828840579E-4</v>
      </c>
      <c r="CX87" s="67">
        <f t="shared" si="156"/>
        <v>-2.6563798406565864E-3</v>
      </c>
      <c r="CY87" s="510">
        <f t="shared" si="156"/>
        <v>-4.0102141931549706E-2</v>
      </c>
      <c r="CZ87" s="510">
        <f t="shared" si="156"/>
        <v>-3.5273622298938712E-2</v>
      </c>
      <c r="DA87" s="510">
        <f t="shared" si="156"/>
        <v>-2.6427696225644448E-2</v>
      </c>
      <c r="DB87" s="510">
        <v>-2.3E-2</v>
      </c>
      <c r="DC87" s="67">
        <f t="shared" si="156"/>
        <v>0.10314421947342955</v>
      </c>
      <c r="DD87" s="510">
        <f t="shared" si="156"/>
        <v>0.54271851598916854</v>
      </c>
      <c r="DE87" s="510">
        <f t="shared" si="156"/>
        <v>0.61230761584466786</v>
      </c>
      <c r="DF87" s="510">
        <f t="shared" si="156"/>
        <v>0.64444883152777432</v>
      </c>
      <c r="DG87" s="510">
        <f t="shared" si="156"/>
        <v>6.2103030875668042E-2</v>
      </c>
      <c r="DH87" s="67">
        <f t="shared" si="156"/>
        <v>0.41601607943786401</v>
      </c>
      <c r="DI87" s="510">
        <f t="shared" si="156"/>
        <v>7.2372383192723655E-2</v>
      </c>
      <c r="DJ87" s="510">
        <f t="shared" si="156"/>
        <v>3.7335402099249348E-2</v>
      </c>
      <c r="DK87" s="510">
        <f t="shared" si="156"/>
        <v>9.7842072090998933E-3</v>
      </c>
      <c r="DL87" s="510">
        <f t="shared" si="156"/>
        <v>4.7712479674997699E-2</v>
      </c>
      <c r="DM87" s="67">
        <f t="shared" si="156"/>
        <v>4.1631012494233177E-2</v>
      </c>
      <c r="DN87" s="510">
        <f t="shared" si="156"/>
        <v>1.6636826618922518E-2</v>
      </c>
      <c r="DO87" s="510">
        <f t="shared" si="156"/>
        <v>-3.9671533569744621E-2</v>
      </c>
      <c r="DP87" s="510">
        <f t="shared" si="156"/>
        <v>-3.729132610095609E-2</v>
      </c>
      <c r="DQ87" s="510">
        <f t="shared" si="156"/>
        <v>-9.3824737842644224E-2</v>
      </c>
      <c r="DR87" s="67">
        <f t="shared" si="156"/>
        <v>-3.8784034015206803E-2</v>
      </c>
      <c r="DS87" s="510">
        <f t="shared" ref="DS87:EG87" si="157">DS86/DN86-1</f>
        <v>-7.3735003470271288E-2</v>
      </c>
      <c r="DT87" s="510">
        <f t="shared" si="157"/>
        <v>-2.2821277166345189E-2</v>
      </c>
      <c r="DU87" s="510">
        <f t="shared" si="157"/>
        <v>-6.3660968807565999E-2</v>
      </c>
      <c r="DV87" s="510">
        <f t="shared" si="157"/>
        <v>-3.7605218088401449E-2</v>
      </c>
      <c r="DW87" s="67">
        <f t="shared" si="157"/>
        <v>-5.0039134496427384E-2</v>
      </c>
      <c r="DX87" s="510">
        <f t="shared" si="157"/>
        <v>-0.11757048653862157</v>
      </c>
      <c r="DY87" s="510">
        <f t="shared" si="157"/>
        <v>-0.11154828877258283</v>
      </c>
      <c r="DZ87" s="510">
        <f t="shared" si="157"/>
        <v>-0.10502270771252176</v>
      </c>
      <c r="EA87" s="510">
        <f t="shared" si="157"/>
        <v>-0.14203126794373522</v>
      </c>
      <c r="EB87" s="67">
        <f t="shared" si="157"/>
        <v>-0.11902944969556084</v>
      </c>
      <c r="EC87" s="510">
        <f t="shared" si="157"/>
        <v>-4.6962818874178747E-2</v>
      </c>
      <c r="ED87" s="510">
        <f t="shared" si="157"/>
        <v>-1.2554984309010142E-2</v>
      </c>
      <c r="EE87" s="510">
        <f t="shared" si="157"/>
        <v>2.8317732790097416E-2</v>
      </c>
      <c r="EF87" s="510">
        <f t="shared" si="157"/>
        <v>6.3726173587310031E-2</v>
      </c>
      <c r="EG87" s="67">
        <f t="shared" si="157"/>
        <v>6.7524738159365771E-3</v>
      </c>
      <c r="EH87" s="510">
        <f t="shared" ref="EH87" si="158">EH86/EC86-1</f>
        <v>2.7782517734375123E-2</v>
      </c>
      <c r="EI87" s="510">
        <f t="shared" ref="EI87" si="159">EI86/ED86-1</f>
        <v>2.5232188906250119E-2</v>
      </c>
      <c r="EJ87" s="510">
        <f t="shared" ref="EJ87" si="160">EJ86/EE86-1</f>
        <v>2.2688188437499868E-2</v>
      </c>
      <c r="EK87" s="510">
        <f t="shared" ref="EK87" si="161">EK86/EF86-1</f>
        <v>2.0150500624999568E-2</v>
      </c>
      <c r="EL87" s="67">
        <f t="shared" ref="EL87" si="162">EL86/EG86-1</f>
        <v>2.3939588334296769E-2</v>
      </c>
    </row>
    <row r="88" spans="1:142" ht="11.25" customHeight="1">
      <c r="A88" s="511"/>
      <c r="B88" s="511" t="s">
        <v>668</v>
      </c>
      <c r="C88" s="66"/>
      <c r="D88" s="66"/>
      <c r="E88" s="66"/>
      <c r="F88" s="66"/>
      <c r="G88" s="84"/>
      <c r="H88" s="67"/>
      <c r="I88" s="84">
        <f>IF(ISERROR(I86/D390-1),"nm",I86/D390-1)</f>
        <v>297.63302069216718</v>
      </c>
      <c r="J88" s="84">
        <f>IF(ISERROR(J86/E390-1),"nm",J86/E390-1)</f>
        <v>327.16576920455321</v>
      </c>
      <c r="K88" s="84">
        <f>IF(ISERROR(K86/F390-1),"nm",K86/F390-1)</f>
        <v>337.43920145190566</v>
      </c>
      <c r="L88" s="84">
        <f>IF(ISERROR(L86/G390-1),"nm",L86/G390-1)</f>
        <v>153.17703655084003</v>
      </c>
      <c r="M88" s="67">
        <f>M86/H390-1</f>
        <v>250.61308633056399</v>
      </c>
      <c r="N88" s="510">
        <f>N86/I390-1</f>
        <v>154.22672424742794</v>
      </c>
      <c r="O88" s="510">
        <f>O86/J390-1</f>
        <v>147.39647367167024</v>
      </c>
      <c r="P88" s="510">
        <f>P86/K390-1</f>
        <v>233.7523988088673</v>
      </c>
      <c r="Q88" s="84">
        <f>IF(ISERROR(Q86/L390-1),"nm",Q86/L390-1)</f>
        <v>359.97838076329128</v>
      </c>
      <c r="R88" s="67">
        <f>R86/M390-1</f>
        <v>227.74622093023257</v>
      </c>
      <c r="S88" s="510">
        <f>S86/N390-1</f>
        <v>238.5385690981123</v>
      </c>
      <c r="T88" s="510">
        <f>T86/O390-1</f>
        <v>240.11927642736009</v>
      </c>
      <c r="U88" s="510">
        <f>U86/P390-1</f>
        <v>166.72331154684096</v>
      </c>
      <c r="V88" s="84">
        <f>IF(ISERROR(V86/Q390-1),"nm",V86/Q390-1)</f>
        <v>104.64988373748398</v>
      </c>
      <c r="W88" s="67">
        <f>W86/R390-1</f>
        <v>165.90893437918501</v>
      </c>
      <c r="X88" s="510">
        <f>X86/S390-1</f>
        <v>162.43549589858316</v>
      </c>
      <c r="Y88" s="510">
        <f>Y86/T390-1</f>
        <v>158.35179856115107</v>
      </c>
      <c r="Z88" s="510">
        <f>Z86/U390-1</f>
        <v>157.98081841432224</v>
      </c>
      <c r="AA88" s="84">
        <f>IF(ISERROR(AA86/V390-1),"nm",AA86/V390-1)</f>
        <v>161.10271317829458</v>
      </c>
      <c r="AB88" s="67">
        <f>AB86/W390-1</f>
        <v>159.91853499914427</v>
      </c>
      <c r="AC88" s="510">
        <f>AC86/X390-1</f>
        <v>161.40027137042063</v>
      </c>
      <c r="AD88" s="510">
        <f>AD86/Y390-1</f>
        <v>147.01495448634591</v>
      </c>
      <c r="AE88" s="510">
        <f>AE86/Z390-1</f>
        <v>138.00985507246378</v>
      </c>
      <c r="AF88" s="84">
        <f>IF(ISERROR(AF86/AA390-1),"nm",AF86/AA390-1)</f>
        <v>127.90668915120855</v>
      </c>
      <c r="AG88" s="67">
        <f>AG86/AB390-1</f>
        <v>142.6682013505218</v>
      </c>
      <c r="AH88" s="510">
        <f>AH86/AC390-1</f>
        <v>133.28068115091017</v>
      </c>
      <c r="AI88" s="510">
        <f>AI86/AD390-1</f>
        <v>133.87117647058824</v>
      </c>
      <c r="AJ88" s="510">
        <f>AJ86/AE390-1</f>
        <v>129.57018022938286</v>
      </c>
      <c r="AK88" s="84">
        <f>IF(ISERROR(AK86/AF390-1),"nm",AK86/AF390-1)</f>
        <v>134.13426183844012</v>
      </c>
      <c r="AL88" s="67">
        <f>AL86/AG390-1</f>
        <v>132.67491819604496</v>
      </c>
      <c r="AM88" s="510">
        <f>AM86/AH390-1</f>
        <v>135.28137310073157</v>
      </c>
      <c r="AN88" s="510">
        <f>AN86/AI390-1</f>
        <v>130.84636264929424</v>
      </c>
      <c r="AO88" s="510">
        <f>AO86/AJ390-1</f>
        <v>128.26019124308002</v>
      </c>
      <c r="AP88" s="84">
        <f>IF(ISERROR(AP86/AK390-1),"nm",AP86/AK390-1)</f>
        <v>124.13906325446644</v>
      </c>
      <c r="AQ88" s="67">
        <f>AQ86/AL390-1</f>
        <v>129.39416438713039</v>
      </c>
      <c r="AR88" s="510">
        <f>AR86/AM390-1</f>
        <v>117.86562942008487</v>
      </c>
      <c r="AS88" s="510">
        <f>AS86/AN390-1</f>
        <v>114.03710407239819</v>
      </c>
      <c r="AT88" s="510">
        <f>AT86/AO390-1</f>
        <v>111.03468950749465</v>
      </c>
      <c r="AU88" s="137"/>
      <c r="AV88" s="66"/>
      <c r="AW88" s="66"/>
      <c r="AX88" s="66"/>
      <c r="AY88" s="66"/>
      <c r="AZ88" s="65"/>
      <c r="BA88" s="510" t="e">
        <f>BA86/AV390-1</f>
        <v>#VALUE!</v>
      </c>
      <c r="BB88" s="510" t="e">
        <f>BB86/AW390-1</f>
        <v>#VALUE!</v>
      </c>
      <c r="BC88" s="510" t="e">
        <f>BC86/AX390-1</f>
        <v>#VALUE!</v>
      </c>
      <c r="BD88" s="84" t="str">
        <f>IF(ISERROR(BD86/AY390-1),"nm",BD86/AY390-1)</f>
        <v>nm</v>
      </c>
      <c r="BE88" s="67" t="e">
        <f t="shared" ref="BE88:CV88" si="163">BE86/AZ390-1</f>
        <v>#VALUE!</v>
      </c>
      <c r="BF88" s="510">
        <f t="shared" si="163"/>
        <v>80.753309796999119</v>
      </c>
      <c r="BG88" s="510">
        <f t="shared" si="163"/>
        <v>78.816139385602938</v>
      </c>
      <c r="BH88" s="510">
        <f t="shared" si="163"/>
        <v>78.809724170172984</v>
      </c>
      <c r="BI88" s="510">
        <f t="shared" si="163"/>
        <v>84.311335012594455</v>
      </c>
      <c r="BJ88" s="67">
        <f t="shared" si="163"/>
        <v>80.599346633998366</v>
      </c>
      <c r="BK88" s="510">
        <f t="shared" si="163"/>
        <v>100.10934844192634</v>
      </c>
      <c r="BL88" s="510">
        <f t="shared" si="163"/>
        <v>98.71952662721894</v>
      </c>
      <c r="BM88" s="510">
        <f t="shared" si="163"/>
        <v>101.5090795241077</v>
      </c>
      <c r="BN88" s="510">
        <f t="shared" si="163"/>
        <v>97.377570093457948</v>
      </c>
      <c r="BO88" s="67">
        <f t="shared" si="163"/>
        <v>101.13672471738467</v>
      </c>
      <c r="BP88" s="510">
        <f t="shared" si="163"/>
        <v>96.840094062316282</v>
      </c>
      <c r="BQ88" s="510">
        <f t="shared" si="163"/>
        <v>88.471839799749688</v>
      </c>
      <c r="BR88" s="510">
        <f t="shared" si="163"/>
        <v>87.086712414223328</v>
      </c>
      <c r="BS88" s="510">
        <f t="shared" si="163"/>
        <v>89.006289308176108</v>
      </c>
      <c r="BT88" s="67">
        <f t="shared" si="163"/>
        <v>90.453327171903879</v>
      </c>
      <c r="BU88" s="510">
        <f t="shared" si="163"/>
        <v>87.472271914132378</v>
      </c>
      <c r="BV88" s="510">
        <f t="shared" si="163"/>
        <v>93.481081081081086</v>
      </c>
      <c r="BW88" s="510">
        <f t="shared" si="163"/>
        <v>95.172778561354022</v>
      </c>
      <c r="BX88" s="510">
        <f t="shared" si="163"/>
        <v>92.339357429718874</v>
      </c>
      <c r="BY88" s="67">
        <f t="shared" si="163"/>
        <v>94.145411605937923</v>
      </c>
      <c r="BZ88" s="510">
        <f t="shared" si="163"/>
        <v>93.842207792207788</v>
      </c>
      <c r="CA88" s="510">
        <f t="shared" si="163"/>
        <v>88.861167002012067</v>
      </c>
      <c r="CB88" s="510">
        <f t="shared" si="163"/>
        <v>86.968328840970344</v>
      </c>
      <c r="CC88" s="510">
        <f t="shared" si="163"/>
        <v>85.811470006591961</v>
      </c>
      <c r="CD88" s="67">
        <f t="shared" si="163"/>
        <v>89.879503938327474</v>
      </c>
      <c r="CE88" s="510">
        <f t="shared" si="163"/>
        <v>83.737298636926894</v>
      </c>
      <c r="CF88" s="510">
        <f t="shared" si="163"/>
        <v>89.554551772063931</v>
      </c>
      <c r="CG88" s="510">
        <f t="shared" si="163"/>
        <v>91.120226308345124</v>
      </c>
      <c r="CH88" s="510">
        <f t="shared" si="163"/>
        <v>88.277548209366387</v>
      </c>
      <c r="CI88" s="67">
        <f t="shared" si="163"/>
        <v>90.66168029222473</v>
      </c>
      <c r="CJ88" s="510">
        <f t="shared" si="163"/>
        <v>86.007217847769027</v>
      </c>
      <c r="CK88" s="510">
        <f t="shared" si="163"/>
        <v>87.654406662040245</v>
      </c>
      <c r="CL88" s="510">
        <f t="shared" si="163"/>
        <v>84.706002728512956</v>
      </c>
      <c r="CM88" s="510">
        <f t="shared" si="163"/>
        <v>84.737339635381502</v>
      </c>
      <c r="CN88" s="67">
        <f t="shared" si="163"/>
        <v>85.914944086750253</v>
      </c>
      <c r="CO88" s="510">
        <f t="shared" si="163"/>
        <v>84.127590673575128</v>
      </c>
      <c r="CP88" s="510">
        <f t="shared" si="163"/>
        <v>83.97428958051421</v>
      </c>
      <c r="CQ88" s="510">
        <f t="shared" si="163"/>
        <v>86.732867132867128</v>
      </c>
      <c r="CR88" s="510">
        <f t="shared" si="163"/>
        <v>83.865944482058225</v>
      </c>
      <c r="CS88" s="67">
        <f t="shared" si="163"/>
        <v>84.652555236970827</v>
      </c>
      <c r="CT88" s="510">
        <f t="shared" si="163"/>
        <v>80.031500926497841</v>
      </c>
      <c r="CU88" s="510">
        <f t="shared" si="163"/>
        <v>84.358799454297412</v>
      </c>
      <c r="CV88" s="510">
        <f t="shared" si="163"/>
        <v>85.474376731301945</v>
      </c>
      <c r="CW88" s="510">
        <f>CW86/CR295-1</f>
        <v>-4.5473764828840579E-4</v>
      </c>
      <c r="CX88" s="67">
        <f t="shared" ref="CX88:DG88" si="164">CX86/CS390-1</f>
        <v>83.022063702720644</v>
      </c>
      <c r="CY88" s="510">
        <f t="shared" si="164"/>
        <v>77.362787803360305</v>
      </c>
      <c r="CZ88" s="510">
        <f t="shared" si="164"/>
        <v>76.985788113695094</v>
      </c>
      <c r="DA88" s="510">
        <f t="shared" si="164"/>
        <v>79.992005329780142</v>
      </c>
      <c r="DB88" s="510">
        <f t="shared" si="164"/>
        <v>122.38471502590673</v>
      </c>
      <c r="DC88" s="67">
        <f t="shared" si="164"/>
        <v>89.117096774193541</v>
      </c>
      <c r="DD88" s="510">
        <f t="shared" si="164"/>
        <v>125.47981770833333</v>
      </c>
      <c r="DE88" s="510">
        <f t="shared" si="164"/>
        <v>125.22632944228275</v>
      </c>
      <c r="DF88" s="510">
        <f t="shared" si="164"/>
        <v>132.09853528628494</v>
      </c>
      <c r="DG88" s="510">
        <f t="shared" si="164"/>
        <v>84.302276559865092</v>
      </c>
      <c r="DH88" s="67"/>
      <c r="DI88" s="510">
        <f t="shared" ref="DI88:DQ88" si="165">DI86/DD333-1</f>
        <v>7.2372383192723655E-2</v>
      </c>
      <c r="DJ88" s="510">
        <f t="shared" si="165"/>
        <v>3.7335402099249348E-2</v>
      </c>
      <c r="DK88" s="510">
        <f t="shared" si="165"/>
        <v>9.7842072090998933E-3</v>
      </c>
      <c r="DL88" s="510">
        <f t="shared" si="165"/>
        <v>4.7712479674997699E-2</v>
      </c>
      <c r="DM88" s="67">
        <f t="shared" si="165"/>
        <v>4.1631012494233177E-2</v>
      </c>
      <c r="DN88" s="510">
        <f t="shared" si="165"/>
        <v>1.6636826618922518E-2</v>
      </c>
      <c r="DO88" s="510">
        <f t="shared" si="165"/>
        <v>-3.9671533569744621E-2</v>
      </c>
      <c r="DP88" s="510">
        <f t="shared" si="165"/>
        <v>-3.729132610095609E-2</v>
      </c>
      <c r="DQ88" s="510">
        <f t="shared" si="165"/>
        <v>-9.3824737842644224E-2</v>
      </c>
      <c r="DR88" s="67"/>
      <c r="DS88" s="510">
        <f>DS86/DN371-1</f>
        <v>-3.2981224707082757E-2</v>
      </c>
      <c r="DT88" s="510">
        <f>DT86/DO371-1</f>
        <v>-2.2221190118640322E-2</v>
      </c>
      <c r="DU88" s="510">
        <f>DU86/DP371-1</f>
        <v>-2.5673975316574338E-2</v>
      </c>
      <c r="DV88" s="510">
        <f>DV86/DQ371-1</f>
        <v>1.7121710437200122E-3</v>
      </c>
      <c r="DW88" s="67"/>
      <c r="DX88" s="66"/>
      <c r="DY88" s="66"/>
      <c r="DZ88" s="66"/>
      <c r="EA88" s="66"/>
      <c r="EB88" s="67"/>
      <c r="EC88" s="66"/>
      <c r="ED88" s="66"/>
      <c r="EE88" s="66"/>
      <c r="EF88" s="66"/>
      <c r="EG88" s="67"/>
      <c r="EH88" s="66"/>
      <c r="EI88" s="66"/>
      <c r="EJ88" s="66"/>
      <c r="EK88" s="66"/>
      <c r="EL88" s="67"/>
    </row>
    <row r="89" spans="1:142" ht="11.25" customHeight="1">
      <c r="A89" s="159"/>
      <c r="B89" s="159" t="s">
        <v>146</v>
      </c>
      <c r="C89" s="535"/>
      <c r="D89" s="535" t="str">
        <f t="shared" ref="D89:L89" si="166">IF(ISERROR(+D86/D49),"nm",+D86/D49)</f>
        <v>nm</v>
      </c>
      <c r="E89" s="535">
        <f t="shared" si="166"/>
        <v>7.3486861975234072</v>
      </c>
      <c r="F89" s="535">
        <f t="shared" si="166"/>
        <v>7.8359764386044404</v>
      </c>
      <c r="G89" s="535">
        <f t="shared" si="166"/>
        <v>10.632586997572162</v>
      </c>
      <c r="H89" s="536" t="str">
        <f t="shared" si="166"/>
        <v>nm</v>
      </c>
      <c r="I89" s="535">
        <f t="shared" si="166"/>
        <v>7.0057175169640615</v>
      </c>
      <c r="J89" s="535">
        <f t="shared" si="166"/>
        <v>7.2865574961406905</v>
      </c>
      <c r="K89" s="535">
        <f t="shared" si="166"/>
        <v>7.7467137473665471</v>
      </c>
      <c r="L89" s="535">
        <f t="shared" si="166"/>
        <v>7.4656529516994636</v>
      </c>
      <c r="M89" s="537">
        <f>+M86/M49</f>
        <v>29.659789048528573</v>
      </c>
      <c r="N89" s="535">
        <f>IF(ISERROR(+N86/N49),"nm",+N86/N49)</f>
        <v>7.2534647001216728</v>
      </c>
      <c r="O89" s="535">
        <f>IF(ISERROR(+O86/O49),"nm",+O86/O49)</f>
        <v>7.2473599999999996</v>
      </c>
      <c r="P89" s="535">
        <f>IF(ISERROR(+P86/P49),"nm",+P86/P49)</f>
        <v>9.521359874748379</v>
      </c>
      <c r="Q89" s="535">
        <f>IF(ISERROR(+Q86/Q49),"nm",+Q86/Q49)</f>
        <v>11.830564844103028</v>
      </c>
      <c r="R89" s="537">
        <f>+R86/R49</f>
        <v>36.98959253896922</v>
      </c>
      <c r="S89" s="535">
        <f>IF(ISERROR(+S86/S49),"nm",+S86/S49)</f>
        <v>7.2576169461606357</v>
      </c>
      <c r="T89" s="535">
        <f>IF(ISERROR(+T86/T49),"nm",+T86/T49)</f>
        <v>7.4302337734731561</v>
      </c>
      <c r="U89" s="535">
        <f>IF(ISERROR(+U86/U49),"nm",+U86/U49)</f>
        <v>8.0826975572198503</v>
      </c>
      <c r="V89" s="535">
        <f>IF(ISERROR(+V86/V49),"nm",+V86/V49)</f>
        <v>7.9089165186500887</v>
      </c>
      <c r="W89" s="537">
        <f>+W86/W49</f>
        <v>30.792115201355308</v>
      </c>
      <c r="X89" s="535">
        <f>IF(ISERROR(+X86/X49),"nm",+X86/X49)</f>
        <v>7.828371403568303</v>
      </c>
      <c r="Y89" s="535">
        <f>IF(ISERROR(+Y86/Y49),"nm",+Y86/Y49)</f>
        <v>7.5679581795817956</v>
      </c>
      <c r="Z89" s="535">
        <f>IF(ISERROR(+Z86/Z49),"nm",+Z86/Z49)</f>
        <v>8.1682626763686539</v>
      </c>
      <c r="AA89" s="535">
        <f>IF(ISERROR(+AA86/AA49),"nm",+AA86/AA49)</f>
        <v>8.1921909176977579</v>
      </c>
      <c r="AB89" s="537">
        <f>+AB86/AB49</f>
        <v>31.837165205024888</v>
      </c>
      <c r="AC89" s="535">
        <f>IF(ISERROR(+AC86/AC49),"nm",+AC86/AC49)</f>
        <v>7.7818666493286957</v>
      </c>
      <c r="AD89" s="535">
        <f>IF(ISERROR(+AD86/AD49),"nm",+AD86/AD49)</f>
        <v>7.8020083624648704</v>
      </c>
      <c r="AE89" s="535">
        <f>IF(ISERROR(+AE86/AE49),"nm",+AE86/AE49)</f>
        <v>8.713530405712314</v>
      </c>
      <c r="AF89" s="535">
        <f>IF(ISERROR(+AF86/AF49),"nm",+AF86/AF49)</f>
        <v>8.4383566684451647</v>
      </c>
      <c r="AG89" s="537">
        <f>+AG86/AG49</f>
        <v>32.618188153310108</v>
      </c>
      <c r="AH89" s="535">
        <f>IF(ISERROR(+AH86/AH49),"nm",+AH86/AH49)</f>
        <v>8.4847135648560403</v>
      </c>
      <c r="AI89" s="535">
        <f>IF(ISERROR(+AI86/AI49),"nm",+AI86/AI49)</f>
        <v>8.4961369573675718</v>
      </c>
      <c r="AJ89" s="535">
        <f>IF(ISERROR(+AJ86/AJ49),"nm",+AJ86/AJ49)</f>
        <v>8.8646063145404987</v>
      </c>
      <c r="AK89" s="535">
        <f>IF(ISERROR(+AK86/AK49),"nm",+AK86/AK49)</f>
        <v>8.9494539551357732</v>
      </c>
      <c r="AL89" s="537">
        <f>+AL86/AL49</f>
        <v>34.769131142687982</v>
      </c>
      <c r="AM89" s="535">
        <f>IF(ISERROR(+AM86/AM49),"nm",+AM86/AM49)</f>
        <v>8.735890914993778</v>
      </c>
      <c r="AN89" s="535">
        <f>IF(ISERROR(+AN86/AN49),"nm",+AN86/AN49)</f>
        <v>8.6078188133550722</v>
      </c>
      <c r="AO89" s="535">
        <f>IF(ISERROR(+AO86/AO49),"nm",+AO86/AO49)</f>
        <v>9.0215845027134307</v>
      </c>
      <c r="AP89" s="535">
        <f>IF(ISERROR(+AP86/AP49),"nm",+AP86/AP49)</f>
        <v>9.0388881138392865</v>
      </c>
      <c r="AQ89" s="537">
        <f>+AQ86/AQ49</f>
        <v>35.485398691234963</v>
      </c>
      <c r="AR89" s="535">
        <f>IF(ISERROR(+AR86/AR49),"nm",+AR86/AR49)</f>
        <v>8.8770972342036227</v>
      </c>
      <c r="AS89" s="535">
        <f>IF(ISERROR(+AS86/AS49),"nm",+AS86/AS49)</f>
        <v>9.0988869403385699</v>
      </c>
      <c r="AT89" s="535">
        <f>IF(ISERROR(+AT86/AT49),"nm",+AT86/AT49)</f>
        <v>9.4050332554377132</v>
      </c>
      <c r="AU89" s="137"/>
      <c r="AV89" s="538"/>
      <c r="AW89" s="538"/>
      <c r="AX89" s="538"/>
      <c r="AY89" s="538"/>
      <c r="AZ89" s="537"/>
      <c r="BA89" s="535" t="str">
        <f>IF(ISERROR(+BA86/BA49),"nm",+BA86/BA49)</f>
        <v>nm</v>
      </c>
      <c r="BB89" s="535" t="str">
        <f>IF(ISERROR(+BB86/BB49),"nm",+BB86/BB49)</f>
        <v>nm</v>
      </c>
      <c r="BC89" s="535" t="str">
        <f>IF(ISERROR(+BC86/BC49),"nm",+BC86/BC49)</f>
        <v>nm</v>
      </c>
      <c r="BD89" s="535" t="str">
        <f>IF(ISERROR(+BD86/BD49),"nm",+BD86/BD49)</f>
        <v>nm</v>
      </c>
      <c r="BE89" s="537">
        <f>+BE86/BE49</f>
        <v>37.203672263095015</v>
      </c>
      <c r="BF89" s="535" t="str">
        <f>IF(ISERROR(+BF86/BF49),"nm",+BF86/BF49)</f>
        <v>nm</v>
      </c>
      <c r="BG89" s="539">
        <f t="shared" ref="BG89:CL89" si="167">+BG86/BG49</f>
        <v>9.3354963264868349</v>
      </c>
      <c r="BH89" s="539">
        <f t="shared" si="167"/>
        <v>9.428531978349719</v>
      </c>
      <c r="BI89" s="539">
        <f t="shared" si="167"/>
        <v>9.4594458719696117</v>
      </c>
      <c r="BJ89" s="537">
        <f t="shared" si="167"/>
        <v>35.614376355803607</v>
      </c>
      <c r="BK89" s="539">
        <f t="shared" si="167"/>
        <v>9.9563713456817666</v>
      </c>
      <c r="BL89" s="539">
        <f t="shared" si="167"/>
        <v>9.3991076408254326</v>
      </c>
      <c r="BM89" s="539">
        <f t="shared" si="167"/>
        <v>9.1666386695783633</v>
      </c>
      <c r="BN89" s="539">
        <f t="shared" si="167"/>
        <v>8.8496805290886673</v>
      </c>
      <c r="BO89" s="540">
        <f t="shared" si="167"/>
        <v>37.374196433562524</v>
      </c>
      <c r="BP89" s="539">
        <f t="shared" si="167"/>
        <v>9.3230631337179997</v>
      </c>
      <c r="BQ89" s="539">
        <f t="shared" si="167"/>
        <v>9.4880881279447866</v>
      </c>
      <c r="BR89" s="539">
        <f t="shared" si="167"/>
        <v>9.434288768624306</v>
      </c>
      <c r="BS89" s="539">
        <f t="shared" si="167"/>
        <v>9.5783414764741313</v>
      </c>
      <c r="BT89" s="540">
        <f t="shared" si="167"/>
        <v>39.520402050189709</v>
      </c>
      <c r="BU89" s="539">
        <f t="shared" si="167"/>
        <v>9.9222898415033765</v>
      </c>
      <c r="BV89" s="539">
        <f t="shared" si="167"/>
        <v>9.3283522348232157</v>
      </c>
      <c r="BW89" s="539">
        <f t="shared" si="167"/>
        <v>9.4775870456598792</v>
      </c>
      <c r="BX89" s="539">
        <f t="shared" si="167"/>
        <v>9.6065720584182976</v>
      </c>
      <c r="BY89" s="540">
        <f t="shared" si="167"/>
        <v>39.225398150079975</v>
      </c>
      <c r="BZ89" s="539">
        <f t="shared" si="167"/>
        <v>10.088202790440668</v>
      </c>
      <c r="CA89" s="539">
        <f t="shared" si="167"/>
        <v>9.6885530407115485</v>
      </c>
      <c r="CB89" s="539">
        <f t="shared" si="167"/>
        <v>9.6442819148936163</v>
      </c>
      <c r="CC89" s="539">
        <f t="shared" si="167"/>
        <v>9.7211928840333659</v>
      </c>
      <c r="CD89" s="540">
        <f t="shared" si="167"/>
        <v>40.133066903493194</v>
      </c>
      <c r="CE89" s="539">
        <f t="shared" si="167"/>
        <v>10.075585678503021</v>
      </c>
      <c r="CF89" s="539">
        <f t="shared" si="167"/>
        <v>9.7165013794646189</v>
      </c>
      <c r="CG89" s="539">
        <f t="shared" si="167"/>
        <v>9.7069826365601006</v>
      </c>
      <c r="CH89" s="539">
        <f t="shared" si="167"/>
        <v>9.6480351295028282</v>
      </c>
      <c r="CI89" s="540">
        <f t="shared" si="167"/>
        <v>39.26991579104255</v>
      </c>
      <c r="CJ89" s="539">
        <f t="shared" si="167"/>
        <v>9.872608145335418</v>
      </c>
      <c r="CK89" s="539">
        <f t="shared" si="167"/>
        <v>9.5088202456270938</v>
      </c>
      <c r="CL89" s="539">
        <f t="shared" si="167"/>
        <v>9.3604261342471879</v>
      </c>
      <c r="CM89" s="539">
        <f t="shared" ref="CM89:DR89" si="168">+CM86/CM49</f>
        <v>9.4554322734380811</v>
      </c>
      <c r="CN89" s="540">
        <f t="shared" si="168"/>
        <v>38.195979151154134</v>
      </c>
      <c r="CO89" s="539">
        <f t="shared" si="168"/>
        <v>10.015773832203003</v>
      </c>
      <c r="CP89" s="539">
        <f t="shared" si="168"/>
        <v>9.579132026542597</v>
      </c>
      <c r="CQ89" s="539">
        <f t="shared" si="168"/>
        <v>9.5725621852586595</v>
      </c>
      <c r="CR89" s="539">
        <f t="shared" si="168"/>
        <v>9.5546154432502473</v>
      </c>
      <c r="CS89" s="540">
        <f t="shared" si="168"/>
        <v>38.721616469691192</v>
      </c>
      <c r="CT89" s="539">
        <f t="shared" si="168"/>
        <v>9.9855381336580908</v>
      </c>
      <c r="CU89" s="539">
        <f t="shared" si="168"/>
        <v>9.4972677595628419</v>
      </c>
      <c r="CV89" s="539">
        <f t="shared" si="168"/>
        <v>9.4483202179176757</v>
      </c>
      <c r="CW89" s="539">
        <f t="shared" si="168"/>
        <v>9.4801755447941893</v>
      </c>
      <c r="CX89" s="540">
        <f t="shared" si="168"/>
        <v>38.427134229613671</v>
      </c>
      <c r="CY89" s="539">
        <f t="shared" si="168"/>
        <v>9.5545523520485585</v>
      </c>
      <c r="CZ89" s="539">
        <f t="shared" si="168"/>
        <v>9.1594840667678294</v>
      </c>
      <c r="DA89" s="539">
        <f t="shared" si="168"/>
        <v>9.2237481031866473</v>
      </c>
      <c r="DB89" s="539">
        <f t="shared" si="168"/>
        <v>9.3873065930816999</v>
      </c>
      <c r="DC89" s="540">
        <f t="shared" si="168"/>
        <v>38.24323399362072</v>
      </c>
      <c r="DD89" s="539">
        <f t="shared" ref="DD89:DQ89" si="169">+DD86/DD49</f>
        <v>9.5875734096629319</v>
      </c>
      <c r="DE89" s="539">
        <f t="shared" si="169"/>
        <v>9.5552773686794303</v>
      </c>
      <c r="DF89" s="539">
        <f t="shared" si="169"/>
        <v>9.6614150396288423</v>
      </c>
      <c r="DG89" s="539">
        <f t="shared" si="169"/>
        <v>9.7254025474645509</v>
      </c>
      <c r="DH89" s="540">
        <f t="shared" si="169"/>
        <v>38.517882006991165</v>
      </c>
      <c r="DI89" s="539">
        <f t="shared" si="169"/>
        <v>10.004946453440906</v>
      </c>
      <c r="DJ89" s="539">
        <f t="shared" si="169"/>
        <v>9.694996638816864</v>
      </c>
      <c r="DK89" s="539">
        <f t="shared" si="169"/>
        <v>9.5573335858346748</v>
      </c>
      <c r="DL89" s="539">
        <f t="shared" si="169"/>
        <v>9.4013481750853689</v>
      </c>
      <c r="DM89" s="540">
        <f t="shared" si="169"/>
        <v>38.684786180350187</v>
      </c>
      <c r="DN89" s="539">
        <f t="shared" si="169"/>
        <v>9.8401319457349938</v>
      </c>
      <c r="DO89" s="539">
        <f t="shared" si="169"/>
        <v>9.5141315014720309</v>
      </c>
      <c r="DP89" s="539">
        <f t="shared" si="169"/>
        <v>9.542004222516816</v>
      </c>
      <c r="DQ89" s="539">
        <f t="shared" si="169"/>
        <v>9.4509987208501425</v>
      </c>
      <c r="DR89" s="540">
        <f t="shared" si="168"/>
        <v>37.675024731755578</v>
      </c>
      <c r="DS89" s="539">
        <f t="shared" ref="DS89:EG89" si="170">+DS86/DS49</f>
        <v>9.6384985752186303</v>
      </c>
      <c r="DT89" s="539">
        <f t="shared" si="170"/>
        <v>9.3088827748845429</v>
      </c>
      <c r="DU89" s="539">
        <f t="shared" si="170"/>
        <v>8.9402574432543975</v>
      </c>
      <c r="DV89" s="539">
        <f t="shared" ref="DV89" si="171">+DV86/DV49</f>
        <v>9.0830794929743544</v>
      </c>
      <c r="DW89" s="540">
        <f t="shared" si="170"/>
        <v>36.970718286331923</v>
      </c>
      <c r="DX89" s="539">
        <f t="shared" si="170"/>
        <v>8.5052956082283657</v>
      </c>
      <c r="DY89" s="539">
        <f t="shared" si="170"/>
        <v>8.2704928309616008</v>
      </c>
      <c r="DZ89" s="539">
        <f t="shared" si="170"/>
        <v>8.0013273989167946</v>
      </c>
      <c r="EA89" s="539">
        <f t="shared" si="170"/>
        <v>7.7929981957534675</v>
      </c>
      <c r="EB89" s="540">
        <f t="shared" si="170"/>
        <v>32.570114033860229</v>
      </c>
      <c r="EC89" s="539">
        <f t="shared" si="170"/>
        <v>8.1058629511077882</v>
      </c>
      <c r="ED89" s="539">
        <f t="shared" si="170"/>
        <v>8.1666569232410975</v>
      </c>
      <c r="EE89" s="539">
        <f t="shared" si="170"/>
        <v>8.2279068501654056</v>
      </c>
      <c r="EF89" s="539">
        <f t="shared" si="170"/>
        <v>8.2896161515416456</v>
      </c>
      <c r="EG89" s="540">
        <f t="shared" si="170"/>
        <v>32.790042876055935</v>
      </c>
      <c r="EH89" s="539">
        <f t="shared" ref="EH89:EL89" si="172">+EH86/EH49</f>
        <v>8.3310642322993544</v>
      </c>
      <c r="EI89" s="539">
        <f t="shared" si="172"/>
        <v>8.3727195534608505</v>
      </c>
      <c r="EJ89" s="539">
        <f t="shared" si="172"/>
        <v>8.4145831512281539</v>
      </c>
      <c r="EK89" s="539">
        <f t="shared" si="172"/>
        <v>8.4566560669842925</v>
      </c>
      <c r="EL89" s="540">
        <f t="shared" si="172"/>
        <v>33.575023003972653</v>
      </c>
    </row>
    <row r="90" spans="1:142" ht="11.25" customHeight="1">
      <c r="A90" s="192"/>
      <c r="B90" s="192"/>
      <c r="C90" s="541"/>
      <c r="D90" s="541"/>
      <c r="E90" s="541"/>
      <c r="F90" s="541"/>
      <c r="G90" s="541"/>
      <c r="H90" s="536"/>
      <c r="I90" s="541"/>
      <c r="J90" s="541"/>
      <c r="K90" s="541"/>
      <c r="L90" s="541"/>
      <c r="M90" s="537"/>
      <c r="N90" s="541"/>
      <c r="O90" s="541"/>
      <c r="P90" s="541"/>
      <c r="Q90" s="541"/>
      <c r="R90" s="537"/>
      <c r="S90" s="541"/>
      <c r="T90" s="541"/>
      <c r="U90" s="541"/>
      <c r="V90" s="541"/>
      <c r="W90" s="537"/>
      <c r="X90" s="541"/>
      <c r="Y90" s="541"/>
      <c r="Z90" s="541"/>
      <c r="AA90" s="541"/>
      <c r="AB90" s="537"/>
      <c r="AC90" s="541"/>
      <c r="AD90" s="541"/>
      <c r="AE90" s="541"/>
      <c r="AF90" s="541"/>
      <c r="AG90" s="537"/>
      <c r="AH90" s="541"/>
      <c r="AI90" s="541"/>
      <c r="AJ90" s="541"/>
      <c r="AK90" s="541"/>
      <c r="AL90" s="537"/>
      <c r="AM90" s="541"/>
      <c r="AN90" s="541"/>
      <c r="AO90" s="541"/>
      <c r="AP90" s="541"/>
      <c r="AQ90" s="537"/>
      <c r="AR90" s="541"/>
      <c r="AS90" s="541"/>
      <c r="AT90" s="541"/>
      <c r="AU90" s="137"/>
      <c r="AV90" s="538"/>
      <c r="AW90" s="538"/>
      <c r="AX90" s="538"/>
      <c r="AY90" s="538"/>
      <c r="AZ90" s="537"/>
      <c r="BA90" s="541"/>
      <c r="BB90" s="541"/>
      <c r="BC90" s="541"/>
      <c r="BD90" s="541"/>
      <c r="BE90" s="537"/>
      <c r="BF90" s="535"/>
      <c r="BG90" s="538"/>
      <c r="BH90" s="538"/>
      <c r="BI90" s="538"/>
      <c r="BJ90" s="537"/>
      <c r="BK90" s="538"/>
      <c r="BL90" s="538"/>
      <c r="BM90" s="538"/>
      <c r="BN90" s="538"/>
      <c r="BO90" s="540"/>
      <c r="BP90" s="538"/>
      <c r="BQ90" s="538"/>
      <c r="BR90" s="538"/>
      <c r="BS90" s="538"/>
      <c r="BT90" s="540"/>
      <c r="BU90" s="538"/>
      <c r="BV90" s="538"/>
      <c r="BW90" s="538"/>
      <c r="BX90" s="538"/>
      <c r="BY90" s="540"/>
      <c r="BZ90" s="538"/>
      <c r="CA90" s="538"/>
      <c r="CB90" s="538"/>
      <c r="CC90" s="538"/>
      <c r="CD90" s="540"/>
      <c r="CE90" s="538"/>
      <c r="CF90" s="538"/>
      <c r="CG90" s="538"/>
      <c r="CH90" s="538"/>
      <c r="CI90" s="540"/>
      <c r="CJ90" s="538"/>
      <c r="CK90" s="538"/>
      <c r="CL90" s="538"/>
      <c r="CM90" s="538"/>
      <c r="CN90" s="540"/>
      <c r="CO90" s="538"/>
      <c r="CP90" s="538"/>
      <c r="CQ90" s="538"/>
      <c r="CR90" s="538"/>
      <c r="CS90" s="540"/>
      <c r="CT90" s="538"/>
      <c r="CU90" s="538"/>
      <c r="CV90" s="538"/>
      <c r="CW90" s="538"/>
      <c r="CX90" s="540"/>
      <c r="CY90" s="538"/>
      <c r="CZ90" s="538"/>
      <c r="DA90" s="538"/>
      <c r="DB90" s="538"/>
      <c r="DC90" s="540"/>
      <c r="DD90" s="538"/>
      <c r="DE90" s="538"/>
      <c r="DF90" s="538"/>
      <c r="DG90" s="538"/>
      <c r="DH90" s="540"/>
      <c r="DI90" s="538"/>
      <c r="DJ90" s="538"/>
      <c r="DK90" s="538"/>
      <c r="DL90" s="538"/>
      <c r="DM90" s="540"/>
      <c r="DN90" s="538"/>
      <c r="DO90" s="538"/>
      <c r="DP90" s="538"/>
      <c r="DQ90" s="538"/>
      <c r="DR90" s="540"/>
      <c r="DS90" s="538"/>
      <c r="DT90" s="538"/>
      <c r="DU90" s="538"/>
      <c r="DV90" s="538"/>
      <c r="DW90" s="540"/>
      <c r="DX90" s="538"/>
      <c r="DY90" s="538"/>
      <c r="DZ90" s="538"/>
      <c r="EA90" s="538"/>
      <c r="EB90" s="540"/>
      <c r="EC90" s="538"/>
      <c r="ED90" s="538"/>
      <c r="EE90" s="538"/>
      <c r="EF90" s="538"/>
      <c r="EG90" s="540"/>
      <c r="EH90" s="538"/>
      <c r="EI90" s="538"/>
      <c r="EJ90" s="538"/>
      <c r="EK90" s="538"/>
      <c r="EL90" s="540"/>
    </row>
    <row r="91" spans="1:142" ht="11.25" customHeight="1">
      <c r="A91" s="159"/>
      <c r="B91" s="159" t="s">
        <v>147</v>
      </c>
      <c r="C91" s="507"/>
      <c r="D91" s="507" t="str">
        <f>D259</f>
        <v>ND</v>
      </c>
      <c r="E91" s="90">
        <f>E259</f>
        <v>64496</v>
      </c>
      <c r="F91" s="90">
        <f>F259</f>
        <v>67637</v>
      </c>
      <c r="G91" s="90">
        <f>G259</f>
        <v>226531</v>
      </c>
      <c r="H91" s="193">
        <f>SUM(D91:G91)</f>
        <v>358664</v>
      </c>
      <c r="I91" s="90">
        <f>I259</f>
        <v>156687</v>
      </c>
      <c r="J91" s="90">
        <f>J259</f>
        <v>166564</v>
      </c>
      <c r="K91" s="90">
        <f>K259</f>
        <v>187675</v>
      </c>
      <c r="L91" s="90">
        <f>L259</f>
        <v>178693</v>
      </c>
      <c r="M91" s="193">
        <f>SUM(I91:L91)</f>
        <v>689619</v>
      </c>
      <c r="N91" s="90">
        <f>N259</f>
        <v>177597</v>
      </c>
      <c r="O91" s="90">
        <f>O259</f>
        <v>179602</v>
      </c>
      <c r="P91" s="90">
        <f>P259</f>
        <v>301703</v>
      </c>
      <c r="Q91" s="90">
        <f>Q259</f>
        <v>465495</v>
      </c>
      <c r="R91" s="193">
        <f>SUM(N91:Q91)</f>
        <v>1124397</v>
      </c>
      <c r="S91" s="90">
        <f>S259</f>
        <v>289833</v>
      </c>
      <c r="T91" s="90">
        <f>T259</f>
        <v>327578</v>
      </c>
      <c r="U91" s="90">
        <f>U259</f>
        <v>326322</v>
      </c>
      <c r="V91" s="90">
        <f>V259</f>
        <v>324531</v>
      </c>
      <c r="W91" s="193">
        <f>SUM(S91:V91)</f>
        <v>1268264</v>
      </c>
      <c r="X91" s="90">
        <f>X259</f>
        <v>322799</v>
      </c>
      <c r="Y91" s="90">
        <f>Y259</f>
        <v>322035</v>
      </c>
      <c r="Z91" s="90">
        <f>Z259</f>
        <v>351849</v>
      </c>
      <c r="AA91" s="90">
        <f>AA259</f>
        <v>363341</v>
      </c>
      <c r="AB91" s="193">
        <f>SUM(X91:AA91)</f>
        <v>1360024</v>
      </c>
      <c r="AC91" s="90">
        <f>AC259</f>
        <v>353711</v>
      </c>
      <c r="AD91" s="90">
        <f>AD259</f>
        <v>329667</v>
      </c>
      <c r="AE91" s="90">
        <f>AE259</f>
        <v>335658</v>
      </c>
      <c r="AF91" s="90">
        <f>AF259</f>
        <v>332259</v>
      </c>
      <c r="AG91" s="193">
        <f>SUM(AC91:AF91)</f>
        <v>1351295</v>
      </c>
      <c r="AH91" s="90">
        <f>AH259</f>
        <v>322799</v>
      </c>
      <c r="AI91" s="90">
        <f>AI259</f>
        <v>329224</v>
      </c>
      <c r="AJ91" s="90">
        <f>AJ259</f>
        <v>334340</v>
      </c>
      <c r="AK91" s="90">
        <f>AK259</f>
        <v>354775</v>
      </c>
      <c r="AL91" s="193">
        <f>SUM(AH91:AK91)</f>
        <v>1341138</v>
      </c>
      <c r="AM91" s="90">
        <f>AM259</f>
        <v>350065</v>
      </c>
      <c r="AN91" s="90">
        <f>AN259</f>
        <v>348787</v>
      </c>
      <c r="AO91" s="90">
        <f>AO259</f>
        <v>360536</v>
      </c>
      <c r="AP91" s="90">
        <f>AP259</f>
        <v>370164</v>
      </c>
      <c r="AQ91" s="193">
        <f>SUM(AM91:AP91)</f>
        <v>1429552</v>
      </c>
      <c r="AR91" s="507">
        <f>AR259</f>
        <v>360963</v>
      </c>
      <c r="AS91" s="507">
        <f>AS259</f>
        <v>361197</v>
      </c>
      <c r="AT91" s="507">
        <f>AT259</f>
        <v>365527</v>
      </c>
      <c r="AU91" s="137"/>
      <c r="AV91" s="507" t="str">
        <f>AV259</f>
        <v>ND</v>
      </c>
      <c r="AW91" s="507" t="str">
        <f>AW259</f>
        <v>ND</v>
      </c>
      <c r="AX91" s="507" t="str">
        <f>AX259</f>
        <v>ND</v>
      </c>
      <c r="AY91" s="507" t="str">
        <f>AY259</f>
        <v>ND</v>
      </c>
      <c r="AZ91" s="193">
        <f>SUM(AV91:AY91)</f>
        <v>0</v>
      </c>
      <c r="BA91" s="90">
        <f>BA259</f>
        <v>336245</v>
      </c>
      <c r="BB91" s="90">
        <f>BB259</f>
        <v>330709</v>
      </c>
      <c r="BC91" s="90">
        <f>BC259</f>
        <v>333203</v>
      </c>
      <c r="BD91" s="90">
        <f>BD259</f>
        <v>319844</v>
      </c>
      <c r="BE91" s="193">
        <f>SUM(BA91:BD91)</f>
        <v>1320001</v>
      </c>
      <c r="BF91" s="90">
        <f>BF259</f>
        <v>256158</v>
      </c>
      <c r="BG91" s="90">
        <f>BG259</f>
        <v>246174</v>
      </c>
      <c r="BH91" s="90">
        <f>BH259</f>
        <v>241830</v>
      </c>
      <c r="BI91" s="90">
        <f>BI259</f>
        <v>238917</v>
      </c>
      <c r="BJ91" s="193">
        <f>SUM(BF91:BI91)</f>
        <v>983079</v>
      </c>
      <c r="BK91" s="90">
        <f>BK259</f>
        <v>248225</v>
      </c>
      <c r="BL91" s="90">
        <f>BL259</f>
        <v>239747</v>
      </c>
      <c r="BM91" s="90">
        <f>BM259</f>
        <v>233272</v>
      </c>
      <c r="BN91" s="90">
        <f>BN259</f>
        <v>223084</v>
      </c>
      <c r="BO91" s="193">
        <f>SUM(BK91:BN91)</f>
        <v>944328</v>
      </c>
      <c r="BP91" s="90">
        <f>BP259</f>
        <v>233356</v>
      </c>
      <c r="BQ91" s="90">
        <f>BQ259</f>
        <v>204640</v>
      </c>
      <c r="BR91" s="90">
        <f>BR259</f>
        <v>202489</v>
      </c>
      <c r="BS91" s="90">
        <f>BS259</f>
        <v>203830</v>
      </c>
      <c r="BT91" s="193">
        <f>SUM(BP91:BS91)</f>
        <v>844315</v>
      </c>
      <c r="BU91" s="90">
        <f>BU259</f>
        <v>209574</v>
      </c>
      <c r="BV91" s="90">
        <f>BV259</f>
        <v>202820</v>
      </c>
      <c r="BW91" s="90">
        <f>BW259</f>
        <v>198046</v>
      </c>
      <c r="BX91" s="90">
        <f>BX259</f>
        <v>201228</v>
      </c>
      <c r="BY91" s="193">
        <f>SUM(BU91:BX91)</f>
        <v>811668</v>
      </c>
      <c r="BZ91" s="90">
        <f>BZ259</f>
        <v>207482</v>
      </c>
      <c r="CA91" s="90">
        <f>CA259</f>
        <v>195522</v>
      </c>
      <c r="CB91" s="90">
        <f>CB259</f>
        <v>192799</v>
      </c>
      <c r="CC91" s="90">
        <f>CC259</f>
        <v>193108</v>
      </c>
      <c r="CD91" s="193">
        <f>SUM(BZ91:CC91)</f>
        <v>788911</v>
      </c>
      <c r="CE91" s="90">
        <f>CE259</f>
        <v>200154</v>
      </c>
      <c r="CF91" s="90">
        <f>CF259</f>
        <v>195962</v>
      </c>
      <c r="CG91" s="90">
        <f>CG259</f>
        <v>197164</v>
      </c>
      <c r="CH91" s="90">
        <f>CH259</f>
        <v>193279</v>
      </c>
      <c r="CI91" s="193">
        <f>SUM(CE91:CH91)</f>
        <v>786559</v>
      </c>
      <c r="CJ91" s="90">
        <f>CJ259</f>
        <v>195909</v>
      </c>
      <c r="CK91" s="90">
        <f>CK259</f>
        <v>194828</v>
      </c>
      <c r="CL91" s="90">
        <f>CL259</f>
        <v>193670</v>
      </c>
      <c r="CM91" s="90">
        <f>CM259</f>
        <v>194098</v>
      </c>
      <c r="CN91" s="193">
        <f>SUM(CJ91:CM91)</f>
        <v>778505</v>
      </c>
      <c r="CO91" s="90">
        <f>CO259</f>
        <v>197459</v>
      </c>
      <c r="CP91" s="90">
        <f>CP259</f>
        <v>193971</v>
      </c>
      <c r="CQ91" s="90">
        <f>CQ259</f>
        <v>194965</v>
      </c>
      <c r="CR91" s="90">
        <f>CR259</f>
        <v>193631</v>
      </c>
      <c r="CS91" s="193">
        <f>SUM(CO91:CR91)</f>
        <v>780026</v>
      </c>
      <c r="CT91" s="90">
        <f>CT259</f>
        <v>202860</v>
      </c>
      <c r="CU91" s="90">
        <f>CU259</f>
        <v>196932</v>
      </c>
      <c r="CV91" s="90">
        <f>CV259</f>
        <v>197778</v>
      </c>
      <c r="CW91" s="90">
        <f>CW259</f>
        <v>199304</v>
      </c>
      <c r="CX91" s="193">
        <f>SUM(CT91:CW91)</f>
        <v>796874</v>
      </c>
      <c r="CY91" s="90">
        <f>CY259</f>
        <v>197665</v>
      </c>
      <c r="CZ91" s="90">
        <f>CZ259</f>
        <v>195440</v>
      </c>
      <c r="DA91" s="90">
        <f>DA259</f>
        <v>196761</v>
      </c>
      <c r="DB91" s="90">
        <f>DB259</f>
        <v>325410</v>
      </c>
      <c r="DC91" s="193">
        <f>SUM(CY91:DB91)</f>
        <v>915276</v>
      </c>
      <c r="DD91" s="90">
        <f>DD259</f>
        <v>323810</v>
      </c>
      <c r="DE91" s="90">
        <f>DE259</f>
        <v>337509</v>
      </c>
      <c r="DF91" s="90">
        <f>DF259</f>
        <v>345787</v>
      </c>
      <c r="DG91" s="90">
        <f>DG259</f>
        <v>347790</v>
      </c>
      <c r="DH91" s="193">
        <f>SUM(DD91:DG91)</f>
        <v>1354896</v>
      </c>
      <c r="DI91" s="90">
        <f>DI259</f>
        <v>351893</v>
      </c>
      <c r="DJ91" s="90">
        <f>DJ259</f>
        <v>349122</v>
      </c>
      <c r="DK91" s="90">
        <f>DK259</f>
        <v>352328</v>
      </c>
      <c r="DL91" s="90">
        <f>DL259</f>
        <v>371994</v>
      </c>
      <c r="DM91" s="193">
        <f>SUM(DI91:DL91)</f>
        <v>1425337</v>
      </c>
      <c r="DN91" s="90">
        <f>DN259</f>
        <v>362819</v>
      </c>
      <c r="DO91" s="90">
        <f>DO259</f>
        <v>342813</v>
      </c>
      <c r="DP91" s="90">
        <f>DP259</f>
        <v>345207</v>
      </c>
      <c r="DQ91" s="90">
        <f>DQ259</f>
        <v>338929</v>
      </c>
      <c r="DR91" s="193">
        <f>SUM(DN91:DQ91)</f>
        <v>1389768</v>
      </c>
      <c r="DS91" s="90">
        <f>DS167+DS31</f>
        <v>339522</v>
      </c>
      <c r="DT91" s="90">
        <f>DT167+DT31</f>
        <v>335915</v>
      </c>
      <c r="DU91" s="90">
        <f>DU167+DU31</f>
        <v>320821</v>
      </c>
      <c r="DV91" s="90">
        <f>DV167+DV31</f>
        <v>324495</v>
      </c>
      <c r="DW91" s="193">
        <f>SUM(DS91:DV91)</f>
        <v>1320753</v>
      </c>
      <c r="DX91" s="90">
        <f ca="1">DX167+DX31</f>
        <v>302558.55275616003</v>
      </c>
      <c r="DY91" s="90">
        <f ca="1">DY167+DY31</f>
        <v>298182.96391776699</v>
      </c>
      <c r="DZ91" s="90">
        <f ca="1">DZ167+DZ31</f>
        <v>288317.803865275</v>
      </c>
      <c r="EA91" s="90">
        <f ca="1">EA167+EA31</f>
        <v>277955.36472858646</v>
      </c>
      <c r="EB91" s="193">
        <f ca="1">SUM(DX91:EA91)</f>
        <v>1167014.6852677884</v>
      </c>
      <c r="EC91" s="90">
        <f>EC167+EC31</f>
        <v>294608.24432634114</v>
      </c>
      <c r="ED91" s="90">
        <f>ED167+ED31</f>
        <v>297190.6556437547</v>
      </c>
      <c r="EE91" s="90">
        <f>EE167+EE31</f>
        <v>298607.72631124803</v>
      </c>
      <c r="EF91" s="90">
        <f>EF167+EF31</f>
        <v>298679.25142256543</v>
      </c>
      <c r="EG91" s="193">
        <f>SUM(EC91:EF91)</f>
        <v>1189085.8777039093</v>
      </c>
      <c r="EH91" s="90">
        <f>EH167+EH31</f>
        <v>302793.20309903083</v>
      </c>
      <c r="EI91" s="90">
        <f>EI167+EI31</f>
        <v>304689.42640813021</v>
      </c>
      <c r="EJ91" s="90">
        <f>EJ167+EJ31</f>
        <v>305382.59467469103</v>
      </c>
      <c r="EK91" s="90">
        <f>EK167+EK31</f>
        <v>304697.78786503023</v>
      </c>
      <c r="EL91" s="193">
        <f>SUM(EH91:EK91)</f>
        <v>1217563.0120468824</v>
      </c>
    </row>
    <row r="92" spans="1:142" ht="11.25" customHeight="1">
      <c r="A92" s="511"/>
      <c r="B92" s="511" t="s">
        <v>133</v>
      </c>
      <c r="C92" s="163"/>
      <c r="D92" s="163"/>
      <c r="E92" s="163"/>
      <c r="F92" s="163"/>
      <c r="G92" s="163"/>
      <c r="H92" s="85"/>
      <c r="I92" s="84" t="str">
        <f t="shared" ref="I92:AT92" si="173">IF(ISERROR(I91/D91-1),"nm",I91/D91-1)</f>
        <v>nm</v>
      </c>
      <c r="J92" s="84">
        <f t="shared" si="173"/>
        <v>1.5825477548995286</v>
      </c>
      <c r="K92" s="84">
        <f t="shared" si="173"/>
        <v>1.7747386785339385</v>
      </c>
      <c r="L92" s="84">
        <f t="shared" si="173"/>
        <v>-0.21117639528364773</v>
      </c>
      <c r="M92" s="85">
        <f t="shared" si="173"/>
        <v>0.92274384939664977</v>
      </c>
      <c r="N92" s="84">
        <f t="shared" si="173"/>
        <v>0.13345076490072572</v>
      </c>
      <c r="O92" s="84">
        <f t="shared" si="173"/>
        <v>7.8276218150380661E-2</v>
      </c>
      <c r="P92" s="84">
        <f t="shared" si="173"/>
        <v>0.60758225656054354</v>
      </c>
      <c r="Q92" s="84">
        <f t="shared" si="173"/>
        <v>1.6049985170096197</v>
      </c>
      <c r="R92" s="85">
        <f t="shared" si="173"/>
        <v>0.63046116768824523</v>
      </c>
      <c r="S92" s="84">
        <f t="shared" si="173"/>
        <v>0.63197013463065255</v>
      </c>
      <c r="T92" s="84">
        <f t="shared" si="173"/>
        <v>0.82391064687475635</v>
      </c>
      <c r="U92" s="84">
        <f t="shared" si="173"/>
        <v>8.1600116671030731E-2</v>
      </c>
      <c r="V92" s="84">
        <f t="shared" si="173"/>
        <v>-0.30282602391003122</v>
      </c>
      <c r="W92" s="85">
        <f t="shared" si="173"/>
        <v>0.12795035917029307</v>
      </c>
      <c r="X92" s="84">
        <f t="shared" si="173"/>
        <v>0.11374136140467095</v>
      </c>
      <c r="Y92" s="84">
        <f t="shared" si="173"/>
        <v>-1.6921160761711684E-2</v>
      </c>
      <c r="Z92" s="84">
        <f t="shared" si="173"/>
        <v>7.8226414400500044E-2</v>
      </c>
      <c r="AA92" s="84">
        <f t="shared" si="173"/>
        <v>0.11958795923964116</v>
      </c>
      <c r="AB92" s="85">
        <f t="shared" si="173"/>
        <v>7.235086701191551E-2</v>
      </c>
      <c r="AC92" s="84">
        <f t="shared" si="173"/>
        <v>9.5762378446029972E-2</v>
      </c>
      <c r="AD92" s="84">
        <f t="shared" si="173"/>
        <v>2.3699287344543185E-2</v>
      </c>
      <c r="AE92" s="84">
        <f t="shared" si="173"/>
        <v>-4.6016899294867963E-2</v>
      </c>
      <c r="AF92" s="84">
        <f t="shared" si="173"/>
        <v>-8.5544983913183437E-2</v>
      </c>
      <c r="AG92" s="85">
        <f t="shared" si="173"/>
        <v>-6.4182690893690442E-3</v>
      </c>
      <c r="AH92" s="84">
        <f t="shared" si="173"/>
        <v>-8.7393380471627924E-2</v>
      </c>
      <c r="AI92" s="84">
        <f t="shared" si="173"/>
        <v>-1.3437802388470699E-3</v>
      </c>
      <c r="AJ92" s="84">
        <f t="shared" si="173"/>
        <v>-3.926615781539522E-3</v>
      </c>
      <c r="AK92" s="84">
        <f t="shared" si="173"/>
        <v>6.7766411143114214E-2</v>
      </c>
      <c r="AL92" s="85">
        <f t="shared" si="173"/>
        <v>-7.5164934377763837E-3</v>
      </c>
      <c r="AM92" s="84">
        <f t="shared" si="173"/>
        <v>8.4467424000693958E-2</v>
      </c>
      <c r="AN92" s="84">
        <f t="shared" si="173"/>
        <v>5.942154885427553E-2</v>
      </c>
      <c r="AO92" s="84">
        <f t="shared" si="173"/>
        <v>7.8351378835915586E-2</v>
      </c>
      <c r="AP92" s="84">
        <f t="shared" si="173"/>
        <v>4.337678810513701E-2</v>
      </c>
      <c r="AQ92" s="85">
        <f t="shared" si="173"/>
        <v>6.5924610293646158E-2</v>
      </c>
      <c r="AR92" s="84">
        <f t="shared" si="173"/>
        <v>3.1131361318612161E-2</v>
      </c>
      <c r="AS92" s="84">
        <f t="shared" si="173"/>
        <v>3.5580454546757734E-2</v>
      </c>
      <c r="AT92" s="84">
        <f t="shared" si="173"/>
        <v>1.3843277786406816E-2</v>
      </c>
      <c r="AU92" s="137"/>
      <c r="AV92" s="160"/>
      <c r="AW92" s="44"/>
      <c r="AX92" s="44"/>
      <c r="AY92" s="44"/>
      <c r="AZ92" s="65"/>
      <c r="BA92" s="84" t="str">
        <f>IF(ISERROR(BA91/AV91-1),"nm",BA91/AV91-1)</f>
        <v>nm</v>
      </c>
      <c r="BB92" s="84" t="str">
        <f>IF(ISERROR(BB91/AW91-1),"nm",BB91/AW91-1)</f>
        <v>nm</v>
      </c>
      <c r="BC92" s="84" t="str">
        <f>IF(ISERROR(BC91/AX91-1),"nm",BC91/AX91-1)</f>
        <v>nm</v>
      </c>
      <c r="BD92" s="84" t="str">
        <f>IF(ISERROR(BD91/AY91-1),"nm",BD91/AY91-1)</f>
        <v>nm</v>
      </c>
      <c r="BE92" s="85" t="str">
        <f>IF(ISERROR(BE91/AZ91-1),"nm",BE91/AZ91-1)</f>
        <v>nm</v>
      </c>
      <c r="BF92" s="510">
        <f>BF91/BA91-1</f>
        <v>-0.23818049339023628</v>
      </c>
      <c r="BG92" s="510">
        <f>BG91/BB91-1</f>
        <v>-0.25561747639163135</v>
      </c>
      <c r="BH92" s="510">
        <f>BH91/BC91-1</f>
        <v>-0.27422622245297912</v>
      </c>
      <c r="BI92" s="84" t="s">
        <v>89</v>
      </c>
      <c r="BJ92" s="67">
        <f>BJ91/BE91-1</f>
        <v>-0.25524374602746513</v>
      </c>
      <c r="BK92" s="510">
        <f>IF(ISERROR(BK91/BF91-1),"NM",BK91/BF91-1)</f>
        <v>-3.0969167466953995E-2</v>
      </c>
      <c r="BL92" s="510">
        <f>IF(ISERROR(BL91/BG91-1),"NM",BL91/BG91-1)</f>
        <v>-2.6107549944348274E-2</v>
      </c>
      <c r="BM92" s="510">
        <f>IF(ISERROR(BM91/BH91-1),"NM",BM91/BH91-1)</f>
        <v>-3.5388496050944851E-2</v>
      </c>
      <c r="BN92" s="510">
        <f>IF(ISERROR(BN91/BI91-1),"NM",BN91/BI91-1)</f>
        <v>-6.6269876149457785E-2</v>
      </c>
      <c r="BO92" s="67">
        <f>IF(ISERROR(BO91/BJ91-1),"NM",BO91/BJ91-1)</f>
        <v>-3.9417991839923339E-2</v>
      </c>
      <c r="BP92" s="510">
        <f t="shared" ref="BP92:CU92" si="174">BP91/BK91-1</f>
        <v>-5.9901299224493942E-2</v>
      </c>
      <c r="BQ92" s="510">
        <f t="shared" si="174"/>
        <v>-0.14643353201499909</v>
      </c>
      <c r="BR92" s="510">
        <f t="shared" si="174"/>
        <v>-0.13196182996673411</v>
      </c>
      <c r="BS92" s="510">
        <f t="shared" si="174"/>
        <v>-8.6308296426458209E-2</v>
      </c>
      <c r="BT92" s="67">
        <f t="shared" si="174"/>
        <v>-0.10590917562541824</v>
      </c>
      <c r="BU92" s="510">
        <f t="shared" si="174"/>
        <v>-0.10191295702703163</v>
      </c>
      <c r="BV92" s="510">
        <f t="shared" si="174"/>
        <v>-8.8936669272869917E-3</v>
      </c>
      <c r="BW92" s="510">
        <f t="shared" si="174"/>
        <v>-2.1941932648193219E-2</v>
      </c>
      <c r="BX92" s="510">
        <f t="shared" si="174"/>
        <v>-1.2765539910709944E-2</v>
      </c>
      <c r="BY92" s="67">
        <f t="shared" si="174"/>
        <v>-3.8666848273452459E-2</v>
      </c>
      <c r="BZ92" s="510">
        <f t="shared" si="174"/>
        <v>-9.9821542748623759E-3</v>
      </c>
      <c r="CA92" s="510">
        <f t="shared" si="174"/>
        <v>-3.5982644709594669E-2</v>
      </c>
      <c r="CB92" s="510">
        <f t="shared" si="174"/>
        <v>-2.6493844864324489E-2</v>
      </c>
      <c r="CC92" s="510">
        <f t="shared" si="174"/>
        <v>-4.0352237263203916E-2</v>
      </c>
      <c r="CD92" s="67">
        <f t="shared" si="174"/>
        <v>-2.8037325606036001E-2</v>
      </c>
      <c r="CE92" s="510">
        <f t="shared" si="174"/>
        <v>-3.5318726443739679E-2</v>
      </c>
      <c r="CF92" s="510">
        <f t="shared" si="174"/>
        <v>2.2503861458045282E-3</v>
      </c>
      <c r="CG92" s="510">
        <f t="shared" si="174"/>
        <v>2.2640158921986009E-2</v>
      </c>
      <c r="CH92" s="510">
        <f t="shared" si="174"/>
        <v>8.855148414359526E-4</v>
      </c>
      <c r="CI92" s="67">
        <f t="shared" si="174"/>
        <v>-2.9813248896263245E-3</v>
      </c>
      <c r="CJ92" s="510">
        <f t="shared" si="174"/>
        <v>-2.1208669324620066E-2</v>
      </c>
      <c r="CK92" s="510">
        <f t="shared" si="174"/>
        <v>-5.7868362233494119E-3</v>
      </c>
      <c r="CL92" s="510">
        <f t="shared" si="174"/>
        <v>-1.772128786188143E-2</v>
      </c>
      <c r="CM92" s="510">
        <f t="shared" si="174"/>
        <v>4.2373977514369443E-3</v>
      </c>
      <c r="CN92" s="67">
        <f t="shared" si="174"/>
        <v>-1.0239537021380474E-2</v>
      </c>
      <c r="CO92" s="510">
        <f t="shared" si="174"/>
        <v>7.9118366180215283E-3</v>
      </c>
      <c r="CP92" s="510">
        <f t="shared" si="174"/>
        <v>-4.3987517194653547E-3</v>
      </c>
      <c r="CQ92" s="510">
        <f t="shared" si="174"/>
        <v>6.6866318996230412E-3</v>
      </c>
      <c r="CR92" s="510">
        <f t="shared" si="174"/>
        <v>-2.4060010922317687E-3</v>
      </c>
      <c r="CS92" s="67">
        <f t="shared" si="174"/>
        <v>1.9537446772981415E-3</v>
      </c>
      <c r="CT92" s="510">
        <f t="shared" si="174"/>
        <v>2.7352513686385471E-2</v>
      </c>
      <c r="CU92" s="510">
        <f t="shared" si="174"/>
        <v>1.5265168504570381E-2</v>
      </c>
      <c r="CV92" s="510">
        <f t="shared" ref="CV92:DQ92" si="175">CV91/CQ91-1</f>
        <v>1.4428230708075862E-2</v>
      </c>
      <c r="CW92" s="510">
        <f t="shared" si="175"/>
        <v>2.9297994639288172E-2</v>
      </c>
      <c r="CX92" s="67">
        <f t="shared" si="175"/>
        <v>2.1599280023999246E-2</v>
      </c>
      <c r="CY92" s="510">
        <f t="shared" si="175"/>
        <v>-2.5608794242334643E-2</v>
      </c>
      <c r="CZ92" s="510">
        <f t="shared" si="175"/>
        <v>-7.5762192025673469E-3</v>
      </c>
      <c r="DA92" s="510">
        <f t="shared" si="175"/>
        <v>-5.1421290537875253E-3</v>
      </c>
      <c r="DB92" s="510">
        <v>-5.0000000000000001E-3</v>
      </c>
      <c r="DC92" s="67">
        <f t="shared" si="175"/>
        <v>0.14858308841799328</v>
      </c>
      <c r="DD92" s="510">
        <f t="shared" si="175"/>
        <v>0.6381757013128273</v>
      </c>
      <c r="DE92" s="510">
        <f t="shared" si="175"/>
        <v>0.72691874744167007</v>
      </c>
      <c r="DF92" s="510">
        <f t="shared" si="175"/>
        <v>0.75739602868454625</v>
      </c>
      <c r="DG92" s="510">
        <f t="shared" si="175"/>
        <v>6.8774776435880813E-2</v>
      </c>
      <c r="DH92" s="67">
        <f t="shared" si="175"/>
        <v>0.48031413475279594</v>
      </c>
      <c r="DI92" s="510">
        <f t="shared" si="175"/>
        <v>8.6726784225317211E-2</v>
      </c>
      <c r="DJ92" s="510">
        <f t="shared" si="175"/>
        <v>3.4407971342986343E-2</v>
      </c>
      <c r="DK92" s="510">
        <f t="shared" si="175"/>
        <v>1.8916269264026786E-2</v>
      </c>
      <c r="DL92" s="510">
        <f t="shared" si="175"/>
        <v>6.959372034848621E-2</v>
      </c>
      <c r="DM92" s="67">
        <f t="shared" si="175"/>
        <v>5.1989968233724149E-2</v>
      </c>
      <c r="DN92" s="510">
        <f t="shared" si="175"/>
        <v>3.1049210981747288E-2</v>
      </c>
      <c r="DO92" s="510">
        <f t="shared" si="175"/>
        <v>-1.8071046797394574E-2</v>
      </c>
      <c r="DP92" s="510">
        <f t="shared" si="175"/>
        <v>-2.0211280397811171E-2</v>
      </c>
      <c r="DQ92" s="510">
        <f t="shared" si="175"/>
        <v>-8.8885842244767366E-2</v>
      </c>
      <c r="DR92" s="67">
        <f t="shared" ref="DR92:EG92" si="176">DR91/DM91-1</f>
        <v>-2.4954800163049184E-2</v>
      </c>
      <c r="DS92" s="510">
        <f t="shared" si="176"/>
        <v>-6.4211080456095138E-2</v>
      </c>
      <c r="DT92" s="510">
        <f t="shared" si="176"/>
        <v>-2.012175734292454E-2</v>
      </c>
      <c r="DU92" s="510">
        <f t="shared" si="176"/>
        <v>-7.0641672967234115E-2</v>
      </c>
      <c r="DV92" s="510">
        <f t="shared" si="176"/>
        <v>-4.2587090511582049E-2</v>
      </c>
      <c r="DW92" s="67">
        <f t="shared" si="176"/>
        <v>-4.9659367606679661E-2</v>
      </c>
      <c r="DX92" s="510">
        <f t="shared" ca="1" si="176"/>
        <v>-0.10886907842154547</v>
      </c>
      <c r="DY92" s="510">
        <f t="shared" ca="1" si="176"/>
        <v>-0.11232614227478088</v>
      </c>
      <c r="DZ92" s="510">
        <f t="shared" ca="1" si="176"/>
        <v>-0.10131255788967997</v>
      </c>
      <c r="EA92" s="510">
        <f t="shared" ca="1" si="176"/>
        <v>-0.14342173306649886</v>
      </c>
      <c r="EB92" s="67">
        <f t="shared" ca="1" si="176"/>
        <v>-0.11640201819129814</v>
      </c>
      <c r="EC92" s="510">
        <f t="shared" ca="1" si="176"/>
        <v>-2.6276925102250437E-2</v>
      </c>
      <c r="ED92" s="510">
        <f t="shared" ca="1" si="176"/>
        <v>-3.3278503271096938E-3</v>
      </c>
      <c r="EE92" s="510">
        <f t="shared" ca="1" si="176"/>
        <v>3.5689514514966714E-2</v>
      </c>
      <c r="EF92" s="510">
        <f t="shared" ca="1" si="176"/>
        <v>7.4558325989552809E-2</v>
      </c>
      <c r="EG92" s="67">
        <f t="shared" ca="1" si="176"/>
        <v>1.8912523308184825E-2</v>
      </c>
      <c r="EH92" s="510">
        <f t="shared" ref="EH92" si="177">EH91/EC91-1</f>
        <v>2.7782517734375123E-2</v>
      </c>
      <c r="EI92" s="510">
        <f t="shared" ref="EI92" si="178">EI91/ED91-1</f>
        <v>2.5232188906249897E-2</v>
      </c>
      <c r="EJ92" s="510">
        <f t="shared" ref="EJ92" si="179">EJ91/EE91-1</f>
        <v>2.2688188437499868E-2</v>
      </c>
      <c r="EK92" s="510">
        <f t="shared" ref="EK92" si="180">EK91/EF91-1</f>
        <v>2.0150500624999568E-2</v>
      </c>
      <c r="EL92" s="67">
        <f t="shared" ref="EL92" si="181">EL91/EG91-1</f>
        <v>2.394876171430238E-2</v>
      </c>
    </row>
    <row r="93" spans="1:142" ht="11.25" customHeight="1">
      <c r="A93" s="511"/>
      <c r="B93" s="511" t="s">
        <v>668</v>
      </c>
      <c r="C93" s="163"/>
      <c r="D93" s="163"/>
      <c r="E93" s="163"/>
      <c r="F93" s="163"/>
      <c r="G93" s="163"/>
      <c r="H93" s="85"/>
      <c r="I93" s="84">
        <f t="shared" ref="I93:AT93" si="182">IF(ISERROR(I91/D391-1),"nm",I91/D391-1)</f>
        <v>1086.0171495171494</v>
      </c>
      <c r="J93" s="84">
        <f t="shared" si="182"/>
        <v>1202.5318939853755</v>
      </c>
      <c r="K93" s="84">
        <f t="shared" si="182"/>
        <v>1300.4909847434121</v>
      </c>
      <c r="L93" s="84">
        <f t="shared" si="182"/>
        <v>495.97686060740904</v>
      </c>
      <c r="M93" s="85">
        <f t="shared" si="182"/>
        <v>876.04311331552844</v>
      </c>
      <c r="N93" s="84">
        <f t="shared" si="182"/>
        <v>485.16753353408154</v>
      </c>
      <c r="O93" s="84">
        <f t="shared" si="182"/>
        <v>459.51794871794874</v>
      </c>
      <c r="P93" s="84">
        <f t="shared" si="182"/>
        <v>748.38648782911071</v>
      </c>
      <c r="Q93" s="84">
        <f t="shared" si="182"/>
        <v>1123.1125332045401</v>
      </c>
      <c r="R93" s="85">
        <f t="shared" si="182"/>
        <v>714.26526717557249</v>
      </c>
      <c r="S93" s="84">
        <f t="shared" si="182"/>
        <v>705.04872107186361</v>
      </c>
      <c r="T93" s="84">
        <f t="shared" si="182"/>
        <v>768.5043457834156</v>
      </c>
      <c r="U93" s="84">
        <f t="shared" si="182"/>
        <v>509.03751172241329</v>
      </c>
      <c r="V93" s="84">
        <f t="shared" si="182"/>
        <v>311.34937439846004</v>
      </c>
      <c r="W93" s="85">
        <f t="shared" si="182"/>
        <v>503.27992047713718</v>
      </c>
      <c r="X93" s="84">
        <f t="shared" si="182"/>
        <v>438.18231292517009</v>
      </c>
      <c r="Y93" s="84">
        <f t="shared" si="182"/>
        <v>423.28853754940712</v>
      </c>
      <c r="Z93" s="84">
        <f t="shared" si="182"/>
        <v>484.9792817679558</v>
      </c>
      <c r="AA93" s="84">
        <f t="shared" si="182"/>
        <v>477.08026315789476</v>
      </c>
      <c r="AB93" s="85">
        <f t="shared" si="182"/>
        <v>455.69039623908662</v>
      </c>
      <c r="AC93" s="84">
        <f t="shared" si="182"/>
        <v>449.01399491094145</v>
      </c>
      <c r="AD93" s="84">
        <f t="shared" si="182"/>
        <v>435.64503311258278</v>
      </c>
      <c r="AE93" s="84">
        <f t="shared" si="182"/>
        <v>414.93308550185873</v>
      </c>
      <c r="AF93" s="84">
        <f t="shared" si="182"/>
        <v>395.9641577060932</v>
      </c>
      <c r="AG93" s="85">
        <f t="shared" si="182"/>
        <v>423.2684458398744</v>
      </c>
      <c r="AH93" s="84">
        <f t="shared" si="182"/>
        <v>356.87028824833703</v>
      </c>
      <c r="AI93" s="84">
        <f t="shared" si="182"/>
        <v>399.02916160388821</v>
      </c>
      <c r="AJ93" s="84">
        <f t="shared" si="182"/>
        <v>419.55345911949684</v>
      </c>
      <c r="AK93" s="84">
        <f t="shared" si="182"/>
        <v>404.92105263157896</v>
      </c>
      <c r="AL93" s="85">
        <f t="shared" si="182"/>
        <v>394.14967589864466</v>
      </c>
      <c r="AM93" s="84">
        <f t="shared" si="182"/>
        <v>382.84320175438597</v>
      </c>
      <c r="AN93" s="84">
        <f t="shared" si="182"/>
        <v>395.79977246871442</v>
      </c>
      <c r="AO93" s="84">
        <f t="shared" si="182"/>
        <v>416.28703703703701</v>
      </c>
      <c r="AP93" s="84">
        <f t="shared" si="182"/>
        <v>389.46835443037975</v>
      </c>
      <c r="AQ93" s="85">
        <f t="shared" si="182"/>
        <v>395.76713849569802</v>
      </c>
      <c r="AR93" s="84">
        <f t="shared" si="182"/>
        <v>361.04914744232696</v>
      </c>
      <c r="AS93" s="84">
        <f t="shared" si="182"/>
        <v>355.21005917159761</v>
      </c>
      <c r="AT93" s="84">
        <f t="shared" si="182"/>
        <v>371.22708757637474</v>
      </c>
      <c r="AU93" s="137"/>
      <c r="AV93" s="66"/>
      <c r="AW93" s="66"/>
      <c r="AX93" s="66"/>
      <c r="AY93" s="66"/>
      <c r="AZ93" s="65"/>
      <c r="BA93" s="84" t="str">
        <f t="shared" ref="BA93:BO93" si="183">IF(ISERROR(BA91/AV391-1),"nm",BA91/AV391-1)</f>
        <v>nm</v>
      </c>
      <c r="BB93" s="84" t="str">
        <f t="shared" si="183"/>
        <v>nm</v>
      </c>
      <c r="BC93" s="84" t="str">
        <f t="shared" si="183"/>
        <v>nm</v>
      </c>
      <c r="BD93" s="84" t="str">
        <f t="shared" si="183"/>
        <v>nm</v>
      </c>
      <c r="BE93" s="85" t="str">
        <f t="shared" si="183"/>
        <v>nm</v>
      </c>
      <c r="BF93" s="84">
        <f t="shared" si="183"/>
        <v>252.12055335968378</v>
      </c>
      <c r="BG93" s="84">
        <f t="shared" si="183"/>
        <v>241.77514792899407</v>
      </c>
      <c r="BH93" s="84">
        <f t="shared" si="183"/>
        <v>239.38767395626243</v>
      </c>
      <c r="BI93" s="84">
        <f t="shared" si="183"/>
        <v>256.17653390742731</v>
      </c>
      <c r="BJ93" s="85">
        <f t="shared" si="183"/>
        <v>247.1895985862156</v>
      </c>
      <c r="BK93" s="510">
        <f t="shared" si="183"/>
        <v>306.20915841584156</v>
      </c>
      <c r="BL93" s="510">
        <f t="shared" si="183"/>
        <v>305.97439180537771</v>
      </c>
      <c r="BM93" s="510">
        <f t="shared" si="183"/>
        <v>309.61517976031956</v>
      </c>
      <c r="BN93" s="510">
        <f t="shared" si="183"/>
        <v>311.44257703081234</v>
      </c>
      <c r="BO93" s="67">
        <f t="shared" si="183"/>
        <v>313.88096032010668</v>
      </c>
      <c r="BP93" s="510">
        <f t="shared" ref="BP93:CV93" si="184">BP91/BK391-1</f>
        <v>328.13399153737657</v>
      </c>
      <c r="BQ93" s="510">
        <f t="shared" si="184"/>
        <v>280.48555708390649</v>
      </c>
      <c r="BR93" s="510">
        <f t="shared" si="184"/>
        <v>285.00141242937855</v>
      </c>
      <c r="BS93" s="510">
        <f t="shared" si="184"/>
        <v>316.98751950078002</v>
      </c>
      <c r="BT93" s="67">
        <f t="shared" si="184"/>
        <v>302.16517055655294</v>
      </c>
      <c r="BU93" s="510">
        <f t="shared" si="184"/>
        <v>314.62349397590361</v>
      </c>
      <c r="BV93" s="510">
        <f t="shared" si="184"/>
        <v>319.91772151898732</v>
      </c>
      <c r="BW93" s="510">
        <f t="shared" si="184"/>
        <v>316.89085072231137</v>
      </c>
      <c r="BX93" s="510">
        <f t="shared" si="184"/>
        <v>322.51768488745978</v>
      </c>
      <c r="BY93" s="67">
        <f t="shared" si="184"/>
        <v>325.89005235602093</v>
      </c>
      <c r="BZ93" s="510">
        <f t="shared" si="184"/>
        <v>314.80213089802129</v>
      </c>
      <c r="CA93" s="510">
        <f t="shared" si="184"/>
        <v>292.13643178410797</v>
      </c>
      <c r="CB93" s="510">
        <f t="shared" si="184"/>
        <v>293.79969418960246</v>
      </c>
      <c r="CC93" s="510">
        <f t="shared" si="184"/>
        <v>291.58787878787876</v>
      </c>
      <c r="CD93" s="67">
        <f t="shared" si="184"/>
        <v>303.59884169884168</v>
      </c>
      <c r="CE93" s="510">
        <f t="shared" si="184"/>
        <v>292.05124450951683</v>
      </c>
      <c r="CF93" s="510">
        <f t="shared" si="184"/>
        <v>291.48059701492537</v>
      </c>
      <c r="CG93" s="510">
        <f t="shared" si="184"/>
        <v>295.93373493975906</v>
      </c>
      <c r="CH93" s="510">
        <f t="shared" si="184"/>
        <v>294.53363914373091</v>
      </c>
      <c r="CI93" s="67">
        <f t="shared" si="184"/>
        <v>301.63909195844553</v>
      </c>
      <c r="CJ93" s="510">
        <f t="shared" si="184"/>
        <v>289.66617210682494</v>
      </c>
      <c r="CK93" s="510">
        <f t="shared" si="184"/>
        <v>276.53276353276351</v>
      </c>
      <c r="CL93" s="510">
        <f t="shared" si="184"/>
        <v>272.15937940761637</v>
      </c>
      <c r="CM93" s="510">
        <f t="shared" si="184"/>
        <v>279.89435600578872</v>
      </c>
      <c r="CN93" s="67">
        <f t="shared" si="184"/>
        <v>280.04873646209387</v>
      </c>
      <c r="CO93" s="510">
        <f t="shared" si="184"/>
        <v>278.68696883852692</v>
      </c>
      <c r="CP93" s="510">
        <f t="shared" si="184"/>
        <v>263.6261937244202</v>
      </c>
      <c r="CQ93" s="510">
        <f t="shared" si="184"/>
        <v>264.61989100817436</v>
      </c>
      <c r="CR93" s="510">
        <f t="shared" si="184"/>
        <v>264.24794520547943</v>
      </c>
      <c r="CS93" s="67">
        <f t="shared" si="184"/>
        <v>267.69652084050983</v>
      </c>
      <c r="CT93" s="510">
        <f t="shared" si="184"/>
        <v>280.75</v>
      </c>
      <c r="CU93" s="510">
        <f t="shared" si="184"/>
        <v>265.84552845528458</v>
      </c>
      <c r="CV93" s="510">
        <f t="shared" si="184"/>
        <v>268.45231607629427</v>
      </c>
      <c r="CW93" s="510">
        <f>CW91/CR296-1</f>
        <v>2.9297994639288172E-2</v>
      </c>
      <c r="CX93" s="67"/>
      <c r="CY93" s="510">
        <f>CY91/CT391-1</f>
        <v>257.04830287206266</v>
      </c>
      <c r="CZ93" s="510">
        <f>CZ91/CU391-1</f>
        <v>246.0796460176991</v>
      </c>
      <c r="DA93" s="510">
        <f>DA91/CV391-1</f>
        <v>248.38022813688212</v>
      </c>
      <c r="DB93" s="510">
        <f>DB91/CW391-1</f>
        <v>395.35809987819732</v>
      </c>
      <c r="DC93" s="67"/>
      <c r="DD93" s="510">
        <f>DD91/CY391-1</f>
        <v>397.29028290282901</v>
      </c>
      <c r="DE93" s="510">
        <f>DE91/CZ391-1</f>
        <v>398.89218009478674</v>
      </c>
      <c r="DF93" s="510">
        <f>DF91/DA391-1</f>
        <v>408.21538461538461</v>
      </c>
      <c r="DG93" s="510">
        <f>DG91/DB391-1</f>
        <v>255.29329403095062</v>
      </c>
      <c r="DH93" s="67"/>
      <c r="DI93" s="510">
        <f t="shared" ref="DI93:DR93" si="185">DI91/DD334-1</f>
        <v>8.6726784225317211E-2</v>
      </c>
      <c r="DJ93" s="510">
        <f t="shared" si="185"/>
        <v>3.4407971342986343E-2</v>
      </c>
      <c r="DK93" s="510">
        <f t="shared" si="185"/>
        <v>1.8916269264026786E-2</v>
      </c>
      <c r="DL93" s="510">
        <f t="shared" si="185"/>
        <v>6.959372034848621E-2</v>
      </c>
      <c r="DM93" s="67">
        <f t="shared" si="185"/>
        <v>5.1989968233724149E-2</v>
      </c>
      <c r="DN93" s="510">
        <f t="shared" si="185"/>
        <v>3.9307126672529336E-2</v>
      </c>
      <c r="DO93" s="510">
        <f t="shared" si="185"/>
        <v>-1.8135731572842206E-2</v>
      </c>
      <c r="DP93" s="510">
        <f t="shared" si="185"/>
        <v>-2.0278017437108331E-2</v>
      </c>
      <c r="DQ93" s="510">
        <f t="shared" si="185"/>
        <v>-8.8885842244767366E-2</v>
      </c>
      <c r="DR93" s="67">
        <f t="shared" si="185"/>
        <v>-2.3070629022598266E-2</v>
      </c>
      <c r="DS93" s="510">
        <f>DS91/DN372-1</f>
        <v>-2.4981261899770568E-2</v>
      </c>
      <c r="DT93" s="510">
        <f>DT91/DO372-1</f>
        <v>-1.4310781943238093E-2</v>
      </c>
      <c r="DU93" s="510">
        <f>DU91/DP372-1</f>
        <v>-2.1767898524210239E-2</v>
      </c>
      <c r="DV93" s="510">
        <f>DV91/DQ372-1</f>
        <v>1.2638674343490974E-2</v>
      </c>
      <c r="DW93" s="67"/>
      <c r="DX93" s="66"/>
      <c r="DY93" s="66"/>
      <c r="DZ93" s="66"/>
      <c r="EA93" s="66"/>
      <c r="EB93" s="67"/>
      <c r="EC93" s="66"/>
      <c r="ED93" s="66"/>
      <c r="EE93" s="66"/>
      <c r="EF93" s="66"/>
      <c r="EG93" s="67"/>
      <c r="EH93" s="66"/>
      <c r="EI93" s="66"/>
      <c r="EJ93" s="66"/>
      <c r="EK93" s="66"/>
      <c r="EL93" s="67"/>
    </row>
    <row r="94" spans="1:142" ht="11.25" customHeight="1">
      <c r="A94" s="159"/>
      <c r="B94" s="159" t="s">
        <v>148</v>
      </c>
      <c r="C94" s="542"/>
      <c r="D94" s="542" t="str">
        <f>IF(ISERROR(D91/D86),"nm",D91/D86)</f>
        <v>nm</v>
      </c>
      <c r="E94" s="19">
        <f t="shared" ref="E94:AT94" si="186">E91/E86</f>
        <v>1.3253601298727986</v>
      </c>
      <c r="F94" s="19">
        <f t="shared" si="186"/>
        <v>1.3036698662349178</v>
      </c>
      <c r="G94" s="19">
        <f t="shared" si="186"/>
        <v>1.915776565605311</v>
      </c>
      <c r="H94" s="56">
        <f t="shared" si="186"/>
        <v>1.3389579942359671</v>
      </c>
      <c r="I94" s="19">
        <f t="shared" si="186"/>
        <v>1.4052267651991426</v>
      </c>
      <c r="J94" s="19">
        <f t="shared" si="186"/>
        <v>1.383847195566744</v>
      </c>
      <c r="K94" s="19">
        <f t="shared" si="186"/>
        <v>1.4377259912974198</v>
      </c>
      <c r="L94" s="19">
        <f t="shared" si="186"/>
        <v>1.4272717833209529</v>
      </c>
      <c r="M94" s="56">
        <f t="shared" si="186"/>
        <v>1.414310060889949</v>
      </c>
      <c r="N94" s="19">
        <f t="shared" si="186"/>
        <v>1.4532116848048442</v>
      </c>
      <c r="O94" s="19">
        <f t="shared" si="186"/>
        <v>1.4418451559037924</v>
      </c>
      <c r="P94" s="19">
        <f t="shared" si="186"/>
        <v>1.4174442095372328</v>
      </c>
      <c r="Q94" s="19">
        <f t="shared" si="186"/>
        <v>1.4223881098688211</v>
      </c>
      <c r="R94" s="56">
        <f t="shared" si="186"/>
        <v>1.4289180022036201</v>
      </c>
      <c r="S94" s="19">
        <f t="shared" si="186"/>
        <v>1.4098855875313758</v>
      </c>
      <c r="T94" s="19">
        <f t="shared" si="186"/>
        <v>1.5359778684296901</v>
      </c>
      <c r="U94" s="19">
        <f t="shared" si="186"/>
        <v>1.412924595700461</v>
      </c>
      <c r="V94" s="19">
        <f t="shared" si="186"/>
        <v>1.4576753085754326</v>
      </c>
      <c r="W94" s="56">
        <f t="shared" si="186"/>
        <v>1.4537093392845066</v>
      </c>
      <c r="X94" s="19">
        <f t="shared" si="186"/>
        <v>1.4728449082206718</v>
      </c>
      <c r="Y94" s="19">
        <f t="shared" si="186"/>
        <v>1.4538891823439384</v>
      </c>
      <c r="Z94" s="19">
        <f t="shared" si="186"/>
        <v>1.4150599647691899</v>
      </c>
      <c r="AA94" s="19">
        <f t="shared" si="186"/>
        <v>1.447948671966844</v>
      </c>
      <c r="AB94" s="56">
        <f t="shared" si="186"/>
        <v>1.4464539636925191</v>
      </c>
      <c r="AC94" s="19">
        <f t="shared" si="186"/>
        <v>1.4776253456875736</v>
      </c>
      <c r="AD94" s="19">
        <f t="shared" si="186"/>
        <v>1.4481499866020637</v>
      </c>
      <c r="AE94" s="19">
        <f t="shared" si="186"/>
        <v>1.3997881497297657</v>
      </c>
      <c r="AF94" s="19">
        <f t="shared" si="186"/>
        <v>1.4488564264689852</v>
      </c>
      <c r="AG94" s="56">
        <f t="shared" si="186"/>
        <v>1.4434722510046554</v>
      </c>
      <c r="AH94" s="19">
        <f t="shared" si="186"/>
        <v>1.4115751268147629</v>
      </c>
      <c r="AI94" s="19">
        <f t="shared" si="186"/>
        <v>1.4358974358974359</v>
      </c>
      <c r="AJ94" s="19">
        <f t="shared" si="186"/>
        <v>1.3984791319842391</v>
      </c>
      <c r="AK94" s="19">
        <f t="shared" si="186"/>
        <v>1.4625916245475459</v>
      </c>
      <c r="AL94" s="56">
        <f t="shared" si="186"/>
        <v>1.4273484170408504</v>
      </c>
      <c r="AM94" s="19">
        <f t="shared" si="186"/>
        <v>1.4455221908395686</v>
      </c>
      <c r="AN94" s="19">
        <f t="shared" si="186"/>
        <v>1.4361589551224774</v>
      </c>
      <c r="AO94" s="19">
        <f t="shared" si="186"/>
        <v>1.4037377355552094</v>
      </c>
      <c r="AP94" s="19">
        <f t="shared" si="186"/>
        <v>1.4283057380876127</v>
      </c>
      <c r="AQ94" s="56">
        <f t="shared" si="186"/>
        <v>1.4280725168725201</v>
      </c>
      <c r="AR94" s="19">
        <f t="shared" si="186"/>
        <v>1.4317451629024964</v>
      </c>
      <c r="AS94" s="19">
        <f t="shared" si="186"/>
        <v>1.420737751345228</v>
      </c>
      <c r="AT94" s="19">
        <f t="shared" si="186"/>
        <v>1.3972691235889771</v>
      </c>
      <c r="AU94" s="137"/>
      <c r="AV94" s="542" t="str">
        <f>IF(ISERROR(AV91/AV86),"nm",AV91/AV86)</f>
        <v>nm</v>
      </c>
      <c r="AW94" s="542" t="str">
        <f>IF(ISERROR(AW91/AW86),"nm",AW91/AW86)</f>
        <v>nm</v>
      </c>
      <c r="AX94" s="542" t="str">
        <f>IF(ISERROR(AX91/AX86),"nm",AX91/AX86)</f>
        <v>nm</v>
      </c>
      <c r="AY94" s="542" t="str">
        <f>IF(ISERROR(AY91/AY86),"nm",AY91/AY86)</f>
        <v>nm</v>
      </c>
      <c r="AZ94" s="543" t="str">
        <f>IF(ISERROR(AZ91/AZ86),"nm",AZ91/AZ86)</f>
        <v>nm</v>
      </c>
      <c r="BA94" s="19">
        <f t="shared" ref="BA94:CF94" si="187">BA91/BA86</f>
        <v>1.3824385550886829</v>
      </c>
      <c r="BB94" s="19">
        <f t="shared" si="187"/>
        <v>1.4009590822633324</v>
      </c>
      <c r="BC94" s="19">
        <f t="shared" si="187"/>
        <v>1.4037047022841591</v>
      </c>
      <c r="BD94" s="19">
        <f t="shared" si="187"/>
        <v>1.390740974254395</v>
      </c>
      <c r="BE94" s="56">
        <f t="shared" si="187"/>
        <v>1.3944065325783825</v>
      </c>
      <c r="BF94" s="19">
        <f t="shared" si="187"/>
        <v>1.3827468381078849</v>
      </c>
      <c r="BG94" s="19">
        <f t="shared" si="187"/>
        <v>1.4141510463640072</v>
      </c>
      <c r="BH94" s="19">
        <f t="shared" si="187"/>
        <v>1.4165880747219017</v>
      </c>
      <c r="BI94" s="19">
        <f t="shared" si="187"/>
        <v>1.4108466248973976</v>
      </c>
      <c r="BJ94" s="56">
        <f t="shared" si="187"/>
        <v>1.4056274914639657</v>
      </c>
      <c r="BK94" s="19">
        <f t="shared" si="187"/>
        <v>1.3909435273285591</v>
      </c>
      <c r="BL94" s="19">
        <f t="shared" si="187"/>
        <v>1.4226113478038998</v>
      </c>
      <c r="BM94" s="19">
        <f t="shared" si="187"/>
        <v>1.4249360137318503</v>
      </c>
      <c r="BN94" s="19">
        <f t="shared" si="187"/>
        <v>1.4128540305010893</v>
      </c>
      <c r="BO94" s="56">
        <f t="shared" si="187"/>
        <v>1.4124235140677279</v>
      </c>
      <c r="BP94" s="19">
        <f t="shared" si="187"/>
        <v>1.4021607200797952</v>
      </c>
      <c r="BQ94" s="19">
        <f t="shared" si="187"/>
        <v>1.4312891674127126</v>
      </c>
      <c r="BR94" s="19">
        <f t="shared" si="187"/>
        <v>1.4340276056457724</v>
      </c>
      <c r="BS94" s="19">
        <f t="shared" si="187"/>
        <v>1.4242890084550346</v>
      </c>
      <c r="BT94" s="56">
        <f t="shared" si="187"/>
        <v>1.4220880388738704</v>
      </c>
      <c r="BU94" s="19">
        <f t="shared" si="187"/>
        <v>1.4125283079909414</v>
      </c>
      <c r="BV94" s="19">
        <f t="shared" si="187"/>
        <v>1.4504548315121002</v>
      </c>
      <c r="BW94" s="19">
        <f t="shared" si="187"/>
        <v>1.4522376130172394</v>
      </c>
      <c r="BX94" s="19">
        <f t="shared" si="187"/>
        <v>1.4430221801518834</v>
      </c>
      <c r="BY94" s="56">
        <f t="shared" si="187"/>
        <v>1.4390715255787896</v>
      </c>
      <c r="BZ94" s="19">
        <f t="shared" si="187"/>
        <v>1.4205549888057403</v>
      </c>
      <c r="CA94" s="19">
        <f t="shared" si="187"/>
        <v>1.4593045386354986</v>
      </c>
      <c r="CB94" s="19">
        <f t="shared" si="187"/>
        <v>1.4768777050059367</v>
      </c>
      <c r="CC94" s="19">
        <f t="shared" si="187"/>
        <v>1.4663497680210793</v>
      </c>
      <c r="CD94" s="56">
        <f t="shared" si="187"/>
        <v>1.4548091569268899</v>
      </c>
      <c r="CE94" s="19">
        <f t="shared" si="187"/>
        <v>1.4634777649415791</v>
      </c>
      <c r="CF94" s="19">
        <f t="shared" si="187"/>
        <v>1.5038370629585289</v>
      </c>
      <c r="CG94" s="19">
        <f t="shared" ref="CG94:DL94" si="188">CG91/CG86</f>
        <v>1.5136421563358873</v>
      </c>
      <c r="CH94" s="19">
        <f t="shared" si="188"/>
        <v>1.4909936666383812</v>
      </c>
      <c r="CI94" s="56">
        <f t="shared" si="188"/>
        <v>1.4926266170490148</v>
      </c>
      <c r="CJ94" s="19">
        <f t="shared" si="188"/>
        <v>1.4774545811054383</v>
      </c>
      <c r="CK94" s="19">
        <f t="shared" si="188"/>
        <v>1.5250604691939789</v>
      </c>
      <c r="CL94" s="19">
        <f t="shared" si="188"/>
        <v>1.5414063432687333</v>
      </c>
      <c r="CM94" s="19">
        <f t="shared" si="188"/>
        <v>1.5286075430983563</v>
      </c>
      <c r="CN94" s="56">
        <f t="shared" si="188"/>
        <v>1.5176364401955662</v>
      </c>
      <c r="CO94" s="19">
        <f t="shared" si="188"/>
        <v>1.5023090910474219</v>
      </c>
      <c r="CP94" s="19">
        <f t="shared" si="188"/>
        <v>1.5444534683737818</v>
      </c>
      <c r="CQ94" s="19">
        <f t="shared" si="188"/>
        <v>1.5540260485580832</v>
      </c>
      <c r="CR94" s="19">
        <f t="shared" si="188"/>
        <v>1.5447597469424876</v>
      </c>
      <c r="CS94" s="56">
        <f t="shared" si="188"/>
        <v>1.5359861687086724</v>
      </c>
      <c r="CT94" s="19">
        <f t="shared" si="188"/>
        <v>1.5463068831465814</v>
      </c>
      <c r="CU94" s="19">
        <f t="shared" si="188"/>
        <v>1.5737437667817415</v>
      </c>
      <c r="CV94" s="19">
        <f t="shared" si="188"/>
        <v>1.5838839103380342</v>
      </c>
      <c r="CW94" s="19">
        <f t="shared" si="188"/>
        <v>1.5907414797669408</v>
      </c>
      <c r="CX94" s="56">
        <f t="shared" si="188"/>
        <v>1.5733417574064386</v>
      </c>
      <c r="CY94" s="19">
        <f t="shared" si="188"/>
        <v>1.5696543290266738</v>
      </c>
      <c r="CZ94" s="19">
        <f t="shared" si="188"/>
        <v>1.6189261277977502</v>
      </c>
      <c r="DA94" s="19">
        <f t="shared" si="188"/>
        <v>1.6185129432667869</v>
      </c>
      <c r="DB94" s="19">
        <f t="shared" si="188"/>
        <v>1.7081351768448239</v>
      </c>
      <c r="DC94" s="56">
        <f t="shared" si="188"/>
        <v>1.6381482157622878</v>
      </c>
      <c r="DD94" s="19">
        <f t="shared" si="188"/>
        <v>1.6667781935729618</v>
      </c>
      <c r="DE94" s="19">
        <f t="shared" si="188"/>
        <v>1.7340077373215304</v>
      </c>
      <c r="DF94" s="19">
        <f t="shared" si="188"/>
        <v>1.7296787618676031</v>
      </c>
      <c r="DG94" s="19">
        <f t="shared" si="188"/>
        <v>1.7188650617534114</v>
      </c>
      <c r="DH94" s="56">
        <f t="shared" si="188"/>
        <v>1.7125327839325553</v>
      </c>
      <c r="DI94" s="19">
        <f t="shared" si="188"/>
        <v>1.6890891025425641</v>
      </c>
      <c r="DJ94" s="19">
        <f t="shared" si="188"/>
        <v>1.7291142500544803</v>
      </c>
      <c r="DK94" s="19">
        <f t="shared" si="188"/>
        <v>1.7453212463466588</v>
      </c>
      <c r="DL94" s="19">
        <f t="shared" si="188"/>
        <v>1.7547631739083263</v>
      </c>
      <c r="DM94" s="56">
        <f t="shared" ref="DM94:EG94" si="189">DM91/DM86</f>
        <v>1.7295638161295568</v>
      </c>
      <c r="DN94" s="19">
        <f t="shared" si="189"/>
        <v>1.7130345280194901</v>
      </c>
      <c r="DO94" s="19">
        <f t="shared" si="189"/>
        <v>1.7680068902206314</v>
      </c>
      <c r="DP94" s="19">
        <f t="shared" si="189"/>
        <v>1.7762861347521379</v>
      </c>
      <c r="DQ94" s="19">
        <f t="shared" si="189"/>
        <v>1.7643270987657533</v>
      </c>
      <c r="DR94" s="56">
        <f t="shared" si="189"/>
        <v>1.7544474461585073</v>
      </c>
      <c r="DS94" s="19">
        <f t="shared" si="189"/>
        <v>1.7306480716885342</v>
      </c>
      <c r="DT94" s="19">
        <f t="shared" si="189"/>
        <v>1.7728911243290602</v>
      </c>
      <c r="DU94" s="19">
        <f>DU91/DU86</f>
        <v>1.7630433587954057</v>
      </c>
      <c r="DV94" s="19">
        <f>DV91/DV86</f>
        <v>1.7551939938445562</v>
      </c>
      <c r="DW94" s="56">
        <f t="shared" si="189"/>
        <v>1.7551488235247215</v>
      </c>
      <c r="DX94" s="19">
        <f t="shared" ca="1" si="189"/>
        <v>1.7477135425834531</v>
      </c>
      <c r="DY94" s="19">
        <f t="shared" ca="1" si="189"/>
        <v>1.7713389301550289</v>
      </c>
      <c r="DZ94" s="19">
        <v>1.7</v>
      </c>
      <c r="EA94" s="19">
        <f t="shared" ca="1" si="189"/>
        <v>1.7523494425911836</v>
      </c>
      <c r="EB94" s="56">
        <f t="shared" ca="1" si="189"/>
        <v>1.7603834290538223</v>
      </c>
      <c r="EC94" s="19">
        <f t="shared" si="189"/>
        <v>1.7856480716885343</v>
      </c>
      <c r="ED94" s="19">
        <f t="shared" si="189"/>
        <v>1.7878911243290601</v>
      </c>
      <c r="EE94" s="19">
        <f t="shared" si="189"/>
        <v>1.7830433587954058</v>
      </c>
      <c r="EF94" s="19">
        <f t="shared" si="189"/>
        <v>1.7701939938445561</v>
      </c>
      <c r="EG94" s="56">
        <f t="shared" si="189"/>
        <v>1.7816462023564701</v>
      </c>
      <c r="EH94" s="19">
        <f t="shared" ref="EH94:EL94" si="190">EH91/EH86</f>
        <v>1.7856480716885343</v>
      </c>
      <c r="EI94" s="19">
        <f t="shared" si="190"/>
        <v>1.7878911243290601</v>
      </c>
      <c r="EJ94" s="19">
        <f t="shared" si="190"/>
        <v>1.7830433587954058</v>
      </c>
      <c r="EK94" s="19">
        <f t="shared" si="190"/>
        <v>1.7701939938445561</v>
      </c>
      <c r="EL94" s="56">
        <f t="shared" si="190"/>
        <v>1.7816621639599046</v>
      </c>
    </row>
    <row r="95" spans="1:142" ht="11.25" customHeight="1">
      <c r="A95" s="192"/>
      <c r="B95" s="192"/>
      <c r="C95" s="544"/>
      <c r="D95" s="544"/>
      <c r="E95" s="431"/>
      <c r="F95" s="431"/>
      <c r="G95" s="431"/>
      <c r="H95" s="56"/>
      <c r="I95" s="431"/>
      <c r="J95" s="431"/>
      <c r="K95" s="431"/>
      <c r="L95" s="431"/>
      <c r="M95" s="56"/>
      <c r="N95" s="431"/>
      <c r="O95" s="431"/>
      <c r="P95" s="431"/>
      <c r="Q95" s="431"/>
      <c r="R95" s="56"/>
      <c r="S95" s="431"/>
      <c r="T95" s="431"/>
      <c r="U95" s="431"/>
      <c r="V95" s="431"/>
      <c r="W95" s="56"/>
      <c r="X95" s="431"/>
      <c r="Y95" s="431"/>
      <c r="Z95" s="431"/>
      <c r="AA95" s="431"/>
      <c r="AB95" s="56"/>
      <c r="AC95" s="431"/>
      <c r="AD95" s="431"/>
      <c r="AE95" s="431"/>
      <c r="AF95" s="431"/>
      <c r="AG95" s="56"/>
      <c r="AH95" s="431"/>
      <c r="AI95" s="431"/>
      <c r="AJ95" s="431"/>
      <c r="AK95" s="431"/>
      <c r="AL95" s="56"/>
      <c r="AM95" s="431"/>
      <c r="AN95" s="431"/>
      <c r="AO95" s="431"/>
      <c r="AP95" s="431"/>
      <c r="AQ95" s="56"/>
      <c r="AR95" s="431"/>
      <c r="AS95" s="431"/>
      <c r="AT95" s="431"/>
      <c r="AU95" s="137"/>
      <c r="AV95" s="544"/>
      <c r="AW95" s="544"/>
      <c r="AX95" s="544"/>
      <c r="AY95" s="544"/>
      <c r="AZ95" s="543"/>
      <c r="BA95" s="431"/>
      <c r="BB95" s="431"/>
      <c r="BC95" s="431"/>
      <c r="BD95" s="431"/>
      <c r="BE95" s="56"/>
      <c r="BF95" s="431"/>
      <c r="BG95" s="431"/>
      <c r="BH95" s="431"/>
      <c r="BI95" s="431"/>
      <c r="BJ95" s="56"/>
      <c r="BK95" s="431"/>
      <c r="BL95" s="431"/>
      <c r="BM95" s="431"/>
      <c r="BN95" s="431"/>
      <c r="BO95" s="56"/>
      <c r="BP95" s="431"/>
      <c r="BQ95" s="431"/>
      <c r="BR95" s="431"/>
      <c r="BS95" s="431"/>
      <c r="BT95" s="56"/>
      <c r="BU95" s="431"/>
      <c r="BV95" s="431"/>
      <c r="BW95" s="431"/>
      <c r="BX95" s="431"/>
      <c r="BY95" s="56"/>
      <c r="BZ95" s="431"/>
      <c r="CA95" s="431"/>
      <c r="CB95" s="431"/>
      <c r="CC95" s="431"/>
      <c r="CD95" s="56"/>
      <c r="CE95" s="431"/>
      <c r="CF95" s="431"/>
      <c r="CG95" s="431"/>
      <c r="CH95" s="431"/>
      <c r="CI95" s="56"/>
      <c r="CJ95" s="431"/>
      <c r="CK95" s="431"/>
      <c r="CL95" s="431"/>
      <c r="CM95" s="431"/>
      <c r="CN95" s="56"/>
      <c r="CO95" s="431"/>
      <c r="CP95" s="431"/>
      <c r="CQ95" s="431"/>
      <c r="CR95" s="431"/>
      <c r="CS95" s="56"/>
      <c r="CT95" s="431"/>
      <c r="CU95" s="431"/>
      <c r="CV95" s="431"/>
      <c r="CW95" s="431"/>
      <c r="CX95" s="56"/>
      <c r="CY95" s="431"/>
      <c r="CZ95" s="431"/>
      <c r="DA95" s="431"/>
      <c r="DB95" s="431"/>
      <c r="DC95" s="56"/>
      <c r="DD95" s="431"/>
      <c r="DE95" s="431"/>
      <c r="DF95" s="431"/>
      <c r="DG95" s="431"/>
      <c r="DH95" s="56"/>
      <c r="DI95" s="431"/>
      <c r="DJ95" s="431"/>
      <c r="DK95" s="431"/>
      <c r="DL95" s="431"/>
      <c r="DM95" s="56"/>
      <c r="DN95" s="431"/>
      <c r="DO95" s="431"/>
      <c r="DP95" s="431"/>
      <c r="DQ95" s="431"/>
      <c r="DR95" s="56"/>
      <c r="DS95" s="431"/>
      <c r="DT95" s="431"/>
      <c r="DU95" s="431"/>
      <c r="DV95" s="431"/>
      <c r="DW95" s="56"/>
      <c r="DX95" s="431"/>
      <c r="DY95" s="431"/>
      <c r="DZ95" s="431"/>
      <c r="EA95" s="431"/>
      <c r="EB95" s="56"/>
      <c r="EC95" s="431"/>
      <c r="ED95" s="431"/>
      <c r="EE95" s="431"/>
      <c r="EF95" s="431"/>
      <c r="EG95" s="56"/>
      <c r="EH95" s="431"/>
      <c r="EI95" s="431"/>
      <c r="EJ95" s="431"/>
      <c r="EK95" s="431"/>
      <c r="EL95" s="56"/>
    </row>
    <row r="96" spans="1:142" ht="11.25" customHeight="1">
      <c r="A96" s="159"/>
      <c r="B96" s="159" t="s">
        <v>149</v>
      </c>
      <c r="C96" s="507"/>
      <c r="D96" s="507">
        <f>D344</f>
        <v>6764</v>
      </c>
      <c r="E96" s="507" t="str">
        <f>E344</f>
        <v>ND</v>
      </c>
      <c r="F96" s="507" t="str">
        <f>F344</f>
        <v>ND</v>
      </c>
      <c r="G96" s="507" t="str">
        <f>G344</f>
        <v>ND</v>
      </c>
      <c r="H96" s="193">
        <f>SUM(D96:G96)</f>
        <v>6764</v>
      </c>
      <c r="I96" s="507" t="str">
        <f>I344</f>
        <v>ND</v>
      </c>
      <c r="J96" s="507" t="str">
        <f>J344</f>
        <v>ND</v>
      </c>
      <c r="K96" s="507" t="str">
        <f>K344</f>
        <v>ND</v>
      </c>
      <c r="L96" s="507" t="str">
        <f>L344</f>
        <v>ND</v>
      </c>
      <c r="M96" s="193">
        <f>SUM(I96:L96)</f>
        <v>0</v>
      </c>
      <c r="N96" s="507" t="str">
        <f>N344</f>
        <v>ND</v>
      </c>
      <c r="O96" s="507" t="str">
        <f>O344</f>
        <v>ND</v>
      </c>
      <c r="P96" s="507" t="str">
        <f>P344</f>
        <v>ND</v>
      </c>
      <c r="Q96" s="507" t="str">
        <f>Q344</f>
        <v>ND</v>
      </c>
      <c r="R96" s="193">
        <f>SUM(N96:Q96)</f>
        <v>0</v>
      </c>
      <c r="S96" s="507" t="str">
        <f>S344</f>
        <v>ND</v>
      </c>
      <c r="T96" s="507" t="str">
        <f>T344</f>
        <v>ND</v>
      </c>
      <c r="U96" s="507" t="str">
        <f>U344</f>
        <v>ND</v>
      </c>
      <c r="V96" s="507" t="str">
        <f>V344</f>
        <v>ND</v>
      </c>
      <c r="W96" s="193">
        <f>SUM(S96:V96)</f>
        <v>0</v>
      </c>
      <c r="X96" s="507" t="str">
        <f>X344</f>
        <v>ND</v>
      </c>
      <c r="Y96" s="507" t="str">
        <f>Y344</f>
        <v>ND</v>
      </c>
      <c r="Z96" s="507" t="str">
        <f>Z344</f>
        <v>ND</v>
      </c>
      <c r="AA96" s="507" t="str">
        <f>AA344</f>
        <v>ND</v>
      </c>
      <c r="AB96" s="193">
        <f>SUM(X96:AA96)</f>
        <v>0</v>
      </c>
      <c r="AC96" s="507" t="str">
        <f>AC344</f>
        <v>ND</v>
      </c>
      <c r="AD96" s="507" t="str">
        <f>AD344</f>
        <v>ND</v>
      </c>
      <c r="AE96" s="507" t="str">
        <f>AE344</f>
        <v>ND</v>
      </c>
      <c r="AF96" s="507" t="str">
        <f>AF344</f>
        <v>ND</v>
      </c>
      <c r="AG96" s="193">
        <f>SUM(AC96:AF96)</f>
        <v>0</v>
      </c>
      <c r="AH96" s="507" t="str">
        <f>AH344</f>
        <v>ND</v>
      </c>
      <c r="AI96" s="507" t="str">
        <f>AI344</f>
        <v>ND</v>
      </c>
      <c r="AJ96" s="507" t="str">
        <f>AJ344</f>
        <v>ND</v>
      </c>
      <c r="AK96" s="507" t="str">
        <f>AK344</f>
        <v>ND</v>
      </c>
      <c r="AL96" s="193">
        <f>SUM(AH96:AK96)</f>
        <v>0</v>
      </c>
      <c r="AM96" s="507" t="str">
        <f>AM344</f>
        <v>ND</v>
      </c>
      <c r="AN96" s="507" t="str">
        <f>AN344</f>
        <v>ND</v>
      </c>
      <c r="AO96" s="507" t="str">
        <f>AO344</f>
        <v>ND</v>
      </c>
      <c r="AP96" s="507" t="str">
        <f>AP344</f>
        <v>ND</v>
      </c>
      <c r="AQ96" s="193">
        <f>SUM(AM96:AP96)</f>
        <v>0</v>
      </c>
      <c r="AR96" s="507" t="str">
        <f>AR344</f>
        <v>ND</v>
      </c>
      <c r="AS96" s="507" t="str">
        <f>AS344</f>
        <v>ND</v>
      </c>
      <c r="AT96" s="507" t="str">
        <f>AT344</f>
        <v>ND</v>
      </c>
      <c r="AU96" s="137"/>
      <c r="AV96" s="507" t="str">
        <f>AV344</f>
        <v>ND</v>
      </c>
      <c r="AW96" s="507" t="str">
        <f>AW344</f>
        <v>ND</v>
      </c>
      <c r="AX96" s="507" t="str">
        <f>AX344</f>
        <v>ND</v>
      </c>
      <c r="AY96" s="507" t="str">
        <f>AY344</f>
        <v>ND</v>
      </c>
      <c r="AZ96" s="193">
        <f>SUM(AV96:AY96)</f>
        <v>0</v>
      </c>
      <c r="BA96" s="507" t="str">
        <f>BA344</f>
        <v>ND</v>
      </c>
      <c r="BB96" s="507" t="str">
        <f>BB344</f>
        <v>ND</v>
      </c>
      <c r="BC96" s="507" t="str">
        <f>BC344</f>
        <v>ND</v>
      </c>
      <c r="BD96" s="507" t="str">
        <f>BD344</f>
        <v>ND</v>
      </c>
      <c r="BE96" s="193">
        <f>SUM(BA96:BD96)</f>
        <v>0</v>
      </c>
      <c r="BF96" s="507" t="str">
        <f>BF344</f>
        <v>ND</v>
      </c>
      <c r="BG96" s="507">
        <f>BG344</f>
        <v>18647</v>
      </c>
      <c r="BH96" s="507">
        <f>BH344</f>
        <v>18106</v>
      </c>
      <c r="BI96" s="507">
        <f>BI344</f>
        <v>17902</v>
      </c>
      <c r="BJ96" s="193">
        <f>SUM(BF96:BI96)</f>
        <v>54655</v>
      </c>
      <c r="BK96" s="90">
        <f>BK344</f>
        <v>17924</v>
      </c>
      <c r="BL96" s="90">
        <f>BL344</f>
        <v>17930</v>
      </c>
      <c r="BM96" s="90">
        <f>BM344</f>
        <v>17859</v>
      </c>
      <c r="BN96" s="90">
        <f>BN344</f>
        <v>17842</v>
      </c>
      <c r="BO96" s="193">
        <f>SUM(BK96:BN96)</f>
        <v>71555</v>
      </c>
      <c r="BP96" s="90">
        <f>BP344</f>
        <v>17851</v>
      </c>
      <c r="BQ96" s="90">
        <f>BQ344</f>
        <v>15069</v>
      </c>
      <c r="BR96" s="90">
        <f>BR344</f>
        <v>14967</v>
      </c>
      <c r="BS96" s="90">
        <f>BS344</f>
        <v>14941</v>
      </c>
      <c r="BT96" s="193">
        <f>SUM(BP96:BS96)</f>
        <v>62828</v>
      </c>
      <c r="BU96" s="90">
        <f>BU344</f>
        <v>14953</v>
      </c>
      <c r="BV96" s="90">
        <f>BV344</f>
        <v>14990</v>
      </c>
      <c r="BW96" s="90">
        <f>BW344</f>
        <v>14389</v>
      </c>
      <c r="BX96" s="90">
        <f>BX344</f>
        <v>14516</v>
      </c>
      <c r="BY96" s="193">
        <f>SUM(BU96:BX96)</f>
        <v>58848</v>
      </c>
      <c r="BZ96" s="90">
        <f>BZ344</f>
        <v>14478</v>
      </c>
      <c r="CA96" s="90">
        <f>CA344</f>
        <v>13829</v>
      </c>
      <c r="CB96" s="90">
        <f>CB344</f>
        <v>13536</v>
      </c>
      <c r="CC96" s="90">
        <f>CC344</f>
        <v>13547</v>
      </c>
      <c r="CD96" s="193">
        <f>SUM(BZ96:CC96)</f>
        <v>55390</v>
      </c>
      <c r="CE96" s="90">
        <f>CE344</f>
        <v>13574</v>
      </c>
      <c r="CF96" s="90">
        <f>CF344</f>
        <v>13411</v>
      </c>
      <c r="CG96" s="90">
        <f>CG344</f>
        <v>13419</v>
      </c>
      <c r="CH96" s="90">
        <f>CH344</f>
        <v>13436</v>
      </c>
      <c r="CI96" s="193">
        <f>SUM(CE96:CH96)</f>
        <v>53840</v>
      </c>
      <c r="CJ96" s="90">
        <f>CJ344</f>
        <v>13431</v>
      </c>
      <c r="CK96" s="90">
        <f>CK344</f>
        <v>13435</v>
      </c>
      <c r="CL96" s="90">
        <f>CL344</f>
        <v>13423</v>
      </c>
      <c r="CM96" s="90">
        <f>CM344</f>
        <v>13429</v>
      </c>
      <c r="CN96" s="193">
        <f>SUM(CJ96:CM96)</f>
        <v>53718</v>
      </c>
      <c r="CO96" s="90">
        <f>CO344</f>
        <v>13123</v>
      </c>
      <c r="CP96" s="90">
        <f>CP344</f>
        <v>13111</v>
      </c>
      <c r="CQ96" s="90">
        <f>CQ344</f>
        <v>13106</v>
      </c>
      <c r="CR96" s="90">
        <f>CR344</f>
        <v>13119</v>
      </c>
      <c r="CS96" s="193">
        <f>SUM(CO96:CR96)</f>
        <v>52459</v>
      </c>
      <c r="CT96" s="90">
        <f>CT344</f>
        <v>13138</v>
      </c>
      <c r="CU96" s="90">
        <f>CU344</f>
        <v>13176</v>
      </c>
      <c r="CV96" s="90">
        <f>CV344</f>
        <v>13216</v>
      </c>
      <c r="CW96" s="90">
        <f>CW344</f>
        <v>13216</v>
      </c>
      <c r="CX96" s="193">
        <f>SUM(CT96:CW96)</f>
        <v>52746</v>
      </c>
      <c r="CY96" s="90">
        <f>CY344</f>
        <v>13180</v>
      </c>
      <c r="CZ96" s="90">
        <f>CZ344</f>
        <v>13180</v>
      </c>
      <c r="DA96" s="90">
        <f>DA344</f>
        <v>13180</v>
      </c>
      <c r="DB96" s="90">
        <f>DB344</f>
        <v>20294</v>
      </c>
      <c r="DC96" s="193">
        <f>SUM(CY96:DB96)</f>
        <v>59834</v>
      </c>
      <c r="DD96" s="90">
        <f>DD344</f>
        <v>20263</v>
      </c>
      <c r="DE96" s="90">
        <f>DE344</f>
        <v>20370</v>
      </c>
      <c r="DF96" s="90">
        <f>DF344</f>
        <v>20692</v>
      </c>
      <c r="DG96" s="90">
        <f>DG344</f>
        <v>20805</v>
      </c>
      <c r="DH96" s="193">
        <f>SUM(DD96:DG96)</f>
        <v>82130</v>
      </c>
      <c r="DI96" s="90">
        <f>DI260</f>
        <v>193028</v>
      </c>
      <c r="DJ96" s="90">
        <f>DJ260</f>
        <v>187029</v>
      </c>
      <c r="DK96" s="90">
        <f>DK260</f>
        <v>180353</v>
      </c>
      <c r="DL96" s="90">
        <f>DL260</f>
        <v>180353</v>
      </c>
      <c r="DM96" s="193">
        <f>SUM(DI96:DL96)</f>
        <v>740763</v>
      </c>
      <c r="DN96" s="90">
        <f>DN260</f>
        <v>201436</v>
      </c>
      <c r="DO96" s="90">
        <f>DO260</f>
        <v>183539</v>
      </c>
      <c r="DP96" s="90">
        <f>DP260</f>
        <v>183042</v>
      </c>
      <c r="DQ96" s="90">
        <f>DQ260</f>
        <v>181617</v>
      </c>
      <c r="DR96" s="193">
        <f>SUM(DN96:DQ96)</f>
        <v>749634</v>
      </c>
      <c r="DS96" s="90">
        <f>DS297</f>
        <v>186079</v>
      </c>
      <c r="DT96" s="90">
        <f>DT297</f>
        <v>179101</v>
      </c>
      <c r="DU96" s="90">
        <f>DU297</f>
        <v>171791</v>
      </c>
      <c r="DV96" s="90">
        <f>DV297</f>
        <v>175025</v>
      </c>
      <c r="DW96" s="193">
        <f>SUM(DS96:DV96)</f>
        <v>711996</v>
      </c>
      <c r="DX96" s="171"/>
      <c r="DY96" s="171"/>
      <c r="DZ96" s="171"/>
      <c r="EA96" s="171"/>
      <c r="EB96" s="193"/>
      <c r="EC96" s="171"/>
      <c r="ED96" s="171"/>
      <c r="EE96" s="171"/>
      <c r="EF96" s="171"/>
      <c r="EG96" s="193"/>
      <c r="EH96" s="171"/>
      <c r="EI96" s="171"/>
      <c r="EJ96" s="171"/>
      <c r="EK96" s="171"/>
      <c r="EL96" s="193"/>
    </row>
    <row r="97" spans="1:142" ht="11.25" customHeight="1">
      <c r="A97" s="511"/>
      <c r="B97" s="511" t="s">
        <v>133</v>
      </c>
      <c r="C97" s="163"/>
      <c r="D97" s="163"/>
      <c r="E97" s="163"/>
      <c r="F97" s="163"/>
      <c r="G97" s="163"/>
      <c r="H97" s="85"/>
      <c r="I97" s="84" t="str">
        <f t="shared" ref="I97:AT97" si="191">IF(ISERROR(I96/D96-1),"nm",I96/D96-1)</f>
        <v>nm</v>
      </c>
      <c r="J97" s="84" t="str">
        <f t="shared" si="191"/>
        <v>nm</v>
      </c>
      <c r="K97" s="84" t="str">
        <f t="shared" si="191"/>
        <v>nm</v>
      </c>
      <c r="L97" s="84" t="str">
        <f t="shared" si="191"/>
        <v>nm</v>
      </c>
      <c r="M97" s="85">
        <f t="shared" si="191"/>
        <v>-1</v>
      </c>
      <c r="N97" s="84" t="str">
        <f t="shared" si="191"/>
        <v>nm</v>
      </c>
      <c r="O97" s="84" t="str">
        <f t="shared" si="191"/>
        <v>nm</v>
      </c>
      <c r="P97" s="84" t="str">
        <f t="shared" si="191"/>
        <v>nm</v>
      </c>
      <c r="Q97" s="84" t="str">
        <f t="shared" si="191"/>
        <v>nm</v>
      </c>
      <c r="R97" s="85" t="str">
        <f t="shared" si="191"/>
        <v>nm</v>
      </c>
      <c r="S97" s="84" t="str">
        <f t="shared" si="191"/>
        <v>nm</v>
      </c>
      <c r="T97" s="84" t="str">
        <f t="shared" si="191"/>
        <v>nm</v>
      </c>
      <c r="U97" s="84" t="str">
        <f t="shared" si="191"/>
        <v>nm</v>
      </c>
      <c r="V97" s="84" t="str">
        <f t="shared" si="191"/>
        <v>nm</v>
      </c>
      <c r="W97" s="85" t="str">
        <f t="shared" si="191"/>
        <v>nm</v>
      </c>
      <c r="X97" s="84" t="str">
        <f t="shared" si="191"/>
        <v>nm</v>
      </c>
      <c r="Y97" s="84" t="str">
        <f t="shared" si="191"/>
        <v>nm</v>
      </c>
      <c r="Z97" s="84" t="str">
        <f t="shared" si="191"/>
        <v>nm</v>
      </c>
      <c r="AA97" s="84" t="str">
        <f t="shared" si="191"/>
        <v>nm</v>
      </c>
      <c r="AB97" s="85" t="str">
        <f t="shared" si="191"/>
        <v>nm</v>
      </c>
      <c r="AC97" s="84" t="str">
        <f t="shared" si="191"/>
        <v>nm</v>
      </c>
      <c r="AD97" s="84" t="str">
        <f t="shared" si="191"/>
        <v>nm</v>
      </c>
      <c r="AE97" s="84" t="str">
        <f t="shared" si="191"/>
        <v>nm</v>
      </c>
      <c r="AF97" s="84" t="str">
        <f t="shared" si="191"/>
        <v>nm</v>
      </c>
      <c r="AG97" s="85" t="str">
        <f t="shared" si="191"/>
        <v>nm</v>
      </c>
      <c r="AH97" s="84" t="str">
        <f t="shared" si="191"/>
        <v>nm</v>
      </c>
      <c r="AI97" s="84" t="str">
        <f t="shared" si="191"/>
        <v>nm</v>
      </c>
      <c r="AJ97" s="84" t="str">
        <f t="shared" si="191"/>
        <v>nm</v>
      </c>
      <c r="AK97" s="84" t="str">
        <f t="shared" si="191"/>
        <v>nm</v>
      </c>
      <c r="AL97" s="85" t="str">
        <f t="shared" si="191"/>
        <v>nm</v>
      </c>
      <c r="AM97" s="84" t="str">
        <f t="shared" si="191"/>
        <v>nm</v>
      </c>
      <c r="AN97" s="84" t="str">
        <f t="shared" si="191"/>
        <v>nm</v>
      </c>
      <c r="AO97" s="84" t="str">
        <f t="shared" si="191"/>
        <v>nm</v>
      </c>
      <c r="AP97" s="84" t="str">
        <f t="shared" si="191"/>
        <v>nm</v>
      </c>
      <c r="AQ97" s="85" t="str">
        <f t="shared" si="191"/>
        <v>nm</v>
      </c>
      <c r="AR97" s="84" t="str">
        <f t="shared" si="191"/>
        <v>nm</v>
      </c>
      <c r="AS97" s="84" t="str">
        <f t="shared" si="191"/>
        <v>nm</v>
      </c>
      <c r="AT97" s="84" t="str">
        <f t="shared" si="191"/>
        <v>nm</v>
      </c>
      <c r="AU97" s="137"/>
      <c r="AV97" s="4"/>
      <c r="AW97" s="44"/>
      <c r="AX97" s="44"/>
      <c r="AY97" s="44"/>
      <c r="AZ97" s="65"/>
      <c r="BA97" s="84" t="str">
        <f t="shared" ref="BA97:BO97" si="192">IF(ISERROR(BA96/AV96-1),"nm",BA96/AV96-1)</f>
        <v>nm</v>
      </c>
      <c r="BB97" s="84" t="str">
        <f t="shared" si="192"/>
        <v>nm</v>
      </c>
      <c r="BC97" s="84" t="str">
        <f t="shared" si="192"/>
        <v>nm</v>
      </c>
      <c r="BD97" s="84" t="str">
        <f t="shared" si="192"/>
        <v>nm</v>
      </c>
      <c r="BE97" s="85" t="str">
        <f t="shared" si="192"/>
        <v>nm</v>
      </c>
      <c r="BF97" s="84" t="str">
        <f t="shared" si="192"/>
        <v>nm</v>
      </c>
      <c r="BG97" s="84" t="str">
        <f t="shared" si="192"/>
        <v>nm</v>
      </c>
      <c r="BH97" s="84" t="str">
        <f t="shared" si="192"/>
        <v>nm</v>
      </c>
      <c r="BI97" s="84" t="str">
        <f t="shared" si="192"/>
        <v>nm</v>
      </c>
      <c r="BJ97" s="85" t="str">
        <f t="shared" si="192"/>
        <v>nm</v>
      </c>
      <c r="BK97" s="510" t="str">
        <f t="shared" si="192"/>
        <v>nm</v>
      </c>
      <c r="BL97" s="510">
        <f t="shared" si="192"/>
        <v>-3.845122539818735E-2</v>
      </c>
      <c r="BM97" s="510">
        <f t="shared" si="192"/>
        <v>-1.3641886667403069E-2</v>
      </c>
      <c r="BN97" s="510">
        <f t="shared" si="192"/>
        <v>-3.3515808289577009E-3</v>
      </c>
      <c r="BO97" s="67">
        <f t="shared" si="192"/>
        <v>0.30921233190010056</v>
      </c>
      <c r="BP97" s="510">
        <f t="shared" ref="BP97:DQ97" si="193">BP96/BK96-1</f>
        <v>-4.072751617942405E-3</v>
      </c>
      <c r="BQ97" s="510">
        <f t="shared" si="193"/>
        <v>-0.15956497490239818</v>
      </c>
      <c r="BR97" s="510">
        <f t="shared" si="193"/>
        <v>-0.16193515874349063</v>
      </c>
      <c r="BS97" s="510">
        <f t="shared" si="193"/>
        <v>-0.16259387960990923</v>
      </c>
      <c r="BT97" s="67">
        <f t="shared" si="193"/>
        <v>-0.12196212703514775</v>
      </c>
      <c r="BU97" s="510">
        <f t="shared" si="193"/>
        <v>-0.16234384628312137</v>
      </c>
      <c r="BV97" s="510">
        <f t="shared" si="193"/>
        <v>-5.2425509323776875E-3</v>
      </c>
      <c r="BW97" s="510">
        <f t="shared" si="193"/>
        <v>-3.8618293579207541E-2</v>
      </c>
      <c r="BX97" s="510">
        <f t="shared" si="193"/>
        <v>-2.8445217856903793E-2</v>
      </c>
      <c r="BY97" s="67">
        <f t="shared" si="193"/>
        <v>-6.3347552046858047E-2</v>
      </c>
      <c r="BZ97" s="510">
        <f t="shared" si="193"/>
        <v>-3.1766200762388785E-2</v>
      </c>
      <c r="CA97" s="510">
        <f t="shared" si="193"/>
        <v>-7.7451634422948668E-2</v>
      </c>
      <c r="CB97" s="510">
        <f t="shared" si="193"/>
        <v>-5.9281395510459411E-2</v>
      </c>
      <c r="CC97" s="510">
        <f t="shared" si="193"/>
        <v>-6.6753926701570654E-2</v>
      </c>
      <c r="CD97" s="67">
        <f t="shared" si="193"/>
        <v>-5.8761555193039716E-2</v>
      </c>
      <c r="CE97" s="510">
        <f t="shared" si="193"/>
        <v>-6.2439563475618187E-2</v>
      </c>
      <c r="CF97" s="510">
        <f t="shared" si="193"/>
        <v>-3.0226335960662376E-2</v>
      </c>
      <c r="CG97" s="510">
        <f t="shared" si="193"/>
        <v>-8.6436170212765839E-3</v>
      </c>
      <c r="CH97" s="510">
        <f t="shared" si="193"/>
        <v>-8.1936960212593002E-3</v>
      </c>
      <c r="CI97" s="67">
        <f t="shared" si="193"/>
        <v>-2.7983390503701022E-2</v>
      </c>
      <c r="CJ97" s="510">
        <f t="shared" si="193"/>
        <v>-1.0534846029173428E-2</v>
      </c>
      <c r="CK97" s="510">
        <f t="shared" si="193"/>
        <v>1.7895757214227981E-3</v>
      </c>
      <c r="CL97" s="510">
        <f t="shared" si="193"/>
        <v>2.9808480512705238E-4</v>
      </c>
      <c r="CM97" s="510">
        <f t="shared" si="193"/>
        <v>-5.2098838940162207E-4</v>
      </c>
      <c r="CN97" s="67">
        <f t="shared" si="193"/>
        <v>-2.2659732540861732E-3</v>
      </c>
      <c r="CO97" s="510">
        <f t="shared" si="193"/>
        <v>-2.29320229320229E-2</v>
      </c>
      <c r="CP97" s="510">
        <f t="shared" si="193"/>
        <v>-2.4116114625976959E-2</v>
      </c>
      <c r="CQ97" s="510">
        <f t="shared" si="193"/>
        <v>-2.3616181181554063E-2</v>
      </c>
      <c r="CR97" s="510">
        <f t="shared" si="193"/>
        <v>-2.3084369647777159E-2</v>
      </c>
      <c r="CS97" s="67">
        <f t="shared" si="193"/>
        <v>-2.3437209129155923E-2</v>
      </c>
      <c r="CT97" s="510">
        <f t="shared" si="193"/>
        <v>1.1430313190581298E-3</v>
      </c>
      <c r="CU97" s="510">
        <f t="shared" si="193"/>
        <v>4.9576691327892775E-3</v>
      </c>
      <c r="CV97" s="510">
        <f t="shared" si="193"/>
        <v>8.3931023958492279E-3</v>
      </c>
      <c r="CW97" s="510">
        <f t="shared" si="193"/>
        <v>7.39385623904254E-3</v>
      </c>
      <c r="CX97" s="67">
        <f t="shared" si="193"/>
        <v>5.4709392096685683E-3</v>
      </c>
      <c r="CY97" s="510">
        <f t="shared" si="193"/>
        <v>3.1968336124219565E-3</v>
      </c>
      <c r="CZ97" s="510">
        <f t="shared" si="193"/>
        <v>3.0358227079529954E-4</v>
      </c>
      <c r="DA97" s="510">
        <f t="shared" si="193"/>
        <v>-2.7239709443098725E-3</v>
      </c>
      <c r="DB97" s="510">
        <f t="shared" si="193"/>
        <v>0.53556295399515741</v>
      </c>
      <c r="DC97" s="67">
        <f t="shared" si="193"/>
        <v>0.13437985818829867</v>
      </c>
      <c r="DD97" s="510">
        <f t="shared" si="193"/>
        <v>0.53740515933232169</v>
      </c>
      <c r="DE97" s="510">
        <f t="shared" si="193"/>
        <v>0.54552352048558417</v>
      </c>
      <c r="DF97" s="510">
        <f t="shared" si="193"/>
        <v>0.56995447647951436</v>
      </c>
      <c r="DG97" s="510">
        <f t="shared" si="193"/>
        <v>2.5179856115107979E-2</v>
      </c>
      <c r="DH97" s="67">
        <f t="shared" si="193"/>
        <v>0.37263094561620491</v>
      </c>
      <c r="DI97" s="510">
        <v>0.66311690102012677</v>
      </c>
      <c r="DJ97" s="510">
        <v>0.60126197549678517</v>
      </c>
      <c r="DK97" s="510">
        <v>0.52093945016022936</v>
      </c>
      <c r="DL97" s="510">
        <v>0.44667736757624388</v>
      </c>
      <c r="DM97" s="67">
        <v>0.55587391948240183</v>
      </c>
      <c r="DN97" s="510">
        <f t="shared" si="193"/>
        <v>4.3558447479122187E-2</v>
      </c>
      <c r="DO97" s="510">
        <f t="shared" si="193"/>
        <v>-1.8660207775264781E-2</v>
      </c>
      <c r="DP97" s="510">
        <f t="shared" si="193"/>
        <v>1.4909649409768688E-2</v>
      </c>
      <c r="DQ97" s="510">
        <f t="shared" si="193"/>
        <v>7.008477818500447E-3</v>
      </c>
      <c r="DR97" s="67">
        <f t="shared" ref="DR97:DW97" si="194">DR96/DM96-1</f>
        <v>1.1975490136521438E-2</v>
      </c>
      <c r="DS97" s="510">
        <f t="shared" si="194"/>
        <v>-7.6237613931968484E-2</v>
      </c>
      <c r="DT97" s="510">
        <f t="shared" si="194"/>
        <v>-2.4180146998730501E-2</v>
      </c>
      <c r="DU97" s="510">
        <f t="shared" si="194"/>
        <v>-6.1466767190043847E-2</v>
      </c>
      <c r="DV97" s="510">
        <f t="shared" si="194"/>
        <v>-3.6296161702924268E-2</v>
      </c>
      <c r="DW97" s="67">
        <f t="shared" si="194"/>
        <v>-5.0208501748853496E-2</v>
      </c>
      <c r="DX97" s="509"/>
      <c r="DY97" s="509"/>
      <c r="DZ97" s="509"/>
      <c r="EA97" s="509"/>
      <c r="EB97" s="67"/>
      <c r="EC97" s="509"/>
      <c r="ED97" s="509"/>
      <c r="EE97" s="509"/>
      <c r="EF97" s="509"/>
      <c r="EG97" s="67"/>
      <c r="EH97" s="509"/>
      <c r="EI97" s="509"/>
      <c r="EJ97" s="509"/>
      <c r="EK97" s="509"/>
      <c r="EL97" s="67"/>
    </row>
    <row r="98" spans="1:142" ht="11.25" customHeight="1">
      <c r="A98" s="192"/>
      <c r="B98" s="192"/>
      <c r="C98" s="545"/>
      <c r="D98" s="545"/>
      <c r="E98" s="545"/>
      <c r="F98" s="545"/>
      <c r="G98" s="545"/>
      <c r="H98" s="537"/>
      <c r="I98" s="545"/>
      <c r="J98" s="545"/>
      <c r="K98" s="545"/>
      <c r="L98" s="545"/>
      <c r="M98" s="537"/>
      <c r="N98" s="545"/>
      <c r="O98" s="545"/>
      <c r="P98" s="545"/>
      <c r="Q98" s="545"/>
      <c r="R98" s="537"/>
      <c r="S98" s="545"/>
      <c r="T98" s="545"/>
      <c r="U98" s="545"/>
      <c r="V98" s="545"/>
      <c r="W98" s="537"/>
      <c r="X98" s="545"/>
      <c r="Y98" s="545"/>
      <c r="Z98" s="545"/>
      <c r="AA98" s="545"/>
      <c r="AB98" s="537"/>
      <c r="AC98" s="545"/>
      <c r="AD98" s="545"/>
      <c r="AE98" s="545"/>
      <c r="AF98" s="545"/>
      <c r="AG98" s="537"/>
      <c r="AH98" s="545"/>
      <c r="AI98" s="545"/>
      <c r="AJ98" s="545"/>
      <c r="AK98" s="545"/>
      <c r="AL98" s="537"/>
      <c r="AM98" s="545"/>
      <c r="AN98" s="545"/>
      <c r="AO98" s="545"/>
      <c r="AP98" s="545"/>
      <c r="AQ98" s="537"/>
      <c r="AR98" s="538"/>
      <c r="AS98" s="538"/>
      <c r="AT98" s="538"/>
      <c r="AU98" s="137"/>
      <c r="AV98" s="539"/>
      <c r="AW98" s="545"/>
      <c r="AX98" s="545"/>
      <c r="AY98" s="545"/>
      <c r="AZ98" s="537"/>
      <c r="BA98" s="545"/>
      <c r="BB98" s="545"/>
      <c r="BC98" s="545"/>
      <c r="BD98" s="545"/>
      <c r="BE98" s="537"/>
      <c r="BF98" s="545"/>
      <c r="BG98" s="545"/>
      <c r="BH98" s="545"/>
      <c r="BI98" s="545"/>
      <c r="BJ98" s="537"/>
      <c r="BK98" s="538"/>
      <c r="BL98" s="538"/>
      <c r="BM98" s="538"/>
      <c r="BN98" s="538"/>
      <c r="BO98" s="540"/>
      <c r="BP98" s="538"/>
      <c r="BQ98" s="538"/>
      <c r="BR98" s="538"/>
      <c r="BS98" s="538"/>
      <c r="BT98" s="540"/>
      <c r="BU98" s="538"/>
      <c r="BV98" s="538"/>
      <c r="BW98" s="538"/>
      <c r="BX98" s="538"/>
      <c r="BY98" s="540"/>
      <c r="BZ98" s="538"/>
      <c r="CA98" s="538"/>
      <c r="CB98" s="538"/>
      <c r="CC98" s="538"/>
      <c r="CD98" s="540"/>
      <c r="CE98" s="538"/>
      <c r="CF98" s="538"/>
      <c r="CG98" s="538"/>
      <c r="CH98" s="538"/>
      <c r="CI98" s="540"/>
      <c r="CJ98" s="538"/>
      <c r="CK98" s="538"/>
      <c r="CL98" s="538"/>
      <c r="CM98" s="538"/>
      <c r="CN98" s="540"/>
      <c r="CO98" s="538"/>
      <c r="CP98" s="538"/>
      <c r="CQ98" s="538"/>
      <c r="CR98" s="538"/>
      <c r="CS98" s="540"/>
      <c r="CT98" s="538"/>
      <c r="CU98" s="538"/>
      <c r="CV98" s="538"/>
      <c r="CW98" s="538"/>
      <c r="CX98" s="540"/>
      <c r="CY98" s="538"/>
      <c r="CZ98" s="538"/>
      <c r="DA98" s="538"/>
      <c r="DB98" s="538"/>
      <c r="DC98" s="540"/>
      <c r="DD98" s="538"/>
      <c r="DE98" s="538"/>
      <c r="DF98" s="538"/>
      <c r="DG98" s="538"/>
      <c r="DH98" s="540"/>
      <c r="DI98" s="538"/>
      <c r="DJ98" s="538"/>
      <c r="DK98" s="538"/>
      <c r="DL98" s="538"/>
      <c r="DM98" s="540"/>
      <c r="DN98" s="538"/>
      <c r="DO98" s="538"/>
      <c r="DP98" s="538"/>
      <c r="DQ98" s="538"/>
      <c r="DR98" s="540"/>
      <c r="DS98" s="538"/>
      <c r="DT98" s="538"/>
      <c r="DU98" s="538"/>
      <c r="DV98" s="538"/>
      <c r="DW98" s="540"/>
      <c r="DX98" s="538"/>
      <c r="DY98" s="538"/>
      <c r="DZ98" s="538"/>
      <c r="EA98" s="538"/>
      <c r="EB98" s="540"/>
      <c r="EC98" s="538"/>
      <c r="ED98" s="538"/>
      <c r="EE98" s="538"/>
      <c r="EF98" s="538"/>
      <c r="EG98" s="540"/>
      <c r="EH98" s="538"/>
      <c r="EI98" s="538"/>
      <c r="EJ98" s="538"/>
      <c r="EK98" s="538"/>
      <c r="EL98" s="540"/>
    </row>
    <row r="99" spans="1:142" ht="11.25" customHeight="1">
      <c r="A99" s="159"/>
      <c r="B99" s="159" t="s">
        <v>150</v>
      </c>
      <c r="C99" s="507"/>
      <c r="D99" s="507">
        <f>IF(ISERROR(D86-D96),"nm",D86-D96)</f>
        <v>42314</v>
      </c>
      <c r="E99" s="507" t="str">
        <f>IF(ISERROR(E86-E96),"nm",E86-E96)</f>
        <v>nm</v>
      </c>
      <c r="F99" s="507" t="str">
        <f>IF(ISERROR(F86-F96),"nm",F86-F96)</f>
        <v>nm</v>
      </c>
      <c r="G99" s="507" t="str">
        <f>IF(ISERROR(G86-G96),"nm",G86-G96)</f>
        <v>nm</v>
      </c>
      <c r="H99" s="519" t="s">
        <v>89</v>
      </c>
      <c r="I99" s="507" t="str">
        <f>IF(ISERROR(I86-I96),"nm",I86-I96)</f>
        <v>nm</v>
      </c>
      <c r="J99" s="507" t="str">
        <f>IF(ISERROR(J86-J96),"nm",J86-J96)</f>
        <v>nm</v>
      </c>
      <c r="K99" s="507" t="str">
        <f>IF(ISERROR(K86-K96),"nm",K86-K96)</f>
        <v>nm</v>
      </c>
      <c r="L99" s="507" t="str">
        <f>IF(ISERROR(L86-L96),"nm",L86-L96)</f>
        <v>nm</v>
      </c>
      <c r="M99" s="519" t="s">
        <v>89</v>
      </c>
      <c r="N99" s="507" t="str">
        <f>IF(ISERROR(N86-N96),"nm",N86-N96)</f>
        <v>nm</v>
      </c>
      <c r="O99" s="507" t="str">
        <f>IF(ISERROR(O86-O96),"nm",O86-O96)</f>
        <v>nm</v>
      </c>
      <c r="P99" s="507" t="str">
        <f>IF(ISERROR(P86-P96),"nm",P86-P96)</f>
        <v>nm</v>
      </c>
      <c r="Q99" s="507" t="str">
        <f>IF(ISERROR(Q86-Q96),"nm",Q86-Q96)</f>
        <v>nm</v>
      </c>
      <c r="R99" s="519" t="s">
        <v>89</v>
      </c>
      <c r="S99" s="507" t="str">
        <f>IF(ISERROR(S86-S96),"nm",S86-S96)</f>
        <v>nm</v>
      </c>
      <c r="T99" s="507" t="str">
        <f>IF(ISERROR(T86-T96),"nm",T86-T96)</f>
        <v>nm</v>
      </c>
      <c r="U99" s="507" t="str">
        <f>IF(ISERROR(U86-U96),"nm",U86-U96)</f>
        <v>nm</v>
      </c>
      <c r="V99" s="507" t="str">
        <f>IF(ISERROR(V86-V96),"nm",V86-V96)</f>
        <v>nm</v>
      </c>
      <c r="W99" s="519" t="s">
        <v>89</v>
      </c>
      <c r="X99" s="507" t="str">
        <f>IF(ISERROR(X86-X96),"nm",X86-X96)</f>
        <v>nm</v>
      </c>
      <c r="Y99" s="507" t="str">
        <f>IF(ISERROR(Y86-Y96),"nm",Y86-Y96)</f>
        <v>nm</v>
      </c>
      <c r="Z99" s="507" t="str">
        <f>IF(ISERROR(Z86-Z96),"nm",Z86-Z96)</f>
        <v>nm</v>
      </c>
      <c r="AA99" s="507" t="str">
        <f>IF(ISERROR(AA86-AA96),"nm",AA86-AA96)</f>
        <v>nm</v>
      </c>
      <c r="AB99" s="519" t="s">
        <v>89</v>
      </c>
      <c r="AC99" s="507" t="str">
        <f>IF(ISERROR(AC86-AC96),"nm",AC86-AC96)</f>
        <v>nm</v>
      </c>
      <c r="AD99" s="507" t="str">
        <f>IF(ISERROR(AD86-AD96),"nm",AD86-AD96)</f>
        <v>nm</v>
      </c>
      <c r="AE99" s="507" t="str">
        <f>IF(ISERROR(AE86-AE96),"nm",AE86-AE96)</f>
        <v>nm</v>
      </c>
      <c r="AF99" s="507" t="str">
        <f>IF(ISERROR(AF86-AF96),"nm",AF86-AF96)</f>
        <v>nm</v>
      </c>
      <c r="AG99" s="519" t="s">
        <v>89</v>
      </c>
      <c r="AH99" s="507" t="str">
        <f>IF(ISERROR(AH86-AH96),"nm",AH86-AH96)</f>
        <v>nm</v>
      </c>
      <c r="AI99" s="507" t="str">
        <f>IF(ISERROR(AI86-AI96),"nm",AI86-AI96)</f>
        <v>nm</v>
      </c>
      <c r="AJ99" s="507" t="str">
        <f>IF(ISERROR(AJ86-AJ96),"nm",AJ86-AJ96)</f>
        <v>nm</v>
      </c>
      <c r="AK99" s="507" t="str">
        <f>IF(ISERROR(AK86-AK96),"nm",AK86-AK96)</f>
        <v>nm</v>
      </c>
      <c r="AL99" s="519" t="s">
        <v>89</v>
      </c>
      <c r="AM99" s="507" t="str">
        <f>IF(ISERROR(AM86-AM96),"nm",AM86-AM96)</f>
        <v>nm</v>
      </c>
      <c r="AN99" s="507" t="str">
        <f>IF(ISERROR(AN86-AN96),"nm",AN86-AN96)</f>
        <v>nm</v>
      </c>
      <c r="AO99" s="507" t="str">
        <f>IF(ISERROR(AO86-AO96),"nm",AO86-AO96)</f>
        <v>nm</v>
      </c>
      <c r="AP99" s="507" t="str">
        <f>IF(ISERROR(AP86-AP96),"nm",AP86-AP96)</f>
        <v>nm</v>
      </c>
      <c r="AQ99" s="519" t="s">
        <v>89</v>
      </c>
      <c r="AR99" s="507" t="str">
        <f>IF(ISERROR(AR86-AR96),"nm",AR86-AR96)</f>
        <v>nm</v>
      </c>
      <c r="AS99" s="507" t="str">
        <f>IF(ISERROR(AS86-AS96),"nm",AS86-AS96)</f>
        <v>nm</v>
      </c>
      <c r="AT99" s="507" t="str">
        <f>IF(ISERROR(AT86-AT96),"nm",AT86-AT96)</f>
        <v>nm</v>
      </c>
      <c r="AU99" s="137"/>
      <c r="AV99" s="507" t="str">
        <f>IF(ISERROR(AV86-AV96),"nm",AV86-AV96)</f>
        <v>nm</v>
      </c>
      <c r="AW99" s="507" t="str">
        <f>IF(ISERROR(AW86-AW96),"nm",AW86-AW96)</f>
        <v>nm</v>
      </c>
      <c r="AX99" s="507" t="str">
        <f>IF(ISERROR(AX86-AX96),"nm",AX86-AX96)</f>
        <v>nm</v>
      </c>
      <c r="AY99" s="507" t="str">
        <f>IF(ISERROR(AY86-AY96),"nm",AY86-AY96)</f>
        <v>nm</v>
      </c>
      <c r="AZ99" s="519" t="s">
        <v>89</v>
      </c>
      <c r="BA99" s="507" t="str">
        <f>IF(ISERROR(BA86-BA96),"nm",BA86-BA96)</f>
        <v>nm</v>
      </c>
      <c r="BB99" s="507" t="str">
        <f>IF(ISERROR(BB86-BB96),"nm",BB86-BB96)</f>
        <v>nm</v>
      </c>
      <c r="BC99" s="507" t="str">
        <f>IF(ISERROR(BC86-BC96),"nm",BC86-BC96)</f>
        <v>nm</v>
      </c>
      <c r="BD99" s="507" t="str">
        <f>IF(ISERROR(BD86-BD96),"nm",BD86-BD96)</f>
        <v>nm</v>
      </c>
      <c r="BE99" s="519" t="s">
        <v>89</v>
      </c>
      <c r="BF99" s="507" t="str">
        <f>IF(ISERROR(BF86-BF96),"nm",BF86-BF96)</f>
        <v>nm</v>
      </c>
      <c r="BG99" s="507">
        <f>IF(ISERROR(BG86-BG96),"nm",BG86-BG96)</f>
        <v>155432</v>
      </c>
      <c r="BH99" s="507">
        <f>IF(ISERROR(BH86-BH96),"nm",BH86-BH96)</f>
        <v>152607</v>
      </c>
      <c r="BI99" s="507">
        <f>IF(ISERROR(BI86-BI96),"nm",BI86-BI96)</f>
        <v>151441</v>
      </c>
      <c r="BJ99" s="519" t="s">
        <v>89</v>
      </c>
      <c r="BK99" s="90">
        <f t="shared" ref="BK99:CW99" si="195">BK86-BK96</f>
        <v>160534</v>
      </c>
      <c r="BL99" s="90">
        <f t="shared" si="195"/>
        <v>150596</v>
      </c>
      <c r="BM99" s="90">
        <f t="shared" si="195"/>
        <v>145848</v>
      </c>
      <c r="BN99" s="90">
        <f t="shared" si="195"/>
        <v>140054</v>
      </c>
      <c r="BO99" s="193">
        <f t="shared" si="195"/>
        <v>597032</v>
      </c>
      <c r="BP99" s="90">
        <f t="shared" si="195"/>
        <v>148575</v>
      </c>
      <c r="BQ99" s="90">
        <f t="shared" si="195"/>
        <v>127907</v>
      </c>
      <c r="BR99" s="90">
        <f t="shared" si="195"/>
        <v>126236</v>
      </c>
      <c r="BS99" s="90">
        <f t="shared" si="195"/>
        <v>128169</v>
      </c>
      <c r="BT99" s="193">
        <f t="shared" si="195"/>
        <v>530887</v>
      </c>
      <c r="BU99" s="90">
        <f t="shared" si="195"/>
        <v>133415</v>
      </c>
      <c r="BV99" s="90">
        <f t="shared" si="195"/>
        <v>124842</v>
      </c>
      <c r="BW99" s="90">
        <f t="shared" si="195"/>
        <v>121984</v>
      </c>
      <c r="BX99" s="90">
        <f t="shared" si="195"/>
        <v>124933</v>
      </c>
      <c r="BY99" s="193">
        <f t="shared" si="195"/>
        <v>505174</v>
      </c>
      <c r="BZ99" s="90">
        <f t="shared" si="195"/>
        <v>131579</v>
      </c>
      <c r="CA99" s="90">
        <f t="shared" si="195"/>
        <v>120154</v>
      </c>
      <c r="CB99" s="90">
        <f t="shared" si="195"/>
        <v>117009</v>
      </c>
      <c r="CC99" s="90">
        <f t="shared" si="195"/>
        <v>118146</v>
      </c>
      <c r="CD99" s="193">
        <f t="shared" si="195"/>
        <v>486888</v>
      </c>
      <c r="CE99" s="90">
        <f t="shared" si="195"/>
        <v>123192</v>
      </c>
      <c r="CF99" s="90">
        <f t="shared" si="195"/>
        <v>116897</v>
      </c>
      <c r="CG99" s="90">
        <f t="shared" si="195"/>
        <v>116839</v>
      </c>
      <c r="CH99" s="90">
        <f t="shared" si="195"/>
        <v>116195</v>
      </c>
      <c r="CI99" s="193">
        <f t="shared" si="195"/>
        <v>473123</v>
      </c>
      <c r="CJ99" s="90">
        <f t="shared" si="195"/>
        <v>119168</v>
      </c>
      <c r="CK99" s="90">
        <f t="shared" si="195"/>
        <v>114316</v>
      </c>
      <c r="CL99" s="90">
        <f t="shared" si="195"/>
        <v>112222</v>
      </c>
      <c r="CM99" s="90">
        <f t="shared" si="195"/>
        <v>113548</v>
      </c>
      <c r="CN99" s="193">
        <f t="shared" si="195"/>
        <v>459254</v>
      </c>
      <c r="CO99" s="90">
        <f t="shared" si="195"/>
        <v>118314</v>
      </c>
      <c r="CP99" s="90">
        <f t="shared" si="195"/>
        <v>112481</v>
      </c>
      <c r="CQ99" s="90">
        <f t="shared" si="195"/>
        <v>112352</v>
      </c>
      <c r="CR99" s="90">
        <f t="shared" si="195"/>
        <v>112228</v>
      </c>
      <c r="CS99" s="193">
        <f t="shared" si="195"/>
        <v>455375</v>
      </c>
      <c r="CT99" s="90">
        <f t="shared" si="195"/>
        <v>118052</v>
      </c>
      <c r="CU99" s="90">
        <f t="shared" si="195"/>
        <v>111960</v>
      </c>
      <c r="CV99" s="90">
        <f t="shared" si="195"/>
        <v>111653</v>
      </c>
      <c r="CW99" s="90">
        <f t="shared" si="195"/>
        <v>112074</v>
      </c>
      <c r="CX99" s="193">
        <f>SUM(CT99:CW99)</f>
        <v>453739</v>
      </c>
      <c r="CY99" s="90">
        <f>CY86-CY96</f>
        <v>112749</v>
      </c>
      <c r="CZ99" s="90">
        <f>CZ86-CZ96</f>
        <v>107542</v>
      </c>
      <c r="DA99" s="90">
        <f>DA86-DA96</f>
        <v>108389</v>
      </c>
      <c r="DB99" s="90">
        <f>DB86-DB96</f>
        <v>170212</v>
      </c>
      <c r="DC99" s="193">
        <f>SUM(CY99:DB99)</f>
        <v>498892</v>
      </c>
      <c r="DD99" s="90">
        <f>DD86-DD96</f>
        <v>174010</v>
      </c>
      <c r="DE99" s="90">
        <f>DE86-DE96</f>
        <v>174271</v>
      </c>
      <c r="DF99" s="90">
        <f>DF86-DF96</f>
        <v>179222</v>
      </c>
      <c r="DG99" s="90">
        <f>DG86-DG96</f>
        <v>181532</v>
      </c>
      <c r="DH99" s="193">
        <f>SUM(DD99:DG99)</f>
        <v>709035</v>
      </c>
      <c r="DI99" s="90">
        <f>DI86-DI96</f>
        <v>15305</v>
      </c>
      <c r="DJ99" s="90">
        <f>DJ86-DJ96</f>
        <v>14879</v>
      </c>
      <c r="DK99" s="90">
        <f>DK86-DK96</f>
        <v>21517</v>
      </c>
      <c r="DL99" s="90">
        <f>DL86-DL96</f>
        <v>31638</v>
      </c>
      <c r="DM99" s="193">
        <f>SUM(DI99:DL99)</f>
        <v>83339</v>
      </c>
      <c r="DN99" s="90">
        <f>DN86-DN96</f>
        <v>10363</v>
      </c>
      <c r="DO99" s="90">
        <f>DO86-DO96</f>
        <v>10359</v>
      </c>
      <c r="DP99" s="90">
        <f>DP86-DP96</f>
        <v>11300</v>
      </c>
      <c r="DQ99" s="90">
        <f>DQ86-DQ96</f>
        <v>10484</v>
      </c>
      <c r="DR99" s="193">
        <f>SUM(DN99:DQ99)</f>
        <v>42506</v>
      </c>
      <c r="DS99" s="90">
        <f>DS86-DS96</f>
        <v>10103</v>
      </c>
      <c r="DT99" s="90">
        <f>DT86-DT96</f>
        <v>10372</v>
      </c>
      <c r="DU99" s="90">
        <f>DU86-DU96</f>
        <v>10179</v>
      </c>
      <c r="DV99" s="90">
        <f>DV86-DV96</f>
        <v>9852</v>
      </c>
      <c r="DW99" s="193">
        <f>SUM(DS99:DV99)</f>
        <v>40506</v>
      </c>
      <c r="DX99" s="171"/>
      <c r="DY99" s="171"/>
      <c r="DZ99" s="171"/>
      <c r="EA99" s="171"/>
      <c r="EB99" s="193"/>
      <c r="EC99" s="171"/>
      <c r="ED99" s="171"/>
      <c r="EE99" s="171"/>
      <c r="EF99" s="171"/>
      <c r="EG99" s="193"/>
      <c r="EH99" s="171"/>
      <c r="EI99" s="171"/>
      <c r="EJ99" s="171"/>
      <c r="EK99" s="171"/>
      <c r="EL99" s="193"/>
    </row>
    <row r="100" spans="1:142" ht="11.25" customHeight="1">
      <c r="A100" s="511"/>
      <c r="B100" s="511" t="s">
        <v>133</v>
      </c>
      <c r="C100" s="163"/>
      <c r="D100" s="163"/>
      <c r="E100" s="163"/>
      <c r="F100" s="163"/>
      <c r="G100" s="163"/>
      <c r="H100" s="85"/>
      <c r="I100" s="84" t="str">
        <f t="shared" ref="I100:AT100" si="196">IF(ISERROR(I99/D99-1),"nm",I99/D99-1)</f>
        <v>nm</v>
      </c>
      <c r="J100" s="84" t="str">
        <f t="shared" si="196"/>
        <v>nm</v>
      </c>
      <c r="K100" s="84" t="str">
        <f t="shared" si="196"/>
        <v>nm</v>
      </c>
      <c r="L100" s="84" t="str">
        <f t="shared" si="196"/>
        <v>nm</v>
      </c>
      <c r="M100" s="85" t="str">
        <f t="shared" si="196"/>
        <v>nm</v>
      </c>
      <c r="N100" s="84" t="str">
        <f t="shared" si="196"/>
        <v>nm</v>
      </c>
      <c r="O100" s="84" t="str">
        <f t="shared" si="196"/>
        <v>nm</v>
      </c>
      <c r="P100" s="84" t="str">
        <f t="shared" si="196"/>
        <v>nm</v>
      </c>
      <c r="Q100" s="84" t="str">
        <f t="shared" si="196"/>
        <v>nm</v>
      </c>
      <c r="R100" s="85" t="str">
        <f t="shared" si="196"/>
        <v>nm</v>
      </c>
      <c r="S100" s="84" t="str">
        <f t="shared" si="196"/>
        <v>nm</v>
      </c>
      <c r="T100" s="84" t="str">
        <f t="shared" si="196"/>
        <v>nm</v>
      </c>
      <c r="U100" s="84" t="str">
        <f t="shared" si="196"/>
        <v>nm</v>
      </c>
      <c r="V100" s="84" t="str">
        <f t="shared" si="196"/>
        <v>nm</v>
      </c>
      <c r="W100" s="85" t="str">
        <f t="shared" si="196"/>
        <v>nm</v>
      </c>
      <c r="X100" s="84" t="str">
        <f t="shared" si="196"/>
        <v>nm</v>
      </c>
      <c r="Y100" s="84" t="str">
        <f t="shared" si="196"/>
        <v>nm</v>
      </c>
      <c r="Z100" s="84" t="str">
        <f t="shared" si="196"/>
        <v>nm</v>
      </c>
      <c r="AA100" s="84" t="str">
        <f t="shared" si="196"/>
        <v>nm</v>
      </c>
      <c r="AB100" s="85" t="str">
        <f t="shared" si="196"/>
        <v>nm</v>
      </c>
      <c r="AC100" s="84" t="str">
        <f t="shared" si="196"/>
        <v>nm</v>
      </c>
      <c r="AD100" s="84" t="str">
        <f t="shared" si="196"/>
        <v>nm</v>
      </c>
      <c r="AE100" s="84" t="str">
        <f t="shared" si="196"/>
        <v>nm</v>
      </c>
      <c r="AF100" s="84" t="str">
        <f t="shared" si="196"/>
        <v>nm</v>
      </c>
      <c r="AG100" s="85" t="str">
        <f t="shared" si="196"/>
        <v>nm</v>
      </c>
      <c r="AH100" s="84" t="str">
        <f t="shared" si="196"/>
        <v>nm</v>
      </c>
      <c r="AI100" s="84" t="str">
        <f t="shared" si="196"/>
        <v>nm</v>
      </c>
      <c r="AJ100" s="84" t="str">
        <f t="shared" si="196"/>
        <v>nm</v>
      </c>
      <c r="AK100" s="84" t="str">
        <f t="shared" si="196"/>
        <v>nm</v>
      </c>
      <c r="AL100" s="85" t="str">
        <f t="shared" si="196"/>
        <v>nm</v>
      </c>
      <c r="AM100" s="84" t="str">
        <f t="shared" si="196"/>
        <v>nm</v>
      </c>
      <c r="AN100" s="84" t="str">
        <f t="shared" si="196"/>
        <v>nm</v>
      </c>
      <c r="AO100" s="84" t="str">
        <f t="shared" si="196"/>
        <v>nm</v>
      </c>
      <c r="AP100" s="84" t="str">
        <f t="shared" si="196"/>
        <v>nm</v>
      </c>
      <c r="AQ100" s="85" t="str">
        <f t="shared" si="196"/>
        <v>nm</v>
      </c>
      <c r="AR100" s="84" t="str">
        <f t="shared" si="196"/>
        <v>nm</v>
      </c>
      <c r="AS100" s="84" t="str">
        <f t="shared" si="196"/>
        <v>nm</v>
      </c>
      <c r="AT100" s="84" t="str">
        <f t="shared" si="196"/>
        <v>nm</v>
      </c>
      <c r="AU100" s="137"/>
      <c r="AV100" s="4"/>
      <c r="AW100" s="44"/>
      <c r="AX100" s="44"/>
      <c r="AY100" s="44"/>
      <c r="AZ100" s="65"/>
      <c r="BA100" s="84" t="str">
        <f t="shared" ref="BA100:BN100" si="197">IF(ISERROR(BA99/AV99-1),"nm",BA99/AV99-1)</f>
        <v>nm</v>
      </c>
      <c r="BB100" s="84" t="str">
        <f t="shared" si="197"/>
        <v>nm</v>
      </c>
      <c r="BC100" s="84" t="str">
        <f t="shared" si="197"/>
        <v>nm</v>
      </c>
      <c r="BD100" s="84" t="str">
        <f t="shared" si="197"/>
        <v>nm</v>
      </c>
      <c r="BE100" s="85" t="str">
        <f t="shared" si="197"/>
        <v>nm</v>
      </c>
      <c r="BF100" s="84" t="str">
        <f t="shared" si="197"/>
        <v>nm</v>
      </c>
      <c r="BG100" s="84" t="str">
        <f t="shared" si="197"/>
        <v>nm</v>
      </c>
      <c r="BH100" s="84" t="str">
        <f t="shared" si="197"/>
        <v>nm</v>
      </c>
      <c r="BI100" s="84" t="str">
        <f t="shared" si="197"/>
        <v>nm</v>
      </c>
      <c r="BJ100" s="85" t="str">
        <f t="shared" si="197"/>
        <v>nm</v>
      </c>
      <c r="BK100" s="510" t="str">
        <f t="shared" si="197"/>
        <v>nm</v>
      </c>
      <c r="BL100" s="510">
        <f t="shared" si="197"/>
        <v>-3.1113284265788299E-2</v>
      </c>
      <c r="BM100" s="510">
        <f t="shared" si="197"/>
        <v>-4.4290235703473679E-2</v>
      </c>
      <c r="BN100" s="510">
        <f t="shared" si="197"/>
        <v>-7.5190998474653492E-2</v>
      </c>
      <c r="BO100" s="67" t="str">
        <f>IF(ISERROR(BO99/BJ99-1),"NM",BO99/BJ99-1)</f>
        <v>NM</v>
      </c>
      <c r="BP100" s="510">
        <f t="shared" ref="BP100:DQ100" si="198">BP99/BK99-1</f>
        <v>-7.4495122528560942E-2</v>
      </c>
      <c r="BQ100" s="510">
        <f t="shared" si="198"/>
        <v>-0.15066137214799857</v>
      </c>
      <c r="BR100" s="510">
        <f t="shared" si="198"/>
        <v>-0.13446876199879332</v>
      </c>
      <c r="BS100" s="510">
        <f t="shared" si="198"/>
        <v>-8.4860125380210483E-2</v>
      </c>
      <c r="BT100" s="67">
        <f t="shared" si="198"/>
        <v>-0.11078970641439656</v>
      </c>
      <c r="BU100" s="510">
        <f t="shared" si="198"/>
        <v>-0.10203600874978969</v>
      </c>
      <c r="BV100" s="510">
        <f t="shared" si="198"/>
        <v>-2.396272291586854E-2</v>
      </c>
      <c r="BW100" s="510">
        <f t="shared" si="198"/>
        <v>-3.36829430590323E-2</v>
      </c>
      <c r="BX100" s="510">
        <f t="shared" si="198"/>
        <v>-2.5247914862408183E-2</v>
      </c>
      <c r="BY100" s="67">
        <f t="shared" si="198"/>
        <v>-4.8434035868273329E-2</v>
      </c>
      <c r="BZ100" s="510">
        <f t="shared" si="198"/>
        <v>-1.376157103773934E-2</v>
      </c>
      <c r="CA100" s="510">
        <f t="shared" si="198"/>
        <v>-3.7551465051825494E-2</v>
      </c>
      <c r="CB100" s="510">
        <f t="shared" si="198"/>
        <v>-4.0784037250786942E-2</v>
      </c>
      <c r="CC100" s="510">
        <f t="shared" si="198"/>
        <v>-5.4325118263389149E-2</v>
      </c>
      <c r="CD100" s="67">
        <f t="shared" si="198"/>
        <v>-3.6197429004659831E-2</v>
      </c>
      <c r="CE100" s="510">
        <f t="shared" si="198"/>
        <v>-6.3741174503530229E-2</v>
      </c>
      <c r="CF100" s="510">
        <f t="shared" si="198"/>
        <v>-2.710687950463575E-2</v>
      </c>
      <c r="CG100" s="510">
        <f t="shared" si="198"/>
        <v>-1.4528796930151078E-3</v>
      </c>
      <c r="CH100" s="510">
        <f t="shared" si="198"/>
        <v>-1.6513466389044051E-2</v>
      </c>
      <c r="CI100" s="67">
        <f t="shared" si="198"/>
        <v>-2.8271388902581296E-2</v>
      </c>
      <c r="CJ100" s="510">
        <f t="shared" si="198"/>
        <v>-3.2664458731086476E-2</v>
      </c>
      <c r="CK100" s="510">
        <f t="shared" si="198"/>
        <v>-2.2079266362695416E-2</v>
      </c>
      <c r="CL100" s="510">
        <f t="shared" si="198"/>
        <v>-3.9515915062607543E-2</v>
      </c>
      <c r="CM100" s="510">
        <f t="shared" si="198"/>
        <v>-2.2780670424717098E-2</v>
      </c>
      <c r="CN100" s="67">
        <f t="shared" si="198"/>
        <v>-2.9313730256191328E-2</v>
      </c>
      <c r="CO100" s="510">
        <f t="shared" si="198"/>
        <v>-7.1663533834586124E-3</v>
      </c>
      <c r="CP100" s="510">
        <f t="shared" si="198"/>
        <v>-1.6051996221001397E-2</v>
      </c>
      <c r="CQ100" s="510">
        <f t="shared" si="198"/>
        <v>1.1584181354815648E-3</v>
      </c>
      <c r="CR100" s="510">
        <f t="shared" si="198"/>
        <v>-1.1625039630816958E-2</v>
      </c>
      <c r="CS100" s="67">
        <f t="shared" si="198"/>
        <v>-8.4463064012507694E-3</v>
      </c>
      <c r="CT100" s="510">
        <f t="shared" si="198"/>
        <v>-2.214446303903217E-3</v>
      </c>
      <c r="CU100" s="510">
        <f t="shared" si="198"/>
        <v>-4.6318933864385459E-3</v>
      </c>
      <c r="CV100" s="510">
        <f t="shared" si="198"/>
        <v>-6.221518086015343E-3</v>
      </c>
      <c r="CW100" s="510">
        <f t="shared" si="198"/>
        <v>-1.3722065794632421E-3</v>
      </c>
      <c r="CX100" s="67">
        <f t="shared" si="198"/>
        <v>-3.5926434257480544E-3</v>
      </c>
      <c r="CY100" s="510">
        <f t="shared" si="198"/>
        <v>-4.4920882323044031E-2</v>
      </c>
      <c r="CZ100" s="510">
        <f t="shared" si="198"/>
        <v>-3.9460521614862465E-2</v>
      </c>
      <c r="DA100" s="510">
        <f t="shared" si="198"/>
        <v>-2.9233428568869568E-2</v>
      </c>
      <c r="DB100" s="510">
        <f t="shared" si="198"/>
        <v>0.51874654246301555</v>
      </c>
      <c r="DC100" s="67">
        <f t="shared" si="198"/>
        <v>9.9513156241804124E-2</v>
      </c>
      <c r="DD100" s="510">
        <f t="shared" si="198"/>
        <v>0.54333963050670064</v>
      </c>
      <c r="DE100" s="510">
        <f t="shared" si="198"/>
        <v>0.62049245876029824</v>
      </c>
      <c r="DF100" s="510">
        <f t="shared" si="198"/>
        <v>0.65350727472344983</v>
      </c>
      <c r="DG100" s="510">
        <f t="shared" si="198"/>
        <v>6.650529927384663E-2</v>
      </c>
      <c r="DH100" s="67">
        <f t="shared" si="198"/>
        <v>0.42121942223968323</v>
      </c>
      <c r="DI100" s="510">
        <v>-0.80430640974823864</v>
      </c>
      <c r="DJ100" s="510">
        <v>-0.80885149023638236</v>
      </c>
      <c r="DK100" s="510">
        <v>-0.73544888976319867</v>
      </c>
      <c r="DL100" s="510">
        <v>-0.59176453940851848</v>
      </c>
      <c r="DM100" s="67">
        <f t="shared" si="198"/>
        <v>-0.88246137355701759</v>
      </c>
      <c r="DN100" s="510">
        <f t="shared" si="198"/>
        <v>-0.3229010127409343</v>
      </c>
      <c r="DO100" s="510">
        <f t="shared" si="198"/>
        <v>-0.30378385644196515</v>
      </c>
      <c r="DP100" s="510">
        <f t="shared" si="198"/>
        <v>-0.47483385230283037</v>
      </c>
      <c r="DQ100" s="510">
        <f t="shared" si="198"/>
        <v>-0.66862633541943239</v>
      </c>
      <c r="DR100" s="67">
        <f t="shared" ref="DR100:DW100" si="199">DR99/DM99-1</f>
        <v>-0.48996268253758746</v>
      </c>
      <c r="DS100" s="510">
        <f t="shared" si="199"/>
        <v>-2.5089259866833968E-2</v>
      </c>
      <c r="DT100" s="510">
        <f t="shared" si="199"/>
        <v>1.2549473887439877E-3</v>
      </c>
      <c r="DU100" s="510">
        <f t="shared" si="199"/>
        <v>-9.9203539823008891E-2</v>
      </c>
      <c r="DV100" s="510">
        <f t="shared" si="199"/>
        <v>-6.0282334986646369E-2</v>
      </c>
      <c r="DW100" s="67">
        <f t="shared" si="199"/>
        <v>-4.7052180868583204E-2</v>
      </c>
      <c r="DX100" s="509"/>
      <c r="DY100" s="509"/>
      <c r="DZ100" s="509"/>
      <c r="EA100" s="509"/>
      <c r="EB100" s="67"/>
      <c r="EC100" s="509"/>
      <c r="ED100" s="509"/>
      <c r="EE100" s="509"/>
      <c r="EF100" s="509"/>
      <c r="EG100" s="67"/>
      <c r="EH100" s="509"/>
      <c r="EI100" s="509"/>
      <c r="EJ100" s="509"/>
      <c r="EK100" s="509"/>
      <c r="EL100" s="67"/>
    </row>
    <row r="101" spans="1:142" ht="11.25" customHeight="1">
      <c r="A101" s="159"/>
      <c r="B101" s="159" t="s">
        <v>151</v>
      </c>
      <c r="C101" s="458"/>
      <c r="D101" s="458">
        <f>IF(ISERROR(D96/D86),"nm",D96/D86)</f>
        <v>0.13782142711601938</v>
      </c>
      <c r="E101" s="458" t="str">
        <f>IF(ISERROR(E96/E86),"nm",E96/E86)</f>
        <v>nm</v>
      </c>
      <c r="F101" s="458" t="str">
        <f>IF(ISERROR(F96/F86),"nm",F96/F86)</f>
        <v>nm</v>
      </c>
      <c r="G101" s="458" t="str">
        <f>IF(ISERROR(G96/G86),"nm",G96/G86)</f>
        <v>nm</v>
      </c>
      <c r="H101" s="462" t="s">
        <v>89</v>
      </c>
      <c r="I101" s="458" t="str">
        <f>IF(ISERROR(I96/I86),"nm",I96/I86)</f>
        <v>nm</v>
      </c>
      <c r="J101" s="458" t="str">
        <f>IF(ISERROR(J96/J86),"nm",J96/J86)</f>
        <v>nm</v>
      </c>
      <c r="K101" s="458" t="str">
        <f>IF(ISERROR(K96/K86),"nm",K96/K86)</f>
        <v>nm</v>
      </c>
      <c r="L101" s="458" t="str">
        <f>IF(ISERROR(L96/L86),"nm",L96/L86)</f>
        <v>nm</v>
      </c>
      <c r="M101" s="462" t="s">
        <v>89</v>
      </c>
      <c r="N101" s="458" t="str">
        <f>IF(ISERROR(N96/N86),"nm",N96/N86)</f>
        <v>nm</v>
      </c>
      <c r="O101" s="458" t="str">
        <f>IF(ISERROR(O96/O86),"nm",O96/O86)</f>
        <v>nm</v>
      </c>
      <c r="P101" s="458" t="str">
        <f>IF(ISERROR(P96/P86),"nm",P96/P86)</f>
        <v>nm</v>
      </c>
      <c r="Q101" s="458" t="str">
        <f>IF(ISERROR(Q96/Q86),"nm",Q96/Q86)</f>
        <v>nm</v>
      </c>
      <c r="R101" s="462" t="s">
        <v>89</v>
      </c>
      <c r="S101" s="458" t="str">
        <f>IF(ISERROR(S96/S86),"nm",S96/S86)</f>
        <v>nm</v>
      </c>
      <c r="T101" s="458" t="str">
        <f>IF(ISERROR(T96/T86),"nm",T96/T86)</f>
        <v>nm</v>
      </c>
      <c r="U101" s="458" t="str">
        <f>IF(ISERROR(U96/U86),"nm",U96/U86)</f>
        <v>nm</v>
      </c>
      <c r="V101" s="458" t="str">
        <f>IF(ISERROR(V96/V86),"nm",V96/V86)</f>
        <v>nm</v>
      </c>
      <c r="W101" s="462" t="s">
        <v>89</v>
      </c>
      <c r="X101" s="458" t="str">
        <f>IF(ISERROR(X96/X86),"nm",X96/X86)</f>
        <v>nm</v>
      </c>
      <c r="Y101" s="458" t="str">
        <f>IF(ISERROR(Y96/Y86),"nm",Y96/Y86)</f>
        <v>nm</v>
      </c>
      <c r="Z101" s="458" t="str">
        <f>IF(ISERROR(Z96/Z86),"nm",Z96/Z86)</f>
        <v>nm</v>
      </c>
      <c r="AA101" s="458" t="str">
        <f>IF(ISERROR(AA96/AA86),"nm",AA96/AA86)</f>
        <v>nm</v>
      </c>
      <c r="AB101" s="462" t="s">
        <v>89</v>
      </c>
      <c r="AC101" s="458" t="str">
        <f>IF(ISERROR(AC96/AC86),"nm",AC96/AC86)</f>
        <v>nm</v>
      </c>
      <c r="AD101" s="458" t="str">
        <f>IF(ISERROR(AD96/AD86),"nm",AD96/AD86)</f>
        <v>nm</v>
      </c>
      <c r="AE101" s="458" t="str">
        <f>IF(ISERROR(AE96/AE86),"nm",AE96/AE86)</f>
        <v>nm</v>
      </c>
      <c r="AF101" s="458" t="str">
        <f>IF(ISERROR(AF96/AF86),"nm",AF96/AF86)</f>
        <v>nm</v>
      </c>
      <c r="AG101" s="462" t="s">
        <v>89</v>
      </c>
      <c r="AH101" s="458" t="str">
        <f>IF(ISERROR(AH96/AH86),"nm",AH96/AH86)</f>
        <v>nm</v>
      </c>
      <c r="AI101" s="458" t="str">
        <f>IF(ISERROR(AI96/AI86),"nm",AI96/AI86)</f>
        <v>nm</v>
      </c>
      <c r="AJ101" s="458" t="str">
        <f>IF(ISERROR(AJ96/AJ86),"nm",AJ96/AJ86)</f>
        <v>nm</v>
      </c>
      <c r="AK101" s="458" t="str">
        <f>IF(ISERROR(AK96/AK86),"nm",AK96/AK86)</f>
        <v>nm</v>
      </c>
      <c r="AL101" s="462" t="s">
        <v>89</v>
      </c>
      <c r="AM101" s="458" t="str">
        <f>IF(ISERROR(AM96/AM86),"nm",AM96/AM86)</f>
        <v>nm</v>
      </c>
      <c r="AN101" s="458" t="str">
        <f>IF(ISERROR(AN96/AN86),"nm",AN96/AN86)</f>
        <v>nm</v>
      </c>
      <c r="AO101" s="458" t="str">
        <f>IF(ISERROR(AO96/AO86),"nm",AO96/AO86)</f>
        <v>nm</v>
      </c>
      <c r="AP101" s="458" t="str">
        <f>IF(ISERROR(AP96/AP86),"nm",AP96/AP86)</f>
        <v>nm</v>
      </c>
      <c r="AQ101" s="462" t="s">
        <v>89</v>
      </c>
      <c r="AR101" s="458" t="str">
        <f>IF(ISERROR(AR96/AR86),"nm",AR96/AR86)</f>
        <v>nm</v>
      </c>
      <c r="AS101" s="458" t="str">
        <f>IF(ISERROR(AS96/AS86),"nm",AS96/AS86)</f>
        <v>nm</v>
      </c>
      <c r="AT101" s="458" t="str">
        <f>IF(ISERROR(AT96/AT86),"nm",AT96/AT86)</f>
        <v>nm</v>
      </c>
      <c r="AU101" s="137"/>
      <c r="AV101" s="458" t="str">
        <f>IF(ISERROR(AV96/AV86),"nm",AV96/AV86)</f>
        <v>nm</v>
      </c>
      <c r="AW101" s="458" t="str">
        <f>IF(ISERROR(AW96/AW86),"nm",AW96/AW86)</f>
        <v>nm</v>
      </c>
      <c r="AX101" s="458" t="str">
        <f>IF(ISERROR(AX96/AX86),"nm",AX96/AX86)</f>
        <v>nm</v>
      </c>
      <c r="AY101" s="458" t="str">
        <f>IF(ISERROR(AY96/AY86),"nm",AY96/AY86)</f>
        <v>nm</v>
      </c>
      <c r="AZ101" s="462" t="s">
        <v>89</v>
      </c>
      <c r="BA101" s="458" t="str">
        <f>IF(ISERROR(BA96/BA86),"nm",BA96/BA86)</f>
        <v>nm</v>
      </c>
      <c r="BB101" s="458" t="str">
        <f>IF(ISERROR(BB96/BB86),"nm",BB96/BB86)</f>
        <v>nm</v>
      </c>
      <c r="BC101" s="458" t="str">
        <f>IF(ISERROR(BC96/BC86),"nm",BC96/BC86)</f>
        <v>nm</v>
      </c>
      <c r="BD101" s="458" t="str">
        <f>IF(ISERROR(BD96/BD86),"nm",BD96/BD86)</f>
        <v>nm</v>
      </c>
      <c r="BE101" s="462" t="s">
        <v>89</v>
      </c>
      <c r="BF101" s="458" t="str">
        <f>IF(ISERROR(BF96/BF86),"nm",BF96/BF86)</f>
        <v>nm</v>
      </c>
      <c r="BG101" s="458">
        <f>IF(ISERROR(BG96/BG86),"nm",BG96/BG86)</f>
        <v>0.10711803261737488</v>
      </c>
      <c r="BH101" s="458">
        <f>IF(ISERROR(BH96/BH86),"nm",BH96/BH86)</f>
        <v>0.10606104983217447</v>
      </c>
      <c r="BI101" s="458">
        <f>IF(ISERROR(BI96/BI86),"nm",BI96/BI86)</f>
        <v>0.10571443756163526</v>
      </c>
      <c r="BJ101" s="462" t="s">
        <v>89</v>
      </c>
      <c r="BK101" s="177">
        <f t="shared" ref="BK101:BS101" si="200">BK96/BK86</f>
        <v>0.10043819834358785</v>
      </c>
      <c r="BL101" s="177">
        <f t="shared" si="200"/>
        <v>0.1063930788127648</v>
      </c>
      <c r="BM101" s="177">
        <f t="shared" si="200"/>
        <v>0.10909124228041563</v>
      </c>
      <c r="BN101" s="177">
        <f t="shared" si="200"/>
        <v>0.11299842934589857</v>
      </c>
      <c r="BO101" s="540">
        <f t="shared" si="200"/>
        <v>0.10702421674366985</v>
      </c>
      <c r="BP101" s="177">
        <f t="shared" si="200"/>
        <v>0.10726088471753212</v>
      </c>
      <c r="BQ101" s="177">
        <f t="shared" si="200"/>
        <v>0.10539531110116383</v>
      </c>
      <c r="BR101" s="177">
        <f t="shared" si="200"/>
        <v>0.10599633152270135</v>
      </c>
      <c r="BS101" s="177">
        <f t="shared" si="200"/>
        <v>0.10440220809167773</v>
      </c>
      <c r="BT101" s="540"/>
      <c r="BU101" s="177">
        <f>BU96/BU86</f>
        <v>0.10078318774937992</v>
      </c>
      <c r="BV101" s="177">
        <f>BV96/BV86</f>
        <v>0.10720006865381315</v>
      </c>
      <c r="BW101" s="177">
        <f>BW96/BW86</f>
        <v>0.10551208816994566</v>
      </c>
      <c r="BX101" s="177">
        <f>BX96/BX86</f>
        <v>0.1040954040545289</v>
      </c>
      <c r="BY101" s="540"/>
      <c r="BZ101" s="177">
        <f>BZ96/BZ86</f>
        <v>9.9125683808376178E-2</v>
      </c>
      <c r="CA101" s="177">
        <f>CA96/CA86</f>
        <v>0.10321458692520694</v>
      </c>
      <c r="CB101" s="177">
        <f>CB96/CB86</f>
        <v>0.10368838331609789</v>
      </c>
      <c r="CC101" s="177">
        <f>CC96/CC86</f>
        <v>0.10286803398813908</v>
      </c>
      <c r="CD101" s="540"/>
      <c r="CE101" s="177">
        <f>CE96/CE86</f>
        <v>9.9249813550151347E-2</v>
      </c>
      <c r="CF101" s="177">
        <f>CF96/CF86</f>
        <v>0.10291770267366547</v>
      </c>
      <c r="CG101" s="177">
        <f>CG96/CG86</f>
        <v>0.10301862457584179</v>
      </c>
      <c r="CH101" s="177">
        <f>CH96/CH86</f>
        <v>0.10364804714921586</v>
      </c>
      <c r="CI101" s="540"/>
      <c r="CJ101" s="177">
        <f>CJ96/CJ86</f>
        <v>0.10129035663919034</v>
      </c>
      <c r="CK101" s="177">
        <f>CK96/CK86</f>
        <v>0.10516551729536364</v>
      </c>
      <c r="CL101" s="177">
        <f>CL96/CL86</f>
        <v>0.10683274304588324</v>
      </c>
      <c r="CM101" s="177">
        <f>CM96/CM86</f>
        <v>0.10575931074131535</v>
      </c>
      <c r="CN101" s="540"/>
      <c r="CO101" s="177">
        <f>CO96/CO86</f>
        <v>9.9842510099895768E-2</v>
      </c>
      <c r="CP101" s="177">
        <f>CP96/CP86</f>
        <v>0.10439359194853175</v>
      </c>
      <c r="CQ101" s="177">
        <f>CQ96/CQ86</f>
        <v>0.10446523936297407</v>
      </c>
      <c r="CR101" s="177">
        <f>CR96/CR86</f>
        <v>0.10466145978762954</v>
      </c>
      <c r="CS101" s="540"/>
      <c r="CT101" s="177">
        <f>CT96/CT86</f>
        <v>0.10014482811189877</v>
      </c>
      <c r="CU101" s="177">
        <f>CU96/CU86</f>
        <v>0.10529344073647871</v>
      </c>
      <c r="CV101" s="177">
        <f>CV96/CV86</f>
        <v>0.1058389191873083</v>
      </c>
      <c r="CW101" s="177">
        <f>CW96/CW86</f>
        <v>0.10548327879319978</v>
      </c>
      <c r="CX101" s="540"/>
      <c r="CY101" s="177">
        <f>CY96/CY86</f>
        <v>0.10466215089455169</v>
      </c>
      <c r="CZ101" s="177">
        <f>CZ96/CZ86</f>
        <v>0.10917645499577541</v>
      </c>
      <c r="DA101" s="177">
        <f>DA96/DA86</f>
        <v>0.10841579679030015</v>
      </c>
      <c r="DB101" s="177">
        <f>DB96/DB86</f>
        <v>0.10652682855133172</v>
      </c>
      <c r="DC101" s="540"/>
      <c r="DD101" s="177">
        <f>DD96/DD86</f>
        <v>0.10430167856572967</v>
      </c>
      <c r="DE101" s="177">
        <f>DE96/DE86</f>
        <v>0.10465420954475162</v>
      </c>
      <c r="DF101" s="177">
        <f>DF96/DF86</f>
        <v>0.10350450693798333</v>
      </c>
      <c r="DG101" s="177">
        <f>DG96/DG86</f>
        <v>0.10282350731700085</v>
      </c>
      <c r="DH101" s="540"/>
      <c r="DI101" s="177">
        <f>DI96/DI86</f>
        <v>0.92653588245741192</v>
      </c>
      <c r="DJ101" s="177">
        <f>DJ96/DJ86</f>
        <v>0.92630802147512725</v>
      </c>
      <c r="DK101" s="177">
        <f>DK96/DK86</f>
        <v>0.8934116015257344</v>
      </c>
      <c r="DL101" s="177">
        <f>DL96/DL86</f>
        <v>0.8507578151902675</v>
      </c>
      <c r="DM101" s="540"/>
      <c r="DN101" s="177">
        <f t="shared" ref="DN101:DW101" si="201">DN96/DN86</f>
        <v>0.95107153480422479</v>
      </c>
      <c r="DO101" s="177">
        <f t="shared" si="201"/>
        <v>0.94657500335227795</v>
      </c>
      <c r="DP101" s="177">
        <f t="shared" si="201"/>
        <v>0.941855080219407</v>
      </c>
      <c r="DQ101" s="177">
        <f t="shared" si="201"/>
        <v>0.94542454229806194</v>
      </c>
      <c r="DR101" s="55">
        <f t="shared" si="201"/>
        <v>0.94634029338248293</v>
      </c>
      <c r="DS101" s="177">
        <f t="shared" si="201"/>
        <v>0.94850190129573564</v>
      </c>
      <c r="DT101" s="177">
        <f t="shared" si="201"/>
        <v>0.9452586912119405</v>
      </c>
      <c r="DU101" s="177">
        <f t="shared" si="201"/>
        <v>0.94406220805627306</v>
      </c>
      <c r="DV101" s="177">
        <f t="shared" si="201"/>
        <v>0.94671051564012831</v>
      </c>
      <c r="DW101" s="55">
        <f t="shared" si="201"/>
        <v>0.94617157163701893</v>
      </c>
      <c r="DX101" s="538"/>
      <c r="DY101" s="538"/>
      <c r="DZ101" s="538"/>
      <c r="EA101" s="538"/>
      <c r="EB101" s="540"/>
      <c r="EC101" s="538"/>
      <c r="ED101" s="538"/>
      <c r="EE101" s="538"/>
      <c r="EF101" s="538"/>
      <c r="EG101" s="540"/>
      <c r="EH101" s="538"/>
      <c r="EI101" s="538"/>
      <c r="EJ101" s="538"/>
      <c r="EK101" s="538"/>
      <c r="EL101" s="540"/>
    </row>
    <row r="102" spans="1:142" ht="11.25" customHeight="1">
      <c r="A102" s="159"/>
      <c r="B102" s="192" t="s">
        <v>152</v>
      </c>
      <c r="C102" s="192"/>
      <c r="D102" s="458">
        <f t="shared" ref="D102:AT102" si="202">IF(ISERROR(1-D101),"nm",1-D101)</f>
        <v>0.86217857288398059</v>
      </c>
      <c r="E102" s="458" t="str">
        <f t="shared" si="202"/>
        <v>nm</v>
      </c>
      <c r="F102" s="458" t="str">
        <f t="shared" si="202"/>
        <v>nm</v>
      </c>
      <c r="G102" s="458" t="str">
        <f t="shared" si="202"/>
        <v>nm</v>
      </c>
      <c r="H102" s="462" t="str">
        <f t="shared" si="202"/>
        <v>nm</v>
      </c>
      <c r="I102" s="458" t="str">
        <f t="shared" si="202"/>
        <v>nm</v>
      </c>
      <c r="J102" s="458" t="str">
        <f t="shared" si="202"/>
        <v>nm</v>
      </c>
      <c r="K102" s="458" t="str">
        <f t="shared" si="202"/>
        <v>nm</v>
      </c>
      <c r="L102" s="458" t="str">
        <f t="shared" si="202"/>
        <v>nm</v>
      </c>
      <c r="M102" s="462" t="str">
        <f t="shared" si="202"/>
        <v>nm</v>
      </c>
      <c r="N102" s="458" t="str">
        <f t="shared" si="202"/>
        <v>nm</v>
      </c>
      <c r="O102" s="458" t="str">
        <f t="shared" si="202"/>
        <v>nm</v>
      </c>
      <c r="P102" s="458" t="str">
        <f t="shared" si="202"/>
        <v>nm</v>
      </c>
      <c r="Q102" s="458" t="str">
        <f t="shared" si="202"/>
        <v>nm</v>
      </c>
      <c r="R102" s="462" t="str">
        <f t="shared" si="202"/>
        <v>nm</v>
      </c>
      <c r="S102" s="458" t="str">
        <f t="shared" si="202"/>
        <v>nm</v>
      </c>
      <c r="T102" s="458" t="str">
        <f t="shared" si="202"/>
        <v>nm</v>
      </c>
      <c r="U102" s="458" t="str">
        <f t="shared" si="202"/>
        <v>nm</v>
      </c>
      <c r="V102" s="458" t="str">
        <f t="shared" si="202"/>
        <v>nm</v>
      </c>
      <c r="W102" s="462" t="str">
        <f t="shared" si="202"/>
        <v>nm</v>
      </c>
      <c r="X102" s="458" t="str">
        <f t="shared" si="202"/>
        <v>nm</v>
      </c>
      <c r="Y102" s="458" t="str">
        <f t="shared" si="202"/>
        <v>nm</v>
      </c>
      <c r="Z102" s="458" t="str">
        <f t="shared" si="202"/>
        <v>nm</v>
      </c>
      <c r="AA102" s="458" t="str">
        <f t="shared" si="202"/>
        <v>nm</v>
      </c>
      <c r="AB102" s="462" t="str">
        <f t="shared" si="202"/>
        <v>nm</v>
      </c>
      <c r="AC102" s="458" t="str">
        <f t="shared" si="202"/>
        <v>nm</v>
      </c>
      <c r="AD102" s="458" t="str">
        <f t="shared" si="202"/>
        <v>nm</v>
      </c>
      <c r="AE102" s="458" t="str">
        <f t="shared" si="202"/>
        <v>nm</v>
      </c>
      <c r="AF102" s="458" t="str">
        <f t="shared" si="202"/>
        <v>nm</v>
      </c>
      <c r="AG102" s="462" t="str">
        <f t="shared" si="202"/>
        <v>nm</v>
      </c>
      <c r="AH102" s="458" t="str">
        <f t="shared" si="202"/>
        <v>nm</v>
      </c>
      <c r="AI102" s="458" t="str">
        <f t="shared" si="202"/>
        <v>nm</v>
      </c>
      <c r="AJ102" s="458" t="str">
        <f t="shared" si="202"/>
        <v>nm</v>
      </c>
      <c r="AK102" s="458" t="str">
        <f t="shared" si="202"/>
        <v>nm</v>
      </c>
      <c r="AL102" s="462" t="str">
        <f t="shared" si="202"/>
        <v>nm</v>
      </c>
      <c r="AM102" s="458" t="str">
        <f t="shared" si="202"/>
        <v>nm</v>
      </c>
      <c r="AN102" s="458" t="str">
        <f t="shared" si="202"/>
        <v>nm</v>
      </c>
      <c r="AO102" s="458" t="str">
        <f t="shared" si="202"/>
        <v>nm</v>
      </c>
      <c r="AP102" s="458" t="str">
        <f t="shared" si="202"/>
        <v>nm</v>
      </c>
      <c r="AQ102" s="462" t="str">
        <f t="shared" si="202"/>
        <v>nm</v>
      </c>
      <c r="AR102" s="458" t="str">
        <f t="shared" si="202"/>
        <v>nm</v>
      </c>
      <c r="AS102" s="458" t="str">
        <f t="shared" si="202"/>
        <v>nm</v>
      </c>
      <c r="AT102" s="458" t="str">
        <f t="shared" si="202"/>
        <v>nm</v>
      </c>
      <c r="AU102" s="137"/>
      <c r="AV102" s="458" t="str">
        <f t="shared" ref="AV102:BJ102" si="203">IF(ISERROR(1-AV101),"nm",1-AV101)</f>
        <v>nm</v>
      </c>
      <c r="AW102" s="458" t="str">
        <f t="shared" si="203"/>
        <v>nm</v>
      </c>
      <c r="AX102" s="458" t="str">
        <f t="shared" si="203"/>
        <v>nm</v>
      </c>
      <c r="AY102" s="458" t="str">
        <f t="shared" si="203"/>
        <v>nm</v>
      </c>
      <c r="AZ102" s="462" t="str">
        <f t="shared" si="203"/>
        <v>nm</v>
      </c>
      <c r="BA102" s="458" t="str">
        <f t="shared" si="203"/>
        <v>nm</v>
      </c>
      <c r="BB102" s="458" t="str">
        <f t="shared" si="203"/>
        <v>nm</v>
      </c>
      <c r="BC102" s="458" t="str">
        <f t="shared" si="203"/>
        <v>nm</v>
      </c>
      <c r="BD102" s="458" t="str">
        <f t="shared" si="203"/>
        <v>nm</v>
      </c>
      <c r="BE102" s="462" t="str">
        <f t="shared" si="203"/>
        <v>nm</v>
      </c>
      <c r="BF102" s="458" t="str">
        <f t="shared" si="203"/>
        <v>nm</v>
      </c>
      <c r="BG102" s="458">
        <f t="shared" si="203"/>
        <v>0.89288196738262515</v>
      </c>
      <c r="BH102" s="458">
        <f t="shared" si="203"/>
        <v>0.89393895016782554</v>
      </c>
      <c r="BI102" s="458">
        <f t="shared" si="203"/>
        <v>0.89428556243836477</v>
      </c>
      <c r="BJ102" s="462" t="str">
        <f t="shared" si="203"/>
        <v>nm</v>
      </c>
      <c r="BK102" s="177">
        <f t="shared" ref="BK102:BS102" si="204">1-BK101</f>
        <v>0.8995618016564122</v>
      </c>
      <c r="BL102" s="177">
        <f t="shared" si="204"/>
        <v>0.89360692118723517</v>
      </c>
      <c r="BM102" s="177">
        <f t="shared" si="204"/>
        <v>0.89090875771958433</v>
      </c>
      <c r="BN102" s="177">
        <f t="shared" si="204"/>
        <v>0.88700157065410146</v>
      </c>
      <c r="BO102" s="540">
        <f t="shared" si="204"/>
        <v>0.89297578325633009</v>
      </c>
      <c r="BP102" s="177">
        <f t="shared" si="204"/>
        <v>0.89273911528246785</v>
      </c>
      <c r="BQ102" s="177">
        <f t="shared" si="204"/>
        <v>0.89460468889883615</v>
      </c>
      <c r="BR102" s="177">
        <f t="shared" si="204"/>
        <v>0.89400366847729862</v>
      </c>
      <c r="BS102" s="177">
        <f t="shared" si="204"/>
        <v>0.89559779190832223</v>
      </c>
      <c r="BT102" s="540"/>
      <c r="BU102" s="177">
        <f>1-BU101</f>
        <v>0.89921681225062011</v>
      </c>
      <c r="BV102" s="177">
        <f>1-BV101</f>
        <v>0.89279993134618685</v>
      </c>
      <c r="BW102" s="177">
        <f>1-BW101</f>
        <v>0.89448791183005438</v>
      </c>
      <c r="BX102" s="177">
        <f>1-BX101</f>
        <v>0.89590459594547112</v>
      </c>
      <c r="BY102" s="540"/>
      <c r="BZ102" s="177">
        <f>1-BZ101</f>
        <v>0.90087431619162384</v>
      </c>
      <c r="CA102" s="177">
        <f>1-CA101</f>
        <v>0.89678541307479309</v>
      </c>
      <c r="CB102" s="177">
        <f>1-CB101</f>
        <v>0.89631161668390213</v>
      </c>
      <c r="CC102" s="177">
        <f>1-CC101</f>
        <v>0.89713196601186096</v>
      </c>
      <c r="CD102" s="540"/>
      <c r="CE102" s="177">
        <f>1-CE101</f>
        <v>0.90075018644984861</v>
      </c>
      <c r="CF102" s="177">
        <f>1-CF101</f>
        <v>0.89708229732633449</v>
      </c>
      <c r="CG102" s="177">
        <f>1-CG101</f>
        <v>0.89698137542415823</v>
      </c>
      <c r="CH102" s="177">
        <f>1-CH101</f>
        <v>0.89635195285078417</v>
      </c>
      <c r="CI102" s="540"/>
      <c r="CJ102" s="177">
        <f>1-CJ101</f>
        <v>0.89870964336080972</v>
      </c>
      <c r="CK102" s="177">
        <f>1-CK101</f>
        <v>0.89483448270463639</v>
      </c>
      <c r="CL102" s="177">
        <f>1-CL101</f>
        <v>0.89316725695411681</v>
      </c>
      <c r="CM102" s="177">
        <f>1-CM101</f>
        <v>0.89424068925868461</v>
      </c>
      <c r="CN102" s="540"/>
      <c r="CO102" s="177">
        <f>1-CO101</f>
        <v>0.90015748990010425</v>
      </c>
      <c r="CP102" s="177">
        <f>1-CP101</f>
        <v>0.89560640805146829</v>
      </c>
      <c r="CQ102" s="177">
        <f>1-CQ101</f>
        <v>0.89553476063702597</v>
      </c>
      <c r="CR102" s="177">
        <f>1-CR101</f>
        <v>0.89533854021237047</v>
      </c>
      <c r="CS102" s="540"/>
      <c r="CT102" s="177">
        <f>1-CT101</f>
        <v>0.89985517188810127</v>
      </c>
      <c r="CU102" s="177">
        <f>1-CU101</f>
        <v>0.89470655926352127</v>
      </c>
      <c r="CV102" s="177">
        <f>1-CV101</f>
        <v>0.89416108081269174</v>
      </c>
      <c r="CW102" s="177">
        <f>1-CW101</f>
        <v>0.89451672120680026</v>
      </c>
      <c r="CX102" s="540"/>
      <c r="CY102" s="177">
        <f>1-CY101</f>
        <v>0.89533784910544834</v>
      </c>
      <c r="CZ102" s="177">
        <f>1-CZ101</f>
        <v>0.89082354500422456</v>
      </c>
      <c r="DA102" s="177">
        <f>1-DA101</f>
        <v>0.89158420320969989</v>
      </c>
      <c r="DB102" s="177">
        <f>1-DB101</f>
        <v>0.89347317144866834</v>
      </c>
      <c r="DC102" s="540"/>
      <c r="DD102" s="177">
        <f>1-DD101</f>
        <v>0.89569832143427031</v>
      </c>
      <c r="DE102" s="177">
        <f>1-DE101</f>
        <v>0.89534579045524842</v>
      </c>
      <c r="DF102" s="177">
        <f>1-DF101</f>
        <v>0.8964954930620167</v>
      </c>
      <c r="DG102" s="177">
        <f>1-DG101</f>
        <v>0.89717649268299915</v>
      </c>
      <c r="DH102" s="540"/>
      <c r="DI102" s="177">
        <f>1-DI101</f>
        <v>7.3464117542588081E-2</v>
      </c>
      <c r="DJ102" s="177">
        <f>1-DJ101</f>
        <v>7.3691978524872748E-2</v>
      </c>
      <c r="DK102" s="177">
        <f>1-DK101</f>
        <v>0.1065883984742656</v>
      </c>
      <c r="DL102" s="177">
        <f>1-DL101</f>
        <v>0.1492421848097325</v>
      </c>
      <c r="DM102" s="540"/>
      <c r="DN102" s="177">
        <f t="shared" ref="DN102:DW102" si="205">1-DN101</f>
        <v>4.8928465195775206E-2</v>
      </c>
      <c r="DO102" s="177">
        <f t="shared" si="205"/>
        <v>5.3424996647722045E-2</v>
      </c>
      <c r="DP102" s="177">
        <f t="shared" si="205"/>
        <v>5.8144919780592996E-2</v>
      </c>
      <c r="DQ102" s="177">
        <f t="shared" si="205"/>
        <v>5.4575457701938057E-2</v>
      </c>
      <c r="DR102" s="55">
        <f t="shared" si="205"/>
        <v>5.3659706617517067E-2</v>
      </c>
      <c r="DS102" s="177">
        <f t="shared" si="205"/>
        <v>5.1498098704264361E-2</v>
      </c>
      <c r="DT102" s="177">
        <f t="shared" si="205"/>
        <v>5.4741308788059495E-2</v>
      </c>
      <c r="DU102" s="177">
        <f t="shared" si="205"/>
        <v>5.5937791943726944E-2</v>
      </c>
      <c r="DV102" s="177">
        <f t="shared" si="205"/>
        <v>5.3289484359871686E-2</v>
      </c>
      <c r="DW102" s="55">
        <f t="shared" si="205"/>
        <v>5.3828428362981073E-2</v>
      </c>
      <c r="DX102" s="538"/>
      <c r="DY102" s="538"/>
      <c r="DZ102" s="538"/>
      <c r="EA102" s="538"/>
      <c r="EB102" s="540"/>
      <c r="EC102" s="538"/>
      <c r="ED102" s="538"/>
      <c r="EE102" s="538"/>
      <c r="EF102" s="538"/>
      <c r="EG102" s="540"/>
      <c r="EH102" s="538"/>
      <c r="EI102" s="538"/>
      <c r="EJ102" s="538"/>
      <c r="EK102" s="538"/>
      <c r="EL102" s="540"/>
    </row>
    <row r="103" spans="1:142" ht="11.25" customHeight="1">
      <c r="A103" s="192"/>
      <c r="B103" s="192"/>
      <c r="C103" s="545"/>
      <c r="D103" s="545"/>
      <c r="E103" s="545"/>
      <c r="F103" s="545"/>
      <c r="G103" s="545"/>
      <c r="H103" s="537"/>
      <c r="I103" s="545"/>
      <c r="J103" s="545"/>
      <c r="K103" s="545"/>
      <c r="L103" s="545"/>
      <c r="M103" s="537"/>
      <c r="N103" s="545"/>
      <c r="O103" s="545"/>
      <c r="P103" s="545"/>
      <c r="Q103" s="545"/>
      <c r="R103" s="537"/>
      <c r="S103" s="545"/>
      <c r="T103" s="545"/>
      <c r="U103" s="545"/>
      <c r="V103" s="545"/>
      <c r="W103" s="537"/>
      <c r="X103" s="545"/>
      <c r="Y103" s="545"/>
      <c r="Z103" s="545"/>
      <c r="AA103" s="545"/>
      <c r="AB103" s="537"/>
      <c r="AC103" s="545"/>
      <c r="AD103" s="545"/>
      <c r="AE103" s="545"/>
      <c r="AF103" s="545"/>
      <c r="AG103" s="537"/>
      <c r="AH103" s="545"/>
      <c r="AI103" s="545"/>
      <c r="AJ103" s="545"/>
      <c r="AK103" s="545"/>
      <c r="AL103" s="537"/>
      <c r="AM103" s="545"/>
      <c r="AN103" s="545"/>
      <c r="AO103" s="545"/>
      <c r="AP103" s="545"/>
      <c r="AQ103" s="537"/>
      <c r="AR103" s="538"/>
      <c r="AS103" s="538"/>
      <c r="AT103" s="538"/>
      <c r="AU103" s="137"/>
      <c r="AV103" s="539"/>
      <c r="AW103" s="545"/>
      <c r="AX103" s="545"/>
      <c r="AY103" s="545"/>
      <c r="AZ103" s="537"/>
      <c r="BA103" s="545"/>
      <c r="BB103" s="545"/>
      <c r="BC103" s="545"/>
      <c r="BD103" s="545"/>
      <c r="BE103" s="537"/>
      <c r="BF103" s="545"/>
      <c r="BG103" s="545"/>
      <c r="BH103" s="545"/>
      <c r="BI103" s="545"/>
      <c r="BJ103" s="537"/>
      <c r="BK103" s="435"/>
      <c r="BL103" s="435"/>
      <c r="BM103" s="435"/>
      <c r="BN103" s="435"/>
      <c r="BO103" s="540"/>
      <c r="BP103" s="435"/>
      <c r="BQ103" s="435"/>
      <c r="BR103" s="435"/>
      <c r="BS103" s="435"/>
      <c r="BT103" s="540"/>
      <c r="BU103" s="435"/>
      <c r="BV103" s="435"/>
      <c r="BW103" s="435"/>
      <c r="BX103" s="435"/>
      <c r="BY103" s="540"/>
      <c r="BZ103" s="435"/>
      <c r="CA103" s="435"/>
      <c r="CB103" s="435"/>
      <c r="CC103" s="435"/>
      <c r="CD103" s="540"/>
      <c r="CE103" s="435"/>
      <c r="CF103" s="435"/>
      <c r="CG103" s="435"/>
      <c r="CH103" s="435"/>
      <c r="CI103" s="540"/>
      <c r="CJ103" s="435"/>
      <c r="CK103" s="435"/>
      <c r="CL103" s="435"/>
      <c r="CM103" s="435"/>
      <c r="CN103" s="540"/>
      <c r="CO103" s="435"/>
      <c r="CP103" s="435"/>
      <c r="CQ103" s="435"/>
      <c r="CR103" s="435"/>
      <c r="CS103" s="540"/>
      <c r="CT103" s="435"/>
      <c r="CU103" s="435"/>
      <c r="CV103" s="435"/>
      <c r="CW103" s="435"/>
      <c r="CX103" s="540"/>
      <c r="CY103" s="435"/>
      <c r="CZ103" s="435"/>
      <c r="DA103" s="435"/>
      <c r="DB103" s="435"/>
      <c r="DC103" s="540"/>
      <c r="DD103" s="435"/>
      <c r="DE103" s="435"/>
      <c r="DF103" s="435"/>
      <c r="DG103" s="435"/>
      <c r="DH103" s="540"/>
      <c r="DI103" s="435"/>
      <c r="DJ103" s="435"/>
      <c r="DK103" s="435"/>
      <c r="DL103" s="435"/>
      <c r="DM103" s="540"/>
      <c r="DN103" s="435"/>
      <c r="DO103" s="435"/>
      <c r="DP103" s="435"/>
      <c r="DQ103" s="435"/>
      <c r="DR103" s="540"/>
      <c r="DS103" s="435"/>
      <c r="DT103" s="435"/>
      <c r="DU103" s="435"/>
      <c r="DV103" s="435"/>
      <c r="DW103" s="540"/>
      <c r="DX103" s="538"/>
      <c r="DY103" s="538"/>
      <c r="DZ103" s="538"/>
      <c r="EA103" s="538"/>
      <c r="EB103" s="540"/>
      <c r="EC103" s="538"/>
      <c r="ED103" s="538"/>
      <c r="EE103" s="538"/>
      <c r="EF103" s="538"/>
      <c r="EG103" s="540"/>
      <c r="EH103" s="538"/>
      <c r="EI103" s="538"/>
      <c r="EJ103" s="538"/>
      <c r="EK103" s="538"/>
      <c r="EL103" s="540"/>
    </row>
    <row r="104" spans="1:142" ht="11.25" customHeight="1">
      <c r="A104" s="159"/>
      <c r="B104" s="159" t="s">
        <v>153</v>
      </c>
      <c r="C104" s="507"/>
      <c r="D104" s="507">
        <f>D340</f>
        <v>268939</v>
      </c>
      <c r="E104" s="507">
        <f>E340</f>
        <v>266541</v>
      </c>
      <c r="F104" s="507">
        <f>F340</f>
        <v>289897</v>
      </c>
      <c r="G104" s="507">
        <f>G340</f>
        <v>682488</v>
      </c>
      <c r="H104" s="193">
        <f>SUM(D104:G104)</f>
        <v>1507865</v>
      </c>
      <c r="I104" s="507">
        <f>I340</f>
        <v>619226</v>
      </c>
      <c r="J104" s="507">
        <f>J340</f>
        <v>661141</v>
      </c>
      <c r="K104" s="507">
        <f>K340</f>
        <v>734293</v>
      </c>
      <c r="L104" s="507">
        <f>L340</f>
        <v>695402</v>
      </c>
      <c r="M104" s="193">
        <f>SUM(I104:L104)</f>
        <v>2710062</v>
      </c>
      <c r="N104" s="507">
        <f>N340</f>
        <v>665006</v>
      </c>
      <c r="O104" s="507">
        <f>O340</f>
        <v>677525</v>
      </c>
      <c r="P104" s="507">
        <f>P340</f>
        <v>1119362</v>
      </c>
      <c r="Q104" s="507">
        <f>Q340</f>
        <v>1637816</v>
      </c>
      <c r="R104" s="193">
        <f>SUM(N104:Q104)</f>
        <v>4099709</v>
      </c>
      <c r="S104" s="507">
        <f>S340</f>
        <v>1054439</v>
      </c>
      <c r="T104" s="507">
        <f>T340</f>
        <v>1099812</v>
      </c>
      <c r="U104" s="507">
        <f>U340</f>
        <v>1230830</v>
      </c>
      <c r="V104" s="507">
        <f>V340</f>
        <v>1162231</v>
      </c>
      <c r="W104" s="193">
        <f>SUM(S104:V104)</f>
        <v>4547312</v>
      </c>
      <c r="X104" s="507">
        <f>X340</f>
        <v>1113315</v>
      </c>
      <c r="Y104" s="507">
        <f>Y340</f>
        <v>1136595</v>
      </c>
      <c r="Z104" s="507">
        <f>Z340</f>
        <v>1304313</v>
      </c>
      <c r="AA104" s="507">
        <f>AA340</f>
        <v>1327216</v>
      </c>
      <c r="AB104" s="193">
        <f>SUM(X104:AA104)</f>
        <v>4881439</v>
      </c>
      <c r="AC104" s="507">
        <f>AC340</f>
        <v>1223438</v>
      </c>
      <c r="AD104" s="507">
        <f>AD340</f>
        <v>1184765</v>
      </c>
      <c r="AE104" s="507">
        <f>AE340</f>
        <v>1274739</v>
      </c>
      <c r="AF104" s="507">
        <f>AF340</f>
        <v>1205707</v>
      </c>
      <c r="AG104" s="193">
        <f>SUM(AC104:AF104)</f>
        <v>4888649</v>
      </c>
      <c r="AH104" s="507">
        <f>AH340</f>
        <v>1183421</v>
      </c>
      <c r="AI104" s="507">
        <f>AI340</f>
        <v>1192364</v>
      </c>
      <c r="AJ104" s="507">
        <f>AJ340</f>
        <v>1269277</v>
      </c>
      <c r="AK104" s="507">
        <f>AK340</f>
        <v>1291691</v>
      </c>
      <c r="AL104" s="193">
        <f>SUM(AH104:AK104)</f>
        <v>4936753</v>
      </c>
      <c r="AM104" s="507">
        <f>AM340</f>
        <v>1275551</v>
      </c>
      <c r="AN104" s="507">
        <f>AN340</f>
        <v>1281472</v>
      </c>
      <c r="AO104" s="507">
        <f>AO340</f>
        <v>1375943</v>
      </c>
      <c r="AP104" s="507">
        <f>AP340</f>
        <v>1402953</v>
      </c>
      <c r="AQ104" s="193">
        <f>SUM(AM104:AP104)</f>
        <v>5335919</v>
      </c>
      <c r="AR104" s="507">
        <f>AR340</f>
        <v>1343673</v>
      </c>
      <c r="AS104" s="507">
        <f>AS340</f>
        <v>1349050</v>
      </c>
      <c r="AT104" s="507">
        <f>AT340</f>
        <v>1388530</v>
      </c>
      <c r="AU104" s="137"/>
      <c r="AV104" s="507" t="str">
        <f>AV340</f>
        <v>ND</v>
      </c>
      <c r="AW104" s="507" t="str">
        <f>AW340</f>
        <v>ND</v>
      </c>
      <c r="AX104" s="507" t="str">
        <f>AX340</f>
        <v>ND</v>
      </c>
      <c r="AY104" s="507" t="str">
        <f>AY340</f>
        <v>ND</v>
      </c>
      <c r="AZ104" s="193">
        <f>SUM(AV104:AY104)</f>
        <v>0</v>
      </c>
      <c r="BA104" s="507">
        <f>BA340</f>
        <v>1313502</v>
      </c>
      <c r="BB104" s="507">
        <f>BB340</f>
        <v>1256929</v>
      </c>
      <c r="BC104" s="507">
        <f>BC340</f>
        <v>1235744</v>
      </c>
      <c r="BD104" s="507">
        <f>BD340</f>
        <v>1213134</v>
      </c>
      <c r="BE104" s="193">
        <f>SUM(BA104:BD104)</f>
        <v>5019309</v>
      </c>
      <c r="BF104" s="90">
        <f>BF340</f>
        <v>979258</v>
      </c>
      <c r="BG104" s="90">
        <f>BG340</f>
        <v>897777</v>
      </c>
      <c r="BH104" s="90">
        <f>BH340</f>
        <v>877620</v>
      </c>
      <c r="BI104" s="90">
        <f>BI340</f>
        <v>877259</v>
      </c>
      <c r="BJ104" s="193">
        <f>SUM(BF104:BI104)</f>
        <v>3631914</v>
      </c>
      <c r="BK104" s="90">
        <f>BK340</f>
        <v>934203</v>
      </c>
      <c r="BL104" s="90">
        <f>BL340</f>
        <v>865396</v>
      </c>
      <c r="BM104" s="90">
        <f>BM340</f>
        <v>834601</v>
      </c>
      <c r="BN104" s="90">
        <f>BN340</f>
        <v>809577</v>
      </c>
      <c r="BO104" s="193">
        <f>SUM(BK104:BN104)</f>
        <v>3443777</v>
      </c>
      <c r="BP104" s="90">
        <f>BP340</f>
        <v>855620</v>
      </c>
      <c r="BQ104" s="90">
        <f>BQ340</f>
        <v>710339</v>
      </c>
      <c r="BR104" s="90">
        <f>BR340</f>
        <v>695656</v>
      </c>
      <c r="BS104" s="90">
        <f>BS340</f>
        <v>705249</v>
      </c>
      <c r="BT104" s="193">
        <f>SUM(BP104:BS104)</f>
        <v>2966864</v>
      </c>
      <c r="BU104" s="90">
        <f>BU340</f>
        <v>745651</v>
      </c>
      <c r="BV104" s="90">
        <f>BV340</f>
        <v>693016</v>
      </c>
      <c r="BW104" s="90">
        <f>BW340</f>
        <v>671502</v>
      </c>
      <c r="BX104" s="90">
        <f>BX340</f>
        <v>682853</v>
      </c>
      <c r="BY104" s="193">
        <f>SUM(BU104:BX104)</f>
        <v>2793022</v>
      </c>
      <c r="BZ104" s="90">
        <f>BZ340</f>
        <v>739709</v>
      </c>
      <c r="CA104" s="90">
        <f>CA340</f>
        <v>659534</v>
      </c>
      <c r="CB104" s="90">
        <f>CB340</f>
        <v>634755</v>
      </c>
      <c r="CC104" s="90">
        <f>CC340</f>
        <v>641594</v>
      </c>
      <c r="CD104" s="193">
        <f>SUM(BZ104:CC104)</f>
        <v>2675592</v>
      </c>
      <c r="CE104" s="90">
        <f>CE340</f>
        <v>679657</v>
      </c>
      <c r="CF104" s="90">
        <f>CF340</f>
        <v>629714</v>
      </c>
      <c r="CG104" s="90">
        <f>CG340</f>
        <v>622427</v>
      </c>
      <c r="CH104" s="90">
        <f>CH340</f>
        <v>628438</v>
      </c>
      <c r="CI104" s="193">
        <f>SUM(CE104:CH104)</f>
        <v>2560236</v>
      </c>
      <c r="CJ104" s="90">
        <f>CJ340</f>
        <v>652952</v>
      </c>
      <c r="CK104" s="90">
        <f>CK340</f>
        <v>614365</v>
      </c>
      <c r="CL104" s="90">
        <f>CL340</f>
        <v>596810</v>
      </c>
      <c r="CM104" s="90">
        <f>CM340</f>
        <v>608890</v>
      </c>
      <c r="CN104" s="193">
        <f>SUM(CJ104:CM104)</f>
        <v>2473017</v>
      </c>
      <c r="CO104" s="90">
        <f>CO340</f>
        <v>635463</v>
      </c>
      <c r="CP104" s="90">
        <f>CP340</f>
        <v>595986</v>
      </c>
      <c r="CQ104" s="90">
        <f>CQ340</f>
        <v>591948</v>
      </c>
      <c r="CR104" s="90">
        <f>CR340</f>
        <v>589848</v>
      </c>
      <c r="CS104" s="193">
        <f>SUM(CO104:CR104)</f>
        <v>2413245</v>
      </c>
      <c r="CT104" s="90">
        <f>CT340</f>
        <v>617459</v>
      </c>
      <c r="CU104" s="90">
        <f>CU340</f>
        <v>590437</v>
      </c>
      <c r="CV104" s="90">
        <f>CV340</f>
        <v>580594</v>
      </c>
      <c r="CW104" s="90">
        <f>CW340</f>
        <v>580426</v>
      </c>
      <c r="CX104" s="193">
        <f>SUM(CT104:CW104)</f>
        <v>2368916</v>
      </c>
      <c r="CY104" s="90">
        <f>CY340</f>
        <v>603285</v>
      </c>
      <c r="CZ104" s="90">
        <f>CZ340</f>
        <v>567390</v>
      </c>
      <c r="DA104" s="90">
        <f>DA340</f>
        <v>569833</v>
      </c>
      <c r="DB104" s="90">
        <f>DB340</f>
        <v>880737</v>
      </c>
      <c r="DC104" s="193">
        <f>SUM(CY104:DB104)</f>
        <v>2621245</v>
      </c>
      <c r="DD104" s="90">
        <f>DD340</f>
        <v>929164</v>
      </c>
      <c r="DE104" s="90">
        <f>DE340</f>
        <v>907093</v>
      </c>
      <c r="DF104" s="90">
        <f>DF340</f>
        <v>921228</v>
      </c>
      <c r="DG104" s="90">
        <f>DG340</f>
        <v>937803</v>
      </c>
      <c r="DH104" s="193">
        <f>SUM(DD104:DG104)</f>
        <v>3695288</v>
      </c>
      <c r="DI104" s="90">
        <f>DI261</f>
        <v>130241</v>
      </c>
      <c r="DJ104" s="90">
        <f>DJ261</f>
        <v>1254.68</v>
      </c>
      <c r="DK104" s="90">
        <f>DK261</f>
        <v>119264</v>
      </c>
      <c r="DL104" s="90">
        <f>DL261</f>
        <v>123761</v>
      </c>
      <c r="DM104" s="193">
        <f>SUM(DI104:DL104)</f>
        <v>374520.68</v>
      </c>
      <c r="DN104" s="90">
        <f>DN261</f>
        <v>136056</v>
      </c>
      <c r="DO104" s="90">
        <f>DO261</f>
        <v>122283</v>
      </c>
      <c r="DP104" s="90">
        <f>DP261</f>
        <v>120447</v>
      </c>
      <c r="DQ104" s="90">
        <f>DQ261</f>
        <v>120549</v>
      </c>
      <c r="DR104" s="193">
        <f>SUM(DN104:DQ104)</f>
        <v>499335</v>
      </c>
      <c r="DS104" s="90">
        <f>DS298</f>
        <v>126067</v>
      </c>
      <c r="DT104" s="90">
        <f>DT298</f>
        <v>121212</v>
      </c>
      <c r="DU104" s="90">
        <f>DU298</f>
        <v>118361</v>
      </c>
      <c r="DV104" s="90">
        <f>DV298</f>
        <v>123102</v>
      </c>
      <c r="DW104" s="193">
        <f>SUM(DS104:DV104)</f>
        <v>488742</v>
      </c>
      <c r="DX104" s="171"/>
      <c r="DY104" s="171"/>
      <c r="DZ104" s="171"/>
      <c r="EA104" s="171"/>
      <c r="EB104" s="193"/>
      <c r="EC104" s="171"/>
      <c r="ED104" s="171"/>
      <c r="EE104" s="171"/>
      <c r="EF104" s="171"/>
      <c r="EG104" s="193"/>
      <c r="EH104" s="171"/>
      <c r="EI104" s="171"/>
      <c r="EJ104" s="171"/>
      <c r="EK104" s="171"/>
      <c r="EL104" s="193"/>
    </row>
    <row r="105" spans="1:142" ht="11.25" customHeight="1">
      <c r="A105" s="511"/>
      <c r="B105" s="511" t="s">
        <v>133</v>
      </c>
      <c r="C105" s="163"/>
      <c r="D105" s="163"/>
      <c r="E105" s="163"/>
      <c r="F105" s="163"/>
      <c r="G105" s="163"/>
      <c r="H105" s="85"/>
      <c r="I105" s="84">
        <f t="shared" ref="I105:AT105" si="206">IF(ISERROR(I104/D104-1),"nm",I104/D104-1)</f>
        <v>1.302477513488189</v>
      </c>
      <c r="J105" s="84">
        <f t="shared" si="206"/>
        <v>1.4804476609602277</v>
      </c>
      <c r="K105" s="84">
        <f t="shared" si="206"/>
        <v>1.5329444595839212</v>
      </c>
      <c r="L105" s="84">
        <f t="shared" si="206"/>
        <v>1.8921944415139835E-2</v>
      </c>
      <c r="M105" s="85">
        <f t="shared" si="206"/>
        <v>0.79728423963683759</v>
      </c>
      <c r="N105" s="84">
        <f t="shared" si="206"/>
        <v>7.3931004189100591E-2</v>
      </c>
      <c r="O105" s="84">
        <f t="shared" si="206"/>
        <v>2.4781400639197981E-2</v>
      </c>
      <c r="P105" s="84">
        <f t="shared" si="206"/>
        <v>0.52440783175108563</v>
      </c>
      <c r="Q105" s="84">
        <f t="shared" si="206"/>
        <v>1.3552074914941286</v>
      </c>
      <c r="R105" s="85">
        <f t="shared" si="206"/>
        <v>0.51277313950750947</v>
      </c>
      <c r="S105" s="84">
        <f t="shared" si="206"/>
        <v>0.58560825015112639</v>
      </c>
      <c r="T105" s="84">
        <f t="shared" si="206"/>
        <v>0.62327884579904791</v>
      </c>
      <c r="U105" s="84">
        <f t="shared" si="206"/>
        <v>9.9581726018928673E-2</v>
      </c>
      <c r="V105" s="84">
        <f t="shared" si="206"/>
        <v>-0.2903775515686744</v>
      </c>
      <c r="W105" s="85">
        <f t="shared" si="206"/>
        <v>0.10917921247581241</v>
      </c>
      <c r="X105" s="84">
        <f t="shared" si="206"/>
        <v>5.5836326236036404E-2</v>
      </c>
      <c r="Y105" s="84">
        <f t="shared" si="206"/>
        <v>3.3444806930639004E-2</v>
      </c>
      <c r="Z105" s="84">
        <f t="shared" si="206"/>
        <v>5.9701989714257886E-2</v>
      </c>
      <c r="AA105" s="84">
        <f t="shared" si="206"/>
        <v>0.14195542882611112</v>
      </c>
      <c r="AB105" s="85">
        <f t="shared" si="206"/>
        <v>7.3477913985229071E-2</v>
      </c>
      <c r="AC105" s="84">
        <f t="shared" si="206"/>
        <v>9.8914503083134653E-2</v>
      </c>
      <c r="AD105" s="84">
        <f t="shared" si="206"/>
        <v>4.2380971234256659E-2</v>
      </c>
      <c r="AE105" s="84">
        <f t="shared" si="206"/>
        <v>-2.2674005395944108E-2</v>
      </c>
      <c r="AF105" s="84">
        <f t="shared" si="206"/>
        <v>-9.1551789610734069E-2</v>
      </c>
      <c r="AG105" s="85">
        <f t="shared" si="206"/>
        <v>1.4770234760692613E-3</v>
      </c>
      <c r="AH105" s="84">
        <f t="shared" si="206"/>
        <v>-3.2708645636313372E-2</v>
      </c>
      <c r="AI105" s="84">
        <f t="shared" si="206"/>
        <v>6.4139301886871891E-3</v>
      </c>
      <c r="AJ105" s="84">
        <f t="shared" si="206"/>
        <v>-4.2847986921243919E-3</v>
      </c>
      <c r="AK105" s="84">
        <f t="shared" si="206"/>
        <v>7.1314175002716196E-2</v>
      </c>
      <c r="AL105" s="85">
        <f t="shared" si="206"/>
        <v>9.839937373290697E-3</v>
      </c>
      <c r="AM105" s="84">
        <f t="shared" si="206"/>
        <v>7.7850570507030037E-2</v>
      </c>
      <c r="AN105" s="84">
        <f t="shared" si="206"/>
        <v>7.4732212646473783E-2</v>
      </c>
      <c r="AO105" s="84">
        <f t="shared" si="206"/>
        <v>8.4036817810454245E-2</v>
      </c>
      <c r="AP105" s="84">
        <f t="shared" si="206"/>
        <v>8.6136699876363521E-2</v>
      </c>
      <c r="AQ105" s="85">
        <f t="shared" si="206"/>
        <v>8.085597962871538E-2</v>
      </c>
      <c r="AR105" s="84">
        <f t="shared" si="206"/>
        <v>5.3405939864419327E-2</v>
      </c>
      <c r="AS105" s="84">
        <f t="shared" si="206"/>
        <v>5.2734667632222898E-2</v>
      </c>
      <c r="AT105" s="84">
        <f t="shared" si="206"/>
        <v>9.1479080165384197E-3</v>
      </c>
      <c r="AU105" s="137"/>
      <c r="AV105" s="4"/>
      <c r="AW105" s="44"/>
      <c r="AX105" s="44"/>
      <c r="AY105" s="44"/>
      <c r="AZ105" s="65"/>
      <c r="BA105" s="84" t="str">
        <f t="shared" ref="BA105:BL105" si="207">IF(ISERROR(BA104/AV104-1),"nm",BA104/AV104-1)</f>
        <v>nm</v>
      </c>
      <c r="BB105" s="84" t="str">
        <f t="shared" si="207"/>
        <v>nm</v>
      </c>
      <c r="BC105" s="84" t="str">
        <f t="shared" si="207"/>
        <v>nm</v>
      </c>
      <c r="BD105" s="84" t="str">
        <f t="shared" si="207"/>
        <v>nm</v>
      </c>
      <c r="BE105" s="85" t="str">
        <f t="shared" si="207"/>
        <v>nm</v>
      </c>
      <c r="BF105" s="84">
        <f t="shared" si="207"/>
        <v>-0.25446782722827987</v>
      </c>
      <c r="BG105" s="84">
        <f t="shared" si="207"/>
        <v>-0.28573769878807798</v>
      </c>
      <c r="BH105" s="84">
        <f t="shared" si="207"/>
        <v>-0.28980436077375249</v>
      </c>
      <c r="BI105" s="84">
        <f t="shared" si="207"/>
        <v>-0.27686553999805463</v>
      </c>
      <c r="BJ105" s="85">
        <f t="shared" si="207"/>
        <v>-0.27641155386129845</v>
      </c>
      <c r="BK105" s="510">
        <f t="shared" si="207"/>
        <v>-4.6009325428028158E-2</v>
      </c>
      <c r="BL105" s="510">
        <f t="shared" si="207"/>
        <v>-3.6067976791564038E-2</v>
      </c>
      <c r="BM105" s="510">
        <f>IF(ISERROR(BM104/BH104-1),"NM",BM104/BH104-1)</f>
        <v>-4.9017798135867485E-2</v>
      </c>
      <c r="BN105" s="510">
        <f>IF(ISERROR(BN104/BI104-1),"NM",BN104/BI104-1)</f>
        <v>-7.7151673565047485E-2</v>
      </c>
      <c r="BO105" s="67">
        <f>IF(ISERROR(BO104/BJ104-1),"NM",BO104/BJ104-1)</f>
        <v>-5.180106136874385E-2</v>
      </c>
      <c r="BP105" s="510">
        <f>IF(ISERROR(BP104/BK104-1),"NM",BP104/BK104-1)</f>
        <v>-8.4117691765066005E-2</v>
      </c>
      <c r="BQ105" s="510">
        <f>IF(ISERROR(BQ104/BL104-1),"NM",BQ104/BL104-1)</f>
        <v>-0.1791746206361019</v>
      </c>
      <c r="BR105" s="510">
        <f t="shared" ref="BR105:DQ105" si="208">BR104/BM104-1</f>
        <v>-0.16648074948388514</v>
      </c>
      <c r="BS105" s="510">
        <f t="shared" si="208"/>
        <v>-0.12886729736640246</v>
      </c>
      <c r="BT105" s="67">
        <f t="shared" si="208"/>
        <v>-0.13848544780919325</v>
      </c>
      <c r="BU105" s="510">
        <f t="shared" si="208"/>
        <v>-0.12852551366260723</v>
      </c>
      <c r="BV105" s="510">
        <f t="shared" si="208"/>
        <v>-2.4386947640492762E-2</v>
      </c>
      <c r="BW105" s="510">
        <f t="shared" si="208"/>
        <v>-3.4721184033487784E-2</v>
      </c>
      <c r="BX105" s="510">
        <f t="shared" si="208"/>
        <v>-3.1756159881120016E-2</v>
      </c>
      <c r="BY105" s="67">
        <f t="shared" si="208"/>
        <v>-5.8594529442535959E-2</v>
      </c>
      <c r="BZ105" s="510">
        <f t="shared" si="208"/>
        <v>-7.9688755195125305E-3</v>
      </c>
      <c r="CA105" s="510">
        <f t="shared" si="208"/>
        <v>-4.8313458852320856E-2</v>
      </c>
      <c r="CB105" s="510">
        <f t="shared" si="208"/>
        <v>-5.4723589803157724E-2</v>
      </c>
      <c r="CC105" s="510">
        <f t="shared" si="208"/>
        <v>-6.0421496281044429E-2</v>
      </c>
      <c r="CD105" s="67">
        <f t="shared" si="208"/>
        <v>-4.2044065531886221E-2</v>
      </c>
      <c r="CE105" s="510">
        <f t="shared" si="208"/>
        <v>-8.1183276126152282E-2</v>
      </c>
      <c r="CF105" s="510">
        <f t="shared" si="208"/>
        <v>-4.521374182377258E-2</v>
      </c>
      <c r="CG105" s="510">
        <f t="shared" si="208"/>
        <v>-1.9421666627281398E-2</v>
      </c>
      <c r="CH105" s="510">
        <f t="shared" si="208"/>
        <v>-2.0505179287836239E-2</v>
      </c>
      <c r="CI105" s="67">
        <f t="shared" si="208"/>
        <v>-4.3114196783366032E-2</v>
      </c>
      <c r="CJ105" s="510">
        <f t="shared" si="208"/>
        <v>-3.9291878109105061E-2</v>
      </c>
      <c r="CK105" s="510">
        <f t="shared" si="208"/>
        <v>-2.4374557338728398E-2</v>
      </c>
      <c r="CL105" s="510">
        <f t="shared" si="208"/>
        <v>-4.1156633629325201E-2</v>
      </c>
      <c r="CM105" s="510">
        <f t="shared" si="208"/>
        <v>-3.1105693799547418E-2</v>
      </c>
      <c r="CN105" s="67">
        <f t="shared" si="208"/>
        <v>-3.4066781343594865E-2</v>
      </c>
      <c r="CO105" s="510">
        <f t="shared" si="208"/>
        <v>-2.6784510959457997E-2</v>
      </c>
      <c r="CP105" s="510">
        <f t="shared" si="208"/>
        <v>-2.9915441146549648E-2</v>
      </c>
      <c r="CQ105" s="510">
        <f t="shared" si="208"/>
        <v>-8.146646336354979E-3</v>
      </c>
      <c r="CR105" s="510">
        <f t="shared" si="208"/>
        <v>-3.1273300596166842E-2</v>
      </c>
      <c r="CS105" s="67">
        <f t="shared" si="208"/>
        <v>-2.4169668061319483E-2</v>
      </c>
      <c r="CT105" s="510">
        <f t="shared" si="208"/>
        <v>-2.8332098013574392E-2</v>
      </c>
      <c r="CU105" s="510">
        <f t="shared" si="208"/>
        <v>-9.3106213904353696E-3</v>
      </c>
      <c r="CV105" s="510">
        <f t="shared" si="208"/>
        <v>-1.9180738848682655E-2</v>
      </c>
      <c r="CW105" s="510">
        <f t="shared" si="208"/>
        <v>-1.5973606759707604E-2</v>
      </c>
      <c r="CX105" s="67">
        <f t="shared" si="208"/>
        <v>-1.8369042513296407E-2</v>
      </c>
      <c r="CY105" s="510">
        <f t="shared" si="208"/>
        <v>-2.2955370316085744E-2</v>
      </c>
      <c r="CZ105" s="510">
        <f t="shared" si="208"/>
        <v>-3.9033800388525774E-2</v>
      </c>
      <c r="DA105" s="510">
        <f t="shared" si="208"/>
        <v>-1.8534466425763951E-2</v>
      </c>
      <c r="DB105" s="510">
        <f t="shared" si="208"/>
        <v>0.51739756661486558</v>
      </c>
      <c r="DC105" s="67">
        <f t="shared" si="208"/>
        <v>0.10651665149798473</v>
      </c>
      <c r="DD105" s="510">
        <f t="shared" si="208"/>
        <v>0.54017421285130585</v>
      </c>
      <c r="DE105" s="510">
        <f t="shared" si="208"/>
        <v>0.59871164454784198</v>
      </c>
      <c r="DF105" s="510">
        <f t="shared" si="208"/>
        <v>0.61666312761809161</v>
      </c>
      <c r="DG105" s="510">
        <f t="shared" si="208"/>
        <v>6.4793462747676056E-2</v>
      </c>
      <c r="DH105" s="67">
        <f t="shared" si="208"/>
        <v>0.40974536908987913</v>
      </c>
      <c r="DI105" s="510">
        <v>0.60970213817822261</v>
      </c>
      <c r="DJ105" s="510">
        <v>-0.98441952588508486</v>
      </c>
      <c r="DK105" s="510">
        <v>0.48471267802011742</v>
      </c>
      <c r="DL105" s="510">
        <v>-6.7335473515248712E-3</v>
      </c>
      <c r="DM105" s="67">
        <v>2.2255497902376575E-2</v>
      </c>
      <c r="DN105" s="510">
        <f t="shared" si="208"/>
        <v>4.4647998710083625E-2</v>
      </c>
      <c r="DO105" s="510">
        <f t="shared" si="208"/>
        <v>96.461504128542728</v>
      </c>
      <c r="DP105" s="510">
        <f t="shared" si="208"/>
        <v>9.9191709149450968E-3</v>
      </c>
      <c r="DQ105" s="510">
        <f t="shared" si="208"/>
        <v>-2.5953248600124379E-2</v>
      </c>
      <c r="DR105" s="67">
        <f t="shared" ref="DR105:DW105" si="209">DR104/DM104-1</f>
        <v>0.33326416047306129</v>
      </c>
      <c r="DS105" s="510">
        <f t="shared" si="209"/>
        <v>-7.3418298347739164E-2</v>
      </c>
      <c r="DT105" s="510">
        <f t="shared" si="209"/>
        <v>-8.7583719732097221E-3</v>
      </c>
      <c r="DU105" s="510">
        <f t="shared" si="209"/>
        <v>-1.7318820726128559E-2</v>
      </c>
      <c r="DV105" s="510">
        <f t="shared" si="209"/>
        <v>2.117811014608173E-2</v>
      </c>
      <c r="DW105" s="67">
        <f t="shared" si="209"/>
        <v>-2.1214214905824758E-2</v>
      </c>
      <c r="DX105" s="509"/>
      <c r="DY105" s="509"/>
      <c r="DZ105" s="509"/>
      <c r="EA105" s="509"/>
      <c r="EB105" s="67"/>
      <c r="EC105" s="509"/>
      <c r="ED105" s="509"/>
      <c r="EE105" s="509"/>
      <c r="EF105" s="509"/>
      <c r="EG105" s="67"/>
      <c r="EH105" s="509"/>
      <c r="EI105" s="509"/>
      <c r="EJ105" s="509"/>
      <c r="EK105" s="509"/>
      <c r="EL105" s="67"/>
    </row>
    <row r="106" spans="1:142" ht="11.25" customHeight="1">
      <c r="A106" s="159"/>
      <c r="B106" s="159" t="s">
        <v>154</v>
      </c>
      <c r="C106" s="458"/>
      <c r="D106" s="458">
        <f>IF(ISERROR(D104/D86),"nm",D104/D86)</f>
        <v>5.4798280288520314</v>
      </c>
      <c r="E106" s="458">
        <f>IF(ISERROR(E104/E86),"nm",E104/E86)</f>
        <v>5.4772825349855125</v>
      </c>
      <c r="F106" s="458">
        <f>IF(ISERROR(F104/F86),"nm",F104/F86)</f>
        <v>5.5876219112601673</v>
      </c>
      <c r="G106" s="458">
        <f>IF(ISERROR(G104/G86),"nm",G104/G86)</f>
        <v>5.7718127616389703</v>
      </c>
      <c r="H106" s="55">
        <f>IF(ISERROR(H104/H86),"NM",H104/H86)</f>
        <v>5.629134499081637</v>
      </c>
      <c r="I106" s="458">
        <f>IF(ISERROR(I104/I86),"nm",I104/I86)</f>
        <v>5.5534469924576024</v>
      </c>
      <c r="J106" s="458">
        <f>IF(ISERROR(J104/J86),"nm",J104/J86)</f>
        <v>5.4928923340229137</v>
      </c>
      <c r="K106" s="458">
        <f>IF(ISERROR(K104/K86),"nm",K104/K86)</f>
        <v>5.6252145002145006</v>
      </c>
      <c r="L106" s="458">
        <f>IF(ISERROR(L104/L86),"nm",L104/L86)</f>
        <v>5.55437343748752</v>
      </c>
      <c r="M106" s="55">
        <f>IF(ISERROR(M104/M86),"NM",M104/M86)</f>
        <v>5.5579500452213999</v>
      </c>
      <c r="N106" s="458">
        <f>IF(ISERROR(N104/N86),"nm",N104/N86)</f>
        <v>5.4415023320513871</v>
      </c>
      <c r="O106" s="458">
        <f>IF(ISERROR(O104/O86),"nm",O104/O86)</f>
        <v>5.4391718313477408</v>
      </c>
      <c r="P106" s="458">
        <f>IF(ISERROR(P104/P86),"nm",P104/P86)</f>
        <v>5.2589241249706369</v>
      </c>
      <c r="Q106" s="458">
        <f>IF(ISERROR(Q104/Q86),"nm",Q104/Q86)</f>
        <v>5.0045865252106108</v>
      </c>
      <c r="R106" s="55">
        <f>IF(ISERROR(R104/R86),"NM",R104/R86)</f>
        <v>5.2100352401297769</v>
      </c>
      <c r="S106" s="458">
        <f>IF(ISERROR(S104/S86),"nm",S104/S86)</f>
        <v>5.1292928998112579</v>
      </c>
      <c r="T106" s="458">
        <f>IF(ISERROR(T104/T86),"nm",T104/T86)</f>
        <v>5.1568997045998026</v>
      </c>
      <c r="U106" s="458">
        <f>IF(ISERROR(U104/U86),"nm",U104/U86)</f>
        <v>5.3293065748738933</v>
      </c>
      <c r="V106" s="458">
        <f>IF(ISERROR(V104/V86),"nm",V104/V86)</f>
        <v>5.2203192655275874</v>
      </c>
      <c r="W106" s="55">
        <f>IF(ISERROR(W104/W86),"NM",W104/W86)</f>
        <v>5.2122191618152911</v>
      </c>
      <c r="X106" s="458">
        <f>IF(ISERROR(X104/X86),"nm",X104/X86)</f>
        <v>5.0797565326896841</v>
      </c>
      <c r="Y106" s="458">
        <f>IF(ISERROR(Y104/Y86),"nm",Y104/Y86)</f>
        <v>5.1313775682960197</v>
      </c>
      <c r="Z106" s="458">
        <f>IF(ISERROR(Z104/Z86),"nm",Z104/Z86)</f>
        <v>5.2456625081441084</v>
      </c>
      <c r="AA106" s="458">
        <f>IF(ISERROR(AA104/AA86),"nm",AA104/AA86)</f>
        <v>5.2890828302149959</v>
      </c>
      <c r="AB106" s="55">
        <f>IF(ISERROR(AB104/AB86),"NM",AB104/AB86)</f>
        <v>5.1916560223005233</v>
      </c>
      <c r="AC106" s="458">
        <f>IF(ISERROR(AC104/AC86),"nm",AC104/AC86)</f>
        <v>5.1109040931079717</v>
      </c>
      <c r="AD106" s="458">
        <f>IF(ISERROR(AD104/AD86),"nm",AD104/AD86)</f>
        <v>5.2043954016525582</v>
      </c>
      <c r="AE106" s="458">
        <f>IF(ISERROR(AE104/AE86),"nm",AE104/AE86)</f>
        <v>5.3160197170881434</v>
      </c>
      <c r="AF106" s="458">
        <f>IF(ISERROR(AF104/AF86),"nm",AF104/AF86)</f>
        <v>5.2576343617137251</v>
      </c>
      <c r="AG106" s="55">
        <f>IF(ISERROR(AG104/AG86),"NM",AG104/AG86)</f>
        <v>5.2221233530810496</v>
      </c>
      <c r="AH106" s="458">
        <f>IF(ISERROR(AH104/AH86),"nm",AH104/AH86)</f>
        <v>5.175008745845723</v>
      </c>
      <c r="AI106" s="458">
        <f>IF(ISERROR(AI104/AI86),"nm",AI104/AI86)</f>
        <v>5.2004483581282352</v>
      </c>
      <c r="AJ106" s="458">
        <f>IF(ISERROR(AJ104/AJ86),"nm",AJ104/AJ86)</f>
        <v>5.3091385930716015</v>
      </c>
      <c r="AK106" s="458">
        <f>IF(ISERROR(AK104/AK86),"nm",AK104/AK86)</f>
        <v>5.3251115160409954</v>
      </c>
      <c r="AL106" s="55">
        <f>IF(ISERROR(AL104/AL86),"NM",AL104/AL86)</f>
        <v>5.2540950892985423</v>
      </c>
      <c r="AM106" s="458">
        <f>IF(ISERROR(AM104/AM86),"nm",AM104/AM86)</f>
        <v>5.2671283220190608</v>
      </c>
      <c r="AN106" s="458">
        <f>IF(ISERROR(AN104/AN86),"nm",AN104/AN86)</f>
        <v>5.2765656074874103</v>
      </c>
      <c r="AO106" s="458">
        <f>IF(ISERROR(AO104/AO86),"nm",AO104/AO86)</f>
        <v>5.3571990344183149</v>
      </c>
      <c r="AP106" s="458">
        <f>IF(ISERROR(AP104/AP86),"nm",AP104/AP86)</f>
        <v>5.4134000609654924</v>
      </c>
      <c r="AQ106" s="55">
        <f>IF(ISERROR(AQ104/AQ86),"NM",AQ104/AQ86)</f>
        <v>5.3303967090094666</v>
      </c>
      <c r="AR106" s="458">
        <f>IF(ISERROR(AR104/AR86),"nm",AR104/AR86)</f>
        <v>5.3296246935909943</v>
      </c>
      <c r="AS106" s="458">
        <f>IF(ISERROR(AS104/AS86),"nm",AS104/AS86)</f>
        <v>5.3063737059064158</v>
      </c>
      <c r="AT106" s="458">
        <f>IF(ISERROR(AT104/AT86),"nm",AT104/AT86)</f>
        <v>5.3078161016204071</v>
      </c>
      <c r="AU106" s="137"/>
      <c r="AV106" s="458" t="str">
        <f t="shared" ref="AV106:BD106" si="210">IF(ISERROR(AV104/AV86),"nm",AV104/AV86)</f>
        <v>nm</v>
      </c>
      <c r="AW106" s="458" t="str">
        <f t="shared" si="210"/>
        <v>nm</v>
      </c>
      <c r="AX106" s="458" t="str">
        <f t="shared" si="210"/>
        <v>nm</v>
      </c>
      <c r="AY106" s="458" t="str">
        <f t="shared" si="210"/>
        <v>nm</v>
      </c>
      <c r="AZ106" s="462" t="str">
        <f t="shared" si="210"/>
        <v>nm</v>
      </c>
      <c r="BA106" s="458">
        <f t="shared" si="210"/>
        <v>5.400335490449212</v>
      </c>
      <c r="BB106" s="458">
        <f t="shared" si="210"/>
        <v>5.3246391791882539</v>
      </c>
      <c r="BC106" s="458">
        <f t="shared" si="210"/>
        <v>5.2058944956060902</v>
      </c>
      <c r="BD106" s="458">
        <f t="shared" si="210"/>
        <v>5.2749314073771307</v>
      </c>
      <c r="BE106" s="55">
        <f>IF(ISERROR(BE104/BE86),"NM",BE104/BE86)</f>
        <v>5.302236330600862</v>
      </c>
      <c r="BF106" s="458">
        <f>IF(ISERROR(BF104/BF86),"nm",BF104/BF86)</f>
        <v>5.2860574457633618</v>
      </c>
      <c r="BG106" s="458">
        <f>IF(ISERROR(BG104/BG86),"nm",BG104/BG86)</f>
        <v>5.1572963999103854</v>
      </c>
      <c r="BH106" s="177">
        <f>BH104/BH86</f>
        <v>5.1409090110302085</v>
      </c>
      <c r="BI106" s="177">
        <f>BI104/BI86</f>
        <v>5.1803676561771077</v>
      </c>
      <c r="BJ106" s="55">
        <f>BJ104/BJ86</f>
        <v>5.1929887272872852</v>
      </c>
      <c r="BK106" s="177">
        <f>IF(ISERROR(BK104/BK86),"nm",BK104/BK86)</f>
        <v>5.234861984332448</v>
      </c>
      <c r="BL106" s="177">
        <f>IF(ISERROR(BL104/BL86),"nm",BL104/BL86)</f>
        <v>5.1350889476994643</v>
      </c>
      <c r="BM106" s="177">
        <f t="shared" ref="BM106:BS106" si="211">BM104/BM86</f>
        <v>5.0981387478849411</v>
      </c>
      <c r="BN106" s="177">
        <f t="shared" si="211"/>
        <v>5.1272799817601458</v>
      </c>
      <c r="BO106" s="540">
        <f t="shared" si="211"/>
        <v>5.1508285383951531</v>
      </c>
      <c r="BP106" s="177">
        <f t="shared" si="211"/>
        <v>5.1411438116640431</v>
      </c>
      <c r="BQ106" s="177">
        <f t="shared" si="211"/>
        <v>4.9682394247985675</v>
      </c>
      <c r="BR106" s="177">
        <f t="shared" si="211"/>
        <v>4.9266375360296877</v>
      </c>
      <c r="BS106" s="177">
        <f t="shared" si="211"/>
        <v>4.9280204038851236</v>
      </c>
      <c r="BT106" s="540"/>
      <c r="BU106" s="177">
        <f>BU104/BU86</f>
        <v>5.0256861317804375</v>
      </c>
      <c r="BV106" s="177">
        <f>BV104/BV86</f>
        <v>4.9560615595857884</v>
      </c>
      <c r="BW106" s="177">
        <f>BW104/BW86</f>
        <v>4.9240098846545868</v>
      </c>
      <c r="BX106" s="177">
        <f>BX104/BX86</f>
        <v>4.8967938099233415</v>
      </c>
      <c r="BY106" s="540"/>
      <c r="BZ106" s="177">
        <f>BZ104/BZ86</f>
        <v>5.0645227548149014</v>
      </c>
      <c r="CA106" s="177">
        <f>CA104/CA86</f>
        <v>4.9225200211967186</v>
      </c>
      <c r="CB106" s="177">
        <f>CB104/CB86</f>
        <v>4.8623463173618289</v>
      </c>
      <c r="CC106" s="177">
        <f>CC104/CC86</f>
        <v>4.8718914444959109</v>
      </c>
      <c r="CD106" s="540"/>
      <c r="CE106" s="177">
        <f>CE104/CE86</f>
        <v>4.9694880306508926</v>
      </c>
      <c r="CF106" s="177">
        <f>CF104/CF86</f>
        <v>4.8325045277342911</v>
      </c>
      <c r="CG106" s="177">
        <f>CG104/CG86</f>
        <v>4.778416680741298</v>
      </c>
      <c r="CH106" s="177">
        <f>CH104/CH86</f>
        <v>4.8478990364958996</v>
      </c>
      <c r="CI106" s="540"/>
      <c r="CJ106" s="177">
        <f>CJ104/CJ86</f>
        <v>4.9242603639544793</v>
      </c>
      <c r="CK106" s="177">
        <f>CK104/CK86</f>
        <v>4.809081729301532</v>
      </c>
      <c r="CL106" s="177">
        <f>CL104/CL86</f>
        <v>4.7499701540053323</v>
      </c>
      <c r="CM106" s="177">
        <f>CM104/CM86</f>
        <v>4.795277884971294</v>
      </c>
      <c r="CN106" s="540"/>
      <c r="CO106" s="177">
        <f>CO104/CO86</f>
        <v>4.8347345115911047</v>
      </c>
      <c r="CP106" s="177">
        <f>CP104/CP86</f>
        <v>4.7454137206191476</v>
      </c>
      <c r="CQ106" s="177">
        <f>CQ104/CQ86</f>
        <v>4.7182961628592839</v>
      </c>
      <c r="CR106" s="177">
        <f>CR104/CR86</f>
        <v>4.7057209187296065</v>
      </c>
      <c r="CS106" s="540"/>
      <c r="CT106" s="177">
        <f>CT104/CT86</f>
        <v>4.7066011128897021</v>
      </c>
      <c r="CU106" s="177">
        <f>CU104/CU86</f>
        <v>4.7183624216852067</v>
      </c>
      <c r="CV106" s="177">
        <f>CV104/CV86</f>
        <v>4.6496248067975241</v>
      </c>
      <c r="CW106" s="177">
        <f>CW104/CW86</f>
        <v>4.6326602282704128</v>
      </c>
      <c r="CX106" s="540"/>
      <c r="CY106" s="177">
        <f>CY104/CY86</f>
        <v>4.7906756982108964</v>
      </c>
      <c r="CZ106" s="177">
        <f>CZ104/CZ86</f>
        <v>4.6999718361193485</v>
      </c>
      <c r="DA106" s="177">
        <f>DA104/DA86</f>
        <v>4.6873216033692797</v>
      </c>
      <c r="DB106" s="177">
        <f>DB104/DB86</f>
        <v>4.6231457276936156</v>
      </c>
      <c r="DC106" s="540"/>
      <c r="DD106" s="177">
        <f>DD104/DD86</f>
        <v>4.7827747551126505</v>
      </c>
      <c r="DE106" s="177">
        <f>DE104/DE86</f>
        <v>4.6603387775442995</v>
      </c>
      <c r="DF106" s="177">
        <f>DF104/DF86</f>
        <v>4.608121492241664</v>
      </c>
      <c r="DG106" s="177">
        <f>DG104/DG86</f>
        <v>4.6348566994667308</v>
      </c>
      <c r="DH106" s="540"/>
      <c r="DI106" s="177">
        <f>DI104/DI86</f>
        <v>0.62515780025248036</v>
      </c>
      <c r="DJ106" s="177">
        <f>DJ104/DJ86</f>
        <v>6.2141173207599506E-3</v>
      </c>
      <c r="DK106" s="177">
        <f>DK104/DK86</f>
        <v>0.59079605686828152</v>
      </c>
      <c r="DL106" s="177">
        <f>DL104/DL86</f>
        <v>0.58380308598006514</v>
      </c>
      <c r="DM106" s="540"/>
      <c r="DN106" s="177">
        <f t="shared" ref="DN106:DW106" si="212">DN104/DN86</f>
        <v>0.64238263636749937</v>
      </c>
      <c r="DO106" s="177">
        <f t="shared" si="212"/>
        <v>0.63065632445925179</v>
      </c>
      <c r="DP106" s="177">
        <f t="shared" si="212"/>
        <v>0.61976824361177718</v>
      </c>
      <c r="DQ106" s="177">
        <f t="shared" si="212"/>
        <v>0.62752926845773838</v>
      </c>
      <c r="DR106" s="55">
        <f t="shared" si="212"/>
        <v>0.63036205721210892</v>
      </c>
      <c r="DS106" s="177">
        <f t="shared" si="212"/>
        <v>0.64260227747703658</v>
      </c>
      <c r="DT106" s="177">
        <f t="shared" si="212"/>
        <v>0.63973231014445331</v>
      </c>
      <c r="DU106" s="177">
        <f t="shared" si="212"/>
        <v>0.65044238061218884</v>
      </c>
      <c r="DV106" s="177">
        <f t="shared" si="212"/>
        <v>0.66585892241868916</v>
      </c>
      <c r="DW106" s="55">
        <f t="shared" si="212"/>
        <v>0.6494893036829138</v>
      </c>
      <c r="DX106" s="538"/>
      <c r="DY106" s="538"/>
      <c r="DZ106" s="538"/>
      <c r="EA106" s="538"/>
      <c r="EB106" s="540"/>
      <c r="EC106" s="538"/>
      <c r="ED106" s="538"/>
      <c r="EE106" s="538"/>
      <c r="EF106" s="538"/>
      <c r="EG106" s="540"/>
      <c r="EH106" s="538"/>
      <c r="EI106" s="538"/>
      <c r="EJ106" s="538"/>
      <c r="EK106" s="538"/>
      <c r="EL106" s="540"/>
    </row>
    <row r="107" spans="1:142" ht="11.25" customHeight="1">
      <c r="A107" s="546"/>
      <c r="B107" s="546"/>
      <c r="C107" s="547"/>
      <c r="D107" s="547"/>
      <c r="E107" s="547"/>
      <c r="F107" s="547"/>
      <c r="G107" s="547"/>
      <c r="H107" s="548"/>
      <c r="I107" s="547"/>
      <c r="J107" s="547"/>
      <c r="K107" s="547"/>
      <c r="L107" s="547"/>
      <c r="M107" s="548"/>
      <c r="N107" s="547"/>
      <c r="O107" s="547"/>
      <c r="P107" s="547"/>
      <c r="Q107" s="547"/>
      <c r="R107" s="548"/>
      <c r="S107" s="547"/>
      <c r="T107" s="547"/>
      <c r="U107" s="547"/>
      <c r="V107" s="547"/>
      <c r="W107" s="548"/>
      <c r="X107" s="547"/>
      <c r="Y107" s="547"/>
      <c r="Z107" s="547"/>
      <c r="AA107" s="547"/>
      <c r="AB107" s="548"/>
      <c r="AC107" s="547"/>
      <c r="AD107" s="547"/>
      <c r="AE107" s="547"/>
      <c r="AF107" s="547"/>
      <c r="AG107" s="548"/>
      <c r="AH107" s="547"/>
      <c r="AI107" s="547"/>
      <c r="AJ107" s="547"/>
      <c r="AK107" s="547"/>
      <c r="AL107" s="548"/>
      <c r="AM107" s="547"/>
      <c r="AN107" s="547"/>
      <c r="AO107" s="547"/>
      <c r="AP107" s="547"/>
      <c r="AQ107" s="548"/>
      <c r="AR107" s="547"/>
      <c r="AS107" s="547"/>
      <c r="AT107" s="547"/>
      <c r="AU107" s="137"/>
      <c r="AV107" s="547"/>
      <c r="AW107" s="549"/>
      <c r="AX107" s="549"/>
      <c r="AY107" s="549"/>
      <c r="AZ107" s="550"/>
      <c r="BA107" s="549"/>
      <c r="BB107" s="549"/>
      <c r="BC107" s="549"/>
      <c r="BD107" s="549"/>
      <c r="BE107" s="550"/>
      <c r="BF107" s="549"/>
      <c r="BG107" s="549"/>
      <c r="BH107" s="549"/>
      <c r="BI107" s="549"/>
      <c r="BJ107" s="550"/>
      <c r="BK107" s="552"/>
      <c r="BL107" s="552"/>
      <c r="BM107" s="552"/>
      <c r="BN107" s="552"/>
      <c r="BO107" s="551"/>
      <c r="BP107" s="552"/>
      <c r="BQ107" s="552"/>
      <c r="BR107" s="552"/>
      <c r="BS107" s="552"/>
      <c r="BT107" s="551"/>
      <c r="BU107" s="552"/>
      <c r="BV107" s="552"/>
      <c r="BW107" s="552"/>
      <c r="BX107" s="552"/>
      <c r="BY107" s="551"/>
      <c r="BZ107" s="552"/>
      <c r="CA107" s="552"/>
      <c r="CB107" s="552"/>
      <c r="CC107" s="552"/>
      <c r="CD107" s="551"/>
      <c r="CE107" s="552"/>
      <c r="CF107" s="552"/>
      <c r="CG107" s="552"/>
      <c r="CH107" s="552"/>
      <c r="CI107" s="551"/>
      <c r="CJ107" s="552"/>
      <c r="CK107" s="552"/>
      <c r="CL107" s="552"/>
      <c r="CM107" s="552"/>
      <c r="CN107" s="551"/>
      <c r="CO107" s="552"/>
      <c r="CP107" s="552"/>
      <c r="CQ107" s="552"/>
      <c r="CR107" s="552"/>
      <c r="CS107" s="551"/>
      <c r="CT107" s="552"/>
      <c r="CU107" s="552"/>
      <c r="CV107" s="552"/>
      <c r="CW107" s="552"/>
      <c r="CX107" s="551"/>
      <c r="CY107" s="552"/>
      <c r="CZ107" s="552"/>
      <c r="DA107" s="552"/>
      <c r="DB107" s="552"/>
      <c r="DC107" s="551"/>
      <c r="DD107" s="552"/>
      <c r="DE107" s="552"/>
      <c r="DF107" s="552"/>
      <c r="DG107" s="552"/>
      <c r="DH107" s="551"/>
      <c r="DI107" s="552"/>
      <c r="DJ107" s="552"/>
      <c r="DK107" s="552"/>
      <c r="DL107" s="552"/>
      <c r="DM107" s="551"/>
      <c r="DN107" s="552"/>
      <c r="DO107" s="552"/>
      <c r="DP107" s="552"/>
      <c r="DQ107" s="552"/>
      <c r="DR107" s="551"/>
      <c r="DS107" s="552"/>
      <c r="DT107" s="552"/>
      <c r="DU107" s="552"/>
      <c r="DV107" s="552"/>
      <c r="DW107" s="551"/>
      <c r="DX107" s="552"/>
      <c r="DY107" s="552"/>
      <c r="DZ107" s="552"/>
      <c r="EA107" s="552"/>
      <c r="EB107" s="551"/>
      <c r="EC107" s="552"/>
      <c r="ED107" s="552"/>
      <c r="EE107" s="552"/>
      <c r="EF107" s="552"/>
      <c r="EG107" s="551"/>
      <c r="EH107" s="552"/>
      <c r="EI107" s="552"/>
      <c r="EJ107" s="552"/>
      <c r="EK107" s="552"/>
      <c r="EL107" s="551"/>
    </row>
    <row r="108" spans="1:142" ht="11.25" customHeight="1">
      <c r="A108" s="553"/>
      <c r="B108" s="553" t="s">
        <v>155</v>
      </c>
      <c r="C108" s="90"/>
      <c r="D108" s="90">
        <f>D272</f>
        <v>377539</v>
      </c>
      <c r="E108" s="90">
        <f>E272</f>
        <v>369211</v>
      </c>
      <c r="F108" s="90">
        <f>F272</f>
        <v>394453</v>
      </c>
      <c r="G108" s="90">
        <f>G272</f>
        <v>1152383</v>
      </c>
      <c r="H108" s="193">
        <f>SUM(D108:G108)</f>
        <v>2293586</v>
      </c>
      <c r="I108" s="90">
        <f>I272</f>
        <v>1278757</v>
      </c>
      <c r="J108" s="90">
        <f>J272</f>
        <v>1387899</v>
      </c>
      <c r="K108" s="90">
        <f>K272</f>
        <v>1446545</v>
      </c>
      <c r="L108" s="90">
        <f>L272</f>
        <v>1496349</v>
      </c>
      <c r="M108" s="193">
        <f>SUM(I108:L108)</f>
        <v>5609550</v>
      </c>
      <c r="N108" s="90">
        <f>N272</f>
        <v>1540745</v>
      </c>
      <c r="O108" s="90">
        <f>O272</f>
        <v>1615945</v>
      </c>
      <c r="P108" s="90">
        <f>P272</f>
        <v>2620508</v>
      </c>
      <c r="Q108" s="90">
        <f>Q272</f>
        <v>4220068</v>
      </c>
      <c r="R108" s="193">
        <f>SUM(N108:Q108)</f>
        <v>9997266</v>
      </c>
      <c r="S108" s="90">
        <f>S272</f>
        <v>2652213</v>
      </c>
      <c r="T108" s="90">
        <f>T272</f>
        <v>2642883</v>
      </c>
      <c r="U108" s="90">
        <f>U272</f>
        <v>2535187</v>
      </c>
      <c r="V108" s="90">
        <f>V272</f>
        <v>2572674</v>
      </c>
      <c r="W108" s="193">
        <f>SUM(S108:V108)</f>
        <v>10402957</v>
      </c>
      <c r="X108" s="90">
        <f>X272</f>
        <v>2420628</v>
      </c>
      <c r="Y108" s="90">
        <f>Y272</f>
        <v>2326712</v>
      </c>
      <c r="Z108" s="90">
        <f>Z272</f>
        <v>2372360</v>
      </c>
      <c r="AA108" s="90">
        <f>AA272</f>
        <v>2535275</v>
      </c>
      <c r="AB108" s="193">
        <f>SUM(X108:AA108)</f>
        <v>9654975</v>
      </c>
      <c r="AC108" s="90">
        <f>AC272</f>
        <v>2468827</v>
      </c>
      <c r="AD108" s="90">
        <f>AD272</f>
        <v>2289819</v>
      </c>
      <c r="AE108" s="90">
        <f>AE272</f>
        <v>2220852</v>
      </c>
      <c r="AF108" s="90">
        <f>AF272</f>
        <v>2296874</v>
      </c>
      <c r="AG108" s="193">
        <f>SUM(AC108:AF108)</f>
        <v>9276372</v>
      </c>
      <c r="AH108" s="90">
        <f>AH272</f>
        <v>2276519</v>
      </c>
      <c r="AI108" s="90">
        <f>AI272</f>
        <v>2240966</v>
      </c>
      <c r="AJ108" s="90">
        <f>AJ272</f>
        <v>2216645</v>
      </c>
      <c r="AK108" s="90">
        <f>AK272</f>
        <v>2319987</v>
      </c>
      <c r="AL108" s="193">
        <f>SUM(AH108:AK108)</f>
        <v>9054117</v>
      </c>
      <c r="AM108" s="90">
        <f>AM272</f>
        <v>2310626</v>
      </c>
      <c r="AN108" s="90">
        <f>AN272</f>
        <v>2277623</v>
      </c>
      <c r="AO108" s="90">
        <f>AO272</f>
        <v>2261010</v>
      </c>
      <c r="AP108" s="90">
        <f>AP272</f>
        <v>2471484</v>
      </c>
      <c r="AQ108" s="193">
        <f>SUM(AM108:AP108)</f>
        <v>9320743</v>
      </c>
      <c r="AR108" s="90">
        <f>AR272</f>
        <v>2329280</v>
      </c>
      <c r="AS108" s="90">
        <f>AS272</f>
        <v>2343917</v>
      </c>
      <c r="AT108" s="90">
        <f>AT272</f>
        <v>2275989</v>
      </c>
      <c r="AU108" s="137"/>
      <c r="AV108" s="507" t="str">
        <f>AV272</f>
        <v>ND</v>
      </c>
      <c r="AW108" s="507" t="str">
        <f>AW272</f>
        <v>ND</v>
      </c>
      <c r="AX108" s="507" t="str">
        <f>AX272</f>
        <v>ND</v>
      </c>
      <c r="AY108" s="507" t="str">
        <f>AY272</f>
        <v>ND</v>
      </c>
      <c r="AZ108" s="193">
        <f>SUM(AV108:AY108)</f>
        <v>0</v>
      </c>
      <c r="BA108" s="90">
        <f>BA272</f>
        <v>2140993</v>
      </c>
      <c r="BB108" s="90">
        <f>BB272</f>
        <v>2144668</v>
      </c>
      <c r="BC108" s="90">
        <f>BC272</f>
        <v>2125595</v>
      </c>
      <c r="BD108" s="90">
        <f>BD272</f>
        <v>2015840</v>
      </c>
      <c r="BE108" s="193">
        <f>SUM(BA108:BD108)</f>
        <v>8427096</v>
      </c>
      <c r="BF108" s="90">
        <f>BF272</f>
        <v>1572413</v>
      </c>
      <c r="BG108" s="90">
        <f>BG272</f>
        <v>1513651</v>
      </c>
      <c r="BH108" s="90">
        <f>BH272</f>
        <v>1339354</v>
      </c>
      <c r="BI108" s="90">
        <f>BI272</f>
        <v>1349983</v>
      </c>
      <c r="BJ108" s="193">
        <f>SUM(BF108:BI108)</f>
        <v>5775401</v>
      </c>
      <c r="BK108" s="90">
        <f>BK272</f>
        <v>1376156</v>
      </c>
      <c r="BL108" s="90">
        <f>BL272</f>
        <v>1341793</v>
      </c>
      <c r="BM108" s="90">
        <f>BM272</f>
        <v>1246170</v>
      </c>
      <c r="BN108" s="90">
        <f>BN272</f>
        <v>1200682</v>
      </c>
      <c r="BO108" s="74">
        <f>SUM(BK108:BN108)</f>
        <v>5164801</v>
      </c>
      <c r="BP108" s="90">
        <f>BP272</f>
        <v>1228199</v>
      </c>
      <c r="BQ108" s="90">
        <f>BQ272</f>
        <v>1083060</v>
      </c>
      <c r="BR108" s="90">
        <f>BR272</f>
        <v>1050600</v>
      </c>
      <c r="BS108" s="90">
        <f>BS272</f>
        <v>1051106</v>
      </c>
      <c r="BT108" s="74">
        <f>SUM(BP108:BS108)</f>
        <v>4412965</v>
      </c>
      <c r="BU108" s="90">
        <f>BU272</f>
        <v>1069676</v>
      </c>
      <c r="BV108" s="90">
        <f>BV272</f>
        <v>1049048</v>
      </c>
      <c r="BW108" s="90">
        <f>BW272</f>
        <v>1004577</v>
      </c>
      <c r="BX108" s="90">
        <f>BX272</f>
        <v>1002585</v>
      </c>
      <c r="BY108" s="74">
        <f>SUM(BU108:BX108)</f>
        <v>4125886</v>
      </c>
      <c r="BZ108" s="90">
        <f>BZ272</f>
        <v>1026545</v>
      </c>
      <c r="CA108" s="90">
        <f>CA272</f>
        <v>972261</v>
      </c>
      <c r="CB108" s="90">
        <f>CB272</f>
        <v>959222</v>
      </c>
      <c r="CC108" s="90">
        <f>CC272</f>
        <v>946322</v>
      </c>
      <c r="CD108" s="74">
        <f>SUM(BZ108:CC108)</f>
        <v>3904350</v>
      </c>
      <c r="CE108" s="90">
        <f>CE272</f>
        <v>983865</v>
      </c>
      <c r="CF108" s="90">
        <f>CF272</f>
        <v>996468</v>
      </c>
      <c r="CG108" s="90">
        <f>CG272</f>
        <v>995968</v>
      </c>
      <c r="CH108" s="90">
        <f>CH272</f>
        <v>971741</v>
      </c>
      <c r="CI108" s="74">
        <f>SUM(CE108:CH108)</f>
        <v>3948042</v>
      </c>
      <c r="CJ108" s="90">
        <f>CJ272</f>
        <v>952915</v>
      </c>
      <c r="CK108" s="90">
        <f>CK272</f>
        <v>988706</v>
      </c>
      <c r="CL108" s="90">
        <f>CL272</f>
        <v>976310</v>
      </c>
      <c r="CM108" s="90">
        <f>CM272</f>
        <v>999827</v>
      </c>
      <c r="CN108" s="74">
        <f>SUM(CJ108:CM108)</f>
        <v>3917758</v>
      </c>
      <c r="CO108" s="90">
        <f>CO272</f>
        <v>990411</v>
      </c>
      <c r="CP108" s="90">
        <f>CP272</f>
        <v>994204</v>
      </c>
      <c r="CQ108" s="90">
        <f>CQ272</f>
        <v>987318</v>
      </c>
      <c r="CR108" s="90">
        <f>CR272</f>
        <v>982083</v>
      </c>
      <c r="CS108" s="74">
        <f>SUM(CO108:CR108)</f>
        <v>3954016</v>
      </c>
      <c r="CT108" s="90">
        <f>CT272</f>
        <v>1031611</v>
      </c>
      <c r="CU108" s="90">
        <f>CU272</f>
        <v>1046768</v>
      </c>
      <c r="CV108" s="90">
        <f>CV272</f>
        <v>1035236</v>
      </c>
      <c r="CW108" s="90">
        <f>CW272</f>
        <v>1053499</v>
      </c>
      <c r="CX108" s="74">
        <f>SUM(CT108:CW108)</f>
        <v>4167114</v>
      </c>
      <c r="CY108" s="90">
        <f>CY272</f>
        <v>1054789</v>
      </c>
      <c r="CZ108" s="90">
        <f>CZ272</f>
        <v>1072712</v>
      </c>
      <c r="DA108" s="90">
        <f>DA272</f>
        <v>1071421</v>
      </c>
      <c r="DB108" s="90">
        <f>DB272</f>
        <v>1875684</v>
      </c>
      <c r="DC108" s="74">
        <f>SUM(CY108:DB108)</f>
        <v>5074606</v>
      </c>
      <c r="DD108" s="90">
        <f>DD272</f>
        <v>1947687</v>
      </c>
      <c r="DE108" s="90">
        <f>DE272</f>
        <v>2066051</v>
      </c>
      <c r="DF108" s="90">
        <f>DF272</f>
        <v>2125002</v>
      </c>
      <c r="DG108" s="90">
        <f>DG272</f>
        <v>2145138</v>
      </c>
      <c r="DH108" s="74">
        <f>SUM(DD108:DG108)</f>
        <v>8283878</v>
      </c>
      <c r="DI108" s="90">
        <f>DI272</f>
        <v>2145344</v>
      </c>
      <c r="DJ108" s="90">
        <f>DJ272</f>
        <v>2063037</v>
      </c>
      <c r="DK108" s="90">
        <f>DK272</f>
        <v>2076524</v>
      </c>
      <c r="DL108" s="90">
        <f>DL272</f>
        <v>2198005</v>
      </c>
      <c r="DM108" s="74">
        <f>SUM(DI108:DL108)</f>
        <v>8482910</v>
      </c>
      <c r="DN108" s="90">
        <f>DN309</f>
        <v>1949159</v>
      </c>
      <c r="DO108" s="90">
        <f>DO309</f>
        <v>2025946</v>
      </c>
      <c r="DP108" s="90">
        <f>DP309</f>
        <v>1805800</v>
      </c>
      <c r="DQ108" s="90">
        <f>DQ309</f>
        <v>1782614</v>
      </c>
      <c r="DR108" s="74">
        <f>SUM(DN108:DQ108)</f>
        <v>7563519</v>
      </c>
      <c r="DS108" s="90">
        <f>DS309</f>
        <v>2009408</v>
      </c>
      <c r="DT108" s="90">
        <f>DT309</f>
        <v>1950251</v>
      </c>
      <c r="DU108" s="90">
        <f>DU309</f>
        <v>1813595</v>
      </c>
      <c r="DV108" s="90">
        <f>DV309</f>
        <v>1865781</v>
      </c>
      <c r="DW108" s="74">
        <f>SUM(DS108:DV108)</f>
        <v>7639035</v>
      </c>
      <c r="DX108" s="171"/>
      <c r="DY108" s="171"/>
      <c r="DZ108" s="171"/>
      <c r="EA108" s="171"/>
      <c r="EB108" s="74"/>
      <c r="EC108" s="171"/>
      <c r="ED108" s="171"/>
      <c r="EE108" s="171"/>
      <c r="EF108" s="171"/>
      <c r="EG108" s="74"/>
      <c r="EH108" s="171"/>
      <c r="EI108" s="171"/>
      <c r="EJ108" s="171"/>
      <c r="EK108" s="171"/>
      <c r="EL108" s="74"/>
    </row>
    <row r="109" spans="1:142" ht="11.25" customHeight="1">
      <c r="A109" s="511"/>
      <c r="B109" s="511" t="s">
        <v>133</v>
      </c>
      <c r="C109" s="163"/>
      <c r="D109" s="163"/>
      <c r="E109" s="163"/>
      <c r="F109" s="163"/>
      <c r="G109" s="163"/>
      <c r="H109" s="85"/>
      <c r="I109" s="84">
        <f t="shared" ref="I109:AT109" si="213">IF(ISERROR(I108/D108-1),"nm",I108/D108-1)</f>
        <v>2.3870858374896367</v>
      </c>
      <c r="J109" s="84">
        <f t="shared" si="213"/>
        <v>2.7590943931789682</v>
      </c>
      <c r="K109" s="84">
        <f t="shared" si="213"/>
        <v>2.6672176406314567</v>
      </c>
      <c r="L109" s="84">
        <f t="shared" si="213"/>
        <v>0.2984823622007613</v>
      </c>
      <c r="M109" s="85">
        <f t="shared" si="213"/>
        <v>1.4457552496396473</v>
      </c>
      <c r="N109" s="84">
        <f t="shared" si="213"/>
        <v>0.20487707985176229</v>
      </c>
      <c r="O109" s="84">
        <f t="shared" si="213"/>
        <v>0.16431022718511934</v>
      </c>
      <c r="P109" s="84">
        <f t="shared" si="213"/>
        <v>0.81156341489549244</v>
      </c>
      <c r="Q109" s="84">
        <f t="shared" si="213"/>
        <v>1.8202431384656923</v>
      </c>
      <c r="R109" s="85">
        <f t="shared" si="213"/>
        <v>0.78218680642832306</v>
      </c>
      <c r="S109" s="84">
        <f t="shared" si="213"/>
        <v>0.72138348656007323</v>
      </c>
      <c r="T109" s="84">
        <f t="shared" si="213"/>
        <v>0.63550306477015006</v>
      </c>
      <c r="U109" s="84">
        <f t="shared" si="213"/>
        <v>-3.2558954218037117E-2</v>
      </c>
      <c r="V109" s="84">
        <f t="shared" si="213"/>
        <v>-0.390371434773089</v>
      </c>
      <c r="W109" s="85">
        <f t="shared" si="213"/>
        <v>4.0580194625210453E-2</v>
      </c>
      <c r="X109" s="84">
        <f t="shared" si="213"/>
        <v>-8.7317647564505552E-2</v>
      </c>
      <c r="Y109" s="84">
        <f t="shared" si="213"/>
        <v>-0.11963109982545572</v>
      </c>
      <c r="Z109" s="84">
        <f t="shared" si="213"/>
        <v>-6.4226820348952551E-2</v>
      </c>
      <c r="AA109" s="84">
        <f t="shared" si="213"/>
        <v>-1.4537014794723357E-2</v>
      </c>
      <c r="AB109" s="85">
        <f t="shared" si="213"/>
        <v>-7.1900902791389054E-2</v>
      </c>
      <c r="AC109" s="84">
        <f t="shared" si="213"/>
        <v>1.9911774960877926E-2</v>
      </c>
      <c r="AD109" s="84">
        <f t="shared" si="213"/>
        <v>-1.5856281310278164E-2</v>
      </c>
      <c r="AE109" s="84">
        <f t="shared" si="213"/>
        <v>-6.3863831796186044E-2</v>
      </c>
      <c r="AF109" s="84">
        <f t="shared" si="213"/>
        <v>-9.4033586100127242E-2</v>
      </c>
      <c r="AG109" s="85">
        <f t="shared" si="213"/>
        <v>-3.9213255342453013E-2</v>
      </c>
      <c r="AH109" s="84">
        <f t="shared" si="213"/>
        <v>-7.7894481873375443E-2</v>
      </c>
      <c r="AI109" s="84">
        <f t="shared" si="213"/>
        <v>-2.1334874066465503E-2</v>
      </c>
      <c r="AJ109" s="84">
        <f t="shared" si="213"/>
        <v>-1.8943180365013079E-3</v>
      </c>
      <c r="AK109" s="84">
        <f t="shared" si="213"/>
        <v>1.0062807102174443E-2</v>
      </c>
      <c r="AL109" s="85">
        <f t="shared" si="213"/>
        <v>-2.3959259072404593E-2</v>
      </c>
      <c r="AM109" s="84">
        <f t="shared" si="213"/>
        <v>1.4982084489520986E-2</v>
      </c>
      <c r="AN109" s="84">
        <f t="shared" si="213"/>
        <v>1.6357677894265343E-2</v>
      </c>
      <c r="AO109" s="84">
        <f t="shared" si="213"/>
        <v>2.0014481344554413E-2</v>
      </c>
      <c r="AP109" s="84">
        <f t="shared" si="213"/>
        <v>6.5300796944120831E-2</v>
      </c>
      <c r="AQ109" s="85">
        <f t="shared" si="213"/>
        <v>2.9448040046312629E-2</v>
      </c>
      <c r="AR109" s="84">
        <f t="shared" si="213"/>
        <v>8.0731368901760803E-3</v>
      </c>
      <c r="AS109" s="84">
        <f t="shared" si="213"/>
        <v>2.9106660759923741E-2</v>
      </c>
      <c r="AT109" s="84">
        <f t="shared" si="213"/>
        <v>6.6249154139079725E-3</v>
      </c>
      <c r="AU109" s="137"/>
      <c r="AV109" s="163"/>
      <c r="AW109" s="163"/>
      <c r="AX109" s="163"/>
      <c r="AY109" s="163"/>
      <c r="AZ109" s="85"/>
      <c r="BA109" s="84" t="str">
        <f>IF(ISERROR(BA108/AV108-1),"nm",BA108/AV108-1)</f>
        <v>nm</v>
      </c>
      <c r="BB109" s="84" t="str">
        <f>IF(ISERROR(BB108/AW108-1),"nm",BB108/AW108-1)</f>
        <v>nm</v>
      </c>
      <c r="BC109" s="84" t="str">
        <f>IF(ISERROR(BC108/AX108-1),"nm",BC108/AX108-1)</f>
        <v>nm</v>
      </c>
      <c r="BD109" s="84" t="str">
        <f>IF(ISERROR(BD108/AY108-1),"nm",BD108/AY108-1)</f>
        <v>nm</v>
      </c>
      <c r="BE109" s="85" t="str">
        <f>IF(ISERROR(BE108/AZ108-1),"nm",BE108/AZ108-1)</f>
        <v>nm</v>
      </c>
      <c r="BF109" s="510">
        <f>BF108/BA108-1</f>
        <v>-0.26556836010206475</v>
      </c>
      <c r="BG109" s="510">
        <f>BG108/BB108-1</f>
        <v>-0.29422595944920149</v>
      </c>
      <c r="BH109" s="510">
        <f>BH108/BC108-1</f>
        <v>-0.36989219489131275</v>
      </c>
      <c r="BI109" s="84" t="s">
        <v>89</v>
      </c>
      <c r="BJ109" s="67">
        <f>BJ108/BE108-1</f>
        <v>-0.31466296337433441</v>
      </c>
      <c r="BK109" s="510">
        <f>IF(ISERROR(BK108/BF108-1),"NM",BK108/BF108-1)</f>
        <v>-0.12481262874321186</v>
      </c>
      <c r="BL109" s="510">
        <f>IF(ISERROR(BL108/BG108-1),"NM",BL108/BG108-1)</f>
        <v>-0.11353872193788395</v>
      </c>
      <c r="BM109" s="510">
        <f>IF(ISERROR(BM108/BH108-1),"NM",BM108/BH108-1)</f>
        <v>-6.9573839328512133E-2</v>
      </c>
      <c r="BN109" s="510">
        <f>IF(ISERROR(BN108/BI108-1),"NM",BN108/BI108-1)</f>
        <v>-0.11059472600766085</v>
      </c>
      <c r="BO109" s="67">
        <f>IF(ISERROR(BO108/BJ108-1),"NM",BO108/BJ108-1)</f>
        <v>-0.10572426053186612</v>
      </c>
      <c r="BP109" s="510">
        <f t="shared" ref="BP109:DM109" si="214">BP108/BK108-1</f>
        <v>-0.10751470036827215</v>
      </c>
      <c r="BQ109" s="510">
        <f t="shared" si="214"/>
        <v>-0.19282631523640381</v>
      </c>
      <c r="BR109" s="510">
        <f t="shared" si="214"/>
        <v>-0.15693685452225614</v>
      </c>
      <c r="BS109" s="510">
        <f t="shared" si="214"/>
        <v>-0.12457586604946191</v>
      </c>
      <c r="BT109" s="67">
        <f t="shared" si="214"/>
        <v>-0.14556920973334697</v>
      </c>
      <c r="BU109" s="510">
        <f t="shared" si="214"/>
        <v>-0.12906947489779752</v>
      </c>
      <c r="BV109" s="510">
        <f t="shared" si="214"/>
        <v>-3.1403615681495078E-2</v>
      </c>
      <c r="BW109" s="510">
        <f t="shared" si="214"/>
        <v>-4.3806396344945764E-2</v>
      </c>
      <c r="BX109" s="510">
        <f t="shared" si="214"/>
        <v>-4.6161852372643697E-2</v>
      </c>
      <c r="BY109" s="67">
        <f t="shared" si="214"/>
        <v>-6.5053541099918122E-2</v>
      </c>
      <c r="BZ109" s="510">
        <f t="shared" si="214"/>
        <v>-4.0321555312075819E-2</v>
      </c>
      <c r="CA109" s="510">
        <f t="shared" si="214"/>
        <v>-7.3196841326612305E-2</v>
      </c>
      <c r="CB109" s="510">
        <f t="shared" si="214"/>
        <v>-4.5148355974703791E-2</v>
      </c>
      <c r="CC109" s="510">
        <f t="shared" si="214"/>
        <v>-5.6117935137669162E-2</v>
      </c>
      <c r="CD109" s="67">
        <f t="shared" si="214"/>
        <v>-5.3694164114083565E-2</v>
      </c>
      <c r="CE109" s="510">
        <f t="shared" si="214"/>
        <v>-4.1576355639548201E-2</v>
      </c>
      <c r="CF109" s="510">
        <f t="shared" si="214"/>
        <v>2.4897635511452076E-2</v>
      </c>
      <c r="CG109" s="510">
        <f t="shared" si="214"/>
        <v>3.8308128879446013E-2</v>
      </c>
      <c r="CH109" s="510">
        <f t="shared" si="214"/>
        <v>2.6860835952244644E-2</v>
      </c>
      <c r="CI109" s="67">
        <f t="shared" si="214"/>
        <v>1.1190595105459389E-2</v>
      </c>
      <c r="CJ109" s="510">
        <f t="shared" si="214"/>
        <v>-3.1457567857378854E-2</v>
      </c>
      <c r="CK109" s="510">
        <f t="shared" si="214"/>
        <v>-7.7895125583561375E-3</v>
      </c>
      <c r="CL109" s="510">
        <f t="shared" si="214"/>
        <v>-1.973758193034314E-2</v>
      </c>
      <c r="CM109" s="510">
        <f t="shared" si="214"/>
        <v>2.8902763184840419E-2</v>
      </c>
      <c r="CN109" s="67">
        <f t="shared" si="214"/>
        <v>-7.6706377490411981E-3</v>
      </c>
      <c r="CO109" s="510">
        <f t="shared" si="214"/>
        <v>3.9348735196738538E-2</v>
      </c>
      <c r="CP109" s="510">
        <f t="shared" si="214"/>
        <v>5.560803717181928E-3</v>
      </c>
      <c r="CQ109" s="510">
        <f t="shared" si="214"/>
        <v>1.1275107291741415E-2</v>
      </c>
      <c r="CR109" s="510">
        <f t="shared" si="214"/>
        <v>-1.774707024315203E-2</v>
      </c>
      <c r="CS109" s="67">
        <f t="shared" si="214"/>
        <v>9.2547829651550284E-3</v>
      </c>
      <c r="CT109" s="510">
        <f t="shared" si="214"/>
        <v>4.1598891773213298E-2</v>
      </c>
      <c r="CU109" s="510">
        <f t="shared" si="214"/>
        <v>5.287043705316008E-2</v>
      </c>
      <c r="CV109" s="510">
        <f t="shared" si="214"/>
        <v>4.8533501870724471E-2</v>
      </c>
      <c r="CW109" s="510">
        <f t="shared" si="214"/>
        <v>7.271890461396846E-2</v>
      </c>
      <c r="CX109" s="67">
        <f t="shared" si="214"/>
        <v>5.3894066184861256E-2</v>
      </c>
      <c r="CY109" s="510">
        <f t="shared" si="214"/>
        <v>2.2467771282004501E-2</v>
      </c>
      <c r="CZ109" s="510">
        <f t="shared" si="214"/>
        <v>2.4784861593017737E-2</v>
      </c>
      <c r="DA109" s="510">
        <f t="shared" si="214"/>
        <v>3.4953382610342087E-2</v>
      </c>
      <c r="DB109" s="510">
        <f t="shared" si="214"/>
        <v>0.78043263448755051</v>
      </c>
      <c r="DC109" s="67">
        <f t="shared" si="214"/>
        <v>0.21777469970823926</v>
      </c>
      <c r="DD109" s="510">
        <f t="shared" si="214"/>
        <v>0.84651811878963468</v>
      </c>
      <c r="DE109" s="510">
        <f t="shared" si="214"/>
        <v>0.92600716688169804</v>
      </c>
      <c r="DF109" s="510">
        <f t="shared" si="214"/>
        <v>0.98334921566779077</v>
      </c>
      <c r="DG109" s="510">
        <f t="shared" si="214"/>
        <v>0.14365639414741493</v>
      </c>
      <c r="DH109" s="67">
        <f t="shared" si="214"/>
        <v>0.63241796505975034</v>
      </c>
      <c r="DI109" s="510">
        <f t="shared" si="214"/>
        <v>0.1014829384803615</v>
      </c>
      <c r="DJ109" s="510">
        <f t="shared" si="214"/>
        <v>-1.4588216844598767E-3</v>
      </c>
      <c r="DK109" s="510">
        <f t="shared" si="214"/>
        <v>-2.2813154999383523E-2</v>
      </c>
      <c r="DL109" s="510">
        <f t="shared" si="214"/>
        <v>2.4645034491953322E-2</v>
      </c>
      <c r="DM109" s="67">
        <f t="shared" si="214"/>
        <v>2.4026428201863848E-2</v>
      </c>
      <c r="DN109" s="510">
        <f t="shared" ref="DN109:DW109" si="215">DN108/DI108-1</f>
        <v>-9.1446872855821759E-2</v>
      </c>
      <c r="DO109" s="510">
        <f t="shared" si="215"/>
        <v>-1.7978834116886944E-2</v>
      </c>
      <c r="DP109" s="510">
        <f t="shared" si="215"/>
        <v>-0.13037364364678661</v>
      </c>
      <c r="DQ109" s="510">
        <f t="shared" si="215"/>
        <v>-0.18898546636609104</v>
      </c>
      <c r="DR109" s="67">
        <f t="shared" si="215"/>
        <v>-0.10838155774374592</v>
      </c>
      <c r="DS109" s="510">
        <f t="shared" si="215"/>
        <v>3.0910254114723257E-2</v>
      </c>
      <c r="DT109" s="510">
        <f t="shared" si="215"/>
        <v>-3.7362792492988461E-2</v>
      </c>
      <c r="DU109" s="510">
        <f t="shared" si="215"/>
        <v>4.316646361723242E-3</v>
      </c>
      <c r="DV109" s="510">
        <f t="shared" si="215"/>
        <v>4.6654519710941367E-2</v>
      </c>
      <c r="DW109" s="67">
        <f t="shared" si="215"/>
        <v>9.984241462208221E-3</v>
      </c>
      <c r="DX109" s="554"/>
      <c r="DY109" s="554"/>
      <c r="DZ109" s="554"/>
      <c r="EA109" s="554"/>
      <c r="EB109" s="67"/>
      <c r="EC109" s="554"/>
      <c r="ED109" s="554"/>
      <c r="EE109" s="554"/>
      <c r="EF109" s="554"/>
      <c r="EG109" s="67"/>
      <c r="EH109" s="554"/>
      <c r="EI109" s="554"/>
      <c r="EJ109" s="554"/>
      <c r="EK109" s="554"/>
      <c r="EL109" s="67"/>
    </row>
    <row r="110" spans="1:142" ht="11.25" customHeight="1">
      <c r="A110" s="192"/>
      <c r="B110" s="192"/>
      <c r="C110" s="171"/>
      <c r="D110" s="171"/>
      <c r="E110" s="171"/>
      <c r="F110" s="171"/>
      <c r="G110" s="171"/>
      <c r="H110" s="193"/>
      <c r="I110" s="171"/>
      <c r="J110" s="171"/>
      <c r="K110" s="171"/>
      <c r="L110" s="171"/>
      <c r="M110" s="193"/>
      <c r="N110" s="171"/>
      <c r="O110" s="171"/>
      <c r="P110" s="171"/>
      <c r="Q110" s="171"/>
      <c r="R110" s="193"/>
      <c r="S110" s="171"/>
      <c r="T110" s="171"/>
      <c r="U110" s="171"/>
      <c r="V110" s="171"/>
      <c r="W110" s="193"/>
      <c r="X110" s="171"/>
      <c r="Y110" s="171"/>
      <c r="Z110" s="171"/>
      <c r="AA110" s="171"/>
      <c r="AB110" s="193"/>
      <c r="AC110" s="171"/>
      <c r="AD110" s="171"/>
      <c r="AE110" s="171"/>
      <c r="AF110" s="171"/>
      <c r="AG110" s="193"/>
      <c r="AH110" s="171"/>
      <c r="AI110" s="171"/>
      <c r="AJ110" s="171"/>
      <c r="AK110" s="171"/>
      <c r="AL110" s="193"/>
      <c r="AM110" s="171"/>
      <c r="AN110" s="171"/>
      <c r="AO110" s="171"/>
      <c r="AP110" s="171"/>
      <c r="AQ110" s="193"/>
      <c r="AR110" s="171"/>
      <c r="AS110" s="171"/>
      <c r="AT110" s="171"/>
      <c r="AU110" s="137"/>
      <c r="AV110" s="171"/>
      <c r="AW110" s="171"/>
      <c r="AX110" s="171"/>
      <c r="AY110" s="171"/>
      <c r="AZ110" s="193"/>
      <c r="BA110" s="171"/>
      <c r="BB110" s="171"/>
      <c r="BC110" s="171"/>
      <c r="BD110" s="171"/>
      <c r="BE110" s="193"/>
      <c r="BF110" s="171"/>
      <c r="BG110" s="171"/>
      <c r="BH110" s="171"/>
      <c r="BI110" s="171"/>
      <c r="BJ110" s="193"/>
      <c r="BK110" s="211"/>
      <c r="BL110" s="211"/>
      <c r="BM110" s="211"/>
      <c r="BN110" s="211"/>
      <c r="BO110" s="74"/>
      <c r="BP110" s="211"/>
      <c r="BQ110" s="211"/>
      <c r="BR110" s="211"/>
      <c r="BS110" s="211"/>
      <c r="BT110" s="74"/>
      <c r="BU110" s="211"/>
      <c r="BV110" s="211"/>
      <c r="BW110" s="211"/>
      <c r="BX110" s="211"/>
      <c r="BY110" s="74"/>
      <c r="BZ110" s="211"/>
      <c r="CA110" s="211"/>
      <c r="CB110" s="211"/>
      <c r="CC110" s="211"/>
      <c r="CD110" s="74"/>
      <c r="CE110" s="211"/>
      <c r="CF110" s="211"/>
      <c r="CG110" s="211"/>
      <c r="CH110" s="211"/>
      <c r="CI110" s="74"/>
      <c r="CJ110" s="211"/>
      <c r="CK110" s="211"/>
      <c r="CL110" s="211"/>
      <c r="CM110" s="211"/>
      <c r="CN110" s="74"/>
      <c r="CO110" s="211"/>
      <c r="CP110" s="211"/>
      <c r="CQ110" s="211"/>
      <c r="CR110" s="211"/>
      <c r="CS110" s="74"/>
      <c r="CT110" s="211"/>
      <c r="CU110" s="211"/>
      <c r="CV110" s="211"/>
      <c r="CW110" s="211"/>
      <c r="CX110" s="74"/>
      <c r="CY110" s="211"/>
      <c r="CZ110" s="211"/>
      <c r="DA110" s="211"/>
      <c r="DB110" s="211"/>
      <c r="DC110" s="74"/>
      <c r="DD110" s="211"/>
      <c r="DE110" s="211"/>
      <c r="DF110" s="211"/>
      <c r="DG110" s="211"/>
      <c r="DH110" s="74"/>
      <c r="DI110" s="211"/>
      <c r="DJ110" s="211"/>
      <c r="DK110" s="211"/>
      <c r="DL110" s="211"/>
      <c r="DM110" s="74"/>
      <c r="DN110" s="211"/>
      <c r="DO110" s="211"/>
      <c r="DP110" s="211"/>
      <c r="DQ110" s="211"/>
      <c r="DR110" s="74"/>
      <c r="DS110" s="211"/>
      <c r="DT110" s="211"/>
      <c r="DU110" s="211"/>
      <c r="DV110" s="211"/>
      <c r="DW110" s="74"/>
      <c r="DX110" s="211"/>
      <c r="DY110" s="211"/>
      <c r="DZ110" s="211"/>
      <c r="EA110" s="211"/>
      <c r="EB110" s="74"/>
      <c r="EC110" s="211"/>
      <c r="ED110" s="211"/>
      <c r="EE110" s="211"/>
      <c r="EF110" s="211"/>
      <c r="EG110" s="74"/>
      <c r="EH110" s="211"/>
      <c r="EI110" s="211"/>
      <c r="EJ110" s="211"/>
      <c r="EK110" s="211"/>
      <c r="EL110" s="74"/>
    </row>
    <row r="111" spans="1:142" ht="11.25" customHeight="1">
      <c r="A111" s="159"/>
      <c r="B111" s="159" t="s">
        <v>156</v>
      </c>
      <c r="C111" s="507"/>
      <c r="D111" s="507" t="str">
        <f>D366</f>
        <v>ND</v>
      </c>
      <c r="E111" s="507" t="str">
        <f>E366</f>
        <v>ND</v>
      </c>
      <c r="F111" s="507" t="str">
        <f>F366</f>
        <v>ND</v>
      </c>
      <c r="G111" s="507" t="str">
        <f>G366</f>
        <v>ND</v>
      </c>
      <c r="H111" s="74">
        <f>SUM(D111:G111)</f>
        <v>0</v>
      </c>
      <c r="I111" s="507" t="str">
        <f>I366</f>
        <v>ND</v>
      </c>
      <c r="J111" s="507" t="str">
        <f>J366</f>
        <v>ND</v>
      </c>
      <c r="K111" s="507" t="str">
        <f>K366</f>
        <v>ND</v>
      </c>
      <c r="L111" s="507" t="str">
        <f>L366</f>
        <v>ND</v>
      </c>
      <c r="M111" s="74">
        <f>SUM(I111:L111)</f>
        <v>0</v>
      </c>
      <c r="N111" s="507" t="str">
        <f>N366</f>
        <v>ND</v>
      </c>
      <c r="O111" s="507" t="str">
        <f>O366</f>
        <v>ND</v>
      </c>
      <c r="P111" s="507" t="str">
        <f>P366</f>
        <v>ND</v>
      </c>
      <c r="Q111" s="507" t="str">
        <f>Q366</f>
        <v>ND</v>
      </c>
      <c r="R111" s="74">
        <f>SUM(N111:Q111)</f>
        <v>0</v>
      </c>
      <c r="S111" s="507">
        <f>S366</f>
        <v>0.32300000000000001</v>
      </c>
      <c r="T111" s="507">
        <f>T366</f>
        <v>0.32800000000000001</v>
      </c>
      <c r="U111" s="507">
        <f>U366</f>
        <v>0.33700000000000002</v>
      </c>
      <c r="V111" s="507" t="str">
        <f>V366</f>
        <v>ND</v>
      </c>
      <c r="W111" s="74">
        <f>SUM(S111:V111)</f>
        <v>0.98799999999999999</v>
      </c>
      <c r="X111" s="507">
        <f>X366</f>
        <v>0.35799999999999998</v>
      </c>
      <c r="Y111" s="507">
        <f>Y366</f>
        <v>0.37</v>
      </c>
      <c r="Z111" s="507">
        <f>Z366</f>
        <v>0.38400000000000001</v>
      </c>
      <c r="AA111" s="507" t="str">
        <f>AA366</f>
        <v>ND</v>
      </c>
      <c r="AB111" s="74">
        <f>SUM(X111:AA111)</f>
        <v>1.1120000000000001</v>
      </c>
      <c r="AC111" s="507">
        <f>AC366</f>
        <v>0.372</v>
      </c>
      <c r="AD111" s="507">
        <f>AD366</f>
        <v>0.41899999999999998</v>
      </c>
      <c r="AE111" s="507">
        <f>AE366</f>
        <v>0.40600000000000003</v>
      </c>
      <c r="AF111" s="507" t="str">
        <f>AF366</f>
        <v>ND</v>
      </c>
      <c r="AG111" s="74">
        <f>SUM(AC111:AF111)</f>
        <v>1.1970000000000001</v>
      </c>
      <c r="AH111" s="507">
        <f>AH366</f>
        <v>0.41099999999999998</v>
      </c>
      <c r="AI111" s="507">
        <f>AI366</f>
        <v>0.439</v>
      </c>
      <c r="AJ111" s="507">
        <f>AJ366</f>
        <v>0.438</v>
      </c>
      <c r="AK111" s="507" t="str">
        <f>AK366</f>
        <v>ND</v>
      </c>
      <c r="AL111" s="74">
        <f>SUM(AH111:AK111)</f>
        <v>1.288</v>
      </c>
      <c r="AM111" s="507">
        <f>AM366</f>
        <v>0.42899999999999999</v>
      </c>
      <c r="AN111" s="507">
        <f>AN366</f>
        <v>0.44500000000000001</v>
      </c>
      <c r="AO111" s="507">
        <f>AO366</f>
        <v>0.442</v>
      </c>
      <c r="AP111" s="507" t="str">
        <f>AP366</f>
        <v>ND</v>
      </c>
      <c r="AQ111" s="74">
        <f>SUM(AM111:AP111)</f>
        <v>1.3160000000000001</v>
      </c>
      <c r="AR111" s="507">
        <f>AR366</f>
        <v>0.45400000000000001</v>
      </c>
      <c r="AS111" s="507">
        <f>AS366</f>
        <v>0.46200000000000002</v>
      </c>
      <c r="AT111" s="507">
        <f>AT366</f>
        <v>0.48599999999999999</v>
      </c>
      <c r="AU111" s="137"/>
      <c r="AV111" s="507" t="str">
        <f t="shared" ref="AV111:CA111" si="216">AV273</f>
        <v>ND</v>
      </c>
      <c r="AW111" s="507" t="str">
        <f t="shared" si="216"/>
        <v>ND</v>
      </c>
      <c r="AX111" s="507" t="str">
        <f t="shared" si="216"/>
        <v>ND</v>
      </c>
      <c r="AY111" s="507" t="str">
        <f t="shared" si="216"/>
        <v>ND</v>
      </c>
      <c r="AZ111" s="74" t="str">
        <f t="shared" si="216"/>
        <v>ND</v>
      </c>
      <c r="BA111" s="507" t="str">
        <f t="shared" si="216"/>
        <v>ND</v>
      </c>
      <c r="BB111" s="507" t="str">
        <f t="shared" si="216"/>
        <v>ND</v>
      </c>
      <c r="BC111" s="507" t="str">
        <f t="shared" si="216"/>
        <v>ND</v>
      </c>
      <c r="BD111" s="507" t="str">
        <f t="shared" si="216"/>
        <v>ND</v>
      </c>
      <c r="BE111" s="74" t="str">
        <f t="shared" si="216"/>
        <v>ND</v>
      </c>
      <c r="BF111" s="507" t="str">
        <f t="shared" si="216"/>
        <v>ND</v>
      </c>
      <c r="BG111" s="507" t="str">
        <f t="shared" si="216"/>
        <v>ND</v>
      </c>
      <c r="BH111" s="507" t="str">
        <f t="shared" si="216"/>
        <v>ND</v>
      </c>
      <c r="BI111" s="507" t="str">
        <f t="shared" si="216"/>
        <v>ND</v>
      </c>
      <c r="BJ111" s="74" t="str">
        <f t="shared" si="216"/>
        <v>ND</v>
      </c>
      <c r="BK111" s="90" t="str">
        <f t="shared" si="216"/>
        <v>ND</v>
      </c>
      <c r="BL111" s="90" t="str">
        <f t="shared" si="216"/>
        <v>ND</v>
      </c>
      <c r="BM111" s="90" t="str">
        <f t="shared" si="216"/>
        <v>ND</v>
      </c>
      <c r="BN111" s="90" t="str">
        <f t="shared" si="216"/>
        <v>ND</v>
      </c>
      <c r="BO111" s="74" t="str">
        <f t="shared" si="216"/>
        <v>ND</v>
      </c>
      <c r="BP111" s="90">
        <f t="shared" si="216"/>
        <v>-39496</v>
      </c>
      <c r="BQ111" s="90">
        <f t="shared" si="216"/>
        <v>-42505</v>
      </c>
      <c r="BR111" s="90">
        <f t="shared" si="216"/>
        <v>-45217</v>
      </c>
      <c r="BS111" s="90">
        <f t="shared" si="216"/>
        <v>-39902</v>
      </c>
      <c r="BT111" s="74">
        <f t="shared" si="216"/>
        <v>-167120</v>
      </c>
      <c r="BU111" s="90">
        <f t="shared" si="216"/>
        <v>-43225</v>
      </c>
      <c r="BV111" s="90">
        <f t="shared" si="216"/>
        <v>-44960</v>
      </c>
      <c r="BW111" s="90">
        <f t="shared" si="216"/>
        <v>-43984</v>
      </c>
      <c r="BX111" s="90">
        <f t="shared" si="216"/>
        <v>-37904</v>
      </c>
      <c r="BY111" s="74">
        <f t="shared" si="216"/>
        <v>-170073</v>
      </c>
      <c r="BZ111" s="90">
        <f t="shared" si="216"/>
        <v>904045</v>
      </c>
      <c r="CA111" s="90">
        <f t="shared" si="216"/>
        <v>854249</v>
      </c>
      <c r="CB111" s="90">
        <f t="shared" ref="CB111:DG111" si="217">CB273</f>
        <v>839920</v>
      </c>
      <c r="CC111" s="90">
        <f t="shared" si="217"/>
        <v>830633</v>
      </c>
      <c r="CD111" s="74">
        <f t="shared" si="217"/>
        <v>3355514</v>
      </c>
      <c r="CE111" s="90">
        <f t="shared" si="217"/>
        <v>873084</v>
      </c>
      <c r="CF111" s="90">
        <f t="shared" si="217"/>
        <v>881986</v>
      </c>
      <c r="CG111" s="90">
        <f t="shared" si="217"/>
        <v>878765</v>
      </c>
      <c r="CH111" s="90">
        <f t="shared" si="217"/>
        <v>858579</v>
      </c>
      <c r="CI111" s="74">
        <f t="shared" si="217"/>
        <v>3480137</v>
      </c>
      <c r="CJ111" s="90">
        <f t="shared" si="217"/>
        <v>856328</v>
      </c>
      <c r="CK111" s="90">
        <f t="shared" si="217"/>
        <v>883922</v>
      </c>
      <c r="CL111" s="90">
        <f t="shared" si="217"/>
        <v>871930</v>
      </c>
      <c r="CM111" s="90">
        <f t="shared" si="217"/>
        <v>900182</v>
      </c>
      <c r="CN111" s="74">
        <f t="shared" si="217"/>
        <v>3512362</v>
      </c>
      <c r="CO111" s="90">
        <f t="shared" si="217"/>
        <v>909359</v>
      </c>
      <c r="CP111" s="90">
        <f t="shared" si="217"/>
        <v>912890</v>
      </c>
      <c r="CQ111" s="90">
        <f t="shared" si="217"/>
        <v>901695</v>
      </c>
      <c r="CR111" s="90">
        <f t="shared" si="217"/>
        <v>884421</v>
      </c>
      <c r="CS111" s="74">
        <f t="shared" si="217"/>
        <v>3554231</v>
      </c>
      <c r="CT111" s="90">
        <f t="shared" si="217"/>
        <v>926474</v>
      </c>
      <c r="CU111" s="90">
        <f t="shared" si="217"/>
        <v>937570</v>
      </c>
      <c r="CV111" s="90">
        <f t="shared" si="217"/>
        <v>922700</v>
      </c>
      <c r="CW111" s="90">
        <f t="shared" si="217"/>
        <v>941658</v>
      </c>
      <c r="CX111" s="74">
        <f t="shared" si="217"/>
        <v>3728402</v>
      </c>
      <c r="CY111" s="90">
        <f t="shared" si="217"/>
        <v>944549</v>
      </c>
      <c r="CZ111" s="90">
        <f t="shared" si="217"/>
        <v>958379</v>
      </c>
      <c r="DA111" s="90">
        <f t="shared" si="217"/>
        <v>956871</v>
      </c>
      <c r="DB111" s="90">
        <f t="shared" si="217"/>
        <v>974396</v>
      </c>
      <c r="DC111" s="74">
        <f t="shared" si="217"/>
        <v>974396</v>
      </c>
      <c r="DD111" s="90">
        <f t="shared" si="217"/>
        <v>968817</v>
      </c>
      <c r="DE111" s="90">
        <f t="shared" si="217"/>
        <v>1031920</v>
      </c>
      <c r="DF111" s="90">
        <f t="shared" si="217"/>
        <v>1042636</v>
      </c>
      <c r="DG111" s="90">
        <f t="shared" si="217"/>
        <v>-40146</v>
      </c>
      <c r="DH111" s="74">
        <f>SUM(DD111:DG111)</f>
        <v>3003227</v>
      </c>
      <c r="DI111" s="90">
        <f>DI273</f>
        <v>1985073</v>
      </c>
      <c r="DJ111" s="90">
        <f>DJ273</f>
        <v>1858225</v>
      </c>
      <c r="DK111" s="90">
        <f>DK273</f>
        <v>1800725</v>
      </c>
      <c r="DL111" s="90">
        <f>DL273</f>
        <v>1800725</v>
      </c>
      <c r="DM111" s="74">
        <f>SUM(DI111:DL111)</f>
        <v>7444748</v>
      </c>
      <c r="DN111" s="90">
        <f>DN310</f>
        <v>1804947</v>
      </c>
      <c r="DO111" s="90">
        <f>DO310</f>
        <v>1884716</v>
      </c>
      <c r="DP111" s="90">
        <f>DP310</f>
        <v>1676686</v>
      </c>
      <c r="DQ111" s="90">
        <f>DQ310</f>
        <v>1671428</v>
      </c>
      <c r="DR111" s="74">
        <f>SUM(DN111:DQ111)</f>
        <v>7037777</v>
      </c>
      <c r="DS111" s="90">
        <f>DS310</f>
        <v>1883235</v>
      </c>
      <c r="DT111" s="90">
        <f>DT310</f>
        <v>1823601</v>
      </c>
      <c r="DU111" s="90">
        <f>DU310</f>
        <v>1696468</v>
      </c>
      <c r="DV111" s="90">
        <f>DV310</f>
        <v>1747285</v>
      </c>
      <c r="DW111" s="74">
        <f>SUM(DS111:DV111)</f>
        <v>7150589</v>
      </c>
      <c r="DX111" s="171"/>
      <c r="DY111" s="171"/>
      <c r="DZ111" s="171"/>
      <c r="EA111" s="171"/>
      <c r="EB111" s="74"/>
      <c r="EC111" s="171"/>
      <c r="ED111" s="171"/>
      <c r="EE111" s="171"/>
      <c r="EF111" s="171"/>
      <c r="EG111" s="74"/>
      <c r="EH111" s="171"/>
      <c r="EI111" s="171"/>
      <c r="EJ111" s="171"/>
      <c r="EK111" s="171"/>
      <c r="EL111" s="74"/>
    </row>
    <row r="112" spans="1:142" ht="11.25" customHeight="1">
      <c r="A112" s="511"/>
      <c r="B112" s="511" t="s">
        <v>133</v>
      </c>
      <c r="C112" s="163"/>
      <c r="D112" s="163"/>
      <c r="E112" s="163"/>
      <c r="F112" s="163"/>
      <c r="G112" s="163"/>
      <c r="H112" s="85"/>
      <c r="I112" s="84" t="str">
        <f t="shared" ref="I112:AT112" si="218">IF(ISERROR(I111/D111-1),"nm",I111/D111-1)</f>
        <v>nm</v>
      </c>
      <c r="J112" s="84" t="str">
        <f t="shared" si="218"/>
        <v>nm</v>
      </c>
      <c r="K112" s="84" t="str">
        <f t="shared" si="218"/>
        <v>nm</v>
      </c>
      <c r="L112" s="84" t="str">
        <f t="shared" si="218"/>
        <v>nm</v>
      </c>
      <c r="M112" s="85" t="str">
        <f t="shared" si="218"/>
        <v>nm</v>
      </c>
      <c r="N112" s="84" t="str">
        <f t="shared" si="218"/>
        <v>nm</v>
      </c>
      <c r="O112" s="84" t="str">
        <f t="shared" si="218"/>
        <v>nm</v>
      </c>
      <c r="P112" s="84" t="str">
        <f t="shared" si="218"/>
        <v>nm</v>
      </c>
      <c r="Q112" s="84" t="str">
        <f t="shared" si="218"/>
        <v>nm</v>
      </c>
      <c r="R112" s="85" t="str">
        <f t="shared" si="218"/>
        <v>nm</v>
      </c>
      <c r="S112" s="84" t="str">
        <f t="shared" si="218"/>
        <v>nm</v>
      </c>
      <c r="T112" s="84" t="str">
        <f t="shared" si="218"/>
        <v>nm</v>
      </c>
      <c r="U112" s="84" t="str">
        <f t="shared" si="218"/>
        <v>nm</v>
      </c>
      <c r="V112" s="84" t="str">
        <f t="shared" si="218"/>
        <v>nm</v>
      </c>
      <c r="W112" s="85" t="str">
        <f t="shared" si="218"/>
        <v>nm</v>
      </c>
      <c r="X112" s="84">
        <f t="shared" si="218"/>
        <v>0.1083591331269349</v>
      </c>
      <c r="Y112" s="84">
        <f t="shared" si="218"/>
        <v>0.12804878048780477</v>
      </c>
      <c r="Z112" s="84">
        <f t="shared" si="218"/>
        <v>0.13946587537091992</v>
      </c>
      <c r="AA112" s="84" t="str">
        <f t="shared" si="218"/>
        <v>nm</v>
      </c>
      <c r="AB112" s="85">
        <f t="shared" si="218"/>
        <v>0.12550607287449411</v>
      </c>
      <c r="AC112" s="84">
        <f t="shared" si="218"/>
        <v>3.9106145251396773E-2</v>
      </c>
      <c r="AD112" s="84">
        <f t="shared" si="218"/>
        <v>0.13243243243243241</v>
      </c>
      <c r="AE112" s="84">
        <f t="shared" si="218"/>
        <v>5.7291666666666741E-2</v>
      </c>
      <c r="AF112" s="84" t="str">
        <f t="shared" si="218"/>
        <v>nm</v>
      </c>
      <c r="AG112" s="85">
        <f t="shared" si="218"/>
        <v>7.6438848920863167E-2</v>
      </c>
      <c r="AH112" s="84">
        <f t="shared" si="218"/>
        <v>0.10483870967741926</v>
      </c>
      <c r="AI112" s="84">
        <f t="shared" si="218"/>
        <v>4.7732696897374804E-2</v>
      </c>
      <c r="AJ112" s="84">
        <f t="shared" si="218"/>
        <v>7.8817733990147687E-2</v>
      </c>
      <c r="AK112" s="84" t="str">
        <f t="shared" si="218"/>
        <v>nm</v>
      </c>
      <c r="AL112" s="85">
        <f t="shared" si="218"/>
        <v>7.6023391812865437E-2</v>
      </c>
      <c r="AM112" s="84">
        <f t="shared" si="218"/>
        <v>4.3795620437956151E-2</v>
      </c>
      <c r="AN112" s="84">
        <f t="shared" si="218"/>
        <v>1.3667425968109326E-2</v>
      </c>
      <c r="AO112" s="84">
        <f t="shared" si="218"/>
        <v>9.1324200913243114E-3</v>
      </c>
      <c r="AP112" s="84" t="str">
        <f t="shared" si="218"/>
        <v>nm</v>
      </c>
      <c r="AQ112" s="85">
        <f t="shared" si="218"/>
        <v>2.1739130434782705E-2</v>
      </c>
      <c r="AR112" s="84">
        <f t="shared" si="218"/>
        <v>5.8275058275058411E-2</v>
      </c>
      <c r="AS112" s="84">
        <f t="shared" si="218"/>
        <v>3.8202247191011285E-2</v>
      </c>
      <c r="AT112" s="84">
        <f t="shared" si="218"/>
        <v>9.9547511312217063E-2</v>
      </c>
      <c r="AU112" s="137"/>
      <c r="AV112" s="163"/>
      <c r="AW112" s="163"/>
      <c r="AX112" s="163"/>
      <c r="AY112" s="163"/>
      <c r="AZ112" s="85"/>
      <c r="BA112" s="84" t="str">
        <f t="shared" ref="BA112:BO112" si="219">IF(ISERROR(BA111/AV111-1),"nm",BA111/AV111-1)</f>
        <v>nm</v>
      </c>
      <c r="BB112" s="84" t="str">
        <f t="shared" si="219"/>
        <v>nm</v>
      </c>
      <c r="BC112" s="84" t="str">
        <f t="shared" si="219"/>
        <v>nm</v>
      </c>
      <c r="BD112" s="84" t="str">
        <f t="shared" si="219"/>
        <v>nm</v>
      </c>
      <c r="BE112" s="85" t="str">
        <f t="shared" si="219"/>
        <v>nm</v>
      </c>
      <c r="BF112" s="84" t="str">
        <f t="shared" si="219"/>
        <v>nm</v>
      </c>
      <c r="BG112" s="84" t="str">
        <f t="shared" si="219"/>
        <v>nm</v>
      </c>
      <c r="BH112" s="84" t="str">
        <f t="shared" si="219"/>
        <v>nm</v>
      </c>
      <c r="BI112" s="84" t="str">
        <f t="shared" si="219"/>
        <v>nm</v>
      </c>
      <c r="BJ112" s="85" t="str">
        <f t="shared" si="219"/>
        <v>nm</v>
      </c>
      <c r="BK112" s="510" t="str">
        <f t="shared" si="219"/>
        <v>nm</v>
      </c>
      <c r="BL112" s="510" t="str">
        <f t="shared" si="219"/>
        <v>nm</v>
      </c>
      <c r="BM112" s="510" t="str">
        <f t="shared" si="219"/>
        <v>nm</v>
      </c>
      <c r="BN112" s="510" t="str">
        <f t="shared" si="219"/>
        <v>nm</v>
      </c>
      <c r="BO112" s="67" t="str">
        <f t="shared" si="219"/>
        <v>nm</v>
      </c>
      <c r="BP112" s="510" t="str">
        <f>IF(ISERROR(BP111/BK111-1),"NM",BP111/BK111-1)</f>
        <v>NM</v>
      </c>
      <c r="BQ112" s="510" t="str">
        <f>IF(ISERROR(BQ111/BL111-1),"NM",BQ111/BL111-1)</f>
        <v>NM</v>
      </c>
      <c r="BR112" s="510" t="str">
        <f>IF(ISERROR(BR111/BM111-1),"NM",BR111/BM111-1)</f>
        <v>NM</v>
      </c>
      <c r="BS112" s="510" t="str">
        <f>IF(ISERROR(BS111/BN111-1),"NM",BS111/BN111-1)</f>
        <v>NM</v>
      </c>
      <c r="BT112" s="67" t="str">
        <f>IF(ISERROR(BT111/BO111-1),"NM",BT111/BO111-1)</f>
        <v>NM</v>
      </c>
      <c r="BU112" s="510">
        <f t="shared" ref="BU112:DQ112" si="220">BU111/BP111-1</f>
        <v>9.4414624265748426E-2</v>
      </c>
      <c r="BV112" s="510">
        <f t="shared" si="220"/>
        <v>5.7757910834019599E-2</v>
      </c>
      <c r="BW112" s="510">
        <f t="shared" si="220"/>
        <v>-2.7268505208218108E-2</v>
      </c>
      <c r="BX112" s="510">
        <f t="shared" si="220"/>
        <v>-5.0072678061250042E-2</v>
      </c>
      <c r="BY112" s="67">
        <f t="shared" si="220"/>
        <v>1.7669937769267507E-2</v>
      </c>
      <c r="BZ112" s="510">
        <f t="shared" si="220"/>
        <v>-21.914864083285135</v>
      </c>
      <c r="CA112" s="510">
        <f t="shared" si="220"/>
        <v>-20.000200177935945</v>
      </c>
      <c r="CB112" s="510">
        <f t="shared" si="220"/>
        <v>-20.096034921789741</v>
      </c>
      <c r="CC112" s="510">
        <f t="shared" si="220"/>
        <v>-22.914125158294638</v>
      </c>
      <c r="CD112" s="67">
        <f t="shared" si="220"/>
        <v>-20.72984541931994</v>
      </c>
      <c r="CE112" s="510">
        <f t="shared" si="220"/>
        <v>-3.4247189022670321E-2</v>
      </c>
      <c r="CF112" s="510">
        <f t="shared" si="220"/>
        <v>3.2469455627106347E-2</v>
      </c>
      <c r="CG112" s="510">
        <f t="shared" si="220"/>
        <v>4.6248452233546011E-2</v>
      </c>
      <c r="CH112" s="510">
        <f t="shared" si="220"/>
        <v>3.3644220732862662E-2</v>
      </c>
      <c r="CI112" s="67">
        <f t="shared" si="220"/>
        <v>3.7139764578541401E-2</v>
      </c>
      <c r="CJ112" s="510">
        <f t="shared" si="220"/>
        <v>-1.9191738710135575E-2</v>
      </c>
      <c r="CK112" s="510">
        <f t="shared" si="220"/>
        <v>2.1950461798714294E-3</v>
      </c>
      <c r="CL112" s="510">
        <f t="shared" si="220"/>
        <v>-7.7779611158842465E-3</v>
      </c>
      <c r="CM112" s="510">
        <f t="shared" si="220"/>
        <v>4.8455645898630273E-2</v>
      </c>
      <c r="CN112" s="67">
        <f t="shared" si="220"/>
        <v>9.2596929373758297E-3</v>
      </c>
      <c r="CO112" s="510">
        <f t="shared" si="220"/>
        <v>6.1928373240160317E-2</v>
      </c>
      <c r="CP112" s="510">
        <f t="shared" si="220"/>
        <v>3.2772122427092043E-2</v>
      </c>
      <c r="CQ112" s="510">
        <f t="shared" si="220"/>
        <v>3.4136914660580553E-2</v>
      </c>
      <c r="CR112" s="510">
        <f t="shared" si="220"/>
        <v>-1.7508681577725338E-2</v>
      </c>
      <c r="CS112" s="67">
        <f t="shared" si="220"/>
        <v>1.1920468334414291E-2</v>
      </c>
      <c r="CT112" s="510">
        <f t="shared" si="220"/>
        <v>1.8820949701932932E-2</v>
      </c>
      <c r="CU112" s="510">
        <f t="shared" si="220"/>
        <v>2.7035020648709107E-2</v>
      </c>
      <c r="CV112" s="510">
        <f t="shared" si="220"/>
        <v>2.329501660761113E-2</v>
      </c>
      <c r="CW112" s="510">
        <f t="shared" si="220"/>
        <v>6.4716916491128096E-2</v>
      </c>
      <c r="CX112" s="67">
        <f t="shared" si="220"/>
        <v>4.9003849215202955E-2</v>
      </c>
      <c r="CY112" s="510">
        <f t="shared" si="220"/>
        <v>1.9509451965192826E-2</v>
      </c>
      <c r="CZ112" s="510">
        <f t="shared" si="220"/>
        <v>2.2194609469159632E-2</v>
      </c>
      <c r="DA112" s="510">
        <f t="shared" si="220"/>
        <v>3.7033705429717179E-2</v>
      </c>
      <c r="DB112" s="510">
        <f t="shared" si="220"/>
        <v>3.4766337672488268E-2</v>
      </c>
      <c r="DC112" s="67">
        <f t="shared" si="220"/>
        <v>-0.73865586382584281</v>
      </c>
      <c r="DD112" s="510">
        <f t="shared" si="220"/>
        <v>2.5692685080392907E-2</v>
      </c>
      <c r="DE112" s="510">
        <f t="shared" si="220"/>
        <v>7.6734778203612519E-2</v>
      </c>
      <c r="DF112" s="510">
        <f t="shared" si="220"/>
        <v>8.9630681669733869E-2</v>
      </c>
      <c r="DG112" s="510">
        <f t="shared" si="220"/>
        <v>-1.0412009080497047</v>
      </c>
      <c r="DH112" s="67">
        <f t="shared" si="220"/>
        <v>2.0821421680712975</v>
      </c>
      <c r="DI112" s="510">
        <v>1.0489659037774937</v>
      </c>
      <c r="DJ112" s="510">
        <v>0.80074521280719435</v>
      </c>
      <c r="DK112" s="510">
        <v>0.72708884020885534</v>
      </c>
      <c r="DL112" s="510">
        <v>-5.9067521308802884E-2</v>
      </c>
      <c r="DM112" s="67">
        <v>0.49932601103365726</v>
      </c>
      <c r="DN112" s="510">
        <f t="shared" si="220"/>
        <v>-9.0740239779595E-2</v>
      </c>
      <c r="DO112" s="510">
        <f t="shared" si="220"/>
        <v>1.4256077708566073E-2</v>
      </c>
      <c r="DP112" s="510">
        <f t="shared" si="220"/>
        <v>-6.8882811089977625E-2</v>
      </c>
      <c r="DQ112" s="510">
        <f t="shared" si="220"/>
        <v>-7.1802746116147675E-2</v>
      </c>
      <c r="DR112" s="67">
        <f t="shared" ref="DR112:DW112" si="221">DR111/DM111-1</f>
        <v>-5.4665517220999327E-2</v>
      </c>
      <c r="DS112" s="510">
        <f t="shared" si="221"/>
        <v>4.3374126774913702E-2</v>
      </c>
      <c r="DT112" s="510">
        <f t="shared" si="221"/>
        <v>-3.2426636161628553E-2</v>
      </c>
      <c r="DU112" s="510">
        <f t="shared" si="221"/>
        <v>1.1798273499033174E-2</v>
      </c>
      <c r="DV112" s="510">
        <f t="shared" si="221"/>
        <v>4.5384545430613876E-2</v>
      </c>
      <c r="DW112" s="67">
        <f t="shared" si="221"/>
        <v>1.6029493403954209E-2</v>
      </c>
      <c r="DX112" s="554"/>
      <c r="DY112" s="554"/>
      <c r="DZ112" s="554"/>
      <c r="EA112" s="554"/>
      <c r="EB112" s="67"/>
      <c r="EC112" s="554"/>
      <c r="ED112" s="554"/>
      <c r="EE112" s="554"/>
      <c r="EF112" s="554"/>
      <c r="EG112" s="67"/>
      <c r="EH112" s="554"/>
      <c r="EI112" s="554"/>
      <c r="EJ112" s="554"/>
      <c r="EK112" s="554"/>
      <c r="EL112" s="67"/>
    </row>
    <row r="113" spans="1:142" ht="11.25" customHeight="1">
      <c r="A113" s="159"/>
      <c r="B113" s="159" t="s">
        <v>157</v>
      </c>
      <c r="C113" s="507"/>
      <c r="D113" s="507" t="str">
        <f>IF(ISERROR(D108-D111),"nm",D108-D111)</f>
        <v>nm</v>
      </c>
      <c r="E113" s="507" t="str">
        <f>IF(ISERROR(E108-E111),"nm",E108-E111)</f>
        <v>nm</v>
      </c>
      <c r="F113" s="507" t="str">
        <f>IF(ISERROR(F108-F111),"nm",F108-F111)</f>
        <v>nm</v>
      </c>
      <c r="G113" s="507" t="str">
        <f>IF(ISERROR(G108-G111),"nm",G108-G111)</f>
        <v>nm</v>
      </c>
      <c r="H113" s="176">
        <f>IF(ISERROR(SUM(D113:G113)),"NM",SUM(D113:G113))</f>
        <v>0</v>
      </c>
      <c r="I113" s="507" t="str">
        <f>IF(ISERROR(I108-I111),"nm",I108-I111)</f>
        <v>nm</v>
      </c>
      <c r="J113" s="507" t="str">
        <f>IF(ISERROR(J108-J111),"nm",J108-J111)</f>
        <v>nm</v>
      </c>
      <c r="K113" s="507" t="str">
        <f>IF(ISERROR(K108-K111),"nm",K108-K111)</f>
        <v>nm</v>
      </c>
      <c r="L113" s="507" t="str">
        <f>IF(ISERROR(L108-L111),"nm",L108-L111)</f>
        <v>nm</v>
      </c>
      <c r="M113" s="176">
        <f>IF(ISERROR(SUM(I113:L113)),"NM",SUM(I113:L113))</f>
        <v>0</v>
      </c>
      <c r="N113" s="507" t="str">
        <f>IF(ISERROR(N108-N111),"nm",N108-N111)</f>
        <v>nm</v>
      </c>
      <c r="O113" s="507" t="str">
        <f>IF(ISERROR(O108-O111),"nm",O108-O111)</f>
        <v>nm</v>
      </c>
      <c r="P113" s="507" t="str">
        <f>IF(ISERROR(P108-P111),"nm",P108-P111)</f>
        <v>nm</v>
      </c>
      <c r="Q113" s="507" t="str">
        <f>IF(ISERROR(Q108-Q111),"nm",Q108-Q111)</f>
        <v>nm</v>
      </c>
      <c r="R113" s="176">
        <f>IF(ISERROR(SUM(N113:Q113)),"NM",SUM(N113:Q113))</f>
        <v>0</v>
      </c>
      <c r="S113" s="507">
        <f>IF(ISERROR(S108-S111),"nm",S108-S111)</f>
        <v>2652212.6770000001</v>
      </c>
      <c r="T113" s="507">
        <f>IF(ISERROR(T108-T111),"nm",T108-T111)</f>
        <v>2642882.6719999998</v>
      </c>
      <c r="U113" s="507">
        <f>IF(ISERROR(U108-U111),"nm",U108-U111)</f>
        <v>2535186.6630000002</v>
      </c>
      <c r="V113" s="507" t="str">
        <f>IF(ISERROR(V108-V111),"nm",V108-V111)</f>
        <v>nm</v>
      </c>
      <c r="W113" s="176">
        <f>IF(ISERROR(SUM(S113:V113)),"NM",SUM(S113:V113))</f>
        <v>7830282.0120000001</v>
      </c>
      <c r="X113" s="507">
        <f>IF(ISERROR(X108-X111),"nm",X108-X111)</f>
        <v>2420627.642</v>
      </c>
      <c r="Y113" s="507">
        <f>IF(ISERROR(Y108-Y111),"nm",Y108-Y111)</f>
        <v>2326711.63</v>
      </c>
      <c r="Z113" s="507">
        <f>IF(ISERROR(Z108-Z111),"nm",Z108-Z111)</f>
        <v>2372359.6159999999</v>
      </c>
      <c r="AA113" s="507" t="str">
        <f>IF(ISERROR(AA108-AA111),"nm",AA108-AA111)</f>
        <v>nm</v>
      </c>
      <c r="AB113" s="176">
        <f>IF(ISERROR(SUM(X113:AA113)),"NM",SUM(X113:AA113))</f>
        <v>7119698.8880000003</v>
      </c>
      <c r="AC113" s="507">
        <f>IF(ISERROR(AC108-AC111),"nm",AC108-AC111)</f>
        <v>2468826.628</v>
      </c>
      <c r="AD113" s="507">
        <f>IF(ISERROR(AD108-AD111),"nm",AD108-AD111)</f>
        <v>2289818.5809999998</v>
      </c>
      <c r="AE113" s="507">
        <f>IF(ISERROR(AE108-AE111),"nm",AE108-AE111)</f>
        <v>2220851.594</v>
      </c>
      <c r="AF113" s="507" t="str">
        <f>IF(ISERROR(AF108-AF111),"nm",AF108-AF111)</f>
        <v>nm</v>
      </c>
      <c r="AG113" s="176">
        <f>IF(ISERROR(SUM(AC113:AF113)),"NM",SUM(AC113:AF113))</f>
        <v>6979496.8029999994</v>
      </c>
      <c r="AH113" s="507">
        <f>IF(ISERROR(AH108-AH111),"nm",AH108-AH111)</f>
        <v>2276518.5890000002</v>
      </c>
      <c r="AI113" s="507">
        <f>IF(ISERROR(AI108-AI111),"nm",AI108-AI111)</f>
        <v>2240965.5610000002</v>
      </c>
      <c r="AJ113" s="507">
        <f>IF(ISERROR(AJ108-AJ111),"nm",AJ108-AJ111)</f>
        <v>2216644.5619999999</v>
      </c>
      <c r="AK113" s="507" t="str">
        <f>IF(ISERROR(AK108-AK111),"nm",AK108-AK111)</f>
        <v>nm</v>
      </c>
      <c r="AL113" s="176">
        <f>IF(ISERROR(SUM(AH113:AK113)),"NM",SUM(AH113:AK113))</f>
        <v>6734128.7120000003</v>
      </c>
      <c r="AM113" s="507">
        <f>IF(ISERROR(AM108-AM111),"nm",AM108-AM111)</f>
        <v>2310625.571</v>
      </c>
      <c r="AN113" s="507">
        <f>IF(ISERROR(AN108-AN111),"nm",AN108-AN111)</f>
        <v>2277622.5550000002</v>
      </c>
      <c r="AO113" s="507">
        <f>IF(ISERROR(AO108-AO111),"nm",AO108-AO111)</f>
        <v>2261009.5580000002</v>
      </c>
      <c r="AP113" s="507" t="str">
        <f>IF(ISERROR(AP108-AP111),"nm",AP108-AP111)</f>
        <v>nm</v>
      </c>
      <c r="AQ113" s="176">
        <f>IF(ISERROR(SUM(AM113:AP113)),"NM",SUM(AM113:AP113))</f>
        <v>6849257.6840000004</v>
      </c>
      <c r="AR113" s="507">
        <f>IF(ISERROR(AR108-AR111),"nm",AR108-AR111)</f>
        <v>2329279.5460000001</v>
      </c>
      <c r="AS113" s="507">
        <f>IF(ISERROR(AS108-AS111),"nm",AS108-AS111)</f>
        <v>2343916.5380000002</v>
      </c>
      <c r="AT113" s="507">
        <f>IF(ISERROR(AT108-AT111),"nm",AT108-AT111)</f>
        <v>2275988.514</v>
      </c>
      <c r="AU113" s="137"/>
      <c r="AV113" s="507" t="str">
        <f>IF(ISERROR(AV108-AV111),"nm",AV108-AV111)</f>
        <v>nm</v>
      </c>
      <c r="AW113" s="507" t="str">
        <f>IF(ISERROR(AW108-AW111),"nm",AW108-AW111)</f>
        <v>nm</v>
      </c>
      <c r="AX113" s="507" t="str">
        <f>IF(ISERROR(AX108-AX111),"nm",AX108-AX111)</f>
        <v>nm</v>
      </c>
      <c r="AY113" s="507" t="str">
        <f>IF(ISERROR(AY108-AY111),"nm",AY108-AY111)</f>
        <v>nm</v>
      </c>
      <c r="AZ113" s="176">
        <f>IF(ISERROR(SUM(AV113:AY113)),"NM",SUM(AV113:AY113))</f>
        <v>0</v>
      </c>
      <c r="BA113" s="507" t="str">
        <f>IF(ISERROR(BA108-BA111),"nm",BA108-BA111)</f>
        <v>nm</v>
      </c>
      <c r="BB113" s="507" t="str">
        <f>IF(ISERROR(BB108-BB111),"nm",BB108-BB111)</f>
        <v>nm</v>
      </c>
      <c r="BC113" s="507" t="str">
        <f>IF(ISERROR(BC108-BC111),"nm",BC108-BC111)</f>
        <v>nm</v>
      </c>
      <c r="BD113" s="507" t="str">
        <f>IF(ISERROR(BD108-BD111),"nm",BD108-BD111)</f>
        <v>nm</v>
      </c>
      <c r="BE113" s="176">
        <f>IF(ISERROR(SUM(BA113:BD113)),"NM",SUM(BA113:BD113))</f>
        <v>0</v>
      </c>
      <c r="BF113" s="507" t="str">
        <f>IF(ISERROR(BF108-BF111),"nm",BF108-BF111)</f>
        <v>nm</v>
      </c>
      <c r="BG113" s="507" t="str">
        <f>IF(ISERROR(BG108-BG111),"nm",BG108-BG111)</f>
        <v>nm</v>
      </c>
      <c r="BH113" s="507" t="str">
        <f>IF(ISERROR(BH108-BH111),"nm",BH108-BH111)</f>
        <v>nm</v>
      </c>
      <c r="BI113" s="507" t="str">
        <f>IF(ISERROR(BI108-BI111),"nm",BI108-BI111)</f>
        <v>nm</v>
      </c>
      <c r="BJ113" s="176">
        <f>IF(ISERROR(SUM(BF113:BI113)),"NM",SUM(BF113:BI113))</f>
        <v>0</v>
      </c>
      <c r="BK113" s="90" t="str">
        <f>IF(ISERROR(BK108-BK111),"nm",BK108-BK111)</f>
        <v>nm</v>
      </c>
      <c r="BL113" s="90" t="str">
        <f>IF(ISERROR(BL108-BL111),"nm",BL108-BL111)</f>
        <v>nm</v>
      </c>
      <c r="BM113" s="90" t="str">
        <f>IF(ISERROR(BM108-BM111),"nm",BM108-BM111)</f>
        <v>nm</v>
      </c>
      <c r="BN113" s="90" t="str">
        <f>IF(ISERROR(BN108-BN111),"nm",BN108-BN111)</f>
        <v>nm</v>
      </c>
      <c r="BO113" s="74">
        <f>IF(ISERROR(SUM(BK113:BN113)),"NM",SUM(BK113:BN113))</f>
        <v>0</v>
      </c>
      <c r="BP113" s="90">
        <f>BP108-BP111</f>
        <v>1267695</v>
      </c>
      <c r="BQ113" s="90">
        <f>BQ108-BQ111</f>
        <v>1125565</v>
      </c>
      <c r="BR113" s="90">
        <f>BR108-BR111</f>
        <v>1095817</v>
      </c>
      <c r="BS113" s="90">
        <f>BS108-BS111</f>
        <v>1091008</v>
      </c>
      <c r="BT113" s="74">
        <f>SUM(BP113:BS113)</f>
        <v>4580085</v>
      </c>
      <c r="BU113" s="90">
        <f>BU108-BU111</f>
        <v>1112901</v>
      </c>
      <c r="BV113" s="90">
        <f>BV108-BV111</f>
        <v>1094008</v>
      </c>
      <c r="BW113" s="90">
        <f>BW108-BW111</f>
        <v>1048561</v>
      </c>
      <c r="BX113" s="90">
        <f>BX108-BX111</f>
        <v>1040489</v>
      </c>
      <c r="BY113" s="74">
        <f>SUM(BU113:BX113)</f>
        <v>4295959</v>
      </c>
      <c r="BZ113" s="90">
        <f>BZ108-BZ111</f>
        <v>122500</v>
      </c>
      <c r="CA113" s="90">
        <f>CA108-CA111</f>
        <v>118012</v>
      </c>
      <c r="CB113" s="90">
        <f>CB108-CB111</f>
        <v>119302</v>
      </c>
      <c r="CC113" s="90">
        <f>CC108-CC111</f>
        <v>115689</v>
      </c>
      <c r="CD113" s="74">
        <f>SUM(BZ113:CC113)</f>
        <v>475503</v>
      </c>
      <c r="CE113" s="90">
        <f>CE108-CE111</f>
        <v>110781</v>
      </c>
      <c r="CF113" s="90">
        <f>CF108-CF111</f>
        <v>114482</v>
      </c>
      <c r="CG113" s="90">
        <f>CG108-CG111</f>
        <v>117203</v>
      </c>
      <c r="CH113" s="90">
        <f>CH108-CH111</f>
        <v>113162</v>
      </c>
      <c r="CI113" s="74">
        <f>SUM(CE113:CH113)</f>
        <v>455628</v>
      </c>
      <c r="CJ113" s="90">
        <f>CJ108-CJ111</f>
        <v>96587</v>
      </c>
      <c r="CK113" s="90">
        <f>CK108-CK111</f>
        <v>104784</v>
      </c>
      <c r="CL113" s="90">
        <f>CL108-CL111</f>
        <v>104380</v>
      </c>
      <c r="CM113" s="90">
        <f>CM108-CM111</f>
        <v>99645</v>
      </c>
      <c r="CN113" s="74">
        <f>SUM(CJ113:CM113)</f>
        <v>405396</v>
      </c>
      <c r="CO113" s="90">
        <f>CO108-CO111</f>
        <v>81052</v>
      </c>
      <c r="CP113" s="90">
        <f>CP108-CP111</f>
        <v>81314</v>
      </c>
      <c r="CQ113" s="90">
        <f>CQ108-CQ111</f>
        <v>85623</v>
      </c>
      <c r="CR113" s="90">
        <f>CR108-CR111</f>
        <v>97662</v>
      </c>
      <c r="CS113" s="74">
        <f>SUM(CO113:CR113)</f>
        <v>345651</v>
      </c>
      <c r="CT113" s="90">
        <f>CT108-CT111</f>
        <v>105137</v>
      </c>
      <c r="CU113" s="90">
        <f>CU108-CU111</f>
        <v>109198</v>
      </c>
      <c r="CV113" s="90">
        <f>CV108-CV111</f>
        <v>112536</v>
      </c>
      <c r="CW113" s="90">
        <f>CW108-CW111</f>
        <v>111841</v>
      </c>
      <c r="CX113" s="74">
        <f>SUM(CT113:CW113)</f>
        <v>438712</v>
      </c>
      <c r="CY113" s="90">
        <f>CY108-CY111</f>
        <v>110240</v>
      </c>
      <c r="CZ113" s="90">
        <f>CZ108-CZ111</f>
        <v>114333</v>
      </c>
      <c r="DA113" s="90">
        <f>DA108-DA111</f>
        <v>114550</v>
      </c>
      <c r="DB113" s="90">
        <f>DB108-DB111</f>
        <v>901288</v>
      </c>
      <c r="DC113" s="74">
        <f>SUM(CY113:DB113)</f>
        <v>1240411</v>
      </c>
      <c r="DD113" s="90">
        <f>DD108-DD111</f>
        <v>978870</v>
      </c>
      <c r="DE113" s="90">
        <f>DE108-DE111</f>
        <v>1034131</v>
      </c>
      <c r="DF113" s="90">
        <f>DF108-DF111</f>
        <v>1082366</v>
      </c>
      <c r="DG113" s="90">
        <f>DG108-DG111</f>
        <v>2185284</v>
      </c>
      <c r="DH113" s="74">
        <f>SUM(DD113:DG113)</f>
        <v>5280651</v>
      </c>
      <c r="DI113" s="90">
        <f>DI108-DI111</f>
        <v>160271</v>
      </c>
      <c r="DJ113" s="90">
        <f>DJ108-DJ111</f>
        <v>204812</v>
      </c>
      <c r="DK113" s="90">
        <f>DK108-DK111</f>
        <v>275799</v>
      </c>
      <c r="DL113" s="90">
        <f>DL108-DL111</f>
        <v>397280</v>
      </c>
      <c r="DM113" s="74">
        <f>SUM(DI113:DL113)</f>
        <v>1038162</v>
      </c>
      <c r="DN113" s="90">
        <f>DN108-DN111</f>
        <v>144212</v>
      </c>
      <c r="DO113" s="90">
        <f>DO108-DO111</f>
        <v>141230</v>
      </c>
      <c r="DP113" s="90">
        <f>DP108-DP111</f>
        <v>129114</v>
      </c>
      <c r="DQ113" s="90">
        <f>DQ108-DQ111</f>
        <v>111186</v>
      </c>
      <c r="DR113" s="74">
        <f>SUM(DN113:DQ113)</f>
        <v>525742</v>
      </c>
      <c r="DS113" s="90">
        <f>DS108-DS111</f>
        <v>126173</v>
      </c>
      <c r="DT113" s="90">
        <f>DT108-DT111</f>
        <v>126650</v>
      </c>
      <c r="DU113" s="90">
        <f>DU108-DU111</f>
        <v>117127</v>
      </c>
      <c r="DV113" s="90">
        <f>DV108-DV111</f>
        <v>118496</v>
      </c>
      <c r="DW113" s="74">
        <f>SUM(DS113:DV113)</f>
        <v>488446</v>
      </c>
      <c r="DX113" s="171"/>
      <c r="DY113" s="171"/>
      <c r="DZ113" s="171"/>
      <c r="EA113" s="171"/>
      <c r="EB113" s="74"/>
      <c r="EC113" s="171"/>
      <c r="ED113" s="171"/>
      <c r="EE113" s="171"/>
      <c r="EF113" s="171"/>
      <c r="EG113" s="74"/>
      <c r="EH113" s="171"/>
      <c r="EI113" s="171"/>
      <c r="EJ113" s="171"/>
      <c r="EK113" s="171"/>
      <c r="EL113" s="74"/>
    </row>
    <row r="114" spans="1:142" ht="11.25" customHeight="1">
      <c r="A114" s="511"/>
      <c r="B114" s="511" t="s">
        <v>133</v>
      </c>
      <c r="C114" s="163"/>
      <c r="D114" s="163"/>
      <c r="E114" s="163"/>
      <c r="F114" s="163"/>
      <c r="G114" s="163"/>
      <c r="H114" s="85"/>
      <c r="I114" s="84" t="str">
        <f t="shared" ref="I114:AT114" si="222">IF(ISERROR(I113/D113-1),"nm",I113/D113-1)</f>
        <v>nm</v>
      </c>
      <c r="J114" s="84" t="str">
        <f t="shared" si="222"/>
        <v>nm</v>
      </c>
      <c r="K114" s="84" t="str">
        <f t="shared" si="222"/>
        <v>nm</v>
      </c>
      <c r="L114" s="84" t="str">
        <f t="shared" si="222"/>
        <v>nm</v>
      </c>
      <c r="M114" s="85" t="str">
        <f t="shared" si="222"/>
        <v>nm</v>
      </c>
      <c r="N114" s="84" t="str">
        <f t="shared" si="222"/>
        <v>nm</v>
      </c>
      <c r="O114" s="84" t="str">
        <f t="shared" si="222"/>
        <v>nm</v>
      </c>
      <c r="P114" s="84" t="str">
        <f t="shared" si="222"/>
        <v>nm</v>
      </c>
      <c r="Q114" s="84" t="str">
        <f t="shared" si="222"/>
        <v>nm</v>
      </c>
      <c r="R114" s="85" t="str">
        <f t="shared" si="222"/>
        <v>nm</v>
      </c>
      <c r="S114" s="84" t="str">
        <f t="shared" si="222"/>
        <v>nm</v>
      </c>
      <c r="T114" s="84" t="str">
        <f t="shared" si="222"/>
        <v>nm</v>
      </c>
      <c r="U114" s="84" t="str">
        <f t="shared" si="222"/>
        <v>nm</v>
      </c>
      <c r="V114" s="84" t="str">
        <f t="shared" si="222"/>
        <v>nm</v>
      </c>
      <c r="W114" s="85" t="str">
        <f t="shared" si="222"/>
        <v>nm</v>
      </c>
      <c r="X114" s="84">
        <f t="shared" si="222"/>
        <v>-8.7317671395023E-2</v>
      </c>
      <c r="Y114" s="84">
        <f t="shared" si="222"/>
        <v>-0.11963113056424013</v>
      </c>
      <c r="Z114" s="84">
        <f t="shared" si="222"/>
        <v>-6.4226847425632783E-2</v>
      </c>
      <c r="AA114" s="84" t="str">
        <f t="shared" si="222"/>
        <v>nm</v>
      </c>
      <c r="AB114" s="85">
        <f t="shared" si="222"/>
        <v>-9.0748088371660485E-2</v>
      </c>
      <c r="AC114" s="84">
        <f t="shared" si="222"/>
        <v>1.9911772122116478E-2</v>
      </c>
      <c r="AD114" s="84">
        <f t="shared" si="222"/>
        <v>-1.5856304891552098E-2</v>
      </c>
      <c r="AE114" s="84">
        <f t="shared" si="222"/>
        <v>-6.3863851406919192E-2</v>
      </c>
      <c r="AF114" s="84" t="str">
        <f t="shared" si="222"/>
        <v>nm</v>
      </c>
      <c r="AG114" s="85">
        <f t="shared" si="222"/>
        <v>-1.9692136873415644E-2</v>
      </c>
      <c r="AH114" s="84">
        <f t="shared" si="222"/>
        <v>-7.7894509407405721E-2</v>
      </c>
      <c r="AI114" s="84">
        <f t="shared" si="222"/>
        <v>-2.1334886704720835E-2</v>
      </c>
      <c r="AJ114" s="84">
        <f t="shared" si="222"/>
        <v>-1.8943327916940422E-3</v>
      </c>
      <c r="AK114" s="84" t="str">
        <f t="shared" si="222"/>
        <v>nm</v>
      </c>
      <c r="AL114" s="85">
        <f t="shared" si="222"/>
        <v>-3.5155556041594926E-2</v>
      </c>
      <c r="AM114" s="84">
        <f t="shared" si="222"/>
        <v>1.4982079287559014E-2</v>
      </c>
      <c r="AN114" s="84">
        <f t="shared" si="222"/>
        <v>1.6357678421279331E-2</v>
      </c>
      <c r="AO114" s="84">
        <f t="shared" si="222"/>
        <v>2.0014483494805946E-2</v>
      </c>
      <c r="AP114" s="84" t="str">
        <f t="shared" si="222"/>
        <v>nm</v>
      </c>
      <c r="AQ114" s="85">
        <f t="shared" si="222"/>
        <v>1.7096342663430741E-2</v>
      </c>
      <c r="AR114" s="84">
        <f t="shared" si="222"/>
        <v>8.0731275694863047E-3</v>
      </c>
      <c r="AS114" s="84">
        <f t="shared" si="222"/>
        <v>2.9106658982835709E-2</v>
      </c>
      <c r="AT114" s="84">
        <f t="shared" si="222"/>
        <v>6.624897248665107E-3</v>
      </c>
      <c r="AU114" s="137"/>
      <c r="AV114" s="163"/>
      <c r="AW114" s="163"/>
      <c r="AX114" s="163"/>
      <c r="AY114" s="163"/>
      <c r="AZ114" s="85"/>
      <c r="BA114" s="84" t="str">
        <f t="shared" ref="BA114:BO114" si="223">IF(ISERROR(BA113/AV113-1),"nm",BA113/AV113-1)</f>
        <v>nm</v>
      </c>
      <c r="BB114" s="84" t="str">
        <f t="shared" si="223"/>
        <v>nm</v>
      </c>
      <c r="BC114" s="84" t="str">
        <f t="shared" si="223"/>
        <v>nm</v>
      </c>
      <c r="BD114" s="84" t="str">
        <f t="shared" si="223"/>
        <v>nm</v>
      </c>
      <c r="BE114" s="85" t="str">
        <f t="shared" si="223"/>
        <v>nm</v>
      </c>
      <c r="BF114" s="84" t="str">
        <f t="shared" si="223"/>
        <v>nm</v>
      </c>
      <c r="BG114" s="84" t="str">
        <f t="shared" si="223"/>
        <v>nm</v>
      </c>
      <c r="BH114" s="84" t="str">
        <f t="shared" si="223"/>
        <v>nm</v>
      </c>
      <c r="BI114" s="84" t="str">
        <f t="shared" si="223"/>
        <v>nm</v>
      </c>
      <c r="BJ114" s="85" t="str">
        <f t="shared" si="223"/>
        <v>nm</v>
      </c>
      <c r="BK114" s="510" t="str">
        <f t="shared" si="223"/>
        <v>nm</v>
      </c>
      <c r="BL114" s="510" t="str">
        <f t="shared" si="223"/>
        <v>nm</v>
      </c>
      <c r="BM114" s="510" t="str">
        <f t="shared" si="223"/>
        <v>nm</v>
      </c>
      <c r="BN114" s="510" t="str">
        <f t="shared" si="223"/>
        <v>nm</v>
      </c>
      <c r="BO114" s="67" t="str">
        <f t="shared" si="223"/>
        <v>nm</v>
      </c>
      <c r="BP114" s="510" t="str">
        <f>IF(ISERROR(BP113/BK113-1),"NM",BP113/BK113-1)</f>
        <v>NM</v>
      </c>
      <c r="BQ114" s="510" t="str">
        <f>IF(ISERROR(BQ113/BL113-1),"NM",BQ113/BL113-1)</f>
        <v>NM</v>
      </c>
      <c r="BR114" s="510" t="str">
        <f>IF(ISERROR(BR113/BM113-1),"NM",BR113/BM113-1)</f>
        <v>NM</v>
      </c>
      <c r="BS114" s="510" t="str">
        <f>IF(ISERROR(BS113/BN113-1),"NM",BS113/BN113-1)</f>
        <v>NM</v>
      </c>
      <c r="BT114" s="67" t="str">
        <f>IF(ISERROR(BT113/BO113-1),"NM",BT113/BO113-1)</f>
        <v>NM</v>
      </c>
      <c r="BU114" s="510">
        <f t="shared" ref="BU114:DQ114" si="224">BU113/BP113-1</f>
        <v>-0.12210665814726729</v>
      </c>
      <c r="BV114" s="510">
        <f t="shared" si="224"/>
        <v>-2.8036586070107061E-2</v>
      </c>
      <c r="BW114" s="510">
        <f t="shared" si="224"/>
        <v>-4.3123988768197563E-2</v>
      </c>
      <c r="BX114" s="510">
        <f t="shared" si="224"/>
        <v>-4.6304885023757847E-2</v>
      </c>
      <c r="BY114" s="67">
        <f t="shared" si="224"/>
        <v>-6.2035093235169203E-2</v>
      </c>
      <c r="BZ114" s="510">
        <f t="shared" si="224"/>
        <v>-0.88992731608651621</v>
      </c>
      <c r="CA114" s="510">
        <f t="shared" si="224"/>
        <v>-0.8921287595703139</v>
      </c>
      <c r="CB114" s="510">
        <f t="shared" si="224"/>
        <v>-0.88622311911276497</v>
      </c>
      <c r="CC114" s="510">
        <f t="shared" si="224"/>
        <v>-0.8888128562627764</v>
      </c>
      <c r="CD114" s="67">
        <f t="shared" si="224"/>
        <v>-0.88931388777220644</v>
      </c>
      <c r="CE114" s="510">
        <f t="shared" si="224"/>
        <v>-9.5665306122448945E-2</v>
      </c>
      <c r="CF114" s="510">
        <f t="shared" si="224"/>
        <v>-2.9912212317391496E-2</v>
      </c>
      <c r="CG114" s="510">
        <f t="shared" si="224"/>
        <v>-1.7594005129838552E-2</v>
      </c>
      <c r="CH114" s="510">
        <f t="shared" si="224"/>
        <v>-2.1843044714709214E-2</v>
      </c>
      <c r="CI114" s="67">
        <f t="shared" si="224"/>
        <v>-4.1797843546728441E-2</v>
      </c>
      <c r="CJ114" s="510">
        <f t="shared" si="224"/>
        <v>-0.12812666431969377</v>
      </c>
      <c r="CK114" s="510">
        <f t="shared" si="224"/>
        <v>-8.471200712775806E-2</v>
      </c>
      <c r="CL114" s="510">
        <f t="shared" si="224"/>
        <v>-0.10940846224072764</v>
      </c>
      <c r="CM114" s="510">
        <f t="shared" si="224"/>
        <v>-0.11944822466905847</v>
      </c>
      <c r="CN114" s="67">
        <f t="shared" si="224"/>
        <v>-0.11024783375911928</v>
      </c>
      <c r="CO114" s="510">
        <f t="shared" si="224"/>
        <v>-0.16083945044364145</v>
      </c>
      <c r="CP114" s="510">
        <f t="shared" si="224"/>
        <v>-0.22398457779813707</v>
      </c>
      <c r="CQ114" s="510">
        <f t="shared" si="224"/>
        <v>-0.17969917608737307</v>
      </c>
      <c r="CR114" s="510">
        <f t="shared" si="224"/>
        <v>-1.9900647297907526E-2</v>
      </c>
      <c r="CS114" s="67">
        <f t="shared" si="224"/>
        <v>-0.14737441908652282</v>
      </c>
      <c r="CT114" s="510">
        <f t="shared" si="224"/>
        <v>0.29715491289542517</v>
      </c>
      <c r="CU114" s="510">
        <f t="shared" si="224"/>
        <v>0.34291757876872375</v>
      </c>
      <c r="CV114" s="510">
        <f t="shared" si="224"/>
        <v>0.31431975053431915</v>
      </c>
      <c r="CW114" s="510">
        <f t="shared" si="224"/>
        <v>0.14518441154184836</v>
      </c>
      <c r="CX114" s="67">
        <f t="shared" si="224"/>
        <v>0.26923399614061583</v>
      </c>
      <c r="CY114" s="510">
        <f t="shared" si="224"/>
        <v>4.8536671200433812E-2</v>
      </c>
      <c r="CZ114" s="510">
        <f t="shared" si="224"/>
        <v>4.7024670781516065E-2</v>
      </c>
      <c r="DA114" s="510">
        <f t="shared" si="224"/>
        <v>1.7896495343712182E-2</v>
      </c>
      <c r="DB114" s="510">
        <f t="shared" si="224"/>
        <v>7.0586546972934787</v>
      </c>
      <c r="DC114" s="67">
        <f t="shared" si="224"/>
        <v>1.8273924579222816</v>
      </c>
      <c r="DD114" s="510">
        <f t="shared" si="224"/>
        <v>7.8794448476052246</v>
      </c>
      <c r="DE114" s="510">
        <f t="shared" si="224"/>
        <v>8.0449039210026854</v>
      </c>
      <c r="DF114" s="510">
        <f t="shared" si="224"/>
        <v>8.4488520296813618</v>
      </c>
      <c r="DG114" s="510">
        <f t="shared" si="224"/>
        <v>1.4246234278055403</v>
      </c>
      <c r="DH114" s="67">
        <f t="shared" si="224"/>
        <v>3.2571784674595756</v>
      </c>
      <c r="DI114" s="510">
        <v>-0.83626937182669814</v>
      </c>
      <c r="DJ114" s="510">
        <v>-0.80194772229050282</v>
      </c>
      <c r="DK114" s="510">
        <v>-0.7451887808744917</v>
      </c>
      <c r="DL114" s="510">
        <v>0.79931740288048325</v>
      </c>
      <c r="DM114" s="67">
        <v>-0.69215310442998901</v>
      </c>
      <c r="DN114" s="510">
        <f t="shared" si="224"/>
        <v>-0.10019903787959139</v>
      </c>
      <c r="DO114" s="510">
        <f t="shared" si="224"/>
        <v>-0.31044079448469819</v>
      </c>
      <c r="DP114" s="510">
        <f t="shared" si="224"/>
        <v>-0.53185472028542524</v>
      </c>
      <c r="DQ114" s="510">
        <f t="shared" si="224"/>
        <v>-0.72013189689891255</v>
      </c>
      <c r="DR114" s="67">
        <f t="shared" ref="DR114:DW114" si="225">DR113/DM113-1</f>
        <v>-0.49358385300174734</v>
      </c>
      <c r="DS114" s="510">
        <f t="shared" si="225"/>
        <v>-0.12508667794635675</v>
      </c>
      <c r="DT114" s="510">
        <f t="shared" si="225"/>
        <v>-0.10323585640444666</v>
      </c>
      <c r="DU114" s="510">
        <f t="shared" si="225"/>
        <v>-9.2840435584057523E-2</v>
      </c>
      <c r="DV114" s="510">
        <f t="shared" si="225"/>
        <v>6.5745687406687958E-2</v>
      </c>
      <c r="DW114" s="67">
        <f t="shared" si="225"/>
        <v>-7.0939738502915906E-2</v>
      </c>
      <c r="DX114" s="554"/>
      <c r="DY114" s="554"/>
      <c r="DZ114" s="554"/>
      <c r="EA114" s="554"/>
      <c r="EB114" s="67"/>
      <c r="EC114" s="554"/>
      <c r="ED114" s="554"/>
      <c r="EE114" s="554"/>
      <c r="EF114" s="554"/>
      <c r="EG114" s="67"/>
      <c r="EH114" s="554"/>
      <c r="EI114" s="554"/>
      <c r="EJ114" s="554"/>
      <c r="EK114" s="554"/>
      <c r="EL114" s="67"/>
    </row>
    <row r="115" spans="1:142" ht="11.25" customHeight="1">
      <c r="A115" s="159"/>
      <c r="B115" s="159" t="s">
        <v>158</v>
      </c>
      <c r="C115" s="84"/>
      <c r="D115" s="84" t="str">
        <f>IF(ISERROR(D111/D108),"nm",D111/D108)</f>
        <v>nm</v>
      </c>
      <c r="E115" s="84" t="str">
        <f>IF(ISERROR(E111/E108),"nm",E111/E108)</f>
        <v>nm</v>
      </c>
      <c r="F115" s="84" t="str">
        <f>IF(ISERROR(F111/F108),"nm",F111/F108)</f>
        <v>nm</v>
      </c>
      <c r="G115" s="84" t="str">
        <f>IF(ISERROR(G111/G108),"nm",G111/G108)</f>
        <v>nm</v>
      </c>
      <c r="H115" s="85" t="s">
        <v>89</v>
      </c>
      <c r="I115" s="84" t="str">
        <f>IF(ISERROR(I111/I108),"nm",I111/I108)</f>
        <v>nm</v>
      </c>
      <c r="J115" s="84" t="str">
        <f>IF(ISERROR(J111/J108),"nm",J111/J108)</f>
        <v>nm</v>
      </c>
      <c r="K115" s="84" t="str">
        <f>IF(ISERROR(K111/K108),"nm",K111/K108)</f>
        <v>nm</v>
      </c>
      <c r="L115" s="84" t="str">
        <f>IF(ISERROR(L111/L108),"nm",L111/L108)</f>
        <v>nm</v>
      </c>
      <c r="M115" s="85" t="s">
        <v>89</v>
      </c>
      <c r="N115" s="84" t="str">
        <f>IF(ISERROR(N111/N108),"nm",N111/N108)</f>
        <v>nm</v>
      </c>
      <c r="O115" s="84" t="str">
        <f>IF(ISERROR(O111/O108),"nm",O111/O108)</f>
        <v>nm</v>
      </c>
      <c r="P115" s="84" t="str">
        <f>IF(ISERROR(P111/P108),"nm",P111/P108)</f>
        <v>nm</v>
      </c>
      <c r="Q115" s="84" t="str">
        <f>IF(ISERROR(Q111/Q108),"nm",Q111/Q108)</f>
        <v>nm</v>
      </c>
      <c r="R115" s="85" t="s">
        <v>89</v>
      </c>
      <c r="S115" s="84">
        <f>IF(ISERROR(S111/S108),"nm",S111/S108)</f>
        <v>1.2178509041317572E-7</v>
      </c>
      <c r="T115" s="84">
        <f>IF(ISERROR(T111/T108),"nm",T111/T108)</f>
        <v>1.2410689387309239E-7</v>
      </c>
      <c r="U115" s="84">
        <f>IF(ISERROR(U111/U108),"nm",U111/U108)</f>
        <v>1.3292905020418614E-7</v>
      </c>
      <c r="V115" s="84" t="str">
        <f>IF(ISERROR(V111/V108),"nm",V111/V108)</f>
        <v>nm</v>
      </c>
      <c r="W115" s="85" t="s">
        <v>89</v>
      </c>
      <c r="X115" s="84">
        <f>IF(ISERROR(X111/X108),"nm",X111/X108)</f>
        <v>1.4789550480288585E-7</v>
      </c>
      <c r="Y115" s="84">
        <f>IF(ISERROR(Y111/Y108),"nm",Y111/Y108)</f>
        <v>1.5902268952925844E-7</v>
      </c>
      <c r="Z115" s="84">
        <f>IF(ISERROR(Z111/Z108),"nm",Z111/Z108)</f>
        <v>1.6186413529143975E-7</v>
      </c>
      <c r="AA115" s="84" t="str">
        <f>IF(ISERROR(AA111/AA108),"nm",AA111/AA108)</f>
        <v>nm</v>
      </c>
      <c r="AB115" s="85" t="s">
        <v>89</v>
      </c>
      <c r="AC115" s="84">
        <f>IF(ISERROR(AC111/AC108),"nm",AC111/AC108)</f>
        <v>1.5067884464970613E-7</v>
      </c>
      <c r="AD115" s="84">
        <f>IF(ISERROR(AD111/AD108),"nm",AD111/AD108)</f>
        <v>1.8298389523364073E-7</v>
      </c>
      <c r="AE115" s="84">
        <f>IF(ISERROR(AE111/AE108),"nm",AE111/AE108)</f>
        <v>1.8281272232458536E-7</v>
      </c>
      <c r="AF115" s="84" t="str">
        <f>IF(ISERROR(AF111/AF108),"nm",AF111/AF108)</f>
        <v>nm</v>
      </c>
      <c r="AG115" s="85" t="s">
        <v>89</v>
      </c>
      <c r="AH115" s="84">
        <f>IF(ISERROR(AH111/AH108),"nm",AH111/AH108)</f>
        <v>1.8053879629381524E-7</v>
      </c>
      <c r="AI115" s="84">
        <f>IF(ISERROR(AI111/AI108),"nm",AI111/AI108)</f>
        <v>1.9589766199040949E-7</v>
      </c>
      <c r="AJ115" s="84">
        <f>IF(ISERROR(AJ111/AJ108),"nm",AJ111/AJ108)</f>
        <v>1.9759591635106207E-7</v>
      </c>
      <c r="AK115" s="84" t="str">
        <f>IF(ISERROR(AK111/AK108),"nm",AK111/AK108)</f>
        <v>nm</v>
      </c>
      <c r="AL115" s="85" t="s">
        <v>89</v>
      </c>
      <c r="AM115" s="84">
        <f>IF(ISERROR(AM111/AM108),"nm",AM111/AM108)</f>
        <v>1.8566397158172721E-7</v>
      </c>
      <c r="AN115" s="84">
        <f>IF(ISERROR(AN111/AN108),"nm",AN111/AN108)</f>
        <v>1.9537912990868113E-7</v>
      </c>
      <c r="AO115" s="84">
        <f>IF(ISERROR(AO111/AO108),"nm",AO111/AO108)</f>
        <v>1.9548785719656259E-7</v>
      </c>
      <c r="AP115" s="84" t="str">
        <f>IF(ISERROR(AP111/AP108),"nm",AP111/AP108)</f>
        <v>nm</v>
      </c>
      <c r="AQ115" s="85" t="s">
        <v>89</v>
      </c>
      <c r="AR115" s="84">
        <f>IF(ISERROR(AR111/AR108),"nm",AR111/AR108)</f>
        <v>1.9491001511196594E-7</v>
      </c>
      <c r="AS115" s="84">
        <f>IF(ISERROR(AS111/AS108),"nm",AS111/AS108)</f>
        <v>1.9710595554364768E-7</v>
      </c>
      <c r="AT115" s="84">
        <f>IF(ISERROR(AT111/AT108),"nm",AT111/AT108)</f>
        <v>2.1353354519727466E-7</v>
      </c>
      <c r="AU115" s="137"/>
      <c r="AV115" s="84" t="str">
        <f>IF(ISERROR(AV111/AV108),"nm",AV111/AV108)</f>
        <v>nm</v>
      </c>
      <c r="AW115" s="84" t="str">
        <f>IF(ISERROR(AW111/AW108),"nm",AW111/AW108)</f>
        <v>nm</v>
      </c>
      <c r="AX115" s="84" t="str">
        <f>IF(ISERROR(AX111/AX108),"nm",AX111/AX108)</f>
        <v>nm</v>
      </c>
      <c r="AY115" s="84" t="str">
        <f>IF(ISERROR(AY111/AY108),"nm",AY111/AY108)</f>
        <v>nm</v>
      </c>
      <c r="AZ115" s="85" t="s">
        <v>89</v>
      </c>
      <c r="BA115" s="84" t="str">
        <f>IF(ISERROR(BA111/BA108),"nm",BA111/BA108)</f>
        <v>nm</v>
      </c>
      <c r="BB115" s="84" t="str">
        <f>IF(ISERROR(BB111/BB108),"nm",BB111/BB108)</f>
        <v>nm</v>
      </c>
      <c r="BC115" s="84" t="str">
        <f>IF(ISERROR(BC111/BC108),"nm",BC111/BC108)</f>
        <v>nm</v>
      </c>
      <c r="BD115" s="84" t="str">
        <f>IF(ISERROR(BD111/BD108),"nm",BD111/BD108)</f>
        <v>nm</v>
      </c>
      <c r="BE115" s="85" t="s">
        <v>89</v>
      </c>
      <c r="BF115" s="84" t="str">
        <f>IF(ISERROR(BF111/BF108),"nm",BF111/BF108)</f>
        <v>nm</v>
      </c>
      <c r="BG115" s="84" t="str">
        <f>IF(ISERROR(BG111/BG108),"nm",BG111/BG108)</f>
        <v>nm</v>
      </c>
      <c r="BH115" s="84" t="str">
        <f>IF(ISERROR(BH111/BH108),"nm",BH111/BH108)</f>
        <v>nm</v>
      </c>
      <c r="BI115" s="84" t="str">
        <f>IF(ISERROR(BI111/BI108),"nm",BI111/BI108)</f>
        <v>nm</v>
      </c>
      <c r="BJ115" s="85" t="s">
        <v>89</v>
      </c>
      <c r="BK115" s="510" t="str">
        <f>IF(ISERROR(BK111/BK108),"nm",BK111/BK108)</f>
        <v>nm</v>
      </c>
      <c r="BL115" s="510" t="str">
        <f>IF(ISERROR(BL111/BL108),"nm",BL111/BL108)</f>
        <v>nm</v>
      </c>
      <c r="BM115" s="510" t="str">
        <f>IF(ISERROR(BM111/BM108),"nm",BM111/BM108)</f>
        <v>nm</v>
      </c>
      <c r="BN115" s="510" t="str">
        <f>IF(ISERROR(BN111/BN108),"nm",BN111/BN108)</f>
        <v>nm</v>
      </c>
      <c r="BO115" s="67" t="s">
        <v>89</v>
      </c>
      <c r="BP115" s="510">
        <f t="shared" ref="BP115:DC115" si="226">BP111/BP108</f>
        <v>-3.2157655233394589E-2</v>
      </c>
      <c r="BQ115" s="510">
        <f t="shared" si="226"/>
        <v>-3.9245286503056157E-2</v>
      </c>
      <c r="BR115" s="510">
        <f t="shared" si="226"/>
        <v>-4.3039215686274508E-2</v>
      </c>
      <c r="BS115" s="510">
        <f t="shared" si="226"/>
        <v>-3.7961918208058942E-2</v>
      </c>
      <c r="BT115" s="67">
        <f t="shared" si="226"/>
        <v>-3.7870230106062476E-2</v>
      </c>
      <c r="BU115" s="510">
        <f t="shared" si="226"/>
        <v>-4.0409432388872894E-2</v>
      </c>
      <c r="BV115" s="510">
        <f t="shared" si="226"/>
        <v>-4.2857905453325303E-2</v>
      </c>
      <c r="BW115" s="510">
        <f t="shared" si="226"/>
        <v>-4.3783602451579119E-2</v>
      </c>
      <c r="BX115" s="510">
        <f t="shared" si="226"/>
        <v>-3.7806270790007833E-2</v>
      </c>
      <c r="BY115" s="67">
        <f t="shared" si="226"/>
        <v>-4.1220964418309185E-2</v>
      </c>
      <c r="BZ115" s="510">
        <f t="shared" si="226"/>
        <v>0.88066767652660138</v>
      </c>
      <c r="CA115" s="510">
        <f t="shared" si="226"/>
        <v>0.87862106985675659</v>
      </c>
      <c r="CB115" s="510">
        <f t="shared" si="226"/>
        <v>0.87562628880488558</v>
      </c>
      <c r="CC115" s="510">
        <f t="shared" si="226"/>
        <v>0.87774880009130085</v>
      </c>
      <c r="CD115" s="67">
        <f t="shared" si="226"/>
        <v>0.85942961056257761</v>
      </c>
      <c r="CE115" s="510">
        <f t="shared" si="226"/>
        <v>0.8874022350627373</v>
      </c>
      <c r="CF115" s="510">
        <f t="shared" si="226"/>
        <v>0.88511221634814163</v>
      </c>
      <c r="CG115" s="510">
        <f t="shared" si="226"/>
        <v>0.88232252441845516</v>
      </c>
      <c r="CH115" s="510">
        <f t="shared" si="226"/>
        <v>0.88354715917101367</v>
      </c>
      <c r="CI115" s="67">
        <f t="shared" si="226"/>
        <v>0.88148429018738905</v>
      </c>
      <c r="CJ115" s="510">
        <f t="shared" si="226"/>
        <v>0.89864048734672031</v>
      </c>
      <c r="CK115" s="510">
        <f t="shared" si="226"/>
        <v>0.8940190511638445</v>
      </c>
      <c r="CL115" s="510">
        <f t="shared" si="226"/>
        <v>0.89308723663590461</v>
      </c>
      <c r="CM115" s="510">
        <f t="shared" si="226"/>
        <v>0.90033775843220876</v>
      </c>
      <c r="CN115" s="67">
        <f t="shared" si="226"/>
        <v>0.89652347082183226</v>
      </c>
      <c r="CO115" s="510">
        <f t="shared" si="226"/>
        <v>0.91816326757275513</v>
      </c>
      <c r="CP115" s="510">
        <f t="shared" si="226"/>
        <v>0.91821195649987331</v>
      </c>
      <c r="CQ115" s="510">
        <f t="shared" si="226"/>
        <v>0.91327718121213231</v>
      </c>
      <c r="CR115" s="510">
        <f t="shared" si="226"/>
        <v>0.9005562666291953</v>
      </c>
      <c r="CS115" s="67">
        <f t="shared" si="226"/>
        <v>0.89889140559876335</v>
      </c>
      <c r="CT115" s="510">
        <f t="shared" si="226"/>
        <v>0.8980846462474712</v>
      </c>
      <c r="CU115" s="510">
        <f t="shared" si="226"/>
        <v>0.89568080033015907</v>
      </c>
      <c r="CV115" s="510">
        <f t="shared" si="226"/>
        <v>0.89129435220568065</v>
      </c>
      <c r="CW115" s="510">
        <f t="shared" si="226"/>
        <v>0.89383853235741084</v>
      </c>
      <c r="CX115" s="67">
        <f t="shared" si="226"/>
        <v>0.89472042281540654</v>
      </c>
      <c r="CY115" s="510">
        <f t="shared" si="226"/>
        <v>0.89548620624598851</v>
      </c>
      <c r="CZ115" s="510">
        <f t="shared" si="226"/>
        <v>0.89341687237581013</v>
      </c>
      <c r="DA115" s="510">
        <f t="shared" si="226"/>
        <v>0.89308591114043867</v>
      </c>
      <c r="DB115" s="510">
        <f t="shared" si="226"/>
        <v>0.51948835731391851</v>
      </c>
      <c r="DC115" s="67">
        <f t="shared" si="226"/>
        <v>0.19201411892864195</v>
      </c>
      <c r="DD115" s="510">
        <f t="shared" ref="DD115:DU115" si="227">DD111/DD108</f>
        <v>0.49741924652164338</v>
      </c>
      <c r="DE115" s="510">
        <f t="shared" si="227"/>
        <v>0.49946492124347364</v>
      </c>
      <c r="DF115" s="510">
        <f t="shared" si="227"/>
        <v>0.49065177350421318</v>
      </c>
      <c r="DG115" s="510">
        <f t="shared" si="227"/>
        <v>-1.8714879881853753E-2</v>
      </c>
      <c r="DH115" s="67">
        <f t="shared" si="227"/>
        <v>0.36253877712829669</v>
      </c>
      <c r="DI115" s="510">
        <f t="shared" si="227"/>
        <v>0.92529356597356882</v>
      </c>
      <c r="DJ115" s="510">
        <f t="shared" si="227"/>
        <v>0.9007230602262587</v>
      </c>
      <c r="DK115" s="510">
        <f t="shared" si="227"/>
        <v>0.86718236822690231</v>
      </c>
      <c r="DL115" s="510">
        <f t="shared" si="227"/>
        <v>0.8192542783114688</v>
      </c>
      <c r="DM115" s="67">
        <f t="shared" si="227"/>
        <v>0.87761723276564296</v>
      </c>
      <c r="DN115" s="510">
        <f t="shared" si="227"/>
        <v>0.92601321903446565</v>
      </c>
      <c r="DO115" s="510">
        <f t="shared" si="227"/>
        <v>0.93028935618224773</v>
      </c>
      <c r="DP115" s="510">
        <f t="shared" si="227"/>
        <v>0.92850038763982723</v>
      </c>
      <c r="DQ115" s="510">
        <f t="shared" si="227"/>
        <v>0.93762755144972498</v>
      </c>
      <c r="DR115" s="67">
        <f t="shared" si="227"/>
        <v>0.93048976276783335</v>
      </c>
      <c r="DS115" s="510">
        <f t="shared" si="227"/>
        <v>0.93720886947797555</v>
      </c>
      <c r="DT115" s="510">
        <f t="shared" si="227"/>
        <v>0.93505964104107631</v>
      </c>
      <c r="DU115" s="510">
        <f t="shared" si="227"/>
        <v>0.93541722380134484</v>
      </c>
      <c r="DV115" s="510">
        <f t="shared" ref="DV115:DW115" si="228">DV111/DV108</f>
        <v>0.93648986670997292</v>
      </c>
      <c r="DW115" s="67">
        <f t="shared" si="228"/>
        <v>0.93605920119491537</v>
      </c>
      <c r="DX115" s="66"/>
      <c r="DY115" s="66"/>
      <c r="DZ115" s="66"/>
      <c r="EA115" s="66"/>
      <c r="EB115" s="67"/>
      <c r="EC115" s="66"/>
      <c r="ED115" s="66"/>
      <c r="EE115" s="66"/>
      <c r="EF115" s="66"/>
      <c r="EG115" s="67"/>
      <c r="EH115" s="66"/>
      <c r="EI115" s="66"/>
      <c r="EJ115" s="66"/>
      <c r="EK115" s="66"/>
      <c r="EL115" s="67"/>
    </row>
    <row r="116" spans="1:142" ht="11.25" customHeight="1">
      <c r="A116" s="159"/>
      <c r="B116" s="159" t="s">
        <v>159</v>
      </c>
      <c r="C116" s="458"/>
      <c r="D116" s="458" t="str">
        <f t="shared" ref="D116:AT116" si="229">IF(ISERROR(1-D115),"nm",1-D115)</f>
        <v>nm</v>
      </c>
      <c r="E116" s="458" t="str">
        <f t="shared" si="229"/>
        <v>nm</v>
      </c>
      <c r="F116" s="458" t="str">
        <f t="shared" si="229"/>
        <v>nm</v>
      </c>
      <c r="G116" s="458" t="str">
        <f t="shared" si="229"/>
        <v>nm</v>
      </c>
      <c r="H116" s="462" t="str">
        <f t="shared" si="229"/>
        <v>nm</v>
      </c>
      <c r="I116" s="458" t="str">
        <f t="shared" si="229"/>
        <v>nm</v>
      </c>
      <c r="J116" s="458" t="str">
        <f t="shared" si="229"/>
        <v>nm</v>
      </c>
      <c r="K116" s="458" t="str">
        <f t="shared" si="229"/>
        <v>nm</v>
      </c>
      <c r="L116" s="458" t="str">
        <f t="shared" si="229"/>
        <v>nm</v>
      </c>
      <c r="M116" s="462" t="str">
        <f t="shared" si="229"/>
        <v>nm</v>
      </c>
      <c r="N116" s="458" t="str">
        <f t="shared" si="229"/>
        <v>nm</v>
      </c>
      <c r="O116" s="458" t="str">
        <f t="shared" si="229"/>
        <v>nm</v>
      </c>
      <c r="P116" s="458" t="str">
        <f t="shared" si="229"/>
        <v>nm</v>
      </c>
      <c r="Q116" s="458" t="str">
        <f t="shared" si="229"/>
        <v>nm</v>
      </c>
      <c r="R116" s="462" t="str">
        <f t="shared" si="229"/>
        <v>nm</v>
      </c>
      <c r="S116" s="458">
        <f t="shared" si="229"/>
        <v>0.99999987821490954</v>
      </c>
      <c r="T116" s="458">
        <f t="shared" si="229"/>
        <v>0.99999987589310613</v>
      </c>
      <c r="U116" s="458">
        <f t="shared" si="229"/>
        <v>0.99999986707094979</v>
      </c>
      <c r="V116" s="458" t="str">
        <f t="shared" si="229"/>
        <v>nm</v>
      </c>
      <c r="W116" s="462" t="str">
        <f t="shared" si="229"/>
        <v>nm</v>
      </c>
      <c r="X116" s="458">
        <f t="shared" si="229"/>
        <v>0.99999985210449516</v>
      </c>
      <c r="Y116" s="458">
        <f t="shared" si="229"/>
        <v>0.99999984097731043</v>
      </c>
      <c r="Z116" s="458">
        <f t="shared" si="229"/>
        <v>0.99999983813586468</v>
      </c>
      <c r="AA116" s="458" t="str">
        <f t="shared" si="229"/>
        <v>nm</v>
      </c>
      <c r="AB116" s="462" t="str">
        <f t="shared" si="229"/>
        <v>nm</v>
      </c>
      <c r="AC116" s="458">
        <f t="shared" si="229"/>
        <v>0.99999984932115538</v>
      </c>
      <c r="AD116" s="458">
        <f t="shared" si="229"/>
        <v>0.99999981701610474</v>
      </c>
      <c r="AE116" s="458">
        <f t="shared" si="229"/>
        <v>0.99999981718727771</v>
      </c>
      <c r="AF116" s="458" t="str">
        <f t="shared" si="229"/>
        <v>nm</v>
      </c>
      <c r="AG116" s="462" t="str">
        <f t="shared" si="229"/>
        <v>nm</v>
      </c>
      <c r="AH116" s="458">
        <f t="shared" si="229"/>
        <v>0.99999981946120375</v>
      </c>
      <c r="AI116" s="458">
        <f t="shared" si="229"/>
        <v>0.99999980410233802</v>
      </c>
      <c r="AJ116" s="458">
        <f t="shared" si="229"/>
        <v>0.9999998024040837</v>
      </c>
      <c r="AK116" s="458" t="str">
        <f t="shared" si="229"/>
        <v>nm</v>
      </c>
      <c r="AL116" s="462" t="str">
        <f t="shared" si="229"/>
        <v>nm</v>
      </c>
      <c r="AM116" s="458">
        <f t="shared" si="229"/>
        <v>0.99999981433602847</v>
      </c>
      <c r="AN116" s="458">
        <f t="shared" si="229"/>
        <v>0.99999980462087013</v>
      </c>
      <c r="AO116" s="458">
        <f t="shared" si="229"/>
        <v>0.99999980451214276</v>
      </c>
      <c r="AP116" s="458" t="str">
        <f t="shared" si="229"/>
        <v>nm</v>
      </c>
      <c r="AQ116" s="462" t="str">
        <f t="shared" si="229"/>
        <v>nm</v>
      </c>
      <c r="AR116" s="458">
        <f t="shared" si="229"/>
        <v>0.99999980508998487</v>
      </c>
      <c r="AS116" s="458">
        <f t="shared" si="229"/>
        <v>0.99999980289404444</v>
      </c>
      <c r="AT116" s="458">
        <f t="shared" si="229"/>
        <v>0.99999978646645482</v>
      </c>
      <c r="AU116" s="137"/>
      <c r="AV116" s="458" t="str">
        <f t="shared" ref="AV116:BO116" si="230">IF(ISERROR(1-AV115),"nm",1-AV115)</f>
        <v>nm</v>
      </c>
      <c r="AW116" s="458" t="str">
        <f t="shared" si="230"/>
        <v>nm</v>
      </c>
      <c r="AX116" s="458" t="str">
        <f t="shared" si="230"/>
        <v>nm</v>
      </c>
      <c r="AY116" s="458" t="str">
        <f t="shared" si="230"/>
        <v>nm</v>
      </c>
      <c r="AZ116" s="462" t="str">
        <f t="shared" si="230"/>
        <v>nm</v>
      </c>
      <c r="BA116" s="458" t="str">
        <f t="shared" si="230"/>
        <v>nm</v>
      </c>
      <c r="BB116" s="458" t="str">
        <f t="shared" si="230"/>
        <v>nm</v>
      </c>
      <c r="BC116" s="458" t="str">
        <f t="shared" si="230"/>
        <v>nm</v>
      </c>
      <c r="BD116" s="458" t="str">
        <f t="shared" si="230"/>
        <v>nm</v>
      </c>
      <c r="BE116" s="462" t="str">
        <f t="shared" si="230"/>
        <v>nm</v>
      </c>
      <c r="BF116" s="458" t="str">
        <f t="shared" si="230"/>
        <v>nm</v>
      </c>
      <c r="BG116" s="458" t="str">
        <f t="shared" si="230"/>
        <v>nm</v>
      </c>
      <c r="BH116" s="458" t="str">
        <f t="shared" si="230"/>
        <v>nm</v>
      </c>
      <c r="BI116" s="458" t="str">
        <f t="shared" si="230"/>
        <v>nm</v>
      </c>
      <c r="BJ116" s="462" t="str">
        <f t="shared" si="230"/>
        <v>nm</v>
      </c>
      <c r="BK116" s="177" t="str">
        <f t="shared" si="230"/>
        <v>nm</v>
      </c>
      <c r="BL116" s="177" t="str">
        <f t="shared" si="230"/>
        <v>nm</v>
      </c>
      <c r="BM116" s="177" t="str">
        <f t="shared" si="230"/>
        <v>nm</v>
      </c>
      <c r="BN116" s="177" t="str">
        <f t="shared" si="230"/>
        <v>nm</v>
      </c>
      <c r="BO116" s="55" t="str">
        <f t="shared" si="230"/>
        <v>nm</v>
      </c>
      <c r="BP116" s="177">
        <f t="shared" ref="BP116:DC116" si="231">1-BP115</f>
        <v>1.0321576552333946</v>
      </c>
      <c r="BQ116" s="177">
        <f t="shared" si="231"/>
        <v>1.0392452865030561</v>
      </c>
      <c r="BR116" s="177">
        <f t="shared" si="231"/>
        <v>1.0430392156862744</v>
      </c>
      <c r="BS116" s="177">
        <f t="shared" si="231"/>
        <v>1.0379619182080591</v>
      </c>
      <c r="BT116" s="55">
        <f t="shared" si="231"/>
        <v>1.0378702301060625</v>
      </c>
      <c r="BU116" s="177">
        <f t="shared" si="231"/>
        <v>1.0404094323888728</v>
      </c>
      <c r="BV116" s="177">
        <f t="shared" si="231"/>
        <v>1.0428579054533254</v>
      </c>
      <c r="BW116" s="177">
        <f t="shared" si="231"/>
        <v>1.0437836024515792</v>
      </c>
      <c r="BX116" s="177">
        <f t="shared" si="231"/>
        <v>1.0378062707900078</v>
      </c>
      <c r="BY116" s="55">
        <f t="shared" si="231"/>
        <v>1.0412209644183092</v>
      </c>
      <c r="BZ116" s="177">
        <f t="shared" si="231"/>
        <v>0.11933232347339862</v>
      </c>
      <c r="CA116" s="177">
        <f t="shared" si="231"/>
        <v>0.12137893014324341</v>
      </c>
      <c r="CB116" s="177">
        <f t="shared" si="231"/>
        <v>0.12437371119511442</v>
      </c>
      <c r="CC116" s="177">
        <f t="shared" si="231"/>
        <v>0.12225119990869915</v>
      </c>
      <c r="CD116" s="55">
        <f t="shared" si="231"/>
        <v>0.14057038943742239</v>
      </c>
      <c r="CE116" s="177">
        <f t="shared" si="231"/>
        <v>0.1125977649372627</v>
      </c>
      <c r="CF116" s="177">
        <f t="shared" si="231"/>
        <v>0.11488778365185837</v>
      </c>
      <c r="CG116" s="177">
        <f t="shared" si="231"/>
        <v>0.11767747558154484</v>
      </c>
      <c r="CH116" s="177">
        <f t="shared" si="231"/>
        <v>0.11645284082898633</v>
      </c>
      <c r="CI116" s="55">
        <f t="shared" si="231"/>
        <v>0.11851570981261095</v>
      </c>
      <c r="CJ116" s="177">
        <f t="shared" si="231"/>
        <v>0.10135951265327969</v>
      </c>
      <c r="CK116" s="177">
        <f t="shared" si="231"/>
        <v>0.1059809488361555</v>
      </c>
      <c r="CL116" s="177">
        <f t="shared" si="231"/>
        <v>0.10691276336409539</v>
      </c>
      <c r="CM116" s="177">
        <f t="shared" si="231"/>
        <v>9.9662241567791243E-2</v>
      </c>
      <c r="CN116" s="55">
        <f t="shared" si="231"/>
        <v>0.10347652917816774</v>
      </c>
      <c r="CO116" s="177">
        <f t="shared" si="231"/>
        <v>8.1836732427244874E-2</v>
      </c>
      <c r="CP116" s="177">
        <f t="shared" si="231"/>
        <v>8.1788043500126695E-2</v>
      </c>
      <c r="CQ116" s="177">
        <f t="shared" si="231"/>
        <v>8.6722818787867695E-2</v>
      </c>
      <c r="CR116" s="177">
        <f t="shared" si="231"/>
        <v>9.9443733370804699E-2</v>
      </c>
      <c r="CS116" s="55">
        <f t="shared" si="231"/>
        <v>0.10110859440123665</v>
      </c>
      <c r="CT116" s="177">
        <f t="shared" si="231"/>
        <v>0.1019153537525288</v>
      </c>
      <c r="CU116" s="177">
        <f t="shared" si="231"/>
        <v>0.10431919966984093</v>
      </c>
      <c r="CV116" s="177">
        <f t="shared" si="231"/>
        <v>0.10870564779431935</v>
      </c>
      <c r="CW116" s="177">
        <f t="shared" si="231"/>
        <v>0.10616146764258916</v>
      </c>
      <c r="CX116" s="55">
        <f t="shared" si="231"/>
        <v>0.10527957718459346</v>
      </c>
      <c r="CY116" s="177">
        <f t="shared" si="231"/>
        <v>0.10451379375401149</v>
      </c>
      <c r="CZ116" s="177">
        <f t="shared" si="231"/>
        <v>0.10658312762418987</v>
      </c>
      <c r="DA116" s="177">
        <f t="shared" si="231"/>
        <v>0.10691408885956133</v>
      </c>
      <c r="DB116" s="177">
        <f t="shared" si="231"/>
        <v>0.48051164268608149</v>
      </c>
      <c r="DC116" s="55">
        <f t="shared" si="231"/>
        <v>0.80798588107135805</v>
      </c>
      <c r="DD116" s="177">
        <f t="shared" ref="DD116:DW116" si="232">1-DD115</f>
        <v>0.50258075347835662</v>
      </c>
      <c r="DE116" s="177">
        <f t="shared" si="232"/>
        <v>0.50053507875652636</v>
      </c>
      <c r="DF116" s="177">
        <f t="shared" si="232"/>
        <v>0.50934822649578682</v>
      </c>
      <c r="DG116" s="177">
        <f t="shared" si="232"/>
        <v>1.0187148798818537</v>
      </c>
      <c r="DH116" s="55">
        <f t="shared" si="232"/>
        <v>0.63746122287170337</v>
      </c>
      <c r="DI116" s="177">
        <f t="shared" si="232"/>
        <v>7.4706434026431179E-2</v>
      </c>
      <c r="DJ116" s="177">
        <f t="shared" si="232"/>
        <v>9.9276939773741302E-2</v>
      </c>
      <c r="DK116" s="177">
        <f t="shared" si="232"/>
        <v>0.13281763177309769</v>
      </c>
      <c r="DL116" s="177">
        <f t="shared" si="232"/>
        <v>0.1807457216885312</v>
      </c>
      <c r="DM116" s="55">
        <f t="shared" si="232"/>
        <v>0.12238276723435704</v>
      </c>
      <c r="DN116" s="177">
        <f t="shared" si="232"/>
        <v>7.3986780965534349E-2</v>
      </c>
      <c r="DO116" s="177">
        <f t="shared" si="232"/>
        <v>6.9710643817752271E-2</v>
      </c>
      <c r="DP116" s="177">
        <f t="shared" si="232"/>
        <v>7.1499612360172771E-2</v>
      </c>
      <c r="DQ116" s="177">
        <f t="shared" si="232"/>
        <v>6.2372448550275017E-2</v>
      </c>
      <c r="DR116" s="55">
        <f t="shared" si="232"/>
        <v>6.951023723216665E-2</v>
      </c>
      <c r="DS116" s="177">
        <f t="shared" si="232"/>
        <v>6.2791130522024452E-2</v>
      </c>
      <c r="DT116" s="177">
        <f t="shared" si="232"/>
        <v>6.4940358958923694E-2</v>
      </c>
      <c r="DU116" s="177">
        <f t="shared" si="232"/>
        <v>6.4582776198655156E-2</v>
      </c>
      <c r="DV116" s="177">
        <f t="shared" si="232"/>
        <v>6.3510133290027082E-2</v>
      </c>
      <c r="DW116" s="55">
        <f t="shared" si="232"/>
        <v>6.3940798805084631E-2</v>
      </c>
      <c r="DX116" s="435"/>
      <c r="DY116" s="435"/>
      <c r="DZ116" s="435"/>
      <c r="EA116" s="435"/>
      <c r="EB116" s="55"/>
      <c r="EC116" s="435"/>
      <c r="ED116" s="435"/>
      <c r="EE116" s="435"/>
      <c r="EF116" s="435"/>
      <c r="EG116" s="55"/>
      <c r="EH116" s="435"/>
      <c r="EI116" s="435"/>
      <c r="EJ116" s="435"/>
      <c r="EK116" s="435"/>
      <c r="EL116" s="55"/>
    </row>
    <row r="117" spans="1:142" ht="11.25" customHeight="1">
      <c r="A117" s="192"/>
      <c r="B117" s="192"/>
      <c r="C117" s="171"/>
      <c r="D117" s="171"/>
      <c r="E117" s="171"/>
      <c r="F117" s="171"/>
      <c r="G117" s="171"/>
      <c r="H117" s="193"/>
      <c r="I117" s="171"/>
      <c r="J117" s="171"/>
      <c r="K117" s="171"/>
      <c r="L117" s="171"/>
      <c r="M117" s="193"/>
      <c r="N117" s="171"/>
      <c r="O117" s="171"/>
      <c r="P117" s="171"/>
      <c r="Q117" s="171"/>
      <c r="R117" s="193"/>
      <c r="S117" s="171"/>
      <c r="T117" s="171"/>
      <c r="U117" s="171"/>
      <c r="V117" s="171"/>
      <c r="W117" s="193"/>
      <c r="X117" s="171"/>
      <c r="Y117" s="171"/>
      <c r="Z117" s="171"/>
      <c r="AA117" s="171"/>
      <c r="AB117" s="193"/>
      <c r="AC117" s="171"/>
      <c r="AD117" s="171"/>
      <c r="AE117" s="171"/>
      <c r="AF117" s="171"/>
      <c r="AG117" s="193"/>
      <c r="AH117" s="171"/>
      <c r="AI117" s="171"/>
      <c r="AJ117" s="171"/>
      <c r="AK117" s="171"/>
      <c r="AL117" s="193"/>
      <c r="AM117" s="171"/>
      <c r="AN117" s="171"/>
      <c r="AO117" s="171"/>
      <c r="AP117" s="171"/>
      <c r="AQ117" s="193"/>
      <c r="AR117" s="171"/>
      <c r="AS117" s="171"/>
      <c r="AT117" s="171"/>
      <c r="AU117" s="137"/>
      <c r="AV117" s="171"/>
      <c r="AW117" s="171"/>
      <c r="AX117" s="171"/>
      <c r="AY117" s="171"/>
      <c r="AZ117" s="193"/>
      <c r="BA117" s="171"/>
      <c r="BB117" s="171"/>
      <c r="BC117" s="171"/>
      <c r="BD117" s="171"/>
      <c r="BE117" s="193"/>
      <c r="BF117" s="171"/>
      <c r="BG117" s="171"/>
      <c r="BH117" s="171"/>
      <c r="BI117" s="171"/>
      <c r="BJ117" s="193"/>
      <c r="BK117" s="211"/>
      <c r="BL117" s="211"/>
      <c r="BM117" s="211"/>
      <c r="BN117" s="211"/>
      <c r="BO117" s="74"/>
      <c r="BP117" s="211"/>
      <c r="BQ117" s="211"/>
      <c r="BR117" s="211"/>
      <c r="BS117" s="211"/>
      <c r="BT117" s="74"/>
      <c r="BU117" s="211"/>
      <c r="BV117" s="211"/>
      <c r="BW117" s="211"/>
      <c r="BX117" s="211"/>
      <c r="BY117" s="74"/>
      <c r="BZ117" s="211"/>
      <c r="CA117" s="211"/>
      <c r="CB117" s="211"/>
      <c r="CC117" s="211"/>
      <c r="CD117" s="74"/>
      <c r="CE117" s="211"/>
      <c r="CF117" s="211"/>
      <c r="CG117" s="211"/>
      <c r="CH117" s="211"/>
      <c r="CI117" s="74"/>
      <c r="CJ117" s="211"/>
      <c r="CK117" s="211"/>
      <c r="CL117" s="211"/>
      <c r="CM117" s="211"/>
      <c r="CN117" s="74"/>
      <c r="CO117" s="211"/>
      <c r="CP117" s="211"/>
      <c r="CQ117" s="211"/>
      <c r="CR117" s="211"/>
      <c r="CS117" s="74"/>
      <c r="CT117" s="211"/>
      <c r="CU117" s="211"/>
      <c r="CV117" s="211"/>
      <c r="CW117" s="211"/>
      <c r="CX117" s="74"/>
      <c r="CY117" s="211"/>
      <c r="CZ117" s="211"/>
      <c r="DA117" s="211"/>
      <c r="DB117" s="211"/>
      <c r="DC117" s="74"/>
      <c r="DD117" s="211"/>
      <c r="DE117" s="211"/>
      <c r="DF117" s="211"/>
      <c r="DG117" s="211"/>
      <c r="DH117" s="74"/>
      <c r="DI117" s="211"/>
      <c r="DJ117" s="211"/>
      <c r="DK117" s="211"/>
      <c r="DL117" s="211"/>
      <c r="DM117" s="74"/>
      <c r="DN117" s="211"/>
      <c r="DO117" s="211"/>
      <c r="DP117" s="211"/>
      <c r="DQ117" s="211"/>
      <c r="DR117" s="74"/>
      <c r="DS117" s="211"/>
      <c r="DT117" s="211"/>
      <c r="DU117" s="211"/>
      <c r="DV117" s="211"/>
      <c r="DW117" s="74"/>
      <c r="DX117" s="211"/>
      <c r="DY117" s="211"/>
      <c r="DZ117" s="211"/>
      <c r="EA117" s="211"/>
      <c r="EB117" s="74"/>
      <c r="EC117" s="211"/>
      <c r="ED117" s="211"/>
      <c r="EE117" s="211"/>
      <c r="EF117" s="211"/>
      <c r="EG117" s="74"/>
      <c r="EH117" s="211"/>
      <c r="EI117" s="211"/>
      <c r="EJ117" s="211"/>
      <c r="EK117" s="211"/>
      <c r="EL117" s="74"/>
    </row>
    <row r="118" spans="1:142" ht="11.25" customHeight="1">
      <c r="A118" s="159"/>
      <c r="B118" s="159" t="s">
        <v>160</v>
      </c>
      <c r="C118" s="507"/>
      <c r="D118" s="507" t="e">
        <f>#REF!</f>
        <v>#REF!</v>
      </c>
      <c r="E118" s="507" t="e">
        <f>#REF!</f>
        <v>#REF!</v>
      </c>
      <c r="F118" s="507" t="e">
        <f>#REF!</f>
        <v>#REF!</v>
      </c>
      <c r="G118" s="507" t="e">
        <f>#REF!</f>
        <v>#REF!</v>
      </c>
      <c r="H118" s="74" t="e">
        <f>SUM(D118:G118)</f>
        <v>#REF!</v>
      </c>
      <c r="I118" s="507" t="e">
        <f>#REF!</f>
        <v>#REF!</v>
      </c>
      <c r="J118" s="507" t="e">
        <f>#REF!</f>
        <v>#REF!</v>
      </c>
      <c r="K118" s="507" t="e">
        <f>#REF!</f>
        <v>#REF!</v>
      </c>
      <c r="L118" s="507" t="e">
        <f>#REF!</f>
        <v>#REF!</v>
      </c>
      <c r="M118" s="74" t="e">
        <f>SUM(I118:L118)</f>
        <v>#REF!</v>
      </c>
      <c r="N118" s="507" t="e">
        <f>#REF!</f>
        <v>#REF!</v>
      </c>
      <c r="O118" s="507" t="e">
        <f>#REF!</f>
        <v>#REF!</v>
      </c>
      <c r="P118" s="507" t="e">
        <f>#REF!</f>
        <v>#REF!</v>
      </c>
      <c r="Q118" s="507" t="e">
        <f>#REF!</f>
        <v>#REF!</v>
      </c>
      <c r="R118" s="74" t="e">
        <f>SUM(N118:Q118)</f>
        <v>#REF!</v>
      </c>
      <c r="S118" s="507" t="e">
        <f>#REF!</f>
        <v>#REF!</v>
      </c>
      <c r="T118" s="507" t="e">
        <f>#REF!</f>
        <v>#REF!</v>
      </c>
      <c r="U118" s="507" t="e">
        <f>#REF!</f>
        <v>#REF!</v>
      </c>
      <c r="V118" s="507" t="e">
        <f>#REF!</f>
        <v>#REF!</v>
      </c>
      <c r="W118" s="74" t="e">
        <f>SUM(S118:V118)</f>
        <v>#REF!</v>
      </c>
      <c r="X118" s="507" t="e">
        <f>#REF!</f>
        <v>#REF!</v>
      </c>
      <c r="Y118" s="507" t="e">
        <f>#REF!</f>
        <v>#REF!</v>
      </c>
      <c r="Z118" s="507" t="e">
        <f>#REF!</f>
        <v>#REF!</v>
      </c>
      <c r="AA118" s="507" t="e">
        <f>#REF!</f>
        <v>#REF!</v>
      </c>
      <c r="AB118" s="74" t="e">
        <f>SUM(X118:AA118)</f>
        <v>#REF!</v>
      </c>
      <c r="AC118" s="507" t="e">
        <f>#REF!</f>
        <v>#REF!</v>
      </c>
      <c r="AD118" s="507" t="e">
        <f>#REF!</f>
        <v>#REF!</v>
      </c>
      <c r="AE118" s="507" t="e">
        <f>#REF!</f>
        <v>#REF!</v>
      </c>
      <c r="AF118" s="507" t="e">
        <f>#REF!</f>
        <v>#REF!</v>
      </c>
      <c r="AG118" s="74" t="e">
        <f>SUM(AC118:AF118)</f>
        <v>#REF!</v>
      </c>
      <c r="AH118" s="507" t="e">
        <f>#REF!</f>
        <v>#REF!</v>
      </c>
      <c r="AI118" s="507" t="e">
        <f>#REF!</f>
        <v>#REF!</v>
      </c>
      <c r="AJ118" s="507" t="e">
        <f>#REF!</f>
        <v>#REF!</v>
      </c>
      <c r="AK118" s="507" t="e">
        <f>#REF!</f>
        <v>#REF!</v>
      </c>
      <c r="AL118" s="74" t="e">
        <f>SUM(AH118:AK118)</f>
        <v>#REF!</v>
      </c>
      <c r="AM118" s="507" t="e">
        <f>#REF!</f>
        <v>#REF!</v>
      </c>
      <c r="AN118" s="507" t="e">
        <f>#REF!</f>
        <v>#REF!</v>
      </c>
      <c r="AO118" s="507" t="e">
        <f>#REF!</f>
        <v>#REF!</v>
      </c>
      <c r="AP118" s="507" t="e">
        <f>#REF!</f>
        <v>#REF!</v>
      </c>
      <c r="AQ118" s="74" t="e">
        <f>SUM(AM118:AP118)</f>
        <v>#REF!</v>
      </c>
      <c r="AR118" s="507" t="e">
        <f>#REF!</f>
        <v>#REF!</v>
      </c>
      <c r="AS118" s="507" t="e">
        <f>#REF!</f>
        <v>#REF!</v>
      </c>
      <c r="AT118" s="507" t="e">
        <f>#REF!</f>
        <v>#REF!</v>
      </c>
      <c r="AU118" s="137"/>
      <c r="AV118" s="90" t="str">
        <f t="shared" ref="AV118:CA118" si="233">AV275</f>
        <v>ND</v>
      </c>
      <c r="AW118" s="90" t="str">
        <f t="shared" si="233"/>
        <v>ND</v>
      </c>
      <c r="AX118" s="90" t="str">
        <f t="shared" si="233"/>
        <v>ND</v>
      </c>
      <c r="AY118" s="90" t="str">
        <f t="shared" si="233"/>
        <v>ND</v>
      </c>
      <c r="AZ118" s="90" t="str">
        <f t="shared" si="233"/>
        <v>ND</v>
      </c>
      <c r="BA118" s="90" t="str">
        <f t="shared" si="233"/>
        <v>ND</v>
      </c>
      <c r="BB118" s="90" t="str">
        <f t="shared" si="233"/>
        <v>ND</v>
      </c>
      <c r="BC118" s="90" t="str">
        <f t="shared" si="233"/>
        <v>ND</v>
      </c>
      <c r="BD118" s="90" t="str">
        <f t="shared" si="233"/>
        <v>ND</v>
      </c>
      <c r="BE118" s="90" t="str">
        <f t="shared" si="233"/>
        <v>ND</v>
      </c>
      <c r="BF118" s="90" t="str">
        <f t="shared" si="233"/>
        <v>ND</v>
      </c>
      <c r="BG118" s="90" t="str">
        <f t="shared" si="233"/>
        <v>ND</v>
      </c>
      <c r="BH118" s="90" t="str">
        <f t="shared" si="233"/>
        <v>ND</v>
      </c>
      <c r="BI118" s="90" t="str">
        <f t="shared" si="233"/>
        <v>ND</v>
      </c>
      <c r="BJ118" s="90" t="str">
        <f t="shared" si="233"/>
        <v>ND</v>
      </c>
      <c r="BK118" s="90" t="str">
        <f t="shared" si="233"/>
        <v>ND</v>
      </c>
      <c r="BL118" s="90" t="str">
        <f t="shared" si="233"/>
        <v>ND</v>
      </c>
      <c r="BM118" s="90" t="str">
        <f t="shared" si="233"/>
        <v>ND</v>
      </c>
      <c r="BN118" s="90" t="str">
        <f t="shared" si="233"/>
        <v>ND</v>
      </c>
      <c r="BO118" s="90" t="str">
        <f t="shared" si="233"/>
        <v>ND</v>
      </c>
      <c r="BP118" s="90" t="str">
        <f t="shared" si="233"/>
        <v>ND</v>
      </c>
      <c r="BQ118" s="90" t="str">
        <f t="shared" si="233"/>
        <v>ND</v>
      </c>
      <c r="BR118" s="90" t="str">
        <f t="shared" si="233"/>
        <v>ND</v>
      </c>
      <c r="BS118" s="90" t="str">
        <f t="shared" si="233"/>
        <v>ND</v>
      </c>
      <c r="BT118" s="90" t="str">
        <f t="shared" si="233"/>
        <v>ND</v>
      </c>
      <c r="BU118" s="90" t="str">
        <f t="shared" si="233"/>
        <v>ND</v>
      </c>
      <c r="BV118" s="90" t="str">
        <f t="shared" si="233"/>
        <v>ND</v>
      </c>
      <c r="BW118" s="90" t="str">
        <f t="shared" si="233"/>
        <v>ND</v>
      </c>
      <c r="BX118" s="90" t="str">
        <f t="shared" si="233"/>
        <v>ND</v>
      </c>
      <c r="BY118" s="90" t="str">
        <f t="shared" si="233"/>
        <v>ND</v>
      </c>
      <c r="BZ118" s="90" t="str">
        <f t="shared" si="233"/>
        <v>ND</v>
      </c>
      <c r="CA118" s="90" t="str">
        <f t="shared" si="233"/>
        <v>ND</v>
      </c>
      <c r="CB118" s="90" t="str">
        <f t="shared" ref="CB118:DG118" si="234">CB275</f>
        <v>ND</v>
      </c>
      <c r="CC118" s="90" t="str">
        <f t="shared" si="234"/>
        <v>ND</v>
      </c>
      <c r="CD118" s="90" t="str">
        <f t="shared" si="234"/>
        <v>ND</v>
      </c>
      <c r="CE118" s="90">
        <f t="shared" si="234"/>
        <v>343803</v>
      </c>
      <c r="CF118" s="90">
        <f t="shared" si="234"/>
        <v>356125</v>
      </c>
      <c r="CG118" s="90">
        <f t="shared" si="234"/>
        <v>357122</v>
      </c>
      <c r="CH118" s="90">
        <f t="shared" si="234"/>
        <v>353031</v>
      </c>
      <c r="CI118" s="90">
        <f t="shared" si="234"/>
        <v>1410081</v>
      </c>
      <c r="CJ118" s="90">
        <f t="shared" si="234"/>
        <v>350320</v>
      </c>
      <c r="CK118" s="90">
        <f t="shared" si="234"/>
        <v>362110</v>
      </c>
      <c r="CL118" s="90">
        <f t="shared" si="234"/>
        <v>359658</v>
      </c>
      <c r="CM118" s="90">
        <f t="shared" si="234"/>
        <v>359168</v>
      </c>
      <c r="CN118" s="90">
        <f t="shared" si="234"/>
        <v>1431256</v>
      </c>
      <c r="CO118" s="90">
        <f t="shared" si="234"/>
        <v>371658</v>
      </c>
      <c r="CP118" s="90">
        <f t="shared" si="234"/>
        <v>371389</v>
      </c>
      <c r="CQ118" s="90">
        <f t="shared" si="234"/>
        <v>373295</v>
      </c>
      <c r="CR118" s="90">
        <f t="shared" si="234"/>
        <v>363230</v>
      </c>
      <c r="CS118" s="90">
        <f t="shared" si="234"/>
        <v>1457250</v>
      </c>
      <c r="CT118" s="90">
        <f t="shared" si="234"/>
        <v>386398</v>
      </c>
      <c r="CU118" s="90">
        <f t="shared" si="234"/>
        <v>384221</v>
      </c>
      <c r="CV118" s="90">
        <f t="shared" si="234"/>
        <v>384772</v>
      </c>
      <c r="CW118" s="90">
        <f t="shared" si="234"/>
        <v>399711</v>
      </c>
      <c r="CX118" s="90">
        <f t="shared" si="234"/>
        <v>1555102</v>
      </c>
      <c r="CY118" s="90">
        <f t="shared" si="234"/>
        <v>402078</v>
      </c>
      <c r="CZ118" s="90">
        <f t="shared" si="234"/>
        <v>399702</v>
      </c>
      <c r="DA118" s="90">
        <f t="shared" si="234"/>
        <v>400345</v>
      </c>
      <c r="DB118" s="90">
        <f t="shared" si="234"/>
        <v>404950</v>
      </c>
      <c r="DC118" s="90">
        <f t="shared" si="234"/>
        <v>404950</v>
      </c>
      <c r="DD118" s="90">
        <f t="shared" si="234"/>
        <v>414193</v>
      </c>
      <c r="DE118" s="90">
        <f t="shared" si="234"/>
        <v>432858</v>
      </c>
      <c r="DF118" s="90">
        <f t="shared" si="234"/>
        <v>433174</v>
      </c>
      <c r="DG118" s="90">
        <f t="shared" si="234"/>
        <v>835951</v>
      </c>
      <c r="DH118" s="74">
        <f>SUM(DD118:DG118)</f>
        <v>2116176</v>
      </c>
      <c r="DI118" s="90">
        <f>DI275</f>
        <v>741533</v>
      </c>
      <c r="DJ118" s="90">
        <f>DJ275</f>
        <v>715897</v>
      </c>
      <c r="DK118" s="90">
        <f>DK275</f>
        <v>702248</v>
      </c>
      <c r="DL118" s="90">
        <f>DL275</f>
        <v>700837</v>
      </c>
      <c r="DM118" s="74">
        <f>SUM(DI118:DL118)</f>
        <v>2860515</v>
      </c>
      <c r="DN118" s="90">
        <f>DN275</f>
        <v>789916</v>
      </c>
      <c r="DO118" s="90">
        <f>DO275</f>
        <v>715692</v>
      </c>
      <c r="DP118" s="90">
        <f>DP275</f>
        <v>707713</v>
      </c>
      <c r="DQ118" s="90">
        <f>DQ275</f>
        <v>701100</v>
      </c>
      <c r="DR118" s="74">
        <f>SUM(DN118:DQ118)</f>
        <v>2914421</v>
      </c>
      <c r="DS118" s="90">
        <f>DS312</f>
        <v>703035</v>
      </c>
      <c r="DT118" s="90">
        <f>DT312</f>
        <v>694213</v>
      </c>
      <c r="DU118" s="90">
        <f>DU312</f>
        <v>646331</v>
      </c>
      <c r="DV118" s="90">
        <f>DV312</f>
        <v>676705</v>
      </c>
      <c r="DW118" s="74">
        <f>SUM(DS118:DV118)</f>
        <v>2720284</v>
      </c>
      <c r="DX118" s="171"/>
      <c r="DY118" s="171"/>
      <c r="DZ118" s="171"/>
      <c r="EA118" s="171"/>
      <c r="EB118" s="74"/>
      <c r="EC118" s="171"/>
      <c r="ED118" s="171"/>
      <c r="EE118" s="171"/>
      <c r="EF118" s="171"/>
      <c r="EG118" s="74"/>
      <c r="EH118" s="171"/>
      <c r="EI118" s="171"/>
      <c r="EJ118" s="171"/>
      <c r="EK118" s="171"/>
      <c r="EL118" s="74"/>
    </row>
    <row r="119" spans="1:142" ht="11.25" customHeight="1">
      <c r="A119" s="511"/>
      <c r="B119" s="511" t="s">
        <v>133</v>
      </c>
      <c r="C119" s="163"/>
      <c r="D119" s="163"/>
      <c r="E119" s="163"/>
      <c r="F119" s="163"/>
      <c r="G119" s="163"/>
      <c r="H119" s="85"/>
      <c r="I119" s="84" t="str">
        <f t="shared" ref="I119:AT119" si="235">IF(ISERROR(I118/D118-1),"nm",I118/D118-1)</f>
        <v>nm</v>
      </c>
      <c r="J119" s="84" t="str">
        <f t="shared" si="235"/>
        <v>nm</v>
      </c>
      <c r="K119" s="84" t="str">
        <f t="shared" si="235"/>
        <v>nm</v>
      </c>
      <c r="L119" s="84" t="str">
        <f t="shared" si="235"/>
        <v>nm</v>
      </c>
      <c r="M119" s="85" t="str">
        <f t="shared" si="235"/>
        <v>nm</v>
      </c>
      <c r="N119" s="84" t="str">
        <f t="shared" si="235"/>
        <v>nm</v>
      </c>
      <c r="O119" s="84" t="str">
        <f t="shared" si="235"/>
        <v>nm</v>
      </c>
      <c r="P119" s="84" t="str">
        <f t="shared" si="235"/>
        <v>nm</v>
      </c>
      <c r="Q119" s="84" t="str">
        <f t="shared" si="235"/>
        <v>nm</v>
      </c>
      <c r="R119" s="85" t="str">
        <f t="shared" si="235"/>
        <v>nm</v>
      </c>
      <c r="S119" s="84" t="str">
        <f t="shared" si="235"/>
        <v>nm</v>
      </c>
      <c r="T119" s="84" t="str">
        <f t="shared" si="235"/>
        <v>nm</v>
      </c>
      <c r="U119" s="84" t="str">
        <f t="shared" si="235"/>
        <v>nm</v>
      </c>
      <c r="V119" s="84" t="str">
        <f t="shared" si="235"/>
        <v>nm</v>
      </c>
      <c r="W119" s="85" t="str">
        <f t="shared" si="235"/>
        <v>nm</v>
      </c>
      <c r="X119" s="84" t="str">
        <f t="shared" si="235"/>
        <v>nm</v>
      </c>
      <c r="Y119" s="84" t="str">
        <f t="shared" si="235"/>
        <v>nm</v>
      </c>
      <c r="Z119" s="84" t="str">
        <f t="shared" si="235"/>
        <v>nm</v>
      </c>
      <c r="AA119" s="84" t="str">
        <f t="shared" si="235"/>
        <v>nm</v>
      </c>
      <c r="AB119" s="85" t="str">
        <f t="shared" si="235"/>
        <v>nm</v>
      </c>
      <c r="AC119" s="84" t="str">
        <f t="shared" si="235"/>
        <v>nm</v>
      </c>
      <c r="AD119" s="84" t="str">
        <f t="shared" si="235"/>
        <v>nm</v>
      </c>
      <c r="AE119" s="84" t="str">
        <f t="shared" si="235"/>
        <v>nm</v>
      </c>
      <c r="AF119" s="84" t="str">
        <f t="shared" si="235"/>
        <v>nm</v>
      </c>
      <c r="AG119" s="85" t="str">
        <f t="shared" si="235"/>
        <v>nm</v>
      </c>
      <c r="AH119" s="84" t="str">
        <f t="shared" si="235"/>
        <v>nm</v>
      </c>
      <c r="AI119" s="84" t="str">
        <f t="shared" si="235"/>
        <v>nm</v>
      </c>
      <c r="AJ119" s="84" t="str">
        <f t="shared" si="235"/>
        <v>nm</v>
      </c>
      <c r="AK119" s="84" t="str">
        <f t="shared" si="235"/>
        <v>nm</v>
      </c>
      <c r="AL119" s="85" t="str">
        <f t="shared" si="235"/>
        <v>nm</v>
      </c>
      <c r="AM119" s="84" t="str">
        <f t="shared" si="235"/>
        <v>nm</v>
      </c>
      <c r="AN119" s="84" t="str">
        <f t="shared" si="235"/>
        <v>nm</v>
      </c>
      <c r="AO119" s="84" t="str">
        <f t="shared" si="235"/>
        <v>nm</v>
      </c>
      <c r="AP119" s="84" t="str">
        <f t="shared" si="235"/>
        <v>nm</v>
      </c>
      <c r="AQ119" s="85" t="str">
        <f t="shared" si="235"/>
        <v>nm</v>
      </c>
      <c r="AR119" s="84" t="str">
        <f t="shared" si="235"/>
        <v>nm</v>
      </c>
      <c r="AS119" s="84" t="str">
        <f t="shared" si="235"/>
        <v>nm</v>
      </c>
      <c r="AT119" s="84" t="str">
        <f t="shared" si="235"/>
        <v>nm</v>
      </c>
      <c r="AU119" s="137"/>
      <c r="AV119" s="510">
        <v>0.79030789994036588</v>
      </c>
      <c r="AW119" s="510">
        <v>0.79030789994036588</v>
      </c>
      <c r="AX119" s="510">
        <v>0.79030789994036588</v>
      </c>
      <c r="AY119" s="510">
        <v>0.79030789994036588</v>
      </c>
      <c r="AZ119" s="510">
        <v>0.79030789994036588</v>
      </c>
      <c r="BA119" s="510">
        <v>0.79030789994036588</v>
      </c>
      <c r="BB119" s="510">
        <v>0.79030789994036588</v>
      </c>
      <c r="BC119" s="510">
        <v>0.79030789994036588</v>
      </c>
      <c r="BD119" s="510">
        <v>0.79030789994036588</v>
      </c>
      <c r="BE119" s="510">
        <v>0.79030789994036588</v>
      </c>
      <c r="BF119" s="510">
        <v>0.79030789994036588</v>
      </c>
      <c r="BG119" s="510">
        <v>0.79030789994036588</v>
      </c>
      <c r="BH119" s="510">
        <v>0.79030789994036588</v>
      </c>
      <c r="BI119" s="510">
        <v>0.79030789994036588</v>
      </c>
      <c r="BJ119" s="510">
        <v>0.79030789994036588</v>
      </c>
      <c r="BK119" s="510">
        <v>0.79030789994036588</v>
      </c>
      <c r="BL119" s="510">
        <v>0.79030789994036588</v>
      </c>
      <c r="BM119" s="510">
        <v>0.79030789994036588</v>
      </c>
      <c r="BN119" s="510">
        <v>0.79030789994036588</v>
      </c>
      <c r="BO119" s="510">
        <v>0.79030789994036588</v>
      </c>
      <c r="BP119" s="510">
        <v>0.79030789994036588</v>
      </c>
      <c r="BQ119" s="510">
        <v>0.79030789994036588</v>
      </c>
      <c r="BR119" s="510">
        <v>0.79030789994036588</v>
      </c>
      <c r="BS119" s="510">
        <v>0.79030789994036588</v>
      </c>
      <c r="BT119" s="510">
        <v>0.79030789994036588</v>
      </c>
      <c r="BU119" s="510">
        <v>0.79030789994036588</v>
      </c>
      <c r="BV119" s="510">
        <v>0.79030789994036588</v>
      </c>
      <c r="BW119" s="510">
        <v>0.79030789994036588</v>
      </c>
      <c r="BX119" s="510">
        <v>0.79030789994036588</v>
      </c>
      <c r="BY119" s="510">
        <v>0.79030789994036588</v>
      </c>
      <c r="BZ119" s="510">
        <v>0.79030789994036588</v>
      </c>
      <c r="CA119" s="510">
        <v>0.79030789994036588</v>
      </c>
      <c r="CB119" s="510">
        <v>0.79030789994036588</v>
      </c>
      <c r="CC119" s="510">
        <v>0.79030789994036588</v>
      </c>
      <c r="CD119" s="510">
        <v>0.79030789994036588</v>
      </c>
      <c r="CE119" s="510">
        <v>0.79030789994036588</v>
      </c>
      <c r="CF119" s="510">
        <v>0.79030789994036588</v>
      </c>
      <c r="CG119" s="510">
        <v>0.79030789994036588</v>
      </c>
      <c r="CH119" s="510">
        <v>0.79030789994036588</v>
      </c>
      <c r="CI119" s="510">
        <v>0.79030789994036588</v>
      </c>
      <c r="CJ119" s="510">
        <v>0.79030789994036588</v>
      </c>
      <c r="CK119" s="510">
        <v>0.79030789994036588</v>
      </c>
      <c r="CL119" s="510">
        <v>0.79030789994036588</v>
      </c>
      <c r="CM119" s="510">
        <v>0.79030789994036588</v>
      </c>
      <c r="CN119" s="510">
        <v>0.79030789994036588</v>
      </c>
      <c r="CO119" s="510">
        <v>0.79030789994036588</v>
      </c>
      <c r="CP119" s="510">
        <v>0.79030789994036588</v>
      </c>
      <c r="CQ119" s="510">
        <v>0.79030789994036588</v>
      </c>
      <c r="CR119" s="510">
        <v>0.79030789994036588</v>
      </c>
      <c r="CS119" s="510">
        <v>0.79030789994036588</v>
      </c>
      <c r="CT119" s="510">
        <v>0.79030789994036588</v>
      </c>
      <c r="CU119" s="510">
        <v>0.79030789994036588</v>
      </c>
      <c r="CV119" s="510">
        <v>0.79030789994036588</v>
      </c>
      <c r="CW119" s="510">
        <v>0.79030789994036588</v>
      </c>
      <c r="CX119" s="510">
        <v>0.79030789994036588</v>
      </c>
      <c r="CY119" s="510">
        <v>0.79030789994036588</v>
      </c>
      <c r="CZ119" s="510">
        <v>0.79030789994036588</v>
      </c>
      <c r="DA119" s="510">
        <v>0.79030789994036588</v>
      </c>
      <c r="DB119" s="510">
        <v>0.79030789994036588</v>
      </c>
      <c r="DC119" s="510">
        <v>0.79030789994036588</v>
      </c>
      <c r="DD119" s="510">
        <v>0.79030789994036588</v>
      </c>
      <c r="DE119" s="510">
        <v>0.79030789994036588</v>
      </c>
      <c r="DF119" s="510">
        <v>0.79030789994036588</v>
      </c>
      <c r="DG119" s="510">
        <v>0.79030789994036588</v>
      </c>
      <c r="DH119" s="67">
        <f t="shared" ref="DH119:DQ119" si="236">DH118/DC118-1</f>
        <v>4.2257710828497341</v>
      </c>
      <c r="DI119" s="510">
        <v>0.79030789994036588</v>
      </c>
      <c r="DJ119" s="510">
        <v>0.65388418372768897</v>
      </c>
      <c r="DK119" s="510">
        <v>0.62116839884203578</v>
      </c>
      <c r="DL119" s="510">
        <v>-0.16162909070029219</v>
      </c>
      <c r="DM119" s="67">
        <v>0.35173775716197508</v>
      </c>
      <c r="DN119" s="510">
        <f t="shared" si="236"/>
        <v>6.5247264787946069E-2</v>
      </c>
      <c r="DO119" s="510">
        <f t="shared" si="236"/>
        <v>-2.863540425508404E-4</v>
      </c>
      <c r="DP119" s="510">
        <f t="shared" si="236"/>
        <v>7.7821510349620482E-3</v>
      </c>
      <c r="DQ119" s="510">
        <f t="shared" si="236"/>
        <v>3.7526557530487281E-4</v>
      </c>
      <c r="DR119" s="67">
        <f t="shared" ref="DR119:DW119" si="237">DR118/DM118-1</f>
        <v>1.8844858355925309E-2</v>
      </c>
      <c r="DS119" s="510">
        <f t="shared" si="237"/>
        <v>-0.10998764425584495</v>
      </c>
      <c r="DT119" s="510">
        <f t="shared" si="237"/>
        <v>-3.0011513332550921E-2</v>
      </c>
      <c r="DU119" s="510">
        <f t="shared" si="237"/>
        <v>-8.6732898788068002E-2</v>
      </c>
      <c r="DV119" s="510">
        <f t="shared" si="237"/>
        <v>-3.4795321637426935E-2</v>
      </c>
      <c r="DW119" s="67">
        <f t="shared" si="237"/>
        <v>-6.6612544996072942E-2</v>
      </c>
      <c r="DX119" s="554"/>
      <c r="DY119" s="554"/>
      <c r="DZ119" s="554"/>
      <c r="EA119" s="554"/>
      <c r="EB119" s="67"/>
      <c r="EC119" s="554"/>
      <c r="ED119" s="554"/>
      <c r="EE119" s="554"/>
      <c r="EF119" s="554"/>
      <c r="EG119" s="67"/>
      <c r="EH119" s="554"/>
      <c r="EI119" s="554"/>
      <c r="EJ119" s="554"/>
      <c r="EK119" s="554"/>
      <c r="EL119" s="67"/>
    </row>
    <row r="120" spans="1:142" ht="11.25" customHeight="1">
      <c r="A120" s="192"/>
      <c r="B120" s="192"/>
      <c r="C120" s="211"/>
      <c r="D120" s="211"/>
      <c r="E120" s="211"/>
      <c r="F120" s="211"/>
      <c r="G120" s="211"/>
      <c r="H120" s="74"/>
      <c r="I120" s="211"/>
      <c r="J120" s="211"/>
      <c r="K120" s="211"/>
      <c r="L120" s="211"/>
      <c r="M120" s="74"/>
      <c r="N120" s="211"/>
      <c r="O120" s="211"/>
      <c r="P120" s="211"/>
      <c r="Q120" s="211"/>
      <c r="R120" s="74"/>
      <c r="S120" s="211"/>
      <c r="T120" s="211"/>
      <c r="U120" s="211"/>
      <c r="V120" s="211"/>
      <c r="W120" s="74"/>
      <c r="X120" s="211"/>
      <c r="Y120" s="211"/>
      <c r="Z120" s="211"/>
      <c r="AA120" s="211"/>
      <c r="AB120" s="74"/>
      <c r="AC120" s="211"/>
      <c r="AD120" s="211"/>
      <c r="AE120" s="211"/>
      <c r="AF120" s="211"/>
      <c r="AG120" s="74"/>
      <c r="AH120" s="211"/>
      <c r="AI120" s="211"/>
      <c r="AJ120" s="211"/>
      <c r="AK120" s="211"/>
      <c r="AL120" s="74"/>
      <c r="AM120" s="211"/>
      <c r="AN120" s="211"/>
      <c r="AO120" s="211"/>
      <c r="AP120" s="211"/>
      <c r="AQ120" s="74"/>
      <c r="AR120" s="211"/>
      <c r="AS120" s="211"/>
      <c r="AT120" s="211"/>
      <c r="AU120" s="137"/>
      <c r="AV120" s="211"/>
      <c r="AW120" s="211"/>
      <c r="AX120" s="211"/>
      <c r="AY120" s="211"/>
      <c r="AZ120" s="74"/>
      <c r="BA120" s="211"/>
      <c r="BB120" s="211"/>
      <c r="BC120" s="211"/>
      <c r="BD120" s="211"/>
      <c r="BE120" s="74"/>
      <c r="BF120" s="211"/>
      <c r="BG120" s="211"/>
      <c r="BH120" s="211"/>
      <c r="BI120" s="211"/>
      <c r="BJ120" s="74"/>
      <c r="BK120" s="211"/>
      <c r="BL120" s="211"/>
      <c r="BM120" s="211"/>
      <c r="BN120" s="211"/>
      <c r="BO120" s="74"/>
      <c r="BP120" s="211"/>
      <c r="BQ120" s="211"/>
      <c r="BR120" s="211"/>
      <c r="BS120" s="211"/>
      <c r="BT120" s="74"/>
      <c r="BU120" s="211"/>
      <c r="BV120" s="211"/>
      <c r="BW120" s="211"/>
      <c r="BX120" s="211"/>
      <c r="BY120" s="74"/>
      <c r="BZ120" s="211"/>
      <c r="CA120" s="211"/>
      <c r="CB120" s="211"/>
      <c r="CC120" s="211"/>
      <c r="CD120" s="74"/>
      <c r="CE120" s="211"/>
      <c r="CF120" s="211"/>
      <c r="CG120" s="211"/>
      <c r="CH120" s="211"/>
      <c r="CI120" s="74"/>
      <c r="CJ120" s="211"/>
      <c r="CK120" s="211"/>
      <c r="CL120" s="211"/>
      <c r="CM120" s="211"/>
      <c r="CN120" s="74"/>
      <c r="CO120" s="211"/>
      <c r="CP120" s="211"/>
      <c r="CQ120" s="211"/>
      <c r="CR120" s="211"/>
      <c r="CS120" s="74"/>
      <c r="CT120" s="211"/>
      <c r="CU120" s="211"/>
      <c r="CV120" s="211"/>
      <c r="CW120" s="211"/>
      <c r="CX120" s="74"/>
      <c r="CY120" s="211"/>
      <c r="CZ120" s="211"/>
      <c r="DA120" s="211"/>
      <c r="DB120" s="211"/>
      <c r="DC120" s="74"/>
      <c r="DD120" s="211"/>
      <c r="DE120" s="211"/>
      <c r="DF120" s="211"/>
      <c r="DG120" s="211"/>
      <c r="DH120" s="74"/>
      <c r="DI120" s="211"/>
      <c r="DJ120" s="211"/>
      <c r="DK120" s="211"/>
      <c r="DL120" s="211"/>
      <c r="DM120" s="74"/>
      <c r="DN120" s="211"/>
      <c r="DO120" s="211"/>
      <c r="DP120" s="211"/>
      <c r="DQ120" s="211"/>
      <c r="DR120" s="74"/>
      <c r="DS120" s="211"/>
      <c r="DT120" s="211"/>
      <c r="DU120" s="211"/>
      <c r="DV120" s="211"/>
      <c r="DW120" s="74"/>
      <c r="DX120" s="211"/>
      <c r="DY120" s="211"/>
      <c r="DZ120" s="211"/>
      <c r="EA120" s="211"/>
      <c r="EB120" s="74"/>
      <c r="EC120" s="211"/>
      <c r="ED120" s="211"/>
      <c r="EE120" s="211"/>
      <c r="EF120" s="211"/>
      <c r="EG120" s="74"/>
      <c r="EH120" s="211"/>
      <c r="EI120" s="211"/>
      <c r="EJ120" s="211"/>
      <c r="EK120" s="211"/>
      <c r="EL120" s="74"/>
    </row>
    <row r="121" spans="1:142" ht="11.25" customHeight="1">
      <c r="A121" s="159"/>
      <c r="B121" s="159" t="s">
        <v>161</v>
      </c>
      <c r="C121" s="507"/>
      <c r="D121" s="507" t="str">
        <f>D264</f>
        <v>ND</v>
      </c>
      <c r="E121" s="507" t="str">
        <f>E264</f>
        <v>ND</v>
      </c>
      <c r="F121" s="507" t="str">
        <f>F264</f>
        <v>ND</v>
      </c>
      <c r="G121" s="507" t="str">
        <f>G264</f>
        <v>ND</v>
      </c>
      <c r="H121" s="74">
        <f>SUM(D121:G121)</f>
        <v>0</v>
      </c>
      <c r="I121" s="507" t="str">
        <f>I264</f>
        <v>ND</v>
      </c>
      <c r="J121" s="507" t="str">
        <f>J264</f>
        <v>ND</v>
      </c>
      <c r="K121" s="507" t="str">
        <f>K264</f>
        <v>ND</v>
      </c>
      <c r="L121" s="507" t="str">
        <f>L264</f>
        <v>ND</v>
      </c>
      <c r="M121" s="74">
        <f>SUM(I121:L121)</f>
        <v>0</v>
      </c>
      <c r="N121" s="507" t="str">
        <f>N264</f>
        <v>ND</v>
      </c>
      <c r="O121" s="507" t="str">
        <f>O264</f>
        <v>ND</v>
      </c>
      <c r="P121" s="507" t="str">
        <f>P264</f>
        <v>ND</v>
      </c>
      <c r="Q121" s="507" t="str">
        <f>Q264</f>
        <v>ND</v>
      </c>
      <c r="R121" s="74">
        <f>SUM(N121:Q121)</f>
        <v>0</v>
      </c>
      <c r="S121" s="507" t="str">
        <f>S264</f>
        <v>ND</v>
      </c>
      <c r="T121" s="507" t="str">
        <f>T264</f>
        <v>ND</v>
      </c>
      <c r="U121" s="507" t="str">
        <f>U264</f>
        <v>ND</v>
      </c>
      <c r="V121" s="507" t="str">
        <f>V264</f>
        <v>ND</v>
      </c>
      <c r="W121" s="74">
        <f>SUM(S121:V121)</f>
        <v>0</v>
      </c>
      <c r="X121" s="507" t="str">
        <f>X264</f>
        <v>ND</v>
      </c>
      <c r="Y121" s="507" t="str">
        <f>Y264</f>
        <v>ND</v>
      </c>
      <c r="Z121" s="507" t="str">
        <f>Z264</f>
        <v>ND</v>
      </c>
      <c r="AA121" s="507" t="str">
        <f>AA264</f>
        <v>ND</v>
      </c>
      <c r="AB121" s="74">
        <f>SUM(X121:AA121)</f>
        <v>0</v>
      </c>
      <c r="AC121" s="507" t="str">
        <f>AC264</f>
        <v>ND</v>
      </c>
      <c r="AD121" s="507" t="str">
        <f>AD264</f>
        <v>ND</v>
      </c>
      <c r="AE121" s="507" t="str">
        <f>AE264</f>
        <v>ND</v>
      </c>
      <c r="AF121" s="507" t="str">
        <f>AF264</f>
        <v>ND</v>
      </c>
      <c r="AG121" s="74">
        <f>SUM(AC121:AF121)</f>
        <v>0</v>
      </c>
      <c r="AH121" s="507" t="str">
        <f>AH264</f>
        <v>ND</v>
      </c>
      <c r="AI121" s="507" t="str">
        <f>AI264</f>
        <v>ND</v>
      </c>
      <c r="AJ121" s="507" t="str">
        <f>AJ264</f>
        <v>ND</v>
      </c>
      <c r="AK121" s="507" t="str">
        <f>AK264</f>
        <v>ND</v>
      </c>
      <c r="AL121" s="74">
        <f>SUM(AH121:AK121)</f>
        <v>0</v>
      </c>
      <c r="AM121" s="507" t="str">
        <f>AM264</f>
        <v>ND</v>
      </c>
      <c r="AN121" s="507" t="str">
        <f>AN264</f>
        <v>ND</v>
      </c>
      <c r="AO121" s="507" t="str">
        <f>AO264</f>
        <v>ND</v>
      </c>
      <c r="AP121" s="507" t="str">
        <f>AP264</f>
        <v>ND</v>
      </c>
      <c r="AQ121" s="74">
        <f>SUM(AM121:AP121)</f>
        <v>0</v>
      </c>
      <c r="AR121" s="507" t="str">
        <f>AR264</f>
        <v>ND</v>
      </c>
      <c r="AS121" s="507" t="str">
        <f>AS264</f>
        <v>ND</v>
      </c>
      <c r="AT121" s="507" t="str">
        <f>AT264</f>
        <v>ND</v>
      </c>
      <c r="AU121" s="137"/>
      <c r="AV121" s="507" t="str">
        <f>AV264</f>
        <v>ND</v>
      </c>
      <c r="AW121" s="507" t="str">
        <f>AW264</f>
        <v>ND</v>
      </c>
      <c r="AX121" s="507" t="str">
        <f>AX264</f>
        <v>ND</v>
      </c>
      <c r="AY121" s="507" t="str">
        <f>AY264</f>
        <v>ND</v>
      </c>
      <c r="AZ121" s="74">
        <f>SUM(AV121:AY121)</f>
        <v>0</v>
      </c>
      <c r="BA121" s="507" t="str">
        <f>BA264</f>
        <v>ND</v>
      </c>
      <c r="BB121" s="507" t="str">
        <f>BB264</f>
        <v>ND</v>
      </c>
      <c r="BC121" s="507" t="str">
        <f>BC264</f>
        <v>ND</v>
      </c>
      <c r="BD121" s="507" t="str">
        <f>BD264</f>
        <v>ND</v>
      </c>
      <c r="BE121" s="74">
        <f>SUM(BA121:BD121)</f>
        <v>0</v>
      </c>
      <c r="BF121" s="507" t="str">
        <f>BF264</f>
        <v>ND</v>
      </c>
      <c r="BG121" s="507" t="str">
        <f>BG264</f>
        <v>ND</v>
      </c>
      <c r="BH121" s="507" t="str">
        <f>BH264</f>
        <v>ND</v>
      </c>
      <c r="BI121" s="507" t="str">
        <f>BI264</f>
        <v>ND</v>
      </c>
      <c r="BJ121" s="74">
        <f>SUM(BF121:BI121)</f>
        <v>0</v>
      </c>
      <c r="BK121" s="90">
        <f>BK264</f>
        <v>123101</v>
      </c>
      <c r="BL121" s="90">
        <f>BL264</f>
        <v>125907</v>
      </c>
      <c r="BM121" s="90">
        <f>BM264</f>
        <v>120871</v>
      </c>
      <c r="BN121" s="90">
        <f>BN264</f>
        <v>114226</v>
      </c>
      <c r="BO121" s="74">
        <f>IF(ISERROR(SUM(BK121:BN121)),"NM",SUM(BK121:BN121))</f>
        <v>484105</v>
      </c>
      <c r="BP121" s="90">
        <f>BP264</f>
        <v>117838</v>
      </c>
      <c r="BQ121" s="90">
        <f>BQ264</f>
        <v>104897</v>
      </c>
      <c r="BR121" s="90">
        <f>BR264</f>
        <v>101089</v>
      </c>
      <c r="BS121" s="90">
        <f>BS264</f>
        <v>99480</v>
      </c>
      <c r="BT121" s="74">
        <f>IF(ISERROR(SUM(BP121:BS121)),"NM",SUM(BP121:BS121))</f>
        <v>423304</v>
      </c>
      <c r="BU121" s="90">
        <f>BU264</f>
        <v>99907</v>
      </c>
      <c r="BV121" s="90">
        <f>BV264</f>
        <v>99684</v>
      </c>
      <c r="BW121" s="90">
        <f>BW264</f>
        <v>98240</v>
      </c>
      <c r="BX121" s="90">
        <f>BX264</f>
        <v>96891</v>
      </c>
      <c r="BY121" s="74">
        <f>SUM(BU121:BX121)</f>
        <v>394722</v>
      </c>
      <c r="BZ121" s="90">
        <f>BZ264</f>
        <v>95585</v>
      </c>
      <c r="CA121" s="90">
        <f>CA264</f>
        <v>93970</v>
      </c>
      <c r="CB121" s="90">
        <f>CB264</f>
        <v>91407</v>
      </c>
      <c r="CC121" s="90">
        <f>CC264</f>
        <v>91470</v>
      </c>
      <c r="CD121" s="74">
        <f>SUM(BZ121:CC121)</f>
        <v>372432</v>
      </c>
      <c r="CE121" s="90">
        <f>CE264</f>
        <v>90867</v>
      </c>
      <c r="CF121" s="90">
        <f>CF264</f>
        <v>92166</v>
      </c>
      <c r="CG121" s="90">
        <f>CG264</f>
        <v>92437</v>
      </c>
      <c r="CH121" s="90">
        <f>CH264</f>
        <v>90470</v>
      </c>
      <c r="CI121" s="74">
        <f>SUM(CE121:CH121)</f>
        <v>365940</v>
      </c>
      <c r="CJ121" s="90">
        <f>CJ264</f>
        <v>87998</v>
      </c>
      <c r="CK121" s="90">
        <f>CK264</f>
        <v>91285</v>
      </c>
      <c r="CL121" s="90">
        <f>CL264</f>
        <v>91064</v>
      </c>
      <c r="CM121" s="90">
        <f>CM264</f>
        <v>89859</v>
      </c>
      <c r="CN121" s="74">
        <f>SUM(CJ121:CM121)</f>
        <v>360206</v>
      </c>
      <c r="CO121" s="90">
        <f>CO264</f>
        <v>87507</v>
      </c>
      <c r="CP121" s="90">
        <f>CP264</f>
        <v>91005</v>
      </c>
      <c r="CQ121" s="90">
        <f>CQ264</f>
        <v>92574</v>
      </c>
      <c r="CR121" s="90">
        <f>CR264</f>
        <v>91200</v>
      </c>
      <c r="CS121" s="74">
        <f>SUM(CO121:CR121)</f>
        <v>362286</v>
      </c>
      <c r="CT121" s="90">
        <f>CT264</f>
        <v>93228</v>
      </c>
      <c r="CU121" s="90">
        <f>CU264</f>
        <v>95422</v>
      </c>
      <c r="CV121" s="90">
        <f>CV264</f>
        <v>94260</v>
      </c>
      <c r="CW121" s="90">
        <f>CW264</f>
        <v>98045</v>
      </c>
      <c r="CX121" s="74">
        <f>SUM(CT121:CW121)</f>
        <v>380955</v>
      </c>
      <c r="CY121" s="90">
        <f>CY264</f>
        <v>101413</v>
      </c>
      <c r="CZ121" s="90">
        <f>CZ264</f>
        <v>108669</v>
      </c>
      <c r="DA121" s="90">
        <f>DA264</f>
        <v>111055</v>
      </c>
      <c r="DB121" s="90">
        <f>DB264</f>
        <v>168730</v>
      </c>
      <c r="DC121" s="74">
        <f>SUM(CY121:DB121)</f>
        <v>489867</v>
      </c>
      <c r="DD121" s="90">
        <f>DD264</f>
        <v>162282</v>
      </c>
      <c r="DE121" s="90">
        <f>DE264</f>
        <v>173664</v>
      </c>
      <c r="DF121" s="90">
        <f>DF264</f>
        <v>178439</v>
      </c>
      <c r="DG121" s="90">
        <f>DG264</f>
        <v>183250</v>
      </c>
      <c r="DH121" s="74">
        <f>SUM(DD121:DG121)</f>
        <v>697635</v>
      </c>
      <c r="DI121" s="90">
        <f>DI264</f>
        <v>175644</v>
      </c>
      <c r="DJ121" s="90">
        <f>DJ264</f>
        <v>127523</v>
      </c>
      <c r="DK121" s="90">
        <f>DK264</f>
        <v>129937</v>
      </c>
      <c r="DL121" s="90">
        <f>DL264</f>
        <v>138264</v>
      </c>
      <c r="DM121" s="74">
        <f>SUM(DI121:DL121)</f>
        <v>571368</v>
      </c>
      <c r="DN121" s="90">
        <f>DN264</f>
        <v>132584</v>
      </c>
      <c r="DO121" s="90">
        <f>DO264</f>
        <v>130201</v>
      </c>
      <c r="DP121" s="90">
        <f>DP264</f>
        <v>127346</v>
      </c>
      <c r="DQ121" s="90">
        <f>DQ264</f>
        <v>126749</v>
      </c>
      <c r="DR121" s="74">
        <f>SUM(DN121:DQ121)</f>
        <v>516880</v>
      </c>
      <c r="DS121" s="90">
        <f>DS301</f>
        <v>121276</v>
      </c>
      <c r="DT121" s="90">
        <f>DT301</f>
        <v>123166</v>
      </c>
      <c r="DU121" s="90">
        <f>DU301</f>
        <v>116556</v>
      </c>
      <c r="DV121" s="90">
        <f>DV301</f>
        <v>118502</v>
      </c>
      <c r="DW121" s="74">
        <f>SUM(DS121:DV121)</f>
        <v>479500</v>
      </c>
      <c r="DX121" s="171"/>
      <c r="DY121" s="171"/>
      <c r="DZ121" s="171"/>
      <c r="EA121" s="171"/>
      <c r="EB121" s="74"/>
      <c r="EC121" s="171"/>
      <c r="ED121" s="171"/>
      <c r="EE121" s="171"/>
      <c r="EF121" s="171"/>
      <c r="EG121" s="74"/>
      <c r="EH121" s="171"/>
      <c r="EI121" s="171"/>
      <c r="EJ121" s="171"/>
      <c r="EK121" s="171"/>
      <c r="EL121" s="74"/>
    </row>
    <row r="122" spans="1:142" ht="11.25" customHeight="1">
      <c r="A122" s="511"/>
      <c r="B122" s="511" t="s">
        <v>133</v>
      </c>
      <c r="C122" s="163"/>
      <c r="D122" s="163"/>
      <c r="E122" s="163"/>
      <c r="F122" s="163"/>
      <c r="G122" s="163"/>
      <c r="H122" s="85"/>
      <c r="I122" s="84" t="str">
        <f t="shared" ref="I122:AT122" si="238">IF(ISERROR(I121/D301-1),"nm",I121/D301-1)</f>
        <v>nm</v>
      </c>
      <c r="J122" s="84" t="str">
        <f t="shared" si="238"/>
        <v>nm</v>
      </c>
      <c r="K122" s="84" t="str">
        <f t="shared" si="238"/>
        <v>nm</v>
      </c>
      <c r="L122" s="84" t="str">
        <f t="shared" si="238"/>
        <v>nm</v>
      </c>
      <c r="M122" s="85" t="str">
        <f t="shared" si="238"/>
        <v>nm</v>
      </c>
      <c r="N122" s="84" t="str">
        <f t="shared" si="238"/>
        <v>nm</v>
      </c>
      <c r="O122" s="84" t="str">
        <f t="shared" si="238"/>
        <v>nm</v>
      </c>
      <c r="P122" s="84" t="str">
        <f t="shared" si="238"/>
        <v>nm</v>
      </c>
      <c r="Q122" s="84" t="str">
        <f t="shared" si="238"/>
        <v>nm</v>
      </c>
      <c r="R122" s="85" t="str">
        <f t="shared" si="238"/>
        <v>nm</v>
      </c>
      <c r="S122" s="84" t="str">
        <f t="shared" si="238"/>
        <v>nm</v>
      </c>
      <c r="T122" s="84" t="str">
        <f t="shared" si="238"/>
        <v>nm</v>
      </c>
      <c r="U122" s="84" t="str">
        <f t="shared" si="238"/>
        <v>nm</v>
      </c>
      <c r="V122" s="84" t="str">
        <f t="shared" si="238"/>
        <v>nm</v>
      </c>
      <c r="W122" s="85" t="str">
        <f t="shared" si="238"/>
        <v>nm</v>
      </c>
      <c r="X122" s="84" t="str">
        <f t="shared" si="238"/>
        <v>nm</v>
      </c>
      <c r="Y122" s="84" t="str">
        <f t="shared" si="238"/>
        <v>nm</v>
      </c>
      <c r="Z122" s="84" t="str">
        <f t="shared" si="238"/>
        <v>nm</v>
      </c>
      <c r="AA122" s="84" t="str">
        <f t="shared" si="238"/>
        <v>nm</v>
      </c>
      <c r="AB122" s="85" t="str">
        <f t="shared" si="238"/>
        <v>nm</v>
      </c>
      <c r="AC122" s="84" t="str">
        <f t="shared" si="238"/>
        <v>nm</v>
      </c>
      <c r="AD122" s="84" t="str">
        <f t="shared" si="238"/>
        <v>nm</v>
      </c>
      <c r="AE122" s="84" t="str">
        <f t="shared" si="238"/>
        <v>nm</v>
      </c>
      <c r="AF122" s="84" t="str">
        <f t="shared" si="238"/>
        <v>nm</v>
      </c>
      <c r="AG122" s="85" t="str">
        <f t="shared" si="238"/>
        <v>nm</v>
      </c>
      <c r="AH122" s="84" t="str">
        <f t="shared" si="238"/>
        <v>nm</v>
      </c>
      <c r="AI122" s="84" t="str">
        <f t="shared" si="238"/>
        <v>nm</v>
      </c>
      <c r="AJ122" s="84" t="str">
        <f t="shared" si="238"/>
        <v>nm</v>
      </c>
      <c r="AK122" s="84" t="str">
        <f t="shared" si="238"/>
        <v>nm</v>
      </c>
      <c r="AL122" s="85" t="str">
        <f t="shared" si="238"/>
        <v>nm</v>
      </c>
      <c r="AM122" s="84" t="str">
        <f t="shared" si="238"/>
        <v>nm</v>
      </c>
      <c r="AN122" s="84" t="str">
        <f t="shared" si="238"/>
        <v>nm</v>
      </c>
      <c r="AO122" s="84" t="str">
        <f t="shared" si="238"/>
        <v>nm</v>
      </c>
      <c r="AP122" s="84" t="str">
        <f t="shared" si="238"/>
        <v>nm</v>
      </c>
      <c r="AQ122" s="85" t="str">
        <f t="shared" si="238"/>
        <v>nm</v>
      </c>
      <c r="AR122" s="84" t="str">
        <f t="shared" si="238"/>
        <v>nm</v>
      </c>
      <c r="AS122" s="84" t="str">
        <f t="shared" si="238"/>
        <v>nm</v>
      </c>
      <c r="AT122" s="84" t="str">
        <f t="shared" si="238"/>
        <v>nm</v>
      </c>
      <c r="AU122" s="137"/>
      <c r="AV122" s="163"/>
      <c r="AW122" s="163"/>
      <c r="AX122" s="163"/>
      <c r="AY122" s="163"/>
      <c r="AZ122" s="85"/>
      <c r="BA122" s="84" t="str">
        <f t="shared" ref="BA122:BJ122" si="239">IF(ISERROR(BA121/AV301-1),"nm",BA121/AV301-1)</f>
        <v>nm</v>
      </c>
      <c r="BB122" s="84" t="str">
        <f t="shared" si="239"/>
        <v>nm</v>
      </c>
      <c r="BC122" s="84" t="str">
        <f t="shared" si="239"/>
        <v>nm</v>
      </c>
      <c r="BD122" s="84" t="str">
        <f t="shared" si="239"/>
        <v>nm</v>
      </c>
      <c r="BE122" s="85" t="str">
        <f t="shared" si="239"/>
        <v>nm</v>
      </c>
      <c r="BF122" s="84" t="str">
        <f t="shared" si="239"/>
        <v>nm</v>
      </c>
      <c r="BG122" s="84" t="str">
        <f t="shared" si="239"/>
        <v>nm</v>
      </c>
      <c r="BH122" s="84" t="str">
        <f t="shared" si="239"/>
        <v>nm</v>
      </c>
      <c r="BI122" s="84" t="str">
        <f t="shared" si="239"/>
        <v>nm</v>
      </c>
      <c r="BJ122" s="85" t="str">
        <f t="shared" si="239"/>
        <v>nm</v>
      </c>
      <c r="BK122" s="510" t="e">
        <f t="shared" ref="BK122:CW122" si="240">BK121/BF301-1</f>
        <v>#VALUE!</v>
      </c>
      <c r="BL122" s="510" t="e">
        <f t="shared" si="240"/>
        <v>#VALUE!</v>
      </c>
      <c r="BM122" s="510" t="e">
        <f t="shared" si="240"/>
        <v>#VALUE!</v>
      </c>
      <c r="BN122" s="510" t="e">
        <f t="shared" si="240"/>
        <v>#VALUE!</v>
      </c>
      <c r="BO122" s="67" t="e">
        <f t="shared" si="240"/>
        <v>#VALUE!</v>
      </c>
      <c r="BP122" s="510">
        <f t="shared" si="240"/>
        <v>-4.2753511344343242E-2</v>
      </c>
      <c r="BQ122" s="510">
        <f t="shared" si="240"/>
        <v>-0.16686919710580028</v>
      </c>
      <c r="BR122" s="510">
        <f t="shared" si="240"/>
        <v>-0.16366208602559751</v>
      </c>
      <c r="BS122" s="510">
        <f t="shared" si="240"/>
        <v>-0.12909495211247879</v>
      </c>
      <c r="BT122" s="67">
        <f t="shared" si="240"/>
        <v>-0.1255946540523234</v>
      </c>
      <c r="BU122" s="510">
        <f t="shared" si="240"/>
        <v>-0.15216653371577926</v>
      </c>
      <c r="BV122" s="510">
        <f t="shared" si="240"/>
        <v>-4.9696368818936687E-2</v>
      </c>
      <c r="BW122" s="510">
        <f t="shared" si="240"/>
        <v>-2.8183086191375883E-2</v>
      </c>
      <c r="BX122" s="510">
        <f t="shared" si="240"/>
        <v>-2.6025331724969791E-2</v>
      </c>
      <c r="BY122" s="67">
        <f t="shared" si="240"/>
        <v>-3.9988909534881434E-2</v>
      </c>
      <c r="BZ122" s="510">
        <f t="shared" si="240"/>
        <v>-4.3260232015774669E-2</v>
      </c>
      <c r="CA122" s="510">
        <f t="shared" si="240"/>
        <v>-5.7321134785923489E-2</v>
      </c>
      <c r="CB122" s="510">
        <f t="shared" si="240"/>
        <v>-6.9554153094462556E-2</v>
      </c>
      <c r="CC122" s="510">
        <f t="shared" si="240"/>
        <v>-5.5949468990927897E-2</v>
      </c>
      <c r="CD122" s="67">
        <f t="shared" si="240"/>
        <v>-4.258141471891741E-2</v>
      </c>
      <c r="CE122" s="510">
        <f t="shared" si="240"/>
        <v>-4.9359209080922728E-2</v>
      </c>
      <c r="CF122" s="510">
        <f t="shared" si="240"/>
        <v>-1.9197616260508643E-2</v>
      </c>
      <c r="CG122" s="510">
        <f t="shared" si="240"/>
        <v>1.1268283610664342E-2</v>
      </c>
      <c r="CH122" s="510">
        <f t="shared" si="240"/>
        <v>-1.0932546190007608E-2</v>
      </c>
      <c r="CI122" s="67">
        <f t="shared" si="240"/>
        <v>9.0359369442154502E-3</v>
      </c>
      <c r="CJ122" s="510">
        <f t="shared" si="240"/>
        <v>-3.1573618585405083E-2</v>
      </c>
      <c r="CK122" s="510">
        <f t="shared" si="240"/>
        <v>-9.5588394852765823E-3</v>
      </c>
      <c r="CL122" s="510">
        <f t="shared" si="240"/>
        <v>-1.4853359585447423E-2</v>
      </c>
      <c r="CM122" s="510">
        <f t="shared" si="240"/>
        <v>-6.7536199845252831E-3</v>
      </c>
      <c r="CN122" s="67">
        <f t="shared" si="240"/>
        <v>-1.2357662052079332E-2</v>
      </c>
      <c r="CO122" s="510">
        <f t="shared" si="240"/>
        <v>-5.5796722652787789E-3</v>
      </c>
      <c r="CP122" s="510">
        <f t="shared" si="240"/>
        <v>-3.0673166456701706E-3</v>
      </c>
      <c r="CQ122" s="510">
        <f t="shared" si="240"/>
        <v>1.6581744707019341E-2</v>
      </c>
      <c r="CR122" s="510">
        <f t="shared" si="240"/>
        <v>1.4923379961940375E-2</v>
      </c>
      <c r="CS122" s="67">
        <f t="shared" si="240"/>
        <v>5.7744734957219102E-3</v>
      </c>
      <c r="CT122" s="510">
        <f t="shared" si="240"/>
        <v>6.5377626932702437E-2</v>
      </c>
      <c r="CU122" s="510">
        <f t="shared" si="240"/>
        <v>4.8535794736553006E-2</v>
      </c>
      <c r="CV122" s="510">
        <f t="shared" si="240"/>
        <v>1.8212457061377973E-2</v>
      </c>
      <c r="CW122" s="510">
        <f t="shared" si="240"/>
        <v>7.5054824561403555E-2</v>
      </c>
      <c r="CX122" s="67">
        <f>CX121/CS121-1</f>
        <v>5.153111077988104E-2</v>
      </c>
      <c r="CY122" s="510">
        <f>CY121/CT301-1</f>
        <v>8.7795512077916582E-2</v>
      </c>
      <c r="CZ122" s="510">
        <f>CZ121/CU301-1</f>
        <v>0.13882542809834209</v>
      </c>
      <c r="DA122" s="510">
        <f>DA121/CV301-1</f>
        <v>0.17817738171016329</v>
      </c>
      <c r="DB122" s="510" t="s">
        <v>162</v>
      </c>
      <c r="DC122" s="67">
        <f>DC121/CX121-1</f>
        <v>0.28589203449226286</v>
      </c>
      <c r="DD122" s="510">
        <f>DD121/CY301-1</f>
        <v>0.60020904617751181</v>
      </c>
      <c r="DE122" s="510">
        <f>DE121/CZ301-1</f>
        <v>0.59810065428042947</v>
      </c>
      <c r="DF122" s="510">
        <f>DF121/DA301-1</f>
        <v>0.60676241501958494</v>
      </c>
      <c r="DG122" s="510">
        <f>DG121/DB301-1</f>
        <v>8.6054643513305384E-2</v>
      </c>
      <c r="DH122" s="67">
        <f>DH121/DC121-1</f>
        <v>0.42413144792362001</v>
      </c>
      <c r="DI122" s="510">
        <f>DI121/DD121-1</f>
        <v>8.233815210559392E-2</v>
      </c>
      <c r="DJ122" s="510">
        <f t="shared" ref="DJ122:DW122" si="241">DJ121/DE121-1</f>
        <v>-0.265691219826792</v>
      </c>
      <c r="DK122" s="510">
        <f t="shared" si="241"/>
        <v>-0.27181277635494483</v>
      </c>
      <c r="DL122" s="510">
        <f t="shared" si="241"/>
        <v>-0.24548976807639833</v>
      </c>
      <c r="DM122" s="67">
        <f t="shared" si="241"/>
        <v>-0.18099292610032469</v>
      </c>
      <c r="DN122" s="510">
        <f t="shared" si="241"/>
        <v>-0.2451549725581289</v>
      </c>
      <c r="DO122" s="510">
        <f t="shared" si="241"/>
        <v>2.1000133309285296E-2</v>
      </c>
      <c r="DP122" s="510">
        <f t="shared" si="241"/>
        <v>-1.9940432671217589E-2</v>
      </c>
      <c r="DQ122" s="510">
        <f t="shared" si="241"/>
        <v>-8.3282705548805236E-2</v>
      </c>
      <c r="DR122" s="67">
        <f t="shared" si="241"/>
        <v>-9.5364108595511143E-2</v>
      </c>
      <c r="DS122" s="510">
        <f t="shared" si="241"/>
        <v>-8.5289326012188527E-2</v>
      </c>
      <c r="DT122" s="510">
        <f t="shared" si="241"/>
        <v>-5.4031843073401919E-2</v>
      </c>
      <c r="DU122" s="510">
        <f t="shared" si="241"/>
        <v>-8.4729791277307509E-2</v>
      </c>
      <c r="DV122" s="510">
        <f t="shared" si="241"/>
        <v>-6.5065602095480068E-2</v>
      </c>
      <c r="DW122" s="67">
        <f t="shared" si="241"/>
        <v>-7.2318526543878603E-2</v>
      </c>
      <c r="DX122" s="554"/>
      <c r="DY122" s="554"/>
      <c r="DZ122" s="554"/>
      <c r="EA122" s="554"/>
      <c r="EB122" s="67"/>
      <c r="EC122" s="554"/>
      <c r="ED122" s="554"/>
      <c r="EE122" s="554"/>
      <c r="EF122" s="554"/>
      <c r="EG122" s="67"/>
      <c r="EH122" s="554"/>
      <c r="EI122" s="554"/>
      <c r="EJ122" s="554"/>
      <c r="EK122" s="554"/>
      <c r="EL122" s="67"/>
    </row>
    <row r="123" spans="1:142" ht="11.25" customHeight="1">
      <c r="A123" s="159"/>
      <c r="B123" s="159" t="s">
        <v>163</v>
      </c>
      <c r="C123" s="507"/>
      <c r="D123" s="507" t="str">
        <f>D334</f>
        <v>ND</v>
      </c>
      <c r="E123" s="507">
        <f>E334</f>
        <v>64496</v>
      </c>
      <c r="F123" s="507">
        <f>F334</f>
        <v>67637</v>
      </c>
      <c r="G123" s="507">
        <f>G334</f>
        <v>226531</v>
      </c>
      <c r="H123" s="74">
        <f>SUM(D123:G123)</f>
        <v>358664</v>
      </c>
      <c r="I123" s="507">
        <f>I334</f>
        <v>156687</v>
      </c>
      <c r="J123" s="507">
        <f>J334</f>
        <v>166564</v>
      </c>
      <c r="K123" s="507">
        <f>K334</f>
        <v>187675</v>
      </c>
      <c r="L123" s="507">
        <f>L334</f>
        <v>178693</v>
      </c>
      <c r="M123" s="74">
        <f>SUM(I123:L123)</f>
        <v>689619</v>
      </c>
      <c r="N123" s="507">
        <f>N334</f>
        <v>177597</v>
      </c>
      <c r="O123" s="507">
        <f>O334</f>
        <v>179602</v>
      </c>
      <c r="P123" s="507">
        <f>P334</f>
        <v>301703</v>
      </c>
      <c r="Q123" s="507">
        <f>Q334</f>
        <v>465495</v>
      </c>
      <c r="R123" s="74">
        <f>SUM(N123:Q123)</f>
        <v>1124397</v>
      </c>
      <c r="S123" s="507">
        <f>S334</f>
        <v>289833</v>
      </c>
      <c r="T123" s="507">
        <f>T334</f>
        <v>327578</v>
      </c>
      <c r="U123" s="507">
        <f>U334</f>
        <v>326322</v>
      </c>
      <c r="V123" s="507">
        <f>V334</f>
        <v>324531</v>
      </c>
      <c r="W123" s="74">
        <f>SUM(S123:V123)</f>
        <v>1268264</v>
      </c>
      <c r="X123" s="507">
        <f>X334</f>
        <v>322799</v>
      </c>
      <c r="Y123" s="507">
        <f>Y334</f>
        <v>322035</v>
      </c>
      <c r="Z123" s="507">
        <f>Z334</f>
        <v>351849</v>
      </c>
      <c r="AA123" s="507">
        <f>AA334</f>
        <v>363341</v>
      </c>
      <c r="AB123" s="74">
        <f>SUM(X123:AA123)</f>
        <v>1360024</v>
      </c>
      <c r="AC123" s="507">
        <f>AC334</f>
        <v>353711</v>
      </c>
      <c r="AD123" s="507">
        <f>AD334</f>
        <v>329667</v>
      </c>
      <c r="AE123" s="507">
        <f>AE334</f>
        <v>335658</v>
      </c>
      <c r="AF123" s="507">
        <f>AF334</f>
        <v>332259</v>
      </c>
      <c r="AG123" s="74">
        <f>SUM(AC123:AF123)</f>
        <v>1351295</v>
      </c>
      <c r="AH123" s="507">
        <f>AH334</f>
        <v>322799</v>
      </c>
      <c r="AI123" s="507">
        <f>AI334</f>
        <v>329224</v>
      </c>
      <c r="AJ123" s="507">
        <f>AJ334</f>
        <v>334340</v>
      </c>
      <c r="AK123" s="507">
        <f>AK334</f>
        <v>354775</v>
      </c>
      <c r="AL123" s="74">
        <f>SUM(AH123:AK123)</f>
        <v>1341138</v>
      </c>
      <c r="AM123" s="507">
        <f>AM334</f>
        <v>350065</v>
      </c>
      <c r="AN123" s="507">
        <f>AN334</f>
        <v>348787</v>
      </c>
      <c r="AO123" s="507">
        <f>AO334</f>
        <v>360536</v>
      </c>
      <c r="AP123" s="507">
        <f>AP334</f>
        <v>370164</v>
      </c>
      <c r="AQ123" s="74">
        <f>SUM(AM123:AP123)</f>
        <v>1429552</v>
      </c>
      <c r="AR123" s="507">
        <f>AR334</f>
        <v>360963</v>
      </c>
      <c r="AS123" s="507">
        <f>AS334</f>
        <v>361197</v>
      </c>
      <c r="AT123" s="507">
        <f>AT334</f>
        <v>365527</v>
      </c>
      <c r="AU123" s="137"/>
      <c r="AV123" s="507" t="str">
        <f>AV334</f>
        <v>ND</v>
      </c>
      <c r="AW123" s="507" t="str">
        <f>AW334</f>
        <v>ND</v>
      </c>
      <c r="AX123" s="507" t="str">
        <f>AX334</f>
        <v>ND</v>
      </c>
      <c r="AY123" s="507" t="str">
        <f>AY334</f>
        <v>ND</v>
      </c>
      <c r="AZ123" s="74">
        <f>SUM(AV123:AY123)</f>
        <v>0</v>
      </c>
      <c r="BA123" s="507">
        <f>BA334</f>
        <v>336245</v>
      </c>
      <c r="BB123" s="507">
        <f>BB334</f>
        <v>330709</v>
      </c>
      <c r="BC123" s="507">
        <f>BC334</f>
        <v>333203</v>
      </c>
      <c r="BD123" s="507">
        <f>BD334</f>
        <v>319844</v>
      </c>
      <c r="BE123" s="74">
        <f>SUM(BA123:BD123)</f>
        <v>1320001</v>
      </c>
      <c r="BF123" s="507">
        <f>BF334</f>
        <v>256158</v>
      </c>
      <c r="BG123" s="507">
        <f>BG334</f>
        <v>246174</v>
      </c>
      <c r="BH123" s="507">
        <f>BH334</f>
        <v>241830</v>
      </c>
      <c r="BI123" s="507">
        <f>BI334</f>
        <v>238917</v>
      </c>
      <c r="BJ123" s="74">
        <f>SUM(BF123:BI123)</f>
        <v>983079</v>
      </c>
      <c r="BK123" s="90">
        <f>BK334</f>
        <v>248225</v>
      </c>
      <c r="BL123" s="90">
        <f>BL334</f>
        <v>239747</v>
      </c>
      <c r="BM123" s="90">
        <f>BM334</f>
        <v>233272</v>
      </c>
      <c r="BN123" s="90">
        <f>BN334</f>
        <v>223084</v>
      </c>
      <c r="BO123" s="74">
        <f>SUM(BK123:BN123)</f>
        <v>944328</v>
      </c>
      <c r="BP123" s="90">
        <f>BP334</f>
        <v>233356</v>
      </c>
      <c r="BQ123" s="90">
        <f>BQ334</f>
        <v>204640</v>
      </c>
      <c r="BR123" s="90">
        <f>BR334</f>
        <v>202489</v>
      </c>
      <c r="BS123" s="90">
        <f>BS334</f>
        <v>203830</v>
      </c>
      <c r="BT123" s="74">
        <f>SUM(BP123:BS123)</f>
        <v>844315</v>
      </c>
      <c r="BU123" s="90">
        <f>BU334</f>
        <v>209574</v>
      </c>
      <c r="BV123" s="90">
        <f>BV334</f>
        <v>202820</v>
      </c>
      <c r="BW123" s="90">
        <f>BW334</f>
        <v>198046</v>
      </c>
      <c r="BX123" s="90">
        <f>BX334</f>
        <v>201228</v>
      </c>
      <c r="BY123" s="74">
        <f>SUM(BU123:BX123)</f>
        <v>811668</v>
      </c>
      <c r="BZ123" s="90">
        <f>BZ334</f>
        <v>207482</v>
      </c>
      <c r="CA123" s="90">
        <f>CA334</f>
        <v>195522</v>
      </c>
      <c r="CB123" s="90">
        <f>CB334</f>
        <v>192799</v>
      </c>
      <c r="CC123" s="90">
        <f>CC334</f>
        <v>193108</v>
      </c>
      <c r="CD123" s="74">
        <f>SUM(BZ123:CC123)</f>
        <v>788911</v>
      </c>
      <c r="CE123" s="90">
        <f>CE334</f>
        <v>200154</v>
      </c>
      <c r="CF123" s="90">
        <f>CF334</f>
        <v>195962</v>
      </c>
      <c r="CG123" s="90">
        <f>CG334</f>
        <v>197164</v>
      </c>
      <c r="CH123" s="90">
        <f>CH334</f>
        <v>193279</v>
      </c>
      <c r="CI123" s="74">
        <f>SUM(CE123:CH123)</f>
        <v>786559</v>
      </c>
      <c r="CJ123" s="90">
        <f>CJ334</f>
        <v>195909</v>
      </c>
      <c r="CK123" s="90">
        <f>CK334</f>
        <v>194828</v>
      </c>
      <c r="CL123" s="90">
        <f>CL334</f>
        <v>193670</v>
      </c>
      <c r="CM123" s="90">
        <f>CM334</f>
        <v>194098</v>
      </c>
      <c r="CN123" s="74">
        <f>SUM(CJ123:CM123)</f>
        <v>778505</v>
      </c>
      <c r="CO123" s="90">
        <f>CO334</f>
        <v>197459</v>
      </c>
      <c r="CP123" s="90">
        <f>CP334</f>
        <v>193971</v>
      </c>
      <c r="CQ123" s="90">
        <f>CQ334</f>
        <v>194965</v>
      </c>
      <c r="CR123" s="90">
        <f>CR334</f>
        <v>193631</v>
      </c>
      <c r="CS123" s="74">
        <f>SUM(CO123:CR123)</f>
        <v>780026</v>
      </c>
      <c r="CT123" s="90">
        <f>CT334</f>
        <v>202860</v>
      </c>
      <c r="CU123" s="90">
        <f>CU334</f>
        <v>196932</v>
      </c>
      <c r="CV123" s="90">
        <f>CV334</f>
        <v>197778</v>
      </c>
      <c r="CW123" s="90">
        <f>CW334</f>
        <v>199304</v>
      </c>
      <c r="CX123" s="74">
        <f>SUM(CT123:CW123)</f>
        <v>796874</v>
      </c>
      <c r="CY123" s="90">
        <f>CY334</f>
        <v>197665</v>
      </c>
      <c r="CZ123" s="90">
        <f>CZ334</f>
        <v>195440</v>
      </c>
      <c r="DA123" s="90">
        <f>DA334</f>
        <v>196761</v>
      </c>
      <c r="DB123" s="90">
        <f>DB334</f>
        <v>325410</v>
      </c>
      <c r="DC123" s="74">
        <f>SUM(CY123:DB123)</f>
        <v>915276</v>
      </c>
      <c r="DD123" s="90">
        <f>DD334</f>
        <v>323810</v>
      </c>
      <c r="DE123" s="90">
        <f>DE334</f>
        <v>337509</v>
      </c>
      <c r="DF123" s="90">
        <f>DF334</f>
        <v>345787</v>
      </c>
      <c r="DG123" s="90">
        <f>DG334</f>
        <v>347790</v>
      </c>
      <c r="DH123" s="74">
        <f>SUM(DD123:DG123)</f>
        <v>1354896</v>
      </c>
      <c r="DI123" s="90">
        <f>DI262</f>
        <v>52830</v>
      </c>
      <c r="DJ123" s="90">
        <f>DJ262</f>
        <v>54225</v>
      </c>
      <c r="DK123" s="90">
        <f>DK262</f>
        <v>53319</v>
      </c>
      <c r="DL123" s="90">
        <f>DL262</f>
        <v>50689</v>
      </c>
      <c r="DM123" s="74">
        <f>SUM(DI123:DL123)</f>
        <v>211063</v>
      </c>
      <c r="DN123" s="90">
        <f>DN262</f>
        <v>55755</v>
      </c>
      <c r="DO123" s="90">
        <f>DO262</f>
        <v>54379</v>
      </c>
      <c r="DP123" s="90">
        <f>DP262</f>
        <v>54701</v>
      </c>
      <c r="DQ123" s="90">
        <f>DQ262</f>
        <v>53071</v>
      </c>
      <c r="DR123" s="74">
        <f>SUM(DN123:DQ123)</f>
        <v>217906</v>
      </c>
      <c r="DS123" s="90">
        <f>DS299</f>
        <v>51723</v>
      </c>
      <c r="DT123" s="90">
        <f>DT299</f>
        <v>51913</v>
      </c>
      <c r="DU123" s="90">
        <f>DU299</f>
        <v>50074</v>
      </c>
      <c r="DV123" s="90">
        <f>DV299</f>
        <v>50070</v>
      </c>
      <c r="DW123" s="74">
        <f>SUM(DS123:DV123)</f>
        <v>203780</v>
      </c>
      <c r="DX123" s="171"/>
      <c r="DY123" s="171"/>
      <c r="DZ123" s="171"/>
      <c r="EA123" s="171"/>
      <c r="EB123" s="74"/>
      <c r="EC123" s="171"/>
      <c r="ED123" s="171"/>
      <c r="EE123" s="171"/>
      <c r="EF123" s="171"/>
      <c r="EG123" s="74"/>
      <c r="EH123" s="171"/>
      <c r="EI123" s="171"/>
      <c r="EJ123" s="171"/>
      <c r="EK123" s="171"/>
      <c r="EL123" s="74"/>
    </row>
    <row r="124" spans="1:142" ht="11.25" customHeight="1">
      <c r="A124" s="511"/>
      <c r="B124" s="511" t="s">
        <v>133</v>
      </c>
      <c r="C124" s="163"/>
      <c r="D124" s="163"/>
      <c r="E124" s="163"/>
      <c r="F124" s="163"/>
      <c r="G124" s="163"/>
      <c r="H124" s="85"/>
      <c r="I124" s="84" t="str">
        <f t="shared" ref="I124:AT124" si="242">IF(ISERROR(I123/D123-1),"nm",I123/D123-1)</f>
        <v>nm</v>
      </c>
      <c r="J124" s="84">
        <f t="shared" si="242"/>
        <v>1.5825477548995286</v>
      </c>
      <c r="K124" s="84">
        <f t="shared" si="242"/>
        <v>1.7747386785339385</v>
      </c>
      <c r="L124" s="84">
        <f t="shared" si="242"/>
        <v>-0.21117639528364773</v>
      </c>
      <c r="M124" s="85">
        <f t="shared" si="242"/>
        <v>0.92274384939664977</v>
      </c>
      <c r="N124" s="84">
        <f t="shared" si="242"/>
        <v>0.13345076490072572</v>
      </c>
      <c r="O124" s="84">
        <f t="shared" si="242"/>
        <v>7.8276218150380661E-2</v>
      </c>
      <c r="P124" s="84">
        <f t="shared" si="242"/>
        <v>0.60758225656054354</v>
      </c>
      <c r="Q124" s="84">
        <f t="shared" si="242"/>
        <v>1.6049985170096197</v>
      </c>
      <c r="R124" s="85">
        <f t="shared" si="242"/>
        <v>0.63046116768824523</v>
      </c>
      <c r="S124" s="84">
        <f t="shared" si="242"/>
        <v>0.63197013463065255</v>
      </c>
      <c r="T124" s="84">
        <f t="shared" si="242"/>
        <v>0.82391064687475635</v>
      </c>
      <c r="U124" s="84">
        <f t="shared" si="242"/>
        <v>8.1600116671030731E-2</v>
      </c>
      <c r="V124" s="84">
        <f t="shared" si="242"/>
        <v>-0.30282602391003122</v>
      </c>
      <c r="W124" s="85">
        <f t="shared" si="242"/>
        <v>0.12795035917029307</v>
      </c>
      <c r="X124" s="84">
        <f t="shared" si="242"/>
        <v>0.11374136140467095</v>
      </c>
      <c r="Y124" s="84">
        <f t="shared" si="242"/>
        <v>-1.6921160761711684E-2</v>
      </c>
      <c r="Z124" s="84">
        <f t="shared" si="242"/>
        <v>7.8226414400500044E-2</v>
      </c>
      <c r="AA124" s="84">
        <f t="shared" si="242"/>
        <v>0.11958795923964116</v>
      </c>
      <c r="AB124" s="85">
        <f t="shared" si="242"/>
        <v>7.235086701191551E-2</v>
      </c>
      <c r="AC124" s="84">
        <f t="shared" si="242"/>
        <v>9.5762378446029972E-2</v>
      </c>
      <c r="AD124" s="84">
        <f t="shared" si="242"/>
        <v>2.3699287344543185E-2</v>
      </c>
      <c r="AE124" s="84">
        <f t="shared" si="242"/>
        <v>-4.6016899294867963E-2</v>
      </c>
      <c r="AF124" s="84">
        <f t="shared" si="242"/>
        <v>-8.5544983913183437E-2</v>
      </c>
      <c r="AG124" s="85">
        <f t="shared" si="242"/>
        <v>-6.4182690893690442E-3</v>
      </c>
      <c r="AH124" s="84">
        <f t="shared" si="242"/>
        <v>-8.7393380471627924E-2</v>
      </c>
      <c r="AI124" s="84">
        <f t="shared" si="242"/>
        <v>-1.3437802388470699E-3</v>
      </c>
      <c r="AJ124" s="84">
        <f t="shared" si="242"/>
        <v>-3.926615781539522E-3</v>
      </c>
      <c r="AK124" s="84">
        <f t="shared" si="242"/>
        <v>6.7766411143114214E-2</v>
      </c>
      <c r="AL124" s="85">
        <f t="shared" si="242"/>
        <v>-7.5164934377763837E-3</v>
      </c>
      <c r="AM124" s="84">
        <f t="shared" si="242"/>
        <v>8.4467424000693958E-2</v>
      </c>
      <c r="AN124" s="84">
        <f t="shared" si="242"/>
        <v>5.942154885427553E-2</v>
      </c>
      <c r="AO124" s="84">
        <f t="shared" si="242"/>
        <v>7.8351378835915586E-2</v>
      </c>
      <c r="AP124" s="84">
        <f t="shared" si="242"/>
        <v>4.337678810513701E-2</v>
      </c>
      <c r="AQ124" s="85">
        <f t="shared" si="242"/>
        <v>6.5924610293646158E-2</v>
      </c>
      <c r="AR124" s="84">
        <f t="shared" si="242"/>
        <v>3.1131361318612161E-2</v>
      </c>
      <c r="AS124" s="84">
        <f t="shared" si="242"/>
        <v>3.5580454546757734E-2</v>
      </c>
      <c r="AT124" s="84">
        <f t="shared" si="242"/>
        <v>1.3843277786406816E-2</v>
      </c>
      <c r="AU124" s="137"/>
      <c r="AV124" s="163"/>
      <c r="AW124" s="163"/>
      <c r="AX124" s="163"/>
      <c r="AY124" s="163"/>
      <c r="AZ124" s="85"/>
      <c r="BA124" s="84" t="str">
        <f t="shared" ref="BA124:BO124" si="243">IF(ISERROR(BA123/AV123-1),"nm",BA123/AV123-1)</f>
        <v>nm</v>
      </c>
      <c r="BB124" s="84" t="str">
        <f t="shared" si="243"/>
        <v>nm</v>
      </c>
      <c r="BC124" s="84" t="str">
        <f t="shared" si="243"/>
        <v>nm</v>
      </c>
      <c r="BD124" s="84" t="str">
        <f t="shared" si="243"/>
        <v>nm</v>
      </c>
      <c r="BE124" s="85" t="str">
        <f t="shared" si="243"/>
        <v>nm</v>
      </c>
      <c r="BF124" s="84">
        <f t="shared" si="243"/>
        <v>-0.23818049339023628</v>
      </c>
      <c r="BG124" s="84">
        <f t="shared" si="243"/>
        <v>-0.25561747639163135</v>
      </c>
      <c r="BH124" s="84">
        <f t="shared" si="243"/>
        <v>-0.27422622245297912</v>
      </c>
      <c r="BI124" s="84">
        <f t="shared" si="243"/>
        <v>-0.25302022235839972</v>
      </c>
      <c r="BJ124" s="85">
        <f t="shared" si="243"/>
        <v>-0.25524374602746513</v>
      </c>
      <c r="BK124" s="510">
        <f t="shared" si="243"/>
        <v>-3.0969167466953995E-2</v>
      </c>
      <c r="BL124" s="510">
        <f t="shared" si="243"/>
        <v>-2.6107549944348274E-2</v>
      </c>
      <c r="BM124" s="510">
        <f t="shared" si="243"/>
        <v>-3.5388496050944851E-2</v>
      </c>
      <c r="BN124" s="510">
        <f t="shared" si="243"/>
        <v>-6.6269876149457785E-2</v>
      </c>
      <c r="BO124" s="67">
        <f t="shared" si="243"/>
        <v>-3.9417991839923339E-2</v>
      </c>
      <c r="BP124" s="510">
        <f t="shared" ref="BP124:BY124" si="244">IF(ISERROR(BP123/BK123-1),"NM",BP123/BK123-1)</f>
        <v>-5.9901299224493942E-2</v>
      </c>
      <c r="BQ124" s="510">
        <f t="shared" si="244"/>
        <v>-0.14643353201499909</v>
      </c>
      <c r="BR124" s="510">
        <f t="shared" si="244"/>
        <v>-0.13196182996673411</v>
      </c>
      <c r="BS124" s="510">
        <f t="shared" si="244"/>
        <v>-8.6308296426458209E-2</v>
      </c>
      <c r="BT124" s="67">
        <f t="shared" si="244"/>
        <v>-0.10590917562541824</v>
      </c>
      <c r="BU124" s="510">
        <f t="shared" si="244"/>
        <v>-0.10191295702703163</v>
      </c>
      <c r="BV124" s="510">
        <f t="shared" si="244"/>
        <v>-8.8936669272869917E-3</v>
      </c>
      <c r="BW124" s="510">
        <f t="shared" si="244"/>
        <v>-2.1941932648193219E-2</v>
      </c>
      <c r="BX124" s="510">
        <f t="shared" si="244"/>
        <v>-1.2765539910709944E-2</v>
      </c>
      <c r="BY124" s="67">
        <f t="shared" si="244"/>
        <v>-3.8666848273452459E-2</v>
      </c>
      <c r="BZ124" s="510">
        <f t="shared" ref="BZ124:DQ124" si="245">BZ123/BU123-1</f>
        <v>-9.9821542748623759E-3</v>
      </c>
      <c r="CA124" s="510">
        <f t="shared" si="245"/>
        <v>-3.5982644709594669E-2</v>
      </c>
      <c r="CB124" s="510">
        <f t="shared" si="245"/>
        <v>-2.6493844864324489E-2</v>
      </c>
      <c r="CC124" s="510">
        <f t="shared" si="245"/>
        <v>-4.0352237263203916E-2</v>
      </c>
      <c r="CD124" s="67">
        <f t="shared" si="245"/>
        <v>-2.8037325606036001E-2</v>
      </c>
      <c r="CE124" s="510">
        <f t="shared" si="245"/>
        <v>-3.5318726443739679E-2</v>
      </c>
      <c r="CF124" s="510">
        <f t="shared" si="245"/>
        <v>2.2503861458045282E-3</v>
      </c>
      <c r="CG124" s="510">
        <f t="shared" si="245"/>
        <v>2.2640158921986009E-2</v>
      </c>
      <c r="CH124" s="510">
        <f t="shared" si="245"/>
        <v>8.855148414359526E-4</v>
      </c>
      <c r="CI124" s="67">
        <f t="shared" si="245"/>
        <v>-2.9813248896263245E-3</v>
      </c>
      <c r="CJ124" s="510">
        <f t="shared" si="245"/>
        <v>-2.1208669324620066E-2</v>
      </c>
      <c r="CK124" s="510">
        <f t="shared" si="245"/>
        <v>-5.7868362233494119E-3</v>
      </c>
      <c r="CL124" s="510">
        <f t="shared" si="245"/>
        <v>-1.772128786188143E-2</v>
      </c>
      <c r="CM124" s="510">
        <f t="shared" si="245"/>
        <v>4.2373977514369443E-3</v>
      </c>
      <c r="CN124" s="67">
        <f t="shared" si="245"/>
        <v>-1.0239537021380474E-2</v>
      </c>
      <c r="CO124" s="510">
        <f t="shared" si="245"/>
        <v>7.9118366180215283E-3</v>
      </c>
      <c r="CP124" s="510">
        <f t="shared" si="245"/>
        <v>-4.3987517194653547E-3</v>
      </c>
      <c r="CQ124" s="510">
        <f t="shared" si="245"/>
        <v>6.6866318996230412E-3</v>
      </c>
      <c r="CR124" s="510">
        <f t="shared" si="245"/>
        <v>-2.4060010922317687E-3</v>
      </c>
      <c r="CS124" s="67">
        <f t="shared" si="245"/>
        <v>1.9537446772981415E-3</v>
      </c>
      <c r="CT124" s="510">
        <f t="shared" si="245"/>
        <v>2.7352513686385471E-2</v>
      </c>
      <c r="CU124" s="510">
        <f t="shared" si="245"/>
        <v>1.5265168504570381E-2</v>
      </c>
      <c r="CV124" s="510">
        <f t="shared" si="245"/>
        <v>1.4428230708075862E-2</v>
      </c>
      <c r="CW124" s="510">
        <f t="shared" si="245"/>
        <v>2.9297994639288172E-2</v>
      </c>
      <c r="CX124" s="67">
        <f t="shared" si="245"/>
        <v>2.1599280023999246E-2</v>
      </c>
      <c r="CY124" s="510">
        <f t="shared" si="245"/>
        <v>-2.5608794242334643E-2</v>
      </c>
      <c r="CZ124" s="510">
        <f t="shared" si="245"/>
        <v>-7.5762192025673469E-3</v>
      </c>
      <c r="DA124" s="510">
        <f t="shared" si="245"/>
        <v>-5.1421290537875253E-3</v>
      </c>
      <c r="DB124" s="510">
        <f t="shared" si="245"/>
        <v>0.63273190703648696</v>
      </c>
      <c r="DC124" s="67">
        <f t="shared" si="245"/>
        <v>0.14858308841799328</v>
      </c>
      <c r="DD124" s="510">
        <f t="shared" si="245"/>
        <v>0.6381757013128273</v>
      </c>
      <c r="DE124" s="510">
        <f t="shared" si="245"/>
        <v>0.72691874744167007</v>
      </c>
      <c r="DF124" s="510">
        <f t="shared" si="245"/>
        <v>0.75739602868454625</v>
      </c>
      <c r="DG124" s="510">
        <f t="shared" si="245"/>
        <v>6.8774776435880813E-2</v>
      </c>
      <c r="DH124" s="67">
        <f t="shared" si="245"/>
        <v>0.48031413475279594</v>
      </c>
      <c r="DI124" s="510">
        <v>0.57565092904649706</v>
      </c>
      <c r="DJ124" s="510">
        <v>0.57772993104250925</v>
      </c>
      <c r="DK124" s="510">
        <v>0.49898791116109087</v>
      </c>
      <c r="DL124" s="510">
        <v>-7.0233684287758225E-2</v>
      </c>
      <c r="DM124" s="67">
        <v>0.33596014836757693</v>
      </c>
      <c r="DN124" s="510">
        <f t="shared" si="245"/>
        <v>5.5366269165247006E-2</v>
      </c>
      <c r="DO124" s="510">
        <f t="shared" si="245"/>
        <v>2.8400184416781382E-3</v>
      </c>
      <c r="DP124" s="510">
        <f t="shared" si="245"/>
        <v>2.5919465856448998E-2</v>
      </c>
      <c r="DQ124" s="510">
        <f t="shared" si="245"/>
        <v>4.6992444120026011E-2</v>
      </c>
      <c r="DR124" s="67">
        <f t="shared" ref="DR124:DW124" si="246">DR123/DM123-1</f>
        <v>3.2421599238142251E-2</v>
      </c>
      <c r="DS124" s="510">
        <f t="shared" si="246"/>
        <v>-7.2316384180791005E-2</v>
      </c>
      <c r="DT124" s="510">
        <f t="shared" si="246"/>
        <v>-4.5348388164548781E-2</v>
      </c>
      <c r="DU124" s="510">
        <f t="shared" si="246"/>
        <v>-8.4587119065465011E-2</v>
      </c>
      <c r="DV124" s="510">
        <f t="shared" si="246"/>
        <v>-5.6546890015262585E-2</v>
      </c>
      <c r="DW124" s="67">
        <f t="shared" si="246"/>
        <v>-6.4826117683771889E-2</v>
      </c>
      <c r="DX124" s="554"/>
      <c r="DY124" s="554"/>
      <c r="DZ124" s="554"/>
      <c r="EA124" s="554"/>
      <c r="EB124" s="67"/>
      <c r="EC124" s="554"/>
      <c r="ED124" s="554"/>
      <c r="EE124" s="554"/>
      <c r="EF124" s="554"/>
      <c r="EG124" s="67"/>
      <c r="EH124" s="554"/>
      <c r="EI124" s="554"/>
      <c r="EJ124" s="554"/>
      <c r="EK124" s="554"/>
      <c r="EL124" s="67"/>
    </row>
    <row r="125" spans="1:142" ht="11.25" customHeight="1">
      <c r="A125" s="159"/>
      <c r="B125" s="159" t="s">
        <v>164</v>
      </c>
      <c r="C125" s="507"/>
      <c r="D125" s="507" t="str">
        <f>D355</f>
        <v>ND</v>
      </c>
      <c r="E125" s="507" t="str">
        <f>E355</f>
        <v>ND</v>
      </c>
      <c r="F125" s="507" t="str">
        <f>F355</f>
        <v>ND</v>
      </c>
      <c r="G125" s="507" t="str">
        <f>G355</f>
        <v>ND</v>
      </c>
      <c r="H125" s="74">
        <f>SUM(D125:G125)</f>
        <v>0</v>
      </c>
      <c r="I125" s="507" t="str">
        <f>I355</f>
        <v>ND</v>
      </c>
      <c r="J125" s="507" t="str">
        <f>J355</f>
        <v>ND</v>
      </c>
      <c r="K125" s="507" t="str">
        <f>K355</f>
        <v>ND</v>
      </c>
      <c r="L125" s="507" t="str">
        <f>L355</f>
        <v>ND</v>
      </c>
      <c r="M125" s="74">
        <f>SUM(I125:L125)</f>
        <v>0</v>
      </c>
      <c r="N125" s="507">
        <f>N355</f>
        <v>7022</v>
      </c>
      <c r="O125" s="507">
        <f>O355</f>
        <v>7101</v>
      </c>
      <c r="P125" s="507">
        <f>P355</f>
        <v>6469</v>
      </c>
      <c r="Q125" s="507" t="str">
        <f>Q355</f>
        <v>ND</v>
      </c>
      <c r="R125" s="74">
        <f>SUM(N125:Q125)</f>
        <v>20592</v>
      </c>
      <c r="S125" s="507">
        <f>S355</f>
        <v>6522</v>
      </c>
      <c r="T125" s="507">
        <f>T355</f>
        <v>6518</v>
      </c>
      <c r="U125" s="507">
        <f>U355</f>
        <v>6772</v>
      </c>
      <c r="V125" s="507" t="str">
        <f>V355</f>
        <v>ND</v>
      </c>
      <c r="W125" s="74">
        <f>SUM(S125:V125)</f>
        <v>19812</v>
      </c>
      <c r="X125" s="507">
        <f>X355</f>
        <v>6725</v>
      </c>
      <c r="Y125" s="507">
        <f>Y355</f>
        <v>6944</v>
      </c>
      <c r="Z125" s="507">
        <f>Z355</f>
        <v>6938</v>
      </c>
      <c r="AA125" s="507" t="str">
        <f>AA355</f>
        <v>ND</v>
      </c>
      <c r="AB125" s="74">
        <f>SUM(X125:AA125)</f>
        <v>20607</v>
      </c>
      <c r="AC125" s="507">
        <f>AC355</f>
        <v>7114</v>
      </c>
      <c r="AD125" s="507">
        <f>AD355</f>
        <v>7468</v>
      </c>
      <c r="AE125" s="507">
        <f>AE355</f>
        <v>7636</v>
      </c>
      <c r="AF125" s="507" t="str">
        <f>AF355</f>
        <v>ND</v>
      </c>
      <c r="AG125" s="74">
        <f>SUM(AC125:AF125)</f>
        <v>22218</v>
      </c>
      <c r="AH125" s="507">
        <f>AH355</f>
        <v>7771</v>
      </c>
      <c r="AI125" s="507">
        <f>AI355</f>
        <v>8034</v>
      </c>
      <c r="AJ125" s="507">
        <f>AJ355</f>
        <v>8311</v>
      </c>
      <c r="AK125" s="507" t="str">
        <f>AK355</f>
        <v>ND</v>
      </c>
      <c r="AL125" s="74">
        <f>SUM(AH125:AK125)</f>
        <v>24116</v>
      </c>
      <c r="AM125" s="507">
        <f>AM355</f>
        <v>8758</v>
      </c>
      <c r="AN125" s="507">
        <f>AN355</f>
        <v>9100</v>
      </c>
      <c r="AO125" s="507">
        <f>AO355</f>
        <v>9091</v>
      </c>
      <c r="AP125" s="507" t="str">
        <f>AP355</f>
        <v>ND</v>
      </c>
      <c r="AQ125" s="74">
        <f>SUM(AM125:AP125)</f>
        <v>26949</v>
      </c>
      <c r="AR125" s="507">
        <f>AR355</f>
        <v>9615</v>
      </c>
      <c r="AS125" s="507">
        <f>AS355</f>
        <v>9716</v>
      </c>
      <c r="AT125" s="507">
        <f>AT355</f>
        <v>9136</v>
      </c>
      <c r="AU125" s="137"/>
      <c r="AV125" s="507" t="str">
        <f>AV355</f>
        <v>ND</v>
      </c>
      <c r="AW125" s="507" t="str">
        <f>AW355</f>
        <v>ND</v>
      </c>
      <c r="AX125" s="507" t="str">
        <f>AX355</f>
        <v>ND</v>
      </c>
      <c r="AY125" s="507" t="str">
        <f>AY355</f>
        <v>ND</v>
      </c>
      <c r="AZ125" s="74">
        <f>SUM(AV125:AY125)</f>
        <v>0</v>
      </c>
      <c r="BA125" s="507">
        <f>BA355</f>
        <v>9316</v>
      </c>
      <c r="BB125" s="507">
        <f>BB355</f>
        <v>9239</v>
      </c>
      <c r="BC125" s="507">
        <f>BC355</f>
        <v>9011</v>
      </c>
      <c r="BD125" s="507" t="str">
        <f>BD355</f>
        <v>ND</v>
      </c>
      <c r="BE125" s="74">
        <f>SUM(BA125:BD125)</f>
        <v>27566</v>
      </c>
      <c r="BF125" s="507">
        <f>BF355</f>
        <v>9528</v>
      </c>
      <c r="BG125" s="507">
        <f>BG355</f>
        <v>9709</v>
      </c>
      <c r="BH125" s="507">
        <f>BH355</f>
        <v>9355</v>
      </c>
      <c r="BI125" s="507">
        <f>BI355</f>
        <v>9478</v>
      </c>
      <c r="BJ125" s="74">
        <f>SUM(BF125:BI125)</f>
        <v>38070</v>
      </c>
      <c r="BK125" s="90">
        <f>BK355</f>
        <v>9532</v>
      </c>
      <c r="BL125" s="90">
        <f>BL355</f>
        <v>9482</v>
      </c>
      <c r="BM125" s="90">
        <f>BM355</f>
        <v>9792</v>
      </c>
      <c r="BN125" s="90">
        <f>BN355</f>
        <v>10070</v>
      </c>
      <c r="BO125" s="74">
        <f>SUM(BK125:BN125)</f>
        <v>38876</v>
      </c>
      <c r="BP125" s="90">
        <f>BP355</f>
        <v>10077</v>
      </c>
      <c r="BQ125" s="90">
        <f>BQ355</f>
        <v>10351</v>
      </c>
      <c r="BR125" s="90">
        <f>BR355</f>
        <v>10042</v>
      </c>
      <c r="BS125" s="90">
        <f>BS355</f>
        <v>10440</v>
      </c>
      <c r="BT125" s="74">
        <f>SUM(BP125:BS125)</f>
        <v>40910</v>
      </c>
      <c r="BU125" s="90">
        <f>BU355</f>
        <v>10380</v>
      </c>
      <c r="BV125" s="90">
        <f>BV355</f>
        <v>10663</v>
      </c>
      <c r="BW125" s="90">
        <f>BW355</f>
        <v>10882</v>
      </c>
      <c r="BX125" s="90">
        <f>BX355</f>
        <v>10879</v>
      </c>
      <c r="BY125" s="74">
        <f>SUM(BU125:BX125)</f>
        <v>42804</v>
      </c>
      <c r="BZ125" s="90">
        <f>BZ355</f>
        <v>11050</v>
      </c>
      <c r="CA125" s="90">
        <f>CA355</f>
        <v>10740</v>
      </c>
      <c r="CB125" s="90">
        <f>CB355</f>
        <v>10832</v>
      </c>
      <c r="CC125" s="90">
        <f>CC355</f>
        <v>11026</v>
      </c>
      <c r="CD125" s="74">
        <f>SUM(BZ125:CC125)</f>
        <v>43648</v>
      </c>
      <c r="CE125" s="90">
        <f>CE355</f>
        <v>11143</v>
      </c>
      <c r="CF125" s="90">
        <f>CF355</f>
        <v>11058</v>
      </c>
      <c r="CG125" s="90">
        <f>CG355</f>
        <v>11255</v>
      </c>
      <c r="CH125" s="90">
        <f>CH355</f>
        <v>11425</v>
      </c>
      <c r="CI125" s="74">
        <f>SUM(CE125:CH125)</f>
        <v>44881</v>
      </c>
      <c r="CJ125" s="90">
        <f>CJ355</f>
        <v>11644</v>
      </c>
      <c r="CK125" s="90">
        <f>CK355</f>
        <v>11569</v>
      </c>
      <c r="CL125" s="90">
        <f>CL355</f>
        <v>11381</v>
      </c>
      <c r="CM125" s="90">
        <f>CM355</f>
        <v>11632</v>
      </c>
      <c r="CN125" s="74">
        <f>SUM(CJ125:CM125)</f>
        <v>46226</v>
      </c>
      <c r="CO125" s="90">
        <f>CO355</f>
        <v>12318</v>
      </c>
      <c r="CP125" s="90">
        <f>CP355</f>
        <v>11673</v>
      </c>
      <c r="CQ125" s="90">
        <f>CQ355</f>
        <v>11510</v>
      </c>
      <c r="CR125" s="90">
        <f>CR355</f>
        <v>11959</v>
      </c>
      <c r="CS125" s="74">
        <f>SUM(CO125:CR125)</f>
        <v>47460</v>
      </c>
      <c r="CT125" s="90">
        <f>CT355</f>
        <v>12249</v>
      </c>
      <c r="CU125" s="90">
        <f>CU355</f>
        <v>12371</v>
      </c>
      <c r="CV125" s="90">
        <f>CV355</f>
        <v>12021</v>
      </c>
      <c r="CW125" s="90">
        <f>CW355</f>
        <v>12323</v>
      </c>
      <c r="CX125" s="74">
        <f>SUM(CT125:CW125)</f>
        <v>48964</v>
      </c>
      <c r="CY125" s="90">
        <f>CY355</f>
        <v>12197</v>
      </c>
      <c r="CZ125" s="90">
        <f>CZ355</f>
        <v>12773</v>
      </c>
      <c r="DA125" s="90">
        <f>DA355</f>
        <v>12355</v>
      </c>
      <c r="DB125" s="90">
        <f>DB355</f>
        <v>12451</v>
      </c>
      <c r="DC125" s="74">
        <f>SUM(CY125:DB125)</f>
        <v>49776</v>
      </c>
      <c r="DD125" s="90">
        <f>DD355</f>
        <v>12530</v>
      </c>
      <c r="DE125" s="90">
        <f>DE355</f>
        <v>12294</v>
      </c>
      <c r="DF125" s="90">
        <f>DF355</f>
        <v>12320</v>
      </c>
      <c r="DG125" s="90">
        <f>DG355</f>
        <v>13438</v>
      </c>
      <c r="DH125" s="74">
        <f>SUM(DD125:DG125)</f>
        <v>50582</v>
      </c>
      <c r="DI125" s="90">
        <f>DI263</f>
        <v>121041</v>
      </c>
      <c r="DJ125" s="90">
        <f>DJ263</f>
        <v>71122</v>
      </c>
      <c r="DK125" s="90">
        <f>DK263</f>
        <v>70446</v>
      </c>
      <c r="DL125" s="90">
        <f>DL263</f>
        <v>14281</v>
      </c>
      <c r="DM125" s="74">
        <f>SUM(DI125:DL125)</f>
        <v>276890</v>
      </c>
      <c r="DN125" s="90">
        <f>DN263</f>
        <v>76829</v>
      </c>
      <c r="DO125" s="90">
        <f>DO263</f>
        <v>75821</v>
      </c>
      <c r="DP125" s="90">
        <f>DP263</f>
        <v>72646</v>
      </c>
      <c r="DQ125" s="90">
        <f>DQ263</f>
        <v>73678</v>
      </c>
      <c r="DR125" s="74">
        <f>SUM(DN125:DQ125)</f>
        <v>298974</v>
      </c>
      <c r="DS125" s="90">
        <f>DS300</f>
        <v>69553</v>
      </c>
      <c r="DT125" s="90">
        <f>DT300</f>
        <v>71253</v>
      </c>
      <c r="DU125" s="90">
        <f>DU300</f>
        <v>66482</v>
      </c>
      <c r="DV125" s="90">
        <f>DV300</f>
        <v>68432</v>
      </c>
      <c r="DW125" s="74">
        <f>SUM(DS125:DV125)</f>
        <v>275720</v>
      </c>
      <c r="DX125" s="171"/>
      <c r="DY125" s="171"/>
      <c r="DZ125" s="171"/>
      <c r="EA125" s="171"/>
      <c r="EB125" s="74"/>
      <c r="EC125" s="171"/>
      <c r="ED125" s="171"/>
      <c r="EE125" s="171"/>
      <c r="EF125" s="171"/>
      <c r="EG125" s="74"/>
      <c r="EH125" s="171"/>
      <c r="EI125" s="171"/>
      <c r="EJ125" s="171"/>
      <c r="EK125" s="171"/>
      <c r="EL125" s="74"/>
    </row>
    <row r="126" spans="1:142" s="680" customFormat="1" ht="11.25" customHeight="1">
      <c r="A126" s="1122"/>
      <c r="B126" s="1122" t="s">
        <v>133</v>
      </c>
      <c r="C126" s="1012"/>
      <c r="D126" s="1012"/>
      <c r="E126" s="1012"/>
      <c r="F126" s="1012"/>
      <c r="G126" s="1012"/>
      <c r="H126" s="1011"/>
      <c r="I126" s="1010" t="str">
        <f t="shared" ref="I126:AT126" si="247">IF(ISERROR(I125/D125-1),"nm",I125/D125-1)</f>
        <v>nm</v>
      </c>
      <c r="J126" s="1010" t="str">
        <f t="shared" si="247"/>
        <v>nm</v>
      </c>
      <c r="K126" s="1010" t="str">
        <f t="shared" si="247"/>
        <v>nm</v>
      </c>
      <c r="L126" s="1010" t="str">
        <f t="shared" si="247"/>
        <v>nm</v>
      </c>
      <c r="M126" s="1011" t="str">
        <f t="shared" si="247"/>
        <v>nm</v>
      </c>
      <c r="N126" s="1010" t="str">
        <f t="shared" si="247"/>
        <v>nm</v>
      </c>
      <c r="O126" s="1010" t="str">
        <f t="shared" si="247"/>
        <v>nm</v>
      </c>
      <c r="P126" s="1010" t="str">
        <f t="shared" si="247"/>
        <v>nm</v>
      </c>
      <c r="Q126" s="1010" t="str">
        <f t="shared" si="247"/>
        <v>nm</v>
      </c>
      <c r="R126" s="1011" t="str">
        <f t="shared" si="247"/>
        <v>nm</v>
      </c>
      <c r="S126" s="1010">
        <f t="shared" si="247"/>
        <v>-7.1204784961549361E-2</v>
      </c>
      <c r="T126" s="1010">
        <f t="shared" si="247"/>
        <v>-8.2101112519363473E-2</v>
      </c>
      <c r="U126" s="1010">
        <f t="shared" si="247"/>
        <v>4.6838769516154066E-2</v>
      </c>
      <c r="V126" s="1010" t="str">
        <f t="shared" si="247"/>
        <v>nm</v>
      </c>
      <c r="W126" s="1011">
        <f t="shared" si="247"/>
        <v>-3.7878787878787845E-2</v>
      </c>
      <c r="X126" s="1010">
        <f t="shared" si="247"/>
        <v>3.11254216498007E-2</v>
      </c>
      <c r="Y126" s="1010">
        <f t="shared" si="247"/>
        <v>6.5357471617060403E-2</v>
      </c>
      <c r="Z126" s="1010">
        <f t="shared" si="247"/>
        <v>2.4512699350265788E-2</v>
      </c>
      <c r="AA126" s="1010" t="str">
        <f t="shared" si="247"/>
        <v>nm</v>
      </c>
      <c r="AB126" s="1011">
        <f t="shared" si="247"/>
        <v>4.0127195639006574E-2</v>
      </c>
      <c r="AC126" s="1010">
        <f t="shared" si="247"/>
        <v>5.7843866171003677E-2</v>
      </c>
      <c r="AD126" s="1010">
        <f t="shared" si="247"/>
        <v>7.5460829493087633E-2</v>
      </c>
      <c r="AE126" s="1010">
        <f t="shared" si="247"/>
        <v>0.10060536177572788</v>
      </c>
      <c r="AF126" s="1010" t="str">
        <f t="shared" si="247"/>
        <v>nm</v>
      </c>
      <c r="AG126" s="1011">
        <f t="shared" si="247"/>
        <v>7.8177318386955852E-2</v>
      </c>
      <c r="AH126" s="1010">
        <f t="shared" si="247"/>
        <v>9.2353106550463915E-2</v>
      </c>
      <c r="AI126" s="1010">
        <f t="shared" si="247"/>
        <v>7.5790037493304707E-2</v>
      </c>
      <c r="AJ126" s="1010">
        <f t="shared" si="247"/>
        <v>8.8397066526977541E-2</v>
      </c>
      <c r="AK126" s="1010" t="str">
        <f t="shared" si="247"/>
        <v>nm</v>
      </c>
      <c r="AL126" s="1011">
        <f t="shared" si="247"/>
        <v>8.5426230983886908E-2</v>
      </c>
      <c r="AM126" s="1010">
        <f t="shared" si="247"/>
        <v>0.12701068073607003</v>
      </c>
      <c r="AN126" s="1010">
        <f t="shared" si="247"/>
        <v>0.13268608414239491</v>
      </c>
      <c r="AO126" s="1010">
        <f t="shared" si="247"/>
        <v>9.3851522079172245E-2</v>
      </c>
      <c r="AP126" s="1010" t="str">
        <f t="shared" si="247"/>
        <v>nm</v>
      </c>
      <c r="AQ126" s="1011">
        <f t="shared" si="247"/>
        <v>0.1174738762647205</v>
      </c>
      <c r="AR126" s="1010">
        <f t="shared" si="247"/>
        <v>9.7853391185202199E-2</v>
      </c>
      <c r="AS126" s="1010">
        <f t="shared" si="247"/>
        <v>6.7692307692307718E-2</v>
      </c>
      <c r="AT126" s="1010">
        <f t="shared" si="247"/>
        <v>4.9499505004950706E-3</v>
      </c>
      <c r="AU126" s="802"/>
      <c r="AV126" s="1012"/>
      <c r="AW126" s="1012"/>
      <c r="AX126" s="1012"/>
      <c r="AY126" s="1012"/>
      <c r="AZ126" s="1011"/>
      <c r="BA126" s="1010" t="str">
        <f t="shared" ref="BA126:BO126" si="248">IF(ISERROR(BA125/AV125-1),"nm",BA125/AV125-1)</f>
        <v>nm</v>
      </c>
      <c r="BB126" s="1010" t="str">
        <f t="shared" si="248"/>
        <v>nm</v>
      </c>
      <c r="BC126" s="1010" t="str">
        <f t="shared" si="248"/>
        <v>nm</v>
      </c>
      <c r="BD126" s="1010" t="str">
        <f t="shared" si="248"/>
        <v>nm</v>
      </c>
      <c r="BE126" s="1011" t="str">
        <f t="shared" si="248"/>
        <v>nm</v>
      </c>
      <c r="BF126" s="1010">
        <f t="shared" si="248"/>
        <v>2.2756547874624333E-2</v>
      </c>
      <c r="BG126" s="1010">
        <f t="shared" si="248"/>
        <v>5.0871306418443618E-2</v>
      </c>
      <c r="BH126" s="1010">
        <f t="shared" si="248"/>
        <v>3.8175563200532725E-2</v>
      </c>
      <c r="BI126" s="1010" t="str">
        <f t="shared" si="248"/>
        <v>nm</v>
      </c>
      <c r="BJ126" s="1011">
        <f t="shared" si="248"/>
        <v>0.38104911847928613</v>
      </c>
      <c r="BK126" s="850">
        <f t="shared" si="248"/>
        <v>4.1981528127621459E-4</v>
      </c>
      <c r="BL126" s="850">
        <f t="shared" si="248"/>
        <v>-2.3380368730044343E-2</v>
      </c>
      <c r="BM126" s="850">
        <f t="shared" si="248"/>
        <v>4.6712987707108411E-2</v>
      </c>
      <c r="BN126" s="850">
        <f t="shared" si="248"/>
        <v>6.2460434690863043E-2</v>
      </c>
      <c r="BO126" s="851">
        <f t="shared" si="248"/>
        <v>2.1171526136065211E-2</v>
      </c>
      <c r="BP126" s="850">
        <f t="shared" ref="BP126:BY126" si="249">IF(ISERROR(BP125/BK125-1),"NM",BP125/BK125-1)</f>
        <v>5.7175828787243033E-2</v>
      </c>
      <c r="BQ126" s="850">
        <f t="shared" si="249"/>
        <v>9.164733178654294E-2</v>
      </c>
      <c r="BR126" s="850">
        <f t="shared" si="249"/>
        <v>2.5531045751634007E-2</v>
      </c>
      <c r="BS126" s="850">
        <f t="shared" si="249"/>
        <v>3.6742800397219444E-2</v>
      </c>
      <c r="BT126" s="851">
        <f t="shared" si="249"/>
        <v>5.2320197551188441E-2</v>
      </c>
      <c r="BU126" s="850">
        <f t="shared" si="249"/>
        <v>3.0068472759749998E-2</v>
      </c>
      <c r="BV126" s="850">
        <f t="shared" si="249"/>
        <v>3.0142015264225774E-2</v>
      </c>
      <c r="BW126" s="850">
        <f t="shared" si="249"/>
        <v>8.3648675562636887E-2</v>
      </c>
      <c r="BX126" s="850">
        <f t="shared" si="249"/>
        <v>4.2049808429118762E-2</v>
      </c>
      <c r="BY126" s="851">
        <f t="shared" si="249"/>
        <v>4.6296748961134115E-2</v>
      </c>
      <c r="BZ126" s="850">
        <f t="shared" ref="BZ126:DQ126" si="250">BZ125/BU125-1</f>
        <v>6.4547206165703308E-2</v>
      </c>
      <c r="CA126" s="850">
        <f t="shared" si="250"/>
        <v>7.22123229860272E-3</v>
      </c>
      <c r="CB126" s="850">
        <f t="shared" si="250"/>
        <v>-4.5947436133063624E-3</v>
      </c>
      <c r="CC126" s="850">
        <f t="shared" si="250"/>
        <v>1.351227134846944E-2</v>
      </c>
      <c r="CD126" s="851">
        <f t="shared" si="250"/>
        <v>1.9717783384730403E-2</v>
      </c>
      <c r="CE126" s="850">
        <f t="shared" si="250"/>
        <v>8.4162895927601955E-3</v>
      </c>
      <c r="CF126" s="850">
        <f t="shared" si="250"/>
        <v>2.960893854748603E-2</v>
      </c>
      <c r="CG126" s="850">
        <f t="shared" si="250"/>
        <v>3.9050960118168332E-2</v>
      </c>
      <c r="CH126" s="850">
        <f t="shared" si="250"/>
        <v>3.6187193905314663E-2</v>
      </c>
      <c r="CI126" s="851">
        <f t="shared" si="250"/>
        <v>2.8248717008797719E-2</v>
      </c>
      <c r="CJ126" s="850">
        <f t="shared" si="250"/>
        <v>4.4960962038948171E-2</v>
      </c>
      <c r="CK126" s="850">
        <f t="shared" si="250"/>
        <v>4.6210888044854403E-2</v>
      </c>
      <c r="CL126" s="850">
        <f t="shared" si="250"/>
        <v>1.1195024433584999E-2</v>
      </c>
      <c r="CM126" s="850">
        <f t="shared" si="250"/>
        <v>1.8118161925601672E-2</v>
      </c>
      <c r="CN126" s="851">
        <f t="shared" si="250"/>
        <v>2.9968137964840436E-2</v>
      </c>
      <c r="CO126" s="850">
        <f t="shared" si="250"/>
        <v>5.7883888698041952E-2</v>
      </c>
      <c r="CP126" s="850">
        <f t="shared" si="250"/>
        <v>8.9895410147808885E-3</v>
      </c>
      <c r="CQ126" s="850">
        <f t="shared" si="250"/>
        <v>1.1334680608031E-2</v>
      </c>
      <c r="CR126" s="850">
        <f t="shared" si="250"/>
        <v>2.8112104539202099E-2</v>
      </c>
      <c r="CS126" s="851">
        <f t="shared" si="250"/>
        <v>2.6694933587158687E-2</v>
      </c>
      <c r="CT126" s="850">
        <f t="shared" si="250"/>
        <v>-5.6015586945932228E-3</v>
      </c>
      <c r="CU126" s="850">
        <f t="shared" si="250"/>
        <v>5.9796110682772241E-2</v>
      </c>
      <c r="CV126" s="850">
        <f t="shared" si="250"/>
        <v>4.4396177237185031E-2</v>
      </c>
      <c r="CW126" s="850">
        <f t="shared" si="250"/>
        <v>3.0437327535747238E-2</v>
      </c>
      <c r="CX126" s="851">
        <f t="shared" si="250"/>
        <v>3.1689844079224594E-2</v>
      </c>
      <c r="CY126" s="850">
        <f t="shared" si="250"/>
        <v>-4.245244509755941E-3</v>
      </c>
      <c r="CZ126" s="850">
        <f t="shared" si="250"/>
        <v>3.2495352032980263E-2</v>
      </c>
      <c r="DA126" s="850">
        <f t="shared" si="250"/>
        <v>2.7784710090674736E-2</v>
      </c>
      <c r="DB126" s="850">
        <f t="shared" si="250"/>
        <v>1.0387081067921855E-2</v>
      </c>
      <c r="DC126" s="851">
        <f t="shared" si="250"/>
        <v>1.6583612449963203E-2</v>
      </c>
      <c r="DD126" s="850">
        <f t="shared" si="250"/>
        <v>2.7301795523489325E-2</v>
      </c>
      <c r="DE126" s="850">
        <f t="shared" si="250"/>
        <v>-3.7500978626790915E-2</v>
      </c>
      <c r="DF126" s="850">
        <f t="shared" si="250"/>
        <v>-2.8328611898017497E-3</v>
      </c>
      <c r="DG126" s="850">
        <f t="shared" si="250"/>
        <v>7.9270741305919268E-2</v>
      </c>
      <c r="DH126" s="851">
        <f t="shared" si="250"/>
        <v>1.6192542590806713E-2</v>
      </c>
      <c r="DI126" s="850">
        <v>0.49056092605135149</v>
      </c>
      <c r="DJ126" s="850">
        <v>-0.20784558323958879</v>
      </c>
      <c r="DK126" s="850">
        <v>-0.22986269022214445</v>
      </c>
      <c r="DL126" s="850">
        <v>-0.8873898027093946</v>
      </c>
      <c r="DM126" s="851">
        <v>-0.28870884046876522</v>
      </c>
      <c r="DN126" s="850">
        <f t="shared" si="250"/>
        <v>-0.36526466238712507</v>
      </c>
      <c r="DO126" s="850">
        <f t="shared" si="250"/>
        <v>6.6069570597002247E-2</v>
      </c>
      <c r="DP126" s="850">
        <f t="shared" si="250"/>
        <v>3.1229594299179597E-2</v>
      </c>
      <c r="DQ126" s="850">
        <f t="shared" si="250"/>
        <v>4.1591625236327987</v>
      </c>
      <c r="DR126" s="851">
        <f t="shared" ref="DR126:DW126" si="251">DR125/DM125-1</f>
        <v>7.9757304344685531E-2</v>
      </c>
      <c r="DS126" s="850">
        <f t="shared" si="251"/>
        <v>-9.4703822775254132E-2</v>
      </c>
      <c r="DT126" s="850">
        <f t="shared" si="251"/>
        <v>-6.0247161076746547E-2</v>
      </c>
      <c r="DU126" s="850">
        <f t="shared" si="251"/>
        <v>-8.484981967348515E-2</v>
      </c>
      <c r="DV126" s="850">
        <f t="shared" si="251"/>
        <v>-7.1201715573169788E-2</v>
      </c>
      <c r="DW126" s="851">
        <f t="shared" si="251"/>
        <v>-7.7779338671590148E-2</v>
      </c>
      <c r="DX126" s="1165"/>
      <c r="DY126" s="1165"/>
      <c r="DZ126" s="1165"/>
      <c r="EA126" s="1165"/>
      <c r="EB126" s="851"/>
      <c r="EC126" s="1165"/>
      <c r="ED126" s="1165"/>
      <c r="EE126" s="1165"/>
      <c r="EF126" s="1165"/>
      <c r="EG126" s="851"/>
      <c r="EH126" s="1165"/>
      <c r="EI126" s="1165"/>
      <c r="EJ126" s="1165"/>
      <c r="EK126" s="1165"/>
      <c r="EL126" s="851"/>
    </row>
    <row r="127" spans="1:142" s="680" customFormat="1" ht="11.25" customHeight="1">
      <c r="A127" s="973"/>
      <c r="B127" s="973" t="s">
        <v>165</v>
      </c>
      <c r="C127" s="892"/>
      <c r="D127" s="892"/>
      <c r="E127" s="892"/>
      <c r="F127" s="892"/>
      <c r="G127" s="892"/>
      <c r="H127" s="1001"/>
      <c r="I127" s="892"/>
      <c r="J127" s="892"/>
      <c r="K127" s="892"/>
      <c r="L127" s="892"/>
      <c r="M127" s="1001"/>
      <c r="N127" s="892"/>
      <c r="O127" s="892"/>
      <c r="P127" s="892"/>
      <c r="Q127" s="892"/>
      <c r="R127" s="1001"/>
      <c r="S127" s="892"/>
      <c r="T127" s="892"/>
      <c r="U127" s="892"/>
      <c r="V127" s="892"/>
      <c r="W127" s="1001"/>
      <c r="X127" s="892"/>
      <c r="Y127" s="892"/>
      <c r="Z127" s="892"/>
      <c r="AA127" s="892"/>
      <c r="AB127" s="1001"/>
      <c r="AC127" s="892"/>
      <c r="AD127" s="892"/>
      <c r="AE127" s="892"/>
      <c r="AF127" s="892"/>
      <c r="AG127" s="1001"/>
      <c r="AH127" s="892"/>
      <c r="AI127" s="892"/>
      <c r="AJ127" s="892"/>
      <c r="AK127" s="892"/>
      <c r="AL127" s="1001"/>
      <c r="AM127" s="892"/>
      <c r="AN127" s="892"/>
      <c r="AO127" s="892"/>
      <c r="AP127" s="892"/>
      <c r="AQ127" s="1001"/>
      <c r="AR127" s="892"/>
      <c r="AS127" s="892"/>
      <c r="AT127" s="892"/>
      <c r="AU127" s="802"/>
      <c r="AV127" s="804"/>
      <c r="AW127" s="917"/>
      <c r="AX127" s="917"/>
      <c r="AY127" s="917"/>
      <c r="AZ127" s="916"/>
      <c r="BA127" s="917"/>
      <c r="BB127" s="917"/>
      <c r="BC127" s="917"/>
      <c r="BD127" s="917"/>
      <c r="BE127" s="916"/>
      <c r="BF127" s="917"/>
      <c r="BG127" s="917"/>
      <c r="BH127" s="917"/>
      <c r="BI127" s="917"/>
      <c r="BJ127" s="916"/>
      <c r="BK127" s="1137"/>
      <c r="BL127" s="1137"/>
      <c r="BM127" s="1137"/>
      <c r="BN127" s="1137"/>
      <c r="BO127" s="924"/>
      <c r="BP127" s="1137"/>
      <c r="BQ127" s="1137"/>
      <c r="BR127" s="1137"/>
      <c r="BS127" s="1137"/>
      <c r="BT127" s="924"/>
      <c r="BU127" s="1137"/>
      <c r="BV127" s="1137"/>
      <c r="BW127" s="1137"/>
      <c r="BX127" s="1137"/>
      <c r="BY127" s="924"/>
      <c r="BZ127" s="1137"/>
      <c r="CA127" s="1137"/>
      <c r="CB127" s="1137"/>
      <c r="CC127" s="1137"/>
      <c r="CD127" s="924"/>
      <c r="CE127" s="1137"/>
      <c r="CF127" s="1137"/>
      <c r="CG127" s="1137"/>
      <c r="CH127" s="1137"/>
      <c r="CI127" s="924"/>
      <c r="CJ127" s="1137"/>
      <c r="CK127" s="1137"/>
      <c r="CL127" s="1137"/>
      <c r="CM127" s="1137"/>
      <c r="CN127" s="924"/>
      <c r="CO127" s="1137"/>
      <c r="CP127" s="1137"/>
      <c r="CQ127" s="1137"/>
      <c r="CR127" s="1137"/>
      <c r="CS127" s="924"/>
      <c r="CT127" s="1137"/>
      <c r="CU127" s="1137"/>
      <c r="CV127" s="1137"/>
      <c r="CW127" s="1137"/>
      <c r="CX127" s="924"/>
      <c r="CY127" s="1137"/>
      <c r="CZ127" s="1137"/>
      <c r="DA127" s="1137"/>
      <c r="DB127" s="1137"/>
      <c r="DC127" s="924"/>
      <c r="DD127" s="1137"/>
      <c r="DE127" s="1137"/>
      <c r="DF127" s="1137"/>
      <c r="DG127" s="1137"/>
      <c r="DH127" s="924"/>
      <c r="DI127" s="1137"/>
      <c r="DJ127" s="1137"/>
      <c r="DK127" s="1137"/>
      <c r="DL127" s="1137"/>
      <c r="DM127" s="924"/>
      <c r="DN127" s="1137"/>
      <c r="DO127" s="1137"/>
      <c r="DP127" s="1137"/>
      <c r="DQ127" s="1137"/>
      <c r="DR127" s="924"/>
      <c r="DS127" s="1137"/>
      <c r="DT127" s="1137"/>
      <c r="DU127" s="1137"/>
      <c r="DV127" s="1137"/>
      <c r="DW127" s="924"/>
      <c r="DX127" s="1137"/>
      <c r="DY127" s="1137"/>
      <c r="DZ127" s="1137"/>
      <c r="EA127" s="1137"/>
      <c r="EB127" s="924"/>
      <c r="EC127" s="1137"/>
      <c r="ED127" s="1137"/>
      <c r="EE127" s="1137"/>
      <c r="EF127" s="1137"/>
      <c r="EG127" s="924"/>
      <c r="EH127" s="1137"/>
      <c r="EI127" s="1137"/>
      <c r="EJ127" s="1137"/>
      <c r="EK127" s="1137"/>
      <c r="EL127" s="924"/>
    </row>
    <row r="128" spans="1:142" s="680" customFormat="1" ht="11.25" customHeight="1">
      <c r="A128" s="846"/>
      <c r="B128" s="846" t="s">
        <v>166</v>
      </c>
      <c r="C128" s="1169"/>
      <c r="D128" s="1169">
        <f t="shared" ref="D128:AT128" si="252">(D69/D86)*1000000</f>
        <v>7607.848730592118</v>
      </c>
      <c r="E128" s="1169">
        <f t="shared" si="252"/>
        <v>7537.0404619526125</v>
      </c>
      <c r="F128" s="1169">
        <f t="shared" si="252"/>
        <v>7434.1775567634249</v>
      </c>
      <c r="G128" s="1169">
        <f t="shared" si="252"/>
        <v>6867.4954543532494</v>
      </c>
      <c r="H128" s="1168">
        <f t="shared" si="252"/>
        <v>7234.533426911762</v>
      </c>
      <c r="I128" s="1169">
        <f t="shared" si="252"/>
        <v>7060.7965704958606</v>
      </c>
      <c r="J128" s="1169">
        <f t="shared" si="252"/>
        <v>6973.9039405797457</v>
      </c>
      <c r="K128" s="1169">
        <f t="shared" si="252"/>
        <v>6945.9765888337324</v>
      </c>
      <c r="L128" s="1169">
        <f t="shared" si="252"/>
        <v>7241.2718951429351</v>
      </c>
      <c r="M128" s="1168">
        <f t="shared" si="252"/>
        <v>7054.948615773962</v>
      </c>
      <c r="N128" s="1169">
        <f t="shared" si="252"/>
        <v>7022.3385974961138</v>
      </c>
      <c r="O128" s="1169">
        <f t="shared" si="252"/>
        <v>7100.7674769596351</v>
      </c>
      <c r="P128" s="1169">
        <f t="shared" si="252"/>
        <v>6469.3446088794926</v>
      </c>
      <c r="Q128" s="1169">
        <f t="shared" si="252"/>
        <v>6439.1636084739193</v>
      </c>
      <c r="R128" s="1168">
        <f t="shared" si="252"/>
        <v>6642.631025801672</v>
      </c>
      <c r="S128" s="1169">
        <f t="shared" si="252"/>
        <v>6523.2619228299573</v>
      </c>
      <c r="T128" s="1169">
        <f t="shared" si="252"/>
        <v>6517.55990059549</v>
      </c>
      <c r="U128" s="1169">
        <f t="shared" si="252"/>
        <v>6771.8819683488118</v>
      </c>
      <c r="V128" s="1169">
        <f t="shared" si="252"/>
        <v>6953.0534145421225</v>
      </c>
      <c r="W128" s="1168">
        <f t="shared" si="252"/>
        <v>6697.3624335622335</v>
      </c>
      <c r="X128" s="1169">
        <f t="shared" si="252"/>
        <v>6725.4650563269106</v>
      </c>
      <c r="Y128" s="1169">
        <f t="shared" si="252"/>
        <v>6943.5979394940832</v>
      </c>
      <c r="Z128" s="1169">
        <f t="shared" si="252"/>
        <v>6937.5739002437194</v>
      </c>
      <c r="AA128" s="1169">
        <f t="shared" si="252"/>
        <v>7089.4853248849304</v>
      </c>
      <c r="AB128" s="1168">
        <f t="shared" si="252"/>
        <v>6930.0939008579662</v>
      </c>
      <c r="AC128" s="1169">
        <f t="shared" si="252"/>
        <v>7114.2711527375113</v>
      </c>
      <c r="AD128" s="1169">
        <f t="shared" si="252"/>
        <v>7467.7021880367411</v>
      </c>
      <c r="AE128" s="1169">
        <f t="shared" si="252"/>
        <v>7635.7843464335756</v>
      </c>
      <c r="AF128" s="1169">
        <f t="shared" si="252"/>
        <v>7827.3193066608519</v>
      </c>
      <c r="AG128" s="1168">
        <f t="shared" si="252"/>
        <v>7508.4762781714735</v>
      </c>
      <c r="AH128" s="1169">
        <f t="shared" si="252"/>
        <v>7770.6839251355605</v>
      </c>
      <c r="AI128" s="1169">
        <f t="shared" si="252"/>
        <v>8033.8100409541121</v>
      </c>
      <c r="AJ128" s="1169">
        <f t="shared" si="252"/>
        <v>8311.2341785388635</v>
      </c>
      <c r="AK128" s="1169">
        <f t="shared" si="252"/>
        <v>8537.8824732237827</v>
      </c>
      <c r="AL128" s="1168">
        <f t="shared" si="252"/>
        <v>8170.4893885808979</v>
      </c>
      <c r="AM128" s="1169">
        <f t="shared" si="252"/>
        <v>8758.2379465834201</v>
      </c>
      <c r="AN128" s="1169">
        <f t="shared" si="252"/>
        <v>9099.8554728836662</v>
      </c>
      <c r="AO128" s="1169">
        <f t="shared" si="252"/>
        <v>9091.2630431396974</v>
      </c>
      <c r="AP128" s="1169">
        <f t="shared" si="252"/>
        <v>9546.1157649818851</v>
      </c>
      <c r="AQ128" s="1168">
        <f t="shared" si="252"/>
        <v>9130.5407597728754</v>
      </c>
      <c r="AR128" s="1169">
        <f t="shared" si="252"/>
        <v>9614.6981127585132</v>
      </c>
      <c r="AS128" s="1169">
        <f t="shared" si="252"/>
        <v>9715.5354164699966</v>
      </c>
      <c r="AT128" s="1169">
        <f t="shared" si="252"/>
        <v>9136.0507031700945</v>
      </c>
      <c r="AU128" s="802"/>
      <c r="AV128" s="1166" t="str">
        <f>IF(ISERROR((AV69/AV86)*1000000),"nm",(AV69/AV86)*1000000)</f>
        <v>nm</v>
      </c>
      <c r="AW128" s="1166" t="str">
        <f>IF(ISERROR((AW69/AW86)*1000000),"nm",(AW69/AW86)*1000000)</f>
        <v>nm</v>
      </c>
      <c r="AX128" s="1166" t="str">
        <f>IF(ISERROR((AX69/AX86)*1000000),"nm",(AX69/AX86)*1000000)</f>
        <v>nm</v>
      </c>
      <c r="AY128" s="1166" t="str">
        <f>IF(ISERROR((AY69/AY86)*1000000),"nm",(AY69/AY86)*1000000)</f>
        <v>nm</v>
      </c>
      <c r="AZ128" s="1167" t="str">
        <f>IF(ISERROR((AZ69/AZ86)*1000000),"nm",(AZ69/AZ86)*1000000)</f>
        <v>nm</v>
      </c>
      <c r="BA128" s="1169">
        <f t="shared" ref="BA128:CF128" si="253">(BA69/BA86)*1000000</f>
        <v>9316.438209730868</v>
      </c>
      <c r="BB128" s="1169">
        <f t="shared" si="253"/>
        <v>9239.2156198238572</v>
      </c>
      <c r="BC128" s="1169">
        <f t="shared" si="253"/>
        <v>9011.0964132550325</v>
      </c>
      <c r="BD128" s="1169">
        <f t="shared" si="253"/>
        <v>8631.1477904696476</v>
      </c>
      <c r="BE128" s="1168">
        <f t="shared" si="253"/>
        <v>9054.1282853038119</v>
      </c>
      <c r="BF128" s="1169">
        <f t="shared" si="253"/>
        <v>9527.5110254624742</v>
      </c>
      <c r="BG128" s="1169">
        <f t="shared" si="253"/>
        <v>9708.2359158772742</v>
      </c>
      <c r="BH128" s="1169">
        <f t="shared" si="253"/>
        <v>9354.8821706606996</v>
      </c>
      <c r="BI128" s="1169">
        <f t="shared" si="253"/>
        <v>9477.805400872785</v>
      </c>
      <c r="BJ128" s="1168">
        <f t="shared" si="253"/>
        <v>9518.3217327148886</v>
      </c>
      <c r="BK128" s="1169">
        <f t="shared" si="253"/>
        <v>9531.6545069428103</v>
      </c>
      <c r="BL128" s="1169">
        <f t="shared" si="253"/>
        <v>9482.2163939095462</v>
      </c>
      <c r="BM128" s="1169">
        <f t="shared" si="253"/>
        <v>9791.8842810631195</v>
      </c>
      <c r="BN128" s="1169">
        <f t="shared" si="253"/>
        <v>10069.919440644475</v>
      </c>
      <c r="BO128" s="1168">
        <f t="shared" si="253"/>
        <v>9710.0302578422852</v>
      </c>
      <c r="BP128" s="1169">
        <f t="shared" si="253"/>
        <v>10076.550538978285</v>
      </c>
      <c r="BQ128" s="1169">
        <f t="shared" si="253"/>
        <v>10351.387645478962</v>
      </c>
      <c r="BR128" s="1169">
        <f t="shared" si="253"/>
        <v>10042.279554966963</v>
      </c>
      <c r="BS128" s="1169">
        <f t="shared" si="253"/>
        <v>10439.522045978618</v>
      </c>
      <c r="BT128" s="1168">
        <f t="shared" si="253"/>
        <v>10222.076248705187</v>
      </c>
      <c r="BU128" s="1169">
        <f t="shared" si="253"/>
        <v>10379.596678529062</v>
      </c>
      <c r="BV128" s="1169">
        <f t="shared" si="253"/>
        <v>10662.795354425311</v>
      </c>
      <c r="BW128" s="1169">
        <f t="shared" si="253"/>
        <v>10881.919441531682</v>
      </c>
      <c r="BX128" s="1169">
        <f t="shared" si="253"/>
        <v>10878.529067974672</v>
      </c>
      <c r="BY128" s="1168">
        <f t="shared" si="253"/>
        <v>10694.618295031045</v>
      </c>
      <c r="BZ128" s="1169">
        <f t="shared" si="253"/>
        <v>11050.480291940818</v>
      </c>
      <c r="CA128" s="1169">
        <f t="shared" si="253"/>
        <v>10740.168528843213</v>
      </c>
      <c r="CB128" s="1169">
        <f t="shared" si="253"/>
        <v>10831.514037305144</v>
      </c>
      <c r="CC128" s="1169">
        <f t="shared" si="253"/>
        <v>11025.642972671289</v>
      </c>
      <c r="CD128" s="1168">
        <f t="shared" si="253"/>
        <v>10915.065704306648</v>
      </c>
      <c r="CE128" s="1169">
        <f t="shared" si="253"/>
        <v>11143.12036617288</v>
      </c>
      <c r="CF128" s="1169">
        <f t="shared" si="253"/>
        <v>11058.415446480647</v>
      </c>
      <c r="CG128" s="1169">
        <f t="shared" ref="CG128:DL128" si="254">(CG69/CG86)*1000000</f>
        <v>11254.587050315527</v>
      </c>
      <c r="CH128" s="1169">
        <f t="shared" si="254"/>
        <v>11424.736367072692</v>
      </c>
      <c r="CI128" s="1168">
        <f t="shared" si="254"/>
        <v>11219.003990792522</v>
      </c>
      <c r="CJ128" s="1169">
        <f t="shared" si="254"/>
        <v>11644.130046229609</v>
      </c>
      <c r="CK128" s="1169">
        <f t="shared" si="254"/>
        <v>11569.381061596387</v>
      </c>
      <c r="CL128" s="1169">
        <f t="shared" si="254"/>
        <v>11381.272633212622</v>
      </c>
      <c r="CM128" s="1169">
        <f t="shared" si="254"/>
        <v>11632.027847562946</v>
      </c>
      <c r="CN128" s="1168">
        <f t="shared" si="254"/>
        <v>11558.13572670633</v>
      </c>
      <c r="CO128" s="1169">
        <f t="shared" si="254"/>
        <v>12317.688322161948</v>
      </c>
      <c r="CP128" s="1169">
        <f t="shared" si="254"/>
        <v>11672.718007516403</v>
      </c>
      <c r="CQ128" s="1169">
        <f t="shared" si="254"/>
        <v>11509.827990243746</v>
      </c>
      <c r="CR128" s="1169">
        <f t="shared" si="254"/>
        <v>11958.802364635771</v>
      </c>
      <c r="CS128" s="1168">
        <f t="shared" si="254"/>
        <v>11870.020518515894</v>
      </c>
      <c r="CT128" s="1169">
        <f t="shared" si="254"/>
        <v>12249.409253754096</v>
      </c>
      <c r="CU128" s="1169">
        <f t="shared" si="254"/>
        <v>12370.540851553509</v>
      </c>
      <c r="CV128" s="1169">
        <f t="shared" si="254"/>
        <v>12020.597586270411</v>
      </c>
      <c r="CW128" s="1169">
        <f t="shared" si="254"/>
        <v>12323.409689520313</v>
      </c>
      <c r="CX128" s="1168">
        <f t="shared" si="254"/>
        <v>12241.231230934776</v>
      </c>
      <c r="CY128" s="1169">
        <f t="shared" si="254"/>
        <v>12197.349300002383</v>
      </c>
      <c r="CZ128" s="1169">
        <f t="shared" si="254"/>
        <v>12773.148224847169</v>
      </c>
      <c r="DA128" s="1169">
        <f t="shared" si="254"/>
        <v>12355.12342784756</v>
      </c>
      <c r="DB128" s="1169">
        <f t="shared" si="254"/>
        <v>12451.051410454264</v>
      </c>
      <c r="DC128" s="1168">
        <f t="shared" si="254"/>
        <v>12442.592612479104</v>
      </c>
      <c r="DD128" s="1169">
        <f t="shared" si="254"/>
        <v>12559.645447385896</v>
      </c>
      <c r="DE128" s="1169">
        <f t="shared" si="254"/>
        <v>12294.429231251381</v>
      </c>
      <c r="DF128" s="1169">
        <f t="shared" si="254"/>
        <v>12320.297728023052</v>
      </c>
      <c r="DG128" s="1169">
        <f t="shared" si="254"/>
        <v>13437.97723599737</v>
      </c>
      <c r="DH128" s="1168">
        <f t="shared" si="254"/>
        <v>12658.547837682405</v>
      </c>
      <c r="DI128" s="1169">
        <f t="shared" si="254"/>
        <v>12916.820666913067</v>
      </c>
      <c r="DJ128" s="1169">
        <f t="shared" si="254"/>
        <v>12991.06523763298</v>
      </c>
      <c r="DK128" s="1169">
        <f t="shared" si="254"/>
        <v>12894.437013919849</v>
      </c>
      <c r="DL128" s="1169">
        <f t="shared" si="254"/>
        <v>12906.208282427084</v>
      </c>
      <c r="DM128" s="1168">
        <f t="shared" ref="DM128:EG128" si="255">(DM69/DM86)*1000000</f>
        <v>12926.797896376906</v>
      </c>
      <c r="DN128" s="1169">
        <f t="shared" si="255"/>
        <v>13130.373608940552</v>
      </c>
      <c r="DO128" s="1169">
        <f t="shared" si="255"/>
        <v>13347.223798079403</v>
      </c>
      <c r="DP128" s="1169">
        <f t="shared" si="255"/>
        <v>13604.882115034321</v>
      </c>
      <c r="DQ128" s="1169">
        <f t="shared" si="255"/>
        <v>13565.780500882349</v>
      </c>
      <c r="DR128" s="1168">
        <f t="shared" si="255"/>
        <v>13405.458631050067</v>
      </c>
      <c r="DS128" s="1169">
        <f t="shared" si="255"/>
        <v>13278.486303534473</v>
      </c>
      <c r="DT128" s="1169">
        <f t="shared" si="255"/>
        <v>13431.992948863428</v>
      </c>
      <c r="DU128" s="1169">
        <f>(DU69/DU86)*1000000</f>
        <v>13139.528493707754</v>
      </c>
      <c r="DV128" s="1169">
        <f>(DV69/DV86)*1000000</f>
        <v>14577.259475218658</v>
      </c>
      <c r="DW128" s="1168">
        <f t="shared" si="255"/>
        <v>13602.621654161716</v>
      </c>
      <c r="DX128" s="1169">
        <f t="shared" ca="1" si="255"/>
        <v>13489.468946146832</v>
      </c>
      <c r="DY128" s="1169">
        <f t="shared" ca="1" si="255"/>
        <v>13639.434750426242</v>
      </c>
      <c r="DZ128" s="1169">
        <f t="shared" si="255"/>
        <v>13342.294321952304</v>
      </c>
      <c r="EA128" s="1169">
        <f t="shared" ca="1" si="255"/>
        <v>14794.841300730715</v>
      </c>
      <c r="EB128" s="1168">
        <f t="shared" ca="1" si="255"/>
        <v>13803.728305190129</v>
      </c>
      <c r="EC128" s="1169">
        <f t="shared" si="255"/>
        <v>13358.223613787193</v>
      </c>
      <c r="ED128" s="1169">
        <f t="shared" si="255"/>
        <v>13512.652066521348</v>
      </c>
      <c r="EE128" s="1169">
        <f t="shared" si="255"/>
        <v>13218.431362312467</v>
      </c>
      <c r="EF128" s="1169">
        <f t="shared" si="255"/>
        <v>14664.795918367341</v>
      </c>
      <c r="EG128" s="1168">
        <f t="shared" si="255"/>
        <v>13691.920934334235</v>
      </c>
      <c r="EH128" s="1169">
        <f t="shared" ref="EH128:EL128" si="256">(EH69/EH86)*1000000</f>
        <v>13425.014731856128</v>
      </c>
      <c r="EI128" s="1169">
        <f t="shared" si="256"/>
        <v>13580.215326853955</v>
      </c>
      <c r="EJ128" s="1169">
        <f t="shared" si="256"/>
        <v>13284.523519124026</v>
      </c>
      <c r="EK128" s="1169">
        <f t="shared" si="256"/>
        <v>14738.119897959179</v>
      </c>
      <c r="EL128" s="1168">
        <f t="shared" si="256"/>
        <v>13759.243984151262</v>
      </c>
    </row>
    <row r="129" spans="1:142" s="680" customFormat="1" ht="11.25" customHeight="1">
      <c r="A129" s="1122"/>
      <c r="B129" s="1122" t="s">
        <v>133</v>
      </c>
      <c r="C129" s="1012"/>
      <c r="D129" s="1012"/>
      <c r="E129" s="1012"/>
      <c r="F129" s="1012"/>
      <c r="G129" s="1012"/>
      <c r="H129" s="1011"/>
      <c r="I129" s="1010">
        <f t="shared" ref="I129:AT129" si="257">IF(ISERROR(I128/D128-1),"nm",I128/D128-1)</f>
        <v>-7.1906287765224897E-2</v>
      </c>
      <c r="J129" s="1010">
        <f t="shared" si="257"/>
        <v>-7.4715868146868814E-2</v>
      </c>
      <c r="K129" s="1010">
        <f t="shared" si="257"/>
        <v>-6.566980196559058E-2</v>
      </c>
      <c r="L129" s="1010">
        <f t="shared" si="257"/>
        <v>5.4426893075371741E-2</v>
      </c>
      <c r="M129" s="1011">
        <f t="shared" si="257"/>
        <v>-2.4823274776748172E-2</v>
      </c>
      <c r="N129" s="1010">
        <f t="shared" si="257"/>
        <v>-5.4466904145697992E-3</v>
      </c>
      <c r="O129" s="1010">
        <f t="shared" si="257"/>
        <v>1.8191179210498731E-2</v>
      </c>
      <c r="P129" s="1010">
        <f t="shared" si="257"/>
        <v>-6.8619865595353047E-2</v>
      </c>
      <c r="Q129" s="1010">
        <f t="shared" si="257"/>
        <v>-0.11076897792044349</v>
      </c>
      <c r="R129" s="1011">
        <f t="shared" si="257"/>
        <v>-5.844374104304606E-2</v>
      </c>
      <c r="S129" s="1010">
        <f t="shared" si="257"/>
        <v>-7.1069867642683526E-2</v>
      </c>
      <c r="T129" s="1010">
        <f t="shared" si="257"/>
        <v>-8.2133033965204438E-2</v>
      </c>
      <c r="U129" s="1010">
        <f t="shared" si="257"/>
        <v>4.6764761774179098E-2</v>
      </c>
      <c r="V129" s="1010">
        <f t="shared" si="257"/>
        <v>7.980691861780409E-2</v>
      </c>
      <c r="W129" s="1011">
        <f t="shared" si="257"/>
        <v>8.2394171146900064E-3</v>
      </c>
      <c r="X129" s="1010">
        <f t="shared" si="257"/>
        <v>3.0997242773479261E-2</v>
      </c>
      <c r="Y129" s="1010">
        <f t="shared" si="257"/>
        <v>6.5367721263239531E-2</v>
      </c>
      <c r="Z129" s="1010">
        <f t="shared" si="257"/>
        <v>2.4467634354724099E-2</v>
      </c>
      <c r="AA129" s="1010">
        <f t="shared" si="257"/>
        <v>1.9621870020078314E-2</v>
      </c>
      <c r="AB129" s="1011">
        <f t="shared" si="257"/>
        <v>3.4749719700020165E-2</v>
      </c>
      <c r="AC129" s="1010">
        <f t="shared" si="257"/>
        <v>5.7811035096351437E-2</v>
      </c>
      <c r="AD129" s="1010">
        <f t="shared" si="257"/>
        <v>7.5480212579941641E-2</v>
      </c>
      <c r="AE129" s="1010">
        <f t="shared" si="257"/>
        <v>0.10064187513236122</v>
      </c>
      <c r="AF129" s="1010">
        <f t="shared" si="257"/>
        <v>0.10407440709215332</v>
      </c>
      <c r="AG129" s="1011">
        <f t="shared" si="257"/>
        <v>8.3459529638105101E-2</v>
      </c>
      <c r="AH129" s="1010">
        <f t="shared" si="257"/>
        <v>9.2267044410510923E-2</v>
      </c>
      <c r="AI129" s="1010">
        <f t="shared" si="257"/>
        <v>7.5807502584165132E-2</v>
      </c>
      <c r="AJ129" s="1010">
        <f t="shared" si="257"/>
        <v>8.8458474134457177E-2</v>
      </c>
      <c r="AK129" s="1010">
        <f t="shared" si="257"/>
        <v>9.0779887561027284E-2</v>
      </c>
      <c r="AL129" s="1011">
        <f t="shared" si="257"/>
        <v>8.8168768986327972E-2</v>
      </c>
      <c r="AM129" s="1010">
        <f t="shared" si="257"/>
        <v>0.12708714328908077</v>
      </c>
      <c r="AN129" s="1010">
        <f t="shared" si="257"/>
        <v>0.13269487658970691</v>
      </c>
      <c r="AO129" s="1010">
        <f t="shared" si="257"/>
        <v>9.3852350667126272E-2</v>
      </c>
      <c r="AP129" s="1010">
        <f t="shared" si="257"/>
        <v>0.11808938515142242</v>
      </c>
      <c r="AQ129" s="1011">
        <f t="shared" si="257"/>
        <v>0.11750230929052408</v>
      </c>
      <c r="AR129" s="1010">
        <f t="shared" si="257"/>
        <v>9.778909540921954E-2</v>
      </c>
      <c r="AS129" s="1010">
        <f t="shared" si="257"/>
        <v>6.7658211212361818E-2</v>
      </c>
      <c r="AT129" s="1010">
        <f t="shared" si="257"/>
        <v>4.9264507932365031E-3</v>
      </c>
      <c r="AU129" s="802"/>
      <c r="AV129" s="881"/>
      <c r="AW129" s="881"/>
      <c r="AX129" s="881"/>
      <c r="AY129" s="881"/>
      <c r="AZ129" s="885"/>
      <c r="BA129" s="1010" t="str">
        <f>IF(ISERROR(BA128/AV128-1),"nm",BA128/AV128-1)</f>
        <v>nm</v>
      </c>
      <c r="BB129" s="1010" t="str">
        <f>IF(ISERROR(BB128/AW128-1),"nm",BB128/AW128-1)</f>
        <v>nm</v>
      </c>
      <c r="BC129" s="1010" t="str">
        <f>IF(ISERROR(BC128/AX128-1),"nm",BC128/AX128-1)</f>
        <v>nm</v>
      </c>
      <c r="BD129" s="1010" t="str">
        <f>IF(ISERROR(BD128/AY128-1),"nm",BD128/AY128-1)</f>
        <v>nm</v>
      </c>
      <c r="BE129" s="1011" t="str">
        <f>IF(ISERROR(BE128/AZ128-1),"nm",BE128/AZ128-1)</f>
        <v>nm</v>
      </c>
      <c r="BF129" s="850">
        <f>BF128/BA128-1</f>
        <v>2.2655956169080227E-2</v>
      </c>
      <c r="BG129" s="850">
        <f>BG128/BB128-1</f>
        <v>5.0764081644233627E-2</v>
      </c>
      <c r="BH129" s="850">
        <f>BH128/BC128-1</f>
        <v>3.8151379326046175E-2</v>
      </c>
      <c r="BI129" s="1010" t="s">
        <v>89</v>
      </c>
      <c r="BJ129" s="851">
        <f>BJ128/BE128-1</f>
        <v>5.1268706692010557E-2</v>
      </c>
      <c r="BK129" s="850">
        <f>IF(ISERROR(BK128/BF128-1),"NM",BK128/BF128-1)</f>
        <v>4.3489652956196778E-4</v>
      </c>
      <c r="BL129" s="850">
        <f>IF(ISERROR(BL128/BG128-1),"NM",BL128/BG128-1)</f>
        <v>-2.3281214416934981E-2</v>
      </c>
      <c r="BM129" s="850">
        <f>IF(ISERROR(BM128/BH128-1),"NM",BM128/BH128-1)</f>
        <v>4.6713801673843758E-2</v>
      </c>
      <c r="BN129" s="850">
        <f>IF(ISERROR(BN128/BI128-1),"NM",BN128/BI128-1)</f>
        <v>6.2473749431188441E-2</v>
      </c>
      <c r="BO129" s="851">
        <f>IF(ISERROR(BO128/BJ128-1),"NM",BO128/BJ128-1)</f>
        <v>2.0141000746852988E-2</v>
      </c>
      <c r="BP129" s="850">
        <f t="shared" ref="BP129:CU129" si="258">BP128/BK128-1</f>
        <v>5.7166993583178449E-2</v>
      </c>
      <c r="BQ129" s="850">
        <f t="shared" si="258"/>
        <v>9.1663300589478913E-2</v>
      </c>
      <c r="BR129" s="850">
        <f t="shared" si="258"/>
        <v>2.5571714975032078E-2</v>
      </c>
      <c r="BS129" s="850">
        <f t="shared" si="258"/>
        <v>3.6703630799899356E-2</v>
      </c>
      <c r="BT129" s="851">
        <f t="shared" si="258"/>
        <v>5.2733717327950513E-2</v>
      </c>
      <c r="BU129" s="850">
        <f t="shared" si="258"/>
        <v>3.0074392856814347E-2</v>
      </c>
      <c r="BV129" s="850">
        <f t="shared" si="258"/>
        <v>3.0083667969130534E-2</v>
      </c>
      <c r="BW129" s="850">
        <f t="shared" si="258"/>
        <v>8.3610487237375075E-2</v>
      </c>
      <c r="BX129" s="850">
        <f t="shared" si="258"/>
        <v>4.2052406236851025E-2</v>
      </c>
      <c r="BY129" s="851">
        <f t="shared" si="258"/>
        <v>4.6227599445436862E-2</v>
      </c>
      <c r="BZ129" s="850">
        <f t="shared" si="258"/>
        <v>6.4634844126412627E-2</v>
      </c>
      <c r="CA129" s="850">
        <f t="shared" si="258"/>
        <v>7.2563686956432782E-3</v>
      </c>
      <c r="CB129" s="850">
        <f t="shared" si="258"/>
        <v>-4.6320324734404617E-3</v>
      </c>
      <c r="CC129" s="850">
        <f t="shared" si="258"/>
        <v>1.3523326892576515E-2</v>
      </c>
      <c r="CD129" s="851">
        <f t="shared" si="258"/>
        <v>2.0612929156903936E-2</v>
      </c>
      <c r="CE129" s="850">
        <f t="shared" si="258"/>
        <v>8.3833527398464724E-3</v>
      </c>
      <c r="CF129" s="850">
        <f t="shared" si="258"/>
        <v>2.9631464048517353E-2</v>
      </c>
      <c r="CG129" s="850">
        <f t="shared" si="258"/>
        <v>3.9059452958585927E-2</v>
      </c>
      <c r="CH129" s="850">
        <f t="shared" si="258"/>
        <v>3.6196836355994577E-2</v>
      </c>
      <c r="CI129" s="851">
        <f t="shared" si="258"/>
        <v>2.7845758763133555E-2</v>
      </c>
      <c r="CJ129" s="850">
        <f t="shared" si="258"/>
        <v>4.496134508047156E-2</v>
      </c>
      <c r="CK129" s="850">
        <f t="shared" si="258"/>
        <v>4.6206042591604213E-2</v>
      </c>
      <c r="CL129" s="850">
        <f t="shared" si="258"/>
        <v>1.1256351062080228E-2</v>
      </c>
      <c r="CM129" s="850">
        <f t="shared" si="258"/>
        <v>1.8144093117779869E-2</v>
      </c>
      <c r="CN129" s="851">
        <f t="shared" si="258"/>
        <v>3.0228328307230656E-2</v>
      </c>
      <c r="CO129" s="850">
        <f t="shared" si="258"/>
        <v>5.784530688494316E-2</v>
      </c>
      <c r="CP129" s="850">
        <f t="shared" si="258"/>
        <v>8.9319338147686445E-3</v>
      </c>
      <c r="CQ129" s="850">
        <f t="shared" si="258"/>
        <v>1.129534114278008E-2</v>
      </c>
      <c r="CR129" s="850">
        <f t="shared" si="258"/>
        <v>2.8092652575731902E-2</v>
      </c>
      <c r="CS129" s="851">
        <f t="shared" si="258"/>
        <v>2.6984004962748331E-2</v>
      </c>
      <c r="CT129" s="850">
        <f t="shared" si="258"/>
        <v>-5.5431722756781321E-3</v>
      </c>
      <c r="CU129" s="850">
        <f t="shared" si="258"/>
        <v>5.9782378327631669E-2</v>
      </c>
      <c r="CV129" s="850">
        <f t="shared" ref="CV129:DR129" si="259">CV128/CQ128-1</f>
        <v>4.4376822699663032E-2</v>
      </c>
      <c r="CW129" s="850">
        <f t="shared" si="259"/>
        <v>3.0488615311742961E-2</v>
      </c>
      <c r="CX129" s="851">
        <f t="shared" si="259"/>
        <v>3.1272962994447706E-2</v>
      </c>
      <c r="CY129" s="850">
        <f t="shared" si="259"/>
        <v>-4.2499970956361155E-3</v>
      </c>
      <c r="CZ129" s="850">
        <f t="shared" si="259"/>
        <v>3.2545656501599129E-2</v>
      </c>
      <c r="DA129" s="850">
        <f t="shared" si="259"/>
        <v>2.7829385284408481E-2</v>
      </c>
      <c r="DB129" s="850">
        <f t="shared" si="259"/>
        <v>1.0357662704543191E-2</v>
      </c>
      <c r="DC129" s="851">
        <f t="shared" si="259"/>
        <v>1.644943860185144E-2</v>
      </c>
      <c r="DD129" s="850">
        <f t="shared" si="259"/>
        <v>2.9702859078032828E-2</v>
      </c>
      <c r="DE129" s="850">
        <f t="shared" si="259"/>
        <v>-3.7478543673716502E-2</v>
      </c>
      <c r="DF129" s="850">
        <f t="shared" si="259"/>
        <v>-2.8187253674871737E-3</v>
      </c>
      <c r="DG129" s="850">
        <f t="shared" si="259"/>
        <v>7.9264456712021536E-2</v>
      </c>
      <c r="DH129" s="851">
        <f t="shared" si="259"/>
        <v>1.7356127611757755E-2</v>
      </c>
      <c r="DI129" s="850">
        <f t="shared" si="259"/>
        <v>2.8438320255410598E-2</v>
      </c>
      <c r="DJ129" s="850">
        <f t="shared" si="259"/>
        <v>5.6662736697919325E-2</v>
      </c>
      <c r="DK129" s="850">
        <f t="shared" si="259"/>
        <v>4.6601088591462503E-2</v>
      </c>
      <c r="DL129" s="850">
        <f t="shared" si="259"/>
        <v>-3.9572098109066256E-2</v>
      </c>
      <c r="DM129" s="851">
        <f t="shared" si="259"/>
        <v>2.1191218940292966E-2</v>
      </c>
      <c r="DN129" s="850">
        <f t="shared" si="259"/>
        <v>1.6532933880123446E-2</v>
      </c>
      <c r="DO129" s="850">
        <f t="shared" si="259"/>
        <v>2.7415654831344449E-2</v>
      </c>
      <c r="DP129" s="850">
        <f t="shared" si="259"/>
        <v>5.5097023650395149E-2</v>
      </c>
      <c r="DQ129" s="850">
        <f t="shared" si="259"/>
        <v>5.1105034416136785E-2</v>
      </c>
      <c r="DR129" s="851">
        <f t="shared" si="259"/>
        <v>3.7028561791572434E-2</v>
      </c>
      <c r="DS129" s="850">
        <f t="shared" ref="DS129:EG129" si="260">DS128/DN128-1</f>
        <v>1.1280158433044862E-2</v>
      </c>
      <c r="DT129" s="850">
        <f t="shared" si="260"/>
        <v>6.3510698604021254E-3</v>
      </c>
      <c r="DU129" s="850">
        <f t="shared" si="260"/>
        <v>-3.4204899196614069E-2</v>
      </c>
      <c r="DV129" s="850">
        <f t="shared" si="260"/>
        <v>7.4561060034143978E-2</v>
      </c>
      <c r="DW129" s="851">
        <f t="shared" si="260"/>
        <v>1.4707667118152523E-2</v>
      </c>
      <c r="DX129" s="850">
        <f t="shared" ca="1" si="260"/>
        <v>1.5889058269856982E-2</v>
      </c>
      <c r="DY129" s="850">
        <f t="shared" ca="1" si="260"/>
        <v>1.5443858729866866E-2</v>
      </c>
      <c r="DZ129" s="850">
        <f t="shared" si="260"/>
        <v>1.5431743105671636E-2</v>
      </c>
      <c r="EA129" s="850">
        <f t="shared" ca="1" si="260"/>
        <v>1.4926113230127047E-2</v>
      </c>
      <c r="EB129" s="851">
        <f t="shared" ca="1" si="260"/>
        <v>1.4784403781963995E-2</v>
      </c>
      <c r="EC129" s="850">
        <f t="shared" ca="1" si="260"/>
        <v>-9.729466214244642E-3</v>
      </c>
      <c r="ED129" s="850">
        <f t="shared" ca="1" si="260"/>
        <v>-9.2953033776514982E-3</v>
      </c>
      <c r="EE129" s="850">
        <f t="shared" si="260"/>
        <v>-9.2834827842197543E-3</v>
      </c>
      <c r="EF129" s="850">
        <f t="shared" ca="1" si="260"/>
        <v>-8.7899139787969149E-3</v>
      </c>
      <c r="EG129" s="851">
        <f t="shared" ca="1" si="260"/>
        <v>-8.0997950976660071E-3</v>
      </c>
      <c r="EH129" s="850">
        <f t="shared" ref="EH129" si="261">EH128/EC128-1</f>
        <v>4.9999999999998934E-3</v>
      </c>
      <c r="EI129" s="850">
        <f t="shared" ref="EI129" si="262">EI128/ED128-1</f>
        <v>4.9999999999998934E-3</v>
      </c>
      <c r="EJ129" s="850">
        <f t="shared" ref="EJ129" si="263">EJ128/EE128-1</f>
        <v>4.9999999999996714E-3</v>
      </c>
      <c r="EK129" s="850">
        <f t="shared" ref="EK129" si="264">EK128/EF128-1</f>
        <v>5.0000000000001155E-3</v>
      </c>
      <c r="EL129" s="851">
        <f t="shared" ref="EL129" si="265">EL128/EG128-1</f>
        <v>4.9169908400659157E-3</v>
      </c>
    </row>
    <row r="130" spans="1:142" s="680" customFormat="1" ht="11.25" customHeight="1">
      <c r="A130" s="1056"/>
      <c r="B130" s="1056"/>
      <c r="C130" s="901"/>
      <c r="D130" s="901"/>
      <c r="E130" s="901"/>
      <c r="F130" s="901"/>
      <c r="G130" s="901"/>
      <c r="H130" s="902"/>
      <c r="I130" s="901"/>
      <c r="J130" s="901"/>
      <c r="K130" s="901"/>
      <c r="L130" s="901"/>
      <c r="M130" s="902"/>
      <c r="N130" s="901"/>
      <c r="O130" s="901"/>
      <c r="P130" s="901"/>
      <c r="Q130" s="901"/>
      <c r="R130" s="902"/>
      <c r="S130" s="901"/>
      <c r="T130" s="901"/>
      <c r="U130" s="901"/>
      <c r="V130" s="901"/>
      <c r="W130" s="902"/>
      <c r="X130" s="901"/>
      <c r="Y130" s="901"/>
      <c r="Z130" s="901"/>
      <c r="AA130" s="901"/>
      <c r="AB130" s="902"/>
      <c r="AC130" s="901"/>
      <c r="AD130" s="901"/>
      <c r="AE130" s="901"/>
      <c r="AF130" s="901"/>
      <c r="AG130" s="902"/>
      <c r="AH130" s="901"/>
      <c r="AI130" s="901"/>
      <c r="AJ130" s="901"/>
      <c r="AK130" s="901"/>
      <c r="AL130" s="902"/>
      <c r="AM130" s="901"/>
      <c r="AN130" s="901"/>
      <c r="AO130" s="901"/>
      <c r="AP130" s="901"/>
      <c r="AQ130" s="902"/>
      <c r="AR130" s="901"/>
      <c r="AS130" s="901"/>
      <c r="AT130" s="901"/>
      <c r="AU130" s="802"/>
      <c r="AV130" s="557"/>
      <c r="AW130" s="901"/>
      <c r="AX130" s="901"/>
      <c r="AY130" s="901"/>
      <c r="AZ130" s="902"/>
      <c r="BA130" s="901"/>
      <c r="BB130" s="901"/>
      <c r="BC130" s="901"/>
      <c r="BD130" s="901"/>
      <c r="BE130" s="902"/>
      <c r="BF130" s="901"/>
      <c r="BG130" s="901"/>
      <c r="BH130" s="901"/>
      <c r="BI130" s="901"/>
      <c r="BJ130" s="902"/>
      <c r="BK130" s="930"/>
      <c r="BL130" s="930"/>
      <c r="BM130" s="930"/>
      <c r="BN130" s="930"/>
      <c r="BO130" s="844"/>
      <c r="BP130" s="930"/>
      <c r="BQ130" s="930"/>
      <c r="BR130" s="930"/>
      <c r="BS130" s="930"/>
      <c r="BT130" s="844"/>
      <c r="BU130" s="930"/>
      <c r="BV130" s="930"/>
      <c r="BW130" s="930"/>
      <c r="BX130" s="930"/>
      <c r="BY130" s="844"/>
      <c r="BZ130" s="930"/>
      <c r="CA130" s="930"/>
      <c r="CB130" s="930"/>
      <c r="CC130" s="930"/>
      <c r="CD130" s="844"/>
      <c r="CE130" s="930"/>
      <c r="CF130" s="930"/>
      <c r="CG130" s="930"/>
      <c r="CH130" s="930"/>
      <c r="CI130" s="844"/>
      <c r="CJ130" s="930"/>
      <c r="CK130" s="930"/>
      <c r="CL130" s="930"/>
      <c r="CM130" s="930"/>
      <c r="CN130" s="844"/>
      <c r="CO130" s="930"/>
      <c r="CP130" s="930"/>
      <c r="CQ130" s="930"/>
      <c r="CR130" s="930"/>
      <c r="CS130" s="844"/>
      <c r="CT130" s="930"/>
      <c r="CU130" s="930"/>
      <c r="CV130" s="930"/>
      <c r="CW130" s="930"/>
      <c r="CX130" s="844"/>
      <c r="CY130" s="930"/>
      <c r="CZ130" s="930"/>
      <c r="DA130" s="930"/>
      <c r="DB130" s="930"/>
      <c r="DC130" s="844"/>
      <c r="DD130" s="930"/>
      <c r="DE130" s="930"/>
      <c r="DF130" s="930"/>
      <c r="DG130" s="930"/>
      <c r="DH130" s="844"/>
      <c r="DI130" s="930"/>
      <c r="DJ130" s="930"/>
      <c r="DK130" s="930"/>
      <c r="DL130" s="930"/>
      <c r="DM130" s="844"/>
      <c r="DN130" s="930"/>
      <c r="DO130" s="930"/>
      <c r="DP130" s="930"/>
      <c r="DQ130" s="930"/>
      <c r="DR130" s="844"/>
      <c r="DS130" s="930"/>
      <c r="DT130" s="930"/>
      <c r="DU130" s="930"/>
      <c r="DV130" s="930"/>
      <c r="DW130" s="844"/>
      <c r="DX130" s="930"/>
      <c r="DY130" s="930"/>
      <c r="DZ130" s="930"/>
      <c r="EA130" s="930"/>
      <c r="EB130" s="844"/>
      <c r="EC130" s="930"/>
      <c r="ED130" s="930"/>
      <c r="EE130" s="930"/>
      <c r="EF130" s="930"/>
      <c r="EG130" s="844"/>
      <c r="EH130" s="930"/>
      <c r="EI130" s="930"/>
      <c r="EJ130" s="930"/>
      <c r="EK130" s="930"/>
      <c r="EL130" s="844"/>
    </row>
    <row r="131" spans="1:142" s="680" customFormat="1" ht="11.25" customHeight="1">
      <c r="A131" s="846"/>
      <c r="B131" s="846" t="s">
        <v>167</v>
      </c>
      <c r="C131" s="1166"/>
      <c r="D131" s="1166" t="str">
        <f>IF(ISERROR((D82/D91)*1000000),"nm",(D82/D91)*1000000)</f>
        <v>nm</v>
      </c>
      <c r="E131" s="1169">
        <f t="shared" ref="E131:AT131" si="266">((E73+E69)/E91)*1000000</f>
        <v>7832.5942694120549</v>
      </c>
      <c r="F131" s="1169">
        <f t="shared" si="266"/>
        <v>7834.4692993479894</v>
      </c>
      <c r="G131" s="1169">
        <f t="shared" si="266"/>
        <v>5171.9499759414821</v>
      </c>
      <c r="H131" s="1168">
        <f t="shared" si="266"/>
        <v>7595.4096312983738</v>
      </c>
      <c r="I131" s="1169">
        <f t="shared" si="266"/>
        <v>7356.0665530643892</v>
      </c>
      <c r="J131" s="1169">
        <f t="shared" si="266"/>
        <v>7380.9466631444975</v>
      </c>
      <c r="K131" s="1169">
        <f t="shared" si="266"/>
        <v>6976.4220061276155</v>
      </c>
      <c r="L131" s="1169">
        <f t="shared" si="266"/>
        <v>7390.8882832567597</v>
      </c>
      <c r="M131" s="1168">
        <f t="shared" si="266"/>
        <v>7267.7811951236845</v>
      </c>
      <c r="N131" s="1169">
        <f t="shared" si="266"/>
        <v>7143.7017517187787</v>
      </c>
      <c r="O131" s="1169">
        <f t="shared" si="266"/>
        <v>7295.0189864255417</v>
      </c>
      <c r="P131" s="1169">
        <f t="shared" si="266"/>
        <v>6684.7197409372793</v>
      </c>
      <c r="Q131" s="1169">
        <f t="shared" si="266"/>
        <v>6759.0414504989321</v>
      </c>
      <c r="R131" s="1168">
        <f t="shared" si="266"/>
        <v>6885.4683888341924</v>
      </c>
      <c r="S131" s="1169">
        <f t="shared" si="266"/>
        <v>7162.7454430654898</v>
      </c>
      <c r="T131" s="1169">
        <f t="shared" si="266"/>
        <v>6560.2696151756218</v>
      </c>
      <c r="U131" s="1169">
        <f t="shared" si="266"/>
        <v>7011.4794589393305</v>
      </c>
      <c r="V131" s="1169">
        <f t="shared" si="266"/>
        <v>7111.8013379307376</v>
      </c>
      <c r="W131" s="1168">
        <f t="shared" si="266"/>
        <v>6955.1765247614057</v>
      </c>
      <c r="X131" s="1169">
        <f t="shared" si="266"/>
        <v>7001.2608465329822</v>
      </c>
      <c r="Y131" s="1169">
        <f t="shared" si="266"/>
        <v>7120.3440619808407</v>
      </c>
      <c r="Z131" s="1169">
        <f t="shared" si="266"/>
        <v>7196.2688539686051</v>
      </c>
      <c r="AA131" s="1169">
        <f t="shared" si="266"/>
        <v>7199.8480766002185</v>
      </c>
      <c r="AB131" s="1168">
        <f t="shared" si="266"/>
        <v>7132.962359487773</v>
      </c>
      <c r="AC131" s="1169">
        <f t="shared" si="266"/>
        <v>7364.7695434973748</v>
      </c>
      <c r="AD131" s="1169">
        <f t="shared" si="266"/>
        <v>7653.1772970907004</v>
      </c>
      <c r="AE131" s="1169">
        <f t="shared" si="266"/>
        <v>7823.439334084097</v>
      </c>
      <c r="AF131" s="1169">
        <f t="shared" si="266"/>
        <v>8032.890004484454</v>
      </c>
      <c r="AG131" s="1168">
        <f t="shared" si="266"/>
        <v>7713.3416463466529</v>
      </c>
      <c r="AH131" s="1169">
        <f t="shared" si="266"/>
        <v>8330.2612461624722</v>
      </c>
      <c r="AI131" s="1169">
        <f t="shared" si="266"/>
        <v>8264.8895584769034</v>
      </c>
      <c r="AJ131" s="1169">
        <f t="shared" si="266"/>
        <v>8527.2477119100313</v>
      </c>
      <c r="AK131" s="1169">
        <f t="shared" si="266"/>
        <v>8509.6187724614192</v>
      </c>
      <c r="AL131" s="1168">
        <f t="shared" si="266"/>
        <v>8410.7675720171974</v>
      </c>
      <c r="AM131" s="1169">
        <f t="shared" si="266"/>
        <v>8906.9172867895959</v>
      </c>
      <c r="AN131" s="1169">
        <f t="shared" si="266"/>
        <v>9243.4637758861427</v>
      </c>
      <c r="AO131" s="1169">
        <f t="shared" si="266"/>
        <v>9200.1908269909236</v>
      </c>
      <c r="AP131" s="1169">
        <f t="shared" si="266"/>
        <v>9695.7024454025777</v>
      </c>
      <c r="AQ131" s="1168">
        <f t="shared" si="266"/>
        <v>9267.2389671729325</v>
      </c>
      <c r="AR131" s="1169">
        <f t="shared" si="266"/>
        <v>9823.7215448674797</v>
      </c>
      <c r="AS131" s="1169">
        <f t="shared" si="266"/>
        <v>9989.0087680683937</v>
      </c>
      <c r="AT131" s="1169">
        <f t="shared" si="266"/>
        <v>9556.065625795085</v>
      </c>
      <c r="AU131" s="802"/>
      <c r="AV131" s="1166" t="str">
        <f>IF(ISERROR((AV82/AV91)*1000000),"nm",(AV82/AV91)*1000000)</f>
        <v>nm</v>
      </c>
      <c r="AW131" s="1166" t="str">
        <f>IF(ISERROR((AW82/AW91)*1000000),"nm",(AW82/AW91)*1000000)</f>
        <v>nm</v>
      </c>
      <c r="AX131" s="1166" t="str">
        <f>IF(ISERROR((AX82/AX91)*1000000),"nm",(AX82/AX91)*1000000)</f>
        <v>nm</v>
      </c>
      <c r="AY131" s="1166" t="str">
        <f>IF(ISERROR((AY82/AY91)*1000000),"nm",(AY82/AY91)*1000000)</f>
        <v>nm</v>
      </c>
      <c r="AZ131" s="1167" t="str">
        <f>IF(ISERROR((AZ82/AZ91)*1000000),"nm",(AZ82/AZ91)*1000000)</f>
        <v>nm</v>
      </c>
      <c r="BA131" s="1169">
        <f t="shared" ref="BA131:CF131" si="267">((BA73+BA69)/BA91)*1000000</f>
        <v>9748.8438489791661</v>
      </c>
      <c r="BB131" s="1169">
        <f t="shared" si="267"/>
        <v>9661.0615374846166</v>
      </c>
      <c r="BC131" s="1169">
        <f t="shared" si="267"/>
        <v>9438.6905279964467</v>
      </c>
      <c r="BD131" s="1169">
        <f t="shared" si="267"/>
        <v>9110.6914620877687</v>
      </c>
      <c r="BE131" s="1168">
        <f t="shared" si="267"/>
        <v>9493.932201566513</v>
      </c>
      <c r="BF131" s="1169">
        <f t="shared" si="267"/>
        <v>10044.581859633507</v>
      </c>
      <c r="BG131" s="1169">
        <f t="shared" si="267"/>
        <v>10037.615670217001</v>
      </c>
      <c r="BH131" s="1169">
        <f t="shared" si="267"/>
        <v>9709.29992143241</v>
      </c>
      <c r="BI131" s="1169">
        <f t="shared" si="267"/>
        <v>9706.2996772937895</v>
      </c>
      <c r="BJ131" s="1168">
        <f t="shared" si="267"/>
        <v>9878.1481447574406</v>
      </c>
      <c r="BK131" s="1169">
        <f t="shared" si="267"/>
        <v>9708.9334273340719</v>
      </c>
      <c r="BL131" s="1169">
        <f t="shared" si="267"/>
        <v>9697.7230163463992</v>
      </c>
      <c r="BM131" s="1169">
        <f t="shared" si="267"/>
        <v>9906.8898110360442</v>
      </c>
      <c r="BN131" s="1169">
        <f t="shared" si="267"/>
        <v>10000.717218626169</v>
      </c>
      <c r="BO131" s="1168">
        <f t="shared" si="267"/>
        <v>9823.9171135452943</v>
      </c>
      <c r="BP131" s="1169">
        <f t="shared" si="267"/>
        <v>10031.882617117195</v>
      </c>
      <c r="BQ131" s="1169">
        <f t="shared" si="267"/>
        <v>10320.562939796717</v>
      </c>
      <c r="BR131" s="1169">
        <f t="shared" si="267"/>
        <v>10079.55987732667</v>
      </c>
      <c r="BS131" s="1169">
        <f t="shared" si="267"/>
        <v>10381.200019624197</v>
      </c>
      <c r="BT131" s="1168">
        <f t="shared" si="267"/>
        <v>10197.615818740636</v>
      </c>
      <c r="BU131" s="1169">
        <f t="shared" si="267"/>
        <v>10483.170622310019</v>
      </c>
      <c r="BV131" s="1169">
        <f t="shared" si="267"/>
        <v>10639.976333694902</v>
      </c>
      <c r="BW131" s="1169">
        <f t="shared" si="267"/>
        <v>10795.471759086273</v>
      </c>
      <c r="BX131" s="1169">
        <f t="shared" si="267"/>
        <v>10818.573955910708</v>
      </c>
      <c r="BY131" s="1168">
        <f t="shared" si="267"/>
        <v>10681.707299043452</v>
      </c>
      <c r="BZ131" s="1169">
        <f t="shared" si="267"/>
        <v>11070.839880085983</v>
      </c>
      <c r="CA131" s="1169">
        <f t="shared" si="267"/>
        <v>10786.509957958695</v>
      </c>
      <c r="CB131" s="1169">
        <f t="shared" si="267"/>
        <v>10778.064201577808</v>
      </c>
      <c r="CC131" s="1169">
        <f t="shared" si="267"/>
        <v>10905.81436294716</v>
      </c>
      <c r="CD131" s="1168">
        <f t="shared" si="267"/>
        <v>10888.427211688009</v>
      </c>
      <c r="CE131" s="1169">
        <f t="shared" si="267"/>
        <v>10981.544210957563</v>
      </c>
      <c r="CF131" s="1169">
        <f t="shared" si="267"/>
        <v>10935.79367428379</v>
      </c>
      <c r="CG131" s="1169">
        <f t="shared" ref="CG131:DL131" si="268">((CG73+CG69)/CG91)*1000000</f>
        <v>11031.425615223874</v>
      </c>
      <c r="CH131" s="1169">
        <f t="shared" si="268"/>
        <v>11237.640923224975</v>
      </c>
      <c r="CI131" s="1168">
        <f t="shared" si="268"/>
        <v>11045.579543301901</v>
      </c>
      <c r="CJ131" s="1169">
        <f t="shared" si="268"/>
        <v>11484.924122934628</v>
      </c>
      <c r="CK131" s="1169">
        <f t="shared" si="268"/>
        <v>11348.47147227298</v>
      </c>
      <c r="CL131" s="1169">
        <f t="shared" si="268"/>
        <v>11173.645892497547</v>
      </c>
      <c r="CM131" s="1169">
        <f t="shared" si="268"/>
        <v>11370.544776350092</v>
      </c>
      <c r="CN131" s="1168">
        <f t="shared" si="268"/>
        <v>11344.821163640569</v>
      </c>
      <c r="CO131" s="1169">
        <f t="shared" si="268"/>
        <v>11845.497039891827</v>
      </c>
      <c r="CP131" s="1169">
        <f t="shared" si="268"/>
        <v>11362.523263786854</v>
      </c>
      <c r="CQ131" s="1169">
        <f t="shared" si="268"/>
        <v>11171.235862847177</v>
      </c>
      <c r="CR131" s="1169">
        <f t="shared" si="268"/>
        <v>11542.573244986597</v>
      </c>
      <c r="CS131" s="1168">
        <f t="shared" si="268"/>
        <v>11481.668559765956</v>
      </c>
      <c r="CT131" s="1169">
        <f t="shared" si="268"/>
        <v>11697.722567287785</v>
      </c>
      <c r="CU131" s="1169">
        <f t="shared" si="268"/>
        <v>11877.196189547662</v>
      </c>
      <c r="CV131" s="1169">
        <f t="shared" si="268"/>
        <v>11578.638675686881</v>
      </c>
      <c r="CW131" s="1169">
        <f t="shared" si="268"/>
        <v>11866.294705575403</v>
      </c>
      <c r="CX131" s="1168">
        <f t="shared" si="268"/>
        <v>11754.681417639425</v>
      </c>
      <c r="CY131" s="1169">
        <f t="shared" si="268"/>
        <v>11883.742695975514</v>
      </c>
      <c r="CZ131" s="1169">
        <f t="shared" si="268"/>
        <v>12208.350388866147</v>
      </c>
      <c r="DA131" s="1169">
        <f t="shared" si="268"/>
        <v>11928.17682365916</v>
      </c>
      <c r="DB131" s="1169">
        <f t="shared" si="268"/>
        <v>11459.389693002673</v>
      </c>
      <c r="DC131" s="1168">
        <f t="shared" si="268"/>
        <v>11811.737661645231</v>
      </c>
      <c r="DD131" s="1169">
        <f t="shared" si="268"/>
        <v>11692.041629350546</v>
      </c>
      <c r="DE131" s="1169">
        <f t="shared" si="268"/>
        <v>11380.437262413743</v>
      </c>
      <c r="DF131" s="1169">
        <f t="shared" si="268"/>
        <v>11290.187311842261</v>
      </c>
      <c r="DG131" s="1169">
        <f t="shared" si="268"/>
        <v>12243.020213347136</v>
      </c>
      <c r="DH131" s="1168">
        <f t="shared" si="268"/>
        <v>11653.292946469692</v>
      </c>
      <c r="DI131" s="1169">
        <f t="shared" si="268"/>
        <v>11659.794312475668</v>
      </c>
      <c r="DJ131" s="1169">
        <f t="shared" si="268"/>
        <v>11763.796036915463</v>
      </c>
      <c r="DK131" s="1169">
        <f t="shared" si="268"/>
        <v>11687.972571013373</v>
      </c>
      <c r="DL131" s="1169">
        <f t="shared" si="268"/>
        <v>11699.113426560643</v>
      </c>
      <c r="DM131" s="1168">
        <f t="shared" ref="DM131:EG131" si="269">((DM73+DM69)/DM91)*1000000</f>
        <v>11702.495620333997</v>
      </c>
      <c r="DN131" s="1169">
        <f t="shared" si="269"/>
        <v>11837.858546548003</v>
      </c>
      <c r="DO131" s="1169">
        <f t="shared" si="269"/>
        <v>11808.186970739149</v>
      </c>
      <c r="DP131" s="1169">
        <f t="shared" si="269"/>
        <v>11763.956119082173</v>
      </c>
      <c r="DQ131" s="1169">
        <f t="shared" si="269"/>
        <v>11987.761448562973</v>
      </c>
      <c r="DR131" s="1168">
        <f t="shared" si="269"/>
        <v>11848.740221389469</v>
      </c>
      <c r="DS131" s="1169">
        <f t="shared" si="269"/>
        <v>11981.550532807889</v>
      </c>
      <c r="DT131" s="1169">
        <f t="shared" si="269"/>
        <v>12014.944256731613</v>
      </c>
      <c r="DU131" s="1169">
        <f>((DU73+DU69)/DU91)*1000000</f>
        <v>11772.920101863656</v>
      </c>
      <c r="DV131" s="1169">
        <f>((DV73+DV69)/DV91)*1000000</f>
        <v>12715.141989861169</v>
      </c>
      <c r="DW131" s="1168">
        <f t="shared" si="269"/>
        <v>12119.601469767626</v>
      </c>
      <c r="DX131" s="1169">
        <f ca="1">((DX73+DX69)/DX91)*1000000</f>
        <v>12577.957175765605</v>
      </c>
      <c r="DY131" s="1169">
        <f t="shared" ca="1" si="269"/>
        <v>12725.357654683872</v>
      </c>
      <c r="DZ131" s="1169">
        <f t="shared" ca="1" si="269"/>
        <v>12367.751494016797</v>
      </c>
      <c r="EA131" s="1169">
        <f t="shared" ca="1" si="269"/>
        <v>13616.910325476903</v>
      </c>
      <c r="EB131" s="1168">
        <f t="shared" ca="1" si="269"/>
        <v>12811.140936230799</v>
      </c>
      <c r="EC131" s="1169">
        <f t="shared" si="269"/>
        <v>12546.490089926263</v>
      </c>
      <c r="ED131" s="1169">
        <f t="shared" si="269"/>
        <v>12675.569217898121</v>
      </c>
      <c r="EE131" s="1169">
        <f t="shared" si="269"/>
        <v>12148.129861445779</v>
      </c>
      <c r="EF131" s="1169">
        <f t="shared" si="269"/>
        <v>13171.561417957868</v>
      </c>
      <c r="EG131" s="1168">
        <f t="shared" si="269"/>
        <v>12635.721243810256</v>
      </c>
      <c r="EH131" s="1169">
        <f t="shared" ref="EH131:EL131" si="270">((EH73+EH69)/EH91)*1000000</f>
        <v>12520.893609048906</v>
      </c>
      <c r="EI131" s="1169">
        <f t="shared" si="270"/>
        <v>12662.282102741963</v>
      </c>
      <c r="EJ131" s="1169">
        <f t="shared" si="270"/>
        <v>12149.603052385557</v>
      </c>
      <c r="EK131" s="1169">
        <f t="shared" si="270"/>
        <v>13188.308155317003</v>
      </c>
      <c r="EL131" s="1168">
        <f t="shared" si="270"/>
        <v>12630.172258278842</v>
      </c>
    </row>
    <row r="132" spans="1:142" s="680" customFormat="1" ht="11.25" customHeight="1">
      <c r="A132" s="1122"/>
      <c r="B132" s="1122" t="s">
        <v>133</v>
      </c>
      <c r="C132" s="1012"/>
      <c r="D132" s="1012"/>
      <c r="E132" s="1012"/>
      <c r="F132" s="1012"/>
      <c r="G132" s="1012"/>
      <c r="H132" s="1011"/>
      <c r="I132" s="1010" t="str">
        <f t="shared" ref="I132:AT132" si="271">IF(ISERROR(I131/D131-1),"nm",I131/D131-1)</f>
        <v>nm</v>
      </c>
      <c r="J132" s="1010">
        <f t="shared" si="271"/>
        <v>-5.7662581608667884E-2</v>
      </c>
      <c r="K132" s="1010">
        <f t="shared" si="271"/>
        <v>-0.10952206977079904</v>
      </c>
      <c r="L132" s="1010">
        <f t="shared" si="271"/>
        <v>0.42903321138780948</v>
      </c>
      <c r="M132" s="1011">
        <f t="shared" si="271"/>
        <v>-4.3135058157315442E-2</v>
      </c>
      <c r="N132" s="1010">
        <f t="shared" si="271"/>
        <v>-2.8869342034044454E-2</v>
      </c>
      <c r="O132" s="1010">
        <f t="shared" si="271"/>
        <v>-1.1641823283728758E-2</v>
      </c>
      <c r="P132" s="1010">
        <f t="shared" si="271"/>
        <v>-4.181258887924566E-2</v>
      </c>
      <c r="Q132" s="1010">
        <f t="shared" si="271"/>
        <v>-8.5489972049666463E-2</v>
      </c>
      <c r="R132" s="1011">
        <f t="shared" si="271"/>
        <v>-5.2603785945840587E-2</v>
      </c>
      <c r="S132" s="1010">
        <f t="shared" si="271"/>
        <v>2.6658015701914728E-3</v>
      </c>
      <c r="T132" s="1010">
        <f t="shared" si="271"/>
        <v>-0.10071932267991768</v>
      </c>
      <c r="U132" s="1010">
        <f t="shared" si="271"/>
        <v>4.8881588258812503E-2</v>
      </c>
      <c r="V132" s="1010">
        <f t="shared" si="271"/>
        <v>5.2190815815423841E-2</v>
      </c>
      <c r="W132" s="1011">
        <f t="shared" si="271"/>
        <v>1.0123949743238381E-2</v>
      </c>
      <c r="X132" s="1010">
        <f t="shared" si="271"/>
        <v>-2.2545069878037727E-2</v>
      </c>
      <c r="Y132" s="1010">
        <f t="shared" si="271"/>
        <v>8.5373693408822726E-2</v>
      </c>
      <c r="Z132" s="1010">
        <f t="shared" si="271"/>
        <v>2.6355264407667445E-2</v>
      </c>
      <c r="AA132" s="1010">
        <f t="shared" si="271"/>
        <v>1.2380370947636665E-2</v>
      </c>
      <c r="AB132" s="1011">
        <f t="shared" si="271"/>
        <v>2.5561656716177383E-2</v>
      </c>
      <c r="AC132" s="1010">
        <f t="shared" si="271"/>
        <v>5.1920461890003988E-2</v>
      </c>
      <c r="AD132" s="1010">
        <f t="shared" si="271"/>
        <v>7.4832512371828974E-2</v>
      </c>
      <c r="AE132" s="1010">
        <f t="shared" si="271"/>
        <v>8.7152174667518123E-2</v>
      </c>
      <c r="AF132" s="1010">
        <f t="shared" si="271"/>
        <v>0.11570270914349612</v>
      </c>
      <c r="AG132" s="1011">
        <f t="shared" si="271"/>
        <v>8.1365813754351146E-2</v>
      </c>
      <c r="AH132" s="1010">
        <f t="shared" si="271"/>
        <v>0.13109598297173686</v>
      </c>
      <c r="AI132" s="1010">
        <f t="shared" si="271"/>
        <v>7.9929189882840035E-2</v>
      </c>
      <c r="AJ132" s="1010">
        <f t="shared" si="271"/>
        <v>8.9961505134918962E-2</v>
      </c>
      <c r="AK132" s="1010">
        <f t="shared" si="271"/>
        <v>5.9347105177691484E-2</v>
      </c>
      <c r="AL132" s="1011">
        <f t="shared" si="271"/>
        <v>9.0418129735102992E-2</v>
      </c>
      <c r="AM132" s="1010">
        <f t="shared" si="271"/>
        <v>6.9224244424840098E-2</v>
      </c>
      <c r="AN132" s="1010">
        <f t="shared" si="271"/>
        <v>0.1184013664653949</v>
      </c>
      <c r="AO132" s="1010">
        <f t="shared" si="271"/>
        <v>7.8916801506890843E-2</v>
      </c>
      <c r="AP132" s="1010">
        <f t="shared" si="271"/>
        <v>0.13938152867429587</v>
      </c>
      <c r="AQ132" s="1011">
        <f t="shared" si="271"/>
        <v>0.10183034875499763</v>
      </c>
      <c r="AR132" s="1010">
        <f t="shared" si="271"/>
        <v>0.10293171347146712</v>
      </c>
      <c r="AS132" s="1010">
        <f t="shared" si="271"/>
        <v>8.0656451981473642E-2</v>
      </c>
      <c r="AT132" s="1010">
        <f t="shared" si="271"/>
        <v>3.8681241019492552E-2</v>
      </c>
      <c r="AU132" s="802"/>
      <c r="AV132" s="850"/>
      <c r="AW132" s="881"/>
      <c r="AX132" s="881"/>
      <c r="AY132" s="881"/>
      <c r="AZ132" s="885"/>
      <c r="BA132" s="1010" t="str">
        <f>IF(ISERROR(BA131/AV131-1),"nm",BA131/AV131-1)</f>
        <v>nm</v>
      </c>
      <c r="BB132" s="1010" t="str">
        <f>IF(ISERROR(BB131/AW131-1),"nm",BB131/AW131-1)</f>
        <v>nm</v>
      </c>
      <c r="BC132" s="1010" t="str">
        <f>IF(ISERROR(BC131/AX131-1),"nm",BC131/AX131-1)</f>
        <v>nm</v>
      </c>
      <c r="BD132" s="1010" t="str">
        <f>IF(ISERROR(BD131/AY131-1),"nm",BD131/AY131-1)</f>
        <v>nm</v>
      </c>
      <c r="BE132" s="1011" t="str">
        <f>IF(ISERROR(BE131/AZ131-1),"nm",BE131/AZ131-1)</f>
        <v>nm</v>
      </c>
      <c r="BF132" s="850">
        <f>BF131/BA131-1</f>
        <v>3.0335700851881864E-2</v>
      </c>
      <c r="BG132" s="850">
        <f>BG131/BB131-1</f>
        <v>3.8976475956743029E-2</v>
      </c>
      <c r="BH132" s="850">
        <f>BH131/BC131-1</f>
        <v>2.8670226302398572E-2</v>
      </c>
      <c r="BI132" s="1010" t="s">
        <v>89</v>
      </c>
      <c r="BJ132" s="851">
        <f>BJ131/BE131-1</f>
        <v>4.0469632080112339E-2</v>
      </c>
      <c r="BK132" s="850">
        <f>IF(ISERROR(BK131/BF131-1),"NM",BK131/BF131-1)</f>
        <v>-3.3415869071495741E-2</v>
      </c>
      <c r="BL132" s="850">
        <f>IF(ISERROR(BL131/BG131-1),"NM",BL131/BG131-1)</f>
        <v>-3.3861891612279038E-2</v>
      </c>
      <c r="BM132" s="850">
        <f>IF(ISERROR(BM131/BH131-1),"NM",BM131/BH131-1)</f>
        <v>2.0350580495249959E-2</v>
      </c>
      <c r="BN132" s="850">
        <f>IF(ISERROR(BN131/BI131-1),"NM",BN131/BI131-1)</f>
        <v>3.0332624287411791E-2</v>
      </c>
      <c r="BO132" s="851">
        <f>IF(ISERROR(BO131/BJ131-1),"NM",BO131/BJ131-1)</f>
        <v>-5.4899997871491468E-3</v>
      </c>
      <c r="BP132" s="850">
        <f t="shared" ref="BP132:CU132" si="272">BP131/BK131-1</f>
        <v>3.3263096528595826E-2</v>
      </c>
      <c r="BQ132" s="850">
        <f t="shared" si="272"/>
        <v>6.4225377689222984E-2</v>
      </c>
      <c r="BR132" s="850">
        <f t="shared" si="272"/>
        <v>1.7429291087731169E-2</v>
      </c>
      <c r="BS132" s="850">
        <f t="shared" si="272"/>
        <v>3.8045551401991951E-2</v>
      </c>
      <c r="BT132" s="851">
        <f t="shared" si="272"/>
        <v>3.8039684259966178E-2</v>
      </c>
      <c r="BU132" s="850">
        <f t="shared" si="272"/>
        <v>4.4985375369404723E-2</v>
      </c>
      <c r="BV132" s="850">
        <f t="shared" si="272"/>
        <v>3.0949222029983181E-2</v>
      </c>
      <c r="BW132" s="850">
        <f t="shared" si="272"/>
        <v>7.1026105353072078E-2</v>
      </c>
      <c r="BX132" s="850">
        <f t="shared" si="272"/>
        <v>4.2131346613081044E-2</v>
      </c>
      <c r="BY132" s="851">
        <f t="shared" si="272"/>
        <v>4.7471045086163954E-2</v>
      </c>
      <c r="BZ132" s="850">
        <f t="shared" si="272"/>
        <v>5.6058350946354141E-2</v>
      </c>
      <c r="CA132" s="850">
        <f t="shared" si="272"/>
        <v>1.3771987800362595E-2</v>
      </c>
      <c r="CB132" s="850">
        <f t="shared" si="272"/>
        <v>-1.6124869664739805E-3</v>
      </c>
      <c r="CC132" s="850">
        <f t="shared" si="272"/>
        <v>8.063947003734917E-3</v>
      </c>
      <c r="CD132" s="851">
        <f t="shared" si="272"/>
        <v>1.9352703351370515E-2</v>
      </c>
      <c r="CE132" s="850">
        <f t="shared" si="272"/>
        <v>-8.0658441541587855E-3</v>
      </c>
      <c r="CF132" s="850">
        <f t="shared" si="272"/>
        <v>1.3839853382321188E-2</v>
      </c>
      <c r="CG132" s="850">
        <f t="shared" si="272"/>
        <v>2.3507135317395456E-2</v>
      </c>
      <c r="CH132" s="850">
        <f t="shared" si="272"/>
        <v>3.0426573315350591E-2</v>
      </c>
      <c r="CI132" s="851">
        <f t="shared" si="272"/>
        <v>1.4432968927339695E-2</v>
      </c>
      <c r="CJ132" s="850">
        <f t="shared" si="272"/>
        <v>4.5838718335694972E-2</v>
      </c>
      <c r="CK132" s="850">
        <f t="shared" si="272"/>
        <v>3.7736428674548739E-2</v>
      </c>
      <c r="CL132" s="850">
        <f t="shared" si="272"/>
        <v>1.2892284482016736E-2</v>
      </c>
      <c r="CM132" s="850">
        <f t="shared" si="272"/>
        <v>1.182666842917568E-2</v>
      </c>
      <c r="CN132" s="851">
        <f t="shared" si="272"/>
        <v>2.7091527354047074E-2</v>
      </c>
      <c r="CO132" s="850">
        <f t="shared" si="272"/>
        <v>3.1395324261408009E-2</v>
      </c>
      <c r="CP132" s="850">
        <f t="shared" si="272"/>
        <v>1.238210057469491E-3</v>
      </c>
      <c r="CQ132" s="850">
        <f t="shared" si="272"/>
        <v>-2.1568874417143835E-4</v>
      </c>
      <c r="CR132" s="850">
        <f t="shared" si="272"/>
        <v>1.5129307523972901E-2</v>
      </c>
      <c r="CS132" s="851">
        <f t="shared" si="272"/>
        <v>1.2062543265465964E-2</v>
      </c>
      <c r="CT132" s="850">
        <f t="shared" si="272"/>
        <v>-1.247516014789285E-2</v>
      </c>
      <c r="CU132" s="850">
        <f t="shared" si="272"/>
        <v>4.5295654302518029E-2</v>
      </c>
      <c r="CV132" s="850">
        <f t="shared" ref="CV132:DR132" si="273">CV131/CQ131-1</f>
        <v>3.6468911572678175E-2</v>
      </c>
      <c r="CW132" s="850">
        <f t="shared" si="273"/>
        <v>2.8045865832336148E-2</v>
      </c>
      <c r="CX132" s="851">
        <f t="shared" si="273"/>
        <v>2.3778151794954239E-2</v>
      </c>
      <c r="CY132" s="850">
        <f t="shared" si="273"/>
        <v>1.5902251709057236E-2</v>
      </c>
      <c r="CZ132" s="850">
        <f t="shared" si="273"/>
        <v>2.7881512945783671E-2</v>
      </c>
      <c r="DA132" s="850">
        <f t="shared" si="273"/>
        <v>3.0188190318629404E-2</v>
      </c>
      <c r="DB132" s="850">
        <f t="shared" si="273"/>
        <v>-3.4290823097587908E-2</v>
      </c>
      <c r="DC132" s="851">
        <f t="shared" si="273"/>
        <v>4.8539166633803088E-3</v>
      </c>
      <c r="DD132" s="850">
        <f t="shared" si="273"/>
        <v>-1.6131371364165314E-2</v>
      </c>
      <c r="DE132" s="850">
        <f t="shared" si="273"/>
        <v>-6.7815314934559057E-2</v>
      </c>
      <c r="DF132" s="850">
        <f t="shared" si="273"/>
        <v>-5.3485920040308832E-2</v>
      </c>
      <c r="DG132" s="850">
        <f t="shared" si="273"/>
        <v>6.8383268336093206E-2</v>
      </c>
      <c r="DH132" s="851">
        <f t="shared" si="273"/>
        <v>-1.3414174926186906E-2</v>
      </c>
      <c r="DI132" s="850">
        <f t="shared" si="273"/>
        <v>-2.7580569670507815E-3</v>
      </c>
      <c r="DJ132" s="850">
        <f t="shared" si="273"/>
        <v>3.3685768451783504E-2</v>
      </c>
      <c r="DK132" s="850">
        <f t="shared" si="273"/>
        <v>3.5232830792264691E-2</v>
      </c>
      <c r="DL132" s="850">
        <f t="shared" si="273"/>
        <v>-4.4425866927307212E-2</v>
      </c>
      <c r="DM132" s="851">
        <f t="shared" si="273"/>
        <v>4.2222120468713431E-3</v>
      </c>
      <c r="DN132" s="850">
        <f t="shared" si="273"/>
        <v>1.5271644533369821E-2</v>
      </c>
      <c r="DO132" s="850">
        <f t="shared" si="273"/>
        <v>3.773521207302899E-3</v>
      </c>
      <c r="DP132" s="850">
        <f t="shared" si="273"/>
        <v>6.5010032841146259E-3</v>
      </c>
      <c r="DQ132" s="850">
        <f t="shared" si="273"/>
        <v>2.4672640693183423E-2</v>
      </c>
      <c r="DR132" s="851">
        <f t="shared" si="273"/>
        <v>1.2496872957709959E-2</v>
      </c>
      <c r="DS132" s="850">
        <f t="shared" ref="DS132:EG132" si="274">DS131/DN131-1</f>
        <v>1.2138342901705679E-2</v>
      </c>
      <c r="DT132" s="850">
        <f t="shared" si="274"/>
        <v>1.7509655504677424E-2</v>
      </c>
      <c r="DU132" s="850">
        <f t="shared" si="274"/>
        <v>7.6198709777086648E-4</v>
      </c>
      <c r="DV132" s="850">
        <f t="shared" si="274"/>
        <v>6.0676928250469331E-2</v>
      </c>
      <c r="DW132" s="851">
        <f t="shared" si="274"/>
        <v>2.285991956251987E-2</v>
      </c>
      <c r="DX132" s="850">
        <f t="shared" ca="1" si="274"/>
        <v>4.9777083635764496E-2</v>
      </c>
      <c r="DY132" s="850">
        <f t="shared" ca="1" si="274"/>
        <v>5.912748180702021E-2</v>
      </c>
      <c r="DZ132" s="850">
        <f t="shared" ca="1" si="274"/>
        <v>5.0525391067504088E-2</v>
      </c>
      <c r="EA132" s="850">
        <f t="shared" ca="1" si="274"/>
        <v>7.0920823089100304E-2</v>
      </c>
      <c r="EB132" s="851">
        <f t="shared" ca="1" si="274"/>
        <v>5.7059587989606753E-2</v>
      </c>
      <c r="EC132" s="850">
        <f t="shared" ca="1" si="274"/>
        <v>-2.5017644280083129E-3</v>
      </c>
      <c r="ED132" s="850">
        <f t="shared" ca="1" si="274"/>
        <v>-3.9125373240433969E-3</v>
      </c>
      <c r="EE132" s="850">
        <f t="shared" ca="1" si="274"/>
        <v>-1.7757603932878618E-2</v>
      </c>
      <c r="EF132" s="850">
        <f t="shared" ca="1" si="274"/>
        <v>-3.270557688007969E-2</v>
      </c>
      <c r="EG132" s="851">
        <f t="shared" ca="1" si="274"/>
        <v>-1.3692745501256876E-2</v>
      </c>
      <c r="EH132" s="850">
        <f t="shared" ref="EH132" si="275">EH131/EC131-1</f>
        <v>-2.0401308010364883E-3</v>
      </c>
      <c r="EI132" s="850">
        <f t="shared" ref="EI132" si="276">EI131/ED131-1</f>
        <v>-1.0482460335899946E-3</v>
      </c>
      <c r="EJ132" s="850">
        <f t="shared" ref="EJ132" si="277">EJ131/EE131-1</f>
        <v>1.2126894893116358E-4</v>
      </c>
      <c r="EK132" s="850">
        <f t="shared" ref="EK132" si="278">EK131/EF131-1</f>
        <v>1.2714314444377539E-3</v>
      </c>
      <c r="EL132" s="851">
        <f t="shared" ref="EL132" si="279">EL131/EG131-1</f>
        <v>-4.3915067643107708E-4</v>
      </c>
    </row>
    <row r="133" spans="1:142" s="680" customFormat="1" ht="11.25" customHeight="1">
      <c r="A133" s="1056"/>
      <c r="B133" s="1056"/>
      <c r="C133" s="901"/>
      <c r="D133" s="901"/>
      <c r="E133" s="901"/>
      <c r="F133" s="901"/>
      <c r="G133" s="901"/>
      <c r="H133" s="902"/>
      <c r="I133" s="901"/>
      <c r="J133" s="901"/>
      <c r="K133" s="901"/>
      <c r="L133" s="901"/>
      <c r="M133" s="902"/>
      <c r="N133" s="901"/>
      <c r="O133" s="901"/>
      <c r="P133" s="901"/>
      <c r="Q133" s="901"/>
      <c r="R133" s="902"/>
      <c r="S133" s="901"/>
      <c r="T133" s="901"/>
      <c r="U133" s="901"/>
      <c r="V133" s="901"/>
      <c r="W133" s="902"/>
      <c r="X133" s="901"/>
      <c r="Y133" s="901"/>
      <c r="Z133" s="901"/>
      <c r="AA133" s="901"/>
      <c r="AB133" s="902"/>
      <c r="AC133" s="901"/>
      <c r="AD133" s="901"/>
      <c r="AE133" s="901"/>
      <c r="AF133" s="901"/>
      <c r="AG133" s="902"/>
      <c r="AH133" s="901"/>
      <c r="AI133" s="901"/>
      <c r="AJ133" s="901"/>
      <c r="AK133" s="901"/>
      <c r="AL133" s="902"/>
      <c r="AM133" s="901"/>
      <c r="AN133" s="901"/>
      <c r="AO133" s="901"/>
      <c r="AP133" s="901"/>
      <c r="AQ133" s="902"/>
      <c r="AR133" s="901"/>
      <c r="AS133" s="901"/>
      <c r="AT133" s="901"/>
      <c r="AU133" s="802"/>
      <c r="AV133" s="557"/>
      <c r="AW133" s="901"/>
      <c r="AX133" s="901"/>
      <c r="AY133" s="901"/>
      <c r="AZ133" s="902"/>
      <c r="BA133" s="901"/>
      <c r="BB133" s="901"/>
      <c r="BC133" s="901"/>
      <c r="BD133" s="901"/>
      <c r="BE133" s="902"/>
      <c r="BF133" s="901"/>
      <c r="BG133" s="901"/>
      <c r="BH133" s="901"/>
      <c r="BI133" s="901"/>
      <c r="BJ133" s="902"/>
      <c r="BK133" s="930"/>
      <c r="BL133" s="930"/>
      <c r="BM133" s="930"/>
      <c r="BN133" s="930"/>
      <c r="BO133" s="844"/>
      <c r="BP133" s="930"/>
      <c r="BQ133" s="930"/>
      <c r="BR133" s="930"/>
      <c r="BS133" s="930"/>
      <c r="BT133" s="844"/>
      <c r="BU133" s="930"/>
      <c r="BV133" s="930"/>
      <c r="BW133" s="930"/>
      <c r="BX133" s="930"/>
      <c r="BY133" s="844"/>
      <c r="BZ133" s="930"/>
      <c r="CA133" s="930"/>
      <c r="CB133" s="930"/>
      <c r="CC133" s="930"/>
      <c r="CD133" s="844"/>
      <c r="CE133" s="930"/>
      <c r="CF133" s="930"/>
      <c r="CG133" s="930"/>
      <c r="CH133" s="930"/>
      <c r="CI133" s="844"/>
      <c r="CJ133" s="930"/>
      <c r="CK133" s="930"/>
      <c r="CL133" s="930"/>
      <c r="CM133" s="930"/>
      <c r="CN133" s="844"/>
      <c r="CO133" s="930"/>
      <c r="CP133" s="930"/>
      <c r="CQ133" s="930"/>
      <c r="CR133" s="930"/>
      <c r="CS133" s="844"/>
      <c r="CT133" s="930"/>
      <c r="CU133" s="930"/>
      <c r="CV133" s="930"/>
      <c r="CW133" s="930"/>
      <c r="CX133" s="844"/>
      <c r="CY133" s="930"/>
      <c r="CZ133" s="930"/>
      <c r="DA133" s="930"/>
      <c r="DB133" s="930"/>
      <c r="DC133" s="844"/>
      <c r="DD133" s="930"/>
      <c r="DE133" s="930"/>
      <c r="DF133" s="930"/>
      <c r="DG133" s="930"/>
      <c r="DH133" s="844"/>
      <c r="DI133" s="930"/>
      <c r="DJ133" s="930"/>
      <c r="DK133" s="930"/>
      <c r="DL133" s="930"/>
      <c r="DM133" s="844"/>
      <c r="DN133" s="930"/>
      <c r="DO133" s="930"/>
      <c r="DP133" s="930"/>
      <c r="DQ133" s="930"/>
      <c r="DR133" s="844"/>
      <c r="DS133" s="930"/>
      <c r="DT133" s="930"/>
      <c r="DU133" s="930"/>
      <c r="DV133" s="930"/>
      <c r="DW133" s="844"/>
      <c r="DX133" s="930"/>
      <c r="DY133" s="930"/>
      <c r="DZ133" s="930"/>
      <c r="EA133" s="930"/>
      <c r="EB133" s="844"/>
      <c r="EC133" s="930"/>
      <c r="ED133" s="930"/>
      <c r="EE133" s="930"/>
      <c r="EF133" s="930"/>
      <c r="EG133" s="844"/>
      <c r="EH133" s="930"/>
      <c r="EI133" s="930"/>
      <c r="EJ133" s="930"/>
      <c r="EK133" s="930"/>
      <c r="EL133" s="844"/>
    </row>
    <row r="134" spans="1:142" s="680" customFormat="1" ht="11.25" customHeight="1">
      <c r="A134" s="846"/>
      <c r="B134" s="846" t="s">
        <v>168</v>
      </c>
      <c r="C134" s="1169"/>
      <c r="D134" s="1169">
        <f t="shared" ref="D134:AT134" si="280">D73*1000000/D108</f>
        <v>381.79896646439175</v>
      </c>
      <c r="E134" s="1169">
        <f t="shared" si="280"/>
        <v>374.84256969591911</v>
      </c>
      <c r="F134" s="1169">
        <f t="shared" si="280"/>
        <v>365.56953553401797</v>
      </c>
      <c r="G134" s="1169">
        <f t="shared" si="280"/>
        <v>312.01432162744504</v>
      </c>
      <c r="H134" s="1168">
        <f t="shared" si="280"/>
        <v>342.82560148169722</v>
      </c>
      <c r="I134" s="1169">
        <f t="shared" si="280"/>
        <v>285.66803544379422</v>
      </c>
      <c r="J134" s="1169">
        <f t="shared" si="280"/>
        <v>281.00027451565279</v>
      </c>
      <c r="K134" s="1169">
        <f t="shared" si="280"/>
        <v>278.31833783255968</v>
      </c>
      <c r="L134" s="1169">
        <f t="shared" si="280"/>
        <v>276.74025244110823</v>
      </c>
      <c r="M134" s="1168">
        <f t="shared" si="280"/>
        <v>280.23638259753454</v>
      </c>
      <c r="N134" s="1169">
        <f t="shared" si="280"/>
        <v>266.4295519375367</v>
      </c>
      <c r="O134" s="1169">
        <f t="shared" si="280"/>
        <v>263.43718381504323</v>
      </c>
      <c r="P134" s="1169">
        <f t="shared" si="280"/>
        <v>244.15113405492369</v>
      </c>
      <c r="Q134" s="1169">
        <f t="shared" si="280"/>
        <v>246.20456352836021</v>
      </c>
      <c r="R134" s="1168">
        <f t="shared" si="280"/>
        <v>251.5687789041524</v>
      </c>
      <c r="S134" s="1169">
        <f t="shared" si="280"/>
        <v>277.12706332409954</v>
      </c>
      <c r="T134" s="1169">
        <f t="shared" si="280"/>
        <v>287.18637941974731</v>
      </c>
      <c r="U134" s="1169">
        <f t="shared" si="280"/>
        <v>285.58051141789542</v>
      </c>
      <c r="V134" s="1169">
        <f t="shared" si="280"/>
        <v>295.41247744564606</v>
      </c>
      <c r="W134" s="1168">
        <f t="shared" si="280"/>
        <v>286.26476106745417</v>
      </c>
      <c r="X134" s="1169">
        <f t="shared" si="280"/>
        <v>324.70912507002316</v>
      </c>
      <c r="Y134" s="1169">
        <f t="shared" si="280"/>
        <v>324.49224485024359</v>
      </c>
      <c r="Z134" s="1169">
        <f t="shared" si="280"/>
        <v>340.16759682341632</v>
      </c>
      <c r="AA134" s="1169">
        <f t="shared" si="280"/>
        <v>330.14170060447094</v>
      </c>
      <c r="AB134" s="1168">
        <f t="shared" si="280"/>
        <v>329.88174490353418</v>
      </c>
      <c r="AC134" s="1169">
        <f t="shared" si="280"/>
        <v>365.35569320977129</v>
      </c>
      <c r="AD134" s="1169">
        <f t="shared" si="280"/>
        <v>359.4170543610652</v>
      </c>
      <c r="AE134" s="1169">
        <f t="shared" si="280"/>
        <v>357.97072474888017</v>
      </c>
      <c r="AF134" s="1169">
        <f t="shared" si="280"/>
        <v>380.5171724700615</v>
      </c>
      <c r="AG134" s="1168">
        <f t="shared" si="280"/>
        <v>365.87579713275835</v>
      </c>
      <c r="AH134" s="1169">
        <f t="shared" si="280"/>
        <v>400.61163557167765</v>
      </c>
      <c r="AI134" s="1169">
        <f t="shared" si="280"/>
        <v>392.24156011291558</v>
      </c>
      <c r="AJ134" s="1169">
        <f t="shared" si="280"/>
        <v>389.77824595277997</v>
      </c>
      <c r="AK134" s="1169">
        <f t="shared" si="280"/>
        <v>408.62297935290155</v>
      </c>
      <c r="AL134" s="1168">
        <f t="shared" si="280"/>
        <v>397.94051700458476</v>
      </c>
      <c r="AM134" s="1169">
        <f t="shared" si="280"/>
        <v>431.48480108853619</v>
      </c>
      <c r="AN134" s="1169">
        <f t="shared" si="280"/>
        <v>445.20098365708458</v>
      </c>
      <c r="AO134" s="1169">
        <f t="shared" si="280"/>
        <v>434.31917594349426</v>
      </c>
      <c r="AP134" s="1169">
        <f t="shared" si="280"/>
        <v>451.14595117751117</v>
      </c>
      <c r="AQ134" s="1168">
        <f t="shared" si="280"/>
        <v>440.73739614964171</v>
      </c>
      <c r="AR134" s="1169">
        <f t="shared" si="280"/>
        <v>481.69391399917572</v>
      </c>
      <c r="AS134" s="1169">
        <f t="shared" si="280"/>
        <v>485.51207231314078</v>
      </c>
      <c r="AT134" s="1169">
        <f t="shared" si="280"/>
        <v>484.6244863222098</v>
      </c>
      <c r="AU134" s="802"/>
      <c r="AV134" s="1166" t="str">
        <f>IF(ISERROR(AV73*1000000/AV108),"nm",AV73*1000000/AV108)</f>
        <v>nm</v>
      </c>
      <c r="AW134" s="1166" t="str">
        <f>IF(ISERROR(AW73*1000000/AW108),"nm",AW73*1000000/AW108)</f>
        <v>nm</v>
      </c>
      <c r="AX134" s="1166" t="str">
        <f>IF(ISERROR(AX73*1000000/AX108),"nm",AX73*1000000/AX108)</f>
        <v>nm</v>
      </c>
      <c r="AY134" s="1166" t="str">
        <f>IF(ISERROR(AY73*1000000/AY108),"nm",AY73*1000000/AY108)</f>
        <v>nm</v>
      </c>
      <c r="AZ134" s="1167" t="str">
        <f>IF(ISERROR(AZ73*1000000/AZ108),"nm",AZ73*1000000/AZ108)</f>
        <v>nm</v>
      </c>
      <c r="BA134" s="1169">
        <f t="shared" ref="BA134:CF134" si="281">BA73*1000000/BA108</f>
        <v>472.67786489726961</v>
      </c>
      <c r="BB134" s="1169">
        <f t="shared" si="281"/>
        <v>472.80045209794707</v>
      </c>
      <c r="BC134" s="1169">
        <f t="shared" si="281"/>
        <v>473.27924651685765</v>
      </c>
      <c r="BD134" s="1169">
        <f t="shared" si="281"/>
        <v>460.85006746567188</v>
      </c>
      <c r="BE134" s="1168">
        <f t="shared" si="281"/>
        <v>470.03143194286622</v>
      </c>
      <c r="BF134" s="1169">
        <f t="shared" si="281"/>
        <v>513.8599083065327</v>
      </c>
      <c r="BG134" s="1169">
        <f t="shared" si="281"/>
        <v>515.9709867069754</v>
      </c>
      <c r="BH134" s="1169">
        <f t="shared" si="281"/>
        <v>560.71807752095413</v>
      </c>
      <c r="BI134" s="1169">
        <f t="shared" si="281"/>
        <v>528.89554905506213</v>
      </c>
      <c r="BJ134" s="1168">
        <f t="shared" si="281"/>
        <v>528.79445080956282</v>
      </c>
      <c r="BK134" s="1169">
        <f t="shared" si="281"/>
        <v>515.20321823979259</v>
      </c>
      <c r="BL134" s="1169">
        <f t="shared" si="281"/>
        <v>541.81233618002182</v>
      </c>
      <c r="BM134" s="1169">
        <f t="shared" si="281"/>
        <v>568.14078336021566</v>
      </c>
      <c r="BN134" s="1169">
        <f t="shared" si="281"/>
        <v>533.86325438375854</v>
      </c>
      <c r="BO134" s="1168">
        <f t="shared" si="281"/>
        <v>539.22697118436895</v>
      </c>
      <c r="BP134" s="1169">
        <f t="shared" si="281"/>
        <v>540.62900230337266</v>
      </c>
      <c r="BQ134" s="1169">
        <f t="shared" si="281"/>
        <v>583.53184495780476</v>
      </c>
      <c r="BR134" s="1169">
        <f t="shared" si="281"/>
        <v>592.99447934513614</v>
      </c>
      <c r="BS134" s="1169">
        <f t="shared" si="281"/>
        <v>591.75763433944815</v>
      </c>
      <c r="BT134" s="1168">
        <f t="shared" si="281"/>
        <v>575.80334310378623</v>
      </c>
      <c r="BU134" s="1169">
        <f t="shared" si="281"/>
        <v>614.20467506048556</v>
      </c>
      <c r="BV134" s="1169">
        <f t="shared" si="281"/>
        <v>635.81456711227702</v>
      </c>
      <c r="BW134" s="1169">
        <f t="shared" si="281"/>
        <v>651.020280177627</v>
      </c>
      <c r="BX134" s="1169">
        <f t="shared" si="281"/>
        <v>658.29829889735038</v>
      </c>
      <c r="BY134" s="1168">
        <f t="shared" si="281"/>
        <v>639.37782090925441</v>
      </c>
      <c r="BZ134" s="1169">
        <f t="shared" si="281"/>
        <v>665.33858720270416</v>
      </c>
      <c r="CA134" s="1169">
        <f t="shared" si="281"/>
        <v>689.11537128404825</v>
      </c>
      <c r="CB134" s="1169">
        <f t="shared" si="281"/>
        <v>692.22765949905238</v>
      </c>
      <c r="CC134" s="1169">
        <f t="shared" si="281"/>
        <v>691.09668801951136</v>
      </c>
      <c r="CD134" s="1168">
        <f t="shared" si="281"/>
        <v>684.10875049624133</v>
      </c>
      <c r="CE134" s="1169">
        <f t="shared" si="281"/>
        <v>685.05333556941252</v>
      </c>
      <c r="CF134" s="1169">
        <f t="shared" si="281"/>
        <v>704.48825250785774</v>
      </c>
      <c r="CG134" s="1169">
        <f t="shared" ref="CG134:DR134" si="282">CG73*1000000/CG108</f>
        <v>711.87026089191625</v>
      </c>
      <c r="CH134" s="1169">
        <f t="shared" si="282"/>
        <v>711.09482876610127</v>
      </c>
      <c r="CI134" s="1168">
        <f t="shared" si="282"/>
        <v>703.13335065837703</v>
      </c>
      <c r="CJ134" s="1169">
        <f t="shared" si="282"/>
        <v>740.88454898915438</v>
      </c>
      <c r="CK134" s="1169">
        <f t="shared" si="282"/>
        <v>741.37306742348085</v>
      </c>
      <c r="CL134" s="1169">
        <f t="shared" si="282"/>
        <v>751.81038809394556</v>
      </c>
      <c r="CM134" s="1169">
        <f t="shared" si="282"/>
        <v>730.12631185195039</v>
      </c>
      <c r="CN134" s="1168">
        <f t="shared" si="282"/>
        <v>740.98502255626818</v>
      </c>
      <c r="CO134" s="1169">
        <f t="shared" si="282"/>
        <v>726.97092419207786</v>
      </c>
      <c r="CP134" s="1169">
        <f t="shared" si="282"/>
        <v>742.30238462126488</v>
      </c>
      <c r="CQ134" s="1169">
        <f t="shared" si="282"/>
        <v>743.42815587277858</v>
      </c>
      <c r="CR134" s="1169">
        <f t="shared" si="282"/>
        <v>749.4274923809902</v>
      </c>
      <c r="CS134" s="1168">
        <f t="shared" si="282"/>
        <v>740.5129367205393</v>
      </c>
      <c r="CT134" s="1169">
        <f t="shared" si="282"/>
        <v>742.52794900403353</v>
      </c>
      <c r="CU134" s="1169">
        <f t="shared" si="282"/>
        <v>755.65932470232178</v>
      </c>
      <c r="CV134" s="1169">
        <f t="shared" si="282"/>
        <v>762.1450567793238</v>
      </c>
      <c r="CW134" s="1169">
        <f t="shared" si="282"/>
        <v>779.30781139801752</v>
      </c>
      <c r="CX134" s="1168">
        <f t="shared" si="282"/>
        <v>759.99840657107052</v>
      </c>
      <c r="CY134" s="1169">
        <f t="shared" si="282"/>
        <v>770.77026779763537</v>
      </c>
      <c r="CZ134" s="1169">
        <f t="shared" si="282"/>
        <v>786.79086278516513</v>
      </c>
      <c r="DA134" s="1169">
        <f t="shared" si="282"/>
        <v>788.67223995049562</v>
      </c>
      <c r="DB134" s="1169">
        <f t="shared" si="282"/>
        <v>723.46941169194815</v>
      </c>
      <c r="DC134" s="1168">
        <f t="shared" si="282"/>
        <v>760.45312680432733</v>
      </c>
      <c r="DD134" s="1169">
        <f t="shared" si="282"/>
        <v>691.07613286939841</v>
      </c>
      <c r="DE134" s="1169">
        <f t="shared" si="282"/>
        <v>700.85394794223373</v>
      </c>
      <c r="DF134" s="1169">
        <f t="shared" si="282"/>
        <v>678.1170088310505</v>
      </c>
      <c r="DG134" s="1169">
        <f t="shared" si="282"/>
        <v>717.43636073763082</v>
      </c>
      <c r="DH134" s="1168">
        <f t="shared" si="282"/>
        <v>697.01654225231221</v>
      </c>
      <c r="DI134" s="1169">
        <f t="shared" si="282"/>
        <v>658.16950568300467</v>
      </c>
      <c r="DJ134" s="1169">
        <f t="shared" si="282"/>
        <v>719.32786469656139</v>
      </c>
      <c r="DK134" s="1169">
        <f t="shared" si="282"/>
        <v>729.58463278055058</v>
      </c>
      <c r="DL134" s="1169">
        <f t="shared" si="282"/>
        <v>735.21215829809307</v>
      </c>
      <c r="DM134" s="1168">
        <f t="shared" si="282"/>
        <v>710.48732097829634</v>
      </c>
      <c r="DN134" s="1169">
        <f t="shared" si="282"/>
        <v>776.74525269616277</v>
      </c>
      <c r="DO134" s="1169">
        <f t="shared" si="282"/>
        <v>720.65099464645164</v>
      </c>
      <c r="DP134" s="1169">
        <f t="shared" si="282"/>
        <v>784.69376453649352</v>
      </c>
      <c r="DQ134" s="1169">
        <f t="shared" si="282"/>
        <v>817.33903133263846</v>
      </c>
      <c r="DR134" s="1168">
        <f t="shared" si="282"/>
        <v>773.18507430205432</v>
      </c>
      <c r="DS134" s="1169">
        <f>DS73*1000000/DS108</f>
        <v>728.07513456699689</v>
      </c>
      <c r="DT134" s="1169">
        <f>DT73*1000000/DT108</f>
        <v>764.51697755827331</v>
      </c>
      <c r="DU134" s="1169">
        <f>DU73*1000000/DU108</f>
        <v>764.22795607619116</v>
      </c>
      <c r="DV134" s="1169">
        <f>DV73*1000000/DV108</f>
        <v>766.97104322533028</v>
      </c>
      <c r="DW134" s="1168">
        <f t="shared" ref="DW134" si="283">DW73*1000000/DW108</f>
        <v>755.461913710305</v>
      </c>
      <c r="DX134" s="1266"/>
      <c r="DY134" s="1266"/>
      <c r="DZ134" s="1266"/>
      <c r="EA134" s="1266"/>
      <c r="EB134" s="1168"/>
      <c r="EC134" s="1266"/>
      <c r="ED134" s="1266"/>
      <c r="EE134" s="1266"/>
      <c r="EF134" s="1266"/>
      <c r="EG134" s="1168"/>
      <c r="EH134" s="1266"/>
      <c r="EI134" s="1266"/>
      <c r="EJ134" s="1266"/>
      <c r="EK134" s="1266"/>
      <c r="EL134" s="1168"/>
    </row>
    <row r="135" spans="1:142" s="680" customFormat="1" ht="11.25" customHeight="1">
      <c r="A135" s="1122"/>
      <c r="B135" s="1122" t="s">
        <v>133</v>
      </c>
      <c r="C135" s="1012"/>
      <c r="D135" s="1012"/>
      <c r="E135" s="1012"/>
      <c r="F135" s="1012"/>
      <c r="G135" s="1012"/>
      <c r="H135" s="1011"/>
      <c r="I135" s="1010">
        <f t="shared" ref="I135:AT135" si="284">IF(ISERROR(I134/D134-1),"nm",I134/D134-1)</f>
        <v>-0.25178415727734327</v>
      </c>
      <c r="J135" s="1010">
        <f t="shared" si="284"/>
        <v>-0.25035122146450262</v>
      </c>
      <c r="K135" s="1010">
        <f t="shared" si="284"/>
        <v>-0.2386719603809524</v>
      </c>
      <c r="L135" s="1010">
        <f t="shared" si="284"/>
        <v>-0.11305272463888749</v>
      </c>
      <c r="M135" s="1011">
        <f t="shared" si="284"/>
        <v>-0.18256868394207193</v>
      </c>
      <c r="N135" s="1010">
        <f t="shared" si="284"/>
        <v>-6.7345593903671896E-2</v>
      </c>
      <c r="O135" s="1010">
        <f t="shared" si="284"/>
        <v>-6.2502041077654669E-2</v>
      </c>
      <c r="P135" s="1010">
        <f t="shared" si="284"/>
        <v>-0.12276303474545569</v>
      </c>
      <c r="Q135" s="1010">
        <f t="shared" si="284"/>
        <v>-0.11034061233736203</v>
      </c>
      <c r="R135" s="1011">
        <f t="shared" si="284"/>
        <v>-0.10229793657647068</v>
      </c>
      <c r="S135" s="1010">
        <f t="shared" si="284"/>
        <v>4.0151369503750978E-2</v>
      </c>
      <c r="T135" s="1010">
        <f t="shared" si="284"/>
        <v>9.0151265894863775E-2</v>
      </c>
      <c r="U135" s="1010">
        <f t="shared" si="284"/>
        <v>0.16968742546840621</v>
      </c>
      <c r="V135" s="1010">
        <f t="shared" si="284"/>
        <v>0.1998659700376253</v>
      </c>
      <c r="W135" s="1011">
        <f t="shared" si="284"/>
        <v>0.13791847428142479</v>
      </c>
      <c r="X135" s="1010">
        <f t="shared" si="284"/>
        <v>0.17169763636645086</v>
      </c>
      <c r="Y135" s="1010">
        <f t="shared" si="284"/>
        <v>0.1299012352391915</v>
      </c>
      <c r="Z135" s="1010">
        <f t="shared" si="284"/>
        <v>0.19114429459663862</v>
      </c>
      <c r="AA135" s="1010">
        <f t="shared" si="284"/>
        <v>0.11756180192224552</v>
      </c>
      <c r="AB135" s="1011">
        <f t="shared" si="284"/>
        <v>0.15236588559987752</v>
      </c>
      <c r="AC135" s="1010">
        <f t="shared" si="284"/>
        <v>0.12517839814628773</v>
      </c>
      <c r="AD135" s="1010">
        <f t="shared" si="284"/>
        <v>0.10762910382323554</v>
      </c>
      <c r="AE135" s="1010">
        <f t="shared" si="284"/>
        <v>5.2336342707872907E-2</v>
      </c>
      <c r="AF135" s="1010">
        <f t="shared" si="284"/>
        <v>0.15258742465237174</v>
      </c>
      <c r="AG135" s="1011">
        <f t="shared" si="284"/>
        <v>0.10911198568975</v>
      </c>
      <c r="AH135" s="1010">
        <f t="shared" si="284"/>
        <v>9.649758582429957E-2</v>
      </c>
      <c r="AI135" s="1010">
        <f t="shared" si="284"/>
        <v>9.1327067966216591E-2</v>
      </c>
      <c r="AJ135" s="1010">
        <f t="shared" si="284"/>
        <v>8.8855090667576464E-2</v>
      </c>
      <c r="AK135" s="1010">
        <f t="shared" si="284"/>
        <v>7.3862124803451223E-2</v>
      </c>
      <c r="AL135" s="1011">
        <f t="shared" si="284"/>
        <v>8.7638264468725469E-2</v>
      </c>
      <c r="AM135" s="1010">
        <f t="shared" si="284"/>
        <v>7.7065074439992554E-2</v>
      </c>
      <c r="AN135" s="1010">
        <f t="shared" si="284"/>
        <v>0.13501736921738594</v>
      </c>
      <c r="AO135" s="1010">
        <f t="shared" si="284"/>
        <v>0.11427248814729962</v>
      </c>
      <c r="AP135" s="1010">
        <f t="shared" si="284"/>
        <v>0.10406407366504289</v>
      </c>
      <c r="AQ135" s="1011">
        <f t="shared" si="284"/>
        <v>0.1075459203481004</v>
      </c>
      <c r="AR135" s="1010">
        <f t="shared" si="284"/>
        <v>0.11636357244559625</v>
      </c>
      <c r="AS135" s="1010">
        <f t="shared" si="284"/>
        <v>9.0545821181531316E-2</v>
      </c>
      <c r="AT135" s="1010">
        <f t="shared" si="284"/>
        <v>0.11582567191382864</v>
      </c>
      <c r="AU135" s="802"/>
      <c r="AV135" s="881"/>
      <c r="AW135" s="881"/>
      <c r="AX135" s="881"/>
      <c r="AY135" s="881"/>
      <c r="AZ135" s="885"/>
      <c r="BA135" s="1010" t="str">
        <f>IF(ISERROR(BA134/AV134-1),"nm",BA134/AV134-1)</f>
        <v>nm</v>
      </c>
      <c r="BB135" s="1010" t="str">
        <f>IF(ISERROR(BB134/AW134-1),"nm",BB134/AW134-1)</f>
        <v>nm</v>
      </c>
      <c r="BC135" s="1010" t="str">
        <f>IF(ISERROR(BC134/AX134-1),"nm",BC134/AX134-1)</f>
        <v>nm</v>
      </c>
      <c r="BD135" s="1010" t="str">
        <f>IF(ISERROR(BD134/AY134-1),"nm",BD134/AY134-1)</f>
        <v>nm</v>
      </c>
      <c r="BE135" s="1011" t="str">
        <f>IF(ISERROR(BE134/AZ134-1),"nm",BE134/AZ134-1)</f>
        <v>nm</v>
      </c>
      <c r="BF135" s="850">
        <f>BF134/BA134-1</f>
        <v>8.7124967060205893E-2</v>
      </c>
      <c r="BG135" s="850">
        <f>BG134/BB134-1</f>
        <v>9.1308150018615031E-2</v>
      </c>
      <c r="BH135" s="850">
        <f>BH134/BC134-1</f>
        <v>0.18475103577351137</v>
      </c>
      <c r="BI135" s="850">
        <f>BI134/BD134-1</f>
        <v>0.14765210291405428</v>
      </c>
      <c r="BJ135" s="851">
        <f>BJ134/BE134-1</f>
        <v>0.12501933886378769</v>
      </c>
      <c r="BK135" s="850">
        <f>IF(ISERROR(BK134/BF134-1),"NM",BK134/BF134-1)</f>
        <v>2.6141559431769323E-3</v>
      </c>
      <c r="BL135" s="850">
        <f>IF(ISERROR(BL134/BG134-1),"NM",BL134/BG134-1)</f>
        <v>5.0082950667382997E-2</v>
      </c>
      <c r="BM135" s="850">
        <f>IF(ISERROR(BM134/BH134-1),"NM",BM134/BH134-1)</f>
        <v>1.3237857199251968E-2</v>
      </c>
      <c r="BN135" s="850">
        <f>IF(ISERROR(BN134/BI134-1),"NM",BN134/BI134-1)</f>
        <v>9.3926018806016476E-3</v>
      </c>
      <c r="BO135" s="851">
        <f>IF(ISERROR(BO134/BJ134-1),"NM",BO134/BJ134-1)</f>
        <v>1.9728876426056141E-2</v>
      </c>
      <c r="BP135" s="850">
        <f t="shared" ref="BP135:DR135" si="285">BP134/BK134-1</f>
        <v>4.9350980668265265E-2</v>
      </c>
      <c r="BQ135" s="850">
        <f t="shared" si="285"/>
        <v>7.6999924128566377E-2</v>
      </c>
      <c r="BR135" s="850">
        <f t="shared" si="285"/>
        <v>4.3745664301593656E-2</v>
      </c>
      <c r="BS135" s="850">
        <f t="shared" si="285"/>
        <v>0.10844421203425481</v>
      </c>
      <c r="BT135" s="851">
        <f t="shared" si="285"/>
        <v>6.7831124691482447E-2</v>
      </c>
      <c r="BU135" s="850">
        <f t="shared" si="285"/>
        <v>0.13609272244670678</v>
      </c>
      <c r="BV135" s="850">
        <f t="shared" si="285"/>
        <v>8.9597033317440955E-2</v>
      </c>
      <c r="BW135" s="850">
        <f t="shared" si="285"/>
        <v>9.7852177134213347E-2</v>
      </c>
      <c r="BX135" s="850">
        <f t="shared" si="285"/>
        <v>0.11244580668938653</v>
      </c>
      <c r="BY135" s="851">
        <f t="shared" si="285"/>
        <v>0.11041005330531606</v>
      </c>
      <c r="BZ135" s="850">
        <f t="shared" si="285"/>
        <v>8.3252235319086543E-2</v>
      </c>
      <c r="CA135" s="850">
        <f t="shared" si="285"/>
        <v>8.3830737653355802E-2</v>
      </c>
      <c r="CB135" s="850">
        <f t="shared" si="285"/>
        <v>6.3296613909143096E-2</v>
      </c>
      <c r="CC135" s="850">
        <f t="shared" si="285"/>
        <v>4.982298933036633E-2</v>
      </c>
      <c r="CD135" s="851">
        <f t="shared" si="285"/>
        <v>6.996008951855015E-2</v>
      </c>
      <c r="CE135" s="850">
        <f t="shared" si="285"/>
        <v>2.9631151335435701E-2</v>
      </c>
      <c r="CF135" s="850">
        <f t="shared" si="285"/>
        <v>2.2308138614242079E-2</v>
      </c>
      <c r="CG135" s="850">
        <f t="shared" si="285"/>
        <v>2.8375926797086892E-2</v>
      </c>
      <c r="CH135" s="850">
        <f t="shared" si="285"/>
        <v>2.8936820409165787E-2</v>
      </c>
      <c r="CI135" s="851">
        <f t="shared" si="285"/>
        <v>2.7809321468751147E-2</v>
      </c>
      <c r="CJ135" s="850">
        <f t="shared" si="285"/>
        <v>8.1499075357884809E-2</v>
      </c>
      <c r="CK135" s="850">
        <f t="shared" si="285"/>
        <v>5.2356891380827886E-2</v>
      </c>
      <c r="CL135" s="850">
        <f t="shared" si="285"/>
        <v>5.6105907770311436E-2</v>
      </c>
      <c r="CM135" s="850">
        <f t="shared" si="285"/>
        <v>2.6763635897722349E-2</v>
      </c>
      <c r="CN135" s="851">
        <f t="shared" si="285"/>
        <v>5.3832849576042507E-2</v>
      </c>
      <c r="CO135" s="850">
        <f t="shared" si="285"/>
        <v>-1.8779747554541371E-2</v>
      </c>
      <c r="CP135" s="850">
        <f t="shared" si="285"/>
        <v>1.2535081710125517E-3</v>
      </c>
      <c r="CQ135" s="850">
        <f t="shared" si="285"/>
        <v>-1.1149396648293619E-2</v>
      </c>
      <c r="CR135" s="850">
        <f t="shared" si="285"/>
        <v>2.6435399212066057E-2</v>
      </c>
      <c r="CS135" s="851">
        <f t="shared" si="285"/>
        <v>-6.3710577320474915E-4</v>
      </c>
      <c r="CT135" s="850">
        <f t="shared" si="285"/>
        <v>2.1399789584769291E-2</v>
      </c>
      <c r="CU135" s="850">
        <f t="shared" si="285"/>
        <v>1.7993933951689911E-2</v>
      </c>
      <c r="CV135" s="850">
        <f t="shared" si="285"/>
        <v>2.5176475707422874E-2</v>
      </c>
      <c r="CW135" s="850">
        <f t="shared" si="285"/>
        <v>3.9870860517933648E-2</v>
      </c>
      <c r="CX135" s="851">
        <f t="shared" si="285"/>
        <v>2.6313476624493903E-2</v>
      </c>
      <c r="CY135" s="850">
        <f t="shared" si="285"/>
        <v>3.8035361270217116E-2</v>
      </c>
      <c r="CZ135" s="850">
        <f t="shared" si="285"/>
        <v>4.1197848111127477E-2</v>
      </c>
      <c r="DA135" s="850">
        <f t="shared" si="285"/>
        <v>3.4805950567035726E-2</v>
      </c>
      <c r="DB135" s="850">
        <f t="shared" si="285"/>
        <v>-7.1651276798957775E-2</v>
      </c>
      <c r="DC135" s="851">
        <f t="shared" si="285"/>
        <v>5.9831735083282211E-4</v>
      </c>
      <c r="DD135" s="850">
        <f t="shared" si="285"/>
        <v>-0.10339544512524002</v>
      </c>
      <c r="DE135" s="850">
        <f t="shared" si="285"/>
        <v>-0.10922459691349595</v>
      </c>
      <c r="DF135" s="850">
        <f t="shared" si="285"/>
        <v>-0.14017893051032781</v>
      </c>
      <c r="DG135" s="850">
        <f t="shared" si="285"/>
        <v>-8.3390546397920096E-3</v>
      </c>
      <c r="DH135" s="851">
        <f t="shared" si="285"/>
        <v>-8.3419453896647622E-2</v>
      </c>
      <c r="DI135" s="850">
        <f t="shared" si="285"/>
        <v>-4.76165007316387E-2</v>
      </c>
      <c r="DJ135" s="850">
        <f t="shared" si="285"/>
        <v>2.6359153442123917E-2</v>
      </c>
      <c r="DK135" s="850">
        <f t="shared" si="285"/>
        <v>7.5897851372613179E-2</v>
      </c>
      <c r="DL135" s="850">
        <f t="shared" si="285"/>
        <v>2.4776828347794044E-2</v>
      </c>
      <c r="DM135" s="851">
        <f t="shared" si="285"/>
        <v>1.9326340064261815E-2</v>
      </c>
      <c r="DN135" s="850">
        <f t="shared" si="285"/>
        <v>0.18015989192648485</v>
      </c>
      <c r="DO135" s="850">
        <f t="shared" si="285"/>
        <v>1.8393976027168968E-3</v>
      </c>
      <c r="DP135" s="850">
        <f t="shared" si="285"/>
        <v>7.553494040288955E-2</v>
      </c>
      <c r="DQ135" s="850">
        <f t="shared" si="285"/>
        <v>0.11170499849275739</v>
      </c>
      <c r="DR135" s="1570">
        <f t="shared" si="285"/>
        <v>8.824612554299649E-2</v>
      </c>
      <c r="DS135" s="850">
        <f>DS134/DN134-1</f>
        <v>-6.2659048073003154E-2</v>
      </c>
      <c r="DT135" s="850">
        <f>DT134/DO134-1</f>
        <v>6.0869940148132518E-2</v>
      </c>
      <c r="DU135" s="850">
        <f>DU134/DP134-1</f>
        <v>-2.6081268114053646E-2</v>
      </c>
      <c r="DV135" s="850">
        <f>DV134/DQ134-1</f>
        <v>-6.1624351923075582E-2</v>
      </c>
      <c r="DW135" s="1570">
        <f t="shared" ref="DW135" si="286">DW134/DR134-1</f>
        <v>-2.2922274602555914E-2</v>
      </c>
      <c r="DX135" s="1165"/>
      <c r="DY135" s="1165"/>
      <c r="DZ135" s="1165"/>
      <c r="EA135" s="1165"/>
      <c r="EB135" s="851"/>
      <c r="EC135" s="1165"/>
      <c r="ED135" s="1165"/>
      <c r="EE135" s="1165"/>
      <c r="EF135" s="1165"/>
      <c r="EG135" s="851"/>
      <c r="EH135" s="1165"/>
      <c r="EI135" s="1165"/>
      <c r="EJ135" s="1165"/>
      <c r="EK135" s="1165"/>
      <c r="EL135" s="851"/>
    </row>
    <row r="136" spans="1:142" ht="11.25" customHeight="1">
      <c r="A136" s="1451"/>
      <c r="B136" s="1451" t="s">
        <v>665</v>
      </c>
      <c r="C136" s="1452"/>
      <c r="D136" s="1452"/>
      <c r="E136" s="1452"/>
      <c r="F136" s="1452"/>
      <c r="G136" s="1452"/>
      <c r="H136" s="1453"/>
      <c r="I136" s="1452"/>
      <c r="J136" s="1452"/>
      <c r="K136" s="1452"/>
      <c r="L136" s="1452"/>
      <c r="M136" s="1453"/>
      <c r="N136" s="1452"/>
      <c r="O136" s="1452"/>
      <c r="P136" s="1452"/>
      <c r="Q136" s="1452"/>
      <c r="R136" s="1453"/>
      <c r="S136" s="1452"/>
      <c r="T136" s="1452"/>
      <c r="U136" s="1452"/>
      <c r="V136" s="1452"/>
      <c r="W136" s="1453"/>
      <c r="X136" s="1452"/>
      <c r="Y136" s="1452"/>
      <c r="Z136" s="1452"/>
      <c r="AA136" s="1452"/>
      <c r="AB136" s="1453"/>
      <c r="AC136" s="1452"/>
      <c r="AD136" s="1452"/>
      <c r="AE136" s="1452"/>
      <c r="AF136" s="1452"/>
      <c r="AG136" s="1453"/>
      <c r="AH136" s="1452"/>
      <c r="AI136" s="1452"/>
      <c r="AJ136" s="1452"/>
      <c r="AK136" s="1452"/>
      <c r="AL136" s="1453"/>
      <c r="AM136" s="1454"/>
      <c r="AN136" s="1452"/>
      <c r="AO136" s="1452"/>
      <c r="AP136" s="1452"/>
      <c r="AQ136" s="1453"/>
      <c r="AR136" s="1452"/>
      <c r="AS136" s="1452"/>
      <c r="AT136" s="1452"/>
      <c r="AU136" s="1453"/>
      <c r="AV136" s="1452"/>
      <c r="AW136" s="1455"/>
      <c r="AX136" s="1455"/>
      <c r="AY136" s="1455"/>
      <c r="AZ136" s="1456"/>
      <c r="BA136" s="1455"/>
      <c r="BB136" s="1455"/>
      <c r="BC136" s="1455"/>
      <c r="BD136" s="1455"/>
      <c r="BE136" s="1456"/>
      <c r="BF136" s="1455"/>
      <c r="BG136" s="1455"/>
      <c r="BH136" s="1455"/>
      <c r="BI136" s="1455"/>
      <c r="BJ136" s="1456"/>
      <c r="BK136" s="1457"/>
      <c r="BL136" s="1457"/>
      <c r="BM136" s="1457"/>
      <c r="BN136" s="1457"/>
      <c r="BO136" s="1458"/>
      <c r="BP136" s="1457"/>
      <c r="BQ136" s="1457"/>
      <c r="BR136" s="1457"/>
      <c r="BS136" s="1457"/>
      <c r="BT136" s="1458"/>
      <c r="BU136" s="1457"/>
      <c r="BV136" s="1457"/>
      <c r="BW136" s="1457"/>
      <c r="BX136" s="1457"/>
      <c r="BY136" s="1458"/>
      <c r="BZ136" s="1457"/>
      <c r="CA136" s="1457"/>
      <c r="CB136" s="1457"/>
      <c r="CC136" s="1457"/>
      <c r="CD136" s="1458"/>
      <c r="CE136" s="1457"/>
      <c r="CF136" s="1457"/>
      <c r="CG136" s="1457"/>
      <c r="CH136" s="1457"/>
      <c r="CI136" s="1458"/>
      <c r="CJ136" s="1457"/>
      <c r="CK136" s="1457"/>
      <c r="CL136" s="1457"/>
      <c r="CM136" s="1457"/>
      <c r="CN136" s="1458"/>
      <c r="CO136" s="1457"/>
      <c r="CP136" s="1457"/>
      <c r="CQ136" s="1457"/>
      <c r="CR136" s="1457"/>
      <c r="CS136" s="1458"/>
      <c r="CT136" s="1457"/>
      <c r="CU136" s="1457"/>
      <c r="CV136" s="1457"/>
      <c r="CW136" s="1457"/>
      <c r="CX136" s="1458"/>
      <c r="CY136" s="1457"/>
      <c r="CZ136" s="1457"/>
      <c r="DA136" s="1457"/>
      <c r="DB136" s="1457"/>
      <c r="DC136" s="1458"/>
      <c r="DD136" s="1457"/>
      <c r="DE136" s="1457"/>
      <c r="DF136" s="1457"/>
      <c r="DG136" s="1457"/>
      <c r="DH136" s="1458"/>
      <c r="DI136" s="1457"/>
      <c r="DJ136" s="1457"/>
      <c r="DK136" s="1457"/>
      <c r="DL136" s="1457"/>
      <c r="DM136" s="1458"/>
      <c r="DN136" s="1457"/>
      <c r="DO136" s="1457"/>
      <c r="DP136" s="1457"/>
      <c r="DQ136" s="1457"/>
      <c r="DR136" s="1458"/>
      <c r="DS136" s="1457"/>
      <c r="DT136" s="1457"/>
      <c r="DU136" s="1457"/>
      <c r="DV136" s="1457"/>
      <c r="DW136" s="1458"/>
      <c r="DX136" s="1457"/>
      <c r="DY136" s="1457"/>
      <c r="DZ136" s="1457"/>
      <c r="EA136" s="1457"/>
      <c r="EB136" s="1458"/>
      <c r="EC136" s="1457"/>
      <c r="ED136" s="1457"/>
      <c r="EE136" s="1457"/>
      <c r="EF136" s="1457"/>
      <c r="EG136" s="1458"/>
      <c r="EH136" s="1457"/>
      <c r="EI136" s="1457"/>
      <c r="EJ136" s="1457"/>
      <c r="EK136" s="1457"/>
      <c r="EL136" s="1458"/>
    </row>
    <row r="137" spans="1:142" ht="11.25" customHeight="1">
      <c r="A137" s="520"/>
      <c r="B137" s="520" t="s">
        <v>138</v>
      </c>
      <c r="C137" s="10"/>
      <c r="D137" s="10"/>
      <c r="E137" s="10"/>
      <c r="F137" s="10"/>
      <c r="G137" s="10"/>
      <c r="H137" s="492"/>
      <c r="I137" s="10"/>
      <c r="J137" s="10"/>
      <c r="K137" s="10"/>
      <c r="L137" s="10"/>
      <c r="M137" s="492"/>
      <c r="N137" s="10"/>
      <c r="O137" s="10"/>
      <c r="P137" s="10"/>
      <c r="Q137" s="10"/>
      <c r="R137" s="492"/>
      <c r="S137" s="10"/>
      <c r="T137" s="10"/>
      <c r="U137" s="10"/>
      <c r="V137" s="10"/>
      <c r="W137" s="492"/>
      <c r="X137" s="10"/>
      <c r="Y137" s="10"/>
      <c r="Z137" s="10"/>
      <c r="AA137" s="10"/>
      <c r="AB137" s="492"/>
      <c r="AC137" s="10"/>
      <c r="AD137" s="10"/>
      <c r="AE137" s="10"/>
      <c r="AF137" s="10"/>
      <c r="AG137" s="492"/>
      <c r="AH137" s="10"/>
      <c r="AI137" s="10"/>
      <c r="AJ137" s="10"/>
      <c r="AK137" s="10"/>
      <c r="AL137" s="492"/>
      <c r="AM137" s="10"/>
      <c r="AN137" s="10"/>
      <c r="AO137" s="10"/>
      <c r="AP137" s="10"/>
      <c r="AQ137" s="492"/>
      <c r="AR137" s="10"/>
      <c r="AS137" s="10"/>
      <c r="AT137" s="10"/>
      <c r="AU137" s="137"/>
      <c r="AV137" s="8"/>
      <c r="AW137" s="521"/>
      <c r="AX137" s="521"/>
      <c r="AY137" s="521"/>
      <c r="AZ137" s="522"/>
      <c r="BA137" s="521"/>
      <c r="BB137" s="521"/>
      <c r="BC137" s="521"/>
      <c r="BD137" s="521"/>
      <c r="BE137" s="522"/>
      <c r="BF137" s="521"/>
      <c r="BG137" s="521"/>
      <c r="BH137" s="521"/>
      <c r="BI137" s="521"/>
      <c r="BJ137" s="522"/>
      <c r="BK137" s="524"/>
      <c r="BL137" s="524"/>
      <c r="BM137" s="524"/>
      <c r="BN137" s="524"/>
      <c r="BO137" s="523"/>
      <c r="BP137" s="524"/>
      <c r="BQ137" s="524"/>
      <c r="BR137" s="524"/>
      <c r="BS137" s="524"/>
      <c r="BT137" s="523"/>
      <c r="BU137" s="524"/>
      <c r="BV137" s="524"/>
      <c r="BW137" s="524"/>
      <c r="BX137" s="524"/>
      <c r="BY137" s="523"/>
      <c r="BZ137" s="524"/>
      <c r="CA137" s="524"/>
      <c r="CB137" s="524"/>
      <c r="CC137" s="524"/>
      <c r="CD137" s="523"/>
      <c r="CE137" s="524"/>
      <c r="CF137" s="524"/>
      <c r="CG137" s="524"/>
      <c r="CH137" s="524"/>
      <c r="CI137" s="523"/>
      <c r="CJ137" s="524"/>
      <c r="CK137" s="524"/>
      <c r="CL137" s="524"/>
      <c r="CM137" s="524"/>
      <c r="CN137" s="523"/>
      <c r="CO137" s="524"/>
      <c r="CP137" s="524"/>
      <c r="CQ137" s="524"/>
      <c r="CR137" s="524"/>
      <c r="CS137" s="523"/>
      <c r="CT137" s="524"/>
      <c r="CU137" s="524"/>
      <c r="CV137" s="524"/>
      <c r="CW137" s="524"/>
      <c r="CX137" s="523"/>
      <c r="CY137" s="524"/>
      <c r="CZ137" s="524"/>
      <c r="DA137" s="524"/>
      <c r="DB137" s="524"/>
      <c r="DC137" s="523"/>
      <c r="DD137" s="524"/>
      <c r="DE137" s="524"/>
      <c r="DF137" s="524"/>
      <c r="DG137" s="524"/>
      <c r="DH137" s="523"/>
      <c r="DI137" s="524"/>
      <c r="DJ137" s="524"/>
      <c r="DK137" s="524"/>
      <c r="DL137" s="524"/>
      <c r="DM137" s="523"/>
      <c r="DN137" s="524"/>
      <c r="DO137" s="524"/>
      <c r="DP137" s="524"/>
      <c r="DQ137" s="524"/>
      <c r="DR137" s="523"/>
      <c r="DS137" s="524"/>
      <c r="DT137" s="524"/>
      <c r="DU137" s="524"/>
      <c r="DV137" s="524"/>
      <c r="DW137" s="523"/>
      <c r="DX137" s="524"/>
      <c r="DY137" s="524"/>
      <c r="DZ137" s="524"/>
      <c r="EA137" s="524"/>
      <c r="EB137" s="523"/>
      <c r="EC137" s="524"/>
      <c r="ED137" s="524"/>
      <c r="EE137" s="524"/>
      <c r="EF137" s="524"/>
      <c r="EG137" s="523"/>
      <c r="EH137" s="524"/>
      <c r="EI137" s="524"/>
      <c r="EJ137" s="524"/>
      <c r="EK137" s="524"/>
      <c r="EL137" s="523"/>
    </row>
    <row r="138" spans="1:142" ht="11.25" customHeight="1">
      <c r="A138" s="804"/>
      <c r="B138" s="804" t="s">
        <v>139</v>
      </c>
      <c r="C138" s="1119"/>
      <c r="D138" s="1119" t="str">
        <f>IF(ISERROR(#REF!*#REF!/1000000),"nm",#REF!*#REF!/1000000)</f>
        <v>nm</v>
      </c>
      <c r="E138" s="1119" t="str">
        <f>IF(ISERROR(#REF!*#REF!/1000000),"nm",#REF!*#REF!/1000000)</f>
        <v>nm</v>
      </c>
      <c r="F138" s="1119" t="str">
        <f>IF(ISERROR(#REF!*#REF!/1000000),"nm",#REF!*#REF!/1000000)</f>
        <v>nm</v>
      </c>
      <c r="G138" s="1119" t="str">
        <f>IF(ISERROR(#REF!*#REF!/1000000),"nm",#REF!*#REF!/1000000)</f>
        <v>nm</v>
      </c>
      <c r="H138" s="1120" t="str">
        <f>IF(ISERROR(#REF!*#REF!/1000000),"nm",#REF!*#REF!/1000000)</f>
        <v>nm</v>
      </c>
      <c r="I138" s="1119" t="str">
        <f>IF(ISERROR(#REF!*#REF!/1000000),"nm",#REF!*#REF!/1000000)</f>
        <v>nm</v>
      </c>
      <c r="J138" s="1119" t="str">
        <f>IF(ISERROR(#REF!*#REF!/1000000),"nm",#REF!*#REF!/1000000)</f>
        <v>nm</v>
      </c>
      <c r="K138" s="1119" t="str">
        <f>IF(ISERROR(#REF!*#REF!/1000000),"nm",#REF!*#REF!/1000000)</f>
        <v>nm</v>
      </c>
      <c r="L138" s="1119" t="str">
        <f>IF(ISERROR(#REF!*#REF!/1000000),"nm",#REF!*#REF!/1000000)</f>
        <v>nm</v>
      </c>
      <c r="M138" s="924" t="e">
        <f>#REF!*#REF!/1000000</f>
        <v>#REF!</v>
      </c>
      <c r="N138" s="153" t="e">
        <f>#REF!*#REF!/1000000</f>
        <v>#REF!</v>
      </c>
      <c r="O138" s="153" t="e">
        <f>#REF!*#REF!/1000000</f>
        <v>#REF!</v>
      </c>
      <c r="P138" s="153" t="e">
        <f>#REF!*#REF!/1000000</f>
        <v>#REF!</v>
      </c>
      <c r="Q138" s="1119" t="str">
        <f>IF(ISERROR(#REF!*#REF!/1000000),"nm",#REF!*#REF!/1000000)</f>
        <v>nm</v>
      </c>
      <c r="R138" s="924" t="e">
        <f>#REF!*#REF!/1000000</f>
        <v>#REF!</v>
      </c>
      <c r="S138" s="153" t="e">
        <f>#REF!*#REF!/1000000</f>
        <v>#REF!</v>
      </c>
      <c r="T138" s="153" t="e">
        <f>#REF!*#REF!/1000000</f>
        <v>#REF!</v>
      </c>
      <c r="U138" s="153" t="e">
        <f>#REF!*#REF!/1000000</f>
        <v>#REF!</v>
      </c>
      <c r="V138" s="1119" t="str">
        <f>IF(ISERROR(#REF!*#REF!/1000000),"nm",#REF!*#REF!/1000000)</f>
        <v>nm</v>
      </c>
      <c r="W138" s="924" t="e">
        <f>#REF!*#REF!/1000000</f>
        <v>#REF!</v>
      </c>
      <c r="X138" s="153" t="e">
        <f>#REF!*#REF!/1000000</f>
        <v>#REF!</v>
      </c>
      <c r="Y138" s="153" t="e">
        <f>#REF!*#REF!/1000000</f>
        <v>#REF!</v>
      </c>
      <c r="Z138" s="153" t="e">
        <f>#REF!*#REF!/1000000</f>
        <v>#REF!</v>
      </c>
      <c r="AA138" s="1119" t="str">
        <f>IF(ISERROR(#REF!*#REF!/1000000),"nm",#REF!*#REF!/1000000)</f>
        <v>nm</v>
      </c>
      <c r="AB138" s="924" t="e">
        <f>#REF!*#REF!/1000000</f>
        <v>#REF!</v>
      </c>
      <c r="AC138" s="153" t="e">
        <f>#REF!*#REF!/1000000</f>
        <v>#REF!</v>
      </c>
      <c r="AD138" s="153" t="e">
        <f>#REF!*#REF!/1000000</f>
        <v>#REF!</v>
      </c>
      <c r="AE138" s="153" t="e">
        <f>#REF!*#REF!/1000000</f>
        <v>#REF!</v>
      </c>
      <c r="AF138" s="1119" t="str">
        <f>IF(ISERROR(#REF!*#REF!/1000000),"nm",#REF!*#REF!/1000000)</f>
        <v>nm</v>
      </c>
      <c r="AG138" s="924" t="e">
        <f>#REF!*#REF!/1000000</f>
        <v>#REF!</v>
      </c>
      <c r="AH138" s="153" t="e">
        <f>#REF!*#REF!/1000000</f>
        <v>#REF!</v>
      </c>
      <c r="AI138" s="153" t="e">
        <f>#REF!*#REF!/1000000</f>
        <v>#REF!</v>
      </c>
      <c r="AJ138" s="153" t="e">
        <f>#REF!*#REF!/1000000</f>
        <v>#REF!</v>
      </c>
      <c r="AK138" s="1119" t="str">
        <f>IF(ISERROR(#REF!*#REF!/1000000),"nm",#REF!*#REF!/1000000)</f>
        <v>nm</v>
      </c>
      <c r="AL138" s="924" t="e">
        <f>#REF!*#REF!/1000000</f>
        <v>#REF!</v>
      </c>
      <c r="AM138" s="153" t="e">
        <f>#REF!*#REF!/1000000</f>
        <v>#REF!</v>
      </c>
      <c r="AN138" s="153" t="e">
        <f>#REF!*#REF!/1000000</f>
        <v>#REF!</v>
      </c>
      <c r="AO138" s="153" t="e">
        <f>#REF!*#REF!/1000000</f>
        <v>#REF!</v>
      </c>
      <c r="AP138" s="1119" t="str">
        <f>IF(ISERROR(#REF!*#REF!/1000000),"nm",#REF!*#REF!/1000000)</f>
        <v>nm</v>
      </c>
      <c r="AQ138" s="924" t="e">
        <f>#REF!*#REF!/1000000</f>
        <v>#REF!</v>
      </c>
      <c r="AR138" s="153" t="e">
        <f>#REF!*#REF!/1000000</f>
        <v>#REF!</v>
      </c>
      <c r="AS138" s="153" t="e">
        <f>#REF!*#REF!/1000000</f>
        <v>#REF!</v>
      </c>
      <c r="AT138" s="153" t="e">
        <f>#REF!*#REF!/1000000</f>
        <v>#REF!</v>
      </c>
      <c r="AU138" s="802"/>
      <c r="AV138" s="1119" t="str">
        <f t="shared" ref="AV138:CH138" si="287">AV277</f>
        <v>ND</v>
      </c>
      <c r="AW138" s="1119" t="str">
        <f t="shared" si="287"/>
        <v>ND</v>
      </c>
      <c r="AX138" s="1119" t="str">
        <f t="shared" si="287"/>
        <v>ND</v>
      </c>
      <c r="AY138" s="1119" t="str">
        <f t="shared" si="287"/>
        <v>ND</v>
      </c>
      <c r="AZ138" s="924" t="str">
        <f t="shared" si="287"/>
        <v>ND</v>
      </c>
      <c r="BA138" s="153">
        <f t="shared" si="287"/>
        <v>2266</v>
      </c>
      <c r="BB138" s="153">
        <f t="shared" si="287"/>
        <v>2181</v>
      </c>
      <c r="BC138" s="153">
        <f t="shared" si="287"/>
        <v>2139</v>
      </c>
      <c r="BD138" s="1119">
        <f t="shared" si="287"/>
        <v>1985</v>
      </c>
      <c r="BE138" s="1120">
        <f t="shared" si="287"/>
        <v>8571</v>
      </c>
      <c r="BF138" s="153">
        <f t="shared" si="287"/>
        <v>1765</v>
      </c>
      <c r="BG138" s="153">
        <f t="shared" si="287"/>
        <v>1690</v>
      </c>
      <c r="BH138" s="153">
        <f t="shared" si="287"/>
        <v>1597</v>
      </c>
      <c r="BI138" s="153">
        <f t="shared" si="287"/>
        <v>1605</v>
      </c>
      <c r="BJ138" s="924">
        <f t="shared" si="287"/>
        <v>6546</v>
      </c>
      <c r="BK138" s="153">
        <f t="shared" si="287"/>
        <v>1701</v>
      </c>
      <c r="BL138" s="153">
        <f t="shared" si="287"/>
        <v>1598</v>
      </c>
      <c r="BM138" s="153">
        <f t="shared" si="287"/>
        <v>1603</v>
      </c>
      <c r="BN138" s="153">
        <f t="shared" si="287"/>
        <v>1590</v>
      </c>
      <c r="BO138" s="924">
        <f t="shared" si="287"/>
        <v>6492</v>
      </c>
      <c r="BP138" s="153">
        <f t="shared" si="287"/>
        <v>1677</v>
      </c>
      <c r="BQ138" s="153">
        <f t="shared" si="287"/>
        <v>1480</v>
      </c>
      <c r="BR138" s="153">
        <f t="shared" si="287"/>
        <v>1418</v>
      </c>
      <c r="BS138" s="153">
        <f t="shared" si="287"/>
        <v>1494</v>
      </c>
      <c r="BT138" s="924">
        <f t="shared" si="287"/>
        <v>5928</v>
      </c>
      <c r="BU138" s="153">
        <f t="shared" si="287"/>
        <v>1540</v>
      </c>
      <c r="BV138" s="153">
        <f t="shared" si="287"/>
        <v>1491</v>
      </c>
      <c r="BW138" s="153">
        <f t="shared" si="287"/>
        <v>1484</v>
      </c>
      <c r="BX138" s="153">
        <f t="shared" si="287"/>
        <v>1517</v>
      </c>
      <c r="BY138" s="924">
        <f t="shared" si="287"/>
        <v>5967</v>
      </c>
      <c r="BZ138" s="153">
        <f t="shared" si="287"/>
        <v>1614</v>
      </c>
      <c r="CA138" s="153">
        <f t="shared" si="287"/>
        <v>1439</v>
      </c>
      <c r="CB138" s="153">
        <f t="shared" si="287"/>
        <v>1414</v>
      </c>
      <c r="CC138" s="153">
        <f t="shared" si="287"/>
        <v>1452</v>
      </c>
      <c r="CD138" s="924">
        <f t="shared" si="287"/>
        <v>5749</v>
      </c>
      <c r="CE138" s="153">
        <f t="shared" si="287"/>
        <v>1524</v>
      </c>
      <c r="CF138" s="153">
        <f t="shared" si="287"/>
        <v>1441</v>
      </c>
      <c r="CG138" s="153">
        <f t="shared" si="287"/>
        <v>1466</v>
      </c>
      <c r="CH138" s="153">
        <f t="shared" si="287"/>
        <v>1481</v>
      </c>
      <c r="CI138" s="924">
        <f>SUM(CE138:CH138)</f>
        <v>5912</v>
      </c>
      <c r="CJ138" s="153">
        <f>CJ277</f>
        <v>1544</v>
      </c>
      <c r="CK138" s="153">
        <f>CK277</f>
        <v>1478</v>
      </c>
      <c r="CL138" s="153">
        <f>CL277</f>
        <v>1430</v>
      </c>
      <c r="CM138" s="153">
        <f>CM277</f>
        <v>1477</v>
      </c>
      <c r="CN138" s="924">
        <f>SUM(CJ138:CM138)</f>
        <v>5929</v>
      </c>
      <c r="CO138" s="153">
        <f>CO277</f>
        <v>1619</v>
      </c>
      <c r="CP138" s="153">
        <f>CP277</f>
        <v>1466</v>
      </c>
      <c r="CQ138" s="153">
        <f>CQ277</f>
        <v>1444</v>
      </c>
      <c r="CR138" s="153">
        <f>CR277</f>
        <v>1499</v>
      </c>
      <c r="CS138" s="924">
        <f>SUM(CO138:CR138)</f>
        <v>6028</v>
      </c>
      <c r="CT138" s="153">
        <f>CT277</f>
        <v>1607</v>
      </c>
      <c r="CU138" s="153">
        <f>CU277</f>
        <v>1548</v>
      </c>
      <c r="CV138" s="153">
        <f>CV277</f>
        <v>1501</v>
      </c>
      <c r="CW138" s="153">
        <f>CW277</f>
        <v>1544</v>
      </c>
      <c r="CX138" s="924">
        <f>SUM(CT138:CW138)</f>
        <v>6200</v>
      </c>
      <c r="CY138" s="153">
        <f>CY277</f>
        <v>1536</v>
      </c>
      <c r="CZ138" s="153">
        <f>CZ277</f>
        <v>1542</v>
      </c>
      <c r="DA138" s="153">
        <f>DA277</f>
        <v>1502</v>
      </c>
      <c r="DB138" s="153">
        <f>DB277</f>
        <v>2372</v>
      </c>
      <c r="DC138" s="924">
        <f>SUM(CY138:DB138)</f>
        <v>6952</v>
      </c>
      <c r="DD138" s="153">
        <f>DD277</f>
        <v>2440</v>
      </c>
      <c r="DE138" s="153">
        <f>DE277</f>
        <v>2393</v>
      </c>
      <c r="DF138" s="153">
        <f>DF277</f>
        <v>2463</v>
      </c>
      <c r="DG138" s="153">
        <f>DG277</f>
        <v>2719</v>
      </c>
      <c r="DH138" s="924">
        <f>SUM(DD138:DG138)</f>
        <v>10015</v>
      </c>
      <c r="DI138" s="153">
        <f>DI314</f>
        <v>2691</v>
      </c>
      <c r="DJ138" s="153">
        <f>DJ314</f>
        <v>2623</v>
      </c>
      <c r="DK138" s="153">
        <f>DK314</f>
        <v>2603</v>
      </c>
      <c r="DL138" s="153">
        <f>DL314</f>
        <v>2736</v>
      </c>
      <c r="DM138" s="924">
        <f>SUM(DI138:DL138)</f>
        <v>10653</v>
      </c>
      <c r="DN138" s="153">
        <f>DN314</f>
        <v>2616</v>
      </c>
      <c r="DO138" s="153">
        <f>DO314</f>
        <v>2568</v>
      </c>
      <c r="DP138" s="153">
        <f>DP314</f>
        <v>2350</v>
      </c>
      <c r="DQ138" s="153">
        <f>DQ314</f>
        <v>2442</v>
      </c>
      <c r="DR138" s="924">
        <f>SUM(DN138:DQ138)</f>
        <v>9976</v>
      </c>
      <c r="DS138" s="153">
        <f>DS314</f>
        <v>2605</v>
      </c>
      <c r="DT138" s="153">
        <f>DT314</f>
        <v>2545</v>
      </c>
      <c r="DU138" s="153">
        <f>DU314</f>
        <v>2391</v>
      </c>
      <c r="DV138" s="153">
        <f>DV314</f>
        <v>2695</v>
      </c>
      <c r="DW138" s="924">
        <f>SUM(DS138:DV138)</f>
        <v>10236</v>
      </c>
      <c r="DX138" s="153">
        <f>DX160*DX205/1000000</f>
        <v>2381.0276114494573</v>
      </c>
      <c r="DY138" s="153">
        <f>DY160*DY205/1000000</f>
        <v>2338.3707146788502</v>
      </c>
      <c r="DZ138" s="153">
        <f>DZ160*DZ205/1000000</f>
        <v>2217.0305965652201</v>
      </c>
      <c r="EA138" s="153">
        <f>EA160*EA205/1000000</f>
        <v>2389.5379586245249</v>
      </c>
      <c r="EB138" s="924">
        <f>SUM(DX138:EA138)</f>
        <v>9325.9668813180524</v>
      </c>
      <c r="EC138" s="153">
        <f>EC160*EC205/1000000</f>
        <v>2203.9296928510144</v>
      </c>
      <c r="ED138" s="153">
        <f>ED160*ED205/1000000</f>
        <v>2246.1289015249372</v>
      </c>
      <c r="EE138" s="153">
        <f>EE160*EE205/1000000</f>
        <v>2213.7014868601013</v>
      </c>
      <c r="EF138" s="153">
        <f>EF160*EF205/1000000</f>
        <v>2474.3447793820005</v>
      </c>
      <c r="EG138" s="924">
        <f>SUM(EC138:EF138)</f>
        <v>9138.104860618052</v>
      </c>
      <c r="EH138" s="153">
        <f>EH160*EH205/1000000</f>
        <v>2276.486210671103</v>
      </c>
      <c r="EI138" s="153">
        <f>EI160*EI205/1000000</f>
        <v>2314.317668527382</v>
      </c>
      <c r="EJ138" s="153">
        <f>EJ160*EJ205/1000000</f>
        <v>2275.2459951550481</v>
      </c>
      <c r="EK138" s="153">
        <f>EK160*EK205/1000000</f>
        <v>2536.8250857324288</v>
      </c>
      <c r="EL138" s="924">
        <f>SUM(EH138:EK138)</f>
        <v>9402.8749600859628</v>
      </c>
    </row>
    <row r="139" spans="1:142" ht="11.25" customHeight="1">
      <c r="A139" s="848"/>
      <c r="B139" s="848" t="s">
        <v>133</v>
      </c>
      <c r="C139" s="1012"/>
      <c r="D139" s="1012"/>
      <c r="E139" s="1012"/>
      <c r="F139" s="1012"/>
      <c r="G139" s="1012"/>
      <c r="H139" s="1011"/>
      <c r="I139" s="1010" t="str">
        <f t="shared" ref="I139:AT139" si="288">IF(ISERROR(I138/D69-1),"nm",I138/D69-1)</f>
        <v>nm</v>
      </c>
      <c r="J139" s="1010" t="str">
        <f t="shared" si="288"/>
        <v>nm</v>
      </c>
      <c r="K139" s="1010" t="str">
        <f t="shared" si="288"/>
        <v>nm</v>
      </c>
      <c r="L139" s="1010" t="str">
        <f t="shared" si="288"/>
        <v>nm</v>
      </c>
      <c r="M139" s="1011" t="str">
        <f t="shared" si="288"/>
        <v>nm</v>
      </c>
      <c r="N139" s="1010" t="str">
        <f t="shared" si="288"/>
        <v>nm</v>
      </c>
      <c r="O139" s="1010" t="str">
        <f t="shared" si="288"/>
        <v>nm</v>
      </c>
      <c r="P139" s="1010" t="str">
        <f t="shared" si="288"/>
        <v>nm</v>
      </c>
      <c r="Q139" s="1010" t="str">
        <f t="shared" si="288"/>
        <v>nm</v>
      </c>
      <c r="R139" s="1011" t="str">
        <f t="shared" si="288"/>
        <v>nm</v>
      </c>
      <c r="S139" s="1010" t="str">
        <f t="shared" si="288"/>
        <v>nm</v>
      </c>
      <c r="T139" s="1010" t="str">
        <f t="shared" si="288"/>
        <v>nm</v>
      </c>
      <c r="U139" s="1010" t="str">
        <f t="shared" si="288"/>
        <v>nm</v>
      </c>
      <c r="V139" s="1010" t="str">
        <f t="shared" si="288"/>
        <v>nm</v>
      </c>
      <c r="W139" s="1011" t="str">
        <f t="shared" si="288"/>
        <v>nm</v>
      </c>
      <c r="X139" s="1010" t="str">
        <f t="shared" si="288"/>
        <v>nm</v>
      </c>
      <c r="Y139" s="1010" t="str">
        <f t="shared" si="288"/>
        <v>nm</v>
      </c>
      <c r="Z139" s="1010" t="str">
        <f t="shared" si="288"/>
        <v>nm</v>
      </c>
      <c r="AA139" s="1010" t="str">
        <f t="shared" si="288"/>
        <v>nm</v>
      </c>
      <c r="AB139" s="1011" t="str">
        <f t="shared" si="288"/>
        <v>nm</v>
      </c>
      <c r="AC139" s="1010" t="str">
        <f t="shared" si="288"/>
        <v>nm</v>
      </c>
      <c r="AD139" s="1010" t="str">
        <f t="shared" si="288"/>
        <v>nm</v>
      </c>
      <c r="AE139" s="1010" t="str">
        <f t="shared" si="288"/>
        <v>nm</v>
      </c>
      <c r="AF139" s="1010" t="str">
        <f t="shared" si="288"/>
        <v>nm</v>
      </c>
      <c r="AG139" s="1011" t="str">
        <f t="shared" si="288"/>
        <v>nm</v>
      </c>
      <c r="AH139" s="1010" t="str">
        <f t="shared" si="288"/>
        <v>nm</v>
      </c>
      <c r="AI139" s="1010" t="str">
        <f t="shared" si="288"/>
        <v>nm</v>
      </c>
      <c r="AJ139" s="1010" t="str">
        <f t="shared" si="288"/>
        <v>nm</v>
      </c>
      <c r="AK139" s="1010" t="str">
        <f t="shared" si="288"/>
        <v>nm</v>
      </c>
      <c r="AL139" s="1011" t="str">
        <f t="shared" si="288"/>
        <v>nm</v>
      </c>
      <c r="AM139" s="1010" t="str">
        <f t="shared" si="288"/>
        <v>nm</v>
      </c>
      <c r="AN139" s="1010" t="str">
        <f t="shared" si="288"/>
        <v>nm</v>
      </c>
      <c r="AO139" s="1010" t="str">
        <f t="shared" si="288"/>
        <v>nm</v>
      </c>
      <c r="AP139" s="1010" t="str">
        <f t="shared" si="288"/>
        <v>nm</v>
      </c>
      <c r="AQ139" s="1011" t="str">
        <f t="shared" si="288"/>
        <v>nm</v>
      </c>
      <c r="AR139" s="1010" t="str">
        <f t="shared" si="288"/>
        <v>nm</v>
      </c>
      <c r="AS139" s="1010" t="str">
        <f t="shared" si="288"/>
        <v>nm</v>
      </c>
      <c r="AT139" s="1010" t="str">
        <f t="shared" si="288"/>
        <v>nm</v>
      </c>
      <c r="AU139" s="802"/>
      <c r="AV139" s="1012"/>
      <c r="AW139" s="1012"/>
      <c r="AX139" s="1012"/>
      <c r="AY139" s="1012"/>
      <c r="AZ139" s="1011"/>
      <c r="BA139" s="1010" t="str">
        <f>IF(ISERROR(BA138/AV69-1),"nm",BA138/AV69-1)</f>
        <v>nm</v>
      </c>
      <c r="BB139" s="1010" t="str">
        <f>IF(ISERROR(BB138/AW69-1),"nm",BB138/AW69-1)</f>
        <v>nm</v>
      </c>
      <c r="BC139" s="1010" t="str">
        <f>IF(ISERROR(BC138/AX69-1),"nm",BC138/AX69-1)</f>
        <v>nm</v>
      </c>
      <c r="BD139" s="1010" t="str">
        <f>IF(ISERROR(BD138/AY69-1),"nm",BD138/AY69-1)</f>
        <v>nm</v>
      </c>
      <c r="BE139" s="1011" t="str">
        <f>IF(ISERROR(BE138/AZ69-1),"nm",BE138/AZ69-1)</f>
        <v>nm</v>
      </c>
      <c r="BF139" s="1010">
        <f t="shared" ref="BF139:CK139" si="289">IF(ISERROR(BF138/BA69-1),"NM",BF138/BA69-1)</f>
        <v>-0.22109443954104147</v>
      </c>
      <c r="BG139" s="1010">
        <f t="shared" si="289"/>
        <v>-0.22512608895002295</v>
      </c>
      <c r="BH139" s="1010">
        <f t="shared" si="289"/>
        <v>-0.25338943431510053</v>
      </c>
      <c r="BI139" s="1010">
        <f t="shared" si="289"/>
        <v>-0.19143576826196473</v>
      </c>
      <c r="BJ139" s="1011">
        <f t="shared" si="289"/>
        <v>-0.23626181309065453</v>
      </c>
      <c r="BK139" s="850">
        <f t="shared" si="289"/>
        <v>-3.6260623229461775E-2</v>
      </c>
      <c r="BL139" s="850">
        <f t="shared" si="289"/>
        <v>-5.4437869822485219E-2</v>
      </c>
      <c r="BM139" s="850">
        <f t="shared" si="289"/>
        <v>3.7570444583594487E-3</v>
      </c>
      <c r="BN139" s="850">
        <f t="shared" si="289"/>
        <v>-9.3457943925233655E-3</v>
      </c>
      <c r="BO139" s="851">
        <f t="shared" si="289"/>
        <v>-2.4785939612438024E-2</v>
      </c>
      <c r="BP139" s="850">
        <f t="shared" si="289"/>
        <v>-1.4109347442680775E-2</v>
      </c>
      <c r="BQ139" s="850">
        <f t="shared" si="289"/>
        <v>-7.3842302878598276E-2</v>
      </c>
      <c r="BR139" s="850">
        <f t="shared" si="289"/>
        <v>-0.11540860885839055</v>
      </c>
      <c r="BS139" s="850">
        <f t="shared" si="289"/>
        <v>-6.0377358490566024E-2</v>
      </c>
      <c r="BT139" s="851">
        <f t="shared" si="289"/>
        <v>-8.687615526802217E-2</v>
      </c>
      <c r="BU139" s="850">
        <f t="shared" si="289"/>
        <v>-8.1693500298151478E-2</v>
      </c>
      <c r="BV139" s="850">
        <f t="shared" si="289"/>
        <v>7.432432432432412E-3</v>
      </c>
      <c r="BW139" s="850">
        <f t="shared" si="289"/>
        <v>4.6544428772919533E-2</v>
      </c>
      <c r="BX139" s="850">
        <f t="shared" si="289"/>
        <v>1.53949129852744E-2</v>
      </c>
      <c r="BY139" s="851">
        <f t="shared" si="289"/>
        <v>-1.6806722689075682E-2</v>
      </c>
      <c r="BZ139" s="850">
        <f t="shared" si="289"/>
        <v>4.8051948051948123E-2</v>
      </c>
      <c r="CA139" s="850">
        <f t="shared" si="289"/>
        <v>-3.4875922199865905E-2</v>
      </c>
      <c r="CB139" s="850">
        <f t="shared" si="289"/>
        <v>-4.7169811320754707E-2</v>
      </c>
      <c r="CC139" s="850">
        <f t="shared" si="289"/>
        <v>-4.284772577455509E-2</v>
      </c>
      <c r="CD139" s="851">
        <f t="shared" si="289"/>
        <v>-4.6916445623342184E-2</v>
      </c>
      <c r="CE139" s="850">
        <f t="shared" si="289"/>
        <v>-5.5762081784386575E-2</v>
      </c>
      <c r="CF139" s="850">
        <f t="shared" si="289"/>
        <v>1.389854065323215E-3</v>
      </c>
      <c r="CG139" s="850">
        <f t="shared" si="289"/>
        <v>3.6775106082036713E-2</v>
      </c>
      <c r="CH139" s="850">
        <f t="shared" si="289"/>
        <v>1.9972451790633672E-2</v>
      </c>
      <c r="CI139" s="851">
        <f t="shared" si="289"/>
        <v>-1.1826322013853696E-3</v>
      </c>
      <c r="CJ139" s="850">
        <f t="shared" si="289"/>
        <v>1.3123359580052396E-2</v>
      </c>
      <c r="CK139" s="850">
        <f t="shared" si="289"/>
        <v>2.5676613462872977E-2</v>
      </c>
      <c r="CL139" s="850">
        <f t="shared" ref="CL139:DH139" si="290">IF(ISERROR(CL138/CG69-1),"NM",CL138/CG69-1)</f>
        <v>-2.4556616643929052E-2</v>
      </c>
      <c r="CM139" s="850">
        <f t="shared" si="290"/>
        <v>-2.7008777852801646E-3</v>
      </c>
      <c r="CN139" s="851">
        <f t="shared" si="290"/>
        <v>2.8755074424897664E-3</v>
      </c>
      <c r="CO139" s="850">
        <f t="shared" si="290"/>
        <v>4.8575129533678707E-2</v>
      </c>
      <c r="CP139" s="850">
        <f t="shared" si="290"/>
        <v>-8.1190798376183926E-3</v>
      </c>
      <c r="CQ139" s="850">
        <f t="shared" si="290"/>
        <v>9.7902097902098362E-3</v>
      </c>
      <c r="CR139" s="850">
        <f t="shared" si="290"/>
        <v>1.4895057549086044E-2</v>
      </c>
      <c r="CS139" s="851">
        <f t="shared" si="290"/>
        <v>1.6697588126159513E-2</v>
      </c>
      <c r="CT139" s="850">
        <f t="shared" si="290"/>
        <v>-7.4119827053736875E-3</v>
      </c>
      <c r="CU139" s="850">
        <f t="shared" si="290"/>
        <v>5.5934515688949471E-2</v>
      </c>
      <c r="CV139" s="850">
        <f t="shared" si="290"/>
        <v>3.9473684210526327E-2</v>
      </c>
      <c r="CW139" s="850">
        <f t="shared" si="290"/>
        <v>3.0020013342228147E-2</v>
      </c>
      <c r="CX139" s="851">
        <f t="shared" si="290"/>
        <v>2.8533510285335018E-2</v>
      </c>
      <c r="CY139" s="850">
        <f t="shared" si="290"/>
        <v>-4.4181705040448049E-2</v>
      </c>
      <c r="CZ139" s="850">
        <f t="shared" si="290"/>
        <v>-3.8759689922480689E-3</v>
      </c>
      <c r="DA139" s="850">
        <f t="shared" si="290"/>
        <v>6.6622251832115786E-4</v>
      </c>
      <c r="DB139" s="850">
        <f t="shared" si="290"/>
        <v>0.53626943005181338</v>
      </c>
      <c r="DC139" s="851">
        <f t="shared" si="290"/>
        <v>0.1212903225806452</v>
      </c>
      <c r="DD139" s="850">
        <f t="shared" si="290"/>
        <v>0.58854166666666674</v>
      </c>
      <c r="DE139" s="850">
        <f t="shared" si="290"/>
        <v>0.55188067444876787</v>
      </c>
      <c r="DF139" s="850">
        <f t="shared" si="290"/>
        <v>0.63981358189081217</v>
      </c>
      <c r="DG139" s="850">
        <f t="shared" si="290"/>
        <v>0.14629005059021916</v>
      </c>
      <c r="DH139" s="851">
        <f t="shared" si="290"/>
        <v>0.44059263521288838</v>
      </c>
      <c r="DI139" s="850">
        <f t="shared" ref="DI139:EG139" si="291">IF(ISERROR(DI138/DD138-1),"NM",DI138/DD138-1)</f>
        <v>0.10286885245901645</v>
      </c>
      <c r="DJ139" s="850">
        <f t="shared" si="291"/>
        <v>9.6113664855829395E-2</v>
      </c>
      <c r="DK139" s="850">
        <f t="shared" si="291"/>
        <v>5.6841250507511099E-2</v>
      </c>
      <c r="DL139" s="850">
        <f t="shared" si="291"/>
        <v>6.2522986392055113E-3</v>
      </c>
      <c r="DM139" s="851">
        <f t="shared" si="291"/>
        <v>6.3704443334997585E-2</v>
      </c>
      <c r="DN139" s="850">
        <f t="shared" si="291"/>
        <v>-2.7870680044593144E-2</v>
      </c>
      <c r="DO139" s="850">
        <f t="shared" si="291"/>
        <v>-2.0968356843309222E-2</v>
      </c>
      <c r="DP139" s="850">
        <f t="shared" si="291"/>
        <v>-9.7195543603534329E-2</v>
      </c>
      <c r="DQ139" s="850">
        <f t="shared" si="291"/>
        <v>-0.10745614035087714</v>
      </c>
      <c r="DR139" s="851">
        <f t="shared" si="291"/>
        <v>-6.355017366000193E-2</v>
      </c>
      <c r="DS139" s="850">
        <f t="shared" si="291"/>
        <v>-4.2048929663608403E-3</v>
      </c>
      <c r="DT139" s="850">
        <f t="shared" si="291"/>
        <v>-8.9563862928349058E-3</v>
      </c>
      <c r="DU139" s="850">
        <f t="shared" si="291"/>
        <v>1.744680851063829E-2</v>
      </c>
      <c r="DV139" s="850">
        <f t="shared" si="291"/>
        <v>0.10360360360360366</v>
      </c>
      <c r="DW139" s="851">
        <f t="shared" si="291"/>
        <v>2.6062550120288686E-2</v>
      </c>
      <c r="DX139" s="850">
        <f t="shared" si="291"/>
        <v>-8.5977884280438621E-2</v>
      </c>
      <c r="DY139" s="850">
        <f t="shared" si="291"/>
        <v>-8.1190288927760257E-2</v>
      </c>
      <c r="DZ139" s="850">
        <f t="shared" si="291"/>
        <v>-7.276010181295689E-2</v>
      </c>
      <c r="EA139" s="850">
        <f t="shared" si="291"/>
        <v>-0.11334398566807979</v>
      </c>
      <c r="EB139" s="851">
        <f t="shared" si="291"/>
        <v>-8.8905150320627957E-2</v>
      </c>
      <c r="EC139" s="850">
        <f t="shared" si="291"/>
        <v>-7.4378775679394216E-2</v>
      </c>
      <c r="ED139" s="850">
        <f t="shared" si="291"/>
        <v>-3.9447044292368116E-2</v>
      </c>
      <c r="EE139" s="850">
        <f t="shared" si="291"/>
        <v>-1.5016074700441306E-3</v>
      </c>
      <c r="EF139" s="850">
        <f t="shared" si="291"/>
        <v>3.5490886617382866E-2</v>
      </c>
      <c r="EG139" s="851">
        <f t="shared" si="291"/>
        <v>-2.0143972532899457E-2</v>
      </c>
      <c r="EH139" s="850">
        <f t="shared" ref="EH139" si="292">IF(ISERROR(EH138/EC138-1),"NM",EH138/EC138-1)</f>
        <v>3.292143032304673E-2</v>
      </c>
      <c r="EI139" s="850">
        <f t="shared" ref="EI139" si="293">IF(ISERROR(EI138/ED138-1),"NM",EI138/ED138-1)</f>
        <v>3.0358349850781119E-2</v>
      </c>
      <c r="EJ139" s="850">
        <f t="shared" ref="EJ139" si="294">IF(ISERROR(EJ138/EE138-1),"NM",EJ138/EE138-1)</f>
        <v>2.7801629379686998E-2</v>
      </c>
      <c r="EK139" s="850">
        <f t="shared" ref="EK139" si="295">IF(ISERROR(EK138/EF138-1),"NM",EK138/EF138-1)</f>
        <v>2.5251253128124596E-2</v>
      </c>
      <c r="EL139" s="851">
        <f t="shared" ref="EL139" si="296">IF(ISERROR(EL138/EG138-1),"NM",EL138/EG138-1)</f>
        <v>2.8974289910917328E-2</v>
      </c>
    </row>
    <row r="140" spans="1:142" ht="11.25" customHeight="1">
      <c r="A140" s="848"/>
      <c r="B140" s="848" t="s">
        <v>668</v>
      </c>
      <c r="C140" s="1012"/>
      <c r="D140" s="1012"/>
      <c r="E140" s="1012"/>
      <c r="F140" s="1012"/>
      <c r="G140" s="1012"/>
      <c r="H140" s="1011"/>
      <c r="I140" s="1010" t="str">
        <f>IF(ISERROR(I138/(#REF!*#REF!/1000000)-1),"nm",I138/(#REF!*#REF!/1000000)-1)</f>
        <v>nm</v>
      </c>
      <c r="J140" s="1010" t="str">
        <f>IF(ISERROR(J138/(#REF!*#REF!/1000000)-1),"nm",J138/(#REF!*#REF!/1000000)-1)</f>
        <v>nm</v>
      </c>
      <c r="K140" s="1010" t="str">
        <f>IF(ISERROR(K138/(#REF!*#REF!/1000000)-1),"nm",K138/(#REF!*#REF!/1000000)-1)</f>
        <v>nm</v>
      </c>
      <c r="L140" s="1010" t="str">
        <f>IF(ISERROR(L138/(#REF!*#REF!/1000000)-1),"nm",L138/(#REF!*#REF!/1000000)-1)</f>
        <v>nm</v>
      </c>
      <c r="M140" s="1011" t="e">
        <f>M138/(#REF!*#REF!/1000000)-1</f>
        <v>#REF!</v>
      </c>
      <c r="N140" s="1010" t="e">
        <f>N138/(#REF!*#REF!/1000000)-1</f>
        <v>#REF!</v>
      </c>
      <c r="O140" s="1010" t="e">
        <f>O138/(#REF!*#REF!/1000000)-1</f>
        <v>#REF!</v>
      </c>
      <c r="P140" s="1010" t="e">
        <f>P138/(#REF!*#REF!/1000000)-1</f>
        <v>#REF!</v>
      </c>
      <c r="Q140" s="1010" t="str">
        <f>IF(ISERROR(Q138/(#REF!*#REF!/1000000)-1),"nm",Q138/(#REF!*#REF!/1000000)-1)</f>
        <v>nm</v>
      </c>
      <c r="R140" s="1011" t="e">
        <f>R138/(#REF!*#REF!/1000000)-1</f>
        <v>#REF!</v>
      </c>
      <c r="S140" s="1010" t="e">
        <f>S138/(#REF!*#REF!/1000000)-1</f>
        <v>#REF!</v>
      </c>
      <c r="T140" s="1010" t="e">
        <f>T138/(#REF!*#REF!/1000000)-1</f>
        <v>#REF!</v>
      </c>
      <c r="U140" s="1010" t="e">
        <f>U138/(#REF!*#REF!/1000000)-1</f>
        <v>#REF!</v>
      </c>
      <c r="V140" s="1010" t="str">
        <f>IF(ISERROR(V138/(#REF!*#REF!/1000000)-1),"nm",V138/(#REF!*#REF!/1000000)-1)</f>
        <v>nm</v>
      </c>
      <c r="W140" s="1011" t="e">
        <f>W138/(#REF!*#REF!/1000000)-1</f>
        <v>#REF!</v>
      </c>
      <c r="X140" s="1010" t="e">
        <f>X138/(#REF!*#REF!/1000000)-1</f>
        <v>#REF!</v>
      </c>
      <c r="Y140" s="1010" t="e">
        <f>Y138/(#REF!*#REF!/1000000)-1</f>
        <v>#REF!</v>
      </c>
      <c r="Z140" s="1010" t="e">
        <f>Z138/(#REF!*#REF!/1000000)-1</f>
        <v>#REF!</v>
      </c>
      <c r="AA140" s="1010" t="str">
        <f>IF(ISERROR(AA138/(#REF!*#REF!/1000000)-1),"nm",AA138/(#REF!*#REF!/1000000)-1)</f>
        <v>nm</v>
      </c>
      <c r="AB140" s="1011" t="e">
        <f>AB138/(#REF!*#REF!/1000000)-1</f>
        <v>#REF!</v>
      </c>
      <c r="AC140" s="1010" t="e">
        <f>AC138/(#REF!*#REF!/1000000)-1</f>
        <v>#REF!</v>
      </c>
      <c r="AD140" s="1010" t="e">
        <f>AD138/(#REF!*#REF!/1000000)-1</f>
        <v>#REF!</v>
      </c>
      <c r="AE140" s="1010" t="e">
        <f>AE138/(#REF!*#REF!/1000000)-1</f>
        <v>#REF!</v>
      </c>
      <c r="AF140" s="1010" t="str">
        <f>IF(ISERROR(AF138/(#REF!*#REF!/1000000)-1),"nm",AF138/(#REF!*#REF!/1000000)-1)</f>
        <v>nm</v>
      </c>
      <c r="AG140" s="1011" t="e">
        <f>AG138/(#REF!*#REF!/1000000)-1</f>
        <v>#REF!</v>
      </c>
      <c r="AH140" s="1010" t="e">
        <f>AH138/(#REF!*#REF!/1000000)-1</f>
        <v>#REF!</v>
      </c>
      <c r="AI140" s="1010" t="e">
        <f>AI138/(#REF!*#REF!/1000000)-1</f>
        <v>#REF!</v>
      </c>
      <c r="AJ140" s="1010" t="e">
        <f>AJ138/(#REF!*#REF!/1000000)-1</f>
        <v>#REF!</v>
      </c>
      <c r="AK140" s="1010" t="str">
        <f>IF(ISERROR(AK138/(#REF!*#REF!/1000000)-1),"nm",AK138/(#REF!*#REF!/1000000)-1)</f>
        <v>nm</v>
      </c>
      <c r="AL140" s="1011" t="e">
        <f>AL138/(#REF!*#REF!/1000000)-1</f>
        <v>#REF!</v>
      </c>
      <c r="AM140" s="1010" t="e">
        <f>AM138/(#REF!*#REF!/1000000)-1</f>
        <v>#REF!</v>
      </c>
      <c r="AN140" s="1010" t="e">
        <f>AN138/(#REF!*#REF!/1000000)-1</f>
        <v>#REF!</v>
      </c>
      <c r="AO140" s="1010" t="e">
        <f>AO138/(#REF!*#REF!/1000000)-1</f>
        <v>#REF!</v>
      </c>
      <c r="AP140" s="1010" t="str">
        <f>IF(ISERROR(AP138/(#REF!*#REF!/1000000)-1),"nm",AP138/(#REF!*#REF!/1000000)-1)</f>
        <v>nm</v>
      </c>
      <c r="AQ140" s="1011" t="e">
        <f>AQ138/(#REF!*#REF!/1000000)-1</f>
        <v>#REF!</v>
      </c>
      <c r="AR140" s="1010" t="e">
        <f>AR138/(#REF!*#REF!/1000000)-1</f>
        <v>#REF!</v>
      </c>
      <c r="AS140" s="1010" t="e">
        <f>AS138/(#REF!*#REF!/1000000)-1</f>
        <v>#REF!</v>
      </c>
      <c r="AT140" s="1010" t="e">
        <f>AT138/(#REF!*#REF!/1000000)-1</f>
        <v>#REF!</v>
      </c>
      <c r="AU140" s="802"/>
      <c r="AV140" s="1012"/>
      <c r="AW140" s="1012"/>
      <c r="AX140" s="1012"/>
      <c r="AY140" s="1012"/>
      <c r="AZ140" s="1011"/>
      <c r="BA140" s="850" t="e">
        <f t="shared" ref="BA140:CH140" si="297">BA277/AV314-1</f>
        <v>#VALUE!</v>
      </c>
      <c r="BB140" s="850" t="e">
        <f t="shared" si="297"/>
        <v>#VALUE!</v>
      </c>
      <c r="BC140" s="850" t="e">
        <f t="shared" si="297"/>
        <v>#VALUE!</v>
      </c>
      <c r="BD140" s="850" t="e">
        <f t="shared" si="297"/>
        <v>#VALUE!</v>
      </c>
      <c r="BE140" s="850" t="e">
        <f t="shared" si="297"/>
        <v>#VALUE!</v>
      </c>
      <c r="BF140" s="850">
        <f t="shared" si="297"/>
        <v>-0.22109443954104147</v>
      </c>
      <c r="BG140" s="850">
        <f t="shared" si="297"/>
        <v>-0.22512608895002295</v>
      </c>
      <c r="BH140" s="850">
        <f t="shared" si="297"/>
        <v>-0.25338943431510053</v>
      </c>
      <c r="BI140" s="850">
        <f t="shared" si="297"/>
        <v>-0.19143576826196473</v>
      </c>
      <c r="BJ140" s="850">
        <f t="shared" si="297"/>
        <v>-0.23626181309065453</v>
      </c>
      <c r="BK140" s="850">
        <f t="shared" si="297"/>
        <v>-3.6260623229461775E-2</v>
      </c>
      <c r="BL140" s="850">
        <f t="shared" si="297"/>
        <v>-5.4437869822485219E-2</v>
      </c>
      <c r="BM140" s="850">
        <f t="shared" si="297"/>
        <v>3.7570444583594487E-3</v>
      </c>
      <c r="BN140" s="850">
        <f t="shared" si="297"/>
        <v>-9.3457943925233655E-3</v>
      </c>
      <c r="BO140" s="850">
        <f t="shared" si="297"/>
        <v>-8.2493125572868919E-3</v>
      </c>
      <c r="BP140" s="850">
        <f t="shared" si="297"/>
        <v>-1.4109347442680775E-2</v>
      </c>
      <c r="BQ140" s="850">
        <f t="shared" si="297"/>
        <v>-7.3842302878598276E-2</v>
      </c>
      <c r="BR140" s="850">
        <f t="shared" si="297"/>
        <v>-0.11540860885839055</v>
      </c>
      <c r="BS140" s="850">
        <f t="shared" si="297"/>
        <v>-6.0377358490566024E-2</v>
      </c>
      <c r="BT140" s="850">
        <f t="shared" si="297"/>
        <v>-8.687615526802217E-2</v>
      </c>
      <c r="BU140" s="850">
        <f t="shared" si="297"/>
        <v>-8.1693500298151478E-2</v>
      </c>
      <c r="BV140" s="850">
        <f t="shared" si="297"/>
        <v>7.432432432432412E-3</v>
      </c>
      <c r="BW140" s="850">
        <f t="shared" si="297"/>
        <v>4.6544428772919533E-2</v>
      </c>
      <c r="BX140" s="850">
        <f t="shared" si="297"/>
        <v>1.53949129852744E-2</v>
      </c>
      <c r="BY140" s="850">
        <f t="shared" si="297"/>
        <v>6.5789473684210176E-3</v>
      </c>
      <c r="BZ140" s="850">
        <f t="shared" si="297"/>
        <v>4.8051948051948123E-2</v>
      </c>
      <c r="CA140" s="850">
        <f t="shared" si="297"/>
        <v>-3.4875922199865905E-2</v>
      </c>
      <c r="CB140" s="850">
        <f t="shared" si="297"/>
        <v>-4.7169811320754707E-2</v>
      </c>
      <c r="CC140" s="850">
        <f t="shared" si="297"/>
        <v>-4.284772577455509E-2</v>
      </c>
      <c r="CD140" s="850">
        <f t="shared" si="297"/>
        <v>-3.6534271828389531E-2</v>
      </c>
      <c r="CE140" s="850">
        <f t="shared" si="297"/>
        <v>-5.5762081784386575E-2</v>
      </c>
      <c r="CF140" s="850">
        <f t="shared" si="297"/>
        <v>1.389854065323215E-3</v>
      </c>
      <c r="CG140" s="850">
        <f t="shared" si="297"/>
        <v>3.6775106082036713E-2</v>
      </c>
      <c r="CH140" s="850">
        <f t="shared" si="297"/>
        <v>1.9972451790633672E-2</v>
      </c>
      <c r="CI140" s="1121" t="e">
        <f>CI138/(#REF!*#REF!/1000000)-1</f>
        <v>#REF!</v>
      </c>
      <c r="CJ140" s="850">
        <f t="shared" ref="CJ140:CW140" si="298">CJ277/CE314-1</f>
        <v>1.3123359580052396E-2</v>
      </c>
      <c r="CK140" s="850">
        <f t="shared" si="298"/>
        <v>2.5676613462872977E-2</v>
      </c>
      <c r="CL140" s="850">
        <f t="shared" si="298"/>
        <v>-2.4556616643929052E-2</v>
      </c>
      <c r="CM140" s="850">
        <f t="shared" si="298"/>
        <v>-2.7008777852801646E-3</v>
      </c>
      <c r="CN140" s="1121">
        <f t="shared" si="298"/>
        <v>4.5747204337511782E-3</v>
      </c>
      <c r="CO140" s="850">
        <f t="shared" si="298"/>
        <v>4.8575129533678707E-2</v>
      </c>
      <c r="CP140" s="850">
        <f t="shared" si="298"/>
        <v>-8.1190798376183926E-3</v>
      </c>
      <c r="CQ140" s="850">
        <f t="shared" si="298"/>
        <v>9.7902097902098362E-3</v>
      </c>
      <c r="CR140" s="850">
        <f t="shared" si="298"/>
        <v>1.4895057549086044E-2</v>
      </c>
      <c r="CS140" s="1121">
        <f t="shared" si="298"/>
        <v>1.6697588126159513E-2</v>
      </c>
      <c r="CT140" s="850">
        <f t="shared" si="298"/>
        <v>-7.4119827053736875E-3</v>
      </c>
      <c r="CU140" s="850">
        <f t="shared" si="298"/>
        <v>5.5934515688949471E-2</v>
      </c>
      <c r="CV140" s="850">
        <f t="shared" si="298"/>
        <v>3.9473684210526327E-2</v>
      </c>
      <c r="CW140" s="850">
        <f t="shared" si="298"/>
        <v>3.0020013342228147E-2</v>
      </c>
      <c r="CX140" s="1121"/>
      <c r="CY140" s="850">
        <f>CY277/CT314-1</f>
        <v>-4.4181705040448049E-2</v>
      </c>
      <c r="CZ140" s="850">
        <f>CZ277/CU314-1</f>
        <v>-3.8759689922480689E-3</v>
      </c>
      <c r="DA140" s="850">
        <f>DA277/CV314-1</f>
        <v>6.6622251832115786E-4</v>
      </c>
      <c r="DB140" s="850">
        <f>DB277/CW314-1</f>
        <v>0.53626943005181338</v>
      </c>
      <c r="DC140" s="1121" t="s">
        <v>162</v>
      </c>
      <c r="DD140" s="850">
        <f>DD277/CY314-1</f>
        <v>0.58854166666666674</v>
      </c>
      <c r="DE140" s="850">
        <f>DE277/CZ314-1</f>
        <v>0.55188067444876787</v>
      </c>
      <c r="DF140" s="850">
        <f>DF277/DA314-1</f>
        <v>0.63981358189081217</v>
      </c>
      <c r="DG140" s="850">
        <f>DG277/DB314-1</f>
        <v>0.14629005059021916</v>
      </c>
      <c r="DH140" s="1121" t="s">
        <v>162</v>
      </c>
      <c r="DI140" s="850">
        <f>DI277/DD314-1</f>
        <v>0.10286885245901645</v>
      </c>
      <c r="DJ140" s="850">
        <f t="shared" ref="DJ140:DV140" si="299">DJ277/DE390-1</f>
        <v>9.6113664855829395E-2</v>
      </c>
      <c r="DK140" s="850">
        <f t="shared" si="299"/>
        <v>5.6841250507511099E-2</v>
      </c>
      <c r="DL140" s="850">
        <f t="shared" si="299"/>
        <v>6.2522986392055113E-3</v>
      </c>
      <c r="DM140" s="851">
        <f t="shared" si="299"/>
        <v>6.3604593110334395E-2</v>
      </c>
      <c r="DN140" s="850">
        <f t="shared" si="299"/>
        <v>0.11195521791283491</v>
      </c>
      <c r="DO140" s="850">
        <f t="shared" si="299"/>
        <v>0.1227765726681127</v>
      </c>
      <c r="DP140" s="850">
        <f t="shared" si="299"/>
        <v>0.15508955875928354</v>
      </c>
      <c r="DQ140" s="850">
        <f t="shared" si="299"/>
        <v>0.10517387616624263</v>
      </c>
      <c r="DR140" s="851">
        <f t="shared" si="299"/>
        <v>0.1376687379472894</v>
      </c>
      <c r="DS140" s="850">
        <f t="shared" si="299"/>
        <v>-2.0277882087870847E-2</v>
      </c>
      <c r="DT140" s="850">
        <f t="shared" si="299"/>
        <v>-5.062305295950198E-3</v>
      </c>
      <c r="DU140" s="850">
        <f t="shared" si="299"/>
        <v>-3.9084090011843653E-2</v>
      </c>
      <c r="DV140" s="850">
        <f t="shared" si="299"/>
        <v>8.0619539316918232E-2</v>
      </c>
      <c r="DW140" s="851"/>
      <c r="DX140" s="849"/>
      <c r="DY140" s="849"/>
      <c r="DZ140" s="849"/>
      <c r="EA140" s="849"/>
      <c r="EB140" s="851"/>
      <c r="EC140" s="849"/>
      <c r="ED140" s="849"/>
      <c r="EE140" s="849"/>
      <c r="EF140" s="849"/>
      <c r="EG140" s="851"/>
      <c r="EH140" s="849"/>
      <c r="EI140" s="849"/>
      <c r="EJ140" s="849"/>
      <c r="EK140" s="849"/>
      <c r="EL140" s="851"/>
    </row>
    <row r="141" spans="1:142" ht="11.25" customHeight="1">
      <c r="A141" s="848"/>
      <c r="B141" s="848" t="s">
        <v>140</v>
      </c>
      <c r="C141" s="1010"/>
      <c r="D141" s="1010" t="str">
        <f t="shared" ref="D141:AT141" si="300">IF(ISERROR(+D138/D156),"nm",+D138/D156)</f>
        <v>nm</v>
      </c>
      <c r="E141" s="1010" t="str">
        <f t="shared" si="300"/>
        <v>nm</v>
      </c>
      <c r="F141" s="1010" t="str">
        <f t="shared" si="300"/>
        <v>nm</v>
      </c>
      <c r="G141" s="1010" t="str">
        <f t="shared" si="300"/>
        <v>nm</v>
      </c>
      <c r="H141" s="1011" t="str">
        <f t="shared" si="300"/>
        <v>nm</v>
      </c>
      <c r="I141" s="1010" t="str">
        <f t="shared" si="300"/>
        <v>nm</v>
      </c>
      <c r="J141" s="1010" t="str">
        <f t="shared" si="300"/>
        <v>nm</v>
      </c>
      <c r="K141" s="1010" t="str">
        <f t="shared" si="300"/>
        <v>nm</v>
      </c>
      <c r="L141" s="1010" t="str">
        <f t="shared" si="300"/>
        <v>nm</v>
      </c>
      <c r="M141" s="1011" t="str">
        <f t="shared" si="300"/>
        <v>nm</v>
      </c>
      <c r="N141" s="1010" t="str">
        <f t="shared" si="300"/>
        <v>nm</v>
      </c>
      <c r="O141" s="1010" t="str">
        <f t="shared" si="300"/>
        <v>nm</v>
      </c>
      <c r="P141" s="1010" t="str">
        <f t="shared" si="300"/>
        <v>nm</v>
      </c>
      <c r="Q141" s="1010" t="str">
        <f t="shared" si="300"/>
        <v>nm</v>
      </c>
      <c r="R141" s="1011" t="str">
        <f t="shared" si="300"/>
        <v>nm</v>
      </c>
      <c r="S141" s="1010" t="str">
        <f t="shared" si="300"/>
        <v>nm</v>
      </c>
      <c r="T141" s="1010" t="str">
        <f t="shared" si="300"/>
        <v>nm</v>
      </c>
      <c r="U141" s="1010" t="str">
        <f t="shared" si="300"/>
        <v>nm</v>
      </c>
      <c r="V141" s="1010" t="str">
        <f t="shared" si="300"/>
        <v>nm</v>
      </c>
      <c r="W141" s="1011" t="str">
        <f t="shared" si="300"/>
        <v>nm</v>
      </c>
      <c r="X141" s="1010" t="str">
        <f t="shared" si="300"/>
        <v>nm</v>
      </c>
      <c r="Y141" s="1010" t="str">
        <f t="shared" si="300"/>
        <v>nm</v>
      </c>
      <c r="Z141" s="1010" t="str">
        <f t="shared" si="300"/>
        <v>nm</v>
      </c>
      <c r="AA141" s="1010" t="str">
        <f t="shared" si="300"/>
        <v>nm</v>
      </c>
      <c r="AB141" s="1011" t="str">
        <f t="shared" si="300"/>
        <v>nm</v>
      </c>
      <c r="AC141" s="1010" t="str">
        <f t="shared" si="300"/>
        <v>nm</v>
      </c>
      <c r="AD141" s="1010" t="str">
        <f t="shared" si="300"/>
        <v>nm</v>
      </c>
      <c r="AE141" s="1010" t="str">
        <f t="shared" si="300"/>
        <v>nm</v>
      </c>
      <c r="AF141" s="1010" t="str">
        <f t="shared" si="300"/>
        <v>nm</v>
      </c>
      <c r="AG141" s="1011" t="str">
        <f t="shared" si="300"/>
        <v>nm</v>
      </c>
      <c r="AH141" s="1010" t="str">
        <f t="shared" si="300"/>
        <v>nm</v>
      </c>
      <c r="AI141" s="1010" t="str">
        <f t="shared" si="300"/>
        <v>nm</v>
      </c>
      <c r="AJ141" s="1010" t="str">
        <f t="shared" si="300"/>
        <v>nm</v>
      </c>
      <c r="AK141" s="1010" t="str">
        <f t="shared" si="300"/>
        <v>nm</v>
      </c>
      <c r="AL141" s="1011" t="str">
        <f t="shared" si="300"/>
        <v>nm</v>
      </c>
      <c r="AM141" s="1010" t="str">
        <f t="shared" si="300"/>
        <v>nm</v>
      </c>
      <c r="AN141" s="1010" t="str">
        <f t="shared" si="300"/>
        <v>nm</v>
      </c>
      <c r="AO141" s="1010" t="str">
        <f t="shared" si="300"/>
        <v>nm</v>
      </c>
      <c r="AP141" s="1010" t="str">
        <f t="shared" si="300"/>
        <v>nm</v>
      </c>
      <c r="AQ141" s="1011" t="str">
        <f t="shared" si="300"/>
        <v>nm</v>
      </c>
      <c r="AR141" s="1010" t="str">
        <f t="shared" si="300"/>
        <v>nm</v>
      </c>
      <c r="AS141" s="1010" t="str">
        <f t="shared" si="300"/>
        <v>nm</v>
      </c>
      <c r="AT141" s="1010" t="str">
        <f t="shared" si="300"/>
        <v>nm</v>
      </c>
      <c r="AU141" s="802"/>
      <c r="AV141" s="1010" t="str">
        <f>IF(ISERROR(+AV138/AV156),"nm",+AV138/AV156)</f>
        <v>nm</v>
      </c>
      <c r="AW141" s="1010" t="str">
        <f>IF(ISERROR(+AW138/AW156),"nm",+AW138/AW156)</f>
        <v>nm</v>
      </c>
      <c r="AX141" s="1010" t="str">
        <f>IF(ISERROR(+AX138/AX156),"nm",+AX138/AX156)</f>
        <v>nm</v>
      </c>
      <c r="AY141" s="1010" t="str">
        <f>IF(ISERROR(+AY138/AY156),"nm",+AY138/AY156)</f>
        <v>nm</v>
      </c>
      <c r="AZ141" s="1011" t="str">
        <f>IF(ISERROR(+AZ138/AZ156),"nm",+AZ138/AZ156)</f>
        <v>nm</v>
      </c>
      <c r="BA141" s="850">
        <f t="shared" ref="BA141:CH141" si="301">+BA138/BA156</f>
        <v>0.65643105446118188</v>
      </c>
      <c r="BB141" s="850">
        <f t="shared" si="301"/>
        <v>0.64545723586860015</v>
      </c>
      <c r="BC141" s="850">
        <f t="shared" si="301"/>
        <v>0.64877161055505006</v>
      </c>
      <c r="BD141" s="850">
        <f t="shared" si="301"/>
        <v>0.64385338955562765</v>
      </c>
      <c r="BE141" s="850">
        <f t="shared" si="301"/>
        <v>0.6487775338732874</v>
      </c>
      <c r="BF141" s="850">
        <f t="shared" si="301"/>
        <v>0.66129636568002992</v>
      </c>
      <c r="BG141" s="850">
        <f t="shared" si="301"/>
        <v>0.65758754863813229</v>
      </c>
      <c r="BH141" s="850">
        <f t="shared" si="301"/>
        <v>0.65450819672131144</v>
      </c>
      <c r="BI141" s="850">
        <f t="shared" si="301"/>
        <v>0.66542288557213936</v>
      </c>
      <c r="BJ141" s="850">
        <f t="shared" si="301"/>
        <v>0.65954659949622163</v>
      </c>
      <c r="BK141" s="850">
        <f t="shared" si="301"/>
        <v>0.68012794882047178</v>
      </c>
      <c r="BL141" s="850">
        <f t="shared" si="301"/>
        <v>0.66033057851239674</v>
      </c>
      <c r="BM141" s="850">
        <f t="shared" si="301"/>
        <v>0.66959064327485385</v>
      </c>
      <c r="BN141" s="850">
        <f t="shared" si="301"/>
        <v>0.69160504567203129</v>
      </c>
      <c r="BO141" s="850">
        <f t="shared" si="301"/>
        <v>0.67526523819429995</v>
      </c>
      <c r="BP141" s="850">
        <f t="shared" si="301"/>
        <v>0.69469759734879866</v>
      </c>
      <c r="BQ141" s="850">
        <f t="shared" si="301"/>
        <v>0.67425968109339407</v>
      </c>
      <c r="BR141" s="850">
        <f t="shared" si="301"/>
        <v>0.66981577704298534</v>
      </c>
      <c r="BS141" s="850">
        <f t="shared" si="301"/>
        <v>0.68563561266636075</v>
      </c>
      <c r="BT141" s="850">
        <f t="shared" si="301"/>
        <v>0.68090971743625084</v>
      </c>
      <c r="BU141" s="850">
        <f t="shared" si="301"/>
        <v>0.67573497147871875</v>
      </c>
      <c r="BV141" s="850">
        <f t="shared" si="301"/>
        <v>0.66921005385996413</v>
      </c>
      <c r="BW141" s="850">
        <f t="shared" si="301"/>
        <v>0.67088607594936711</v>
      </c>
      <c r="BX141" s="850">
        <f t="shared" si="301"/>
        <v>0.6739227010217681</v>
      </c>
      <c r="BY141" s="850">
        <f t="shared" si="301"/>
        <v>0.6737044145873321</v>
      </c>
      <c r="BZ141" s="850">
        <f t="shared" si="301"/>
        <v>0.68072543230704341</v>
      </c>
      <c r="CA141" s="850">
        <f t="shared" si="301"/>
        <v>0.65888278388278387</v>
      </c>
      <c r="CB141" s="850">
        <f t="shared" si="301"/>
        <v>0.65523632993512515</v>
      </c>
      <c r="CC141" s="850">
        <f t="shared" si="301"/>
        <v>0.66150341685649205</v>
      </c>
      <c r="CD141" s="850">
        <f t="shared" si="301"/>
        <v>0.66339718439879991</v>
      </c>
      <c r="CE141" s="850">
        <f t="shared" si="301"/>
        <v>0.66871434839842037</v>
      </c>
      <c r="CF141" s="850">
        <f t="shared" si="301"/>
        <v>0.64647824136384024</v>
      </c>
      <c r="CG141" s="850">
        <f t="shared" si="301"/>
        <v>0.6480990274093722</v>
      </c>
      <c r="CH141" s="850">
        <f t="shared" si="301"/>
        <v>0.65501990269792132</v>
      </c>
      <c r="CI141" s="851">
        <f>+CI138/CI156</f>
        <v>0.65463403831247924</v>
      </c>
      <c r="CJ141" s="850">
        <f>+CJ138/CJ156</f>
        <v>0.66011115861479264</v>
      </c>
      <c r="CK141" s="850">
        <f>+CK138/CK156</f>
        <v>0.6417716022579244</v>
      </c>
      <c r="CL141" s="850">
        <f t="shared" ref="CL141:DC141" si="302">+CL138/CL156</f>
        <v>0.63218390804597702</v>
      </c>
      <c r="CM141" s="850">
        <f t="shared" si="302"/>
        <v>0.64189482833550626</v>
      </c>
      <c r="CN141" s="851">
        <f t="shared" si="302"/>
        <v>0.64410646387832704</v>
      </c>
      <c r="CO141" s="850">
        <f t="shared" si="302"/>
        <v>0.66652943598188552</v>
      </c>
      <c r="CP141" s="850">
        <f t="shared" si="302"/>
        <v>0.63739130434782609</v>
      </c>
      <c r="CQ141" s="850">
        <f t="shared" si="302"/>
        <v>0.63084316295325471</v>
      </c>
      <c r="CR141" s="850">
        <f t="shared" si="302"/>
        <v>0.63705907352316193</v>
      </c>
      <c r="CS141" s="851">
        <f t="shared" si="302"/>
        <v>0.6432611247465585</v>
      </c>
      <c r="CT141" s="850">
        <f t="shared" si="302"/>
        <v>0.64512244078683256</v>
      </c>
      <c r="CU141" s="850">
        <f t="shared" si="302"/>
        <v>0.63054989816700613</v>
      </c>
      <c r="CV141" s="850">
        <f t="shared" si="302"/>
        <v>0.61845900288421918</v>
      </c>
      <c r="CW141" s="850">
        <f t="shared" si="302"/>
        <v>0.61003555906756224</v>
      </c>
      <c r="CX141" s="851">
        <f t="shared" si="302"/>
        <v>0.62600969305331178</v>
      </c>
      <c r="CY141" s="850">
        <f t="shared" si="302"/>
        <v>0.59213569776407093</v>
      </c>
      <c r="CZ141" s="850">
        <f t="shared" si="302"/>
        <v>0.58653480410802583</v>
      </c>
      <c r="DA141" s="850">
        <f t="shared" si="302"/>
        <v>0.57372039724980906</v>
      </c>
      <c r="DB141" s="850">
        <f t="shared" si="302"/>
        <v>0.56035908339239315</v>
      </c>
      <c r="DC141" s="851">
        <f t="shared" si="302"/>
        <v>0.57578267351333445</v>
      </c>
      <c r="DD141" s="850">
        <f t="shared" ref="DD141:EG141" si="303">+DD138/DD156</f>
        <v>0.56665118439386897</v>
      </c>
      <c r="DE141" s="850">
        <f t="shared" si="303"/>
        <v>0.5486015589179275</v>
      </c>
      <c r="DF141" s="850">
        <f t="shared" si="303"/>
        <v>0.55623306233062331</v>
      </c>
      <c r="DG141" s="850">
        <f t="shared" si="303"/>
        <v>0.56364013266998336</v>
      </c>
      <c r="DH141" s="851">
        <f t="shared" si="303"/>
        <v>0.5588727678571429</v>
      </c>
      <c r="DI141" s="850">
        <f t="shared" si="303"/>
        <v>0.56167814652473391</v>
      </c>
      <c r="DJ141" s="850">
        <f t="shared" si="303"/>
        <v>0.54851526557925556</v>
      </c>
      <c r="DK141" s="850">
        <f t="shared" si="303"/>
        <v>0.55124947056332063</v>
      </c>
      <c r="DL141" s="850">
        <f t="shared" si="303"/>
        <v>0.54654414702357168</v>
      </c>
      <c r="DM141" s="851">
        <f t="shared" si="303"/>
        <v>0.55194031397336929</v>
      </c>
      <c r="DN141" s="850">
        <f t="shared" si="303"/>
        <v>0.55612244897959184</v>
      </c>
      <c r="DO141" s="850">
        <f t="shared" si="303"/>
        <v>0.54188647393964973</v>
      </c>
      <c r="DP141" s="850">
        <f t="shared" si="303"/>
        <v>0.53640721296507643</v>
      </c>
      <c r="DQ141" s="850">
        <f t="shared" si="303"/>
        <v>0.54925775978407554</v>
      </c>
      <c r="DR141" s="851">
        <f t="shared" si="303"/>
        <v>0.54603174603174598</v>
      </c>
      <c r="DS141" s="850">
        <f t="shared" si="303"/>
        <v>0.5502746092099704</v>
      </c>
      <c r="DT141" s="850">
        <f t="shared" si="303"/>
        <v>0.54264392324093813</v>
      </c>
      <c r="DU141" s="850">
        <f t="shared" si="303"/>
        <v>0.5356182795698925</v>
      </c>
      <c r="DV141" s="850">
        <f t="shared" ref="DV141" si="304">+DV138/DV156</f>
        <v>0.56772698546450395</v>
      </c>
      <c r="DW141" s="851">
        <f t="shared" si="303"/>
        <v>0.54928897236383145</v>
      </c>
      <c r="DX141" s="850">
        <f t="shared" si="303"/>
        <v>0.52957590544888822</v>
      </c>
      <c r="DY141" s="850">
        <f t="shared" si="303"/>
        <v>0.52357924162172798</v>
      </c>
      <c r="DZ141" s="850">
        <f t="shared" si="303"/>
        <v>0.51913424643853112</v>
      </c>
      <c r="EA141" s="850">
        <f t="shared" si="303"/>
        <v>0.53994476606832609</v>
      </c>
      <c r="EB141" s="851">
        <f t="shared" si="303"/>
        <v>0.52813258564674026</v>
      </c>
      <c r="EC141" s="850">
        <f t="shared" si="303"/>
        <v>0.50664875495988415</v>
      </c>
      <c r="ED141" s="850">
        <f t="shared" si="303"/>
        <v>0.5098966805655768</v>
      </c>
      <c r="EE141" s="850">
        <f t="shared" si="303"/>
        <v>0.51511149022538139</v>
      </c>
      <c r="EF141" s="850">
        <f t="shared" si="303"/>
        <v>0.5450054331042522</v>
      </c>
      <c r="EG141" s="851">
        <f t="shared" si="303"/>
        <v>0.5194277840522834</v>
      </c>
      <c r="EH141" s="850">
        <f t="shared" ref="EH141:EL141" si="305">+EH138/EH156</f>
        <v>0.51110449709242334</v>
      </c>
      <c r="EI141" s="850">
        <f t="shared" si="305"/>
        <v>0.51373218604042536</v>
      </c>
      <c r="EJ141" s="850">
        <f t="shared" si="305"/>
        <v>0.51830969776813374</v>
      </c>
      <c r="EK141" s="850">
        <f t="shared" si="305"/>
        <v>0.54759431866906738</v>
      </c>
      <c r="EL141" s="851">
        <f t="shared" si="305"/>
        <v>0.52292293887992025</v>
      </c>
    </row>
    <row r="142" spans="1:142" ht="11.25" customHeight="1">
      <c r="A142" s="555"/>
      <c r="B142" s="555"/>
      <c r="C142" s="555"/>
      <c r="D142" s="555"/>
      <c r="E142" s="555"/>
      <c r="F142" s="555"/>
      <c r="G142" s="555"/>
      <c r="H142" s="802"/>
      <c r="I142" s="555"/>
      <c r="J142" s="555"/>
      <c r="K142" s="555"/>
      <c r="L142" s="555"/>
      <c r="M142" s="802"/>
      <c r="N142" s="555"/>
      <c r="O142" s="555"/>
      <c r="P142" s="555"/>
      <c r="Q142" s="555"/>
      <c r="R142" s="802"/>
      <c r="S142" s="555"/>
      <c r="T142" s="555"/>
      <c r="U142" s="555"/>
      <c r="V142" s="555"/>
      <c r="W142" s="802"/>
      <c r="X142" s="555"/>
      <c r="Y142" s="555"/>
      <c r="Z142" s="555"/>
      <c r="AA142" s="555"/>
      <c r="AB142" s="802"/>
      <c r="AC142" s="555"/>
      <c r="AD142" s="555"/>
      <c r="AE142" s="555"/>
      <c r="AF142" s="555"/>
      <c r="AG142" s="802"/>
      <c r="AH142" s="555"/>
      <c r="AI142" s="555"/>
      <c r="AJ142" s="555"/>
      <c r="AK142" s="555"/>
      <c r="AL142" s="802"/>
      <c r="AM142" s="555"/>
      <c r="AN142" s="555"/>
      <c r="AO142" s="555"/>
      <c r="AP142" s="555"/>
      <c r="AQ142" s="802"/>
      <c r="AR142" s="555"/>
      <c r="AS142" s="555"/>
      <c r="AT142" s="555"/>
      <c r="AU142" s="802"/>
      <c r="AV142" s="555"/>
      <c r="AW142" s="555"/>
      <c r="AX142" s="555"/>
      <c r="AY142" s="555"/>
      <c r="AZ142" s="802"/>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802"/>
      <c r="CJ142" s="555"/>
      <c r="CK142" s="555"/>
      <c r="CL142" s="555"/>
      <c r="CM142" s="555"/>
      <c r="CN142" s="802"/>
      <c r="CO142" s="555"/>
      <c r="CP142" s="555"/>
      <c r="CQ142" s="555"/>
      <c r="CR142" s="555"/>
      <c r="CS142" s="802"/>
      <c r="CT142" s="555"/>
      <c r="CU142" s="555"/>
      <c r="CV142" s="555"/>
      <c r="CW142" s="555"/>
      <c r="CX142" s="802"/>
      <c r="CY142" s="555"/>
      <c r="CZ142" s="555"/>
      <c r="DA142" s="555"/>
      <c r="DB142" s="555"/>
      <c r="DC142" s="802"/>
      <c r="DD142" s="555"/>
      <c r="DE142" s="555"/>
      <c r="DF142" s="555"/>
      <c r="DG142" s="555"/>
      <c r="DH142" s="802"/>
      <c r="DI142" s="555"/>
      <c r="DJ142" s="555"/>
      <c r="DK142" s="555"/>
      <c r="DL142" s="555"/>
      <c r="DM142" s="802"/>
      <c r="DN142" s="555"/>
      <c r="DO142" s="555"/>
      <c r="DP142" s="555"/>
      <c r="DQ142" s="555"/>
      <c r="DR142" s="802"/>
      <c r="DS142" s="555"/>
      <c r="DT142" s="555"/>
      <c r="DU142" s="555"/>
      <c r="DV142" s="555"/>
      <c r="DW142" s="802"/>
      <c r="DX142" s="555"/>
      <c r="DY142" s="555"/>
      <c r="DZ142" s="555"/>
      <c r="EA142" s="555"/>
      <c r="EB142" s="802"/>
      <c r="EC142" s="555"/>
      <c r="ED142" s="555"/>
      <c r="EE142" s="555"/>
      <c r="EF142" s="555"/>
      <c r="EG142" s="802"/>
      <c r="EH142" s="555"/>
      <c r="EI142" s="555"/>
      <c r="EJ142" s="555"/>
      <c r="EK142" s="555"/>
      <c r="EL142" s="802"/>
    </row>
    <row r="143" spans="1:142" ht="11.25" customHeight="1">
      <c r="A143" s="804"/>
      <c r="B143" s="804" t="s">
        <v>141</v>
      </c>
      <c r="C143" s="1119"/>
      <c r="D143" s="1119" t="str">
        <f>IF(ISERROR(#REF!*#REF!/1000000),"nm",#REF!*#REF!/1000000)</f>
        <v>nm</v>
      </c>
      <c r="E143" s="1119" t="str">
        <f>IF(ISERROR(#REF!*#REF!/1000000),"nm",#REF!*#REF!/1000000)</f>
        <v>nm</v>
      </c>
      <c r="F143" s="1119" t="str">
        <f>IF(ISERROR(#REF!*#REF!/1000000),"nm",#REF!*#REF!/1000000)</f>
        <v>nm</v>
      </c>
      <c r="G143" s="1119" t="str">
        <f>IF(ISERROR(#REF!*#REF!/1000000),"nm",#REF!*#REF!/1000000)</f>
        <v>nm</v>
      </c>
      <c r="H143" s="1120" t="str">
        <f>IF(ISERROR(#REF!*#REF!/1000000),"nm",#REF!*#REF!/1000000)</f>
        <v>nm</v>
      </c>
      <c r="I143" s="1119" t="str">
        <f>IF(ISERROR(#REF!*#REF!/1000000),"nm",#REF!*#REF!/1000000)</f>
        <v>nm</v>
      </c>
      <c r="J143" s="1119" t="str">
        <f>IF(ISERROR(#REF!*#REF!/1000000),"nm",#REF!*#REF!/1000000)</f>
        <v>nm</v>
      </c>
      <c r="K143" s="1119" t="str">
        <f>IF(ISERROR(#REF!*#REF!/1000000),"nm",#REF!*#REF!/1000000)</f>
        <v>nm</v>
      </c>
      <c r="L143" s="1119" t="str">
        <f>IF(ISERROR(#REF!*#REF!/1000000),"nm",#REF!*#REF!/1000000)</f>
        <v>nm</v>
      </c>
      <c r="M143" s="1120" t="str">
        <f>IF(ISERROR(#REF!*#REF!/1000000),"nm",#REF!*#REF!/1000000)</f>
        <v>nm</v>
      </c>
      <c r="N143" s="1119" t="str">
        <f>IF(ISERROR(#REF!*#REF!/1000000),"nm",#REF!*#REF!/1000000)</f>
        <v>nm</v>
      </c>
      <c r="O143" s="1119" t="str">
        <f>IF(ISERROR(#REF!*#REF!/1000000),"nm",#REF!*#REF!/1000000)</f>
        <v>nm</v>
      </c>
      <c r="P143" s="1119" t="str">
        <f>IF(ISERROR(#REF!*#REF!/1000000),"nm",#REF!*#REF!/1000000)</f>
        <v>nm</v>
      </c>
      <c r="Q143" s="1119" t="str">
        <f>IF(ISERROR(#REF!*#REF!/1000000),"nm",#REF!*#REF!/1000000)</f>
        <v>nm</v>
      </c>
      <c r="R143" s="1120" t="str">
        <f>IF(ISERROR(#REF!*#REF!/1000000),"nm",#REF!*#REF!/1000000)</f>
        <v>nm</v>
      </c>
      <c r="S143" s="1119" t="str">
        <f>IF(ISERROR(#REF!*#REF!/1000000),"nm",#REF!*#REF!/1000000)</f>
        <v>nm</v>
      </c>
      <c r="T143" s="1119" t="str">
        <f>IF(ISERROR(#REF!*#REF!/1000000),"nm",#REF!*#REF!/1000000)</f>
        <v>nm</v>
      </c>
      <c r="U143" s="1119" t="str">
        <f>IF(ISERROR(#REF!*#REF!/1000000),"nm",#REF!*#REF!/1000000)</f>
        <v>nm</v>
      </c>
      <c r="V143" s="1119" t="str">
        <f>IF(ISERROR(#REF!*#REF!/1000000),"nm",#REF!*#REF!/1000000)</f>
        <v>nm</v>
      </c>
      <c r="W143" s="1120" t="str">
        <f>IF(ISERROR(#REF!*#REF!/1000000),"nm",#REF!*#REF!/1000000)</f>
        <v>nm</v>
      </c>
      <c r="X143" s="1119" t="str">
        <f>IF(ISERROR(#REF!*#REF!/1000000),"nm",#REF!*#REF!/1000000)</f>
        <v>nm</v>
      </c>
      <c r="Y143" s="1119" t="str">
        <f>IF(ISERROR(#REF!*#REF!/1000000),"nm",#REF!*#REF!/1000000)</f>
        <v>nm</v>
      </c>
      <c r="Z143" s="1119" t="str">
        <f>IF(ISERROR(#REF!*#REF!/1000000),"nm",#REF!*#REF!/1000000)</f>
        <v>nm</v>
      </c>
      <c r="AA143" s="1119" t="str">
        <f>IF(ISERROR(#REF!*#REF!/1000000),"nm",#REF!*#REF!/1000000)</f>
        <v>nm</v>
      </c>
      <c r="AB143" s="1120" t="str">
        <f>IF(ISERROR(#REF!*#REF!/1000000),"nm",#REF!*#REF!/1000000)</f>
        <v>nm</v>
      </c>
      <c r="AC143" s="1119" t="str">
        <f>IF(ISERROR(#REF!*#REF!/1000000),"nm",#REF!*#REF!/1000000)</f>
        <v>nm</v>
      </c>
      <c r="AD143" s="1119" t="str">
        <f>IF(ISERROR(#REF!*#REF!/1000000),"nm",#REF!*#REF!/1000000)</f>
        <v>nm</v>
      </c>
      <c r="AE143" s="1119" t="str">
        <f>IF(ISERROR(#REF!*#REF!/1000000),"nm",#REF!*#REF!/1000000)</f>
        <v>nm</v>
      </c>
      <c r="AF143" s="1119" t="str">
        <f>IF(ISERROR(#REF!*#REF!/1000000),"nm",#REF!*#REF!/1000000)</f>
        <v>nm</v>
      </c>
      <c r="AG143" s="1120" t="str">
        <f>IF(ISERROR(#REF!*#REF!/1000000),"nm",#REF!*#REF!/1000000)</f>
        <v>nm</v>
      </c>
      <c r="AH143" s="1119" t="str">
        <f>IF(ISERROR(#REF!*#REF!/1000000),"nm",#REF!*#REF!/1000000)</f>
        <v>nm</v>
      </c>
      <c r="AI143" s="1119" t="str">
        <f>IF(ISERROR(#REF!*#REF!/1000000),"nm",#REF!*#REF!/1000000)</f>
        <v>nm</v>
      </c>
      <c r="AJ143" s="1119" t="str">
        <f>IF(ISERROR(#REF!*#REF!/1000000),"nm",#REF!*#REF!/1000000)</f>
        <v>nm</v>
      </c>
      <c r="AK143" s="1119" t="str">
        <f>IF(ISERROR(#REF!*#REF!/1000000),"nm",#REF!*#REF!/1000000)</f>
        <v>nm</v>
      </c>
      <c r="AL143" s="1120" t="str">
        <f>IF(ISERROR(#REF!*#REF!/1000000),"nm",#REF!*#REF!/1000000)</f>
        <v>nm</v>
      </c>
      <c r="AM143" s="1119" t="str">
        <f>IF(ISERROR(#REF!*#REF!/1000000),"nm",#REF!*#REF!/1000000)</f>
        <v>nm</v>
      </c>
      <c r="AN143" s="1119" t="str">
        <f>IF(ISERROR(#REF!*#REF!/1000000),"nm",#REF!*#REF!/1000000)</f>
        <v>nm</v>
      </c>
      <c r="AO143" s="1119" t="str">
        <f>IF(ISERROR(#REF!*#REF!/1000000),"nm",#REF!*#REF!/1000000)</f>
        <v>nm</v>
      </c>
      <c r="AP143" s="1119" t="str">
        <f>IF(ISERROR(#REF!*#REF!/1000000),"nm",#REF!*#REF!/1000000)</f>
        <v>nm</v>
      </c>
      <c r="AQ143" s="1120" t="str">
        <f>IF(ISERROR(#REF!*#REF!/1000000),"nm",#REF!*#REF!/1000000)</f>
        <v>nm</v>
      </c>
      <c r="AR143" s="1119" t="str">
        <f>IF(ISERROR(#REF!*#REF!/1000000),"nm",#REF!*#REF!/1000000)</f>
        <v>nm</v>
      </c>
      <c r="AS143" s="1119" t="str">
        <f>IF(ISERROR(#REF!*#REF!/1000000),"nm",#REF!*#REF!/1000000)</f>
        <v>nm</v>
      </c>
      <c r="AT143" s="1119" t="str">
        <f>IF(ISERROR(#REF!*#REF!/1000000),"nm",#REF!*#REF!/1000000)</f>
        <v>nm</v>
      </c>
      <c r="AU143" s="802"/>
      <c r="AV143" s="1119" t="str">
        <f>IF(ISERROR(#REF!*#REF!/1000000),"nm",#REF!*#REF!/1000000)</f>
        <v>nm</v>
      </c>
      <c r="AW143" s="1119" t="str">
        <f>IF(ISERROR(#REF!*#REF!/1000000),"nm",#REF!*#REF!/1000000)</f>
        <v>nm</v>
      </c>
      <c r="AX143" s="1119" t="str">
        <f>IF(ISERROR(#REF!*#REF!/1000000),"nm",#REF!*#REF!/1000000)</f>
        <v>nm</v>
      </c>
      <c r="AY143" s="1119" t="str">
        <f>IF(ISERROR(#REF!*#REF!/1000000),"nm",#REF!*#REF!/1000000)</f>
        <v>nm</v>
      </c>
      <c r="AZ143" s="924">
        <f>SUM(AV143:AY143)</f>
        <v>0</v>
      </c>
      <c r="BA143" s="153">
        <f t="shared" ref="BA143:CH143" si="306">BA278</f>
        <v>1012</v>
      </c>
      <c r="BB143" s="153">
        <f t="shared" si="306"/>
        <v>1014</v>
      </c>
      <c r="BC143" s="153">
        <f t="shared" si="306"/>
        <v>1006</v>
      </c>
      <c r="BD143" s="153">
        <f t="shared" si="306"/>
        <v>929</v>
      </c>
      <c r="BE143" s="153">
        <f t="shared" si="306"/>
        <v>3961</v>
      </c>
      <c r="BF143" s="153">
        <f t="shared" si="306"/>
        <v>808</v>
      </c>
      <c r="BG143" s="153">
        <f t="shared" si="306"/>
        <v>781</v>
      </c>
      <c r="BH143" s="153">
        <f t="shared" si="306"/>
        <v>751</v>
      </c>
      <c r="BI143" s="153">
        <f t="shared" si="306"/>
        <v>714</v>
      </c>
      <c r="BJ143" s="153">
        <f t="shared" si="306"/>
        <v>2999</v>
      </c>
      <c r="BK143" s="153">
        <f t="shared" si="306"/>
        <v>709</v>
      </c>
      <c r="BL143" s="153">
        <f t="shared" si="306"/>
        <v>727</v>
      </c>
      <c r="BM143" s="153">
        <f t="shared" si="306"/>
        <v>708</v>
      </c>
      <c r="BN143" s="153">
        <f t="shared" si="306"/>
        <v>641</v>
      </c>
      <c r="BO143" s="153">
        <f t="shared" si="306"/>
        <v>2785</v>
      </c>
      <c r="BP143" s="153">
        <f t="shared" si="306"/>
        <v>664</v>
      </c>
      <c r="BQ143" s="153">
        <f t="shared" si="306"/>
        <v>632</v>
      </c>
      <c r="BR143" s="153">
        <f t="shared" si="306"/>
        <v>623</v>
      </c>
      <c r="BS143" s="153">
        <f t="shared" si="306"/>
        <v>622</v>
      </c>
      <c r="BT143" s="153">
        <f t="shared" si="306"/>
        <v>2483</v>
      </c>
      <c r="BU143" s="153">
        <f t="shared" si="306"/>
        <v>657</v>
      </c>
      <c r="BV143" s="153">
        <f t="shared" si="306"/>
        <v>667</v>
      </c>
      <c r="BW143" s="153">
        <f t="shared" si="306"/>
        <v>654</v>
      </c>
      <c r="BX143" s="153">
        <f t="shared" si="306"/>
        <v>660</v>
      </c>
      <c r="BY143" s="153">
        <f t="shared" si="306"/>
        <v>2590</v>
      </c>
      <c r="BZ143" s="153">
        <f t="shared" si="306"/>
        <v>683</v>
      </c>
      <c r="CA143" s="153">
        <f t="shared" si="306"/>
        <v>670</v>
      </c>
      <c r="CB143" s="153">
        <f t="shared" si="306"/>
        <v>664</v>
      </c>
      <c r="CC143" s="153">
        <f t="shared" si="306"/>
        <v>654</v>
      </c>
      <c r="CD143" s="153">
        <f t="shared" si="306"/>
        <v>2599</v>
      </c>
      <c r="CE143" s="153">
        <f t="shared" si="306"/>
        <v>674</v>
      </c>
      <c r="CF143" s="153">
        <f t="shared" si="306"/>
        <v>702</v>
      </c>
      <c r="CG143" s="153">
        <f t="shared" si="306"/>
        <v>709</v>
      </c>
      <c r="CH143" s="153">
        <f t="shared" si="306"/>
        <v>691</v>
      </c>
      <c r="CI143" s="924">
        <f>SUM(CE143:CH143)</f>
        <v>2776</v>
      </c>
      <c r="CJ143" s="153">
        <f>CJ278</f>
        <v>706</v>
      </c>
      <c r="CK143" s="153">
        <f>CK278</f>
        <v>733</v>
      </c>
      <c r="CL143" s="153">
        <f>CL278</f>
        <v>734</v>
      </c>
      <c r="CM143" s="153">
        <f>CM278</f>
        <v>730</v>
      </c>
      <c r="CN143" s="924">
        <f>SUM(CJ143:CM143)</f>
        <v>2903</v>
      </c>
      <c r="CO143" s="153">
        <f>CO278</f>
        <v>720</v>
      </c>
      <c r="CP143" s="153">
        <f>CP278</f>
        <v>738</v>
      </c>
      <c r="CQ143" s="153">
        <f>CQ278</f>
        <v>734</v>
      </c>
      <c r="CR143" s="153">
        <f>CR278</f>
        <v>736</v>
      </c>
      <c r="CS143" s="924">
        <f>SUM(CO143:CR143)</f>
        <v>2928</v>
      </c>
      <c r="CT143" s="153">
        <f>CT278</f>
        <v>766</v>
      </c>
      <c r="CU143" s="153">
        <f>CU278</f>
        <v>791</v>
      </c>
      <c r="CV143" s="153">
        <f>CV278</f>
        <v>789</v>
      </c>
      <c r="CW143" s="153">
        <f>CW278</f>
        <v>821</v>
      </c>
      <c r="CX143" s="924">
        <f>SUM(CT143:CW143)</f>
        <v>3167</v>
      </c>
      <c r="CY143" s="153">
        <f>CY278</f>
        <v>813</v>
      </c>
      <c r="CZ143" s="153">
        <f>CZ278</f>
        <v>844</v>
      </c>
      <c r="DA143" s="153">
        <f>DA278</f>
        <v>845</v>
      </c>
      <c r="DB143" s="153">
        <f>DB278</f>
        <v>1357</v>
      </c>
      <c r="DC143" s="924">
        <f>SUM(CY143:DB143)</f>
        <v>3859</v>
      </c>
      <c r="DD143" s="153">
        <f>DD278</f>
        <v>1346</v>
      </c>
      <c r="DE143" s="153">
        <f>DE278</f>
        <v>1448</v>
      </c>
      <c r="DF143" s="153">
        <f>DF278</f>
        <v>1441</v>
      </c>
      <c r="DG143" s="153">
        <f>DG278</f>
        <v>1539</v>
      </c>
      <c r="DH143" s="924">
        <f>SUM(DD143:DG143)</f>
        <v>5774</v>
      </c>
      <c r="DI143" s="153">
        <f>DI315</f>
        <v>1412</v>
      </c>
      <c r="DJ143" s="153">
        <f>DJ315</f>
        <v>1484</v>
      </c>
      <c r="DK143" s="153">
        <f>DK315</f>
        <v>1515</v>
      </c>
      <c r="DL143" s="153">
        <f>DL315</f>
        <v>1616</v>
      </c>
      <c r="DM143" s="924">
        <f>SUM(DI143:DL143)</f>
        <v>6027</v>
      </c>
      <c r="DN143" s="153">
        <f>DN315</f>
        <v>1400</v>
      </c>
      <c r="DO143" s="153">
        <f>DO315</f>
        <v>1451</v>
      </c>
      <c r="DP143" s="153">
        <f>DP315</f>
        <v>1333</v>
      </c>
      <c r="DQ143" s="153">
        <f>DQ315</f>
        <v>1340</v>
      </c>
      <c r="DR143" s="924">
        <f>SUM(DN143:DQ143)</f>
        <v>5524</v>
      </c>
      <c r="DS143" s="153">
        <f>DS315</f>
        <v>1463</v>
      </c>
      <c r="DT143" s="153">
        <f>DT315</f>
        <v>1491</v>
      </c>
      <c r="DU143" s="153">
        <f>DU315</f>
        <v>1386</v>
      </c>
      <c r="DV143" s="153">
        <f>DV315</f>
        <v>1431</v>
      </c>
      <c r="DW143" s="924">
        <f>SUM(DS143:DV143)</f>
        <v>5771</v>
      </c>
      <c r="DX143" s="153">
        <f>DS143*(1+DX144)</f>
        <v>1470.3149999999998</v>
      </c>
      <c r="DY143" s="153">
        <f t="shared" ref="DY143:EA143" si="307">DT143*(1+DY144)</f>
        <v>1498.4549999999999</v>
      </c>
      <c r="DZ143" s="153">
        <f t="shared" si="307"/>
        <v>1392.9299999999998</v>
      </c>
      <c r="EA143" s="153">
        <f t="shared" si="307"/>
        <v>1438.1549999999997</v>
      </c>
      <c r="EB143" s="924">
        <f>SUM(DX143:EA143)</f>
        <v>5799.8549999999987</v>
      </c>
      <c r="EC143" s="153">
        <f>DX143*(1+EC144)</f>
        <v>1492.3697249999998</v>
      </c>
      <c r="ED143" s="153">
        <f t="shared" ref="ED143" si="308">DY143*(1+ED144)</f>
        <v>1520.9318249999999</v>
      </c>
      <c r="EE143" s="153">
        <f t="shared" ref="EE143" si="309">DZ143*(1+EE144)</f>
        <v>1413.8239499999997</v>
      </c>
      <c r="EF143" s="153">
        <f t="shared" ref="EF143" si="310">EA143*(1+EF144)</f>
        <v>1459.7273249999996</v>
      </c>
      <c r="EG143" s="924">
        <f>SUM(EC143:EF143)</f>
        <v>5886.852824999999</v>
      </c>
      <c r="EH143" s="153">
        <f>EC143*(1+EH144)</f>
        <v>1514.7552708749997</v>
      </c>
      <c r="EI143" s="153">
        <f t="shared" ref="EI143" si="311">ED143*(1+EI144)</f>
        <v>1543.7458023749998</v>
      </c>
      <c r="EJ143" s="153">
        <f t="shared" ref="EJ143" si="312">EE143*(1+EJ144)</f>
        <v>1435.0313092499996</v>
      </c>
      <c r="EK143" s="153">
        <f t="shared" ref="EK143" si="313">EF143*(1+EK144)</f>
        <v>1481.6232348749995</v>
      </c>
      <c r="EL143" s="924">
        <f>SUM(EH143:EK143)</f>
        <v>5975.1556173749996</v>
      </c>
    </row>
    <row r="144" spans="1:142" s="680" customFormat="1" ht="11.25" customHeight="1">
      <c r="A144" s="848"/>
      <c r="B144" s="848" t="s">
        <v>133</v>
      </c>
      <c r="C144" s="1012"/>
      <c r="D144" s="1012"/>
      <c r="E144" s="1012"/>
      <c r="F144" s="1012"/>
      <c r="G144" s="1012"/>
      <c r="H144" s="1011"/>
      <c r="I144" s="1010" t="str">
        <f>IF(ISERROR(I143/D73-1),"nm",I143/D73-1)</f>
        <v>nm</v>
      </c>
      <c r="J144" s="1010" t="str">
        <f>IF(ISERROR(J143/E73-1),"nm",J143/E73-1)</f>
        <v>nm</v>
      </c>
      <c r="K144" s="1010" t="str">
        <f>IF(ISERROR(K143/F73-1),"nm",K143/F73-1)</f>
        <v>nm</v>
      </c>
      <c r="L144" s="1010" t="str">
        <f>IF(ISERROR(L143/G73-1),"nm",L143/G73-1)</f>
        <v>nm</v>
      </c>
      <c r="M144" s="1011" t="s">
        <v>89</v>
      </c>
      <c r="N144" s="1010" t="str">
        <f>IF(ISERROR(N143/I73-1),"nm",N143/I73-1)</f>
        <v>nm</v>
      </c>
      <c r="O144" s="1010" t="str">
        <f>IF(ISERROR(O143/J73-1),"nm",O143/J73-1)</f>
        <v>nm</v>
      </c>
      <c r="P144" s="1010" t="str">
        <f>IF(ISERROR(P143/K73-1),"nm",P143/K73-1)</f>
        <v>nm</v>
      </c>
      <c r="Q144" s="1010" t="str">
        <f>IF(ISERROR(Q143/L73-1),"nm",Q143/L73-1)</f>
        <v>nm</v>
      </c>
      <c r="R144" s="1011" t="s">
        <v>89</v>
      </c>
      <c r="S144" s="1010" t="str">
        <f>IF(ISERROR(S143/N73-1),"nm",S143/N73-1)</f>
        <v>nm</v>
      </c>
      <c r="T144" s="1010" t="str">
        <f>IF(ISERROR(T143/O73-1),"nm",T143/O73-1)</f>
        <v>nm</v>
      </c>
      <c r="U144" s="1010" t="str">
        <f>IF(ISERROR(U143/P73-1),"nm",U143/P73-1)</f>
        <v>nm</v>
      </c>
      <c r="V144" s="1010" t="str">
        <f>IF(ISERROR(V143/Q73-1),"nm",V143/Q73-1)</f>
        <v>nm</v>
      </c>
      <c r="W144" s="1011" t="s">
        <v>89</v>
      </c>
      <c r="X144" s="1010" t="str">
        <f>IF(ISERROR(X143/S73-1),"nm",X143/S73-1)</f>
        <v>nm</v>
      </c>
      <c r="Y144" s="1010" t="str">
        <f>IF(ISERROR(Y143/T73-1),"nm",Y143/T73-1)</f>
        <v>nm</v>
      </c>
      <c r="Z144" s="1010" t="str">
        <f>IF(ISERROR(Z143/U73-1),"nm",Z143/U73-1)</f>
        <v>nm</v>
      </c>
      <c r="AA144" s="1010" t="str">
        <f>IF(ISERROR(AA143/V73-1),"nm",AA143/V73-1)</f>
        <v>nm</v>
      </c>
      <c r="AB144" s="1011" t="s">
        <v>89</v>
      </c>
      <c r="AC144" s="1010" t="str">
        <f>IF(ISERROR(AC143/X73-1),"nm",AC143/X73-1)</f>
        <v>nm</v>
      </c>
      <c r="AD144" s="1010" t="str">
        <f>IF(ISERROR(AD143/Y73-1),"nm",AD143/Y73-1)</f>
        <v>nm</v>
      </c>
      <c r="AE144" s="1010" t="str">
        <f>IF(ISERROR(AE143/Z73-1),"nm",AE143/Z73-1)</f>
        <v>nm</v>
      </c>
      <c r="AF144" s="1010" t="str">
        <f>IF(ISERROR(AF143/AA73-1),"nm",AF143/AA73-1)</f>
        <v>nm</v>
      </c>
      <c r="AG144" s="1011" t="s">
        <v>89</v>
      </c>
      <c r="AH144" s="1010" t="str">
        <f>IF(ISERROR(AH143/AC73-1),"nm",AH143/AC73-1)</f>
        <v>nm</v>
      </c>
      <c r="AI144" s="1010" t="str">
        <f>IF(ISERROR(AI143/AD73-1),"nm",AI143/AD73-1)</f>
        <v>nm</v>
      </c>
      <c r="AJ144" s="1010" t="str">
        <f>IF(ISERROR(AJ143/AE73-1),"nm",AJ143/AE73-1)</f>
        <v>nm</v>
      </c>
      <c r="AK144" s="1010" t="str">
        <f>IF(ISERROR(AK143/AF73-1),"nm",AK143/AF73-1)</f>
        <v>nm</v>
      </c>
      <c r="AL144" s="1011" t="s">
        <v>89</v>
      </c>
      <c r="AM144" s="1010" t="str">
        <f>IF(ISERROR(AM143/AH73-1),"nm",AM143/AH73-1)</f>
        <v>nm</v>
      </c>
      <c r="AN144" s="1010" t="str">
        <f>IF(ISERROR(AN143/AI73-1),"nm",AN143/AI73-1)</f>
        <v>nm</v>
      </c>
      <c r="AO144" s="1010" t="str">
        <f>IF(ISERROR(AO143/AJ73-1),"nm",AO143/AJ73-1)</f>
        <v>nm</v>
      </c>
      <c r="AP144" s="1010" t="str">
        <f>IF(ISERROR(AP143/AK73-1),"nm",AP143/AK73-1)</f>
        <v>nm</v>
      </c>
      <c r="AQ144" s="1011" t="s">
        <v>89</v>
      </c>
      <c r="AR144" s="1010" t="str">
        <f>IF(ISERROR(AR143/AM73-1),"nm",AR143/AM73-1)</f>
        <v>nm</v>
      </c>
      <c r="AS144" s="1010" t="str">
        <f>IF(ISERROR(AS143/AN73-1),"nm",AS143/AN73-1)</f>
        <v>nm</v>
      </c>
      <c r="AT144" s="1010" t="str">
        <f>IF(ISERROR(AT143/AO73-1),"nm",AT143/AO73-1)</f>
        <v>nm</v>
      </c>
      <c r="AU144" s="802"/>
      <c r="AV144" s="1012"/>
      <c r="AW144" s="1012"/>
      <c r="AX144" s="1012"/>
      <c r="AY144" s="1012"/>
      <c r="AZ144" s="1011"/>
      <c r="BA144" s="850" t="str">
        <f t="shared" ref="BA144:CK144" si="314">IF(ISERROR(BA143/AV73-1),"NM",BA143/AV73-1)</f>
        <v>NM</v>
      </c>
      <c r="BB144" s="850" t="str">
        <f t="shared" si="314"/>
        <v>NM</v>
      </c>
      <c r="BC144" s="850" t="str">
        <f t="shared" si="314"/>
        <v>NM</v>
      </c>
      <c r="BD144" s="850" t="str">
        <f t="shared" si="314"/>
        <v>NM</v>
      </c>
      <c r="BE144" s="850" t="str">
        <f t="shared" si="314"/>
        <v>NM</v>
      </c>
      <c r="BF144" s="850">
        <f t="shared" si="314"/>
        <v>-0.20158102766798414</v>
      </c>
      <c r="BG144" s="850">
        <f t="shared" si="314"/>
        <v>-0.22978303747534512</v>
      </c>
      <c r="BH144" s="850">
        <f t="shared" si="314"/>
        <v>-0.25347912524850891</v>
      </c>
      <c r="BI144" s="850">
        <f t="shared" si="314"/>
        <v>-0.2314316469321851</v>
      </c>
      <c r="BJ144" s="850">
        <f t="shared" si="314"/>
        <v>-0.2428679626356981</v>
      </c>
      <c r="BK144" s="850">
        <f t="shared" si="314"/>
        <v>-0.12252475247524752</v>
      </c>
      <c r="BL144" s="850">
        <f t="shared" si="314"/>
        <v>-6.9142125480153638E-2</v>
      </c>
      <c r="BM144" s="850">
        <f t="shared" si="314"/>
        <v>-5.725699067909451E-2</v>
      </c>
      <c r="BN144" s="850">
        <f t="shared" si="314"/>
        <v>-0.10224089635854339</v>
      </c>
      <c r="BO144" s="850">
        <f t="shared" si="314"/>
        <v>-8.8081204977079275E-2</v>
      </c>
      <c r="BP144" s="850">
        <f t="shared" si="314"/>
        <v>-6.3469675599435837E-2</v>
      </c>
      <c r="BQ144" s="850">
        <f t="shared" si="314"/>
        <v>-0.13067400275103158</v>
      </c>
      <c r="BR144" s="850">
        <f t="shared" si="314"/>
        <v>-0.12005649717514122</v>
      </c>
      <c r="BS144" s="850">
        <f t="shared" si="314"/>
        <v>-2.9641185647425905E-2</v>
      </c>
      <c r="BT144" s="850">
        <f t="shared" si="314"/>
        <v>-0.10843806104129261</v>
      </c>
      <c r="BU144" s="850">
        <f t="shared" si="314"/>
        <v>-1.0542168674698815E-2</v>
      </c>
      <c r="BV144" s="850">
        <f t="shared" si="314"/>
        <v>5.5379746835443111E-2</v>
      </c>
      <c r="BW144" s="850">
        <f t="shared" si="314"/>
        <v>4.9759229534510396E-2</v>
      </c>
      <c r="BX144" s="850">
        <f t="shared" si="314"/>
        <v>6.1093247588424493E-2</v>
      </c>
      <c r="BY144" s="850">
        <f t="shared" si="314"/>
        <v>1.9283746556473913E-2</v>
      </c>
      <c r="BZ144" s="850">
        <f t="shared" si="314"/>
        <v>3.9573820395738313E-2</v>
      </c>
      <c r="CA144" s="850">
        <f t="shared" si="314"/>
        <v>4.4977511244377322E-3</v>
      </c>
      <c r="CB144" s="850">
        <f t="shared" si="314"/>
        <v>1.5290519877675823E-2</v>
      </c>
      <c r="CC144" s="850">
        <f t="shared" si="314"/>
        <v>-9.0909090909090384E-3</v>
      </c>
      <c r="CD144" s="850">
        <f t="shared" si="314"/>
        <v>-1.4783927217589032E-2</v>
      </c>
      <c r="CE144" s="850">
        <f t="shared" si="314"/>
        <v>-1.3177159590043952E-2</v>
      </c>
      <c r="CF144" s="850">
        <f t="shared" si="314"/>
        <v>4.7761194029850795E-2</v>
      </c>
      <c r="CG144" s="850">
        <f t="shared" si="314"/>
        <v>6.7771084337349352E-2</v>
      </c>
      <c r="CH144" s="850">
        <f t="shared" si="314"/>
        <v>5.657492354740068E-2</v>
      </c>
      <c r="CI144" s="851">
        <f t="shared" si="314"/>
        <v>3.9311119430924801E-2</v>
      </c>
      <c r="CJ144" s="850">
        <f t="shared" si="314"/>
        <v>4.7477744807121747E-2</v>
      </c>
      <c r="CK144" s="850">
        <f t="shared" si="314"/>
        <v>4.4159544159544151E-2</v>
      </c>
      <c r="CL144" s="850">
        <f t="shared" ref="CL144:DH144" si="315">IF(ISERROR(CL143/CG73-1),"NM",CL143/CG73-1)</f>
        <v>3.5260930888575404E-2</v>
      </c>
      <c r="CM144" s="850">
        <f t="shared" si="315"/>
        <v>5.6439942112879837E-2</v>
      </c>
      <c r="CN144" s="851">
        <f t="shared" si="315"/>
        <v>4.5749279538904952E-2</v>
      </c>
      <c r="CO144" s="850">
        <f t="shared" si="315"/>
        <v>1.9830028328611915E-2</v>
      </c>
      <c r="CP144" s="850">
        <f t="shared" si="315"/>
        <v>6.8212824010913664E-3</v>
      </c>
      <c r="CQ144" s="850">
        <f t="shared" si="315"/>
        <v>0</v>
      </c>
      <c r="CR144" s="850">
        <f t="shared" si="315"/>
        <v>8.2191780821918581E-3</v>
      </c>
      <c r="CS144" s="851">
        <f t="shared" si="315"/>
        <v>8.6117809162935544E-3</v>
      </c>
      <c r="CT144" s="850">
        <f t="shared" si="315"/>
        <v>6.3888888888888884E-2</v>
      </c>
      <c r="CU144" s="850">
        <f t="shared" si="315"/>
        <v>7.1815718157181463E-2</v>
      </c>
      <c r="CV144" s="850">
        <f t="shared" si="315"/>
        <v>7.4931880108991766E-2</v>
      </c>
      <c r="CW144" s="850">
        <f t="shared" si="315"/>
        <v>0.11548913043478271</v>
      </c>
      <c r="CX144" s="851">
        <f t="shared" si="315"/>
        <v>8.16256830601092E-2</v>
      </c>
      <c r="CY144" s="850">
        <f t="shared" si="315"/>
        <v>6.1357702349869481E-2</v>
      </c>
      <c r="CZ144" s="850">
        <f t="shared" si="315"/>
        <v>6.7003792667509554E-2</v>
      </c>
      <c r="DA144" s="850">
        <f t="shared" si="315"/>
        <v>7.0975918884664146E-2</v>
      </c>
      <c r="DB144" s="850">
        <f t="shared" si="315"/>
        <v>0.65286236297198541</v>
      </c>
      <c r="DC144" s="851">
        <f t="shared" si="315"/>
        <v>0.21850331544047985</v>
      </c>
      <c r="DD144" s="850">
        <f t="shared" si="315"/>
        <v>0.65559655596555966</v>
      </c>
      <c r="DE144" s="850">
        <f t="shared" si="315"/>
        <v>0.71563981042654023</v>
      </c>
      <c r="DF144" s="850">
        <f t="shared" si="315"/>
        <v>0.70532544378698225</v>
      </c>
      <c r="DG144" s="850">
        <f t="shared" si="315"/>
        <v>0.13411938098747234</v>
      </c>
      <c r="DH144" s="851">
        <f t="shared" si="315"/>
        <v>0.49624254988338956</v>
      </c>
      <c r="DI144" s="850">
        <f t="shared" ref="DI144:DV144" si="316">IF(ISERROR(DI143/DD143-1),"NM",DI143/DD143-1)</f>
        <v>4.9034175334323971E-2</v>
      </c>
      <c r="DJ144" s="850">
        <f t="shared" si="316"/>
        <v>2.4861878453038777E-2</v>
      </c>
      <c r="DK144" s="850">
        <f t="shared" si="316"/>
        <v>5.1353226925745954E-2</v>
      </c>
      <c r="DL144" s="850">
        <f t="shared" si="316"/>
        <v>5.0032488628979799E-2</v>
      </c>
      <c r="DM144" s="851">
        <f t="shared" si="316"/>
        <v>4.3817111188084512E-2</v>
      </c>
      <c r="DN144" s="850">
        <f t="shared" si="316"/>
        <v>-8.4985835694051381E-3</v>
      </c>
      <c r="DO144" s="850">
        <f t="shared" si="316"/>
        <v>-2.2237196765498624E-2</v>
      </c>
      <c r="DP144" s="850">
        <f t="shared" si="316"/>
        <v>-0.12013201320132016</v>
      </c>
      <c r="DQ144" s="850">
        <f t="shared" si="316"/>
        <v>-0.17079207920792083</v>
      </c>
      <c r="DR144" s="851">
        <f t="shared" si="316"/>
        <v>-8.345777335324378E-2</v>
      </c>
      <c r="DS144" s="850">
        <f t="shared" si="316"/>
        <v>4.4999999999999929E-2</v>
      </c>
      <c r="DT144" s="850">
        <f t="shared" si="316"/>
        <v>2.7567195037904835E-2</v>
      </c>
      <c r="DU144" s="850">
        <f t="shared" si="316"/>
        <v>3.9759939984996162E-2</v>
      </c>
      <c r="DV144" s="850">
        <f t="shared" si="316"/>
        <v>6.7910447761194037E-2</v>
      </c>
      <c r="DW144" s="851">
        <f>IF(ISERROR(DW143/DR143-1),"NM",DW143/DR143-1)</f>
        <v>4.471397538015931E-2</v>
      </c>
      <c r="DX144" s="1462">
        <f>CHOOSE(Scenarios!$C$8,Scenarios!AX11,Scenarios!AX12,Scenarios!AX13)</f>
        <v>5.0000000000000001E-3</v>
      </c>
      <c r="DY144" s="1462">
        <f>CHOOSE(Scenarios!$C$8,Scenarios!AY11,Scenarios!AY12,Scenarios!AY13)</f>
        <v>5.0000000000000001E-3</v>
      </c>
      <c r="DZ144" s="1462">
        <f>CHOOSE(Scenarios!$C$8,Scenarios!AZ11,Scenarios!AZ12,Scenarios!AZ13)</f>
        <v>5.0000000000000001E-3</v>
      </c>
      <c r="EA144" s="1462">
        <f>CHOOSE(Scenarios!$C$8,Scenarios!BA11,Scenarios!BA12,Scenarios!BA13)</f>
        <v>5.0000000000000001E-3</v>
      </c>
      <c r="EB144" s="1460">
        <f>IF(ISERROR(EB143/DW143-1),"NM",EB143/DW143-1)</f>
        <v>4.9999999999996714E-3</v>
      </c>
      <c r="EC144" s="1462">
        <f>CHOOSE(Scenarios!$C$8,Scenarios!BC11,Scenarios!BC12,Scenarios!BC13)</f>
        <v>1.4999999999999999E-2</v>
      </c>
      <c r="ED144" s="1462">
        <f>CHOOSE(Scenarios!$C$8,Scenarios!BD11,Scenarios!BD12,Scenarios!BD13)</f>
        <v>1.4999999999999999E-2</v>
      </c>
      <c r="EE144" s="1462">
        <f>CHOOSE(Scenarios!$C$8,Scenarios!BE11,Scenarios!BE12,Scenarios!BE13)</f>
        <v>1.4999999999999999E-2</v>
      </c>
      <c r="EF144" s="1462">
        <f>CHOOSE(Scenarios!$C$8,Scenarios!BF11,Scenarios!BF12,Scenarios!BF13)</f>
        <v>1.4999999999999999E-2</v>
      </c>
      <c r="EG144" s="1460">
        <f>IF(ISERROR(EG143/EB143-1),"NM",EG143/EB143-1)</f>
        <v>1.5000000000000124E-2</v>
      </c>
      <c r="EH144" s="1462">
        <f>CHOOSE(Scenarios!$C$8,Scenarios!BH11,Scenarios!BH12,Scenarios!BH13)</f>
        <v>1.4999999999999999E-2</v>
      </c>
      <c r="EI144" s="1462">
        <f>CHOOSE(Scenarios!$C$8,Scenarios!BI11,Scenarios!BI12,Scenarios!BI13)</f>
        <v>1.4999999999999999E-2</v>
      </c>
      <c r="EJ144" s="1462">
        <f>CHOOSE(Scenarios!$C$8,Scenarios!BJ11,Scenarios!BJ12,Scenarios!BJ13)</f>
        <v>1.4999999999999999E-2</v>
      </c>
      <c r="EK144" s="1462">
        <f>CHOOSE(Scenarios!$C$8,Scenarios!BK11,Scenarios!BK12,Scenarios!BK13)</f>
        <v>1.4999999999999999E-2</v>
      </c>
      <c r="EL144" s="1460">
        <f>IF(ISERROR(EL143/EG143-1),"NM",EL143/EG143-1)</f>
        <v>1.5000000000000124E-2</v>
      </c>
    </row>
    <row r="145" spans="1:142" ht="11.25" customHeight="1">
      <c r="A145" s="848"/>
      <c r="B145" s="848" t="s">
        <v>668</v>
      </c>
      <c r="C145" s="1012"/>
      <c r="D145" s="1012"/>
      <c r="E145" s="1012"/>
      <c r="F145" s="1012"/>
      <c r="G145" s="1012"/>
      <c r="H145" s="1011"/>
      <c r="I145" s="1010" t="str">
        <f>IF(ISERROR(I143/(#REF!*#REF!/1000000)-1),"nm",I143/(#REF!*#REF!/1000000)-1)</f>
        <v>nm</v>
      </c>
      <c r="J145" s="1010" t="str">
        <f>IF(ISERROR(J143/(#REF!*#REF!/1000000)-1),"nm",J143/(#REF!*#REF!/1000000)-1)</f>
        <v>nm</v>
      </c>
      <c r="K145" s="1010" t="str">
        <f>IF(ISERROR(K143/(#REF!*#REF!/1000000)-1),"nm",K143/(#REF!*#REF!/1000000)-1)</f>
        <v>nm</v>
      </c>
      <c r="L145" s="1010" t="str">
        <f>IF(ISERROR(L143/(#REF!*#REF!/1000000)-1),"nm",L143/(#REF!*#REF!/1000000)-1)</f>
        <v>nm</v>
      </c>
      <c r="M145" s="1011" t="str">
        <f>IF(ISERROR(M143/(#REF!*#REF!/1000000)-1),"nm",M143/(#REF!*#REF!/1000000)-1)</f>
        <v>nm</v>
      </c>
      <c r="N145" s="1010" t="str">
        <f>IF(ISERROR(N143/(#REF!*#REF!/1000000)-1),"nm",N143/(#REF!*#REF!/1000000)-1)</f>
        <v>nm</v>
      </c>
      <c r="O145" s="1010" t="str">
        <f>IF(ISERROR(O143/(#REF!*#REF!/1000000)-1),"nm",O143/(#REF!*#REF!/1000000)-1)</f>
        <v>nm</v>
      </c>
      <c r="P145" s="1010" t="str">
        <f>IF(ISERROR(P143/(#REF!*#REF!/1000000)-1),"nm",P143/(#REF!*#REF!/1000000)-1)</f>
        <v>nm</v>
      </c>
      <c r="Q145" s="1010" t="str">
        <f>IF(ISERROR(Q143/(#REF!*#REF!/1000000)-1),"nm",Q143/(#REF!*#REF!/1000000)-1)</f>
        <v>nm</v>
      </c>
      <c r="R145" s="1011" t="str">
        <f>IF(ISERROR(R143/(#REF!*#REF!/1000000)-1),"nm",R143/(#REF!*#REF!/1000000)-1)</f>
        <v>nm</v>
      </c>
      <c r="S145" s="1010" t="str">
        <f>IF(ISERROR(S143/(#REF!*#REF!/1000000)-1),"nm",S143/(#REF!*#REF!/1000000)-1)</f>
        <v>nm</v>
      </c>
      <c r="T145" s="1010" t="str">
        <f>IF(ISERROR(T143/(#REF!*#REF!/1000000)-1),"nm",T143/(#REF!*#REF!/1000000)-1)</f>
        <v>nm</v>
      </c>
      <c r="U145" s="1010" t="str">
        <f>IF(ISERROR(U143/(#REF!*#REF!/1000000)-1),"nm",U143/(#REF!*#REF!/1000000)-1)</f>
        <v>nm</v>
      </c>
      <c r="V145" s="1010" t="str">
        <f>IF(ISERROR(V143/(#REF!*#REF!/1000000)-1),"nm",V143/(#REF!*#REF!/1000000)-1)</f>
        <v>nm</v>
      </c>
      <c r="W145" s="1011" t="str">
        <f>IF(ISERROR(W143/(#REF!*#REF!/1000000)-1),"nm",W143/(#REF!*#REF!/1000000)-1)</f>
        <v>nm</v>
      </c>
      <c r="X145" s="1010" t="str">
        <f>IF(ISERROR(X143/(#REF!*#REF!/1000000)-1),"nm",X143/(#REF!*#REF!/1000000)-1)</f>
        <v>nm</v>
      </c>
      <c r="Y145" s="1010" t="str">
        <f>IF(ISERROR(Y143/(#REF!*#REF!/1000000)-1),"nm",Y143/(#REF!*#REF!/1000000)-1)</f>
        <v>nm</v>
      </c>
      <c r="Z145" s="1010" t="str">
        <f>IF(ISERROR(Z143/(#REF!*#REF!/1000000)-1),"nm",Z143/(#REF!*#REF!/1000000)-1)</f>
        <v>nm</v>
      </c>
      <c r="AA145" s="1010" t="str">
        <f>IF(ISERROR(AA143/(#REF!*#REF!/1000000)-1),"nm",AA143/(#REF!*#REF!/1000000)-1)</f>
        <v>nm</v>
      </c>
      <c r="AB145" s="1011" t="str">
        <f>IF(ISERROR(AB143/(#REF!*#REF!/1000000)-1),"nm",AB143/(#REF!*#REF!/1000000)-1)</f>
        <v>nm</v>
      </c>
      <c r="AC145" s="1010" t="str">
        <f>IF(ISERROR(AC143/(#REF!*#REF!/1000000)-1),"nm",AC143/(#REF!*#REF!/1000000)-1)</f>
        <v>nm</v>
      </c>
      <c r="AD145" s="1010" t="str">
        <f>IF(ISERROR(AD143/(#REF!*#REF!/1000000)-1),"nm",AD143/(#REF!*#REF!/1000000)-1)</f>
        <v>nm</v>
      </c>
      <c r="AE145" s="1010" t="str">
        <f>IF(ISERROR(AE143/(#REF!*#REF!/1000000)-1),"nm",AE143/(#REF!*#REF!/1000000)-1)</f>
        <v>nm</v>
      </c>
      <c r="AF145" s="1010" t="str">
        <f>IF(ISERROR(AF143/(#REF!*#REF!/1000000)-1),"nm",AF143/(#REF!*#REF!/1000000)-1)</f>
        <v>nm</v>
      </c>
      <c r="AG145" s="1011" t="str">
        <f>IF(ISERROR(AG143/(#REF!*#REF!/1000000)-1),"nm",AG143/(#REF!*#REF!/1000000)-1)</f>
        <v>nm</v>
      </c>
      <c r="AH145" s="1010" t="str">
        <f>IF(ISERROR(AH143/(#REF!*#REF!/1000000)-1),"nm",AH143/(#REF!*#REF!/1000000)-1)</f>
        <v>nm</v>
      </c>
      <c r="AI145" s="1010" t="str">
        <f>IF(ISERROR(AI143/(#REF!*#REF!/1000000)-1),"nm",AI143/(#REF!*#REF!/1000000)-1)</f>
        <v>nm</v>
      </c>
      <c r="AJ145" s="1010" t="str">
        <f>IF(ISERROR(AJ143/(#REF!*#REF!/1000000)-1),"nm",AJ143/(#REF!*#REF!/1000000)-1)</f>
        <v>nm</v>
      </c>
      <c r="AK145" s="1010" t="str">
        <f>IF(ISERROR(AK143/(#REF!*#REF!/1000000)-1),"nm",AK143/(#REF!*#REF!/1000000)-1)</f>
        <v>nm</v>
      </c>
      <c r="AL145" s="1011" t="str">
        <f>IF(ISERROR(AL143/(#REF!*#REF!/1000000)-1),"nm",AL143/(#REF!*#REF!/1000000)-1)</f>
        <v>nm</v>
      </c>
      <c r="AM145" s="1010" t="str">
        <f>IF(ISERROR(AM143/(#REF!*#REF!/1000000)-1),"nm",AM143/(#REF!*#REF!/1000000)-1)</f>
        <v>nm</v>
      </c>
      <c r="AN145" s="1010" t="str">
        <f>IF(ISERROR(AN143/(#REF!*#REF!/1000000)-1),"nm",AN143/(#REF!*#REF!/1000000)-1)</f>
        <v>nm</v>
      </c>
      <c r="AO145" s="1010" t="str">
        <f>IF(ISERROR(AO143/(#REF!*#REF!/1000000)-1),"nm",AO143/(#REF!*#REF!/1000000)-1)</f>
        <v>nm</v>
      </c>
      <c r="AP145" s="1010" t="str">
        <f>IF(ISERROR(AP143/(#REF!*#REF!/1000000)-1),"nm",AP143/(#REF!*#REF!/1000000)-1)</f>
        <v>nm</v>
      </c>
      <c r="AQ145" s="1011" t="str">
        <f>IF(ISERROR(AQ143/(#REF!*#REF!/1000000)-1),"nm",AQ143/(#REF!*#REF!/1000000)-1)</f>
        <v>nm</v>
      </c>
      <c r="AR145" s="1010" t="str">
        <f>IF(ISERROR(AR143/(#REF!*#REF!/1000000)-1),"nm",AR143/(#REF!*#REF!/1000000)-1)</f>
        <v>nm</v>
      </c>
      <c r="AS145" s="1010" t="str">
        <f>IF(ISERROR(AS143/(#REF!*#REF!/1000000)-1),"nm",AS143/(#REF!*#REF!/1000000)-1)</f>
        <v>nm</v>
      </c>
      <c r="AT145" s="1010" t="str">
        <f>IF(ISERROR(AT143/(#REF!*#REF!/1000000)-1),"nm",AT143/(#REF!*#REF!/1000000)-1)</f>
        <v>nm</v>
      </c>
      <c r="AU145" s="802"/>
      <c r="AV145" s="1012"/>
      <c r="AW145" s="1012"/>
      <c r="AX145" s="1012"/>
      <c r="AY145" s="1012"/>
      <c r="AZ145" s="1011"/>
      <c r="BA145" s="850" t="e">
        <f t="shared" ref="BA145:CH145" si="317">BA278/AV315-1</f>
        <v>#VALUE!</v>
      </c>
      <c r="BB145" s="850" t="e">
        <f t="shared" si="317"/>
        <v>#VALUE!</v>
      </c>
      <c r="BC145" s="850" t="e">
        <f t="shared" si="317"/>
        <v>#VALUE!</v>
      </c>
      <c r="BD145" s="850" t="e">
        <f t="shared" si="317"/>
        <v>#VALUE!</v>
      </c>
      <c r="BE145" s="850" t="e">
        <f t="shared" si="317"/>
        <v>#VALUE!</v>
      </c>
      <c r="BF145" s="850">
        <f t="shared" si="317"/>
        <v>-0.20158102766798414</v>
      </c>
      <c r="BG145" s="850">
        <f t="shared" si="317"/>
        <v>-0.22978303747534512</v>
      </c>
      <c r="BH145" s="850">
        <f t="shared" si="317"/>
        <v>-0.25347912524850891</v>
      </c>
      <c r="BI145" s="850">
        <f t="shared" si="317"/>
        <v>-0.2314316469321851</v>
      </c>
      <c r="BJ145" s="850">
        <f t="shared" si="317"/>
        <v>-0.2428679626356981</v>
      </c>
      <c r="BK145" s="850">
        <f t="shared" si="317"/>
        <v>-0.12252475247524752</v>
      </c>
      <c r="BL145" s="850">
        <f t="shared" si="317"/>
        <v>-6.9142125480153638E-2</v>
      </c>
      <c r="BM145" s="850">
        <f t="shared" si="317"/>
        <v>-5.725699067909451E-2</v>
      </c>
      <c r="BN145" s="850">
        <f t="shared" si="317"/>
        <v>-0.10224089635854339</v>
      </c>
      <c r="BO145" s="850">
        <f t="shared" si="317"/>
        <v>-7.1357119039679895E-2</v>
      </c>
      <c r="BP145" s="850">
        <f t="shared" si="317"/>
        <v>-6.3469675599435837E-2</v>
      </c>
      <c r="BQ145" s="850">
        <f t="shared" si="317"/>
        <v>-0.13067400275103158</v>
      </c>
      <c r="BR145" s="850">
        <f t="shared" si="317"/>
        <v>-0.12005649717514122</v>
      </c>
      <c r="BS145" s="850">
        <f t="shared" si="317"/>
        <v>-2.9641185647425905E-2</v>
      </c>
      <c r="BT145" s="850">
        <f t="shared" si="317"/>
        <v>-0.10843806104129261</v>
      </c>
      <c r="BU145" s="850">
        <f t="shared" si="317"/>
        <v>-1.0542168674698815E-2</v>
      </c>
      <c r="BV145" s="850">
        <f t="shared" si="317"/>
        <v>5.5379746835443111E-2</v>
      </c>
      <c r="BW145" s="850">
        <f t="shared" si="317"/>
        <v>4.9759229534510396E-2</v>
      </c>
      <c r="BX145" s="850">
        <f t="shared" si="317"/>
        <v>6.1093247588424493E-2</v>
      </c>
      <c r="BY145" s="850">
        <f t="shared" si="317"/>
        <v>4.3093032621828398E-2</v>
      </c>
      <c r="BZ145" s="850">
        <f t="shared" si="317"/>
        <v>3.9573820395738313E-2</v>
      </c>
      <c r="CA145" s="850">
        <f t="shared" si="317"/>
        <v>4.4977511244377322E-3</v>
      </c>
      <c r="CB145" s="850">
        <f t="shared" si="317"/>
        <v>1.5290519877675823E-2</v>
      </c>
      <c r="CC145" s="850">
        <f t="shared" si="317"/>
        <v>-9.0909090909090384E-3</v>
      </c>
      <c r="CD145" s="850">
        <f t="shared" si="317"/>
        <v>3.4749034749035346E-3</v>
      </c>
      <c r="CE145" s="850">
        <f t="shared" si="317"/>
        <v>-1.3177159590043952E-2</v>
      </c>
      <c r="CF145" s="850">
        <f t="shared" si="317"/>
        <v>4.7761194029850795E-2</v>
      </c>
      <c r="CG145" s="850">
        <f t="shared" si="317"/>
        <v>6.7771084337349352E-2</v>
      </c>
      <c r="CH145" s="850">
        <f t="shared" si="317"/>
        <v>5.657492354740068E-2</v>
      </c>
      <c r="CI145" s="1121" t="e">
        <f>CI143/(#REF!*#REF!/1000000)-1</f>
        <v>#REF!</v>
      </c>
      <c r="CJ145" s="850">
        <f t="shared" ref="CJ145:DB145" si="318">CJ278/CE315-1</f>
        <v>4.7477744807121747E-2</v>
      </c>
      <c r="CK145" s="850">
        <f t="shared" si="318"/>
        <v>4.4159544159544151E-2</v>
      </c>
      <c r="CL145" s="850">
        <f t="shared" si="318"/>
        <v>3.5260930888575404E-2</v>
      </c>
      <c r="CM145" s="850">
        <f t="shared" si="318"/>
        <v>5.6439942112879837E-2</v>
      </c>
      <c r="CN145" s="1121">
        <f t="shared" si="318"/>
        <v>4.8014440433213013E-2</v>
      </c>
      <c r="CO145" s="850">
        <f t="shared" si="318"/>
        <v>1.9830028328611915E-2</v>
      </c>
      <c r="CP145" s="850">
        <f t="shared" si="318"/>
        <v>6.8212824010913664E-3</v>
      </c>
      <c r="CQ145" s="850">
        <f t="shared" si="318"/>
        <v>0</v>
      </c>
      <c r="CR145" s="850">
        <f t="shared" si="318"/>
        <v>8.2191780821918581E-3</v>
      </c>
      <c r="CS145" s="1121">
        <f t="shared" si="318"/>
        <v>8.6117809162935544E-3</v>
      </c>
      <c r="CT145" s="850">
        <f t="shared" si="318"/>
        <v>6.3888888888888884E-2</v>
      </c>
      <c r="CU145" s="850">
        <f t="shared" si="318"/>
        <v>7.1815718157181463E-2</v>
      </c>
      <c r="CV145" s="850">
        <f t="shared" si="318"/>
        <v>7.4931880108991766E-2</v>
      </c>
      <c r="CW145" s="850">
        <f t="shared" si="318"/>
        <v>0.11548913043478271</v>
      </c>
      <c r="CX145" s="1121">
        <f t="shared" si="318"/>
        <v>8.16256830601092E-2</v>
      </c>
      <c r="CY145" s="850">
        <f t="shared" si="318"/>
        <v>6.1357702349869481E-2</v>
      </c>
      <c r="CZ145" s="850">
        <f t="shared" si="318"/>
        <v>6.7003792667509554E-2</v>
      </c>
      <c r="DA145" s="850">
        <f t="shared" si="318"/>
        <v>7.0975918884664146E-2</v>
      </c>
      <c r="DB145" s="850">
        <f t="shared" si="318"/>
        <v>0.65286236297198541</v>
      </c>
      <c r="DC145" s="1121" t="s">
        <v>162</v>
      </c>
      <c r="DD145" s="850">
        <f>DD278/CY315-1</f>
        <v>0.65559655596555966</v>
      </c>
      <c r="DE145" s="850">
        <f>DE278/CZ315-1</f>
        <v>0.71563981042654023</v>
      </c>
      <c r="DF145" s="850">
        <f>DF278/DA315-1</f>
        <v>0.70532544378698225</v>
      </c>
      <c r="DG145" s="850">
        <f>DG278/DB315-1</f>
        <v>0.13411938098747234</v>
      </c>
      <c r="DH145" s="1121" t="s">
        <v>162</v>
      </c>
      <c r="DI145" s="850">
        <f t="shared" ref="DI145:DV145" si="319">DI143/DD391-1</f>
        <v>4.9034175334323971E-2</v>
      </c>
      <c r="DJ145" s="850">
        <f t="shared" si="319"/>
        <v>2.4861878453038777E-2</v>
      </c>
      <c r="DK145" s="850">
        <f t="shared" si="319"/>
        <v>5.1353226925745954E-2</v>
      </c>
      <c r="DL145" s="850">
        <f t="shared" si="319"/>
        <v>5.0032488628979799E-2</v>
      </c>
      <c r="DM145" s="1121">
        <f t="shared" si="319"/>
        <v>4.3817111188084512E-2</v>
      </c>
      <c r="DN145" s="850">
        <f t="shared" si="319"/>
        <v>8.6113266097750163E-2</v>
      </c>
      <c r="DO145" s="850">
        <f t="shared" si="319"/>
        <v>0.13270882123341132</v>
      </c>
      <c r="DP145" s="850">
        <f t="shared" si="319"/>
        <v>3.4937888198757872E-2</v>
      </c>
      <c r="DQ145" s="850">
        <f t="shared" si="319"/>
        <v>2.4464831804281273E-2</v>
      </c>
      <c r="DR145" s="851">
        <f t="shared" si="319"/>
        <v>8.2500489907897379E-2</v>
      </c>
      <c r="DS145" s="850">
        <f t="shared" si="319"/>
        <v>1.2456747404844259E-2</v>
      </c>
      <c r="DT145" s="850">
        <f t="shared" si="319"/>
        <v>2.7567195037904835E-2</v>
      </c>
      <c r="DU145" s="850">
        <f t="shared" si="319"/>
        <v>3.8980509745127456E-2</v>
      </c>
      <c r="DV145" s="850">
        <f t="shared" si="319"/>
        <v>4.3763676148796504E-2</v>
      </c>
      <c r="DW145" s="851"/>
      <c r="DX145" s="849"/>
      <c r="DY145" s="849"/>
      <c r="DZ145" s="849"/>
      <c r="EA145" s="849"/>
      <c r="EB145" s="851"/>
      <c r="EC145" s="849"/>
      <c r="ED145" s="849"/>
      <c r="EE145" s="849"/>
      <c r="EF145" s="849"/>
      <c r="EG145" s="851"/>
      <c r="EH145" s="849"/>
      <c r="EI145" s="849"/>
      <c r="EJ145" s="849"/>
      <c r="EK145" s="849"/>
      <c r="EL145" s="851"/>
    </row>
    <row r="146" spans="1:142" ht="11.25" customHeight="1">
      <c r="A146" s="848"/>
      <c r="B146" s="848" t="s">
        <v>140</v>
      </c>
      <c r="C146" s="1010"/>
      <c r="D146" s="1010" t="str">
        <f>IF(ISERROR(+D143/D156),"nm",+D143/D156)</f>
        <v>nm</v>
      </c>
      <c r="E146" s="1010" t="str">
        <f>IF(ISERROR(+E143/E156),"nm",+E143/E156)</f>
        <v>nm</v>
      </c>
      <c r="F146" s="1010" t="str">
        <f>IF(ISERROR(+F143/F156),"nm",+F143/F156)</f>
        <v>nm</v>
      </c>
      <c r="G146" s="1010" t="str">
        <f>IF(ISERROR(+G143/G156),"nm",+G143/G156)</f>
        <v>nm</v>
      </c>
      <c r="H146" s="1011" t="s">
        <v>89</v>
      </c>
      <c r="I146" s="1010" t="str">
        <f>IF(ISERROR(+I143/I156),"nm",+I143/I156)</f>
        <v>nm</v>
      </c>
      <c r="J146" s="1010" t="str">
        <f>IF(ISERROR(+J143/J156),"nm",+J143/J156)</f>
        <v>nm</v>
      </c>
      <c r="K146" s="1010" t="str">
        <f>IF(ISERROR(+K143/K156),"nm",+K143/K156)</f>
        <v>nm</v>
      </c>
      <c r="L146" s="1010" t="str">
        <f>IF(ISERROR(+L143/L156),"nm",+L143/L156)</f>
        <v>nm</v>
      </c>
      <c r="M146" s="1011" t="s">
        <v>89</v>
      </c>
      <c r="N146" s="1010" t="str">
        <f>IF(ISERROR(+N143/N156),"nm",+N143/N156)</f>
        <v>nm</v>
      </c>
      <c r="O146" s="1010" t="str">
        <f>IF(ISERROR(+O143/O156),"nm",+O143/O156)</f>
        <v>nm</v>
      </c>
      <c r="P146" s="1010" t="str">
        <f>IF(ISERROR(+P143/P156),"nm",+P143/P156)</f>
        <v>nm</v>
      </c>
      <c r="Q146" s="1010" t="str">
        <f>IF(ISERROR(+Q143/Q156),"nm",+Q143/Q156)</f>
        <v>nm</v>
      </c>
      <c r="R146" s="1011" t="s">
        <v>89</v>
      </c>
      <c r="S146" s="1010" t="str">
        <f>IF(ISERROR(+S143/S156),"nm",+S143/S156)</f>
        <v>nm</v>
      </c>
      <c r="T146" s="1010" t="str">
        <f>IF(ISERROR(+T143/T156),"nm",+T143/T156)</f>
        <v>nm</v>
      </c>
      <c r="U146" s="1010" t="str">
        <f>IF(ISERROR(+U143/U156),"nm",+U143/U156)</f>
        <v>nm</v>
      </c>
      <c r="V146" s="1010" t="str">
        <f>IF(ISERROR(+V143/V156),"nm",+V143/V156)</f>
        <v>nm</v>
      </c>
      <c r="W146" s="1011" t="s">
        <v>89</v>
      </c>
      <c r="X146" s="1010" t="str">
        <f>IF(ISERROR(+X143/X156),"nm",+X143/X156)</f>
        <v>nm</v>
      </c>
      <c r="Y146" s="1010" t="str">
        <f>IF(ISERROR(+Y143/Y156),"nm",+Y143/Y156)</f>
        <v>nm</v>
      </c>
      <c r="Z146" s="1010" t="str">
        <f>IF(ISERROR(+Z143/Z156),"nm",+Z143/Z156)</f>
        <v>nm</v>
      </c>
      <c r="AA146" s="1010" t="str">
        <f>IF(ISERROR(+AA143/AA156),"nm",+AA143/AA156)</f>
        <v>nm</v>
      </c>
      <c r="AB146" s="1011" t="s">
        <v>89</v>
      </c>
      <c r="AC146" s="1010" t="str">
        <f>IF(ISERROR(+AC143/AC156),"nm",+AC143/AC156)</f>
        <v>nm</v>
      </c>
      <c r="AD146" s="1010" t="str">
        <f>IF(ISERROR(+AD143/AD156),"nm",+AD143/AD156)</f>
        <v>nm</v>
      </c>
      <c r="AE146" s="1010" t="str">
        <f>IF(ISERROR(+AE143/AE156),"nm",+AE143/AE156)</f>
        <v>nm</v>
      </c>
      <c r="AF146" s="1010" t="str">
        <f>IF(ISERROR(+AF143/AF156),"nm",+AF143/AF156)</f>
        <v>nm</v>
      </c>
      <c r="AG146" s="1011" t="s">
        <v>89</v>
      </c>
      <c r="AH146" s="1010" t="str">
        <f>IF(ISERROR(+AH143/AH156),"nm",+AH143/AH156)</f>
        <v>nm</v>
      </c>
      <c r="AI146" s="1010" t="str">
        <f>IF(ISERROR(+AI143/AI156),"nm",+AI143/AI156)</f>
        <v>nm</v>
      </c>
      <c r="AJ146" s="1010" t="str">
        <f>IF(ISERROR(+AJ143/AJ156),"nm",+AJ143/AJ156)</f>
        <v>nm</v>
      </c>
      <c r="AK146" s="1010" t="str">
        <f>IF(ISERROR(+AK143/AK156),"nm",+AK143/AK156)</f>
        <v>nm</v>
      </c>
      <c r="AL146" s="1011" t="s">
        <v>89</v>
      </c>
      <c r="AM146" s="1010" t="str">
        <f>IF(ISERROR(+AM143/AM156),"nm",+AM143/AM156)</f>
        <v>nm</v>
      </c>
      <c r="AN146" s="1010" t="str">
        <f>IF(ISERROR(+AN143/AN156),"nm",+AN143/AN156)</f>
        <v>nm</v>
      </c>
      <c r="AO146" s="1010" t="str">
        <f>IF(ISERROR(+AO143/AO156),"nm",+AO143/AO156)</f>
        <v>nm</v>
      </c>
      <c r="AP146" s="1010" t="str">
        <f>IF(ISERROR(+AP143/AP156),"nm",+AP143/AP156)</f>
        <v>nm</v>
      </c>
      <c r="AQ146" s="1011" t="s">
        <v>89</v>
      </c>
      <c r="AR146" s="1010" t="str">
        <f>IF(ISERROR(+AR143/AR156),"nm",+AR143/AR156)</f>
        <v>nm</v>
      </c>
      <c r="AS146" s="1010" t="str">
        <f>IF(ISERROR(+AS143/AS156),"nm",+AS143/AS156)</f>
        <v>nm</v>
      </c>
      <c r="AT146" s="1010" t="str">
        <f>IF(ISERROR(+AT143/AT156),"nm",+AT143/AT156)</f>
        <v>nm</v>
      </c>
      <c r="AU146" s="802"/>
      <c r="AV146" s="1010" t="str">
        <f>IF(ISERROR(+AV143/AV156),"nm",+AV143/AV156)</f>
        <v>nm</v>
      </c>
      <c r="AW146" s="1010" t="str">
        <f>IF(ISERROR(+AW143/AW156),"nm",+AW143/AW156)</f>
        <v>nm</v>
      </c>
      <c r="AX146" s="1010" t="str">
        <f>IF(ISERROR(+AX143/AX156),"nm",+AX143/AX156)</f>
        <v>nm</v>
      </c>
      <c r="AY146" s="1010" t="str">
        <f>IF(ISERROR(+AY143/AY156),"nm",+AY143/AY156)</f>
        <v>nm</v>
      </c>
      <c r="AZ146" s="1011" t="str">
        <f>IF(ISERROR(+AZ143/AZ156),"nm",+AZ143/AZ156)</f>
        <v>nm</v>
      </c>
      <c r="BA146" s="850">
        <f t="shared" ref="BA146:CH146" si="320">+BA143/BA156</f>
        <v>0.29316338354577059</v>
      </c>
      <c r="BB146" s="850">
        <f t="shared" si="320"/>
        <v>0.30008878366380587</v>
      </c>
      <c r="BC146" s="850">
        <f t="shared" si="320"/>
        <v>0.30512587200485292</v>
      </c>
      <c r="BD146" s="850">
        <f t="shared" si="320"/>
        <v>0.30132987349983781</v>
      </c>
      <c r="BE146" s="850">
        <f t="shared" si="320"/>
        <v>0.29982590265687686</v>
      </c>
      <c r="BF146" s="850">
        <f t="shared" si="320"/>
        <v>0.30273510678156612</v>
      </c>
      <c r="BG146" s="850">
        <f t="shared" si="320"/>
        <v>0.30389105058365756</v>
      </c>
      <c r="BH146" s="850">
        <f t="shared" si="320"/>
        <v>0.30778688524590164</v>
      </c>
      <c r="BI146" s="850">
        <f t="shared" si="320"/>
        <v>0.29601990049751242</v>
      </c>
      <c r="BJ146" s="850">
        <f t="shared" si="320"/>
        <v>0.30216624685138538</v>
      </c>
      <c r="BK146" s="850">
        <f t="shared" si="320"/>
        <v>0.28348660535785686</v>
      </c>
      <c r="BL146" s="850">
        <f t="shared" si="320"/>
        <v>0.30041322314049584</v>
      </c>
      <c r="BM146" s="850">
        <f t="shared" si="320"/>
        <v>0.2957393483709273</v>
      </c>
      <c r="BN146" s="850">
        <f t="shared" si="320"/>
        <v>0.27881687690300133</v>
      </c>
      <c r="BO146" s="850">
        <f t="shared" si="320"/>
        <v>0.28968171416684002</v>
      </c>
      <c r="BP146" s="850">
        <f t="shared" si="320"/>
        <v>0.27506213753106878</v>
      </c>
      <c r="BQ146" s="850">
        <f t="shared" si="320"/>
        <v>0.28792710706150343</v>
      </c>
      <c r="BR146" s="850">
        <f t="shared" si="320"/>
        <v>0.2942843646669816</v>
      </c>
      <c r="BS146" s="850">
        <f t="shared" si="320"/>
        <v>0.28545204222120241</v>
      </c>
      <c r="BT146" s="850">
        <f t="shared" si="320"/>
        <v>0.28520560532965772</v>
      </c>
      <c r="BU146" s="850">
        <f t="shared" si="320"/>
        <v>0.28828433523475211</v>
      </c>
      <c r="BV146" s="850">
        <f t="shared" si="320"/>
        <v>0.29937163375224418</v>
      </c>
      <c r="BW146" s="850">
        <f t="shared" si="320"/>
        <v>0.29566003616636527</v>
      </c>
      <c r="BX146" s="850">
        <f t="shared" si="320"/>
        <v>0.29320302087960909</v>
      </c>
      <c r="BY146" s="850">
        <f t="shared" si="320"/>
        <v>0.29242407135598963</v>
      </c>
      <c r="BZ146" s="850">
        <f t="shared" si="320"/>
        <v>0.28806410797132009</v>
      </c>
      <c r="CA146" s="850">
        <f t="shared" si="320"/>
        <v>0.3067765567765568</v>
      </c>
      <c r="CB146" s="850">
        <f t="shared" si="320"/>
        <v>0.30769230769230771</v>
      </c>
      <c r="CC146" s="850">
        <f t="shared" si="320"/>
        <v>0.29794988610478362</v>
      </c>
      <c r="CD146" s="850">
        <f t="shared" si="320"/>
        <v>0.29990768520655436</v>
      </c>
      <c r="CE146" s="850">
        <f t="shared" si="320"/>
        <v>0.29574374725756913</v>
      </c>
      <c r="CF146" s="850">
        <f t="shared" si="320"/>
        <v>0.31493943472409153</v>
      </c>
      <c r="CG146" s="850">
        <f t="shared" si="320"/>
        <v>0.31343943412908931</v>
      </c>
      <c r="CH146" s="850">
        <f t="shared" si="320"/>
        <v>0.3056169836355595</v>
      </c>
      <c r="CI146" s="851">
        <f>+CI143/CI156</f>
        <v>0.30738567157568375</v>
      </c>
      <c r="CJ146" s="850">
        <f>+CJ143/CJ156</f>
        <v>0.30183839247541683</v>
      </c>
      <c r="CK146" s="850">
        <f>+CK143/CK156</f>
        <v>0.31828050369083805</v>
      </c>
      <c r="CL146" s="850">
        <f t="shared" ref="CL146:DC146" si="321">+CL143/CL156</f>
        <v>0.32449160035366931</v>
      </c>
      <c r="CM146" s="850">
        <f t="shared" si="321"/>
        <v>0.31725336810082572</v>
      </c>
      <c r="CN146" s="851">
        <f t="shared" si="321"/>
        <v>0.31537208039109182</v>
      </c>
      <c r="CO146" s="850">
        <f t="shared" si="321"/>
        <v>0.29641827912721286</v>
      </c>
      <c r="CP146" s="850">
        <f t="shared" si="321"/>
        <v>0.32086956521739129</v>
      </c>
      <c r="CQ146" s="850">
        <f t="shared" si="321"/>
        <v>0.32066404543468763</v>
      </c>
      <c r="CR146" s="850">
        <f t="shared" si="321"/>
        <v>0.3127921801954951</v>
      </c>
      <c r="CS146" s="851">
        <f t="shared" si="321"/>
        <v>0.31245331341372318</v>
      </c>
      <c r="CT146" s="850">
        <f t="shared" si="321"/>
        <v>0.30750702529104779</v>
      </c>
      <c r="CU146" s="850">
        <f t="shared" si="321"/>
        <v>0.32219959266802445</v>
      </c>
      <c r="CV146" s="850">
        <f t="shared" si="321"/>
        <v>0.32509270704573545</v>
      </c>
      <c r="CW146" s="850">
        <f t="shared" si="321"/>
        <v>0.32437771631766099</v>
      </c>
      <c r="CX146" s="851">
        <f t="shared" si="321"/>
        <v>0.31976978998384492</v>
      </c>
      <c r="CY146" s="850">
        <f t="shared" si="321"/>
        <v>0.31341557440246726</v>
      </c>
      <c r="CZ146" s="850">
        <f t="shared" si="321"/>
        <v>0.32103461392164323</v>
      </c>
      <c r="DA146" s="850">
        <f t="shared" si="321"/>
        <v>0.32276546982429333</v>
      </c>
      <c r="DB146" s="850">
        <f t="shared" si="321"/>
        <v>0.32057642334042052</v>
      </c>
      <c r="DC146" s="851">
        <f t="shared" si="321"/>
        <v>0.31961239026006294</v>
      </c>
      <c r="DD146" s="850">
        <f t="shared" ref="DD146:EG146" si="322">+DD143/DD156</f>
        <v>0.31258708778448674</v>
      </c>
      <c r="DE146" s="850">
        <f t="shared" si="322"/>
        <v>0.33195781751490144</v>
      </c>
      <c r="DF146" s="850">
        <f t="shared" si="322"/>
        <v>0.32542908762420958</v>
      </c>
      <c r="DG146" s="850">
        <f t="shared" si="322"/>
        <v>0.31902985074626866</v>
      </c>
      <c r="DH146" s="851">
        <f t="shared" si="322"/>
        <v>0.32220982142857141</v>
      </c>
      <c r="DI146" s="850">
        <f t="shared" si="322"/>
        <v>0.29471926528908371</v>
      </c>
      <c r="DJ146" s="850">
        <f t="shared" si="322"/>
        <v>0.31033040568799664</v>
      </c>
      <c r="DK146" s="850">
        <f t="shared" si="322"/>
        <v>0.32083862770012705</v>
      </c>
      <c r="DL146" s="850">
        <f t="shared" si="322"/>
        <v>0.32281262485017981</v>
      </c>
      <c r="DM146" s="851">
        <f t="shared" si="322"/>
        <v>0.31226361328428581</v>
      </c>
      <c r="DN146" s="850">
        <f t="shared" si="322"/>
        <v>0.29761904761904762</v>
      </c>
      <c r="DO146" s="850">
        <f t="shared" si="322"/>
        <v>0.30618273897446718</v>
      </c>
      <c r="DP146" s="850">
        <f t="shared" si="322"/>
        <v>0.30426843186487101</v>
      </c>
      <c r="DQ146" s="850">
        <f t="shared" si="322"/>
        <v>0.30139451192082772</v>
      </c>
      <c r="DR146" s="851">
        <f t="shared" si="322"/>
        <v>0.30235358511220578</v>
      </c>
      <c r="DS146" s="850">
        <f t="shared" si="322"/>
        <v>0.30904098014364173</v>
      </c>
      <c r="DT146" s="850">
        <f t="shared" si="322"/>
        <v>0.31791044776119404</v>
      </c>
      <c r="DU146" s="850">
        <f t="shared" si="322"/>
        <v>0.31048387096774194</v>
      </c>
      <c r="DV146" s="850">
        <f t="shared" ref="DV146" si="323">+DV143/DV156</f>
        <v>0.3014535496102802</v>
      </c>
      <c r="DW146" s="851">
        <f t="shared" si="322"/>
        <v>0.3096860745908237</v>
      </c>
      <c r="DX146" s="850">
        <f t="shared" si="322"/>
        <v>0.32701989413137494</v>
      </c>
      <c r="DY146" s="850">
        <f t="shared" si="322"/>
        <v>0.33551563384680733</v>
      </c>
      <c r="DZ146" s="850">
        <f t="shared" si="322"/>
        <v>0.32616494648830191</v>
      </c>
      <c r="EA146" s="850">
        <f t="shared" si="322"/>
        <v>0.32496837400816148</v>
      </c>
      <c r="EB146" s="851">
        <f t="shared" si="322"/>
        <v>0.32844770483393171</v>
      </c>
      <c r="EC146" s="850">
        <f t="shared" si="322"/>
        <v>0.34307231558415574</v>
      </c>
      <c r="ED146" s="850">
        <f t="shared" si="322"/>
        <v>0.34526873698456556</v>
      </c>
      <c r="EE146" s="850">
        <f t="shared" si="322"/>
        <v>0.32898607428493798</v>
      </c>
      <c r="EF146" s="850">
        <f t="shared" si="322"/>
        <v>0.32152322893919316</v>
      </c>
      <c r="EG146" s="851">
        <f t="shared" si="322"/>
        <v>0.33462024835255183</v>
      </c>
      <c r="EH146" s="850">
        <f t="shared" ref="EH146:EL146" si="324">+EH143/EH156</f>
        <v>0.34008474433518854</v>
      </c>
      <c r="EI146" s="850">
        <f t="shared" si="324"/>
        <v>0.34268065984626772</v>
      </c>
      <c r="EJ146" s="850">
        <f t="shared" si="324"/>
        <v>0.32690559428256039</v>
      </c>
      <c r="EK146" s="850">
        <f t="shared" si="324"/>
        <v>0.31982042056769916</v>
      </c>
      <c r="EL146" s="851">
        <f t="shared" si="324"/>
        <v>0.33229687185737433</v>
      </c>
    </row>
    <row r="147" spans="1:142" ht="11.25" customHeight="1">
      <c r="A147" s="1056"/>
      <c r="B147" s="1056"/>
      <c r="C147" s="930"/>
      <c r="D147" s="930"/>
      <c r="E147" s="930"/>
      <c r="F147" s="930"/>
      <c r="G147" s="930"/>
      <c r="H147" s="844"/>
      <c r="I147" s="930"/>
      <c r="J147" s="930"/>
      <c r="K147" s="930"/>
      <c r="L147" s="930"/>
      <c r="M147" s="844"/>
      <c r="N147" s="930"/>
      <c r="O147" s="930"/>
      <c r="P147" s="930"/>
      <c r="Q147" s="930"/>
      <c r="R147" s="844"/>
      <c r="S147" s="930"/>
      <c r="T147" s="930"/>
      <c r="U147" s="930"/>
      <c r="V147" s="930"/>
      <c r="W147" s="844"/>
      <c r="X147" s="930"/>
      <c r="Y147" s="930"/>
      <c r="Z147" s="930"/>
      <c r="AA147" s="930"/>
      <c r="AB147" s="844"/>
      <c r="AC147" s="930"/>
      <c r="AD147" s="930"/>
      <c r="AE147" s="930"/>
      <c r="AF147" s="930"/>
      <c r="AG147" s="844"/>
      <c r="AH147" s="930"/>
      <c r="AI147" s="930"/>
      <c r="AJ147" s="930"/>
      <c r="AK147" s="930"/>
      <c r="AL147" s="844"/>
      <c r="AM147" s="930"/>
      <c r="AN147" s="930"/>
      <c r="AO147" s="930"/>
      <c r="AP147" s="930"/>
      <c r="AQ147" s="844"/>
      <c r="AR147" s="930"/>
      <c r="AS147" s="930"/>
      <c r="AT147" s="930"/>
      <c r="AU147" s="802"/>
      <c r="AV147" s="930"/>
      <c r="AW147" s="930"/>
      <c r="AX147" s="930"/>
      <c r="AY147" s="930"/>
      <c r="AZ147" s="844"/>
      <c r="BA147" s="930"/>
      <c r="BB147" s="930"/>
      <c r="BC147" s="930"/>
      <c r="BD147" s="930"/>
      <c r="BE147" s="930"/>
      <c r="BF147" s="930"/>
      <c r="BG147" s="930"/>
      <c r="BH147" s="930"/>
      <c r="BI147" s="930"/>
      <c r="BJ147" s="930"/>
      <c r="BK147" s="930"/>
      <c r="BL147" s="930"/>
      <c r="BM147" s="930"/>
      <c r="BN147" s="930"/>
      <c r="BO147" s="930"/>
      <c r="BP147" s="930"/>
      <c r="BQ147" s="930"/>
      <c r="BR147" s="930"/>
      <c r="BS147" s="930"/>
      <c r="BT147" s="930"/>
      <c r="BU147" s="930"/>
      <c r="BV147" s="930"/>
      <c r="BW147" s="930"/>
      <c r="BX147" s="930"/>
      <c r="BY147" s="930"/>
      <c r="BZ147" s="930"/>
      <c r="CA147" s="930"/>
      <c r="CB147" s="930"/>
      <c r="CC147" s="930"/>
      <c r="CD147" s="930"/>
      <c r="CE147" s="930"/>
      <c r="CF147" s="930"/>
      <c r="CG147" s="930"/>
      <c r="CH147" s="930"/>
      <c r="CI147" s="844"/>
      <c r="CJ147" s="930"/>
      <c r="CK147" s="930"/>
      <c r="CL147" s="930"/>
      <c r="CM147" s="930"/>
      <c r="CN147" s="844"/>
      <c r="CO147" s="930"/>
      <c r="CP147" s="930"/>
      <c r="CQ147" s="930"/>
      <c r="CR147" s="930"/>
      <c r="CS147" s="844"/>
      <c r="CT147" s="930"/>
      <c r="CU147" s="930"/>
      <c r="CV147" s="930"/>
      <c r="CW147" s="930"/>
      <c r="CX147" s="844"/>
      <c r="CY147" s="930"/>
      <c r="CZ147" s="930"/>
      <c r="DA147" s="930"/>
      <c r="DB147" s="930"/>
      <c r="DC147" s="844"/>
      <c r="DD147" s="930"/>
      <c r="DE147" s="930"/>
      <c r="DF147" s="930"/>
      <c r="DG147" s="930"/>
      <c r="DH147" s="844"/>
      <c r="DI147" s="930"/>
      <c r="DJ147" s="930"/>
      <c r="DK147" s="930"/>
      <c r="DL147" s="930"/>
      <c r="DM147" s="844"/>
      <c r="DN147" s="930"/>
      <c r="DO147" s="930"/>
      <c r="DP147" s="930"/>
      <c r="DQ147" s="930"/>
      <c r="DR147" s="844"/>
      <c r="DS147" s="930"/>
      <c r="DT147" s="930"/>
      <c r="DU147" s="930"/>
      <c r="DV147" s="930"/>
      <c r="DW147" s="844"/>
      <c r="DX147" s="930"/>
      <c r="DY147" s="930"/>
      <c r="DZ147" s="930"/>
      <c r="EA147" s="930"/>
      <c r="EB147" s="844"/>
      <c r="EC147" s="930"/>
      <c r="ED147" s="930"/>
      <c r="EE147" s="930"/>
      <c r="EF147" s="930"/>
      <c r="EG147" s="844"/>
      <c r="EH147" s="930"/>
      <c r="EI147" s="930"/>
      <c r="EJ147" s="930"/>
      <c r="EK147" s="930"/>
      <c r="EL147" s="844"/>
    </row>
    <row r="148" spans="1:142" ht="12.95" customHeight="1">
      <c r="A148" s="804"/>
      <c r="B148" s="804" t="s">
        <v>494</v>
      </c>
      <c r="C148" s="153"/>
      <c r="D148" s="153">
        <f>IS!D11</f>
        <v>145.3130000000001</v>
      </c>
      <c r="E148" s="153">
        <f>IS!E11</f>
        <v>133.62900000000002</v>
      </c>
      <c r="F148" s="153">
        <f>IS!F11</f>
        <v>130.60000000000002</v>
      </c>
      <c r="G148" s="153">
        <f>IS!G11</f>
        <v>184.25800000000004</v>
      </c>
      <c r="H148" s="924">
        <f>SUM(D148:G148)</f>
        <v>593.80000000000018</v>
      </c>
      <c r="I148" s="153">
        <f>IS!I11</f>
        <v>131.30000000000018</v>
      </c>
      <c r="J148" s="153">
        <f>IS!J11</f>
        <v>141.5</v>
      </c>
      <c r="K148" s="153">
        <f>IS!K11</f>
        <v>122.59999999999991</v>
      </c>
      <c r="L148" s="153">
        <f>IS!L11</f>
        <v>151.59999999999945</v>
      </c>
      <c r="M148" s="924">
        <f>SUM(I148:L148)</f>
        <v>546.99999999999955</v>
      </c>
      <c r="N148" s="153">
        <f>IS!N11</f>
        <v>169.89999999999986</v>
      </c>
      <c r="O148" s="153">
        <f>IS!O11</f>
        <v>165.89999999999986</v>
      </c>
      <c r="P148" s="153">
        <f>IS!P11</f>
        <v>220.10000000000014</v>
      </c>
      <c r="Q148" s="153">
        <f>IS!Q11</f>
        <v>393.09999999999945</v>
      </c>
      <c r="R148" s="924">
        <f>SUM(N148:Q148)</f>
        <v>948.99999999999932</v>
      </c>
      <c r="S148" s="153">
        <f>IS!S11</f>
        <v>255</v>
      </c>
      <c r="T148" s="153">
        <f>IS!T11</f>
        <v>280</v>
      </c>
      <c r="U148" s="153">
        <f>IS!U11</f>
        <v>276</v>
      </c>
      <c r="V148" s="153">
        <f>IS!V11</f>
        <v>263</v>
      </c>
      <c r="W148" s="924">
        <f>SUM(S148:V148)</f>
        <v>1074</v>
      </c>
      <c r="X148" s="153">
        <f>IS!X11</f>
        <v>293</v>
      </c>
      <c r="Y148" s="153">
        <f>IS!Y11</f>
        <v>270</v>
      </c>
      <c r="Z148" s="153">
        <f>IS!Z11</f>
        <v>290</v>
      </c>
      <c r="AA148" s="153">
        <f>IS!AA11</f>
        <v>326</v>
      </c>
      <c r="AB148" s="924">
        <f>SUM(X148:AA148)</f>
        <v>1179</v>
      </c>
      <c r="AC148" s="153">
        <f>IS!AC11</f>
        <v>268</v>
      </c>
      <c r="AD148" s="153">
        <f>IS!AD11</f>
        <v>257</v>
      </c>
      <c r="AE148" s="153">
        <f>IS!AE11</f>
        <v>224</v>
      </c>
      <c r="AF148" s="153">
        <f>IS!AF11</f>
        <v>242</v>
      </c>
      <c r="AG148" s="924">
        <f>SUM(AC148:AF148)</f>
        <v>991</v>
      </c>
      <c r="AH148" s="153">
        <f>IS!AH11</f>
        <v>204</v>
      </c>
      <c r="AI148" s="153">
        <f>IS!AI11</f>
        <v>194</v>
      </c>
      <c r="AJ148" s="153">
        <f>IS!AJ11</f>
        <v>185</v>
      </c>
      <c r="AK148" s="153">
        <f>IS!AK11</f>
        <v>190</v>
      </c>
      <c r="AL148" s="924">
        <f>SUM(AH148:AK148)</f>
        <v>773</v>
      </c>
      <c r="AM148" s="153">
        <f>IS!AM11</f>
        <v>179</v>
      </c>
      <c r="AN148" s="153">
        <f>IS!AN11</f>
        <v>170</v>
      </c>
      <c r="AO148" s="153">
        <f>IS!AO11</f>
        <v>167</v>
      </c>
      <c r="AP148" s="153">
        <f>IS!AP11</f>
        <v>149</v>
      </c>
      <c r="AQ148" s="924">
        <f>SUM(AM148:AP148)</f>
        <v>665</v>
      </c>
      <c r="AR148" s="153">
        <f>IS!AR11</f>
        <v>157</v>
      </c>
      <c r="AS148" s="153">
        <f>IS!AS11</f>
        <v>170</v>
      </c>
      <c r="AT148" s="153">
        <f>IS!AT11</f>
        <v>193</v>
      </c>
      <c r="AU148" s="802"/>
      <c r="AV148" s="153">
        <f>IS!AV11</f>
        <v>146</v>
      </c>
      <c r="AW148" s="153">
        <f>IS!AW11</f>
        <v>135</v>
      </c>
      <c r="AX148" s="153">
        <f>IS!AX11</f>
        <v>149</v>
      </c>
      <c r="AY148" s="153">
        <f>IS!AY11</f>
        <v>123</v>
      </c>
      <c r="AZ148" s="924">
        <f>SUM(AV148:AY148)</f>
        <v>553</v>
      </c>
      <c r="BA148" s="153">
        <f>IS!BA11</f>
        <v>174</v>
      </c>
      <c r="BB148" s="153">
        <f>IS!BB11</f>
        <v>184</v>
      </c>
      <c r="BC148" s="153">
        <f>IS!BC11</f>
        <v>152</v>
      </c>
      <c r="BD148" s="153">
        <f>IS!BD11</f>
        <v>169</v>
      </c>
      <c r="BE148" s="153">
        <f>IS!BE11</f>
        <v>679</v>
      </c>
      <c r="BF148" s="153">
        <f>IS!BF11</f>
        <v>96</v>
      </c>
      <c r="BG148" s="153">
        <f>IS!BG11</f>
        <v>99</v>
      </c>
      <c r="BH148" s="153">
        <f>IS!BH11</f>
        <v>92</v>
      </c>
      <c r="BI148" s="153">
        <f>IS!BI11</f>
        <v>93</v>
      </c>
      <c r="BJ148" s="153">
        <f>IS!BJ11</f>
        <v>380</v>
      </c>
      <c r="BK148" s="153">
        <f>IS!BK11</f>
        <v>91</v>
      </c>
      <c r="BL148" s="153">
        <f>IS!BL11</f>
        <v>95</v>
      </c>
      <c r="BM148" s="153">
        <f>IS!BM11</f>
        <v>83</v>
      </c>
      <c r="BN148" s="153">
        <f>IS!BN11</f>
        <v>68</v>
      </c>
      <c r="BO148" s="153">
        <f>IS!BO11</f>
        <v>337</v>
      </c>
      <c r="BP148" s="153">
        <f>IS!BP11</f>
        <v>73</v>
      </c>
      <c r="BQ148" s="153">
        <f>IS!BQ11</f>
        <v>83</v>
      </c>
      <c r="BR148" s="153">
        <f>IS!BR11</f>
        <v>76</v>
      </c>
      <c r="BS148" s="153">
        <f>IS!BS11</f>
        <v>63</v>
      </c>
      <c r="BT148" s="153">
        <f>IS!BT11</f>
        <v>295</v>
      </c>
      <c r="BU148" s="153">
        <f>IS!BU11</f>
        <v>82</v>
      </c>
      <c r="BV148" s="153">
        <f>IS!BV11</f>
        <v>70</v>
      </c>
      <c r="BW148" s="153">
        <f>IS!BW11</f>
        <v>74</v>
      </c>
      <c r="BX148" s="153">
        <f>IS!BX11</f>
        <v>74</v>
      </c>
      <c r="BY148" s="153">
        <f>IS!BY11</f>
        <v>300</v>
      </c>
      <c r="BZ148" s="153">
        <f>IS!BZ11</f>
        <v>74</v>
      </c>
      <c r="CA148" s="153">
        <f>IS!CA11</f>
        <v>75</v>
      </c>
      <c r="CB148" s="153">
        <f>IS!CB11</f>
        <v>80</v>
      </c>
      <c r="CC148" s="153">
        <f>IS!CC11</f>
        <v>89</v>
      </c>
      <c r="CD148" s="153">
        <f>IS!CD11</f>
        <v>318</v>
      </c>
      <c r="CE148" s="153">
        <f>IS!CE11</f>
        <v>81</v>
      </c>
      <c r="CF148" s="153">
        <f>IS!CF11</f>
        <v>86</v>
      </c>
      <c r="CG148" s="153">
        <f>IS!CG11</f>
        <v>87</v>
      </c>
      <c r="CH148" s="153">
        <f>IS!CH11</f>
        <v>89</v>
      </c>
      <c r="CI148" s="924">
        <f>SUM(CE148:CH148)</f>
        <v>343</v>
      </c>
      <c r="CJ148" s="153">
        <f>IS!CJ11</f>
        <v>89</v>
      </c>
      <c r="CK148" s="153">
        <f>IS!CK11</f>
        <v>92</v>
      </c>
      <c r="CL148" s="153">
        <f>IS!CL11</f>
        <v>98</v>
      </c>
      <c r="CM148" s="153">
        <f>IS!CM11</f>
        <v>94</v>
      </c>
      <c r="CN148" s="924">
        <f>SUM(CJ148:CM148)</f>
        <v>373</v>
      </c>
      <c r="CO148" s="153">
        <f>IS!CO11</f>
        <v>90</v>
      </c>
      <c r="CP148" s="153">
        <f>IS!CP11</f>
        <v>96</v>
      </c>
      <c r="CQ148" s="153">
        <f>IS!CQ11</f>
        <v>111</v>
      </c>
      <c r="CR148" s="153">
        <f>IS!CR11</f>
        <v>118</v>
      </c>
      <c r="CS148" s="924">
        <f>SUM(CO148:CR148)</f>
        <v>415</v>
      </c>
      <c r="CT148" s="153">
        <f>IS!CT11</f>
        <v>118</v>
      </c>
      <c r="CU148" s="153">
        <f>IS!CU11</f>
        <v>116</v>
      </c>
      <c r="CV148" s="153">
        <f>IS!CV11</f>
        <v>137</v>
      </c>
      <c r="CW148" s="153">
        <f>IS!CW11</f>
        <v>166</v>
      </c>
      <c r="CX148" s="924">
        <f>SUM(CT148:CW148)</f>
        <v>537</v>
      </c>
      <c r="CY148" s="153">
        <f>IS!CY11</f>
        <v>245</v>
      </c>
      <c r="CZ148" s="153">
        <f>IS!CZ11</f>
        <v>243</v>
      </c>
      <c r="DA148" s="153">
        <f>IS!DA11</f>
        <v>271</v>
      </c>
      <c r="DB148" s="153">
        <f>IS!DB11</f>
        <v>504</v>
      </c>
      <c r="DC148" s="924">
        <f>SUM(CY148:DB148)</f>
        <v>1263</v>
      </c>
      <c r="DD148" s="153">
        <f>IS!DD11</f>
        <v>520</v>
      </c>
      <c r="DE148" s="153">
        <f>IS!DE11</f>
        <v>521</v>
      </c>
      <c r="DF148" s="153">
        <f>IS!DF11</f>
        <v>524</v>
      </c>
      <c r="DG148" s="153">
        <f>IS!DG11</f>
        <v>566</v>
      </c>
      <c r="DH148" s="924">
        <f>SUM(DD148:DG148)</f>
        <v>2131</v>
      </c>
      <c r="DI148" s="153">
        <f>IS!DI11</f>
        <v>688</v>
      </c>
      <c r="DJ148" s="153">
        <f>IS!DJ11</f>
        <v>675</v>
      </c>
      <c r="DK148" s="153">
        <f>IS!DK11</f>
        <v>604</v>
      </c>
      <c r="DL148" s="153">
        <f>IS!DL11</f>
        <v>654</v>
      </c>
      <c r="DM148" s="924">
        <f>SUM(DI148:DL148)</f>
        <v>2621</v>
      </c>
      <c r="DN148" s="153">
        <f>IS!DN11</f>
        <v>688</v>
      </c>
      <c r="DO148" s="153">
        <f>IS!DO11</f>
        <v>720</v>
      </c>
      <c r="DP148" s="153">
        <f>IS!DP11</f>
        <v>698</v>
      </c>
      <c r="DQ148" s="153">
        <f>IS!DQ11</f>
        <v>664</v>
      </c>
      <c r="DR148" s="924">
        <f>SUM(DN148:DQ148)</f>
        <v>2770</v>
      </c>
      <c r="DS148" s="153">
        <f>IS!DS11</f>
        <v>666</v>
      </c>
      <c r="DT148" s="153">
        <f>IS!DT11</f>
        <v>654</v>
      </c>
      <c r="DU148" s="153">
        <f>IS!DU11</f>
        <v>687</v>
      </c>
      <c r="DV148" s="153">
        <f>IS!DV11</f>
        <v>621</v>
      </c>
      <c r="DW148" s="924">
        <f>SUM(DS148:DV148)</f>
        <v>2628</v>
      </c>
      <c r="DX148" s="153">
        <f>DX151+DX153</f>
        <v>644.76</v>
      </c>
      <c r="DY148" s="153">
        <f>DY151+DY153</f>
        <v>629.29999999999995</v>
      </c>
      <c r="DZ148" s="153">
        <f>DZ151+DZ153</f>
        <v>660.67</v>
      </c>
      <c r="EA148" s="153">
        <f>EA151+EA153</f>
        <v>597.82999999999993</v>
      </c>
      <c r="EB148" s="924">
        <f>SUM(DX148:EA148)</f>
        <v>2532.56</v>
      </c>
      <c r="EC148" s="153">
        <f>EC151+EC153</f>
        <v>653.71559999999999</v>
      </c>
      <c r="ED148" s="153">
        <f>ED151+ED153</f>
        <v>638.00599999999997</v>
      </c>
      <c r="EE148" s="153">
        <f>EE151+EE153</f>
        <v>669.99369999999999</v>
      </c>
      <c r="EF148" s="153">
        <f>EF151+EF153</f>
        <v>605.96479999999997</v>
      </c>
      <c r="EG148" s="924">
        <f>SUM(EC148:EF148)</f>
        <v>2567.6800999999996</v>
      </c>
      <c r="EH148" s="153">
        <f>EH151+EH153</f>
        <v>662.81091599999991</v>
      </c>
      <c r="EI148" s="153">
        <f>EI151+EI153</f>
        <v>646.84731999999997</v>
      </c>
      <c r="EJ148" s="153">
        <f>EJ151+EJ153</f>
        <v>679.46497700000009</v>
      </c>
      <c r="EK148" s="153">
        <f>EK151+EK153</f>
        <v>614.22407799999996</v>
      </c>
      <c r="EL148" s="924">
        <f>SUM(EH148:EK148)</f>
        <v>2603.347291</v>
      </c>
    </row>
    <row r="149" spans="1:142" ht="11.25" customHeight="1">
      <c r="A149" s="848"/>
      <c r="B149" s="848" t="s">
        <v>140</v>
      </c>
      <c r="C149" s="1010"/>
      <c r="D149" s="1010" t="str">
        <f t="shared" ref="D149:AT149" si="325">IF(ISERROR(+D148/D156),"nm",+D148/D156)</f>
        <v>nm</v>
      </c>
      <c r="E149" s="1010" t="str">
        <f t="shared" si="325"/>
        <v>nm</v>
      </c>
      <c r="F149" s="1010" t="str">
        <f t="shared" si="325"/>
        <v>nm</v>
      </c>
      <c r="G149" s="1010" t="str">
        <f t="shared" si="325"/>
        <v>nm</v>
      </c>
      <c r="H149" s="1011" t="str">
        <f t="shared" si="325"/>
        <v>nm</v>
      </c>
      <c r="I149" s="1010" t="str">
        <f t="shared" si="325"/>
        <v>nm</v>
      </c>
      <c r="J149" s="1010" t="str">
        <f t="shared" si="325"/>
        <v>nm</v>
      </c>
      <c r="K149" s="1010" t="str">
        <f t="shared" si="325"/>
        <v>nm</v>
      </c>
      <c r="L149" s="1010" t="str">
        <f t="shared" si="325"/>
        <v>nm</v>
      </c>
      <c r="M149" s="1011" t="str">
        <f t="shared" si="325"/>
        <v>nm</v>
      </c>
      <c r="N149" s="1010" t="str">
        <f t="shared" si="325"/>
        <v>nm</v>
      </c>
      <c r="O149" s="1010" t="str">
        <f t="shared" si="325"/>
        <v>nm</v>
      </c>
      <c r="P149" s="1010" t="str">
        <f t="shared" si="325"/>
        <v>nm</v>
      </c>
      <c r="Q149" s="1010" t="str">
        <f t="shared" si="325"/>
        <v>nm</v>
      </c>
      <c r="R149" s="1011" t="str">
        <f t="shared" si="325"/>
        <v>nm</v>
      </c>
      <c r="S149" s="1010" t="str">
        <f t="shared" si="325"/>
        <v>nm</v>
      </c>
      <c r="T149" s="1010" t="str">
        <f t="shared" si="325"/>
        <v>nm</v>
      </c>
      <c r="U149" s="1010" t="str">
        <f t="shared" si="325"/>
        <v>nm</v>
      </c>
      <c r="V149" s="1010" t="str">
        <f t="shared" si="325"/>
        <v>nm</v>
      </c>
      <c r="W149" s="1011" t="str">
        <f t="shared" si="325"/>
        <v>nm</v>
      </c>
      <c r="X149" s="1010" t="str">
        <f t="shared" si="325"/>
        <v>nm</v>
      </c>
      <c r="Y149" s="1010" t="str">
        <f t="shared" si="325"/>
        <v>nm</v>
      </c>
      <c r="Z149" s="1010" t="str">
        <f t="shared" si="325"/>
        <v>nm</v>
      </c>
      <c r="AA149" s="1010" t="str">
        <f t="shared" si="325"/>
        <v>nm</v>
      </c>
      <c r="AB149" s="1011" t="str">
        <f t="shared" si="325"/>
        <v>nm</v>
      </c>
      <c r="AC149" s="1010" t="str">
        <f t="shared" si="325"/>
        <v>nm</v>
      </c>
      <c r="AD149" s="1010" t="str">
        <f t="shared" si="325"/>
        <v>nm</v>
      </c>
      <c r="AE149" s="1010" t="str">
        <f t="shared" si="325"/>
        <v>nm</v>
      </c>
      <c r="AF149" s="1010" t="str">
        <f t="shared" si="325"/>
        <v>nm</v>
      </c>
      <c r="AG149" s="1011" t="str">
        <f t="shared" si="325"/>
        <v>nm</v>
      </c>
      <c r="AH149" s="1010" t="str">
        <f t="shared" si="325"/>
        <v>nm</v>
      </c>
      <c r="AI149" s="1010" t="str">
        <f t="shared" si="325"/>
        <v>nm</v>
      </c>
      <c r="AJ149" s="1010" t="str">
        <f t="shared" si="325"/>
        <v>nm</v>
      </c>
      <c r="AK149" s="1010" t="str">
        <f t="shared" si="325"/>
        <v>nm</v>
      </c>
      <c r="AL149" s="1011" t="str">
        <f t="shared" si="325"/>
        <v>nm</v>
      </c>
      <c r="AM149" s="1010" t="str">
        <f t="shared" si="325"/>
        <v>nm</v>
      </c>
      <c r="AN149" s="1010" t="str">
        <f t="shared" si="325"/>
        <v>nm</v>
      </c>
      <c r="AO149" s="1010" t="str">
        <f t="shared" si="325"/>
        <v>nm</v>
      </c>
      <c r="AP149" s="1010" t="str">
        <f t="shared" si="325"/>
        <v>nm</v>
      </c>
      <c r="AQ149" s="1011" t="str">
        <f t="shared" si="325"/>
        <v>nm</v>
      </c>
      <c r="AR149" s="1010" t="str">
        <f t="shared" si="325"/>
        <v>nm</v>
      </c>
      <c r="AS149" s="1010" t="str">
        <f t="shared" si="325"/>
        <v>nm</v>
      </c>
      <c r="AT149" s="1010" t="str">
        <f t="shared" si="325"/>
        <v>nm</v>
      </c>
      <c r="AU149" s="802"/>
      <c r="AV149" s="1010" t="str">
        <f>IF(ISERROR(+AV148/AV156),"nm",+AV148/AV156)</f>
        <v>nm</v>
      </c>
      <c r="AW149" s="1010" t="str">
        <f>IF(ISERROR(+AW148/AW156),"nm",+AW148/AW156)</f>
        <v>nm</v>
      </c>
      <c r="AX149" s="1010" t="str">
        <f>IF(ISERROR(+AX148/AX156),"nm",+AX148/AX156)</f>
        <v>nm</v>
      </c>
      <c r="AY149" s="1010" t="str">
        <f>IF(ISERROR(+AY148/AY156),"nm",+AY148/AY156)</f>
        <v>nm</v>
      </c>
      <c r="AZ149" s="1011" t="s">
        <v>89</v>
      </c>
      <c r="BA149" s="850">
        <f t="shared" ref="BA149:CH149" si="326">+BA148/BA156</f>
        <v>5.0405561993047507E-2</v>
      </c>
      <c r="BB149" s="850">
        <f t="shared" si="326"/>
        <v>5.4453980467593963E-2</v>
      </c>
      <c r="BC149" s="850">
        <f t="shared" si="326"/>
        <v>4.6102517440097059E-2</v>
      </c>
      <c r="BD149" s="850">
        <f t="shared" si="326"/>
        <v>5.4816736944534546E-2</v>
      </c>
      <c r="BE149" s="850">
        <f t="shared" si="326"/>
        <v>5.1396563469835746E-2</v>
      </c>
      <c r="BF149" s="850">
        <f t="shared" si="326"/>
        <v>3.5968527538403898E-2</v>
      </c>
      <c r="BG149" s="850">
        <f t="shared" si="326"/>
        <v>3.8521400778210119E-2</v>
      </c>
      <c r="BH149" s="850">
        <f t="shared" si="326"/>
        <v>3.7704918032786888E-2</v>
      </c>
      <c r="BI149" s="850">
        <f t="shared" si="326"/>
        <v>3.8557213930348257E-2</v>
      </c>
      <c r="BJ149" s="850">
        <f t="shared" si="326"/>
        <v>3.828715365239295E-2</v>
      </c>
      <c r="BK149" s="850">
        <f t="shared" si="326"/>
        <v>3.6385445821671331E-2</v>
      </c>
      <c r="BL149" s="850">
        <f t="shared" si="326"/>
        <v>3.9256198347107439E-2</v>
      </c>
      <c r="BM149" s="850">
        <f t="shared" si="326"/>
        <v>3.4670008354218879E-2</v>
      </c>
      <c r="BN149" s="850">
        <f t="shared" si="326"/>
        <v>2.9578077424967378E-2</v>
      </c>
      <c r="BO149" s="850">
        <f t="shared" si="326"/>
        <v>3.5053047638859997E-2</v>
      </c>
      <c r="BP149" s="850">
        <f t="shared" si="326"/>
        <v>3.0240265120132559E-2</v>
      </c>
      <c r="BQ149" s="850">
        <f t="shared" si="326"/>
        <v>3.7813211845102508E-2</v>
      </c>
      <c r="BR149" s="850">
        <f t="shared" si="326"/>
        <v>3.5899858290033067E-2</v>
      </c>
      <c r="BS149" s="850">
        <f t="shared" si="326"/>
        <v>2.8912345112436899E-2</v>
      </c>
      <c r="BT149" s="850">
        <f t="shared" si="326"/>
        <v>3.3884677234091429E-2</v>
      </c>
      <c r="BU149" s="850">
        <f t="shared" si="326"/>
        <v>3.5980693286529176E-2</v>
      </c>
      <c r="BV149" s="850">
        <f t="shared" si="326"/>
        <v>3.141831238779174E-2</v>
      </c>
      <c r="BW149" s="850">
        <f t="shared" si="326"/>
        <v>3.3453887884267633E-2</v>
      </c>
      <c r="BX149" s="850">
        <f t="shared" si="326"/>
        <v>3.2874278098622832E-2</v>
      </c>
      <c r="BY149" s="850">
        <f t="shared" si="326"/>
        <v>3.3871514056678334E-2</v>
      </c>
      <c r="BZ149" s="850">
        <f t="shared" si="326"/>
        <v>3.1210459721636441E-2</v>
      </c>
      <c r="CA149" s="850">
        <f t="shared" si="326"/>
        <v>3.4340659340659344E-2</v>
      </c>
      <c r="CB149" s="850">
        <f t="shared" si="326"/>
        <v>3.7071362372567189E-2</v>
      </c>
      <c r="CC149" s="850">
        <f t="shared" si="326"/>
        <v>4.0546697038724371E-2</v>
      </c>
      <c r="CD149" s="850">
        <f t="shared" si="326"/>
        <v>3.6695130394645739E-2</v>
      </c>
      <c r="CE149" s="850">
        <f t="shared" si="326"/>
        <v>3.5541904344010528E-2</v>
      </c>
      <c r="CF149" s="850">
        <f t="shared" si="326"/>
        <v>3.8582323912068194E-2</v>
      </c>
      <c r="CG149" s="850">
        <f t="shared" si="326"/>
        <v>3.8461538461538464E-2</v>
      </c>
      <c r="CH149" s="850">
        <f t="shared" si="326"/>
        <v>3.9363113666519241E-2</v>
      </c>
      <c r="CI149" s="851">
        <f>+CI148/CI156</f>
        <v>3.7980290111837005E-2</v>
      </c>
      <c r="CJ149" s="850">
        <f>+CJ148/CJ156</f>
        <v>3.8050448909790507E-2</v>
      </c>
      <c r="CK149" s="850">
        <f>+CK148/CK156</f>
        <v>3.9947894051237519E-2</v>
      </c>
      <c r="CL149" s="850">
        <f t="shared" ref="CL149:DC149" si="327">+CL148/CL156</f>
        <v>4.3324491600353669E-2</v>
      </c>
      <c r="CM149" s="850">
        <f t="shared" si="327"/>
        <v>4.0851803563667972E-2</v>
      </c>
      <c r="CN149" s="851">
        <f t="shared" si="327"/>
        <v>4.0521455730581205E-2</v>
      </c>
      <c r="CO149" s="850">
        <f t="shared" si="327"/>
        <v>3.7052284890901607E-2</v>
      </c>
      <c r="CP149" s="850">
        <f t="shared" si="327"/>
        <v>4.1739130434782612E-2</v>
      </c>
      <c r="CQ149" s="850">
        <f t="shared" si="327"/>
        <v>4.8492791612057669E-2</v>
      </c>
      <c r="CR149" s="850">
        <f t="shared" si="327"/>
        <v>5.0148746281342964E-2</v>
      </c>
      <c r="CS149" s="851">
        <f t="shared" si="327"/>
        <v>4.4285561839718282E-2</v>
      </c>
      <c r="CT149" s="850">
        <f t="shared" si="327"/>
        <v>4.737053392211963E-2</v>
      </c>
      <c r="CU149" s="850">
        <f t="shared" si="327"/>
        <v>4.7250509164969451E-2</v>
      </c>
      <c r="CV149" s="850">
        <f t="shared" si="327"/>
        <v>5.6448290070045322E-2</v>
      </c>
      <c r="CW149" s="850">
        <f t="shared" si="327"/>
        <v>6.558672461477677E-2</v>
      </c>
      <c r="CX149" s="851">
        <f t="shared" si="327"/>
        <v>5.4220516962843295E-2</v>
      </c>
      <c r="CY149" s="850">
        <f t="shared" si="327"/>
        <v>9.4448727833461837E-2</v>
      </c>
      <c r="CZ149" s="850">
        <f t="shared" si="327"/>
        <v>9.2430581970330924E-2</v>
      </c>
      <c r="DA149" s="850">
        <f t="shared" si="327"/>
        <v>0.10351413292589763</v>
      </c>
      <c r="DB149" s="850">
        <f t="shared" si="327"/>
        <v>0.11906449326718639</v>
      </c>
      <c r="DC149" s="851">
        <f t="shared" si="327"/>
        <v>0.10460493622660262</v>
      </c>
      <c r="DD149" s="850">
        <f t="shared" ref="DD149:EG149" si="328">+DD148/DD156</f>
        <v>0.12076172782164422</v>
      </c>
      <c r="DE149" s="850">
        <f t="shared" si="328"/>
        <v>0.11944062356717103</v>
      </c>
      <c r="DF149" s="850">
        <f t="shared" si="328"/>
        <v>0.11833785004516711</v>
      </c>
      <c r="DG149" s="850">
        <f t="shared" si="328"/>
        <v>0.11733001658374792</v>
      </c>
      <c r="DH149" s="851">
        <f t="shared" si="328"/>
        <v>0.11891741071428572</v>
      </c>
      <c r="DI149" s="850">
        <f t="shared" si="328"/>
        <v>0.14360258818618243</v>
      </c>
      <c r="DJ149" s="850">
        <f t="shared" si="328"/>
        <v>0.1411543287327478</v>
      </c>
      <c r="DK149" s="850">
        <f t="shared" si="328"/>
        <v>0.12791190173655231</v>
      </c>
      <c r="DL149" s="850">
        <f t="shared" si="328"/>
        <v>0.13064322812624851</v>
      </c>
      <c r="DM149" s="851">
        <f t="shared" si="328"/>
        <v>0.13579607274234495</v>
      </c>
      <c r="DN149" s="850">
        <f t="shared" si="328"/>
        <v>0.14625850340136054</v>
      </c>
      <c r="DO149" s="850">
        <f t="shared" si="328"/>
        <v>0.15193078708588309</v>
      </c>
      <c r="DP149" s="850">
        <f t="shared" si="328"/>
        <v>0.1593243551700525</v>
      </c>
      <c r="DQ149" s="850">
        <f t="shared" si="328"/>
        <v>0.14934772829509671</v>
      </c>
      <c r="DR149" s="851">
        <f t="shared" si="328"/>
        <v>0.15161466885604816</v>
      </c>
      <c r="DS149" s="850">
        <f t="shared" si="328"/>
        <v>0.14068441064638784</v>
      </c>
      <c r="DT149" s="850">
        <f t="shared" si="328"/>
        <v>0.1394456289978678</v>
      </c>
      <c r="DU149" s="850">
        <f t="shared" si="328"/>
        <v>0.15389784946236559</v>
      </c>
      <c r="DV149" s="850">
        <f t="shared" si="328"/>
        <v>0.13081946492521593</v>
      </c>
      <c r="DW149" s="851">
        <f t="shared" si="328"/>
        <v>0.14102495304534479</v>
      </c>
      <c r="DX149" s="850">
        <f t="shared" si="328"/>
        <v>0.14340420041973681</v>
      </c>
      <c r="DY149" s="850">
        <f t="shared" si="328"/>
        <v>0.14090512453146464</v>
      </c>
      <c r="DZ149" s="850">
        <f t="shared" si="328"/>
        <v>0.15470080707316694</v>
      </c>
      <c r="EA149" s="850">
        <f t="shared" si="328"/>
        <v>0.13508685992351255</v>
      </c>
      <c r="EB149" s="851">
        <f t="shared" si="328"/>
        <v>0.14341970951932803</v>
      </c>
      <c r="EC149" s="850">
        <f t="shared" si="328"/>
        <v>0.15027892945596022</v>
      </c>
      <c r="ED149" s="850">
        <f t="shared" si="328"/>
        <v>0.1448345824498575</v>
      </c>
      <c r="EE149" s="850">
        <f t="shared" si="328"/>
        <v>0.15590243548968066</v>
      </c>
      <c r="EF149" s="850">
        <f t="shared" si="328"/>
        <v>0.13347133795655461</v>
      </c>
      <c r="EG149" s="851">
        <f t="shared" si="328"/>
        <v>0.14595196759516493</v>
      </c>
      <c r="EH149" s="850">
        <f t="shared" ref="EH149" si="329">+EH148/EH156</f>
        <v>0.14881075857238824</v>
      </c>
      <c r="EI149" s="850">
        <f t="shared" ref="EI149" si="330">+EI148/EI156</f>
        <v>0.143587154113307</v>
      </c>
      <c r="EJ149" s="850">
        <f t="shared" ref="EJ149" si="331">+EJ148/EJ156</f>
        <v>0.15478470794930591</v>
      </c>
      <c r="EK149" s="850">
        <f t="shared" ref="EK149" si="332">+EK148/EK156</f>
        <v>0.13258526076323343</v>
      </c>
      <c r="EL149" s="851">
        <f t="shared" ref="EL149" si="333">+EL148/EL156</f>
        <v>0.14478018926270536</v>
      </c>
    </row>
    <row r="150" spans="1:142" ht="11.25" customHeight="1">
      <c r="A150" s="1122"/>
      <c r="B150" s="1122" t="s">
        <v>143</v>
      </c>
      <c r="C150" s="1012"/>
      <c r="D150" s="1012"/>
      <c r="E150" s="1012"/>
      <c r="F150" s="1012"/>
      <c r="G150" s="1012"/>
      <c r="H150" s="1011"/>
      <c r="I150" s="1010" t="str">
        <f t="shared" ref="I150:AT150" si="334">IF(ISERROR(I146/D75-1),"NM",I146/D75-1)</f>
        <v>NM</v>
      </c>
      <c r="J150" s="1010" t="str">
        <f t="shared" si="334"/>
        <v>NM</v>
      </c>
      <c r="K150" s="1010" t="str">
        <f t="shared" si="334"/>
        <v>NM</v>
      </c>
      <c r="L150" s="1010" t="str">
        <f t="shared" si="334"/>
        <v>NM</v>
      </c>
      <c r="M150" s="1011" t="str">
        <f t="shared" si="334"/>
        <v>NM</v>
      </c>
      <c r="N150" s="1010" t="str">
        <f t="shared" si="334"/>
        <v>NM</v>
      </c>
      <c r="O150" s="1010" t="str">
        <f t="shared" si="334"/>
        <v>NM</v>
      </c>
      <c r="P150" s="1010" t="str">
        <f t="shared" si="334"/>
        <v>NM</v>
      </c>
      <c r="Q150" s="1010" t="str">
        <f t="shared" si="334"/>
        <v>NM</v>
      </c>
      <c r="R150" s="1011" t="str">
        <f t="shared" si="334"/>
        <v>NM</v>
      </c>
      <c r="S150" s="1010" t="str">
        <f t="shared" si="334"/>
        <v>NM</v>
      </c>
      <c r="T150" s="1010" t="str">
        <f t="shared" si="334"/>
        <v>NM</v>
      </c>
      <c r="U150" s="1010" t="str">
        <f t="shared" si="334"/>
        <v>NM</v>
      </c>
      <c r="V150" s="1010" t="str">
        <f t="shared" si="334"/>
        <v>NM</v>
      </c>
      <c r="W150" s="1011" t="str">
        <f t="shared" si="334"/>
        <v>NM</v>
      </c>
      <c r="X150" s="1010" t="str">
        <f t="shared" si="334"/>
        <v>NM</v>
      </c>
      <c r="Y150" s="1010" t="str">
        <f t="shared" si="334"/>
        <v>NM</v>
      </c>
      <c r="Z150" s="1010" t="str">
        <f t="shared" si="334"/>
        <v>NM</v>
      </c>
      <c r="AA150" s="1010" t="str">
        <f t="shared" si="334"/>
        <v>NM</v>
      </c>
      <c r="AB150" s="1011" t="str">
        <f t="shared" si="334"/>
        <v>NM</v>
      </c>
      <c r="AC150" s="1010" t="str">
        <f t="shared" si="334"/>
        <v>NM</v>
      </c>
      <c r="AD150" s="1010" t="str">
        <f t="shared" si="334"/>
        <v>NM</v>
      </c>
      <c r="AE150" s="1010" t="str">
        <f t="shared" si="334"/>
        <v>NM</v>
      </c>
      <c r="AF150" s="1010" t="str">
        <f t="shared" si="334"/>
        <v>NM</v>
      </c>
      <c r="AG150" s="1011" t="str">
        <f t="shared" si="334"/>
        <v>NM</v>
      </c>
      <c r="AH150" s="1010" t="str">
        <f t="shared" si="334"/>
        <v>NM</v>
      </c>
      <c r="AI150" s="1010" t="str">
        <f t="shared" si="334"/>
        <v>NM</v>
      </c>
      <c r="AJ150" s="1010" t="str">
        <f t="shared" si="334"/>
        <v>NM</v>
      </c>
      <c r="AK150" s="1010" t="str">
        <f t="shared" si="334"/>
        <v>NM</v>
      </c>
      <c r="AL150" s="1011" t="str">
        <f t="shared" si="334"/>
        <v>NM</v>
      </c>
      <c r="AM150" s="1010" t="str">
        <f t="shared" si="334"/>
        <v>NM</v>
      </c>
      <c r="AN150" s="1010" t="str">
        <f t="shared" si="334"/>
        <v>NM</v>
      </c>
      <c r="AO150" s="1010" t="str">
        <f t="shared" si="334"/>
        <v>NM</v>
      </c>
      <c r="AP150" s="1010" t="str">
        <f t="shared" si="334"/>
        <v>NM</v>
      </c>
      <c r="AQ150" s="1011" t="str">
        <f t="shared" si="334"/>
        <v>NM</v>
      </c>
      <c r="AR150" s="1010" t="str">
        <f t="shared" si="334"/>
        <v>NM</v>
      </c>
      <c r="AS150" s="1010" t="str">
        <f t="shared" si="334"/>
        <v>NM</v>
      </c>
      <c r="AT150" s="1010" t="str">
        <f t="shared" si="334"/>
        <v>NM</v>
      </c>
      <c r="AU150" s="802"/>
      <c r="AV150" s="1012"/>
      <c r="AW150" s="1012"/>
      <c r="AX150" s="1012"/>
      <c r="AY150" s="1012"/>
      <c r="AZ150" s="1011"/>
      <c r="BA150" s="850">
        <f t="shared" ref="BA150:CH150" si="335">BA148/AV148-1</f>
        <v>0.19178082191780832</v>
      </c>
      <c r="BB150" s="850">
        <f t="shared" si="335"/>
        <v>0.36296296296296293</v>
      </c>
      <c r="BC150" s="850">
        <f t="shared" si="335"/>
        <v>2.0134228187919545E-2</v>
      </c>
      <c r="BD150" s="850">
        <f t="shared" si="335"/>
        <v>0.37398373983739841</v>
      </c>
      <c r="BE150" s="850">
        <f t="shared" si="335"/>
        <v>0.22784810126582289</v>
      </c>
      <c r="BF150" s="850">
        <f t="shared" si="335"/>
        <v>-0.44827586206896552</v>
      </c>
      <c r="BG150" s="850">
        <f t="shared" si="335"/>
        <v>-0.46195652173913049</v>
      </c>
      <c r="BH150" s="850">
        <f t="shared" si="335"/>
        <v>-0.39473684210526316</v>
      </c>
      <c r="BI150" s="850">
        <f t="shared" si="335"/>
        <v>-0.44970414201183428</v>
      </c>
      <c r="BJ150" s="850">
        <f t="shared" si="335"/>
        <v>-0.44035346097201766</v>
      </c>
      <c r="BK150" s="850">
        <f t="shared" si="335"/>
        <v>-5.208333333333337E-2</v>
      </c>
      <c r="BL150" s="850">
        <f t="shared" si="335"/>
        <v>-4.0404040404040442E-2</v>
      </c>
      <c r="BM150" s="850">
        <f t="shared" si="335"/>
        <v>-9.7826086956521729E-2</v>
      </c>
      <c r="BN150" s="850">
        <f t="shared" si="335"/>
        <v>-0.26881720430107525</v>
      </c>
      <c r="BO150" s="850">
        <f t="shared" si="335"/>
        <v>-0.11315789473684212</v>
      </c>
      <c r="BP150" s="850">
        <f t="shared" si="335"/>
        <v>-0.19780219780219777</v>
      </c>
      <c r="BQ150" s="850">
        <f t="shared" si="335"/>
        <v>-0.12631578947368416</v>
      </c>
      <c r="BR150" s="850">
        <f t="shared" si="335"/>
        <v>-8.4337349397590411E-2</v>
      </c>
      <c r="BS150" s="850">
        <f t="shared" si="335"/>
        <v>-7.3529411764705843E-2</v>
      </c>
      <c r="BT150" s="850">
        <f t="shared" si="335"/>
        <v>-0.12462908011869434</v>
      </c>
      <c r="BU150" s="850">
        <f t="shared" si="335"/>
        <v>0.12328767123287676</v>
      </c>
      <c r="BV150" s="850">
        <f t="shared" si="335"/>
        <v>-0.15662650602409633</v>
      </c>
      <c r="BW150" s="850">
        <f t="shared" si="335"/>
        <v>-2.6315789473684181E-2</v>
      </c>
      <c r="BX150" s="850">
        <f t="shared" si="335"/>
        <v>0.17460317460317465</v>
      </c>
      <c r="BY150" s="850">
        <f t="shared" si="335"/>
        <v>1.6949152542372836E-2</v>
      </c>
      <c r="BZ150" s="850">
        <f t="shared" si="335"/>
        <v>-9.7560975609756073E-2</v>
      </c>
      <c r="CA150" s="850">
        <f t="shared" si="335"/>
        <v>7.1428571428571397E-2</v>
      </c>
      <c r="CB150" s="850">
        <f t="shared" si="335"/>
        <v>8.1081081081081141E-2</v>
      </c>
      <c r="CC150" s="850">
        <f t="shared" si="335"/>
        <v>0.20270270270270263</v>
      </c>
      <c r="CD150" s="850">
        <f t="shared" si="335"/>
        <v>6.0000000000000053E-2</v>
      </c>
      <c r="CE150" s="850">
        <f t="shared" si="335"/>
        <v>9.4594594594594517E-2</v>
      </c>
      <c r="CF150" s="850">
        <f t="shared" si="335"/>
        <v>0.14666666666666672</v>
      </c>
      <c r="CG150" s="850">
        <f t="shared" si="335"/>
        <v>8.7499999999999911E-2</v>
      </c>
      <c r="CH150" s="850">
        <f t="shared" si="335"/>
        <v>0</v>
      </c>
      <c r="CI150" s="851">
        <f t="shared" ref="CI150:DS150" si="336">CI148/CD148-1</f>
        <v>7.8616352201257955E-2</v>
      </c>
      <c r="CJ150" s="850">
        <f t="shared" si="336"/>
        <v>9.8765432098765427E-2</v>
      </c>
      <c r="CK150" s="850">
        <f t="shared" si="336"/>
        <v>6.9767441860465018E-2</v>
      </c>
      <c r="CL150" s="850">
        <f t="shared" si="336"/>
        <v>0.12643678160919536</v>
      </c>
      <c r="CM150" s="850">
        <f t="shared" si="336"/>
        <v>5.6179775280898792E-2</v>
      </c>
      <c r="CN150" s="851">
        <f t="shared" si="336"/>
        <v>8.7463556851312019E-2</v>
      </c>
      <c r="CO150" s="850">
        <f t="shared" si="336"/>
        <v>1.1235955056179803E-2</v>
      </c>
      <c r="CP150" s="850">
        <f t="shared" si="336"/>
        <v>4.3478260869565188E-2</v>
      </c>
      <c r="CQ150" s="850">
        <f t="shared" si="336"/>
        <v>0.13265306122448983</v>
      </c>
      <c r="CR150" s="850">
        <f t="shared" si="336"/>
        <v>0.25531914893617014</v>
      </c>
      <c r="CS150" s="851">
        <f t="shared" si="336"/>
        <v>0.11260053619302957</v>
      </c>
      <c r="CT150" s="850">
        <f t="shared" si="336"/>
        <v>0.31111111111111112</v>
      </c>
      <c r="CU150" s="850">
        <f t="shared" si="336"/>
        <v>0.20833333333333326</v>
      </c>
      <c r="CV150" s="850">
        <f t="shared" si="336"/>
        <v>0.23423423423423428</v>
      </c>
      <c r="CW150" s="850">
        <f t="shared" si="336"/>
        <v>0.40677966101694918</v>
      </c>
      <c r="CX150" s="851">
        <f t="shared" si="336"/>
        <v>0.2939759036144578</v>
      </c>
      <c r="CY150" s="850">
        <f t="shared" si="336"/>
        <v>1.0762711864406778</v>
      </c>
      <c r="CZ150" s="850">
        <f t="shared" si="336"/>
        <v>1.0948275862068964</v>
      </c>
      <c r="DA150" s="850">
        <f t="shared" si="336"/>
        <v>0.97810218978102181</v>
      </c>
      <c r="DB150" s="850">
        <f t="shared" si="336"/>
        <v>2.036144578313253</v>
      </c>
      <c r="DC150" s="851">
        <f t="shared" si="336"/>
        <v>1.3519553072625698</v>
      </c>
      <c r="DD150" s="850">
        <f t="shared" si="336"/>
        <v>1.1224489795918369</v>
      </c>
      <c r="DE150" s="850">
        <f t="shared" si="336"/>
        <v>1.1440329218106995</v>
      </c>
      <c r="DF150" s="850">
        <f t="shared" si="336"/>
        <v>0.93357933579335795</v>
      </c>
      <c r="DG150" s="850">
        <f t="shared" si="336"/>
        <v>0.12301587301587302</v>
      </c>
      <c r="DH150" s="851">
        <f t="shared" si="336"/>
        <v>0.68725257323832145</v>
      </c>
      <c r="DI150" s="850">
        <f t="shared" si="336"/>
        <v>0.32307692307692304</v>
      </c>
      <c r="DJ150" s="850">
        <f t="shared" si="336"/>
        <v>0.29558541266794625</v>
      </c>
      <c r="DK150" s="850">
        <f t="shared" si="336"/>
        <v>0.15267175572519087</v>
      </c>
      <c r="DL150" s="850">
        <f t="shared" si="336"/>
        <v>0.15547703180212014</v>
      </c>
      <c r="DM150" s="851">
        <f t="shared" si="336"/>
        <v>0.22993899577663068</v>
      </c>
      <c r="DN150" s="850">
        <f t="shared" si="336"/>
        <v>0</v>
      </c>
      <c r="DO150" s="850">
        <f t="shared" si="336"/>
        <v>6.6666666666666652E-2</v>
      </c>
      <c r="DP150" s="850">
        <f t="shared" si="336"/>
        <v>0.1556291390728477</v>
      </c>
      <c r="DQ150" s="850">
        <f t="shared" si="336"/>
        <v>1.5290519877675823E-2</v>
      </c>
      <c r="DR150" s="851">
        <f>DR148/DM148-1</f>
        <v>5.6848531095001986E-2</v>
      </c>
      <c r="DS150" s="850">
        <f t="shared" si="336"/>
        <v>-3.1976744186046457E-2</v>
      </c>
      <c r="DT150" s="984">
        <f t="shared" ref="DT150:EG150" si="337">DT148/DO148-1</f>
        <v>-9.1666666666666674E-2</v>
      </c>
      <c r="DU150" s="984">
        <f t="shared" si="337"/>
        <v>-1.5759312320916874E-2</v>
      </c>
      <c r="DV150" s="984">
        <f t="shared" si="337"/>
        <v>-6.4759036144578341E-2</v>
      </c>
      <c r="DW150" s="851">
        <f t="shared" si="337"/>
        <v>-5.1263537906137135E-2</v>
      </c>
      <c r="DX150" s="984">
        <f t="shared" si="337"/>
        <v>-3.1891891891891899E-2</v>
      </c>
      <c r="DY150" s="984">
        <f t="shared" si="337"/>
        <v>-3.7767584097859408E-2</v>
      </c>
      <c r="DZ150" s="984">
        <f t="shared" si="337"/>
        <v>-3.8326055312954965E-2</v>
      </c>
      <c r="EA150" s="984">
        <f t="shared" si="337"/>
        <v>-3.7310789049919579E-2</v>
      </c>
      <c r="EB150" s="851">
        <f t="shared" si="337"/>
        <v>-3.631659056316594E-2</v>
      </c>
      <c r="EC150" s="984">
        <f t="shared" si="337"/>
        <v>1.3889819467708842E-2</v>
      </c>
      <c r="ED150" s="984">
        <f t="shared" si="337"/>
        <v>1.3834419195932091E-2</v>
      </c>
      <c r="EE150" s="984">
        <f t="shared" si="337"/>
        <v>1.4112491864319621E-2</v>
      </c>
      <c r="EF150" s="984">
        <f t="shared" si="337"/>
        <v>1.3607212752789311E-2</v>
      </c>
      <c r="EG150" s="851">
        <f t="shared" si="337"/>
        <v>1.3867430584072915E-2</v>
      </c>
      <c r="EH150" s="984">
        <f t="shared" ref="EH150" si="338">EH148/EC148-1</f>
        <v>1.3913261363198259E-2</v>
      </c>
      <c r="EI150" s="984">
        <f t="shared" ref="EI150" si="339">EI148/ED148-1</f>
        <v>1.3857738015002896E-2</v>
      </c>
      <c r="EJ150" s="984">
        <f t="shared" ref="EJ150" si="340">EJ148/EE148-1</f>
        <v>1.4136367252408633E-2</v>
      </c>
      <c r="EK150" s="984">
        <f t="shared" ref="EK150" si="341">EK148/EF148-1</f>
        <v>1.3629963324602423E-2</v>
      </c>
      <c r="EL150" s="851">
        <f t="shared" ref="EL150" si="342">EL148/EG148-1</f>
        <v>1.3890823471350844E-2</v>
      </c>
    </row>
    <row r="151" spans="1:142" ht="12.95" customHeight="1">
      <c r="A151" s="1123"/>
      <c r="B151" s="1123" t="s">
        <v>170</v>
      </c>
      <c r="C151" s="903"/>
      <c r="D151" s="903">
        <f t="shared" ref="D151:BO151" si="343">D148</f>
        <v>145.3130000000001</v>
      </c>
      <c r="E151" s="903">
        <f t="shared" si="343"/>
        <v>133.62900000000002</v>
      </c>
      <c r="F151" s="903">
        <f t="shared" si="343"/>
        <v>130.60000000000002</v>
      </c>
      <c r="G151" s="903">
        <f t="shared" si="343"/>
        <v>184.25800000000004</v>
      </c>
      <c r="H151" s="1124">
        <f t="shared" si="343"/>
        <v>593.80000000000018</v>
      </c>
      <c r="I151" s="903">
        <f t="shared" si="343"/>
        <v>131.30000000000018</v>
      </c>
      <c r="J151" s="903">
        <f t="shared" si="343"/>
        <v>141.5</v>
      </c>
      <c r="K151" s="903">
        <f t="shared" si="343"/>
        <v>122.59999999999991</v>
      </c>
      <c r="L151" s="903">
        <f t="shared" si="343"/>
        <v>151.59999999999945</v>
      </c>
      <c r="M151" s="1124">
        <f t="shared" si="343"/>
        <v>546.99999999999955</v>
      </c>
      <c r="N151" s="903">
        <f t="shared" si="343"/>
        <v>169.89999999999986</v>
      </c>
      <c r="O151" s="903">
        <f t="shared" si="343"/>
        <v>165.89999999999986</v>
      </c>
      <c r="P151" s="903">
        <f t="shared" si="343"/>
        <v>220.10000000000014</v>
      </c>
      <c r="Q151" s="903">
        <f t="shared" si="343"/>
        <v>393.09999999999945</v>
      </c>
      <c r="R151" s="1124">
        <f t="shared" si="343"/>
        <v>948.99999999999932</v>
      </c>
      <c r="S151" s="903">
        <f t="shared" si="343"/>
        <v>255</v>
      </c>
      <c r="T151" s="903">
        <f t="shared" si="343"/>
        <v>280</v>
      </c>
      <c r="U151" s="903">
        <f t="shared" si="343"/>
        <v>276</v>
      </c>
      <c r="V151" s="903">
        <f t="shared" si="343"/>
        <v>263</v>
      </c>
      <c r="W151" s="1124">
        <f t="shared" si="343"/>
        <v>1074</v>
      </c>
      <c r="X151" s="903">
        <f t="shared" si="343"/>
        <v>293</v>
      </c>
      <c r="Y151" s="903">
        <f t="shared" si="343"/>
        <v>270</v>
      </c>
      <c r="Z151" s="903">
        <f t="shared" si="343"/>
        <v>290</v>
      </c>
      <c r="AA151" s="903">
        <f t="shared" si="343"/>
        <v>326</v>
      </c>
      <c r="AB151" s="1124">
        <f t="shared" si="343"/>
        <v>1179</v>
      </c>
      <c r="AC151" s="903">
        <f t="shared" si="343"/>
        <v>268</v>
      </c>
      <c r="AD151" s="903">
        <f t="shared" si="343"/>
        <v>257</v>
      </c>
      <c r="AE151" s="903">
        <f t="shared" si="343"/>
        <v>224</v>
      </c>
      <c r="AF151" s="903">
        <f t="shared" si="343"/>
        <v>242</v>
      </c>
      <c r="AG151" s="1124">
        <f t="shared" si="343"/>
        <v>991</v>
      </c>
      <c r="AH151" s="903">
        <f t="shared" si="343"/>
        <v>204</v>
      </c>
      <c r="AI151" s="903">
        <f t="shared" si="343"/>
        <v>194</v>
      </c>
      <c r="AJ151" s="903">
        <f t="shared" si="343"/>
        <v>185</v>
      </c>
      <c r="AK151" s="903">
        <f t="shared" si="343"/>
        <v>190</v>
      </c>
      <c r="AL151" s="1124">
        <f t="shared" si="343"/>
        <v>773</v>
      </c>
      <c r="AM151" s="903">
        <f t="shared" si="343"/>
        <v>179</v>
      </c>
      <c r="AN151" s="903">
        <f t="shared" si="343"/>
        <v>170</v>
      </c>
      <c r="AO151" s="903">
        <f t="shared" si="343"/>
        <v>167</v>
      </c>
      <c r="AP151" s="903">
        <f t="shared" si="343"/>
        <v>149</v>
      </c>
      <c r="AQ151" s="1124">
        <f t="shared" si="343"/>
        <v>665</v>
      </c>
      <c r="AR151" s="903">
        <f t="shared" si="343"/>
        <v>157</v>
      </c>
      <c r="AS151" s="903">
        <f t="shared" si="343"/>
        <v>170</v>
      </c>
      <c r="AT151" s="903">
        <f t="shared" si="343"/>
        <v>193</v>
      </c>
      <c r="AU151" s="676">
        <f t="shared" si="343"/>
        <v>0</v>
      </c>
      <c r="AV151" s="903">
        <f t="shared" si="343"/>
        <v>146</v>
      </c>
      <c r="AW151" s="903">
        <f t="shared" si="343"/>
        <v>135</v>
      </c>
      <c r="AX151" s="903">
        <f t="shared" si="343"/>
        <v>149</v>
      </c>
      <c r="AY151" s="903">
        <f t="shared" si="343"/>
        <v>123</v>
      </c>
      <c r="AZ151" s="1124">
        <f t="shared" si="343"/>
        <v>553</v>
      </c>
      <c r="BA151" s="903">
        <f t="shared" si="343"/>
        <v>174</v>
      </c>
      <c r="BB151" s="903">
        <f t="shared" si="343"/>
        <v>184</v>
      </c>
      <c r="BC151" s="903">
        <f t="shared" si="343"/>
        <v>152</v>
      </c>
      <c r="BD151" s="903">
        <f t="shared" si="343"/>
        <v>169</v>
      </c>
      <c r="BE151" s="903">
        <f t="shared" si="343"/>
        <v>679</v>
      </c>
      <c r="BF151" s="903">
        <f t="shared" si="343"/>
        <v>96</v>
      </c>
      <c r="BG151" s="903">
        <f t="shared" si="343"/>
        <v>99</v>
      </c>
      <c r="BH151" s="903">
        <f t="shared" si="343"/>
        <v>92</v>
      </c>
      <c r="BI151" s="903">
        <f t="shared" si="343"/>
        <v>93</v>
      </c>
      <c r="BJ151" s="903">
        <f t="shared" si="343"/>
        <v>380</v>
      </c>
      <c r="BK151" s="903">
        <f t="shared" si="343"/>
        <v>91</v>
      </c>
      <c r="BL151" s="903">
        <f t="shared" si="343"/>
        <v>95</v>
      </c>
      <c r="BM151" s="903">
        <f t="shared" si="343"/>
        <v>83</v>
      </c>
      <c r="BN151" s="903">
        <f t="shared" si="343"/>
        <v>68</v>
      </c>
      <c r="BO151" s="903">
        <f t="shared" si="343"/>
        <v>337</v>
      </c>
      <c r="BP151" s="903">
        <f t="shared" ref="BP151:CH151" si="344">BP148</f>
        <v>73</v>
      </c>
      <c r="BQ151" s="903">
        <f t="shared" si="344"/>
        <v>83</v>
      </c>
      <c r="BR151" s="903">
        <f t="shared" si="344"/>
        <v>76</v>
      </c>
      <c r="BS151" s="903">
        <f t="shared" si="344"/>
        <v>63</v>
      </c>
      <c r="BT151" s="903">
        <f t="shared" si="344"/>
        <v>295</v>
      </c>
      <c r="BU151" s="903">
        <f t="shared" si="344"/>
        <v>82</v>
      </c>
      <c r="BV151" s="903">
        <f t="shared" si="344"/>
        <v>70</v>
      </c>
      <c r="BW151" s="903">
        <f t="shared" si="344"/>
        <v>74</v>
      </c>
      <c r="BX151" s="903">
        <f t="shared" si="344"/>
        <v>74</v>
      </c>
      <c r="BY151" s="903">
        <f t="shared" si="344"/>
        <v>300</v>
      </c>
      <c r="BZ151" s="903">
        <f t="shared" si="344"/>
        <v>74</v>
      </c>
      <c r="CA151" s="903">
        <f t="shared" si="344"/>
        <v>75</v>
      </c>
      <c r="CB151" s="903">
        <f t="shared" si="344"/>
        <v>80</v>
      </c>
      <c r="CC151" s="903">
        <f t="shared" si="344"/>
        <v>89</v>
      </c>
      <c r="CD151" s="903">
        <f t="shared" si="344"/>
        <v>318</v>
      </c>
      <c r="CE151" s="903">
        <f t="shared" si="344"/>
        <v>81</v>
      </c>
      <c r="CF151" s="903">
        <f t="shared" si="344"/>
        <v>86</v>
      </c>
      <c r="CG151" s="903">
        <f t="shared" si="344"/>
        <v>87</v>
      </c>
      <c r="CH151" s="903">
        <f t="shared" si="344"/>
        <v>89</v>
      </c>
      <c r="CI151" s="1124">
        <f>CI148</f>
        <v>343</v>
      </c>
      <c r="CJ151" s="903">
        <f>CJ148</f>
        <v>89</v>
      </c>
      <c r="CK151" s="903">
        <f>CK148</f>
        <v>92</v>
      </c>
      <c r="CL151" s="903">
        <f>CL148</f>
        <v>98</v>
      </c>
      <c r="CM151" s="903">
        <f>CM148</f>
        <v>94</v>
      </c>
      <c r="CN151" s="1124">
        <f>SUM(CJ151:CM151)</f>
        <v>373</v>
      </c>
      <c r="CO151" s="903">
        <f>CO148</f>
        <v>90</v>
      </c>
      <c r="CP151" s="903">
        <f>CP148</f>
        <v>96</v>
      </c>
      <c r="CQ151" s="903">
        <f>CQ148</f>
        <v>111</v>
      </c>
      <c r="CR151" s="903">
        <f>CR148</f>
        <v>118</v>
      </c>
      <c r="CS151" s="1124">
        <f>SUM(CO151:CR151)</f>
        <v>415</v>
      </c>
      <c r="CT151" s="903">
        <f>CT148</f>
        <v>118</v>
      </c>
      <c r="CU151" s="903">
        <f>CU148</f>
        <v>116</v>
      </c>
      <c r="CV151" s="903">
        <f>CV148</f>
        <v>137</v>
      </c>
      <c r="CW151" s="903">
        <f>CW148</f>
        <v>166</v>
      </c>
      <c r="CX151" s="1124">
        <f>SUM(CT151:CW151)</f>
        <v>537</v>
      </c>
      <c r="CY151" s="903">
        <f>CY148-CY153</f>
        <v>34</v>
      </c>
      <c r="CZ151" s="903">
        <f>CZ148-CZ153</f>
        <v>24</v>
      </c>
      <c r="DA151" s="903">
        <f>DA148-DA153</f>
        <v>46</v>
      </c>
      <c r="DB151" s="903">
        <f>DB148-DB153</f>
        <v>240</v>
      </c>
      <c r="DC151" s="1124">
        <f>SUM(CY151:DB151)</f>
        <v>344</v>
      </c>
      <c r="DD151" s="903">
        <f>DD148-DD153</f>
        <v>235</v>
      </c>
      <c r="DE151" s="903">
        <f>DE148-DE153</f>
        <v>236</v>
      </c>
      <c r="DF151" s="903">
        <f>DF148-DF153</f>
        <v>228</v>
      </c>
      <c r="DG151" s="903">
        <f>DG148-DG153</f>
        <v>239</v>
      </c>
      <c r="DH151" s="1124">
        <f>SUM(DD151:DG151)</f>
        <v>938</v>
      </c>
      <c r="DI151" s="903">
        <f>DI148-DI153</f>
        <v>346</v>
      </c>
      <c r="DJ151" s="903">
        <f>DJ148-DJ153</f>
        <v>335</v>
      </c>
      <c r="DK151" s="903">
        <f>DK148-DK153</f>
        <v>257</v>
      </c>
      <c r="DL151" s="903">
        <f>DL148-DL153</f>
        <v>270</v>
      </c>
      <c r="DM151" s="1124">
        <f>SUM(DI151:DL151)</f>
        <v>1208</v>
      </c>
      <c r="DN151" s="903">
        <f>DN148-DN153</f>
        <v>303</v>
      </c>
      <c r="DO151" s="903">
        <f>DO148-DO153</f>
        <v>334</v>
      </c>
      <c r="DP151" s="903">
        <f>DP148-DP153</f>
        <v>300</v>
      </c>
      <c r="DQ151" s="903">
        <f>DQ148-DQ153</f>
        <v>262</v>
      </c>
      <c r="DR151" s="1124">
        <f>SUM(DN151:DQ151)</f>
        <v>1199</v>
      </c>
      <c r="DS151" s="903">
        <f>DS148-DS153</f>
        <v>264</v>
      </c>
      <c r="DT151" s="903">
        <f>DT148-DT153</f>
        <v>254</v>
      </c>
      <c r="DU151" s="903">
        <f>DU148-DU153</f>
        <v>286</v>
      </c>
      <c r="DV151" s="903">
        <f>DV148-DV153</f>
        <v>227</v>
      </c>
      <c r="DW151" s="1124">
        <f>SUM(DS151:DV151)</f>
        <v>1031</v>
      </c>
      <c r="DX151" s="903">
        <f>DS151*(1+DX152)</f>
        <v>250.79999999999998</v>
      </c>
      <c r="DY151" s="903">
        <f>DT151*(1+DY152)</f>
        <v>241.29999999999998</v>
      </c>
      <c r="DZ151" s="903">
        <f>DU151*(1+DZ152)</f>
        <v>271.7</v>
      </c>
      <c r="EA151" s="903">
        <f>DV151*(1+EA152)</f>
        <v>215.64999999999998</v>
      </c>
      <c r="EB151" s="1124">
        <f>SUM(DX151:EA151)</f>
        <v>979.44999999999993</v>
      </c>
      <c r="EC151" s="903">
        <f>DX151*(1+EC152)</f>
        <v>255.81599999999997</v>
      </c>
      <c r="ED151" s="903">
        <f>DY151*(1+ED152)</f>
        <v>246.12599999999998</v>
      </c>
      <c r="EE151" s="903">
        <f>DZ151*(1+EE152)</f>
        <v>277.13400000000001</v>
      </c>
      <c r="EF151" s="903">
        <f>EA151*(1+EF152)</f>
        <v>219.96299999999999</v>
      </c>
      <c r="EG151" s="1124">
        <f>SUM(EC151:EF151)</f>
        <v>999.03899999999999</v>
      </c>
      <c r="EH151" s="903">
        <f>EC151*(1+EH152)</f>
        <v>260.93232</v>
      </c>
      <c r="EI151" s="903">
        <f>ED151*(1+EI152)</f>
        <v>251.04851999999997</v>
      </c>
      <c r="EJ151" s="903">
        <f>EE151*(1+EJ152)</f>
        <v>282.67668000000003</v>
      </c>
      <c r="EK151" s="903">
        <f>EF151*(1+EK152)</f>
        <v>224.36225999999999</v>
      </c>
      <c r="EL151" s="1124">
        <f>SUM(EH151:EK151)</f>
        <v>1019.01978</v>
      </c>
    </row>
    <row r="152" spans="1:142" ht="11.25" customHeight="1">
      <c r="A152" s="1125"/>
      <c r="B152" s="1125" t="s">
        <v>143</v>
      </c>
      <c r="C152" s="1126"/>
      <c r="D152" s="1126"/>
      <c r="E152" s="1126"/>
      <c r="F152" s="1126"/>
      <c r="G152" s="1126"/>
      <c r="H152" s="1127"/>
      <c r="I152" s="1128">
        <f t="shared" ref="I152:AT152" si="345">IF(ISERROR(I148/D78-1),"NM",I148/D78-1)</f>
        <v>-9.6433216573877822E-2</v>
      </c>
      <c r="J152" s="1128">
        <f t="shared" si="345"/>
        <v>5.8901885069857496E-2</v>
      </c>
      <c r="K152" s="1128">
        <f t="shared" si="345"/>
        <v>-6.1255742725881412E-2</v>
      </c>
      <c r="L152" s="1128">
        <f t="shared" si="345"/>
        <v>-0.17724060827752708</v>
      </c>
      <c r="M152" s="1127">
        <f t="shared" si="345"/>
        <v>-7.8814415628158718E-2</v>
      </c>
      <c r="N152" s="1128">
        <f t="shared" si="345"/>
        <v>0.29398324447829105</v>
      </c>
      <c r="O152" s="1128">
        <f t="shared" si="345"/>
        <v>0.17243816254416866</v>
      </c>
      <c r="P152" s="1128">
        <f t="shared" si="345"/>
        <v>0.79526916802610348</v>
      </c>
      <c r="Q152" s="1128">
        <f t="shared" si="345"/>
        <v>1.5930079155672883</v>
      </c>
      <c r="R152" s="1127">
        <f t="shared" si="345"/>
        <v>0.73491773308957975</v>
      </c>
      <c r="S152" s="1128">
        <f t="shared" si="345"/>
        <v>0.50088287227781159</v>
      </c>
      <c r="T152" s="1128">
        <f t="shared" si="345"/>
        <v>0.68776371308017015</v>
      </c>
      <c r="U152" s="1128">
        <f t="shared" si="345"/>
        <v>0.25397546569740959</v>
      </c>
      <c r="V152" s="1128">
        <f t="shared" si="345"/>
        <v>-0.33095904350038063</v>
      </c>
      <c r="W152" s="1127">
        <f t="shared" si="345"/>
        <v>0.13171759747102296</v>
      </c>
      <c r="X152" s="1128">
        <f t="shared" si="345"/>
        <v>0.14901960784313717</v>
      </c>
      <c r="Y152" s="1128">
        <f t="shared" si="345"/>
        <v>-3.5714285714285698E-2</v>
      </c>
      <c r="Z152" s="1128">
        <f t="shared" si="345"/>
        <v>5.0724637681159424E-2</v>
      </c>
      <c r="AA152" s="1128">
        <f t="shared" si="345"/>
        <v>0.23954372623574138</v>
      </c>
      <c r="AB152" s="1127">
        <f t="shared" si="345"/>
        <v>9.77653631284916E-2</v>
      </c>
      <c r="AC152" s="1128">
        <f t="shared" si="345"/>
        <v>-8.5324232081911311E-2</v>
      </c>
      <c r="AD152" s="1128">
        <f t="shared" si="345"/>
        <v>-4.8148148148148162E-2</v>
      </c>
      <c r="AE152" s="1128">
        <f t="shared" si="345"/>
        <v>-0.22758620689655173</v>
      </c>
      <c r="AF152" s="1128">
        <f t="shared" si="345"/>
        <v>-0.25766871165644167</v>
      </c>
      <c r="AG152" s="1127">
        <f t="shared" si="345"/>
        <v>-0.15945716709075486</v>
      </c>
      <c r="AH152" s="1128">
        <f t="shared" si="345"/>
        <v>-0.23880597014925375</v>
      </c>
      <c r="AI152" s="1128">
        <f t="shared" si="345"/>
        <v>-0.24513618677042803</v>
      </c>
      <c r="AJ152" s="1128">
        <f t="shared" si="345"/>
        <v>-0.1741071428571429</v>
      </c>
      <c r="AK152" s="1128">
        <f t="shared" si="345"/>
        <v>-0.21487603305785119</v>
      </c>
      <c r="AL152" s="1127">
        <f t="shared" si="345"/>
        <v>-0.21997981836528757</v>
      </c>
      <c r="AM152" s="1128">
        <f t="shared" si="345"/>
        <v>-0.12254901960784315</v>
      </c>
      <c r="AN152" s="1128">
        <f t="shared" si="345"/>
        <v>-0.12371134020618557</v>
      </c>
      <c r="AO152" s="1128">
        <f t="shared" si="345"/>
        <v>-9.7297297297297303E-2</v>
      </c>
      <c r="AP152" s="1128">
        <f t="shared" si="345"/>
        <v>-0.21578947368421053</v>
      </c>
      <c r="AQ152" s="1127">
        <f t="shared" si="345"/>
        <v>-0.13971539456662352</v>
      </c>
      <c r="AR152" s="1128">
        <f t="shared" si="345"/>
        <v>-0.12290502793296088</v>
      </c>
      <c r="AS152" s="1128">
        <f t="shared" si="345"/>
        <v>0</v>
      </c>
      <c r="AT152" s="1128">
        <f t="shared" si="345"/>
        <v>0.15568862275449091</v>
      </c>
      <c r="AU152" s="676"/>
      <c r="AV152" s="1126"/>
      <c r="AW152" s="1126"/>
      <c r="AX152" s="1126"/>
      <c r="AY152" s="1126"/>
      <c r="AZ152" s="1127"/>
      <c r="BA152" s="1129">
        <f t="shared" ref="BA152:CH152" si="346">IF(ISERROR(BA148/AV78-1),"NM",BA148/AV78-1)</f>
        <v>0.19178082191780832</v>
      </c>
      <c r="BB152" s="1129">
        <f t="shared" si="346"/>
        <v>0.36296296296296293</v>
      </c>
      <c r="BC152" s="1129">
        <f t="shared" si="346"/>
        <v>2.0134228187919545E-2</v>
      </c>
      <c r="BD152" s="1129">
        <f t="shared" si="346"/>
        <v>0.37398373983739841</v>
      </c>
      <c r="BE152" s="1129">
        <f t="shared" si="346"/>
        <v>0.22784810126582289</v>
      </c>
      <c r="BF152" s="1129">
        <f t="shared" si="346"/>
        <v>-0.44827586206896552</v>
      </c>
      <c r="BG152" s="1129">
        <f t="shared" si="346"/>
        <v>-0.46195652173913049</v>
      </c>
      <c r="BH152" s="1129">
        <f t="shared" si="346"/>
        <v>-0.39473684210526316</v>
      </c>
      <c r="BI152" s="1129">
        <f t="shared" si="346"/>
        <v>-0.44970414201183428</v>
      </c>
      <c r="BJ152" s="1129">
        <f t="shared" si="346"/>
        <v>-0.44035346097201766</v>
      </c>
      <c r="BK152" s="1129">
        <f t="shared" si="346"/>
        <v>-5.208333333333337E-2</v>
      </c>
      <c r="BL152" s="1129">
        <f t="shared" si="346"/>
        <v>-4.0404040404040442E-2</v>
      </c>
      <c r="BM152" s="1129">
        <f t="shared" si="346"/>
        <v>-9.7826086956521729E-2</v>
      </c>
      <c r="BN152" s="1129">
        <f t="shared" si="346"/>
        <v>-0.26881720430107525</v>
      </c>
      <c r="BO152" s="1129">
        <f t="shared" si="346"/>
        <v>-0.11315789473684212</v>
      </c>
      <c r="BP152" s="1129">
        <f t="shared" si="346"/>
        <v>-0.19780219780219777</v>
      </c>
      <c r="BQ152" s="1129">
        <f t="shared" si="346"/>
        <v>-0.12631578947368416</v>
      </c>
      <c r="BR152" s="1129">
        <f t="shared" si="346"/>
        <v>-8.4337349397590411E-2</v>
      </c>
      <c r="BS152" s="1129">
        <f t="shared" si="346"/>
        <v>-7.3529411764705843E-2</v>
      </c>
      <c r="BT152" s="1129">
        <f t="shared" si="346"/>
        <v>-0.12462908011869434</v>
      </c>
      <c r="BU152" s="1129">
        <f t="shared" si="346"/>
        <v>0.12328767123287676</v>
      </c>
      <c r="BV152" s="1129">
        <f t="shared" si="346"/>
        <v>-0.15662650602409633</v>
      </c>
      <c r="BW152" s="1129">
        <f t="shared" si="346"/>
        <v>-2.6315789473684181E-2</v>
      </c>
      <c r="BX152" s="1129">
        <f t="shared" si="346"/>
        <v>0.17460317460317465</v>
      </c>
      <c r="BY152" s="1129">
        <f t="shared" si="346"/>
        <v>1.6949152542372836E-2</v>
      </c>
      <c r="BZ152" s="1129">
        <f t="shared" si="346"/>
        <v>-9.7560975609756073E-2</v>
      </c>
      <c r="CA152" s="1129">
        <f t="shared" si="346"/>
        <v>7.1428571428571397E-2</v>
      </c>
      <c r="CB152" s="1129">
        <f t="shared" si="346"/>
        <v>8.1081081081081141E-2</v>
      </c>
      <c r="CC152" s="1129">
        <f t="shared" si="346"/>
        <v>0.20270270270270263</v>
      </c>
      <c r="CD152" s="1129">
        <f t="shared" si="346"/>
        <v>6.0000000000000053E-2</v>
      </c>
      <c r="CE152" s="1129">
        <f t="shared" si="346"/>
        <v>9.4594594594594517E-2</v>
      </c>
      <c r="CF152" s="1129">
        <f t="shared" si="346"/>
        <v>0.14666666666666672</v>
      </c>
      <c r="CG152" s="1129">
        <f t="shared" si="346"/>
        <v>8.7499999999999911E-2</v>
      </c>
      <c r="CH152" s="1129">
        <f t="shared" si="346"/>
        <v>0</v>
      </c>
      <c r="CI152" s="1130">
        <f t="shared" ref="CI152:CW152" si="347">IF(ISERROR(CI148/CD78-1),"NM",CI148/CD78-1)</f>
        <v>7.8616352201257955E-2</v>
      </c>
      <c r="CJ152" s="1129">
        <f t="shared" si="347"/>
        <v>9.8765432098765427E-2</v>
      </c>
      <c r="CK152" s="1129">
        <f t="shared" si="347"/>
        <v>6.9767441860465018E-2</v>
      </c>
      <c r="CL152" s="1129">
        <f t="shared" si="347"/>
        <v>0.12643678160919536</v>
      </c>
      <c r="CM152" s="1129">
        <f t="shared" si="347"/>
        <v>5.6179775280898792E-2</v>
      </c>
      <c r="CN152" s="1130">
        <f t="shared" si="347"/>
        <v>8.7463556851312019E-2</v>
      </c>
      <c r="CO152" s="1129">
        <f t="shared" si="347"/>
        <v>1.1235955056179803E-2</v>
      </c>
      <c r="CP152" s="1129">
        <f t="shared" si="347"/>
        <v>4.3478260869565188E-2</v>
      </c>
      <c r="CQ152" s="1129">
        <f t="shared" si="347"/>
        <v>0.13265306122448983</v>
      </c>
      <c r="CR152" s="1129">
        <f t="shared" si="347"/>
        <v>0.25531914893617014</v>
      </c>
      <c r="CS152" s="1130">
        <f t="shared" si="347"/>
        <v>0.11260053619302957</v>
      </c>
      <c r="CT152" s="1129">
        <f t="shared" si="347"/>
        <v>0.31111111111111112</v>
      </c>
      <c r="CU152" s="1129">
        <f t="shared" si="347"/>
        <v>0.20833333333333326</v>
      </c>
      <c r="CV152" s="1129">
        <f t="shared" si="347"/>
        <v>0.23423423423423428</v>
      </c>
      <c r="CW152" s="1129">
        <f t="shared" si="347"/>
        <v>0.40677966101694918</v>
      </c>
      <c r="CX152" s="1130">
        <f>CX151/CS151-1</f>
        <v>0.2939759036144578</v>
      </c>
      <c r="CY152" s="1129">
        <f>IF(ISERROR(CY148/CT78-1),"NM",CY148/CT78-1)</f>
        <v>1.0762711864406778</v>
      </c>
      <c r="CZ152" s="1129">
        <f>IF(ISERROR(CZ148/CU78-1),"NM",CZ148/CU78-1)</f>
        <v>1.0948275862068964</v>
      </c>
      <c r="DA152" s="1129">
        <f>IF(ISERROR(DA148/CV78-1),"NM",DA148/CV78-1)</f>
        <v>0.97810218978102181</v>
      </c>
      <c r="DB152" s="1129">
        <f>IF(ISERROR(DB148/CW78-1),"NM",DB148/CW78-1)</f>
        <v>2.036144578313253</v>
      </c>
      <c r="DC152" s="1130">
        <f>DC151/CX151-1</f>
        <v>-0.35940409683426444</v>
      </c>
      <c r="DD152" s="1129">
        <f>DD151/CY151-1</f>
        <v>5.9117647058823533</v>
      </c>
      <c r="DE152" s="1129">
        <f t="shared" ref="DE152:DV152" si="348">DE151/CZ151-1</f>
        <v>8.8333333333333339</v>
      </c>
      <c r="DF152" s="1129">
        <f t="shared" si="348"/>
        <v>3.9565217391304346</v>
      </c>
      <c r="DG152" s="1129">
        <f t="shared" si="348"/>
        <v>-4.1666666666666519E-3</v>
      </c>
      <c r="DH152" s="1130">
        <f t="shared" si="348"/>
        <v>1.7267441860465116</v>
      </c>
      <c r="DI152" s="1129">
        <f t="shared" si="348"/>
        <v>0.4723404255319148</v>
      </c>
      <c r="DJ152" s="1129">
        <f t="shared" si="348"/>
        <v>0.41949152542372881</v>
      </c>
      <c r="DK152" s="1129">
        <f t="shared" si="348"/>
        <v>0.12719298245614041</v>
      </c>
      <c r="DL152" s="1129">
        <f t="shared" si="348"/>
        <v>0.12970711297071125</v>
      </c>
      <c r="DM152" s="1130">
        <f t="shared" si="348"/>
        <v>0.28784648187633266</v>
      </c>
      <c r="DN152" s="1129">
        <f t="shared" si="348"/>
        <v>-0.12427745664739887</v>
      </c>
      <c r="DO152" s="1129">
        <f t="shared" si="348"/>
        <v>-2.9850746268657025E-3</v>
      </c>
      <c r="DP152" s="1129">
        <f t="shared" si="348"/>
        <v>0.16731517509727634</v>
      </c>
      <c r="DQ152" s="1129">
        <f t="shared" si="348"/>
        <v>-2.9629629629629672E-2</v>
      </c>
      <c r="DR152" s="1130">
        <f>DR151/DM151-1</f>
        <v>-7.4503311258278249E-3</v>
      </c>
      <c r="DS152" s="1129">
        <f t="shared" si="348"/>
        <v>-0.12871287128712872</v>
      </c>
      <c r="DT152" s="1129">
        <f t="shared" si="348"/>
        <v>-0.23952095808383234</v>
      </c>
      <c r="DU152" s="1129">
        <f t="shared" si="348"/>
        <v>-4.6666666666666634E-2</v>
      </c>
      <c r="DV152" s="1129">
        <f t="shared" si="348"/>
        <v>-0.13358778625954193</v>
      </c>
      <c r="DW152" s="1130">
        <f>DW151/DR151-1</f>
        <v>-0.14011676396997497</v>
      </c>
      <c r="DX152" s="1131">
        <v>-0.05</v>
      </c>
      <c r="DY152" s="1131">
        <v>-0.05</v>
      </c>
      <c r="DZ152" s="1131">
        <v>-0.05</v>
      </c>
      <c r="EA152" s="1131">
        <v>-0.05</v>
      </c>
      <c r="EB152" s="1130">
        <f>EB151/DW151-1</f>
        <v>-5.0000000000000044E-2</v>
      </c>
      <c r="EC152" s="1131">
        <v>0.02</v>
      </c>
      <c r="ED152" s="1131">
        <v>0.02</v>
      </c>
      <c r="EE152" s="1131">
        <v>0.02</v>
      </c>
      <c r="EF152" s="1131">
        <v>0.02</v>
      </c>
      <c r="EG152" s="1130">
        <f>EG151/EB151-1</f>
        <v>2.0000000000000018E-2</v>
      </c>
      <c r="EH152" s="1131">
        <v>0.02</v>
      </c>
      <c r="EI152" s="1131">
        <v>0.02</v>
      </c>
      <c r="EJ152" s="1131">
        <v>0.02</v>
      </c>
      <c r="EK152" s="1131">
        <v>0.02</v>
      </c>
      <c r="EL152" s="1130">
        <f>EL151/EG151-1</f>
        <v>2.0000000000000018E-2</v>
      </c>
    </row>
    <row r="153" spans="1:142" ht="12.95" customHeight="1">
      <c r="A153" s="557"/>
      <c r="B153" s="557" t="s">
        <v>100</v>
      </c>
      <c r="C153" s="903"/>
      <c r="D153" s="903">
        <f t="shared" ref="D153:AI153" si="349">D148</f>
        <v>145.3130000000001</v>
      </c>
      <c r="E153" s="903">
        <f t="shared" si="349"/>
        <v>133.62900000000002</v>
      </c>
      <c r="F153" s="903">
        <f t="shared" si="349"/>
        <v>130.60000000000002</v>
      </c>
      <c r="G153" s="903">
        <f t="shared" si="349"/>
        <v>184.25800000000004</v>
      </c>
      <c r="H153" s="844">
        <f t="shared" si="349"/>
        <v>593.80000000000018</v>
      </c>
      <c r="I153" s="903">
        <f t="shared" si="349"/>
        <v>131.30000000000018</v>
      </c>
      <c r="J153" s="903">
        <f t="shared" si="349"/>
        <v>141.5</v>
      </c>
      <c r="K153" s="903">
        <f t="shared" si="349"/>
        <v>122.59999999999991</v>
      </c>
      <c r="L153" s="903">
        <f t="shared" si="349"/>
        <v>151.59999999999945</v>
      </c>
      <c r="M153" s="844">
        <f t="shared" si="349"/>
        <v>546.99999999999955</v>
      </c>
      <c r="N153" s="903">
        <f t="shared" si="349"/>
        <v>169.89999999999986</v>
      </c>
      <c r="O153" s="903">
        <f t="shared" si="349"/>
        <v>165.89999999999986</v>
      </c>
      <c r="P153" s="903">
        <f t="shared" si="349"/>
        <v>220.10000000000014</v>
      </c>
      <c r="Q153" s="903">
        <f t="shared" si="349"/>
        <v>393.09999999999945</v>
      </c>
      <c r="R153" s="844">
        <f t="shared" si="349"/>
        <v>948.99999999999932</v>
      </c>
      <c r="S153" s="903">
        <f t="shared" si="349"/>
        <v>255</v>
      </c>
      <c r="T153" s="903">
        <f t="shared" si="349"/>
        <v>280</v>
      </c>
      <c r="U153" s="903">
        <f t="shared" si="349"/>
        <v>276</v>
      </c>
      <c r="V153" s="903">
        <f t="shared" si="349"/>
        <v>263</v>
      </c>
      <c r="W153" s="844">
        <f t="shared" si="349"/>
        <v>1074</v>
      </c>
      <c r="X153" s="903">
        <f t="shared" si="349"/>
        <v>293</v>
      </c>
      <c r="Y153" s="903">
        <f t="shared" si="349"/>
        <v>270</v>
      </c>
      <c r="Z153" s="903">
        <f t="shared" si="349"/>
        <v>290</v>
      </c>
      <c r="AA153" s="903">
        <f t="shared" si="349"/>
        <v>326</v>
      </c>
      <c r="AB153" s="844">
        <f t="shared" si="349"/>
        <v>1179</v>
      </c>
      <c r="AC153" s="903">
        <f t="shared" si="349"/>
        <v>268</v>
      </c>
      <c r="AD153" s="903">
        <f t="shared" si="349"/>
        <v>257</v>
      </c>
      <c r="AE153" s="903">
        <f t="shared" si="349"/>
        <v>224</v>
      </c>
      <c r="AF153" s="903">
        <f t="shared" si="349"/>
        <v>242</v>
      </c>
      <c r="AG153" s="844">
        <f t="shared" si="349"/>
        <v>991</v>
      </c>
      <c r="AH153" s="903">
        <f t="shared" si="349"/>
        <v>204</v>
      </c>
      <c r="AI153" s="903">
        <f t="shared" si="349"/>
        <v>194</v>
      </c>
      <c r="AJ153" s="903">
        <f t="shared" ref="AJ153:CH153" si="350">AJ148</f>
        <v>185</v>
      </c>
      <c r="AK153" s="903">
        <f t="shared" si="350"/>
        <v>190</v>
      </c>
      <c r="AL153" s="844">
        <f t="shared" si="350"/>
        <v>773</v>
      </c>
      <c r="AM153" s="903">
        <f t="shared" si="350"/>
        <v>179</v>
      </c>
      <c r="AN153" s="903">
        <f t="shared" si="350"/>
        <v>170</v>
      </c>
      <c r="AO153" s="903">
        <f t="shared" si="350"/>
        <v>167</v>
      </c>
      <c r="AP153" s="903">
        <f t="shared" si="350"/>
        <v>149</v>
      </c>
      <c r="AQ153" s="844">
        <f t="shared" si="350"/>
        <v>665</v>
      </c>
      <c r="AR153" s="903">
        <f t="shared" si="350"/>
        <v>157</v>
      </c>
      <c r="AS153" s="903">
        <f t="shared" si="350"/>
        <v>170</v>
      </c>
      <c r="AT153" s="903">
        <f t="shared" si="350"/>
        <v>193</v>
      </c>
      <c r="AU153" s="802">
        <f t="shared" si="350"/>
        <v>0</v>
      </c>
      <c r="AV153" s="903">
        <f t="shared" si="350"/>
        <v>146</v>
      </c>
      <c r="AW153" s="903">
        <f t="shared" si="350"/>
        <v>135</v>
      </c>
      <c r="AX153" s="903">
        <f t="shared" si="350"/>
        <v>149</v>
      </c>
      <c r="AY153" s="903">
        <f t="shared" si="350"/>
        <v>123</v>
      </c>
      <c r="AZ153" s="844">
        <f t="shared" si="350"/>
        <v>553</v>
      </c>
      <c r="BA153" s="903">
        <f t="shared" si="350"/>
        <v>174</v>
      </c>
      <c r="BB153" s="903">
        <f t="shared" si="350"/>
        <v>184</v>
      </c>
      <c r="BC153" s="903">
        <f t="shared" si="350"/>
        <v>152</v>
      </c>
      <c r="BD153" s="903">
        <f t="shared" si="350"/>
        <v>169</v>
      </c>
      <c r="BE153" s="903">
        <f t="shared" si="350"/>
        <v>679</v>
      </c>
      <c r="BF153" s="903">
        <f t="shared" si="350"/>
        <v>96</v>
      </c>
      <c r="BG153" s="903">
        <f t="shared" si="350"/>
        <v>99</v>
      </c>
      <c r="BH153" s="903">
        <f t="shared" si="350"/>
        <v>92</v>
      </c>
      <c r="BI153" s="903">
        <f t="shared" si="350"/>
        <v>93</v>
      </c>
      <c r="BJ153" s="903">
        <f t="shared" si="350"/>
        <v>380</v>
      </c>
      <c r="BK153" s="903">
        <f t="shared" si="350"/>
        <v>91</v>
      </c>
      <c r="BL153" s="903">
        <f t="shared" si="350"/>
        <v>95</v>
      </c>
      <c r="BM153" s="903">
        <f t="shared" si="350"/>
        <v>83</v>
      </c>
      <c r="BN153" s="903">
        <f t="shared" si="350"/>
        <v>68</v>
      </c>
      <c r="BO153" s="903">
        <f t="shared" si="350"/>
        <v>337</v>
      </c>
      <c r="BP153" s="903">
        <f t="shared" si="350"/>
        <v>73</v>
      </c>
      <c r="BQ153" s="903">
        <f t="shared" si="350"/>
        <v>83</v>
      </c>
      <c r="BR153" s="903">
        <f t="shared" si="350"/>
        <v>76</v>
      </c>
      <c r="BS153" s="903">
        <f t="shared" si="350"/>
        <v>63</v>
      </c>
      <c r="BT153" s="903">
        <f t="shared" si="350"/>
        <v>295</v>
      </c>
      <c r="BU153" s="903">
        <f t="shared" si="350"/>
        <v>82</v>
      </c>
      <c r="BV153" s="903">
        <f t="shared" si="350"/>
        <v>70</v>
      </c>
      <c r="BW153" s="903">
        <f t="shared" si="350"/>
        <v>74</v>
      </c>
      <c r="BX153" s="903">
        <f t="shared" si="350"/>
        <v>74</v>
      </c>
      <c r="BY153" s="903">
        <f t="shared" si="350"/>
        <v>300</v>
      </c>
      <c r="BZ153" s="903">
        <f t="shared" si="350"/>
        <v>74</v>
      </c>
      <c r="CA153" s="903">
        <f t="shared" si="350"/>
        <v>75</v>
      </c>
      <c r="CB153" s="903">
        <f t="shared" si="350"/>
        <v>80</v>
      </c>
      <c r="CC153" s="903">
        <f t="shared" si="350"/>
        <v>89</v>
      </c>
      <c r="CD153" s="903">
        <f t="shared" si="350"/>
        <v>318</v>
      </c>
      <c r="CE153" s="903">
        <f t="shared" si="350"/>
        <v>81</v>
      </c>
      <c r="CF153" s="903">
        <f t="shared" si="350"/>
        <v>86</v>
      </c>
      <c r="CG153" s="903">
        <f t="shared" si="350"/>
        <v>87</v>
      </c>
      <c r="CH153" s="903">
        <f t="shared" si="350"/>
        <v>89</v>
      </c>
      <c r="CI153" s="844">
        <f>CI148</f>
        <v>343</v>
      </c>
      <c r="CJ153" s="903">
        <f>CJ148</f>
        <v>89</v>
      </c>
      <c r="CK153" s="903">
        <f>CK148</f>
        <v>92</v>
      </c>
      <c r="CL153" s="903">
        <f>CL148</f>
        <v>98</v>
      </c>
      <c r="CM153" s="903">
        <f>CM148</f>
        <v>94</v>
      </c>
      <c r="CN153" s="844"/>
      <c r="CO153" s="903"/>
      <c r="CP153" s="903"/>
      <c r="CQ153" s="903"/>
      <c r="CR153" s="903"/>
      <c r="CS153" s="844"/>
      <c r="CT153" s="903"/>
      <c r="CU153" s="903"/>
      <c r="CV153" s="903"/>
      <c r="CW153" s="903"/>
      <c r="CX153" s="844"/>
      <c r="CY153" s="903">
        <f>IS!CY115</f>
        <v>211</v>
      </c>
      <c r="CZ153" s="903">
        <f>IS!CZ115</f>
        <v>219</v>
      </c>
      <c r="DA153" s="903">
        <f>IS!DA115</f>
        <v>225</v>
      </c>
      <c r="DB153" s="903">
        <f>IS!DB115</f>
        <v>264</v>
      </c>
      <c r="DC153" s="844">
        <f>SUM(CY153:DB153)</f>
        <v>919</v>
      </c>
      <c r="DD153" s="903">
        <f>IS!DD115</f>
        <v>285</v>
      </c>
      <c r="DE153" s="903">
        <f>IS!DE115</f>
        <v>285</v>
      </c>
      <c r="DF153" s="903">
        <f>IS!DF115</f>
        <v>296</v>
      </c>
      <c r="DG153" s="903">
        <f>IS!DG115</f>
        <v>327</v>
      </c>
      <c r="DH153" s="844">
        <f>SUM(DD153:DG153)</f>
        <v>1193</v>
      </c>
      <c r="DI153" s="903">
        <f>IS!DI115</f>
        <v>342</v>
      </c>
      <c r="DJ153" s="903">
        <f>IS!DJ115</f>
        <v>340</v>
      </c>
      <c r="DK153" s="903">
        <f>IS!DK115</f>
        <v>347</v>
      </c>
      <c r="DL153" s="903">
        <f>IS!DL115</f>
        <v>384</v>
      </c>
      <c r="DM153" s="844">
        <f>SUM(DI153:DL153)</f>
        <v>1413</v>
      </c>
      <c r="DN153" s="903">
        <f>IS!DN115</f>
        <v>385</v>
      </c>
      <c r="DO153" s="903">
        <f>IS!DO115</f>
        <v>386</v>
      </c>
      <c r="DP153" s="903">
        <f>IS!DP115</f>
        <v>398</v>
      </c>
      <c r="DQ153" s="903">
        <f>IS!DQ115</f>
        <v>402</v>
      </c>
      <c r="DR153" s="844">
        <f>SUM(DN153:DQ153)</f>
        <v>1571</v>
      </c>
      <c r="DS153" s="903">
        <f>IS!DS115</f>
        <v>402</v>
      </c>
      <c r="DT153" s="903">
        <f>IS!DT115</f>
        <v>400</v>
      </c>
      <c r="DU153" s="903">
        <f>IS!DU115</f>
        <v>401</v>
      </c>
      <c r="DV153" s="903">
        <f>IS!DV115</f>
        <v>394</v>
      </c>
      <c r="DW153" s="844">
        <f>SUM(DS153:DV153)</f>
        <v>1597</v>
      </c>
      <c r="DX153" s="903">
        <f>DS153*(1+DX154)</f>
        <v>393.96</v>
      </c>
      <c r="DY153" s="903">
        <f>DT153*(1+DY154)</f>
        <v>388</v>
      </c>
      <c r="DZ153" s="903">
        <f>DU153*(1+DZ154)</f>
        <v>388.96999999999997</v>
      </c>
      <c r="EA153" s="903">
        <f>DV153*(1+EA154)</f>
        <v>382.18</v>
      </c>
      <c r="EB153" s="844">
        <f>SUM(DX153:EA153)</f>
        <v>1553.1100000000001</v>
      </c>
      <c r="EC153" s="903">
        <f>DX153*(1+EC154)</f>
        <v>397.89959999999996</v>
      </c>
      <c r="ED153" s="903">
        <f>DY153*(1+ED154)</f>
        <v>391.88</v>
      </c>
      <c r="EE153" s="903">
        <f>DZ153*(1+EE154)</f>
        <v>392.85969999999998</v>
      </c>
      <c r="EF153" s="903">
        <f>EA153*(1+EF154)</f>
        <v>386.0018</v>
      </c>
      <c r="EG153" s="844">
        <f>SUM(EC153:EF153)</f>
        <v>1568.6410999999998</v>
      </c>
      <c r="EH153" s="903">
        <f>EC153*(1+EH154)</f>
        <v>401.87859599999996</v>
      </c>
      <c r="EI153" s="903">
        <f>ED153*(1+EI154)</f>
        <v>395.79879999999997</v>
      </c>
      <c r="EJ153" s="903">
        <f>EE153*(1+EJ154)</f>
        <v>396.788297</v>
      </c>
      <c r="EK153" s="903">
        <f>EF153*(1+EK154)</f>
        <v>389.86181800000003</v>
      </c>
      <c r="EL153" s="844">
        <f>SUM(EH153:EK153)</f>
        <v>1584.327511</v>
      </c>
    </row>
    <row r="154" spans="1:142" ht="11.25" customHeight="1">
      <c r="A154" s="1122"/>
      <c r="B154" s="1122" t="s">
        <v>143</v>
      </c>
      <c r="C154" s="1012"/>
      <c r="D154" s="1012"/>
      <c r="E154" s="1012"/>
      <c r="F154" s="1012"/>
      <c r="G154" s="1012"/>
      <c r="H154" s="1011"/>
      <c r="I154" s="1010">
        <f t="shared" ref="I154:AT154" si="351">IF(ISERROR(I148/D78-1),"NM",I148/D78-1)</f>
        <v>-9.6433216573877822E-2</v>
      </c>
      <c r="J154" s="1010">
        <f t="shared" si="351"/>
        <v>5.8901885069857496E-2</v>
      </c>
      <c r="K154" s="1010">
        <f t="shared" si="351"/>
        <v>-6.1255742725881412E-2</v>
      </c>
      <c r="L154" s="1010">
        <f t="shared" si="351"/>
        <v>-0.17724060827752708</v>
      </c>
      <c r="M154" s="1011">
        <f t="shared" si="351"/>
        <v>-7.8814415628158718E-2</v>
      </c>
      <c r="N154" s="1010">
        <f t="shared" si="351"/>
        <v>0.29398324447829105</v>
      </c>
      <c r="O154" s="1010">
        <f t="shared" si="351"/>
        <v>0.17243816254416866</v>
      </c>
      <c r="P154" s="1010">
        <f t="shared" si="351"/>
        <v>0.79526916802610348</v>
      </c>
      <c r="Q154" s="1010">
        <f t="shared" si="351"/>
        <v>1.5930079155672883</v>
      </c>
      <c r="R154" s="1011">
        <f t="shared" si="351"/>
        <v>0.73491773308957975</v>
      </c>
      <c r="S154" s="1010">
        <f t="shared" si="351"/>
        <v>0.50088287227781159</v>
      </c>
      <c r="T154" s="1010">
        <f t="shared" si="351"/>
        <v>0.68776371308017015</v>
      </c>
      <c r="U154" s="1010">
        <f t="shared" si="351"/>
        <v>0.25397546569740959</v>
      </c>
      <c r="V154" s="1010">
        <f t="shared" si="351"/>
        <v>-0.33095904350038063</v>
      </c>
      <c r="W154" s="1011">
        <f t="shared" si="351"/>
        <v>0.13171759747102296</v>
      </c>
      <c r="X154" s="1010">
        <f t="shared" si="351"/>
        <v>0.14901960784313717</v>
      </c>
      <c r="Y154" s="1010">
        <f t="shared" si="351"/>
        <v>-3.5714285714285698E-2</v>
      </c>
      <c r="Z154" s="1010">
        <f t="shared" si="351"/>
        <v>5.0724637681159424E-2</v>
      </c>
      <c r="AA154" s="1010">
        <f t="shared" si="351"/>
        <v>0.23954372623574138</v>
      </c>
      <c r="AB154" s="1011">
        <f t="shared" si="351"/>
        <v>9.77653631284916E-2</v>
      </c>
      <c r="AC154" s="1010">
        <f t="shared" si="351"/>
        <v>-8.5324232081911311E-2</v>
      </c>
      <c r="AD154" s="1010">
        <f t="shared" si="351"/>
        <v>-4.8148148148148162E-2</v>
      </c>
      <c r="AE154" s="1010">
        <f t="shared" si="351"/>
        <v>-0.22758620689655173</v>
      </c>
      <c r="AF154" s="1010">
        <f t="shared" si="351"/>
        <v>-0.25766871165644167</v>
      </c>
      <c r="AG154" s="1011">
        <f t="shared" si="351"/>
        <v>-0.15945716709075486</v>
      </c>
      <c r="AH154" s="1010">
        <f t="shared" si="351"/>
        <v>-0.23880597014925375</v>
      </c>
      <c r="AI154" s="1010">
        <f t="shared" si="351"/>
        <v>-0.24513618677042803</v>
      </c>
      <c r="AJ154" s="1010">
        <f t="shared" si="351"/>
        <v>-0.1741071428571429</v>
      </c>
      <c r="AK154" s="1010">
        <f t="shared" si="351"/>
        <v>-0.21487603305785119</v>
      </c>
      <c r="AL154" s="1011">
        <f t="shared" si="351"/>
        <v>-0.21997981836528757</v>
      </c>
      <c r="AM154" s="1010">
        <f t="shared" si="351"/>
        <v>-0.12254901960784315</v>
      </c>
      <c r="AN154" s="1010">
        <f t="shared" si="351"/>
        <v>-0.12371134020618557</v>
      </c>
      <c r="AO154" s="1010">
        <f t="shared" si="351"/>
        <v>-9.7297297297297303E-2</v>
      </c>
      <c r="AP154" s="1010">
        <f t="shared" si="351"/>
        <v>-0.21578947368421053</v>
      </c>
      <c r="AQ154" s="1011">
        <f t="shared" si="351"/>
        <v>-0.13971539456662352</v>
      </c>
      <c r="AR154" s="1010">
        <f t="shared" si="351"/>
        <v>-0.12290502793296088</v>
      </c>
      <c r="AS154" s="1010">
        <f t="shared" si="351"/>
        <v>0</v>
      </c>
      <c r="AT154" s="1010">
        <f t="shared" si="351"/>
        <v>0.15568862275449091</v>
      </c>
      <c r="AU154" s="802"/>
      <c r="AV154" s="1012"/>
      <c r="AW154" s="1012"/>
      <c r="AX154" s="1012"/>
      <c r="AY154" s="1012"/>
      <c r="AZ154" s="1011"/>
      <c r="BA154" s="1129">
        <f t="shared" ref="BA154:CM154" si="352">IF(ISERROR(BA148/AV78-1),"NM",BA148/AV78-1)</f>
        <v>0.19178082191780832</v>
      </c>
      <c r="BB154" s="1129">
        <f t="shared" si="352"/>
        <v>0.36296296296296293</v>
      </c>
      <c r="BC154" s="1129">
        <f t="shared" si="352"/>
        <v>2.0134228187919545E-2</v>
      </c>
      <c r="BD154" s="1129">
        <f t="shared" si="352"/>
        <v>0.37398373983739841</v>
      </c>
      <c r="BE154" s="1129">
        <f t="shared" si="352"/>
        <v>0.22784810126582289</v>
      </c>
      <c r="BF154" s="1129">
        <f t="shared" si="352"/>
        <v>-0.44827586206896552</v>
      </c>
      <c r="BG154" s="1129">
        <f t="shared" si="352"/>
        <v>-0.46195652173913049</v>
      </c>
      <c r="BH154" s="1129">
        <f t="shared" si="352"/>
        <v>-0.39473684210526316</v>
      </c>
      <c r="BI154" s="1129">
        <f t="shared" si="352"/>
        <v>-0.44970414201183428</v>
      </c>
      <c r="BJ154" s="1129">
        <f t="shared" si="352"/>
        <v>-0.44035346097201766</v>
      </c>
      <c r="BK154" s="1129">
        <f t="shared" si="352"/>
        <v>-5.208333333333337E-2</v>
      </c>
      <c r="BL154" s="1129">
        <f t="shared" si="352"/>
        <v>-4.0404040404040442E-2</v>
      </c>
      <c r="BM154" s="1129">
        <f t="shared" si="352"/>
        <v>-9.7826086956521729E-2</v>
      </c>
      <c r="BN154" s="1129">
        <f t="shared" si="352"/>
        <v>-0.26881720430107525</v>
      </c>
      <c r="BO154" s="1129">
        <f t="shared" si="352"/>
        <v>-0.11315789473684212</v>
      </c>
      <c r="BP154" s="1129">
        <f t="shared" si="352"/>
        <v>-0.19780219780219777</v>
      </c>
      <c r="BQ154" s="1129">
        <f t="shared" si="352"/>
        <v>-0.12631578947368416</v>
      </c>
      <c r="BR154" s="1129">
        <f t="shared" si="352"/>
        <v>-8.4337349397590411E-2</v>
      </c>
      <c r="BS154" s="1129">
        <f t="shared" si="352"/>
        <v>-7.3529411764705843E-2</v>
      </c>
      <c r="BT154" s="1129">
        <f t="shared" si="352"/>
        <v>-0.12462908011869434</v>
      </c>
      <c r="BU154" s="1129">
        <f t="shared" si="352"/>
        <v>0.12328767123287676</v>
      </c>
      <c r="BV154" s="1129">
        <f t="shared" si="352"/>
        <v>-0.15662650602409633</v>
      </c>
      <c r="BW154" s="1129">
        <f t="shared" si="352"/>
        <v>-2.6315789473684181E-2</v>
      </c>
      <c r="BX154" s="1129">
        <f t="shared" si="352"/>
        <v>0.17460317460317465</v>
      </c>
      <c r="BY154" s="1129">
        <f t="shared" si="352"/>
        <v>1.6949152542372836E-2</v>
      </c>
      <c r="BZ154" s="1129">
        <f t="shared" si="352"/>
        <v>-9.7560975609756073E-2</v>
      </c>
      <c r="CA154" s="1129">
        <f t="shared" si="352"/>
        <v>7.1428571428571397E-2</v>
      </c>
      <c r="CB154" s="1129">
        <f t="shared" si="352"/>
        <v>8.1081081081081141E-2</v>
      </c>
      <c r="CC154" s="1129">
        <f t="shared" si="352"/>
        <v>0.20270270270270263</v>
      </c>
      <c r="CD154" s="1129">
        <f t="shared" si="352"/>
        <v>6.0000000000000053E-2</v>
      </c>
      <c r="CE154" s="1129">
        <f t="shared" si="352"/>
        <v>9.4594594594594517E-2</v>
      </c>
      <c r="CF154" s="1129">
        <f t="shared" si="352"/>
        <v>0.14666666666666672</v>
      </c>
      <c r="CG154" s="1129">
        <f t="shared" si="352"/>
        <v>8.7499999999999911E-2</v>
      </c>
      <c r="CH154" s="1129">
        <f t="shared" si="352"/>
        <v>0</v>
      </c>
      <c r="CI154" s="1130">
        <f t="shared" si="352"/>
        <v>7.8616352201257955E-2</v>
      </c>
      <c r="CJ154" s="1129">
        <f t="shared" si="352"/>
        <v>9.8765432098765427E-2</v>
      </c>
      <c r="CK154" s="1129">
        <f t="shared" si="352"/>
        <v>6.9767441860465018E-2</v>
      </c>
      <c r="CL154" s="1129">
        <f t="shared" si="352"/>
        <v>0.12643678160919536</v>
      </c>
      <c r="CM154" s="1129">
        <f t="shared" si="352"/>
        <v>5.6179775280898792E-2</v>
      </c>
      <c r="CN154" s="1130"/>
      <c r="CO154" s="1129"/>
      <c r="CP154" s="1129"/>
      <c r="CQ154" s="1129"/>
      <c r="CR154" s="1129"/>
      <c r="CS154" s="1130"/>
      <c r="CT154" s="1129"/>
      <c r="CU154" s="1129"/>
      <c r="CV154" s="1129"/>
      <c r="CW154" s="1129"/>
      <c r="CX154" s="1130"/>
      <c r="CY154" s="1129">
        <f>IF(ISERROR(CY148/CT78-1),"NM",CY148/CT78-1)</f>
        <v>1.0762711864406778</v>
      </c>
      <c r="CZ154" s="1129">
        <f>IF(ISERROR(CZ148/CU78-1),"NM",CZ148/CU78-1)</f>
        <v>1.0948275862068964</v>
      </c>
      <c r="DA154" s="1129">
        <f>IF(ISERROR(DA148/CV78-1),"NM",DA148/CV78-1)</f>
        <v>0.97810218978102181</v>
      </c>
      <c r="DB154" s="1129">
        <f>IF(ISERROR(DB148/CW78-1),"NM",DB148/CW78-1)</f>
        <v>2.036144578313253</v>
      </c>
      <c r="DC154" s="1130" t="s">
        <v>162</v>
      </c>
      <c r="DD154" s="1129">
        <f t="shared" ref="DD154:DL154" si="353">DD153/CY153-1</f>
        <v>0.35071090047393372</v>
      </c>
      <c r="DE154" s="1129">
        <f t="shared" si="353"/>
        <v>0.30136986301369872</v>
      </c>
      <c r="DF154" s="1129">
        <f t="shared" si="353"/>
        <v>0.31555555555555559</v>
      </c>
      <c r="DG154" s="1129">
        <f t="shared" si="353"/>
        <v>0.23863636363636354</v>
      </c>
      <c r="DH154" s="1130">
        <f t="shared" si="353"/>
        <v>0.29815016322089227</v>
      </c>
      <c r="DI154" s="1129">
        <f t="shared" si="353"/>
        <v>0.19999999999999996</v>
      </c>
      <c r="DJ154" s="1129">
        <f t="shared" si="353"/>
        <v>0.19298245614035081</v>
      </c>
      <c r="DK154" s="1129">
        <f t="shared" si="353"/>
        <v>0.17229729729729737</v>
      </c>
      <c r="DL154" s="1129">
        <f t="shared" si="353"/>
        <v>0.17431192660550465</v>
      </c>
      <c r="DM154" s="1130">
        <f t="shared" ref="DM154:DV154" si="354">DM153/DH153-1</f>
        <v>0.18440905280804687</v>
      </c>
      <c r="DN154" s="1129">
        <f t="shared" si="354"/>
        <v>0.1257309941520468</v>
      </c>
      <c r="DO154" s="1129">
        <f t="shared" si="354"/>
        <v>0.13529411764705879</v>
      </c>
      <c r="DP154" s="1129">
        <f t="shared" si="354"/>
        <v>0.14697406340057628</v>
      </c>
      <c r="DQ154" s="1129">
        <f t="shared" si="354"/>
        <v>4.6875E-2</v>
      </c>
      <c r="DR154" s="1130">
        <f>DR153/DM153-1</f>
        <v>0.11181882519462127</v>
      </c>
      <c r="DS154" s="1129">
        <f t="shared" si="354"/>
        <v>4.415584415584406E-2</v>
      </c>
      <c r="DT154" s="1129">
        <f t="shared" si="354"/>
        <v>3.6269430051813378E-2</v>
      </c>
      <c r="DU154" s="1129">
        <f t="shared" si="354"/>
        <v>7.5376884422111434E-3</v>
      </c>
      <c r="DV154" s="1129">
        <f t="shared" si="354"/>
        <v>-1.9900497512437831E-2</v>
      </c>
      <c r="DW154" s="851">
        <f>DW153/DR153-1</f>
        <v>1.654996817313803E-2</v>
      </c>
      <c r="DX154" s="1131">
        <v>-0.02</v>
      </c>
      <c r="DY154" s="1131">
        <v>-0.03</v>
      </c>
      <c r="DZ154" s="1131">
        <v>-0.03</v>
      </c>
      <c r="EA154" s="1131">
        <v>-0.03</v>
      </c>
      <c r="EB154" s="851">
        <f>EB153/DW153-1</f>
        <v>-2.7482780212899072E-2</v>
      </c>
      <c r="EC154" s="1131">
        <v>0.01</v>
      </c>
      <c r="ED154" s="1131">
        <v>0.01</v>
      </c>
      <c r="EE154" s="1131">
        <v>0.01</v>
      </c>
      <c r="EF154" s="1131">
        <v>0.01</v>
      </c>
      <c r="EG154" s="851">
        <f>EG153/EB153-1</f>
        <v>9.9999999999997868E-3</v>
      </c>
      <c r="EH154" s="1131">
        <v>0.01</v>
      </c>
      <c r="EI154" s="1131">
        <v>0.01</v>
      </c>
      <c r="EJ154" s="1131">
        <v>0.01</v>
      </c>
      <c r="EK154" s="1131">
        <v>0.01</v>
      </c>
      <c r="EL154" s="851">
        <f>EL153/EG153-1</f>
        <v>1.0000000000000009E-2</v>
      </c>
    </row>
    <row r="155" spans="1:142" ht="11.25" customHeight="1">
      <c r="A155" s="884"/>
      <c r="B155" s="884"/>
      <c r="C155" s="881"/>
      <c r="D155" s="881"/>
      <c r="E155" s="881"/>
      <c r="F155" s="881"/>
      <c r="G155" s="881"/>
      <c r="H155" s="885"/>
      <c r="I155" s="881"/>
      <c r="J155" s="881"/>
      <c r="K155" s="881"/>
      <c r="L155" s="881"/>
      <c r="M155" s="885"/>
      <c r="N155" s="881"/>
      <c r="O155" s="881"/>
      <c r="P155" s="881"/>
      <c r="Q155" s="881"/>
      <c r="R155" s="885"/>
      <c r="S155" s="881"/>
      <c r="T155" s="881"/>
      <c r="U155" s="881"/>
      <c r="V155" s="881"/>
      <c r="W155" s="885"/>
      <c r="X155" s="881"/>
      <c r="Y155" s="881"/>
      <c r="Z155" s="881"/>
      <c r="AA155" s="881"/>
      <c r="AB155" s="885"/>
      <c r="AC155" s="881"/>
      <c r="AD155" s="881"/>
      <c r="AE155" s="881"/>
      <c r="AF155" s="881"/>
      <c r="AG155" s="885"/>
      <c r="AH155" s="881"/>
      <c r="AI155" s="881"/>
      <c r="AJ155" s="881"/>
      <c r="AK155" s="881"/>
      <c r="AL155" s="885"/>
      <c r="AM155" s="881"/>
      <c r="AN155" s="881"/>
      <c r="AO155" s="881"/>
      <c r="AP155" s="881"/>
      <c r="AQ155" s="885"/>
      <c r="AR155" s="881"/>
      <c r="AS155" s="881"/>
      <c r="AT155" s="881"/>
      <c r="AU155" s="802"/>
      <c r="AV155" s="881"/>
      <c r="AW155" s="881"/>
      <c r="AX155" s="881"/>
      <c r="AY155" s="881"/>
      <c r="AZ155" s="885"/>
      <c r="BA155" s="881"/>
      <c r="BB155" s="881"/>
      <c r="BC155" s="881"/>
      <c r="BD155" s="881"/>
      <c r="BE155" s="881"/>
      <c r="BF155" s="881"/>
      <c r="BG155" s="881"/>
      <c r="BH155" s="881"/>
      <c r="BI155" s="881"/>
      <c r="BJ155" s="881"/>
      <c r="BK155" s="881"/>
      <c r="BL155" s="881"/>
      <c r="BM155" s="881"/>
      <c r="BN155" s="881"/>
      <c r="BO155" s="881"/>
      <c r="BP155" s="881"/>
      <c r="BQ155" s="881"/>
      <c r="BR155" s="881"/>
      <c r="BS155" s="881"/>
      <c r="BT155" s="881"/>
      <c r="BU155" s="881"/>
      <c r="BV155" s="881"/>
      <c r="BW155" s="881"/>
      <c r="BX155" s="881"/>
      <c r="BY155" s="881"/>
      <c r="BZ155" s="881"/>
      <c r="CA155" s="881"/>
      <c r="CB155" s="881"/>
      <c r="CC155" s="881"/>
      <c r="CD155" s="881"/>
      <c r="CE155" s="881"/>
      <c r="CF155" s="881"/>
      <c r="CG155" s="881"/>
      <c r="CH155" s="881"/>
      <c r="CI155" s="885"/>
      <c r="CJ155" s="881"/>
      <c r="CK155" s="881"/>
      <c r="CL155" s="881"/>
      <c r="CM155" s="881"/>
      <c r="CN155" s="885"/>
      <c r="CO155" s="881"/>
      <c r="CP155" s="881"/>
      <c r="CQ155" s="881"/>
      <c r="CR155" s="881"/>
      <c r="CS155" s="885"/>
      <c r="CT155" s="881"/>
      <c r="CU155" s="881"/>
      <c r="CV155" s="881"/>
      <c r="CW155" s="881"/>
      <c r="CX155" s="885"/>
      <c r="CY155" s="881"/>
      <c r="CZ155" s="881"/>
      <c r="DA155" s="881"/>
      <c r="DB155" s="881"/>
      <c r="DC155" s="885"/>
      <c r="DD155" s="881"/>
      <c r="DE155" s="881"/>
      <c r="DF155" s="881"/>
      <c r="DG155" s="881"/>
      <c r="DH155" s="885"/>
      <c r="DI155" s="881"/>
      <c r="DJ155" s="881"/>
      <c r="DK155" s="881"/>
      <c r="DL155" s="881"/>
      <c r="DM155" s="885"/>
      <c r="DN155" s="881"/>
      <c r="DO155" s="881"/>
      <c r="DP155" s="881"/>
      <c r="DQ155" s="881"/>
      <c r="DR155" s="885"/>
      <c r="DS155" s="881"/>
      <c r="DT155" s="881"/>
      <c r="DU155" s="881"/>
      <c r="DV155" s="881"/>
      <c r="DW155" s="885"/>
      <c r="DX155" s="881"/>
      <c r="DY155" s="881"/>
      <c r="DZ155" s="881"/>
      <c r="EA155" s="881"/>
      <c r="EB155" s="885"/>
      <c r="EC155" s="881"/>
      <c r="ED155" s="881"/>
      <c r="EE155" s="881"/>
      <c r="EF155" s="881"/>
      <c r="EG155" s="885"/>
      <c r="EH155" s="881"/>
      <c r="EI155" s="881"/>
      <c r="EJ155" s="881"/>
      <c r="EK155" s="881"/>
      <c r="EL155" s="885"/>
    </row>
    <row r="156" spans="1:142" ht="12" customHeight="1">
      <c r="A156" s="804"/>
      <c r="B156" s="804" t="s">
        <v>144</v>
      </c>
      <c r="C156" s="1132"/>
      <c r="D156" s="1132" t="str">
        <f t="shared" ref="D156:AT156" si="355">IF(ISERROR(+D138+D143+D148),"nm",+D138+D143+D148)</f>
        <v>nm</v>
      </c>
      <c r="E156" s="1132" t="str">
        <f t="shared" si="355"/>
        <v>nm</v>
      </c>
      <c r="F156" s="1132" t="str">
        <f t="shared" si="355"/>
        <v>nm</v>
      </c>
      <c r="G156" s="1132" t="str">
        <f t="shared" si="355"/>
        <v>nm</v>
      </c>
      <c r="H156" s="1133" t="str">
        <f t="shared" si="355"/>
        <v>nm</v>
      </c>
      <c r="I156" s="1132" t="str">
        <f t="shared" si="355"/>
        <v>nm</v>
      </c>
      <c r="J156" s="1132" t="str">
        <f t="shared" si="355"/>
        <v>nm</v>
      </c>
      <c r="K156" s="1132" t="str">
        <f t="shared" si="355"/>
        <v>nm</v>
      </c>
      <c r="L156" s="1132" t="str">
        <f t="shared" si="355"/>
        <v>nm</v>
      </c>
      <c r="M156" s="1133" t="str">
        <f t="shared" si="355"/>
        <v>nm</v>
      </c>
      <c r="N156" s="1132" t="str">
        <f t="shared" si="355"/>
        <v>nm</v>
      </c>
      <c r="O156" s="1132" t="str">
        <f t="shared" si="355"/>
        <v>nm</v>
      </c>
      <c r="P156" s="1132" t="str">
        <f t="shared" si="355"/>
        <v>nm</v>
      </c>
      <c r="Q156" s="1132" t="str">
        <f t="shared" si="355"/>
        <v>nm</v>
      </c>
      <c r="R156" s="1133" t="str">
        <f t="shared" si="355"/>
        <v>nm</v>
      </c>
      <c r="S156" s="1132" t="str">
        <f t="shared" si="355"/>
        <v>nm</v>
      </c>
      <c r="T156" s="1132" t="str">
        <f t="shared" si="355"/>
        <v>nm</v>
      </c>
      <c r="U156" s="1132" t="str">
        <f t="shared" si="355"/>
        <v>nm</v>
      </c>
      <c r="V156" s="1132" t="str">
        <f t="shared" si="355"/>
        <v>nm</v>
      </c>
      <c r="W156" s="1133" t="str">
        <f t="shared" si="355"/>
        <v>nm</v>
      </c>
      <c r="X156" s="1132" t="str">
        <f t="shared" si="355"/>
        <v>nm</v>
      </c>
      <c r="Y156" s="1132" t="str">
        <f t="shared" si="355"/>
        <v>nm</v>
      </c>
      <c r="Z156" s="1132" t="str">
        <f t="shared" si="355"/>
        <v>nm</v>
      </c>
      <c r="AA156" s="1132" t="str">
        <f t="shared" si="355"/>
        <v>nm</v>
      </c>
      <c r="AB156" s="1133" t="str">
        <f t="shared" si="355"/>
        <v>nm</v>
      </c>
      <c r="AC156" s="1132" t="str">
        <f t="shared" si="355"/>
        <v>nm</v>
      </c>
      <c r="AD156" s="1132" t="str">
        <f t="shared" si="355"/>
        <v>nm</v>
      </c>
      <c r="AE156" s="1132" t="str">
        <f t="shared" si="355"/>
        <v>nm</v>
      </c>
      <c r="AF156" s="1132" t="str">
        <f t="shared" si="355"/>
        <v>nm</v>
      </c>
      <c r="AG156" s="1133" t="str">
        <f t="shared" si="355"/>
        <v>nm</v>
      </c>
      <c r="AH156" s="1132" t="str">
        <f t="shared" si="355"/>
        <v>nm</v>
      </c>
      <c r="AI156" s="1132" t="str">
        <f t="shared" si="355"/>
        <v>nm</v>
      </c>
      <c r="AJ156" s="1132" t="str">
        <f t="shared" si="355"/>
        <v>nm</v>
      </c>
      <c r="AK156" s="1132" t="str">
        <f t="shared" si="355"/>
        <v>nm</v>
      </c>
      <c r="AL156" s="1133" t="str">
        <f t="shared" si="355"/>
        <v>nm</v>
      </c>
      <c r="AM156" s="1132" t="str">
        <f t="shared" si="355"/>
        <v>nm</v>
      </c>
      <c r="AN156" s="1132" t="str">
        <f t="shared" si="355"/>
        <v>nm</v>
      </c>
      <c r="AO156" s="1132" t="str">
        <f t="shared" si="355"/>
        <v>nm</v>
      </c>
      <c r="AP156" s="1132" t="str">
        <f t="shared" si="355"/>
        <v>nm</v>
      </c>
      <c r="AQ156" s="1133" t="str">
        <f t="shared" si="355"/>
        <v>nm</v>
      </c>
      <c r="AR156" s="1132" t="str">
        <f t="shared" si="355"/>
        <v>nm</v>
      </c>
      <c r="AS156" s="1132" t="str">
        <f t="shared" si="355"/>
        <v>nm</v>
      </c>
      <c r="AT156" s="1132" t="str">
        <f t="shared" si="355"/>
        <v>nm</v>
      </c>
      <c r="AU156" s="802"/>
      <c r="AV156" s="1132" t="str">
        <f>IF(ISERROR(+AV138+AV143+AV148),"nm",+AV138+AV143+AV148)</f>
        <v>nm</v>
      </c>
      <c r="AW156" s="1132" t="str">
        <f>IF(ISERROR(+AW138+AW143+AW148),"nm",+AW138+AW143+AW148)</f>
        <v>nm</v>
      </c>
      <c r="AX156" s="1132" t="str">
        <f>IF(ISERROR(+AX138+AX143+AX148),"nm",+AX138+AX143+AX148)</f>
        <v>nm</v>
      </c>
      <c r="AY156" s="1132" t="str">
        <f>IF(ISERROR(+AY138+AY143+AY148),"nm",+AY138+AY143+AY148)</f>
        <v>nm</v>
      </c>
      <c r="AZ156" s="1133" t="s">
        <v>89</v>
      </c>
      <c r="BA156" s="1134">
        <f t="shared" ref="BA156:CH156" si="356">+BA138+BA143+BA148</f>
        <v>3452</v>
      </c>
      <c r="BB156" s="1134">
        <f t="shared" si="356"/>
        <v>3379</v>
      </c>
      <c r="BC156" s="1134">
        <f t="shared" si="356"/>
        <v>3297</v>
      </c>
      <c r="BD156" s="1134">
        <f t="shared" si="356"/>
        <v>3083</v>
      </c>
      <c r="BE156" s="1134">
        <f t="shared" si="356"/>
        <v>13211</v>
      </c>
      <c r="BF156" s="1134">
        <f t="shared" si="356"/>
        <v>2669</v>
      </c>
      <c r="BG156" s="1134">
        <f t="shared" si="356"/>
        <v>2570</v>
      </c>
      <c r="BH156" s="1134">
        <f t="shared" si="356"/>
        <v>2440</v>
      </c>
      <c r="BI156" s="1134">
        <f t="shared" si="356"/>
        <v>2412</v>
      </c>
      <c r="BJ156" s="1134">
        <f t="shared" si="356"/>
        <v>9925</v>
      </c>
      <c r="BK156" s="1134">
        <f t="shared" si="356"/>
        <v>2501</v>
      </c>
      <c r="BL156" s="1134">
        <f t="shared" si="356"/>
        <v>2420</v>
      </c>
      <c r="BM156" s="1134">
        <f t="shared" si="356"/>
        <v>2394</v>
      </c>
      <c r="BN156" s="1134">
        <f t="shared" si="356"/>
        <v>2299</v>
      </c>
      <c r="BO156" s="1134">
        <f t="shared" si="356"/>
        <v>9614</v>
      </c>
      <c r="BP156" s="1134">
        <f t="shared" si="356"/>
        <v>2414</v>
      </c>
      <c r="BQ156" s="1134">
        <f t="shared" si="356"/>
        <v>2195</v>
      </c>
      <c r="BR156" s="1134">
        <f t="shared" si="356"/>
        <v>2117</v>
      </c>
      <c r="BS156" s="1134">
        <f t="shared" si="356"/>
        <v>2179</v>
      </c>
      <c r="BT156" s="1134">
        <f t="shared" si="356"/>
        <v>8706</v>
      </c>
      <c r="BU156" s="1134">
        <f t="shared" si="356"/>
        <v>2279</v>
      </c>
      <c r="BV156" s="1134">
        <f t="shared" si="356"/>
        <v>2228</v>
      </c>
      <c r="BW156" s="1134">
        <f t="shared" si="356"/>
        <v>2212</v>
      </c>
      <c r="BX156" s="1134">
        <f t="shared" si="356"/>
        <v>2251</v>
      </c>
      <c r="BY156" s="1134">
        <f t="shared" si="356"/>
        <v>8857</v>
      </c>
      <c r="BZ156" s="1134">
        <f t="shared" si="356"/>
        <v>2371</v>
      </c>
      <c r="CA156" s="1134">
        <f t="shared" si="356"/>
        <v>2184</v>
      </c>
      <c r="CB156" s="1134">
        <f t="shared" si="356"/>
        <v>2158</v>
      </c>
      <c r="CC156" s="1134">
        <f t="shared" si="356"/>
        <v>2195</v>
      </c>
      <c r="CD156" s="1134">
        <f t="shared" si="356"/>
        <v>8666</v>
      </c>
      <c r="CE156" s="1134">
        <f t="shared" si="356"/>
        <v>2279</v>
      </c>
      <c r="CF156" s="1134">
        <f t="shared" si="356"/>
        <v>2229</v>
      </c>
      <c r="CG156" s="1134">
        <f t="shared" si="356"/>
        <v>2262</v>
      </c>
      <c r="CH156" s="1134">
        <f t="shared" si="356"/>
        <v>2261</v>
      </c>
      <c r="CI156" s="1135">
        <f>+CI138+CI143+CI148</f>
        <v>9031</v>
      </c>
      <c r="CJ156" s="1134">
        <f>+CJ138+CJ143+CJ148</f>
        <v>2339</v>
      </c>
      <c r="CK156" s="1134">
        <f>+CK138+CK143+CK148</f>
        <v>2303</v>
      </c>
      <c r="CL156" s="1134">
        <f t="shared" ref="CL156:DR156" si="357">+CL138+CL143+CL148</f>
        <v>2262</v>
      </c>
      <c r="CM156" s="1134">
        <f t="shared" si="357"/>
        <v>2301</v>
      </c>
      <c r="CN156" s="1135">
        <f t="shared" si="357"/>
        <v>9205</v>
      </c>
      <c r="CO156" s="1134">
        <f t="shared" si="357"/>
        <v>2429</v>
      </c>
      <c r="CP156" s="1134">
        <f t="shared" si="357"/>
        <v>2300</v>
      </c>
      <c r="CQ156" s="1134">
        <f t="shared" si="357"/>
        <v>2289</v>
      </c>
      <c r="CR156" s="1134">
        <f t="shared" si="357"/>
        <v>2353</v>
      </c>
      <c r="CS156" s="1135">
        <f t="shared" si="357"/>
        <v>9371</v>
      </c>
      <c r="CT156" s="1134">
        <f t="shared" si="357"/>
        <v>2491</v>
      </c>
      <c r="CU156" s="1134">
        <f t="shared" si="357"/>
        <v>2455</v>
      </c>
      <c r="CV156" s="1134">
        <f t="shared" si="357"/>
        <v>2427</v>
      </c>
      <c r="CW156" s="1134">
        <f t="shared" si="357"/>
        <v>2531</v>
      </c>
      <c r="CX156" s="1135">
        <f t="shared" si="357"/>
        <v>9904</v>
      </c>
      <c r="CY156" s="1134">
        <f t="shared" si="357"/>
        <v>2594</v>
      </c>
      <c r="CZ156" s="1134">
        <f t="shared" si="357"/>
        <v>2629</v>
      </c>
      <c r="DA156" s="1134">
        <f t="shared" si="357"/>
        <v>2618</v>
      </c>
      <c r="DB156" s="1134">
        <f t="shared" si="357"/>
        <v>4233</v>
      </c>
      <c r="DC156" s="1135">
        <f t="shared" si="357"/>
        <v>12074</v>
      </c>
      <c r="DD156" s="1134">
        <f t="shared" ref="DD156:DQ156" si="358">+DD138+DD143+DD148</f>
        <v>4306</v>
      </c>
      <c r="DE156" s="1134">
        <f t="shared" si="358"/>
        <v>4362</v>
      </c>
      <c r="DF156" s="1134">
        <f t="shared" si="358"/>
        <v>4428</v>
      </c>
      <c r="DG156" s="1134">
        <f t="shared" si="358"/>
        <v>4824</v>
      </c>
      <c r="DH156" s="1135">
        <f t="shared" si="358"/>
        <v>17920</v>
      </c>
      <c r="DI156" s="1134">
        <f t="shared" si="358"/>
        <v>4791</v>
      </c>
      <c r="DJ156" s="1134">
        <f t="shared" si="358"/>
        <v>4782</v>
      </c>
      <c r="DK156" s="1134">
        <f t="shared" si="358"/>
        <v>4722</v>
      </c>
      <c r="DL156" s="1134">
        <f t="shared" si="358"/>
        <v>5006</v>
      </c>
      <c r="DM156" s="1135">
        <f t="shared" si="358"/>
        <v>19301</v>
      </c>
      <c r="DN156" s="1134">
        <f t="shared" si="358"/>
        <v>4704</v>
      </c>
      <c r="DO156" s="1134">
        <f t="shared" si="358"/>
        <v>4739</v>
      </c>
      <c r="DP156" s="1134">
        <f t="shared" si="358"/>
        <v>4381</v>
      </c>
      <c r="DQ156" s="1134">
        <f t="shared" si="358"/>
        <v>4446</v>
      </c>
      <c r="DR156" s="1135">
        <f t="shared" si="357"/>
        <v>18270</v>
      </c>
      <c r="DS156" s="1134">
        <f t="shared" ref="DS156:EG156" si="359">+DS138+DS143+DS148</f>
        <v>4734</v>
      </c>
      <c r="DT156" s="1134">
        <f t="shared" si="359"/>
        <v>4690</v>
      </c>
      <c r="DU156" s="1134">
        <f t="shared" si="359"/>
        <v>4464</v>
      </c>
      <c r="DV156" s="1134">
        <f t="shared" ref="DV156" si="360">+DV138+DV143+DV148</f>
        <v>4747</v>
      </c>
      <c r="DW156" s="1135">
        <f t="shared" si="359"/>
        <v>18635</v>
      </c>
      <c r="DX156" s="1134">
        <f t="shared" si="359"/>
        <v>4496.1026114494571</v>
      </c>
      <c r="DY156" s="1134">
        <f t="shared" si="359"/>
        <v>4466.1257146788503</v>
      </c>
      <c r="DZ156" s="1134">
        <f t="shared" si="359"/>
        <v>4270.63059656522</v>
      </c>
      <c r="EA156" s="1134">
        <f t="shared" si="359"/>
        <v>4425.5229586245241</v>
      </c>
      <c r="EB156" s="1135">
        <f t="shared" si="359"/>
        <v>17658.381881318051</v>
      </c>
      <c r="EC156" s="1134">
        <f t="shared" si="359"/>
        <v>4350.0150178510139</v>
      </c>
      <c r="ED156" s="1134">
        <f t="shared" si="359"/>
        <v>4405.0667265249376</v>
      </c>
      <c r="EE156" s="1134">
        <f t="shared" si="359"/>
        <v>4297.5191368601008</v>
      </c>
      <c r="EF156" s="1134">
        <f t="shared" si="359"/>
        <v>4540.0369043820001</v>
      </c>
      <c r="EG156" s="1135">
        <f t="shared" si="359"/>
        <v>17592.637785618048</v>
      </c>
      <c r="EH156" s="1134">
        <f t="shared" ref="EH156:EL156" si="361">+EH138+EH143+EH148</f>
        <v>4454.0523975461019</v>
      </c>
      <c r="EI156" s="1134">
        <f t="shared" si="361"/>
        <v>4504.9107909023814</v>
      </c>
      <c r="EJ156" s="1134">
        <f t="shared" si="361"/>
        <v>4389.7422814050478</v>
      </c>
      <c r="EK156" s="1134">
        <f t="shared" si="361"/>
        <v>4632.6723986074285</v>
      </c>
      <c r="EL156" s="1135">
        <f t="shared" si="361"/>
        <v>17981.377868460964</v>
      </c>
    </row>
    <row r="157" spans="1:142" ht="11.25" customHeight="1">
      <c r="A157" s="848"/>
      <c r="B157" s="848" t="s">
        <v>133</v>
      </c>
      <c r="C157" s="1012"/>
      <c r="D157" s="1012"/>
      <c r="E157" s="1012"/>
      <c r="F157" s="1012"/>
      <c r="G157" s="1012"/>
      <c r="H157" s="1011"/>
      <c r="I157" s="1010" t="str">
        <f t="shared" ref="I157:AT157" si="362">IF(ISERROR(+I156/D82-1),"nm",+I156/D82-1)</f>
        <v>nm</v>
      </c>
      <c r="J157" s="1010" t="str">
        <f t="shared" si="362"/>
        <v>nm</v>
      </c>
      <c r="K157" s="1010" t="str">
        <f t="shared" si="362"/>
        <v>nm</v>
      </c>
      <c r="L157" s="1010" t="str">
        <f t="shared" si="362"/>
        <v>nm</v>
      </c>
      <c r="M157" s="1011" t="str">
        <f t="shared" si="362"/>
        <v>nm</v>
      </c>
      <c r="N157" s="1010" t="str">
        <f t="shared" si="362"/>
        <v>nm</v>
      </c>
      <c r="O157" s="1010" t="str">
        <f t="shared" si="362"/>
        <v>nm</v>
      </c>
      <c r="P157" s="1010" t="str">
        <f t="shared" si="362"/>
        <v>nm</v>
      </c>
      <c r="Q157" s="1010" t="str">
        <f t="shared" si="362"/>
        <v>nm</v>
      </c>
      <c r="R157" s="1011" t="str">
        <f t="shared" si="362"/>
        <v>nm</v>
      </c>
      <c r="S157" s="1010" t="str">
        <f t="shared" si="362"/>
        <v>nm</v>
      </c>
      <c r="T157" s="1010" t="str">
        <f t="shared" si="362"/>
        <v>nm</v>
      </c>
      <c r="U157" s="1010" t="str">
        <f t="shared" si="362"/>
        <v>nm</v>
      </c>
      <c r="V157" s="1010" t="str">
        <f t="shared" si="362"/>
        <v>nm</v>
      </c>
      <c r="W157" s="1011" t="str">
        <f t="shared" si="362"/>
        <v>nm</v>
      </c>
      <c r="X157" s="1010" t="str">
        <f t="shared" si="362"/>
        <v>nm</v>
      </c>
      <c r="Y157" s="1010" t="str">
        <f t="shared" si="362"/>
        <v>nm</v>
      </c>
      <c r="Z157" s="1010" t="str">
        <f t="shared" si="362"/>
        <v>nm</v>
      </c>
      <c r="AA157" s="1010" t="str">
        <f t="shared" si="362"/>
        <v>nm</v>
      </c>
      <c r="AB157" s="1011" t="str">
        <f t="shared" si="362"/>
        <v>nm</v>
      </c>
      <c r="AC157" s="1010" t="str">
        <f t="shared" si="362"/>
        <v>nm</v>
      </c>
      <c r="AD157" s="1010" t="str">
        <f t="shared" si="362"/>
        <v>nm</v>
      </c>
      <c r="AE157" s="1010" t="str">
        <f t="shared" si="362"/>
        <v>nm</v>
      </c>
      <c r="AF157" s="1010" t="str">
        <f t="shared" si="362"/>
        <v>nm</v>
      </c>
      <c r="AG157" s="1011" t="str">
        <f t="shared" si="362"/>
        <v>nm</v>
      </c>
      <c r="AH157" s="1010" t="str">
        <f t="shared" si="362"/>
        <v>nm</v>
      </c>
      <c r="AI157" s="1010" t="str">
        <f t="shared" si="362"/>
        <v>nm</v>
      </c>
      <c r="AJ157" s="1010" t="str">
        <f t="shared" si="362"/>
        <v>nm</v>
      </c>
      <c r="AK157" s="1010" t="str">
        <f t="shared" si="362"/>
        <v>nm</v>
      </c>
      <c r="AL157" s="1011" t="str">
        <f t="shared" si="362"/>
        <v>nm</v>
      </c>
      <c r="AM157" s="1010" t="str">
        <f t="shared" si="362"/>
        <v>nm</v>
      </c>
      <c r="AN157" s="1010" t="str">
        <f t="shared" si="362"/>
        <v>nm</v>
      </c>
      <c r="AO157" s="1010" t="str">
        <f t="shared" si="362"/>
        <v>nm</v>
      </c>
      <c r="AP157" s="1010" t="str">
        <f t="shared" si="362"/>
        <v>nm</v>
      </c>
      <c r="AQ157" s="1011" t="str">
        <f t="shared" si="362"/>
        <v>nm</v>
      </c>
      <c r="AR157" s="1010" t="str">
        <f t="shared" si="362"/>
        <v>nm</v>
      </c>
      <c r="AS157" s="1010" t="str">
        <f t="shared" si="362"/>
        <v>nm</v>
      </c>
      <c r="AT157" s="1010" t="str">
        <f t="shared" si="362"/>
        <v>nm</v>
      </c>
      <c r="AU157" s="802"/>
      <c r="AV157" s="1010" t="str">
        <f>IF(ISERROR(+AV156/AQ82-1),"nm",+AV156/AQ82-1)</f>
        <v>nm</v>
      </c>
      <c r="AW157" s="1010" t="str">
        <f>IF(ISERROR(+AW156/AR82-1),"nm",+AW156/AR82-1)</f>
        <v>nm</v>
      </c>
      <c r="AX157" s="1010" t="str">
        <f>IF(ISERROR(+AX156/AS82-1),"nm",+AX156/AS82-1)</f>
        <v>nm</v>
      </c>
      <c r="AY157" s="1010" t="str">
        <f>IF(ISERROR(+AY156/AT82-1),"nm",+AY156/AT82-1)</f>
        <v>nm</v>
      </c>
      <c r="AZ157" s="1011" t="str">
        <f>IF(ISERROR(+AZ156/AU82-1),"nm",+AZ156/AU82-1)</f>
        <v>nm</v>
      </c>
      <c r="BA157" s="850">
        <f t="shared" ref="BA157:CK157" si="363">IF(ISERROR(+BA156/AV82-1),"NM",+BA156/AV82-1)</f>
        <v>2.2814814814814843E-2</v>
      </c>
      <c r="BB157" s="850">
        <f t="shared" si="363"/>
        <v>-1.4868804664723068E-2</v>
      </c>
      <c r="BC157" s="850">
        <f t="shared" si="363"/>
        <v>-6.3618290258449339E-2</v>
      </c>
      <c r="BD157" s="850">
        <f t="shared" si="363"/>
        <v>-0.11737761236759237</v>
      </c>
      <c r="BE157" s="850">
        <f t="shared" si="363"/>
        <v>-4.3997394891092001E-2</v>
      </c>
      <c r="BF157" s="850">
        <f t="shared" si="363"/>
        <v>-0.22682502896871382</v>
      </c>
      <c r="BG157" s="850">
        <f t="shared" si="363"/>
        <v>-0.23941994672980171</v>
      </c>
      <c r="BH157" s="850">
        <f t="shared" si="363"/>
        <v>-0.25993327267212618</v>
      </c>
      <c r="BI157" s="850">
        <f t="shared" si="363"/>
        <v>-0.24174787802577802</v>
      </c>
      <c r="BJ157" s="850">
        <f t="shared" si="363"/>
        <v>-0.25426403185814106</v>
      </c>
      <c r="BK157" s="850">
        <f t="shared" si="363"/>
        <v>-6.2944923192206792E-2</v>
      </c>
      <c r="BL157" s="850">
        <f t="shared" si="363"/>
        <v>-5.8365758754863828E-2</v>
      </c>
      <c r="BM157" s="850">
        <f t="shared" si="363"/>
        <v>-1.885245901639343E-2</v>
      </c>
      <c r="BN157" s="850">
        <f t="shared" si="363"/>
        <v>-4.6849087893863994E-2</v>
      </c>
      <c r="BO157" s="850">
        <f t="shared" si="363"/>
        <v>-4.7269844415816054E-2</v>
      </c>
      <c r="BP157" s="850">
        <f t="shared" si="363"/>
        <v>-3.4786085565773672E-2</v>
      </c>
      <c r="BQ157" s="850">
        <f t="shared" si="363"/>
        <v>-9.2975206611570216E-2</v>
      </c>
      <c r="BR157" s="850">
        <f t="shared" si="363"/>
        <v>-0.1157059314954052</v>
      </c>
      <c r="BS157" s="850">
        <f t="shared" si="363"/>
        <v>-5.2196607220530655E-2</v>
      </c>
      <c r="BT157" s="850">
        <f t="shared" si="363"/>
        <v>-9.4445600166424004E-2</v>
      </c>
      <c r="BU157" s="850">
        <f t="shared" si="363"/>
        <v>-5.5923777961888965E-2</v>
      </c>
      <c r="BV157" s="850">
        <f t="shared" si="363"/>
        <v>1.5034168564920236E-2</v>
      </c>
      <c r="BW157" s="850">
        <f t="shared" si="363"/>
        <v>4.4874822862541297E-2</v>
      </c>
      <c r="BX157" s="850">
        <f t="shared" si="363"/>
        <v>3.3042680128499313E-2</v>
      </c>
      <c r="BY157" s="850">
        <f t="shared" si="363"/>
        <v>-5.3902302077484254E-3</v>
      </c>
      <c r="BZ157" s="850">
        <f t="shared" si="363"/>
        <v>4.0368582711715728E-2</v>
      </c>
      <c r="CA157" s="850">
        <f t="shared" si="363"/>
        <v>-1.9748653500897717E-2</v>
      </c>
      <c r="CB157" s="850">
        <f t="shared" si="363"/>
        <v>-2.4412296564195302E-2</v>
      </c>
      <c r="CC157" s="850">
        <f t="shared" si="363"/>
        <v>-2.4877832074633455E-2</v>
      </c>
      <c r="CD157" s="850">
        <f t="shared" si="363"/>
        <v>-3.3890746934225224E-2</v>
      </c>
      <c r="CE157" s="850">
        <f t="shared" si="363"/>
        <v>-3.8802193167439936E-2</v>
      </c>
      <c r="CF157" s="850">
        <f t="shared" si="363"/>
        <v>2.0604395604395531E-2</v>
      </c>
      <c r="CG157" s="850">
        <f t="shared" si="363"/>
        <v>4.8192771084337283E-2</v>
      </c>
      <c r="CH157" s="850">
        <f t="shared" si="363"/>
        <v>3.0068337129840472E-2</v>
      </c>
      <c r="CI157" s="851">
        <f t="shared" si="363"/>
        <v>1.3807813201616614E-2</v>
      </c>
      <c r="CJ157" s="850">
        <f t="shared" si="363"/>
        <v>2.6327336551118963E-2</v>
      </c>
      <c r="CK157" s="850">
        <f t="shared" si="363"/>
        <v>3.3198743831314381E-2</v>
      </c>
      <c r="CL157" s="850">
        <f t="shared" ref="CL157:DH157" si="364">IF(ISERROR(+CL156/CG82-1),"NM",+CL156/CG82-1)</f>
        <v>0</v>
      </c>
      <c r="CM157" s="850">
        <f t="shared" si="364"/>
        <v>1.769128704113232E-2</v>
      </c>
      <c r="CN157" s="851">
        <f t="shared" si="364"/>
        <v>1.9266969327870642E-2</v>
      </c>
      <c r="CO157" s="850">
        <f t="shared" si="364"/>
        <v>3.8477982043608305E-2</v>
      </c>
      <c r="CP157" s="850">
        <f t="shared" si="364"/>
        <v>-1.3026487190620495E-3</v>
      </c>
      <c r="CQ157" s="850">
        <f t="shared" si="364"/>
        <v>1.1936339522546469E-2</v>
      </c>
      <c r="CR157" s="850">
        <f t="shared" si="364"/>
        <v>2.2598870056497189E-2</v>
      </c>
      <c r="CS157" s="851">
        <f t="shared" si="364"/>
        <v>1.8033677349266641E-2</v>
      </c>
      <c r="CT157" s="850">
        <f t="shared" si="364"/>
        <v>2.5524907369287808E-2</v>
      </c>
      <c r="CU157" s="850">
        <f t="shared" si="364"/>
        <v>6.7391304347826031E-2</v>
      </c>
      <c r="CV157" s="850">
        <f t="shared" si="364"/>
        <v>6.0288335517693303E-2</v>
      </c>
      <c r="CW157" s="850">
        <f t="shared" si="364"/>
        <v>7.5648108797280011E-2</v>
      </c>
      <c r="CX157" s="851">
        <f t="shared" si="364"/>
        <v>5.6877601109806886E-2</v>
      </c>
      <c r="CY157" s="850">
        <f t="shared" si="364"/>
        <v>4.1348855881172319E-2</v>
      </c>
      <c r="CZ157" s="850">
        <f t="shared" si="364"/>
        <v>7.087576374745419E-2</v>
      </c>
      <c r="DA157" s="850">
        <f t="shared" si="364"/>
        <v>7.8697981046559562E-2</v>
      </c>
      <c r="DB157" s="850">
        <f t="shared" si="364"/>
        <v>0.67246147767680764</v>
      </c>
      <c r="DC157" s="851">
        <f t="shared" si="364"/>
        <v>0.21910339256865918</v>
      </c>
      <c r="DD157" s="850">
        <f t="shared" si="364"/>
        <v>0.6599845797995374</v>
      </c>
      <c r="DE157" s="850">
        <f t="shared" si="364"/>
        <v>0.65918600228223667</v>
      </c>
      <c r="DF157" s="850">
        <f t="shared" si="364"/>
        <v>0.69136745607333849</v>
      </c>
      <c r="DG157" s="850">
        <f t="shared" si="364"/>
        <v>0.13961729270021261</v>
      </c>
      <c r="DH157" s="851">
        <f t="shared" si="364"/>
        <v>0.48418088454530395</v>
      </c>
      <c r="DI157" s="850">
        <f>IF(ISERROR(+DI156/DD156-1),"NM",+DI156/DD156-1)</f>
        <v>0.11263353460287973</v>
      </c>
      <c r="DJ157" s="850">
        <f t="shared" ref="DJ157:EG157" si="365">IF(ISERROR(+DJ156/DE156-1),"NM",+DJ156/DE156-1)</f>
        <v>9.6286107290233902E-2</v>
      </c>
      <c r="DK157" s="850">
        <f t="shared" si="365"/>
        <v>6.639566395663965E-2</v>
      </c>
      <c r="DL157" s="850">
        <f t="shared" si="365"/>
        <v>3.7728026533996761E-2</v>
      </c>
      <c r="DM157" s="851">
        <f t="shared" si="365"/>
        <v>7.7064732142857251E-2</v>
      </c>
      <c r="DN157" s="850">
        <f t="shared" si="365"/>
        <v>-1.8159048215403928E-2</v>
      </c>
      <c r="DO157" s="850">
        <f t="shared" si="365"/>
        <v>-8.992053534086164E-3</v>
      </c>
      <c r="DP157" s="850">
        <f t="shared" si="365"/>
        <v>-7.2215163066497223E-2</v>
      </c>
      <c r="DQ157" s="850">
        <f t="shared" si="365"/>
        <v>-0.11186576108669599</v>
      </c>
      <c r="DR157" s="851">
        <f t="shared" si="365"/>
        <v>-5.3416921403036111E-2</v>
      </c>
      <c r="DS157" s="850">
        <f t="shared" si="365"/>
        <v>6.3775510204082675E-3</v>
      </c>
      <c r="DT157" s="850">
        <f t="shared" si="365"/>
        <v>-1.0339734121122546E-2</v>
      </c>
      <c r="DU157" s="850">
        <f t="shared" si="365"/>
        <v>1.8945446245149489E-2</v>
      </c>
      <c r="DV157" s="850">
        <f t="shared" si="365"/>
        <v>6.7701304543409835E-2</v>
      </c>
      <c r="DW157" s="851">
        <f t="shared" si="365"/>
        <v>1.9978106185002842E-2</v>
      </c>
      <c r="DX157" s="850">
        <f t="shared" si="365"/>
        <v>-5.0252933787609422E-2</v>
      </c>
      <c r="DY157" s="850">
        <f t="shared" si="365"/>
        <v>-4.7734389194274973E-2</v>
      </c>
      <c r="DZ157" s="850">
        <f t="shared" si="365"/>
        <v>-4.3317518690586865E-2</v>
      </c>
      <c r="EA157" s="850">
        <f t="shared" si="365"/>
        <v>-6.7722149015267741E-2</v>
      </c>
      <c r="EB157" s="851">
        <f t="shared" si="365"/>
        <v>-5.240773376345309E-2</v>
      </c>
      <c r="EC157" s="850">
        <f t="shared" si="365"/>
        <v>-3.2492050609883028E-2</v>
      </c>
      <c r="ED157" s="850">
        <f t="shared" si="365"/>
        <v>-1.3671578467491341E-2</v>
      </c>
      <c r="EE157" s="850">
        <f t="shared" si="365"/>
        <v>6.2961522161404382E-3</v>
      </c>
      <c r="EF157" s="850">
        <f t="shared" si="365"/>
        <v>2.5875799725388227E-2</v>
      </c>
      <c r="EG157" s="851">
        <f t="shared" si="365"/>
        <v>-3.7231098603410784E-3</v>
      </c>
      <c r="EH157" s="850">
        <f t="shared" ref="EH157" si="366">IF(ISERROR(+EH156/EC156-1),"NM",+EH156/EC156-1)</f>
        <v>2.3916556441334835E-2</v>
      </c>
      <c r="EI157" s="850">
        <f t="shared" ref="EI157" si="367">IF(ISERROR(+EI156/ED156-1),"NM",+EI156/ED156-1)</f>
        <v>2.2665732570232411E-2</v>
      </c>
      <c r="EJ157" s="850">
        <f t="shared" ref="EJ157" si="368">IF(ISERROR(+EJ156/EE156-1),"NM",+EJ156/EE156-1)</f>
        <v>2.1459623938365535E-2</v>
      </c>
      <c r="EK157" s="850">
        <f t="shared" ref="EK157" si="369">IF(ISERROR(+EK156/EF156-1),"NM",+EK156/EF156-1)</f>
        <v>2.0404128022839974E-2</v>
      </c>
      <c r="EL157" s="851">
        <f t="shared" ref="EL157" si="370">IF(ISERROR(+EL156/EG156-1),"NM",+EL156/EG156-1)</f>
        <v>2.2096747945365536E-2</v>
      </c>
    </row>
    <row r="158" spans="1:142" ht="11.25" customHeight="1">
      <c r="A158" s="1136"/>
      <c r="B158" s="1136"/>
      <c r="C158" s="555"/>
      <c r="D158" s="555"/>
      <c r="E158" s="555"/>
      <c r="F158" s="555"/>
      <c r="G158" s="555"/>
      <c r="H158" s="802"/>
      <c r="I158" s="555"/>
      <c r="J158" s="555"/>
      <c r="K158" s="555"/>
      <c r="L158" s="555"/>
      <c r="M158" s="802"/>
      <c r="N158" s="555"/>
      <c r="O158" s="555"/>
      <c r="P158" s="555"/>
      <c r="Q158" s="555"/>
      <c r="R158" s="802"/>
      <c r="S158" s="555"/>
      <c r="T158" s="555"/>
      <c r="U158" s="555"/>
      <c r="V158" s="555"/>
      <c r="W158" s="802"/>
      <c r="X158" s="555"/>
      <c r="Y158" s="555"/>
      <c r="Z158" s="555"/>
      <c r="AA158" s="555"/>
      <c r="AB158" s="802"/>
      <c r="AC158" s="555"/>
      <c r="AD158" s="555"/>
      <c r="AE158" s="555"/>
      <c r="AF158" s="555"/>
      <c r="AG158" s="802"/>
      <c r="AH158" s="555"/>
      <c r="AI158" s="555"/>
      <c r="AJ158" s="555"/>
      <c r="AK158" s="555"/>
      <c r="AL158" s="802"/>
      <c r="AM158" s="555"/>
      <c r="AN158" s="555"/>
      <c r="AO158" s="555"/>
      <c r="AP158" s="555"/>
      <c r="AQ158" s="802"/>
      <c r="AR158" s="555"/>
      <c r="AS158" s="555"/>
      <c r="AT158" s="555"/>
      <c r="AU158" s="802"/>
      <c r="AV158" s="881"/>
      <c r="AW158" s="881"/>
      <c r="AX158" s="881"/>
      <c r="AY158" s="881"/>
      <c r="AZ158" s="885"/>
      <c r="BA158" s="881"/>
      <c r="BB158" s="881"/>
      <c r="BC158" s="881"/>
      <c r="BD158" s="881"/>
      <c r="BE158" s="885"/>
      <c r="BF158" s="849"/>
      <c r="BG158" s="849"/>
      <c r="BH158" s="849"/>
      <c r="BI158" s="1010"/>
      <c r="BJ158" s="851"/>
      <c r="BK158" s="849"/>
      <c r="BL158" s="849"/>
      <c r="BM158" s="849"/>
      <c r="BN158" s="849"/>
      <c r="BO158" s="851"/>
      <c r="BP158" s="849"/>
      <c r="BQ158" s="849"/>
      <c r="BR158" s="849"/>
      <c r="BS158" s="849"/>
      <c r="BT158" s="851"/>
      <c r="BU158" s="849"/>
      <c r="BV158" s="849"/>
      <c r="BW158" s="849"/>
      <c r="BX158" s="849"/>
      <c r="BY158" s="851"/>
      <c r="BZ158" s="849"/>
      <c r="CA158" s="849"/>
      <c r="CB158" s="849"/>
      <c r="CC158" s="849"/>
      <c r="CD158" s="851"/>
      <c r="CE158" s="849"/>
      <c r="CF158" s="849"/>
      <c r="CG158" s="849"/>
      <c r="CH158" s="849"/>
      <c r="CI158" s="851"/>
      <c r="CJ158" s="849"/>
      <c r="CK158" s="849"/>
      <c r="CL158" s="849"/>
      <c r="CM158" s="849"/>
      <c r="CN158" s="851"/>
      <c r="CO158" s="849"/>
      <c r="CP158" s="849"/>
      <c r="CQ158" s="849"/>
      <c r="CR158" s="849"/>
      <c r="CS158" s="851"/>
      <c r="CT158" s="849"/>
      <c r="CU158" s="849"/>
      <c r="CV158" s="849"/>
      <c r="CW158" s="849"/>
      <c r="CX158" s="851"/>
      <c r="CY158" s="849"/>
      <c r="CZ158" s="849"/>
      <c r="DA158" s="849"/>
      <c r="DB158" s="849"/>
      <c r="DC158" s="851"/>
      <c r="DD158" s="849"/>
      <c r="DE158" s="849"/>
      <c r="DF158" s="849"/>
      <c r="DG158" s="849"/>
      <c r="DH158" s="851"/>
      <c r="DI158" s="849"/>
      <c r="DJ158" s="849"/>
      <c r="DK158" s="849"/>
      <c r="DL158" s="849"/>
      <c r="DM158" s="851"/>
      <c r="DN158" s="849"/>
      <c r="DO158" s="849"/>
      <c r="DP158" s="849"/>
      <c r="DQ158" s="849"/>
      <c r="DR158" s="851"/>
      <c r="DS158" s="849"/>
      <c r="DT158" s="849"/>
      <c r="DU158" s="849"/>
      <c r="DV158" s="849"/>
      <c r="DW158" s="851"/>
      <c r="DX158" s="849"/>
      <c r="DY158" s="849"/>
      <c r="DZ158" s="849"/>
      <c r="EA158" s="849"/>
      <c r="EB158" s="851"/>
      <c r="EC158" s="849"/>
      <c r="ED158" s="849"/>
      <c r="EE158" s="849"/>
      <c r="EF158" s="849"/>
      <c r="EG158" s="851"/>
      <c r="EH158" s="849"/>
      <c r="EI158" s="849"/>
      <c r="EJ158" s="849"/>
      <c r="EK158" s="849"/>
      <c r="EL158" s="851"/>
    </row>
    <row r="159" spans="1:142" ht="11.25" customHeight="1">
      <c r="A159" s="973"/>
      <c r="B159" s="973" t="s">
        <v>145</v>
      </c>
      <c r="C159" s="892"/>
      <c r="D159" s="892"/>
      <c r="E159" s="892"/>
      <c r="F159" s="892"/>
      <c r="G159" s="892"/>
      <c r="H159" s="1001"/>
      <c r="I159" s="892"/>
      <c r="J159" s="892"/>
      <c r="K159" s="892"/>
      <c r="L159" s="892"/>
      <c r="M159" s="1001"/>
      <c r="N159" s="892"/>
      <c r="O159" s="892"/>
      <c r="P159" s="892"/>
      <c r="Q159" s="892"/>
      <c r="R159" s="1001"/>
      <c r="S159" s="892"/>
      <c r="T159" s="892"/>
      <c r="U159" s="892"/>
      <c r="V159" s="892"/>
      <c r="W159" s="1001"/>
      <c r="X159" s="892"/>
      <c r="Y159" s="892"/>
      <c r="Z159" s="892"/>
      <c r="AA159" s="892"/>
      <c r="AB159" s="1001"/>
      <c r="AC159" s="892"/>
      <c r="AD159" s="892"/>
      <c r="AE159" s="892"/>
      <c r="AF159" s="892"/>
      <c r="AG159" s="1001"/>
      <c r="AH159" s="892"/>
      <c r="AI159" s="892"/>
      <c r="AJ159" s="892"/>
      <c r="AK159" s="892"/>
      <c r="AL159" s="1001"/>
      <c r="AM159" s="892"/>
      <c r="AN159" s="892"/>
      <c r="AO159" s="892"/>
      <c r="AP159" s="892"/>
      <c r="AQ159" s="1001"/>
      <c r="AR159" s="892"/>
      <c r="AS159" s="892"/>
      <c r="AT159" s="892"/>
      <c r="AU159" s="802"/>
      <c r="AV159" s="804"/>
      <c r="AW159" s="917"/>
      <c r="AX159" s="917"/>
      <c r="AY159" s="917"/>
      <c r="AZ159" s="916"/>
      <c r="BA159" s="917"/>
      <c r="BB159" s="917"/>
      <c r="BC159" s="917"/>
      <c r="BD159" s="917"/>
      <c r="BE159" s="916"/>
      <c r="BF159" s="917"/>
      <c r="BG159" s="917"/>
      <c r="BH159" s="917"/>
      <c r="BI159" s="917"/>
      <c r="BJ159" s="916"/>
      <c r="BK159" s="1137"/>
      <c r="BL159" s="1137"/>
      <c r="BM159" s="1137"/>
      <c r="BN159" s="1137"/>
      <c r="BO159" s="924"/>
      <c r="BP159" s="1137"/>
      <c r="BQ159" s="1137"/>
      <c r="BR159" s="1137"/>
      <c r="BS159" s="1137"/>
      <c r="BT159" s="924"/>
      <c r="BU159" s="1137"/>
      <c r="BV159" s="1137"/>
      <c r="BW159" s="1137"/>
      <c r="BX159" s="1137"/>
      <c r="BY159" s="924"/>
      <c r="BZ159" s="1137"/>
      <c r="CA159" s="1137"/>
      <c r="CB159" s="1137"/>
      <c r="CC159" s="1137"/>
      <c r="CD159" s="924"/>
      <c r="CE159" s="1137"/>
      <c r="CF159" s="1137"/>
      <c r="CG159" s="1137"/>
      <c r="CH159" s="1137"/>
      <c r="CI159" s="924"/>
      <c r="CJ159" s="1137"/>
      <c r="CK159" s="1137"/>
      <c r="CL159" s="1137"/>
      <c r="CM159" s="1137"/>
      <c r="CN159" s="924"/>
      <c r="CO159" s="1137"/>
      <c r="CP159" s="1137"/>
      <c r="CQ159" s="1137"/>
      <c r="CR159" s="1137"/>
      <c r="CS159" s="924"/>
      <c r="CT159" s="1137"/>
      <c r="CU159" s="1137"/>
      <c r="CV159" s="1137"/>
      <c r="CW159" s="1137"/>
      <c r="CX159" s="924"/>
      <c r="CY159" s="1137"/>
      <c r="CZ159" s="1137"/>
      <c r="DA159" s="1137"/>
      <c r="DB159" s="1137"/>
      <c r="DC159" s="924"/>
      <c r="DD159" s="1137"/>
      <c r="DE159" s="1137"/>
      <c r="DF159" s="1137"/>
      <c r="DG159" s="1137"/>
      <c r="DH159" s="924"/>
      <c r="DI159" s="1137"/>
      <c r="DJ159" s="1137"/>
      <c r="DK159" s="1137"/>
      <c r="DL159" s="1137"/>
      <c r="DM159" s="924"/>
      <c r="DN159" s="1137"/>
      <c r="DO159" s="1137"/>
      <c r="DP159" s="1137"/>
      <c r="DQ159" s="1137"/>
      <c r="DR159" s="924"/>
      <c r="DS159" s="1137"/>
      <c r="DT159" s="1137"/>
      <c r="DU159" s="1137"/>
      <c r="DV159" s="1137"/>
      <c r="DW159" s="924"/>
      <c r="DX159" s="1137"/>
      <c r="DY159" s="1137"/>
      <c r="DZ159" s="1137"/>
      <c r="EA159" s="1137"/>
      <c r="EB159" s="924"/>
      <c r="EC159" s="1137"/>
      <c r="ED159" s="1137"/>
      <c r="EE159" s="1137"/>
      <c r="EF159" s="1137"/>
      <c r="EG159" s="924"/>
      <c r="EH159" s="1137"/>
      <c r="EI159" s="1137"/>
      <c r="EJ159" s="1137"/>
      <c r="EK159" s="1137"/>
      <c r="EL159" s="924"/>
    </row>
    <row r="160" spans="1:142" ht="11.25" customHeight="1">
      <c r="A160" s="1138"/>
      <c r="B160" s="1138" t="s">
        <v>702</v>
      </c>
      <c r="C160" s="1139"/>
      <c r="D160" s="1139">
        <f>D258</f>
        <v>49078</v>
      </c>
      <c r="E160" s="1139">
        <f>E258</f>
        <v>48663</v>
      </c>
      <c r="F160" s="1139">
        <f>F258</f>
        <v>51882</v>
      </c>
      <c r="G160" s="1139">
        <f>G258</f>
        <v>118245</v>
      </c>
      <c r="H160" s="1140">
        <f>SUM(D160:G160)</f>
        <v>267868</v>
      </c>
      <c r="I160" s="1139">
        <f>I258</f>
        <v>111503</v>
      </c>
      <c r="J160" s="1139">
        <f>J258</f>
        <v>120363</v>
      </c>
      <c r="K160" s="1139">
        <f>K258</f>
        <v>130536</v>
      </c>
      <c r="L160" s="1139">
        <f>L258</f>
        <v>125199</v>
      </c>
      <c r="M160" s="1140">
        <f>SUM(I160:L160)</f>
        <v>487601</v>
      </c>
      <c r="N160" s="1139">
        <f>N258</f>
        <v>122210</v>
      </c>
      <c r="O160" s="1139">
        <f>O258</f>
        <v>124564</v>
      </c>
      <c r="P160" s="1139">
        <f>P258</f>
        <v>212850</v>
      </c>
      <c r="Q160" s="1139">
        <f>Q258</f>
        <v>327263</v>
      </c>
      <c r="R160" s="1140">
        <f>SUM(N160:Q160)</f>
        <v>786887</v>
      </c>
      <c r="S160" s="1139">
        <f>S258</f>
        <v>205572</v>
      </c>
      <c r="T160" s="1139">
        <f>T258</f>
        <v>213270</v>
      </c>
      <c r="U160" s="1139">
        <f>U258</f>
        <v>230955</v>
      </c>
      <c r="V160" s="1139">
        <f>V258</f>
        <v>222636</v>
      </c>
      <c r="W160" s="1140">
        <f>SUM(S160:V160)</f>
        <v>872433</v>
      </c>
      <c r="X160" s="1139">
        <f>X258</f>
        <v>219167</v>
      </c>
      <c r="Y160" s="1139">
        <f>Y258</f>
        <v>221499</v>
      </c>
      <c r="Z160" s="1139">
        <f>Z258</f>
        <v>248646</v>
      </c>
      <c r="AA160" s="1139">
        <f>AA258</f>
        <v>250935</v>
      </c>
      <c r="AB160" s="1140">
        <f>SUM(X160:AA160)</f>
        <v>940247</v>
      </c>
      <c r="AC160" s="1139">
        <f>AC258</f>
        <v>239378</v>
      </c>
      <c r="AD160" s="1139">
        <f>AD258</f>
        <v>227647</v>
      </c>
      <c r="AE160" s="1139">
        <f>AE258</f>
        <v>239792</v>
      </c>
      <c r="AF160" s="1139">
        <f>AF258</f>
        <v>229325</v>
      </c>
      <c r="AG160" s="1140">
        <f>SUM(AC160:AF160)</f>
        <v>936142</v>
      </c>
      <c r="AH160" s="1139">
        <f>AH258</f>
        <v>228680</v>
      </c>
      <c r="AI160" s="1139">
        <f>AI258</f>
        <v>229281</v>
      </c>
      <c r="AJ160" s="1139">
        <f>AJ258</f>
        <v>239074</v>
      </c>
      <c r="AK160" s="1139">
        <f>AK258</f>
        <v>242566</v>
      </c>
      <c r="AL160" s="1140">
        <f>SUM(AH160:AK160)</f>
        <v>939601</v>
      </c>
      <c r="AM160" s="1139">
        <f>AM258</f>
        <v>242172</v>
      </c>
      <c r="AN160" s="1139">
        <f>AN258</f>
        <v>242861</v>
      </c>
      <c r="AO160" s="1139">
        <f>AO258</f>
        <v>256840</v>
      </c>
      <c r="AP160" s="1139">
        <f>AP258</f>
        <v>259163</v>
      </c>
      <c r="AQ160" s="1140">
        <f>SUM(AM160:AP160)</f>
        <v>1001036</v>
      </c>
      <c r="AR160" s="1139">
        <f>AR258</f>
        <v>252114</v>
      </c>
      <c r="AS160" s="1139">
        <f>AS258</f>
        <v>254232</v>
      </c>
      <c r="AT160" s="1139">
        <f>AT258</f>
        <v>261601</v>
      </c>
      <c r="AU160" s="802"/>
      <c r="AV160" s="1141" t="str">
        <f>AV295</f>
        <v>ND</v>
      </c>
      <c r="AW160" s="1141" t="str">
        <f>AW295</f>
        <v>ND</v>
      </c>
      <c r="AX160" s="1141" t="str">
        <f>AX295</f>
        <v>ND</v>
      </c>
      <c r="AY160" s="1141" t="str">
        <f>AY295</f>
        <v>ND</v>
      </c>
      <c r="AZ160" s="1140">
        <f>SUM(AV160:AY160)</f>
        <v>0</v>
      </c>
      <c r="BA160" s="1139">
        <f>BA295</f>
        <v>243226</v>
      </c>
      <c r="BB160" s="1139">
        <f>BB295</f>
        <v>236059</v>
      </c>
      <c r="BC160" s="1139">
        <f>BC295</f>
        <v>237374</v>
      </c>
      <c r="BD160" s="1139">
        <f>BD295</f>
        <v>229981</v>
      </c>
      <c r="BE160" s="1140">
        <f>SUM(BA160:BD160)</f>
        <v>946640</v>
      </c>
      <c r="BF160" s="1139">
        <f>BF295</f>
        <v>185253</v>
      </c>
      <c r="BG160" s="1139">
        <f>BG295</f>
        <v>174079</v>
      </c>
      <c r="BH160" s="1139">
        <f>BH295</f>
        <v>170713</v>
      </c>
      <c r="BI160" s="1139">
        <f>BI295</f>
        <v>169343</v>
      </c>
      <c r="BJ160" s="1140">
        <f>SUM(BF160:BI160)</f>
        <v>699388</v>
      </c>
      <c r="BK160" s="1139">
        <f>BK295</f>
        <v>178458</v>
      </c>
      <c r="BL160" s="1139">
        <f>BL295</f>
        <v>168526</v>
      </c>
      <c r="BM160" s="1139">
        <f>BM295</f>
        <v>163707</v>
      </c>
      <c r="BN160" s="1139">
        <f>BN295</f>
        <v>157896</v>
      </c>
      <c r="BO160" s="1140">
        <f>SUM(BK160:BN160)</f>
        <v>668587</v>
      </c>
      <c r="BP160" s="1139">
        <f>BP295</f>
        <v>166426</v>
      </c>
      <c r="BQ160" s="1139">
        <f>BQ295</f>
        <v>142976</v>
      </c>
      <c r="BR160" s="1139">
        <f>BR295</f>
        <v>141203</v>
      </c>
      <c r="BS160" s="1139">
        <f>BS295</f>
        <v>143110</v>
      </c>
      <c r="BT160" s="1140">
        <f>SUM(BP160:BS160)</f>
        <v>593715</v>
      </c>
      <c r="BU160" s="1139">
        <f>BU295</f>
        <v>148368</v>
      </c>
      <c r="BV160" s="1139">
        <f>BV295</f>
        <v>139832</v>
      </c>
      <c r="BW160" s="1139">
        <f>BW295</f>
        <v>136373</v>
      </c>
      <c r="BX160" s="1139">
        <f>BX295</f>
        <v>139449</v>
      </c>
      <c r="BY160" s="1140">
        <f>SUM(BU160:BX160)</f>
        <v>564022</v>
      </c>
      <c r="BZ160" s="1139">
        <f>BZ295</f>
        <v>146057</v>
      </c>
      <c r="CA160" s="1139">
        <f>CA295</f>
        <v>133983</v>
      </c>
      <c r="CB160" s="1139">
        <f>CB295</f>
        <v>130545</v>
      </c>
      <c r="CC160" s="1139">
        <f>CC295</f>
        <v>131693</v>
      </c>
      <c r="CD160" s="1140">
        <f>SUM(BZ160:CC160)</f>
        <v>542278</v>
      </c>
      <c r="CE160" s="1139">
        <f>CE295</f>
        <v>136766</v>
      </c>
      <c r="CF160" s="1139">
        <f>CF295</f>
        <v>130308</v>
      </c>
      <c r="CG160" s="1139">
        <f>CG295</f>
        <v>130258</v>
      </c>
      <c r="CH160" s="1139">
        <f>CH295</f>
        <v>129631</v>
      </c>
      <c r="CI160" s="1140">
        <f>SUM(CE160:CH160)</f>
        <v>526963</v>
      </c>
      <c r="CJ160" s="1139">
        <f>CJ295</f>
        <v>132599</v>
      </c>
      <c r="CK160" s="1139">
        <f>CK295</f>
        <v>127751</v>
      </c>
      <c r="CL160" s="1139">
        <f>CL295</f>
        <v>125645</v>
      </c>
      <c r="CM160" s="1139">
        <f>CM295</f>
        <v>126977</v>
      </c>
      <c r="CN160" s="1140">
        <f>SUM(CJ160:CM160)</f>
        <v>512972</v>
      </c>
      <c r="CO160" s="1139">
        <f>CO295</f>
        <v>131437</v>
      </c>
      <c r="CP160" s="1139">
        <f>CP295</f>
        <v>125592</v>
      </c>
      <c r="CQ160" s="1139">
        <f>CQ295</f>
        <v>125458</v>
      </c>
      <c r="CR160" s="1139">
        <f>CR295</f>
        <v>125347</v>
      </c>
      <c r="CS160" s="1140">
        <f>SUM(CO160:CR160)</f>
        <v>507834</v>
      </c>
      <c r="CT160" s="1139">
        <f>CT295</f>
        <v>131190</v>
      </c>
      <c r="CU160" s="1139">
        <f>CU295</f>
        <v>125136</v>
      </c>
      <c r="CV160" s="1139">
        <f>CV295</f>
        <v>124869</v>
      </c>
      <c r="CW160" s="1139">
        <f>CW295</f>
        <v>125290</v>
      </c>
      <c r="CX160" s="1140">
        <f>SUM(CT160:CW160)</f>
        <v>506485</v>
      </c>
      <c r="CY160" s="1139">
        <f>CY295</f>
        <v>125929</v>
      </c>
      <c r="CZ160" s="1139">
        <f>CZ295</f>
        <v>120722</v>
      </c>
      <c r="DA160" s="1139">
        <f>DA295</f>
        <v>121569</v>
      </c>
      <c r="DB160" s="1139">
        <f>DB295</f>
        <v>190506</v>
      </c>
      <c r="DC160" s="1140">
        <f>SUM(CY160:DB160)</f>
        <v>558726</v>
      </c>
      <c r="DD160" s="1139">
        <f>DD295</f>
        <v>194273</v>
      </c>
      <c r="DE160" s="1139">
        <f>DE295</f>
        <v>194641</v>
      </c>
      <c r="DF160" s="1139">
        <f>DF295</f>
        <v>199914</v>
      </c>
      <c r="DG160" s="1139">
        <f>DG295</f>
        <v>202337</v>
      </c>
      <c r="DH160" s="1140">
        <f>SUM(DD160:DG160)</f>
        <v>791165</v>
      </c>
      <c r="DI160" s="1139">
        <f>DI295</f>
        <v>208333</v>
      </c>
      <c r="DJ160" s="1139">
        <f>DJ295</f>
        <v>201908</v>
      </c>
      <c r="DK160" s="1139">
        <f>DK295</f>
        <v>201870</v>
      </c>
      <c r="DL160" s="1139">
        <f>DL295</f>
        <v>211991</v>
      </c>
      <c r="DM160" s="1140">
        <f>SUM(DI160:DL160)</f>
        <v>824102</v>
      </c>
      <c r="DN160" s="1139">
        <f>DN295</f>
        <v>193980</v>
      </c>
      <c r="DO160" s="1139">
        <f>DO295</f>
        <v>193779</v>
      </c>
      <c r="DP160" s="1139">
        <f>DP295</f>
        <v>177626</v>
      </c>
      <c r="DQ160" s="1139">
        <f>DQ295</f>
        <v>175672</v>
      </c>
      <c r="DR160" s="1140">
        <f>SUM(DN160:DQ160)</f>
        <v>741057</v>
      </c>
      <c r="DS160" s="1139">
        <f>DS295</f>
        <v>196182</v>
      </c>
      <c r="DT160" s="1139">
        <f>DT295</f>
        <v>189473</v>
      </c>
      <c r="DU160" s="1139">
        <f>DU295</f>
        <v>181970</v>
      </c>
      <c r="DV160" s="1139">
        <f>DV295</f>
        <v>184877</v>
      </c>
      <c r="DW160" s="1561">
        <f>SUM(DS160:DV160)</f>
        <v>752502</v>
      </c>
      <c r="DX160" s="1139">
        <f>DV160*(1+DX163)+DX30</f>
        <v>179135.55115494007</v>
      </c>
      <c r="DY160" s="1139">
        <f>DX160*(1+DY163)+DY30</f>
        <v>173915.71666932118</v>
      </c>
      <c r="DZ160" s="1139">
        <f>DY160*(1+DZ163)+DZ30</f>
        <v>168561.28299010612</v>
      </c>
      <c r="EA160" s="1139">
        <f>DZ160*(1+EA163)+EA30</f>
        <v>163758.5454162262</v>
      </c>
      <c r="EB160" s="1561">
        <f>SUM(DX160:EA160)</f>
        <v>685371.09623059351</v>
      </c>
      <c r="EC160" s="1139">
        <f>EA160*(1+EC163)+EC30</f>
        <v>164986.73450684792</v>
      </c>
      <c r="ED160" s="1139">
        <f>EC160*(1+ED163)+ED30</f>
        <v>166224.13501564928</v>
      </c>
      <c r="EE160" s="1139">
        <f>ED160*(1+EE163)+EE30</f>
        <v>167470.81602826665</v>
      </c>
      <c r="EF160" s="1139">
        <f>EE160*(1+EF163)+EF30</f>
        <v>168726.84714847867</v>
      </c>
      <c r="EG160" s="1561">
        <f>SUM(EC160:EF160)</f>
        <v>667408.53269924247</v>
      </c>
      <c r="EH160" s="1139">
        <f>EF160*(1+EH163)+EH30</f>
        <v>169570.48138422106</v>
      </c>
      <c r="EI160" s="1139">
        <f>EH160*(1+EI163)+EI30</f>
        <v>170418.33379114215</v>
      </c>
      <c r="EJ160" s="1139">
        <f>EI160*(1+EJ163)+EJ30</f>
        <v>171270.42546009785</v>
      </c>
      <c r="EK160" s="1139">
        <f>EJ160*(1+EK163)+EK30</f>
        <v>172126.7775873983</v>
      </c>
      <c r="EL160" s="1561">
        <f>SUM(EH160:EK160)</f>
        <v>683386.01822285936</v>
      </c>
    </row>
    <row r="161" spans="1:142" s="680" customFormat="1" ht="11.25" customHeight="1">
      <c r="A161" s="1122"/>
      <c r="B161" s="1122" t="s">
        <v>143</v>
      </c>
      <c r="C161" s="1012"/>
      <c r="D161" s="1012"/>
      <c r="E161" s="1012"/>
      <c r="F161" s="1012"/>
      <c r="G161" s="1012"/>
      <c r="H161" s="1011"/>
      <c r="I161" s="1010">
        <f t="shared" ref="I161:AT161" si="371">IF(ISERROR(I160/D86-1),"nm",I160/D86-1)</f>
        <v>1.271954847385794</v>
      </c>
      <c r="J161" s="1010">
        <f t="shared" si="371"/>
        <v>1.4733986807225201</v>
      </c>
      <c r="K161" s="1010">
        <f t="shared" si="371"/>
        <v>1.516017115762692</v>
      </c>
      <c r="L161" s="1010">
        <f t="shared" si="371"/>
        <v>5.8810097678548834E-2</v>
      </c>
      <c r="M161" s="1011">
        <f t="shared" si="371"/>
        <v>0.82030328370690042</v>
      </c>
      <c r="N161" s="1010">
        <f t="shared" si="371"/>
        <v>9.6024322215545688E-2</v>
      </c>
      <c r="O161" s="1010">
        <f t="shared" si="371"/>
        <v>3.490275250699959E-2</v>
      </c>
      <c r="P161" s="1010">
        <f t="shared" si="371"/>
        <v>0.63058466629895205</v>
      </c>
      <c r="Q161" s="1010">
        <f t="shared" si="371"/>
        <v>1.6139426033754263</v>
      </c>
      <c r="R161" s="1011">
        <f t="shared" si="371"/>
        <v>0.61379283471526924</v>
      </c>
      <c r="S161" s="1010">
        <f t="shared" si="371"/>
        <v>0.68212093936666385</v>
      </c>
      <c r="T161" s="1010">
        <f t="shared" si="371"/>
        <v>0.71213191612343851</v>
      </c>
      <c r="U161" s="1010">
        <f t="shared" si="371"/>
        <v>8.5059901338971011E-2</v>
      </c>
      <c r="V161" s="1010">
        <f t="shared" si="371"/>
        <v>-0.31970311339809265</v>
      </c>
      <c r="W161" s="1011">
        <f t="shared" si="371"/>
        <v>0.10871446599066958</v>
      </c>
      <c r="X161" s="1010">
        <f t="shared" si="371"/>
        <v>6.6132547234059036E-2</v>
      </c>
      <c r="Y161" s="1010">
        <f t="shared" si="371"/>
        <v>3.8584892389928349E-2</v>
      </c>
      <c r="Z161" s="1010">
        <f t="shared" si="371"/>
        <v>7.6599337533285627E-2</v>
      </c>
      <c r="AA161" s="1010">
        <f t="shared" si="371"/>
        <v>0.12710882337088347</v>
      </c>
      <c r="AB161" s="1011">
        <f t="shared" si="371"/>
        <v>7.7729751167138428E-2</v>
      </c>
      <c r="AC161" s="1010">
        <f t="shared" si="371"/>
        <v>9.2217350239771401E-2</v>
      </c>
      <c r="AD161" s="1010">
        <f t="shared" si="371"/>
        <v>2.7756332985702015E-2</v>
      </c>
      <c r="AE161" s="1010">
        <f t="shared" si="371"/>
        <v>-3.5608857572613228E-2</v>
      </c>
      <c r="AF161" s="1010">
        <f t="shared" si="371"/>
        <v>-8.6117918983003583E-2</v>
      </c>
      <c r="AG161" s="1011">
        <f t="shared" si="371"/>
        <v>-4.3658740735147417E-3</v>
      </c>
      <c r="AH161" s="1010">
        <f t="shared" si="371"/>
        <v>-4.4690823718136152E-2</v>
      </c>
      <c r="AI161" s="1010">
        <f t="shared" si="371"/>
        <v>7.1777796325012133E-3</v>
      </c>
      <c r="AJ161" s="1010">
        <f t="shared" si="371"/>
        <v>-2.9942616934677257E-3</v>
      </c>
      <c r="AK161" s="1010">
        <f t="shared" si="371"/>
        <v>5.7739016679385191E-2</v>
      </c>
      <c r="AL161" s="1011">
        <f t="shared" si="371"/>
        <v>3.6949522615159491E-3</v>
      </c>
      <c r="AM161" s="1010">
        <f t="shared" si="371"/>
        <v>5.8999475249256639E-2</v>
      </c>
      <c r="AN161" s="1010">
        <f t="shared" si="371"/>
        <v>5.9228632115177371E-2</v>
      </c>
      <c r="AO161" s="1010">
        <f t="shared" si="371"/>
        <v>7.4311719383956421E-2</v>
      </c>
      <c r="AP161" s="1010">
        <f t="shared" si="371"/>
        <v>6.8422614875951249E-2</v>
      </c>
      <c r="AQ161" s="1011">
        <f t="shared" si="371"/>
        <v>6.538413645792196E-2</v>
      </c>
      <c r="AR161" s="1010">
        <f t="shared" si="371"/>
        <v>4.1053466131509841E-2</v>
      </c>
      <c r="AS161" s="1010">
        <f t="shared" si="371"/>
        <v>4.6821021077900538E-2</v>
      </c>
      <c r="AT161" s="1010">
        <f t="shared" si="371"/>
        <v>1.8536832269117065E-2</v>
      </c>
      <c r="AU161" s="802"/>
      <c r="AV161" s="1012"/>
      <c r="AW161" s="1012"/>
      <c r="AX161" s="1012"/>
      <c r="AY161" s="1012"/>
      <c r="AZ161" s="1011"/>
      <c r="BA161" s="1010" t="str">
        <f>IF(ISERROR(BA160/AV160-1),"nm",BA160/AV160-1)</f>
        <v>nm</v>
      </c>
      <c r="BB161" s="1010" t="str">
        <f>IF(ISERROR(BB160/AW160-1),"nm",BB160/AW160-1)</f>
        <v>nm</v>
      </c>
      <c r="BC161" s="1010" t="str">
        <f>IF(ISERROR(BC160/AX160-1),"nm",BC160/AX160-1)</f>
        <v>nm</v>
      </c>
      <c r="BD161" s="1010" t="str">
        <f>IF(ISERROR(BD160/AY160-1),"nm",BD160/AY160-1)</f>
        <v>nm</v>
      </c>
      <c r="BE161" s="1011" t="str">
        <f>IF(ISERROR(BE160/AZ160-1),"nm",BE160/AZ160-1)</f>
        <v>nm</v>
      </c>
      <c r="BF161" s="1010">
        <f t="shared" ref="BF161:CK161" si="372">BF160/BA160-1</f>
        <v>-0.23835034083527251</v>
      </c>
      <c r="BG161" s="1010">
        <f t="shared" si="372"/>
        <v>-0.26256147827449916</v>
      </c>
      <c r="BH161" s="1010">
        <f t="shared" si="372"/>
        <v>-0.2808268807872808</v>
      </c>
      <c r="BI161" s="1010">
        <f t="shared" si="372"/>
        <v>-0.26366525930402951</v>
      </c>
      <c r="BJ161" s="1011">
        <f t="shared" si="372"/>
        <v>-0.26118904757880501</v>
      </c>
      <c r="BK161" s="850">
        <f t="shared" si="372"/>
        <v>-3.6679567942219604E-2</v>
      </c>
      <c r="BL161" s="850">
        <f t="shared" si="372"/>
        <v>-3.1899310083353005E-2</v>
      </c>
      <c r="BM161" s="850">
        <f t="shared" si="372"/>
        <v>-4.1039639629085078E-2</v>
      </c>
      <c r="BN161" s="850">
        <f t="shared" si="372"/>
        <v>-6.759653484348338E-2</v>
      </c>
      <c r="BO161" s="851">
        <f t="shared" si="372"/>
        <v>-4.4039932054882214E-2</v>
      </c>
      <c r="BP161" s="850">
        <f t="shared" si="372"/>
        <v>-6.7422026471214536E-2</v>
      </c>
      <c r="BQ161" s="850">
        <f t="shared" si="372"/>
        <v>-0.15160865385756506</v>
      </c>
      <c r="BR161" s="850">
        <f t="shared" si="372"/>
        <v>-0.13746510534063905</v>
      </c>
      <c r="BS161" s="850">
        <f t="shared" si="372"/>
        <v>-9.3643917515326525E-2</v>
      </c>
      <c r="BT161" s="851">
        <f t="shared" si="372"/>
        <v>-0.11198542598046324</v>
      </c>
      <c r="BU161" s="850">
        <f t="shared" si="372"/>
        <v>-0.10850468075901598</v>
      </c>
      <c r="BV161" s="850">
        <f t="shared" si="372"/>
        <v>-2.1989704565801294E-2</v>
      </c>
      <c r="BW161" s="850">
        <f t="shared" si="372"/>
        <v>-3.4206072108949548E-2</v>
      </c>
      <c r="BX161" s="850">
        <f t="shared" si="372"/>
        <v>-2.5581720354971749E-2</v>
      </c>
      <c r="BY161" s="851">
        <f t="shared" si="372"/>
        <v>-5.001221124613664E-2</v>
      </c>
      <c r="BZ161" s="850">
        <f t="shared" si="372"/>
        <v>-1.5576135015636816E-2</v>
      </c>
      <c r="CA161" s="850">
        <f t="shared" si="372"/>
        <v>-4.1828765947708679E-2</v>
      </c>
      <c r="CB161" s="850">
        <f t="shared" si="372"/>
        <v>-4.2735732146392591E-2</v>
      </c>
      <c r="CC161" s="850">
        <f t="shared" si="372"/>
        <v>-5.561890009967807E-2</v>
      </c>
      <c r="CD161" s="851">
        <f t="shared" si="372"/>
        <v>-3.8551687700125181E-2</v>
      </c>
      <c r="CE161" s="850">
        <f t="shared" si="372"/>
        <v>-6.3612151420335938E-2</v>
      </c>
      <c r="CF161" s="850">
        <f t="shared" si="372"/>
        <v>-2.7428852914175628E-2</v>
      </c>
      <c r="CG161" s="850">
        <f t="shared" si="372"/>
        <v>-2.1984756214332712E-3</v>
      </c>
      <c r="CH161" s="850">
        <f t="shared" si="372"/>
        <v>-1.5657627968077237E-2</v>
      </c>
      <c r="CI161" s="851">
        <f t="shared" si="372"/>
        <v>-2.8241971829947032E-2</v>
      </c>
      <c r="CJ161" s="850">
        <f t="shared" si="372"/>
        <v>-3.0468098796484488E-2</v>
      </c>
      <c r="CK161" s="850">
        <f t="shared" si="372"/>
        <v>-1.962273996991748E-2</v>
      </c>
      <c r="CL161" s="850">
        <f t="shared" ref="CL161:DG161" si="373">CL160/CG160-1</f>
        <v>-3.5414331557370726E-2</v>
      </c>
      <c r="CM161" s="850">
        <f t="shared" si="373"/>
        <v>-2.0473497851594136E-2</v>
      </c>
      <c r="CN161" s="851">
        <f t="shared" si="373"/>
        <v>-2.6550251156153282E-2</v>
      </c>
      <c r="CO161" s="850">
        <f t="shared" si="373"/>
        <v>-8.7632636746883819E-3</v>
      </c>
      <c r="CP161" s="850">
        <f t="shared" si="373"/>
        <v>-1.6900063404591714E-2</v>
      </c>
      <c r="CQ161" s="850">
        <f t="shared" si="373"/>
        <v>-1.4883202674200735E-3</v>
      </c>
      <c r="CR161" s="850">
        <f t="shared" si="373"/>
        <v>-1.2836970474967901E-2</v>
      </c>
      <c r="CS161" s="851">
        <f t="shared" si="373"/>
        <v>-1.0016141231880105E-2</v>
      </c>
      <c r="CT161" s="850">
        <f t="shared" si="373"/>
        <v>-1.8792273104224488E-3</v>
      </c>
      <c r="CU161" s="850">
        <f t="shared" si="373"/>
        <v>-3.6308045098414343E-3</v>
      </c>
      <c r="CV161" s="850">
        <f t="shared" si="373"/>
        <v>-4.694798259178401E-3</v>
      </c>
      <c r="CW161" s="850">
        <f t="shared" si="373"/>
        <v>-4.5473764828840579E-4</v>
      </c>
      <c r="CX161" s="851">
        <f t="shared" si="373"/>
        <v>-2.6563798406565864E-3</v>
      </c>
      <c r="CY161" s="850">
        <f t="shared" si="373"/>
        <v>-4.0102141931549706E-2</v>
      </c>
      <c r="CZ161" s="850">
        <f t="shared" si="373"/>
        <v>-3.5273622298938712E-2</v>
      </c>
      <c r="DA161" s="850">
        <f t="shared" si="373"/>
        <v>-2.6427696225644448E-2</v>
      </c>
      <c r="DB161" s="850">
        <f t="shared" si="373"/>
        <v>0.52052039268896166</v>
      </c>
      <c r="DC161" s="851">
        <f t="shared" si="373"/>
        <v>0.10314421947342955</v>
      </c>
      <c r="DD161" s="850">
        <f t="shared" si="373"/>
        <v>0.54271851598916854</v>
      </c>
      <c r="DE161" s="850">
        <f t="shared" si="373"/>
        <v>0.61230761584466786</v>
      </c>
      <c r="DF161" s="850">
        <f t="shared" si="373"/>
        <v>0.64444883152777432</v>
      </c>
      <c r="DG161" s="850">
        <f t="shared" si="373"/>
        <v>6.2103030875668042E-2</v>
      </c>
      <c r="DH161" s="851" t="e">
        <f>DH160/#REF!-1</f>
        <v>#REF!</v>
      </c>
      <c r="DI161" s="850">
        <f t="shared" ref="DI161:DV161" si="374">DI160/DD160-1</f>
        <v>7.2372383192723655E-2</v>
      </c>
      <c r="DJ161" s="850">
        <f t="shared" si="374"/>
        <v>3.7335402099249348E-2</v>
      </c>
      <c r="DK161" s="850">
        <f t="shared" si="374"/>
        <v>9.7842072090998933E-3</v>
      </c>
      <c r="DL161" s="850">
        <f t="shared" si="374"/>
        <v>4.7712479674997699E-2</v>
      </c>
      <c r="DM161" s="851">
        <f t="shared" si="374"/>
        <v>4.1631012494233177E-2</v>
      </c>
      <c r="DN161" s="850">
        <f t="shared" si="374"/>
        <v>-6.8894510231216399E-2</v>
      </c>
      <c r="DO161" s="850">
        <f t="shared" si="374"/>
        <v>-4.0260910909919345E-2</v>
      </c>
      <c r="DP161" s="849">
        <f t="shared" si="374"/>
        <v>-0.12009709218804177</v>
      </c>
      <c r="DQ161" s="850">
        <f t="shared" si="374"/>
        <v>-0.17132331089527386</v>
      </c>
      <c r="DR161" s="851">
        <f t="shared" si="374"/>
        <v>-0.10077029299771145</v>
      </c>
      <c r="DS161" s="850">
        <f t="shared" si="374"/>
        <v>1.1351685740798034E-2</v>
      </c>
      <c r="DT161" s="850">
        <f t="shared" si="374"/>
        <v>-2.2221190118640322E-2</v>
      </c>
      <c r="DU161" s="850">
        <f t="shared" si="374"/>
        <v>2.4455879206872977E-2</v>
      </c>
      <c r="DV161" s="850">
        <f t="shared" si="374"/>
        <v>5.2398788651577988E-2</v>
      </c>
      <c r="DW161" s="851">
        <f>DW160/DR160-1</f>
        <v>1.5444156117545571E-2</v>
      </c>
      <c r="DX161" s="850">
        <f>DX163</f>
        <v>1.5E-3</v>
      </c>
      <c r="DY161" s="850">
        <f>DY163</f>
        <v>2E-3</v>
      </c>
      <c r="DZ161" s="850">
        <f>DZ163</f>
        <v>2E-3</v>
      </c>
      <c r="EA161" s="850">
        <f>EA163</f>
        <v>2E-3</v>
      </c>
      <c r="EB161" s="851"/>
      <c r="EC161" s="850">
        <f>EC163</f>
        <v>7.4999999999999997E-3</v>
      </c>
      <c r="ED161" s="850">
        <f>ED163</f>
        <v>7.4999999999999997E-3</v>
      </c>
      <c r="EE161" s="850">
        <f>EE163</f>
        <v>7.4999999999999997E-3</v>
      </c>
      <c r="EF161" s="850">
        <f>EF163</f>
        <v>7.4999999999999997E-3</v>
      </c>
      <c r="EG161" s="851">
        <f>EG160/EB160-1</f>
        <v>-2.62085221132633E-2</v>
      </c>
      <c r="EH161" s="850">
        <f>EH163</f>
        <v>5.0000000000000001E-3</v>
      </c>
      <c r="EI161" s="850">
        <f>EI163</f>
        <v>5.0000000000000001E-3</v>
      </c>
      <c r="EJ161" s="850">
        <f>EJ163</f>
        <v>5.0000000000000001E-3</v>
      </c>
      <c r="EK161" s="850">
        <f>EK163</f>
        <v>5.0000000000000001E-3</v>
      </c>
      <c r="EL161" s="851">
        <f>EL160/EG160-1</f>
        <v>2.3939588334296769E-2</v>
      </c>
    </row>
    <row r="162" spans="1:142" ht="11.25" customHeight="1">
      <c r="A162" s="1122"/>
      <c r="B162" s="1122" t="s">
        <v>668</v>
      </c>
      <c r="C162" s="1012"/>
      <c r="D162" s="1012"/>
      <c r="E162" s="1012"/>
      <c r="F162" s="1012"/>
      <c r="G162" s="1012"/>
      <c r="H162" s="1011"/>
      <c r="I162" s="1010" t="str">
        <f>IF(ISERROR(I160/#REF!-1),"nm",I160/#REF!-1)</f>
        <v>nm</v>
      </c>
      <c r="J162" s="1010" t="str">
        <f>IF(ISERROR(J160/#REF!-1),"nm",J160/#REF!-1)</f>
        <v>nm</v>
      </c>
      <c r="K162" s="1010" t="str">
        <f>IF(ISERROR(K160/#REF!-1),"nm",K160/#REF!-1)</f>
        <v>nm</v>
      </c>
      <c r="L162" s="1010" t="str">
        <f>IF(ISERROR(L160/#REF!-1),"nm",L160/#REF!-1)</f>
        <v>nm</v>
      </c>
      <c r="M162" s="1011" t="e">
        <f>M160/#REF!-1</f>
        <v>#REF!</v>
      </c>
      <c r="N162" s="1010" t="e">
        <f>N160/#REF!-1</f>
        <v>#REF!</v>
      </c>
      <c r="O162" s="1010" t="e">
        <f>O160/#REF!-1</f>
        <v>#REF!</v>
      </c>
      <c r="P162" s="1010" t="e">
        <f>P160/#REF!-1</f>
        <v>#REF!</v>
      </c>
      <c r="Q162" s="1010" t="str">
        <f>IF(ISERROR(Q160/#REF!-1),"nm",Q160/#REF!-1)</f>
        <v>nm</v>
      </c>
      <c r="R162" s="1011" t="e">
        <f>R160/#REF!-1</f>
        <v>#REF!</v>
      </c>
      <c r="S162" s="1010" t="e">
        <f>S160/#REF!-1</f>
        <v>#REF!</v>
      </c>
      <c r="T162" s="1010" t="e">
        <f>T160/#REF!-1</f>
        <v>#REF!</v>
      </c>
      <c r="U162" s="1010" t="e">
        <f>U160/#REF!-1</f>
        <v>#REF!</v>
      </c>
      <c r="V162" s="1010" t="str">
        <f>IF(ISERROR(V160/#REF!-1),"nm",V160/#REF!-1)</f>
        <v>nm</v>
      </c>
      <c r="W162" s="1011" t="e">
        <f>W160/#REF!-1</f>
        <v>#REF!</v>
      </c>
      <c r="X162" s="1010" t="e">
        <f>X160/#REF!-1</f>
        <v>#REF!</v>
      </c>
      <c r="Y162" s="1010" t="e">
        <f>Y160/#REF!-1</f>
        <v>#REF!</v>
      </c>
      <c r="Z162" s="1010" t="e">
        <f>Z160/#REF!-1</f>
        <v>#REF!</v>
      </c>
      <c r="AA162" s="1010" t="str">
        <f>IF(ISERROR(AA160/#REF!-1),"nm",AA160/#REF!-1)</f>
        <v>nm</v>
      </c>
      <c r="AB162" s="1011" t="e">
        <f>AB160/#REF!-1</f>
        <v>#REF!</v>
      </c>
      <c r="AC162" s="1010" t="e">
        <f>AC160/#REF!-1</f>
        <v>#REF!</v>
      </c>
      <c r="AD162" s="1010" t="e">
        <f>AD160/#REF!-1</f>
        <v>#REF!</v>
      </c>
      <c r="AE162" s="1010" t="e">
        <f>AE160/#REF!-1</f>
        <v>#REF!</v>
      </c>
      <c r="AF162" s="1010" t="str">
        <f>IF(ISERROR(AF160/#REF!-1),"nm",AF160/#REF!-1)</f>
        <v>nm</v>
      </c>
      <c r="AG162" s="1011" t="e">
        <f>AG160/#REF!-1</f>
        <v>#REF!</v>
      </c>
      <c r="AH162" s="1010" t="e">
        <f>AH160/#REF!-1</f>
        <v>#REF!</v>
      </c>
      <c r="AI162" s="1010" t="e">
        <f>AI160/#REF!-1</f>
        <v>#REF!</v>
      </c>
      <c r="AJ162" s="1010" t="e">
        <f>AJ160/#REF!-1</f>
        <v>#REF!</v>
      </c>
      <c r="AK162" s="1010" t="str">
        <f>IF(ISERROR(AK160/#REF!-1),"nm",AK160/#REF!-1)</f>
        <v>nm</v>
      </c>
      <c r="AL162" s="1011" t="e">
        <f>AL160/#REF!-1</f>
        <v>#REF!</v>
      </c>
      <c r="AM162" s="1010" t="e">
        <f>AM160/#REF!-1</f>
        <v>#REF!</v>
      </c>
      <c r="AN162" s="1010" t="e">
        <f>AN160/#REF!-1</f>
        <v>#REF!</v>
      </c>
      <c r="AO162" s="1010" t="e">
        <f>AO160/#REF!-1</f>
        <v>#REF!</v>
      </c>
      <c r="AP162" s="1010" t="str">
        <f>IF(ISERROR(AP160/#REF!-1),"nm",AP160/#REF!-1)</f>
        <v>nm</v>
      </c>
      <c r="AQ162" s="1011" t="e">
        <f>AQ160/#REF!-1</f>
        <v>#REF!</v>
      </c>
      <c r="AR162" s="1010" t="e">
        <f>AR160/#REF!-1</f>
        <v>#REF!</v>
      </c>
      <c r="AS162" s="1010" t="e">
        <f>AS160/#REF!-1</f>
        <v>#REF!</v>
      </c>
      <c r="AT162" s="1010" t="e">
        <f>AT160/#REF!-1</f>
        <v>#REF!</v>
      </c>
      <c r="AU162" s="802"/>
      <c r="AV162" s="1012"/>
      <c r="AW162" s="1012"/>
      <c r="AX162" s="1012"/>
      <c r="AY162" s="1012"/>
      <c r="AZ162" s="1011"/>
      <c r="BA162" s="1010" t="e">
        <f>BA160/#REF!-1</f>
        <v>#REF!</v>
      </c>
      <c r="BB162" s="1010" t="e">
        <f>BB160/#REF!-1</f>
        <v>#REF!</v>
      </c>
      <c r="BC162" s="1010" t="e">
        <f>BC160/#REF!-1</f>
        <v>#REF!</v>
      </c>
      <c r="BD162" s="1010" t="str">
        <f>IF(ISERROR(BD160/#REF!-1),"nm",BD160/#REF!-1)</f>
        <v>nm</v>
      </c>
      <c r="BE162" s="1011" t="e">
        <f>BE160/#REF!-1</f>
        <v>#REF!</v>
      </c>
      <c r="BF162" s="1010" t="e">
        <f>BF160/#REF!-1</f>
        <v>#REF!</v>
      </c>
      <c r="BG162" s="1010" t="e">
        <f>BG160/#REF!-1</f>
        <v>#REF!</v>
      </c>
      <c r="BH162" s="1010" t="e">
        <f>BH160/#REF!-1</f>
        <v>#REF!</v>
      </c>
      <c r="BI162" s="1010" t="e">
        <f>BI160/#REF!-1</f>
        <v>#REF!</v>
      </c>
      <c r="BJ162" s="1011" t="e">
        <f>BJ160/#REF!-1</f>
        <v>#REF!</v>
      </c>
      <c r="BK162" s="850" t="e">
        <f>BK160/#REF!-1</f>
        <v>#REF!</v>
      </c>
      <c r="BL162" s="850" t="e">
        <f>BL160/#REF!-1</f>
        <v>#REF!</v>
      </c>
      <c r="BM162" s="850" t="e">
        <f>BM160/#REF!-1</f>
        <v>#REF!</v>
      </c>
      <c r="BN162" s="850" t="e">
        <f>BN160/#REF!-1</f>
        <v>#REF!</v>
      </c>
      <c r="BO162" s="851" t="e">
        <f>BO160/#REF!-1</f>
        <v>#REF!</v>
      </c>
      <c r="BP162" s="850" t="e">
        <f>BP160/#REF!-1</f>
        <v>#REF!</v>
      </c>
      <c r="BQ162" s="850" t="e">
        <f>BQ160/#REF!-1</f>
        <v>#REF!</v>
      </c>
      <c r="BR162" s="850" t="e">
        <f>BR160/#REF!-1</f>
        <v>#REF!</v>
      </c>
      <c r="BS162" s="850" t="e">
        <f>BS160/#REF!-1</f>
        <v>#REF!</v>
      </c>
      <c r="BT162" s="851" t="e">
        <f>BT160/#REF!-1</f>
        <v>#REF!</v>
      </c>
      <c r="BU162" s="850" t="e">
        <f>BU160/#REF!-1</f>
        <v>#REF!</v>
      </c>
      <c r="BV162" s="850" t="e">
        <f>BV160/#REF!-1</f>
        <v>#REF!</v>
      </c>
      <c r="BW162" s="850" t="e">
        <f>BW160/#REF!-1</f>
        <v>#REF!</v>
      </c>
      <c r="BX162" s="850" t="e">
        <f>BX160/#REF!-1</f>
        <v>#REF!</v>
      </c>
      <c r="BY162" s="851" t="e">
        <f>BY160/#REF!-1</f>
        <v>#REF!</v>
      </c>
      <c r="BZ162" s="850" t="e">
        <f>BZ160/#REF!-1</f>
        <v>#REF!</v>
      </c>
      <c r="CA162" s="850" t="e">
        <f>CA160/#REF!-1</f>
        <v>#REF!</v>
      </c>
      <c r="CB162" s="850" t="e">
        <f>CB160/#REF!-1</f>
        <v>#REF!</v>
      </c>
      <c r="CC162" s="850" t="e">
        <f>CC160/#REF!-1</f>
        <v>#REF!</v>
      </c>
      <c r="CD162" s="851" t="e">
        <f>CD160/#REF!-1</f>
        <v>#REF!</v>
      </c>
      <c r="CE162" s="850" t="e">
        <f>CE160/#REF!-1</f>
        <v>#REF!</v>
      </c>
      <c r="CF162" s="850" t="e">
        <f>CF160/#REF!-1</f>
        <v>#REF!</v>
      </c>
      <c r="CG162" s="850" t="e">
        <f>CG160/#REF!-1</f>
        <v>#REF!</v>
      </c>
      <c r="CH162" s="850" t="e">
        <f>CH160/#REF!-1</f>
        <v>#REF!</v>
      </c>
      <c r="CI162" s="851" t="e">
        <f>CI160/#REF!-1</f>
        <v>#REF!</v>
      </c>
      <c r="CJ162" s="850">
        <f t="shared" ref="CJ162:DB162" si="375">CJ160/CE390-1</f>
        <v>86.007217847769027</v>
      </c>
      <c r="CK162" s="850">
        <f t="shared" si="375"/>
        <v>87.654406662040245</v>
      </c>
      <c r="CL162" s="850">
        <f t="shared" si="375"/>
        <v>84.706002728512956</v>
      </c>
      <c r="CM162" s="850">
        <f t="shared" si="375"/>
        <v>84.737339635381502</v>
      </c>
      <c r="CN162" s="851">
        <f t="shared" si="375"/>
        <v>85.914944086750253</v>
      </c>
      <c r="CO162" s="850">
        <f t="shared" si="375"/>
        <v>84.127590673575128</v>
      </c>
      <c r="CP162" s="850">
        <f t="shared" si="375"/>
        <v>83.97428958051421</v>
      </c>
      <c r="CQ162" s="850">
        <f t="shared" si="375"/>
        <v>86.732867132867128</v>
      </c>
      <c r="CR162" s="850">
        <f t="shared" si="375"/>
        <v>83.865944482058225</v>
      </c>
      <c r="CS162" s="851">
        <f t="shared" si="375"/>
        <v>84.652555236970827</v>
      </c>
      <c r="CT162" s="850">
        <f t="shared" si="375"/>
        <v>80.031500926497841</v>
      </c>
      <c r="CU162" s="850">
        <f t="shared" si="375"/>
        <v>84.358799454297412</v>
      </c>
      <c r="CV162" s="850">
        <f t="shared" si="375"/>
        <v>85.474376731301945</v>
      </c>
      <c r="CW162" s="850">
        <f t="shared" si="375"/>
        <v>82.582388258839231</v>
      </c>
      <c r="CX162" s="851">
        <f t="shared" si="375"/>
        <v>83.022063702720644</v>
      </c>
      <c r="CY162" s="850">
        <f t="shared" si="375"/>
        <v>77.362787803360305</v>
      </c>
      <c r="CZ162" s="850">
        <f t="shared" si="375"/>
        <v>76.985788113695094</v>
      </c>
      <c r="DA162" s="850">
        <f t="shared" si="375"/>
        <v>79.992005329780142</v>
      </c>
      <c r="DB162" s="850">
        <f t="shared" si="375"/>
        <v>122.38471502590673</v>
      </c>
      <c r="DC162" s="851" t="e">
        <f>DC160/#REF!-1</f>
        <v>#REF!</v>
      </c>
      <c r="DD162" s="850">
        <v>-1.2E-2</v>
      </c>
      <c r="DE162" s="850">
        <v>2.8000000000000001E-2</v>
      </c>
      <c r="DF162" s="850">
        <v>3.9E-2</v>
      </c>
      <c r="DG162" s="850">
        <v>0.04</v>
      </c>
      <c r="DH162" s="851">
        <f>AVERAGE(DD162:DG162)</f>
        <v>2.375E-2</v>
      </c>
      <c r="DI162" s="850">
        <f>DI160/DD371-1</f>
        <v>7.2372383192723655E-2</v>
      </c>
      <c r="DJ162" s="850">
        <f>DJ160/DE371-1</f>
        <v>3.7335402099249348E-2</v>
      </c>
      <c r="DK162" s="850">
        <f>DK160/DF371-1</f>
        <v>9.7842072090998933E-3</v>
      </c>
      <c r="DL162" s="850">
        <f>DL160/DG371-1</f>
        <v>4.7712479674997699E-2</v>
      </c>
      <c r="DM162" s="851">
        <f>DM332/DH371-1</f>
        <v>-0.99989129953928702</v>
      </c>
      <c r="DN162" s="850">
        <f t="shared" ref="DN162:DV162" si="376">DN160/DI371-1</f>
        <v>-8.3958731450528568E-4</v>
      </c>
      <c r="DO162" s="850">
        <f t="shared" si="376"/>
        <v>8.1748402043151813E-2</v>
      </c>
      <c r="DP162" s="850">
        <f t="shared" si="376"/>
        <v>4.1891624501795288E-3</v>
      </c>
      <c r="DQ162" s="850">
        <f t="shared" si="376"/>
        <v>-2.1527852724494423E-3</v>
      </c>
      <c r="DR162" s="851">
        <f t="shared" si="376"/>
        <v>3.3238150743567507E-2</v>
      </c>
      <c r="DS162" s="850">
        <f t="shared" si="376"/>
        <v>-3.2981224707082757E-2</v>
      </c>
      <c r="DT162" s="850">
        <f t="shared" si="376"/>
        <v>-2.2221190118640322E-2</v>
      </c>
      <c r="DU162" s="850">
        <f t="shared" si="376"/>
        <v>-2.5673975316574338E-2</v>
      </c>
      <c r="DV162" s="850">
        <f t="shared" si="376"/>
        <v>1.7121710437200122E-3</v>
      </c>
      <c r="DW162" s="851"/>
      <c r="EB162" s="851"/>
      <c r="EG162" s="851"/>
      <c r="EL162" s="851"/>
    </row>
    <row r="163" spans="1:142">
      <c r="B163" s="1122" t="s">
        <v>737</v>
      </c>
      <c r="DR163" s="1505"/>
      <c r="DW163" s="1505"/>
      <c r="DX163" s="1461">
        <f>CHOOSE(Scenarios!$C$8,Scenarios!AX15,Scenarios!AX16,Scenarios!AX17)</f>
        <v>1.5E-3</v>
      </c>
      <c r="DY163" s="1461">
        <f>CHOOSE(Scenarios!$C$8,Scenarios!AY15,Scenarios!AY16,Scenarios!AY17)</f>
        <v>2E-3</v>
      </c>
      <c r="DZ163" s="1461">
        <f>CHOOSE(Scenarios!$C$8,Scenarios!AZ15,Scenarios!AZ16,Scenarios!AZ17)</f>
        <v>2E-3</v>
      </c>
      <c r="EA163" s="1461">
        <f>CHOOSE(Scenarios!$C$8,Scenarios!BA15,Scenarios!BA16,Scenarios!BA17)</f>
        <v>2E-3</v>
      </c>
      <c r="EB163" s="1505"/>
      <c r="EC163" s="1461">
        <f>CHOOSE(Scenarios!$C$8,Scenarios!BC15,Scenarios!BC16,Scenarios!BC17)</f>
        <v>7.4999999999999997E-3</v>
      </c>
      <c r="ED163" s="1461">
        <f>CHOOSE(Scenarios!$C$8,Scenarios!BD15,Scenarios!BD16,Scenarios!BD17)</f>
        <v>7.4999999999999997E-3</v>
      </c>
      <c r="EE163" s="1461">
        <f>CHOOSE(Scenarios!$C$8,Scenarios!BE15,Scenarios!BE16,Scenarios!BE17)</f>
        <v>7.4999999999999997E-3</v>
      </c>
      <c r="EF163" s="1461">
        <f>CHOOSE(Scenarios!$C$8,Scenarios!BF15,Scenarios!BF16,Scenarios!BF17)</f>
        <v>7.4999999999999997E-3</v>
      </c>
      <c r="EG163" s="1505"/>
      <c r="EH163" s="1461">
        <f>CHOOSE(Scenarios!$C$8,Scenarios!BH15,Scenarios!BH16,Scenarios!BH17)</f>
        <v>5.0000000000000001E-3</v>
      </c>
      <c r="EI163" s="1461">
        <f>CHOOSE(Scenarios!$C$8,Scenarios!BI15,Scenarios!BI16,Scenarios!BI17)</f>
        <v>5.0000000000000001E-3</v>
      </c>
      <c r="EJ163" s="1461">
        <f>CHOOSE(Scenarios!$C$8,Scenarios!BJ15,Scenarios!BJ16,Scenarios!BJ17)</f>
        <v>5.0000000000000001E-3</v>
      </c>
      <c r="EK163" s="1461">
        <f>CHOOSE(Scenarios!$C$8,Scenarios!BK15,Scenarios!BK16,Scenarios!BK17)</f>
        <v>5.0000000000000001E-3</v>
      </c>
      <c r="EL163" s="1505"/>
    </row>
    <row r="164" spans="1:142" ht="3.95" customHeight="1">
      <c r="DR164" s="1505"/>
      <c r="DW164" s="1505"/>
      <c r="EB164" s="1505"/>
      <c r="EG164" s="1505"/>
      <c r="EL164" s="1505"/>
    </row>
    <row r="165" spans="1:142" ht="11.25" customHeight="1">
      <c r="A165" s="846"/>
      <c r="B165" s="846" t="s">
        <v>146</v>
      </c>
      <c r="C165" s="1143"/>
      <c r="D165" s="1143" t="str">
        <f t="shared" ref="D165:L165" si="377">IF(ISERROR(+D160/D49),"nm",+D160/D49)</f>
        <v>nm</v>
      </c>
      <c r="E165" s="1143">
        <f t="shared" si="377"/>
        <v>7.3486861975234072</v>
      </c>
      <c r="F165" s="1143">
        <f t="shared" si="377"/>
        <v>7.8359764386044404</v>
      </c>
      <c r="G165" s="1143">
        <f t="shared" si="377"/>
        <v>10.632586997572162</v>
      </c>
      <c r="H165" s="1144" t="str">
        <f t="shared" si="377"/>
        <v>nm</v>
      </c>
      <c r="I165" s="1143">
        <f t="shared" si="377"/>
        <v>7.0057175169640615</v>
      </c>
      <c r="J165" s="1143">
        <f t="shared" si="377"/>
        <v>7.2865574961406905</v>
      </c>
      <c r="K165" s="1143">
        <f t="shared" si="377"/>
        <v>7.7467137473665471</v>
      </c>
      <c r="L165" s="1143">
        <f t="shared" si="377"/>
        <v>7.4656529516994636</v>
      </c>
      <c r="M165" s="1145">
        <f>+M160/M49</f>
        <v>29.659789048528573</v>
      </c>
      <c r="N165" s="1143">
        <f>IF(ISERROR(+N160/N49),"nm",+N160/N49)</f>
        <v>7.2534647001216728</v>
      </c>
      <c r="O165" s="1143">
        <f>IF(ISERROR(+O160/O49),"nm",+O160/O49)</f>
        <v>7.2473599999999996</v>
      </c>
      <c r="P165" s="1143">
        <f>IF(ISERROR(+P160/P49),"nm",+P160/P49)</f>
        <v>9.521359874748379</v>
      </c>
      <c r="Q165" s="1143">
        <f>IF(ISERROR(+Q160/Q49),"nm",+Q160/Q49)</f>
        <v>11.830564844103028</v>
      </c>
      <c r="R165" s="1145">
        <f>+R160/R49</f>
        <v>36.98959253896922</v>
      </c>
      <c r="S165" s="1143">
        <f>IF(ISERROR(+S160/S49),"nm",+S160/S49)</f>
        <v>7.2576169461606357</v>
      </c>
      <c r="T165" s="1143">
        <f>IF(ISERROR(+T160/T49),"nm",+T160/T49)</f>
        <v>7.4302337734731561</v>
      </c>
      <c r="U165" s="1143">
        <f>IF(ISERROR(+U160/U49),"nm",+U160/U49)</f>
        <v>8.0826975572198503</v>
      </c>
      <c r="V165" s="1143">
        <f>IF(ISERROR(+V160/V49),"nm",+V160/V49)</f>
        <v>7.9089165186500887</v>
      </c>
      <c r="W165" s="1145">
        <f>+W160/W49</f>
        <v>30.792115201355308</v>
      </c>
      <c r="X165" s="1143">
        <f>IF(ISERROR(+X160/X49),"nm",+X160/X49)</f>
        <v>7.828371403568303</v>
      </c>
      <c r="Y165" s="1143">
        <f>IF(ISERROR(+Y160/Y49),"nm",+Y160/Y49)</f>
        <v>7.5679581795817956</v>
      </c>
      <c r="Z165" s="1143">
        <f>IF(ISERROR(+Z160/Z49),"nm",+Z160/Z49)</f>
        <v>8.1682626763686539</v>
      </c>
      <c r="AA165" s="1143">
        <f>IF(ISERROR(+AA160/AA49),"nm",+AA160/AA49)</f>
        <v>8.1921909176977579</v>
      </c>
      <c r="AB165" s="1145">
        <f>+AB160/AB49</f>
        <v>31.837165205024888</v>
      </c>
      <c r="AC165" s="1143">
        <f>IF(ISERROR(+AC160/AC49),"nm",+AC160/AC49)</f>
        <v>7.7818666493286957</v>
      </c>
      <c r="AD165" s="1143">
        <f>IF(ISERROR(+AD160/AD49),"nm",+AD160/AD49)</f>
        <v>7.8020083624648704</v>
      </c>
      <c r="AE165" s="1143">
        <f>IF(ISERROR(+AE160/AE49),"nm",+AE160/AE49)</f>
        <v>8.713530405712314</v>
      </c>
      <c r="AF165" s="1143">
        <f>IF(ISERROR(+AF160/AF49),"nm",+AF160/AF49)</f>
        <v>8.4383566684451647</v>
      </c>
      <c r="AG165" s="1145">
        <f>+AG160/AG49</f>
        <v>32.618188153310108</v>
      </c>
      <c r="AH165" s="1143">
        <f>IF(ISERROR(+AH160/AH49),"nm",+AH160/AH49)</f>
        <v>8.4847135648560403</v>
      </c>
      <c r="AI165" s="1143">
        <f>IF(ISERROR(+AI160/AI49),"nm",+AI160/AI49)</f>
        <v>8.4961369573675718</v>
      </c>
      <c r="AJ165" s="1143">
        <f>IF(ISERROR(+AJ160/AJ49),"nm",+AJ160/AJ49)</f>
        <v>8.8646063145404987</v>
      </c>
      <c r="AK165" s="1143">
        <f>IF(ISERROR(+AK160/AK49),"nm",+AK160/AK49)</f>
        <v>8.9494539551357732</v>
      </c>
      <c r="AL165" s="1145">
        <f>+AL160/AL49</f>
        <v>34.769131142687982</v>
      </c>
      <c r="AM165" s="1143">
        <f>IF(ISERROR(+AM160/AM49),"nm",+AM160/AM49)</f>
        <v>8.735890914993778</v>
      </c>
      <c r="AN165" s="1143">
        <f>IF(ISERROR(+AN160/AN49),"nm",+AN160/AN49)</f>
        <v>8.6078188133550722</v>
      </c>
      <c r="AO165" s="1143">
        <f>IF(ISERROR(+AO160/AO49),"nm",+AO160/AO49)</f>
        <v>9.0215845027134307</v>
      </c>
      <c r="AP165" s="1143">
        <f>IF(ISERROR(+AP160/AP49),"nm",+AP160/AP49)</f>
        <v>9.0388881138392865</v>
      </c>
      <c r="AQ165" s="1145">
        <f>+AQ160/AQ49</f>
        <v>35.485398691234963</v>
      </c>
      <c r="AR165" s="1143">
        <f>IF(ISERROR(+AR160/AR49),"nm",+AR160/AR49)</f>
        <v>8.8770972342036227</v>
      </c>
      <c r="AS165" s="1143">
        <f>IF(ISERROR(+AS160/AS49),"nm",+AS160/AS49)</f>
        <v>9.0988869403385699</v>
      </c>
      <c r="AT165" s="1143">
        <f>IF(ISERROR(+AT160/AT49),"nm",+AT160/AT49)</f>
        <v>9.4050332554377132</v>
      </c>
      <c r="AU165" s="802"/>
      <c r="AV165" s="1143" t="str">
        <f t="shared" ref="AV165:BD165" si="378">IF(ISERROR(+AV160/AV49),"nm",+AV160/AV49)</f>
        <v>nm</v>
      </c>
      <c r="AW165" s="1143" t="str">
        <f t="shared" si="378"/>
        <v>nm</v>
      </c>
      <c r="AX165" s="1143" t="str">
        <f t="shared" si="378"/>
        <v>nm</v>
      </c>
      <c r="AY165" s="1143" t="str">
        <f t="shared" si="378"/>
        <v>nm</v>
      </c>
      <c r="AZ165" s="1145">
        <f t="shared" si="378"/>
        <v>0</v>
      </c>
      <c r="BA165" s="1143" t="str">
        <f t="shared" si="378"/>
        <v>nm</v>
      </c>
      <c r="BB165" s="1143" t="str">
        <f t="shared" si="378"/>
        <v>nm</v>
      </c>
      <c r="BC165" s="1143" t="str">
        <f t="shared" si="378"/>
        <v>nm</v>
      </c>
      <c r="BD165" s="1143" t="str">
        <f t="shared" si="378"/>
        <v>nm</v>
      </c>
      <c r="BE165" s="1145">
        <f>+BE160/BE49</f>
        <v>37.203672263095015</v>
      </c>
      <c r="BF165" s="1143" t="str">
        <f>IF(ISERROR(+BF160/BF49),"nm",+BF160/BF49)</f>
        <v>nm</v>
      </c>
      <c r="BG165" s="1146">
        <f t="shared" ref="BG165:CL165" si="379">+BG160/BG49</f>
        <v>9.3354963264868349</v>
      </c>
      <c r="BH165" s="1146">
        <f t="shared" si="379"/>
        <v>9.428531978349719</v>
      </c>
      <c r="BI165" s="1146">
        <f t="shared" si="379"/>
        <v>9.4594458719696117</v>
      </c>
      <c r="BJ165" s="1145">
        <f t="shared" si="379"/>
        <v>35.614376355803607</v>
      </c>
      <c r="BK165" s="1146">
        <f t="shared" si="379"/>
        <v>9.9563713456817666</v>
      </c>
      <c r="BL165" s="1146">
        <f t="shared" si="379"/>
        <v>9.3991076408254326</v>
      </c>
      <c r="BM165" s="1146">
        <f t="shared" si="379"/>
        <v>9.1666386695783633</v>
      </c>
      <c r="BN165" s="1146">
        <f t="shared" si="379"/>
        <v>8.8496805290886673</v>
      </c>
      <c r="BO165" s="1145">
        <f t="shared" si="379"/>
        <v>37.374196433562524</v>
      </c>
      <c r="BP165" s="1146">
        <f t="shared" si="379"/>
        <v>9.3230631337179997</v>
      </c>
      <c r="BQ165" s="1146">
        <f t="shared" si="379"/>
        <v>9.4880881279447866</v>
      </c>
      <c r="BR165" s="1146">
        <f t="shared" si="379"/>
        <v>9.434288768624306</v>
      </c>
      <c r="BS165" s="1146">
        <f t="shared" si="379"/>
        <v>9.5783414764741313</v>
      </c>
      <c r="BT165" s="1145">
        <f t="shared" si="379"/>
        <v>39.520402050189709</v>
      </c>
      <c r="BU165" s="1146">
        <f t="shared" si="379"/>
        <v>9.9222898415033765</v>
      </c>
      <c r="BV165" s="1146">
        <f t="shared" si="379"/>
        <v>9.3283522348232157</v>
      </c>
      <c r="BW165" s="1146">
        <f t="shared" si="379"/>
        <v>9.4775870456598792</v>
      </c>
      <c r="BX165" s="1146">
        <f t="shared" si="379"/>
        <v>9.6065720584182976</v>
      </c>
      <c r="BY165" s="1145">
        <f t="shared" si="379"/>
        <v>39.225398150079975</v>
      </c>
      <c r="BZ165" s="1146">
        <f t="shared" si="379"/>
        <v>10.088202790440668</v>
      </c>
      <c r="CA165" s="1146">
        <f t="shared" si="379"/>
        <v>9.6885530407115485</v>
      </c>
      <c r="CB165" s="1146">
        <f t="shared" si="379"/>
        <v>9.6442819148936163</v>
      </c>
      <c r="CC165" s="1146">
        <f t="shared" si="379"/>
        <v>9.7211928840333659</v>
      </c>
      <c r="CD165" s="1145">
        <f t="shared" si="379"/>
        <v>40.133066903493194</v>
      </c>
      <c r="CE165" s="1146">
        <f t="shared" si="379"/>
        <v>10.075585678503021</v>
      </c>
      <c r="CF165" s="1146">
        <f t="shared" si="379"/>
        <v>9.7165013794646189</v>
      </c>
      <c r="CG165" s="1146">
        <f t="shared" si="379"/>
        <v>9.7069826365601006</v>
      </c>
      <c r="CH165" s="1146">
        <f t="shared" si="379"/>
        <v>9.6480351295028282</v>
      </c>
      <c r="CI165" s="1145">
        <f t="shared" si="379"/>
        <v>39.26991579104255</v>
      </c>
      <c r="CJ165" s="1146">
        <f t="shared" si="379"/>
        <v>9.872608145335418</v>
      </c>
      <c r="CK165" s="1146">
        <f t="shared" si="379"/>
        <v>9.5088202456270938</v>
      </c>
      <c r="CL165" s="1146">
        <f t="shared" si="379"/>
        <v>9.3604261342471879</v>
      </c>
      <c r="CM165" s="1146">
        <f t="shared" ref="CM165:DR165" si="380">+CM160/CM49</f>
        <v>9.4554322734380811</v>
      </c>
      <c r="CN165" s="1145">
        <f t="shared" si="380"/>
        <v>38.195979151154134</v>
      </c>
      <c r="CO165" s="1146">
        <f t="shared" si="380"/>
        <v>10.015773832203003</v>
      </c>
      <c r="CP165" s="1146">
        <f t="shared" si="380"/>
        <v>9.579132026542597</v>
      </c>
      <c r="CQ165" s="1146">
        <f t="shared" si="380"/>
        <v>9.5725621852586595</v>
      </c>
      <c r="CR165" s="1146">
        <f t="shared" si="380"/>
        <v>9.5546154432502473</v>
      </c>
      <c r="CS165" s="1145">
        <f t="shared" si="380"/>
        <v>38.721616469691192</v>
      </c>
      <c r="CT165" s="1146">
        <f t="shared" si="380"/>
        <v>9.9855381336580908</v>
      </c>
      <c r="CU165" s="1146">
        <f t="shared" si="380"/>
        <v>9.4972677595628419</v>
      </c>
      <c r="CV165" s="1146">
        <f t="shared" si="380"/>
        <v>9.4483202179176757</v>
      </c>
      <c r="CW165" s="1146">
        <f t="shared" si="380"/>
        <v>9.4801755447941893</v>
      </c>
      <c r="CX165" s="1145">
        <f t="shared" si="380"/>
        <v>38.427134229613671</v>
      </c>
      <c r="CY165" s="1146">
        <f t="shared" si="380"/>
        <v>9.5545523520485585</v>
      </c>
      <c r="CZ165" s="1146">
        <f t="shared" si="380"/>
        <v>9.1594840667678294</v>
      </c>
      <c r="DA165" s="1146">
        <f t="shared" si="380"/>
        <v>9.2237481031866473</v>
      </c>
      <c r="DB165" s="1146">
        <f t="shared" si="380"/>
        <v>9.3873065930816999</v>
      </c>
      <c r="DC165" s="1145">
        <f t="shared" si="380"/>
        <v>38.24323399362072</v>
      </c>
      <c r="DD165" s="1146">
        <f t="shared" si="380"/>
        <v>9.5875734096629319</v>
      </c>
      <c r="DE165" s="1146">
        <f t="shared" si="380"/>
        <v>9.5552773686794303</v>
      </c>
      <c r="DF165" s="1146">
        <f t="shared" si="380"/>
        <v>9.6614150396288423</v>
      </c>
      <c r="DG165" s="1146">
        <f t="shared" si="380"/>
        <v>9.7254025474645509</v>
      </c>
      <c r="DH165" s="1145">
        <f t="shared" si="380"/>
        <v>38.517882006991165</v>
      </c>
      <c r="DI165" s="1146">
        <f t="shared" si="380"/>
        <v>10.004946453440906</v>
      </c>
      <c r="DJ165" s="1146">
        <f t="shared" si="380"/>
        <v>9.694996638816864</v>
      </c>
      <c r="DK165" s="1146">
        <f t="shared" si="380"/>
        <v>9.5573335858346748</v>
      </c>
      <c r="DL165" s="1146">
        <f t="shared" si="380"/>
        <v>9.4013481750853689</v>
      </c>
      <c r="DM165" s="1145">
        <f t="shared" si="380"/>
        <v>38.684786180350187</v>
      </c>
      <c r="DN165" s="1146">
        <f t="shared" si="380"/>
        <v>9.0122653781824944</v>
      </c>
      <c r="DO165" s="1146">
        <f t="shared" si="380"/>
        <v>9.5082924435721292</v>
      </c>
      <c r="DP165" s="1146">
        <f t="shared" si="380"/>
        <v>8.7212647910836161</v>
      </c>
      <c r="DQ165" s="1146">
        <f t="shared" si="380"/>
        <v>8.642723605234675</v>
      </c>
      <c r="DR165" s="1145">
        <f t="shared" si="380"/>
        <v>35.245462674073515</v>
      </c>
      <c r="DS165" s="1146">
        <f t="shared" ref="DS165:EL165" si="381">+DS160/DS49</f>
        <v>9.6384985752186303</v>
      </c>
      <c r="DT165" s="1146">
        <f t="shared" si="381"/>
        <v>9.3088827748845429</v>
      </c>
      <c r="DU165" s="1146">
        <f t="shared" si="381"/>
        <v>8.9402574432543975</v>
      </c>
      <c r="DV165" s="1146">
        <f t="shared" si="381"/>
        <v>9.0830794929743544</v>
      </c>
      <c r="DW165" s="1145">
        <f t="shared" si="381"/>
        <v>36.970718286331923</v>
      </c>
      <c r="DX165" s="1146">
        <f t="shared" si="381"/>
        <v>8.8009998602210899</v>
      </c>
      <c r="DY165" s="1146">
        <f t="shared" si="381"/>
        <v>8.5445473454515657</v>
      </c>
      <c r="DZ165" s="1146">
        <f t="shared" si="381"/>
        <v>8.2814819195296323</v>
      </c>
      <c r="EA165" s="1146">
        <f t="shared" si="381"/>
        <v>8.0455215395610793</v>
      </c>
      <c r="EB165" s="1145">
        <f t="shared" si="381"/>
        <v>33.672550664763364</v>
      </c>
      <c r="EC165" s="1146">
        <f t="shared" si="381"/>
        <v>8.1058629511077882</v>
      </c>
      <c r="ED165" s="1146">
        <f t="shared" si="381"/>
        <v>8.1666569232410975</v>
      </c>
      <c r="EE165" s="1146">
        <f t="shared" si="381"/>
        <v>8.2279068501654056</v>
      </c>
      <c r="EF165" s="1146">
        <f t="shared" si="381"/>
        <v>8.2896161515416456</v>
      </c>
      <c r="EG165" s="1145">
        <f t="shared" si="381"/>
        <v>32.790042876055935</v>
      </c>
      <c r="EH165" s="1146">
        <f t="shared" si="381"/>
        <v>8.3310642322993544</v>
      </c>
      <c r="EI165" s="1146">
        <f t="shared" si="381"/>
        <v>8.3727195534608505</v>
      </c>
      <c r="EJ165" s="1146">
        <f t="shared" si="381"/>
        <v>8.4145831512281539</v>
      </c>
      <c r="EK165" s="1146">
        <f t="shared" si="381"/>
        <v>8.4566560669842925</v>
      </c>
      <c r="EL165" s="1145">
        <f t="shared" si="381"/>
        <v>33.575023003972653</v>
      </c>
    </row>
    <row r="166" spans="1:142" ht="3.95" customHeight="1">
      <c r="A166" s="1147"/>
      <c r="B166" s="1147"/>
      <c r="C166" s="1137"/>
      <c r="D166" s="1137"/>
      <c r="E166" s="1148"/>
      <c r="F166" s="1137"/>
      <c r="G166" s="1137"/>
      <c r="H166" s="916"/>
      <c r="I166" s="1000"/>
      <c r="J166" s="1148"/>
      <c r="K166" s="1137"/>
      <c r="L166" s="1137"/>
      <c r="M166" s="916"/>
      <c r="N166" s="1000"/>
      <c r="O166" s="1148"/>
      <c r="P166" s="1137"/>
      <c r="Q166" s="1137"/>
      <c r="R166" s="916"/>
      <c r="S166" s="1000"/>
      <c r="T166" s="1148"/>
      <c r="U166" s="1137"/>
      <c r="V166" s="1137"/>
      <c r="W166" s="916"/>
      <c r="X166" s="1000"/>
      <c r="Y166" s="1148"/>
      <c r="Z166" s="1137"/>
      <c r="AA166" s="1137"/>
      <c r="AB166" s="916"/>
      <c r="AC166" s="1000"/>
      <c r="AD166" s="1148"/>
      <c r="AE166" s="1137"/>
      <c r="AF166" s="1137"/>
      <c r="AG166" s="916"/>
      <c r="AH166" s="1000"/>
      <c r="AI166" s="1148"/>
      <c r="AJ166" s="1137"/>
      <c r="AK166" s="1137"/>
      <c r="AL166" s="916"/>
      <c r="AM166" s="1000"/>
      <c r="AN166" s="1148"/>
      <c r="AO166" s="1137"/>
      <c r="AP166" s="1137"/>
      <c r="AQ166" s="916"/>
      <c r="AR166" s="1000"/>
      <c r="AS166" s="1148"/>
      <c r="AT166" s="1000"/>
      <c r="AU166" s="802"/>
      <c r="AV166" s="1000"/>
      <c r="AW166" s="1148"/>
      <c r="AX166" s="1137"/>
      <c r="AY166" s="1137"/>
      <c r="AZ166" s="916"/>
      <c r="BA166" s="1000"/>
      <c r="BB166" s="1148"/>
      <c r="BC166" s="1137"/>
      <c r="BD166" s="1137"/>
      <c r="BE166" s="916"/>
      <c r="BF166" s="1000"/>
      <c r="BG166" s="1148"/>
      <c r="BH166" s="1137"/>
      <c r="BI166" s="1137"/>
      <c r="BJ166" s="916"/>
      <c r="BK166" s="1137"/>
      <c r="BL166" s="1137"/>
      <c r="BM166" s="1137"/>
      <c r="BN166" s="1137"/>
      <c r="BO166" s="924"/>
      <c r="BP166" s="1137"/>
      <c r="BQ166" s="1137"/>
      <c r="BR166" s="1137"/>
      <c r="BS166" s="1137"/>
      <c r="BT166" s="924"/>
      <c r="BU166" s="1137"/>
      <c r="BV166" s="1137"/>
      <c r="BW166" s="1137"/>
      <c r="BX166" s="1137"/>
      <c r="BY166" s="924"/>
      <c r="BZ166" s="1137"/>
      <c r="CA166" s="1137"/>
      <c r="CB166" s="1137"/>
      <c r="CC166" s="1137"/>
      <c r="CD166" s="924"/>
      <c r="CE166" s="1137"/>
      <c r="CF166" s="1137"/>
      <c r="CG166" s="1137"/>
      <c r="CH166" s="1137"/>
      <c r="CI166" s="924"/>
      <c r="CJ166" s="1137"/>
      <c r="CK166" s="1137"/>
      <c r="CL166" s="1137"/>
      <c r="CM166" s="1137"/>
      <c r="CN166" s="924"/>
      <c r="CO166" s="1137"/>
      <c r="CP166" s="1137"/>
      <c r="CQ166" s="1137"/>
      <c r="CR166" s="1137"/>
      <c r="CS166" s="924"/>
      <c r="CT166" s="1137"/>
      <c r="CU166" s="1137"/>
      <c r="CV166" s="1137"/>
      <c r="CW166" s="1137"/>
      <c r="CX166" s="924"/>
      <c r="CY166" s="1137"/>
      <c r="CZ166" s="1137"/>
      <c r="DA166" s="1137"/>
      <c r="DB166" s="1137"/>
      <c r="DC166" s="924"/>
      <c r="DD166" s="1137"/>
      <c r="DE166" s="1137"/>
      <c r="DF166" s="1137"/>
      <c r="DG166" s="1137"/>
      <c r="DH166" s="924"/>
      <c r="DI166" s="1137"/>
      <c r="DJ166" s="1137"/>
      <c r="DK166" s="1137"/>
      <c r="DL166" s="1137"/>
      <c r="DM166" s="924"/>
      <c r="DN166" s="1137"/>
      <c r="DO166" s="1137"/>
      <c r="DP166" s="1137"/>
      <c r="DQ166" s="1137"/>
      <c r="DR166" s="924"/>
      <c r="DS166" s="1137"/>
      <c r="DT166" s="1137"/>
      <c r="DU166" s="1137"/>
      <c r="DV166" s="1137"/>
      <c r="DW166" s="924"/>
      <c r="DX166" s="1137"/>
      <c r="DY166" s="1137"/>
      <c r="DZ166" s="1137"/>
      <c r="EA166" s="1137"/>
      <c r="EB166" s="924"/>
      <c r="EC166" s="1137"/>
      <c r="ED166" s="1137"/>
      <c r="EE166" s="1137"/>
      <c r="EF166" s="1137"/>
      <c r="EG166" s="924"/>
      <c r="EH166" s="1137"/>
      <c r="EI166" s="1137"/>
      <c r="EJ166" s="1137"/>
      <c r="EK166" s="1137"/>
      <c r="EL166" s="924"/>
    </row>
    <row r="167" spans="1:142" ht="11.25" customHeight="1">
      <c r="A167" s="846"/>
      <c r="B167" s="846" t="s">
        <v>147</v>
      </c>
      <c r="C167" s="1149"/>
      <c r="D167" s="1149" t="str">
        <f>D259</f>
        <v>ND</v>
      </c>
      <c r="E167" s="903">
        <f>E259</f>
        <v>64496</v>
      </c>
      <c r="F167" s="903">
        <f>F259</f>
        <v>67637</v>
      </c>
      <c r="G167" s="903">
        <f>G259</f>
        <v>226531</v>
      </c>
      <c r="H167" s="902">
        <f>SUM(D167:G167)</f>
        <v>358664</v>
      </c>
      <c r="I167" s="903">
        <f>I259</f>
        <v>156687</v>
      </c>
      <c r="J167" s="903">
        <f>J259</f>
        <v>166564</v>
      </c>
      <c r="K167" s="903">
        <f>K259</f>
        <v>187675</v>
      </c>
      <c r="L167" s="903">
        <f>L259</f>
        <v>178693</v>
      </c>
      <c r="M167" s="902">
        <f>SUM(I167:L167)</f>
        <v>689619</v>
      </c>
      <c r="N167" s="903">
        <f>N259</f>
        <v>177597</v>
      </c>
      <c r="O167" s="903">
        <f>O259</f>
        <v>179602</v>
      </c>
      <c r="P167" s="903">
        <f>P259</f>
        <v>301703</v>
      </c>
      <c r="Q167" s="903">
        <f>Q259</f>
        <v>465495</v>
      </c>
      <c r="R167" s="902">
        <f>SUM(N167:Q167)</f>
        <v>1124397</v>
      </c>
      <c r="S167" s="903">
        <f>S259</f>
        <v>289833</v>
      </c>
      <c r="T167" s="903">
        <f>T259</f>
        <v>327578</v>
      </c>
      <c r="U167" s="903">
        <f>U259</f>
        <v>326322</v>
      </c>
      <c r="V167" s="903">
        <f>V259</f>
        <v>324531</v>
      </c>
      <c r="W167" s="902">
        <f>SUM(S167:V167)</f>
        <v>1268264</v>
      </c>
      <c r="X167" s="903">
        <f>X259</f>
        <v>322799</v>
      </c>
      <c r="Y167" s="903">
        <f>Y259</f>
        <v>322035</v>
      </c>
      <c r="Z167" s="903">
        <f>Z259</f>
        <v>351849</v>
      </c>
      <c r="AA167" s="903">
        <f>AA259</f>
        <v>363341</v>
      </c>
      <c r="AB167" s="902">
        <f>SUM(X167:AA167)</f>
        <v>1360024</v>
      </c>
      <c r="AC167" s="903">
        <f>AC259</f>
        <v>353711</v>
      </c>
      <c r="AD167" s="903">
        <f>AD259</f>
        <v>329667</v>
      </c>
      <c r="AE167" s="903">
        <f>AE259</f>
        <v>335658</v>
      </c>
      <c r="AF167" s="903">
        <f>AF259</f>
        <v>332259</v>
      </c>
      <c r="AG167" s="902">
        <f>SUM(AC167:AF167)</f>
        <v>1351295</v>
      </c>
      <c r="AH167" s="903">
        <f>AH259</f>
        <v>322799</v>
      </c>
      <c r="AI167" s="903">
        <f>AI259</f>
        <v>329224</v>
      </c>
      <c r="AJ167" s="903">
        <f>AJ259</f>
        <v>334340</v>
      </c>
      <c r="AK167" s="903">
        <f>AK259</f>
        <v>354775</v>
      </c>
      <c r="AL167" s="902">
        <f>SUM(AH167:AK167)</f>
        <v>1341138</v>
      </c>
      <c r="AM167" s="903">
        <f>AM259</f>
        <v>350065</v>
      </c>
      <c r="AN167" s="903">
        <f>AN259</f>
        <v>348787</v>
      </c>
      <c r="AO167" s="903">
        <f>AO259</f>
        <v>360536</v>
      </c>
      <c r="AP167" s="903">
        <f>AP259</f>
        <v>370164</v>
      </c>
      <c r="AQ167" s="902">
        <f>SUM(AM167:AP167)</f>
        <v>1429552</v>
      </c>
      <c r="AR167" s="903">
        <f>AR259</f>
        <v>360963</v>
      </c>
      <c r="AS167" s="903">
        <f>AS259</f>
        <v>361197</v>
      </c>
      <c r="AT167" s="903">
        <f>AT259</f>
        <v>365527</v>
      </c>
      <c r="AU167" s="802"/>
      <c r="AV167" s="1149" t="str">
        <f>AV259</f>
        <v>ND</v>
      </c>
      <c r="AW167" s="1149" t="str">
        <f>AW259</f>
        <v>ND</v>
      </c>
      <c r="AX167" s="1149" t="str">
        <f>AX259</f>
        <v>ND</v>
      </c>
      <c r="AY167" s="1149" t="str">
        <f>AY259</f>
        <v>ND</v>
      </c>
      <c r="AZ167" s="902">
        <f>SUM(AV167:AY167)</f>
        <v>0</v>
      </c>
      <c r="BA167" s="903">
        <f>BA259</f>
        <v>336245</v>
      </c>
      <c r="BB167" s="903">
        <f>BB259</f>
        <v>330709</v>
      </c>
      <c r="BC167" s="903">
        <f>BC259</f>
        <v>333203</v>
      </c>
      <c r="BD167" s="903">
        <f>BD259</f>
        <v>319844</v>
      </c>
      <c r="BE167" s="902">
        <f>SUM(BA167:BD167)</f>
        <v>1320001</v>
      </c>
      <c r="BF167" s="903">
        <f>BF259</f>
        <v>256158</v>
      </c>
      <c r="BG167" s="903">
        <f>BG259</f>
        <v>246174</v>
      </c>
      <c r="BH167" s="903">
        <f>BH259</f>
        <v>241830</v>
      </c>
      <c r="BI167" s="903">
        <f>BI259</f>
        <v>238917</v>
      </c>
      <c r="BJ167" s="902">
        <f>SUM(BF167:BI167)</f>
        <v>983079</v>
      </c>
      <c r="BK167" s="903">
        <f>BK259</f>
        <v>248225</v>
      </c>
      <c r="BL167" s="903">
        <f>BL259</f>
        <v>239747</v>
      </c>
      <c r="BM167" s="903">
        <f>BM259</f>
        <v>233272</v>
      </c>
      <c r="BN167" s="903">
        <f>BN259</f>
        <v>223084</v>
      </c>
      <c r="BO167" s="902">
        <f>SUM(BK167:BN167)</f>
        <v>944328</v>
      </c>
      <c r="BP167" s="903">
        <f>BP259</f>
        <v>233356</v>
      </c>
      <c r="BQ167" s="903">
        <f>BQ259</f>
        <v>204640</v>
      </c>
      <c r="BR167" s="903">
        <f>BR259</f>
        <v>202489</v>
      </c>
      <c r="BS167" s="903">
        <f>BS259</f>
        <v>203830</v>
      </c>
      <c r="BT167" s="902">
        <f>SUM(BP167:BS167)</f>
        <v>844315</v>
      </c>
      <c r="BU167" s="903">
        <f>BU259</f>
        <v>209574</v>
      </c>
      <c r="BV167" s="903">
        <f>BV259</f>
        <v>202820</v>
      </c>
      <c r="BW167" s="903">
        <f>BW259</f>
        <v>198046</v>
      </c>
      <c r="BX167" s="903">
        <f>BX259</f>
        <v>201228</v>
      </c>
      <c r="BY167" s="902">
        <f>SUM(BU167:BX167)</f>
        <v>811668</v>
      </c>
      <c r="BZ167" s="903">
        <f>BZ259</f>
        <v>207482</v>
      </c>
      <c r="CA167" s="903">
        <f>CA259</f>
        <v>195522</v>
      </c>
      <c r="CB167" s="903">
        <f>CB259</f>
        <v>192799</v>
      </c>
      <c r="CC167" s="903">
        <f>CC259</f>
        <v>193108</v>
      </c>
      <c r="CD167" s="902">
        <f>SUM(BZ167:CC167)</f>
        <v>788911</v>
      </c>
      <c r="CE167" s="903">
        <f>CE259</f>
        <v>200154</v>
      </c>
      <c r="CF167" s="903">
        <f>CF259</f>
        <v>195962</v>
      </c>
      <c r="CG167" s="903">
        <f>CG259</f>
        <v>197164</v>
      </c>
      <c r="CH167" s="903">
        <f>CH259</f>
        <v>193279</v>
      </c>
      <c r="CI167" s="902">
        <f>SUM(CE167:CH167)</f>
        <v>786559</v>
      </c>
      <c r="CJ167" s="903">
        <f>CJ259</f>
        <v>195909</v>
      </c>
      <c r="CK167" s="903">
        <f>CK259</f>
        <v>194828</v>
      </c>
      <c r="CL167" s="903">
        <f>CL259</f>
        <v>193670</v>
      </c>
      <c r="CM167" s="903">
        <f>CM259</f>
        <v>194098</v>
      </c>
      <c r="CN167" s="902">
        <f>SUM(CJ167:CM167)</f>
        <v>778505</v>
      </c>
      <c r="CO167" s="903">
        <f>CO259</f>
        <v>197459</v>
      </c>
      <c r="CP167" s="903">
        <f>CP259</f>
        <v>193971</v>
      </c>
      <c r="CQ167" s="903">
        <f>CQ259</f>
        <v>194965</v>
      </c>
      <c r="CR167" s="903">
        <f>CR259</f>
        <v>193631</v>
      </c>
      <c r="CS167" s="902">
        <f>SUM(CO167:CR167)</f>
        <v>780026</v>
      </c>
      <c r="CT167" s="903">
        <f>CT259</f>
        <v>202860</v>
      </c>
      <c r="CU167" s="903">
        <f>CU259</f>
        <v>196932</v>
      </c>
      <c r="CV167" s="903">
        <f>CV259</f>
        <v>197778</v>
      </c>
      <c r="CW167" s="903">
        <f>CW259</f>
        <v>199304</v>
      </c>
      <c r="CX167" s="902">
        <f>SUM(CT167:CW167)</f>
        <v>796874</v>
      </c>
      <c r="CY167" s="903">
        <f>CY259</f>
        <v>197665</v>
      </c>
      <c r="CZ167" s="903">
        <f>CZ259</f>
        <v>195440</v>
      </c>
      <c r="DA167" s="903">
        <f>DA259</f>
        <v>196761</v>
      </c>
      <c r="DB167" s="903">
        <f>DB259</f>
        <v>325410</v>
      </c>
      <c r="DC167" s="902">
        <f>SUM(CY167:DB167)</f>
        <v>915276</v>
      </c>
      <c r="DD167" s="903">
        <f>DD259</f>
        <v>323810</v>
      </c>
      <c r="DE167" s="903">
        <f>DE259</f>
        <v>337509</v>
      </c>
      <c r="DF167" s="903">
        <f>DF259</f>
        <v>345787</v>
      </c>
      <c r="DG167" s="903">
        <f>DG259</f>
        <v>347790</v>
      </c>
      <c r="DH167" s="902">
        <f>SUM(DD167:DG167)</f>
        <v>1354896</v>
      </c>
      <c r="DI167" s="903">
        <f>DI296</f>
        <v>351893</v>
      </c>
      <c r="DJ167" s="903">
        <f>DJ296</f>
        <v>349122</v>
      </c>
      <c r="DK167" s="903">
        <f>DK296</f>
        <v>352328</v>
      </c>
      <c r="DL167" s="903">
        <f>DL296</f>
        <v>371994</v>
      </c>
      <c r="DM167" s="902">
        <f>SUM(DI167:DL167)</f>
        <v>1425337</v>
      </c>
      <c r="DN167" s="903">
        <f>DN296</f>
        <v>330575</v>
      </c>
      <c r="DO167" s="903">
        <f>DO296</f>
        <v>340792</v>
      </c>
      <c r="DP167" s="903">
        <f>DP296</f>
        <v>310253</v>
      </c>
      <c r="DQ167" s="903">
        <f>DQ296</f>
        <v>303912</v>
      </c>
      <c r="DR167" s="902">
        <f>SUM(DN167:DQ167)</f>
        <v>1285532</v>
      </c>
      <c r="DS167" s="903">
        <f>DS296</f>
        <v>339522</v>
      </c>
      <c r="DT167" s="903">
        <f>DT296</f>
        <v>335915</v>
      </c>
      <c r="DU167" s="903">
        <f>DU296</f>
        <v>320821</v>
      </c>
      <c r="DV167" s="903">
        <f>DV296</f>
        <v>324495</v>
      </c>
      <c r="DW167" s="902">
        <f>SUM(DS167:DV167)</f>
        <v>1320753</v>
      </c>
      <c r="DX167" s="903">
        <f ca="1">DX160*DX170+DX31</f>
        <v>308976.60773398401</v>
      </c>
      <c r="DY167" s="903">
        <f ca="1">DY160*DY170+DY31</f>
        <v>304127.87577441364</v>
      </c>
      <c r="DZ167" s="903">
        <f ca="1">DZ160*DZ170+DZ31</f>
        <v>294434.94002540834</v>
      </c>
      <c r="EA167" s="903">
        <f ca="1">EA160*EA170+EA31</f>
        <v>283510.48276901495</v>
      </c>
      <c r="EB167" s="902">
        <f ca="1">SUM(DX167:EA167)</f>
        <v>1191049.9063028209</v>
      </c>
      <c r="EC167" s="903">
        <f>EC160*EC170+EC31</f>
        <v>294608.24432634114</v>
      </c>
      <c r="ED167" s="903">
        <f>ED160*ED170+ED31</f>
        <v>297190.6556437547</v>
      </c>
      <c r="EE167" s="903">
        <f>EE160*EE170+EE31</f>
        <v>298607.72631124803</v>
      </c>
      <c r="EF167" s="903">
        <f>EF160*EF170+EF31</f>
        <v>298679.25142256543</v>
      </c>
      <c r="EG167" s="902">
        <f>SUM(EC167:EF167)</f>
        <v>1189085.8777039093</v>
      </c>
      <c r="EH167" s="903">
        <f>EH160*EH170+EH31</f>
        <v>302793.20309903083</v>
      </c>
      <c r="EI167" s="903">
        <f>EI160*EI170+EI31</f>
        <v>304689.42640813021</v>
      </c>
      <c r="EJ167" s="903">
        <f>EJ160*EJ170+EJ31</f>
        <v>305382.59467469103</v>
      </c>
      <c r="EK167" s="903">
        <f>EK160*EK170+EK31</f>
        <v>304697.78786503023</v>
      </c>
      <c r="EL167" s="902">
        <f>SUM(EH167:EK167)</f>
        <v>1217563.0120468824</v>
      </c>
    </row>
    <row r="168" spans="1:142" ht="11.25" hidden="1" customHeight="1" outlineLevel="1">
      <c r="A168" s="1122"/>
      <c r="B168" s="1122" t="s">
        <v>133</v>
      </c>
      <c r="C168" s="1012"/>
      <c r="D168" s="1012"/>
      <c r="E168" s="1012"/>
      <c r="F168" s="1012"/>
      <c r="G168" s="1012"/>
      <c r="H168" s="1011"/>
      <c r="I168" s="1010" t="str">
        <f t="shared" ref="I168:AT168" si="382">IF(ISERROR(+I167/D167-1),"nm",+I167/D167-1)</f>
        <v>nm</v>
      </c>
      <c r="J168" s="1010">
        <f t="shared" si="382"/>
        <v>1.5825477548995286</v>
      </c>
      <c r="K168" s="1010">
        <f t="shared" si="382"/>
        <v>1.7747386785339385</v>
      </c>
      <c r="L168" s="1010">
        <f t="shared" si="382"/>
        <v>-0.21117639528364773</v>
      </c>
      <c r="M168" s="1011">
        <f t="shared" si="382"/>
        <v>0.92274384939664977</v>
      </c>
      <c r="N168" s="1010">
        <f t="shared" si="382"/>
        <v>0.13345076490072572</v>
      </c>
      <c r="O168" s="1010">
        <f t="shared" si="382"/>
        <v>7.8276218150380661E-2</v>
      </c>
      <c r="P168" s="1010">
        <f t="shared" si="382"/>
        <v>0.60758225656054354</v>
      </c>
      <c r="Q168" s="1010">
        <f t="shared" si="382"/>
        <v>1.6049985170096197</v>
      </c>
      <c r="R168" s="1011">
        <f t="shared" si="382"/>
        <v>0.63046116768824523</v>
      </c>
      <c r="S168" s="1010">
        <f t="shared" si="382"/>
        <v>0.63197013463065255</v>
      </c>
      <c r="T168" s="1010">
        <f t="shared" si="382"/>
        <v>0.82391064687475635</v>
      </c>
      <c r="U168" s="1010">
        <f t="shared" si="382"/>
        <v>8.1600116671030731E-2</v>
      </c>
      <c r="V168" s="1010">
        <f t="shared" si="382"/>
        <v>-0.30282602391003122</v>
      </c>
      <c r="W168" s="1011">
        <f t="shared" si="382"/>
        <v>0.12795035917029307</v>
      </c>
      <c r="X168" s="1010">
        <f t="shared" si="382"/>
        <v>0.11374136140467095</v>
      </c>
      <c r="Y168" s="1010">
        <f t="shared" si="382"/>
        <v>-1.6921160761711684E-2</v>
      </c>
      <c r="Z168" s="1010">
        <f t="shared" si="382"/>
        <v>7.8226414400500044E-2</v>
      </c>
      <c r="AA168" s="1010">
        <f t="shared" si="382"/>
        <v>0.11958795923964116</v>
      </c>
      <c r="AB168" s="1011">
        <f t="shared" si="382"/>
        <v>7.235086701191551E-2</v>
      </c>
      <c r="AC168" s="1010">
        <f t="shared" si="382"/>
        <v>9.5762378446029972E-2</v>
      </c>
      <c r="AD168" s="1010">
        <f t="shared" si="382"/>
        <v>2.3699287344543185E-2</v>
      </c>
      <c r="AE168" s="1010">
        <f t="shared" si="382"/>
        <v>-4.6016899294867963E-2</v>
      </c>
      <c r="AF168" s="1010">
        <f t="shared" si="382"/>
        <v>-8.5544983913183437E-2</v>
      </c>
      <c r="AG168" s="1011">
        <f t="shared" si="382"/>
        <v>-6.4182690893690442E-3</v>
      </c>
      <c r="AH168" s="1010">
        <f t="shared" si="382"/>
        <v>-8.7393380471627924E-2</v>
      </c>
      <c r="AI168" s="1010">
        <f t="shared" si="382"/>
        <v>-1.3437802388470699E-3</v>
      </c>
      <c r="AJ168" s="1010">
        <f t="shared" si="382"/>
        <v>-3.926615781539522E-3</v>
      </c>
      <c r="AK168" s="1010">
        <f t="shared" si="382"/>
        <v>6.7766411143114214E-2</v>
      </c>
      <c r="AL168" s="1011">
        <f t="shared" si="382"/>
        <v>-7.5164934377763837E-3</v>
      </c>
      <c r="AM168" s="1010">
        <f t="shared" si="382"/>
        <v>8.4467424000693958E-2</v>
      </c>
      <c r="AN168" s="1010">
        <f t="shared" si="382"/>
        <v>5.942154885427553E-2</v>
      </c>
      <c r="AO168" s="1010">
        <f t="shared" si="382"/>
        <v>7.8351378835915586E-2</v>
      </c>
      <c r="AP168" s="1010">
        <f t="shared" si="382"/>
        <v>4.337678810513701E-2</v>
      </c>
      <c r="AQ168" s="1011">
        <f t="shared" si="382"/>
        <v>6.5924610293646158E-2</v>
      </c>
      <c r="AR168" s="1010">
        <f t="shared" si="382"/>
        <v>3.1131361318612161E-2</v>
      </c>
      <c r="AS168" s="1010">
        <f t="shared" si="382"/>
        <v>3.5580454546757734E-2</v>
      </c>
      <c r="AT168" s="1010">
        <f t="shared" si="382"/>
        <v>1.3843277786406816E-2</v>
      </c>
      <c r="AU168" s="802"/>
      <c r="AV168" s="1012"/>
      <c r="AW168" s="1012"/>
      <c r="AX168" s="1012"/>
      <c r="AY168" s="1012"/>
      <c r="AZ168" s="1011"/>
      <c r="BA168" s="1010" t="str">
        <f>IF(ISERROR(+BA167/AV167-1),"nm",+BA167/AV167-1)</f>
        <v>nm</v>
      </c>
      <c r="BB168" s="1010" t="str">
        <f>IF(ISERROR(+BB167/AW167-1),"nm",+BB167/AW167-1)</f>
        <v>nm</v>
      </c>
      <c r="BC168" s="1010" t="str">
        <f>IF(ISERROR(+BC167/AX167-1),"nm",+BC167/AX167-1)</f>
        <v>nm</v>
      </c>
      <c r="BD168" s="1010" t="str">
        <f>IF(ISERROR(+BD167/AY167-1),"nm",+BD167/AY167-1)</f>
        <v>nm</v>
      </c>
      <c r="BE168" s="1011" t="str">
        <f>IF(ISERROR(+BE167/AZ167-1),"nm",+BE167/AZ167-1)</f>
        <v>nm</v>
      </c>
      <c r="BF168" s="1010">
        <f t="shared" ref="BF168:BO168" si="383">IF(ISERROR(+BF167/BA167-1),"NM",+BF167/BA167-1)</f>
        <v>-0.23818049339023628</v>
      </c>
      <c r="BG168" s="1010">
        <f t="shared" si="383"/>
        <v>-0.25561747639163135</v>
      </c>
      <c r="BH168" s="1010">
        <f t="shared" si="383"/>
        <v>-0.27422622245297912</v>
      </c>
      <c r="BI168" s="1010">
        <f t="shared" si="383"/>
        <v>-0.25302022235839972</v>
      </c>
      <c r="BJ168" s="1011">
        <f t="shared" si="383"/>
        <v>-0.25524374602746513</v>
      </c>
      <c r="BK168" s="850">
        <f t="shared" si="383"/>
        <v>-3.0969167466953995E-2</v>
      </c>
      <c r="BL168" s="850">
        <f t="shared" si="383"/>
        <v>-2.6107549944348274E-2</v>
      </c>
      <c r="BM168" s="850">
        <f t="shared" si="383"/>
        <v>-3.5388496050944851E-2</v>
      </c>
      <c r="BN168" s="850">
        <f t="shared" si="383"/>
        <v>-6.6269876149457785E-2</v>
      </c>
      <c r="BO168" s="851">
        <f t="shared" si="383"/>
        <v>-3.9417991839923339E-2</v>
      </c>
      <c r="BP168" s="850">
        <f t="shared" ref="BP168:CW168" si="384">+BP167/BK167-1</f>
        <v>-5.9901299224493942E-2</v>
      </c>
      <c r="BQ168" s="850">
        <f t="shared" si="384"/>
        <v>-0.14643353201499909</v>
      </c>
      <c r="BR168" s="850">
        <f t="shared" si="384"/>
        <v>-0.13196182996673411</v>
      </c>
      <c r="BS168" s="850">
        <f t="shared" si="384"/>
        <v>-8.6308296426458209E-2</v>
      </c>
      <c r="BT168" s="851">
        <f t="shared" si="384"/>
        <v>-0.10590917562541824</v>
      </c>
      <c r="BU168" s="850">
        <f t="shared" si="384"/>
        <v>-0.10191295702703163</v>
      </c>
      <c r="BV168" s="850">
        <f t="shared" si="384"/>
        <v>-8.8936669272869917E-3</v>
      </c>
      <c r="BW168" s="850">
        <f t="shared" si="384"/>
        <v>-2.1941932648193219E-2</v>
      </c>
      <c r="BX168" s="850">
        <f t="shared" si="384"/>
        <v>-1.2765539910709944E-2</v>
      </c>
      <c r="BY168" s="851">
        <f t="shared" si="384"/>
        <v>-3.8666848273452459E-2</v>
      </c>
      <c r="BZ168" s="850">
        <f t="shared" si="384"/>
        <v>-9.9821542748623759E-3</v>
      </c>
      <c r="CA168" s="850">
        <f t="shared" si="384"/>
        <v>-3.5982644709594669E-2</v>
      </c>
      <c r="CB168" s="850">
        <f t="shared" si="384"/>
        <v>-2.6493844864324489E-2</v>
      </c>
      <c r="CC168" s="850">
        <f t="shared" si="384"/>
        <v>-4.0352237263203916E-2</v>
      </c>
      <c r="CD168" s="851">
        <f t="shared" si="384"/>
        <v>-2.8037325606036001E-2</v>
      </c>
      <c r="CE168" s="850">
        <f t="shared" si="384"/>
        <v>-3.5318726443739679E-2</v>
      </c>
      <c r="CF168" s="850">
        <f t="shared" si="384"/>
        <v>2.2503861458045282E-3</v>
      </c>
      <c r="CG168" s="850">
        <f t="shared" si="384"/>
        <v>2.2640158921986009E-2</v>
      </c>
      <c r="CH168" s="850">
        <f t="shared" si="384"/>
        <v>8.855148414359526E-4</v>
      </c>
      <c r="CI168" s="851">
        <f t="shared" si="384"/>
        <v>-2.9813248896263245E-3</v>
      </c>
      <c r="CJ168" s="850">
        <f t="shared" si="384"/>
        <v>-2.1208669324620066E-2</v>
      </c>
      <c r="CK168" s="850">
        <f t="shared" si="384"/>
        <v>-5.7868362233494119E-3</v>
      </c>
      <c r="CL168" s="850">
        <f t="shared" si="384"/>
        <v>-1.772128786188143E-2</v>
      </c>
      <c r="CM168" s="850">
        <f t="shared" si="384"/>
        <v>4.2373977514369443E-3</v>
      </c>
      <c r="CN168" s="851">
        <f t="shared" si="384"/>
        <v>-1.0239537021380474E-2</v>
      </c>
      <c r="CO168" s="850">
        <f t="shared" si="384"/>
        <v>7.9118366180215283E-3</v>
      </c>
      <c r="CP168" s="850">
        <f t="shared" si="384"/>
        <v>-4.3987517194653547E-3</v>
      </c>
      <c r="CQ168" s="850">
        <f t="shared" si="384"/>
        <v>6.6866318996230412E-3</v>
      </c>
      <c r="CR168" s="850">
        <f t="shared" si="384"/>
        <v>-2.4060010922317687E-3</v>
      </c>
      <c r="CS168" s="851">
        <f t="shared" si="384"/>
        <v>1.9537446772981415E-3</v>
      </c>
      <c r="CT168" s="850">
        <f t="shared" si="384"/>
        <v>2.7352513686385471E-2</v>
      </c>
      <c r="CU168" s="850">
        <f t="shared" si="384"/>
        <v>1.5265168504570381E-2</v>
      </c>
      <c r="CV168" s="850">
        <f t="shared" si="384"/>
        <v>1.4428230708075862E-2</v>
      </c>
      <c r="CW168" s="850">
        <f t="shared" si="384"/>
        <v>2.9297994639288172E-2</v>
      </c>
      <c r="CX168" s="851">
        <f>CX167/CS167-1</f>
        <v>2.1599280023999246E-2</v>
      </c>
      <c r="CY168" s="850">
        <f>+CY167/CT167-1</f>
        <v>-2.5608794242334643E-2</v>
      </c>
      <c r="CZ168" s="850">
        <f>+CZ167/CU167-1</f>
        <v>-7.5762192025673469E-3</v>
      </c>
      <c r="DA168" s="850">
        <f>+DA167/CV167-1</f>
        <v>-5.1421290537875253E-3</v>
      </c>
      <c r="DB168" s="850">
        <f>+DB167/CW167-1</f>
        <v>0.63273190703648696</v>
      </c>
      <c r="DC168" s="851">
        <f>DC167/CX167-1</f>
        <v>0.14858308841799328</v>
      </c>
      <c r="DD168" s="850">
        <f>+DD167/CY167-1</f>
        <v>0.6381757013128273</v>
      </c>
      <c r="DE168" s="850">
        <f>+DE167/CZ167-1</f>
        <v>0.72691874744167007</v>
      </c>
      <c r="DF168" s="850">
        <f>+DF167/DA167-1</f>
        <v>0.75739602868454625</v>
      </c>
      <c r="DG168" s="850">
        <f>+DG167/DB167-1</f>
        <v>6.8774776435880813E-2</v>
      </c>
      <c r="DH168" s="851" t="e">
        <f>DH167/#REF!-1</f>
        <v>#REF!</v>
      </c>
      <c r="DI168" s="850">
        <f>+DI167/DD167-1</f>
        <v>8.6726784225317211E-2</v>
      </c>
      <c r="DJ168" s="850">
        <f>+DJ167/DE167-1</f>
        <v>3.4407971342986343E-2</v>
      </c>
      <c r="DK168" s="850">
        <f>+DK167/DF167-1</f>
        <v>1.8916269264026786E-2</v>
      </c>
      <c r="DL168" s="850">
        <f>+DL167/DG167-1</f>
        <v>6.959372034848621E-2</v>
      </c>
      <c r="DM168" s="851">
        <f>DM167/DH167-1</f>
        <v>5.1989968233724149E-2</v>
      </c>
      <c r="DN168" s="850">
        <f>+DN167/DI167-1</f>
        <v>-6.058091522138831E-2</v>
      </c>
      <c r="DO168" s="850">
        <f>+DO167/DJ167-1</f>
        <v>-2.3859854148406523E-2</v>
      </c>
      <c r="DP168" s="850">
        <f>+DP167/DK167-1</f>
        <v>-0.11941997229853996</v>
      </c>
      <c r="DQ168" s="850">
        <f>+DQ167/DL167-1</f>
        <v>-0.18301908095291863</v>
      </c>
      <c r="DR168" s="851">
        <f>DR167/DM167-1</f>
        <v>-9.8085575551606352E-2</v>
      </c>
      <c r="DS168" s="850">
        <f>+DS167/DN167-1</f>
        <v>2.706496256522728E-2</v>
      </c>
      <c r="DT168" s="850">
        <f>+DT167/DO167-1</f>
        <v>-1.4310781943238093E-2</v>
      </c>
      <c r="DU168" s="850">
        <f>+DU167/DP167-1</f>
        <v>3.4062523166576986E-2</v>
      </c>
      <c r="DV168" s="850">
        <f>+DV167/DQ167-1</f>
        <v>6.7726841980573216E-2</v>
      </c>
      <c r="DW168" s="851">
        <f t="shared" ref="DW168:EB168" si="385">DW167/DR167-1</f>
        <v>2.7397995538034126E-2</v>
      </c>
      <c r="DX168" s="850">
        <f ca="1">+DX167/DS167-1</f>
        <v>-8.996587044732296E-2</v>
      </c>
      <c r="DY168" s="850"/>
      <c r="DZ168" s="850"/>
      <c r="EA168" s="850"/>
      <c r="EB168" s="851">
        <f t="shared" ca="1" si="385"/>
        <v>-9.8203898607218121E-2</v>
      </c>
      <c r="EC168" s="850"/>
      <c r="ED168" s="850"/>
      <c r="EE168" s="850"/>
      <c r="EF168" s="850"/>
      <c r="EG168" s="851"/>
      <c r="EH168" s="850"/>
      <c r="EI168" s="850"/>
      <c r="EJ168" s="850"/>
      <c r="EK168" s="850"/>
      <c r="EL168" s="851"/>
    </row>
    <row r="169" spans="1:142" s="680" customFormat="1" ht="11.25" customHeight="1" collapsed="1">
      <c r="A169" s="1122"/>
      <c r="B169" s="1122" t="s">
        <v>668</v>
      </c>
      <c r="C169" s="1012"/>
      <c r="D169" s="1012"/>
      <c r="E169" s="1012"/>
      <c r="F169" s="1012"/>
      <c r="G169" s="1012"/>
      <c r="H169" s="1011"/>
      <c r="I169" s="1010">
        <f t="shared" ref="I169:AT169" si="386">IF(ISERROR(I167/D391-1),"nm",I167/D391-1)</f>
        <v>1086.0171495171494</v>
      </c>
      <c r="J169" s="1010">
        <f t="shared" si="386"/>
        <v>1202.5318939853755</v>
      </c>
      <c r="K169" s="1010">
        <f t="shared" si="386"/>
        <v>1300.4909847434121</v>
      </c>
      <c r="L169" s="1010">
        <f t="shared" si="386"/>
        <v>495.97686060740904</v>
      </c>
      <c r="M169" s="1011">
        <f t="shared" si="386"/>
        <v>876.04311331552844</v>
      </c>
      <c r="N169" s="1010">
        <f t="shared" si="386"/>
        <v>485.16753353408154</v>
      </c>
      <c r="O169" s="1010">
        <f t="shared" si="386"/>
        <v>459.51794871794874</v>
      </c>
      <c r="P169" s="1010">
        <f t="shared" si="386"/>
        <v>748.38648782911071</v>
      </c>
      <c r="Q169" s="1010">
        <f t="shared" si="386"/>
        <v>1123.1125332045401</v>
      </c>
      <c r="R169" s="1011">
        <f t="shared" si="386"/>
        <v>714.26526717557249</v>
      </c>
      <c r="S169" s="1010">
        <f t="shared" si="386"/>
        <v>705.04872107186361</v>
      </c>
      <c r="T169" s="1010">
        <f t="shared" si="386"/>
        <v>768.5043457834156</v>
      </c>
      <c r="U169" s="1010">
        <f t="shared" si="386"/>
        <v>509.03751172241329</v>
      </c>
      <c r="V169" s="1010">
        <f t="shared" si="386"/>
        <v>311.34937439846004</v>
      </c>
      <c r="W169" s="1011">
        <f t="shared" si="386"/>
        <v>503.27992047713718</v>
      </c>
      <c r="X169" s="1010">
        <f t="shared" si="386"/>
        <v>438.18231292517009</v>
      </c>
      <c r="Y169" s="1010">
        <f t="shared" si="386"/>
        <v>423.28853754940712</v>
      </c>
      <c r="Z169" s="1010">
        <f t="shared" si="386"/>
        <v>484.9792817679558</v>
      </c>
      <c r="AA169" s="1010">
        <f t="shared" si="386"/>
        <v>477.08026315789476</v>
      </c>
      <c r="AB169" s="1011">
        <f t="shared" si="386"/>
        <v>455.69039623908662</v>
      </c>
      <c r="AC169" s="1010">
        <f t="shared" si="386"/>
        <v>449.01399491094145</v>
      </c>
      <c r="AD169" s="1010">
        <f t="shared" si="386"/>
        <v>435.64503311258278</v>
      </c>
      <c r="AE169" s="1010">
        <f t="shared" si="386"/>
        <v>414.93308550185873</v>
      </c>
      <c r="AF169" s="1010">
        <f t="shared" si="386"/>
        <v>395.9641577060932</v>
      </c>
      <c r="AG169" s="1011">
        <f t="shared" si="386"/>
        <v>423.2684458398744</v>
      </c>
      <c r="AH169" s="1010">
        <f t="shared" si="386"/>
        <v>356.87028824833703</v>
      </c>
      <c r="AI169" s="1010">
        <f t="shared" si="386"/>
        <v>399.02916160388821</v>
      </c>
      <c r="AJ169" s="1010">
        <f t="shared" si="386"/>
        <v>419.55345911949684</v>
      </c>
      <c r="AK169" s="1010">
        <f t="shared" si="386"/>
        <v>404.92105263157896</v>
      </c>
      <c r="AL169" s="1011">
        <f t="shared" si="386"/>
        <v>394.14967589864466</v>
      </c>
      <c r="AM169" s="1010">
        <f t="shared" si="386"/>
        <v>382.84320175438597</v>
      </c>
      <c r="AN169" s="1010">
        <f t="shared" si="386"/>
        <v>395.79977246871442</v>
      </c>
      <c r="AO169" s="1010">
        <f t="shared" si="386"/>
        <v>416.28703703703701</v>
      </c>
      <c r="AP169" s="1010">
        <f t="shared" si="386"/>
        <v>389.46835443037975</v>
      </c>
      <c r="AQ169" s="1011">
        <f t="shared" si="386"/>
        <v>395.76713849569802</v>
      </c>
      <c r="AR169" s="1010">
        <f t="shared" si="386"/>
        <v>361.04914744232696</v>
      </c>
      <c r="AS169" s="1010">
        <f t="shared" si="386"/>
        <v>355.21005917159761</v>
      </c>
      <c r="AT169" s="1010">
        <f t="shared" si="386"/>
        <v>371.22708757637474</v>
      </c>
      <c r="AU169" s="802"/>
      <c r="AV169" s="1012"/>
      <c r="AW169" s="1012"/>
      <c r="AX169" s="1012"/>
      <c r="AY169" s="1012"/>
      <c r="AZ169" s="1011"/>
      <c r="BA169" s="1010" t="str">
        <f t="shared" ref="BA169:BO169" si="387">IF(ISERROR(BA167/AV296-1),"nm",BA167/AV296-1)</f>
        <v>nm</v>
      </c>
      <c r="BB169" s="1010" t="str">
        <f t="shared" si="387"/>
        <v>nm</v>
      </c>
      <c r="BC169" s="1010" t="str">
        <f t="shared" si="387"/>
        <v>nm</v>
      </c>
      <c r="BD169" s="1010" t="str">
        <f t="shared" si="387"/>
        <v>nm</v>
      </c>
      <c r="BE169" s="1011" t="str">
        <f t="shared" si="387"/>
        <v>nm</v>
      </c>
      <c r="BF169" s="1010">
        <f t="shared" si="387"/>
        <v>-0.23818049339023628</v>
      </c>
      <c r="BG169" s="1010">
        <f t="shared" si="387"/>
        <v>-0.25561747639163135</v>
      </c>
      <c r="BH169" s="1010">
        <f t="shared" si="387"/>
        <v>-0.27422622245297912</v>
      </c>
      <c r="BI169" s="1010">
        <f t="shared" si="387"/>
        <v>-0.25302022235839972</v>
      </c>
      <c r="BJ169" s="1011">
        <f t="shared" si="387"/>
        <v>-0.25524374602746513</v>
      </c>
      <c r="BK169" s="850">
        <f t="shared" si="387"/>
        <v>-3.0969167466953995E-2</v>
      </c>
      <c r="BL169" s="850">
        <f t="shared" si="387"/>
        <v>-2.6107549944348274E-2</v>
      </c>
      <c r="BM169" s="850">
        <f t="shared" si="387"/>
        <v>-3.5388496050944851E-2</v>
      </c>
      <c r="BN169" s="850">
        <f t="shared" si="387"/>
        <v>-6.6269876149457785E-2</v>
      </c>
      <c r="BO169" s="851">
        <f t="shared" si="387"/>
        <v>-2.3539618216655511E-2</v>
      </c>
      <c r="BP169" s="850">
        <f t="shared" ref="BP169:CX169" si="388">BP167/BK391-1</f>
        <v>328.13399153737657</v>
      </c>
      <c r="BQ169" s="850">
        <f t="shared" si="388"/>
        <v>280.48555708390649</v>
      </c>
      <c r="BR169" s="850">
        <f t="shared" si="388"/>
        <v>285.00141242937855</v>
      </c>
      <c r="BS169" s="850">
        <f t="shared" si="388"/>
        <v>316.98751950078002</v>
      </c>
      <c r="BT169" s="851">
        <f t="shared" si="388"/>
        <v>302.16517055655294</v>
      </c>
      <c r="BU169" s="850">
        <f t="shared" si="388"/>
        <v>314.62349397590361</v>
      </c>
      <c r="BV169" s="850">
        <f t="shared" si="388"/>
        <v>319.91772151898732</v>
      </c>
      <c r="BW169" s="850">
        <f t="shared" si="388"/>
        <v>316.89085072231137</v>
      </c>
      <c r="BX169" s="850">
        <f t="shared" si="388"/>
        <v>322.51768488745978</v>
      </c>
      <c r="BY169" s="851">
        <f t="shared" si="388"/>
        <v>325.89005235602093</v>
      </c>
      <c r="BZ169" s="850">
        <f t="shared" si="388"/>
        <v>314.80213089802129</v>
      </c>
      <c r="CA169" s="850">
        <f t="shared" si="388"/>
        <v>292.13643178410797</v>
      </c>
      <c r="CB169" s="850">
        <f t="shared" si="388"/>
        <v>293.79969418960246</v>
      </c>
      <c r="CC169" s="850">
        <f t="shared" si="388"/>
        <v>291.58787878787876</v>
      </c>
      <c r="CD169" s="851">
        <f t="shared" si="388"/>
        <v>303.59884169884168</v>
      </c>
      <c r="CE169" s="850">
        <f t="shared" si="388"/>
        <v>292.05124450951683</v>
      </c>
      <c r="CF169" s="850">
        <f t="shared" si="388"/>
        <v>291.48059701492537</v>
      </c>
      <c r="CG169" s="850">
        <f t="shared" si="388"/>
        <v>295.93373493975906</v>
      </c>
      <c r="CH169" s="850">
        <f t="shared" si="388"/>
        <v>294.53363914373091</v>
      </c>
      <c r="CI169" s="851">
        <f t="shared" si="388"/>
        <v>301.63909195844553</v>
      </c>
      <c r="CJ169" s="850">
        <f t="shared" si="388"/>
        <v>289.66617210682494</v>
      </c>
      <c r="CK169" s="850">
        <f t="shared" si="388"/>
        <v>276.53276353276351</v>
      </c>
      <c r="CL169" s="850">
        <f t="shared" si="388"/>
        <v>272.15937940761637</v>
      </c>
      <c r="CM169" s="850">
        <f t="shared" si="388"/>
        <v>279.89435600578872</v>
      </c>
      <c r="CN169" s="851">
        <f t="shared" si="388"/>
        <v>280.04873646209387</v>
      </c>
      <c r="CO169" s="850">
        <f t="shared" si="388"/>
        <v>278.68696883852692</v>
      </c>
      <c r="CP169" s="850">
        <f t="shared" si="388"/>
        <v>263.6261937244202</v>
      </c>
      <c r="CQ169" s="850">
        <f t="shared" si="388"/>
        <v>264.61989100817436</v>
      </c>
      <c r="CR169" s="850">
        <f t="shared" si="388"/>
        <v>264.24794520547943</v>
      </c>
      <c r="CS169" s="851">
        <f t="shared" si="388"/>
        <v>267.69652084050983</v>
      </c>
      <c r="CT169" s="850">
        <f t="shared" si="388"/>
        <v>280.75</v>
      </c>
      <c r="CU169" s="850">
        <f t="shared" si="388"/>
        <v>265.84552845528458</v>
      </c>
      <c r="CV169" s="850">
        <f t="shared" si="388"/>
        <v>268.45231607629427</v>
      </c>
      <c r="CW169" s="850">
        <f t="shared" si="388"/>
        <v>269.79347826086956</v>
      </c>
      <c r="CX169" s="851">
        <f t="shared" si="388"/>
        <v>271.15642076502735</v>
      </c>
      <c r="CY169" s="850"/>
      <c r="CZ169" s="850">
        <f>CZ167/CU391-1</f>
        <v>246.0796460176991</v>
      </c>
      <c r="DA169" s="850">
        <f>DA167/CV391-1</f>
        <v>248.38022813688212</v>
      </c>
      <c r="DB169" s="850">
        <f>DB167/CW391-1</f>
        <v>395.35809987819732</v>
      </c>
      <c r="DC169" s="851" t="s">
        <v>162</v>
      </c>
      <c r="DD169" s="850">
        <v>-4.0000000000000001E-3</v>
      </c>
      <c r="DE169" s="850">
        <v>0.04</v>
      </c>
      <c r="DF169" s="850">
        <v>4.9000000000000002E-2</v>
      </c>
      <c r="DG169" s="850">
        <v>4.4999999999999998E-2</v>
      </c>
      <c r="DH169" s="851">
        <v>3.2626951348793565E-2</v>
      </c>
      <c r="DI169" s="850">
        <f t="shared" ref="DI169:DV169" si="389">DI167/DD372-1</f>
        <v>8.6726784225317211E-2</v>
      </c>
      <c r="DJ169" s="850">
        <f t="shared" si="389"/>
        <v>3.4407971342986343E-2</v>
      </c>
      <c r="DK169" s="850">
        <f t="shared" si="389"/>
        <v>1.8916269264026786E-2</v>
      </c>
      <c r="DL169" s="850">
        <f t="shared" si="389"/>
        <v>6.959372034848621E-2</v>
      </c>
      <c r="DM169" s="851">
        <f t="shared" si="389"/>
        <v>5.1989968233724149E-2</v>
      </c>
      <c r="DN169" s="850">
        <f t="shared" si="389"/>
        <v>2.1627000682990394E-2</v>
      </c>
      <c r="DO169" s="850">
        <f t="shared" si="389"/>
        <v>4.9999999999998934E-3</v>
      </c>
      <c r="DP169" s="850">
        <f t="shared" si="389"/>
        <v>1.4177094365773524E-2</v>
      </c>
      <c r="DQ169" s="850">
        <f t="shared" si="389"/>
        <v>-4.9895886535967771E-3</v>
      </c>
      <c r="DR169" s="851">
        <f t="shared" si="389"/>
        <v>4.6816917052308504E-2</v>
      </c>
      <c r="DS169" s="850">
        <f t="shared" si="389"/>
        <v>-2.4981261899770568E-2</v>
      </c>
      <c r="DT169" s="850">
        <f t="shared" si="389"/>
        <v>-1.4310781943238093E-2</v>
      </c>
      <c r="DU169" s="850">
        <f t="shared" si="389"/>
        <v>-2.1767898524210239E-2</v>
      </c>
      <c r="DV169" s="850">
        <f t="shared" si="389"/>
        <v>1.2638674343490974E-2</v>
      </c>
      <c r="DW169" s="851"/>
      <c r="DX169" s="850">
        <f ca="1">DX168*(DV169/DV168)</f>
        <v>-1.6788754729455201E-2</v>
      </c>
      <c r="DY169" s="1581"/>
      <c r="DZ169" s="1581"/>
      <c r="EA169" s="1581"/>
      <c r="EB169" s="851"/>
      <c r="EC169" s="1581"/>
      <c r="ED169" s="1581"/>
      <c r="EE169" s="1581"/>
      <c r="EF169" s="1581"/>
      <c r="EG169" s="851"/>
      <c r="EH169" s="1581"/>
      <c r="EI169" s="1581"/>
      <c r="EJ169" s="1581"/>
      <c r="EK169" s="1581"/>
      <c r="EL169" s="851"/>
    </row>
    <row r="170" spans="1:142" ht="11.25" customHeight="1">
      <c r="A170" s="846"/>
      <c r="B170" s="846" t="s">
        <v>148</v>
      </c>
      <c r="C170" s="1150"/>
      <c r="D170" s="1150" t="str">
        <f>IF(ISERROR(D167/D160),"nm",D167/D160)</f>
        <v>nm</v>
      </c>
      <c r="E170" s="752">
        <f t="shared" ref="E170:AT170" si="390">E167/E160</f>
        <v>1.3253601298727986</v>
      </c>
      <c r="F170" s="752">
        <f t="shared" si="390"/>
        <v>1.3036698662349178</v>
      </c>
      <c r="G170" s="752">
        <f t="shared" si="390"/>
        <v>1.915776565605311</v>
      </c>
      <c r="H170" s="1117">
        <f t="shared" si="390"/>
        <v>1.3389579942359671</v>
      </c>
      <c r="I170" s="752">
        <f t="shared" si="390"/>
        <v>1.4052267651991426</v>
      </c>
      <c r="J170" s="752">
        <f t="shared" si="390"/>
        <v>1.383847195566744</v>
      </c>
      <c r="K170" s="752">
        <f t="shared" si="390"/>
        <v>1.4377259912974198</v>
      </c>
      <c r="L170" s="752">
        <f t="shared" si="390"/>
        <v>1.4272717833209529</v>
      </c>
      <c r="M170" s="1117">
        <f t="shared" si="390"/>
        <v>1.414310060889949</v>
      </c>
      <c r="N170" s="752">
        <f t="shared" si="390"/>
        <v>1.4532116848048442</v>
      </c>
      <c r="O170" s="752">
        <f t="shared" si="390"/>
        <v>1.4418451559037924</v>
      </c>
      <c r="P170" s="752">
        <f t="shared" si="390"/>
        <v>1.4174442095372328</v>
      </c>
      <c r="Q170" s="752">
        <f t="shared" si="390"/>
        <v>1.4223881098688211</v>
      </c>
      <c r="R170" s="1117">
        <f t="shared" si="390"/>
        <v>1.4289180022036201</v>
      </c>
      <c r="S170" s="752">
        <f t="shared" si="390"/>
        <v>1.4098855875313758</v>
      </c>
      <c r="T170" s="752">
        <f t="shared" si="390"/>
        <v>1.5359778684296901</v>
      </c>
      <c r="U170" s="752">
        <f t="shared" si="390"/>
        <v>1.412924595700461</v>
      </c>
      <c r="V170" s="752">
        <f t="shared" si="390"/>
        <v>1.4576753085754326</v>
      </c>
      <c r="W170" s="1117">
        <f t="shared" si="390"/>
        <v>1.4537093392845066</v>
      </c>
      <c r="X170" s="752">
        <f t="shared" si="390"/>
        <v>1.4728449082206718</v>
      </c>
      <c r="Y170" s="752">
        <f t="shared" si="390"/>
        <v>1.4538891823439384</v>
      </c>
      <c r="Z170" s="752">
        <f t="shared" si="390"/>
        <v>1.4150599647691899</v>
      </c>
      <c r="AA170" s="752">
        <f t="shared" si="390"/>
        <v>1.447948671966844</v>
      </c>
      <c r="AB170" s="1117">
        <f t="shared" si="390"/>
        <v>1.4464539636925191</v>
      </c>
      <c r="AC170" s="752">
        <f t="shared" si="390"/>
        <v>1.4776253456875736</v>
      </c>
      <c r="AD170" s="752">
        <f t="shared" si="390"/>
        <v>1.4481499866020637</v>
      </c>
      <c r="AE170" s="752">
        <f t="shared" si="390"/>
        <v>1.3997881497297657</v>
      </c>
      <c r="AF170" s="752">
        <f t="shared" si="390"/>
        <v>1.4488564264689852</v>
      </c>
      <c r="AG170" s="1117">
        <f t="shared" si="390"/>
        <v>1.4434722510046554</v>
      </c>
      <c r="AH170" s="752">
        <f t="shared" si="390"/>
        <v>1.4115751268147629</v>
      </c>
      <c r="AI170" s="752">
        <f t="shared" si="390"/>
        <v>1.4358974358974359</v>
      </c>
      <c r="AJ170" s="752">
        <f t="shared" si="390"/>
        <v>1.3984791319842391</v>
      </c>
      <c r="AK170" s="752">
        <f t="shared" si="390"/>
        <v>1.4625916245475459</v>
      </c>
      <c r="AL170" s="1117">
        <f t="shared" si="390"/>
        <v>1.4273484170408504</v>
      </c>
      <c r="AM170" s="752">
        <f t="shared" si="390"/>
        <v>1.4455221908395686</v>
      </c>
      <c r="AN170" s="752">
        <f t="shared" si="390"/>
        <v>1.4361589551224774</v>
      </c>
      <c r="AO170" s="752">
        <f t="shared" si="390"/>
        <v>1.4037377355552094</v>
      </c>
      <c r="AP170" s="752">
        <f t="shared" si="390"/>
        <v>1.4283057380876127</v>
      </c>
      <c r="AQ170" s="1117">
        <f t="shared" si="390"/>
        <v>1.4280725168725201</v>
      </c>
      <c r="AR170" s="752">
        <f t="shared" si="390"/>
        <v>1.4317451629024964</v>
      </c>
      <c r="AS170" s="752">
        <f t="shared" si="390"/>
        <v>1.420737751345228</v>
      </c>
      <c r="AT170" s="752">
        <f t="shared" si="390"/>
        <v>1.3972691235889771</v>
      </c>
      <c r="AU170" s="802"/>
      <c r="AV170" s="1150" t="str">
        <f>IF(ISERROR(AV167/AV160),"nm",AV167/AV160)</f>
        <v>nm</v>
      </c>
      <c r="AW170" s="1150" t="str">
        <f>IF(ISERROR(AW167/AW160),"nm",AW167/AW160)</f>
        <v>nm</v>
      </c>
      <c r="AX170" s="1150" t="str">
        <f>IF(ISERROR(AX167/AX160),"nm",AX167/AX160)</f>
        <v>nm</v>
      </c>
      <c r="AY170" s="1150" t="str">
        <f>IF(ISERROR(AY167/AY160),"nm",AY167/AY160)</f>
        <v>nm</v>
      </c>
      <c r="AZ170" s="1151" t="str">
        <f>IF(ISERROR(AZ167/AZ160),"nm",AZ167/AZ160)</f>
        <v>nm</v>
      </c>
      <c r="BA170" s="752">
        <f t="shared" ref="BA170:CF170" si="391">BA167/BA160</f>
        <v>1.3824385550886829</v>
      </c>
      <c r="BB170" s="752">
        <f t="shared" si="391"/>
        <v>1.4009590822633324</v>
      </c>
      <c r="BC170" s="752">
        <f t="shared" si="391"/>
        <v>1.4037047022841591</v>
      </c>
      <c r="BD170" s="752">
        <f t="shared" si="391"/>
        <v>1.390740974254395</v>
      </c>
      <c r="BE170" s="1117">
        <f t="shared" si="391"/>
        <v>1.3944065325783825</v>
      </c>
      <c r="BF170" s="752">
        <f t="shared" si="391"/>
        <v>1.3827468381078849</v>
      </c>
      <c r="BG170" s="752">
        <f t="shared" si="391"/>
        <v>1.4141510463640072</v>
      </c>
      <c r="BH170" s="752">
        <f t="shared" si="391"/>
        <v>1.4165880747219017</v>
      </c>
      <c r="BI170" s="752">
        <f t="shared" si="391"/>
        <v>1.4108466248973976</v>
      </c>
      <c r="BJ170" s="1117">
        <f t="shared" si="391"/>
        <v>1.4056274914639657</v>
      </c>
      <c r="BK170" s="752">
        <f t="shared" si="391"/>
        <v>1.3909435273285591</v>
      </c>
      <c r="BL170" s="752">
        <f t="shared" si="391"/>
        <v>1.4226113478038998</v>
      </c>
      <c r="BM170" s="752">
        <f t="shared" si="391"/>
        <v>1.4249360137318503</v>
      </c>
      <c r="BN170" s="752">
        <f t="shared" si="391"/>
        <v>1.4128540305010893</v>
      </c>
      <c r="BO170" s="1117">
        <f t="shared" si="391"/>
        <v>1.4124235140677279</v>
      </c>
      <c r="BP170" s="752">
        <f t="shared" si="391"/>
        <v>1.4021607200797952</v>
      </c>
      <c r="BQ170" s="752">
        <f t="shared" si="391"/>
        <v>1.4312891674127126</v>
      </c>
      <c r="BR170" s="752">
        <f t="shared" si="391"/>
        <v>1.4340276056457724</v>
      </c>
      <c r="BS170" s="752">
        <f t="shared" si="391"/>
        <v>1.4242890084550346</v>
      </c>
      <c r="BT170" s="1117">
        <f t="shared" si="391"/>
        <v>1.4220880388738704</v>
      </c>
      <c r="BU170" s="752">
        <f t="shared" si="391"/>
        <v>1.4125283079909414</v>
      </c>
      <c r="BV170" s="752">
        <f t="shared" si="391"/>
        <v>1.4504548315121002</v>
      </c>
      <c r="BW170" s="752">
        <f t="shared" si="391"/>
        <v>1.4522376130172394</v>
      </c>
      <c r="BX170" s="752">
        <f t="shared" si="391"/>
        <v>1.4430221801518834</v>
      </c>
      <c r="BY170" s="1117">
        <f t="shared" si="391"/>
        <v>1.4390715255787896</v>
      </c>
      <c r="BZ170" s="752">
        <f t="shared" si="391"/>
        <v>1.4205549888057403</v>
      </c>
      <c r="CA170" s="752">
        <f t="shared" si="391"/>
        <v>1.4593045386354986</v>
      </c>
      <c r="CB170" s="752">
        <f t="shared" si="391"/>
        <v>1.4768777050059367</v>
      </c>
      <c r="CC170" s="752">
        <f t="shared" si="391"/>
        <v>1.4663497680210793</v>
      </c>
      <c r="CD170" s="1117">
        <f t="shared" si="391"/>
        <v>1.4548091569268899</v>
      </c>
      <c r="CE170" s="752">
        <f t="shared" si="391"/>
        <v>1.4634777649415791</v>
      </c>
      <c r="CF170" s="752">
        <f t="shared" si="391"/>
        <v>1.5038370629585289</v>
      </c>
      <c r="CG170" s="752">
        <f t="shared" ref="CG170:CW170" si="392">CG167/CG160</f>
        <v>1.5136421563358873</v>
      </c>
      <c r="CH170" s="752">
        <f t="shared" si="392"/>
        <v>1.4909936666383812</v>
      </c>
      <c r="CI170" s="1117">
        <f t="shared" si="392"/>
        <v>1.4926266170490148</v>
      </c>
      <c r="CJ170" s="752">
        <f t="shared" si="392"/>
        <v>1.4774545811054383</v>
      </c>
      <c r="CK170" s="752">
        <f t="shared" si="392"/>
        <v>1.5250604691939789</v>
      </c>
      <c r="CL170" s="752">
        <f t="shared" si="392"/>
        <v>1.5414063432687333</v>
      </c>
      <c r="CM170" s="752">
        <f t="shared" si="392"/>
        <v>1.5286075430983563</v>
      </c>
      <c r="CN170" s="1117">
        <f t="shared" si="392"/>
        <v>1.5176364401955662</v>
      </c>
      <c r="CO170" s="752">
        <f t="shared" si="392"/>
        <v>1.5023090910474219</v>
      </c>
      <c r="CP170" s="752">
        <f t="shared" si="392"/>
        <v>1.5444534683737818</v>
      </c>
      <c r="CQ170" s="752">
        <f t="shared" si="392"/>
        <v>1.5540260485580832</v>
      </c>
      <c r="CR170" s="752">
        <f t="shared" si="392"/>
        <v>1.5447597469424876</v>
      </c>
      <c r="CS170" s="1117">
        <f t="shared" si="392"/>
        <v>1.5359861687086724</v>
      </c>
      <c r="CT170" s="752">
        <f t="shared" si="392"/>
        <v>1.5463068831465814</v>
      </c>
      <c r="CU170" s="752">
        <f t="shared" si="392"/>
        <v>1.5737437667817415</v>
      </c>
      <c r="CV170" s="752">
        <f t="shared" si="392"/>
        <v>1.5838839103380342</v>
      </c>
      <c r="CW170" s="752">
        <f t="shared" si="392"/>
        <v>1.5907414797669408</v>
      </c>
      <c r="CX170" s="1117">
        <f>AVERAGE(CT170:CW170)</f>
        <v>1.5736690100083246</v>
      </c>
      <c r="CY170" s="752">
        <f>CY167/CY160</f>
        <v>1.5696543290266738</v>
      </c>
      <c r="CZ170" s="752">
        <f>CZ167/CZ160</f>
        <v>1.6189261277977502</v>
      </c>
      <c r="DA170" s="752">
        <f>DA167/DA160</f>
        <v>1.6185129432667869</v>
      </c>
      <c r="DB170" s="752">
        <f>DB167/DB160</f>
        <v>1.7081351768448239</v>
      </c>
      <c r="DC170" s="1117">
        <f>AVERAGE(CY170:DB170)</f>
        <v>1.6288071442340086</v>
      </c>
      <c r="DD170" s="752">
        <f>DD167/DD160</f>
        <v>1.6667781935729618</v>
      </c>
      <c r="DE170" s="752">
        <f>DE167/DE160</f>
        <v>1.7340077373215304</v>
      </c>
      <c r="DF170" s="752">
        <f>DF167/DF160</f>
        <v>1.7296787618676031</v>
      </c>
      <c r="DG170" s="752">
        <f>DG167/DG160</f>
        <v>1.7188650617534114</v>
      </c>
      <c r="DH170" s="1117">
        <f>AVERAGE(DD170:DG170)</f>
        <v>1.7123324386288765</v>
      </c>
      <c r="DI170" s="752">
        <f>DI167/DI160</f>
        <v>1.6890891025425641</v>
      </c>
      <c r="DJ170" s="752">
        <f>DJ167/DJ160</f>
        <v>1.7291142500544803</v>
      </c>
      <c r="DK170" s="752">
        <f>DK167/DK160</f>
        <v>1.7453212463466588</v>
      </c>
      <c r="DL170" s="752">
        <f>DL167/DL160</f>
        <v>1.7547631739083263</v>
      </c>
      <c r="DM170" s="1117">
        <f>AVERAGE(DI170:DL170)</f>
        <v>1.7295719432130072</v>
      </c>
      <c r="DN170" s="752">
        <f>DN167/DN160</f>
        <v>1.7041705330446437</v>
      </c>
      <c r="DO170" s="752">
        <f>DO167/DO160</f>
        <v>1.758663219440703</v>
      </c>
      <c r="DP170" s="752">
        <f>DP167/DP160</f>
        <v>1.7466643396800019</v>
      </c>
      <c r="DQ170" s="752">
        <f>DQ167/DQ160</f>
        <v>1.7299968122409946</v>
      </c>
      <c r="DR170" s="1117">
        <f>AVERAGE(DN170:DQ170)</f>
        <v>1.7348737261015859</v>
      </c>
      <c r="DS170" s="752">
        <f>DS167/DS160</f>
        <v>1.7306480716885342</v>
      </c>
      <c r="DT170" s="752">
        <f>DT167/DT160</f>
        <v>1.7728911243290602</v>
      </c>
      <c r="DU170" s="752">
        <f>DU167/DU160</f>
        <v>1.7630433587954057</v>
      </c>
      <c r="DV170" s="752">
        <f>DV167/DV160</f>
        <v>1.7551939938445562</v>
      </c>
      <c r="DW170" s="1117">
        <f>AVERAGE(DS170:DV170)</f>
        <v>1.755444137164389</v>
      </c>
      <c r="DX170" s="752">
        <f>DS170+DX171</f>
        <v>1.7606480716885342</v>
      </c>
      <c r="DY170" s="752">
        <f>DT170+DY171</f>
        <v>1.7828911243290602</v>
      </c>
      <c r="DZ170" s="752">
        <f>DU170+DZ171</f>
        <v>1.7830433587954058</v>
      </c>
      <c r="EA170" s="752">
        <f>DV170+EA171</f>
        <v>1.7651939938445562</v>
      </c>
      <c r="EB170" s="1117">
        <f>AVERAGE(DX170:EA170)</f>
        <v>1.772944137164389</v>
      </c>
      <c r="EC170" s="752">
        <f>DX170+EC171</f>
        <v>1.7856480716885341</v>
      </c>
      <c r="ED170" s="752">
        <f>DY170+ED171</f>
        <v>1.7878911243290601</v>
      </c>
      <c r="EE170" s="752">
        <f>DZ170+EE171</f>
        <v>1.7830433587954058</v>
      </c>
      <c r="EF170" s="752">
        <f>EA170+EF171</f>
        <v>1.7701939938445561</v>
      </c>
      <c r="EG170" s="1117">
        <f>AVERAGE(EC170:EF170)</f>
        <v>1.7816941371643891</v>
      </c>
      <c r="EH170" s="752">
        <f>EC170+EH171</f>
        <v>1.7856480716885341</v>
      </c>
      <c r="EI170" s="752">
        <f>ED170+EI171</f>
        <v>1.7878911243290601</v>
      </c>
      <c r="EJ170" s="752">
        <f>EE170+EJ171</f>
        <v>1.7830433587954058</v>
      </c>
      <c r="EK170" s="752">
        <f>EF170+EK171</f>
        <v>1.7701939938445561</v>
      </c>
      <c r="EL170" s="1117">
        <f>AVERAGE(EH170:EK170)</f>
        <v>1.7816941371643891</v>
      </c>
    </row>
    <row r="171" spans="1:142" ht="11.25" customHeight="1">
      <c r="A171" s="846"/>
      <c r="B171" s="846" t="s">
        <v>171</v>
      </c>
      <c r="C171" s="1150"/>
      <c r="D171" s="1150" t="str">
        <f t="shared" ref="D171:AT171" si="393">IF(ISERROR(D170-(D138+D143)/D138),"nm",D170-(D138+D143)/D138)</f>
        <v>nm</v>
      </c>
      <c r="E171" s="1150" t="str">
        <f t="shared" si="393"/>
        <v>nm</v>
      </c>
      <c r="F171" s="1150" t="str">
        <f t="shared" si="393"/>
        <v>nm</v>
      </c>
      <c r="G171" s="1150" t="str">
        <f t="shared" si="393"/>
        <v>nm</v>
      </c>
      <c r="H171" s="1151" t="str">
        <f t="shared" si="393"/>
        <v>nm</v>
      </c>
      <c r="I171" s="1150" t="str">
        <f t="shared" si="393"/>
        <v>nm</v>
      </c>
      <c r="J171" s="1150" t="str">
        <f t="shared" si="393"/>
        <v>nm</v>
      </c>
      <c r="K171" s="1150" t="str">
        <f t="shared" si="393"/>
        <v>nm</v>
      </c>
      <c r="L171" s="1150" t="str">
        <f t="shared" si="393"/>
        <v>nm</v>
      </c>
      <c r="M171" s="1151" t="str">
        <f t="shared" si="393"/>
        <v>nm</v>
      </c>
      <c r="N171" s="1150" t="str">
        <f t="shared" si="393"/>
        <v>nm</v>
      </c>
      <c r="O171" s="1150" t="str">
        <f t="shared" si="393"/>
        <v>nm</v>
      </c>
      <c r="P171" s="1150" t="str">
        <f t="shared" si="393"/>
        <v>nm</v>
      </c>
      <c r="Q171" s="1150" t="str">
        <f t="shared" si="393"/>
        <v>nm</v>
      </c>
      <c r="R171" s="1151" t="str">
        <f t="shared" si="393"/>
        <v>nm</v>
      </c>
      <c r="S171" s="1150" t="str">
        <f t="shared" si="393"/>
        <v>nm</v>
      </c>
      <c r="T171" s="1150" t="str">
        <f t="shared" si="393"/>
        <v>nm</v>
      </c>
      <c r="U171" s="1150" t="str">
        <f t="shared" si="393"/>
        <v>nm</v>
      </c>
      <c r="V171" s="1150" t="str">
        <f t="shared" si="393"/>
        <v>nm</v>
      </c>
      <c r="W171" s="1151" t="str">
        <f t="shared" si="393"/>
        <v>nm</v>
      </c>
      <c r="X171" s="1150" t="str">
        <f t="shared" si="393"/>
        <v>nm</v>
      </c>
      <c r="Y171" s="1150" t="str">
        <f t="shared" si="393"/>
        <v>nm</v>
      </c>
      <c r="Z171" s="1150" t="str">
        <f t="shared" si="393"/>
        <v>nm</v>
      </c>
      <c r="AA171" s="1150" t="str">
        <f t="shared" si="393"/>
        <v>nm</v>
      </c>
      <c r="AB171" s="1151" t="str">
        <f t="shared" si="393"/>
        <v>nm</v>
      </c>
      <c r="AC171" s="1150" t="str">
        <f t="shared" si="393"/>
        <v>nm</v>
      </c>
      <c r="AD171" s="1150" t="str">
        <f t="shared" si="393"/>
        <v>nm</v>
      </c>
      <c r="AE171" s="1150" t="str">
        <f t="shared" si="393"/>
        <v>nm</v>
      </c>
      <c r="AF171" s="1150" t="str">
        <f t="shared" si="393"/>
        <v>nm</v>
      </c>
      <c r="AG171" s="1151" t="str">
        <f t="shared" si="393"/>
        <v>nm</v>
      </c>
      <c r="AH171" s="1150" t="str">
        <f t="shared" si="393"/>
        <v>nm</v>
      </c>
      <c r="AI171" s="1150" t="str">
        <f t="shared" si="393"/>
        <v>nm</v>
      </c>
      <c r="AJ171" s="1150" t="str">
        <f t="shared" si="393"/>
        <v>nm</v>
      </c>
      <c r="AK171" s="1150" t="str">
        <f t="shared" si="393"/>
        <v>nm</v>
      </c>
      <c r="AL171" s="1151" t="str">
        <f t="shared" si="393"/>
        <v>nm</v>
      </c>
      <c r="AM171" s="1150" t="str">
        <f t="shared" si="393"/>
        <v>nm</v>
      </c>
      <c r="AN171" s="1150" t="str">
        <f t="shared" si="393"/>
        <v>nm</v>
      </c>
      <c r="AO171" s="1150" t="str">
        <f t="shared" si="393"/>
        <v>nm</v>
      </c>
      <c r="AP171" s="1150" t="str">
        <f t="shared" si="393"/>
        <v>nm</v>
      </c>
      <c r="AQ171" s="1151" t="str">
        <f t="shared" si="393"/>
        <v>nm</v>
      </c>
      <c r="AR171" s="1150" t="str">
        <f t="shared" si="393"/>
        <v>nm</v>
      </c>
      <c r="AS171" s="1150" t="str">
        <f t="shared" si="393"/>
        <v>nm</v>
      </c>
      <c r="AT171" s="1150" t="str">
        <f t="shared" si="393"/>
        <v>nm</v>
      </c>
      <c r="AU171" s="802"/>
      <c r="AV171" s="1150" t="str">
        <f t="shared" ref="AV171:BE171" si="394">IF(ISERROR(AV170-(AV138+AV143)/AV138),"nm",AV170-(AV138+AV143)/AV138)</f>
        <v>nm</v>
      </c>
      <c r="AW171" s="1150" t="str">
        <f t="shared" si="394"/>
        <v>nm</v>
      </c>
      <c r="AX171" s="1150" t="str">
        <f t="shared" si="394"/>
        <v>nm</v>
      </c>
      <c r="AY171" s="1150" t="str">
        <f t="shared" si="394"/>
        <v>nm</v>
      </c>
      <c r="AZ171" s="1151" t="str">
        <f t="shared" si="394"/>
        <v>nm</v>
      </c>
      <c r="BA171" s="1150">
        <f t="shared" si="394"/>
        <v>-6.4163386658889987E-2</v>
      </c>
      <c r="BB171" s="1150">
        <f t="shared" si="394"/>
        <v>-6.3965264366653729E-2</v>
      </c>
      <c r="BC171" s="1150">
        <f t="shared" si="394"/>
        <v>-6.6608528197374284E-2</v>
      </c>
      <c r="BD171" s="1150">
        <f t="shared" si="394"/>
        <v>-7.7269101312355648E-2</v>
      </c>
      <c r="BE171" s="1151">
        <f t="shared" si="394"/>
        <v>-6.7733241076966877E-2</v>
      </c>
      <c r="BF171" s="752">
        <f t="shared" ref="BF171:CK171" si="395">BF170-(BF138+BF143)/BF138</f>
        <v>-7.5043530164069727E-2</v>
      </c>
      <c r="BG171" s="752">
        <f t="shared" si="395"/>
        <v>-4.7979131150785559E-2</v>
      </c>
      <c r="BH171" s="752">
        <f t="shared" si="395"/>
        <v>-5.3668656649419555E-2</v>
      </c>
      <c r="BI171" s="752">
        <f t="shared" si="395"/>
        <v>-3.4013188186714505E-2</v>
      </c>
      <c r="BJ171" s="1117">
        <f t="shared" si="395"/>
        <v>-5.2514885560171143E-2</v>
      </c>
      <c r="BK171" s="1152">
        <f t="shared" si="395"/>
        <v>-2.5870111707302135E-2</v>
      </c>
      <c r="BL171" s="1152">
        <f t="shared" si="395"/>
        <v>-3.2332331795599689E-2</v>
      </c>
      <c r="BM171" s="1152">
        <f t="shared" si="395"/>
        <v>-1.6735851520800926E-2</v>
      </c>
      <c r="BN171" s="1152">
        <f t="shared" si="395"/>
        <v>9.7093764130389282E-3</v>
      </c>
      <c r="BO171" s="1153">
        <f t="shared" si="395"/>
        <v>-1.6566011502204381E-2</v>
      </c>
      <c r="BP171" s="1152">
        <f t="shared" si="395"/>
        <v>6.2155799486085517E-3</v>
      </c>
      <c r="BQ171" s="1152">
        <f t="shared" si="395"/>
        <v>4.2621403856855089E-3</v>
      </c>
      <c r="BR171" s="1152">
        <f t="shared" si="395"/>
        <v>-5.3235932258779428E-3</v>
      </c>
      <c r="BS171" s="1152">
        <f t="shared" si="395"/>
        <v>7.9570138097868615E-3</v>
      </c>
      <c r="BT171" s="1153">
        <f t="shared" si="395"/>
        <v>3.2283897510634318E-3</v>
      </c>
      <c r="BU171" s="1152">
        <f t="shared" si="395"/>
        <v>-1.4095068632435259E-2</v>
      </c>
      <c r="BV171" s="1152">
        <f t="shared" si="395"/>
        <v>3.1040602176668486E-3</v>
      </c>
      <c r="BW171" s="1152">
        <f t="shared" si="395"/>
        <v>1.1536804391902411E-2</v>
      </c>
      <c r="BX171" s="1152">
        <f t="shared" si="395"/>
        <v>7.9529645948630545E-3</v>
      </c>
      <c r="BY171" s="1153">
        <f t="shared" si="395"/>
        <v>5.01756211306148E-3</v>
      </c>
      <c r="BZ171" s="1152">
        <f t="shared" si="395"/>
        <v>-2.6172540691047352E-3</v>
      </c>
      <c r="CA171" s="1152">
        <f t="shared" si="395"/>
        <v>-6.2965732477535674E-3</v>
      </c>
      <c r="CB171" s="1152">
        <f t="shared" si="395"/>
        <v>7.2878888814671416E-3</v>
      </c>
      <c r="CC171" s="1152">
        <f t="shared" si="395"/>
        <v>1.5936544880583492E-2</v>
      </c>
      <c r="CD171" s="1153">
        <f t="shared" si="395"/>
        <v>2.7305345577823825E-3</v>
      </c>
      <c r="CE171" s="1152">
        <f t="shared" si="395"/>
        <v>2.1220547093810049E-2</v>
      </c>
      <c r="CF171" s="1152">
        <f t="shared" si="395"/>
        <v>1.6675369689965525E-2</v>
      </c>
      <c r="CG171" s="1152">
        <f t="shared" si="395"/>
        <v>3.0013234098506647E-2</v>
      </c>
      <c r="CH171" s="1152">
        <f t="shared" si="395"/>
        <v>2.4417029231223797E-2</v>
      </c>
      <c r="CI171" s="1153">
        <f t="shared" si="395"/>
        <v>2.3073166440083837E-2</v>
      </c>
      <c r="CJ171" s="1152">
        <f t="shared" si="395"/>
        <v>2.0200695095075494E-2</v>
      </c>
      <c r="CK171" s="1152">
        <f t="shared" si="395"/>
        <v>2.9120009112788114E-2</v>
      </c>
      <c r="CL171" s="1152">
        <f t="shared" ref="CL171:DQ171" si="396">CL170-(CL138+CL143)/CL138</f>
        <v>2.8119629982019889E-2</v>
      </c>
      <c r="CM171" s="1152">
        <f t="shared" si="396"/>
        <v>3.4362451696866803E-2</v>
      </c>
      <c r="CN171" s="1153">
        <f t="shared" si="396"/>
        <v>2.8009184334544024E-2</v>
      </c>
      <c r="CO171" s="1152">
        <f t="shared" si="396"/>
        <v>5.7590128725000689E-2</v>
      </c>
      <c r="CP171" s="1152">
        <f t="shared" si="396"/>
        <v>4.1042827173236152E-2</v>
      </c>
      <c r="CQ171" s="1152">
        <f t="shared" si="396"/>
        <v>4.5715799250604094E-2</v>
      </c>
      <c r="CR171" s="1152">
        <f t="shared" si="396"/>
        <v>5.3765750945156121E-2</v>
      </c>
      <c r="CS171" s="1153">
        <f t="shared" si="396"/>
        <v>5.0252923851340059E-2</v>
      </c>
      <c r="CT171" s="1152">
        <f t="shared" si="396"/>
        <v>6.9642290738367363E-2</v>
      </c>
      <c r="CU171" s="1152">
        <f t="shared" si="396"/>
        <v>6.2761854637038761E-2</v>
      </c>
      <c r="CV171" s="1152">
        <f t="shared" si="396"/>
        <v>5.8234343382671083E-2</v>
      </c>
      <c r="CW171" s="1152">
        <f t="shared" si="396"/>
        <v>5.9005728471604124E-2</v>
      </c>
      <c r="CX171" s="1153">
        <f t="shared" si="396"/>
        <v>6.2862558395421431E-2</v>
      </c>
      <c r="CY171" s="1152">
        <f t="shared" si="396"/>
        <v>4.0357454026673789E-2</v>
      </c>
      <c r="CZ171" s="1152">
        <f t="shared" si="396"/>
        <v>7.1585012363249545E-2</v>
      </c>
      <c r="DA171" s="1152">
        <f t="shared" si="396"/>
        <v>5.5929720896613855E-2</v>
      </c>
      <c r="DB171" s="1152">
        <f t="shared" si="396"/>
        <v>0.13604411445022024</v>
      </c>
      <c r="DC171" s="1153">
        <f t="shared" si="396"/>
        <v>7.3715084395113317E-2</v>
      </c>
      <c r="DD171" s="1152">
        <f t="shared" si="396"/>
        <v>0.11513884931066665</v>
      </c>
      <c r="DE171" s="1152">
        <f t="shared" si="396"/>
        <v>0.12890953422917772</v>
      </c>
      <c r="DF171" s="1152">
        <f t="shared" si="396"/>
        <v>0.14461989057243452</v>
      </c>
      <c r="DG171" s="1152">
        <f t="shared" si="396"/>
        <v>0.15284814376885825</v>
      </c>
      <c r="DH171" s="1153">
        <f t="shared" si="396"/>
        <v>0.13579724142468286</v>
      </c>
      <c r="DI171" s="1152">
        <f t="shared" si="396"/>
        <v>0.1643770995696916</v>
      </c>
      <c r="DJ171" s="1152">
        <f t="shared" si="396"/>
        <v>0.16334985813682867</v>
      </c>
      <c r="DK171" s="1152">
        <f t="shared" si="396"/>
        <v>0.16330050105276706</v>
      </c>
      <c r="DL171" s="1152">
        <f t="shared" si="396"/>
        <v>0.16411989905452518</v>
      </c>
      <c r="DM171" s="1153">
        <f t="shared" si="396"/>
        <v>0.16381581817780577</v>
      </c>
      <c r="DN171" s="1152">
        <f t="shared" si="396"/>
        <v>0.16900233732598924</v>
      </c>
      <c r="DO171" s="1152">
        <f t="shared" si="396"/>
        <v>0.19363206679272804</v>
      </c>
      <c r="DP171" s="1152">
        <f t="shared" si="396"/>
        <v>0.17943029712681047</v>
      </c>
      <c r="DQ171" s="1152">
        <f t="shared" si="396"/>
        <v>0.18126626351044584</v>
      </c>
      <c r="DR171" s="1153">
        <f t="shared" ref="DR171:DW171" si="397">DR170-(DR138+DR143)/DR138</f>
        <v>0.1811447766228369</v>
      </c>
      <c r="DS171" s="1152">
        <f t="shared" si="397"/>
        <v>0.16903578761943638</v>
      </c>
      <c r="DT171" s="1152">
        <f t="shared" si="397"/>
        <v>0.18703650743318589</v>
      </c>
      <c r="DU171" s="1152">
        <f t="shared" si="397"/>
        <v>0.18336958213292154</v>
      </c>
      <c r="DV171" s="1152">
        <f t="shared" si="397"/>
        <v>0.22421069143268246</v>
      </c>
      <c r="DW171" s="1153">
        <f t="shared" si="397"/>
        <v>0.19164968620698364</v>
      </c>
      <c r="DX171" s="1152">
        <v>0.03</v>
      </c>
      <c r="DY171" s="1152">
        <v>0.01</v>
      </c>
      <c r="DZ171" s="1152">
        <v>0.02</v>
      </c>
      <c r="EA171" s="1152">
        <v>0.01</v>
      </c>
      <c r="EB171" s="1153">
        <f>EB170-(EB138+EB143)/EB138</f>
        <v>0.15104025590373671</v>
      </c>
      <c r="EC171" s="1152">
        <f>DX171-0.005</f>
        <v>2.4999999999999998E-2</v>
      </c>
      <c r="ED171" s="1152">
        <f t="shared" ref="ED171" si="398">DY171-0.005</f>
        <v>5.0000000000000001E-3</v>
      </c>
      <c r="EE171" s="1152">
        <v>0</v>
      </c>
      <c r="EF171" s="1152">
        <f t="shared" ref="EF171" si="399">EA171-0.005</f>
        <v>5.0000000000000001E-3</v>
      </c>
      <c r="EG171" s="1153">
        <f>EG170-(EG138+EG143)/EG138</f>
        <v>0.13748476172044799</v>
      </c>
      <c r="EH171" s="1152">
        <v>0</v>
      </c>
      <c r="EI171" s="1152">
        <f t="shared" ref="EI171" si="400">ED171-0.005</f>
        <v>0</v>
      </c>
      <c r="EJ171" s="1152">
        <v>0</v>
      </c>
      <c r="EK171" s="1152">
        <f t="shared" ref="EK171" si="401">EF171-0.005</f>
        <v>0</v>
      </c>
      <c r="EL171" s="1153">
        <f>EL170-(EL138+EL143)/EL138</f>
        <v>0.1462336378236242</v>
      </c>
    </row>
    <row r="172" spans="1:142" ht="11.25" customHeight="1">
      <c r="A172" s="846"/>
      <c r="B172" s="846" t="s">
        <v>149</v>
      </c>
      <c r="C172" s="1149"/>
      <c r="D172" s="1149">
        <f>D344</f>
        <v>6764</v>
      </c>
      <c r="E172" s="1149" t="str">
        <f>E344</f>
        <v>ND</v>
      </c>
      <c r="F172" s="1149" t="str">
        <f>F344</f>
        <v>ND</v>
      </c>
      <c r="G172" s="1149" t="str">
        <f>G344</f>
        <v>ND</v>
      </c>
      <c r="H172" s="902">
        <f>SUM(D172:G172)</f>
        <v>6764</v>
      </c>
      <c r="I172" s="1149" t="str">
        <f>I344</f>
        <v>ND</v>
      </c>
      <c r="J172" s="1149" t="str">
        <f>J344</f>
        <v>ND</v>
      </c>
      <c r="K172" s="1149" t="str">
        <f>K344</f>
        <v>ND</v>
      </c>
      <c r="L172" s="1149" t="str">
        <f>L344</f>
        <v>ND</v>
      </c>
      <c r="M172" s="902">
        <f>SUM(I172:L172)</f>
        <v>0</v>
      </c>
      <c r="N172" s="1149" t="str">
        <f>N344</f>
        <v>ND</v>
      </c>
      <c r="O172" s="1149" t="str">
        <f>O344</f>
        <v>ND</v>
      </c>
      <c r="P172" s="1149" t="str">
        <f>P344</f>
        <v>ND</v>
      </c>
      <c r="Q172" s="1149" t="str">
        <f>Q344</f>
        <v>ND</v>
      </c>
      <c r="R172" s="902">
        <f>SUM(N172:Q172)</f>
        <v>0</v>
      </c>
      <c r="S172" s="1149" t="str">
        <f>S344</f>
        <v>ND</v>
      </c>
      <c r="T172" s="1149" t="str">
        <f>T344</f>
        <v>ND</v>
      </c>
      <c r="U172" s="1149" t="str">
        <f>U344</f>
        <v>ND</v>
      </c>
      <c r="V172" s="1149" t="str">
        <f>V344</f>
        <v>ND</v>
      </c>
      <c r="W172" s="902">
        <f>SUM(S172:V172)</f>
        <v>0</v>
      </c>
      <c r="X172" s="1149" t="str">
        <f>X344</f>
        <v>ND</v>
      </c>
      <c r="Y172" s="1149" t="str">
        <f>Y344</f>
        <v>ND</v>
      </c>
      <c r="Z172" s="1149" t="str">
        <f>Z344</f>
        <v>ND</v>
      </c>
      <c r="AA172" s="1149" t="str">
        <f>AA344</f>
        <v>ND</v>
      </c>
      <c r="AB172" s="902">
        <f>SUM(X172:AA172)</f>
        <v>0</v>
      </c>
      <c r="AC172" s="1149" t="str">
        <f>AC344</f>
        <v>ND</v>
      </c>
      <c r="AD172" s="1149" t="str">
        <f>AD344</f>
        <v>ND</v>
      </c>
      <c r="AE172" s="1149" t="str">
        <f>AE344</f>
        <v>ND</v>
      </c>
      <c r="AF172" s="1149" t="str">
        <f>AF344</f>
        <v>ND</v>
      </c>
      <c r="AG172" s="902">
        <f>SUM(AC172:AF172)</f>
        <v>0</v>
      </c>
      <c r="AH172" s="1149" t="str">
        <f>AH344</f>
        <v>ND</v>
      </c>
      <c r="AI172" s="1149" t="str">
        <f>AI344</f>
        <v>ND</v>
      </c>
      <c r="AJ172" s="1149" t="str">
        <f>AJ344</f>
        <v>ND</v>
      </c>
      <c r="AK172" s="1149" t="str">
        <f>AK344</f>
        <v>ND</v>
      </c>
      <c r="AL172" s="902">
        <f>SUM(AH172:AK172)</f>
        <v>0</v>
      </c>
      <c r="AM172" s="1149" t="str">
        <f>AM344</f>
        <v>ND</v>
      </c>
      <c r="AN172" s="1149" t="str">
        <f>AN344</f>
        <v>ND</v>
      </c>
      <c r="AO172" s="1149" t="str">
        <f>AO344</f>
        <v>ND</v>
      </c>
      <c r="AP172" s="1149" t="str">
        <f>AP344</f>
        <v>ND</v>
      </c>
      <c r="AQ172" s="902">
        <f>SUM(AM172:AP172)</f>
        <v>0</v>
      </c>
      <c r="AR172" s="1149" t="str">
        <f>AR344</f>
        <v>ND</v>
      </c>
      <c r="AS172" s="1149" t="str">
        <f>AS344</f>
        <v>ND</v>
      </c>
      <c r="AT172" s="1149" t="str">
        <f>AT344</f>
        <v>ND</v>
      </c>
      <c r="AU172" s="802"/>
      <c r="AV172" s="1149" t="str">
        <f>AV344</f>
        <v>ND</v>
      </c>
      <c r="AW172" s="1149" t="str">
        <f>AW344</f>
        <v>ND</v>
      </c>
      <c r="AX172" s="1149" t="str">
        <f>AX344</f>
        <v>ND</v>
      </c>
      <c r="AY172" s="1149" t="str">
        <f>AY344</f>
        <v>ND</v>
      </c>
      <c r="AZ172" s="902">
        <f>SUM(AV172:AY172)</f>
        <v>0</v>
      </c>
      <c r="BA172" s="1149" t="str">
        <f>BA344</f>
        <v>ND</v>
      </c>
      <c r="BB172" s="1149" t="str">
        <f>BB344</f>
        <v>ND</v>
      </c>
      <c r="BC172" s="1149" t="str">
        <f>BC344</f>
        <v>ND</v>
      </c>
      <c r="BD172" s="1149" t="str">
        <f>BD344</f>
        <v>ND</v>
      </c>
      <c r="BE172" s="902">
        <f>SUM(BA172:BD172)</f>
        <v>0</v>
      </c>
      <c r="BF172" s="1149" t="str">
        <f>BF344</f>
        <v>ND</v>
      </c>
      <c r="BG172" s="1149">
        <f>BG344</f>
        <v>18647</v>
      </c>
      <c r="BH172" s="1149">
        <f>BH344</f>
        <v>18106</v>
      </c>
      <c r="BI172" s="1149">
        <f>BI344</f>
        <v>17902</v>
      </c>
      <c r="BJ172" s="902">
        <f>SUM(BF172:BI172)</f>
        <v>54655</v>
      </c>
      <c r="BK172" s="903">
        <f>BK344</f>
        <v>17924</v>
      </c>
      <c r="BL172" s="903">
        <f>BL344</f>
        <v>17930</v>
      </c>
      <c r="BM172" s="903">
        <f>BM344</f>
        <v>17859</v>
      </c>
      <c r="BN172" s="903">
        <f>BN344</f>
        <v>17842</v>
      </c>
      <c r="BO172" s="902">
        <f>SUM(BK172:BN172)</f>
        <v>71555</v>
      </c>
      <c r="BP172" s="903">
        <f>BP344</f>
        <v>17851</v>
      </c>
      <c r="BQ172" s="903">
        <f>BQ344</f>
        <v>15069</v>
      </c>
      <c r="BR172" s="903">
        <f>BR344</f>
        <v>14967</v>
      </c>
      <c r="BS172" s="903">
        <f>BS344</f>
        <v>14941</v>
      </c>
      <c r="BT172" s="902">
        <f>SUM(BP172:BS172)</f>
        <v>62828</v>
      </c>
      <c r="BU172" s="903">
        <f>BU344</f>
        <v>14953</v>
      </c>
      <c r="BV172" s="903">
        <f>BV344</f>
        <v>14990</v>
      </c>
      <c r="BW172" s="903">
        <f>BW344</f>
        <v>14389</v>
      </c>
      <c r="BX172" s="903">
        <f>BX344</f>
        <v>14516</v>
      </c>
      <c r="BY172" s="902">
        <f>SUM(BU172:BX172)</f>
        <v>58848</v>
      </c>
      <c r="BZ172" s="903">
        <f>BZ344</f>
        <v>14478</v>
      </c>
      <c r="CA172" s="903">
        <f>CA344</f>
        <v>13829</v>
      </c>
      <c r="CB172" s="903">
        <f>CB344</f>
        <v>13536</v>
      </c>
      <c r="CC172" s="903">
        <f>CC344</f>
        <v>13547</v>
      </c>
      <c r="CD172" s="902">
        <f>SUM(BZ172:CC172)</f>
        <v>55390</v>
      </c>
      <c r="CE172" s="903">
        <f>CE344</f>
        <v>13574</v>
      </c>
      <c r="CF172" s="903">
        <f>CF344</f>
        <v>13411</v>
      </c>
      <c r="CG172" s="903">
        <f>CG344</f>
        <v>13419</v>
      </c>
      <c r="CH172" s="903">
        <f>CH344</f>
        <v>13436</v>
      </c>
      <c r="CI172" s="902">
        <f>SUM(CE172:CH172)</f>
        <v>53840</v>
      </c>
      <c r="CJ172" s="903">
        <f>CJ344</f>
        <v>13431</v>
      </c>
      <c r="CK172" s="903">
        <f>CK344</f>
        <v>13435</v>
      </c>
      <c r="CL172" s="903">
        <f>CL344</f>
        <v>13423</v>
      </c>
      <c r="CM172" s="903">
        <f>CM344</f>
        <v>13429</v>
      </c>
      <c r="CN172" s="902">
        <f>SUM(CJ172:CM172)</f>
        <v>53718</v>
      </c>
      <c r="CO172" s="903">
        <f>CO344</f>
        <v>13123</v>
      </c>
      <c r="CP172" s="903">
        <f>CP344</f>
        <v>13111</v>
      </c>
      <c r="CQ172" s="903">
        <f>CQ344</f>
        <v>13106</v>
      </c>
      <c r="CR172" s="903">
        <f>CR344</f>
        <v>13119</v>
      </c>
      <c r="CS172" s="902">
        <f>SUM(CO172:CR172)</f>
        <v>52459</v>
      </c>
      <c r="CT172" s="903">
        <f>CT344</f>
        <v>13138</v>
      </c>
      <c r="CU172" s="903">
        <f>CU344</f>
        <v>13176</v>
      </c>
      <c r="CV172" s="903">
        <f>CV344</f>
        <v>13216</v>
      </c>
      <c r="CW172" s="903">
        <f>CW344</f>
        <v>13216</v>
      </c>
      <c r="CX172" s="902">
        <f>SUM(CT172:CW172)</f>
        <v>52746</v>
      </c>
      <c r="CY172" s="903">
        <f>CY344</f>
        <v>13180</v>
      </c>
      <c r="CZ172" s="903">
        <f>CZ344</f>
        <v>13180</v>
      </c>
      <c r="DA172" s="903">
        <f>DA344</f>
        <v>13180</v>
      </c>
      <c r="DB172" s="903">
        <f>DB344</f>
        <v>20294</v>
      </c>
      <c r="DC172" s="902">
        <f>SUM(CY172:DB172)</f>
        <v>59834</v>
      </c>
      <c r="DD172" s="903">
        <f>DD344</f>
        <v>20263</v>
      </c>
      <c r="DE172" s="903">
        <f>DE344</f>
        <v>20370</v>
      </c>
      <c r="DF172" s="903">
        <f>DF344</f>
        <v>20692</v>
      </c>
      <c r="DG172" s="903">
        <f>DG344</f>
        <v>20805</v>
      </c>
      <c r="DH172" s="902">
        <f>SUM(DD172:DG172)</f>
        <v>82130</v>
      </c>
      <c r="DI172" s="903">
        <f>DI297</f>
        <v>193028</v>
      </c>
      <c r="DJ172" s="903">
        <f>DJ297</f>
        <v>187029</v>
      </c>
      <c r="DK172" s="903">
        <f>DK297</f>
        <v>180353</v>
      </c>
      <c r="DL172" s="903">
        <f>DL297</f>
        <v>180353</v>
      </c>
      <c r="DM172" s="902">
        <f>SUM(DI172:DL172)</f>
        <v>740763</v>
      </c>
      <c r="DN172" s="903">
        <f>DN297</f>
        <v>184436</v>
      </c>
      <c r="DO172" s="903">
        <f>DO297</f>
        <v>183474</v>
      </c>
      <c r="DP172" s="903">
        <f>DP297</f>
        <v>167219</v>
      </c>
      <c r="DQ172" s="903">
        <f>DQ297</f>
        <v>166139</v>
      </c>
      <c r="DR172" s="902">
        <f>SUM(DN172:DQ172)</f>
        <v>701268</v>
      </c>
      <c r="DS172" s="903">
        <f>DS297</f>
        <v>186079</v>
      </c>
      <c r="DT172" s="903">
        <f>DT297</f>
        <v>179101</v>
      </c>
      <c r="DU172" s="903">
        <f>DU297</f>
        <v>171791</v>
      </c>
      <c r="DV172" s="903">
        <f>DV297</f>
        <v>175025</v>
      </c>
      <c r="DW172" s="902">
        <f>SUM(DS172:DV172)</f>
        <v>711996</v>
      </c>
      <c r="DX172" s="901"/>
      <c r="DY172" s="901"/>
      <c r="DZ172" s="901"/>
      <c r="EA172" s="901"/>
      <c r="EB172" s="902">
        <f>SUM(DX172:EA172)</f>
        <v>0</v>
      </c>
      <c r="EC172" s="901"/>
      <c r="ED172" s="901"/>
      <c r="EE172" s="901"/>
      <c r="EF172" s="901"/>
      <c r="EG172" s="902">
        <f>SUM(EC172:EF172)</f>
        <v>0</v>
      </c>
      <c r="EH172" s="901"/>
      <c r="EI172" s="901"/>
      <c r="EJ172" s="901"/>
      <c r="EK172" s="901"/>
      <c r="EL172" s="902">
        <f>SUM(EH172:EK172)</f>
        <v>0</v>
      </c>
    </row>
    <row r="173" spans="1:142" ht="11.25" customHeight="1">
      <c r="A173" s="1122"/>
      <c r="B173" s="1122" t="s">
        <v>133</v>
      </c>
      <c r="C173" s="1012"/>
      <c r="D173" s="1012"/>
      <c r="E173" s="1012"/>
      <c r="F173" s="1012"/>
      <c r="G173" s="1012"/>
      <c r="H173" s="1011"/>
      <c r="I173" s="1010" t="str">
        <f t="shared" ref="I173:AT173" si="402">IF(ISERROR(+I172/D172-1),"nm",+I172/D172-1)</f>
        <v>nm</v>
      </c>
      <c r="J173" s="1010" t="str">
        <f t="shared" si="402"/>
        <v>nm</v>
      </c>
      <c r="K173" s="1010" t="str">
        <f t="shared" si="402"/>
        <v>nm</v>
      </c>
      <c r="L173" s="1010" t="str">
        <f t="shared" si="402"/>
        <v>nm</v>
      </c>
      <c r="M173" s="1011">
        <f t="shared" si="402"/>
        <v>-1</v>
      </c>
      <c r="N173" s="1010" t="str">
        <f t="shared" si="402"/>
        <v>nm</v>
      </c>
      <c r="O173" s="1010" t="str">
        <f t="shared" si="402"/>
        <v>nm</v>
      </c>
      <c r="P173" s="1010" t="str">
        <f t="shared" si="402"/>
        <v>nm</v>
      </c>
      <c r="Q173" s="1010" t="str">
        <f t="shared" si="402"/>
        <v>nm</v>
      </c>
      <c r="R173" s="1011" t="str">
        <f t="shared" si="402"/>
        <v>nm</v>
      </c>
      <c r="S173" s="1010" t="str">
        <f t="shared" si="402"/>
        <v>nm</v>
      </c>
      <c r="T173" s="1010" t="str">
        <f t="shared" si="402"/>
        <v>nm</v>
      </c>
      <c r="U173" s="1010" t="str">
        <f t="shared" si="402"/>
        <v>nm</v>
      </c>
      <c r="V173" s="1010" t="str">
        <f t="shared" si="402"/>
        <v>nm</v>
      </c>
      <c r="W173" s="1011" t="str">
        <f t="shared" si="402"/>
        <v>nm</v>
      </c>
      <c r="X173" s="1010" t="str">
        <f t="shared" si="402"/>
        <v>nm</v>
      </c>
      <c r="Y173" s="1010" t="str">
        <f t="shared" si="402"/>
        <v>nm</v>
      </c>
      <c r="Z173" s="1010" t="str">
        <f t="shared" si="402"/>
        <v>nm</v>
      </c>
      <c r="AA173" s="1010" t="str">
        <f t="shared" si="402"/>
        <v>nm</v>
      </c>
      <c r="AB173" s="1011" t="str">
        <f t="shared" si="402"/>
        <v>nm</v>
      </c>
      <c r="AC173" s="1010" t="str">
        <f t="shared" si="402"/>
        <v>nm</v>
      </c>
      <c r="AD173" s="1010" t="str">
        <f t="shared" si="402"/>
        <v>nm</v>
      </c>
      <c r="AE173" s="1010" t="str">
        <f t="shared" si="402"/>
        <v>nm</v>
      </c>
      <c r="AF173" s="1010" t="str">
        <f t="shared" si="402"/>
        <v>nm</v>
      </c>
      <c r="AG173" s="1011" t="str">
        <f t="shared" si="402"/>
        <v>nm</v>
      </c>
      <c r="AH173" s="1010" t="str">
        <f t="shared" si="402"/>
        <v>nm</v>
      </c>
      <c r="AI173" s="1010" t="str">
        <f t="shared" si="402"/>
        <v>nm</v>
      </c>
      <c r="AJ173" s="1010" t="str">
        <f t="shared" si="402"/>
        <v>nm</v>
      </c>
      <c r="AK173" s="1010" t="str">
        <f t="shared" si="402"/>
        <v>nm</v>
      </c>
      <c r="AL173" s="1011" t="str">
        <f t="shared" si="402"/>
        <v>nm</v>
      </c>
      <c r="AM173" s="1010" t="str">
        <f t="shared" si="402"/>
        <v>nm</v>
      </c>
      <c r="AN173" s="1010" t="str">
        <f t="shared" si="402"/>
        <v>nm</v>
      </c>
      <c r="AO173" s="1010" t="str">
        <f t="shared" si="402"/>
        <v>nm</v>
      </c>
      <c r="AP173" s="1010" t="str">
        <f t="shared" si="402"/>
        <v>nm</v>
      </c>
      <c r="AQ173" s="1011" t="str">
        <f t="shared" si="402"/>
        <v>nm</v>
      </c>
      <c r="AR173" s="1010" t="str">
        <f t="shared" si="402"/>
        <v>nm</v>
      </c>
      <c r="AS173" s="1010" t="str">
        <f t="shared" si="402"/>
        <v>nm</v>
      </c>
      <c r="AT173" s="1010" t="str">
        <f t="shared" si="402"/>
        <v>nm</v>
      </c>
      <c r="AU173" s="802"/>
      <c r="AV173" s="1012"/>
      <c r="AW173" s="1012"/>
      <c r="AX173" s="1012"/>
      <c r="AY173" s="1012"/>
      <c r="AZ173" s="1011"/>
      <c r="BA173" s="1010" t="str">
        <f t="shared" ref="BA173:BO173" si="403">IF(ISERROR(+BA172/AV172-1),"nm",+BA172/AV172-1)</f>
        <v>nm</v>
      </c>
      <c r="BB173" s="1010" t="str">
        <f t="shared" si="403"/>
        <v>nm</v>
      </c>
      <c r="BC173" s="1010" t="str">
        <f t="shared" si="403"/>
        <v>nm</v>
      </c>
      <c r="BD173" s="1010" t="str">
        <f t="shared" si="403"/>
        <v>nm</v>
      </c>
      <c r="BE173" s="1011" t="str">
        <f t="shared" si="403"/>
        <v>nm</v>
      </c>
      <c r="BF173" s="1010" t="str">
        <f t="shared" si="403"/>
        <v>nm</v>
      </c>
      <c r="BG173" s="1010" t="str">
        <f t="shared" si="403"/>
        <v>nm</v>
      </c>
      <c r="BH173" s="1010" t="str">
        <f t="shared" si="403"/>
        <v>nm</v>
      </c>
      <c r="BI173" s="1010" t="str">
        <f t="shared" si="403"/>
        <v>nm</v>
      </c>
      <c r="BJ173" s="1011" t="str">
        <f t="shared" si="403"/>
        <v>nm</v>
      </c>
      <c r="BK173" s="850" t="str">
        <f t="shared" si="403"/>
        <v>nm</v>
      </c>
      <c r="BL173" s="850">
        <f t="shared" si="403"/>
        <v>-3.845122539818735E-2</v>
      </c>
      <c r="BM173" s="850">
        <f t="shared" si="403"/>
        <v>-1.3641886667403069E-2</v>
      </c>
      <c r="BN173" s="850">
        <f t="shared" si="403"/>
        <v>-3.3515808289577009E-3</v>
      </c>
      <c r="BO173" s="851">
        <f t="shared" si="403"/>
        <v>0.30921233190010056</v>
      </c>
      <c r="BP173" s="850">
        <f t="shared" ref="BP173:CW173" si="404">+BP172/BK172-1</f>
        <v>-4.072751617942405E-3</v>
      </c>
      <c r="BQ173" s="850">
        <f t="shared" si="404"/>
        <v>-0.15956497490239818</v>
      </c>
      <c r="BR173" s="850">
        <f t="shared" si="404"/>
        <v>-0.16193515874349063</v>
      </c>
      <c r="BS173" s="850">
        <f t="shared" si="404"/>
        <v>-0.16259387960990923</v>
      </c>
      <c r="BT173" s="851">
        <f t="shared" si="404"/>
        <v>-0.12196212703514775</v>
      </c>
      <c r="BU173" s="850">
        <f t="shared" si="404"/>
        <v>-0.16234384628312137</v>
      </c>
      <c r="BV173" s="850">
        <f t="shared" si="404"/>
        <v>-5.2425509323776875E-3</v>
      </c>
      <c r="BW173" s="850">
        <f t="shared" si="404"/>
        <v>-3.8618293579207541E-2</v>
      </c>
      <c r="BX173" s="850">
        <f t="shared" si="404"/>
        <v>-2.8445217856903793E-2</v>
      </c>
      <c r="BY173" s="851">
        <f t="shared" si="404"/>
        <v>-6.3347552046858047E-2</v>
      </c>
      <c r="BZ173" s="850">
        <f t="shared" si="404"/>
        <v>-3.1766200762388785E-2</v>
      </c>
      <c r="CA173" s="850">
        <f t="shared" si="404"/>
        <v>-7.7451634422948668E-2</v>
      </c>
      <c r="CB173" s="850">
        <f t="shared" si="404"/>
        <v>-5.9281395510459411E-2</v>
      </c>
      <c r="CC173" s="850">
        <f t="shared" si="404"/>
        <v>-6.6753926701570654E-2</v>
      </c>
      <c r="CD173" s="851">
        <f t="shared" si="404"/>
        <v>-5.8761555193039716E-2</v>
      </c>
      <c r="CE173" s="850">
        <f t="shared" si="404"/>
        <v>-6.2439563475618187E-2</v>
      </c>
      <c r="CF173" s="850">
        <f t="shared" si="404"/>
        <v>-3.0226335960662376E-2</v>
      </c>
      <c r="CG173" s="850">
        <f t="shared" si="404"/>
        <v>-8.6436170212765839E-3</v>
      </c>
      <c r="CH173" s="850">
        <f t="shared" si="404"/>
        <v>-8.1936960212593002E-3</v>
      </c>
      <c r="CI173" s="851">
        <f t="shared" si="404"/>
        <v>-2.7983390503701022E-2</v>
      </c>
      <c r="CJ173" s="850">
        <f t="shared" si="404"/>
        <v>-1.0534846029173428E-2</v>
      </c>
      <c r="CK173" s="850">
        <f t="shared" si="404"/>
        <v>1.7895757214227981E-3</v>
      </c>
      <c r="CL173" s="850">
        <f t="shared" si="404"/>
        <v>2.9808480512705238E-4</v>
      </c>
      <c r="CM173" s="850">
        <f t="shared" si="404"/>
        <v>-5.2098838940162207E-4</v>
      </c>
      <c r="CN173" s="851">
        <f t="shared" si="404"/>
        <v>-2.2659732540861732E-3</v>
      </c>
      <c r="CO173" s="850">
        <f t="shared" si="404"/>
        <v>-2.29320229320229E-2</v>
      </c>
      <c r="CP173" s="850">
        <f t="shared" si="404"/>
        <v>-2.4116114625976959E-2</v>
      </c>
      <c r="CQ173" s="850">
        <f t="shared" si="404"/>
        <v>-2.3616181181554063E-2</v>
      </c>
      <c r="CR173" s="850">
        <f t="shared" si="404"/>
        <v>-2.3084369647777159E-2</v>
      </c>
      <c r="CS173" s="851">
        <f t="shared" si="404"/>
        <v>-2.3437209129155923E-2</v>
      </c>
      <c r="CT173" s="850">
        <f t="shared" si="404"/>
        <v>1.1430313190581298E-3</v>
      </c>
      <c r="CU173" s="850">
        <f t="shared" si="404"/>
        <v>4.9576691327892775E-3</v>
      </c>
      <c r="CV173" s="850">
        <f t="shared" si="404"/>
        <v>8.3931023958492279E-3</v>
      </c>
      <c r="CW173" s="850">
        <f t="shared" si="404"/>
        <v>7.39385623904254E-3</v>
      </c>
      <c r="CX173" s="851">
        <f>CX172/CS172-1</f>
        <v>5.4709392096685683E-3</v>
      </c>
      <c r="CY173" s="850">
        <f>+CY172/CT172-1</f>
        <v>3.1968336124219565E-3</v>
      </c>
      <c r="CZ173" s="850">
        <f>+CZ172/CU172-1</f>
        <v>3.0358227079529954E-4</v>
      </c>
      <c r="DA173" s="850">
        <f>+DA172/CV172-1</f>
        <v>-2.7239709443098725E-3</v>
      </c>
      <c r="DB173" s="850">
        <f>+DB172/CW172-1</f>
        <v>0.53556295399515741</v>
      </c>
      <c r="DC173" s="851">
        <f>DC172/CX172-1</f>
        <v>0.13437985818829867</v>
      </c>
      <c r="DD173" s="850">
        <f>+DD172/CY172-1</f>
        <v>0.53740515933232169</v>
      </c>
      <c r="DE173" s="850">
        <f>+DE172/CZ172-1</f>
        <v>0.54552352048558417</v>
      </c>
      <c r="DF173" s="850">
        <f>+DF172/DA172-1</f>
        <v>0.56995447647951436</v>
      </c>
      <c r="DG173" s="850">
        <f>+DG172/DB172-1</f>
        <v>2.5179856115107979E-2</v>
      </c>
      <c r="DH173" s="851">
        <f>DH172/DC172-1</f>
        <v>0.37263094561620491</v>
      </c>
      <c r="DI173" s="850">
        <v>0.66311690102012677</v>
      </c>
      <c r="DJ173" s="850">
        <v>0.60126197549678517</v>
      </c>
      <c r="DK173" s="850">
        <v>0.52093945016022936</v>
      </c>
      <c r="DL173" s="850">
        <v>0.44667736757624388</v>
      </c>
      <c r="DM173" s="851">
        <v>0.55587391948240183</v>
      </c>
      <c r="DN173" s="850">
        <f>+DN172/DI172-1</f>
        <v>-4.4511677062395116E-2</v>
      </c>
      <c r="DO173" s="850">
        <f>+DO172/DJ172-1</f>
        <v>-1.9007747461623592E-2</v>
      </c>
      <c r="DP173" s="850">
        <f>+DP172/DK172-1</f>
        <v>-7.2823851003310125E-2</v>
      </c>
      <c r="DQ173" s="850">
        <f>+DQ172/DL172-1</f>
        <v>-7.8812107367218776E-2</v>
      </c>
      <c r="DR173" s="851">
        <f>DR172/DM172-1</f>
        <v>-5.3316647834732556E-2</v>
      </c>
      <c r="DS173" s="850">
        <f>+DS172/DN172-1</f>
        <v>8.9082391723958043E-3</v>
      </c>
      <c r="DT173" s="850">
        <f>+DT172/DO172-1</f>
        <v>-2.3834439757131842E-2</v>
      </c>
      <c r="DU173" s="850">
        <f>+DU172/DP172-1</f>
        <v>2.7341390631447471E-2</v>
      </c>
      <c r="DV173" s="850">
        <f>+DV172/DQ172-1</f>
        <v>5.3485334569246312E-2</v>
      </c>
      <c r="DW173" s="851">
        <f>DW172/DR172-1</f>
        <v>1.5298003045911113E-2</v>
      </c>
      <c r="DX173" s="1142"/>
      <c r="DY173" s="1142"/>
      <c r="DZ173" s="1142"/>
      <c r="EA173" s="1142"/>
      <c r="EB173" s="851"/>
      <c r="EC173" s="1142"/>
      <c r="ED173" s="1142"/>
      <c r="EE173" s="1142"/>
      <c r="EF173" s="1142"/>
      <c r="EG173" s="851"/>
      <c r="EH173" s="1142"/>
      <c r="EI173" s="1142"/>
      <c r="EJ173" s="1142"/>
      <c r="EK173" s="1142"/>
      <c r="EL173" s="851"/>
    </row>
    <row r="174" spans="1:142" ht="11.25" customHeight="1">
      <c r="A174" s="1056"/>
      <c r="B174" s="1056"/>
      <c r="C174" s="1154"/>
      <c r="D174" s="1154"/>
      <c r="E174" s="1154"/>
      <c r="F174" s="1154"/>
      <c r="G174" s="1154"/>
      <c r="H174" s="1155"/>
      <c r="I174" s="1154"/>
      <c r="J174" s="1154"/>
      <c r="K174" s="1154"/>
      <c r="L174" s="1154"/>
      <c r="M174" s="1155"/>
      <c r="N174" s="1154"/>
      <c r="O174" s="1154"/>
      <c r="P174" s="1154"/>
      <c r="Q174" s="1154"/>
      <c r="R174" s="1155"/>
      <c r="S174" s="1154"/>
      <c r="T174" s="1154"/>
      <c r="U174" s="1154"/>
      <c r="V174" s="1154"/>
      <c r="W174" s="1155"/>
      <c r="X174" s="1154"/>
      <c r="Y174" s="1154"/>
      <c r="Z174" s="1154"/>
      <c r="AA174" s="1154"/>
      <c r="AB174" s="1155"/>
      <c r="AC174" s="1154"/>
      <c r="AD174" s="1154"/>
      <c r="AE174" s="1154"/>
      <c r="AF174" s="1154"/>
      <c r="AG174" s="1155"/>
      <c r="AH174" s="1154"/>
      <c r="AI174" s="1154"/>
      <c r="AJ174" s="1154"/>
      <c r="AK174" s="1154"/>
      <c r="AL174" s="1155"/>
      <c r="AM174" s="1154"/>
      <c r="AN174" s="1154"/>
      <c r="AO174" s="1154"/>
      <c r="AP174" s="1154"/>
      <c r="AQ174" s="1155"/>
      <c r="AR174" s="1154"/>
      <c r="AS174" s="1154"/>
      <c r="AT174" s="1154"/>
      <c r="AU174" s="802"/>
      <c r="AV174" s="1154"/>
      <c r="AW174" s="1154"/>
      <c r="AX174" s="1154"/>
      <c r="AY174" s="1154"/>
      <c r="AZ174" s="1155"/>
      <c r="BA174" s="1154"/>
      <c r="BB174" s="1154"/>
      <c r="BC174" s="1154"/>
      <c r="BD174" s="1154"/>
      <c r="BE174" s="1155"/>
      <c r="BF174" s="1154"/>
      <c r="BG174" s="1154"/>
      <c r="BH174" s="1154"/>
      <c r="BI174" s="1154"/>
      <c r="BJ174" s="1155"/>
      <c r="BK174" s="1156"/>
      <c r="BL174" s="1156"/>
      <c r="BM174" s="1156"/>
      <c r="BN174" s="1156"/>
      <c r="BO174" s="1145"/>
      <c r="BP174" s="1156"/>
      <c r="BQ174" s="1156"/>
      <c r="BR174" s="1156"/>
      <c r="BS174" s="1156"/>
      <c r="BT174" s="1145"/>
      <c r="BU174" s="1156"/>
      <c r="BV174" s="1156"/>
      <c r="BW174" s="1156"/>
      <c r="BX174" s="1156"/>
      <c r="BY174" s="1145"/>
      <c r="BZ174" s="1156"/>
      <c r="CA174" s="1156"/>
      <c r="CB174" s="1156"/>
      <c r="CC174" s="1156"/>
      <c r="CD174" s="1145"/>
      <c r="CE174" s="1156"/>
      <c r="CF174" s="1156"/>
      <c r="CG174" s="1156"/>
      <c r="CH174" s="1156"/>
      <c r="CI174" s="1145"/>
      <c r="CJ174" s="1156"/>
      <c r="CK174" s="1156"/>
      <c r="CL174" s="1156"/>
      <c r="CM174" s="1156"/>
      <c r="CN174" s="1145"/>
      <c r="CO174" s="1156"/>
      <c r="CP174" s="1156"/>
      <c r="CQ174" s="1156"/>
      <c r="CR174" s="1156"/>
      <c r="CS174" s="1145"/>
      <c r="CT174" s="1156"/>
      <c r="CU174" s="1156"/>
      <c r="CV174" s="1156"/>
      <c r="CW174" s="1156"/>
      <c r="CX174" s="1145"/>
      <c r="CY174" s="1156"/>
      <c r="CZ174" s="1156"/>
      <c r="DA174" s="1156"/>
      <c r="DB174" s="1156"/>
      <c r="DC174" s="1145"/>
      <c r="DD174" s="1156"/>
      <c r="DE174" s="1156"/>
      <c r="DF174" s="1156"/>
      <c r="DG174" s="1156"/>
      <c r="DH174" s="1145"/>
      <c r="DI174" s="1156"/>
      <c r="DJ174" s="1156"/>
      <c r="DK174" s="1156"/>
      <c r="DL174" s="1156"/>
      <c r="DM174" s="1145"/>
      <c r="DN174" s="1156"/>
      <c r="DO174" s="1156"/>
      <c r="DP174" s="1156"/>
      <c r="DQ174" s="1156"/>
      <c r="DR174" s="1145"/>
      <c r="DS174" s="1156"/>
      <c r="DT174" s="1156"/>
      <c r="DU174" s="1156"/>
      <c r="DV174" s="1156"/>
      <c r="DW174" s="1145"/>
      <c r="DX174" s="1156"/>
      <c r="DY174" s="1156"/>
      <c r="DZ174" s="1156"/>
      <c r="EA174" s="1156"/>
      <c r="EB174" s="1145"/>
      <c r="EC174" s="1156"/>
      <c r="ED174" s="1156"/>
      <c r="EE174" s="1156"/>
      <c r="EF174" s="1156"/>
      <c r="EG174" s="1145"/>
      <c r="EH174" s="1156"/>
      <c r="EI174" s="1156"/>
      <c r="EJ174" s="1156"/>
      <c r="EK174" s="1156"/>
      <c r="EL174" s="1145"/>
    </row>
    <row r="175" spans="1:142" ht="11.25" customHeight="1">
      <c r="A175" s="846"/>
      <c r="B175" s="846" t="s">
        <v>150</v>
      </c>
      <c r="C175" s="1149"/>
      <c r="D175" s="1149">
        <f>IF(ISERROR(D160-D172),"nm",D160-D172)</f>
        <v>42314</v>
      </c>
      <c r="E175" s="1149" t="str">
        <f>IF(ISERROR(E160-E172),"nm",E160-E172)</f>
        <v>nm</v>
      </c>
      <c r="F175" s="1149" t="str">
        <f>IF(ISERROR(F160-F172),"nm",F160-F172)</f>
        <v>nm</v>
      </c>
      <c r="G175" s="1149" t="str">
        <f>IF(ISERROR(G160-G172),"nm",G160-G172)</f>
        <v>nm</v>
      </c>
      <c r="H175" s="1157" t="s">
        <v>89</v>
      </c>
      <c r="I175" s="1149" t="str">
        <f>IF(ISERROR(I160-I172),"nm",I160-I172)</f>
        <v>nm</v>
      </c>
      <c r="J175" s="1149" t="str">
        <f>IF(ISERROR(J160-J172),"nm",J160-J172)</f>
        <v>nm</v>
      </c>
      <c r="K175" s="1149" t="str">
        <f>IF(ISERROR(K160-K172),"nm",K160-K172)</f>
        <v>nm</v>
      </c>
      <c r="L175" s="1149" t="str">
        <f>IF(ISERROR(L160-L172),"nm",L160-L172)</f>
        <v>nm</v>
      </c>
      <c r="M175" s="1157" t="s">
        <v>89</v>
      </c>
      <c r="N175" s="1149" t="str">
        <f>IF(ISERROR(N160-N172),"nm",N160-N172)</f>
        <v>nm</v>
      </c>
      <c r="O175" s="1149" t="str">
        <f>IF(ISERROR(O160-O172),"nm",O160-O172)</f>
        <v>nm</v>
      </c>
      <c r="P175" s="1149" t="str">
        <f>IF(ISERROR(P160-P172),"nm",P160-P172)</f>
        <v>nm</v>
      </c>
      <c r="Q175" s="1149" t="str">
        <f>IF(ISERROR(Q160-Q172),"nm",Q160-Q172)</f>
        <v>nm</v>
      </c>
      <c r="R175" s="1157" t="s">
        <v>89</v>
      </c>
      <c r="S175" s="1149" t="str">
        <f>IF(ISERROR(S160-S172),"nm",S160-S172)</f>
        <v>nm</v>
      </c>
      <c r="T175" s="1149" t="str">
        <f>IF(ISERROR(T160-T172),"nm",T160-T172)</f>
        <v>nm</v>
      </c>
      <c r="U175" s="1149" t="str">
        <f>IF(ISERROR(U160-U172),"nm",U160-U172)</f>
        <v>nm</v>
      </c>
      <c r="V175" s="1149" t="str">
        <f>IF(ISERROR(V160-V172),"nm",V160-V172)</f>
        <v>nm</v>
      </c>
      <c r="W175" s="1157" t="s">
        <v>89</v>
      </c>
      <c r="X175" s="1149" t="str">
        <f>IF(ISERROR(X160-X172),"nm",X160-X172)</f>
        <v>nm</v>
      </c>
      <c r="Y175" s="1149" t="str">
        <f>IF(ISERROR(Y160-Y172),"nm",Y160-Y172)</f>
        <v>nm</v>
      </c>
      <c r="Z175" s="1149" t="str">
        <f>IF(ISERROR(Z160-Z172),"nm",Z160-Z172)</f>
        <v>nm</v>
      </c>
      <c r="AA175" s="1149" t="str">
        <f>IF(ISERROR(AA160-AA172),"nm",AA160-AA172)</f>
        <v>nm</v>
      </c>
      <c r="AB175" s="1157" t="s">
        <v>89</v>
      </c>
      <c r="AC175" s="1149" t="str">
        <f>IF(ISERROR(AC160-AC172),"nm",AC160-AC172)</f>
        <v>nm</v>
      </c>
      <c r="AD175" s="1149" t="str">
        <f>IF(ISERROR(AD160-AD172),"nm",AD160-AD172)</f>
        <v>nm</v>
      </c>
      <c r="AE175" s="1149" t="str">
        <f>IF(ISERROR(AE160-AE172),"nm",AE160-AE172)</f>
        <v>nm</v>
      </c>
      <c r="AF175" s="1149" t="str">
        <f>IF(ISERROR(AF160-AF172),"nm",AF160-AF172)</f>
        <v>nm</v>
      </c>
      <c r="AG175" s="1157" t="s">
        <v>89</v>
      </c>
      <c r="AH175" s="1149" t="str">
        <f>IF(ISERROR(AH160-AH172),"nm",AH160-AH172)</f>
        <v>nm</v>
      </c>
      <c r="AI175" s="1149" t="str">
        <f>IF(ISERROR(AI160-AI172),"nm",AI160-AI172)</f>
        <v>nm</v>
      </c>
      <c r="AJ175" s="1149" t="str">
        <f>IF(ISERROR(AJ160-AJ172),"nm",AJ160-AJ172)</f>
        <v>nm</v>
      </c>
      <c r="AK175" s="1149" t="str">
        <f>IF(ISERROR(AK160-AK172),"nm",AK160-AK172)</f>
        <v>nm</v>
      </c>
      <c r="AL175" s="1157" t="s">
        <v>89</v>
      </c>
      <c r="AM175" s="1149" t="str">
        <f>IF(ISERROR(AM160-AM172),"nm",AM160-AM172)</f>
        <v>nm</v>
      </c>
      <c r="AN175" s="1149" t="str">
        <f>IF(ISERROR(AN160-AN172),"nm",AN160-AN172)</f>
        <v>nm</v>
      </c>
      <c r="AO175" s="1149" t="str">
        <f>IF(ISERROR(AO160-AO172),"nm",AO160-AO172)</f>
        <v>nm</v>
      </c>
      <c r="AP175" s="1149" t="str">
        <f>IF(ISERROR(AP160-AP172),"nm",AP160-AP172)</f>
        <v>nm</v>
      </c>
      <c r="AQ175" s="1157" t="s">
        <v>89</v>
      </c>
      <c r="AR175" s="1149" t="str">
        <f>IF(ISERROR(AR160-AR172),"nm",AR160-AR172)</f>
        <v>nm</v>
      </c>
      <c r="AS175" s="1149" t="str">
        <f>IF(ISERROR(AS160-AS172),"nm",AS160-AS172)</f>
        <v>nm</v>
      </c>
      <c r="AT175" s="1149" t="str">
        <f>IF(ISERROR(AT160-AT172),"nm",AT160-AT172)</f>
        <v>nm</v>
      </c>
      <c r="AU175" s="802"/>
      <c r="AV175" s="1149" t="str">
        <f>IF(ISERROR(AV160-AV172),"nm",AV160-AV172)</f>
        <v>nm</v>
      </c>
      <c r="AW175" s="1149" t="str">
        <f>IF(ISERROR(AW160-AW172),"nm",AW160-AW172)</f>
        <v>nm</v>
      </c>
      <c r="AX175" s="1149" t="str">
        <f>IF(ISERROR(AX160-AX172),"nm",AX160-AX172)</f>
        <v>nm</v>
      </c>
      <c r="AY175" s="1149" t="str">
        <f>IF(ISERROR(AY160-AY172),"nm",AY160-AY172)</f>
        <v>nm</v>
      </c>
      <c r="AZ175" s="1157" t="s">
        <v>89</v>
      </c>
      <c r="BA175" s="1149" t="str">
        <f>IF(ISERROR(BA160-BA172),"nm",BA160-BA172)</f>
        <v>nm</v>
      </c>
      <c r="BB175" s="1149" t="str">
        <f>IF(ISERROR(BB160-BB172),"nm",BB160-BB172)</f>
        <v>nm</v>
      </c>
      <c r="BC175" s="1149" t="str">
        <f>IF(ISERROR(BC160-BC172),"nm",BC160-BC172)</f>
        <v>nm</v>
      </c>
      <c r="BD175" s="1149" t="str">
        <f>IF(ISERROR(BD160-BD172),"nm",BD160-BD172)</f>
        <v>nm</v>
      </c>
      <c r="BE175" s="1157" t="s">
        <v>89</v>
      </c>
      <c r="BF175" s="1149" t="str">
        <f>IF(ISERROR(BF160-BF172),"nm",BF160-BF172)</f>
        <v>nm</v>
      </c>
      <c r="BG175" s="1149">
        <f>IF(ISERROR(BG160-BG172),"nm",BG160-BG172)</f>
        <v>155432</v>
      </c>
      <c r="BH175" s="1149">
        <f>IF(ISERROR(BH160-BH172),"nm",BH160-BH172)</f>
        <v>152607</v>
      </c>
      <c r="BI175" s="1149">
        <f>IF(ISERROR(BI160-BI172),"nm",BI160-BI172)</f>
        <v>151441</v>
      </c>
      <c r="BJ175" s="1157" t="s">
        <v>89</v>
      </c>
      <c r="BK175" s="903">
        <f t="shared" ref="BK175:CW175" si="405">BK160-BK172</f>
        <v>160534</v>
      </c>
      <c r="BL175" s="903">
        <f t="shared" si="405"/>
        <v>150596</v>
      </c>
      <c r="BM175" s="903">
        <f t="shared" si="405"/>
        <v>145848</v>
      </c>
      <c r="BN175" s="903">
        <f t="shared" si="405"/>
        <v>140054</v>
      </c>
      <c r="BO175" s="902">
        <f t="shared" si="405"/>
        <v>597032</v>
      </c>
      <c r="BP175" s="903">
        <f t="shared" si="405"/>
        <v>148575</v>
      </c>
      <c r="BQ175" s="903">
        <f t="shared" si="405"/>
        <v>127907</v>
      </c>
      <c r="BR175" s="903">
        <f t="shared" si="405"/>
        <v>126236</v>
      </c>
      <c r="BS175" s="903">
        <f t="shared" si="405"/>
        <v>128169</v>
      </c>
      <c r="BT175" s="902">
        <f t="shared" si="405"/>
        <v>530887</v>
      </c>
      <c r="BU175" s="903">
        <f t="shared" si="405"/>
        <v>133415</v>
      </c>
      <c r="BV175" s="903">
        <f t="shared" si="405"/>
        <v>124842</v>
      </c>
      <c r="BW175" s="903">
        <f t="shared" si="405"/>
        <v>121984</v>
      </c>
      <c r="BX175" s="903">
        <f t="shared" si="405"/>
        <v>124933</v>
      </c>
      <c r="BY175" s="902">
        <f t="shared" si="405"/>
        <v>505174</v>
      </c>
      <c r="BZ175" s="903">
        <f t="shared" si="405"/>
        <v>131579</v>
      </c>
      <c r="CA175" s="903">
        <f t="shared" si="405"/>
        <v>120154</v>
      </c>
      <c r="CB175" s="903">
        <f t="shared" si="405"/>
        <v>117009</v>
      </c>
      <c r="CC175" s="903">
        <f t="shared" si="405"/>
        <v>118146</v>
      </c>
      <c r="CD175" s="902">
        <f t="shared" si="405"/>
        <v>486888</v>
      </c>
      <c r="CE175" s="903">
        <f t="shared" si="405"/>
        <v>123192</v>
      </c>
      <c r="CF175" s="903">
        <f t="shared" si="405"/>
        <v>116897</v>
      </c>
      <c r="CG175" s="903">
        <f t="shared" si="405"/>
        <v>116839</v>
      </c>
      <c r="CH175" s="903">
        <f t="shared" si="405"/>
        <v>116195</v>
      </c>
      <c r="CI175" s="902">
        <f t="shared" si="405"/>
        <v>473123</v>
      </c>
      <c r="CJ175" s="903">
        <f t="shared" si="405"/>
        <v>119168</v>
      </c>
      <c r="CK175" s="903">
        <f t="shared" si="405"/>
        <v>114316</v>
      </c>
      <c r="CL175" s="903">
        <f t="shared" si="405"/>
        <v>112222</v>
      </c>
      <c r="CM175" s="903">
        <f t="shared" si="405"/>
        <v>113548</v>
      </c>
      <c r="CN175" s="902">
        <f t="shared" si="405"/>
        <v>459254</v>
      </c>
      <c r="CO175" s="903">
        <f t="shared" si="405"/>
        <v>118314</v>
      </c>
      <c r="CP175" s="903">
        <f t="shared" si="405"/>
        <v>112481</v>
      </c>
      <c r="CQ175" s="903">
        <f t="shared" si="405"/>
        <v>112352</v>
      </c>
      <c r="CR175" s="903">
        <f t="shared" si="405"/>
        <v>112228</v>
      </c>
      <c r="CS175" s="902">
        <f t="shared" si="405"/>
        <v>455375</v>
      </c>
      <c r="CT175" s="903">
        <f t="shared" si="405"/>
        <v>118052</v>
      </c>
      <c r="CU175" s="903">
        <f t="shared" si="405"/>
        <v>111960</v>
      </c>
      <c r="CV175" s="903">
        <f t="shared" si="405"/>
        <v>111653</v>
      </c>
      <c r="CW175" s="903">
        <f t="shared" si="405"/>
        <v>112074</v>
      </c>
      <c r="CX175" s="902">
        <f>SUM(CT175:CW175)</f>
        <v>453739</v>
      </c>
      <c r="CY175" s="903">
        <f>CY160-CY172</f>
        <v>112749</v>
      </c>
      <c r="CZ175" s="903">
        <f>CZ160-CZ172</f>
        <v>107542</v>
      </c>
      <c r="DA175" s="903">
        <f>DA160-DA172</f>
        <v>108389</v>
      </c>
      <c r="DB175" s="903">
        <f>DB160-DB172</f>
        <v>170212</v>
      </c>
      <c r="DC175" s="902">
        <f>SUM(CY175:DB175)</f>
        <v>498892</v>
      </c>
      <c r="DD175" s="903">
        <f>DD160-DD172</f>
        <v>174010</v>
      </c>
      <c r="DE175" s="903">
        <f>DE160-DE172</f>
        <v>174271</v>
      </c>
      <c r="DF175" s="903">
        <f>DF160-DF172</f>
        <v>179222</v>
      </c>
      <c r="DG175" s="903">
        <f>DG160-DG172</f>
        <v>181532</v>
      </c>
      <c r="DH175" s="902">
        <f>SUM(DD175:DG175)</f>
        <v>709035</v>
      </c>
      <c r="DI175" s="903">
        <f>DI160-DI172</f>
        <v>15305</v>
      </c>
      <c r="DJ175" s="903">
        <f>DJ160-DJ172</f>
        <v>14879</v>
      </c>
      <c r="DK175" s="903">
        <f>DK160-DK172</f>
        <v>21517</v>
      </c>
      <c r="DL175" s="903">
        <f>DL160-DL172</f>
        <v>31638</v>
      </c>
      <c r="DM175" s="902">
        <f>SUM(DI175:DL175)</f>
        <v>83339</v>
      </c>
      <c r="DN175" s="903">
        <f>DN160-DN172</f>
        <v>9544</v>
      </c>
      <c r="DO175" s="903">
        <f>DO160-DO172</f>
        <v>10305</v>
      </c>
      <c r="DP175" s="903">
        <f>DP160-DP172</f>
        <v>10407</v>
      </c>
      <c r="DQ175" s="903">
        <f>DQ160-DQ172</f>
        <v>9533</v>
      </c>
      <c r="DR175" s="902">
        <f>SUM(DN175:DQ175)</f>
        <v>39789</v>
      </c>
      <c r="DS175" s="903">
        <f>DS160-DS172</f>
        <v>10103</v>
      </c>
      <c r="DT175" s="903">
        <f>DT160-DT172</f>
        <v>10372</v>
      </c>
      <c r="DU175" s="903">
        <f>DU160-DU172</f>
        <v>10179</v>
      </c>
      <c r="DV175" s="903">
        <f>DV160-DV172</f>
        <v>9852</v>
      </c>
      <c r="DW175" s="902">
        <f>SUM(DS175:DV175)</f>
        <v>40506</v>
      </c>
      <c r="DX175" s="901"/>
      <c r="DY175" s="901"/>
      <c r="DZ175" s="901"/>
      <c r="EA175" s="901"/>
      <c r="EB175" s="902"/>
      <c r="EC175" s="901"/>
      <c r="ED175" s="901"/>
      <c r="EE175" s="901"/>
      <c r="EF175" s="901"/>
      <c r="EG175" s="902"/>
      <c r="EH175" s="901"/>
      <c r="EI175" s="901"/>
      <c r="EJ175" s="901"/>
      <c r="EK175" s="901"/>
      <c r="EL175" s="902"/>
    </row>
    <row r="176" spans="1:142" ht="11.25" customHeight="1">
      <c r="A176" s="1122"/>
      <c r="B176" s="1122" t="s">
        <v>133</v>
      </c>
      <c r="C176" s="1012"/>
      <c r="D176" s="1012"/>
      <c r="E176" s="1012"/>
      <c r="F176" s="1012"/>
      <c r="G176" s="1012"/>
      <c r="H176" s="1011"/>
      <c r="I176" s="1010" t="str">
        <f t="shared" ref="I176:AT176" si="406">IF(ISERROR(+I175/D175-1),"nm",+I175/D175-1)</f>
        <v>nm</v>
      </c>
      <c r="J176" s="1010" t="str">
        <f t="shared" si="406"/>
        <v>nm</v>
      </c>
      <c r="K176" s="1010" t="str">
        <f t="shared" si="406"/>
        <v>nm</v>
      </c>
      <c r="L176" s="1010" t="str">
        <f t="shared" si="406"/>
        <v>nm</v>
      </c>
      <c r="M176" s="1011" t="str">
        <f t="shared" si="406"/>
        <v>nm</v>
      </c>
      <c r="N176" s="1010" t="str">
        <f t="shared" si="406"/>
        <v>nm</v>
      </c>
      <c r="O176" s="1010" t="str">
        <f t="shared" si="406"/>
        <v>nm</v>
      </c>
      <c r="P176" s="1010" t="str">
        <f t="shared" si="406"/>
        <v>nm</v>
      </c>
      <c r="Q176" s="1010" t="str">
        <f t="shared" si="406"/>
        <v>nm</v>
      </c>
      <c r="R176" s="1011" t="str">
        <f t="shared" si="406"/>
        <v>nm</v>
      </c>
      <c r="S176" s="1010" t="str">
        <f t="shared" si="406"/>
        <v>nm</v>
      </c>
      <c r="T176" s="1010" t="str">
        <f t="shared" si="406"/>
        <v>nm</v>
      </c>
      <c r="U176" s="1010" t="str">
        <f t="shared" si="406"/>
        <v>nm</v>
      </c>
      <c r="V176" s="1010" t="str">
        <f t="shared" si="406"/>
        <v>nm</v>
      </c>
      <c r="W176" s="1011" t="str">
        <f t="shared" si="406"/>
        <v>nm</v>
      </c>
      <c r="X176" s="1010" t="str">
        <f t="shared" si="406"/>
        <v>nm</v>
      </c>
      <c r="Y176" s="1010" t="str">
        <f t="shared" si="406"/>
        <v>nm</v>
      </c>
      <c r="Z176" s="1010" t="str">
        <f t="shared" si="406"/>
        <v>nm</v>
      </c>
      <c r="AA176" s="1010" t="str">
        <f t="shared" si="406"/>
        <v>nm</v>
      </c>
      <c r="AB176" s="1011" t="str">
        <f t="shared" si="406"/>
        <v>nm</v>
      </c>
      <c r="AC176" s="1010" t="str">
        <f t="shared" si="406"/>
        <v>nm</v>
      </c>
      <c r="AD176" s="1010" t="str">
        <f t="shared" si="406"/>
        <v>nm</v>
      </c>
      <c r="AE176" s="1010" t="str">
        <f t="shared" si="406"/>
        <v>nm</v>
      </c>
      <c r="AF176" s="1010" t="str">
        <f t="shared" si="406"/>
        <v>nm</v>
      </c>
      <c r="AG176" s="1011" t="str">
        <f t="shared" si="406"/>
        <v>nm</v>
      </c>
      <c r="AH176" s="1010" t="str">
        <f t="shared" si="406"/>
        <v>nm</v>
      </c>
      <c r="AI176" s="1010" t="str">
        <f t="shared" si="406"/>
        <v>nm</v>
      </c>
      <c r="AJ176" s="1010" t="str">
        <f t="shared" si="406"/>
        <v>nm</v>
      </c>
      <c r="AK176" s="1010" t="str">
        <f t="shared" si="406"/>
        <v>nm</v>
      </c>
      <c r="AL176" s="1011" t="str">
        <f t="shared" si="406"/>
        <v>nm</v>
      </c>
      <c r="AM176" s="1010" t="str">
        <f t="shared" si="406"/>
        <v>nm</v>
      </c>
      <c r="AN176" s="1010" t="str">
        <f t="shared" si="406"/>
        <v>nm</v>
      </c>
      <c r="AO176" s="1010" t="str">
        <f t="shared" si="406"/>
        <v>nm</v>
      </c>
      <c r="AP176" s="1010" t="str">
        <f t="shared" si="406"/>
        <v>nm</v>
      </c>
      <c r="AQ176" s="1011" t="str">
        <f t="shared" si="406"/>
        <v>nm</v>
      </c>
      <c r="AR176" s="1010" t="str">
        <f t="shared" si="406"/>
        <v>nm</v>
      </c>
      <c r="AS176" s="1010" t="str">
        <f t="shared" si="406"/>
        <v>nm</v>
      </c>
      <c r="AT176" s="1010" t="str">
        <f t="shared" si="406"/>
        <v>nm</v>
      </c>
      <c r="AU176" s="802"/>
      <c r="AV176" s="1012"/>
      <c r="AW176" s="1012"/>
      <c r="AX176" s="1012"/>
      <c r="AY176" s="1012"/>
      <c r="AZ176" s="1011"/>
      <c r="BA176" s="1010" t="str">
        <f t="shared" ref="BA176:BO176" si="407">IF(ISERROR(+BA175/AV175-1),"nm",+BA175/AV175-1)</f>
        <v>nm</v>
      </c>
      <c r="BB176" s="1010" t="str">
        <f t="shared" si="407"/>
        <v>nm</v>
      </c>
      <c r="BC176" s="1010" t="str">
        <f t="shared" si="407"/>
        <v>nm</v>
      </c>
      <c r="BD176" s="1010" t="str">
        <f t="shared" si="407"/>
        <v>nm</v>
      </c>
      <c r="BE176" s="1011" t="str">
        <f t="shared" si="407"/>
        <v>nm</v>
      </c>
      <c r="BF176" s="1010" t="str">
        <f t="shared" si="407"/>
        <v>nm</v>
      </c>
      <c r="BG176" s="1010" t="str">
        <f t="shared" si="407"/>
        <v>nm</v>
      </c>
      <c r="BH176" s="1010" t="str">
        <f t="shared" si="407"/>
        <v>nm</v>
      </c>
      <c r="BI176" s="1010" t="str">
        <f t="shared" si="407"/>
        <v>nm</v>
      </c>
      <c r="BJ176" s="1011" t="str">
        <f t="shared" si="407"/>
        <v>nm</v>
      </c>
      <c r="BK176" s="850" t="str">
        <f t="shared" si="407"/>
        <v>nm</v>
      </c>
      <c r="BL176" s="850">
        <f t="shared" si="407"/>
        <v>-3.1113284265788299E-2</v>
      </c>
      <c r="BM176" s="850">
        <f t="shared" si="407"/>
        <v>-4.4290235703473679E-2</v>
      </c>
      <c r="BN176" s="850">
        <f t="shared" si="407"/>
        <v>-7.5190998474653492E-2</v>
      </c>
      <c r="BO176" s="851" t="str">
        <f t="shared" si="407"/>
        <v>nm</v>
      </c>
      <c r="BP176" s="850">
        <f t="shared" ref="BP176:CW176" si="408">+BP175/BK175-1</f>
        <v>-7.4495122528560942E-2</v>
      </c>
      <c r="BQ176" s="850">
        <f t="shared" si="408"/>
        <v>-0.15066137214799857</v>
      </c>
      <c r="BR176" s="850">
        <f t="shared" si="408"/>
        <v>-0.13446876199879332</v>
      </c>
      <c r="BS176" s="850">
        <f t="shared" si="408"/>
        <v>-8.4860125380210483E-2</v>
      </c>
      <c r="BT176" s="851">
        <f t="shared" si="408"/>
        <v>-0.11078970641439656</v>
      </c>
      <c r="BU176" s="850">
        <f t="shared" si="408"/>
        <v>-0.10203600874978969</v>
      </c>
      <c r="BV176" s="850">
        <f t="shared" si="408"/>
        <v>-2.396272291586854E-2</v>
      </c>
      <c r="BW176" s="850">
        <f t="shared" si="408"/>
        <v>-3.36829430590323E-2</v>
      </c>
      <c r="BX176" s="850">
        <f t="shared" si="408"/>
        <v>-2.5247914862408183E-2</v>
      </c>
      <c r="BY176" s="851">
        <f t="shared" si="408"/>
        <v>-4.8434035868273329E-2</v>
      </c>
      <c r="BZ176" s="850">
        <f t="shared" si="408"/>
        <v>-1.376157103773934E-2</v>
      </c>
      <c r="CA176" s="850">
        <f t="shared" si="408"/>
        <v>-3.7551465051825494E-2</v>
      </c>
      <c r="CB176" s="850">
        <f t="shared" si="408"/>
        <v>-4.0784037250786942E-2</v>
      </c>
      <c r="CC176" s="850">
        <f t="shared" si="408"/>
        <v>-5.4325118263389149E-2</v>
      </c>
      <c r="CD176" s="851">
        <f t="shared" si="408"/>
        <v>-3.6197429004659831E-2</v>
      </c>
      <c r="CE176" s="850">
        <f t="shared" si="408"/>
        <v>-6.3741174503530229E-2</v>
      </c>
      <c r="CF176" s="850">
        <f t="shared" si="408"/>
        <v>-2.710687950463575E-2</v>
      </c>
      <c r="CG176" s="850">
        <f t="shared" si="408"/>
        <v>-1.4528796930151078E-3</v>
      </c>
      <c r="CH176" s="850">
        <f t="shared" si="408"/>
        <v>-1.6513466389044051E-2</v>
      </c>
      <c r="CI176" s="851">
        <f t="shared" si="408"/>
        <v>-2.8271388902581296E-2</v>
      </c>
      <c r="CJ176" s="850">
        <f t="shared" si="408"/>
        <v>-3.2664458731086476E-2</v>
      </c>
      <c r="CK176" s="850">
        <f t="shared" si="408"/>
        <v>-2.2079266362695416E-2</v>
      </c>
      <c r="CL176" s="850">
        <f t="shared" si="408"/>
        <v>-3.9515915062607543E-2</v>
      </c>
      <c r="CM176" s="850">
        <f t="shared" si="408"/>
        <v>-2.2780670424717098E-2</v>
      </c>
      <c r="CN176" s="851">
        <f t="shared" si="408"/>
        <v>-2.9313730256191328E-2</v>
      </c>
      <c r="CO176" s="850">
        <f t="shared" si="408"/>
        <v>-7.1663533834586124E-3</v>
      </c>
      <c r="CP176" s="850">
        <f t="shared" si="408"/>
        <v>-1.6051996221001397E-2</v>
      </c>
      <c r="CQ176" s="850">
        <f t="shared" si="408"/>
        <v>1.1584181354815648E-3</v>
      </c>
      <c r="CR176" s="850">
        <f t="shared" si="408"/>
        <v>-1.1625039630816958E-2</v>
      </c>
      <c r="CS176" s="851">
        <f t="shared" si="408"/>
        <v>-8.4463064012507694E-3</v>
      </c>
      <c r="CT176" s="850">
        <f t="shared" si="408"/>
        <v>-2.214446303903217E-3</v>
      </c>
      <c r="CU176" s="850">
        <f t="shared" si="408"/>
        <v>-4.6318933864385459E-3</v>
      </c>
      <c r="CV176" s="850">
        <f t="shared" si="408"/>
        <v>-6.221518086015343E-3</v>
      </c>
      <c r="CW176" s="850">
        <f t="shared" si="408"/>
        <v>-1.3722065794632421E-3</v>
      </c>
      <c r="CX176" s="851">
        <f>CX175/CS175-1</f>
        <v>-3.5926434257480544E-3</v>
      </c>
      <c r="CY176" s="850">
        <f>+CY175/CT175-1</f>
        <v>-4.4920882323044031E-2</v>
      </c>
      <c r="CZ176" s="850">
        <f>+CZ175/CU175-1</f>
        <v>-3.9460521614862465E-2</v>
      </c>
      <c r="DA176" s="850">
        <f>+DA175/CV175-1</f>
        <v>-2.9233428568869568E-2</v>
      </c>
      <c r="DB176" s="850">
        <f>+DB175/CW175-1</f>
        <v>0.51874654246301555</v>
      </c>
      <c r="DC176" s="851">
        <f>DC175/CX175-1</f>
        <v>9.9513156241804124E-2</v>
      </c>
      <c r="DD176" s="850">
        <f>+DD175/CY175-1</f>
        <v>0.54333963050670064</v>
      </c>
      <c r="DE176" s="850">
        <f>+DE175/CZ175-1</f>
        <v>0.62049245876029824</v>
      </c>
      <c r="DF176" s="850">
        <f>+DF175/DA175-1</f>
        <v>0.65350727472344983</v>
      </c>
      <c r="DG176" s="850">
        <f>+DG175/DB175-1</f>
        <v>6.650529927384663E-2</v>
      </c>
      <c r="DH176" s="851">
        <f>DH175/DC175-1</f>
        <v>0.42121942223968323</v>
      </c>
      <c r="DI176" s="850">
        <f>+DI175/DD175-1</f>
        <v>-0.9120452847537498</v>
      </c>
      <c r="DJ176" s="850">
        <f>+DJ175/DE175-1</f>
        <v>-0.91462148033809409</v>
      </c>
      <c r="DK176" s="850">
        <f>+DK175/DF175-1</f>
        <v>-0.87994219459664547</v>
      </c>
      <c r="DL176" s="850">
        <f>+DL175/DG175-1</f>
        <v>-0.82571667805125271</v>
      </c>
      <c r="DM176" s="851">
        <f>DM175/DH175-1</f>
        <v>-0.88246137355701759</v>
      </c>
      <c r="DN176" s="850">
        <f>+DN175/DI175-1</f>
        <v>-0.37641293694870959</v>
      </c>
      <c r="DO176" s="850">
        <f>+DO175/DJ175-1</f>
        <v>-0.30741313260299752</v>
      </c>
      <c r="DP176" s="850">
        <f>+DP175/DK175-1</f>
        <v>-0.51633592043500487</v>
      </c>
      <c r="DQ176" s="850">
        <f>+DQ175/DL175-1</f>
        <v>-0.69868512548201522</v>
      </c>
      <c r="DR176" s="851">
        <f>DR175/DM175-1</f>
        <v>-0.52256446561633807</v>
      </c>
      <c r="DS176" s="850">
        <f>+DS175/DN175-1</f>
        <v>5.8570829840737693E-2</v>
      </c>
      <c r="DT176" s="850">
        <f>+DT175/DO175-1</f>
        <v>6.5016982047549909E-3</v>
      </c>
      <c r="DU176" s="850">
        <f>+DU175/DP175-1</f>
        <v>-2.1908330931104114E-2</v>
      </c>
      <c r="DV176" s="850">
        <f>+DV175/DQ175-1</f>
        <v>3.3462708486310611E-2</v>
      </c>
      <c r="DW176" s="851">
        <f>DW175/DR175-1</f>
        <v>1.8020055794315093E-2</v>
      </c>
      <c r="DX176" s="1142"/>
      <c r="DY176" s="1142"/>
      <c r="DZ176" s="1142"/>
      <c r="EA176" s="1142"/>
      <c r="EB176" s="851"/>
      <c r="EC176" s="1142"/>
      <c r="ED176" s="1142"/>
      <c r="EE176" s="1142"/>
      <c r="EF176" s="1142"/>
      <c r="EG176" s="851"/>
      <c r="EH176" s="1142"/>
      <c r="EI176" s="1142"/>
      <c r="EJ176" s="1142"/>
      <c r="EK176" s="1142"/>
      <c r="EL176" s="851"/>
    </row>
    <row r="177" spans="1:142" ht="11.25" customHeight="1">
      <c r="A177" s="846"/>
      <c r="B177" s="846" t="s">
        <v>151</v>
      </c>
      <c r="C177" s="706"/>
      <c r="D177" s="706">
        <f>IF(ISERROR(D172/D160),"nm",D172/D160)</f>
        <v>0.13782142711601938</v>
      </c>
      <c r="E177" s="706" t="str">
        <f>IF(ISERROR(E172/E160),"nm",E172/E160)</f>
        <v>nm</v>
      </c>
      <c r="F177" s="706" t="str">
        <f>IF(ISERROR(F172/F160),"nm",F172/F160)</f>
        <v>nm</v>
      </c>
      <c r="G177" s="706" t="str">
        <f>IF(ISERROR(G172/G160),"nm",G172/G160)</f>
        <v>nm</v>
      </c>
      <c r="H177" s="974" t="s">
        <v>89</v>
      </c>
      <c r="I177" s="706" t="str">
        <f>IF(ISERROR(I172/I160),"nm",I172/I160)</f>
        <v>nm</v>
      </c>
      <c r="J177" s="706" t="str">
        <f>IF(ISERROR(J172/J160),"nm",J172/J160)</f>
        <v>nm</v>
      </c>
      <c r="K177" s="706" t="str">
        <f>IF(ISERROR(K172/K160),"nm",K172/K160)</f>
        <v>nm</v>
      </c>
      <c r="L177" s="706" t="str">
        <f>IF(ISERROR(L172/L160),"nm",L172/L160)</f>
        <v>nm</v>
      </c>
      <c r="M177" s="974" t="s">
        <v>89</v>
      </c>
      <c r="N177" s="706" t="str">
        <f>IF(ISERROR(N172/N160),"nm",N172/N160)</f>
        <v>nm</v>
      </c>
      <c r="O177" s="706" t="str">
        <f>IF(ISERROR(O172/O160),"nm",O172/O160)</f>
        <v>nm</v>
      </c>
      <c r="P177" s="706" t="str">
        <f>IF(ISERROR(P172/P160),"nm",P172/P160)</f>
        <v>nm</v>
      </c>
      <c r="Q177" s="706" t="str">
        <f>IF(ISERROR(Q172/Q160),"nm",Q172/Q160)</f>
        <v>nm</v>
      </c>
      <c r="R177" s="974" t="s">
        <v>89</v>
      </c>
      <c r="S177" s="706" t="str">
        <f>IF(ISERROR(S172/S160),"nm",S172/S160)</f>
        <v>nm</v>
      </c>
      <c r="T177" s="706" t="str">
        <f>IF(ISERROR(T172/T160),"nm",T172/T160)</f>
        <v>nm</v>
      </c>
      <c r="U177" s="706" t="str">
        <f>IF(ISERROR(U172/U160),"nm",U172/U160)</f>
        <v>nm</v>
      </c>
      <c r="V177" s="706" t="str">
        <f>IF(ISERROR(V172/V160),"nm",V172/V160)</f>
        <v>nm</v>
      </c>
      <c r="W177" s="974" t="s">
        <v>89</v>
      </c>
      <c r="X177" s="706" t="str">
        <f>IF(ISERROR(X172/X160),"nm",X172/X160)</f>
        <v>nm</v>
      </c>
      <c r="Y177" s="706" t="str">
        <f>IF(ISERROR(Y172/Y160),"nm",Y172/Y160)</f>
        <v>nm</v>
      </c>
      <c r="Z177" s="706" t="str">
        <f>IF(ISERROR(Z172/Z160),"nm",Z172/Z160)</f>
        <v>nm</v>
      </c>
      <c r="AA177" s="706" t="str">
        <f>IF(ISERROR(AA172/AA160),"nm",AA172/AA160)</f>
        <v>nm</v>
      </c>
      <c r="AB177" s="974" t="s">
        <v>89</v>
      </c>
      <c r="AC177" s="706" t="str">
        <f>IF(ISERROR(AC172/AC160),"nm",AC172/AC160)</f>
        <v>nm</v>
      </c>
      <c r="AD177" s="706" t="str">
        <f>IF(ISERROR(AD172/AD160),"nm",AD172/AD160)</f>
        <v>nm</v>
      </c>
      <c r="AE177" s="706" t="str">
        <f>IF(ISERROR(AE172/AE160),"nm",AE172/AE160)</f>
        <v>nm</v>
      </c>
      <c r="AF177" s="706" t="str">
        <f>IF(ISERROR(AF172/AF160),"nm",AF172/AF160)</f>
        <v>nm</v>
      </c>
      <c r="AG177" s="974" t="s">
        <v>89</v>
      </c>
      <c r="AH177" s="706" t="str">
        <f>IF(ISERROR(AH172/AH160),"nm",AH172/AH160)</f>
        <v>nm</v>
      </c>
      <c r="AI177" s="706" t="str">
        <f>IF(ISERROR(AI172/AI160),"nm",AI172/AI160)</f>
        <v>nm</v>
      </c>
      <c r="AJ177" s="706" t="str">
        <f>IF(ISERROR(AJ172/AJ160),"nm",AJ172/AJ160)</f>
        <v>nm</v>
      </c>
      <c r="AK177" s="706" t="str">
        <f>IF(ISERROR(AK172/AK160),"nm",AK172/AK160)</f>
        <v>nm</v>
      </c>
      <c r="AL177" s="974" t="s">
        <v>89</v>
      </c>
      <c r="AM177" s="706" t="str">
        <f>IF(ISERROR(AM172/AM160),"nm",AM172/AM160)</f>
        <v>nm</v>
      </c>
      <c r="AN177" s="706" t="str">
        <f>IF(ISERROR(AN172/AN160),"nm",AN172/AN160)</f>
        <v>nm</v>
      </c>
      <c r="AO177" s="706" t="str">
        <f>IF(ISERROR(AO172/AO160),"nm",AO172/AO160)</f>
        <v>nm</v>
      </c>
      <c r="AP177" s="706" t="str">
        <f>IF(ISERROR(AP172/AP160),"nm",AP172/AP160)</f>
        <v>nm</v>
      </c>
      <c r="AQ177" s="974" t="s">
        <v>89</v>
      </c>
      <c r="AR177" s="706" t="str">
        <f>IF(ISERROR(AR172/AR160),"nm",AR172/AR160)</f>
        <v>nm</v>
      </c>
      <c r="AS177" s="706" t="str">
        <f>IF(ISERROR(AS172/AS160),"nm",AS172/AS160)</f>
        <v>nm</v>
      </c>
      <c r="AT177" s="706" t="str">
        <f>IF(ISERROR(AT172/AT160),"nm",AT172/AT160)</f>
        <v>nm</v>
      </c>
      <c r="AU177" s="802"/>
      <c r="AV177" s="706" t="str">
        <f>IF(ISERROR(AV172/AV160),"nm",AV172/AV160)</f>
        <v>nm</v>
      </c>
      <c r="AW177" s="706" t="str">
        <f>IF(ISERROR(AW172/AW160),"nm",AW172/AW160)</f>
        <v>nm</v>
      </c>
      <c r="AX177" s="706" t="str">
        <f>IF(ISERROR(AX172/AX160),"nm",AX172/AX160)</f>
        <v>nm</v>
      </c>
      <c r="AY177" s="706" t="str">
        <f>IF(ISERROR(AY172/AY160),"nm",AY172/AY160)</f>
        <v>nm</v>
      </c>
      <c r="AZ177" s="974" t="s">
        <v>89</v>
      </c>
      <c r="BA177" s="706" t="str">
        <f>IF(ISERROR(BA172/BA160),"nm",BA172/BA160)</f>
        <v>nm</v>
      </c>
      <c r="BB177" s="706" t="str">
        <f>IF(ISERROR(BB172/BB160),"nm",BB172/BB160)</f>
        <v>nm</v>
      </c>
      <c r="BC177" s="706" t="str">
        <f>IF(ISERROR(BC172/BC160),"nm",BC172/BC160)</f>
        <v>nm</v>
      </c>
      <c r="BD177" s="706" t="str">
        <f>IF(ISERROR(BD172/BD160),"nm",BD172/BD160)</f>
        <v>nm</v>
      </c>
      <c r="BE177" s="974" t="s">
        <v>89</v>
      </c>
      <c r="BF177" s="706" t="str">
        <f>IF(ISERROR(BF172/BF160),"nm",BF172/BF160)</f>
        <v>nm</v>
      </c>
      <c r="BG177" s="706">
        <f>IF(ISERROR(BG172/BG160),"nm",BG172/BG160)</f>
        <v>0.10711803261737488</v>
      </c>
      <c r="BH177" s="706">
        <f>IF(ISERROR(BH172/BH160),"nm",BH172/BH160)</f>
        <v>0.10606104983217447</v>
      </c>
      <c r="BI177" s="706">
        <f>IF(ISERROR(BI172/BI160),"nm",BI172/BI160)</f>
        <v>0.10571443756163526</v>
      </c>
      <c r="BJ177" s="974" t="s">
        <v>89</v>
      </c>
      <c r="BK177" s="700">
        <f t="shared" ref="BK177:BS177" si="409">BK172/BK160</f>
        <v>0.10043819834358785</v>
      </c>
      <c r="BL177" s="700">
        <f t="shared" si="409"/>
        <v>0.1063930788127648</v>
      </c>
      <c r="BM177" s="700">
        <f t="shared" si="409"/>
        <v>0.10909124228041563</v>
      </c>
      <c r="BN177" s="700">
        <f t="shared" si="409"/>
        <v>0.11299842934589857</v>
      </c>
      <c r="BO177" s="78">
        <f t="shared" si="409"/>
        <v>0.10702421674366985</v>
      </c>
      <c r="BP177" s="700">
        <f t="shared" si="409"/>
        <v>0.10726088471753212</v>
      </c>
      <c r="BQ177" s="700">
        <f t="shared" si="409"/>
        <v>0.10539531110116383</v>
      </c>
      <c r="BR177" s="700">
        <f t="shared" si="409"/>
        <v>0.10599633152270135</v>
      </c>
      <c r="BS177" s="700">
        <f t="shared" si="409"/>
        <v>0.10440220809167773</v>
      </c>
      <c r="BT177" s="78"/>
      <c r="BU177" s="700">
        <f>BU172/BU160</f>
        <v>0.10078318774937992</v>
      </c>
      <c r="BV177" s="700">
        <f>BV172/BV160</f>
        <v>0.10720006865381315</v>
      </c>
      <c r="BW177" s="700">
        <f>BW172/BW160</f>
        <v>0.10551208816994566</v>
      </c>
      <c r="BX177" s="700">
        <f>BX172/BX160</f>
        <v>0.1040954040545289</v>
      </c>
      <c r="BY177" s="78"/>
      <c r="BZ177" s="700">
        <f>BZ172/BZ160</f>
        <v>9.9125683808376178E-2</v>
      </c>
      <c r="CA177" s="700">
        <f>CA172/CA160</f>
        <v>0.10321458692520694</v>
      </c>
      <c r="CB177" s="700">
        <f>CB172/CB160</f>
        <v>0.10368838331609789</v>
      </c>
      <c r="CC177" s="700">
        <f>CC172/CC160</f>
        <v>0.10286803398813908</v>
      </c>
      <c r="CD177" s="78"/>
      <c r="CE177" s="700">
        <f>CE172/CE160</f>
        <v>9.9249813550151347E-2</v>
      </c>
      <c r="CF177" s="700">
        <f>CF172/CF160</f>
        <v>0.10291770267366547</v>
      </c>
      <c r="CG177" s="700">
        <f>CG172/CG160</f>
        <v>0.10301862457584179</v>
      </c>
      <c r="CH177" s="700">
        <f>CH172/CH160</f>
        <v>0.10364804714921586</v>
      </c>
      <c r="CI177" s="78"/>
      <c r="CJ177" s="700">
        <f>CJ172/CJ160</f>
        <v>0.10129035663919034</v>
      </c>
      <c r="CK177" s="700">
        <f>CK172/CK160</f>
        <v>0.10516551729536364</v>
      </c>
      <c r="CL177" s="700">
        <f>CL172/CL160</f>
        <v>0.10683274304588324</v>
      </c>
      <c r="CM177" s="700">
        <f>CM172/CM160</f>
        <v>0.10575931074131535</v>
      </c>
      <c r="CN177" s="78"/>
      <c r="CO177" s="700">
        <f t="shared" ref="CO177:DW177" si="410">CO172/CO160</f>
        <v>9.9842510099895768E-2</v>
      </c>
      <c r="CP177" s="700">
        <f t="shared" si="410"/>
        <v>0.10439359194853175</v>
      </c>
      <c r="CQ177" s="700">
        <f t="shared" si="410"/>
        <v>0.10446523936297407</v>
      </c>
      <c r="CR177" s="700">
        <f t="shared" si="410"/>
        <v>0.10466145978762954</v>
      </c>
      <c r="CS177" s="78">
        <f t="shared" si="410"/>
        <v>0.10329950338102609</v>
      </c>
      <c r="CT177" s="700">
        <f t="shared" si="410"/>
        <v>0.10014482811189877</v>
      </c>
      <c r="CU177" s="700">
        <f t="shared" si="410"/>
        <v>0.10529344073647871</v>
      </c>
      <c r="CV177" s="700">
        <f t="shared" si="410"/>
        <v>0.1058389191873083</v>
      </c>
      <c r="CW177" s="700">
        <f t="shared" si="410"/>
        <v>0.10548327879319978</v>
      </c>
      <c r="CX177" s="78">
        <f t="shared" si="410"/>
        <v>0.1041412875011106</v>
      </c>
      <c r="CY177" s="700">
        <f t="shared" si="410"/>
        <v>0.10466215089455169</v>
      </c>
      <c r="CZ177" s="700">
        <f t="shared" si="410"/>
        <v>0.10917645499577541</v>
      </c>
      <c r="DA177" s="700">
        <f t="shared" si="410"/>
        <v>0.10841579679030015</v>
      </c>
      <c r="DB177" s="700">
        <f t="shared" si="410"/>
        <v>0.10652682855133172</v>
      </c>
      <c r="DC177" s="78">
        <f t="shared" si="410"/>
        <v>0.10709005845441236</v>
      </c>
      <c r="DD177" s="700">
        <f t="shared" si="410"/>
        <v>0.10430167856572967</v>
      </c>
      <c r="DE177" s="700">
        <f t="shared" si="410"/>
        <v>0.10465420954475162</v>
      </c>
      <c r="DF177" s="700">
        <f t="shared" si="410"/>
        <v>0.10350450693798333</v>
      </c>
      <c r="DG177" s="700">
        <f t="shared" si="410"/>
        <v>0.10282350731700085</v>
      </c>
      <c r="DH177" s="78">
        <f t="shared" si="410"/>
        <v>0.10380893998091423</v>
      </c>
      <c r="DI177" s="700">
        <f t="shared" si="410"/>
        <v>0.92653588245741192</v>
      </c>
      <c r="DJ177" s="700">
        <f t="shared" si="410"/>
        <v>0.92630802147512725</v>
      </c>
      <c r="DK177" s="700">
        <f t="shared" si="410"/>
        <v>0.8934116015257344</v>
      </c>
      <c r="DL177" s="700">
        <f t="shared" si="410"/>
        <v>0.8507578151902675</v>
      </c>
      <c r="DM177" s="78">
        <f t="shared" si="410"/>
        <v>0.89887295504682674</v>
      </c>
      <c r="DN177" s="700">
        <f t="shared" si="410"/>
        <v>0.95079905144860299</v>
      </c>
      <c r="DO177" s="700">
        <f t="shared" si="410"/>
        <v>0.94682086294180479</v>
      </c>
      <c r="DP177" s="700">
        <f t="shared" si="410"/>
        <v>0.94141060430342405</v>
      </c>
      <c r="DQ177" s="700">
        <f t="shared" si="410"/>
        <v>0.94573409535953368</v>
      </c>
      <c r="DR177" s="78">
        <f t="shared" si="410"/>
        <v>0.94630777389593512</v>
      </c>
      <c r="DS177" s="700">
        <f t="shared" si="410"/>
        <v>0.94850190129573564</v>
      </c>
      <c r="DT177" s="700">
        <f t="shared" si="410"/>
        <v>0.9452586912119405</v>
      </c>
      <c r="DU177" s="700">
        <f t="shared" si="410"/>
        <v>0.94406220805627306</v>
      </c>
      <c r="DV177" s="700">
        <f t="shared" si="410"/>
        <v>0.94671051564012831</v>
      </c>
      <c r="DW177" s="78">
        <f t="shared" si="410"/>
        <v>0.94617157163701893</v>
      </c>
      <c r="DX177" s="1156"/>
      <c r="DY177" s="1156"/>
      <c r="DZ177" s="1156"/>
      <c r="EA177" s="1156"/>
      <c r="EB177" s="1145"/>
      <c r="EC177" s="1156"/>
      <c r="ED177" s="1156"/>
      <c r="EE177" s="1156"/>
      <c r="EF177" s="1156"/>
      <c r="EG177" s="1145"/>
      <c r="EH177" s="1156"/>
      <c r="EI177" s="1156"/>
      <c r="EJ177" s="1156"/>
      <c r="EK177" s="1156"/>
      <c r="EL177" s="1145"/>
    </row>
    <row r="178" spans="1:142" ht="11.25" customHeight="1">
      <c r="A178" s="846"/>
      <c r="B178" s="1056" t="s">
        <v>152</v>
      </c>
      <c r="C178" s="1056"/>
      <c r="D178" s="706">
        <f t="shared" ref="D178:AT178" si="411">IF(ISERROR(1-D177),"nm",1-D177)</f>
        <v>0.86217857288398059</v>
      </c>
      <c r="E178" s="706" t="str">
        <f t="shared" si="411"/>
        <v>nm</v>
      </c>
      <c r="F178" s="706" t="str">
        <f t="shared" si="411"/>
        <v>nm</v>
      </c>
      <c r="G178" s="706" t="str">
        <f t="shared" si="411"/>
        <v>nm</v>
      </c>
      <c r="H178" s="974" t="str">
        <f t="shared" si="411"/>
        <v>nm</v>
      </c>
      <c r="I178" s="706" t="str">
        <f t="shared" si="411"/>
        <v>nm</v>
      </c>
      <c r="J178" s="706" t="str">
        <f t="shared" si="411"/>
        <v>nm</v>
      </c>
      <c r="K178" s="706" t="str">
        <f t="shared" si="411"/>
        <v>nm</v>
      </c>
      <c r="L178" s="706" t="str">
        <f t="shared" si="411"/>
        <v>nm</v>
      </c>
      <c r="M178" s="974" t="str">
        <f t="shared" si="411"/>
        <v>nm</v>
      </c>
      <c r="N178" s="706" t="str">
        <f t="shared" si="411"/>
        <v>nm</v>
      </c>
      <c r="O178" s="706" t="str">
        <f t="shared" si="411"/>
        <v>nm</v>
      </c>
      <c r="P178" s="706" t="str">
        <f t="shared" si="411"/>
        <v>nm</v>
      </c>
      <c r="Q178" s="706" t="str">
        <f t="shared" si="411"/>
        <v>nm</v>
      </c>
      <c r="R178" s="974" t="str">
        <f t="shared" si="411"/>
        <v>nm</v>
      </c>
      <c r="S178" s="706" t="str">
        <f t="shared" si="411"/>
        <v>nm</v>
      </c>
      <c r="T178" s="706" t="str">
        <f t="shared" si="411"/>
        <v>nm</v>
      </c>
      <c r="U178" s="706" t="str">
        <f t="shared" si="411"/>
        <v>nm</v>
      </c>
      <c r="V178" s="706" t="str">
        <f t="shared" si="411"/>
        <v>nm</v>
      </c>
      <c r="W178" s="974" t="str">
        <f t="shared" si="411"/>
        <v>nm</v>
      </c>
      <c r="X178" s="706" t="str">
        <f t="shared" si="411"/>
        <v>nm</v>
      </c>
      <c r="Y178" s="706" t="str">
        <f t="shared" si="411"/>
        <v>nm</v>
      </c>
      <c r="Z178" s="706" t="str">
        <f t="shared" si="411"/>
        <v>nm</v>
      </c>
      <c r="AA178" s="706" t="str">
        <f t="shared" si="411"/>
        <v>nm</v>
      </c>
      <c r="AB178" s="974" t="str">
        <f t="shared" si="411"/>
        <v>nm</v>
      </c>
      <c r="AC178" s="706" t="str">
        <f t="shared" si="411"/>
        <v>nm</v>
      </c>
      <c r="AD178" s="706" t="str">
        <f t="shared" si="411"/>
        <v>nm</v>
      </c>
      <c r="AE178" s="706" t="str">
        <f t="shared" si="411"/>
        <v>nm</v>
      </c>
      <c r="AF178" s="706" t="str">
        <f t="shared" si="411"/>
        <v>nm</v>
      </c>
      <c r="AG178" s="974" t="str">
        <f t="shared" si="411"/>
        <v>nm</v>
      </c>
      <c r="AH178" s="706" t="str">
        <f t="shared" si="411"/>
        <v>nm</v>
      </c>
      <c r="AI178" s="706" t="str">
        <f t="shared" si="411"/>
        <v>nm</v>
      </c>
      <c r="AJ178" s="706" t="str">
        <f t="shared" si="411"/>
        <v>nm</v>
      </c>
      <c r="AK178" s="706" t="str">
        <f t="shared" si="411"/>
        <v>nm</v>
      </c>
      <c r="AL178" s="974" t="str">
        <f t="shared" si="411"/>
        <v>nm</v>
      </c>
      <c r="AM178" s="706" t="str">
        <f t="shared" si="411"/>
        <v>nm</v>
      </c>
      <c r="AN178" s="706" t="str">
        <f t="shared" si="411"/>
        <v>nm</v>
      </c>
      <c r="AO178" s="706" t="str">
        <f t="shared" si="411"/>
        <v>nm</v>
      </c>
      <c r="AP178" s="706" t="str">
        <f t="shared" si="411"/>
        <v>nm</v>
      </c>
      <c r="AQ178" s="974" t="str">
        <f t="shared" si="411"/>
        <v>nm</v>
      </c>
      <c r="AR178" s="706" t="str">
        <f t="shared" si="411"/>
        <v>nm</v>
      </c>
      <c r="AS178" s="706" t="str">
        <f t="shared" si="411"/>
        <v>nm</v>
      </c>
      <c r="AT178" s="706" t="str">
        <f t="shared" si="411"/>
        <v>nm</v>
      </c>
      <c r="AU178" s="802"/>
      <c r="AV178" s="706" t="str">
        <f t="shared" ref="AV178:BJ178" si="412">IF(ISERROR(1-AV177),"nm",1-AV177)</f>
        <v>nm</v>
      </c>
      <c r="AW178" s="706" t="str">
        <f t="shared" si="412"/>
        <v>nm</v>
      </c>
      <c r="AX178" s="706" t="str">
        <f t="shared" si="412"/>
        <v>nm</v>
      </c>
      <c r="AY178" s="706" t="str">
        <f t="shared" si="412"/>
        <v>nm</v>
      </c>
      <c r="AZ178" s="974" t="str">
        <f t="shared" si="412"/>
        <v>nm</v>
      </c>
      <c r="BA178" s="706" t="str">
        <f t="shared" si="412"/>
        <v>nm</v>
      </c>
      <c r="BB178" s="706" t="str">
        <f t="shared" si="412"/>
        <v>nm</v>
      </c>
      <c r="BC178" s="706" t="str">
        <f t="shared" si="412"/>
        <v>nm</v>
      </c>
      <c r="BD178" s="706" t="str">
        <f t="shared" si="412"/>
        <v>nm</v>
      </c>
      <c r="BE178" s="974" t="str">
        <f t="shared" si="412"/>
        <v>nm</v>
      </c>
      <c r="BF178" s="706" t="str">
        <f t="shared" si="412"/>
        <v>nm</v>
      </c>
      <c r="BG178" s="706">
        <f t="shared" si="412"/>
        <v>0.89288196738262515</v>
      </c>
      <c r="BH178" s="706">
        <f t="shared" si="412"/>
        <v>0.89393895016782554</v>
      </c>
      <c r="BI178" s="706">
        <f t="shared" si="412"/>
        <v>0.89428556243836477</v>
      </c>
      <c r="BJ178" s="974" t="str">
        <f t="shared" si="412"/>
        <v>nm</v>
      </c>
      <c r="BK178" s="700">
        <f t="shared" ref="BK178:BS178" si="413">1-BK177</f>
        <v>0.8995618016564122</v>
      </c>
      <c r="BL178" s="700">
        <f t="shared" si="413"/>
        <v>0.89360692118723517</v>
      </c>
      <c r="BM178" s="700">
        <f t="shared" si="413"/>
        <v>0.89090875771958433</v>
      </c>
      <c r="BN178" s="700">
        <f t="shared" si="413"/>
        <v>0.88700157065410146</v>
      </c>
      <c r="BO178" s="78">
        <f t="shared" si="413"/>
        <v>0.89297578325633009</v>
      </c>
      <c r="BP178" s="700">
        <f t="shared" si="413"/>
        <v>0.89273911528246785</v>
      </c>
      <c r="BQ178" s="700">
        <f t="shared" si="413"/>
        <v>0.89460468889883615</v>
      </c>
      <c r="BR178" s="700">
        <f t="shared" si="413"/>
        <v>0.89400366847729862</v>
      </c>
      <c r="BS178" s="700">
        <f t="shared" si="413"/>
        <v>0.89559779190832223</v>
      </c>
      <c r="BT178" s="78"/>
      <c r="BU178" s="700">
        <f>1-BU177</f>
        <v>0.89921681225062011</v>
      </c>
      <c r="BV178" s="700">
        <f>1-BV177</f>
        <v>0.89279993134618685</v>
      </c>
      <c r="BW178" s="700">
        <f>1-BW177</f>
        <v>0.89448791183005438</v>
      </c>
      <c r="BX178" s="700">
        <f>1-BX177</f>
        <v>0.89590459594547112</v>
      </c>
      <c r="BY178" s="78"/>
      <c r="BZ178" s="700">
        <f>1-BZ177</f>
        <v>0.90087431619162384</v>
      </c>
      <c r="CA178" s="700">
        <f>1-CA177</f>
        <v>0.89678541307479309</v>
      </c>
      <c r="CB178" s="700">
        <f>1-CB177</f>
        <v>0.89631161668390213</v>
      </c>
      <c r="CC178" s="700">
        <f>1-CC177</f>
        <v>0.89713196601186096</v>
      </c>
      <c r="CD178" s="78"/>
      <c r="CE178" s="700">
        <f>1-CE177</f>
        <v>0.90075018644984861</v>
      </c>
      <c r="CF178" s="700">
        <f>1-CF177</f>
        <v>0.89708229732633449</v>
      </c>
      <c r="CG178" s="700">
        <f>1-CG177</f>
        <v>0.89698137542415823</v>
      </c>
      <c r="CH178" s="700">
        <f>1-CH177</f>
        <v>0.89635195285078417</v>
      </c>
      <c r="CI178" s="78"/>
      <c r="CJ178" s="700">
        <f>1-CJ177</f>
        <v>0.89870964336080972</v>
      </c>
      <c r="CK178" s="700">
        <f>1-CK177</f>
        <v>0.89483448270463639</v>
      </c>
      <c r="CL178" s="700">
        <f>1-CL177</f>
        <v>0.89316725695411681</v>
      </c>
      <c r="CM178" s="700">
        <f>1-CM177</f>
        <v>0.89424068925868461</v>
      </c>
      <c r="CN178" s="78"/>
      <c r="CO178" s="700">
        <f t="shared" ref="CO178:DC178" si="414">1-CO177</f>
        <v>0.90015748990010425</v>
      </c>
      <c r="CP178" s="700">
        <f t="shared" si="414"/>
        <v>0.89560640805146829</v>
      </c>
      <c r="CQ178" s="700">
        <f t="shared" si="414"/>
        <v>0.89553476063702597</v>
      </c>
      <c r="CR178" s="700">
        <f t="shared" si="414"/>
        <v>0.89533854021237047</v>
      </c>
      <c r="CS178" s="78">
        <f t="shared" si="414"/>
        <v>0.89670049661897389</v>
      </c>
      <c r="CT178" s="700">
        <f t="shared" si="414"/>
        <v>0.89985517188810127</v>
      </c>
      <c r="CU178" s="700">
        <f t="shared" si="414"/>
        <v>0.89470655926352127</v>
      </c>
      <c r="CV178" s="700">
        <f t="shared" si="414"/>
        <v>0.89416108081269174</v>
      </c>
      <c r="CW178" s="700">
        <f t="shared" si="414"/>
        <v>0.89451672120680026</v>
      </c>
      <c r="CX178" s="78">
        <f t="shared" si="414"/>
        <v>0.89585871249888938</v>
      </c>
      <c r="CY178" s="700">
        <f t="shared" si="414"/>
        <v>0.89533784910544834</v>
      </c>
      <c r="CZ178" s="700">
        <f t="shared" si="414"/>
        <v>0.89082354500422456</v>
      </c>
      <c r="DA178" s="700">
        <f t="shared" si="414"/>
        <v>0.89158420320969989</v>
      </c>
      <c r="DB178" s="700">
        <f t="shared" si="414"/>
        <v>0.89347317144866834</v>
      </c>
      <c r="DC178" s="78">
        <f t="shared" si="414"/>
        <v>0.89290994154558767</v>
      </c>
      <c r="DD178" s="700">
        <f t="shared" ref="DD178:DI178" si="415">1-DD177</f>
        <v>0.89569832143427031</v>
      </c>
      <c r="DE178" s="700">
        <f t="shared" si="415"/>
        <v>0.89534579045524842</v>
      </c>
      <c r="DF178" s="700">
        <f t="shared" si="415"/>
        <v>0.8964954930620167</v>
      </c>
      <c r="DG178" s="700">
        <f t="shared" si="415"/>
        <v>0.89717649268299915</v>
      </c>
      <c r="DH178" s="78">
        <f t="shared" si="415"/>
        <v>0.89619106001908577</v>
      </c>
      <c r="DI178" s="700">
        <f t="shared" si="415"/>
        <v>7.3464117542588081E-2</v>
      </c>
      <c r="DJ178" s="700">
        <f t="shared" ref="DJ178:DW178" si="416">1-DJ177</f>
        <v>7.3691978524872748E-2</v>
      </c>
      <c r="DK178" s="700">
        <f t="shared" si="416"/>
        <v>0.1065883984742656</v>
      </c>
      <c r="DL178" s="700">
        <f t="shared" si="416"/>
        <v>0.1492421848097325</v>
      </c>
      <c r="DM178" s="78">
        <f t="shared" si="416"/>
        <v>0.10112704495317326</v>
      </c>
      <c r="DN178" s="700">
        <f t="shared" si="416"/>
        <v>4.9200948551397006E-2</v>
      </c>
      <c r="DO178" s="700">
        <f t="shared" si="416"/>
        <v>5.3179137058195214E-2</v>
      </c>
      <c r="DP178" s="700">
        <f t="shared" si="416"/>
        <v>5.8589395696575952E-2</v>
      </c>
      <c r="DQ178" s="700">
        <f t="shared" si="416"/>
        <v>5.4265904640466323E-2</v>
      </c>
      <c r="DR178" s="78">
        <f t="shared" si="416"/>
        <v>5.3692226104064877E-2</v>
      </c>
      <c r="DS178" s="700">
        <f t="shared" si="416"/>
        <v>5.1498098704264361E-2</v>
      </c>
      <c r="DT178" s="700">
        <f t="shared" si="416"/>
        <v>5.4741308788059495E-2</v>
      </c>
      <c r="DU178" s="700">
        <f t="shared" si="416"/>
        <v>5.5937791943726944E-2</v>
      </c>
      <c r="DV178" s="700">
        <f t="shared" si="416"/>
        <v>5.3289484359871686E-2</v>
      </c>
      <c r="DW178" s="78">
        <f t="shared" si="416"/>
        <v>5.3828428362981073E-2</v>
      </c>
      <c r="DX178" s="1156"/>
      <c r="DY178" s="1156"/>
      <c r="DZ178" s="1156"/>
      <c r="EA178" s="1156"/>
      <c r="EB178" s="1145"/>
      <c r="EC178" s="1156"/>
      <c r="ED178" s="1156"/>
      <c r="EE178" s="1156"/>
      <c r="EF178" s="1156"/>
      <c r="EG178" s="1145"/>
      <c r="EH178" s="1156"/>
      <c r="EI178" s="1156"/>
      <c r="EJ178" s="1156"/>
      <c r="EK178" s="1156"/>
      <c r="EL178" s="1145"/>
    </row>
    <row r="179" spans="1:142" ht="11.25" customHeight="1">
      <c r="A179" s="1056"/>
      <c r="B179" s="1056"/>
      <c r="C179" s="1154"/>
      <c r="D179" s="1154"/>
      <c r="E179" s="1154"/>
      <c r="F179" s="1154"/>
      <c r="G179" s="1154"/>
      <c r="H179" s="1155"/>
      <c r="I179" s="1154"/>
      <c r="J179" s="1154"/>
      <c r="K179" s="1154"/>
      <c r="L179" s="1154"/>
      <c r="M179" s="1155"/>
      <c r="N179" s="1154"/>
      <c r="O179" s="1154"/>
      <c r="P179" s="1154"/>
      <c r="Q179" s="1154"/>
      <c r="R179" s="1155"/>
      <c r="S179" s="1154"/>
      <c r="T179" s="1154"/>
      <c r="U179" s="1154"/>
      <c r="V179" s="1154"/>
      <c r="W179" s="1155"/>
      <c r="X179" s="1154"/>
      <c r="Y179" s="1154"/>
      <c r="Z179" s="1154"/>
      <c r="AA179" s="1154"/>
      <c r="AB179" s="1155"/>
      <c r="AC179" s="1154"/>
      <c r="AD179" s="1154"/>
      <c r="AE179" s="1154"/>
      <c r="AF179" s="1154"/>
      <c r="AG179" s="1155"/>
      <c r="AH179" s="1154"/>
      <c r="AI179" s="1154"/>
      <c r="AJ179" s="1154"/>
      <c r="AK179" s="1154"/>
      <c r="AL179" s="1155"/>
      <c r="AM179" s="1154"/>
      <c r="AN179" s="1154"/>
      <c r="AO179" s="1154"/>
      <c r="AP179" s="1154"/>
      <c r="AQ179" s="1155"/>
      <c r="AR179" s="1154"/>
      <c r="AS179" s="1154"/>
      <c r="AT179" s="1154"/>
      <c r="AU179" s="802"/>
      <c r="AV179" s="1154"/>
      <c r="AW179" s="1154"/>
      <c r="AX179" s="1154"/>
      <c r="AY179" s="1154"/>
      <c r="AZ179" s="1155"/>
      <c r="BA179" s="1154"/>
      <c r="BB179" s="1154"/>
      <c r="BC179" s="1154"/>
      <c r="BD179" s="1154"/>
      <c r="BE179" s="1155"/>
      <c r="BF179" s="1154"/>
      <c r="BG179" s="1154"/>
      <c r="BH179" s="1154"/>
      <c r="BI179" s="1154"/>
      <c r="BJ179" s="1155"/>
      <c r="BK179" s="558"/>
      <c r="BL179" s="558"/>
      <c r="BM179" s="558"/>
      <c r="BN179" s="558"/>
      <c r="BO179" s="1145"/>
      <c r="BP179" s="558"/>
      <c r="BQ179" s="558"/>
      <c r="BR179" s="558"/>
      <c r="BS179" s="558"/>
      <c r="BT179" s="1145"/>
      <c r="BU179" s="558"/>
      <c r="BV179" s="558"/>
      <c r="BW179" s="558"/>
      <c r="BX179" s="558"/>
      <c r="BY179" s="1145"/>
      <c r="BZ179" s="558"/>
      <c r="CA179" s="558"/>
      <c r="CB179" s="558"/>
      <c r="CC179" s="558"/>
      <c r="CD179" s="1145"/>
      <c r="CE179" s="558"/>
      <c r="CF179" s="558"/>
      <c r="CG179" s="558"/>
      <c r="CH179" s="558"/>
      <c r="CI179" s="1145"/>
      <c r="CJ179" s="558"/>
      <c r="CK179" s="558"/>
      <c r="CL179" s="558"/>
      <c r="CM179" s="558"/>
      <c r="CN179" s="1145"/>
      <c r="CO179" s="558"/>
      <c r="CP179" s="558"/>
      <c r="CQ179" s="558"/>
      <c r="CR179" s="558"/>
      <c r="CS179" s="1145"/>
      <c r="CT179" s="558"/>
      <c r="CU179" s="558"/>
      <c r="CV179" s="558"/>
      <c r="CW179" s="558"/>
      <c r="CX179" s="1145"/>
      <c r="CY179" s="558"/>
      <c r="CZ179" s="558"/>
      <c r="DA179" s="558"/>
      <c r="DB179" s="558"/>
      <c r="DC179" s="1145"/>
      <c r="DD179" s="558"/>
      <c r="DE179" s="558"/>
      <c r="DF179" s="558"/>
      <c r="DG179" s="558"/>
      <c r="DH179" s="1145"/>
      <c r="DI179" s="558"/>
      <c r="DJ179" s="558"/>
      <c r="DK179" s="558"/>
      <c r="DL179" s="558"/>
      <c r="DM179" s="1145"/>
      <c r="DN179" s="558"/>
      <c r="DO179" s="558"/>
      <c r="DP179" s="558"/>
      <c r="DQ179" s="558"/>
      <c r="DR179" s="1145"/>
      <c r="DS179" s="558"/>
      <c r="DT179" s="558"/>
      <c r="DU179" s="558"/>
      <c r="DV179" s="558"/>
      <c r="DW179" s="1145"/>
      <c r="DX179" s="1156"/>
      <c r="DY179" s="1156"/>
      <c r="DZ179" s="1156"/>
      <c r="EA179" s="1156"/>
      <c r="EB179" s="1145"/>
      <c r="EC179" s="1156"/>
      <c r="ED179" s="1156"/>
      <c r="EE179" s="1156"/>
      <c r="EF179" s="1156"/>
      <c r="EG179" s="1145"/>
      <c r="EH179" s="1156"/>
      <c r="EI179" s="1156"/>
      <c r="EJ179" s="1156"/>
      <c r="EK179" s="1156"/>
      <c r="EL179" s="1145"/>
    </row>
    <row r="180" spans="1:142" ht="11.25" customHeight="1">
      <c r="A180" s="846"/>
      <c r="B180" s="846" t="s">
        <v>153</v>
      </c>
      <c r="C180" s="1149"/>
      <c r="D180" s="1149">
        <f>D340</f>
        <v>268939</v>
      </c>
      <c r="E180" s="1149">
        <f>E340</f>
        <v>266541</v>
      </c>
      <c r="F180" s="1149">
        <f>F340</f>
        <v>289897</v>
      </c>
      <c r="G180" s="1149">
        <f>G340</f>
        <v>682488</v>
      </c>
      <c r="H180" s="1157">
        <f>SUM(D180:G180)</f>
        <v>1507865</v>
      </c>
      <c r="I180" s="1149">
        <f>I340</f>
        <v>619226</v>
      </c>
      <c r="J180" s="1149">
        <f>J340</f>
        <v>661141</v>
      </c>
      <c r="K180" s="1149">
        <f>K340</f>
        <v>734293</v>
      </c>
      <c r="L180" s="1149">
        <f>L340</f>
        <v>695402</v>
      </c>
      <c r="M180" s="1157">
        <f>SUM(I180:L180)</f>
        <v>2710062</v>
      </c>
      <c r="N180" s="1149">
        <f>N340</f>
        <v>665006</v>
      </c>
      <c r="O180" s="1149">
        <f>O340</f>
        <v>677525</v>
      </c>
      <c r="P180" s="1149">
        <f>P340</f>
        <v>1119362</v>
      </c>
      <c r="Q180" s="1149">
        <f>Q340</f>
        <v>1637816</v>
      </c>
      <c r="R180" s="1157">
        <f>SUM(N180:Q180)</f>
        <v>4099709</v>
      </c>
      <c r="S180" s="1149">
        <f>S340</f>
        <v>1054439</v>
      </c>
      <c r="T180" s="1149">
        <f>T340</f>
        <v>1099812</v>
      </c>
      <c r="U180" s="1149">
        <f>U340</f>
        <v>1230830</v>
      </c>
      <c r="V180" s="1149">
        <f>V340</f>
        <v>1162231</v>
      </c>
      <c r="W180" s="1157">
        <f>SUM(S180:V180)</f>
        <v>4547312</v>
      </c>
      <c r="X180" s="1149">
        <f>X340</f>
        <v>1113315</v>
      </c>
      <c r="Y180" s="1149">
        <f>Y340</f>
        <v>1136595</v>
      </c>
      <c r="Z180" s="1149">
        <f>Z340</f>
        <v>1304313</v>
      </c>
      <c r="AA180" s="1149">
        <f>AA340</f>
        <v>1327216</v>
      </c>
      <c r="AB180" s="1157">
        <f>SUM(X180:AA180)</f>
        <v>4881439</v>
      </c>
      <c r="AC180" s="1149">
        <f>AC340</f>
        <v>1223438</v>
      </c>
      <c r="AD180" s="1149">
        <f>AD340</f>
        <v>1184765</v>
      </c>
      <c r="AE180" s="1149">
        <f>AE340</f>
        <v>1274739</v>
      </c>
      <c r="AF180" s="1149">
        <f>AF340</f>
        <v>1205707</v>
      </c>
      <c r="AG180" s="1157">
        <f>SUM(AC180:AF180)</f>
        <v>4888649</v>
      </c>
      <c r="AH180" s="1149">
        <f>AH340</f>
        <v>1183421</v>
      </c>
      <c r="AI180" s="1149">
        <f>AI340</f>
        <v>1192364</v>
      </c>
      <c r="AJ180" s="1149">
        <f>AJ340</f>
        <v>1269277</v>
      </c>
      <c r="AK180" s="1149">
        <f>AK340</f>
        <v>1291691</v>
      </c>
      <c r="AL180" s="1157">
        <f>SUM(AH180:AK180)</f>
        <v>4936753</v>
      </c>
      <c r="AM180" s="1149">
        <f>AM340</f>
        <v>1275551</v>
      </c>
      <c r="AN180" s="1149">
        <f>AN340</f>
        <v>1281472</v>
      </c>
      <c r="AO180" s="1149">
        <f>AO340</f>
        <v>1375943</v>
      </c>
      <c r="AP180" s="1149">
        <f>AP340</f>
        <v>1402953</v>
      </c>
      <c r="AQ180" s="1157">
        <f>SUM(AM180:AP180)</f>
        <v>5335919</v>
      </c>
      <c r="AR180" s="1149">
        <f>AR340</f>
        <v>1343673</v>
      </c>
      <c r="AS180" s="1149">
        <f>AS340</f>
        <v>1349050</v>
      </c>
      <c r="AT180" s="1149">
        <f>AT340</f>
        <v>1388530</v>
      </c>
      <c r="AU180" s="802"/>
      <c r="AV180" s="1149" t="str">
        <f>AV340</f>
        <v>ND</v>
      </c>
      <c r="AW180" s="1149" t="str">
        <f>AW340</f>
        <v>ND</v>
      </c>
      <c r="AX180" s="1149" t="str">
        <f>AX340</f>
        <v>ND</v>
      </c>
      <c r="AY180" s="1149" t="str">
        <f>AY340</f>
        <v>ND</v>
      </c>
      <c r="AZ180" s="1157">
        <f>SUM(AV180:AY180)</f>
        <v>0</v>
      </c>
      <c r="BA180" s="1149">
        <f>BA340</f>
        <v>1313502</v>
      </c>
      <c r="BB180" s="1149">
        <f>BB340</f>
        <v>1256929</v>
      </c>
      <c r="BC180" s="1149">
        <f>BC340</f>
        <v>1235744</v>
      </c>
      <c r="BD180" s="1149">
        <f>BD340</f>
        <v>1213134</v>
      </c>
      <c r="BE180" s="1157">
        <f>SUM(BA180:BD180)</f>
        <v>5019309</v>
      </c>
      <c r="BF180" s="1149">
        <f>BF340</f>
        <v>979258</v>
      </c>
      <c r="BG180" s="1149">
        <f>BG340</f>
        <v>897777</v>
      </c>
      <c r="BH180" s="1149">
        <f>BH340</f>
        <v>877620</v>
      </c>
      <c r="BI180" s="1149">
        <f>BI340</f>
        <v>877259</v>
      </c>
      <c r="BJ180" s="1157">
        <f>SUM(BF180:BI180)</f>
        <v>3631914</v>
      </c>
      <c r="BK180" s="903">
        <f>BK340</f>
        <v>934203</v>
      </c>
      <c r="BL180" s="903">
        <f>BL340</f>
        <v>865396</v>
      </c>
      <c r="BM180" s="903">
        <f>BM340</f>
        <v>834601</v>
      </c>
      <c r="BN180" s="903">
        <f>BN340</f>
        <v>809577</v>
      </c>
      <c r="BO180" s="902">
        <f>SUM(BK180:BN180)</f>
        <v>3443777</v>
      </c>
      <c r="BP180" s="903">
        <f>BP340</f>
        <v>855620</v>
      </c>
      <c r="BQ180" s="903">
        <f>BQ340</f>
        <v>710339</v>
      </c>
      <c r="BR180" s="903">
        <f>BR340</f>
        <v>695656</v>
      </c>
      <c r="BS180" s="903">
        <f>BS340</f>
        <v>705249</v>
      </c>
      <c r="BT180" s="902">
        <f>SUM(BP180:BS180)</f>
        <v>2966864</v>
      </c>
      <c r="BU180" s="903">
        <f>BU340</f>
        <v>745651</v>
      </c>
      <c r="BV180" s="903">
        <f>BV340</f>
        <v>693016</v>
      </c>
      <c r="BW180" s="903">
        <f>BW340</f>
        <v>671502</v>
      </c>
      <c r="BX180" s="903">
        <f>BX340</f>
        <v>682853</v>
      </c>
      <c r="BY180" s="902">
        <f>SUM(BU180:BX180)</f>
        <v>2793022</v>
      </c>
      <c r="BZ180" s="903">
        <f>BZ340</f>
        <v>739709</v>
      </c>
      <c r="CA180" s="903">
        <f>CA340</f>
        <v>659534</v>
      </c>
      <c r="CB180" s="903">
        <f>CB340</f>
        <v>634755</v>
      </c>
      <c r="CC180" s="903">
        <f>CC340</f>
        <v>641594</v>
      </c>
      <c r="CD180" s="902">
        <f>SUM(BZ180:CC180)</f>
        <v>2675592</v>
      </c>
      <c r="CE180" s="903">
        <f>CE340</f>
        <v>679657</v>
      </c>
      <c r="CF180" s="903">
        <f>CF340</f>
        <v>629714</v>
      </c>
      <c r="CG180" s="903">
        <f>CG340</f>
        <v>622427</v>
      </c>
      <c r="CH180" s="903">
        <f>CH340</f>
        <v>628438</v>
      </c>
      <c r="CI180" s="902">
        <f>SUM(CE180:CH180)</f>
        <v>2560236</v>
      </c>
      <c r="CJ180" s="903">
        <f>CJ340</f>
        <v>652952</v>
      </c>
      <c r="CK180" s="903">
        <f>CK340</f>
        <v>614365</v>
      </c>
      <c r="CL180" s="903">
        <f>CL340</f>
        <v>596810</v>
      </c>
      <c r="CM180" s="903">
        <f>CM340</f>
        <v>608890</v>
      </c>
      <c r="CN180" s="902">
        <f>SUM(CJ180:CM180)</f>
        <v>2473017</v>
      </c>
      <c r="CO180" s="903">
        <f>CO340</f>
        <v>635463</v>
      </c>
      <c r="CP180" s="903">
        <f>CP340</f>
        <v>595986</v>
      </c>
      <c r="CQ180" s="903">
        <f>CQ340</f>
        <v>591948</v>
      </c>
      <c r="CR180" s="903">
        <f>CR340</f>
        <v>589848</v>
      </c>
      <c r="CS180" s="902">
        <f>SUM(CO180:CR180)</f>
        <v>2413245</v>
      </c>
      <c r="CT180" s="903">
        <f>CT340</f>
        <v>617459</v>
      </c>
      <c r="CU180" s="903">
        <f>CU340</f>
        <v>590437</v>
      </c>
      <c r="CV180" s="903">
        <f>CV340</f>
        <v>580594</v>
      </c>
      <c r="CW180" s="903">
        <f>CW340</f>
        <v>580426</v>
      </c>
      <c r="CX180" s="902">
        <f>SUM(CT180:CW180)</f>
        <v>2368916</v>
      </c>
      <c r="CY180" s="903">
        <f>CY340</f>
        <v>603285</v>
      </c>
      <c r="CZ180" s="903">
        <f>CZ340</f>
        <v>567390</v>
      </c>
      <c r="DA180" s="903">
        <f>DA340</f>
        <v>569833</v>
      </c>
      <c r="DB180" s="903">
        <f>DB340</f>
        <v>880737</v>
      </c>
      <c r="DC180" s="902">
        <f>SUM(CY180:DB180)</f>
        <v>2621245</v>
      </c>
      <c r="DD180" s="903">
        <f>DD340</f>
        <v>929164</v>
      </c>
      <c r="DE180" s="903">
        <f>DE340</f>
        <v>907093</v>
      </c>
      <c r="DF180" s="903">
        <f>DF340</f>
        <v>921228</v>
      </c>
      <c r="DG180" s="903">
        <f>DG340</f>
        <v>937803</v>
      </c>
      <c r="DH180" s="902">
        <f>SUM(DD180:DG180)</f>
        <v>3695288</v>
      </c>
      <c r="DI180" s="903">
        <f t="shared" ref="DI180:DU180" si="417">DI298</f>
        <v>130241</v>
      </c>
      <c r="DJ180" s="903">
        <f t="shared" si="417"/>
        <v>123761</v>
      </c>
      <c r="DK180" s="903">
        <f t="shared" si="417"/>
        <v>119264</v>
      </c>
      <c r="DL180" s="903">
        <f t="shared" si="417"/>
        <v>123761</v>
      </c>
      <c r="DM180" s="902">
        <f t="shared" si="417"/>
        <v>489401</v>
      </c>
      <c r="DN180" s="903">
        <f t="shared" si="417"/>
        <v>125004</v>
      </c>
      <c r="DO180" s="903">
        <f t="shared" si="417"/>
        <v>122239</v>
      </c>
      <c r="DP180" s="903">
        <f t="shared" si="417"/>
        <v>110539</v>
      </c>
      <c r="DQ180" s="903">
        <f t="shared" si="417"/>
        <v>110674</v>
      </c>
      <c r="DR180" s="902">
        <f t="shared" si="417"/>
        <v>451785</v>
      </c>
      <c r="DS180" s="903">
        <f t="shared" si="417"/>
        <v>126067</v>
      </c>
      <c r="DT180" s="903">
        <f t="shared" si="417"/>
        <v>121212</v>
      </c>
      <c r="DU180" s="903">
        <f t="shared" si="417"/>
        <v>118361</v>
      </c>
      <c r="DV180" s="903">
        <f t="shared" ref="DV180:DW180" si="418">DV298</f>
        <v>123102</v>
      </c>
      <c r="DW180" s="902">
        <f t="shared" si="418"/>
        <v>480180</v>
      </c>
      <c r="DX180" s="901"/>
      <c r="DY180" s="901"/>
      <c r="DZ180" s="901"/>
      <c r="EA180" s="901"/>
      <c r="EB180" s="902"/>
      <c r="EC180" s="901"/>
      <c r="ED180" s="901"/>
      <c r="EE180" s="901"/>
      <c r="EF180" s="901"/>
      <c r="EG180" s="902"/>
      <c r="EH180" s="901"/>
      <c r="EI180" s="901"/>
      <c r="EJ180" s="901"/>
      <c r="EK180" s="901"/>
      <c r="EL180" s="902"/>
    </row>
    <row r="181" spans="1:142" ht="11.25" customHeight="1">
      <c r="A181" s="1122"/>
      <c r="B181" s="1122" t="s">
        <v>133</v>
      </c>
      <c r="C181" s="1012"/>
      <c r="D181" s="1012"/>
      <c r="E181" s="1012"/>
      <c r="F181" s="1012"/>
      <c r="G181" s="1012"/>
      <c r="H181" s="1011"/>
      <c r="I181" s="1010">
        <f t="shared" ref="I181:AT181" si="419">IF(ISERROR(+I180/D180-1),"nm",+I180/D180-1)</f>
        <v>1.302477513488189</v>
      </c>
      <c r="J181" s="1010">
        <f t="shared" si="419"/>
        <v>1.4804476609602277</v>
      </c>
      <c r="K181" s="1010">
        <f t="shared" si="419"/>
        <v>1.5329444595839212</v>
      </c>
      <c r="L181" s="1010">
        <f t="shared" si="419"/>
        <v>1.8921944415139835E-2</v>
      </c>
      <c r="M181" s="1011">
        <f t="shared" si="419"/>
        <v>0.79728423963683759</v>
      </c>
      <c r="N181" s="1010">
        <f t="shared" si="419"/>
        <v>7.3931004189100591E-2</v>
      </c>
      <c r="O181" s="1010">
        <f t="shared" si="419"/>
        <v>2.4781400639197981E-2</v>
      </c>
      <c r="P181" s="1010">
        <f t="shared" si="419"/>
        <v>0.52440783175108563</v>
      </c>
      <c r="Q181" s="1010">
        <f t="shared" si="419"/>
        <v>1.3552074914941286</v>
      </c>
      <c r="R181" s="1011">
        <f t="shared" si="419"/>
        <v>0.51277313950750947</v>
      </c>
      <c r="S181" s="1010">
        <f t="shared" si="419"/>
        <v>0.58560825015112639</v>
      </c>
      <c r="T181" s="1010">
        <f t="shared" si="419"/>
        <v>0.62327884579904791</v>
      </c>
      <c r="U181" s="1010">
        <f t="shared" si="419"/>
        <v>9.9581726018928673E-2</v>
      </c>
      <c r="V181" s="1010">
        <f t="shared" si="419"/>
        <v>-0.2903775515686744</v>
      </c>
      <c r="W181" s="1011">
        <f t="shared" si="419"/>
        <v>0.10917921247581241</v>
      </c>
      <c r="X181" s="1010">
        <f t="shared" si="419"/>
        <v>5.5836326236036404E-2</v>
      </c>
      <c r="Y181" s="1010">
        <f t="shared" si="419"/>
        <v>3.3444806930639004E-2</v>
      </c>
      <c r="Z181" s="1010">
        <f t="shared" si="419"/>
        <v>5.9701989714257886E-2</v>
      </c>
      <c r="AA181" s="1010">
        <f t="shared" si="419"/>
        <v>0.14195542882611112</v>
      </c>
      <c r="AB181" s="1011">
        <f t="shared" si="419"/>
        <v>7.3477913985229071E-2</v>
      </c>
      <c r="AC181" s="1010">
        <f t="shared" si="419"/>
        <v>9.8914503083134653E-2</v>
      </c>
      <c r="AD181" s="1010">
        <f t="shared" si="419"/>
        <v>4.2380971234256659E-2</v>
      </c>
      <c r="AE181" s="1010">
        <f t="shared" si="419"/>
        <v>-2.2674005395944108E-2</v>
      </c>
      <c r="AF181" s="1010">
        <f t="shared" si="419"/>
        <v>-9.1551789610734069E-2</v>
      </c>
      <c r="AG181" s="1011">
        <f t="shared" si="419"/>
        <v>1.4770234760692613E-3</v>
      </c>
      <c r="AH181" s="1010">
        <f t="shared" si="419"/>
        <v>-3.2708645636313372E-2</v>
      </c>
      <c r="AI181" s="1010">
        <f t="shared" si="419"/>
        <v>6.4139301886871891E-3</v>
      </c>
      <c r="AJ181" s="1010">
        <f t="shared" si="419"/>
        <v>-4.2847986921243919E-3</v>
      </c>
      <c r="AK181" s="1010">
        <f t="shared" si="419"/>
        <v>7.1314175002716196E-2</v>
      </c>
      <c r="AL181" s="1011">
        <f t="shared" si="419"/>
        <v>9.839937373290697E-3</v>
      </c>
      <c r="AM181" s="1010">
        <f t="shared" si="419"/>
        <v>7.7850570507030037E-2</v>
      </c>
      <c r="AN181" s="1010">
        <f t="shared" si="419"/>
        <v>7.4732212646473783E-2</v>
      </c>
      <c r="AO181" s="1010">
        <f t="shared" si="419"/>
        <v>8.4036817810454245E-2</v>
      </c>
      <c r="AP181" s="1010">
        <f t="shared" si="419"/>
        <v>8.6136699876363521E-2</v>
      </c>
      <c r="AQ181" s="1011">
        <f t="shared" si="419"/>
        <v>8.085597962871538E-2</v>
      </c>
      <c r="AR181" s="1010">
        <f t="shared" si="419"/>
        <v>5.3405939864419327E-2</v>
      </c>
      <c r="AS181" s="1010">
        <f t="shared" si="419"/>
        <v>5.2734667632222898E-2</v>
      </c>
      <c r="AT181" s="1010">
        <f t="shared" si="419"/>
        <v>9.1479080165384197E-3</v>
      </c>
      <c r="AU181" s="802"/>
      <c r="AV181" s="1012"/>
      <c r="AW181" s="1012"/>
      <c r="AX181" s="1012"/>
      <c r="AY181" s="1012"/>
      <c r="AZ181" s="1011"/>
      <c r="BA181" s="1010" t="str">
        <f t="shared" ref="BA181:BL181" si="420">IF(ISERROR(+BA180/AV180-1),"nm",+BA180/AV180-1)</f>
        <v>nm</v>
      </c>
      <c r="BB181" s="1010" t="str">
        <f t="shared" si="420"/>
        <v>nm</v>
      </c>
      <c r="BC181" s="1010" t="str">
        <f t="shared" si="420"/>
        <v>nm</v>
      </c>
      <c r="BD181" s="1010" t="str">
        <f t="shared" si="420"/>
        <v>nm</v>
      </c>
      <c r="BE181" s="1011" t="str">
        <f t="shared" si="420"/>
        <v>nm</v>
      </c>
      <c r="BF181" s="1010">
        <f t="shared" si="420"/>
        <v>-0.25446782722827987</v>
      </c>
      <c r="BG181" s="1010">
        <f t="shared" si="420"/>
        <v>-0.28573769878807798</v>
      </c>
      <c r="BH181" s="1010">
        <f t="shared" si="420"/>
        <v>-0.28980436077375249</v>
      </c>
      <c r="BI181" s="1010">
        <f t="shared" si="420"/>
        <v>-0.27686553999805463</v>
      </c>
      <c r="BJ181" s="1011">
        <f t="shared" si="420"/>
        <v>-0.27641155386129845</v>
      </c>
      <c r="BK181" s="850">
        <f t="shared" si="420"/>
        <v>-4.6009325428028158E-2</v>
      </c>
      <c r="BL181" s="850">
        <f t="shared" si="420"/>
        <v>-3.6067976791564038E-2</v>
      </c>
      <c r="BM181" s="850">
        <f>IF(ISERROR(+BM180/BH180-1),"NM",+BM180/BH180-1)</f>
        <v>-4.9017798135867485E-2</v>
      </c>
      <c r="BN181" s="850">
        <f>IF(ISERROR(+BN180/BI180-1),"NM",+BN180/BI180-1)</f>
        <v>-7.7151673565047485E-2</v>
      </c>
      <c r="BO181" s="851">
        <f>IF(ISERROR(+BO180/BJ180-1),"NM",+BO180/BJ180-1)</f>
        <v>-5.180106136874385E-2</v>
      </c>
      <c r="BP181" s="850">
        <f>IF(ISERROR(+BP180/BK180-1),"NM",+BP180/BK180-1)</f>
        <v>-8.4117691765066005E-2</v>
      </c>
      <c r="BQ181" s="850">
        <f>IF(ISERROR(+BQ180/BL180-1),"NM",+BQ180/BL180-1)</f>
        <v>-0.1791746206361019</v>
      </c>
      <c r="BR181" s="850">
        <f t="shared" ref="BR181:CW181" si="421">+BR180/BM180-1</f>
        <v>-0.16648074948388514</v>
      </c>
      <c r="BS181" s="850">
        <f t="shared" si="421"/>
        <v>-0.12886729736640246</v>
      </c>
      <c r="BT181" s="851">
        <f t="shared" si="421"/>
        <v>-0.13848544780919325</v>
      </c>
      <c r="BU181" s="850">
        <f t="shared" si="421"/>
        <v>-0.12852551366260723</v>
      </c>
      <c r="BV181" s="850">
        <f t="shared" si="421"/>
        <v>-2.4386947640492762E-2</v>
      </c>
      <c r="BW181" s="850">
        <f t="shared" si="421"/>
        <v>-3.4721184033487784E-2</v>
      </c>
      <c r="BX181" s="850">
        <f t="shared" si="421"/>
        <v>-3.1756159881120016E-2</v>
      </c>
      <c r="BY181" s="851">
        <f t="shared" si="421"/>
        <v>-5.8594529442535959E-2</v>
      </c>
      <c r="BZ181" s="850">
        <f t="shared" si="421"/>
        <v>-7.9688755195125305E-3</v>
      </c>
      <c r="CA181" s="850">
        <f t="shared" si="421"/>
        <v>-4.8313458852320856E-2</v>
      </c>
      <c r="CB181" s="850">
        <f t="shared" si="421"/>
        <v>-5.4723589803157724E-2</v>
      </c>
      <c r="CC181" s="850">
        <f t="shared" si="421"/>
        <v>-6.0421496281044429E-2</v>
      </c>
      <c r="CD181" s="851">
        <f t="shared" si="421"/>
        <v>-4.2044065531886221E-2</v>
      </c>
      <c r="CE181" s="850">
        <f t="shared" si="421"/>
        <v>-8.1183276126152282E-2</v>
      </c>
      <c r="CF181" s="850">
        <f t="shared" si="421"/>
        <v>-4.521374182377258E-2</v>
      </c>
      <c r="CG181" s="850">
        <f t="shared" si="421"/>
        <v>-1.9421666627281398E-2</v>
      </c>
      <c r="CH181" s="850">
        <f t="shared" si="421"/>
        <v>-2.0505179287836239E-2</v>
      </c>
      <c r="CI181" s="851">
        <f t="shared" si="421"/>
        <v>-4.3114196783366032E-2</v>
      </c>
      <c r="CJ181" s="850">
        <f t="shared" si="421"/>
        <v>-3.9291878109105061E-2</v>
      </c>
      <c r="CK181" s="850">
        <f t="shared" si="421"/>
        <v>-2.4374557338728398E-2</v>
      </c>
      <c r="CL181" s="850">
        <f t="shared" si="421"/>
        <v>-4.1156633629325201E-2</v>
      </c>
      <c r="CM181" s="850">
        <f t="shared" si="421"/>
        <v>-3.1105693799547418E-2</v>
      </c>
      <c r="CN181" s="851">
        <f t="shared" si="421"/>
        <v>-3.4066781343594865E-2</v>
      </c>
      <c r="CO181" s="850">
        <f t="shared" si="421"/>
        <v>-2.6784510959457997E-2</v>
      </c>
      <c r="CP181" s="850">
        <f t="shared" si="421"/>
        <v>-2.9915441146549648E-2</v>
      </c>
      <c r="CQ181" s="850">
        <f t="shared" si="421"/>
        <v>-8.146646336354979E-3</v>
      </c>
      <c r="CR181" s="850">
        <f t="shared" si="421"/>
        <v>-3.1273300596166842E-2</v>
      </c>
      <c r="CS181" s="851">
        <f t="shared" si="421"/>
        <v>-2.4169668061319483E-2</v>
      </c>
      <c r="CT181" s="850">
        <f t="shared" si="421"/>
        <v>-2.8332098013574392E-2</v>
      </c>
      <c r="CU181" s="850">
        <f t="shared" si="421"/>
        <v>-9.3106213904353696E-3</v>
      </c>
      <c r="CV181" s="850">
        <f t="shared" si="421"/>
        <v>-1.9180738848682655E-2</v>
      </c>
      <c r="CW181" s="850">
        <f t="shared" si="421"/>
        <v>-1.5973606759707604E-2</v>
      </c>
      <c r="CX181" s="851">
        <f>CX180/CS180-1</f>
        <v>-1.8369042513296407E-2</v>
      </c>
      <c r="CY181" s="850">
        <f>+CY180/CT180-1</f>
        <v>-2.2955370316085744E-2</v>
      </c>
      <c r="CZ181" s="850">
        <f>+CZ180/CU180-1</f>
        <v>-3.9033800388525774E-2</v>
      </c>
      <c r="DA181" s="850">
        <f>+DA180/CV180-1</f>
        <v>-1.8534466425763951E-2</v>
      </c>
      <c r="DB181" s="850">
        <f>+DB180/CW180-1</f>
        <v>0.51739756661486558</v>
      </c>
      <c r="DC181" s="851">
        <f>DC180/CX180-1</f>
        <v>0.10651665149798473</v>
      </c>
      <c r="DD181" s="850">
        <f>+DD180/CY180-1</f>
        <v>0.54017421285130585</v>
      </c>
      <c r="DE181" s="850">
        <f>+DE180/CZ180-1</f>
        <v>0.59871164454784198</v>
      </c>
      <c r="DF181" s="850">
        <f>+DF180/DA180-1</f>
        <v>0.61666312761809161</v>
      </c>
      <c r="DG181" s="850">
        <f>+DG180/DB180-1</f>
        <v>6.4793462747676056E-2</v>
      </c>
      <c r="DH181" s="851">
        <f>DH180/DC180-1</f>
        <v>0.40974536908987913</v>
      </c>
      <c r="DI181" s="850">
        <f>+DI180/DD180-1</f>
        <v>-0.85982991161947731</v>
      </c>
      <c r="DJ181" s="850">
        <f>+DJ180/DE180-1</f>
        <v>-0.86356305252052434</v>
      </c>
      <c r="DK181" s="850">
        <f>+DK180/DF180-1</f>
        <v>-0.87053802098937505</v>
      </c>
      <c r="DL181" s="850">
        <f>+DL180/DG180-1</f>
        <v>-0.86803091907362206</v>
      </c>
      <c r="DM181" s="851">
        <f>DM180/DH180-1</f>
        <v>-0.86756079634388439</v>
      </c>
      <c r="DN181" s="850">
        <f>+DN180/DI180-1</f>
        <v>-4.0210072097112248E-2</v>
      </c>
      <c r="DO181" s="850">
        <f>+DO180/DJ180-1</f>
        <v>-1.2297896752611837E-2</v>
      </c>
      <c r="DP181" s="850">
        <f>+DP180/DK180-1</f>
        <v>-7.3157029782667027E-2</v>
      </c>
      <c r="DQ181" s="850">
        <f>+DQ180/DL180-1</f>
        <v>-0.10574413587479092</v>
      </c>
      <c r="DR181" s="851">
        <f>DR180/DM180-1</f>
        <v>-7.6861305963821125E-2</v>
      </c>
      <c r="DS181" s="850">
        <f>+DS180/DN180-1</f>
        <v>8.5037278807078565E-3</v>
      </c>
      <c r="DT181" s="850">
        <f>+DT180/DO180-1</f>
        <v>-8.4015739657555821E-3</v>
      </c>
      <c r="DU181" s="850">
        <f>+DU180/DP180-1</f>
        <v>7.0762355367788743E-2</v>
      </c>
      <c r="DV181" s="850">
        <f>+DV180/DQ180-1</f>
        <v>0.11229376366626309</v>
      </c>
      <c r="DW181" s="851">
        <f>DW180/DR180-1</f>
        <v>6.2850692254058815E-2</v>
      </c>
      <c r="DX181" s="1142"/>
      <c r="DY181" s="1142"/>
      <c r="DZ181" s="1142"/>
      <c r="EA181" s="1142"/>
      <c r="EB181" s="851"/>
      <c r="EC181" s="1142"/>
      <c r="ED181" s="1142"/>
      <c r="EE181" s="1142"/>
      <c r="EF181" s="1142"/>
      <c r="EG181" s="851"/>
      <c r="EH181" s="1142"/>
      <c r="EI181" s="1142"/>
      <c r="EJ181" s="1142"/>
      <c r="EK181" s="1142"/>
      <c r="EL181" s="851"/>
    </row>
    <row r="182" spans="1:142" ht="11.25" customHeight="1">
      <c r="A182" s="846"/>
      <c r="B182" s="846" t="s">
        <v>154</v>
      </c>
      <c r="C182" s="706"/>
      <c r="D182" s="706">
        <f>IF(ISERROR(D180/D160),"nm",D180/D160)</f>
        <v>5.4798280288520314</v>
      </c>
      <c r="E182" s="706">
        <f>IF(ISERROR(E180/E160),"nm",E180/E160)</f>
        <v>5.4772825349855125</v>
      </c>
      <c r="F182" s="706">
        <f>IF(ISERROR(F180/F160),"nm",F180/F160)</f>
        <v>5.5876219112601673</v>
      </c>
      <c r="G182" s="706">
        <f>IF(ISERROR(G180/G160),"nm",G180/G160)</f>
        <v>5.7718127616389703</v>
      </c>
      <c r="H182" s="78">
        <f>H180/H160</f>
        <v>5.629134499081637</v>
      </c>
      <c r="I182" s="706">
        <f>IF(ISERROR(I180/I160),"nm",I180/I160)</f>
        <v>5.5534469924576024</v>
      </c>
      <c r="J182" s="706">
        <f>IF(ISERROR(J180/J160),"nm",J180/J160)</f>
        <v>5.4928923340229137</v>
      </c>
      <c r="K182" s="706">
        <f>IF(ISERROR(K180/K160),"nm",K180/K160)</f>
        <v>5.6252145002145006</v>
      </c>
      <c r="L182" s="706">
        <f>IF(ISERROR(L180/L160),"nm",L180/L160)</f>
        <v>5.55437343748752</v>
      </c>
      <c r="M182" s="78">
        <f>M180/M160</f>
        <v>5.5579500452213999</v>
      </c>
      <c r="N182" s="706">
        <f>IF(ISERROR(N180/N160),"nm",N180/N160)</f>
        <v>5.4415023320513871</v>
      </c>
      <c r="O182" s="706">
        <f>IF(ISERROR(O180/O160),"nm",O180/O160)</f>
        <v>5.4391718313477408</v>
      </c>
      <c r="P182" s="706">
        <f>IF(ISERROR(P180/P160),"nm",P180/P160)</f>
        <v>5.2589241249706369</v>
      </c>
      <c r="Q182" s="706">
        <f>IF(ISERROR(Q180/Q160),"nm",Q180/Q160)</f>
        <v>5.0045865252106108</v>
      </c>
      <c r="R182" s="78">
        <f>R180/R160</f>
        <v>5.2100352401297769</v>
      </c>
      <c r="S182" s="706">
        <f>IF(ISERROR(S180/S160),"nm",S180/S160)</f>
        <v>5.1292928998112579</v>
      </c>
      <c r="T182" s="706">
        <f>IF(ISERROR(T180/T160),"nm",T180/T160)</f>
        <v>5.1568997045998026</v>
      </c>
      <c r="U182" s="706">
        <f>IF(ISERROR(U180/U160),"nm",U180/U160)</f>
        <v>5.3293065748738933</v>
      </c>
      <c r="V182" s="706">
        <f>IF(ISERROR(V180/V160),"nm",V180/V160)</f>
        <v>5.2203192655275874</v>
      </c>
      <c r="W182" s="78">
        <f>W180/W160</f>
        <v>5.2122191618152911</v>
      </c>
      <c r="X182" s="706">
        <f>IF(ISERROR(X180/X160),"nm",X180/X160)</f>
        <v>5.0797565326896841</v>
      </c>
      <c r="Y182" s="706">
        <f>IF(ISERROR(Y180/Y160),"nm",Y180/Y160)</f>
        <v>5.1313775682960197</v>
      </c>
      <c r="Z182" s="706">
        <f>IF(ISERROR(Z180/Z160),"nm",Z180/Z160)</f>
        <v>5.2456625081441084</v>
      </c>
      <c r="AA182" s="706">
        <f>IF(ISERROR(AA180/AA160),"nm",AA180/AA160)</f>
        <v>5.2890828302149959</v>
      </c>
      <c r="AB182" s="78">
        <f>AB180/AB160</f>
        <v>5.1916560223005233</v>
      </c>
      <c r="AC182" s="706">
        <f>IF(ISERROR(AC180/AC160),"nm",AC180/AC160)</f>
        <v>5.1109040931079717</v>
      </c>
      <c r="AD182" s="706">
        <f>IF(ISERROR(AD180/AD160),"nm",AD180/AD160)</f>
        <v>5.2043954016525582</v>
      </c>
      <c r="AE182" s="706">
        <f>IF(ISERROR(AE180/AE160),"nm",AE180/AE160)</f>
        <v>5.3160197170881434</v>
      </c>
      <c r="AF182" s="706">
        <f>IF(ISERROR(AF180/AF160),"nm",AF180/AF160)</f>
        <v>5.2576343617137251</v>
      </c>
      <c r="AG182" s="78">
        <f>AG180/AG160</f>
        <v>5.2221233530810496</v>
      </c>
      <c r="AH182" s="706">
        <f>IF(ISERROR(AH180/AH160),"nm",AH180/AH160)</f>
        <v>5.175008745845723</v>
      </c>
      <c r="AI182" s="706">
        <f>IF(ISERROR(AI180/AI160),"nm",AI180/AI160)</f>
        <v>5.2004483581282352</v>
      </c>
      <c r="AJ182" s="706">
        <f>IF(ISERROR(AJ180/AJ160),"nm",AJ180/AJ160)</f>
        <v>5.3091385930716015</v>
      </c>
      <c r="AK182" s="706">
        <f>IF(ISERROR(AK180/AK160),"nm",AK180/AK160)</f>
        <v>5.3251115160409954</v>
      </c>
      <c r="AL182" s="78">
        <f>AL180/AL160</f>
        <v>5.2540950892985423</v>
      </c>
      <c r="AM182" s="706">
        <f>IF(ISERROR(AM180/AM160),"nm",AM180/AM160)</f>
        <v>5.2671283220190608</v>
      </c>
      <c r="AN182" s="706">
        <f>IF(ISERROR(AN180/AN160),"nm",AN180/AN160)</f>
        <v>5.2765656074874103</v>
      </c>
      <c r="AO182" s="706">
        <f>IF(ISERROR(AO180/AO160),"nm",AO180/AO160)</f>
        <v>5.3571990344183149</v>
      </c>
      <c r="AP182" s="706">
        <f>IF(ISERROR(AP180/AP160),"nm",AP180/AP160)</f>
        <v>5.4134000609654924</v>
      </c>
      <c r="AQ182" s="78">
        <f>AQ180/AQ160</f>
        <v>5.3303967090094666</v>
      </c>
      <c r="AR182" s="706">
        <f>IF(ISERROR(AR180/AR160),"nm",AR180/AR160)</f>
        <v>5.3296246935909943</v>
      </c>
      <c r="AS182" s="706">
        <f>IF(ISERROR(AS180/AS160),"nm",AS180/AS160)</f>
        <v>5.3063737059064158</v>
      </c>
      <c r="AT182" s="706">
        <f>IF(ISERROR(AT180/AT160),"nm",AT180/AT160)</f>
        <v>5.3078161016204071</v>
      </c>
      <c r="AU182" s="802"/>
      <c r="AV182" s="706" t="str">
        <f t="shared" ref="AV182:BD182" si="422">IF(ISERROR(AV180/AV160),"nm",AV180/AV160)</f>
        <v>nm</v>
      </c>
      <c r="AW182" s="706" t="str">
        <f t="shared" si="422"/>
        <v>nm</v>
      </c>
      <c r="AX182" s="706" t="str">
        <f t="shared" si="422"/>
        <v>nm</v>
      </c>
      <c r="AY182" s="706" t="str">
        <f t="shared" si="422"/>
        <v>nm</v>
      </c>
      <c r="AZ182" s="974" t="str">
        <f t="shared" si="422"/>
        <v>nm</v>
      </c>
      <c r="BA182" s="706">
        <f t="shared" si="422"/>
        <v>5.400335490449212</v>
      </c>
      <c r="BB182" s="706">
        <f t="shared" si="422"/>
        <v>5.3246391791882539</v>
      </c>
      <c r="BC182" s="706">
        <f t="shared" si="422"/>
        <v>5.2058944956060902</v>
      </c>
      <c r="BD182" s="706">
        <f t="shared" si="422"/>
        <v>5.2749314073771307</v>
      </c>
      <c r="BE182" s="78">
        <f>BE180/BE160</f>
        <v>5.302236330600862</v>
      </c>
      <c r="BF182" s="706">
        <f>IF(ISERROR(BF180/BF160),"nm",BF180/BF160)</f>
        <v>5.2860574457633618</v>
      </c>
      <c r="BG182" s="706">
        <f>IF(ISERROR(BG180/BG160),"nm",BG180/BG160)</f>
        <v>5.1572963999103854</v>
      </c>
      <c r="BH182" s="706">
        <f>BH180/BH160</f>
        <v>5.1409090110302085</v>
      </c>
      <c r="BI182" s="706">
        <f>BI180/BI160</f>
        <v>5.1803676561771077</v>
      </c>
      <c r="BJ182" s="78">
        <f>BJ180/BJ160</f>
        <v>5.1929887272872852</v>
      </c>
      <c r="BK182" s="700">
        <f>IF(ISERROR(BK180/BK160),"nm",BK180/BK160)</f>
        <v>5.234861984332448</v>
      </c>
      <c r="BL182" s="700">
        <f>IF(ISERROR(BL180/BL160),"nm",BL180/BL160)</f>
        <v>5.1350889476994643</v>
      </c>
      <c r="BM182" s="700">
        <f t="shared" ref="BM182:BS182" si="423">BM180/BM160</f>
        <v>5.0981387478849411</v>
      </c>
      <c r="BN182" s="700">
        <f t="shared" si="423"/>
        <v>5.1272799817601458</v>
      </c>
      <c r="BO182" s="78">
        <f t="shared" si="423"/>
        <v>5.1508285383951531</v>
      </c>
      <c r="BP182" s="700">
        <f t="shared" si="423"/>
        <v>5.1411438116640431</v>
      </c>
      <c r="BQ182" s="700">
        <f t="shared" si="423"/>
        <v>4.9682394247985675</v>
      </c>
      <c r="BR182" s="700">
        <f t="shared" si="423"/>
        <v>4.9266375360296877</v>
      </c>
      <c r="BS182" s="700">
        <f t="shared" si="423"/>
        <v>4.9280204038851236</v>
      </c>
      <c r="BT182" s="78"/>
      <c r="BU182" s="700">
        <f>BU180/BU160</f>
        <v>5.0256861317804375</v>
      </c>
      <c r="BV182" s="700">
        <f>BV180/BV160</f>
        <v>4.9560615595857884</v>
      </c>
      <c r="BW182" s="700">
        <f>BW180/BW160</f>
        <v>4.9240098846545868</v>
      </c>
      <c r="BX182" s="700">
        <f>BX180/BX160</f>
        <v>4.8967938099233415</v>
      </c>
      <c r="BY182" s="78"/>
      <c r="BZ182" s="700">
        <f>BZ180/BZ160</f>
        <v>5.0645227548149014</v>
      </c>
      <c r="CA182" s="700">
        <f>CA180/CA160</f>
        <v>4.9225200211967186</v>
      </c>
      <c r="CB182" s="700">
        <f>CB180/CB160</f>
        <v>4.8623463173618289</v>
      </c>
      <c r="CC182" s="700">
        <f>CC180/CC160</f>
        <v>4.8718914444959109</v>
      </c>
      <c r="CD182" s="78"/>
      <c r="CE182" s="700">
        <f>CE180/CE160</f>
        <v>4.9694880306508926</v>
      </c>
      <c r="CF182" s="700">
        <f>CF180/CF160</f>
        <v>4.8325045277342911</v>
      </c>
      <c r="CG182" s="700">
        <f>CG180/CG160</f>
        <v>4.778416680741298</v>
      </c>
      <c r="CH182" s="700">
        <f>CH180/CH160</f>
        <v>4.8478990364958996</v>
      </c>
      <c r="CI182" s="78"/>
      <c r="CJ182" s="700">
        <f>CJ180/CJ160</f>
        <v>4.9242603639544793</v>
      </c>
      <c r="CK182" s="700">
        <f>CK180/CK160</f>
        <v>4.809081729301532</v>
      </c>
      <c r="CL182" s="700">
        <f>CL180/CL160</f>
        <v>4.7499701540053323</v>
      </c>
      <c r="CM182" s="700">
        <f>CM180/CM160</f>
        <v>4.795277884971294</v>
      </c>
      <c r="CN182" s="78"/>
      <c r="CO182" s="700">
        <f t="shared" ref="CO182:DW182" si="424">CO180/CO160</f>
        <v>4.8347345115911047</v>
      </c>
      <c r="CP182" s="700">
        <f t="shared" si="424"/>
        <v>4.7454137206191476</v>
      </c>
      <c r="CQ182" s="700">
        <f t="shared" si="424"/>
        <v>4.7182961628592839</v>
      </c>
      <c r="CR182" s="700">
        <f t="shared" si="424"/>
        <v>4.7057209187296065</v>
      </c>
      <c r="CS182" s="78">
        <f t="shared" si="424"/>
        <v>4.7520351138364108</v>
      </c>
      <c r="CT182" s="700">
        <f t="shared" si="424"/>
        <v>4.7066011128897021</v>
      </c>
      <c r="CU182" s="700">
        <f t="shared" si="424"/>
        <v>4.7183624216852067</v>
      </c>
      <c r="CV182" s="700">
        <f t="shared" si="424"/>
        <v>4.6496248067975241</v>
      </c>
      <c r="CW182" s="700">
        <f t="shared" si="424"/>
        <v>4.6326602282704128</v>
      </c>
      <c r="CX182" s="78">
        <f t="shared" si="424"/>
        <v>4.6771691165582396</v>
      </c>
      <c r="CY182" s="700">
        <f t="shared" si="424"/>
        <v>4.7906756982108964</v>
      </c>
      <c r="CZ182" s="700">
        <f t="shared" si="424"/>
        <v>4.6999718361193485</v>
      </c>
      <c r="DA182" s="700">
        <f t="shared" si="424"/>
        <v>4.6873216033692797</v>
      </c>
      <c r="DB182" s="700">
        <f t="shared" si="424"/>
        <v>4.6231457276936156</v>
      </c>
      <c r="DC182" s="78">
        <f t="shared" si="424"/>
        <v>4.6914677319473226</v>
      </c>
      <c r="DD182" s="700">
        <f t="shared" si="424"/>
        <v>4.7827747551126505</v>
      </c>
      <c r="DE182" s="700">
        <f t="shared" si="424"/>
        <v>4.6603387775442995</v>
      </c>
      <c r="DF182" s="700">
        <f t="shared" si="424"/>
        <v>4.608121492241664</v>
      </c>
      <c r="DG182" s="700">
        <f t="shared" si="424"/>
        <v>4.6348566994667308</v>
      </c>
      <c r="DH182" s="78">
        <f t="shared" si="424"/>
        <v>4.6706919542699685</v>
      </c>
      <c r="DI182" s="700">
        <f t="shared" si="424"/>
        <v>0.62515780025248036</v>
      </c>
      <c r="DJ182" s="700">
        <f t="shared" si="424"/>
        <v>0.61295738653248011</v>
      </c>
      <c r="DK182" s="700">
        <f t="shared" si="424"/>
        <v>0.59079605686828152</v>
      </c>
      <c r="DL182" s="700">
        <f t="shared" si="424"/>
        <v>0.58380308598006514</v>
      </c>
      <c r="DM182" s="78">
        <f t="shared" si="424"/>
        <v>0.59385974066317038</v>
      </c>
      <c r="DN182" s="700">
        <f t="shared" si="424"/>
        <v>0.64441695020105161</v>
      </c>
      <c r="DO182" s="700">
        <f t="shared" si="424"/>
        <v>0.63081654874883242</v>
      </c>
      <c r="DP182" s="700">
        <f t="shared" si="424"/>
        <v>0.62231317487304783</v>
      </c>
      <c r="DQ182" s="700">
        <f t="shared" si="424"/>
        <v>0.63000364315314905</v>
      </c>
      <c r="DR182" s="78">
        <f t="shared" si="424"/>
        <v>0.60964946016298338</v>
      </c>
      <c r="DS182" s="700">
        <f t="shared" si="424"/>
        <v>0.64260227747703658</v>
      </c>
      <c r="DT182" s="700">
        <f t="shared" si="424"/>
        <v>0.63973231014445331</v>
      </c>
      <c r="DU182" s="700">
        <f t="shared" si="424"/>
        <v>0.65044238061218884</v>
      </c>
      <c r="DV182" s="700">
        <f t="shared" si="424"/>
        <v>0.66585892241868916</v>
      </c>
      <c r="DW182" s="78">
        <f t="shared" si="424"/>
        <v>0.63811126083385827</v>
      </c>
      <c r="DX182" s="1156"/>
      <c r="DY182" s="1156"/>
      <c r="DZ182" s="1156"/>
      <c r="EA182" s="1156"/>
      <c r="EB182" s="1145"/>
      <c r="EC182" s="1156"/>
      <c r="ED182" s="1156"/>
      <c r="EE182" s="1156"/>
      <c r="EF182" s="1156"/>
      <c r="EG182" s="1145"/>
      <c r="EH182" s="1156"/>
      <c r="EI182" s="1156"/>
      <c r="EJ182" s="1156"/>
      <c r="EK182" s="1156"/>
      <c r="EL182" s="1145"/>
    </row>
    <row r="183" spans="1:142" ht="11.25" customHeight="1">
      <c r="A183" s="1158"/>
      <c r="B183" s="1158"/>
      <c r="C183" s="932"/>
      <c r="D183" s="932"/>
      <c r="E183" s="932"/>
      <c r="F183" s="932"/>
      <c r="G183" s="932"/>
      <c r="H183" s="1159"/>
      <c r="I183" s="932"/>
      <c r="J183" s="932"/>
      <c r="K183" s="932"/>
      <c r="L183" s="932"/>
      <c r="M183" s="1159"/>
      <c r="N183" s="932"/>
      <c r="O183" s="932"/>
      <c r="P183" s="932"/>
      <c r="Q183" s="932"/>
      <c r="R183" s="1159"/>
      <c r="S183" s="932"/>
      <c r="T183" s="932"/>
      <c r="U183" s="932"/>
      <c r="V183" s="932"/>
      <c r="W183" s="1159"/>
      <c r="X183" s="932"/>
      <c r="Y183" s="932"/>
      <c r="Z183" s="932"/>
      <c r="AA183" s="932"/>
      <c r="AB183" s="1159"/>
      <c r="AC183" s="932"/>
      <c r="AD183" s="932"/>
      <c r="AE183" s="932"/>
      <c r="AF183" s="932"/>
      <c r="AG183" s="1159"/>
      <c r="AH183" s="932"/>
      <c r="AI183" s="932"/>
      <c r="AJ183" s="932"/>
      <c r="AK183" s="932"/>
      <c r="AL183" s="1159"/>
      <c r="AM183" s="932"/>
      <c r="AN183" s="932"/>
      <c r="AO183" s="932"/>
      <c r="AP183" s="932"/>
      <c r="AQ183" s="1159"/>
      <c r="AR183" s="932"/>
      <c r="AS183" s="932"/>
      <c r="AT183" s="932"/>
      <c r="AU183" s="802"/>
      <c r="AV183" s="1160"/>
      <c r="AW183" s="1160"/>
      <c r="AX183" s="1160"/>
      <c r="AY183" s="1160"/>
      <c r="AZ183" s="1161"/>
      <c r="BA183" s="1160"/>
      <c r="BB183" s="1160"/>
      <c r="BC183" s="1160"/>
      <c r="BD183" s="1160"/>
      <c r="BE183" s="1161"/>
      <c r="BF183" s="1160"/>
      <c r="BG183" s="1160"/>
      <c r="BH183" s="1160"/>
      <c r="BI183" s="1160"/>
      <c r="BJ183" s="1161"/>
      <c r="BK183" s="1162"/>
      <c r="BL183" s="1162"/>
      <c r="BM183" s="1162"/>
      <c r="BN183" s="1162"/>
      <c r="BO183" s="936"/>
      <c r="BP183" s="1162"/>
      <c r="BQ183" s="1162"/>
      <c r="BR183" s="1162"/>
      <c r="BS183" s="1162"/>
      <c r="BT183" s="936"/>
      <c r="BU183" s="1162"/>
      <c r="BV183" s="1162"/>
      <c r="BW183" s="1162"/>
      <c r="BX183" s="1162"/>
      <c r="BY183" s="936"/>
      <c r="BZ183" s="1162"/>
      <c r="CA183" s="1162"/>
      <c r="CB183" s="1162"/>
      <c r="CC183" s="1162"/>
      <c r="CD183" s="936"/>
      <c r="CE183" s="1162"/>
      <c r="CF183" s="1162"/>
      <c r="CG183" s="1162"/>
      <c r="CH183" s="1162"/>
      <c r="CI183" s="936"/>
      <c r="CJ183" s="1162"/>
      <c r="CK183" s="1162"/>
      <c r="CL183" s="1162"/>
      <c r="CM183" s="1162"/>
      <c r="CN183" s="936"/>
      <c r="CO183" s="1162"/>
      <c r="CP183" s="1162"/>
      <c r="CQ183" s="1162"/>
      <c r="CR183" s="1162"/>
      <c r="CS183" s="936"/>
      <c r="CT183" s="1162"/>
      <c r="CU183" s="1162"/>
      <c r="CV183" s="1162"/>
      <c r="CW183" s="1162"/>
      <c r="CX183" s="936"/>
      <c r="CY183" s="1162"/>
      <c r="CZ183" s="1162"/>
      <c r="DA183" s="1162"/>
      <c r="DB183" s="1162"/>
      <c r="DC183" s="936"/>
      <c r="DD183" s="1162"/>
      <c r="DE183" s="1162"/>
      <c r="DF183" s="1162"/>
      <c r="DG183" s="1162"/>
      <c r="DH183" s="936"/>
      <c r="DI183" s="1162"/>
      <c r="DJ183" s="1162"/>
      <c r="DK183" s="1162"/>
      <c r="DL183" s="1162"/>
      <c r="DM183" s="936"/>
      <c r="DN183" s="1162"/>
      <c r="DO183" s="1162"/>
      <c r="DP183" s="1162"/>
      <c r="DQ183" s="1162"/>
      <c r="DR183" s="936"/>
      <c r="DS183" s="1162"/>
      <c r="DT183" s="1162"/>
      <c r="DU183" s="1162"/>
      <c r="DV183" s="1162"/>
      <c r="DW183" s="936"/>
      <c r="DX183" s="1162"/>
      <c r="DY183" s="1162"/>
      <c r="DZ183" s="1162"/>
      <c r="EA183" s="1162"/>
      <c r="EB183" s="936"/>
      <c r="EC183" s="1162"/>
      <c r="ED183" s="1162"/>
      <c r="EE183" s="1162"/>
      <c r="EF183" s="1162"/>
      <c r="EG183" s="936"/>
      <c r="EH183" s="1162"/>
      <c r="EI183" s="1162"/>
      <c r="EJ183" s="1162"/>
      <c r="EK183" s="1162"/>
      <c r="EL183" s="936"/>
    </row>
    <row r="184" spans="1:142" ht="11.25" customHeight="1">
      <c r="A184" s="1163"/>
      <c r="B184" s="1163" t="s">
        <v>155</v>
      </c>
      <c r="C184" s="903"/>
      <c r="D184" s="903">
        <f>D272</f>
        <v>377539</v>
      </c>
      <c r="E184" s="903">
        <f>E272</f>
        <v>369211</v>
      </c>
      <c r="F184" s="903">
        <f>F272</f>
        <v>394453</v>
      </c>
      <c r="G184" s="903">
        <f>G272</f>
        <v>1152383</v>
      </c>
      <c r="H184" s="844">
        <f>SUM(D184:G184)</f>
        <v>2293586</v>
      </c>
      <c r="I184" s="903">
        <f>I272</f>
        <v>1278757</v>
      </c>
      <c r="J184" s="903">
        <f>J272</f>
        <v>1387899</v>
      </c>
      <c r="K184" s="903">
        <f>K272</f>
        <v>1446545</v>
      </c>
      <c r="L184" s="903">
        <f>L272</f>
        <v>1496349</v>
      </c>
      <c r="M184" s="844">
        <f>SUM(I184:L184)</f>
        <v>5609550</v>
      </c>
      <c r="N184" s="903">
        <f>N272</f>
        <v>1540745</v>
      </c>
      <c r="O184" s="903">
        <f>O272</f>
        <v>1615945</v>
      </c>
      <c r="P184" s="903">
        <f>P272</f>
        <v>2620508</v>
      </c>
      <c r="Q184" s="903">
        <f>Q272</f>
        <v>4220068</v>
      </c>
      <c r="R184" s="844">
        <f>SUM(N184:Q184)</f>
        <v>9997266</v>
      </c>
      <c r="S184" s="903">
        <f>S272</f>
        <v>2652213</v>
      </c>
      <c r="T184" s="903">
        <f>T272</f>
        <v>2642883</v>
      </c>
      <c r="U184" s="903">
        <f>U272</f>
        <v>2535187</v>
      </c>
      <c r="V184" s="903">
        <f>V272</f>
        <v>2572674</v>
      </c>
      <c r="W184" s="844">
        <f>SUM(S184:V184)</f>
        <v>10402957</v>
      </c>
      <c r="X184" s="903">
        <f>X272</f>
        <v>2420628</v>
      </c>
      <c r="Y184" s="903">
        <f>Y272</f>
        <v>2326712</v>
      </c>
      <c r="Z184" s="903">
        <f>Z272</f>
        <v>2372360</v>
      </c>
      <c r="AA184" s="903">
        <f>AA272</f>
        <v>2535275</v>
      </c>
      <c r="AB184" s="844">
        <f>SUM(X184:AA184)</f>
        <v>9654975</v>
      </c>
      <c r="AC184" s="903">
        <f>AC272</f>
        <v>2468827</v>
      </c>
      <c r="AD184" s="903">
        <f>AD272</f>
        <v>2289819</v>
      </c>
      <c r="AE184" s="903">
        <f>AE272</f>
        <v>2220852</v>
      </c>
      <c r="AF184" s="903">
        <f>AF272</f>
        <v>2296874</v>
      </c>
      <c r="AG184" s="844">
        <f>SUM(AC184:AF184)</f>
        <v>9276372</v>
      </c>
      <c r="AH184" s="903">
        <f>AH272</f>
        <v>2276519</v>
      </c>
      <c r="AI184" s="903">
        <f>AI272</f>
        <v>2240966</v>
      </c>
      <c r="AJ184" s="903">
        <f>AJ272</f>
        <v>2216645</v>
      </c>
      <c r="AK184" s="903">
        <f>AK272</f>
        <v>2319987</v>
      </c>
      <c r="AL184" s="844">
        <f>SUM(AH184:AK184)</f>
        <v>9054117</v>
      </c>
      <c r="AM184" s="903">
        <f>AM272</f>
        <v>2310626</v>
      </c>
      <c r="AN184" s="903">
        <f>AN272</f>
        <v>2277623</v>
      </c>
      <c r="AO184" s="903">
        <f>AO272</f>
        <v>2261010</v>
      </c>
      <c r="AP184" s="903">
        <f>AP272</f>
        <v>2471484</v>
      </c>
      <c r="AQ184" s="844">
        <f>SUM(AM184:AP184)</f>
        <v>9320743</v>
      </c>
      <c r="AR184" s="903">
        <f>AR272</f>
        <v>2329280</v>
      </c>
      <c r="AS184" s="903">
        <f>AS272</f>
        <v>2343917</v>
      </c>
      <c r="AT184" s="903">
        <f>AT272</f>
        <v>2275989</v>
      </c>
      <c r="AU184" s="802"/>
      <c r="AV184" s="1149" t="str">
        <f>AV272</f>
        <v>ND</v>
      </c>
      <c r="AW184" s="1149" t="str">
        <f>AW272</f>
        <v>ND</v>
      </c>
      <c r="AX184" s="1149" t="str">
        <f>AX272</f>
        <v>ND</v>
      </c>
      <c r="AY184" s="1149" t="str">
        <f>AY272</f>
        <v>ND</v>
      </c>
      <c r="AZ184" s="844">
        <f>SUM(AV184:AY184)</f>
        <v>0</v>
      </c>
      <c r="BA184" s="903">
        <f>BA272</f>
        <v>2140993</v>
      </c>
      <c r="BB184" s="903">
        <f>BB272</f>
        <v>2144668</v>
      </c>
      <c r="BC184" s="903">
        <f>BC272</f>
        <v>2125595</v>
      </c>
      <c r="BD184" s="903">
        <f>BD272</f>
        <v>2015840</v>
      </c>
      <c r="BE184" s="844">
        <f>SUM(BA184:BD184)</f>
        <v>8427096</v>
      </c>
      <c r="BF184" s="903">
        <f>BF272</f>
        <v>1572413</v>
      </c>
      <c r="BG184" s="903">
        <f>BG272</f>
        <v>1513651</v>
      </c>
      <c r="BH184" s="903">
        <f>BH272</f>
        <v>1339354</v>
      </c>
      <c r="BI184" s="903">
        <f>BI272</f>
        <v>1349983</v>
      </c>
      <c r="BJ184" s="844">
        <f>SUM(BF184:BI184)</f>
        <v>5775401</v>
      </c>
      <c r="BK184" s="903">
        <f>BK272</f>
        <v>1376156</v>
      </c>
      <c r="BL184" s="903">
        <f>BL272</f>
        <v>1341793</v>
      </c>
      <c r="BM184" s="903">
        <f>BM272</f>
        <v>1246170</v>
      </c>
      <c r="BN184" s="903">
        <f>BN272</f>
        <v>1200682</v>
      </c>
      <c r="BO184" s="844">
        <f>SUM(BK184:BN184)</f>
        <v>5164801</v>
      </c>
      <c r="BP184" s="903">
        <f>BP272</f>
        <v>1228199</v>
      </c>
      <c r="BQ184" s="903">
        <f>BQ272</f>
        <v>1083060</v>
      </c>
      <c r="BR184" s="903">
        <f>BR272</f>
        <v>1050600</v>
      </c>
      <c r="BS184" s="903">
        <f>BS272</f>
        <v>1051106</v>
      </c>
      <c r="BT184" s="844">
        <f>SUM(BP184:BS184)</f>
        <v>4412965</v>
      </c>
      <c r="BU184" s="903">
        <f>BU272</f>
        <v>1069676</v>
      </c>
      <c r="BV184" s="903">
        <f>BV272</f>
        <v>1049048</v>
      </c>
      <c r="BW184" s="903">
        <f>BW272</f>
        <v>1004577</v>
      </c>
      <c r="BX184" s="903">
        <f>BX272</f>
        <v>1002585</v>
      </c>
      <c r="BY184" s="844">
        <f>SUM(BU184:BX184)</f>
        <v>4125886</v>
      </c>
      <c r="BZ184" s="903">
        <f>BZ272</f>
        <v>1026545</v>
      </c>
      <c r="CA184" s="903">
        <f>CA272</f>
        <v>972261</v>
      </c>
      <c r="CB184" s="903">
        <f>CB272</f>
        <v>959222</v>
      </c>
      <c r="CC184" s="903">
        <f>CC272</f>
        <v>946322</v>
      </c>
      <c r="CD184" s="844">
        <f>SUM(BZ184:CC184)</f>
        <v>3904350</v>
      </c>
      <c r="CE184" s="903">
        <f>CE272</f>
        <v>983865</v>
      </c>
      <c r="CF184" s="903">
        <f>CF272</f>
        <v>996468</v>
      </c>
      <c r="CG184" s="903">
        <f>CG272</f>
        <v>995968</v>
      </c>
      <c r="CH184" s="903">
        <f>CH272</f>
        <v>971741</v>
      </c>
      <c r="CI184" s="844">
        <f>SUM(CE184:CH184)</f>
        <v>3948042</v>
      </c>
      <c r="CJ184" s="903">
        <f>CJ272</f>
        <v>952915</v>
      </c>
      <c r="CK184" s="903">
        <f>CK272</f>
        <v>988706</v>
      </c>
      <c r="CL184" s="903">
        <f>CL272</f>
        <v>976310</v>
      </c>
      <c r="CM184" s="903">
        <f>CM272</f>
        <v>999827</v>
      </c>
      <c r="CN184" s="844">
        <f>SUM(CJ184:CM184)</f>
        <v>3917758</v>
      </c>
      <c r="CO184" s="903">
        <f>CO272</f>
        <v>990411</v>
      </c>
      <c r="CP184" s="903">
        <f>CP272</f>
        <v>994204</v>
      </c>
      <c r="CQ184" s="903">
        <f>CQ272</f>
        <v>987318</v>
      </c>
      <c r="CR184" s="903">
        <f>CR272</f>
        <v>982083</v>
      </c>
      <c r="CS184" s="844">
        <f>SUM(CO184:CR184)</f>
        <v>3954016</v>
      </c>
      <c r="CT184" s="903">
        <f>CT272</f>
        <v>1031611</v>
      </c>
      <c r="CU184" s="903">
        <f>CU272</f>
        <v>1046768</v>
      </c>
      <c r="CV184" s="903">
        <f>CV272</f>
        <v>1035236</v>
      </c>
      <c r="CW184" s="903">
        <f>CW272</f>
        <v>1053499</v>
      </c>
      <c r="CX184" s="844">
        <f>SUM(CT184:CW184)</f>
        <v>4167114</v>
      </c>
      <c r="CY184" s="903">
        <f>CY272</f>
        <v>1054789</v>
      </c>
      <c r="CZ184" s="903">
        <f>CZ272</f>
        <v>1072712</v>
      </c>
      <c r="DA184" s="903">
        <f>DA272</f>
        <v>1071421</v>
      </c>
      <c r="DB184" s="903">
        <f>DB272</f>
        <v>1875684</v>
      </c>
      <c r="DC184" s="844">
        <f>SUM(CY184:DB184)</f>
        <v>5074606</v>
      </c>
      <c r="DD184" s="903">
        <f>DD272</f>
        <v>1947687</v>
      </c>
      <c r="DE184" s="903">
        <f>DE272</f>
        <v>2066051</v>
      </c>
      <c r="DF184" s="903">
        <f>DF272</f>
        <v>2125002</v>
      </c>
      <c r="DG184" s="903">
        <f>DG272</f>
        <v>2145138</v>
      </c>
      <c r="DH184" s="844">
        <f>SUM(DD184:DG184)</f>
        <v>8283878</v>
      </c>
      <c r="DI184" s="903">
        <f>DI309</f>
        <v>2145344</v>
      </c>
      <c r="DJ184" s="903">
        <f>DJ309</f>
        <v>2063037</v>
      </c>
      <c r="DK184" s="903">
        <f>DK309</f>
        <v>2076524</v>
      </c>
      <c r="DL184" s="903">
        <f>DL309</f>
        <v>2198005</v>
      </c>
      <c r="DM184" s="844">
        <f>SUM(DI184:DL184)</f>
        <v>8482910</v>
      </c>
      <c r="DN184" s="903">
        <f>DN309</f>
        <v>1949159</v>
      </c>
      <c r="DO184" s="903">
        <f>DO309</f>
        <v>2025946</v>
      </c>
      <c r="DP184" s="903">
        <f>DP309</f>
        <v>1805800</v>
      </c>
      <c r="DQ184" s="903">
        <f>DQ309</f>
        <v>1782614</v>
      </c>
      <c r="DR184" s="844">
        <f>SUM(DN184:DQ184)</f>
        <v>7563519</v>
      </c>
      <c r="DS184" s="903">
        <f>DS309</f>
        <v>2009408</v>
      </c>
      <c r="DT184" s="903">
        <f>DT309</f>
        <v>1950251</v>
      </c>
      <c r="DU184" s="903">
        <f>DU309</f>
        <v>1813595</v>
      </c>
      <c r="DV184" s="903">
        <f>DV309</f>
        <v>1865781</v>
      </c>
      <c r="DW184" s="844">
        <f>SUM(DS184:DV184)</f>
        <v>7639035</v>
      </c>
      <c r="DX184" s="903"/>
      <c r="DY184" s="903"/>
      <c r="DZ184" s="903"/>
      <c r="EA184" s="903"/>
      <c r="EB184" s="844"/>
      <c r="EC184" s="903"/>
      <c r="ED184" s="903"/>
      <c r="EE184" s="903"/>
      <c r="EF184" s="903"/>
      <c r="EG184" s="844"/>
      <c r="EH184" s="903"/>
      <c r="EI184" s="903"/>
      <c r="EJ184" s="903"/>
      <c r="EK184" s="903"/>
      <c r="EL184" s="844"/>
    </row>
    <row r="185" spans="1:142" ht="11.25" customHeight="1">
      <c r="A185" s="1122"/>
      <c r="B185" s="1122" t="s">
        <v>133</v>
      </c>
      <c r="C185" s="1012"/>
      <c r="D185" s="1012"/>
      <c r="E185" s="1012"/>
      <c r="F185" s="1012"/>
      <c r="G185" s="1012"/>
      <c r="H185" s="1011"/>
      <c r="I185" s="1010">
        <f t="shared" ref="I185:AT185" si="425">IF(ISERROR(+I184/D184-1),"nm",+I184/D184-1)</f>
        <v>2.3870858374896367</v>
      </c>
      <c r="J185" s="1010">
        <f t="shared" si="425"/>
        <v>2.7590943931789682</v>
      </c>
      <c r="K185" s="1010">
        <f t="shared" si="425"/>
        <v>2.6672176406314567</v>
      </c>
      <c r="L185" s="1010">
        <f t="shared" si="425"/>
        <v>0.2984823622007613</v>
      </c>
      <c r="M185" s="1011">
        <f t="shared" si="425"/>
        <v>1.4457552496396473</v>
      </c>
      <c r="N185" s="1010">
        <f t="shared" si="425"/>
        <v>0.20487707985176229</v>
      </c>
      <c r="O185" s="1010">
        <f t="shared" si="425"/>
        <v>0.16431022718511934</v>
      </c>
      <c r="P185" s="1010">
        <f t="shared" si="425"/>
        <v>0.81156341489549244</v>
      </c>
      <c r="Q185" s="1010">
        <f t="shared" si="425"/>
        <v>1.8202431384656923</v>
      </c>
      <c r="R185" s="1011">
        <f t="shared" si="425"/>
        <v>0.78218680642832306</v>
      </c>
      <c r="S185" s="1010">
        <f t="shared" si="425"/>
        <v>0.72138348656007323</v>
      </c>
      <c r="T185" s="1010">
        <f t="shared" si="425"/>
        <v>0.63550306477015006</v>
      </c>
      <c r="U185" s="1010">
        <f t="shared" si="425"/>
        <v>-3.2558954218037117E-2</v>
      </c>
      <c r="V185" s="1010">
        <f t="shared" si="425"/>
        <v>-0.390371434773089</v>
      </c>
      <c r="W185" s="1011">
        <f t="shared" si="425"/>
        <v>4.0580194625210453E-2</v>
      </c>
      <c r="X185" s="1010">
        <f t="shared" si="425"/>
        <v>-8.7317647564505552E-2</v>
      </c>
      <c r="Y185" s="1010">
        <f t="shared" si="425"/>
        <v>-0.11963109982545572</v>
      </c>
      <c r="Z185" s="1010">
        <f t="shared" si="425"/>
        <v>-6.4226820348952551E-2</v>
      </c>
      <c r="AA185" s="1010">
        <f t="shared" si="425"/>
        <v>-1.4537014794723357E-2</v>
      </c>
      <c r="AB185" s="1011">
        <f t="shared" si="425"/>
        <v>-7.1900902791389054E-2</v>
      </c>
      <c r="AC185" s="1010">
        <f t="shared" si="425"/>
        <v>1.9911774960877926E-2</v>
      </c>
      <c r="AD185" s="1010">
        <f t="shared" si="425"/>
        <v>-1.5856281310278164E-2</v>
      </c>
      <c r="AE185" s="1010">
        <f t="shared" si="425"/>
        <v>-6.3863831796186044E-2</v>
      </c>
      <c r="AF185" s="1010">
        <f t="shared" si="425"/>
        <v>-9.4033586100127242E-2</v>
      </c>
      <c r="AG185" s="1011">
        <f t="shared" si="425"/>
        <v>-3.9213255342453013E-2</v>
      </c>
      <c r="AH185" s="1010">
        <f t="shared" si="425"/>
        <v>-7.7894481873375443E-2</v>
      </c>
      <c r="AI185" s="1010">
        <f t="shared" si="425"/>
        <v>-2.1334874066465503E-2</v>
      </c>
      <c r="AJ185" s="1010">
        <f t="shared" si="425"/>
        <v>-1.8943180365013079E-3</v>
      </c>
      <c r="AK185" s="1010">
        <f t="shared" si="425"/>
        <v>1.0062807102174443E-2</v>
      </c>
      <c r="AL185" s="1011">
        <f t="shared" si="425"/>
        <v>-2.3959259072404593E-2</v>
      </c>
      <c r="AM185" s="1010">
        <f t="shared" si="425"/>
        <v>1.4982084489520986E-2</v>
      </c>
      <c r="AN185" s="1010">
        <f t="shared" si="425"/>
        <v>1.6357677894265343E-2</v>
      </c>
      <c r="AO185" s="1010">
        <f t="shared" si="425"/>
        <v>2.0014481344554413E-2</v>
      </c>
      <c r="AP185" s="1010">
        <f t="shared" si="425"/>
        <v>6.5300796944120831E-2</v>
      </c>
      <c r="AQ185" s="1011">
        <f t="shared" si="425"/>
        <v>2.9448040046312629E-2</v>
      </c>
      <c r="AR185" s="1010">
        <f t="shared" si="425"/>
        <v>8.0731368901760803E-3</v>
      </c>
      <c r="AS185" s="1010">
        <f t="shared" si="425"/>
        <v>2.9106660759923741E-2</v>
      </c>
      <c r="AT185" s="1010">
        <f t="shared" si="425"/>
        <v>6.6249154139079725E-3</v>
      </c>
      <c r="AU185" s="802"/>
      <c r="AV185" s="1012"/>
      <c r="AW185" s="1012"/>
      <c r="AX185" s="1012"/>
      <c r="AY185" s="1012"/>
      <c r="AZ185" s="1011"/>
      <c r="BA185" s="1010" t="str">
        <f>IF(ISERROR(+BA184/AV184-1),"nm",+BA184/AV184-1)</f>
        <v>nm</v>
      </c>
      <c r="BB185" s="1010" t="str">
        <f>IF(ISERROR(+BB184/AW184-1),"nm",+BB184/AW184-1)</f>
        <v>nm</v>
      </c>
      <c r="BC185" s="1010" t="str">
        <f>IF(ISERROR(+BC184/AX184-1),"nm",+BC184/AX184-1)</f>
        <v>nm</v>
      </c>
      <c r="BD185" s="1010" t="str">
        <f>IF(ISERROR(+BD184/AY184-1),"nm",+BD184/AY184-1)</f>
        <v>nm</v>
      </c>
      <c r="BE185" s="1011" t="str">
        <f>IF(ISERROR(+BE184/AZ184-1),"nm",+BE184/AZ184-1)</f>
        <v>nm</v>
      </c>
      <c r="BF185" s="1010">
        <f t="shared" ref="BF185:BO185" si="426">IF(ISERROR(+BF184/BA184-1),"NM",+BF184/BA184-1)</f>
        <v>-0.26556836010206475</v>
      </c>
      <c r="BG185" s="1010">
        <f t="shared" si="426"/>
        <v>-0.29422595944920149</v>
      </c>
      <c r="BH185" s="1010">
        <f t="shared" si="426"/>
        <v>-0.36989219489131275</v>
      </c>
      <c r="BI185" s="1010">
        <f t="shared" si="426"/>
        <v>-0.33031242558933249</v>
      </c>
      <c r="BJ185" s="1011">
        <f t="shared" si="426"/>
        <v>-0.31466296337433441</v>
      </c>
      <c r="BK185" s="850">
        <f t="shared" si="426"/>
        <v>-0.12481262874321186</v>
      </c>
      <c r="BL185" s="850">
        <f t="shared" si="426"/>
        <v>-0.11353872193788395</v>
      </c>
      <c r="BM185" s="850">
        <f t="shared" si="426"/>
        <v>-6.9573839328512133E-2</v>
      </c>
      <c r="BN185" s="850">
        <f t="shared" si="426"/>
        <v>-0.11059472600766085</v>
      </c>
      <c r="BO185" s="851">
        <f t="shared" si="426"/>
        <v>-0.10572426053186612</v>
      </c>
      <c r="BP185" s="850">
        <f t="shared" ref="BP185:CW185" si="427">+BP184/BK184-1</f>
        <v>-0.10751470036827215</v>
      </c>
      <c r="BQ185" s="850">
        <f t="shared" si="427"/>
        <v>-0.19282631523640381</v>
      </c>
      <c r="BR185" s="850">
        <f t="shared" si="427"/>
        <v>-0.15693685452225614</v>
      </c>
      <c r="BS185" s="850">
        <f t="shared" si="427"/>
        <v>-0.12457586604946191</v>
      </c>
      <c r="BT185" s="851">
        <f t="shared" si="427"/>
        <v>-0.14556920973334697</v>
      </c>
      <c r="BU185" s="850">
        <f t="shared" si="427"/>
        <v>-0.12906947489779752</v>
      </c>
      <c r="BV185" s="850">
        <f t="shared" si="427"/>
        <v>-3.1403615681495078E-2</v>
      </c>
      <c r="BW185" s="850">
        <f t="shared" si="427"/>
        <v>-4.3806396344945764E-2</v>
      </c>
      <c r="BX185" s="850">
        <f t="shared" si="427"/>
        <v>-4.6161852372643697E-2</v>
      </c>
      <c r="BY185" s="851">
        <f t="shared" si="427"/>
        <v>-6.5053541099918122E-2</v>
      </c>
      <c r="BZ185" s="850">
        <f t="shared" si="427"/>
        <v>-4.0321555312075819E-2</v>
      </c>
      <c r="CA185" s="850">
        <f t="shared" si="427"/>
        <v>-7.3196841326612305E-2</v>
      </c>
      <c r="CB185" s="850">
        <f t="shared" si="427"/>
        <v>-4.5148355974703791E-2</v>
      </c>
      <c r="CC185" s="850">
        <f t="shared" si="427"/>
        <v>-5.6117935137669162E-2</v>
      </c>
      <c r="CD185" s="851">
        <f t="shared" si="427"/>
        <v>-5.3694164114083565E-2</v>
      </c>
      <c r="CE185" s="850">
        <f t="shared" si="427"/>
        <v>-4.1576355639548201E-2</v>
      </c>
      <c r="CF185" s="850">
        <f t="shared" si="427"/>
        <v>2.4897635511452076E-2</v>
      </c>
      <c r="CG185" s="850">
        <f t="shared" si="427"/>
        <v>3.8308128879446013E-2</v>
      </c>
      <c r="CH185" s="850">
        <f t="shared" si="427"/>
        <v>2.6860835952244644E-2</v>
      </c>
      <c r="CI185" s="851">
        <f t="shared" si="427"/>
        <v>1.1190595105459389E-2</v>
      </c>
      <c r="CJ185" s="850">
        <f t="shared" si="427"/>
        <v>-3.1457567857378854E-2</v>
      </c>
      <c r="CK185" s="850">
        <f t="shared" si="427"/>
        <v>-7.7895125583561375E-3</v>
      </c>
      <c r="CL185" s="850">
        <f t="shared" si="427"/>
        <v>-1.973758193034314E-2</v>
      </c>
      <c r="CM185" s="850">
        <f t="shared" si="427"/>
        <v>2.8902763184840419E-2</v>
      </c>
      <c r="CN185" s="851">
        <f t="shared" si="427"/>
        <v>-7.6706377490411981E-3</v>
      </c>
      <c r="CO185" s="850">
        <f t="shared" si="427"/>
        <v>3.9348735196738538E-2</v>
      </c>
      <c r="CP185" s="850">
        <f t="shared" si="427"/>
        <v>5.560803717181928E-3</v>
      </c>
      <c r="CQ185" s="850">
        <f t="shared" si="427"/>
        <v>1.1275107291741415E-2</v>
      </c>
      <c r="CR185" s="850">
        <f t="shared" si="427"/>
        <v>-1.774707024315203E-2</v>
      </c>
      <c r="CS185" s="851">
        <f t="shared" si="427"/>
        <v>9.2547829651550284E-3</v>
      </c>
      <c r="CT185" s="850">
        <f t="shared" si="427"/>
        <v>4.1598891773213298E-2</v>
      </c>
      <c r="CU185" s="850">
        <f t="shared" si="427"/>
        <v>5.287043705316008E-2</v>
      </c>
      <c r="CV185" s="850">
        <f t="shared" si="427"/>
        <v>4.8533501870724471E-2</v>
      </c>
      <c r="CW185" s="850">
        <f t="shared" si="427"/>
        <v>7.271890461396846E-2</v>
      </c>
      <c r="CX185" s="851">
        <f>CX184/CS184-1</f>
        <v>5.3894066184861256E-2</v>
      </c>
      <c r="CY185" s="850">
        <f>+CY184/CT184-1</f>
        <v>2.2467771282004501E-2</v>
      </c>
      <c r="CZ185" s="850">
        <f>+CZ184/CU184-1</f>
        <v>2.4784861593017737E-2</v>
      </c>
      <c r="DA185" s="850">
        <f>+DA184/CV184-1</f>
        <v>3.4953382610342087E-2</v>
      </c>
      <c r="DB185" s="850">
        <f>+DB184/CW184-1</f>
        <v>0.78043263448755051</v>
      </c>
      <c r="DC185" s="851">
        <f>DC184/CX184-1</f>
        <v>0.21777469970823926</v>
      </c>
      <c r="DD185" s="850">
        <f>+DD184/CY184-1</f>
        <v>0.84651811878963468</v>
      </c>
      <c r="DE185" s="850">
        <f>+DE184/CZ184-1</f>
        <v>0.92600716688169804</v>
      </c>
      <c r="DF185" s="850">
        <f>+DF184/DA184-1</f>
        <v>0.98334921566779077</v>
      </c>
      <c r="DG185" s="850">
        <f>+DG184/DB184-1</f>
        <v>0.14365639414741493</v>
      </c>
      <c r="DH185" s="851">
        <f>DH184/DC184-1</f>
        <v>0.63241796505975034</v>
      </c>
      <c r="DI185" s="850">
        <f>+DI184/DD184-1</f>
        <v>0.1014829384803615</v>
      </c>
      <c r="DJ185" s="850">
        <f>+DJ184/DE184-1</f>
        <v>-1.4588216844598767E-3</v>
      </c>
      <c r="DK185" s="850">
        <f>+DK184/DF184-1</f>
        <v>-2.2813154999383523E-2</v>
      </c>
      <c r="DL185" s="850">
        <f>+DL184/DG184-1</f>
        <v>2.4645034491953322E-2</v>
      </c>
      <c r="DM185" s="851">
        <f>DM184/DH184-1</f>
        <v>2.4026428201863848E-2</v>
      </c>
      <c r="DN185" s="850">
        <f>+DN184/DI184-1</f>
        <v>-9.1446872855821759E-2</v>
      </c>
      <c r="DO185" s="850">
        <f>+DO184/DJ184-1</f>
        <v>-1.7978834116886944E-2</v>
      </c>
      <c r="DP185" s="850">
        <f>+DP184/DK184-1</f>
        <v>-0.13037364364678661</v>
      </c>
      <c r="DQ185" s="850">
        <f>+DQ184/DL184-1</f>
        <v>-0.18898546636609104</v>
      </c>
      <c r="DR185" s="851">
        <f>DR184/DM184-1</f>
        <v>-0.10838155774374592</v>
      </c>
      <c r="DS185" s="850">
        <f>+DS184/DN184-1</f>
        <v>3.0910254114723257E-2</v>
      </c>
      <c r="DT185" s="850">
        <f>+DT184/DO184-1</f>
        <v>-3.7362792492988461E-2</v>
      </c>
      <c r="DU185" s="850">
        <f>+DU184/DP184-1</f>
        <v>4.316646361723242E-3</v>
      </c>
      <c r="DV185" s="850">
        <f>+DV184/DQ184-1</f>
        <v>4.6654519710941367E-2</v>
      </c>
      <c r="DW185" s="851">
        <f>DW184/DR184-1</f>
        <v>9.984241462208221E-3</v>
      </c>
      <c r="DX185" s="1164"/>
      <c r="DY185" s="1164"/>
      <c r="DZ185" s="1164"/>
      <c r="EA185" s="1164"/>
      <c r="EB185" s="851"/>
      <c r="EC185" s="1164"/>
      <c r="ED185" s="1164"/>
      <c r="EE185" s="1164"/>
      <c r="EF185" s="1164"/>
      <c r="EG185" s="851"/>
      <c r="EH185" s="1164"/>
      <c r="EI185" s="1164"/>
      <c r="EJ185" s="1164"/>
      <c r="EK185" s="1164"/>
      <c r="EL185" s="851"/>
    </row>
    <row r="186" spans="1:142" ht="11.25" customHeight="1">
      <c r="A186" s="1122"/>
      <c r="B186" s="1122" t="s">
        <v>169</v>
      </c>
      <c r="C186" s="1012"/>
      <c r="D186" s="1012"/>
      <c r="E186" s="1012"/>
      <c r="F186" s="1012"/>
      <c r="G186" s="1012"/>
      <c r="H186" s="1011"/>
      <c r="I186" s="1010" t="str">
        <f>IF(ISERROR(I184/D401-1),"nm",I184/D401-1)</f>
        <v>nm</v>
      </c>
      <c r="J186" s="1010" t="str">
        <f>IF(ISERROR(J184/E401-1),"nm",J184/E401-1)</f>
        <v>nm</v>
      </c>
      <c r="K186" s="1010" t="str">
        <f>IF(ISERROR(K184/F401-1),"nm",K184/F401-1)</f>
        <v>nm</v>
      </c>
      <c r="L186" s="1010" t="str">
        <f>IF(ISERROR(L184/G401-1),"nm",L184/G401-1)</f>
        <v>nm</v>
      </c>
      <c r="M186" s="1011" t="e">
        <f>M184/H401-1</f>
        <v>#VALUE!</v>
      </c>
      <c r="N186" s="1010" t="str">
        <f>IF(ISERROR(N184/I401-1),"nm",N184/I401-1)</f>
        <v>nm</v>
      </c>
      <c r="O186" s="1010" t="str">
        <f>IF(ISERROR(O184/J401-1),"nm",O184/J401-1)</f>
        <v>nm</v>
      </c>
      <c r="P186" s="1010" t="str">
        <f>IF(ISERROR(P184/K401-1),"nm",P184/K401-1)</f>
        <v>nm</v>
      </c>
      <c r="Q186" s="1010" t="str">
        <f>IF(ISERROR(Q184/L401-1),"nm",Q184/L401-1)</f>
        <v>nm</v>
      </c>
      <c r="R186" s="1011" t="e">
        <f>R184/M401-1</f>
        <v>#VALUE!</v>
      </c>
      <c r="S186" s="1010" t="str">
        <f>IF(ISERROR(S184/N401-1),"nm",S184/N401-1)</f>
        <v>nm</v>
      </c>
      <c r="T186" s="1010" t="str">
        <f>IF(ISERROR(T184/O401-1),"nm",T184/O401-1)</f>
        <v>nm</v>
      </c>
      <c r="U186" s="1010" t="str">
        <f>IF(ISERROR(U184/P401-1),"nm",U184/P401-1)</f>
        <v>nm</v>
      </c>
      <c r="V186" s="1010" t="str">
        <f>IF(ISERROR(V184/Q401-1),"nm",V184/Q401-1)</f>
        <v>nm</v>
      </c>
      <c r="W186" s="1011" t="e">
        <f>W184/R401-1</f>
        <v>#VALUE!</v>
      </c>
      <c r="X186" s="1010" t="str">
        <f>IF(ISERROR(X184/S401-1),"nm",X184/S401-1)</f>
        <v>nm</v>
      </c>
      <c r="Y186" s="1010" t="str">
        <f>IF(ISERROR(Y184/T401-1),"nm",Y184/T401-1)</f>
        <v>nm</v>
      </c>
      <c r="Z186" s="1010" t="str">
        <f>IF(ISERROR(Z184/U401-1),"nm",Z184/U401-1)</f>
        <v>nm</v>
      </c>
      <c r="AA186" s="1010" t="str">
        <f>IF(ISERROR(AA184/V401-1),"nm",AA184/V401-1)</f>
        <v>nm</v>
      </c>
      <c r="AB186" s="1011" t="e">
        <f>AB184/W401-1</f>
        <v>#VALUE!</v>
      </c>
      <c r="AC186" s="1010" t="str">
        <f>IF(ISERROR(AC184/X401-1),"nm",AC184/X401-1)</f>
        <v>nm</v>
      </c>
      <c r="AD186" s="1010" t="str">
        <f>IF(ISERROR(AD184/Y401-1),"nm",AD184/Y401-1)</f>
        <v>nm</v>
      </c>
      <c r="AE186" s="1010" t="str">
        <f>IF(ISERROR(AE184/Z401-1),"nm",AE184/Z401-1)</f>
        <v>nm</v>
      </c>
      <c r="AF186" s="1010" t="str">
        <f>IF(ISERROR(AF184/AA401-1),"nm",AF184/AA401-1)</f>
        <v>nm</v>
      </c>
      <c r="AG186" s="1011" t="e">
        <f>AG184/AB401-1</f>
        <v>#VALUE!</v>
      </c>
      <c r="AH186" s="1010" t="str">
        <f>IF(ISERROR(AH184/AC401-1),"nm",AH184/AC401-1)</f>
        <v>nm</v>
      </c>
      <c r="AI186" s="1010" t="str">
        <f>IF(ISERROR(AI184/AD401-1),"nm",AI184/AD401-1)</f>
        <v>nm</v>
      </c>
      <c r="AJ186" s="1010" t="str">
        <f>IF(ISERROR(AJ184/AE401-1),"nm",AJ184/AE401-1)</f>
        <v>nm</v>
      </c>
      <c r="AK186" s="1010" t="str">
        <f>IF(ISERROR(AK184/AF401-1),"nm",AK184/AF401-1)</f>
        <v>nm</v>
      </c>
      <c r="AL186" s="1011" t="e">
        <f>AL184/AG401-1</f>
        <v>#VALUE!</v>
      </c>
      <c r="AM186" s="1010" t="str">
        <f>IF(ISERROR(AM184/AH401-1),"nm",AM184/AH401-1)</f>
        <v>nm</v>
      </c>
      <c r="AN186" s="1010" t="str">
        <f>IF(ISERROR(AN184/AI401-1),"nm",AN184/AI401-1)</f>
        <v>nm</v>
      </c>
      <c r="AO186" s="1010" t="str">
        <f>IF(ISERROR(AO184/AJ401-1),"nm",AO184/AJ401-1)</f>
        <v>nm</v>
      </c>
      <c r="AP186" s="1010" t="str">
        <f>IF(ISERROR(AP184/AK401-1),"nm",AP184/AK401-1)</f>
        <v>nm</v>
      </c>
      <c r="AQ186" s="1011" t="e">
        <f>AQ184/AL401-1</f>
        <v>#VALUE!</v>
      </c>
      <c r="AR186" s="1010" t="str">
        <f>IF(ISERROR(AR184/AM401-1),"nm",AR184/AM401-1)</f>
        <v>nm</v>
      </c>
      <c r="AS186" s="1010" t="str">
        <f>IF(ISERROR(AS184/AN401-1),"nm",AS184/AN401-1)</f>
        <v>nm</v>
      </c>
      <c r="AT186" s="1010" t="str">
        <f>IF(ISERROR(AT184/AO401-1),"nm",AT184/AO401-1)</f>
        <v>nm</v>
      </c>
      <c r="AU186" s="802"/>
      <c r="AV186" s="1012"/>
      <c r="AW186" s="1012"/>
      <c r="AX186" s="1012"/>
      <c r="AY186" s="1012"/>
      <c r="AZ186" s="1011"/>
      <c r="BA186" s="850">
        <v>9.6000000000000002E-2</v>
      </c>
      <c r="BB186" s="850">
        <v>9.6000000000000002E-2</v>
      </c>
      <c r="BC186" s="850">
        <v>9.6000000000000002E-2</v>
      </c>
      <c r="BD186" s="850">
        <v>9.6000000000000002E-2</v>
      </c>
      <c r="BE186" s="850">
        <v>9.6000000000000002E-2</v>
      </c>
      <c r="BF186" s="850">
        <v>9.6000000000000002E-2</v>
      </c>
      <c r="BG186" s="850">
        <v>9.6000000000000002E-2</v>
      </c>
      <c r="BH186" s="850">
        <v>9.6000000000000002E-2</v>
      </c>
      <c r="BI186" s="850">
        <v>9.6000000000000002E-2</v>
      </c>
      <c r="BJ186" s="850">
        <v>9.6000000000000002E-2</v>
      </c>
      <c r="BK186" s="850">
        <v>9.6000000000000002E-2</v>
      </c>
      <c r="BL186" s="850">
        <v>9.6000000000000002E-2</v>
      </c>
      <c r="BM186" s="850">
        <v>9.6000000000000002E-2</v>
      </c>
      <c r="BN186" s="850">
        <v>9.6000000000000002E-2</v>
      </c>
      <c r="BO186" s="850">
        <v>9.6000000000000002E-2</v>
      </c>
      <c r="BP186" s="850">
        <v>9.6000000000000002E-2</v>
      </c>
      <c r="BQ186" s="850">
        <v>9.6000000000000002E-2</v>
      </c>
      <c r="BR186" s="850">
        <v>9.6000000000000002E-2</v>
      </c>
      <c r="BS186" s="850">
        <v>9.6000000000000002E-2</v>
      </c>
      <c r="BT186" s="850">
        <v>9.6000000000000002E-2</v>
      </c>
      <c r="BU186" s="850">
        <v>9.6000000000000002E-2</v>
      </c>
      <c r="BV186" s="850">
        <v>9.6000000000000002E-2</v>
      </c>
      <c r="BW186" s="850">
        <v>9.6000000000000002E-2</v>
      </c>
      <c r="BX186" s="850">
        <v>9.6000000000000002E-2</v>
      </c>
      <c r="BY186" s="850">
        <v>9.6000000000000002E-2</v>
      </c>
      <c r="BZ186" s="850">
        <v>9.6000000000000002E-2</v>
      </c>
      <c r="CA186" s="850">
        <v>9.6000000000000002E-2</v>
      </c>
      <c r="CB186" s="850">
        <v>9.6000000000000002E-2</v>
      </c>
      <c r="CC186" s="850">
        <v>9.6000000000000002E-2</v>
      </c>
      <c r="CD186" s="850">
        <v>9.6000000000000002E-2</v>
      </c>
      <c r="CE186" s="850">
        <v>9.6000000000000002E-2</v>
      </c>
      <c r="CF186" s="850">
        <v>9.6000000000000002E-2</v>
      </c>
      <c r="CG186" s="850">
        <v>9.6000000000000002E-2</v>
      </c>
      <c r="CH186" s="850">
        <v>9.6000000000000002E-2</v>
      </c>
      <c r="CI186" s="850">
        <v>9.6000000000000002E-2</v>
      </c>
      <c r="CJ186" s="850">
        <v>9.6000000000000002E-2</v>
      </c>
      <c r="CK186" s="850">
        <v>9.6000000000000002E-2</v>
      </c>
      <c r="CL186" s="850">
        <v>9.6000000000000002E-2</v>
      </c>
      <c r="CM186" s="850">
        <v>9.6000000000000002E-2</v>
      </c>
      <c r="CN186" s="850">
        <v>9.6000000000000002E-2</v>
      </c>
      <c r="CO186" s="850">
        <v>9.6000000000000002E-2</v>
      </c>
      <c r="CP186" s="850">
        <v>9.6000000000000002E-2</v>
      </c>
      <c r="CQ186" s="850">
        <v>9.6000000000000002E-2</v>
      </c>
      <c r="CR186" s="850">
        <v>9.6000000000000002E-2</v>
      </c>
      <c r="CS186" s="850">
        <v>9.6000000000000002E-2</v>
      </c>
      <c r="CT186" s="850">
        <v>9.6000000000000002E-2</v>
      </c>
      <c r="CU186" s="850">
        <v>9.6000000000000002E-2</v>
      </c>
      <c r="CV186" s="850">
        <v>9.6000000000000002E-2</v>
      </c>
      <c r="CW186" s="850">
        <v>9.6000000000000002E-2</v>
      </c>
      <c r="CX186" s="850">
        <v>9.6000000000000002E-2</v>
      </c>
      <c r="CY186" s="850">
        <v>9.6000000000000002E-2</v>
      </c>
      <c r="CZ186" s="850">
        <v>9.6000000000000002E-2</v>
      </c>
      <c r="DA186" s="850">
        <v>9.6000000000000002E-2</v>
      </c>
      <c r="DB186" s="850">
        <v>9.6000000000000002E-2</v>
      </c>
      <c r="DC186" s="1121" t="s">
        <v>162</v>
      </c>
      <c r="DD186" s="850">
        <v>4.5999999999999999E-2</v>
      </c>
      <c r="DE186" s="850">
        <v>7.0999999999999994E-2</v>
      </c>
      <c r="DF186" s="850">
        <v>8.5000000000000006E-2</v>
      </c>
      <c r="DG186" s="850">
        <v>9.6000000000000002E-2</v>
      </c>
      <c r="DH186" s="1121" t="s">
        <v>162</v>
      </c>
      <c r="DI186" s="850"/>
      <c r="DJ186" s="850"/>
      <c r="DK186" s="850"/>
      <c r="DL186" s="850"/>
      <c r="DM186" s="1121"/>
      <c r="DN186" s="850"/>
      <c r="DO186" s="850"/>
      <c r="DP186" s="850"/>
      <c r="DQ186" s="850"/>
      <c r="DR186" s="1121"/>
      <c r="DS186" s="850"/>
      <c r="DT186" s="850"/>
      <c r="DU186" s="850"/>
      <c r="DV186" s="850"/>
      <c r="DW186" s="1121"/>
      <c r="DX186" s="1142"/>
      <c r="DY186" s="1142"/>
      <c r="DZ186" s="1142"/>
      <c r="EA186" s="1142"/>
      <c r="EB186" s="851"/>
      <c r="EC186" s="1142"/>
      <c r="ED186" s="1142"/>
      <c r="EE186" s="1142"/>
      <c r="EF186" s="1142"/>
      <c r="EG186" s="851"/>
      <c r="EH186" s="1142"/>
      <c r="EI186" s="1142"/>
      <c r="EJ186" s="1142"/>
      <c r="EK186" s="1142"/>
      <c r="EL186" s="851"/>
    </row>
    <row r="187" spans="1:142" ht="11.25" customHeight="1">
      <c r="A187" s="1056"/>
      <c r="B187" s="1056"/>
      <c r="C187" s="901"/>
      <c r="D187" s="901"/>
      <c r="E187" s="901"/>
      <c r="F187" s="901"/>
      <c r="G187" s="901"/>
      <c r="H187" s="902"/>
      <c r="I187" s="901"/>
      <c r="J187" s="901"/>
      <c r="K187" s="901"/>
      <c r="L187" s="901"/>
      <c r="M187" s="902"/>
      <c r="N187" s="901"/>
      <c r="O187" s="901"/>
      <c r="P187" s="901"/>
      <c r="Q187" s="901"/>
      <c r="R187" s="902"/>
      <c r="S187" s="901"/>
      <c r="T187" s="901"/>
      <c r="U187" s="901"/>
      <c r="V187" s="901"/>
      <c r="W187" s="902"/>
      <c r="X187" s="901"/>
      <c r="Y187" s="901"/>
      <c r="Z187" s="901"/>
      <c r="AA187" s="901"/>
      <c r="AB187" s="902"/>
      <c r="AC187" s="901"/>
      <c r="AD187" s="901"/>
      <c r="AE187" s="901"/>
      <c r="AF187" s="901"/>
      <c r="AG187" s="902"/>
      <c r="AH187" s="901"/>
      <c r="AI187" s="901"/>
      <c r="AJ187" s="901"/>
      <c r="AK187" s="901"/>
      <c r="AL187" s="902"/>
      <c r="AM187" s="901"/>
      <c r="AN187" s="901"/>
      <c r="AO187" s="901"/>
      <c r="AP187" s="901"/>
      <c r="AQ187" s="902"/>
      <c r="AR187" s="901"/>
      <c r="AS187" s="901"/>
      <c r="AT187" s="901"/>
      <c r="AU187" s="802"/>
      <c r="AV187" s="901"/>
      <c r="AW187" s="901"/>
      <c r="AX187" s="901"/>
      <c r="AY187" s="901"/>
      <c r="AZ187" s="902"/>
      <c r="BA187" s="901"/>
      <c r="BB187" s="901"/>
      <c r="BC187" s="901"/>
      <c r="BD187" s="901"/>
      <c r="BE187" s="902"/>
      <c r="BF187" s="901"/>
      <c r="BG187" s="901"/>
      <c r="BH187" s="901"/>
      <c r="BI187" s="901"/>
      <c r="BJ187" s="902"/>
      <c r="BK187" s="930"/>
      <c r="BL187" s="930"/>
      <c r="BM187" s="930"/>
      <c r="BN187" s="930"/>
      <c r="BO187" s="844"/>
      <c r="BP187" s="930"/>
      <c r="BQ187" s="930"/>
      <c r="BR187" s="930"/>
      <c r="BS187" s="930"/>
      <c r="BT187" s="844"/>
      <c r="BU187" s="930"/>
      <c r="BV187" s="930"/>
      <c r="BW187" s="930"/>
      <c r="BX187" s="930"/>
      <c r="BY187" s="844"/>
      <c r="BZ187" s="930"/>
      <c r="CA187" s="930"/>
      <c r="CB187" s="930"/>
      <c r="CC187" s="930"/>
      <c r="CD187" s="844"/>
      <c r="CE187" s="930"/>
      <c r="CF187" s="930"/>
      <c r="CG187" s="930"/>
      <c r="CH187" s="930"/>
      <c r="CI187" s="844"/>
      <c r="CJ187" s="930"/>
      <c r="CK187" s="930"/>
      <c r="CL187" s="930"/>
      <c r="CM187" s="930"/>
      <c r="CN187" s="844"/>
      <c r="CO187" s="930"/>
      <c r="CP187" s="930"/>
      <c r="CQ187" s="930"/>
      <c r="CR187" s="930"/>
      <c r="CS187" s="844"/>
      <c r="CT187" s="930"/>
      <c r="CU187" s="930"/>
      <c r="CV187" s="930"/>
      <c r="CW187" s="930"/>
      <c r="CX187" s="844"/>
      <c r="CY187" s="930"/>
      <c r="CZ187" s="930"/>
      <c r="DA187" s="930"/>
      <c r="DB187" s="930"/>
      <c r="DC187" s="844"/>
      <c r="DD187" s="930"/>
      <c r="DE187" s="930"/>
      <c r="DF187" s="930"/>
      <c r="DG187" s="930"/>
      <c r="DH187" s="844"/>
      <c r="DI187" s="930"/>
      <c r="DJ187" s="930"/>
      <c r="DK187" s="930"/>
      <c r="DL187" s="930"/>
      <c r="DM187" s="844"/>
      <c r="DN187" s="930"/>
      <c r="DO187" s="930"/>
      <c r="DP187" s="930"/>
      <c r="DQ187" s="930"/>
      <c r="DR187" s="844"/>
      <c r="DS187" s="930"/>
      <c r="DT187" s="930"/>
      <c r="DU187" s="930"/>
      <c r="DV187" s="930"/>
      <c r="DW187" s="844"/>
      <c r="DX187" s="930"/>
      <c r="DY187" s="930"/>
      <c r="DZ187" s="930"/>
      <c r="EA187" s="930"/>
      <c r="EB187" s="844"/>
      <c r="EC187" s="930"/>
      <c r="ED187" s="930"/>
      <c r="EE187" s="930"/>
      <c r="EF187" s="930"/>
      <c r="EG187" s="844"/>
      <c r="EH187" s="930"/>
      <c r="EI187" s="930"/>
      <c r="EJ187" s="930"/>
      <c r="EK187" s="930"/>
      <c r="EL187" s="844"/>
    </row>
    <row r="188" spans="1:142" ht="11.25" customHeight="1">
      <c r="A188" s="846"/>
      <c r="B188" s="846" t="s">
        <v>156</v>
      </c>
      <c r="C188" s="1149"/>
      <c r="D188" s="1149" t="str">
        <f>D366</f>
        <v>ND</v>
      </c>
      <c r="E188" s="1149" t="str">
        <f>E366</f>
        <v>ND</v>
      </c>
      <c r="F188" s="1149" t="str">
        <f>F366</f>
        <v>ND</v>
      </c>
      <c r="G188" s="1149" t="str">
        <f>G366</f>
        <v>ND</v>
      </c>
      <c r="H188" s="1113">
        <f>SUM(D188:G188)</f>
        <v>0</v>
      </c>
      <c r="I188" s="1149" t="str">
        <f>I366</f>
        <v>ND</v>
      </c>
      <c r="J188" s="1149" t="str">
        <f>J366</f>
        <v>ND</v>
      </c>
      <c r="K188" s="1149" t="str">
        <f>K366</f>
        <v>ND</v>
      </c>
      <c r="L188" s="1149" t="str">
        <f>L366</f>
        <v>ND</v>
      </c>
      <c r="M188" s="1113">
        <f>SUM(I188:L188)</f>
        <v>0</v>
      </c>
      <c r="N188" s="1149" t="str">
        <f>N366</f>
        <v>ND</v>
      </c>
      <c r="O188" s="1149" t="str">
        <f>O366</f>
        <v>ND</v>
      </c>
      <c r="P188" s="1149" t="str">
        <f>P366</f>
        <v>ND</v>
      </c>
      <c r="Q188" s="1149" t="str">
        <f>Q366</f>
        <v>ND</v>
      </c>
      <c r="R188" s="1113">
        <f>SUM(N188:Q188)</f>
        <v>0</v>
      </c>
      <c r="S188" s="1149">
        <f>S366</f>
        <v>0.32300000000000001</v>
      </c>
      <c r="T188" s="1149">
        <f>T366</f>
        <v>0.32800000000000001</v>
      </c>
      <c r="U188" s="1149">
        <f>U366</f>
        <v>0.33700000000000002</v>
      </c>
      <c r="V188" s="1149" t="str">
        <f>V366</f>
        <v>ND</v>
      </c>
      <c r="W188" s="1113">
        <f>SUM(S188:V188)</f>
        <v>0.98799999999999999</v>
      </c>
      <c r="X188" s="1149">
        <f>X366</f>
        <v>0.35799999999999998</v>
      </c>
      <c r="Y188" s="1149">
        <f>Y366</f>
        <v>0.37</v>
      </c>
      <c r="Z188" s="1149">
        <f>Z366</f>
        <v>0.38400000000000001</v>
      </c>
      <c r="AA188" s="1149" t="str">
        <f>AA366</f>
        <v>ND</v>
      </c>
      <c r="AB188" s="1113">
        <f>SUM(X188:AA188)</f>
        <v>1.1120000000000001</v>
      </c>
      <c r="AC188" s="1149">
        <f>AC366</f>
        <v>0.372</v>
      </c>
      <c r="AD188" s="1149">
        <f>AD366</f>
        <v>0.41899999999999998</v>
      </c>
      <c r="AE188" s="1149">
        <f>AE366</f>
        <v>0.40600000000000003</v>
      </c>
      <c r="AF188" s="1149" t="str">
        <f>AF366</f>
        <v>ND</v>
      </c>
      <c r="AG188" s="1113">
        <f>SUM(AC188:AF188)</f>
        <v>1.1970000000000001</v>
      </c>
      <c r="AH188" s="1149">
        <f>AH366</f>
        <v>0.41099999999999998</v>
      </c>
      <c r="AI188" s="1149">
        <f>AI366</f>
        <v>0.439</v>
      </c>
      <c r="AJ188" s="1149">
        <f>AJ366</f>
        <v>0.438</v>
      </c>
      <c r="AK188" s="1149" t="str">
        <f>AK366</f>
        <v>ND</v>
      </c>
      <c r="AL188" s="1113">
        <f>SUM(AH188:AK188)</f>
        <v>1.288</v>
      </c>
      <c r="AM188" s="1149">
        <f>AM366</f>
        <v>0.42899999999999999</v>
      </c>
      <c r="AN188" s="1149">
        <f>AN366</f>
        <v>0.44500000000000001</v>
      </c>
      <c r="AO188" s="1149">
        <f>AO366</f>
        <v>0.442</v>
      </c>
      <c r="AP188" s="1149" t="str">
        <f>AP366</f>
        <v>ND</v>
      </c>
      <c r="AQ188" s="1113">
        <f>SUM(AM188:AP188)</f>
        <v>1.3160000000000001</v>
      </c>
      <c r="AR188" s="1149">
        <f>AR366</f>
        <v>0.45400000000000001</v>
      </c>
      <c r="AS188" s="1149">
        <f>AS366</f>
        <v>0.46200000000000002</v>
      </c>
      <c r="AT188" s="1149">
        <f>AT366</f>
        <v>0.48599999999999999</v>
      </c>
      <c r="AU188" s="802"/>
      <c r="AV188" s="903" t="str">
        <f t="shared" ref="AV188:CA188" si="428">AV310</f>
        <v>ND</v>
      </c>
      <c r="AW188" s="903" t="str">
        <f t="shared" si="428"/>
        <v>ND</v>
      </c>
      <c r="AX188" s="903" t="str">
        <f t="shared" si="428"/>
        <v>ND</v>
      </c>
      <c r="AY188" s="903" t="str">
        <f t="shared" si="428"/>
        <v>ND</v>
      </c>
      <c r="AZ188" s="903" t="str">
        <f t="shared" si="428"/>
        <v>ND</v>
      </c>
      <c r="BA188" s="903" t="str">
        <f t="shared" si="428"/>
        <v>ND</v>
      </c>
      <c r="BB188" s="903" t="str">
        <f t="shared" si="428"/>
        <v>ND</v>
      </c>
      <c r="BC188" s="903" t="str">
        <f t="shared" si="428"/>
        <v>ND</v>
      </c>
      <c r="BD188" s="903" t="str">
        <f t="shared" si="428"/>
        <v>ND</v>
      </c>
      <c r="BE188" s="903" t="str">
        <f t="shared" si="428"/>
        <v>ND</v>
      </c>
      <c r="BF188" s="903" t="str">
        <f t="shared" si="428"/>
        <v>ND</v>
      </c>
      <c r="BG188" s="903" t="str">
        <f t="shared" si="428"/>
        <v>ND</v>
      </c>
      <c r="BH188" s="903" t="str">
        <f t="shared" si="428"/>
        <v>ND</v>
      </c>
      <c r="BI188" s="903" t="str">
        <f t="shared" si="428"/>
        <v>ND</v>
      </c>
      <c r="BJ188" s="903" t="str">
        <f t="shared" si="428"/>
        <v>ND</v>
      </c>
      <c r="BK188" s="903" t="str">
        <f t="shared" si="428"/>
        <v>ND</v>
      </c>
      <c r="BL188" s="903" t="str">
        <f t="shared" si="428"/>
        <v>ND</v>
      </c>
      <c r="BM188" s="903" t="str">
        <f t="shared" si="428"/>
        <v>ND</v>
      </c>
      <c r="BN188" s="903" t="str">
        <f t="shared" si="428"/>
        <v>ND</v>
      </c>
      <c r="BO188" s="903" t="str">
        <f t="shared" si="428"/>
        <v>ND</v>
      </c>
      <c r="BP188" s="903">
        <f t="shared" si="428"/>
        <v>-39496</v>
      </c>
      <c r="BQ188" s="903">
        <f t="shared" si="428"/>
        <v>-42505</v>
      </c>
      <c r="BR188" s="903">
        <f t="shared" si="428"/>
        <v>-45217</v>
      </c>
      <c r="BS188" s="903">
        <f t="shared" si="428"/>
        <v>-39902</v>
      </c>
      <c r="BT188" s="903">
        <f t="shared" si="428"/>
        <v>-167120</v>
      </c>
      <c r="BU188" s="903">
        <f t="shared" si="428"/>
        <v>-43225</v>
      </c>
      <c r="BV188" s="903">
        <f t="shared" si="428"/>
        <v>-44960</v>
      </c>
      <c r="BW188" s="903">
        <f t="shared" si="428"/>
        <v>-43984</v>
      </c>
      <c r="BX188" s="903">
        <f t="shared" si="428"/>
        <v>-37904</v>
      </c>
      <c r="BY188" s="903">
        <f t="shared" si="428"/>
        <v>-170073</v>
      </c>
      <c r="BZ188" s="903">
        <f t="shared" si="428"/>
        <v>904045</v>
      </c>
      <c r="CA188" s="903">
        <f t="shared" si="428"/>
        <v>854249</v>
      </c>
      <c r="CB188" s="903">
        <f t="shared" ref="CB188:DG188" si="429">CB310</f>
        <v>839920</v>
      </c>
      <c r="CC188" s="903">
        <f t="shared" si="429"/>
        <v>830633</v>
      </c>
      <c r="CD188" s="903">
        <f t="shared" si="429"/>
        <v>3355514</v>
      </c>
      <c r="CE188" s="903">
        <f t="shared" si="429"/>
        <v>873084</v>
      </c>
      <c r="CF188" s="903">
        <f t="shared" si="429"/>
        <v>881986</v>
      </c>
      <c r="CG188" s="903">
        <f t="shared" si="429"/>
        <v>878765</v>
      </c>
      <c r="CH188" s="903">
        <f t="shared" si="429"/>
        <v>858579</v>
      </c>
      <c r="CI188" s="903">
        <f t="shared" si="429"/>
        <v>3480137</v>
      </c>
      <c r="CJ188" s="903">
        <f t="shared" si="429"/>
        <v>856328</v>
      </c>
      <c r="CK188" s="903">
        <f t="shared" si="429"/>
        <v>883922</v>
      </c>
      <c r="CL188" s="903">
        <f t="shared" si="429"/>
        <v>871930</v>
      </c>
      <c r="CM188" s="903">
        <f t="shared" si="429"/>
        <v>900182</v>
      </c>
      <c r="CN188" s="903">
        <f t="shared" si="429"/>
        <v>3512362</v>
      </c>
      <c r="CO188" s="903">
        <f t="shared" si="429"/>
        <v>909359</v>
      </c>
      <c r="CP188" s="903">
        <f t="shared" si="429"/>
        <v>912890</v>
      </c>
      <c r="CQ188" s="903">
        <f t="shared" si="429"/>
        <v>901695</v>
      </c>
      <c r="CR188" s="903">
        <f t="shared" si="429"/>
        <v>884421</v>
      </c>
      <c r="CS188" s="903">
        <f t="shared" si="429"/>
        <v>3554231</v>
      </c>
      <c r="CT188" s="903">
        <f t="shared" si="429"/>
        <v>926474</v>
      </c>
      <c r="CU188" s="903">
        <f t="shared" si="429"/>
        <v>937570</v>
      </c>
      <c r="CV188" s="903">
        <f t="shared" si="429"/>
        <v>922700</v>
      </c>
      <c r="CW188" s="903">
        <f t="shared" si="429"/>
        <v>941658</v>
      </c>
      <c r="CX188" s="903">
        <f t="shared" si="429"/>
        <v>3728402</v>
      </c>
      <c r="CY188" s="903">
        <f t="shared" si="429"/>
        <v>944549</v>
      </c>
      <c r="CZ188" s="903">
        <f t="shared" si="429"/>
        <v>958379</v>
      </c>
      <c r="DA188" s="903">
        <f t="shared" si="429"/>
        <v>956871</v>
      </c>
      <c r="DB188" s="903">
        <f t="shared" si="429"/>
        <v>974396</v>
      </c>
      <c r="DC188" s="903">
        <f t="shared" si="429"/>
        <v>974396</v>
      </c>
      <c r="DD188" s="903">
        <f t="shared" si="429"/>
        <v>968817</v>
      </c>
      <c r="DE188" s="903">
        <f t="shared" si="429"/>
        <v>1031920</v>
      </c>
      <c r="DF188" s="903">
        <f t="shared" si="429"/>
        <v>1042636</v>
      </c>
      <c r="DG188" s="903">
        <f t="shared" si="429"/>
        <v>-40146</v>
      </c>
      <c r="DH188" s="844">
        <f>SUM(DD188:DG188)</f>
        <v>3003227</v>
      </c>
      <c r="DI188" s="903">
        <f>DI310</f>
        <v>1985073</v>
      </c>
      <c r="DJ188" s="903">
        <f>DJ310</f>
        <v>1858225</v>
      </c>
      <c r="DK188" s="903">
        <f>DK310</f>
        <v>1800725</v>
      </c>
      <c r="DL188" s="903">
        <f>DL310</f>
        <v>-29596</v>
      </c>
      <c r="DM188" s="844">
        <f>SUM(DI188:DL188)</f>
        <v>5614427</v>
      </c>
      <c r="DN188" s="903">
        <f>DN310</f>
        <v>1804947</v>
      </c>
      <c r="DO188" s="903">
        <f>DO310</f>
        <v>1884716</v>
      </c>
      <c r="DP188" s="903">
        <f>DP310</f>
        <v>1676686</v>
      </c>
      <c r="DQ188" s="903">
        <f>DQ310</f>
        <v>1671428</v>
      </c>
      <c r="DR188" s="844">
        <f>SUM(DN188:DQ188)</f>
        <v>7037777</v>
      </c>
      <c r="DS188" s="903">
        <f>DS310</f>
        <v>1883235</v>
      </c>
      <c r="DT188" s="903">
        <f>DT310</f>
        <v>1823601</v>
      </c>
      <c r="DU188" s="903">
        <f>DU310</f>
        <v>1696468</v>
      </c>
      <c r="DV188" s="903">
        <f>DV310</f>
        <v>1747285</v>
      </c>
      <c r="DW188" s="844">
        <f>SUM(DS188:DV188)</f>
        <v>7150589</v>
      </c>
      <c r="DX188" s="901"/>
      <c r="DY188" s="901"/>
      <c r="DZ188" s="901"/>
      <c r="EA188" s="901"/>
      <c r="EB188" s="844"/>
      <c r="EC188" s="901"/>
      <c r="ED188" s="901"/>
      <c r="EE188" s="901"/>
      <c r="EF188" s="901"/>
      <c r="EG188" s="844"/>
      <c r="EH188" s="901"/>
      <c r="EI188" s="901"/>
      <c r="EJ188" s="901"/>
      <c r="EK188" s="901"/>
      <c r="EL188" s="844"/>
    </row>
    <row r="189" spans="1:142" ht="11.25" customHeight="1">
      <c r="A189" s="1122"/>
      <c r="B189" s="1122" t="s">
        <v>133</v>
      </c>
      <c r="C189" s="1012"/>
      <c r="D189" s="1012"/>
      <c r="E189" s="1012"/>
      <c r="F189" s="1012"/>
      <c r="G189" s="1012"/>
      <c r="H189" s="1011"/>
      <c r="I189" s="1010" t="str">
        <f t="shared" ref="I189:AT189" si="430">IF(ISERROR(+I188/D188-1),"nm",+I188/D188-1)</f>
        <v>nm</v>
      </c>
      <c r="J189" s="1010" t="str">
        <f t="shared" si="430"/>
        <v>nm</v>
      </c>
      <c r="K189" s="1010" t="str">
        <f t="shared" si="430"/>
        <v>nm</v>
      </c>
      <c r="L189" s="1010" t="str">
        <f t="shared" si="430"/>
        <v>nm</v>
      </c>
      <c r="M189" s="1011" t="str">
        <f t="shared" si="430"/>
        <v>nm</v>
      </c>
      <c r="N189" s="1010" t="str">
        <f t="shared" si="430"/>
        <v>nm</v>
      </c>
      <c r="O189" s="1010" t="str">
        <f t="shared" si="430"/>
        <v>nm</v>
      </c>
      <c r="P189" s="1010" t="str">
        <f t="shared" si="430"/>
        <v>nm</v>
      </c>
      <c r="Q189" s="1010" t="str">
        <f t="shared" si="430"/>
        <v>nm</v>
      </c>
      <c r="R189" s="1011" t="str">
        <f t="shared" si="430"/>
        <v>nm</v>
      </c>
      <c r="S189" s="1010" t="str">
        <f t="shared" si="430"/>
        <v>nm</v>
      </c>
      <c r="T189" s="1010" t="str">
        <f t="shared" si="430"/>
        <v>nm</v>
      </c>
      <c r="U189" s="1010" t="str">
        <f t="shared" si="430"/>
        <v>nm</v>
      </c>
      <c r="V189" s="1010" t="str">
        <f t="shared" si="430"/>
        <v>nm</v>
      </c>
      <c r="W189" s="1011" t="str">
        <f t="shared" si="430"/>
        <v>nm</v>
      </c>
      <c r="X189" s="1010">
        <f t="shared" si="430"/>
        <v>0.1083591331269349</v>
      </c>
      <c r="Y189" s="1010">
        <f t="shared" si="430"/>
        <v>0.12804878048780477</v>
      </c>
      <c r="Z189" s="1010">
        <f t="shared" si="430"/>
        <v>0.13946587537091992</v>
      </c>
      <c r="AA189" s="1010" t="str">
        <f t="shared" si="430"/>
        <v>nm</v>
      </c>
      <c r="AB189" s="1011">
        <f t="shared" si="430"/>
        <v>0.12550607287449411</v>
      </c>
      <c r="AC189" s="1010">
        <f t="shared" si="430"/>
        <v>3.9106145251396773E-2</v>
      </c>
      <c r="AD189" s="1010">
        <f t="shared" si="430"/>
        <v>0.13243243243243241</v>
      </c>
      <c r="AE189" s="1010">
        <f t="shared" si="430"/>
        <v>5.7291666666666741E-2</v>
      </c>
      <c r="AF189" s="1010" t="str">
        <f t="shared" si="430"/>
        <v>nm</v>
      </c>
      <c r="AG189" s="1011">
        <f t="shared" si="430"/>
        <v>7.6438848920863167E-2</v>
      </c>
      <c r="AH189" s="1010">
        <f t="shared" si="430"/>
        <v>0.10483870967741926</v>
      </c>
      <c r="AI189" s="1010">
        <f t="shared" si="430"/>
        <v>4.7732696897374804E-2</v>
      </c>
      <c r="AJ189" s="1010">
        <f t="shared" si="430"/>
        <v>7.8817733990147687E-2</v>
      </c>
      <c r="AK189" s="1010" t="str">
        <f t="shared" si="430"/>
        <v>nm</v>
      </c>
      <c r="AL189" s="1011">
        <f t="shared" si="430"/>
        <v>7.6023391812865437E-2</v>
      </c>
      <c r="AM189" s="1010">
        <f t="shared" si="430"/>
        <v>4.3795620437956151E-2</v>
      </c>
      <c r="AN189" s="1010">
        <f t="shared" si="430"/>
        <v>1.3667425968109326E-2</v>
      </c>
      <c r="AO189" s="1010">
        <f t="shared" si="430"/>
        <v>9.1324200913243114E-3</v>
      </c>
      <c r="AP189" s="1010" t="str">
        <f t="shared" si="430"/>
        <v>nm</v>
      </c>
      <c r="AQ189" s="1011">
        <f t="shared" si="430"/>
        <v>2.1739130434782705E-2</v>
      </c>
      <c r="AR189" s="1010">
        <f t="shared" si="430"/>
        <v>5.8275058275058411E-2</v>
      </c>
      <c r="AS189" s="1010">
        <f t="shared" si="430"/>
        <v>3.8202247191011285E-2</v>
      </c>
      <c r="AT189" s="1010">
        <f t="shared" si="430"/>
        <v>9.9547511312217063E-2</v>
      </c>
      <c r="AU189" s="802"/>
      <c r="AV189" s="850">
        <v>1.0489659037774937</v>
      </c>
      <c r="AW189" s="850">
        <v>1.0489659037774937</v>
      </c>
      <c r="AX189" s="850">
        <v>1.0489659037774937</v>
      </c>
      <c r="AY189" s="850">
        <v>1.0489659037774937</v>
      </c>
      <c r="AZ189" s="850">
        <v>1.0489659037774937</v>
      </c>
      <c r="BA189" s="850">
        <v>1.0489659037774937</v>
      </c>
      <c r="BB189" s="850">
        <v>1.0489659037774937</v>
      </c>
      <c r="BC189" s="850">
        <v>1.0489659037774937</v>
      </c>
      <c r="BD189" s="850">
        <v>1.0489659037774937</v>
      </c>
      <c r="BE189" s="850">
        <v>1.0489659037774937</v>
      </c>
      <c r="BF189" s="850">
        <v>1.0489659037774937</v>
      </c>
      <c r="BG189" s="850">
        <v>1.0489659037774937</v>
      </c>
      <c r="BH189" s="850">
        <v>1.0489659037774937</v>
      </c>
      <c r="BI189" s="850">
        <v>1.0489659037774937</v>
      </c>
      <c r="BJ189" s="850">
        <v>1.0489659037774937</v>
      </c>
      <c r="BK189" s="850">
        <v>1.0489659037774937</v>
      </c>
      <c r="BL189" s="850">
        <v>1.0489659037774937</v>
      </c>
      <c r="BM189" s="850">
        <v>1.0489659037774937</v>
      </c>
      <c r="BN189" s="850">
        <v>1.0489659037774937</v>
      </c>
      <c r="BO189" s="850">
        <v>1.0489659037774937</v>
      </c>
      <c r="BP189" s="850">
        <v>1.0489659037774937</v>
      </c>
      <c r="BQ189" s="850">
        <v>1.0489659037774937</v>
      </c>
      <c r="BR189" s="850">
        <v>1.0489659037774937</v>
      </c>
      <c r="BS189" s="850">
        <v>1.0489659037774937</v>
      </c>
      <c r="BT189" s="850">
        <v>1.0489659037774937</v>
      </c>
      <c r="BU189" s="850">
        <v>1.0489659037774937</v>
      </c>
      <c r="BV189" s="850">
        <v>1.0489659037774937</v>
      </c>
      <c r="BW189" s="850">
        <v>1.0489659037774937</v>
      </c>
      <c r="BX189" s="850">
        <v>1.0489659037774937</v>
      </c>
      <c r="BY189" s="850">
        <v>1.0489659037774937</v>
      </c>
      <c r="BZ189" s="850">
        <v>1.0489659037774937</v>
      </c>
      <c r="CA189" s="850">
        <v>1.0489659037774937</v>
      </c>
      <c r="CB189" s="850">
        <v>1.0489659037774937</v>
      </c>
      <c r="CC189" s="850">
        <v>1.0489659037774937</v>
      </c>
      <c r="CD189" s="850">
        <v>1.0489659037774937</v>
      </c>
      <c r="CE189" s="850">
        <v>1.0489659037774937</v>
      </c>
      <c r="CF189" s="850">
        <v>1.0489659037774937</v>
      </c>
      <c r="CG189" s="850">
        <v>1.0489659037774937</v>
      </c>
      <c r="CH189" s="850">
        <v>1.0489659037774937</v>
      </c>
      <c r="CI189" s="850">
        <v>1.0489659037774937</v>
      </c>
      <c r="CJ189" s="850">
        <v>1.0489659037774937</v>
      </c>
      <c r="CK189" s="850">
        <v>1.0489659037774937</v>
      </c>
      <c r="CL189" s="850">
        <v>1.0489659037774937</v>
      </c>
      <c r="CM189" s="850">
        <v>1.0489659037774937</v>
      </c>
      <c r="CN189" s="850">
        <v>1.0489659037774937</v>
      </c>
      <c r="CO189" s="850">
        <v>1.0489659037774937</v>
      </c>
      <c r="CP189" s="850">
        <v>1.0489659037774937</v>
      </c>
      <c r="CQ189" s="850">
        <v>1.0489659037774937</v>
      </c>
      <c r="CR189" s="850">
        <v>1.0489659037774937</v>
      </c>
      <c r="CS189" s="850">
        <v>1.0489659037774937</v>
      </c>
      <c r="CT189" s="850">
        <v>1.0489659037774937</v>
      </c>
      <c r="CU189" s="850">
        <v>1.0489659037774937</v>
      </c>
      <c r="CV189" s="850">
        <v>1.0489659037774937</v>
      </c>
      <c r="CW189" s="850">
        <v>1.0489659037774937</v>
      </c>
      <c r="CX189" s="850">
        <v>1.0489659037774937</v>
      </c>
      <c r="CY189" s="850">
        <v>1.0489659037774937</v>
      </c>
      <c r="CZ189" s="850">
        <v>1.0489659037774937</v>
      </c>
      <c r="DA189" s="850">
        <v>1.0489659037774937</v>
      </c>
      <c r="DB189" s="850">
        <v>1.0489659037774937</v>
      </c>
      <c r="DC189" s="850">
        <v>1.0489659037774937</v>
      </c>
      <c r="DD189" s="850">
        <v>1.0489659037774937</v>
      </c>
      <c r="DE189" s="850">
        <v>1.0489659037774937</v>
      </c>
      <c r="DF189" s="850">
        <v>1.0489659037774937</v>
      </c>
      <c r="DG189" s="850">
        <v>1.0489659037774937</v>
      </c>
      <c r="DH189" s="851">
        <f>DH188/DC188-1</f>
        <v>2.0821421680712975</v>
      </c>
      <c r="DI189" s="850">
        <v>1.0489659037774937</v>
      </c>
      <c r="DJ189" s="850">
        <v>0.80074521280719435</v>
      </c>
      <c r="DK189" s="850">
        <v>0.72708884020885534</v>
      </c>
      <c r="DL189" s="850">
        <v>-5.9067521308802884E-2</v>
      </c>
      <c r="DM189" s="851">
        <v>0.49932601103365726</v>
      </c>
      <c r="DN189" s="850">
        <f>+DN188/DI188-1</f>
        <v>-9.0740239779595E-2</v>
      </c>
      <c r="DO189" s="850">
        <f>+DO188/DJ188-1</f>
        <v>1.4256077708566073E-2</v>
      </c>
      <c r="DP189" s="850">
        <f>+DP188/DK188-1</f>
        <v>-6.8882811089977625E-2</v>
      </c>
      <c r="DQ189" s="850">
        <f>+DQ188/DL188-1</f>
        <v>-57.474793891066362</v>
      </c>
      <c r="DR189" s="851">
        <f>DR188/DM188-1</f>
        <v>0.25351652092012245</v>
      </c>
      <c r="DS189" s="850">
        <f>+DS188/DN188-1</f>
        <v>4.3374126774913702E-2</v>
      </c>
      <c r="DT189" s="850">
        <f>+DT188/DO188-1</f>
        <v>-3.2426636161628553E-2</v>
      </c>
      <c r="DU189" s="850">
        <f>+DU188/DP188-1</f>
        <v>1.1798273499033174E-2</v>
      </c>
      <c r="DV189" s="850">
        <f>+DV188/DQ188-1</f>
        <v>4.5384545430613876E-2</v>
      </c>
      <c r="DW189" s="851">
        <f>DW188/DR188-1</f>
        <v>1.6029493403954209E-2</v>
      </c>
      <c r="DX189" s="1165"/>
      <c r="DY189" s="1165"/>
      <c r="DZ189" s="1165"/>
      <c r="EA189" s="1165"/>
      <c r="EB189" s="851"/>
      <c r="EC189" s="1165"/>
      <c r="ED189" s="1165"/>
      <c r="EE189" s="1165"/>
      <c r="EF189" s="1165"/>
      <c r="EG189" s="851"/>
      <c r="EH189" s="1165"/>
      <c r="EI189" s="1165"/>
      <c r="EJ189" s="1165"/>
      <c r="EK189" s="1165"/>
      <c r="EL189" s="851"/>
    </row>
    <row r="190" spans="1:142" ht="11.25" customHeight="1">
      <c r="A190" s="846"/>
      <c r="B190" s="846" t="s">
        <v>157</v>
      </c>
      <c r="C190" s="1149"/>
      <c r="D190" s="1149" t="str">
        <f>IF(ISERROR(D184-D188),"nm",D184-D188)</f>
        <v>nm</v>
      </c>
      <c r="E190" s="1149" t="str">
        <f>IF(ISERROR(E184-E188),"nm",E184-E188)</f>
        <v>nm</v>
      </c>
      <c r="F190" s="1149" t="str">
        <f>IF(ISERROR(F184-F188),"nm",F184-F188)</f>
        <v>nm</v>
      </c>
      <c r="G190" s="1149" t="str">
        <f>IF(ISERROR(G184-G188),"nm",G184-G188)</f>
        <v>nm</v>
      </c>
      <c r="H190" s="1113">
        <f>IF(ISERROR(SUM(D190:G190)),"NM",SUM(D190:G190))</f>
        <v>0</v>
      </c>
      <c r="I190" s="1149" t="str">
        <f>IF(ISERROR(I184-I188),"nm",I184-I188)</f>
        <v>nm</v>
      </c>
      <c r="J190" s="1149" t="str">
        <f>IF(ISERROR(J184-J188),"nm",J184-J188)</f>
        <v>nm</v>
      </c>
      <c r="K190" s="1149" t="str">
        <f>IF(ISERROR(K184-K188),"nm",K184-K188)</f>
        <v>nm</v>
      </c>
      <c r="L190" s="1149" t="str">
        <f>IF(ISERROR(L184-L188),"nm",L184-L188)</f>
        <v>nm</v>
      </c>
      <c r="M190" s="1113">
        <f>IF(ISERROR(SUM(I190:L190)),"NM",SUM(I190:L190))</f>
        <v>0</v>
      </c>
      <c r="N190" s="1149" t="str">
        <f>IF(ISERROR(N184-N188),"nm",N184-N188)</f>
        <v>nm</v>
      </c>
      <c r="O190" s="1149" t="str">
        <f>IF(ISERROR(O184-O188),"nm",O184-O188)</f>
        <v>nm</v>
      </c>
      <c r="P190" s="1149" t="str">
        <f>IF(ISERROR(P184-P188),"nm",P184-P188)</f>
        <v>nm</v>
      </c>
      <c r="Q190" s="1149" t="str">
        <f>IF(ISERROR(Q184-Q188),"nm",Q184-Q188)</f>
        <v>nm</v>
      </c>
      <c r="R190" s="1113">
        <f>IF(ISERROR(SUM(N190:Q190)),"NM",SUM(N190:Q190))</f>
        <v>0</v>
      </c>
      <c r="S190" s="1149">
        <f>IF(ISERROR(S184-S188),"nm",S184-S188)</f>
        <v>2652212.6770000001</v>
      </c>
      <c r="T190" s="1149">
        <f>IF(ISERROR(T184-T188),"nm",T184-T188)</f>
        <v>2642882.6719999998</v>
      </c>
      <c r="U190" s="1149">
        <f>IF(ISERROR(U184-U188),"nm",U184-U188)</f>
        <v>2535186.6630000002</v>
      </c>
      <c r="V190" s="1149" t="str">
        <f>IF(ISERROR(V184-V188),"nm",V184-V188)</f>
        <v>nm</v>
      </c>
      <c r="W190" s="1113">
        <f>IF(ISERROR(SUM(S190:V190)),"NM",SUM(S190:V190))</f>
        <v>7830282.0120000001</v>
      </c>
      <c r="X190" s="1149">
        <f>IF(ISERROR(X184-X188),"nm",X184-X188)</f>
        <v>2420627.642</v>
      </c>
      <c r="Y190" s="1149">
        <f>IF(ISERROR(Y184-Y188),"nm",Y184-Y188)</f>
        <v>2326711.63</v>
      </c>
      <c r="Z190" s="1149">
        <f>IF(ISERROR(Z184-Z188),"nm",Z184-Z188)</f>
        <v>2372359.6159999999</v>
      </c>
      <c r="AA190" s="1149" t="str">
        <f>IF(ISERROR(AA184-AA188),"nm",AA184-AA188)</f>
        <v>nm</v>
      </c>
      <c r="AB190" s="1113">
        <f>IF(ISERROR(SUM(X190:AA190)),"NM",SUM(X190:AA190))</f>
        <v>7119698.8880000003</v>
      </c>
      <c r="AC190" s="1149">
        <f>IF(ISERROR(AC184-AC188),"nm",AC184-AC188)</f>
        <v>2468826.628</v>
      </c>
      <c r="AD190" s="1149">
        <f>IF(ISERROR(AD184-AD188),"nm",AD184-AD188)</f>
        <v>2289818.5809999998</v>
      </c>
      <c r="AE190" s="1149">
        <f>IF(ISERROR(AE184-AE188),"nm",AE184-AE188)</f>
        <v>2220851.594</v>
      </c>
      <c r="AF190" s="1149" t="str">
        <f>IF(ISERROR(AF184-AF188),"nm",AF184-AF188)</f>
        <v>nm</v>
      </c>
      <c r="AG190" s="1113">
        <f>IF(ISERROR(SUM(AC190:AF190)),"NM",SUM(AC190:AF190))</f>
        <v>6979496.8029999994</v>
      </c>
      <c r="AH190" s="1149">
        <f>IF(ISERROR(AH184-AH188),"nm",AH184-AH188)</f>
        <v>2276518.5890000002</v>
      </c>
      <c r="AI190" s="1149">
        <f>IF(ISERROR(AI184-AI188),"nm",AI184-AI188)</f>
        <v>2240965.5610000002</v>
      </c>
      <c r="AJ190" s="1149">
        <f>IF(ISERROR(AJ184-AJ188),"nm",AJ184-AJ188)</f>
        <v>2216644.5619999999</v>
      </c>
      <c r="AK190" s="1149" t="str">
        <f>IF(ISERROR(AK184-AK188),"nm",AK184-AK188)</f>
        <v>nm</v>
      </c>
      <c r="AL190" s="1113">
        <f>IF(ISERROR(SUM(AH190:AK190)),"NM",SUM(AH190:AK190))</f>
        <v>6734128.7120000003</v>
      </c>
      <c r="AM190" s="1149">
        <f>IF(ISERROR(AM184-AM188),"nm",AM184-AM188)</f>
        <v>2310625.571</v>
      </c>
      <c r="AN190" s="1149">
        <f>IF(ISERROR(AN184-AN188),"nm",AN184-AN188)</f>
        <v>2277622.5550000002</v>
      </c>
      <c r="AO190" s="1149">
        <f>IF(ISERROR(AO184-AO188),"nm",AO184-AO188)</f>
        <v>2261009.5580000002</v>
      </c>
      <c r="AP190" s="1149" t="str">
        <f>IF(ISERROR(AP184-AP188),"nm",AP184-AP188)</f>
        <v>nm</v>
      </c>
      <c r="AQ190" s="1113">
        <f>IF(ISERROR(SUM(AM190:AP190)),"NM",SUM(AM190:AP190))</f>
        <v>6849257.6840000004</v>
      </c>
      <c r="AR190" s="1149">
        <f>IF(ISERROR(AR184-AR188),"nm",AR184-AR188)</f>
        <v>2329279.5460000001</v>
      </c>
      <c r="AS190" s="1149">
        <f>IF(ISERROR(AS184-AS188),"nm",AS184-AS188)</f>
        <v>2343916.5380000002</v>
      </c>
      <c r="AT190" s="1149">
        <f>IF(ISERROR(AT184-AT188),"nm",AT184-AT188)</f>
        <v>2275988.514</v>
      </c>
      <c r="AU190" s="802"/>
      <c r="AV190" s="903" t="e">
        <f t="shared" ref="AV190:DG190" si="431">AV184-AV188</f>
        <v>#VALUE!</v>
      </c>
      <c r="AW190" s="903" t="e">
        <f t="shared" si="431"/>
        <v>#VALUE!</v>
      </c>
      <c r="AX190" s="903" t="e">
        <f t="shared" si="431"/>
        <v>#VALUE!</v>
      </c>
      <c r="AY190" s="903" t="e">
        <f t="shared" si="431"/>
        <v>#VALUE!</v>
      </c>
      <c r="AZ190" s="903" t="e">
        <f t="shared" si="431"/>
        <v>#VALUE!</v>
      </c>
      <c r="BA190" s="903" t="e">
        <f t="shared" si="431"/>
        <v>#VALUE!</v>
      </c>
      <c r="BB190" s="903" t="e">
        <f t="shared" si="431"/>
        <v>#VALUE!</v>
      </c>
      <c r="BC190" s="903" t="e">
        <f t="shared" si="431"/>
        <v>#VALUE!</v>
      </c>
      <c r="BD190" s="903" t="e">
        <f t="shared" si="431"/>
        <v>#VALUE!</v>
      </c>
      <c r="BE190" s="903" t="e">
        <f t="shared" si="431"/>
        <v>#VALUE!</v>
      </c>
      <c r="BF190" s="903" t="e">
        <f t="shared" si="431"/>
        <v>#VALUE!</v>
      </c>
      <c r="BG190" s="903" t="e">
        <f t="shared" si="431"/>
        <v>#VALUE!</v>
      </c>
      <c r="BH190" s="903" t="e">
        <f t="shared" si="431"/>
        <v>#VALUE!</v>
      </c>
      <c r="BI190" s="903" t="e">
        <f t="shared" si="431"/>
        <v>#VALUE!</v>
      </c>
      <c r="BJ190" s="903" t="e">
        <f t="shared" si="431"/>
        <v>#VALUE!</v>
      </c>
      <c r="BK190" s="903" t="e">
        <f t="shared" si="431"/>
        <v>#VALUE!</v>
      </c>
      <c r="BL190" s="903" t="e">
        <f t="shared" si="431"/>
        <v>#VALUE!</v>
      </c>
      <c r="BM190" s="903" t="e">
        <f t="shared" si="431"/>
        <v>#VALUE!</v>
      </c>
      <c r="BN190" s="903" t="e">
        <f t="shared" si="431"/>
        <v>#VALUE!</v>
      </c>
      <c r="BO190" s="903" t="e">
        <f t="shared" si="431"/>
        <v>#VALUE!</v>
      </c>
      <c r="BP190" s="903">
        <f t="shared" si="431"/>
        <v>1267695</v>
      </c>
      <c r="BQ190" s="903">
        <f t="shared" si="431"/>
        <v>1125565</v>
      </c>
      <c r="BR190" s="903">
        <f t="shared" si="431"/>
        <v>1095817</v>
      </c>
      <c r="BS190" s="903">
        <f t="shared" si="431"/>
        <v>1091008</v>
      </c>
      <c r="BT190" s="903">
        <f t="shared" si="431"/>
        <v>4580085</v>
      </c>
      <c r="BU190" s="903">
        <f t="shared" si="431"/>
        <v>1112901</v>
      </c>
      <c r="BV190" s="903">
        <f t="shared" si="431"/>
        <v>1094008</v>
      </c>
      <c r="BW190" s="903">
        <f t="shared" si="431"/>
        <v>1048561</v>
      </c>
      <c r="BX190" s="903">
        <f t="shared" si="431"/>
        <v>1040489</v>
      </c>
      <c r="BY190" s="903">
        <f t="shared" si="431"/>
        <v>4295959</v>
      </c>
      <c r="BZ190" s="903">
        <f t="shared" si="431"/>
        <v>122500</v>
      </c>
      <c r="CA190" s="903">
        <f t="shared" si="431"/>
        <v>118012</v>
      </c>
      <c r="CB190" s="903">
        <f t="shared" si="431"/>
        <v>119302</v>
      </c>
      <c r="CC190" s="903">
        <f t="shared" si="431"/>
        <v>115689</v>
      </c>
      <c r="CD190" s="903">
        <f t="shared" si="431"/>
        <v>548836</v>
      </c>
      <c r="CE190" s="903">
        <f t="shared" si="431"/>
        <v>110781</v>
      </c>
      <c r="CF190" s="903">
        <f t="shared" si="431"/>
        <v>114482</v>
      </c>
      <c r="CG190" s="903">
        <f t="shared" si="431"/>
        <v>117203</v>
      </c>
      <c r="CH190" s="903">
        <f t="shared" si="431"/>
        <v>113162</v>
      </c>
      <c r="CI190" s="903">
        <f t="shared" si="431"/>
        <v>467905</v>
      </c>
      <c r="CJ190" s="903">
        <f t="shared" si="431"/>
        <v>96587</v>
      </c>
      <c r="CK190" s="903">
        <f t="shared" si="431"/>
        <v>104784</v>
      </c>
      <c r="CL190" s="903">
        <f t="shared" si="431"/>
        <v>104380</v>
      </c>
      <c r="CM190" s="903">
        <f t="shared" si="431"/>
        <v>99645</v>
      </c>
      <c r="CN190" s="903">
        <f t="shared" si="431"/>
        <v>405396</v>
      </c>
      <c r="CO190" s="903">
        <f t="shared" si="431"/>
        <v>81052</v>
      </c>
      <c r="CP190" s="903">
        <f t="shared" si="431"/>
        <v>81314</v>
      </c>
      <c r="CQ190" s="903">
        <f t="shared" si="431"/>
        <v>85623</v>
      </c>
      <c r="CR190" s="903">
        <f t="shared" si="431"/>
        <v>97662</v>
      </c>
      <c r="CS190" s="903">
        <f t="shared" si="431"/>
        <v>399785</v>
      </c>
      <c r="CT190" s="903">
        <f t="shared" si="431"/>
        <v>105137</v>
      </c>
      <c r="CU190" s="903">
        <f t="shared" si="431"/>
        <v>109198</v>
      </c>
      <c r="CV190" s="903">
        <f t="shared" si="431"/>
        <v>112536</v>
      </c>
      <c r="CW190" s="903">
        <f t="shared" si="431"/>
        <v>111841</v>
      </c>
      <c r="CX190" s="903">
        <f t="shared" si="431"/>
        <v>438712</v>
      </c>
      <c r="CY190" s="903">
        <f t="shared" si="431"/>
        <v>110240</v>
      </c>
      <c r="CZ190" s="903">
        <f t="shared" si="431"/>
        <v>114333</v>
      </c>
      <c r="DA190" s="903">
        <f t="shared" si="431"/>
        <v>114550</v>
      </c>
      <c r="DB190" s="903">
        <f t="shared" si="431"/>
        <v>901288</v>
      </c>
      <c r="DC190" s="903">
        <f t="shared" si="431"/>
        <v>4100210</v>
      </c>
      <c r="DD190" s="903">
        <f t="shared" si="431"/>
        <v>978870</v>
      </c>
      <c r="DE190" s="903">
        <f t="shared" si="431"/>
        <v>1034131</v>
      </c>
      <c r="DF190" s="903">
        <f t="shared" si="431"/>
        <v>1082366</v>
      </c>
      <c r="DG190" s="903">
        <f t="shared" si="431"/>
        <v>2185284</v>
      </c>
      <c r="DH190" s="844">
        <f>SUM(DD190:DG190)</f>
        <v>5280651</v>
      </c>
      <c r="DI190" s="903">
        <f>DI184-DI188</f>
        <v>160271</v>
      </c>
      <c r="DJ190" s="903">
        <f>DJ184-DJ188</f>
        <v>204812</v>
      </c>
      <c r="DK190" s="903">
        <f>DK184-DK188</f>
        <v>275799</v>
      </c>
      <c r="DL190" s="903">
        <f>DL184-DL188</f>
        <v>2227601</v>
      </c>
      <c r="DM190" s="844">
        <f>SUM(DI190:DL190)</f>
        <v>2868483</v>
      </c>
      <c r="DN190" s="903">
        <f>DN184-DN188</f>
        <v>144212</v>
      </c>
      <c r="DO190" s="903">
        <f>DO184-DO188</f>
        <v>141230</v>
      </c>
      <c r="DP190" s="903">
        <f>DP184-DP188</f>
        <v>129114</v>
      </c>
      <c r="DQ190" s="903">
        <f>DQ184-DQ188</f>
        <v>111186</v>
      </c>
      <c r="DR190" s="844">
        <f>SUM(DN190:DQ190)</f>
        <v>525742</v>
      </c>
      <c r="DS190" s="903">
        <f>DS184-DS188</f>
        <v>126173</v>
      </c>
      <c r="DT190" s="903">
        <f>DT184-DT188</f>
        <v>126650</v>
      </c>
      <c r="DU190" s="903">
        <f>DU184-DU188</f>
        <v>117127</v>
      </c>
      <c r="DV190" s="903">
        <f>DV184-DV188</f>
        <v>118496</v>
      </c>
      <c r="DW190" s="844">
        <f>SUM(DS190:DV190)</f>
        <v>488446</v>
      </c>
      <c r="DX190" s="901"/>
      <c r="DY190" s="901"/>
      <c r="DZ190" s="901"/>
      <c r="EA190" s="901"/>
      <c r="EB190" s="844">
        <f>SUM(DX190:EA190)</f>
        <v>0</v>
      </c>
      <c r="EC190" s="901"/>
      <c r="ED190" s="901"/>
      <c r="EE190" s="901"/>
      <c r="EF190" s="901"/>
      <c r="EG190" s="844">
        <f>SUM(EC190:EF190)</f>
        <v>0</v>
      </c>
      <c r="EH190" s="901"/>
      <c r="EI190" s="901"/>
      <c r="EJ190" s="901"/>
      <c r="EK190" s="901"/>
      <c r="EL190" s="844">
        <f>SUM(EH190:EK190)</f>
        <v>0</v>
      </c>
    </row>
    <row r="191" spans="1:142" ht="11.25" customHeight="1">
      <c r="A191" s="1122"/>
      <c r="B191" s="1122" t="s">
        <v>133</v>
      </c>
      <c r="C191" s="1012"/>
      <c r="D191" s="1012"/>
      <c r="E191" s="1012"/>
      <c r="F191" s="1012"/>
      <c r="G191" s="1012"/>
      <c r="H191" s="1011"/>
      <c r="I191" s="1010" t="str">
        <f t="shared" ref="I191:AT191" si="432">IF(ISERROR(+I190/D190-1),"nm",+I190/D190-1)</f>
        <v>nm</v>
      </c>
      <c r="J191" s="1010" t="str">
        <f t="shared" si="432"/>
        <v>nm</v>
      </c>
      <c r="K191" s="1010" t="str">
        <f t="shared" si="432"/>
        <v>nm</v>
      </c>
      <c r="L191" s="1010" t="str">
        <f t="shared" si="432"/>
        <v>nm</v>
      </c>
      <c r="M191" s="1011" t="str">
        <f t="shared" si="432"/>
        <v>nm</v>
      </c>
      <c r="N191" s="1010" t="str">
        <f t="shared" si="432"/>
        <v>nm</v>
      </c>
      <c r="O191" s="1010" t="str">
        <f t="shared" si="432"/>
        <v>nm</v>
      </c>
      <c r="P191" s="1010" t="str">
        <f t="shared" si="432"/>
        <v>nm</v>
      </c>
      <c r="Q191" s="1010" t="str">
        <f t="shared" si="432"/>
        <v>nm</v>
      </c>
      <c r="R191" s="1011" t="str">
        <f t="shared" si="432"/>
        <v>nm</v>
      </c>
      <c r="S191" s="1010" t="str">
        <f t="shared" si="432"/>
        <v>nm</v>
      </c>
      <c r="T191" s="1010" t="str">
        <f t="shared" si="432"/>
        <v>nm</v>
      </c>
      <c r="U191" s="1010" t="str">
        <f t="shared" si="432"/>
        <v>nm</v>
      </c>
      <c r="V191" s="1010" t="str">
        <f t="shared" si="432"/>
        <v>nm</v>
      </c>
      <c r="W191" s="1011" t="str">
        <f t="shared" si="432"/>
        <v>nm</v>
      </c>
      <c r="X191" s="1010">
        <f t="shared" si="432"/>
        <v>-8.7317671395023E-2</v>
      </c>
      <c r="Y191" s="1010">
        <f t="shared" si="432"/>
        <v>-0.11963113056424013</v>
      </c>
      <c r="Z191" s="1010">
        <f t="shared" si="432"/>
        <v>-6.4226847425632783E-2</v>
      </c>
      <c r="AA191" s="1010" t="str">
        <f t="shared" si="432"/>
        <v>nm</v>
      </c>
      <c r="AB191" s="1011">
        <f t="shared" si="432"/>
        <v>-9.0748088371660485E-2</v>
      </c>
      <c r="AC191" s="1010">
        <f t="shared" si="432"/>
        <v>1.9911772122116478E-2</v>
      </c>
      <c r="AD191" s="1010">
        <f t="shared" si="432"/>
        <v>-1.5856304891552098E-2</v>
      </c>
      <c r="AE191" s="1010">
        <f t="shared" si="432"/>
        <v>-6.3863851406919192E-2</v>
      </c>
      <c r="AF191" s="1010" t="str">
        <f t="shared" si="432"/>
        <v>nm</v>
      </c>
      <c r="AG191" s="1011">
        <f t="shared" si="432"/>
        <v>-1.9692136873415644E-2</v>
      </c>
      <c r="AH191" s="1010">
        <f t="shared" si="432"/>
        <v>-7.7894509407405721E-2</v>
      </c>
      <c r="AI191" s="1010">
        <f t="shared" si="432"/>
        <v>-2.1334886704720835E-2</v>
      </c>
      <c r="AJ191" s="1010">
        <f t="shared" si="432"/>
        <v>-1.8943327916940422E-3</v>
      </c>
      <c r="AK191" s="1010" t="str">
        <f t="shared" si="432"/>
        <v>nm</v>
      </c>
      <c r="AL191" s="1011">
        <f t="shared" si="432"/>
        <v>-3.5155556041594926E-2</v>
      </c>
      <c r="AM191" s="1010">
        <f t="shared" si="432"/>
        <v>1.4982079287559014E-2</v>
      </c>
      <c r="AN191" s="1010">
        <f t="shared" si="432"/>
        <v>1.6357678421279331E-2</v>
      </c>
      <c r="AO191" s="1010">
        <f t="shared" si="432"/>
        <v>2.0014483494805946E-2</v>
      </c>
      <c r="AP191" s="1010" t="str">
        <f t="shared" si="432"/>
        <v>nm</v>
      </c>
      <c r="AQ191" s="1011">
        <f t="shared" si="432"/>
        <v>1.7096342663430741E-2</v>
      </c>
      <c r="AR191" s="1010">
        <f t="shared" si="432"/>
        <v>8.0731275694863047E-3</v>
      </c>
      <c r="AS191" s="1010">
        <f t="shared" si="432"/>
        <v>2.9106658982835709E-2</v>
      </c>
      <c r="AT191" s="1010">
        <f t="shared" si="432"/>
        <v>6.624897248665107E-3</v>
      </c>
      <c r="AU191" s="802"/>
      <c r="AV191" s="850">
        <v>-0.83626937182669814</v>
      </c>
      <c r="AW191" s="850">
        <v>-0.83626937182669814</v>
      </c>
      <c r="AX191" s="850">
        <v>-0.83626937182669814</v>
      </c>
      <c r="AY191" s="850">
        <v>-0.83626937182669814</v>
      </c>
      <c r="AZ191" s="850">
        <v>-0.83626937182669814</v>
      </c>
      <c r="BA191" s="850">
        <v>-0.83626937182669814</v>
      </c>
      <c r="BB191" s="850">
        <v>-0.83626937182669814</v>
      </c>
      <c r="BC191" s="850">
        <v>-0.83626937182669814</v>
      </c>
      <c r="BD191" s="850">
        <v>-0.83626937182669814</v>
      </c>
      <c r="BE191" s="850">
        <v>-0.83626937182669814</v>
      </c>
      <c r="BF191" s="850">
        <v>-0.83626937182669814</v>
      </c>
      <c r="BG191" s="850">
        <v>-0.83626937182669814</v>
      </c>
      <c r="BH191" s="850">
        <v>-0.83626937182669814</v>
      </c>
      <c r="BI191" s="850">
        <v>-0.83626937182669814</v>
      </c>
      <c r="BJ191" s="850">
        <v>-0.83626937182669814</v>
      </c>
      <c r="BK191" s="850">
        <v>-0.83626937182669814</v>
      </c>
      <c r="BL191" s="850">
        <v>-0.83626937182669814</v>
      </c>
      <c r="BM191" s="850">
        <v>-0.83626937182669814</v>
      </c>
      <c r="BN191" s="850">
        <v>-0.83626937182669814</v>
      </c>
      <c r="BO191" s="850">
        <v>-0.83626937182669814</v>
      </c>
      <c r="BP191" s="850">
        <v>-0.83626937182669814</v>
      </c>
      <c r="BQ191" s="850">
        <v>-0.83626937182669814</v>
      </c>
      <c r="BR191" s="850">
        <v>-0.83626937182669814</v>
      </c>
      <c r="BS191" s="850">
        <v>-0.83626937182669814</v>
      </c>
      <c r="BT191" s="850">
        <v>-0.83626937182669814</v>
      </c>
      <c r="BU191" s="850">
        <v>-0.83626937182669814</v>
      </c>
      <c r="BV191" s="850">
        <v>-0.83626937182669814</v>
      </c>
      <c r="BW191" s="850">
        <v>-0.83626937182669814</v>
      </c>
      <c r="BX191" s="850">
        <v>-0.83626937182669814</v>
      </c>
      <c r="BY191" s="850">
        <v>-0.83626937182669814</v>
      </c>
      <c r="BZ191" s="850">
        <v>-0.83626937182669814</v>
      </c>
      <c r="CA191" s="850">
        <v>-0.83626937182669814</v>
      </c>
      <c r="CB191" s="850">
        <v>-0.83626937182669814</v>
      </c>
      <c r="CC191" s="850">
        <v>-0.83626937182669814</v>
      </c>
      <c r="CD191" s="850">
        <v>-0.83626937182669814</v>
      </c>
      <c r="CE191" s="850">
        <v>-0.83626937182669814</v>
      </c>
      <c r="CF191" s="850">
        <v>-0.83626937182669814</v>
      </c>
      <c r="CG191" s="850">
        <v>-0.83626937182669814</v>
      </c>
      <c r="CH191" s="850">
        <v>-0.83626937182669814</v>
      </c>
      <c r="CI191" s="850">
        <v>-0.83626937182669814</v>
      </c>
      <c r="CJ191" s="850">
        <v>-0.83626937182669814</v>
      </c>
      <c r="CK191" s="850">
        <v>-0.83626937182669814</v>
      </c>
      <c r="CL191" s="850">
        <v>-0.83626937182669814</v>
      </c>
      <c r="CM191" s="850">
        <v>-0.83626937182669814</v>
      </c>
      <c r="CN191" s="850">
        <v>-0.83626937182669814</v>
      </c>
      <c r="CO191" s="850">
        <v>-0.83626937182669814</v>
      </c>
      <c r="CP191" s="850">
        <v>-0.83626937182669814</v>
      </c>
      <c r="CQ191" s="850">
        <v>-0.83626937182669814</v>
      </c>
      <c r="CR191" s="850">
        <v>-0.83626937182669814</v>
      </c>
      <c r="CS191" s="850">
        <v>-0.83626937182669814</v>
      </c>
      <c r="CT191" s="850">
        <v>-0.83626937182669814</v>
      </c>
      <c r="CU191" s="850">
        <v>-0.83626937182669814</v>
      </c>
      <c r="CV191" s="850">
        <v>-0.83626937182669814</v>
      </c>
      <c r="CW191" s="850">
        <v>-0.83626937182669814</v>
      </c>
      <c r="CX191" s="850">
        <v>-0.83626937182669814</v>
      </c>
      <c r="CY191" s="850">
        <v>-0.83626937182669814</v>
      </c>
      <c r="CZ191" s="850">
        <v>-0.83626937182669814</v>
      </c>
      <c r="DA191" s="850">
        <v>-0.83626937182669814</v>
      </c>
      <c r="DB191" s="850">
        <v>-0.83626937182669814</v>
      </c>
      <c r="DC191" s="850">
        <v>-0.83626937182669814</v>
      </c>
      <c r="DD191" s="850">
        <v>-0.83626937182669814</v>
      </c>
      <c r="DE191" s="850">
        <v>-0.83626937182669814</v>
      </c>
      <c r="DF191" s="850">
        <v>-0.83626937182669814</v>
      </c>
      <c r="DG191" s="850">
        <v>-0.83626937182669814</v>
      </c>
      <c r="DH191" s="851">
        <f>DH190/DC190-1</f>
        <v>0.28789769304499035</v>
      </c>
      <c r="DI191" s="850">
        <v>-0.83626937182669814</v>
      </c>
      <c r="DJ191" s="850">
        <v>-0.80194772229050282</v>
      </c>
      <c r="DK191" s="850">
        <v>-0.7451887808744917</v>
      </c>
      <c r="DL191" s="850">
        <v>0.79931740288048325</v>
      </c>
      <c r="DM191" s="851">
        <v>-0.69215310442998901</v>
      </c>
      <c r="DN191" s="850">
        <f>+DN190/DI190-1</f>
        <v>-0.10019903787959139</v>
      </c>
      <c r="DO191" s="850">
        <f>+DO190/DJ190-1</f>
        <v>-0.31044079448469819</v>
      </c>
      <c r="DP191" s="850">
        <f>+DP190/DK190-1</f>
        <v>-0.53185472028542524</v>
      </c>
      <c r="DQ191" s="850">
        <f>+DQ190/DL190-1</f>
        <v>-0.95008711165060533</v>
      </c>
      <c r="DR191" s="851">
        <f>DR190/DM190-1</f>
        <v>-0.81671775638900423</v>
      </c>
      <c r="DS191" s="850">
        <f>+DS190/DN190-1</f>
        <v>-0.12508667794635675</v>
      </c>
      <c r="DT191" s="850">
        <f>+DT190/DO190-1</f>
        <v>-0.10323585640444666</v>
      </c>
      <c r="DU191" s="850">
        <f>+DU190/DP190-1</f>
        <v>-9.2840435584057523E-2</v>
      </c>
      <c r="DV191" s="850">
        <f>+DV190/DQ190-1</f>
        <v>6.5745687406687958E-2</v>
      </c>
      <c r="DW191" s="851">
        <f>DW190/DR190-1</f>
        <v>-7.0939738502915906E-2</v>
      </c>
      <c r="DX191" s="1165"/>
      <c r="DY191" s="1165"/>
      <c r="DZ191" s="1165"/>
      <c r="EA191" s="1165"/>
      <c r="EB191" s="851"/>
      <c r="EC191" s="1165"/>
      <c r="ED191" s="1165"/>
      <c r="EE191" s="1165"/>
      <c r="EF191" s="1165"/>
      <c r="EG191" s="851"/>
      <c r="EH191" s="1165"/>
      <c r="EI191" s="1165"/>
      <c r="EJ191" s="1165"/>
      <c r="EK191" s="1165"/>
      <c r="EL191" s="851"/>
    </row>
    <row r="192" spans="1:142" ht="11.25" customHeight="1">
      <c r="A192" s="846"/>
      <c r="B192" s="846" t="s">
        <v>158</v>
      </c>
      <c r="C192" s="1010"/>
      <c r="D192" s="1010" t="str">
        <f>IF(ISERROR(D188/D184),"nm",D188/D184)</f>
        <v>nm</v>
      </c>
      <c r="E192" s="1010" t="str">
        <f>IF(ISERROR(E188/E184),"nm",E188/E184)</f>
        <v>nm</v>
      </c>
      <c r="F192" s="1010" t="str">
        <f>IF(ISERROR(F188/F184),"nm",F188/F184)</f>
        <v>nm</v>
      </c>
      <c r="G192" s="1010" t="str">
        <f>IF(ISERROR(G188/G184),"nm",G188/G184)</f>
        <v>nm</v>
      </c>
      <c r="H192" s="1011" t="s">
        <v>89</v>
      </c>
      <c r="I192" s="1010" t="str">
        <f>IF(ISERROR(I188/I184),"nm",I188/I184)</f>
        <v>nm</v>
      </c>
      <c r="J192" s="1010" t="str">
        <f>IF(ISERROR(J188/J184),"nm",J188/J184)</f>
        <v>nm</v>
      </c>
      <c r="K192" s="1010" t="str">
        <f>IF(ISERROR(K188/K184),"nm",K188/K184)</f>
        <v>nm</v>
      </c>
      <c r="L192" s="1010" t="str">
        <f>IF(ISERROR(L188/L184),"nm",L188/L184)</f>
        <v>nm</v>
      </c>
      <c r="M192" s="1011" t="s">
        <v>89</v>
      </c>
      <c r="N192" s="1010" t="str">
        <f>IF(ISERROR(N188/N184),"nm",N188/N184)</f>
        <v>nm</v>
      </c>
      <c r="O192" s="1010" t="str">
        <f>IF(ISERROR(O188/O184),"nm",O188/O184)</f>
        <v>nm</v>
      </c>
      <c r="P192" s="1010" t="str">
        <f>IF(ISERROR(P188/P184),"nm",P188/P184)</f>
        <v>nm</v>
      </c>
      <c r="Q192" s="1010" t="str">
        <f>IF(ISERROR(Q188/Q184),"nm",Q188/Q184)</f>
        <v>nm</v>
      </c>
      <c r="R192" s="1011" t="s">
        <v>89</v>
      </c>
      <c r="S192" s="1010">
        <f>IF(ISERROR(S188/S184),"nm",S188/S184)</f>
        <v>1.2178509041317572E-7</v>
      </c>
      <c r="T192" s="1010">
        <f>IF(ISERROR(T188/T184),"nm",T188/T184)</f>
        <v>1.2410689387309239E-7</v>
      </c>
      <c r="U192" s="1010">
        <f>IF(ISERROR(U188/U184),"nm",U188/U184)</f>
        <v>1.3292905020418614E-7</v>
      </c>
      <c r="V192" s="1010" t="str">
        <f>IF(ISERROR(V188/V184),"nm",V188/V184)</f>
        <v>nm</v>
      </c>
      <c r="W192" s="1011" t="s">
        <v>89</v>
      </c>
      <c r="X192" s="1010">
        <f>IF(ISERROR(X188/X184),"nm",X188/X184)</f>
        <v>1.4789550480288585E-7</v>
      </c>
      <c r="Y192" s="1010">
        <f>IF(ISERROR(Y188/Y184),"nm",Y188/Y184)</f>
        <v>1.5902268952925844E-7</v>
      </c>
      <c r="Z192" s="1010">
        <f>IF(ISERROR(Z188/Z184),"nm",Z188/Z184)</f>
        <v>1.6186413529143975E-7</v>
      </c>
      <c r="AA192" s="1010" t="str">
        <f>IF(ISERROR(AA188/AA184),"nm",AA188/AA184)</f>
        <v>nm</v>
      </c>
      <c r="AB192" s="1011" t="s">
        <v>89</v>
      </c>
      <c r="AC192" s="1010">
        <f>IF(ISERROR(AC188/AC184),"nm",AC188/AC184)</f>
        <v>1.5067884464970613E-7</v>
      </c>
      <c r="AD192" s="1010">
        <f>IF(ISERROR(AD188/AD184),"nm",AD188/AD184)</f>
        <v>1.8298389523364073E-7</v>
      </c>
      <c r="AE192" s="1010">
        <f>IF(ISERROR(AE188/AE184),"nm",AE188/AE184)</f>
        <v>1.8281272232458536E-7</v>
      </c>
      <c r="AF192" s="1010" t="str">
        <f>IF(ISERROR(AF188/AF184),"nm",AF188/AF184)</f>
        <v>nm</v>
      </c>
      <c r="AG192" s="1011" t="s">
        <v>89</v>
      </c>
      <c r="AH192" s="1010">
        <f>IF(ISERROR(AH188/AH184),"nm",AH188/AH184)</f>
        <v>1.8053879629381524E-7</v>
      </c>
      <c r="AI192" s="1010">
        <f>IF(ISERROR(AI188/AI184),"nm",AI188/AI184)</f>
        <v>1.9589766199040949E-7</v>
      </c>
      <c r="AJ192" s="1010">
        <f>IF(ISERROR(AJ188/AJ184),"nm",AJ188/AJ184)</f>
        <v>1.9759591635106207E-7</v>
      </c>
      <c r="AK192" s="1010" t="str">
        <f>IF(ISERROR(AK188/AK184),"nm",AK188/AK184)</f>
        <v>nm</v>
      </c>
      <c r="AL192" s="1011" t="s">
        <v>89</v>
      </c>
      <c r="AM192" s="1010">
        <f>IF(ISERROR(AM188/AM184),"nm",AM188/AM184)</f>
        <v>1.8566397158172721E-7</v>
      </c>
      <c r="AN192" s="1010">
        <f>IF(ISERROR(AN188/AN184),"nm",AN188/AN184)</f>
        <v>1.9537912990868113E-7</v>
      </c>
      <c r="AO192" s="1010">
        <f>IF(ISERROR(AO188/AO184),"nm",AO188/AO184)</f>
        <v>1.9548785719656259E-7</v>
      </c>
      <c r="AP192" s="1010" t="str">
        <f>IF(ISERROR(AP188/AP184),"nm",AP188/AP184)</f>
        <v>nm</v>
      </c>
      <c r="AQ192" s="1011" t="s">
        <v>89</v>
      </c>
      <c r="AR192" s="1010">
        <f>IF(ISERROR(AR188/AR184),"nm",AR188/AR184)</f>
        <v>1.9491001511196594E-7</v>
      </c>
      <c r="AS192" s="1010">
        <f>IF(ISERROR(AS188/AS184),"nm",AS188/AS184)</f>
        <v>1.9710595554364768E-7</v>
      </c>
      <c r="AT192" s="1010">
        <f>IF(ISERROR(AT188/AT184),"nm",AT188/AT184)</f>
        <v>2.1353354519727466E-7</v>
      </c>
      <c r="AU192" s="802"/>
      <c r="AV192" s="850" t="e">
        <f t="shared" ref="AV192:DG192" si="433">AV188/AV184</f>
        <v>#VALUE!</v>
      </c>
      <c r="AW192" s="850" t="e">
        <f t="shared" si="433"/>
        <v>#VALUE!</v>
      </c>
      <c r="AX192" s="850" t="e">
        <f t="shared" si="433"/>
        <v>#VALUE!</v>
      </c>
      <c r="AY192" s="850" t="e">
        <f t="shared" si="433"/>
        <v>#VALUE!</v>
      </c>
      <c r="AZ192" s="850" t="e">
        <f t="shared" si="433"/>
        <v>#VALUE!</v>
      </c>
      <c r="BA192" s="850" t="e">
        <f t="shared" si="433"/>
        <v>#VALUE!</v>
      </c>
      <c r="BB192" s="850" t="e">
        <f t="shared" si="433"/>
        <v>#VALUE!</v>
      </c>
      <c r="BC192" s="850" t="e">
        <f t="shared" si="433"/>
        <v>#VALUE!</v>
      </c>
      <c r="BD192" s="850" t="e">
        <f t="shared" si="433"/>
        <v>#VALUE!</v>
      </c>
      <c r="BE192" s="850" t="e">
        <f t="shared" si="433"/>
        <v>#VALUE!</v>
      </c>
      <c r="BF192" s="850" t="e">
        <f t="shared" si="433"/>
        <v>#VALUE!</v>
      </c>
      <c r="BG192" s="850" t="e">
        <f t="shared" si="433"/>
        <v>#VALUE!</v>
      </c>
      <c r="BH192" s="850" t="e">
        <f t="shared" si="433"/>
        <v>#VALUE!</v>
      </c>
      <c r="BI192" s="850" t="e">
        <f t="shared" si="433"/>
        <v>#VALUE!</v>
      </c>
      <c r="BJ192" s="850" t="e">
        <f t="shared" si="433"/>
        <v>#VALUE!</v>
      </c>
      <c r="BK192" s="850" t="e">
        <f t="shared" si="433"/>
        <v>#VALUE!</v>
      </c>
      <c r="BL192" s="850" t="e">
        <f t="shared" si="433"/>
        <v>#VALUE!</v>
      </c>
      <c r="BM192" s="850" t="e">
        <f t="shared" si="433"/>
        <v>#VALUE!</v>
      </c>
      <c r="BN192" s="850" t="e">
        <f t="shared" si="433"/>
        <v>#VALUE!</v>
      </c>
      <c r="BO192" s="850" t="e">
        <f t="shared" si="433"/>
        <v>#VALUE!</v>
      </c>
      <c r="BP192" s="850">
        <f t="shared" si="433"/>
        <v>-3.2157655233394589E-2</v>
      </c>
      <c r="BQ192" s="850">
        <f t="shared" si="433"/>
        <v>-3.9245286503056157E-2</v>
      </c>
      <c r="BR192" s="850">
        <f t="shared" si="433"/>
        <v>-4.3039215686274508E-2</v>
      </c>
      <c r="BS192" s="850">
        <f t="shared" si="433"/>
        <v>-3.7961918208058942E-2</v>
      </c>
      <c r="BT192" s="850">
        <f t="shared" si="433"/>
        <v>-3.7870230106062476E-2</v>
      </c>
      <c r="BU192" s="850">
        <f t="shared" si="433"/>
        <v>-4.0409432388872894E-2</v>
      </c>
      <c r="BV192" s="850">
        <f t="shared" si="433"/>
        <v>-4.2857905453325303E-2</v>
      </c>
      <c r="BW192" s="850">
        <f t="shared" si="433"/>
        <v>-4.3783602451579119E-2</v>
      </c>
      <c r="BX192" s="850">
        <f t="shared" si="433"/>
        <v>-3.7806270790007833E-2</v>
      </c>
      <c r="BY192" s="850">
        <f t="shared" si="433"/>
        <v>-4.1220964418309185E-2</v>
      </c>
      <c r="BZ192" s="850">
        <f t="shared" si="433"/>
        <v>0.88066767652660138</v>
      </c>
      <c r="CA192" s="850">
        <f t="shared" si="433"/>
        <v>0.87862106985675659</v>
      </c>
      <c r="CB192" s="850">
        <f t="shared" si="433"/>
        <v>0.87562628880488558</v>
      </c>
      <c r="CC192" s="850">
        <f t="shared" si="433"/>
        <v>0.87774880009130085</v>
      </c>
      <c r="CD192" s="850">
        <f t="shared" si="433"/>
        <v>0.85942961056257761</v>
      </c>
      <c r="CE192" s="850">
        <f t="shared" si="433"/>
        <v>0.8874022350627373</v>
      </c>
      <c r="CF192" s="850">
        <f t="shared" si="433"/>
        <v>0.88511221634814163</v>
      </c>
      <c r="CG192" s="850">
        <f t="shared" si="433"/>
        <v>0.88232252441845516</v>
      </c>
      <c r="CH192" s="850">
        <f t="shared" si="433"/>
        <v>0.88354715917101367</v>
      </c>
      <c r="CI192" s="850">
        <f t="shared" si="433"/>
        <v>0.88148429018738905</v>
      </c>
      <c r="CJ192" s="850">
        <f t="shared" si="433"/>
        <v>0.89864048734672031</v>
      </c>
      <c r="CK192" s="850">
        <f t="shared" si="433"/>
        <v>0.8940190511638445</v>
      </c>
      <c r="CL192" s="850">
        <f t="shared" si="433"/>
        <v>0.89308723663590461</v>
      </c>
      <c r="CM192" s="850">
        <f t="shared" si="433"/>
        <v>0.90033775843220876</v>
      </c>
      <c r="CN192" s="850">
        <f t="shared" si="433"/>
        <v>0.89652347082183226</v>
      </c>
      <c r="CO192" s="850">
        <f t="shared" si="433"/>
        <v>0.91816326757275513</v>
      </c>
      <c r="CP192" s="850">
        <f t="shared" si="433"/>
        <v>0.91821195649987331</v>
      </c>
      <c r="CQ192" s="850">
        <f t="shared" si="433"/>
        <v>0.91327718121213231</v>
      </c>
      <c r="CR192" s="850">
        <f t="shared" si="433"/>
        <v>0.9005562666291953</v>
      </c>
      <c r="CS192" s="850">
        <f t="shared" si="433"/>
        <v>0.89889140559876335</v>
      </c>
      <c r="CT192" s="850">
        <f t="shared" si="433"/>
        <v>0.8980846462474712</v>
      </c>
      <c r="CU192" s="850">
        <f t="shared" si="433"/>
        <v>0.89568080033015907</v>
      </c>
      <c r="CV192" s="850">
        <f t="shared" si="433"/>
        <v>0.89129435220568065</v>
      </c>
      <c r="CW192" s="850">
        <f t="shared" si="433"/>
        <v>0.89383853235741084</v>
      </c>
      <c r="CX192" s="850">
        <f t="shared" si="433"/>
        <v>0.89472042281540654</v>
      </c>
      <c r="CY192" s="850">
        <f t="shared" si="433"/>
        <v>0.89548620624598851</v>
      </c>
      <c r="CZ192" s="850">
        <f t="shared" si="433"/>
        <v>0.89341687237581013</v>
      </c>
      <c r="DA192" s="850">
        <f t="shared" si="433"/>
        <v>0.89308591114043867</v>
      </c>
      <c r="DB192" s="850">
        <f t="shared" si="433"/>
        <v>0.51948835731391851</v>
      </c>
      <c r="DC192" s="850">
        <f t="shared" si="433"/>
        <v>0.19201411892864195</v>
      </c>
      <c r="DD192" s="850">
        <f t="shared" si="433"/>
        <v>0.49741924652164338</v>
      </c>
      <c r="DE192" s="850">
        <f t="shared" si="433"/>
        <v>0.49946492124347364</v>
      </c>
      <c r="DF192" s="850">
        <f t="shared" si="433"/>
        <v>0.49065177350421318</v>
      </c>
      <c r="DG192" s="850">
        <f t="shared" si="433"/>
        <v>-1.8714879881853753E-2</v>
      </c>
      <c r="DH192" s="851">
        <f t="shared" ref="DH192:DU192" si="434">DH188/DH184</f>
        <v>0.36253877712829669</v>
      </c>
      <c r="DI192" s="850">
        <f t="shared" si="434"/>
        <v>0.92529356597356882</v>
      </c>
      <c r="DJ192" s="850">
        <f t="shared" si="434"/>
        <v>0.9007230602262587</v>
      </c>
      <c r="DK192" s="850">
        <f t="shared" si="434"/>
        <v>0.86718236822690231</v>
      </c>
      <c r="DL192" s="850">
        <f t="shared" si="434"/>
        <v>-1.3464937522890075E-2</v>
      </c>
      <c r="DM192" s="851">
        <f t="shared" si="434"/>
        <v>0.66185153443806433</v>
      </c>
      <c r="DN192" s="850">
        <f t="shared" si="434"/>
        <v>0.92601321903446565</v>
      </c>
      <c r="DO192" s="850">
        <f t="shared" si="434"/>
        <v>0.93028935618224773</v>
      </c>
      <c r="DP192" s="850">
        <f t="shared" si="434"/>
        <v>0.92850038763982723</v>
      </c>
      <c r="DQ192" s="850">
        <f t="shared" si="434"/>
        <v>0.93762755144972498</v>
      </c>
      <c r="DR192" s="851">
        <f t="shared" si="434"/>
        <v>0.93048976276783335</v>
      </c>
      <c r="DS192" s="850">
        <f t="shared" si="434"/>
        <v>0.93720886947797555</v>
      </c>
      <c r="DT192" s="850">
        <f t="shared" si="434"/>
        <v>0.93505964104107631</v>
      </c>
      <c r="DU192" s="850">
        <f t="shared" si="434"/>
        <v>0.93541722380134484</v>
      </c>
      <c r="DV192" s="850">
        <f t="shared" ref="DV192:DW192" si="435">DV188/DV184</f>
        <v>0.93648986670997292</v>
      </c>
      <c r="DW192" s="851">
        <f t="shared" si="435"/>
        <v>0.93605920119491537</v>
      </c>
      <c r="DX192" s="849"/>
      <c r="DY192" s="849"/>
      <c r="DZ192" s="849"/>
      <c r="EA192" s="849"/>
      <c r="EB192" s="851"/>
      <c r="EC192" s="849"/>
      <c r="ED192" s="849"/>
      <c r="EE192" s="849"/>
      <c r="EF192" s="849"/>
      <c r="EG192" s="851"/>
      <c r="EH192" s="849"/>
      <c r="EI192" s="849"/>
      <c r="EJ192" s="849"/>
      <c r="EK192" s="849"/>
      <c r="EL192" s="851"/>
    </row>
    <row r="193" spans="1:142" ht="11.25" customHeight="1">
      <c r="A193" s="846"/>
      <c r="B193" s="846" t="s">
        <v>159</v>
      </c>
      <c r="C193" s="706"/>
      <c r="D193" s="706" t="str">
        <f t="shared" ref="D193:AT193" si="436">IF(ISERROR(1-D192),"nm",1-D192)</f>
        <v>nm</v>
      </c>
      <c r="E193" s="706" t="str">
        <f t="shared" si="436"/>
        <v>nm</v>
      </c>
      <c r="F193" s="706" t="str">
        <f t="shared" si="436"/>
        <v>nm</v>
      </c>
      <c r="G193" s="706" t="str">
        <f t="shared" si="436"/>
        <v>nm</v>
      </c>
      <c r="H193" s="974" t="str">
        <f t="shared" si="436"/>
        <v>nm</v>
      </c>
      <c r="I193" s="706" t="str">
        <f t="shared" si="436"/>
        <v>nm</v>
      </c>
      <c r="J193" s="706" t="str">
        <f t="shared" si="436"/>
        <v>nm</v>
      </c>
      <c r="K193" s="706" t="str">
        <f t="shared" si="436"/>
        <v>nm</v>
      </c>
      <c r="L193" s="706" t="str">
        <f t="shared" si="436"/>
        <v>nm</v>
      </c>
      <c r="M193" s="974" t="str">
        <f t="shared" si="436"/>
        <v>nm</v>
      </c>
      <c r="N193" s="706" t="str">
        <f t="shared" si="436"/>
        <v>nm</v>
      </c>
      <c r="O193" s="706" t="str">
        <f t="shared" si="436"/>
        <v>nm</v>
      </c>
      <c r="P193" s="706" t="str">
        <f t="shared" si="436"/>
        <v>nm</v>
      </c>
      <c r="Q193" s="706" t="str">
        <f t="shared" si="436"/>
        <v>nm</v>
      </c>
      <c r="R193" s="974" t="str">
        <f t="shared" si="436"/>
        <v>nm</v>
      </c>
      <c r="S193" s="706">
        <f t="shared" si="436"/>
        <v>0.99999987821490954</v>
      </c>
      <c r="T193" s="706">
        <f t="shared" si="436"/>
        <v>0.99999987589310613</v>
      </c>
      <c r="U193" s="706">
        <f t="shared" si="436"/>
        <v>0.99999986707094979</v>
      </c>
      <c r="V193" s="706" t="str">
        <f t="shared" si="436"/>
        <v>nm</v>
      </c>
      <c r="W193" s="974" t="str">
        <f t="shared" si="436"/>
        <v>nm</v>
      </c>
      <c r="X193" s="706">
        <f t="shared" si="436"/>
        <v>0.99999985210449516</v>
      </c>
      <c r="Y193" s="706">
        <f t="shared" si="436"/>
        <v>0.99999984097731043</v>
      </c>
      <c r="Z193" s="706">
        <f t="shared" si="436"/>
        <v>0.99999983813586468</v>
      </c>
      <c r="AA193" s="706" t="str">
        <f t="shared" si="436"/>
        <v>nm</v>
      </c>
      <c r="AB193" s="974" t="str">
        <f t="shared" si="436"/>
        <v>nm</v>
      </c>
      <c r="AC193" s="706">
        <f t="shared" si="436"/>
        <v>0.99999984932115538</v>
      </c>
      <c r="AD193" s="706">
        <f t="shared" si="436"/>
        <v>0.99999981701610474</v>
      </c>
      <c r="AE193" s="706">
        <f t="shared" si="436"/>
        <v>0.99999981718727771</v>
      </c>
      <c r="AF193" s="706" t="str">
        <f t="shared" si="436"/>
        <v>nm</v>
      </c>
      <c r="AG193" s="974" t="str">
        <f t="shared" si="436"/>
        <v>nm</v>
      </c>
      <c r="AH193" s="706">
        <f t="shared" si="436"/>
        <v>0.99999981946120375</v>
      </c>
      <c r="AI193" s="706">
        <f t="shared" si="436"/>
        <v>0.99999980410233802</v>
      </c>
      <c r="AJ193" s="706">
        <f t="shared" si="436"/>
        <v>0.9999998024040837</v>
      </c>
      <c r="AK193" s="706" t="str">
        <f t="shared" si="436"/>
        <v>nm</v>
      </c>
      <c r="AL193" s="974" t="str">
        <f t="shared" si="436"/>
        <v>nm</v>
      </c>
      <c r="AM193" s="706">
        <f t="shared" si="436"/>
        <v>0.99999981433602847</v>
      </c>
      <c r="AN193" s="706">
        <f t="shared" si="436"/>
        <v>0.99999980462087013</v>
      </c>
      <c r="AO193" s="706">
        <f t="shared" si="436"/>
        <v>0.99999980451214276</v>
      </c>
      <c r="AP193" s="706" t="str">
        <f t="shared" si="436"/>
        <v>nm</v>
      </c>
      <c r="AQ193" s="974" t="str">
        <f t="shared" si="436"/>
        <v>nm</v>
      </c>
      <c r="AR193" s="706">
        <f t="shared" si="436"/>
        <v>0.99999980508998487</v>
      </c>
      <c r="AS193" s="706">
        <f t="shared" si="436"/>
        <v>0.99999980289404444</v>
      </c>
      <c r="AT193" s="706">
        <f t="shared" si="436"/>
        <v>0.99999978646645482</v>
      </c>
      <c r="AU193" s="802"/>
      <c r="AV193" s="700" t="e">
        <f t="shared" ref="AV193:DG193" si="437">1-AV192</f>
        <v>#VALUE!</v>
      </c>
      <c r="AW193" s="700" t="e">
        <f t="shared" si="437"/>
        <v>#VALUE!</v>
      </c>
      <c r="AX193" s="700" t="e">
        <f t="shared" si="437"/>
        <v>#VALUE!</v>
      </c>
      <c r="AY193" s="700" t="e">
        <f t="shared" si="437"/>
        <v>#VALUE!</v>
      </c>
      <c r="AZ193" s="700" t="e">
        <f t="shared" si="437"/>
        <v>#VALUE!</v>
      </c>
      <c r="BA193" s="700" t="e">
        <f t="shared" si="437"/>
        <v>#VALUE!</v>
      </c>
      <c r="BB193" s="700" t="e">
        <f t="shared" si="437"/>
        <v>#VALUE!</v>
      </c>
      <c r="BC193" s="700" t="e">
        <f t="shared" si="437"/>
        <v>#VALUE!</v>
      </c>
      <c r="BD193" s="700" t="e">
        <f t="shared" si="437"/>
        <v>#VALUE!</v>
      </c>
      <c r="BE193" s="700" t="e">
        <f t="shared" si="437"/>
        <v>#VALUE!</v>
      </c>
      <c r="BF193" s="700" t="e">
        <f t="shared" si="437"/>
        <v>#VALUE!</v>
      </c>
      <c r="BG193" s="700" t="e">
        <f t="shared" si="437"/>
        <v>#VALUE!</v>
      </c>
      <c r="BH193" s="700" t="e">
        <f t="shared" si="437"/>
        <v>#VALUE!</v>
      </c>
      <c r="BI193" s="700" t="e">
        <f t="shared" si="437"/>
        <v>#VALUE!</v>
      </c>
      <c r="BJ193" s="700" t="e">
        <f t="shared" si="437"/>
        <v>#VALUE!</v>
      </c>
      <c r="BK193" s="700" t="e">
        <f t="shared" si="437"/>
        <v>#VALUE!</v>
      </c>
      <c r="BL193" s="700" t="e">
        <f t="shared" si="437"/>
        <v>#VALUE!</v>
      </c>
      <c r="BM193" s="700" t="e">
        <f t="shared" si="437"/>
        <v>#VALUE!</v>
      </c>
      <c r="BN193" s="700" t="e">
        <f t="shared" si="437"/>
        <v>#VALUE!</v>
      </c>
      <c r="BO193" s="700" t="e">
        <f t="shared" si="437"/>
        <v>#VALUE!</v>
      </c>
      <c r="BP193" s="700">
        <f t="shared" si="437"/>
        <v>1.0321576552333946</v>
      </c>
      <c r="BQ193" s="700">
        <f t="shared" si="437"/>
        <v>1.0392452865030561</v>
      </c>
      <c r="BR193" s="700">
        <f t="shared" si="437"/>
        <v>1.0430392156862744</v>
      </c>
      <c r="BS193" s="700">
        <f t="shared" si="437"/>
        <v>1.0379619182080591</v>
      </c>
      <c r="BT193" s="700">
        <f t="shared" si="437"/>
        <v>1.0378702301060625</v>
      </c>
      <c r="BU193" s="700">
        <f t="shared" si="437"/>
        <v>1.0404094323888728</v>
      </c>
      <c r="BV193" s="700">
        <f t="shared" si="437"/>
        <v>1.0428579054533254</v>
      </c>
      <c r="BW193" s="700">
        <f t="shared" si="437"/>
        <v>1.0437836024515792</v>
      </c>
      <c r="BX193" s="700">
        <f t="shared" si="437"/>
        <v>1.0378062707900078</v>
      </c>
      <c r="BY193" s="700">
        <f t="shared" si="437"/>
        <v>1.0412209644183092</v>
      </c>
      <c r="BZ193" s="700">
        <f t="shared" si="437"/>
        <v>0.11933232347339862</v>
      </c>
      <c r="CA193" s="700">
        <f t="shared" si="437"/>
        <v>0.12137893014324341</v>
      </c>
      <c r="CB193" s="700">
        <f t="shared" si="437"/>
        <v>0.12437371119511442</v>
      </c>
      <c r="CC193" s="700">
        <f t="shared" si="437"/>
        <v>0.12225119990869915</v>
      </c>
      <c r="CD193" s="700">
        <f t="shared" si="437"/>
        <v>0.14057038943742239</v>
      </c>
      <c r="CE193" s="700">
        <f t="shared" si="437"/>
        <v>0.1125977649372627</v>
      </c>
      <c r="CF193" s="700">
        <f t="shared" si="437"/>
        <v>0.11488778365185837</v>
      </c>
      <c r="CG193" s="700">
        <f t="shared" si="437"/>
        <v>0.11767747558154484</v>
      </c>
      <c r="CH193" s="700">
        <f t="shared" si="437"/>
        <v>0.11645284082898633</v>
      </c>
      <c r="CI193" s="700">
        <f t="shared" si="437"/>
        <v>0.11851570981261095</v>
      </c>
      <c r="CJ193" s="700">
        <f t="shared" si="437"/>
        <v>0.10135951265327969</v>
      </c>
      <c r="CK193" s="700">
        <f t="shared" si="437"/>
        <v>0.1059809488361555</v>
      </c>
      <c r="CL193" s="700">
        <f t="shared" si="437"/>
        <v>0.10691276336409539</v>
      </c>
      <c r="CM193" s="700">
        <f t="shared" si="437"/>
        <v>9.9662241567791243E-2</v>
      </c>
      <c r="CN193" s="700">
        <f t="shared" si="437"/>
        <v>0.10347652917816774</v>
      </c>
      <c r="CO193" s="700">
        <f t="shared" si="437"/>
        <v>8.1836732427244874E-2</v>
      </c>
      <c r="CP193" s="700">
        <f t="shared" si="437"/>
        <v>8.1788043500126695E-2</v>
      </c>
      <c r="CQ193" s="700">
        <f t="shared" si="437"/>
        <v>8.6722818787867695E-2</v>
      </c>
      <c r="CR193" s="700">
        <f t="shared" si="437"/>
        <v>9.9443733370804699E-2</v>
      </c>
      <c r="CS193" s="700">
        <f t="shared" si="437"/>
        <v>0.10110859440123665</v>
      </c>
      <c r="CT193" s="700">
        <f t="shared" si="437"/>
        <v>0.1019153537525288</v>
      </c>
      <c r="CU193" s="700">
        <f t="shared" si="437"/>
        <v>0.10431919966984093</v>
      </c>
      <c r="CV193" s="700">
        <f t="shared" si="437"/>
        <v>0.10870564779431935</v>
      </c>
      <c r="CW193" s="700">
        <f t="shared" si="437"/>
        <v>0.10616146764258916</v>
      </c>
      <c r="CX193" s="700">
        <f t="shared" si="437"/>
        <v>0.10527957718459346</v>
      </c>
      <c r="CY193" s="700">
        <f t="shared" si="437"/>
        <v>0.10451379375401149</v>
      </c>
      <c r="CZ193" s="700">
        <f t="shared" si="437"/>
        <v>0.10658312762418987</v>
      </c>
      <c r="DA193" s="700">
        <f t="shared" si="437"/>
        <v>0.10691408885956133</v>
      </c>
      <c r="DB193" s="700">
        <f t="shared" si="437"/>
        <v>0.48051164268608149</v>
      </c>
      <c r="DC193" s="700">
        <f t="shared" si="437"/>
        <v>0.80798588107135805</v>
      </c>
      <c r="DD193" s="700">
        <f t="shared" si="437"/>
        <v>0.50258075347835662</v>
      </c>
      <c r="DE193" s="700">
        <f t="shared" si="437"/>
        <v>0.50053507875652636</v>
      </c>
      <c r="DF193" s="700">
        <f t="shared" si="437"/>
        <v>0.50934822649578682</v>
      </c>
      <c r="DG193" s="700">
        <f t="shared" si="437"/>
        <v>1.0187148798818537</v>
      </c>
      <c r="DH193" s="78">
        <f t="shared" ref="DH193:DW193" si="438">1-DH192</f>
        <v>0.63746122287170337</v>
      </c>
      <c r="DI193" s="700">
        <f t="shared" si="438"/>
        <v>7.4706434026431179E-2</v>
      </c>
      <c r="DJ193" s="700">
        <f t="shared" si="438"/>
        <v>9.9276939773741302E-2</v>
      </c>
      <c r="DK193" s="700">
        <f t="shared" si="438"/>
        <v>0.13281763177309769</v>
      </c>
      <c r="DL193" s="700">
        <f t="shared" si="438"/>
        <v>1.0134649375228901</v>
      </c>
      <c r="DM193" s="78">
        <f t="shared" si="438"/>
        <v>0.33814846556193567</v>
      </c>
      <c r="DN193" s="700">
        <f t="shared" si="438"/>
        <v>7.3986780965534349E-2</v>
      </c>
      <c r="DO193" s="700">
        <f t="shared" si="438"/>
        <v>6.9710643817752271E-2</v>
      </c>
      <c r="DP193" s="700">
        <f t="shared" si="438"/>
        <v>7.1499612360172771E-2</v>
      </c>
      <c r="DQ193" s="700">
        <f t="shared" si="438"/>
        <v>6.2372448550275017E-2</v>
      </c>
      <c r="DR193" s="78">
        <f t="shared" si="438"/>
        <v>6.951023723216665E-2</v>
      </c>
      <c r="DS193" s="700">
        <f t="shared" si="438"/>
        <v>6.2791130522024452E-2</v>
      </c>
      <c r="DT193" s="700">
        <f t="shared" si="438"/>
        <v>6.4940358958923694E-2</v>
      </c>
      <c r="DU193" s="700">
        <f t="shared" si="438"/>
        <v>6.4582776198655156E-2</v>
      </c>
      <c r="DV193" s="700">
        <f t="shared" si="438"/>
        <v>6.3510133290027082E-2</v>
      </c>
      <c r="DW193" s="78">
        <f t="shared" si="438"/>
        <v>6.3940798805084631E-2</v>
      </c>
      <c r="DX193" s="558"/>
      <c r="DY193" s="558"/>
      <c r="DZ193" s="558"/>
      <c r="EA193" s="558"/>
      <c r="EB193" s="78"/>
      <c r="EC193" s="558"/>
      <c r="ED193" s="558"/>
      <c r="EE193" s="558"/>
      <c r="EF193" s="558"/>
      <c r="EG193" s="78"/>
      <c r="EH193" s="558"/>
      <c r="EI193" s="558"/>
      <c r="EJ193" s="558"/>
      <c r="EK193" s="558"/>
      <c r="EL193" s="78"/>
    </row>
    <row r="194" spans="1:142" ht="11.25" customHeight="1">
      <c r="A194" s="1056"/>
      <c r="B194" s="1056"/>
      <c r="C194" s="901"/>
      <c r="D194" s="901"/>
      <c r="E194" s="901"/>
      <c r="F194" s="901"/>
      <c r="G194" s="901"/>
      <c r="H194" s="902"/>
      <c r="I194" s="901"/>
      <c r="J194" s="901"/>
      <c r="K194" s="901"/>
      <c r="L194" s="901"/>
      <c r="M194" s="902"/>
      <c r="N194" s="901"/>
      <c r="O194" s="901"/>
      <c r="P194" s="901"/>
      <c r="Q194" s="901"/>
      <c r="R194" s="902"/>
      <c r="S194" s="901"/>
      <c r="T194" s="901"/>
      <c r="U194" s="901"/>
      <c r="V194" s="901"/>
      <c r="W194" s="902"/>
      <c r="X194" s="901"/>
      <c r="Y194" s="901"/>
      <c r="Z194" s="901"/>
      <c r="AA194" s="901"/>
      <c r="AB194" s="902"/>
      <c r="AC194" s="901"/>
      <c r="AD194" s="901"/>
      <c r="AE194" s="901"/>
      <c r="AF194" s="901"/>
      <c r="AG194" s="902"/>
      <c r="AH194" s="901"/>
      <c r="AI194" s="901"/>
      <c r="AJ194" s="901"/>
      <c r="AK194" s="901"/>
      <c r="AL194" s="902"/>
      <c r="AM194" s="901"/>
      <c r="AN194" s="901"/>
      <c r="AO194" s="901"/>
      <c r="AP194" s="901"/>
      <c r="AQ194" s="902"/>
      <c r="AR194" s="901"/>
      <c r="AS194" s="901"/>
      <c r="AT194" s="901"/>
      <c r="AU194" s="802"/>
      <c r="AV194" s="930"/>
      <c r="AW194" s="930"/>
      <c r="AX194" s="930"/>
      <c r="AY194" s="930"/>
      <c r="AZ194" s="930"/>
      <c r="BA194" s="930"/>
      <c r="BB194" s="930"/>
      <c r="BC194" s="930"/>
      <c r="BD194" s="930"/>
      <c r="BE194" s="930"/>
      <c r="BF194" s="930"/>
      <c r="BG194" s="930"/>
      <c r="BH194" s="930"/>
      <c r="BI194" s="930"/>
      <c r="BJ194" s="930"/>
      <c r="BK194" s="930"/>
      <c r="BL194" s="930"/>
      <c r="BM194" s="930"/>
      <c r="BN194" s="930"/>
      <c r="BO194" s="930"/>
      <c r="BP194" s="930"/>
      <c r="BQ194" s="930"/>
      <c r="BR194" s="930"/>
      <c r="BS194" s="930"/>
      <c r="BT194" s="930"/>
      <c r="BU194" s="930"/>
      <c r="BV194" s="930"/>
      <c r="BW194" s="930"/>
      <c r="BX194" s="930"/>
      <c r="BY194" s="930"/>
      <c r="BZ194" s="930"/>
      <c r="CA194" s="930"/>
      <c r="CB194" s="930"/>
      <c r="CC194" s="930"/>
      <c r="CD194" s="930"/>
      <c r="CE194" s="930"/>
      <c r="CF194" s="930"/>
      <c r="CG194" s="930"/>
      <c r="CH194" s="930"/>
      <c r="CI194" s="930"/>
      <c r="CJ194" s="930"/>
      <c r="CK194" s="930"/>
      <c r="CL194" s="930"/>
      <c r="CM194" s="930"/>
      <c r="CN194" s="930"/>
      <c r="CO194" s="930"/>
      <c r="CP194" s="930"/>
      <c r="CQ194" s="930"/>
      <c r="CR194" s="930"/>
      <c r="CS194" s="930"/>
      <c r="CT194" s="930"/>
      <c r="CU194" s="930"/>
      <c r="CV194" s="930"/>
      <c r="CW194" s="930"/>
      <c r="CX194" s="930"/>
      <c r="CY194" s="930"/>
      <c r="CZ194" s="930"/>
      <c r="DA194" s="930"/>
      <c r="DB194" s="930"/>
      <c r="DC194" s="930"/>
      <c r="DD194" s="930"/>
      <c r="DE194" s="930"/>
      <c r="DF194" s="930"/>
      <c r="DG194" s="930"/>
      <c r="DH194" s="844"/>
      <c r="DI194" s="930"/>
      <c r="DJ194" s="930"/>
      <c r="DK194" s="930"/>
      <c r="DL194" s="930"/>
      <c r="DM194" s="844"/>
      <c r="DN194" s="930"/>
      <c r="DO194" s="930"/>
      <c r="DP194" s="930"/>
      <c r="DQ194" s="930"/>
      <c r="DR194" s="844"/>
      <c r="DS194" s="930"/>
      <c r="DT194" s="930"/>
      <c r="DU194" s="930"/>
      <c r="DV194" s="930"/>
      <c r="DW194" s="844"/>
      <c r="DX194" s="930"/>
      <c r="DY194" s="930"/>
      <c r="DZ194" s="930"/>
      <c r="EA194" s="930"/>
      <c r="EB194" s="844"/>
      <c r="EC194" s="930"/>
      <c r="ED194" s="930"/>
      <c r="EE194" s="930"/>
      <c r="EF194" s="930"/>
      <c r="EG194" s="844"/>
      <c r="EH194" s="930"/>
      <c r="EI194" s="930"/>
      <c r="EJ194" s="930"/>
      <c r="EK194" s="930"/>
      <c r="EL194" s="844"/>
    </row>
    <row r="195" spans="1:142" ht="11.25" customHeight="1">
      <c r="A195" s="846"/>
      <c r="B195" s="846" t="s">
        <v>172</v>
      </c>
      <c r="C195" s="1149"/>
      <c r="D195" s="1149" t="e">
        <f>#REF!</f>
        <v>#REF!</v>
      </c>
      <c r="E195" s="1149" t="e">
        <f>#REF!</f>
        <v>#REF!</v>
      </c>
      <c r="F195" s="1149" t="e">
        <f>#REF!</f>
        <v>#REF!</v>
      </c>
      <c r="G195" s="1149" t="e">
        <f>#REF!</f>
        <v>#REF!</v>
      </c>
      <c r="H195" s="1113" t="e">
        <f>SUM(D195:G195)</f>
        <v>#REF!</v>
      </c>
      <c r="I195" s="1149" t="e">
        <f>#REF!</f>
        <v>#REF!</v>
      </c>
      <c r="J195" s="1149" t="e">
        <f>#REF!</f>
        <v>#REF!</v>
      </c>
      <c r="K195" s="1149" t="e">
        <f>#REF!</f>
        <v>#REF!</v>
      </c>
      <c r="L195" s="1149" t="e">
        <f>#REF!</f>
        <v>#REF!</v>
      </c>
      <c r="M195" s="1113" t="e">
        <f>SUM(I195:L195)</f>
        <v>#REF!</v>
      </c>
      <c r="N195" s="1149" t="e">
        <f>#REF!</f>
        <v>#REF!</v>
      </c>
      <c r="O195" s="1149" t="e">
        <f>#REF!</f>
        <v>#REF!</v>
      </c>
      <c r="P195" s="1149" t="e">
        <f>#REF!</f>
        <v>#REF!</v>
      </c>
      <c r="Q195" s="1149" t="e">
        <f>#REF!</f>
        <v>#REF!</v>
      </c>
      <c r="R195" s="1113" t="e">
        <f>SUM(N195:Q195)</f>
        <v>#REF!</v>
      </c>
      <c r="S195" s="1149" t="e">
        <f>#REF!</f>
        <v>#REF!</v>
      </c>
      <c r="T195" s="1149" t="e">
        <f>#REF!</f>
        <v>#REF!</v>
      </c>
      <c r="U195" s="1149" t="e">
        <f>#REF!</f>
        <v>#REF!</v>
      </c>
      <c r="V195" s="1149" t="e">
        <f>#REF!</f>
        <v>#REF!</v>
      </c>
      <c r="W195" s="1113" t="e">
        <f>SUM(S195:V195)</f>
        <v>#REF!</v>
      </c>
      <c r="X195" s="1149" t="e">
        <f>#REF!</f>
        <v>#REF!</v>
      </c>
      <c r="Y195" s="1149" t="e">
        <f>#REF!</f>
        <v>#REF!</v>
      </c>
      <c r="Z195" s="1149" t="e">
        <f>#REF!</f>
        <v>#REF!</v>
      </c>
      <c r="AA195" s="1149" t="e">
        <f>#REF!</f>
        <v>#REF!</v>
      </c>
      <c r="AB195" s="1113" t="e">
        <f>SUM(X195:AA195)</f>
        <v>#REF!</v>
      </c>
      <c r="AC195" s="1149" t="e">
        <f>#REF!</f>
        <v>#REF!</v>
      </c>
      <c r="AD195" s="1149" t="e">
        <f>#REF!</f>
        <v>#REF!</v>
      </c>
      <c r="AE195" s="1149" t="e">
        <f>#REF!</f>
        <v>#REF!</v>
      </c>
      <c r="AF195" s="1149" t="e">
        <f>#REF!</f>
        <v>#REF!</v>
      </c>
      <c r="AG195" s="1113" t="e">
        <f>SUM(AC195:AF195)</f>
        <v>#REF!</v>
      </c>
      <c r="AH195" s="1149" t="e">
        <f>#REF!</f>
        <v>#REF!</v>
      </c>
      <c r="AI195" s="1149" t="e">
        <f>#REF!</f>
        <v>#REF!</v>
      </c>
      <c r="AJ195" s="1149" t="e">
        <f>#REF!</f>
        <v>#REF!</v>
      </c>
      <c r="AK195" s="1149" t="e">
        <f>#REF!</f>
        <v>#REF!</v>
      </c>
      <c r="AL195" s="1113" t="e">
        <f>SUM(AH195:AK195)</f>
        <v>#REF!</v>
      </c>
      <c r="AM195" s="1149" t="e">
        <f>#REF!</f>
        <v>#REF!</v>
      </c>
      <c r="AN195" s="1149" t="e">
        <f>#REF!</f>
        <v>#REF!</v>
      </c>
      <c r="AO195" s="1149" t="e">
        <f>#REF!</f>
        <v>#REF!</v>
      </c>
      <c r="AP195" s="1149" t="e">
        <f>#REF!</f>
        <v>#REF!</v>
      </c>
      <c r="AQ195" s="1113" t="e">
        <f>SUM(AM195:AP195)</f>
        <v>#REF!</v>
      </c>
      <c r="AR195" s="1149" t="e">
        <f>#REF!</f>
        <v>#REF!</v>
      </c>
      <c r="AS195" s="1149" t="e">
        <f>#REF!</f>
        <v>#REF!</v>
      </c>
      <c r="AT195" s="1149" t="e">
        <f>#REF!</f>
        <v>#REF!</v>
      </c>
      <c r="AU195" s="802"/>
      <c r="AV195" s="903" t="str">
        <f t="shared" ref="AV195:CA195" si="439">AV312</f>
        <v>ND</v>
      </c>
      <c r="AW195" s="903" t="str">
        <f t="shared" si="439"/>
        <v>ND</v>
      </c>
      <c r="AX195" s="903" t="str">
        <f t="shared" si="439"/>
        <v>ND</v>
      </c>
      <c r="AY195" s="903" t="str">
        <f t="shared" si="439"/>
        <v>ND</v>
      </c>
      <c r="AZ195" s="903" t="str">
        <f t="shared" si="439"/>
        <v>ND</v>
      </c>
      <c r="BA195" s="903" t="str">
        <f t="shared" si="439"/>
        <v>ND</v>
      </c>
      <c r="BB195" s="903" t="str">
        <f t="shared" si="439"/>
        <v>ND</v>
      </c>
      <c r="BC195" s="903" t="str">
        <f t="shared" si="439"/>
        <v>ND</v>
      </c>
      <c r="BD195" s="903" t="str">
        <f t="shared" si="439"/>
        <v>ND</v>
      </c>
      <c r="BE195" s="903" t="str">
        <f t="shared" si="439"/>
        <v>ND</v>
      </c>
      <c r="BF195" s="903" t="str">
        <f t="shared" si="439"/>
        <v>ND</v>
      </c>
      <c r="BG195" s="903" t="str">
        <f t="shared" si="439"/>
        <v>ND</v>
      </c>
      <c r="BH195" s="903" t="str">
        <f t="shared" si="439"/>
        <v>ND</v>
      </c>
      <c r="BI195" s="903" t="str">
        <f t="shared" si="439"/>
        <v>ND</v>
      </c>
      <c r="BJ195" s="903" t="str">
        <f t="shared" si="439"/>
        <v>ND</v>
      </c>
      <c r="BK195" s="903" t="str">
        <f t="shared" si="439"/>
        <v>ND</v>
      </c>
      <c r="BL195" s="903" t="str">
        <f t="shared" si="439"/>
        <v>ND</v>
      </c>
      <c r="BM195" s="903" t="str">
        <f t="shared" si="439"/>
        <v>ND</v>
      </c>
      <c r="BN195" s="903" t="str">
        <f t="shared" si="439"/>
        <v>ND</v>
      </c>
      <c r="BO195" s="903" t="str">
        <f t="shared" si="439"/>
        <v>ND</v>
      </c>
      <c r="BP195" s="903" t="str">
        <f t="shared" si="439"/>
        <v>ND</v>
      </c>
      <c r="BQ195" s="903" t="str">
        <f t="shared" si="439"/>
        <v>ND</v>
      </c>
      <c r="BR195" s="903" t="str">
        <f t="shared" si="439"/>
        <v>ND</v>
      </c>
      <c r="BS195" s="903" t="str">
        <f t="shared" si="439"/>
        <v>ND</v>
      </c>
      <c r="BT195" s="903" t="str">
        <f t="shared" si="439"/>
        <v>ND</v>
      </c>
      <c r="BU195" s="903" t="str">
        <f t="shared" si="439"/>
        <v>ND</v>
      </c>
      <c r="BV195" s="903" t="str">
        <f t="shared" si="439"/>
        <v>ND</v>
      </c>
      <c r="BW195" s="903" t="str">
        <f t="shared" si="439"/>
        <v>ND</v>
      </c>
      <c r="BX195" s="903" t="str">
        <f t="shared" si="439"/>
        <v>ND</v>
      </c>
      <c r="BY195" s="903" t="str">
        <f t="shared" si="439"/>
        <v>ND</v>
      </c>
      <c r="BZ195" s="903" t="str">
        <f t="shared" si="439"/>
        <v>ND</v>
      </c>
      <c r="CA195" s="903" t="str">
        <f t="shared" si="439"/>
        <v>ND</v>
      </c>
      <c r="CB195" s="903" t="str">
        <f t="shared" ref="CB195:DG195" si="440">CB312</f>
        <v>ND</v>
      </c>
      <c r="CC195" s="903" t="str">
        <f t="shared" si="440"/>
        <v>ND</v>
      </c>
      <c r="CD195" s="903" t="str">
        <f t="shared" si="440"/>
        <v>ND</v>
      </c>
      <c r="CE195" s="903">
        <f t="shared" si="440"/>
        <v>343803</v>
      </c>
      <c r="CF195" s="903">
        <f t="shared" si="440"/>
        <v>356125</v>
      </c>
      <c r="CG195" s="903">
        <f t="shared" si="440"/>
        <v>357122</v>
      </c>
      <c r="CH195" s="903">
        <f t="shared" si="440"/>
        <v>353031</v>
      </c>
      <c r="CI195" s="903">
        <f t="shared" si="440"/>
        <v>1410081</v>
      </c>
      <c r="CJ195" s="903">
        <f t="shared" si="440"/>
        <v>350320</v>
      </c>
      <c r="CK195" s="903">
        <f t="shared" si="440"/>
        <v>362110</v>
      </c>
      <c r="CL195" s="903">
        <f t="shared" si="440"/>
        <v>359658</v>
      </c>
      <c r="CM195" s="903">
        <f t="shared" si="440"/>
        <v>359168</v>
      </c>
      <c r="CN195" s="903">
        <f t="shared" si="440"/>
        <v>1431256</v>
      </c>
      <c r="CO195" s="903">
        <f t="shared" si="440"/>
        <v>371658</v>
      </c>
      <c r="CP195" s="903">
        <f t="shared" si="440"/>
        <v>371389</v>
      </c>
      <c r="CQ195" s="903">
        <f t="shared" si="440"/>
        <v>373295</v>
      </c>
      <c r="CR195" s="903">
        <f t="shared" si="440"/>
        <v>363230</v>
      </c>
      <c r="CS195" s="903">
        <f t="shared" si="440"/>
        <v>1457250</v>
      </c>
      <c r="CT195" s="903">
        <f t="shared" si="440"/>
        <v>386398</v>
      </c>
      <c r="CU195" s="903">
        <f t="shared" si="440"/>
        <v>384221</v>
      </c>
      <c r="CV195" s="903">
        <f t="shared" si="440"/>
        <v>384772</v>
      </c>
      <c r="CW195" s="903">
        <f t="shared" si="440"/>
        <v>399711</v>
      </c>
      <c r="CX195" s="903">
        <f t="shared" si="440"/>
        <v>1555102</v>
      </c>
      <c r="CY195" s="903">
        <f t="shared" si="440"/>
        <v>402078</v>
      </c>
      <c r="CZ195" s="903">
        <f t="shared" si="440"/>
        <v>399702</v>
      </c>
      <c r="DA195" s="903">
        <f t="shared" si="440"/>
        <v>400345</v>
      </c>
      <c r="DB195" s="903">
        <f t="shared" si="440"/>
        <v>404950</v>
      </c>
      <c r="DC195" s="903">
        <f t="shared" si="440"/>
        <v>404950</v>
      </c>
      <c r="DD195" s="903">
        <f t="shared" si="440"/>
        <v>414193</v>
      </c>
      <c r="DE195" s="903">
        <f t="shared" si="440"/>
        <v>432858</v>
      </c>
      <c r="DF195" s="903">
        <f t="shared" si="440"/>
        <v>433174</v>
      </c>
      <c r="DG195" s="903">
        <f t="shared" si="440"/>
        <v>835951</v>
      </c>
      <c r="DH195" s="844">
        <f>SUM(DD195:DG195)</f>
        <v>2116176</v>
      </c>
      <c r="DI195" s="903">
        <f t="shared" ref="DI195:DU195" si="441">DI312</f>
        <v>741533</v>
      </c>
      <c r="DJ195" s="903">
        <f t="shared" si="441"/>
        <v>715897</v>
      </c>
      <c r="DK195" s="903">
        <f t="shared" si="441"/>
        <v>702248</v>
      </c>
      <c r="DL195" s="903">
        <f t="shared" si="441"/>
        <v>700837</v>
      </c>
      <c r="DM195" s="902">
        <f t="shared" si="441"/>
        <v>2816943</v>
      </c>
      <c r="DN195" s="903">
        <f t="shared" si="441"/>
        <v>726730</v>
      </c>
      <c r="DO195" s="903">
        <f t="shared" si="441"/>
        <v>703276</v>
      </c>
      <c r="DP195" s="903">
        <f t="shared" si="441"/>
        <v>628234</v>
      </c>
      <c r="DQ195" s="903">
        <f t="shared" si="441"/>
        <v>620622</v>
      </c>
      <c r="DR195" s="902">
        <f t="shared" si="441"/>
        <v>2560308</v>
      </c>
      <c r="DS195" s="903">
        <f t="shared" si="441"/>
        <v>703035</v>
      </c>
      <c r="DT195" s="903">
        <f t="shared" si="441"/>
        <v>694213</v>
      </c>
      <c r="DU195" s="903">
        <f t="shared" si="441"/>
        <v>646331</v>
      </c>
      <c r="DV195" s="903">
        <f t="shared" ref="DV195:DW195" si="442">DV312</f>
        <v>676705</v>
      </c>
      <c r="DW195" s="902">
        <f t="shared" si="442"/>
        <v>2664448</v>
      </c>
      <c r="DX195" s="901"/>
      <c r="DY195" s="901"/>
      <c r="DZ195" s="901"/>
      <c r="EA195" s="901"/>
      <c r="EB195" s="844"/>
      <c r="EC195" s="901"/>
      <c r="ED195" s="901"/>
      <c r="EE195" s="901"/>
      <c r="EF195" s="901"/>
      <c r="EG195" s="844"/>
      <c r="EH195" s="901"/>
      <c r="EI195" s="901"/>
      <c r="EJ195" s="901"/>
      <c r="EK195" s="901"/>
      <c r="EL195" s="844"/>
    </row>
    <row r="196" spans="1:142" ht="11.25" customHeight="1">
      <c r="A196" s="1122"/>
      <c r="B196" s="1122" t="s">
        <v>133</v>
      </c>
      <c r="C196" s="1012"/>
      <c r="D196" s="1012"/>
      <c r="E196" s="1012"/>
      <c r="F196" s="1012"/>
      <c r="G196" s="1012"/>
      <c r="H196" s="1011"/>
      <c r="I196" s="1010" t="str">
        <f t="shared" ref="I196:AT196" si="443">IF(ISERROR(+I195/D195-1),"nm",+I195/D195-1)</f>
        <v>nm</v>
      </c>
      <c r="J196" s="1010" t="str">
        <f t="shared" si="443"/>
        <v>nm</v>
      </c>
      <c r="K196" s="1010" t="str">
        <f t="shared" si="443"/>
        <v>nm</v>
      </c>
      <c r="L196" s="1010" t="str">
        <f t="shared" si="443"/>
        <v>nm</v>
      </c>
      <c r="M196" s="1011" t="str">
        <f t="shared" si="443"/>
        <v>nm</v>
      </c>
      <c r="N196" s="1010" t="str">
        <f t="shared" si="443"/>
        <v>nm</v>
      </c>
      <c r="O196" s="1010" t="str">
        <f t="shared" si="443"/>
        <v>nm</v>
      </c>
      <c r="P196" s="1010" t="str">
        <f t="shared" si="443"/>
        <v>nm</v>
      </c>
      <c r="Q196" s="1010" t="str">
        <f t="shared" si="443"/>
        <v>nm</v>
      </c>
      <c r="R196" s="1011" t="str">
        <f t="shared" si="443"/>
        <v>nm</v>
      </c>
      <c r="S196" s="1010" t="str">
        <f t="shared" si="443"/>
        <v>nm</v>
      </c>
      <c r="T196" s="1010" t="str">
        <f t="shared" si="443"/>
        <v>nm</v>
      </c>
      <c r="U196" s="1010" t="str">
        <f t="shared" si="443"/>
        <v>nm</v>
      </c>
      <c r="V196" s="1010" t="str">
        <f t="shared" si="443"/>
        <v>nm</v>
      </c>
      <c r="W196" s="1011" t="str">
        <f t="shared" si="443"/>
        <v>nm</v>
      </c>
      <c r="X196" s="1010" t="str">
        <f t="shared" si="443"/>
        <v>nm</v>
      </c>
      <c r="Y196" s="1010" t="str">
        <f t="shared" si="443"/>
        <v>nm</v>
      </c>
      <c r="Z196" s="1010" t="str">
        <f t="shared" si="443"/>
        <v>nm</v>
      </c>
      <c r="AA196" s="1010" t="str">
        <f t="shared" si="443"/>
        <v>nm</v>
      </c>
      <c r="AB196" s="1011" t="str">
        <f t="shared" si="443"/>
        <v>nm</v>
      </c>
      <c r="AC196" s="1010" t="str">
        <f t="shared" si="443"/>
        <v>nm</v>
      </c>
      <c r="AD196" s="1010" t="str">
        <f t="shared" si="443"/>
        <v>nm</v>
      </c>
      <c r="AE196" s="1010" t="str">
        <f t="shared" si="443"/>
        <v>nm</v>
      </c>
      <c r="AF196" s="1010" t="str">
        <f t="shared" si="443"/>
        <v>nm</v>
      </c>
      <c r="AG196" s="1011" t="str">
        <f t="shared" si="443"/>
        <v>nm</v>
      </c>
      <c r="AH196" s="1010" t="str">
        <f t="shared" si="443"/>
        <v>nm</v>
      </c>
      <c r="AI196" s="1010" t="str">
        <f t="shared" si="443"/>
        <v>nm</v>
      </c>
      <c r="AJ196" s="1010" t="str">
        <f t="shared" si="443"/>
        <v>nm</v>
      </c>
      <c r="AK196" s="1010" t="str">
        <f t="shared" si="443"/>
        <v>nm</v>
      </c>
      <c r="AL196" s="1011" t="str">
        <f t="shared" si="443"/>
        <v>nm</v>
      </c>
      <c r="AM196" s="1010" t="str">
        <f t="shared" si="443"/>
        <v>nm</v>
      </c>
      <c r="AN196" s="1010" t="str">
        <f t="shared" si="443"/>
        <v>nm</v>
      </c>
      <c r="AO196" s="1010" t="str">
        <f t="shared" si="443"/>
        <v>nm</v>
      </c>
      <c r="AP196" s="1010" t="str">
        <f t="shared" si="443"/>
        <v>nm</v>
      </c>
      <c r="AQ196" s="1011" t="str">
        <f t="shared" si="443"/>
        <v>nm</v>
      </c>
      <c r="AR196" s="1010" t="str">
        <f t="shared" si="443"/>
        <v>nm</v>
      </c>
      <c r="AS196" s="1010" t="str">
        <f t="shared" si="443"/>
        <v>nm</v>
      </c>
      <c r="AT196" s="1010" t="str">
        <f t="shared" si="443"/>
        <v>nm</v>
      </c>
      <c r="AU196" s="802"/>
      <c r="AV196" s="850">
        <v>0.79030789994036588</v>
      </c>
      <c r="AW196" s="850">
        <v>0.79030789994036588</v>
      </c>
      <c r="AX196" s="850">
        <v>0.79030789994036588</v>
      </c>
      <c r="AY196" s="850">
        <v>0.79030789994036588</v>
      </c>
      <c r="AZ196" s="850">
        <v>0.79030789994036588</v>
      </c>
      <c r="BA196" s="850">
        <v>0.79030789994036588</v>
      </c>
      <c r="BB196" s="850">
        <v>0.79030789994036588</v>
      </c>
      <c r="BC196" s="850">
        <v>0.79030789994036588</v>
      </c>
      <c r="BD196" s="850">
        <v>0.79030789994036588</v>
      </c>
      <c r="BE196" s="850">
        <v>0.79030789994036588</v>
      </c>
      <c r="BF196" s="850">
        <v>0.79030789994036588</v>
      </c>
      <c r="BG196" s="850">
        <v>0.79030789994036588</v>
      </c>
      <c r="BH196" s="850">
        <v>0.79030789994036588</v>
      </c>
      <c r="BI196" s="850">
        <v>0.79030789994036588</v>
      </c>
      <c r="BJ196" s="850">
        <v>0.79030789994036588</v>
      </c>
      <c r="BK196" s="850">
        <v>0.79030789994036588</v>
      </c>
      <c r="BL196" s="850">
        <v>0.79030789994036588</v>
      </c>
      <c r="BM196" s="850">
        <v>0.79030789994036588</v>
      </c>
      <c r="BN196" s="850">
        <v>0.79030789994036588</v>
      </c>
      <c r="BO196" s="850">
        <v>0.79030789994036588</v>
      </c>
      <c r="BP196" s="850">
        <v>0.79030789994036588</v>
      </c>
      <c r="BQ196" s="850">
        <v>0.79030789994036588</v>
      </c>
      <c r="BR196" s="850">
        <v>0.79030789994036588</v>
      </c>
      <c r="BS196" s="850">
        <v>0.79030789994036588</v>
      </c>
      <c r="BT196" s="850">
        <v>0.79030789994036588</v>
      </c>
      <c r="BU196" s="850">
        <v>0.79030789994036588</v>
      </c>
      <c r="BV196" s="850">
        <v>0.79030789994036588</v>
      </c>
      <c r="BW196" s="850">
        <v>0.79030789994036588</v>
      </c>
      <c r="BX196" s="850">
        <v>0.79030789994036588</v>
      </c>
      <c r="BY196" s="850">
        <v>0.79030789994036588</v>
      </c>
      <c r="BZ196" s="850">
        <v>0.79030789994036588</v>
      </c>
      <c r="CA196" s="850">
        <v>0.79030789994036588</v>
      </c>
      <c r="CB196" s="850">
        <v>0.79030789994036588</v>
      </c>
      <c r="CC196" s="850">
        <v>0.79030789994036588</v>
      </c>
      <c r="CD196" s="850">
        <v>0.79030789994036588</v>
      </c>
      <c r="CE196" s="850">
        <v>0.79030789994036588</v>
      </c>
      <c r="CF196" s="850">
        <v>0.79030789994036588</v>
      </c>
      <c r="CG196" s="850">
        <v>0.79030789994036588</v>
      </c>
      <c r="CH196" s="850">
        <v>0.79030789994036588</v>
      </c>
      <c r="CI196" s="850">
        <v>0.79030789994036588</v>
      </c>
      <c r="CJ196" s="850">
        <v>0.79030789994036588</v>
      </c>
      <c r="CK196" s="850">
        <v>0.79030789994036588</v>
      </c>
      <c r="CL196" s="850">
        <v>0.79030789994036588</v>
      </c>
      <c r="CM196" s="850">
        <v>0.79030789994036588</v>
      </c>
      <c r="CN196" s="850">
        <v>0.79030789994036588</v>
      </c>
      <c r="CO196" s="850">
        <v>0.79030789994036588</v>
      </c>
      <c r="CP196" s="850">
        <v>0.79030789994036588</v>
      </c>
      <c r="CQ196" s="850">
        <v>0.79030789994036588</v>
      </c>
      <c r="CR196" s="850">
        <v>0.79030789994036588</v>
      </c>
      <c r="CS196" s="850">
        <v>0.79030789994036588</v>
      </c>
      <c r="CT196" s="850">
        <v>0.79030789994036588</v>
      </c>
      <c r="CU196" s="850">
        <v>0.79030789994036588</v>
      </c>
      <c r="CV196" s="850">
        <v>0.79030789994036588</v>
      </c>
      <c r="CW196" s="850">
        <v>0.79030789994036588</v>
      </c>
      <c r="CX196" s="850">
        <v>0.79030789994036588</v>
      </c>
      <c r="CY196" s="850">
        <v>0.79030789994036588</v>
      </c>
      <c r="CZ196" s="850">
        <v>0.79030789994036588</v>
      </c>
      <c r="DA196" s="850">
        <v>0.79030789994036588</v>
      </c>
      <c r="DB196" s="850">
        <v>0.79030789994036588</v>
      </c>
      <c r="DC196" s="850">
        <v>0.79030789994036588</v>
      </c>
      <c r="DD196" s="850">
        <v>0.79030789994036588</v>
      </c>
      <c r="DE196" s="850">
        <v>0.79030789994036588</v>
      </c>
      <c r="DF196" s="850">
        <v>0.79030789994036588</v>
      </c>
      <c r="DG196" s="850">
        <v>0.79030789994036588</v>
      </c>
      <c r="DH196" s="851">
        <f>DH195/DC195-1</f>
        <v>4.2257710828497341</v>
      </c>
      <c r="DI196" s="850">
        <v>0.79030789994036588</v>
      </c>
      <c r="DJ196" s="850">
        <v>0.65388418372768897</v>
      </c>
      <c r="DK196" s="850">
        <v>0.62116839884203578</v>
      </c>
      <c r="DL196" s="850">
        <v>-0.16162909070029219</v>
      </c>
      <c r="DM196" s="851">
        <v>0.35173775716197508</v>
      </c>
      <c r="DN196" s="850">
        <f>+DN195/DI195-1</f>
        <v>-1.996269889539648E-2</v>
      </c>
      <c r="DO196" s="850">
        <f>+DO195/DJ195-1</f>
        <v>-1.7629631078213803E-2</v>
      </c>
      <c r="DP196" s="850">
        <f>+DP195/DK195-1</f>
        <v>-0.10539581458402159</v>
      </c>
      <c r="DQ196" s="850">
        <f>+DQ195/DL195-1</f>
        <v>-0.11445600046801185</v>
      </c>
      <c r="DR196" s="851">
        <f>DR195/DM195-1</f>
        <v>-9.1104079848261077E-2</v>
      </c>
      <c r="DS196" s="850">
        <f>+DS195/DN195-1</f>
        <v>-3.2604956448749833E-2</v>
      </c>
      <c r="DT196" s="850">
        <f>+DT195/DO195-1</f>
        <v>-1.2886832481131205E-2</v>
      </c>
      <c r="DU196" s="850">
        <f>+DU195/DP195-1</f>
        <v>2.8806145480823941E-2</v>
      </c>
      <c r="DV196" s="850">
        <f>+DV195/DQ195-1</f>
        <v>9.0365794316024983E-2</v>
      </c>
      <c r="DW196" s="851">
        <f>DW195/DR195-1</f>
        <v>4.0674793813869181E-2</v>
      </c>
      <c r="DX196" s="1165"/>
      <c r="DY196" s="1165"/>
      <c r="DZ196" s="1165"/>
      <c r="EA196" s="1165"/>
      <c r="EB196" s="851"/>
      <c r="EC196" s="1165"/>
      <c r="ED196" s="1165"/>
      <c r="EE196" s="1165"/>
      <c r="EF196" s="1165"/>
      <c r="EG196" s="851"/>
      <c r="EH196" s="1165"/>
      <c r="EI196" s="1165"/>
      <c r="EJ196" s="1165"/>
      <c r="EK196" s="1165"/>
      <c r="EL196" s="851"/>
    </row>
    <row r="197" spans="1:142" ht="11.25" customHeight="1">
      <c r="A197" s="1056"/>
      <c r="B197" s="1056"/>
      <c r="C197" s="930"/>
      <c r="D197" s="930"/>
      <c r="E197" s="930"/>
      <c r="F197" s="930"/>
      <c r="G197" s="930"/>
      <c r="H197" s="844"/>
      <c r="I197" s="930"/>
      <c r="J197" s="930"/>
      <c r="K197" s="930"/>
      <c r="L197" s="930"/>
      <c r="M197" s="844"/>
      <c r="N197" s="930"/>
      <c r="O197" s="930"/>
      <c r="P197" s="930"/>
      <c r="Q197" s="930"/>
      <c r="R197" s="844"/>
      <c r="S197" s="930"/>
      <c r="T197" s="930"/>
      <c r="U197" s="930"/>
      <c r="V197" s="930"/>
      <c r="W197" s="844"/>
      <c r="X197" s="930"/>
      <c r="Y197" s="930"/>
      <c r="Z197" s="930"/>
      <c r="AA197" s="930"/>
      <c r="AB197" s="844"/>
      <c r="AC197" s="930"/>
      <c r="AD197" s="930"/>
      <c r="AE197" s="930"/>
      <c r="AF197" s="930"/>
      <c r="AG197" s="844"/>
      <c r="AH197" s="930"/>
      <c r="AI197" s="930"/>
      <c r="AJ197" s="930"/>
      <c r="AK197" s="930"/>
      <c r="AL197" s="844"/>
      <c r="AM197" s="930"/>
      <c r="AN197" s="930"/>
      <c r="AO197" s="930"/>
      <c r="AP197" s="930"/>
      <c r="AQ197" s="844"/>
      <c r="AR197" s="930"/>
      <c r="AS197" s="930"/>
      <c r="AT197" s="930"/>
      <c r="AU197" s="802"/>
      <c r="AV197" s="930"/>
      <c r="AW197" s="930"/>
      <c r="AX197" s="930"/>
      <c r="AY197" s="930"/>
      <c r="AZ197" s="844"/>
      <c r="BA197" s="930"/>
      <c r="BB197" s="930"/>
      <c r="BC197" s="930"/>
      <c r="BD197" s="930"/>
      <c r="BE197" s="844"/>
      <c r="BF197" s="930"/>
      <c r="BG197" s="930"/>
      <c r="BH197" s="930"/>
      <c r="BI197" s="930"/>
      <c r="BJ197" s="844"/>
      <c r="BK197" s="930"/>
      <c r="BL197" s="930"/>
      <c r="BM197" s="930"/>
      <c r="BN197" s="930"/>
      <c r="BO197" s="844"/>
      <c r="BP197" s="930"/>
      <c r="BQ197" s="930"/>
      <c r="BR197" s="930"/>
      <c r="BS197" s="930"/>
      <c r="BT197" s="844"/>
      <c r="BU197" s="930"/>
      <c r="BV197" s="930"/>
      <c r="BW197" s="930"/>
      <c r="BX197" s="930"/>
      <c r="BY197" s="844"/>
      <c r="BZ197" s="930"/>
      <c r="CA197" s="930"/>
      <c r="CB197" s="930"/>
      <c r="CC197" s="930"/>
      <c r="CD197" s="844"/>
      <c r="CE197" s="930"/>
      <c r="CF197" s="930"/>
      <c r="CG197" s="930"/>
      <c r="CH197" s="930"/>
      <c r="CI197" s="844"/>
      <c r="CJ197" s="930"/>
      <c r="CK197" s="930"/>
      <c r="CL197" s="930"/>
      <c r="CM197" s="930"/>
      <c r="CN197" s="844"/>
      <c r="CO197" s="930"/>
      <c r="CP197" s="930"/>
      <c r="CQ197" s="930"/>
      <c r="CR197" s="930"/>
      <c r="CS197" s="844"/>
      <c r="CT197" s="930"/>
      <c r="CU197" s="930"/>
      <c r="CV197" s="930"/>
      <c r="CW197" s="930"/>
      <c r="CX197" s="844"/>
      <c r="CY197" s="930"/>
      <c r="CZ197" s="930"/>
      <c r="DA197" s="930"/>
      <c r="DB197" s="930"/>
      <c r="DC197" s="844"/>
      <c r="DD197" s="930"/>
      <c r="DE197" s="930"/>
      <c r="DF197" s="930"/>
      <c r="DG197" s="930"/>
      <c r="DH197" s="844"/>
      <c r="DI197" s="930"/>
      <c r="DJ197" s="930"/>
      <c r="DK197" s="930"/>
      <c r="DL197" s="930"/>
      <c r="DM197" s="844"/>
      <c r="DN197" s="930"/>
      <c r="DO197" s="930"/>
      <c r="DP197" s="930"/>
      <c r="DQ197" s="930"/>
      <c r="DR197" s="844"/>
      <c r="DS197" s="930"/>
      <c r="DT197" s="930"/>
      <c r="DU197" s="930"/>
      <c r="DV197" s="930"/>
      <c r="DW197" s="844"/>
      <c r="DX197" s="930"/>
      <c r="DY197" s="930"/>
      <c r="DZ197" s="930"/>
      <c r="EA197" s="930"/>
      <c r="EB197" s="844"/>
      <c r="EC197" s="930"/>
      <c r="ED197" s="930"/>
      <c r="EE197" s="930"/>
      <c r="EF197" s="930"/>
      <c r="EG197" s="844"/>
      <c r="EH197" s="930"/>
      <c r="EI197" s="930"/>
      <c r="EJ197" s="930"/>
      <c r="EK197" s="930"/>
      <c r="EL197" s="844"/>
    </row>
    <row r="198" spans="1:142" ht="11.25" customHeight="1">
      <c r="A198" s="846"/>
      <c r="B198" s="846" t="s">
        <v>161</v>
      </c>
      <c r="C198" s="1149"/>
      <c r="D198" s="1149">
        <f t="shared" ref="D198:AT198" si="444">D342</f>
        <v>5.5</v>
      </c>
      <c r="E198" s="1149">
        <f t="shared" si="444"/>
        <v>5.5</v>
      </c>
      <c r="F198" s="1149">
        <f t="shared" si="444"/>
        <v>5.6</v>
      </c>
      <c r="G198" s="1149" t="str">
        <f t="shared" si="444"/>
        <v>ND</v>
      </c>
      <c r="H198" s="1113">
        <f t="shared" si="444"/>
        <v>5.6</v>
      </c>
      <c r="I198" s="1149">
        <f t="shared" si="444"/>
        <v>5.6</v>
      </c>
      <c r="J198" s="1149">
        <f t="shared" si="444"/>
        <v>5.5</v>
      </c>
      <c r="K198" s="1149">
        <f t="shared" si="444"/>
        <v>5.6</v>
      </c>
      <c r="L198" s="1149" t="str">
        <f t="shared" si="444"/>
        <v>ND</v>
      </c>
      <c r="M198" s="1113">
        <f t="shared" si="444"/>
        <v>5.6</v>
      </c>
      <c r="N198" s="1149">
        <f t="shared" si="444"/>
        <v>5.4</v>
      </c>
      <c r="O198" s="1149">
        <f t="shared" si="444"/>
        <v>5.4</v>
      </c>
      <c r="P198" s="1149">
        <f t="shared" si="444"/>
        <v>5.3</v>
      </c>
      <c r="Q198" s="1149" t="str">
        <f t="shared" si="444"/>
        <v>ND</v>
      </c>
      <c r="R198" s="1113">
        <f t="shared" si="444"/>
        <v>5.2</v>
      </c>
      <c r="S198" s="1149">
        <f t="shared" si="444"/>
        <v>5.0999999999999996</v>
      </c>
      <c r="T198" s="1149">
        <f t="shared" si="444"/>
        <v>5.2</v>
      </c>
      <c r="U198" s="1149">
        <f t="shared" si="444"/>
        <v>5.3</v>
      </c>
      <c r="V198" s="1149" t="str">
        <f t="shared" si="444"/>
        <v>ND</v>
      </c>
      <c r="W198" s="1113">
        <f t="shared" si="444"/>
        <v>5.2</v>
      </c>
      <c r="X198" s="1149">
        <f t="shared" si="444"/>
        <v>5.0999999999999996</v>
      </c>
      <c r="Y198" s="1149">
        <f t="shared" si="444"/>
        <v>5.0999999999999996</v>
      </c>
      <c r="Z198" s="1149">
        <f t="shared" si="444"/>
        <v>5.2</v>
      </c>
      <c r="AA198" s="1149" t="str">
        <f t="shared" si="444"/>
        <v>ND</v>
      </c>
      <c r="AB198" s="1113">
        <f t="shared" si="444"/>
        <v>5.2</v>
      </c>
      <c r="AC198" s="1149">
        <f t="shared" si="444"/>
        <v>5.0999999999999996</v>
      </c>
      <c r="AD198" s="1149">
        <f t="shared" si="444"/>
        <v>5.2</v>
      </c>
      <c r="AE198" s="1149">
        <f t="shared" si="444"/>
        <v>5.3</v>
      </c>
      <c r="AF198" s="1149" t="str">
        <f t="shared" si="444"/>
        <v>ND</v>
      </c>
      <c r="AG198" s="1113">
        <f t="shared" si="444"/>
        <v>5.2</v>
      </c>
      <c r="AH198" s="1149">
        <f t="shared" si="444"/>
        <v>5.2</v>
      </c>
      <c r="AI198" s="1149">
        <f t="shared" si="444"/>
        <v>5.2</v>
      </c>
      <c r="AJ198" s="1149">
        <f t="shared" si="444"/>
        <v>5.3</v>
      </c>
      <c r="AK198" s="1149" t="str">
        <f t="shared" si="444"/>
        <v>ND</v>
      </c>
      <c r="AL198" s="1113">
        <f t="shared" si="444"/>
        <v>5.3</v>
      </c>
      <c r="AM198" s="1149">
        <f t="shared" si="444"/>
        <v>5.3</v>
      </c>
      <c r="AN198" s="1149">
        <f t="shared" si="444"/>
        <v>5.3</v>
      </c>
      <c r="AO198" s="1149">
        <f t="shared" si="444"/>
        <v>5.4</v>
      </c>
      <c r="AP198" s="1149" t="str">
        <f t="shared" si="444"/>
        <v>ND</v>
      </c>
      <c r="AQ198" s="1113">
        <f t="shared" si="444"/>
        <v>5.3</v>
      </c>
      <c r="AR198" s="1149">
        <f t="shared" si="444"/>
        <v>5.3</v>
      </c>
      <c r="AS198" s="1149">
        <f t="shared" si="444"/>
        <v>5.3</v>
      </c>
      <c r="AT198" s="1149">
        <f t="shared" si="444"/>
        <v>5.3</v>
      </c>
      <c r="AU198" s="802"/>
      <c r="AV198" s="1149" t="str">
        <f t="shared" ref="AV198:BO198" si="445">AV342</f>
        <v>ND</v>
      </c>
      <c r="AW198" s="1149" t="str">
        <f t="shared" si="445"/>
        <v>ND</v>
      </c>
      <c r="AX198" s="1149" t="str">
        <f t="shared" si="445"/>
        <v>ND</v>
      </c>
      <c r="AY198" s="1149" t="str">
        <f t="shared" si="445"/>
        <v>ND</v>
      </c>
      <c r="AZ198" s="1113" t="str">
        <f t="shared" si="445"/>
        <v>ND</v>
      </c>
      <c r="BA198" s="1149">
        <f t="shared" si="445"/>
        <v>5.4</v>
      </c>
      <c r="BB198" s="1149">
        <f t="shared" si="445"/>
        <v>5.3</v>
      </c>
      <c r="BC198" s="1149">
        <f t="shared" si="445"/>
        <v>5.2</v>
      </c>
      <c r="BD198" s="1149" t="str">
        <f t="shared" si="445"/>
        <v>ND</v>
      </c>
      <c r="BE198" s="1113">
        <f t="shared" si="445"/>
        <v>5.3</v>
      </c>
      <c r="BF198" s="1149">
        <f t="shared" si="445"/>
        <v>5.3</v>
      </c>
      <c r="BG198" s="1149">
        <f t="shared" si="445"/>
        <v>5.2</v>
      </c>
      <c r="BH198" s="1149">
        <f t="shared" si="445"/>
        <v>5.0999999999999996</v>
      </c>
      <c r="BI198" s="1149">
        <f t="shared" si="445"/>
        <v>5.2</v>
      </c>
      <c r="BJ198" s="1113">
        <f t="shared" si="445"/>
        <v>5.2</v>
      </c>
      <c r="BK198" s="903">
        <f t="shared" si="445"/>
        <v>5.2</v>
      </c>
      <c r="BL198" s="903">
        <f t="shared" si="445"/>
        <v>5.0999999999999996</v>
      </c>
      <c r="BM198" s="903">
        <f t="shared" si="445"/>
        <v>5.0999999999999996</v>
      </c>
      <c r="BN198" s="903">
        <f t="shared" si="445"/>
        <v>5.0999999999999996</v>
      </c>
      <c r="BO198" s="844">
        <f t="shared" si="445"/>
        <v>5.2</v>
      </c>
      <c r="BP198" s="903">
        <f t="shared" ref="BP198:CW198" si="446">BP264</f>
        <v>117838</v>
      </c>
      <c r="BQ198" s="903">
        <f t="shared" si="446"/>
        <v>104897</v>
      </c>
      <c r="BR198" s="903">
        <f t="shared" si="446"/>
        <v>101089</v>
      </c>
      <c r="BS198" s="903">
        <f t="shared" si="446"/>
        <v>99480</v>
      </c>
      <c r="BT198" s="844">
        <f t="shared" si="446"/>
        <v>411164</v>
      </c>
      <c r="BU198" s="903">
        <f t="shared" si="446"/>
        <v>99907</v>
      </c>
      <c r="BV198" s="903">
        <f t="shared" si="446"/>
        <v>99684</v>
      </c>
      <c r="BW198" s="903">
        <f t="shared" si="446"/>
        <v>98240</v>
      </c>
      <c r="BX198" s="903">
        <f t="shared" si="446"/>
        <v>96891</v>
      </c>
      <c r="BY198" s="844">
        <f t="shared" si="446"/>
        <v>388996</v>
      </c>
      <c r="BZ198" s="903">
        <f t="shared" si="446"/>
        <v>95585</v>
      </c>
      <c r="CA198" s="903">
        <f t="shared" si="446"/>
        <v>93970</v>
      </c>
      <c r="CB198" s="903">
        <f t="shared" si="446"/>
        <v>91407</v>
      </c>
      <c r="CC198" s="903">
        <f t="shared" si="446"/>
        <v>91470</v>
      </c>
      <c r="CD198" s="844">
        <f t="shared" si="446"/>
        <v>362663</v>
      </c>
      <c r="CE198" s="903">
        <f t="shared" si="446"/>
        <v>90867</v>
      </c>
      <c r="CF198" s="903">
        <f t="shared" si="446"/>
        <v>92166</v>
      </c>
      <c r="CG198" s="903">
        <f t="shared" si="446"/>
        <v>92437</v>
      </c>
      <c r="CH198" s="903">
        <f t="shared" si="446"/>
        <v>90470</v>
      </c>
      <c r="CI198" s="844">
        <f t="shared" si="446"/>
        <v>364713</v>
      </c>
      <c r="CJ198" s="903">
        <f t="shared" si="446"/>
        <v>87998</v>
      </c>
      <c r="CK198" s="903">
        <f t="shared" si="446"/>
        <v>91285</v>
      </c>
      <c r="CL198" s="903">
        <f t="shared" si="446"/>
        <v>91064</v>
      </c>
      <c r="CM198" s="903">
        <f t="shared" si="446"/>
        <v>89859</v>
      </c>
      <c r="CN198" s="844">
        <f t="shared" si="446"/>
        <v>360206</v>
      </c>
      <c r="CO198" s="903">
        <f t="shared" si="446"/>
        <v>87507</v>
      </c>
      <c r="CP198" s="903">
        <f t="shared" si="446"/>
        <v>91005</v>
      </c>
      <c r="CQ198" s="903">
        <f t="shared" si="446"/>
        <v>92574</v>
      </c>
      <c r="CR198" s="903">
        <f t="shared" si="446"/>
        <v>91200</v>
      </c>
      <c r="CS198" s="844">
        <f t="shared" si="446"/>
        <v>362286</v>
      </c>
      <c r="CT198" s="903">
        <f t="shared" si="446"/>
        <v>93228</v>
      </c>
      <c r="CU198" s="903">
        <f t="shared" si="446"/>
        <v>95422</v>
      </c>
      <c r="CV198" s="903">
        <f t="shared" si="446"/>
        <v>94260</v>
      </c>
      <c r="CW198" s="903">
        <f t="shared" si="446"/>
        <v>98045</v>
      </c>
      <c r="CX198" s="844">
        <f>SUM(CT198:CW198)</f>
        <v>380955</v>
      </c>
      <c r="CY198" s="903">
        <f>CY264</f>
        <v>101413</v>
      </c>
      <c r="CZ198" s="903">
        <f>CZ264</f>
        <v>108669</v>
      </c>
      <c r="DA198" s="903">
        <f>DA264</f>
        <v>111055</v>
      </c>
      <c r="DB198" s="903">
        <f>DB264</f>
        <v>168730</v>
      </c>
      <c r="DC198" s="844">
        <f>SUM(CY198:DB198)</f>
        <v>489867</v>
      </c>
      <c r="DD198" s="903">
        <f>DD264</f>
        <v>162282</v>
      </c>
      <c r="DE198" s="903">
        <f>DE264</f>
        <v>173664</v>
      </c>
      <c r="DF198" s="903">
        <f>DF264</f>
        <v>178439</v>
      </c>
      <c r="DG198" s="903">
        <f>DG264</f>
        <v>183250</v>
      </c>
      <c r="DH198" s="844">
        <f>SUM(DD198:DG198)</f>
        <v>697635</v>
      </c>
      <c r="DI198" s="903">
        <f>DI301</f>
        <v>175644</v>
      </c>
      <c r="DJ198" s="903">
        <f>DJ301</f>
        <v>127523</v>
      </c>
      <c r="DK198" s="903">
        <f>DK301</f>
        <v>129937</v>
      </c>
      <c r="DL198" s="903">
        <f>DL301</f>
        <v>138264</v>
      </c>
      <c r="DM198" s="844">
        <f>SUM(DI198:DL198)</f>
        <v>571368</v>
      </c>
      <c r="DN198" s="903">
        <f>DN301</f>
        <v>117030</v>
      </c>
      <c r="DO198" s="903">
        <f>DO301</f>
        <v>130201</v>
      </c>
      <c r="DP198" s="903">
        <f>DP301</f>
        <v>112179</v>
      </c>
      <c r="DQ198" s="903">
        <f>DQ301</f>
        <v>112317</v>
      </c>
      <c r="DR198" s="844">
        <f>SUM(DN198:DQ198)</f>
        <v>471727</v>
      </c>
      <c r="DS198" s="903">
        <f>DS301</f>
        <v>121276</v>
      </c>
      <c r="DT198" s="903">
        <f>DT301</f>
        <v>123166</v>
      </c>
      <c r="DU198" s="903">
        <f>DU301</f>
        <v>116556</v>
      </c>
      <c r="DV198" s="903">
        <f>DV301</f>
        <v>118502</v>
      </c>
      <c r="DW198" s="844">
        <f>SUM(DS198:DV198)</f>
        <v>479500</v>
      </c>
      <c r="DX198" s="901"/>
      <c r="DY198" s="901"/>
      <c r="DZ198" s="901"/>
      <c r="EA198" s="901"/>
      <c r="EB198" s="844"/>
      <c r="EC198" s="901"/>
      <c r="ED198" s="901"/>
      <c r="EE198" s="901"/>
      <c r="EF198" s="901"/>
      <c r="EG198" s="844"/>
      <c r="EH198" s="901"/>
      <c r="EI198" s="901"/>
      <c r="EJ198" s="901"/>
      <c r="EK198" s="901"/>
      <c r="EL198" s="844"/>
    </row>
    <row r="199" spans="1:142" ht="11.25" customHeight="1">
      <c r="A199" s="1122"/>
      <c r="B199" s="1122" t="s">
        <v>668</v>
      </c>
      <c r="C199" s="1012"/>
      <c r="D199" s="1012"/>
      <c r="E199" s="1012"/>
      <c r="F199" s="1012"/>
      <c r="G199" s="1012"/>
      <c r="H199" s="1011"/>
      <c r="I199" s="1010">
        <f t="shared" ref="I199:AT199" si="447">IF(ISERROR(+I198/D198-1),"nm",+I198/D198-1)</f>
        <v>1.8181818181818077E-2</v>
      </c>
      <c r="J199" s="1010">
        <f t="shared" si="447"/>
        <v>0</v>
      </c>
      <c r="K199" s="1010">
        <f t="shared" si="447"/>
        <v>0</v>
      </c>
      <c r="L199" s="1010" t="str">
        <f t="shared" si="447"/>
        <v>nm</v>
      </c>
      <c r="M199" s="1011">
        <f t="shared" si="447"/>
        <v>0</v>
      </c>
      <c r="N199" s="1010">
        <f t="shared" si="447"/>
        <v>-3.5714285714285587E-2</v>
      </c>
      <c r="O199" s="1010">
        <f t="shared" si="447"/>
        <v>-1.8181818181818077E-2</v>
      </c>
      <c r="P199" s="1010">
        <f t="shared" si="447"/>
        <v>-5.3571428571428492E-2</v>
      </c>
      <c r="Q199" s="1010" t="str">
        <f t="shared" si="447"/>
        <v>nm</v>
      </c>
      <c r="R199" s="1011">
        <f t="shared" si="447"/>
        <v>-7.1428571428571286E-2</v>
      </c>
      <c r="S199" s="1010">
        <f t="shared" si="447"/>
        <v>-5.5555555555555691E-2</v>
      </c>
      <c r="T199" s="1010">
        <f t="shared" si="447"/>
        <v>-3.703703703703709E-2</v>
      </c>
      <c r="U199" s="1010">
        <f t="shared" si="447"/>
        <v>0</v>
      </c>
      <c r="V199" s="1010" t="str">
        <f t="shared" si="447"/>
        <v>nm</v>
      </c>
      <c r="W199" s="1011">
        <f t="shared" si="447"/>
        <v>0</v>
      </c>
      <c r="X199" s="1010">
        <f t="shared" si="447"/>
        <v>0</v>
      </c>
      <c r="Y199" s="1010">
        <f t="shared" si="447"/>
        <v>-1.9230769230769384E-2</v>
      </c>
      <c r="Z199" s="1010">
        <f t="shared" si="447"/>
        <v>-1.8867924528301772E-2</v>
      </c>
      <c r="AA199" s="1010" t="str">
        <f t="shared" si="447"/>
        <v>nm</v>
      </c>
      <c r="AB199" s="1011">
        <f t="shared" si="447"/>
        <v>0</v>
      </c>
      <c r="AC199" s="1010">
        <f t="shared" si="447"/>
        <v>0</v>
      </c>
      <c r="AD199" s="1010">
        <f t="shared" si="447"/>
        <v>1.9607843137255054E-2</v>
      </c>
      <c r="AE199" s="1010">
        <f t="shared" si="447"/>
        <v>1.9230769230769162E-2</v>
      </c>
      <c r="AF199" s="1010" t="str">
        <f t="shared" si="447"/>
        <v>nm</v>
      </c>
      <c r="AG199" s="1011">
        <f t="shared" si="447"/>
        <v>0</v>
      </c>
      <c r="AH199" s="1010">
        <f t="shared" si="447"/>
        <v>1.9607843137255054E-2</v>
      </c>
      <c r="AI199" s="1010">
        <f t="shared" si="447"/>
        <v>0</v>
      </c>
      <c r="AJ199" s="1010">
        <f t="shared" si="447"/>
        <v>0</v>
      </c>
      <c r="AK199" s="1010" t="str">
        <f t="shared" si="447"/>
        <v>nm</v>
      </c>
      <c r="AL199" s="1011">
        <f t="shared" si="447"/>
        <v>1.9230769230769162E-2</v>
      </c>
      <c r="AM199" s="1010">
        <f t="shared" si="447"/>
        <v>1.9230769230769162E-2</v>
      </c>
      <c r="AN199" s="1010">
        <f t="shared" si="447"/>
        <v>1.9230769230769162E-2</v>
      </c>
      <c r="AO199" s="1010">
        <f t="shared" si="447"/>
        <v>1.8867924528301883E-2</v>
      </c>
      <c r="AP199" s="1010" t="str">
        <f t="shared" si="447"/>
        <v>nm</v>
      </c>
      <c r="AQ199" s="1011">
        <f t="shared" si="447"/>
        <v>0</v>
      </c>
      <c r="AR199" s="1010">
        <f t="shared" si="447"/>
        <v>0</v>
      </c>
      <c r="AS199" s="1010">
        <f t="shared" si="447"/>
        <v>0</v>
      </c>
      <c r="AT199" s="1010">
        <f t="shared" si="447"/>
        <v>-1.8518518518518601E-2</v>
      </c>
      <c r="AU199" s="802"/>
      <c r="AV199" s="1012"/>
      <c r="AW199" s="1012"/>
      <c r="AX199" s="1012"/>
      <c r="AY199" s="1012"/>
      <c r="AZ199" s="1011"/>
      <c r="BA199" s="1010" t="str">
        <f t="shared" ref="BA199:BO199" si="448">IF(ISERROR(+BA198/AV198-1),"nm",+BA198/AV198-1)</f>
        <v>nm</v>
      </c>
      <c r="BB199" s="1010" t="str">
        <f t="shared" si="448"/>
        <v>nm</v>
      </c>
      <c r="BC199" s="1010" t="str">
        <f t="shared" si="448"/>
        <v>nm</v>
      </c>
      <c r="BD199" s="1010" t="str">
        <f t="shared" si="448"/>
        <v>nm</v>
      </c>
      <c r="BE199" s="1011" t="str">
        <f t="shared" si="448"/>
        <v>nm</v>
      </c>
      <c r="BF199" s="1010">
        <f t="shared" si="448"/>
        <v>-1.8518518518518601E-2</v>
      </c>
      <c r="BG199" s="1010">
        <f t="shared" si="448"/>
        <v>-1.8867924528301772E-2</v>
      </c>
      <c r="BH199" s="1010">
        <f t="shared" si="448"/>
        <v>-1.9230769230769384E-2</v>
      </c>
      <c r="BI199" s="1010" t="str">
        <f t="shared" si="448"/>
        <v>nm</v>
      </c>
      <c r="BJ199" s="1011">
        <f t="shared" si="448"/>
        <v>-1.8867924528301772E-2</v>
      </c>
      <c r="BK199" s="850">
        <f t="shared" si="448"/>
        <v>-1.8867924528301772E-2</v>
      </c>
      <c r="BL199" s="850">
        <f t="shared" si="448"/>
        <v>-1.9230769230769384E-2</v>
      </c>
      <c r="BM199" s="850">
        <f t="shared" si="448"/>
        <v>0</v>
      </c>
      <c r="BN199" s="850">
        <f t="shared" si="448"/>
        <v>-1.9230769230769384E-2</v>
      </c>
      <c r="BO199" s="851">
        <f t="shared" si="448"/>
        <v>0</v>
      </c>
      <c r="BP199" s="850">
        <f>IF(ISERROR(+BP198/BK198-1),"NM",+BP198/BK198-1)</f>
        <v>22660.153846153844</v>
      </c>
      <c r="BQ199" s="850">
        <f>IF(ISERROR(+BQ198/BL198-1),"NM",+BQ198/BL198-1)</f>
        <v>20567.039215686276</v>
      </c>
      <c r="BR199" s="850">
        <f>IF(ISERROR(+BR198/BM198-1),"NM",+BR198/BM198-1)</f>
        <v>19820.372549019608</v>
      </c>
      <c r="BS199" s="850">
        <f>IF(ISERROR(+BS198/BN198-1),"NM",+BS198/BN198-1)</f>
        <v>19504.882352941178</v>
      </c>
      <c r="BT199" s="851">
        <f t="shared" ref="BT199:CW199" si="449">+BT198/BO301-1</f>
        <v>-0.15067185837783126</v>
      </c>
      <c r="BU199" s="850">
        <f t="shared" si="449"/>
        <v>-0.15216653371577926</v>
      </c>
      <c r="BV199" s="850">
        <f t="shared" si="449"/>
        <v>-4.9696368818936687E-2</v>
      </c>
      <c r="BW199" s="850">
        <f t="shared" si="449"/>
        <v>-2.8183086191375883E-2</v>
      </c>
      <c r="BX199" s="850">
        <f t="shared" si="449"/>
        <v>-2.6025331724969791E-2</v>
      </c>
      <c r="BY199" s="851">
        <f t="shared" si="449"/>
        <v>-5.3915226041190367E-2</v>
      </c>
      <c r="BZ199" s="850">
        <f t="shared" si="449"/>
        <v>-4.3260232015774669E-2</v>
      </c>
      <c r="CA199" s="850">
        <f t="shared" si="449"/>
        <v>-5.7321134785923489E-2</v>
      </c>
      <c r="CB199" s="850">
        <f t="shared" si="449"/>
        <v>-6.9554153094462556E-2</v>
      </c>
      <c r="CC199" s="850">
        <f t="shared" si="449"/>
        <v>-5.5949468990927897E-2</v>
      </c>
      <c r="CD199" s="851">
        <f t="shared" si="449"/>
        <v>-6.7694783493917665E-2</v>
      </c>
      <c r="CE199" s="850">
        <f t="shared" si="449"/>
        <v>-4.9359209080922728E-2</v>
      </c>
      <c r="CF199" s="850">
        <f t="shared" si="449"/>
        <v>-1.9197616260508643E-2</v>
      </c>
      <c r="CG199" s="850">
        <f t="shared" si="449"/>
        <v>1.1268283610664342E-2</v>
      </c>
      <c r="CH199" s="850">
        <f t="shared" si="449"/>
        <v>-1.0932546190007608E-2</v>
      </c>
      <c r="CI199" s="851">
        <f t="shared" si="449"/>
        <v>5.6526306791704339E-3</v>
      </c>
      <c r="CJ199" s="850">
        <f t="shared" si="449"/>
        <v>-3.1573618585405083E-2</v>
      </c>
      <c r="CK199" s="850">
        <f t="shared" si="449"/>
        <v>-9.5588394852765823E-3</v>
      </c>
      <c r="CL199" s="850">
        <f t="shared" si="449"/>
        <v>-1.4853359585447423E-2</v>
      </c>
      <c r="CM199" s="850">
        <f t="shared" si="449"/>
        <v>-6.7536199845252831E-3</v>
      </c>
      <c r="CN199" s="851">
        <f t="shared" si="449"/>
        <v>-1.2357662052079332E-2</v>
      </c>
      <c r="CO199" s="850">
        <f t="shared" si="449"/>
        <v>-5.5796722652787789E-3</v>
      </c>
      <c r="CP199" s="850">
        <f t="shared" si="449"/>
        <v>-3.0673166456701706E-3</v>
      </c>
      <c r="CQ199" s="850">
        <f t="shared" si="449"/>
        <v>1.6581744707019341E-2</v>
      </c>
      <c r="CR199" s="850">
        <f t="shared" si="449"/>
        <v>1.4923379961940375E-2</v>
      </c>
      <c r="CS199" s="851">
        <f t="shared" si="449"/>
        <v>5.7744734957219102E-3</v>
      </c>
      <c r="CT199" s="850">
        <f t="shared" si="449"/>
        <v>6.5377626932702437E-2</v>
      </c>
      <c r="CU199" s="850">
        <f t="shared" si="449"/>
        <v>4.8535794736553006E-2</v>
      </c>
      <c r="CV199" s="850">
        <f t="shared" si="449"/>
        <v>1.8212457061377973E-2</v>
      </c>
      <c r="CW199" s="850">
        <f t="shared" si="449"/>
        <v>7.5054824561403555E-2</v>
      </c>
      <c r="CX199" s="851">
        <f>CX198/CS198-1</f>
        <v>5.153111077988104E-2</v>
      </c>
      <c r="CY199" s="850">
        <f>+CY198/CT301-1</f>
        <v>8.7795512077916582E-2</v>
      </c>
      <c r="CZ199" s="850">
        <f>+CZ198/CU301-1</f>
        <v>0.13882542809834209</v>
      </c>
      <c r="DA199" s="850">
        <f>+DA198/CV301-1</f>
        <v>0.17817738171016329</v>
      </c>
      <c r="DB199" s="850" t="s">
        <v>162</v>
      </c>
      <c r="DC199" s="851">
        <f>DC198/CX198-1</f>
        <v>0.28589203449226286</v>
      </c>
      <c r="DD199" s="850">
        <f>+DD198/CY301-1</f>
        <v>0.60020904617751181</v>
      </c>
      <c r="DE199" s="850">
        <f>+DE198/CZ301-1</f>
        <v>0.59810065428042947</v>
      </c>
      <c r="DF199" s="850">
        <f>+DF198/DA301-1</f>
        <v>0.60676241501958494</v>
      </c>
      <c r="DG199" s="850">
        <f>+DG198/DB301-1</f>
        <v>8.6054643513305384E-2</v>
      </c>
      <c r="DH199" s="851">
        <f>DH198/DC198-1</f>
        <v>0.42413144792362001</v>
      </c>
      <c r="DI199" s="850">
        <f>+DI198/DD377-1</f>
        <v>8.233815210559392E-2</v>
      </c>
      <c r="DJ199" s="850">
        <f>+DJ198/DE377-1</f>
        <v>-0.265691219826792</v>
      </c>
      <c r="DK199" s="850">
        <f>+DK198/DF377-1</f>
        <v>-0.27181277635494483</v>
      </c>
      <c r="DL199" s="850">
        <f>+DL198/DG377-1</f>
        <v>-0.24548976807639833</v>
      </c>
      <c r="DM199" s="851">
        <f>DM198/DH198-1</f>
        <v>-0.18099292610032469</v>
      </c>
      <c r="DN199" s="850">
        <f>+DN198/DI377-1</f>
        <v>3.2046985784331072E-2</v>
      </c>
      <c r="DO199" s="850">
        <f>+DO198/DJ377-1</f>
        <v>0.14514767190276001</v>
      </c>
      <c r="DP199" s="850">
        <f>+DP198/DK377-1</f>
        <v>-2.037341064691911E-2</v>
      </c>
      <c r="DQ199" s="850">
        <f>+DQ198/DL377-1</f>
        <v>-1.7220107625672609E-2</v>
      </c>
      <c r="DR199" s="851">
        <f>DR198/DM198-1</f>
        <v>-0.17439023536494869</v>
      </c>
      <c r="DS199" s="850">
        <f>+DS198/DN377-1</f>
        <v>-5.3263491518278805E-2</v>
      </c>
      <c r="DT199" s="850">
        <f>+DT198/DO377-1</f>
        <v>-5.4031843073401919E-2</v>
      </c>
      <c r="DU199" s="850">
        <f>+DU198/DP377-1</f>
        <v>-5.0553102751665802E-2</v>
      </c>
      <c r="DV199" s="850">
        <f>+DV198/DQ377-1</f>
        <v>-2.9467649467649459E-2</v>
      </c>
      <c r="DW199" s="851">
        <f>DW198/DR198-1</f>
        <v>1.6477750902534671E-2</v>
      </c>
      <c r="DX199" s="1165"/>
      <c r="DY199" s="1165"/>
      <c r="DZ199" s="1165"/>
      <c r="EA199" s="1165"/>
      <c r="EB199" s="851"/>
      <c r="EC199" s="1165"/>
      <c r="ED199" s="1165"/>
      <c r="EE199" s="1165"/>
      <c r="EF199" s="1165"/>
      <c r="EG199" s="851"/>
      <c r="EH199" s="1165"/>
      <c r="EI199" s="1165"/>
      <c r="EJ199" s="1165"/>
      <c r="EK199" s="1165"/>
      <c r="EL199" s="851"/>
    </row>
    <row r="200" spans="1:142" ht="11.25" customHeight="1">
      <c r="A200" s="846"/>
      <c r="B200" s="846" t="s">
        <v>163</v>
      </c>
      <c r="C200" s="1149"/>
      <c r="D200" s="1149" t="str">
        <f>D334</f>
        <v>ND</v>
      </c>
      <c r="E200" s="1149">
        <f>E334</f>
        <v>64496</v>
      </c>
      <c r="F200" s="1149">
        <f>F334</f>
        <v>67637</v>
      </c>
      <c r="G200" s="1149">
        <f>G334</f>
        <v>226531</v>
      </c>
      <c r="H200" s="1113">
        <f>SUM(D200:G200)</f>
        <v>358664</v>
      </c>
      <c r="I200" s="1149">
        <f>I334</f>
        <v>156687</v>
      </c>
      <c r="J200" s="1149">
        <f>J334</f>
        <v>166564</v>
      </c>
      <c r="K200" s="1149">
        <f>K334</f>
        <v>187675</v>
      </c>
      <c r="L200" s="1149">
        <f>L334</f>
        <v>178693</v>
      </c>
      <c r="M200" s="1113">
        <f>SUM(I200:L200)</f>
        <v>689619</v>
      </c>
      <c r="N200" s="1149">
        <f>N334</f>
        <v>177597</v>
      </c>
      <c r="O200" s="1149">
        <f>O334</f>
        <v>179602</v>
      </c>
      <c r="P200" s="1149">
        <f>P334</f>
        <v>301703</v>
      </c>
      <c r="Q200" s="1149">
        <f>Q334</f>
        <v>465495</v>
      </c>
      <c r="R200" s="1113">
        <f>SUM(N200:Q200)</f>
        <v>1124397</v>
      </c>
      <c r="S200" s="1149">
        <f>S334</f>
        <v>289833</v>
      </c>
      <c r="T200" s="1149">
        <f>T334</f>
        <v>327578</v>
      </c>
      <c r="U200" s="1149">
        <f>U334</f>
        <v>326322</v>
      </c>
      <c r="V200" s="1149">
        <f>V334</f>
        <v>324531</v>
      </c>
      <c r="W200" s="1113">
        <f>SUM(S200:V200)</f>
        <v>1268264</v>
      </c>
      <c r="X200" s="1149">
        <f>X334</f>
        <v>322799</v>
      </c>
      <c r="Y200" s="1149">
        <f>Y334</f>
        <v>322035</v>
      </c>
      <c r="Z200" s="1149">
        <f>Z334</f>
        <v>351849</v>
      </c>
      <c r="AA200" s="1149">
        <f>AA334</f>
        <v>363341</v>
      </c>
      <c r="AB200" s="1113">
        <f>SUM(X200:AA200)</f>
        <v>1360024</v>
      </c>
      <c r="AC200" s="1149">
        <f>AC334</f>
        <v>353711</v>
      </c>
      <c r="AD200" s="1149">
        <f>AD334</f>
        <v>329667</v>
      </c>
      <c r="AE200" s="1149">
        <f>AE334</f>
        <v>335658</v>
      </c>
      <c r="AF200" s="1149">
        <f>AF334</f>
        <v>332259</v>
      </c>
      <c r="AG200" s="1113">
        <f>SUM(AC200:AF200)</f>
        <v>1351295</v>
      </c>
      <c r="AH200" s="1149">
        <f>AH334</f>
        <v>322799</v>
      </c>
      <c r="AI200" s="1149">
        <f>AI334</f>
        <v>329224</v>
      </c>
      <c r="AJ200" s="1149">
        <f>AJ334</f>
        <v>334340</v>
      </c>
      <c r="AK200" s="1149">
        <f>AK334</f>
        <v>354775</v>
      </c>
      <c r="AL200" s="1113">
        <f>SUM(AH200:AK200)</f>
        <v>1341138</v>
      </c>
      <c r="AM200" s="1149">
        <f>AM334</f>
        <v>350065</v>
      </c>
      <c r="AN200" s="1149">
        <f>AN334</f>
        <v>348787</v>
      </c>
      <c r="AO200" s="1149">
        <f>AO334</f>
        <v>360536</v>
      </c>
      <c r="AP200" s="1149">
        <f>AP334</f>
        <v>370164</v>
      </c>
      <c r="AQ200" s="1113">
        <f>SUM(AM200:AP200)</f>
        <v>1429552</v>
      </c>
      <c r="AR200" s="1149">
        <f>AR334</f>
        <v>360963</v>
      </c>
      <c r="AS200" s="1149">
        <f>AS334</f>
        <v>361197</v>
      </c>
      <c r="AT200" s="1149">
        <f>AT334</f>
        <v>365527</v>
      </c>
      <c r="AU200" s="802"/>
      <c r="AV200" s="1149" t="str">
        <f>AV334</f>
        <v>ND</v>
      </c>
      <c r="AW200" s="1149" t="str">
        <f>AW334</f>
        <v>ND</v>
      </c>
      <c r="AX200" s="1149" t="str">
        <f>AX334</f>
        <v>ND</v>
      </c>
      <c r="AY200" s="1149" t="str">
        <f>AY334</f>
        <v>ND</v>
      </c>
      <c r="AZ200" s="1113">
        <f>SUM(AV200:AY200)</f>
        <v>0</v>
      </c>
      <c r="BA200" s="1149">
        <f>BA334</f>
        <v>336245</v>
      </c>
      <c r="BB200" s="1149">
        <f>BB334</f>
        <v>330709</v>
      </c>
      <c r="BC200" s="1149">
        <f>BC334</f>
        <v>333203</v>
      </c>
      <c r="BD200" s="1149">
        <f>BD334</f>
        <v>319844</v>
      </c>
      <c r="BE200" s="1113">
        <f>SUM(BA200:BD200)</f>
        <v>1320001</v>
      </c>
      <c r="BF200" s="1149">
        <f>BF334</f>
        <v>256158</v>
      </c>
      <c r="BG200" s="1149">
        <f>BG334</f>
        <v>246174</v>
      </c>
      <c r="BH200" s="1149">
        <f>BH334</f>
        <v>241830</v>
      </c>
      <c r="BI200" s="1149">
        <f>BI334</f>
        <v>238917</v>
      </c>
      <c r="BJ200" s="1113">
        <f>SUM(BF200:BI200)</f>
        <v>983079</v>
      </c>
      <c r="BK200" s="903">
        <f>BK334</f>
        <v>248225</v>
      </c>
      <c r="BL200" s="903">
        <f>BL334</f>
        <v>239747</v>
      </c>
      <c r="BM200" s="903">
        <f>BM334</f>
        <v>233272</v>
      </c>
      <c r="BN200" s="903">
        <f>BN334</f>
        <v>223084</v>
      </c>
      <c r="BO200" s="844">
        <f>SUM(BK200:BN200)</f>
        <v>944328</v>
      </c>
      <c r="BP200" s="903">
        <f>BP334</f>
        <v>233356</v>
      </c>
      <c r="BQ200" s="903">
        <f>BQ334</f>
        <v>204640</v>
      </c>
      <c r="BR200" s="903">
        <f>BR334</f>
        <v>202489</v>
      </c>
      <c r="BS200" s="903">
        <f>BS334</f>
        <v>203830</v>
      </c>
      <c r="BT200" s="844">
        <f>SUM(BP200:BS200)</f>
        <v>844315</v>
      </c>
      <c r="BU200" s="903">
        <f>BU334</f>
        <v>209574</v>
      </c>
      <c r="BV200" s="903">
        <f>BV334</f>
        <v>202820</v>
      </c>
      <c r="BW200" s="903">
        <f>BW334</f>
        <v>198046</v>
      </c>
      <c r="BX200" s="903">
        <f>BX334</f>
        <v>201228</v>
      </c>
      <c r="BY200" s="844">
        <f>SUM(BU200:BX200)</f>
        <v>811668</v>
      </c>
      <c r="BZ200" s="903">
        <f>BZ334</f>
        <v>207482</v>
      </c>
      <c r="CA200" s="903">
        <f>CA334</f>
        <v>195522</v>
      </c>
      <c r="CB200" s="903">
        <f>CB334</f>
        <v>192799</v>
      </c>
      <c r="CC200" s="903">
        <f>CC334</f>
        <v>193108</v>
      </c>
      <c r="CD200" s="844">
        <f>SUM(BZ200:CC200)</f>
        <v>788911</v>
      </c>
      <c r="CE200" s="903">
        <f>CE334</f>
        <v>200154</v>
      </c>
      <c r="CF200" s="903">
        <f>CF334</f>
        <v>195962</v>
      </c>
      <c r="CG200" s="903">
        <f>CG334</f>
        <v>197164</v>
      </c>
      <c r="CH200" s="903">
        <f>CH334</f>
        <v>193279</v>
      </c>
      <c r="CI200" s="844">
        <f>SUM(CE200:CH200)</f>
        <v>786559</v>
      </c>
      <c r="CJ200" s="903">
        <f>CJ334</f>
        <v>195909</v>
      </c>
      <c r="CK200" s="903">
        <f>CK334</f>
        <v>194828</v>
      </c>
      <c r="CL200" s="903">
        <f>CL334</f>
        <v>193670</v>
      </c>
      <c r="CM200" s="903">
        <f>CM334</f>
        <v>194098</v>
      </c>
      <c r="CN200" s="844">
        <f>SUM(CJ200:CM200)</f>
        <v>778505</v>
      </c>
      <c r="CO200" s="903">
        <f>CO334</f>
        <v>197459</v>
      </c>
      <c r="CP200" s="903">
        <f>CP334</f>
        <v>193971</v>
      </c>
      <c r="CQ200" s="903">
        <f>CQ334</f>
        <v>194965</v>
      </c>
      <c r="CR200" s="903">
        <f>CR334</f>
        <v>193631</v>
      </c>
      <c r="CS200" s="844">
        <f>SUM(CO200:CR200)</f>
        <v>780026</v>
      </c>
      <c r="CT200" s="903">
        <f>CT334</f>
        <v>202860</v>
      </c>
      <c r="CU200" s="903">
        <f>CU334</f>
        <v>196932</v>
      </c>
      <c r="CV200" s="903">
        <f>CV334</f>
        <v>197778</v>
      </c>
      <c r="CW200" s="903">
        <f>CW334</f>
        <v>199304</v>
      </c>
      <c r="CX200" s="844">
        <f>SUM(CT200:CW200)</f>
        <v>796874</v>
      </c>
      <c r="CY200" s="903">
        <f>CY334</f>
        <v>197665</v>
      </c>
      <c r="CZ200" s="903">
        <f>CZ334</f>
        <v>195440</v>
      </c>
      <c r="DA200" s="903">
        <f>DA334</f>
        <v>196761</v>
      </c>
      <c r="DB200" s="903">
        <f>DB334</f>
        <v>325410</v>
      </c>
      <c r="DC200" s="844">
        <f>SUM(CY200:DB200)</f>
        <v>915276</v>
      </c>
      <c r="DD200" s="903">
        <f>DD334</f>
        <v>323810</v>
      </c>
      <c r="DE200" s="903">
        <f>DE334</f>
        <v>337509</v>
      </c>
      <c r="DF200" s="903">
        <f>DF334</f>
        <v>345787</v>
      </c>
      <c r="DG200" s="903">
        <f>DG334</f>
        <v>347790</v>
      </c>
      <c r="DH200" s="844">
        <f>SUM(DD200:DG200)</f>
        <v>1354896</v>
      </c>
      <c r="DI200" s="903">
        <f>DI299</f>
        <v>52830</v>
      </c>
      <c r="DJ200" s="903">
        <f>DJ299</f>
        <v>54225</v>
      </c>
      <c r="DK200" s="903">
        <f>DK299</f>
        <v>53319</v>
      </c>
      <c r="DL200" s="903">
        <f>DL299</f>
        <v>50689</v>
      </c>
      <c r="DM200" s="844">
        <f>SUM(DI200:DL200)</f>
        <v>211063</v>
      </c>
      <c r="DN200" s="903">
        <f>DN299</f>
        <v>50563</v>
      </c>
      <c r="DO200" s="903">
        <f>DO299</f>
        <v>54376</v>
      </c>
      <c r="DP200" s="903">
        <f>DP299</f>
        <v>49608</v>
      </c>
      <c r="DQ200" s="903">
        <f>DQ299</f>
        <v>48264</v>
      </c>
      <c r="DR200" s="844">
        <f>SUM(DN200:DQ200)</f>
        <v>202811</v>
      </c>
      <c r="DS200" s="903">
        <f>DS299</f>
        <v>51723</v>
      </c>
      <c r="DT200" s="903">
        <f>DT299</f>
        <v>51913</v>
      </c>
      <c r="DU200" s="903">
        <f>DU299</f>
        <v>50074</v>
      </c>
      <c r="DV200" s="903">
        <f>DV299</f>
        <v>50070</v>
      </c>
      <c r="DW200" s="844">
        <f>SUM(DS200:DV200)</f>
        <v>203780</v>
      </c>
      <c r="DX200" s="901"/>
      <c r="DY200" s="901"/>
      <c r="DZ200" s="901"/>
      <c r="EA200" s="901"/>
      <c r="EB200" s="844"/>
      <c r="EC200" s="901"/>
      <c r="ED200" s="901"/>
      <c r="EE200" s="901"/>
      <c r="EF200" s="901"/>
      <c r="EG200" s="844"/>
      <c r="EH200" s="901"/>
      <c r="EI200" s="901"/>
      <c r="EJ200" s="901"/>
      <c r="EK200" s="901"/>
      <c r="EL200" s="844"/>
    </row>
    <row r="201" spans="1:142" ht="11.25" customHeight="1">
      <c r="A201" s="1122"/>
      <c r="B201" s="1122" t="s">
        <v>133</v>
      </c>
      <c r="C201" s="1012"/>
      <c r="D201" s="1012"/>
      <c r="E201" s="1012"/>
      <c r="F201" s="1012"/>
      <c r="G201" s="1012"/>
      <c r="H201" s="1011"/>
      <c r="I201" s="1010" t="str">
        <f t="shared" ref="I201:AT201" si="450">IF(ISERROR(+I200/D200-1),"nm",+I200/D200-1)</f>
        <v>nm</v>
      </c>
      <c r="J201" s="1010">
        <f t="shared" si="450"/>
        <v>1.5825477548995286</v>
      </c>
      <c r="K201" s="1010">
        <f t="shared" si="450"/>
        <v>1.7747386785339385</v>
      </c>
      <c r="L201" s="1010">
        <f t="shared" si="450"/>
        <v>-0.21117639528364773</v>
      </c>
      <c r="M201" s="1011">
        <f t="shared" si="450"/>
        <v>0.92274384939664977</v>
      </c>
      <c r="N201" s="1010">
        <f t="shared" si="450"/>
        <v>0.13345076490072572</v>
      </c>
      <c r="O201" s="1010">
        <f t="shared" si="450"/>
        <v>7.8276218150380661E-2</v>
      </c>
      <c r="P201" s="1010">
        <f t="shared" si="450"/>
        <v>0.60758225656054354</v>
      </c>
      <c r="Q201" s="1010">
        <f t="shared" si="450"/>
        <v>1.6049985170096197</v>
      </c>
      <c r="R201" s="1011">
        <f t="shared" si="450"/>
        <v>0.63046116768824523</v>
      </c>
      <c r="S201" s="1010">
        <f t="shared" si="450"/>
        <v>0.63197013463065255</v>
      </c>
      <c r="T201" s="1010">
        <f t="shared" si="450"/>
        <v>0.82391064687475635</v>
      </c>
      <c r="U201" s="1010">
        <f t="shared" si="450"/>
        <v>8.1600116671030731E-2</v>
      </c>
      <c r="V201" s="1010">
        <f t="shared" si="450"/>
        <v>-0.30282602391003122</v>
      </c>
      <c r="W201" s="1011">
        <f t="shared" si="450"/>
        <v>0.12795035917029307</v>
      </c>
      <c r="X201" s="1010">
        <f t="shared" si="450"/>
        <v>0.11374136140467095</v>
      </c>
      <c r="Y201" s="1010">
        <f t="shared" si="450"/>
        <v>-1.6921160761711684E-2</v>
      </c>
      <c r="Z201" s="1010">
        <f t="shared" si="450"/>
        <v>7.8226414400500044E-2</v>
      </c>
      <c r="AA201" s="1010">
        <f t="shared" si="450"/>
        <v>0.11958795923964116</v>
      </c>
      <c r="AB201" s="1011">
        <f t="shared" si="450"/>
        <v>7.235086701191551E-2</v>
      </c>
      <c r="AC201" s="1010">
        <f t="shared" si="450"/>
        <v>9.5762378446029972E-2</v>
      </c>
      <c r="AD201" s="1010">
        <f t="shared" si="450"/>
        <v>2.3699287344543185E-2</v>
      </c>
      <c r="AE201" s="1010">
        <f t="shared" si="450"/>
        <v>-4.6016899294867963E-2</v>
      </c>
      <c r="AF201" s="1010">
        <f t="shared" si="450"/>
        <v>-8.5544983913183437E-2</v>
      </c>
      <c r="AG201" s="1011">
        <f t="shared" si="450"/>
        <v>-6.4182690893690442E-3</v>
      </c>
      <c r="AH201" s="1010">
        <f t="shared" si="450"/>
        <v>-8.7393380471627924E-2</v>
      </c>
      <c r="AI201" s="1010">
        <f t="shared" si="450"/>
        <v>-1.3437802388470699E-3</v>
      </c>
      <c r="AJ201" s="1010">
        <f t="shared" si="450"/>
        <v>-3.926615781539522E-3</v>
      </c>
      <c r="AK201" s="1010">
        <f t="shared" si="450"/>
        <v>6.7766411143114214E-2</v>
      </c>
      <c r="AL201" s="1011">
        <f t="shared" si="450"/>
        <v>-7.5164934377763837E-3</v>
      </c>
      <c r="AM201" s="1010">
        <f t="shared" si="450"/>
        <v>8.4467424000693958E-2</v>
      </c>
      <c r="AN201" s="1010">
        <f t="shared" si="450"/>
        <v>5.942154885427553E-2</v>
      </c>
      <c r="AO201" s="1010">
        <f t="shared" si="450"/>
        <v>7.8351378835915586E-2</v>
      </c>
      <c r="AP201" s="1010">
        <f t="shared" si="450"/>
        <v>4.337678810513701E-2</v>
      </c>
      <c r="AQ201" s="1011">
        <f t="shared" si="450"/>
        <v>6.5924610293646158E-2</v>
      </c>
      <c r="AR201" s="1010">
        <f t="shared" si="450"/>
        <v>3.1131361318612161E-2</v>
      </c>
      <c r="AS201" s="1010">
        <f t="shared" si="450"/>
        <v>3.5580454546757734E-2</v>
      </c>
      <c r="AT201" s="1010">
        <f t="shared" si="450"/>
        <v>1.3843277786406816E-2</v>
      </c>
      <c r="AU201" s="802"/>
      <c r="AV201" s="1012"/>
      <c r="AW201" s="1012"/>
      <c r="AX201" s="1012"/>
      <c r="AY201" s="1012"/>
      <c r="AZ201" s="1011"/>
      <c r="BA201" s="1010" t="str">
        <f t="shared" ref="BA201:BO201" si="451">IF(ISERROR(+BA200/AV200-1),"nm",+BA200/AV200-1)</f>
        <v>nm</v>
      </c>
      <c r="BB201" s="1010" t="str">
        <f t="shared" si="451"/>
        <v>nm</v>
      </c>
      <c r="BC201" s="1010" t="str">
        <f t="shared" si="451"/>
        <v>nm</v>
      </c>
      <c r="BD201" s="1010" t="str">
        <f t="shared" si="451"/>
        <v>nm</v>
      </c>
      <c r="BE201" s="1011" t="str">
        <f t="shared" si="451"/>
        <v>nm</v>
      </c>
      <c r="BF201" s="1010">
        <f t="shared" si="451"/>
        <v>-0.23818049339023628</v>
      </c>
      <c r="BG201" s="1010">
        <f t="shared" si="451"/>
        <v>-0.25561747639163135</v>
      </c>
      <c r="BH201" s="1010">
        <f t="shared" si="451"/>
        <v>-0.27422622245297912</v>
      </c>
      <c r="BI201" s="1010">
        <f t="shared" si="451"/>
        <v>-0.25302022235839972</v>
      </c>
      <c r="BJ201" s="1011">
        <f t="shared" si="451"/>
        <v>-0.25524374602746513</v>
      </c>
      <c r="BK201" s="850">
        <f t="shared" si="451"/>
        <v>-3.0969167466953995E-2</v>
      </c>
      <c r="BL201" s="850">
        <f t="shared" si="451"/>
        <v>-2.6107549944348274E-2</v>
      </c>
      <c r="BM201" s="850">
        <f t="shared" si="451"/>
        <v>-3.5388496050944851E-2</v>
      </c>
      <c r="BN201" s="850">
        <f t="shared" si="451"/>
        <v>-6.6269876149457785E-2</v>
      </c>
      <c r="BO201" s="851">
        <f t="shared" si="451"/>
        <v>-3.9417991839923339E-2</v>
      </c>
      <c r="BP201" s="850">
        <f t="shared" ref="BP201:BY201" si="452">IF(ISERROR(+BP200/BK200-1),"NM",+BP200/BK200-1)</f>
        <v>-5.9901299224493942E-2</v>
      </c>
      <c r="BQ201" s="850">
        <f t="shared" si="452"/>
        <v>-0.14643353201499909</v>
      </c>
      <c r="BR201" s="850">
        <f t="shared" si="452"/>
        <v>-0.13196182996673411</v>
      </c>
      <c r="BS201" s="850">
        <f t="shared" si="452"/>
        <v>-8.6308296426458209E-2</v>
      </c>
      <c r="BT201" s="851">
        <f t="shared" si="452"/>
        <v>-0.10590917562541824</v>
      </c>
      <c r="BU201" s="850">
        <f t="shared" si="452"/>
        <v>-0.10191295702703163</v>
      </c>
      <c r="BV201" s="850">
        <f t="shared" si="452"/>
        <v>-8.8936669272869917E-3</v>
      </c>
      <c r="BW201" s="850">
        <f t="shared" si="452"/>
        <v>-2.1941932648193219E-2</v>
      </c>
      <c r="BX201" s="850">
        <f t="shared" si="452"/>
        <v>-1.2765539910709944E-2</v>
      </c>
      <c r="BY201" s="851">
        <f t="shared" si="452"/>
        <v>-3.8666848273452459E-2</v>
      </c>
      <c r="BZ201" s="850">
        <f t="shared" ref="BZ201:CW201" si="453">+BZ200/BU200-1</f>
        <v>-9.9821542748623759E-3</v>
      </c>
      <c r="CA201" s="850">
        <f t="shared" si="453"/>
        <v>-3.5982644709594669E-2</v>
      </c>
      <c r="CB201" s="850">
        <f t="shared" si="453"/>
        <v>-2.6493844864324489E-2</v>
      </c>
      <c r="CC201" s="850">
        <f t="shared" si="453"/>
        <v>-4.0352237263203916E-2</v>
      </c>
      <c r="CD201" s="851">
        <f t="shared" si="453"/>
        <v>-2.8037325606036001E-2</v>
      </c>
      <c r="CE201" s="850">
        <f t="shared" si="453"/>
        <v>-3.5318726443739679E-2</v>
      </c>
      <c r="CF201" s="850">
        <f t="shared" si="453"/>
        <v>2.2503861458045282E-3</v>
      </c>
      <c r="CG201" s="850">
        <f t="shared" si="453"/>
        <v>2.2640158921986009E-2</v>
      </c>
      <c r="CH201" s="850">
        <f t="shared" si="453"/>
        <v>8.855148414359526E-4</v>
      </c>
      <c r="CI201" s="851">
        <f t="shared" si="453"/>
        <v>-2.9813248896263245E-3</v>
      </c>
      <c r="CJ201" s="850">
        <f t="shared" si="453"/>
        <v>-2.1208669324620066E-2</v>
      </c>
      <c r="CK201" s="850">
        <f t="shared" si="453"/>
        <v>-5.7868362233494119E-3</v>
      </c>
      <c r="CL201" s="850">
        <f t="shared" si="453"/>
        <v>-1.772128786188143E-2</v>
      </c>
      <c r="CM201" s="850">
        <f t="shared" si="453"/>
        <v>4.2373977514369443E-3</v>
      </c>
      <c r="CN201" s="851">
        <f t="shared" si="453"/>
        <v>-1.0239537021380474E-2</v>
      </c>
      <c r="CO201" s="850">
        <f t="shared" si="453"/>
        <v>7.9118366180215283E-3</v>
      </c>
      <c r="CP201" s="850">
        <f t="shared" si="453"/>
        <v>-4.3987517194653547E-3</v>
      </c>
      <c r="CQ201" s="850">
        <f t="shared" si="453"/>
        <v>6.6866318996230412E-3</v>
      </c>
      <c r="CR201" s="850">
        <f t="shared" si="453"/>
        <v>-2.4060010922317687E-3</v>
      </c>
      <c r="CS201" s="851">
        <f t="shared" si="453"/>
        <v>1.9537446772981415E-3</v>
      </c>
      <c r="CT201" s="850">
        <f t="shared" si="453"/>
        <v>2.7352513686385471E-2</v>
      </c>
      <c r="CU201" s="850">
        <f t="shared" si="453"/>
        <v>1.5265168504570381E-2</v>
      </c>
      <c r="CV201" s="850">
        <f t="shared" si="453"/>
        <v>1.4428230708075862E-2</v>
      </c>
      <c r="CW201" s="850">
        <f t="shared" si="453"/>
        <v>2.9297994639288172E-2</v>
      </c>
      <c r="CX201" s="851">
        <f>CX200/CS200-1</f>
        <v>2.1599280023999246E-2</v>
      </c>
      <c r="CY201" s="850">
        <f>+CY200/CT200-1</f>
        <v>-2.5608794242334643E-2</v>
      </c>
      <c r="CZ201" s="850">
        <f>+CZ200/CU200-1</f>
        <v>-7.5762192025673469E-3</v>
      </c>
      <c r="DA201" s="850">
        <f>+DA200/CV200-1</f>
        <v>-5.1421290537875253E-3</v>
      </c>
      <c r="DB201" s="850">
        <f>+DB200/CW200-1</f>
        <v>0.63273190703648696</v>
      </c>
      <c r="DC201" s="851">
        <f>DC200/CX200-1</f>
        <v>0.14858308841799328</v>
      </c>
      <c r="DD201" s="850">
        <f>+DD200/CY200-1</f>
        <v>0.6381757013128273</v>
      </c>
      <c r="DE201" s="850">
        <f>+DE200/CZ200-1</f>
        <v>0.72691874744167007</v>
      </c>
      <c r="DF201" s="850">
        <f>+DF200/DA200-1</f>
        <v>0.75739602868454625</v>
      </c>
      <c r="DG201" s="850">
        <f>+DG200/DB200-1</f>
        <v>6.8774776435880813E-2</v>
      </c>
      <c r="DH201" s="851">
        <f>DH200/DC200-1</f>
        <v>0.48031413475279594</v>
      </c>
      <c r="DI201" s="850">
        <v>0.57565092904649706</v>
      </c>
      <c r="DJ201" s="850">
        <v>0.57772993104250925</v>
      </c>
      <c r="DK201" s="850">
        <v>0.49898791116109087</v>
      </c>
      <c r="DL201" s="850">
        <v>-7.0233684287758225E-2</v>
      </c>
      <c r="DM201" s="851">
        <v>0.33596014836757693</v>
      </c>
      <c r="DN201" s="850">
        <f>+DN200/DI200-1</f>
        <v>-4.2911224682945281E-2</v>
      </c>
      <c r="DO201" s="850">
        <f>+DO200/DJ200-1</f>
        <v>2.7846934071000806E-3</v>
      </c>
      <c r="DP201" s="850">
        <f>+DP200/DK200-1</f>
        <v>-6.9599954987902946E-2</v>
      </c>
      <c r="DQ201" s="850">
        <f>+DQ200/DL200-1</f>
        <v>-4.7840754404308572E-2</v>
      </c>
      <c r="DR201" s="851">
        <f>DR200/DM200-1</f>
        <v>-3.909733112862035E-2</v>
      </c>
      <c r="DS201" s="850">
        <f>+DS200/DN200-1</f>
        <v>2.2941676720131365E-2</v>
      </c>
      <c r="DT201" s="850">
        <f>+DT200/DO200-1</f>
        <v>-4.5295718699426168E-2</v>
      </c>
      <c r="DU201" s="850">
        <f>+DU200/DP200-1</f>
        <v>9.3936461860990583E-3</v>
      </c>
      <c r="DV201" s="850">
        <f>+DV200/DQ200-1</f>
        <v>3.7419194430631464E-2</v>
      </c>
      <c r="DW201" s="851">
        <f>DW200/DR200-1</f>
        <v>4.7778473554196399E-3</v>
      </c>
      <c r="DX201" s="1165"/>
      <c r="DY201" s="1165"/>
      <c r="DZ201" s="1165"/>
      <c r="EA201" s="1165"/>
      <c r="EB201" s="851"/>
      <c r="EC201" s="1165"/>
      <c r="ED201" s="1165"/>
      <c r="EE201" s="1165"/>
      <c r="EF201" s="1165"/>
      <c r="EG201" s="851"/>
      <c r="EH201" s="1165"/>
      <c r="EI201" s="1165"/>
      <c r="EJ201" s="1165"/>
      <c r="EK201" s="1165"/>
      <c r="EL201" s="851"/>
    </row>
    <row r="202" spans="1:142" ht="11.25" customHeight="1">
      <c r="A202" s="846"/>
      <c r="B202" s="846" t="s">
        <v>164</v>
      </c>
      <c r="C202" s="1149"/>
      <c r="D202" s="1149" t="str">
        <f>D355</f>
        <v>ND</v>
      </c>
      <c r="E202" s="1149" t="str">
        <f>E355</f>
        <v>ND</v>
      </c>
      <c r="F202" s="1149" t="str">
        <f>F355</f>
        <v>ND</v>
      </c>
      <c r="G202" s="1149" t="str">
        <f>G355</f>
        <v>ND</v>
      </c>
      <c r="H202" s="1113">
        <f>SUM(D202:G202)</f>
        <v>0</v>
      </c>
      <c r="I202" s="1149" t="str">
        <f>I355</f>
        <v>ND</v>
      </c>
      <c r="J202" s="1149" t="str">
        <f>J355</f>
        <v>ND</v>
      </c>
      <c r="K202" s="1149" t="str">
        <f>K355</f>
        <v>ND</v>
      </c>
      <c r="L202" s="1149" t="str">
        <f>L355</f>
        <v>ND</v>
      </c>
      <c r="M202" s="1113">
        <f>SUM(I202:L202)</f>
        <v>0</v>
      </c>
      <c r="N202" s="1149">
        <f>N355</f>
        <v>7022</v>
      </c>
      <c r="O202" s="1149">
        <f>O355</f>
        <v>7101</v>
      </c>
      <c r="P202" s="1149">
        <f>P355</f>
        <v>6469</v>
      </c>
      <c r="Q202" s="1149" t="str">
        <f>Q355</f>
        <v>ND</v>
      </c>
      <c r="R202" s="1113">
        <f>SUM(N202:Q202)</f>
        <v>20592</v>
      </c>
      <c r="S202" s="1149">
        <f>S355</f>
        <v>6522</v>
      </c>
      <c r="T202" s="1149">
        <f>T355</f>
        <v>6518</v>
      </c>
      <c r="U202" s="1149">
        <f>U355</f>
        <v>6772</v>
      </c>
      <c r="V202" s="1149" t="str">
        <f>V355</f>
        <v>ND</v>
      </c>
      <c r="W202" s="1113">
        <f>SUM(S202:V202)</f>
        <v>19812</v>
      </c>
      <c r="X202" s="1149">
        <f>X355</f>
        <v>6725</v>
      </c>
      <c r="Y202" s="1149">
        <f>Y355</f>
        <v>6944</v>
      </c>
      <c r="Z202" s="1149">
        <f>Z355</f>
        <v>6938</v>
      </c>
      <c r="AA202" s="1149" t="str">
        <f>AA355</f>
        <v>ND</v>
      </c>
      <c r="AB202" s="1113">
        <f>SUM(X202:AA202)</f>
        <v>20607</v>
      </c>
      <c r="AC202" s="1149">
        <f>AC355</f>
        <v>7114</v>
      </c>
      <c r="AD202" s="1149">
        <f>AD355</f>
        <v>7468</v>
      </c>
      <c r="AE202" s="1149">
        <f>AE355</f>
        <v>7636</v>
      </c>
      <c r="AF202" s="1149" t="str">
        <f>AF355</f>
        <v>ND</v>
      </c>
      <c r="AG202" s="1113">
        <f>SUM(AC202:AF202)</f>
        <v>22218</v>
      </c>
      <c r="AH202" s="1149">
        <f>AH355</f>
        <v>7771</v>
      </c>
      <c r="AI202" s="1149">
        <f>AI355</f>
        <v>8034</v>
      </c>
      <c r="AJ202" s="1149">
        <f>AJ355</f>
        <v>8311</v>
      </c>
      <c r="AK202" s="1149" t="str">
        <f>AK355</f>
        <v>ND</v>
      </c>
      <c r="AL202" s="1113">
        <f>SUM(AH202:AK202)</f>
        <v>24116</v>
      </c>
      <c r="AM202" s="1149">
        <f>AM355</f>
        <v>8758</v>
      </c>
      <c r="AN202" s="1149">
        <f>AN355</f>
        <v>9100</v>
      </c>
      <c r="AO202" s="1149">
        <f>AO355</f>
        <v>9091</v>
      </c>
      <c r="AP202" s="1149" t="str">
        <f>AP355</f>
        <v>ND</v>
      </c>
      <c r="AQ202" s="1113">
        <f>SUM(AM202:AP202)</f>
        <v>26949</v>
      </c>
      <c r="AR202" s="1149">
        <f>AR355</f>
        <v>9615</v>
      </c>
      <c r="AS202" s="1149">
        <f>AS355</f>
        <v>9716</v>
      </c>
      <c r="AT202" s="1149">
        <f>AT355</f>
        <v>9136</v>
      </c>
      <c r="AU202" s="802"/>
      <c r="AV202" s="1149" t="str">
        <f>AV355</f>
        <v>ND</v>
      </c>
      <c r="AW202" s="1149" t="str">
        <f>AW355</f>
        <v>ND</v>
      </c>
      <c r="AX202" s="1149" t="str">
        <f>AX355</f>
        <v>ND</v>
      </c>
      <c r="AY202" s="1149" t="str">
        <f>AY355</f>
        <v>ND</v>
      </c>
      <c r="AZ202" s="1113">
        <f>SUM(AV202:AY202)</f>
        <v>0</v>
      </c>
      <c r="BA202" s="1149">
        <f>BA355</f>
        <v>9316</v>
      </c>
      <c r="BB202" s="1149">
        <f>BB355</f>
        <v>9239</v>
      </c>
      <c r="BC202" s="1149">
        <f>BC355</f>
        <v>9011</v>
      </c>
      <c r="BD202" s="1149" t="str">
        <f>BD355</f>
        <v>ND</v>
      </c>
      <c r="BE202" s="1113">
        <f>SUM(BA202:BD202)</f>
        <v>27566</v>
      </c>
      <c r="BF202" s="1149">
        <f>BF355</f>
        <v>9528</v>
      </c>
      <c r="BG202" s="1149">
        <f>BG355</f>
        <v>9709</v>
      </c>
      <c r="BH202" s="1149">
        <f>BH355</f>
        <v>9355</v>
      </c>
      <c r="BI202" s="1149">
        <f>BI355</f>
        <v>9478</v>
      </c>
      <c r="BJ202" s="1113">
        <f>SUM(BF202:BI202)</f>
        <v>38070</v>
      </c>
      <c r="BK202" s="903">
        <f>BK355</f>
        <v>9532</v>
      </c>
      <c r="BL202" s="903">
        <f>BL355</f>
        <v>9482</v>
      </c>
      <c r="BM202" s="903">
        <f>BM355</f>
        <v>9792</v>
      </c>
      <c r="BN202" s="903">
        <f>BN355</f>
        <v>10070</v>
      </c>
      <c r="BO202" s="844">
        <f>SUM(BK202:BN202)</f>
        <v>38876</v>
      </c>
      <c r="BP202" s="903">
        <f>BP355</f>
        <v>10077</v>
      </c>
      <c r="BQ202" s="903">
        <f>BQ355</f>
        <v>10351</v>
      </c>
      <c r="BR202" s="903">
        <f>BR355</f>
        <v>10042</v>
      </c>
      <c r="BS202" s="903">
        <f>BS355</f>
        <v>10440</v>
      </c>
      <c r="BT202" s="844">
        <f>SUM(BP202:BS202)</f>
        <v>40910</v>
      </c>
      <c r="BU202" s="903">
        <f>BU355</f>
        <v>10380</v>
      </c>
      <c r="BV202" s="903">
        <f>BV355</f>
        <v>10663</v>
      </c>
      <c r="BW202" s="903">
        <f>BW355</f>
        <v>10882</v>
      </c>
      <c r="BX202" s="903">
        <f>BX355</f>
        <v>10879</v>
      </c>
      <c r="BY202" s="844">
        <f>SUM(BU202:BX202)</f>
        <v>42804</v>
      </c>
      <c r="BZ202" s="903">
        <f>BZ355</f>
        <v>11050</v>
      </c>
      <c r="CA202" s="903">
        <f>CA355</f>
        <v>10740</v>
      </c>
      <c r="CB202" s="903">
        <f>CB355</f>
        <v>10832</v>
      </c>
      <c r="CC202" s="903">
        <f>CC355</f>
        <v>11026</v>
      </c>
      <c r="CD202" s="844">
        <f>SUM(BZ202:CC202)</f>
        <v>43648</v>
      </c>
      <c r="CE202" s="903">
        <f>CE355</f>
        <v>11143</v>
      </c>
      <c r="CF202" s="903">
        <f>CF355</f>
        <v>11058</v>
      </c>
      <c r="CG202" s="903">
        <f>CG355</f>
        <v>11255</v>
      </c>
      <c r="CH202" s="903">
        <f>CH355</f>
        <v>11425</v>
      </c>
      <c r="CI202" s="844">
        <f>SUM(CE202:CH202)</f>
        <v>44881</v>
      </c>
      <c r="CJ202" s="903">
        <f>CJ355</f>
        <v>11644</v>
      </c>
      <c r="CK202" s="903">
        <f>CK355</f>
        <v>11569</v>
      </c>
      <c r="CL202" s="903">
        <f>CL355</f>
        <v>11381</v>
      </c>
      <c r="CM202" s="903">
        <f>CM355</f>
        <v>11632</v>
      </c>
      <c r="CN202" s="844">
        <f>SUM(CJ202:CM202)</f>
        <v>46226</v>
      </c>
      <c r="CO202" s="903">
        <f>CO355</f>
        <v>12318</v>
      </c>
      <c r="CP202" s="903">
        <f>CP355</f>
        <v>11673</v>
      </c>
      <c r="CQ202" s="903">
        <f>CQ355</f>
        <v>11510</v>
      </c>
      <c r="CR202" s="903">
        <f>CR355</f>
        <v>11959</v>
      </c>
      <c r="CS202" s="844">
        <f>SUM(CO202:CR202)</f>
        <v>47460</v>
      </c>
      <c r="CT202" s="903">
        <f>CT355</f>
        <v>12249</v>
      </c>
      <c r="CU202" s="903">
        <f>CU355</f>
        <v>12371</v>
      </c>
      <c r="CV202" s="903">
        <f>CV355</f>
        <v>12021</v>
      </c>
      <c r="CW202" s="903">
        <f>CW355</f>
        <v>12323</v>
      </c>
      <c r="CX202" s="844">
        <f>SUM(CT202:CW202)</f>
        <v>48964</v>
      </c>
      <c r="CY202" s="903">
        <f>CY355</f>
        <v>12197</v>
      </c>
      <c r="CZ202" s="903">
        <f>CZ355</f>
        <v>12773</v>
      </c>
      <c r="DA202" s="903">
        <f>DA355</f>
        <v>12355</v>
      </c>
      <c r="DB202" s="903">
        <f>DB355</f>
        <v>12451</v>
      </c>
      <c r="DC202" s="844">
        <f>SUM(CY202:DB202)</f>
        <v>49776</v>
      </c>
      <c r="DD202" s="903">
        <f>DD355</f>
        <v>12530</v>
      </c>
      <c r="DE202" s="903">
        <f>DE355</f>
        <v>12294</v>
      </c>
      <c r="DF202" s="903">
        <f>DF355</f>
        <v>12320</v>
      </c>
      <c r="DG202" s="903">
        <f>DG355</f>
        <v>13438</v>
      </c>
      <c r="DH202" s="844">
        <f>SUM(DD202:DG202)</f>
        <v>50582</v>
      </c>
      <c r="DI202" s="903">
        <f>DI300</f>
        <v>121041</v>
      </c>
      <c r="DJ202" s="903">
        <f>DJ300</f>
        <v>71122</v>
      </c>
      <c r="DK202" s="903">
        <f>DK300</f>
        <v>70446</v>
      </c>
      <c r="DL202" s="903">
        <f>DL300</f>
        <v>14281</v>
      </c>
      <c r="DM202" s="844">
        <f>SUM(DI202:DL202)</f>
        <v>276890</v>
      </c>
      <c r="DN202" s="903">
        <f>DN300</f>
        <v>66467</v>
      </c>
      <c r="DO202" s="903">
        <f>DO300</f>
        <v>75825</v>
      </c>
      <c r="DP202" s="903">
        <f>DP300</f>
        <v>62571</v>
      </c>
      <c r="DQ202" s="903">
        <f>DQ300</f>
        <v>64053</v>
      </c>
      <c r="DR202" s="844">
        <f>SUM(DN202:DQ202)</f>
        <v>268916</v>
      </c>
      <c r="DS202" s="903">
        <f>DS300</f>
        <v>69553</v>
      </c>
      <c r="DT202" s="903">
        <f>DT300</f>
        <v>71253</v>
      </c>
      <c r="DU202" s="903">
        <f>DU300</f>
        <v>66482</v>
      </c>
      <c r="DV202" s="903">
        <f>DV300</f>
        <v>68432</v>
      </c>
      <c r="DW202" s="844">
        <f>SUM(DS202:DV202)</f>
        <v>275720</v>
      </c>
      <c r="DX202" s="901"/>
      <c r="DY202" s="901"/>
      <c r="DZ202" s="901"/>
      <c r="EA202" s="901"/>
      <c r="EB202" s="844"/>
      <c r="EC202" s="901"/>
      <c r="ED202" s="901"/>
      <c r="EE202" s="901"/>
      <c r="EF202" s="901"/>
      <c r="EG202" s="844"/>
      <c r="EH202" s="901"/>
      <c r="EI202" s="901"/>
      <c r="EJ202" s="901"/>
      <c r="EK202" s="901"/>
      <c r="EL202" s="844"/>
    </row>
    <row r="203" spans="1:142" ht="11.25" customHeight="1">
      <c r="A203" s="1122"/>
      <c r="B203" s="1122" t="s">
        <v>133</v>
      </c>
      <c r="C203" s="1012"/>
      <c r="D203" s="1012"/>
      <c r="E203" s="1012"/>
      <c r="F203" s="1012"/>
      <c r="G203" s="1012"/>
      <c r="H203" s="1011"/>
      <c r="I203" s="1010" t="str">
        <f t="shared" ref="I203:AT203" si="454">IF(ISERROR(+I202/D202-1),"nm",+I202/D202-1)</f>
        <v>nm</v>
      </c>
      <c r="J203" s="1010" t="str">
        <f t="shared" si="454"/>
        <v>nm</v>
      </c>
      <c r="K203" s="1010" t="str">
        <f t="shared" si="454"/>
        <v>nm</v>
      </c>
      <c r="L203" s="1010" t="str">
        <f t="shared" si="454"/>
        <v>nm</v>
      </c>
      <c r="M203" s="1011" t="str">
        <f t="shared" si="454"/>
        <v>nm</v>
      </c>
      <c r="N203" s="1010" t="str">
        <f t="shared" si="454"/>
        <v>nm</v>
      </c>
      <c r="O203" s="1010" t="str">
        <f t="shared" si="454"/>
        <v>nm</v>
      </c>
      <c r="P203" s="1010" t="str">
        <f t="shared" si="454"/>
        <v>nm</v>
      </c>
      <c r="Q203" s="1010" t="str">
        <f t="shared" si="454"/>
        <v>nm</v>
      </c>
      <c r="R203" s="1011" t="str">
        <f t="shared" si="454"/>
        <v>nm</v>
      </c>
      <c r="S203" s="1010">
        <f t="shared" si="454"/>
        <v>-7.1204784961549361E-2</v>
      </c>
      <c r="T203" s="1010">
        <f t="shared" si="454"/>
        <v>-8.2101112519363473E-2</v>
      </c>
      <c r="U203" s="1010">
        <f t="shared" si="454"/>
        <v>4.6838769516154066E-2</v>
      </c>
      <c r="V203" s="1010" t="str">
        <f t="shared" si="454"/>
        <v>nm</v>
      </c>
      <c r="W203" s="1011">
        <f t="shared" si="454"/>
        <v>-3.7878787878787845E-2</v>
      </c>
      <c r="X203" s="1010">
        <f t="shared" si="454"/>
        <v>3.11254216498007E-2</v>
      </c>
      <c r="Y203" s="1010">
        <f t="shared" si="454"/>
        <v>6.5357471617060403E-2</v>
      </c>
      <c r="Z203" s="1010">
        <f t="shared" si="454"/>
        <v>2.4512699350265788E-2</v>
      </c>
      <c r="AA203" s="1010" t="str">
        <f t="shared" si="454"/>
        <v>nm</v>
      </c>
      <c r="AB203" s="1011">
        <f t="shared" si="454"/>
        <v>4.0127195639006574E-2</v>
      </c>
      <c r="AC203" s="1010">
        <f t="shared" si="454"/>
        <v>5.7843866171003677E-2</v>
      </c>
      <c r="AD203" s="1010">
        <f t="shared" si="454"/>
        <v>7.5460829493087633E-2</v>
      </c>
      <c r="AE203" s="1010">
        <f t="shared" si="454"/>
        <v>0.10060536177572788</v>
      </c>
      <c r="AF203" s="1010" t="str">
        <f t="shared" si="454"/>
        <v>nm</v>
      </c>
      <c r="AG203" s="1011">
        <f t="shared" si="454"/>
        <v>7.8177318386955852E-2</v>
      </c>
      <c r="AH203" s="1010">
        <f t="shared" si="454"/>
        <v>9.2353106550463915E-2</v>
      </c>
      <c r="AI203" s="1010">
        <f t="shared" si="454"/>
        <v>7.5790037493304707E-2</v>
      </c>
      <c r="AJ203" s="1010">
        <f t="shared" si="454"/>
        <v>8.8397066526977541E-2</v>
      </c>
      <c r="AK203" s="1010" t="str">
        <f t="shared" si="454"/>
        <v>nm</v>
      </c>
      <c r="AL203" s="1011">
        <f t="shared" si="454"/>
        <v>8.5426230983886908E-2</v>
      </c>
      <c r="AM203" s="1010">
        <f t="shared" si="454"/>
        <v>0.12701068073607003</v>
      </c>
      <c r="AN203" s="1010">
        <f t="shared" si="454"/>
        <v>0.13268608414239491</v>
      </c>
      <c r="AO203" s="1010">
        <f t="shared" si="454"/>
        <v>9.3851522079172245E-2</v>
      </c>
      <c r="AP203" s="1010" t="str">
        <f t="shared" si="454"/>
        <v>nm</v>
      </c>
      <c r="AQ203" s="1011">
        <f t="shared" si="454"/>
        <v>0.1174738762647205</v>
      </c>
      <c r="AR203" s="1010">
        <f t="shared" si="454"/>
        <v>9.7853391185202199E-2</v>
      </c>
      <c r="AS203" s="1010">
        <f t="shared" si="454"/>
        <v>6.7692307692307718E-2</v>
      </c>
      <c r="AT203" s="1010">
        <f t="shared" si="454"/>
        <v>4.9499505004950706E-3</v>
      </c>
      <c r="AU203" s="802"/>
      <c r="AV203" s="1012"/>
      <c r="AW203" s="1012"/>
      <c r="AX203" s="1012"/>
      <c r="AY203" s="1012"/>
      <c r="AZ203" s="1011"/>
      <c r="BA203" s="1010" t="str">
        <f t="shared" ref="BA203:BO203" si="455">IF(ISERROR(+BA202/AV202-1),"nm",+BA202/AV202-1)</f>
        <v>nm</v>
      </c>
      <c r="BB203" s="1010" t="str">
        <f t="shared" si="455"/>
        <v>nm</v>
      </c>
      <c r="BC203" s="1010" t="str">
        <f t="shared" si="455"/>
        <v>nm</v>
      </c>
      <c r="BD203" s="1010" t="str">
        <f t="shared" si="455"/>
        <v>nm</v>
      </c>
      <c r="BE203" s="1011" t="str">
        <f t="shared" si="455"/>
        <v>nm</v>
      </c>
      <c r="BF203" s="1010">
        <f t="shared" si="455"/>
        <v>2.2756547874624333E-2</v>
      </c>
      <c r="BG203" s="1010">
        <f t="shared" si="455"/>
        <v>5.0871306418443618E-2</v>
      </c>
      <c r="BH203" s="1010">
        <f t="shared" si="455"/>
        <v>3.8175563200532725E-2</v>
      </c>
      <c r="BI203" s="1010" t="str">
        <f t="shared" si="455"/>
        <v>nm</v>
      </c>
      <c r="BJ203" s="1011">
        <f t="shared" si="455"/>
        <v>0.38104911847928613</v>
      </c>
      <c r="BK203" s="850">
        <f t="shared" si="455"/>
        <v>4.1981528127621459E-4</v>
      </c>
      <c r="BL203" s="850">
        <f t="shared" si="455"/>
        <v>-2.3380368730044343E-2</v>
      </c>
      <c r="BM203" s="850">
        <f t="shared" si="455"/>
        <v>4.6712987707108411E-2</v>
      </c>
      <c r="BN203" s="850">
        <f t="shared" si="455"/>
        <v>6.2460434690863043E-2</v>
      </c>
      <c r="BO203" s="851">
        <f t="shared" si="455"/>
        <v>2.1171526136065211E-2</v>
      </c>
      <c r="BP203" s="850">
        <f t="shared" ref="BP203:BY203" si="456">IF(ISERROR(+BP202/BK202-1),"NM",+BP202/BK202-1)</f>
        <v>5.7175828787243033E-2</v>
      </c>
      <c r="BQ203" s="850">
        <f t="shared" si="456"/>
        <v>9.164733178654294E-2</v>
      </c>
      <c r="BR203" s="850">
        <f t="shared" si="456"/>
        <v>2.5531045751634007E-2</v>
      </c>
      <c r="BS203" s="850">
        <f t="shared" si="456"/>
        <v>3.6742800397219444E-2</v>
      </c>
      <c r="BT203" s="851">
        <f t="shared" si="456"/>
        <v>5.2320197551188441E-2</v>
      </c>
      <c r="BU203" s="850">
        <f t="shared" si="456"/>
        <v>3.0068472759749998E-2</v>
      </c>
      <c r="BV203" s="850">
        <f t="shared" si="456"/>
        <v>3.0142015264225774E-2</v>
      </c>
      <c r="BW203" s="850">
        <f t="shared" si="456"/>
        <v>8.3648675562636887E-2</v>
      </c>
      <c r="BX203" s="850">
        <f t="shared" si="456"/>
        <v>4.2049808429118762E-2</v>
      </c>
      <c r="BY203" s="851">
        <f t="shared" si="456"/>
        <v>4.6296748961134115E-2</v>
      </c>
      <c r="BZ203" s="850">
        <f t="shared" ref="BZ203:CW203" si="457">+BZ202/BU202-1</f>
        <v>6.4547206165703308E-2</v>
      </c>
      <c r="CA203" s="850">
        <f t="shared" si="457"/>
        <v>7.22123229860272E-3</v>
      </c>
      <c r="CB203" s="850">
        <f t="shared" si="457"/>
        <v>-4.5947436133063624E-3</v>
      </c>
      <c r="CC203" s="850">
        <f t="shared" si="457"/>
        <v>1.351227134846944E-2</v>
      </c>
      <c r="CD203" s="851">
        <f t="shared" si="457"/>
        <v>1.9717783384730403E-2</v>
      </c>
      <c r="CE203" s="850">
        <f t="shared" si="457"/>
        <v>8.4162895927601955E-3</v>
      </c>
      <c r="CF203" s="850">
        <f t="shared" si="457"/>
        <v>2.960893854748603E-2</v>
      </c>
      <c r="CG203" s="850">
        <f t="shared" si="457"/>
        <v>3.9050960118168332E-2</v>
      </c>
      <c r="CH203" s="850">
        <f t="shared" si="457"/>
        <v>3.6187193905314663E-2</v>
      </c>
      <c r="CI203" s="851">
        <f t="shared" si="457"/>
        <v>2.8248717008797719E-2</v>
      </c>
      <c r="CJ203" s="850">
        <f t="shared" si="457"/>
        <v>4.4960962038948171E-2</v>
      </c>
      <c r="CK203" s="850">
        <f t="shared" si="457"/>
        <v>4.6210888044854403E-2</v>
      </c>
      <c r="CL203" s="850">
        <f t="shared" si="457"/>
        <v>1.1195024433584999E-2</v>
      </c>
      <c r="CM203" s="850">
        <f t="shared" si="457"/>
        <v>1.8118161925601672E-2</v>
      </c>
      <c r="CN203" s="851">
        <f t="shared" si="457"/>
        <v>2.9968137964840436E-2</v>
      </c>
      <c r="CO203" s="850">
        <f t="shared" si="457"/>
        <v>5.7883888698041952E-2</v>
      </c>
      <c r="CP203" s="850">
        <f t="shared" si="457"/>
        <v>8.9895410147808885E-3</v>
      </c>
      <c r="CQ203" s="850">
        <f t="shared" si="457"/>
        <v>1.1334680608031E-2</v>
      </c>
      <c r="CR203" s="850">
        <f t="shared" si="457"/>
        <v>2.8112104539202099E-2</v>
      </c>
      <c r="CS203" s="851">
        <f t="shared" si="457"/>
        <v>2.6694933587158687E-2</v>
      </c>
      <c r="CT203" s="850">
        <f t="shared" si="457"/>
        <v>-5.6015586945932228E-3</v>
      </c>
      <c r="CU203" s="850">
        <f t="shared" si="457"/>
        <v>5.9796110682772241E-2</v>
      </c>
      <c r="CV203" s="850">
        <f t="shared" si="457"/>
        <v>4.4396177237185031E-2</v>
      </c>
      <c r="CW203" s="850">
        <f t="shared" si="457"/>
        <v>3.0437327535747238E-2</v>
      </c>
      <c r="CX203" s="851">
        <f>CX202/CS202-1</f>
        <v>3.1689844079224594E-2</v>
      </c>
      <c r="CY203" s="850">
        <f>+CY202/CT202-1</f>
        <v>-4.245244509755941E-3</v>
      </c>
      <c r="CZ203" s="850">
        <f>+CZ202/CU202-1</f>
        <v>3.2495352032980263E-2</v>
      </c>
      <c r="DA203" s="850">
        <f>+DA202/CV202-1</f>
        <v>2.7784710090674736E-2</v>
      </c>
      <c r="DB203" s="850">
        <f>+DB202/CW202-1</f>
        <v>1.0387081067921855E-2</v>
      </c>
      <c r="DC203" s="851">
        <f>DC202/CX202-1</f>
        <v>1.6583612449963203E-2</v>
      </c>
      <c r="DD203" s="850">
        <f>+DD202/CY202-1</f>
        <v>2.7301795523489325E-2</v>
      </c>
      <c r="DE203" s="850">
        <f>+DE202/CZ202-1</f>
        <v>-3.7500978626790915E-2</v>
      </c>
      <c r="DF203" s="850">
        <f>+DF202/DA202-1</f>
        <v>-2.8328611898017497E-3</v>
      </c>
      <c r="DG203" s="850">
        <f>+DG202/DB202-1</f>
        <v>7.9270741305919268E-2</v>
      </c>
      <c r="DH203" s="851">
        <f>DH202/DC202-1</f>
        <v>1.6192542590806713E-2</v>
      </c>
      <c r="DI203" s="850">
        <f>+DI202/DD202-1</f>
        <v>8.6600957701516368</v>
      </c>
      <c r="DJ203" s="850">
        <f>+DJ202/DE202-1</f>
        <v>4.7850984219944692</v>
      </c>
      <c r="DK203" s="850">
        <f>+DK202/DF202-1</f>
        <v>4.7180194805194802</v>
      </c>
      <c r="DL203" s="850">
        <f>+DL202/DG202-1</f>
        <v>6.2732549486530731E-2</v>
      </c>
      <c r="DM203" s="851">
        <f>DM202/DH202-1</f>
        <v>4.474081689138429</v>
      </c>
      <c r="DN203" s="850">
        <f>+DN202/DI202-1</f>
        <v>-0.45087201857221937</v>
      </c>
      <c r="DO203" s="850">
        <f>+DO202/DJ202-1</f>
        <v>6.6125811985039862E-2</v>
      </c>
      <c r="DP203" s="850">
        <f>+DP202/DK202-1</f>
        <v>-0.11178775232092664</v>
      </c>
      <c r="DQ203" s="850">
        <f>+DQ202/DL202-1</f>
        <v>3.4851901127372029</v>
      </c>
      <c r="DR203" s="851">
        <f>DR202/DM202-1</f>
        <v>-2.8798439813644383E-2</v>
      </c>
      <c r="DS203" s="850">
        <f>+DS202/DN202-1</f>
        <v>4.6429055019784338E-2</v>
      </c>
      <c r="DT203" s="850">
        <f>+DT202/DO202-1</f>
        <v>-6.0296735905044474E-2</v>
      </c>
      <c r="DU203" s="850">
        <f>+DU202/DP202-1</f>
        <v>6.2504994326445074E-2</v>
      </c>
      <c r="DV203" s="850">
        <f>+DV202/DQ202-1</f>
        <v>6.8365260019046747E-2</v>
      </c>
      <c r="DW203" s="851">
        <f>DW202/DR202-1</f>
        <v>2.530158116289094E-2</v>
      </c>
      <c r="DX203" s="1165"/>
      <c r="DY203" s="1165"/>
      <c r="DZ203" s="1165"/>
      <c r="EA203" s="1165"/>
      <c r="EB203" s="851"/>
      <c r="EC203" s="1165"/>
      <c r="ED203" s="1165"/>
      <c r="EE203" s="1165"/>
      <c r="EF203" s="1165"/>
      <c r="EG203" s="851"/>
      <c r="EH203" s="1165"/>
      <c r="EI203" s="1165"/>
      <c r="EJ203" s="1165"/>
      <c r="EK203" s="1165"/>
      <c r="EL203" s="851"/>
    </row>
    <row r="204" spans="1:142" ht="11.25" customHeight="1">
      <c r="A204" s="973"/>
      <c r="B204" s="973" t="s">
        <v>165</v>
      </c>
      <c r="C204" s="892"/>
      <c r="D204" s="892"/>
      <c r="E204" s="892"/>
      <c r="F204" s="892"/>
      <c r="G204" s="892"/>
      <c r="H204" s="1001"/>
      <c r="I204" s="892"/>
      <c r="J204" s="892"/>
      <c r="K204" s="892"/>
      <c r="L204" s="892"/>
      <c r="M204" s="1001"/>
      <c r="N204" s="892"/>
      <c r="O204" s="892"/>
      <c r="P204" s="892"/>
      <c r="Q204" s="892"/>
      <c r="R204" s="1001"/>
      <c r="S204" s="892"/>
      <c r="T204" s="892"/>
      <c r="U204" s="892"/>
      <c r="V204" s="892"/>
      <c r="W204" s="1001"/>
      <c r="X204" s="892"/>
      <c r="Y204" s="892"/>
      <c r="Z204" s="892"/>
      <c r="AA204" s="892"/>
      <c r="AB204" s="1001"/>
      <c r="AC204" s="892"/>
      <c r="AD204" s="892"/>
      <c r="AE204" s="892"/>
      <c r="AF204" s="892"/>
      <c r="AG204" s="1001"/>
      <c r="AH204" s="892"/>
      <c r="AI204" s="892"/>
      <c r="AJ204" s="892"/>
      <c r="AK204" s="892"/>
      <c r="AL204" s="1001"/>
      <c r="AM204" s="892"/>
      <c r="AN204" s="892"/>
      <c r="AO204" s="892"/>
      <c r="AP204" s="892"/>
      <c r="AQ204" s="1001"/>
      <c r="AR204" s="892"/>
      <c r="AS204" s="892"/>
      <c r="AT204" s="892"/>
      <c r="AU204" s="802"/>
      <c r="AV204" s="804"/>
      <c r="AW204" s="917"/>
      <c r="AX204" s="917"/>
      <c r="AY204" s="917"/>
      <c r="AZ204" s="916"/>
      <c r="BA204" s="917"/>
      <c r="BB204" s="917"/>
      <c r="BC204" s="917"/>
      <c r="BD204" s="917"/>
      <c r="BE204" s="916"/>
      <c r="BF204" s="917"/>
      <c r="BG204" s="917"/>
      <c r="BH204" s="917"/>
      <c r="BI204" s="917"/>
      <c r="BJ204" s="916"/>
      <c r="BK204" s="1137"/>
      <c r="BL204" s="1137"/>
      <c r="BM204" s="1137"/>
      <c r="BN204" s="1137"/>
      <c r="BO204" s="924"/>
      <c r="BP204" s="1137"/>
      <c r="BQ204" s="1137"/>
      <c r="BR204" s="1137"/>
      <c r="BS204" s="1137"/>
      <c r="BT204" s="924"/>
      <c r="BU204" s="1137"/>
      <c r="BV204" s="1137"/>
      <c r="BW204" s="1137"/>
      <c r="BX204" s="1137"/>
      <c r="BY204" s="924"/>
      <c r="BZ204" s="1137"/>
      <c r="CA204" s="1137"/>
      <c r="CB204" s="1137"/>
      <c r="CC204" s="1137"/>
      <c r="CD204" s="924"/>
      <c r="CE204" s="1137"/>
      <c r="CF204" s="1137"/>
      <c r="CG204" s="1137"/>
      <c r="CH204" s="1137"/>
      <c r="CI204" s="924"/>
      <c r="CJ204" s="1137"/>
      <c r="CK204" s="1137"/>
      <c r="CL204" s="1137"/>
      <c r="CM204" s="1137"/>
      <c r="CN204" s="924"/>
      <c r="CO204" s="1137"/>
      <c r="CP204" s="1137"/>
      <c r="CQ204" s="1137"/>
      <c r="CR204" s="1137"/>
      <c r="CS204" s="924"/>
      <c r="CT204" s="1137"/>
      <c r="CU204" s="1137"/>
      <c r="CV204" s="1137"/>
      <c r="CW204" s="1137"/>
      <c r="CX204" s="924"/>
      <c r="CY204" s="1137"/>
      <c r="CZ204" s="1137"/>
      <c r="DA204" s="1137"/>
      <c r="DB204" s="1137"/>
      <c r="DC204" s="924"/>
      <c r="DD204" s="1137"/>
      <c r="DE204" s="1137"/>
      <c r="DF204" s="1137"/>
      <c r="DG204" s="1137"/>
      <c r="DH204" s="924"/>
      <c r="DI204" s="1137"/>
      <c r="DJ204" s="1137"/>
      <c r="DK204" s="1137"/>
      <c r="DL204" s="1137"/>
      <c r="DM204" s="924"/>
      <c r="DN204" s="1137"/>
      <c r="DO204" s="1137"/>
      <c r="DP204" s="1137"/>
      <c r="DQ204" s="1137"/>
      <c r="DR204" s="924"/>
      <c r="DS204" s="1137"/>
      <c r="DT204" s="1137"/>
      <c r="DU204" s="1137"/>
      <c r="DV204" s="1137"/>
      <c r="DW204" s="924"/>
      <c r="DX204" s="1137"/>
      <c r="DY204" s="1137"/>
      <c r="DZ204" s="1137"/>
      <c r="EA204" s="1137"/>
      <c r="EB204" s="924"/>
      <c r="EC204" s="1137"/>
      <c r="ED204" s="1137"/>
      <c r="EE204" s="1137"/>
      <c r="EF204" s="1137"/>
      <c r="EG204" s="924"/>
      <c r="EH204" s="1137"/>
      <c r="EI204" s="1137"/>
      <c r="EJ204" s="1137"/>
      <c r="EK204" s="1137"/>
      <c r="EL204" s="924"/>
    </row>
    <row r="205" spans="1:142" ht="11.25" customHeight="1">
      <c r="A205" s="846"/>
      <c r="B205" s="846" t="s">
        <v>166</v>
      </c>
      <c r="C205" s="1166"/>
      <c r="D205" s="1166" t="str">
        <f t="shared" ref="D205:L205" si="458">IF(ISERROR((D138/D160)*1000000),"nm",(D138/D160)*1000000)</f>
        <v>nm</v>
      </c>
      <c r="E205" s="1166" t="str">
        <f t="shared" si="458"/>
        <v>nm</v>
      </c>
      <c r="F205" s="1166" t="str">
        <f t="shared" si="458"/>
        <v>nm</v>
      </c>
      <c r="G205" s="1166" t="str">
        <f t="shared" si="458"/>
        <v>nm</v>
      </c>
      <c r="H205" s="1167" t="str">
        <f t="shared" si="458"/>
        <v>nm</v>
      </c>
      <c r="I205" s="1166" t="str">
        <f t="shared" si="458"/>
        <v>nm</v>
      </c>
      <c r="J205" s="1166" t="str">
        <f t="shared" si="458"/>
        <v>nm</v>
      </c>
      <c r="K205" s="1166" t="str">
        <f t="shared" si="458"/>
        <v>nm</v>
      </c>
      <c r="L205" s="1166" t="str">
        <f t="shared" si="458"/>
        <v>nm</v>
      </c>
      <c r="M205" s="1168" t="e">
        <f>(M138/M160)*1000000</f>
        <v>#REF!</v>
      </c>
      <c r="N205" s="1169" t="e">
        <f>(N138/N160)*1000000</f>
        <v>#REF!</v>
      </c>
      <c r="O205" s="1169" t="e">
        <f>(O138/O160)*1000000</f>
        <v>#REF!</v>
      </c>
      <c r="P205" s="1169" t="e">
        <f>(P138/P160)*1000000</f>
        <v>#REF!</v>
      </c>
      <c r="Q205" s="1166" t="str">
        <f>IF(ISERROR((Q138/Q160)*1000000),"nm",(Q138/Q160)*1000000)</f>
        <v>nm</v>
      </c>
      <c r="R205" s="1168" t="e">
        <f>(R138/R160)*1000000</f>
        <v>#REF!</v>
      </c>
      <c r="S205" s="1169" t="e">
        <f>(S138/S160)*1000000</f>
        <v>#REF!</v>
      </c>
      <c r="T205" s="1169" t="e">
        <f>(T138/T160)*1000000</f>
        <v>#REF!</v>
      </c>
      <c r="U205" s="1169" t="e">
        <f>(U138/U160)*1000000</f>
        <v>#REF!</v>
      </c>
      <c r="V205" s="1166" t="str">
        <f>IF(ISERROR((V138/V160)*1000000),"nm",(V138/V160)*1000000)</f>
        <v>nm</v>
      </c>
      <c r="W205" s="1168" t="e">
        <f>(W138/W160)*1000000</f>
        <v>#REF!</v>
      </c>
      <c r="X205" s="1169" t="e">
        <f>(X138/X160)*1000000</f>
        <v>#REF!</v>
      </c>
      <c r="Y205" s="1169" t="e">
        <f>(Y138/Y160)*1000000</f>
        <v>#REF!</v>
      </c>
      <c r="Z205" s="1169" t="e">
        <f>(Z138/Z160)*1000000</f>
        <v>#REF!</v>
      </c>
      <c r="AA205" s="1166" t="str">
        <f>IF(ISERROR((AA138/AA160)*1000000),"nm",(AA138/AA160)*1000000)</f>
        <v>nm</v>
      </c>
      <c r="AB205" s="1168" t="e">
        <f>(AB138/AB160)*1000000</f>
        <v>#REF!</v>
      </c>
      <c r="AC205" s="1169" t="e">
        <f>(AC138/AC160)*1000000</f>
        <v>#REF!</v>
      </c>
      <c r="AD205" s="1169" t="e">
        <f>(AD138/AD160)*1000000</f>
        <v>#REF!</v>
      </c>
      <c r="AE205" s="1169" t="e">
        <f>(AE138/AE160)*1000000</f>
        <v>#REF!</v>
      </c>
      <c r="AF205" s="1166" t="str">
        <f>IF(ISERROR((AF138/AF160)*1000000),"nm",(AF138/AF160)*1000000)</f>
        <v>nm</v>
      </c>
      <c r="AG205" s="1168" t="e">
        <f>(AG138/AG160)*1000000</f>
        <v>#REF!</v>
      </c>
      <c r="AH205" s="1169" t="e">
        <f>(AH138/AH160)*1000000</f>
        <v>#REF!</v>
      </c>
      <c r="AI205" s="1169" t="e">
        <f>(AI138/AI160)*1000000</f>
        <v>#REF!</v>
      </c>
      <c r="AJ205" s="1169" t="e">
        <f>(AJ138/AJ160)*1000000</f>
        <v>#REF!</v>
      </c>
      <c r="AK205" s="1166" t="str">
        <f>IF(ISERROR((AK138/AK160)*1000000),"nm",(AK138/AK160)*1000000)</f>
        <v>nm</v>
      </c>
      <c r="AL205" s="1168" t="e">
        <f>(AL138/AL160)*1000000</f>
        <v>#REF!</v>
      </c>
      <c r="AM205" s="1169" t="e">
        <f>(AM138/AM160)*1000000</f>
        <v>#REF!</v>
      </c>
      <c r="AN205" s="1169" t="e">
        <f>(AN138/AN160)*1000000</f>
        <v>#REF!</v>
      </c>
      <c r="AO205" s="1169" t="e">
        <f>(AO138/AO160)*1000000</f>
        <v>#REF!</v>
      </c>
      <c r="AP205" s="1166" t="str">
        <f>IF(ISERROR((AP138/AP160)*1000000),"nm",(AP138/AP160)*1000000)</f>
        <v>nm</v>
      </c>
      <c r="AQ205" s="1168" t="e">
        <f>(AQ138/AQ160)*1000000</f>
        <v>#REF!</v>
      </c>
      <c r="AR205" s="1169" t="e">
        <f>(AR138/AR160)*1000000</f>
        <v>#REF!</v>
      </c>
      <c r="AS205" s="1169" t="e">
        <f>(AS138/AS160)*1000000</f>
        <v>#REF!</v>
      </c>
      <c r="AT205" s="1169" t="e">
        <f>(AT138/AT160)*1000000</f>
        <v>#REF!</v>
      </c>
      <c r="AU205" s="802"/>
      <c r="AV205" s="1166" t="str">
        <f>IF(ISERROR((AV138/AV160)*1000000),"nm",(AV138/AV160)*1000000)</f>
        <v>nm</v>
      </c>
      <c r="AW205" s="1166" t="str">
        <f>IF(ISERROR((AW138/AW160)*1000000),"nm",(AW138/AW160)*1000000)</f>
        <v>nm</v>
      </c>
      <c r="AX205" s="1166" t="str">
        <f>IF(ISERROR((AX138/AX160)*1000000),"nm",(AX138/AX160)*1000000)</f>
        <v>nm</v>
      </c>
      <c r="AY205" s="1166" t="str">
        <f>IF(ISERROR((AY138/AY160)*1000000),"nm",(AY138/AY160)*1000000)</f>
        <v>nm</v>
      </c>
      <c r="AZ205" s="1167" t="str">
        <f>IF(ISERROR((AZ138/AZ160)*1000000),"nm",(AZ138/AZ160)*1000000)</f>
        <v>nm</v>
      </c>
      <c r="BA205" s="1169">
        <f>(BA138/BA160)*1000000</f>
        <v>9316.438209730868</v>
      </c>
      <c r="BB205" s="1169">
        <f>(BB138/BB160)*1000000</f>
        <v>9239.2156198238572</v>
      </c>
      <c r="BC205" s="1169">
        <f>(BC138/BC160)*1000000</f>
        <v>9011.0964132550325</v>
      </c>
      <c r="BD205" s="1166">
        <f>IF(ISERROR((BD138/BD160)*1000000),"nm",(BD138/BD160)*1000000)</f>
        <v>8631.1477904696476</v>
      </c>
      <c r="BE205" s="1168">
        <f t="shared" ref="BE205:CJ205" si="459">(BE138/BE160)*1000000</f>
        <v>9054.1282853038119</v>
      </c>
      <c r="BF205" s="1169">
        <f t="shared" si="459"/>
        <v>9527.5110254624742</v>
      </c>
      <c r="BG205" s="1169">
        <f t="shared" si="459"/>
        <v>9708.2359158772742</v>
      </c>
      <c r="BH205" s="1169">
        <f t="shared" si="459"/>
        <v>9354.8821706606996</v>
      </c>
      <c r="BI205" s="1169">
        <f t="shared" si="459"/>
        <v>9477.805400872785</v>
      </c>
      <c r="BJ205" s="1168">
        <f t="shared" si="459"/>
        <v>9359.6115460945839</v>
      </c>
      <c r="BK205" s="1169">
        <f t="shared" si="459"/>
        <v>9531.6545069428103</v>
      </c>
      <c r="BL205" s="1169">
        <f t="shared" si="459"/>
        <v>9482.2163939095462</v>
      </c>
      <c r="BM205" s="1169">
        <f t="shared" si="459"/>
        <v>9791.8842810631195</v>
      </c>
      <c r="BN205" s="1169">
        <f t="shared" si="459"/>
        <v>10069.919440644475</v>
      </c>
      <c r="BO205" s="1168">
        <f t="shared" si="459"/>
        <v>9710.0302578422852</v>
      </c>
      <c r="BP205" s="1169">
        <f t="shared" si="459"/>
        <v>10076.550538978285</v>
      </c>
      <c r="BQ205" s="1169">
        <f t="shared" si="459"/>
        <v>10351.387645478962</v>
      </c>
      <c r="BR205" s="1169">
        <f t="shared" si="459"/>
        <v>10042.279554966963</v>
      </c>
      <c r="BS205" s="1169">
        <f t="shared" si="459"/>
        <v>10439.522045978618</v>
      </c>
      <c r="BT205" s="1168">
        <f t="shared" si="459"/>
        <v>9984.5885652206871</v>
      </c>
      <c r="BU205" s="1169">
        <f t="shared" si="459"/>
        <v>10379.596678529062</v>
      </c>
      <c r="BV205" s="1169">
        <f t="shared" si="459"/>
        <v>10662.795354425311</v>
      </c>
      <c r="BW205" s="1169">
        <f t="shared" si="459"/>
        <v>10881.919441531682</v>
      </c>
      <c r="BX205" s="1169">
        <f t="shared" si="459"/>
        <v>10878.529067974672</v>
      </c>
      <c r="BY205" s="1168">
        <f t="shared" si="459"/>
        <v>10579.374563403555</v>
      </c>
      <c r="BZ205" s="1169">
        <f t="shared" si="459"/>
        <v>11050.480291940818</v>
      </c>
      <c r="CA205" s="1169">
        <f t="shared" si="459"/>
        <v>10740.168528843213</v>
      </c>
      <c r="CB205" s="1169">
        <f t="shared" si="459"/>
        <v>10831.514037305144</v>
      </c>
      <c r="CC205" s="1169">
        <f t="shared" si="459"/>
        <v>11025.642972671289</v>
      </c>
      <c r="CD205" s="1168">
        <f t="shared" si="459"/>
        <v>10601.573362740144</v>
      </c>
      <c r="CE205" s="1169">
        <f t="shared" si="459"/>
        <v>11143.12036617288</v>
      </c>
      <c r="CF205" s="1169">
        <f t="shared" si="459"/>
        <v>11058.415446480647</v>
      </c>
      <c r="CG205" s="1169">
        <f t="shared" si="459"/>
        <v>11254.587050315527</v>
      </c>
      <c r="CH205" s="1169">
        <f t="shared" si="459"/>
        <v>11424.736367072692</v>
      </c>
      <c r="CI205" s="1168">
        <f t="shared" si="459"/>
        <v>11219.003990792522</v>
      </c>
      <c r="CJ205" s="1169">
        <f t="shared" si="459"/>
        <v>11644.130046229609</v>
      </c>
      <c r="CK205" s="1169">
        <f t="shared" ref="CK205:DP205" si="460">(CK138/CK160)*1000000</f>
        <v>11569.381061596387</v>
      </c>
      <c r="CL205" s="1169">
        <f t="shared" si="460"/>
        <v>11381.272633212622</v>
      </c>
      <c r="CM205" s="1169">
        <f t="shared" si="460"/>
        <v>11632.027847562946</v>
      </c>
      <c r="CN205" s="1168">
        <f t="shared" si="460"/>
        <v>11558.13572670633</v>
      </c>
      <c r="CO205" s="1169">
        <f t="shared" si="460"/>
        <v>12317.688322161948</v>
      </c>
      <c r="CP205" s="1169">
        <f t="shared" si="460"/>
        <v>11672.718007516403</v>
      </c>
      <c r="CQ205" s="1169">
        <f t="shared" si="460"/>
        <v>11509.827990243746</v>
      </c>
      <c r="CR205" s="1169">
        <f t="shared" si="460"/>
        <v>11958.802364635771</v>
      </c>
      <c r="CS205" s="1168">
        <f t="shared" si="460"/>
        <v>11870.020518515894</v>
      </c>
      <c r="CT205" s="1169">
        <f t="shared" si="460"/>
        <v>12249.409253754096</v>
      </c>
      <c r="CU205" s="1169">
        <f t="shared" si="460"/>
        <v>12370.540851553509</v>
      </c>
      <c r="CV205" s="1169">
        <f t="shared" si="460"/>
        <v>12020.597586270411</v>
      </c>
      <c r="CW205" s="1169">
        <f t="shared" si="460"/>
        <v>12323.409689520313</v>
      </c>
      <c r="CX205" s="1168">
        <f t="shared" si="460"/>
        <v>12241.231230934776</v>
      </c>
      <c r="CY205" s="1169">
        <f t="shared" si="460"/>
        <v>12197.349300002383</v>
      </c>
      <c r="CZ205" s="1169">
        <f t="shared" si="460"/>
        <v>12773.148224847169</v>
      </c>
      <c r="DA205" s="1169">
        <f t="shared" si="460"/>
        <v>12355.12342784756</v>
      </c>
      <c r="DB205" s="1169">
        <f t="shared" si="460"/>
        <v>12451.051410454264</v>
      </c>
      <c r="DC205" s="1168">
        <f t="shared" si="460"/>
        <v>12442.592612479104</v>
      </c>
      <c r="DD205" s="1169">
        <f t="shared" si="460"/>
        <v>12559.645447385896</v>
      </c>
      <c r="DE205" s="1169">
        <f t="shared" si="460"/>
        <v>12294.429231251381</v>
      </c>
      <c r="DF205" s="1169">
        <f t="shared" si="460"/>
        <v>12320.297728023052</v>
      </c>
      <c r="DG205" s="1169">
        <f t="shared" si="460"/>
        <v>13437.97723599737</v>
      </c>
      <c r="DH205" s="1168">
        <f t="shared" si="460"/>
        <v>12658.547837682405</v>
      </c>
      <c r="DI205" s="1169">
        <f t="shared" si="460"/>
        <v>12916.820666913067</v>
      </c>
      <c r="DJ205" s="1169">
        <f t="shared" si="460"/>
        <v>12991.06523763298</v>
      </c>
      <c r="DK205" s="1169">
        <f t="shared" si="460"/>
        <v>12894.437013919849</v>
      </c>
      <c r="DL205" s="1169">
        <f t="shared" si="460"/>
        <v>12906.208282427084</v>
      </c>
      <c r="DM205" s="1168">
        <f t="shared" si="460"/>
        <v>12926.797896376906</v>
      </c>
      <c r="DN205" s="1169">
        <f t="shared" si="460"/>
        <v>13485.926384163316</v>
      </c>
      <c r="DO205" s="1169">
        <f t="shared" si="460"/>
        <v>13252.209991794776</v>
      </c>
      <c r="DP205" s="1169">
        <f t="shared" si="460"/>
        <v>13230.045151047707</v>
      </c>
      <c r="DQ205" s="1169">
        <f t="shared" ref="DQ205:DW205" si="461">(DQ138/DQ160)*1000000</f>
        <v>13900.906234345826</v>
      </c>
      <c r="DR205" s="1168">
        <f t="shared" si="461"/>
        <v>13461.85246209131</v>
      </c>
      <c r="DS205" s="1169">
        <f t="shared" si="461"/>
        <v>13278.486303534473</v>
      </c>
      <c r="DT205" s="1169">
        <f t="shared" si="461"/>
        <v>13431.992948863428</v>
      </c>
      <c r="DU205" s="1169">
        <f t="shared" si="461"/>
        <v>13139.528493707754</v>
      </c>
      <c r="DV205" s="1169">
        <f t="shared" si="461"/>
        <v>14577.259475218658</v>
      </c>
      <c r="DW205" s="1168">
        <f t="shared" si="461"/>
        <v>13602.621654161716</v>
      </c>
      <c r="DX205" s="1169">
        <f>DS205*(1+DX206)</f>
        <v>13291.764789838006</v>
      </c>
      <c r="DY205" s="1169">
        <f>DT205*(1+DY206)</f>
        <v>13445.424941812289</v>
      </c>
      <c r="DZ205" s="1169">
        <f>DU205*(1+DZ206)</f>
        <v>13152.66802220146</v>
      </c>
      <c r="EA205" s="1169">
        <f>DV205*(1+EA206)</f>
        <v>14591.836734693876</v>
      </c>
      <c r="EB205" s="1168">
        <f>(EB138/EB160)*1000000</f>
        <v>13607.178552770958</v>
      </c>
      <c r="EC205" s="1169">
        <f>DX205*(1+EC206)</f>
        <v>13358.223613787193</v>
      </c>
      <c r="ED205" s="1169">
        <f>DY205*(1+ED206)</f>
        <v>13512.652066521348</v>
      </c>
      <c r="EE205" s="1169">
        <f>DZ205*(1+EE206)</f>
        <v>13218.431362312465</v>
      </c>
      <c r="EF205" s="1169">
        <f>EA205*(1+EF206)</f>
        <v>14664.795918367343</v>
      </c>
      <c r="EG205" s="1168">
        <f>(EG138/EG160)*1000000</f>
        <v>13691.920934334235</v>
      </c>
      <c r="EH205" s="1169">
        <f>EC205*(1+EH206)</f>
        <v>13425.014731856128</v>
      </c>
      <c r="EI205" s="1169">
        <f>ED205*(1+EI206)</f>
        <v>13580.215326853953</v>
      </c>
      <c r="EJ205" s="1169">
        <f>EE205*(1+EJ206)</f>
        <v>13284.523519124026</v>
      </c>
      <c r="EK205" s="1169">
        <f>EF205*(1+EK206)</f>
        <v>14738.119897959177</v>
      </c>
      <c r="EL205" s="1168">
        <f>(EL138/EL160)*1000000</f>
        <v>13759.243984151262</v>
      </c>
    </row>
    <row r="206" spans="1:142" s="680" customFormat="1" ht="11.25" customHeight="1">
      <c r="A206" s="1122"/>
      <c r="B206" s="1122" t="s">
        <v>133</v>
      </c>
      <c r="C206" s="1010"/>
      <c r="D206" s="1010" t="str">
        <f>IF(ISERROR(D205/#REF!-1),"nm",D205/#REF!-1)</f>
        <v>nm</v>
      </c>
      <c r="E206" s="1010" t="str">
        <f>IF(ISERROR(E205/#REF!-1),"nm",E205/#REF!-1)</f>
        <v>nm</v>
      </c>
      <c r="F206" s="1010" t="str">
        <f>IF(ISERROR(F205/#REF!-1),"nm",F205/#REF!-1)</f>
        <v>nm</v>
      </c>
      <c r="G206" s="1010" t="str">
        <f t="shared" ref="G206:AT206" si="462">IF(ISERROR(G205/B205-1),"nm",G205/B205-1)</f>
        <v>nm</v>
      </c>
      <c r="H206" s="1011" t="str">
        <f t="shared" si="462"/>
        <v>nm</v>
      </c>
      <c r="I206" s="1010" t="str">
        <f t="shared" si="462"/>
        <v>nm</v>
      </c>
      <c r="J206" s="1010" t="str">
        <f t="shared" si="462"/>
        <v>nm</v>
      </c>
      <c r="K206" s="1010" t="str">
        <f t="shared" si="462"/>
        <v>nm</v>
      </c>
      <c r="L206" s="1010" t="str">
        <f t="shared" si="462"/>
        <v>nm</v>
      </c>
      <c r="M206" s="1011" t="str">
        <f t="shared" si="462"/>
        <v>nm</v>
      </c>
      <c r="N206" s="1010" t="str">
        <f t="shared" si="462"/>
        <v>nm</v>
      </c>
      <c r="O206" s="1010" t="str">
        <f t="shared" si="462"/>
        <v>nm</v>
      </c>
      <c r="P206" s="1010" t="str">
        <f t="shared" si="462"/>
        <v>nm</v>
      </c>
      <c r="Q206" s="1010" t="str">
        <f t="shared" si="462"/>
        <v>nm</v>
      </c>
      <c r="R206" s="1011" t="str">
        <f t="shared" si="462"/>
        <v>nm</v>
      </c>
      <c r="S206" s="1010" t="str">
        <f t="shared" si="462"/>
        <v>nm</v>
      </c>
      <c r="T206" s="1010" t="str">
        <f t="shared" si="462"/>
        <v>nm</v>
      </c>
      <c r="U206" s="1010" t="str">
        <f t="shared" si="462"/>
        <v>nm</v>
      </c>
      <c r="V206" s="1010" t="str">
        <f t="shared" si="462"/>
        <v>nm</v>
      </c>
      <c r="W206" s="1011" t="str">
        <f t="shared" si="462"/>
        <v>nm</v>
      </c>
      <c r="X206" s="1010" t="str">
        <f t="shared" si="462"/>
        <v>nm</v>
      </c>
      <c r="Y206" s="1010" t="str">
        <f t="shared" si="462"/>
        <v>nm</v>
      </c>
      <c r="Z206" s="1010" t="str">
        <f t="shared" si="462"/>
        <v>nm</v>
      </c>
      <c r="AA206" s="1010" t="str">
        <f t="shared" si="462"/>
        <v>nm</v>
      </c>
      <c r="AB206" s="1011" t="str">
        <f t="shared" si="462"/>
        <v>nm</v>
      </c>
      <c r="AC206" s="1010" t="str">
        <f t="shared" si="462"/>
        <v>nm</v>
      </c>
      <c r="AD206" s="1010" t="str">
        <f t="shared" si="462"/>
        <v>nm</v>
      </c>
      <c r="AE206" s="1010" t="str">
        <f t="shared" si="462"/>
        <v>nm</v>
      </c>
      <c r="AF206" s="1010" t="str">
        <f t="shared" si="462"/>
        <v>nm</v>
      </c>
      <c r="AG206" s="1011" t="str">
        <f t="shared" si="462"/>
        <v>nm</v>
      </c>
      <c r="AH206" s="1010" t="str">
        <f t="shared" si="462"/>
        <v>nm</v>
      </c>
      <c r="AI206" s="1010" t="str">
        <f t="shared" si="462"/>
        <v>nm</v>
      </c>
      <c r="AJ206" s="1010" t="str">
        <f t="shared" si="462"/>
        <v>nm</v>
      </c>
      <c r="AK206" s="1010" t="str">
        <f t="shared" si="462"/>
        <v>nm</v>
      </c>
      <c r="AL206" s="1011" t="str">
        <f t="shared" si="462"/>
        <v>nm</v>
      </c>
      <c r="AM206" s="1010" t="str">
        <f t="shared" si="462"/>
        <v>nm</v>
      </c>
      <c r="AN206" s="1010" t="str">
        <f t="shared" si="462"/>
        <v>nm</v>
      </c>
      <c r="AO206" s="1010" t="str">
        <f t="shared" si="462"/>
        <v>nm</v>
      </c>
      <c r="AP206" s="1010" t="str">
        <f t="shared" si="462"/>
        <v>nm</v>
      </c>
      <c r="AQ206" s="1011" t="str">
        <f t="shared" si="462"/>
        <v>nm</v>
      </c>
      <c r="AR206" s="1010" t="str">
        <f t="shared" si="462"/>
        <v>nm</v>
      </c>
      <c r="AS206" s="1010" t="str">
        <f t="shared" si="462"/>
        <v>nm</v>
      </c>
      <c r="AT206" s="1010" t="str">
        <f t="shared" si="462"/>
        <v>nm</v>
      </c>
      <c r="AU206" s="802"/>
      <c r="AV206" s="1012"/>
      <c r="AW206" s="1012"/>
      <c r="AX206" s="1012"/>
      <c r="AY206" s="1012"/>
      <c r="AZ206" s="1011"/>
      <c r="BA206" s="1012"/>
      <c r="BB206" s="1012"/>
      <c r="BC206" s="1012"/>
      <c r="BD206" s="1012"/>
      <c r="BE206" s="1011"/>
      <c r="BF206" s="850">
        <f t="shared" ref="BF206:CK206" si="463">BF205/BA128-1</f>
        <v>2.2655956169080227E-2</v>
      </c>
      <c r="BG206" s="850">
        <f t="shared" si="463"/>
        <v>5.0764081644233627E-2</v>
      </c>
      <c r="BH206" s="850">
        <f t="shared" si="463"/>
        <v>3.8151379326046175E-2</v>
      </c>
      <c r="BI206" s="1010">
        <f t="shared" si="463"/>
        <v>9.8093281560767798E-2</v>
      </c>
      <c r="BJ206" s="851">
        <f t="shared" si="463"/>
        <v>3.3739665616028036E-2</v>
      </c>
      <c r="BK206" s="850">
        <f t="shared" si="463"/>
        <v>4.3489652956196778E-4</v>
      </c>
      <c r="BL206" s="850">
        <f t="shared" si="463"/>
        <v>-2.3281214416934981E-2</v>
      </c>
      <c r="BM206" s="850">
        <f t="shared" si="463"/>
        <v>4.6713801673843758E-2</v>
      </c>
      <c r="BN206" s="850">
        <f t="shared" si="463"/>
        <v>6.2473749431188441E-2</v>
      </c>
      <c r="BO206" s="851">
        <f t="shared" si="463"/>
        <v>2.0141000746852988E-2</v>
      </c>
      <c r="BP206" s="850">
        <f t="shared" si="463"/>
        <v>5.7166993583178449E-2</v>
      </c>
      <c r="BQ206" s="850">
        <f t="shared" si="463"/>
        <v>9.1663300589478913E-2</v>
      </c>
      <c r="BR206" s="850">
        <f t="shared" si="463"/>
        <v>2.5571714975032078E-2</v>
      </c>
      <c r="BS206" s="850">
        <f t="shared" si="463"/>
        <v>3.6703630799899356E-2</v>
      </c>
      <c r="BT206" s="851">
        <f t="shared" si="463"/>
        <v>2.8275741690573675E-2</v>
      </c>
      <c r="BU206" s="850">
        <f t="shared" si="463"/>
        <v>3.0074392856814347E-2</v>
      </c>
      <c r="BV206" s="850">
        <f t="shared" si="463"/>
        <v>3.0083667969130534E-2</v>
      </c>
      <c r="BW206" s="850">
        <f t="shared" si="463"/>
        <v>8.3610487237375075E-2</v>
      </c>
      <c r="BX206" s="850">
        <f t="shared" si="463"/>
        <v>4.2052406236851025E-2</v>
      </c>
      <c r="BY206" s="851">
        <f t="shared" si="463"/>
        <v>3.4953595141067995E-2</v>
      </c>
      <c r="BZ206" s="850">
        <f t="shared" si="463"/>
        <v>6.4634844126412627E-2</v>
      </c>
      <c r="CA206" s="850">
        <f t="shared" si="463"/>
        <v>7.2563686956432782E-3</v>
      </c>
      <c r="CB206" s="850">
        <f t="shared" si="463"/>
        <v>-4.6320324734404617E-3</v>
      </c>
      <c r="CC206" s="850">
        <f t="shared" si="463"/>
        <v>1.3523326892576515E-2</v>
      </c>
      <c r="CD206" s="851">
        <f t="shared" si="463"/>
        <v>-8.7001639258252883E-3</v>
      </c>
      <c r="CE206" s="850">
        <f t="shared" si="463"/>
        <v>8.3833527398464724E-3</v>
      </c>
      <c r="CF206" s="850">
        <f t="shared" si="463"/>
        <v>2.9631464048517353E-2</v>
      </c>
      <c r="CG206" s="850">
        <f t="shared" si="463"/>
        <v>3.9059452958585927E-2</v>
      </c>
      <c r="CH206" s="850">
        <f t="shared" si="463"/>
        <v>3.6196836355994577E-2</v>
      </c>
      <c r="CI206" s="851">
        <f t="shared" si="463"/>
        <v>2.7845758763133555E-2</v>
      </c>
      <c r="CJ206" s="850">
        <f t="shared" si="463"/>
        <v>4.496134508047156E-2</v>
      </c>
      <c r="CK206" s="850">
        <f t="shared" si="463"/>
        <v>4.6206042591604213E-2</v>
      </c>
      <c r="CL206" s="850">
        <f t="shared" ref="CL206:DH206" si="464">CL205/CG128-1</f>
        <v>1.1256351062080228E-2</v>
      </c>
      <c r="CM206" s="850">
        <f t="shared" si="464"/>
        <v>1.8144093117779869E-2</v>
      </c>
      <c r="CN206" s="851">
        <f t="shared" si="464"/>
        <v>3.0228328307230656E-2</v>
      </c>
      <c r="CO206" s="850">
        <f t="shared" si="464"/>
        <v>5.784530688494316E-2</v>
      </c>
      <c r="CP206" s="850">
        <f t="shared" si="464"/>
        <v>8.9319338147686445E-3</v>
      </c>
      <c r="CQ206" s="850">
        <f t="shared" si="464"/>
        <v>1.129534114278008E-2</v>
      </c>
      <c r="CR206" s="850">
        <f t="shared" si="464"/>
        <v>2.8092652575731902E-2</v>
      </c>
      <c r="CS206" s="851">
        <f t="shared" si="464"/>
        <v>2.6984004962748331E-2</v>
      </c>
      <c r="CT206" s="850">
        <f t="shared" si="464"/>
        <v>-5.5431722756781321E-3</v>
      </c>
      <c r="CU206" s="850">
        <f t="shared" si="464"/>
        <v>5.9782378327631669E-2</v>
      </c>
      <c r="CV206" s="850">
        <f t="shared" si="464"/>
        <v>4.4376822699663032E-2</v>
      </c>
      <c r="CW206" s="850">
        <f t="shared" si="464"/>
        <v>3.0488615311742961E-2</v>
      </c>
      <c r="CX206" s="851">
        <f t="shared" si="464"/>
        <v>3.1272962994447706E-2</v>
      </c>
      <c r="CY206" s="850">
        <f t="shared" si="464"/>
        <v>-4.2499970956361155E-3</v>
      </c>
      <c r="CZ206" s="850">
        <f t="shared" si="464"/>
        <v>3.2545656501599129E-2</v>
      </c>
      <c r="DA206" s="850">
        <f t="shared" si="464"/>
        <v>2.7829385284408481E-2</v>
      </c>
      <c r="DB206" s="850">
        <f t="shared" si="464"/>
        <v>1.0357662704543191E-2</v>
      </c>
      <c r="DC206" s="851">
        <f t="shared" si="464"/>
        <v>1.644943860185144E-2</v>
      </c>
      <c r="DD206" s="850">
        <f t="shared" si="464"/>
        <v>2.9702859078032828E-2</v>
      </c>
      <c r="DE206" s="850">
        <f t="shared" si="464"/>
        <v>-3.7478543673716502E-2</v>
      </c>
      <c r="DF206" s="850">
        <f t="shared" si="464"/>
        <v>-2.8187253674871737E-3</v>
      </c>
      <c r="DG206" s="850">
        <f t="shared" si="464"/>
        <v>7.9264456712021536E-2</v>
      </c>
      <c r="DH206" s="851">
        <f t="shared" si="464"/>
        <v>1.7356127611757755E-2</v>
      </c>
      <c r="DI206" s="850">
        <f>DI205/DD205-1</f>
        <v>2.8438320255410598E-2</v>
      </c>
      <c r="DJ206" s="850">
        <f t="shared" ref="DJ206:DW206" si="465">DJ205/DE205-1</f>
        <v>5.6662736697919325E-2</v>
      </c>
      <c r="DK206" s="850">
        <f t="shared" si="465"/>
        <v>4.6601088591462503E-2</v>
      </c>
      <c r="DL206" s="850">
        <f t="shared" si="465"/>
        <v>-3.9572098109066256E-2</v>
      </c>
      <c r="DM206" s="851">
        <f t="shared" si="465"/>
        <v>2.1191218940292966E-2</v>
      </c>
      <c r="DN206" s="850">
        <f t="shared" si="465"/>
        <v>4.4059272163469387E-2</v>
      </c>
      <c r="DO206" s="850">
        <f t="shared" si="465"/>
        <v>2.010187381749895E-2</v>
      </c>
      <c r="DP206" s="850">
        <f t="shared" si="465"/>
        <v>2.6027358679216572E-2</v>
      </c>
      <c r="DQ206" s="850">
        <f t="shared" si="465"/>
        <v>7.7071276873247774E-2</v>
      </c>
      <c r="DR206" s="851">
        <f t="shared" si="465"/>
        <v>4.139111402556761E-2</v>
      </c>
      <c r="DS206" s="850">
        <f t="shared" si="465"/>
        <v>-1.5381967446629563E-2</v>
      </c>
      <c r="DT206" s="850">
        <f t="shared" si="465"/>
        <v>1.3566262320018119E-2</v>
      </c>
      <c r="DU206" s="850">
        <f t="shared" si="465"/>
        <v>-6.8417496921985288E-3</v>
      </c>
      <c r="DV206" s="850">
        <f t="shared" si="465"/>
        <v>4.8655334369620107E-2</v>
      </c>
      <c r="DW206" s="851">
        <f t="shared" si="465"/>
        <v>1.0456896067373656E-2</v>
      </c>
      <c r="DX206" s="1461">
        <f>CHOOSE(Scenarios!$C$8,Scenarios!AX19,Scenarios!AX20,Scenarios!AX21)</f>
        <v>1E-3</v>
      </c>
      <c r="DY206" s="1461">
        <f>CHOOSE(Scenarios!$C$8,Scenarios!AX19,Scenarios!AX20,Scenarios!AX21)</f>
        <v>1E-3</v>
      </c>
      <c r="DZ206" s="1461">
        <f>CHOOSE(Scenarios!$C$8,Scenarios!AX19,Scenarios!AX20,Scenarios!AX21)</f>
        <v>1E-3</v>
      </c>
      <c r="EA206" s="1461">
        <f>CHOOSE(Scenarios!$C$8,Scenarios!AX19,Scenarios!AX20,Scenarios!AX21)</f>
        <v>1E-3</v>
      </c>
      <c r="EB206" s="851">
        <f t="shared" ref="EB206" si="466">EB205/DW205-1</f>
        <v>3.350014964098591E-4</v>
      </c>
      <c r="EC206" s="1461">
        <f>CHOOSE(Scenarios!$C$8,Scenarios!BC19,Scenarios!BC20,Scenarios!BC21)</f>
        <v>5.0000000000000001E-3</v>
      </c>
      <c r="ED206" s="1461">
        <f>CHOOSE(Scenarios!$C$8,Scenarios!BC19,Scenarios!BC20,Scenarios!BC21)</f>
        <v>5.0000000000000001E-3</v>
      </c>
      <c r="EE206" s="1461">
        <f>CHOOSE(Scenarios!$C$8,Scenarios!BC19,Scenarios!BC20,Scenarios!BC21)</f>
        <v>5.0000000000000001E-3</v>
      </c>
      <c r="EF206" s="1461">
        <f>CHOOSE(Scenarios!$C$8,Scenarios!BC19,Scenarios!BC20,Scenarios!BC21)</f>
        <v>5.0000000000000001E-3</v>
      </c>
      <c r="EG206" s="851">
        <f t="shared" ref="EG206" si="467">EG205/EB205-1</f>
        <v>6.2277702342650176E-3</v>
      </c>
      <c r="EH206" s="1461">
        <f>CHOOSE(Scenarios!$C$8,Scenarios!BH19,Scenarios!BH20,Scenarios!BH21)</f>
        <v>5.0000000000000001E-3</v>
      </c>
      <c r="EI206" s="1461">
        <f>CHOOSE(Scenarios!$C$8,Scenarios!BH19,Scenarios!BH20,Scenarios!BH21)</f>
        <v>5.0000000000000001E-3</v>
      </c>
      <c r="EJ206" s="1461">
        <f>CHOOSE(Scenarios!$C$8,Scenarios!BH19,Scenarios!BH20,Scenarios!BH21)</f>
        <v>5.0000000000000001E-3</v>
      </c>
      <c r="EK206" s="1461">
        <f>CHOOSE(Scenarios!$C$8,Scenarios!BH19,Scenarios!BH20,Scenarios!BH21)</f>
        <v>5.0000000000000001E-3</v>
      </c>
      <c r="EL206" s="851">
        <f t="shared" ref="EL206" si="468">EL205/EG205-1</f>
        <v>4.9169908400659157E-3</v>
      </c>
    </row>
    <row r="207" spans="1:142" ht="11.25" customHeight="1">
      <c r="A207" s="1122"/>
      <c r="B207" s="1122" t="s">
        <v>169</v>
      </c>
      <c r="C207" s="1010"/>
      <c r="D207" s="1010" t="str">
        <f>IF(ISERROR(D280/#REF!-1),"nm",D280/#REF!-1)</f>
        <v>nm</v>
      </c>
      <c r="E207" s="1010" t="str">
        <f>IF(ISERROR(E280/#REF!-1),"nm",E280/#REF!-1)</f>
        <v>nm</v>
      </c>
      <c r="F207" s="1010" t="str">
        <f>IF(ISERROR(F280/#REF!-1),"nm",F280/#REF!-1)</f>
        <v>nm</v>
      </c>
      <c r="G207" s="1010" t="str">
        <f t="shared" ref="G207:M207" si="469">IF(ISERROR(G280/B317-1),"nm",G280/B317-1)</f>
        <v>nm</v>
      </c>
      <c r="H207" s="1011" t="str">
        <f t="shared" si="469"/>
        <v>nm</v>
      </c>
      <c r="I207" s="1010" t="str">
        <f t="shared" si="469"/>
        <v>nm</v>
      </c>
      <c r="J207" s="1010" t="str">
        <f t="shared" si="469"/>
        <v>nm</v>
      </c>
      <c r="K207" s="1010" t="str">
        <f t="shared" si="469"/>
        <v>nm</v>
      </c>
      <c r="L207" s="1010" t="str">
        <f t="shared" si="469"/>
        <v>nm</v>
      </c>
      <c r="M207" s="1011" t="str">
        <f t="shared" si="469"/>
        <v>nm</v>
      </c>
      <c r="N207" s="850" t="e">
        <f>N280/I317-1</f>
        <v>#VALUE!</v>
      </c>
      <c r="O207" s="850" t="e">
        <f>O280/J317-1</f>
        <v>#VALUE!</v>
      </c>
      <c r="P207" s="850" t="e">
        <f>P280/K317-1</f>
        <v>#VALUE!</v>
      </c>
      <c r="Q207" s="1010" t="str">
        <f>IF(ISERROR(Q280/L317-1),"nm",Q280/L317-1)</f>
        <v>nm</v>
      </c>
      <c r="R207" s="851" t="e">
        <f>R280/M317-1</f>
        <v>#VALUE!</v>
      </c>
      <c r="S207" s="850">
        <f>S280/N317-1</f>
        <v>-7.1204784961549361E-2</v>
      </c>
      <c r="T207" s="850">
        <f>T280/O317-1</f>
        <v>-8.2101112519363473E-2</v>
      </c>
      <c r="U207" s="850">
        <f>U280/P317-1</f>
        <v>4.6838769516154066E-2</v>
      </c>
      <c r="V207" s="1010" t="str">
        <f>IF(ISERROR(V280/Q317-1),"nm",V280/Q317-1)</f>
        <v>nm</v>
      </c>
      <c r="W207" s="851">
        <f>W280/R317-1</f>
        <v>8.1288574439259964E-3</v>
      </c>
      <c r="X207" s="850">
        <f>X280/S317-1</f>
        <v>3.11254216498007E-2</v>
      </c>
      <c r="Y207" s="850">
        <f>Y280/T317-1</f>
        <v>6.5357471617060403E-2</v>
      </c>
      <c r="Z207" s="850">
        <f>Z280/U317-1</f>
        <v>2.4512699350265788E-2</v>
      </c>
      <c r="AA207" s="1010" t="str">
        <f>IF(ISERROR(AA280/V317-1),"nm",AA280/V317-1)</f>
        <v>nm</v>
      </c>
      <c r="AB207" s="851">
        <f>AB280/W317-1</f>
        <v>3.4791697775123254E-2</v>
      </c>
      <c r="AC207" s="850">
        <f>AC280/X317-1</f>
        <v>5.7843866171003677E-2</v>
      </c>
      <c r="AD207" s="850">
        <f>AD280/Y317-1</f>
        <v>7.5460829493087633E-2</v>
      </c>
      <c r="AE207" s="850">
        <f>AE280/Z317-1</f>
        <v>0.10060536177572788</v>
      </c>
      <c r="AF207" s="1010" t="str">
        <f>IF(ISERROR(AF280/AA317-1),"nm",AF280/AA317-1)</f>
        <v>nm</v>
      </c>
      <c r="AG207" s="851">
        <f>AG280/AB317-1</f>
        <v>8.3405483405483372E-2</v>
      </c>
      <c r="AH207" s="850">
        <f>AH280/AC317-1</f>
        <v>9.2353106550463915E-2</v>
      </c>
      <c r="AI207" s="850">
        <f>AI280/AD317-1</f>
        <v>7.5790037493304707E-2</v>
      </c>
      <c r="AJ207" s="850">
        <f>AJ280/AE317-1</f>
        <v>8.8397066526977541E-2</v>
      </c>
      <c r="AK207" s="1010" t="str">
        <f>IF(ISERROR(AK280/AF317-1),"nm",AK280/AF317-1)</f>
        <v>nm</v>
      </c>
      <c r="AL207" s="851">
        <f>AL280/AG317-1</f>
        <v>8.8172615876398464E-2</v>
      </c>
      <c r="AM207" s="850">
        <f>AM280/AH317-1</f>
        <v>0.12701068073607003</v>
      </c>
      <c r="AN207" s="850">
        <f>AN280/AI317-1</f>
        <v>0.13268608414239491</v>
      </c>
      <c r="AO207" s="850">
        <f>AO280/AJ317-1</f>
        <v>9.3851522079172245E-2</v>
      </c>
      <c r="AP207" s="1010" t="str">
        <f>IF(ISERROR(AP280/AK317-1),"nm",AP280/AK317-1)</f>
        <v>nm</v>
      </c>
      <c r="AQ207" s="851">
        <f>AQ280/AL317-1</f>
        <v>0.11762545899632793</v>
      </c>
      <c r="AR207" s="850">
        <f>AR280/AM317-1</f>
        <v>9.7853391185202199E-2</v>
      </c>
      <c r="AS207" s="850">
        <f>AS280/AN317-1</f>
        <v>6.7692307692307718E-2</v>
      </c>
      <c r="AT207" s="850">
        <f>AT280/AO317-1</f>
        <v>4.9499505004950706E-3</v>
      </c>
      <c r="AU207" s="802"/>
      <c r="AV207" s="1010" t="str">
        <f>IF(ISERROR(AV280/AQ317-1),"nm",AV280/AQ317-1)</f>
        <v>nm</v>
      </c>
      <c r="AW207" s="1010" t="str">
        <f>IF(ISERROR(AW280/AR317-1),"nm",AW280/AR317-1)</f>
        <v>nm</v>
      </c>
      <c r="AX207" s="1010" t="str">
        <f>IF(ISERROR(AX280/AS317-1),"nm",AX280/AS317-1)</f>
        <v>nm</v>
      </c>
      <c r="AY207" s="1010" t="str">
        <f>IF(ISERROR(AY280/AT317-1),"nm",AY280/AT317-1)</f>
        <v>nm</v>
      </c>
      <c r="AZ207" s="1011" t="str">
        <f>IF(ISERROR(AZ280/AU317-1),"nm",AZ280/AU317-1)</f>
        <v>nm</v>
      </c>
      <c r="BA207" s="850" t="e">
        <f>BA280/AV317-1</f>
        <v>#VALUE!</v>
      </c>
      <c r="BB207" s="850" t="e">
        <f>BB280/AW317-1</f>
        <v>#VALUE!</v>
      </c>
      <c r="BC207" s="850" t="e">
        <f>BC280/AX317-1</f>
        <v>#VALUE!</v>
      </c>
      <c r="BD207" s="1010" t="str">
        <f>IF(ISERROR(BD280/AY317-1),"nm",BD280/AY317-1)</f>
        <v>nm</v>
      </c>
      <c r="BE207" s="851" t="e">
        <f t="shared" ref="BE207:CJ207" si="470">BE280/AZ317-1</f>
        <v>#VALUE!</v>
      </c>
      <c r="BF207" s="850">
        <f t="shared" si="470"/>
        <v>2.2756547874624333E-2</v>
      </c>
      <c r="BG207" s="850">
        <f t="shared" si="470"/>
        <v>5.0871306418443618E-2</v>
      </c>
      <c r="BH207" s="850">
        <f t="shared" si="470"/>
        <v>3.8175563200532725E-2</v>
      </c>
      <c r="BI207" s="850" t="e">
        <f t="shared" si="470"/>
        <v>#VALUE!</v>
      </c>
      <c r="BJ207" s="851">
        <f t="shared" si="470"/>
        <v>5.1137618732052026E-2</v>
      </c>
      <c r="BK207" s="850">
        <f t="shared" si="470"/>
        <v>4.1981528127621459E-4</v>
      </c>
      <c r="BL207" s="850">
        <f t="shared" si="470"/>
        <v>-2.3380368730044343E-2</v>
      </c>
      <c r="BM207" s="850">
        <f t="shared" si="470"/>
        <v>4.6712987707108411E-2</v>
      </c>
      <c r="BN207" s="850">
        <f t="shared" si="470"/>
        <v>6.2460434690863043E-2</v>
      </c>
      <c r="BO207" s="851">
        <f t="shared" si="470"/>
        <v>2.0279499842387416E-2</v>
      </c>
      <c r="BP207" s="850">
        <f t="shared" si="470"/>
        <v>5.7175828787243033E-2</v>
      </c>
      <c r="BQ207" s="850">
        <f t="shared" si="470"/>
        <v>9.164733178654294E-2</v>
      </c>
      <c r="BR207" s="850">
        <f t="shared" si="470"/>
        <v>2.5531045751634007E-2</v>
      </c>
      <c r="BS207" s="850">
        <f t="shared" si="470"/>
        <v>3.6742800397219444E-2</v>
      </c>
      <c r="BT207" s="851">
        <f t="shared" si="470"/>
        <v>5.5921730175077178E-2</v>
      </c>
      <c r="BU207" s="850">
        <f t="shared" si="470"/>
        <v>3.0068472759749998E-2</v>
      </c>
      <c r="BV207" s="850">
        <f t="shared" si="470"/>
        <v>3.0142015264225774E-2</v>
      </c>
      <c r="BW207" s="850">
        <f t="shared" si="470"/>
        <v>8.3648675562636887E-2</v>
      </c>
      <c r="BX207" s="850">
        <f t="shared" si="470"/>
        <v>4.2049808429118762E-2</v>
      </c>
      <c r="BY207" s="851">
        <f t="shared" si="470"/>
        <v>4.6718033746220522E-2</v>
      </c>
      <c r="BZ207" s="850">
        <f t="shared" si="470"/>
        <v>6.4547206165703308E-2</v>
      </c>
      <c r="CA207" s="850">
        <f t="shared" si="470"/>
        <v>7.22123229860272E-3</v>
      </c>
      <c r="CB207" s="850">
        <f t="shared" si="470"/>
        <v>-4.5947436133063624E-3</v>
      </c>
      <c r="CC207" s="850">
        <f t="shared" si="470"/>
        <v>1.351227134846944E-2</v>
      </c>
      <c r="CD207" s="851">
        <f t="shared" si="470"/>
        <v>1.0156541185240453E-2</v>
      </c>
      <c r="CE207" s="850">
        <f t="shared" si="470"/>
        <v>8.4162895927601955E-3</v>
      </c>
      <c r="CF207" s="850">
        <f t="shared" si="470"/>
        <v>2.960893854748603E-2</v>
      </c>
      <c r="CG207" s="850">
        <f t="shared" si="470"/>
        <v>3.9050960118168332E-2</v>
      </c>
      <c r="CH207" s="850">
        <f t="shared" si="470"/>
        <v>3.6187193905314663E-2</v>
      </c>
      <c r="CI207" s="851">
        <f t="shared" si="470"/>
        <v>3.5974541093995116E-2</v>
      </c>
      <c r="CJ207" s="850">
        <f t="shared" si="470"/>
        <v>4.4960962038948171E-2</v>
      </c>
      <c r="CK207" s="850">
        <f t="shared" ref="CK207:DB207" si="471">CK280/CF317-1</f>
        <v>4.6210888044854403E-2</v>
      </c>
      <c r="CL207" s="850">
        <f t="shared" si="471"/>
        <v>1.1195024433584999E-2</v>
      </c>
      <c r="CM207" s="850">
        <f t="shared" si="471"/>
        <v>1.8118161925601672E-2</v>
      </c>
      <c r="CN207" s="851">
        <f t="shared" si="471"/>
        <v>2.9115840085477629E-2</v>
      </c>
      <c r="CO207" s="850">
        <f t="shared" si="471"/>
        <v>5.7883888698041952E-2</v>
      </c>
      <c r="CP207" s="850">
        <f t="shared" si="471"/>
        <v>8.9895410147808885E-3</v>
      </c>
      <c r="CQ207" s="850">
        <f t="shared" si="471"/>
        <v>1.1334680608031E-2</v>
      </c>
      <c r="CR207" s="850">
        <f t="shared" si="471"/>
        <v>2.8112104539202099E-2</v>
      </c>
      <c r="CS207" s="851">
        <f t="shared" si="471"/>
        <v>2.6994289669493021E-2</v>
      </c>
      <c r="CT207" s="850">
        <f t="shared" si="471"/>
        <v>-5.6015586945932228E-3</v>
      </c>
      <c r="CU207" s="850">
        <f t="shared" si="471"/>
        <v>5.9796110682772241E-2</v>
      </c>
      <c r="CV207" s="850">
        <f t="shared" si="471"/>
        <v>4.4396177237185031E-2</v>
      </c>
      <c r="CW207" s="850">
        <f t="shared" si="471"/>
        <v>3.0437327535747238E-2</v>
      </c>
      <c r="CX207" s="851">
        <f t="shared" si="471"/>
        <v>3.1255265374894758E-2</v>
      </c>
      <c r="CY207" s="850">
        <f t="shared" si="471"/>
        <v>-4.245244509755941E-3</v>
      </c>
      <c r="CZ207" s="850">
        <f t="shared" si="471"/>
        <v>3.2495352032980263E-2</v>
      </c>
      <c r="DA207" s="850">
        <f t="shared" si="471"/>
        <v>2.7784710090674736E-2</v>
      </c>
      <c r="DB207" s="850">
        <f t="shared" si="471"/>
        <v>1.0387081067921855E-2</v>
      </c>
      <c r="DC207" s="851"/>
      <c r="DD207" s="850"/>
      <c r="DE207" s="850"/>
      <c r="DF207" s="850"/>
      <c r="DG207" s="850"/>
      <c r="DH207" s="851"/>
      <c r="DI207" s="850">
        <f t="shared" ref="DI207:DW207" si="472">DI205/DD393-1</f>
        <v>3.0871561605192888E-2</v>
      </c>
      <c r="DJ207" s="850">
        <f t="shared" si="472"/>
        <v>5.669962889482516E-2</v>
      </c>
      <c r="DK207" s="850">
        <f t="shared" si="472"/>
        <v>4.6626380999987838E-2</v>
      </c>
      <c r="DL207" s="850">
        <f t="shared" si="472"/>
        <v>-3.9573725076121113E-2</v>
      </c>
      <c r="DM207" s="851">
        <f t="shared" si="472"/>
        <v>2.1154743374429685E-2</v>
      </c>
      <c r="DN207" s="850">
        <f t="shared" si="472"/>
        <v>4.6881414699838198E-2</v>
      </c>
      <c r="DO207" s="850">
        <f t="shared" si="472"/>
        <v>2.9937824807241498E-2</v>
      </c>
      <c r="DP207" s="850">
        <f t="shared" si="472"/>
        <v>2.2335611702936964E-2</v>
      </c>
      <c r="DQ207" s="850">
        <f t="shared" si="472"/>
        <v>3.7845769325505874E-2</v>
      </c>
      <c r="DR207" s="851">
        <f t="shared" si="472"/>
        <v>4.1455397036307406E-2</v>
      </c>
      <c r="DS207" s="850">
        <f t="shared" si="472"/>
        <v>1.161711896499118E-2</v>
      </c>
      <c r="DT207" s="850">
        <f t="shared" si="472"/>
        <v>1.3582323337113511E-2</v>
      </c>
      <c r="DU207" s="850">
        <f t="shared" si="472"/>
        <v>-3.1151121242607771E-2</v>
      </c>
      <c r="DV207" s="850">
        <f t="shared" si="472"/>
        <v>6.8479035052309456E-2</v>
      </c>
      <c r="DW207" s="851">
        <f t="shared" si="472"/>
        <v>1.6182702387697256E-2</v>
      </c>
      <c r="DX207" s="1170"/>
      <c r="DY207" s="1170"/>
      <c r="DZ207" s="1170"/>
      <c r="EA207" s="1170"/>
      <c r="EB207" s="851"/>
      <c r="EC207" s="1170"/>
      <c r="ED207" s="1170"/>
      <c r="EE207" s="1170"/>
      <c r="EF207" s="1170"/>
      <c r="EG207" s="851"/>
      <c r="EH207" s="1170"/>
      <c r="EI207" s="1170"/>
      <c r="EJ207" s="1170"/>
      <c r="EK207" s="1170"/>
      <c r="EL207" s="851"/>
    </row>
    <row r="208" spans="1:142" ht="11.25" customHeight="1">
      <c r="A208" s="1056"/>
      <c r="B208" s="1056"/>
      <c r="C208" s="930"/>
      <c r="D208" s="930"/>
      <c r="E208" s="930"/>
      <c r="F208" s="930"/>
      <c r="G208" s="930"/>
      <c r="H208" s="844"/>
      <c r="I208" s="930"/>
      <c r="J208" s="930"/>
      <c r="K208" s="930"/>
      <c r="L208" s="930"/>
      <c r="M208" s="844"/>
      <c r="N208" s="930"/>
      <c r="O208" s="930"/>
      <c r="P208" s="930"/>
      <c r="Q208" s="930"/>
      <c r="R208" s="844"/>
      <c r="S208" s="930"/>
      <c r="T208" s="930"/>
      <c r="U208" s="930"/>
      <c r="V208" s="930"/>
      <c r="W208" s="844"/>
      <c r="X208" s="930"/>
      <c r="Y208" s="930"/>
      <c r="Z208" s="930"/>
      <c r="AA208" s="930"/>
      <c r="AB208" s="844"/>
      <c r="AC208" s="930"/>
      <c r="AD208" s="930"/>
      <c r="AE208" s="930"/>
      <c r="AF208" s="930"/>
      <c r="AG208" s="844"/>
      <c r="AH208" s="930"/>
      <c r="AI208" s="930"/>
      <c r="AJ208" s="930"/>
      <c r="AK208" s="930"/>
      <c r="AL208" s="844"/>
      <c r="AM208" s="930"/>
      <c r="AN208" s="930"/>
      <c r="AO208" s="930"/>
      <c r="AP208" s="930"/>
      <c r="AQ208" s="844"/>
      <c r="AR208" s="930"/>
      <c r="AS208" s="930"/>
      <c r="AT208" s="930"/>
      <c r="AU208" s="802"/>
      <c r="AV208" s="930"/>
      <c r="AW208" s="930"/>
      <c r="AX208" s="930"/>
      <c r="AY208" s="930"/>
      <c r="AZ208" s="844"/>
      <c r="BA208" s="930"/>
      <c r="BB208" s="930"/>
      <c r="BC208" s="930"/>
      <c r="BD208" s="930"/>
      <c r="BE208" s="844"/>
      <c r="BF208" s="930"/>
      <c r="BG208" s="930"/>
      <c r="BH208" s="930"/>
      <c r="BI208" s="930"/>
      <c r="BJ208" s="844"/>
      <c r="BK208" s="930"/>
      <c r="BL208" s="930"/>
      <c r="BM208" s="930"/>
      <c r="BN208" s="930"/>
      <c r="BO208" s="844"/>
      <c r="BP208" s="930"/>
      <c r="BQ208" s="930"/>
      <c r="BR208" s="930"/>
      <c r="BS208" s="930"/>
      <c r="BT208" s="844"/>
      <c r="BU208" s="930"/>
      <c r="BV208" s="930"/>
      <c r="BW208" s="930"/>
      <c r="BX208" s="930"/>
      <c r="BY208" s="844"/>
      <c r="BZ208" s="930"/>
      <c r="CA208" s="930"/>
      <c r="CB208" s="930"/>
      <c r="CC208" s="930"/>
      <c r="CD208" s="844"/>
      <c r="CE208" s="930"/>
      <c r="CF208" s="930"/>
      <c r="CG208" s="930"/>
      <c r="CH208" s="930"/>
      <c r="CI208" s="844"/>
      <c r="CJ208" s="930"/>
      <c r="CK208" s="930"/>
      <c r="CL208" s="930"/>
      <c r="CM208" s="930"/>
      <c r="CN208" s="844"/>
      <c r="CO208" s="930"/>
      <c r="CP208" s="930"/>
      <c r="CQ208" s="930"/>
      <c r="CR208" s="930"/>
      <c r="CS208" s="844"/>
      <c r="CT208" s="930"/>
      <c r="CU208" s="930"/>
      <c r="CV208" s="930"/>
      <c r="CW208" s="930"/>
      <c r="CX208" s="844"/>
      <c r="CY208" s="930"/>
      <c r="CZ208" s="930"/>
      <c r="DA208" s="930"/>
      <c r="DB208" s="930"/>
      <c r="DC208" s="844"/>
      <c r="DD208" s="930"/>
      <c r="DE208" s="930"/>
      <c r="DF208" s="930"/>
      <c r="DG208" s="930"/>
      <c r="DH208" s="844"/>
      <c r="DI208" s="930"/>
      <c r="DJ208" s="930"/>
      <c r="DK208" s="930"/>
      <c r="DL208" s="930"/>
      <c r="DM208" s="844"/>
      <c r="DN208" s="930"/>
      <c r="DO208" s="930"/>
      <c r="DP208" s="930"/>
      <c r="DQ208" s="930"/>
      <c r="DR208" s="844"/>
      <c r="DS208" s="930"/>
      <c r="DT208" s="930"/>
      <c r="DU208" s="930"/>
      <c r="DV208" s="930"/>
      <c r="DW208" s="844"/>
      <c r="DX208" s="930"/>
      <c r="DY208" s="930"/>
      <c r="DZ208" s="930"/>
      <c r="EA208" s="930"/>
      <c r="EB208" s="844"/>
      <c r="EC208" s="930"/>
      <c r="ED208" s="930"/>
      <c r="EE208" s="930"/>
      <c r="EF208" s="930"/>
      <c r="EG208" s="844"/>
      <c r="EH208" s="930"/>
      <c r="EI208" s="930"/>
      <c r="EJ208" s="930"/>
      <c r="EK208" s="930"/>
      <c r="EL208" s="844"/>
    </row>
    <row r="209" spans="1:142" ht="11.25" customHeight="1">
      <c r="A209" s="846"/>
      <c r="B209" s="846" t="s">
        <v>173</v>
      </c>
      <c r="C209" s="1166"/>
      <c r="D209" s="1166" t="str">
        <f t="shared" ref="D209:AT209" si="473">IF(ISERROR(((D143+D138)/D167)*1000000),"nm",((D143+D138)/D167)*1000000)</f>
        <v>nm</v>
      </c>
      <c r="E209" s="1166" t="str">
        <f t="shared" si="473"/>
        <v>nm</v>
      </c>
      <c r="F209" s="1166" t="str">
        <f t="shared" si="473"/>
        <v>nm</v>
      </c>
      <c r="G209" s="1166" t="str">
        <f t="shared" si="473"/>
        <v>nm</v>
      </c>
      <c r="H209" s="1167" t="str">
        <f t="shared" si="473"/>
        <v>nm</v>
      </c>
      <c r="I209" s="1166" t="str">
        <f t="shared" si="473"/>
        <v>nm</v>
      </c>
      <c r="J209" s="1166" t="str">
        <f t="shared" si="473"/>
        <v>nm</v>
      </c>
      <c r="K209" s="1166" t="str">
        <f t="shared" si="473"/>
        <v>nm</v>
      </c>
      <c r="L209" s="1166" t="str">
        <f t="shared" si="473"/>
        <v>nm</v>
      </c>
      <c r="M209" s="1167" t="str">
        <f t="shared" si="473"/>
        <v>nm</v>
      </c>
      <c r="N209" s="1166" t="str">
        <f t="shared" si="473"/>
        <v>nm</v>
      </c>
      <c r="O209" s="1166" t="str">
        <f t="shared" si="473"/>
        <v>nm</v>
      </c>
      <c r="P209" s="1166" t="str">
        <f t="shared" si="473"/>
        <v>nm</v>
      </c>
      <c r="Q209" s="1166" t="str">
        <f t="shared" si="473"/>
        <v>nm</v>
      </c>
      <c r="R209" s="1167" t="str">
        <f t="shared" si="473"/>
        <v>nm</v>
      </c>
      <c r="S209" s="1166" t="str">
        <f t="shared" si="473"/>
        <v>nm</v>
      </c>
      <c r="T209" s="1166" t="str">
        <f t="shared" si="473"/>
        <v>nm</v>
      </c>
      <c r="U209" s="1166" t="str">
        <f t="shared" si="473"/>
        <v>nm</v>
      </c>
      <c r="V209" s="1166" t="str">
        <f t="shared" si="473"/>
        <v>nm</v>
      </c>
      <c r="W209" s="1167" t="str">
        <f t="shared" si="473"/>
        <v>nm</v>
      </c>
      <c r="X209" s="1166" t="str">
        <f t="shared" si="473"/>
        <v>nm</v>
      </c>
      <c r="Y209" s="1166" t="str">
        <f t="shared" si="473"/>
        <v>nm</v>
      </c>
      <c r="Z209" s="1166" t="str">
        <f t="shared" si="473"/>
        <v>nm</v>
      </c>
      <c r="AA209" s="1166" t="str">
        <f t="shared" si="473"/>
        <v>nm</v>
      </c>
      <c r="AB209" s="1167" t="str">
        <f t="shared" si="473"/>
        <v>nm</v>
      </c>
      <c r="AC209" s="1166" t="str">
        <f t="shared" si="473"/>
        <v>nm</v>
      </c>
      <c r="AD209" s="1166" t="str">
        <f t="shared" si="473"/>
        <v>nm</v>
      </c>
      <c r="AE209" s="1166" t="str">
        <f t="shared" si="473"/>
        <v>nm</v>
      </c>
      <c r="AF209" s="1166" t="str">
        <f t="shared" si="473"/>
        <v>nm</v>
      </c>
      <c r="AG209" s="1167" t="str">
        <f t="shared" si="473"/>
        <v>nm</v>
      </c>
      <c r="AH209" s="1166" t="str">
        <f t="shared" si="473"/>
        <v>nm</v>
      </c>
      <c r="AI209" s="1166" t="str">
        <f t="shared" si="473"/>
        <v>nm</v>
      </c>
      <c r="AJ209" s="1166" t="str">
        <f t="shared" si="473"/>
        <v>nm</v>
      </c>
      <c r="AK209" s="1166" t="str">
        <f t="shared" si="473"/>
        <v>nm</v>
      </c>
      <c r="AL209" s="1167" t="str">
        <f t="shared" si="473"/>
        <v>nm</v>
      </c>
      <c r="AM209" s="1166" t="str">
        <f t="shared" si="473"/>
        <v>nm</v>
      </c>
      <c r="AN209" s="1166" t="str">
        <f t="shared" si="473"/>
        <v>nm</v>
      </c>
      <c r="AO209" s="1166" t="str">
        <f t="shared" si="473"/>
        <v>nm</v>
      </c>
      <c r="AP209" s="1166" t="str">
        <f t="shared" si="473"/>
        <v>nm</v>
      </c>
      <c r="AQ209" s="1167" t="str">
        <f t="shared" si="473"/>
        <v>nm</v>
      </c>
      <c r="AR209" s="1166" t="str">
        <f t="shared" si="473"/>
        <v>nm</v>
      </c>
      <c r="AS209" s="1166" t="str">
        <f t="shared" si="473"/>
        <v>nm</v>
      </c>
      <c r="AT209" s="1166" t="str">
        <f t="shared" si="473"/>
        <v>nm</v>
      </c>
      <c r="AU209" s="802"/>
      <c r="AV209" s="1166" t="str">
        <f t="shared" ref="AV209:BE209" si="474">IF(ISERROR(((AV143+AV138)/AV167)*1000000),"nm",((AV143+AV138)/AV167)*1000000)</f>
        <v>nm</v>
      </c>
      <c r="AW209" s="1166" t="str">
        <f t="shared" si="474"/>
        <v>nm</v>
      </c>
      <c r="AX209" s="1166" t="str">
        <f t="shared" si="474"/>
        <v>nm</v>
      </c>
      <c r="AY209" s="1166" t="str">
        <f t="shared" si="474"/>
        <v>nm</v>
      </c>
      <c r="AZ209" s="1167" t="str">
        <f t="shared" si="474"/>
        <v>nm</v>
      </c>
      <c r="BA209" s="1166">
        <f t="shared" si="474"/>
        <v>9748.8438489791661</v>
      </c>
      <c r="BB209" s="1166">
        <f t="shared" si="474"/>
        <v>9661.0615374846166</v>
      </c>
      <c r="BC209" s="1166">
        <f t="shared" si="474"/>
        <v>9438.6905279964467</v>
      </c>
      <c r="BD209" s="1166">
        <f t="shared" si="474"/>
        <v>9110.6914620877687</v>
      </c>
      <c r="BE209" s="1167">
        <f t="shared" si="474"/>
        <v>9493.932201566513</v>
      </c>
      <c r="BF209" s="1169">
        <f t="shared" ref="BF209:CK209" si="475">((BF143+BF138)/BF167)*1000000</f>
        <v>10044.581859633507</v>
      </c>
      <c r="BG209" s="1169">
        <f t="shared" si="475"/>
        <v>10037.615670217001</v>
      </c>
      <c r="BH209" s="1169">
        <f t="shared" si="475"/>
        <v>9709.29992143241</v>
      </c>
      <c r="BI209" s="1169">
        <f t="shared" si="475"/>
        <v>9706.2996772937895</v>
      </c>
      <c r="BJ209" s="1168">
        <f t="shared" si="475"/>
        <v>9709.2909115137245</v>
      </c>
      <c r="BK209" s="1169">
        <f t="shared" si="475"/>
        <v>9708.9334273340719</v>
      </c>
      <c r="BL209" s="1169">
        <f t="shared" si="475"/>
        <v>9697.7230163463992</v>
      </c>
      <c r="BM209" s="1169">
        <f t="shared" si="475"/>
        <v>9906.8898110360442</v>
      </c>
      <c r="BN209" s="1169">
        <f t="shared" si="475"/>
        <v>10000.717218626169</v>
      </c>
      <c r="BO209" s="1168">
        <f t="shared" si="475"/>
        <v>9823.9171135452943</v>
      </c>
      <c r="BP209" s="1169">
        <f t="shared" si="475"/>
        <v>10031.882617117195</v>
      </c>
      <c r="BQ209" s="1169">
        <f t="shared" si="475"/>
        <v>10320.562939796717</v>
      </c>
      <c r="BR209" s="1169">
        <f t="shared" si="475"/>
        <v>10079.55987732667</v>
      </c>
      <c r="BS209" s="1169">
        <f t="shared" si="475"/>
        <v>10381.200019624197</v>
      </c>
      <c r="BT209" s="1168">
        <f t="shared" si="475"/>
        <v>9961.9217945908804</v>
      </c>
      <c r="BU209" s="1169">
        <f t="shared" si="475"/>
        <v>10483.170622310019</v>
      </c>
      <c r="BV209" s="1169">
        <f t="shared" si="475"/>
        <v>10639.976333694902</v>
      </c>
      <c r="BW209" s="1169">
        <f t="shared" si="475"/>
        <v>10795.471759086273</v>
      </c>
      <c r="BX209" s="1169">
        <f t="shared" si="475"/>
        <v>10818.573955910708</v>
      </c>
      <c r="BY209" s="1168">
        <f t="shared" si="475"/>
        <v>10542.487815215089</v>
      </c>
      <c r="BZ209" s="1169">
        <f t="shared" si="475"/>
        <v>11070.839880085983</v>
      </c>
      <c r="CA209" s="1169">
        <f t="shared" si="475"/>
        <v>10786.509957958695</v>
      </c>
      <c r="CB209" s="1169">
        <f t="shared" si="475"/>
        <v>10778.064201577808</v>
      </c>
      <c r="CC209" s="1169">
        <f t="shared" si="475"/>
        <v>10905.81436294716</v>
      </c>
      <c r="CD209" s="1168">
        <f t="shared" si="475"/>
        <v>10581.675246003668</v>
      </c>
      <c r="CE209" s="1169">
        <f t="shared" si="475"/>
        <v>10981.544210957563</v>
      </c>
      <c r="CF209" s="1169">
        <f t="shared" si="475"/>
        <v>10935.79367428379</v>
      </c>
      <c r="CG209" s="1169">
        <f t="shared" si="475"/>
        <v>11031.425615223874</v>
      </c>
      <c r="CH209" s="1169">
        <f t="shared" si="475"/>
        <v>11237.640923224975</v>
      </c>
      <c r="CI209" s="1168">
        <f t="shared" si="475"/>
        <v>11045.579543301901</v>
      </c>
      <c r="CJ209" s="1169">
        <f t="shared" si="475"/>
        <v>11484.924122934628</v>
      </c>
      <c r="CK209" s="1169">
        <f t="shared" si="475"/>
        <v>11348.47147227298</v>
      </c>
      <c r="CL209" s="1169">
        <f t="shared" ref="CL209:DQ209" si="476">((CL143+CL138)/CL167)*1000000</f>
        <v>11173.645892497547</v>
      </c>
      <c r="CM209" s="1169">
        <f t="shared" si="476"/>
        <v>11370.544776350092</v>
      </c>
      <c r="CN209" s="1168">
        <f t="shared" si="476"/>
        <v>11344.821163640569</v>
      </c>
      <c r="CO209" s="1169">
        <f t="shared" si="476"/>
        <v>11845.497039891827</v>
      </c>
      <c r="CP209" s="1169">
        <f t="shared" si="476"/>
        <v>11362.523263786854</v>
      </c>
      <c r="CQ209" s="1169">
        <f t="shared" si="476"/>
        <v>11171.235862847177</v>
      </c>
      <c r="CR209" s="1169">
        <f t="shared" si="476"/>
        <v>11542.573244986597</v>
      </c>
      <c r="CS209" s="1168">
        <f t="shared" si="476"/>
        <v>11481.668559765956</v>
      </c>
      <c r="CT209" s="1169">
        <f t="shared" si="476"/>
        <v>11697.722567287785</v>
      </c>
      <c r="CU209" s="1169">
        <f t="shared" si="476"/>
        <v>11877.196189547662</v>
      </c>
      <c r="CV209" s="1169">
        <f t="shared" si="476"/>
        <v>11578.638675686881</v>
      </c>
      <c r="CW209" s="1169">
        <f t="shared" si="476"/>
        <v>11866.294705575403</v>
      </c>
      <c r="CX209" s="1168">
        <f t="shared" si="476"/>
        <v>11754.681417639425</v>
      </c>
      <c r="CY209" s="1169">
        <f t="shared" si="476"/>
        <v>11883.742695975514</v>
      </c>
      <c r="CZ209" s="1169">
        <f t="shared" si="476"/>
        <v>12208.350388866147</v>
      </c>
      <c r="DA209" s="1169">
        <f t="shared" si="476"/>
        <v>11928.17682365916</v>
      </c>
      <c r="DB209" s="1169">
        <f t="shared" si="476"/>
        <v>11459.389693002673</v>
      </c>
      <c r="DC209" s="1168">
        <f t="shared" si="476"/>
        <v>11811.737661645231</v>
      </c>
      <c r="DD209" s="1169">
        <f t="shared" si="476"/>
        <v>11692.041629350546</v>
      </c>
      <c r="DE209" s="1169">
        <f t="shared" si="476"/>
        <v>11380.437262413743</v>
      </c>
      <c r="DF209" s="1169">
        <f t="shared" si="476"/>
        <v>11290.187311842261</v>
      </c>
      <c r="DG209" s="1169">
        <f t="shared" si="476"/>
        <v>12243.020213347136</v>
      </c>
      <c r="DH209" s="1168">
        <f t="shared" si="476"/>
        <v>11653.292946469692</v>
      </c>
      <c r="DI209" s="1169">
        <f t="shared" si="476"/>
        <v>11659.794312475668</v>
      </c>
      <c r="DJ209" s="1169">
        <f t="shared" si="476"/>
        <v>11763.796036915463</v>
      </c>
      <c r="DK209" s="1169">
        <f t="shared" si="476"/>
        <v>11687.972571013373</v>
      </c>
      <c r="DL209" s="1169">
        <f t="shared" si="476"/>
        <v>11699.113426560643</v>
      </c>
      <c r="DM209" s="1168">
        <f t="shared" si="476"/>
        <v>11702.495620333997</v>
      </c>
      <c r="DN209" s="1169">
        <f t="shared" si="476"/>
        <v>12148.529078121455</v>
      </c>
      <c r="DO209" s="1169">
        <f t="shared" si="476"/>
        <v>11793.117209324162</v>
      </c>
      <c r="DP209" s="1169">
        <f t="shared" si="476"/>
        <v>11870.956928700125</v>
      </c>
      <c r="DQ209" s="1169">
        <f t="shared" si="476"/>
        <v>12444.391797625627</v>
      </c>
      <c r="DR209" s="1168">
        <f t="shared" ref="DR209:EL209" si="477">((DR143+DR138)/DR167)*1000000</f>
        <v>12057.265007794438</v>
      </c>
      <c r="DS209" s="1169">
        <f t="shared" si="477"/>
        <v>11981.550532807889</v>
      </c>
      <c r="DT209" s="1169">
        <f t="shared" si="477"/>
        <v>12014.944256731613</v>
      </c>
      <c r="DU209" s="1169">
        <f t="shared" si="477"/>
        <v>11772.920101863656</v>
      </c>
      <c r="DV209" s="1169">
        <f t="shared" si="477"/>
        <v>12715.141989861169</v>
      </c>
      <c r="DW209" s="1168">
        <f t="shared" si="477"/>
        <v>12119.601469767626</v>
      </c>
      <c r="DX209" s="1169">
        <f t="shared" ca="1" si="477"/>
        <v>12464.835573459666</v>
      </c>
      <c r="DY209" s="1169">
        <f t="shared" ca="1" si="477"/>
        <v>12615.830446022019</v>
      </c>
      <c r="DZ209" s="1169">
        <f t="shared" ca="1" si="477"/>
        <v>12260.639298629767</v>
      </c>
      <c r="EA209" s="1169">
        <f t="shared" ca="1" si="477"/>
        <v>13501.063245492296</v>
      </c>
      <c r="EB209" s="1168">
        <f t="shared" ca="1" si="477"/>
        <v>12699.570187004703</v>
      </c>
      <c r="EC209" s="1169">
        <f t="shared" si="477"/>
        <v>12546.490089926263</v>
      </c>
      <c r="ED209" s="1169">
        <f t="shared" si="477"/>
        <v>12675.569217898121</v>
      </c>
      <c r="EE209" s="1169">
        <f t="shared" si="477"/>
        <v>12148.129861445779</v>
      </c>
      <c r="EF209" s="1169">
        <f t="shared" si="477"/>
        <v>13171.561417957868</v>
      </c>
      <c r="EG209" s="1168">
        <f t="shared" si="477"/>
        <v>12635.721243810256</v>
      </c>
      <c r="EH209" s="1169">
        <f t="shared" si="477"/>
        <v>12520.893609048906</v>
      </c>
      <c r="EI209" s="1169">
        <f t="shared" si="477"/>
        <v>12662.282102741963</v>
      </c>
      <c r="EJ209" s="1169">
        <f t="shared" si="477"/>
        <v>12149.603052385557</v>
      </c>
      <c r="EK209" s="1169">
        <f t="shared" si="477"/>
        <v>13188.308155317003</v>
      </c>
      <c r="EL209" s="1168">
        <f t="shared" si="477"/>
        <v>12630.172258278842</v>
      </c>
    </row>
    <row r="210" spans="1:142" s="680" customFormat="1" ht="11.25" customHeight="1">
      <c r="A210" s="1122"/>
      <c r="B210" s="1122" t="s">
        <v>133</v>
      </c>
      <c r="C210" s="1010"/>
      <c r="D210" s="1010" t="str">
        <f>IF(ISERROR(D209/#REF!-1),"nm",D209/#REF!-1)</f>
        <v>nm</v>
      </c>
      <c r="E210" s="1010" t="str">
        <f>IF(ISERROR(E209/#REF!-1),"nm",E209/#REF!-1)</f>
        <v>nm</v>
      </c>
      <c r="F210" s="1010" t="str">
        <f>IF(ISERROR(F209/#REF!-1),"nm",F209/#REF!-1)</f>
        <v>nm</v>
      </c>
      <c r="G210" s="1010" t="str">
        <f t="shared" ref="G210:AT210" si="478">IF(ISERROR(G209/B209-1),"nm",G209/B209-1)</f>
        <v>nm</v>
      </c>
      <c r="H210" s="1011" t="str">
        <f t="shared" si="478"/>
        <v>nm</v>
      </c>
      <c r="I210" s="1010" t="str">
        <f t="shared" si="478"/>
        <v>nm</v>
      </c>
      <c r="J210" s="1010" t="str">
        <f t="shared" si="478"/>
        <v>nm</v>
      </c>
      <c r="K210" s="1010" t="str">
        <f t="shared" si="478"/>
        <v>nm</v>
      </c>
      <c r="L210" s="1010" t="str">
        <f t="shared" si="478"/>
        <v>nm</v>
      </c>
      <c r="M210" s="1011" t="str">
        <f t="shared" si="478"/>
        <v>nm</v>
      </c>
      <c r="N210" s="1010" t="str">
        <f t="shared" si="478"/>
        <v>nm</v>
      </c>
      <c r="O210" s="1010" t="str">
        <f t="shared" si="478"/>
        <v>nm</v>
      </c>
      <c r="P210" s="1010" t="str">
        <f t="shared" si="478"/>
        <v>nm</v>
      </c>
      <c r="Q210" s="1010" t="str">
        <f t="shared" si="478"/>
        <v>nm</v>
      </c>
      <c r="R210" s="1011" t="str">
        <f t="shared" si="478"/>
        <v>nm</v>
      </c>
      <c r="S210" s="1010" t="str">
        <f t="shared" si="478"/>
        <v>nm</v>
      </c>
      <c r="T210" s="1010" t="str">
        <f t="shared" si="478"/>
        <v>nm</v>
      </c>
      <c r="U210" s="1010" t="str">
        <f t="shared" si="478"/>
        <v>nm</v>
      </c>
      <c r="V210" s="1010" t="str">
        <f t="shared" si="478"/>
        <v>nm</v>
      </c>
      <c r="W210" s="1011" t="str">
        <f t="shared" si="478"/>
        <v>nm</v>
      </c>
      <c r="X210" s="1010" t="str">
        <f t="shared" si="478"/>
        <v>nm</v>
      </c>
      <c r="Y210" s="1010" t="str">
        <f t="shared" si="478"/>
        <v>nm</v>
      </c>
      <c r="Z210" s="1010" t="str">
        <f t="shared" si="478"/>
        <v>nm</v>
      </c>
      <c r="AA210" s="1010" t="str">
        <f t="shared" si="478"/>
        <v>nm</v>
      </c>
      <c r="AB210" s="1011" t="str">
        <f t="shared" si="478"/>
        <v>nm</v>
      </c>
      <c r="AC210" s="1010" t="str">
        <f t="shared" si="478"/>
        <v>nm</v>
      </c>
      <c r="AD210" s="1010" t="str">
        <f t="shared" si="478"/>
        <v>nm</v>
      </c>
      <c r="AE210" s="1010" t="str">
        <f t="shared" si="478"/>
        <v>nm</v>
      </c>
      <c r="AF210" s="1010" t="str">
        <f t="shared" si="478"/>
        <v>nm</v>
      </c>
      <c r="AG210" s="1011" t="str">
        <f t="shared" si="478"/>
        <v>nm</v>
      </c>
      <c r="AH210" s="1010" t="str">
        <f t="shared" si="478"/>
        <v>nm</v>
      </c>
      <c r="AI210" s="1010" t="str">
        <f t="shared" si="478"/>
        <v>nm</v>
      </c>
      <c r="AJ210" s="1010" t="str">
        <f t="shared" si="478"/>
        <v>nm</v>
      </c>
      <c r="AK210" s="1010" t="str">
        <f t="shared" si="478"/>
        <v>nm</v>
      </c>
      <c r="AL210" s="1011" t="str">
        <f t="shared" si="478"/>
        <v>nm</v>
      </c>
      <c r="AM210" s="1010" t="str">
        <f t="shared" si="478"/>
        <v>nm</v>
      </c>
      <c r="AN210" s="1010" t="str">
        <f t="shared" si="478"/>
        <v>nm</v>
      </c>
      <c r="AO210" s="1010" t="str">
        <f t="shared" si="478"/>
        <v>nm</v>
      </c>
      <c r="AP210" s="1010" t="str">
        <f t="shared" si="478"/>
        <v>nm</v>
      </c>
      <c r="AQ210" s="1011" t="str">
        <f t="shared" si="478"/>
        <v>nm</v>
      </c>
      <c r="AR210" s="1010" t="str">
        <f t="shared" si="478"/>
        <v>nm</v>
      </c>
      <c r="AS210" s="1010" t="str">
        <f t="shared" si="478"/>
        <v>nm</v>
      </c>
      <c r="AT210" s="1010" t="str">
        <f t="shared" si="478"/>
        <v>nm</v>
      </c>
      <c r="AU210" s="802"/>
      <c r="AV210" s="1012"/>
      <c r="AW210" s="1012"/>
      <c r="AX210" s="1012"/>
      <c r="AY210" s="1012"/>
      <c r="AZ210" s="1011"/>
      <c r="BA210" s="1012"/>
      <c r="BB210" s="1012"/>
      <c r="BC210" s="1012"/>
      <c r="BD210" s="1012"/>
      <c r="BE210" s="1011"/>
      <c r="BF210" s="850">
        <f t="shared" ref="BF210:CK210" si="479">BF209/BA131-1</f>
        <v>3.0335700851881864E-2</v>
      </c>
      <c r="BG210" s="850">
        <f t="shared" si="479"/>
        <v>3.8976475956743029E-2</v>
      </c>
      <c r="BH210" s="850">
        <f t="shared" si="479"/>
        <v>2.8670226302398572E-2</v>
      </c>
      <c r="BI210" s="1010">
        <f t="shared" si="479"/>
        <v>6.5374644469579524E-2</v>
      </c>
      <c r="BJ210" s="851">
        <f t="shared" si="479"/>
        <v>2.2683826403529395E-2</v>
      </c>
      <c r="BK210" s="850">
        <f t="shared" si="479"/>
        <v>-3.3415869071495741E-2</v>
      </c>
      <c r="BL210" s="850">
        <f t="shared" si="479"/>
        <v>-3.3861891612279038E-2</v>
      </c>
      <c r="BM210" s="850">
        <f t="shared" si="479"/>
        <v>2.0350580495249959E-2</v>
      </c>
      <c r="BN210" s="850">
        <f t="shared" si="479"/>
        <v>3.0332624287411791E-2</v>
      </c>
      <c r="BO210" s="851">
        <f t="shared" si="479"/>
        <v>-5.4899997871491468E-3</v>
      </c>
      <c r="BP210" s="850">
        <f t="shared" si="479"/>
        <v>3.3263096528595826E-2</v>
      </c>
      <c r="BQ210" s="850">
        <f t="shared" si="479"/>
        <v>6.4225377689222984E-2</v>
      </c>
      <c r="BR210" s="850">
        <f t="shared" si="479"/>
        <v>1.7429291087731169E-2</v>
      </c>
      <c r="BS210" s="850">
        <f t="shared" si="479"/>
        <v>3.8045551401991951E-2</v>
      </c>
      <c r="BT210" s="851">
        <f t="shared" si="479"/>
        <v>1.4047826284619536E-2</v>
      </c>
      <c r="BU210" s="850">
        <f t="shared" si="479"/>
        <v>4.4985375369404723E-2</v>
      </c>
      <c r="BV210" s="850">
        <f t="shared" si="479"/>
        <v>3.0949222029983181E-2</v>
      </c>
      <c r="BW210" s="850">
        <f t="shared" si="479"/>
        <v>7.1026105353072078E-2</v>
      </c>
      <c r="BX210" s="850">
        <f t="shared" si="479"/>
        <v>4.2131346613081044E-2</v>
      </c>
      <c r="BY210" s="851">
        <f t="shared" si="479"/>
        <v>3.3818884982964814E-2</v>
      </c>
      <c r="BZ210" s="850">
        <f t="shared" si="479"/>
        <v>5.6058350946354141E-2</v>
      </c>
      <c r="CA210" s="850">
        <f t="shared" si="479"/>
        <v>1.3771987800362595E-2</v>
      </c>
      <c r="CB210" s="850">
        <f t="shared" si="479"/>
        <v>-1.6124869664739805E-3</v>
      </c>
      <c r="CC210" s="850">
        <f t="shared" si="479"/>
        <v>8.063947003734917E-3</v>
      </c>
      <c r="CD210" s="851">
        <f t="shared" si="479"/>
        <v>-9.3648000492151384E-3</v>
      </c>
      <c r="CE210" s="850">
        <f t="shared" si="479"/>
        <v>-8.0658441541587855E-3</v>
      </c>
      <c r="CF210" s="850">
        <f t="shared" si="479"/>
        <v>1.3839853382321188E-2</v>
      </c>
      <c r="CG210" s="850">
        <f t="shared" si="479"/>
        <v>2.3507135317395456E-2</v>
      </c>
      <c r="CH210" s="850">
        <f t="shared" si="479"/>
        <v>3.0426573315350591E-2</v>
      </c>
      <c r="CI210" s="851">
        <f t="shared" si="479"/>
        <v>1.4432968927339695E-2</v>
      </c>
      <c r="CJ210" s="850">
        <f t="shared" si="479"/>
        <v>4.5838718335694972E-2</v>
      </c>
      <c r="CK210" s="850">
        <f t="shared" si="479"/>
        <v>3.7736428674548739E-2</v>
      </c>
      <c r="CL210" s="850">
        <f t="shared" ref="CL210:DH210" si="480">CL209/CG131-1</f>
        <v>1.2892284482016736E-2</v>
      </c>
      <c r="CM210" s="850">
        <f t="shared" si="480"/>
        <v>1.182666842917568E-2</v>
      </c>
      <c r="CN210" s="851">
        <f t="shared" si="480"/>
        <v>2.7091527354047074E-2</v>
      </c>
      <c r="CO210" s="850">
        <f t="shared" si="480"/>
        <v>3.1395324261408009E-2</v>
      </c>
      <c r="CP210" s="850">
        <f t="shared" si="480"/>
        <v>1.238210057469491E-3</v>
      </c>
      <c r="CQ210" s="850">
        <f t="shared" si="480"/>
        <v>-2.1568874417143835E-4</v>
      </c>
      <c r="CR210" s="850">
        <f t="shared" si="480"/>
        <v>1.5129307523972901E-2</v>
      </c>
      <c r="CS210" s="851">
        <f t="shared" si="480"/>
        <v>1.2062543265465964E-2</v>
      </c>
      <c r="CT210" s="850">
        <f t="shared" si="480"/>
        <v>-1.247516014789285E-2</v>
      </c>
      <c r="CU210" s="850">
        <f t="shared" si="480"/>
        <v>4.5295654302518029E-2</v>
      </c>
      <c r="CV210" s="850">
        <f t="shared" si="480"/>
        <v>3.6468911572678175E-2</v>
      </c>
      <c r="CW210" s="850">
        <f t="shared" si="480"/>
        <v>2.8045865832336148E-2</v>
      </c>
      <c r="CX210" s="851">
        <f t="shared" si="480"/>
        <v>2.3778151794954239E-2</v>
      </c>
      <c r="CY210" s="850">
        <f t="shared" si="480"/>
        <v>1.5902251709057236E-2</v>
      </c>
      <c r="CZ210" s="850">
        <f t="shared" si="480"/>
        <v>2.7881512945783671E-2</v>
      </c>
      <c r="DA210" s="850">
        <f t="shared" si="480"/>
        <v>3.0188190318629404E-2</v>
      </c>
      <c r="DB210" s="850">
        <f t="shared" si="480"/>
        <v>-3.4290823097587908E-2</v>
      </c>
      <c r="DC210" s="851">
        <f t="shared" si="480"/>
        <v>4.8539166633803088E-3</v>
      </c>
      <c r="DD210" s="850">
        <f t="shared" si="480"/>
        <v>-1.6131371364165314E-2</v>
      </c>
      <c r="DE210" s="850">
        <f t="shared" si="480"/>
        <v>-6.7815314934559057E-2</v>
      </c>
      <c r="DF210" s="850">
        <f t="shared" si="480"/>
        <v>-5.3485920040308832E-2</v>
      </c>
      <c r="DG210" s="850">
        <f t="shared" si="480"/>
        <v>6.8383268336093206E-2</v>
      </c>
      <c r="DH210" s="851">
        <f t="shared" si="480"/>
        <v>-1.3414174926186906E-2</v>
      </c>
      <c r="DI210" s="850">
        <f t="shared" ref="DI210:DW210" si="481">DI209/DD209-1</f>
        <v>-2.7580569670507815E-3</v>
      </c>
      <c r="DJ210" s="850">
        <f t="shared" si="481"/>
        <v>3.3685768451783504E-2</v>
      </c>
      <c r="DK210" s="850">
        <f t="shared" si="481"/>
        <v>3.5232830792264691E-2</v>
      </c>
      <c r="DL210" s="850">
        <f t="shared" si="481"/>
        <v>-4.4425866927307212E-2</v>
      </c>
      <c r="DM210" s="851">
        <f t="shared" si="481"/>
        <v>4.2222120468713431E-3</v>
      </c>
      <c r="DN210" s="850">
        <f t="shared" si="481"/>
        <v>4.1916242478038823E-2</v>
      </c>
      <c r="DO210" s="850">
        <f t="shared" si="481"/>
        <v>2.4924924162819106E-3</v>
      </c>
      <c r="DP210" s="850">
        <f t="shared" si="481"/>
        <v>1.5655782606861957E-2</v>
      </c>
      <c r="DQ210" s="850">
        <f t="shared" si="481"/>
        <v>6.3703833264234344E-2</v>
      </c>
      <c r="DR210" s="851">
        <f t="shared" si="481"/>
        <v>3.031570350208046E-2</v>
      </c>
      <c r="DS210" s="850">
        <f t="shared" si="481"/>
        <v>-1.374475413770726E-2</v>
      </c>
      <c r="DT210" s="850">
        <f t="shared" si="481"/>
        <v>1.8809873884070738E-2</v>
      </c>
      <c r="DU210" s="850">
        <f t="shared" si="481"/>
        <v>-8.2585445659775214E-3</v>
      </c>
      <c r="DV210" s="850">
        <f t="shared" si="481"/>
        <v>2.1756803919272372E-2</v>
      </c>
      <c r="DW210" s="851">
        <f t="shared" si="481"/>
        <v>5.1700333311817115E-3</v>
      </c>
      <c r="DX210" s="850">
        <f t="shared" ref="DX210" ca="1" si="482">DX209/DS209-1</f>
        <v>4.0335767839767112E-2</v>
      </c>
      <c r="DY210" s="850">
        <f t="shared" ref="DY210" ca="1" si="483">DY209/DT209-1</f>
        <v>5.0011566966176035E-2</v>
      </c>
      <c r="DZ210" s="850">
        <f t="shared" ref="DZ210" ca="1" si="484">DZ209/DU209-1</f>
        <v>4.1427206890574775E-2</v>
      </c>
      <c r="EA210" s="850">
        <f t="shared" ref="EA210" ca="1" si="485">EA209/DV209-1</f>
        <v>6.1809868600587015E-2</v>
      </c>
      <c r="EB210" s="851">
        <f ca="1">EB209/DW209-1</f>
        <v>4.7853777921972984E-2</v>
      </c>
      <c r="EC210" s="850">
        <f t="shared" ref="EC210" ca="1" si="486">EC209/DX209-1</f>
        <v>6.5507896983780789E-3</v>
      </c>
      <c r="ED210" s="850">
        <f t="shared" ref="ED210" ca="1" si="487">ED209/DY209-1</f>
        <v>4.7352231097033126E-3</v>
      </c>
      <c r="EE210" s="850">
        <f t="shared" ref="EE210" ca="1" si="488">EE209/DZ209-1</f>
        <v>-9.1764739540589613E-3</v>
      </c>
      <c r="EF210" s="850">
        <f t="shared" ref="EF210" ca="1" si="489">EF209/EA209-1</f>
        <v>-2.440562061987539E-2</v>
      </c>
      <c r="EG210" s="851">
        <f ca="1">EG209/EB209-1</f>
        <v>-5.0276459954355923E-3</v>
      </c>
      <c r="EH210" s="850">
        <f t="shared" ref="EH210" si="490">EH209/EC209-1</f>
        <v>-2.0401308010364883E-3</v>
      </c>
      <c r="EI210" s="850">
        <f t="shared" ref="EI210" si="491">EI209/ED209-1</f>
        <v>-1.0482460335899946E-3</v>
      </c>
      <c r="EJ210" s="850">
        <f t="shared" ref="EJ210" si="492">EJ209/EE209-1</f>
        <v>1.2126894893116358E-4</v>
      </c>
      <c r="EK210" s="850">
        <f t="shared" ref="EK210" si="493">EK209/EF209-1</f>
        <v>1.2714314444377539E-3</v>
      </c>
      <c r="EL210" s="851">
        <f>EL209/EG209-1</f>
        <v>-4.3915067643107708E-4</v>
      </c>
    </row>
    <row r="211" spans="1:142" ht="11.25" customHeight="1">
      <c r="A211" s="1056"/>
      <c r="B211" s="1056"/>
      <c r="C211" s="930"/>
      <c r="D211" s="930"/>
      <c r="E211" s="930"/>
      <c r="F211" s="930"/>
      <c r="G211" s="930"/>
      <c r="H211" s="844"/>
      <c r="I211" s="930"/>
      <c r="J211" s="930"/>
      <c r="K211" s="930"/>
      <c r="L211" s="930"/>
      <c r="M211" s="844"/>
      <c r="N211" s="930"/>
      <c r="O211" s="930"/>
      <c r="P211" s="930"/>
      <c r="Q211" s="930"/>
      <c r="R211" s="844"/>
      <c r="S211" s="930"/>
      <c r="T211" s="930"/>
      <c r="U211" s="930"/>
      <c r="V211" s="930"/>
      <c r="W211" s="844"/>
      <c r="X211" s="930"/>
      <c r="Y211" s="930"/>
      <c r="Z211" s="930"/>
      <c r="AA211" s="930"/>
      <c r="AB211" s="844"/>
      <c r="AC211" s="930"/>
      <c r="AD211" s="930"/>
      <c r="AE211" s="930"/>
      <c r="AF211" s="930"/>
      <c r="AG211" s="844"/>
      <c r="AH211" s="930"/>
      <c r="AI211" s="930"/>
      <c r="AJ211" s="930"/>
      <c r="AK211" s="930"/>
      <c r="AL211" s="844"/>
      <c r="AM211" s="930"/>
      <c r="AN211" s="930"/>
      <c r="AO211" s="930"/>
      <c r="AP211" s="930"/>
      <c r="AQ211" s="844"/>
      <c r="AR211" s="930"/>
      <c r="AS211" s="930"/>
      <c r="AT211" s="930"/>
      <c r="AU211" s="802"/>
      <c r="AV211" s="930"/>
      <c r="AW211" s="930"/>
      <c r="AX211" s="930"/>
      <c r="AY211" s="930"/>
      <c r="AZ211" s="844"/>
      <c r="BA211" s="930"/>
      <c r="BB211" s="930"/>
      <c r="BC211" s="930"/>
      <c r="BD211" s="930"/>
      <c r="BE211" s="844"/>
      <c r="BF211" s="930"/>
      <c r="BG211" s="930"/>
      <c r="BH211" s="930"/>
      <c r="BI211" s="930"/>
      <c r="BJ211" s="844"/>
      <c r="BK211" s="930"/>
      <c r="BL211" s="930"/>
      <c r="BM211" s="930"/>
      <c r="BN211" s="930"/>
      <c r="BO211" s="844"/>
      <c r="BP211" s="930"/>
      <c r="BQ211" s="930"/>
      <c r="BR211" s="930"/>
      <c r="BS211" s="930"/>
      <c r="BT211" s="844"/>
      <c r="BU211" s="930"/>
      <c r="BV211" s="930"/>
      <c r="BW211" s="930"/>
      <c r="BX211" s="930"/>
      <c r="BY211" s="844"/>
      <c r="BZ211" s="930"/>
      <c r="CA211" s="930"/>
      <c r="CB211" s="930"/>
      <c r="CC211" s="930"/>
      <c r="CD211" s="844"/>
      <c r="CE211" s="930"/>
      <c r="CF211" s="930"/>
      <c r="CG211" s="930"/>
      <c r="CH211" s="930"/>
      <c r="CI211" s="844"/>
      <c r="CJ211" s="930"/>
      <c r="CK211" s="930"/>
      <c r="CL211" s="930"/>
      <c r="CM211" s="930"/>
      <c r="CN211" s="844"/>
      <c r="CO211" s="930"/>
      <c r="CP211" s="930"/>
      <c r="CQ211" s="930"/>
      <c r="CR211" s="930"/>
      <c r="CS211" s="844"/>
      <c r="CT211" s="930"/>
      <c r="CU211" s="930"/>
      <c r="CV211" s="930"/>
      <c r="CW211" s="930"/>
      <c r="CX211" s="844"/>
      <c r="CY211" s="930"/>
      <c r="CZ211" s="930"/>
      <c r="DA211" s="930"/>
      <c r="DB211" s="930"/>
      <c r="DC211" s="844"/>
      <c r="DD211" s="930"/>
      <c r="DE211" s="930"/>
      <c r="DF211" s="930"/>
      <c r="DG211" s="930"/>
      <c r="DH211" s="844"/>
      <c r="DI211" s="930"/>
      <c r="DJ211" s="850"/>
      <c r="DK211" s="850"/>
      <c r="DL211" s="850"/>
      <c r="DM211" s="851"/>
      <c r="DN211" s="850">
        <f t="shared" ref="DN211:DW211" si="494">DN209/DI396-1</f>
        <v>3.7183392651024993E-2</v>
      </c>
      <c r="DO211" s="850">
        <f t="shared" si="494"/>
        <v>1.2806356005166775E-2</v>
      </c>
      <c r="DP211" s="850">
        <f t="shared" si="494"/>
        <v>1.521909935004917E-2</v>
      </c>
      <c r="DQ211" s="850">
        <f t="shared" si="494"/>
        <v>3.6773456438025987E-2</v>
      </c>
      <c r="DR211" s="851">
        <f t="shared" si="494"/>
        <v>2.5626489264582997E-2</v>
      </c>
      <c r="DS211" s="850">
        <f t="shared" si="494"/>
        <v>1.5643852912425871E-2</v>
      </c>
      <c r="DT211" s="850">
        <f t="shared" si="494"/>
        <v>1.8819999722853531E-2</v>
      </c>
      <c r="DU211" s="850">
        <f t="shared" si="494"/>
        <v>-1.5333642724403296E-3</v>
      </c>
      <c r="DV211" s="850">
        <f t="shared" si="494"/>
        <v>4.7720994550195295E-2</v>
      </c>
      <c r="DW211" s="851">
        <f t="shared" si="494"/>
        <v>2.2319820309373739E-2</v>
      </c>
      <c r="DX211" s="850"/>
      <c r="DY211" s="930"/>
      <c r="DZ211" s="930"/>
      <c r="EA211" s="930"/>
      <c r="EB211" s="844"/>
      <c r="EC211" s="930"/>
      <c r="ED211" s="930"/>
      <c r="EE211" s="930"/>
      <c r="EF211" s="930"/>
      <c r="EG211" s="844"/>
      <c r="EH211" s="930"/>
      <c r="EI211" s="930"/>
      <c r="EJ211" s="930"/>
      <c r="EK211" s="930"/>
      <c r="EL211" s="844"/>
    </row>
    <row r="212" spans="1:142" ht="11.25" customHeight="1">
      <c r="A212" s="1056"/>
      <c r="B212" s="1056"/>
      <c r="C212" s="930"/>
      <c r="D212" s="930"/>
      <c r="E212" s="930"/>
      <c r="F212" s="930"/>
      <c r="G212" s="930"/>
      <c r="H212" s="844"/>
      <c r="I212" s="930"/>
      <c r="J212" s="930"/>
      <c r="K212" s="930"/>
      <c r="L212" s="930"/>
      <c r="M212" s="844"/>
      <c r="N212" s="930"/>
      <c r="O212" s="930"/>
      <c r="P212" s="930"/>
      <c r="Q212" s="930"/>
      <c r="R212" s="844"/>
      <c r="S212" s="930"/>
      <c r="T212" s="930"/>
      <c r="U212" s="930"/>
      <c r="V212" s="930"/>
      <c r="W212" s="844"/>
      <c r="X212" s="930"/>
      <c r="Y212" s="930"/>
      <c r="Z212" s="930"/>
      <c r="AA212" s="930"/>
      <c r="AB212" s="844"/>
      <c r="AC212" s="930"/>
      <c r="AD212" s="930"/>
      <c r="AE212" s="930"/>
      <c r="AF212" s="930"/>
      <c r="AG212" s="844"/>
      <c r="AH212" s="930"/>
      <c r="AI212" s="930"/>
      <c r="AJ212" s="930"/>
      <c r="AK212" s="930"/>
      <c r="AL212" s="844"/>
      <c r="AM212" s="930"/>
      <c r="AN212" s="930"/>
      <c r="AO212" s="930"/>
      <c r="AP212" s="930"/>
      <c r="AQ212" s="844"/>
      <c r="AR212" s="930"/>
      <c r="AS212" s="930"/>
      <c r="AT212" s="930"/>
      <c r="AU212" s="802"/>
      <c r="AV212" s="930"/>
      <c r="AW212" s="930"/>
      <c r="AX212" s="930"/>
      <c r="AY212" s="930"/>
      <c r="AZ212" s="844"/>
      <c r="BA212" s="930"/>
      <c r="BB212" s="930"/>
      <c r="BC212" s="930"/>
      <c r="BD212" s="930"/>
      <c r="BE212" s="844"/>
      <c r="BF212" s="930"/>
      <c r="BG212" s="930"/>
      <c r="BH212" s="930"/>
      <c r="BI212" s="930"/>
      <c r="BJ212" s="844"/>
      <c r="BK212" s="930"/>
      <c r="BL212" s="930"/>
      <c r="BM212" s="930"/>
      <c r="BN212" s="930"/>
      <c r="BO212" s="844"/>
      <c r="BP212" s="930"/>
      <c r="BQ212" s="930"/>
      <c r="BR212" s="930"/>
      <c r="BS212" s="930"/>
      <c r="BT212" s="844"/>
      <c r="BU212" s="930"/>
      <c r="BV212" s="930"/>
      <c r="BW212" s="930"/>
      <c r="BX212" s="930"/>
      <c r="BY212" s="844"/>
      <c r="BZ212" s="930"/>
      <c r="CA212" s="930"/>
      <c r="CB212" s="930"/>
      <c r="CC212" s="930"/>
      <c r="CD212" s="844"/>
      <c r="CE212" s="930"/>
      <c r="CF212" s="930"/>
      <c r="CG212" s="930"/>
      <c r="CH212" s="930"/>
      <c r="CI212" s="844"/>
      <c r="CJ212" s="930"/>
      <c r="CK212" s="930"/>
      <c r="CL212" s="930"/>
      <c r="CM212" s="930"/>
      <c r="CN212" s="844"/>
      <c r="CO212" s="930"/>
      <c r="CP212" s="930"/>
      <c r="CQ212" s="930"/>
      <c r="CR212" s="930"/>
      <c r="CS212" s="844"/>
      <c r="CT212" s="930"/>
      <c r="CU212" s="930"/>
      <c r="CV212" s="930"/>
      <c r="CW212" s="930"/>
      <c r="CX212" s="844"/>
      <c r="CY212" s="930"/>
      <c r="CZ212" s="930"/>
      <c r="DA212" s="930"/>
      <c r="DB212" s="930"/>
      <c r="DC212" s="844"/>
      <c r="DD212" s="930"/>
      <c r="DE212" s="930"/>
      <c r="DF212" s="930"/>
      <c r="DG212" s="930"/>
      <c r="DH212" s="844"/>
      <c r="DI212" s="930"/>
      <c r="DJ212" s="850"/>
      <c r="DK212" s="850"/>
      <c r="DL212" s="850"/>
      <c r="DM212" s="851"/>
      <c r="DN212" s="850"/>
      <c r="DO212" s="850"/>
      <c r="DP212" s="850"/>
      <c r="DQ212" s="850"/>
      <c r="DR212" s="851"/>
      <c r="DS212" s="850"/>
      <c r="DT212" s="850"/>
      <c r="DU212" s="850"/>
      <c r="DV212" s="850"/>
      <c r="DW212" s="851"/>
      <c r="DX212" s="850"/>
      <c r="DY212" s="930"/>
      <c r="DZ212" s="930"/>
      <c r="EA212" s="930"/>
      <c r="EB212" s="844"/>
      <c r="EC212" s="930"/>
      <c r="ED212" s="930"/>
      <c r="EE212" s="930"/>
      <c r="EF212" s="930"/>
      <c r="EG212" s="844"/>
      <c r="EH212" s="930"/>
      <c r="EI212" s="930"/>
      <c r="EJ212" s="930"/>
      <c r="EK212" s="930"/>
      <c r="EL212" s="844"/>
    </row>
    <row r="213" spans="1:142" ht="11.25" customHeight="1">
      <c r="A213" s="846"/>
      <c r="B213" s="846" t="s">
        <v>168</v>
      </c>
      <c r="C213" s="1166"/>
      <c r="D213" s="1166" t="str">
        <f t="shared" ref="D213:AT213" si="495">IF(ISERROR(D143*1000000/D184),"nm",D143*1000000/D184)</f>
        <v>nm</v>
      </c>
      <c r="E213" s="1166" t="str">
        <f t="shared" si="495"/>
        <v>nm</v>
      </c>
      <c r="F213" s="1166" t="str">
        <f t="shared" si="495"/>
        <v>nm</v>
      </c>
      <c r="G213" s="1166" t="str">
        <f t="shared" si="495"/>
        <v>nm</v>
      </c>
      <c r="H213" s="1167" t="str">
        <f t="shared" si="495"/>
        <v>nm</v>
      </c>
      <c r="I213" s="1166" t="str">
        <f t="shared" si="495"/>
        <v>nm</v>
      </c>
      <c r="J213" s="1166" t="str">
        <f t="shared" si="495"/>
        <v>nm</v>
      </c>
      <c r="K213" s="1166" t="str">
        <f t="shared" si="495"/>
        <v>nm</v>
      </c>
      <c r="L213" s="1166" t="str">
        <f t="shared" si="495"/>
        <v>nm</v>
      </c>
      <c r="M213" s="1167" t="str">
        <f t="shared" si="495"/>
        <v>nm</v>
      </c>
      <c r="N213" s="1166" t="str">
        <f t="shared" si="495"/>
        <v>nm</v>
      </c>
      <c r="O213" s="1166" t="str">
        <f t="shared" si="495"/>
        <v>nm</v>
      </c>
      <c r="P213" s="1166" t="str">
        <f t="shared" si="495"/>
        <v>nm</v>
      </c>
      <c r="Q213" s="1166" t="str">
        <f t="shared" si="495"/>
        <v>nm</v>
      </c>
      <c r="R213" s="1167" t="str">
        <f t="shared" si="495"/>
        <v>nm</v>
      </c>
      <c r="S213" s="1166" t="str">
        <f t="shared" si="495"/>
        <v>nm</v>
      </c>
      <c r="T213" s="1166" t="str">
        <f t="shared" si="495"/>
        <v>nm</v>
      </c>
      <c r="U213" s="1166" t="str">
        <f t="shared" si="495"/>
        <v>nm</v>
      </c>
      <c r="V213" s="1166" t="str">
        <f t="shared" si="495"/>
        <v>nm</v>
      </c>
      <c r="W213" s="1167" t="str">
        <f t="shared" si="495"/>
        <v>nm</v>
      </c>
      <c r="X213" s="1166" t="str">
        <f t="shared" si="495"/>
        <v>nm</v>
      </c>
      <c r="Y213" s="1166" t="str">
        <f t="shared" si="495"/>
        <v>nm</v>
      </c>
      <c r="Z213" s="1166" t="str">
        <f t="shared" si="495"/>
        <v>nm</v>
      </c>
      <c r="AA213" s="1166" t="str">
        <f t="shared" si="495"/>
        <v>nm</v>
      </c>
      <c r="AB213" s="1167" t="str">
        <f t="shared" si="495"/>
        <v>nm</v>
      </c>
      <c r="AC213" s="1166" t="str">
        <f t="shared" si="495"/>
        <v>nm</v>
      </c>
      <c r="AD213" s="1166" t="str">
        <f t="shared" si="495"/>
        <v>nm</v>
      </c>
      <c r="AE213" s="1166" t="str">
        <f t="shared" si="495"/>
        <v>nm</v>
      </c>
      <c r="AF213" s="1166" t="str">
        <f t="shared" si="495"/>
        <v>nm</v>
      </c>
      <c r="AG213" s="1167" t="str">
        <f t="shared" si="495"/>
        <v>nm</v>
      </c>
      <c r="AH213" s="1166" t="str">
        <f t="shared" si="495"/>
        <v>nm</v>
      </c>
      <c r="AI213" s="1166" t="str">
        <f t="shared" si="495"/>
        <v>nm</v>
      </c>
      <c r="AJ213" s="1166" t="str">
        <f t="shared" si="495"/>
        <v>nm</v>
      </c>
      <c r="AK213" s="1166" t="str">
        <f t="shared" si="495"/>
        <v>nm</v>
      </c>
      <c r="AL213" s="1167" t="str">
        <f t="shared" si="495"/>
        <v>nm</v>
      </c>
      <c r="AM213" s="1166" t="str">
        <f t="shared" si="495"/>
        <v>nm</v>
      </c>
      <c r="AN213" s="1166" t="str">
        <f t="shared" si="495"/>
        <v>nm</v>
      </c>
      <c r="AO213" s="1166" t="str">
        <f t="shared" si="495"/>
        <v>nm</v>
      </c>
      <c r="AP213" s="1166" t="str">
        <f t="shared" si="495"/>
        <v>nm</v>
      </c>
      <c r="AQ213" s="1167" t="str">
        <f t="shared" si="495"/>
        <v>nm</v>
      </c>
      <c r="AR213" s="1166" t="str">
        <f t="shared" si="495"/>
        <v>nm</v>
      </c>
      <c r="AS213" s="1166" t="str">
        <f t="shared" si="495"/>
        <v>nm</v>
      </c>
      <c r="AT213" s="1166" t="str">
        <f t="shared" si="495"/>
        <v>nm</v>
      </c>
      <c r="AU213" s="802"/>
      <c r="AV213" s="1166" t="str">
        <f t="shared" ref="AV213:BE213" si="496">IF(ISERROR(AV143*1000000/AV184),"nm",AV143*1000000/AV184)</f>
        <v>nm</v>
      </c>
      <c r="AW213" s="1166" t="str">
        <f t="shared" si="496"/>
        <v>nm</v>
      </c>
      <c r="AX213" s="1166" t="str">
        <f t="shared" si="496"/>
        <v>nm</v>
      </c>
      <c r="AY213" s="1166" t="str">
        <f t="shared" si="496"/>
        <v>nm</v>
      </c>
      <c r="AZ213" s="1167" t="str">
        <f t="shared" si="496"/>
        <v>nm</v>
      </c>
      <c r="BA213" s="1166">
        <f t="shared" si="496"/>
        <v>472.67786489726961</v>
      </c>
      <c r="BB213" s="1166">
        <f t="shared" si="496"/>
        <v>472.80045209794707</v>
      </c>
      <c r="BC213" s="1166">
        <f t="shared" si="496"/>
        <v>473.27924651685765</v>
      </c>
      <c r="BD213" s="1166">
        <f t="shared" si="496"/>
        <v>460.85006746567188</v>
      </c>
      <c r="BE213" s="1167">
        <f t="shared" si="496"/>
        <v>470.03143194286622</v>
      </c>
      <c r="BF213" s="1169">
        <f t="shared" ref="BF213:CK213" si="497">BF143*1000000/BF184</f>
        <v>513.8599083065327</v>
      </c>
      <c r="BG213" s="1169">
        <f t="shared" si="497"/>
        <v>515.9709867069754</v>
      </c>
      <c r="BH213" s="1169">
        <f t="shared" si="497"/>
        <v>560.71807752095413</v>
      </c>
      <c r="BI213" s="1169">
        <f t="shared" si="497"/>
        <v>528.89554905506213</v>
      </c>
      <c r="BJ213" s="1168">
        <f t="shared" si="497"/>
        <v>519.27130254678423</v>
      </c>
      <c r="BK213" s="1169">
        <f t="shared" si="497"/>
        <v>515.20321823979259</v>
      </c>
      <c r="BL213" s="1169">
        <f t="shared" si="497"/>
        <v>541.81233618002182</v>
      </c>
      <c r="BM213" s="1169">
        <f t="shared" si="497"/>
        <v>568.14078336021566</v>
      </c>
      <c r="BN213" s="1169">
        <f t="shared" si="497"/>
        <v>533.86325438375854</v>
      </c>
      <c r="BO213" s="1168">
        <f t="shared" si="497"/>
        <v>539.22697118436895</v>
      </c>
      <c r="BP213" s="1169">
        <f t="shared" si="497"/>
        <v>540.62900230337266</v>
      </c>
      <c r="BQ213" s="1169">
        <f t="shared" si="497"/>
        <v>583.53184495780476</v>
      </c>
      <c r="BR213" s="1169">
        <f t="shared" si="497"/>
        <v>592.99447934513614</v>
      </c>
      <c r="BS213" s="1169">
        <f t="shared" si="497"/>
        <v>591.75763433944815</v>
      </c>
      <c r="BT213" s="1168">
        <f t="shared" si="497"/>
        <v>562.66025223404222</v>
      </c>
      <c r="BU213" s="1169">
        <f t="shared" si="497"/>
        <v>614.20467506048556</v>
      </c>
      <c r="BV213" s="1169">
        <f t="shared" si="497"/>
        <v>635.81456711227702</v>
      </c>
      <c r="BW213" s="1169">
        <f t="shared" si="497"/>
        <v>651.020280177627</v>
      </c>
      <c r="BX213" s="1169">
        <f t="shared" si="497"/>
        <v>658.29829889735038</v>
      </c>
      <c r="BY213" s="1168">
        <f t="shared" si="497"/>
        <v>627.74395608603822</v>
      </c>
      <c r="BZ213" s="1169">
        <f t="shared" si="497"/>
        <v>665.33858720270416</v>
      </c>
      <c r="CA213" s="1169">
        <f t="shared" si="497"/>
        <v>689.11537128404825</v>
      </c>
      <c r="CB213" s="1169">
        <f t="shared" si="497"/>
        <v>692.22765949905238</v>
      </c>
      <c r="CC213" s="1169">
        <f t="shared" si="497"/>
        <v>691.09668801951136</v>
      </c>
      <c r="CD213" s="1168">
        <f t="shared" si="497"/>
        <v>665.66778080858535</v>
      </c>
      <c r="CE213" s="1169">
        <f t="shared" si="497"/>
        <v>685.05333556941252</v>
      </c>
      <c r="CF213" s="1169">
        <f t="shared" si="497"/>
        <v>704.48825250785774</v>
      </c>
      <c r="CG213" s="1169">
        <f t="shared" si="497"/>
        <v>711.87026089191625</v>
      </c>
      <c r="CH213" s="1169">
        <f t="shared" si="497"/>
        <v>711.09482876610127</v>
      </c>
      <c r="CI213" s="1168">
        <f t="shared" si="497"/>
        <v>703.13335065837703</v>
      </c>
      <c r="CJ213" s="1169">
        <f t="shared" si="497"/>
        <v>740.88454898915438</v>
      </c>
      <c r="CK213" s="1169">
        <f t="shared" si="497"/>
        <v>741.37306742348085</v>
      </c>
      <c r="CL213" s="1169">
        <f t="shared" ref="CL213:DQ213" si="498">CL143*1000000/CL184</f>
        <v>751.81038809394556</v>
      </c>
      <c r="CM213" s="1169">
        <f t="shared" si="498"/>
        <v>730.12631185195039</v>
      </c>
      <c r="CN213" s="1168">
        <f t="shared" si="498"/>
        <v>740.98502255626818</v>
      </c>
      <c r="CO213" s="1169">
        <f t="shared" si="498"/>
        <v>726.97092419207786</v>
      </c>
      <c r="CP213" s="1169">
        <f t="shared" si="498"/>
        <v>742.30238462126488</v>
      </c>
      <c r="CQ213" s="1169">
        <f t="shared" si="498"/>
        <v>743.42815587277858</v>
      </c>
      <c r="CR213" s="1169">
        <f t="shared" si="498"/>
        <v>749.4274923809902</v>
      </c>
      <c r="CS213" s="1168">
        <f t="shared" si="498"/>
        <v>740.5129367205393</v>
      </c>
      <c r="CT213" s="1169">
        <f t="shared" si="498"/>
        <v>742.52794900403353</v>
      </c>
      <c r="CU213" s="1169">
        <f t="shared" si="498"/>
        <v>755.65932470232178</v>
      </c>
      <c r="CV213" s="1169">
        <f t="shared" si="498"/>
        <v>762.1450567793238</v>
      </c>
      <c r="CW213" s="1169">
        <f t="shared" si="498"/>
        <v>779.30781139801752</v>
      </c>
      <c r="CX213" s="1168">
        <f t="shared" si="498"/>
        <v>759.99840657107052</v>
      </c>
      <c r="CY213" s="1169">
        <f t="shared" si="498"/>
        <v>770.77026779763537</v>
      </c>
      <c r="CZ213" s="1169">
        <f t="shared" si="498"/>
        <v>786.79086278516513</v>
      </c>
      <c r="DA213" s="1169">
        <f t="shared" si="498"/>
        <v>788.67223995049562</v>
      </c>
      <c r="DB213" s="1169">
        <f t="shared" si="498"/>
        <v>723.46941169194815</v>
      </c>
      <c r="DC213" s="1168">
        <f t="shared" si="498"/>
        <v>760.45312680432733</v>
      </c>
      <c r="DD213" s="1169">
        <f t="shared" si="498"/>
        <v>691.07613286939841</v>
      </c>
      <c r="DE213" s="1169">
        <f t="shared" si="498"/>
        <v>700.85394794223373</v>
      </c>
      <c r="DF213" s="1169">
        <f t="shared" si="498"/>
        <v>678.1170088310505</v>
      </c>
      <c r="DG213" s="1169">
        <f t="shared" si="498"/>
        <v>717.43636073763082</v>
      </c>
      <c r="DH213" s="1168">
        <f t="shared" si="498"/>
        <v>697.01654225231221</v>
      </c>
      <c r="DI213" s="1169">
        <f t="shared" si="498"/>
        <v>658.16950568300467</v>
      </c>
      <c r="DJ213" s="1169">
        <f t="shared" si="498"/>
        <v>719.32786469656139</v>
      </c>
      <c r="DK213" s="1169">
        <f t="shared" si="498"/>
        <v>729.58463278055058</v>
      </c>
      <c r="DL213" s="1169">
        <f t="shared" si="498"/>
        <v>735.21215829809307</v>
      </c>
      <c r="DM213" s="1168">
        <f t="shared" si="498"/>
        <v>710.48732097829634</v>
      </c>
      <c r="DN213" s="1169">
        <f t="shared" si="498"/>
        <v>718.25848994361161</v>
      </c>
      <c r="DO213" s="1169">
        <f t="shared" si="498"/>
        <v>716.20862550137076</v>
      </c>
      <c r="DP213" s="1169">
        <f t="shared" si="498"/>
        <v>738.17698526968661</v>
      </c>
      <c r="DQ213" s="1169">
        <f t="shared" si="498"/>
        <v>751.70508029220014</v>
      </c>
      <c r="DR213" s="1168">
        <f t="shared" ref="DR213:DW213" si="499">DR143*1000000/DR184</f>
        <v>730.34787114304868</v>
      </c>
      <c r="DS213" s="1169">
        <f t="shared" si="499"/>
        <v>728.07513456699689</v>
      </c>
      <c r="DT213" s="1169">
        <f t="shared" si="499"/>
        <v>764.51697755827331</v>
      </c>
      <c r="DU213" s="1169">
        <f t="shared" si="499"/>
        <v>764.22795607619116</v>
      </c>
      <c r="DV213" s="1169">
        <f t="shared" si="499"/>
        <v>766.97104322533028</v>
      </c>
      <c r="DW213" s="1168">
        <f t="shared" si="499"/>
        <v>755.461913710305</v>
      </c>
      <c r="DX213" s="1169"/>
      <c r="DY213" s="1169"/>
      <c r="DZ213" s="1169"/>
      <c r="EA213" s="1169"/>
      <c r="EB213" s="1168"/>
      <c r="EC213" s="1169"/>
      <c r="ED213" s="1169"/>
      <c r="EE213" s="1169"/>
      <c r="EF213" s="1169"/>
      <c r="EG213" s="1168"/>
      <c r="EH213" s="1169"/>
      <c r="EI213" s="1169"/>
      <c r="EJ213" s="1169"/>
      <c r="EK213" s="1169"/>
      <c r="EL213" s="1168"/>
    </row>
    <row r="214" spans="1:142" ht="11.25" customHeight="1">
      <c r="A214" s="1122"/>
      <c r="B214" s="1122" t="s">
        <v>133</v>
      </c>
      <c r="C214" s="1010"/>
      <c r="D214" s="1010" t="str">
        <f>IF(ISERROR(D213/#REF!-1),"nm",D213/#REF!-1)</f>
        <v>nm</v>
      </c>
      <c r="E214" s="1010" t="str">
        <f>IF(ISERROR(E213/#REF!-1),"nm",E213/#REF!-1)</f>
        <v>nm</v>
      </c>
      <c r="F214" s="1010" t="str">
        <f>IF(ISERROR(F213/#REF!-1),"nm",F213/#REF!-1)</f>
        <v>nm</v>
      </c>
      <c r="G214" s="1010" t="str">
        <f t="shared" ref="G214:AT214" si="500">IF(ISERROR(G213/B213-1),"nm",G213/B213-1)</f>
        <v>nm</v>
      </c>
      <c r="H214" s="1011" t="str">
        <f t="shared" si="500"/>
        <v>nm</v>
      </c>
      <c r="I214" s="1010" t="str">
        <f t="shared" si="500"/>
        <v>nm</v>
      </c>
      <c r="J214" s="1010" t="str">
        <f t="shared" si="500"/>
        <v>nm</v>
      </c>
      <c r="K214" s="1010" t="str">
        <f t="shared" si="500"/>
        <v>nm</v>
      </c>
      <c r="L214" s="1010" t="str">
        <f t="shared" si="500"/>
        <v>nm</v>
      </c>
      <c r="M214" s="1011" t="str">
        <f t="shared" si="500"/>
        <v>nm</v>
      </c>
      <c r="N214" s="1010" t="str">
        <f t="shared" si="500"/>
        <v>nm</v>
      </c>
      <c r="O214" s="1010" t="str">
        <f t="shared" si="500"/>
        <v>nm</v>
      </c>
      <c r="P214" s="1010" t="str">
        <f t="shared" si="500"/>
        <v>nm</v>
      </c>
      <c r="Q214" s="1010" t="str">
        <f t="shared" si="500"/>
        <v>nm</v>
      </c>
      <c r="R214" s="1011" t="str">
        <f t="shared" si="500"/>
        <v>nm</v>
      </c>
      <c r="S214" s="1010" t="str">
        <f t="shared" si="500"/>
        <v>nm</v>
      </c>
      <c r="T214" s="1010" t="str">
        <f t="shared" si="500"/>
        <v>nm</v>
      </c>
      <c r="U214" s="1010" t="str">
        <f t="shared" si="500"/>
        <v>nm</v>
      </c>
      <c r="V214" s="1010" t="str">
        <f t="shared" si="500"/>
        <v>nm</v>
      </c>
      <c r="W214" s="1011" t="str">
        <f t="shared" si="500"/>
        <v>nm</v>
      </c>
      <c r="X214" s="1010" t="str">
        <f t="shared" si="500"/>
        <v>nm</v>
      </c>
      <c r="Y214" s="1010" t="str">
        <f t="shared" si="500"/>
        <v>nm</v>
      </c>
      <c r="Z214" s="1010" t="str">
        <f t="shared" si="500"/>
        <v>nm</v>
      </c>
      <c r="AA214" s="1010" t="str">
        <f t="shared" si="500"/>
        <v>nm</v>
      </c>
      <c r="AB214" s="1011" t="str">
        <f t="shared" si="500"/>
        <v>nm</v>
      </c>
      <c r="AC214" s="1010" t="str">
        <f t="shared" si="500"/>
        <v>nm</v>
      </c>
      <c r="AD214" s="1010" t="str">
        <f t="shared" si="500"/>
        <v>nm</v>
      </c>
      <c r="AE214" s="1010" t="str">
        <f t="shared" si="500"/>
        <v>nm</v>
      </c>
      <c r="AF214" s="1010" t="str">
        <f t="shared" si="500"/>
        <v>nm</v>
      </c>
      <c r="AG214" s="1011" t="str">
        <f t="shared" si="500"/>
        <v>nm</v>
      </c>
      <c r="AH214" s="1010" t="str">
        <f t="shared" si="500"/>
        <v>nm</v>
      </c>
      <c r="AI214" s="1010" t="str">
        <f t="shared" si="500"/>
        <v>nm</v>
      </c>
      <c r="AJ214" s="1010" t="str">
        <f t="shared" si="500"/>
        <v>nm</v>
      </c>
      <c r="AK214" s="1010" t="str">
        <f t="shared" si="500"/>
        <v>nm</v>
      </c>
      <c r="AL214" s="1011" t="str">
        <f t="shared" si="500"/>
        <v>nm</v>
      </c>
      <c r="AM214" s="1010" t="str">
        <f t="shared" si="500"/>
        <v>nm</v>
      </c>
      <c r="AN214" s="1010" t="str">
        <f t="shared" si="500"/>
        <v>nm</v>
      </c>
      <c r="AO214" s="1010" t="str">
        <f t="shared" si="500"/>
        <v>nm</v>
      </c>
      <c r="AP214" s="1010" t="str">
        <f t="shared" si="500"/>
        <v>nm</v>
      </c>
      <c r="AQ214" s="1011" t="str">
        <f t="shared" si="500"/>
        <v>nm</v>
      </c>
      <c r="AR214" s="1010" t="str">
        <f t="shared" si="500"/>
        <v>nm</v>
      </c>
      <c r="AS214" s="1010" t="str">
        <f t="shared" si="500"/>
        <v>nm</v>
      </c>
      <c r="AT214" s="1010" t="str">
        <f t="shared" si="500"/>
        <v>nm</v>
      </c>
      <c r="AU214" s="802"/>
      <c r="AV214" s="1012"/>
      <c r="AW214" s="1012"/>
      <c r="AX214" s="1012"/>
      <c r="AY214" s="1012"/>
      <c r="AZ214" s="1011"/>
      <c r="BA214" s="1010" t="str">
        <f t="shared" ref="BA214:BJ214" si="501">IF(ISERROR(BA213/AV213-1),"nm",BA213/AV213-1)</f>
        <v>nm</v>
      </c>
      <c r="BB214" s="1010" t="str">
        <f t="shared" si="501"/>
        <v>nm</v>
      </c>
      <c r="BC214" s="1010" t="str">
        <f t="shared" si="501"/>
        <v>nm</v>
      </c>
      <c r="BD214" s="1010" t="str">
        <f t="shared" si="501"/>
        <v>nm</v>
      </c>
      <c r="BE214" s="1011" t="str">
        <f t="shared" si="501"/>
        <v>nm</v>
      </c>
      <c r="BF214" s="1010">
        <f t="shared" si="501"/>
        <v>8.7124967060205893E-2</v>
      </c>
      <c r="BG214" s="1010">
        <f t="shared" si="501"/>
        <v>9.1308150018615031E-2</v>
      </c>
      <c r="BH214" s="1010">
        <f t="shared" si="501"/>
        <v>0.18475103577351137</v>
      </c>
      <c r="BI214" s="1010">
        <f t="shared" si="501"/>
        <v>0.14765210291405428</v>
      </c>
      <c r="BJ214" s="1011">
        <f t="shared" si="501"/>
        <v>0.10475867624508828</v>
      </c>
      <c r="BK214" s="850">
        <f>IF(ISERROR(+BK213/BF213-1),"NM",+BK213/BF213-1)</f>
        <v>2.6141559431769323E-3</v>
      </c>
      <c r="BL214" s="850">
        <f>IF(ISERROR(+BL213/BG213-1),"NM",+BL213/BG213-1)</f>
        <v>5.0082950667382997E-2</v>
      </c>
      <c r="BM214" s="850">
        <f>IF(ISERROR(+BM213/BH213-1),"NM",+BM213/BH213-1)</f>
        <v>1.3237857199251968E-2</v>
      </c>
      <c r="BN214" s="850">
        <f>IF(ISERROR(+BN213/BI213-1),"NM",+BN213/BI213-1)</f>
        <v>9.3926018806016476E-3</v>
      </c>
      <c r="BO214" s="851">
        <f>IF(ISERROR(+BO213/BJ213-1),"NM",+BO213/BJ213-1)</f>
        <v>3.8430139581585587E-2</v>
      </c>
      <c r="BP214" s="850">
        <f t="shared" ref="BP214:CW214" si="502">+BP213/BK213-1</f>
        <v>4.9350980668265265E-2</v>
      </c>
      <c r="BQ214" s="850">
        <f t="shared" si="502"/>
        <v>7.6999924128566377E-2</v>
      </c>
      <c r="BR214" s="850">
        <f t="shared" si="502"/>
        <v>4.3745664301593656E-2</v>
      </c>
      <c r="BS214" s="850">
        <f t="shared" si="502"/>
        <v>0.10844421203425481</v>
      </c>
      <c r="BT214" s="851">
        <f t="shared" si="502"/>
        <v>4.3457175367552336E-2</v>
      </c>
      <c r="BU214" s="850">
        <f t="shared" si="502"/>
        <v>0.13609272244670678</v>
      </c>
      <c r="BV214" s="850">
        <f t="shared" si="502"/>
        <v>8.9597033317440955E-2</v>
      </c>
      <c r="BW214" s="850">
        <f t="shared" si="502"/>
        <v>9.7852177134213347E-2</v>
      </c>
      <c r="BX214" s="850">
        <f t="shared" si="502"/>
        <v>0.11244580668938653</v>
      </c>
      <c r="BY214" s="851">
        <f t="shared" si="502"/>
        <v>0.11567140844511625</v>
      </c>
      <c r="BZ214" s="850">
        <f t="shared" si="502"/>
        <v>8.3252235319086543E-2</v>
      </c>
      <c r="CA214" s="850">
        <f t="shared" si="502"/>
        <v>8.3830737653355802E-2</v>
      </c>
      <c r="CB214" s="850">
        <f t="shared" si="502"/>
        <v>6.3296613909143096E-2</v>
      </c>
      <c r="CC214" s="850">
        <f t="shared" si="502"/>
        <v>4.982298933036633E-2</v>
      </c>
      <c r="CD214" s="851">
        <f t="shared" si="502"/>
        <v>6.0412887061471521E-2</v>
      </c>
      <c r="CE214" s="850">
        <f t="shared" si="502"/>
        <v>2.9631151335435701E-2</v>
      </c>
      <c r="CF214" s="850">
        <f t="shared" si="502"/>
        <v>2.2308138614242079E-2</v>
      </c>
      <c r="CG214" s="850">
        <f t="shared" si="502"/>
        <v>2.8375926797086892E-2</v>
      </c>
      <c r="CH214" s="850">
        <f t="shared" si="502"/>
        <v>2.8936820409165787E-2</v>
      </c>
      <c r="CI214" s="851">
        <f t="shared" si="502"/>
        <v>5.6282684741452149E-2</v>
      </c>
      <c r="CJ214" s="850">
        <f t="shared" si="502"/>
        <v>8.1499075357884809E-2</v>
      </c>
      <c r="CK214" s="850">
        <f t="shared" si="502"/>
        <v>5.2356891380827886E-2</v>
      </c>
      <c r="CL214" s="850">
        <f t="shared" si="502"/>
        <v>5.6105907770311436E-2</v>
      </c>
      <c r="CM214" s="850">
        <f t="shared" si="502"/>
        <v>2.6763635897722349E-2</v>
      </c>
      <c r="CN214" s="851">
        <f t="shared" si="502"/>
        <v>5.3832849576042507E-2</v>
      </c>
      <c r="CO214" s="850">
        <f t="shared" si="502"/>
        <v>-1.8779747554541371E-2</v>
      </c>
      <c r="CP214" s="850">
        <f t="shared" si="502"/>
        <v>1.2535081710125517E-3</v>
      </c>
      <c r="CQ214" s="850">
        <f t="shared" si="502"/>
        <v>-1.1149396648293619E-2</v>
      </c>
      <c r="CR214" s="850">
        <f t="shared" si="502"/>
        <v>2.6435399212066057E-2</v>
      </c>
      <c r="CS214" s="851">
        <f t="shared" si="502"/>
        <v>-6.3710577320474915E-4</v>
      </c>
      <c r="CT214" s="850">
        <f t="shared" si="502"/>
        <v>2.1399789584769291E-2</v>
      </c>
      <c r="CU214" s="850">
        <f t="shared" si="502"/>
        <v>1.7993933951689911E-2</v>
      </c>
      <c r="CV214" s="850">
        <f t="shared" si="502"/>
        <v>2.5176475707422874E-2</v>
      </c>
      <c r="CW214" s="850">
        <f t="shared" si="502"/>
        <v>3.9870860517933648E-2</v>
      </c>
      <c r="CX214" s="851">
        <f>CX213/CS213-1</f>
        <v>2.6313476624493903E-2</v>
      </c>
      <c r="CY214" s="850">
        <f>+CY213/CT213-1</f>
        <v>3.8035361270217116E-2</v>
      </c>
      <c r="CZ214" s="850">
        <f>+CZ213/CU213-1</f>
        <v>4.1197848111127477E-2</v>
      </c>
      <c r="DA214" s="850">
        <f>+DA213/CV213-1</f>
        <v>3.4805950567035726E-2</v>
      </c>
      <c r="DB214" s="850">
        <f>+DB213/CW213-1</f>
        <v>-7.1651276798957775E-2</v>
      </c>
      <c r="DC214" s="851">
        <f>DC213/CX213-1</f>
        <v>5.9831735083282211E-4</v>
      </c>
      <c r="DD214" s="850">
        <f>+DD213/CY213-1</f>
        <v>-0.10339544512524002</v>
      </c>
      <c r="DE214" s="850">
        <f>+DE213/CZ213-1</f>
        <v>-0.10922459691349595</v>
      </c>
      <c r="DF214" s="850">
        <f>+DF213/DA213-1</f>
        <v>-0.14017893051032781</v>
      </c>
      <c r="DG214" s="850">
        <f>+DG213/DB213-1</f>
        <v>-8.3390546397920096E-3</v>
      </c>
      <c r="DH214" s="851">
        <f>DH213/DC213-1</f>
        <v>-8.3419453896647622E-2</v>
      </c>
      <c r="DI214" s="850">
        <f>+DI213/DD213-1</f>
        <v>-4.76165007316387E-2</v>
      </c>
      <c r="DJ214" s="850">
        <f>+DJ213/DE213-1</f>
        <v>2.6359153442123917E-2</v>
      </c>
      <c r="DK214" s="850">
        <f>+DK213/DF213-1</f>
        <v>7.5897851372613179E-2</v>
      </c>
      <c r="DL214" s="850">
        <f>+DL213/DG213-1</f>
        <v>2.4776828347794044E-2</v>
      </c>
      <c r="DM214" s="851">
        <f>DM213/DH213-1</f>
        <v>1.9326340064261815E-2</v>
      </c>
      <c r="DN214" s="850">
        <f>+DN213/DI213-1</f>
        <v>9.1297125955798641E-2</v>
      </c>
      <c r="DO214" s="850">
        <f>+DO213/DJ213-1</f>
        <v>-4.3363247112725434E-3</v>
      </c>
      <c r="DP214" s="850">
        <f>+DP213/DK213-1</f>
        <v>1.177704697039661E-2</v>
      </c>
      <c r="DQ214" s="850">
        <f>+DQ213/DL213-1</f>
        <v>2.243287438592656E-2</v>
      </c>
      <c r="DR214" s="851">
        <f>DR213/DM213-1</f>
        <v>2.7953419545060365E-2</v>
      </c>
      <c r="DS214" s="850">
        <f>+DS213/DN213-1</f>
        <v>1.3667286583909366E-2</v>
      </c>
      <c r="DT214" s="850">
        <f>+DT213/DO213-1</f>
        <v>6.7450112071863133E-2</v>
      </c>
      <c r="DU214" s="850">
        <f>+DU213/DP213-1</f>
        <v>3.529095505055202E-2</v>
      </c>
      <c r="DV214" s="850">
        <f>+DV213/DQ213-1</f>
        <v>2.0308447200058755E-2</v>
      </c>
      <c r="DW214" s="851">
        <f>DW213/DR213-1</f>
        <v>3.438641168071177E-2</v>
      </c>
      <c r="DX214" s="850"/>
      <c r="DY214" s="850"/>
      <c r="DZ214" s="850"/>
      <c r="EA214" s="850"/>
      <c r="EB214" s="851"/>
      <c r="EC214" s="850"/>
      <c r="ED214" s="850"/>
      <c r="EE214" s="850"/>
      <c r="EF214" s="850"/>
      <c r="EG214" s="851"/>
      <c r="EH214" s="850"/>
      <c r="EI214" s="850"/>
      <c r="EJ214" s="850"/>
      <c r="EK214" s="850"/>
      <c r="EL214" s="851"/>
    </row>
    <row r="215" spans="1:142" ht="11.25" customHeight="1">
      <c r="A215" s="1056"/>
      <c r="B215" s="1056"/>
      <c r="C215" s="555"/>
      <c r="D215" s="555"/>
      <c r="E215" s="555"/>
      <c r="F215" s="555"/>
      <c r="G215" s="555"/>
      <c r="H215" s="802"/>
      <c r="I215" s="555"/>
      <c r="J215" s="555"/>
      <c r="K215" s="555"/>
      <c r="L215" s="555"/>
      <c r="M215" s="802"/>
      <c r="N215" s="555"/>
      <c r="O215" s="555"/>
      <c r="P215" s="555"/>
      <c r="Q215" s="555"/>
      <c r="R215" s="802"/>
      <c r="S215" s="555"/>
      <c r="T215" s="555"/>
      <c r="U215" s="555"/>
      <c r="V215" s="555"/>
      <c r="W215" s="802"/>
      <c r="X215" s="555"/>
      <c r="Y215" s="555"/>
      <c r="Z215" s="555"/>
      <c r="AA215" s="555"/>
      <c r="AB215" s="802"/>
      <c r="AC215" s="555"/>
      <c r="AD215" s="555"/>
      <c r="AE215" s="555"/>
      <c r="AF215" s="555"/>
      <c r="AG215" s="802"/>
      <c r="AH215" s="555"/>
      <c r="AI215" s="555"/>
      <c r="AJ215" s="555"/>
      <c r="AK215" s="555"/>
      <c r="AL215" s="802"/>
      <c r="AM215" s="555"/>
      <c r="AN215" s="555"/>
      <c r="AO215" s="555"/>
      <c r="AP215" s="555"/>
      <c r="AQ215" s="802"/>
      <c r="AR215" s="555"/>
      <c r="AS215" s="555"/>
      <c r="AT215" s="555"/>
      <c r="AU215" s="802"/>
      <c r="AV215" s="557"/>
      <c r="AW215" s="901"/>
      <c r="AX215" s="901"/>
      <c r="AY215" s="901"/>
      <c r="AZ215" s="902"/>
      <c r="BA215" s="901"/>
      <c r="BB215" s="901"/>
      <c r="BC215" s="901"/>
      <c r="BD215" s="901"/>
      <c r="BE215" s="902"/>
      <c r="BF215" s="901"/>
      <c r="BG215" s="901"/>
      <c r="BH215" s="901"/>
      <c r="BI215" s="901"/>
      <c r="BJ215" s="902"/>
      <c r="BK215" s="930"/>
      <c r="BL215" s="930"/>
      <c r="BM215" s="930"/>
      <c r="BN215" s="930"/>
      <c r="BO215" s="844"/>
      <c r="BP215" s="930"/>
      <c r="BQ215" s="930"/>
      <c r="BR215" s="930"/>
      <c r="BS215" s="930"/>
      <c r="BT215" s="844"/>
      <c r="BU215" s="930"/>
      <c r="BV215" s="930"/>
      <c r="BW215" s="930"/>
      <c r="BX215" s="930"/>
      <c r="BY215" s="844"/>
      <c r="BZ215" s="930"/>
      <c r="CA215" s="930"/>
      <c r="CB215" s="930"/>
      <c r="CC215" s="930"/>
      <c r="CD215" s="844"/>
      <c r="CE215" s="930"/>
      <c r="CF215" s="930"/>
      <c r="CG215" s="930"/>
      <c r="CH215" s="930"/>
      <c r="CI215" s="844"/>
      <c r="CJ215" s="930"/>
      <c r="CK215" s="930"/>
      <c r="CL215" s="930"/>
      <c r="CM215" s="930"/>
      <c r="CN215" s="844"/>
      <c r="CO215" s="930"/>
      <c r="CP215" s="930"/>
      <c r="CQ215" s="930"/>
      <c r="CR215" s="930"/>
      <c r="CS215" s="844"/>
      <c r="CT215" s="930"/>
      <c r="CU215" s="930"/>
      <c r="CV215" s="930"/>
      <c r="CW215" s="930"/>
      <c r="CX215" s="844"/>
      <c r="CY215" s="930"/>
      <c r="CZ215" s="930"/>
      <c r="DA215" s="930"/>
      <c r="DB215" s="930"/>
      <c r="DC215" s="844"/>
      <c r="DD215" s="930"/>
      <c r="DE215" s="930"/>
      <c r="DF215" s="930"/>
      <c r="DG215" s="930"/>
      <c r="DH215" s="844"/>
      <c r="DI215" s="930"/>
      <c r="DJ215" s="930"/>
      <c r="DK215" s="930"/>
      <c r="DL215" s="930"/>
      <c r="DM215" s="844"/>
      <c r="DN215" s="930"/>
      <c r="DO215" s="930"/>
      <c r="DP215" s="930"/>
      <c r="DQ215" s="930"/>
      <c r="DR215" s="844"/>
      <c r="DS215" s="930"/>
      <c r="DT215" s="930"/>
      <c r="DU215" s="930"/>
      <c r="DV215" s="930"/>
      <c r="DW215" s="844"/>
      <c r="DX215" s="930"/>
      <c r="DY215" s="930"/>
      <c r="DZ215" s="930"/>
      <c r="EA215" s="930"/>
      <c r="EB215" s="844"/>
      <c r="EC215" s="930"/>
      <c r="ED215" s="930"/>
      <c r="EE215" s="930"/>
      <c r="EF215" s="930"/>
      <c r="EG215" s="844"/>
      <c r="EH215" s="930"/>
      <c r="EI215" s="930"/>
      <c r="EJ215" s="930"/>
      <c r="EK215" s="930"/>
      <c r="EL215" s="844"/>
    </row>
    <row r="216" spans="1:142">
      <c r="A216" s="964"/>
      <c r="B216" s="964" t="s">
        <v>174</v>
      </c>
      <c r="C216" s="1171"/>
      <c r="D216" s="1171"/>
      <c r="E216" s="1171"/>
      <c r="F216" s="1171"/>
      <c r="G216" s="1171"/>
      <c r="H216" s="967"/>
      <c r="I216" s="1171"/>
      <c r="J216" s="1171"/>
      <c r="K216" s="1171"/>
      <c r="L216" s="1171"/>
      <c r="M216" s="967"/>
      <c r="N216" s="1171"/>
      <c r="O216" s="1171"/>
      <c r="P216" s="1171"/>
      <c r="Q216" s="1171"/>
      <c r="R216" s="967"/>
      <c r="S216" s="1171"/>
      <c r="T216" s="1171"/>
      <c r="U216" s="1171"/>
      <c r="V216" s="1171"/>
      <c r="W216" s="967"/>
      <c r="X216" s="1171"/>
      <c r="Y216" s="1171"/>
      <c r="Z216" s="1171"/>
      <c r="AA216" s="1171"/>
      <c r="AB216" s="967"/>
      <c r="AC216" s="1171"/>
      <c r="AD216" s="1171"/>
      <c r="AE216" s="1171"/>
      <c r="AF216" s="1171"/>
      <c r="AG216" s="967"/>
      <c r="AH216" s="1171"/>
      <c r="AI216" s="1171"/>
      <c r="AJ216" s="1171"/>
      <c r="AK216" s="1171"/>
      <c r="AL216" s="967"/>
      <c r="AM216" s="1171"/>
      <c r="AN216" s="1171"/>
      <c r="AO216" s="1171"/>
      <c r="AP216" s="1171"/>
      <c r="AQ216" s="967"/>
      <c r="AR216" s="1171"/>
      <c r="AS216" s="1171"/>
      <c r="AT216" s="1171"/>
      <c r="AU216" s="802"/>
      <c r="AV216" s="1171"/>
      <c r="AW216" s="1171"/>
      <c r="AX216" s="1171"/>
      <c r="AY216" s="1171"/>
      <c r="AZ216" s="967"/>
      <c r="BA216" s="1171"/>
      <c r="BB216" s="1171"/>
      <c r="BC216" s="1171"/>
      <c r="BD216" s="1171"/>
      <c r="BE216" s="967"/>
      <c r="BF216" s="1171"/>
      <c r="BG216" s="1171"/>
      <c r="BH216" s="1171"/>
      <c r="BI216" s="1171"/>
      <c r="BJ216" s="967"/>
      <c r="BK216" s="1171"/>
      <c r="BL216" s="1171"/>
      <c r="BM216" s="1171"/>
      <c r="BN216" s="1171"/>
      <c r="BO216" s="967"/>
      <c r="BP216" s="1171"/>
      <c r="BQ216" s="1171"/>
      <c r="BR216" s="1171"/>
      <c r="BS216" s="1171"/>
      <c r="BT216" s="967"/>
      <c r="BU216" s="1171"/>
      <c r="BV216" s="1171"/>
      <c r="BW216" s="1171"/>
      <c r="BX216" s="1171"/>
      <c r="BY216" s="967"/>
      <c r="BZ216" s="1171"/>
      <c r="CA216" s="1171"/>
      <c r="CB216" s="1171"/>
      <c r="CC216" s="1171"/>
      <c r="CD216" s="967"/>
      <c r="CE216" s="1171"/>
      <c r="CF216" s="1171"/>
      <c r="CG216" s="1171"/>
      <c r="CH216" s="1171"/>
      <c r="CI216" s="967"/>
      <c r="CJ216" s="1171"/>
      <c r="CK216" s="1171"/>
      <c r="CL216" s="1171"/>
      <c r="CM216" s="1171"/>
      <c r="CN216" s="967"/>
      <c r="CO216" s="1171"/>
      <c r="CP216" s="1171"/>
      <c r="CQ216" s="1171"/>
      <c r="CR216" s="1171"/>
      <c r="CS216" s="967"/>
      <c r="CT216" s="1171"/>
      <c r="CU216" s="1171"/>
      <c r="CV216" s="1171"/>
      <c r="CW216" s="1171"/>
      <c r="CX216" s="967"/>
      <c r="CY216" s="1171"/>
      <c r="CZ216" s="1171"/>
      <c r="DA216" s="1171"/>
      <c r="DB216" s="1171"/>
      <c r="DC216" s="967"/>
      <c r="DD216" s="1171"/>
      <c r="DE216" s="1171"/>
      <c r="DF216" s="1171"/>
      <c r="DG216" s="1171"/>
      <c r="DH216" s="967"/>
      <c r="DI216" s="1171"/>
      <c r="DJ216" s="1171"/>
      <c r="DK216" s="1171"/>
      <c r="DL216" s="1171"/>
      <c r="DM216" s="967"/>
      <c r="DN216" s="1171"/>
      <c r="DO216" s="1171"/>
      <c r="DP216" s="1171"/>
      <c r="DQ216" s="1171"/>
      <c r="DR216" s="967"/>
      <c r="DS216" s="1171"/>
      <c r="DT216" s="1171"/>
      <c r="DU216" s="1171"/>
      <c r="DV216" s="1171"/>
      <c r="DW216" s="967"/>
      <c r="DX216" s="1171"/>
      <c r="DY216" s="1171"/>
      <c r="DZ216" s="1171"/>
      <c r="EA216" s="1171"/>
      <c r="EB216" s="967"/>
      <c r="EC216" s="1171"/>
      <c r="ED216" s="1171"/>
      <c r="EE216" s="1171"/>
      <c r="EF216" s="1171"/>
      <c r="EG216" s="967"/>
      <c r="EH216" s="1171"/>
      <c r="EI216" s="1171"/>
      <c r="EJ216" s="1171"/>
      <c r="EK216" s="1171"/>
      <c r="EL216" s="967"/>
    </row>
    <row r="217" spans="1:142">
      <c r="A217" s="557"/>
      <c r="B217" s="557" t="s">
        <v>105</v>
      </c>
      <c r="C217" s="960"/>
      <c r="D217" s="960" t="e">
        <f>(D$8+D$9)*#REF!</f>
        <v>#REF!</v>
      </c>
      <c r="E217" s="1172" t="str">
        <f>IF(ISERROR((E$8+E$9)*#REF!),"nm",(E$8+E$9)*#REF!)</f>
        <v>nm</v>
      </c>
      <c r="F217" s="1172" t="str">
        <f>IF(ISERROR((F$8+F$9)*#REF!),"nm",(F$8+F$9)*#REF!)</f>
        <v>nm</v>
      </c>
      <c r="G217" s="1172" t="str">
        <f>IF(ISERROR((G$8+G$9)*#REF!),"nm",(G$8+G$9)*#REF!)</f>
        <v>nm</v>
      </c>
      <c r="H217" s="1157" t="s">
        <v>89</v>
      </c>
      <c r="I217" s="960" t="e">
        <f>(I$8+I$9)*#REF!</f>
        <v>#REF!</v>
      </c>
      <c r="J217" s="960" t="e">
        <f>(J$8+J$9)*#REF!</f>
        <v>#REF!</v>
      </c>
      <c r="K217" s="960" t="e">
        <f>(K$8+K$9)*#REF!</f>
        <v>#REF!</v>
      </c>
      <c r="L217" s="1172" t="str">
        <f>IF(ISERROR((L$8+L$9)*#REF!),"nm",(L$8+L$9)*#REF!)</f>
        <v>nm</v>
      </c>
      <c r="M217" s="1157" t="s">
        <v>89</v>
      </c>
      <c r="N217" s="960" t="e">
        <f>(N$8+N$9)*#REF!</f>
        <v>#REF!</v>
      </c>
      <c r="O217" s="960" t="e">
        <f>(O$8+O$9)*#REF!</f>
        <v>#REF!</v>
      </c>
      <c r="P217" s="960" t="e">
        <f>(P$8+P$9)*#REF!</f>
        <v>#REF!</v>
      </c>
      <c r="Q217" s="1172" t="str">
        <f>IF(ISERROR((Q$8+Q$9)*#REF!),"nm",(Q$8+Q$9)*#REF!)</f>
        <v>nm</v>
      </c>
      <c r="R217" s="1157" t="s">
        <v>89</v>
      </c>
      <c r="S217" s="960" t="e">
        <f>(S$8+S$9)*#REF!</f>
        <v>#REF!</v>
      </c>
      <c r="T217" s="960" t="e">
        <f>(T$8+T$9)*#REF!</f>
        <v>#REF!</v>
      </c>
      <c r="U217" s="960" t="e">
        <f>(U$8+U$9)*#REF!</f>
        <v>#REF!</v>
      </c>
      <c r="V217" s="1172" t="str">
        <f>IF(ISERROR((V$8+V$9)*#REF!),"nm",(V$8+V$9)*#REF!)</f>
        <v>nm</v>
      </c>
      <c r="W217" s="1157" t="s">
        <v>89</v>
      </c>
      <c r="X217" s="960" t="e">
        <f>(X$8+X$9)*#REF!</f>
        <v>#REF!</v>
      </c>
      <c r="Y217" s="960" t="e">
        <f>(Y$8+Y$9)*#REF!</f>
        <v>#REF!</v>
      </c>
      <c r="Z217" s="960" t="e">
        <f>(Z$8+Z$9)*#REF!</f>
        <v>#REF!</v>
      </c>
      <c r="AA217" s="1172" t="str">
        <f>IF(ISERROR((AA$8+AA$9)*#REF!),"nm",(AA$8+AA$9)*#REF!)</f>
        <v>nm</v>
      </c>
      <c r="AB217" s="1157" t="s">
        <v>89</v>
      </c>
      <c r="AC217" s="960" t="e">
        <f>(AC$8+AC$9)*#REF!</f>
        <v>#REF!</v>
      </c>
      <c r="AD217" s="960" t="e">
        <f>(AD$8+AD$9)*#REF!</f>
        <v>#REF!</v>
      </c>
      <c r="AE217" s="960" t="e">
        <f>(AE$8+AE$9)*#REF!</f>
        <v>#REF!</v>
      </c>
      <c r="AF217" s="1172" t="str">
        <f>IF(ISERROR((AF$8+AF$9)*#REF!),"nm",(AF$8+AF$9)*#REF!)</f>
        <v>nm</v>
      </c>
      <c r="AG217" s="1157" t="s">
        <v>89</v>
      </c>
      <c r="AH217" s="960" t="e">
        <f>(AH$8+AH$9)*#REF!</f>
        <v>#REF!</v>
      </c>
      <c r="AI217" s="960" t="e">
        <f>(AI$8+AI$9)*#REF!</f>
        <v>#REF!</v>
      </c>
      <c r="AJ217" s="960" t="e">
        <f>(AJ$8+AJ$9)*#REF!</f>
        <v>#REF!</v>
      </c>
      <c r="AK217" s="1172" t="str">
        <f>IF(ISERROR((AK$8+AK$9)*#REF!),"nm",(AK$8+AK$9)*#REF!)</f>
        <v>nm</v>
      </c>
      <c r="AL217" s="1157" t="s">
        <v>89</v>
      </c>
      <c r="AM217" s="960" t="e">
        <f>(AM$8+AM$9)*#REF!</f>
        <v>#REF!</v>
      </c>
      <c r="AN217" s="960" t="e">
        <f>(AN$8+AN$9)*#REF!</f>
        <v>#REF!</v>
      </c>
      <c r="AO217" s="960" t="e">
        <f>(AO$8+AO$9)*#REF!</f>
        <v>#REF!</v>
      </c>
      <c r="AP217" s="1172" t="str">
        <f>IF(ISERROR((AP$8+AP$9)*#REF!),"nm",(AP$8+AP$9)*#REF!)</f>
        <v>nm</v>
      </c>
      <c r="AQ217" s="1157" t="s">
        <v>89</v>
      </c>
      <c r="AR217" s="960" t="e">
        <f>(AR$8+AR$9)*#REF!</f>
        <v>#REF!</v>
      </c>
      <c r="AS217" s="960" t="e">
        <f>(AS$8+AS$9)*#REF!</f>
        <v>#REF!</v>
      </c>
      <c r="AT217" s="960" t="e">
        <f>(AT$8+AT$9)*#REF!</f>
        <v>#REF!</v>
      </c>
      <c r="AU217" s="802"/>
      <c r="AV217" s="1173" t="e">
        <f t="shared" ref="AV217:AY220" si="503">(AV$8+AV$9)*AV228</f>
        <v>#VALUE!</v>
      </c>
      <c r="AW217" s="555" t="e">
        <f t="shared" si="503"/>
        <v>#VALUE!</v>
      </c>
      <c r="AX217" s="555" t="e">
        <f t="shared" si="503"/>
        <v>#VALUE!</v>
      </c>
      <c r="AY217" s="555" t="e">
        <f t="shared" si="503"/>
        <v>#VALUE!</v>
      </c>
      <c r="AZ217" s="902" t="e">
        <f>SUM(AV217:AY217)</f>
        <v>#VALUE!</v>
      </c>
      <c r="BA217" s="1173">
        <f t="shared" ref="BA217:BD220" si="504">(BA$8+BA$9)*BA228</f>
        <v>894.89400000000012</v>
      </c>
      <c r="BB217" s="555">
        <f t="shared" si="504"/>
        <v>859.45500000000004</v>
      </c>
      <c r="BC217" s="555">
        <f t="shared" si="504"/>
        <v>830.28000000000009</v>
      </c>
      <c r="BD217" s="555" t="e">
        <f t="shared" si="504"/>
        <v>#VALUE!</v>
      </c>
      <c r="BE217" s="1157" t="s">
        <v>89</v>
      </c>
      <c r="BF217" s="1173">
        <f t="shared" ref="BF217:BI220" si="505">(BF$8+BF$9)*BF228</f>
        <v>668.98</v>
      </c>
      <c r="BG217" s="555">
        <f t="shared" si="505"/>
        <v>639.98900000000003</v>
      </c>
      <c r="BH217" s="555">
        <f t="shared" si="505"/>
        <v>589.34799999999996</v>
      </c>
      <c r="BI217" s="555">
        <f t="shared" si="505"/>
        <v>630.76800000000003</v>
      </c>
      <c r="BJ217" s="902">
        <f>SUM(BF217:BI217)</f>
        <v>2529.085</v>
      </c>
      <c r="BK217" s="1173">
        <f t="shared" ref="BK217:BN220" si="506">(BK$8+BK$9)*BK228</f>
        <v>679.61999999999989</v>
      </c>
      <c r="BL217" s="555">
        <f t="shared" si="506"/>
        <v>632.40000000000009</v>
      </c>
      <c r="BM217" s="555">
        <f t="shared" si="506"/>
        <v>612.41500000000008</v>
      </c>
      <c r="BN217" s="555">
        <f t="shared" si="506"/>
        <v>629.14199999999994</v>
      </c>
      <c r="BO217" s="1174">
        <f>SUM(BK217:BN217)</f>
        <v>2553.5769999999998</v>
      </c>
      <c r="BP217" s="1173">
        <f t="shared" ref="BP217:BS220" si="507">(BP$8+BP$9)*BP228</f>
        <v>662.50299999999993</v>
      </c>
      <c r="BQ217" s="555">
        <f t="shared" si="507"/>
        <v>566.01600000000008</v>
      </c>
      <c r="BR217" s="555">
        <f t="shared" si="507"/>
        <v>504.12700000000001</v>
      </c>
      <c r="BS217" s="555">
        <f t="shared" si="507"/>
        <v>556.50800000000004</v>
      </c>
      <c r="BT217" s="1174">
        <f>SUM(BP217:BS217)</f>
        <v>2289.154</v>
      </c>
      <c r="BU217" s="1173">
        <f t="shared" ref="BU217:BX220" si="508">(BU$8+BU$9)*BU228</f>
        <v>509.70400000000001</v>
      </c>
      <c r="BV217" s="555">
        <f t="shared" si="508"/>
        <v>507.13</v>
      </c>
      <c r="BW217" s="555">
        <f t="shared" si="508"/>
        <v>481.05</v>
      </c>
      <c r="BX217" s="555">
        <f t="shared" si="508"/>
        <v>502.887</v>
      </c>
      <c r="BY217" s="1174">
        <f>SUM(BU217:BX217)</f>
        <v>2000.771</v>
      </c>
      <c r="BZ217" s="1173">
        <f t="shared" ref="BZ217:CC220" si="509">(BZ$8+BZ$9)*BZ228</f>
        <v>532.904</v>
      </c>
      <c r="CA217" s="555">
        <f t="shared" si="509"/>
        <v>495.61499999999995</v>
      </c>
      <c r="CB217" s="555">
        <f t="shared" si="509"/>
        <v>467.55</v>
      </c>
      <c r="CC217" s="555">
        <f t="shared" si="509"/>
        <v>486.48600000000005</v>
      </c>
      <c r="CD217" s="1174">
        <f>SUM(BZ217:CC217)</f>
        <v>1982.5550000000001</v>
      </c>
      <c r="CE217" s="1173">
        <f t="shared" ref="CE217:CH220" si="510">(CE$8+CE$9)*CE228</f>
        <v>509.93600000000004</v>
      </c>
      <c r="CF217" s="555">
        <f t="shared" si="510"/>
        <v>503.60499999999996</v>
      </c>
      <c r="CG217" s="555">
        <f t="shared" si="510"/>
        <v>489.375</v>
      </c>
      <c r="CH217" s="555">
        <f t="shared" si="510"/>
        <v>501.73200000000003</v>
      </c>
      <c r="CI217" s="1174">
        <f>SUM(CE217:CH217)</f>
        <v>2004.6479999999999</v>
      </c>
      <c r="CJ217" s="1173">
        <f t="shared" ref="CJ217:CM220" si="511">(CJ$8+CJ$9)*CJ228</f>
        <v>522</v>
      </c>
      <c r="CK217" s="555">
        <f t="shared" si="511"/>
        <v>519.58499999999992</v>
      </c>
      <c r="CL217" s="555">
        <f t="shared" si="511"/>
        <v>486.90000000000003</v>
      </c>
      <c r="CM217" s="555">
        <f t="shared" si="511"/>
        <v>509.81700000000001</v>
      </c>
      <c r="CN217" s="1174">
        <f>SUM(CJ217:CM217)</f>
        <v>2038.3020000000001</v>
      </c>
      <c r="CO217" s="1173">
        <f t="shared" ref="CO217:CR220" si="512">(CO$8+CO$9)*CO228</f>
        <v>542.64800000000002</v>
      </c>
      <c r="CP217" s="555">
        <f t="shared" si="512"/>
        <v>517.93999999999994</v>
      </c>
      <c r="CQ217" s="555">
        <f t="shared" si="512"/>
        <v>490.05</v>
      </c>
      <c r="CR217" s="555">
        <f t="shared" si="512"/>
        <v>516.28499999999997</v>
      </c>
      <c r="CS217" s="1174">
        <f>SUM(CO217:CR217)</f>
        <v>2066.9229999999998</v>
      </c>
      <c r="CT217" s="1173">
        <f t="shared" ref="CT217:CW220" si="513">(CT$8+CT$9)*CT228</f>
        <v>628.84500000000003</v>
      </c>
      <c r="CU217" s="555">
        <f t="shared" si="513"/>
        <v>530.95299999999997</v>
      </c>
      <c r="CV217" s="555">
        <f t="shared" si="513"/>
        <v>506.09000000000003</v>
      </c>
      <c r="CW217" s="555">
        <f t="shared" si="513"/>
        <v>529.76</v>
      </c>
      <c r="CX217" s="1174">
        <f>SUM(CT217:CW217)</f>
        <v>2195.6480000000001</v>
      </c>
      <c r="CY217" s="1173">
        <f t="shared" ref="CY217:DB220" si="514">(CY$8+CY$9)*CY228</f>
        <v>540.27</v>
      </c>
      <c r="CZ217" s="555">
        <f t="shared" si="514"/>
        <v>501.06</v>
      </c>
      <c r="DA217" s="555">
        <f t="shared" si="514"/>
        <v>499.911</v>
      </c>
      <c r="DB217" s="555">
        <f t="shared" si="514"/>
        <v>812.92200000000003</v>
      </c>
      <c r="DC217" s="1174">
        <f>SUM(CY217:DB217)</f>
        <v>2354.163</v>
      </c>
      <c r="DD217" s="1173">
        <f t="shared" ref="DD217:DG220" si="515">(DD$8+DD$9)*DD228</f>
        <v>855.63600000000008</v>
      </c>
      <c r="DE217" s="555">
        <f t="shared" si="515"/>
        <v>864.22500000000002</v>
      </c>
      <c r="DF217" s="555">
        <f t="shared" si="515"/>
        <v>839.36</v>
      </c>
      <c r="DG217" s="555">
        <f t="shared" si="515"/>
        <v>898.42917330016564</v>
      </c>
      <c r="DH217" s="1174">
        <v>3452</v>
      </c>
      <c r="DI217" s="1173">
        <f>(DI$8+DI$9)*DI228</f>
        <v>894.45399999999995</v>
      </c>
      <c r="DJ217" s="555">
        <v>850</v>
      </c>
      <c r="DK217" s="555">
        <v>817</v>
      </c>
      <c r="DL217" s="555">
        <f>(DL$8+DL$9)*DL228</f>
        <v>846.65159313273</v>
      </c>
      <c r="DM217" s="1174">
        <v>3403</v>
      </c>
      <c r="DN217" s="1173">
        <v>859</v>
      </c>
      <c r="DO217" s="1173">
        <v>879</v>
      </c>
      <c r="DP217" s="1173">
        <v>809</v>
      </c>
      <c r="DQ217" s="555">
        <f>DR217-SUM(DN217:DP217)</f>
        <v>827</v>
      </c>
      <c r="DR217" s="1499">
        <v>3374</v>
      </c>
      <c r="DS217" s="1173">
        <v>860</v>
      </c>
      <c r="DT217" s="1173">
        <v>852</v>
      </c>
      <c r="DU217" s="1173">
        <v>809</v>
      </c>
      <c r="DV217" s="555">
        <f>DW217-SUM(DS217:DU217)</f>
        <v>868</v>
      </c>
      <c r="DW217" s="1499">
        <v>3389</v>
      </c>
      <c r="DX217" s="555"/>
      <c r="DY217" s="555"/>
      <c r="DZ217" s="555"/>
      <c r="EA217" s="555"/>
      <c r="EB217" s="802"/>
      <c r="EC217" s="555"/>
      <c r="ED217" s="555"/>
      <c r="EE217" s="555"/>
      <c r="EF217" s="555"/>
      <c r="EG217" s="802"/>
      <c r="EH217" s="555"/>
      <c r="EI217" s="555"/>
      <c r="EJ217" s="555"/>
      <c r="EK217" s="555"/>
      <c r="EL217" s="802"/>
    </row>
    <row r="218" spans="1:142">
      <c r="A218" s="557"/>
      <c r="B218" s="557" t="s">
        <v>106</v>
      </c>
      <c r="C218" s="1172"/>
      <c r="D218" s="1172" t="str">
        <f>IF(ISERROR((D$8+D$9)*#REF!),"nm",(D$8+D$9)*#REF!)</f>
        <v>nm</v>
      </c>
      <c r="E218" s="1172" t="str">
        <f>IF(ISERROR((E$8+E$9)*#REF!),"nm",(E$8+E$9)*#REF!)</f>
        <v>nm</v>
      </c>
      <c r="F218" s="1172" t="str">
        <f>IF(ISERROR((F$8+F$9)*#REF!),"nm",(F$8+F$9)*#REF!)</f>
        <v>nm</v>
      </c>
      <c r="G218" s="1172" t="str">
        <f>IF(ISERROR((G$8+G$9)*#REF!),"nm",(G$8+G$9)*#REF!)</f>
        <v>nm</v>
      </c>
      <c r="H218" s="1157" t="s">
        <v>89</v>
      </c>
      <c r="I218" s="1172" t="str">
        <f>IF(ISERROR((I$8+I$9)*#REF!),"nm",(I$8+I$9)*#REF!)</f>
        <v>nm</v>
      </c>
      <c r="J218" s="1172" t="str">
        <f>IF(ISERROR((J$8+J$9)*#REF!),"nm",(J$8+J$9)*#REF!)</f>
        <v>nm</v>
      </c>
      <c r="K218" s="1172" t="str">
        <f>IF(ISERROR((K$8+K$9)*#REF!),"nm",(K$8+K$9)*#REF!)</f>
        <v>nm</v>
      </c>
      <c r="L218" s="1172" t="str">
        <f>IF(ISERROR((L$8+L$9)*#REF!),"nm",(L$8+L$9)*#REF!)</f>
        <v>nm</v>
      </c>
      <c r="M218" s="1157" t="s">
        <v>89</v>
      </c>
      <c r="N218" s="1172" t="str">
        <f>IF(ISERROR((N$8+N$9)*#REF!),"nm",(N$8+N$9)*#REF!)</f>
        <v>nm</v>
      </c>
      <c r="O218" s="1172" t="str">
        <f>IF(ISERROR((O$8+O$9)*#REF!),"nm",(O$8+O$9)*#REF!)</f>
        <v>nm</v>
      </c>
      <c r="P218" s="1172" t="str">
        <f>IF(ISERROR((P$8+P$9)*#REF!),"nm",(P$8+P$9)*#REF!)</f>
        <v>nm</v>
      </c>
      <c r="Q218" s="1172" t="str">
        <f>IF(ISERROR((Q$8+Q$9)*#REF!),"nm",(Q$8+Q$9)*#REF!)</f>
        <v>nm</v>
      </c>
      <c r="R218" s="1157" t="s">
        <v>89</v>
      </c>
      <c r="S218" s="1172" t="str">
        <f>IF(ISERROR((S$8+S$9)*#REF!),"nm",(S$8+S$9)*#REF!)</f>
        <v>nm</v>
      </c>
      <c r="T218" s="1172" t="str">
        <f>IF(ISERROR((T$8+T$9)*#REF!),"nm",(T$8+T$9)*#REF!)</f>
        <v>nm</v>
      </c>
      <c r="U218" s="1172" t="str">
        <f>IF(ISERROR((U$8+U$9)*#REF!),"nm",(U$8+U$9)*#REF!)</f>
        <v>nm</v>
      </c>
      <c r="V218" s="1172" t="str">
        <f>IF(ISERROR((V$8+V$9)*#REF!),"nm",(V$8+V$9)*#REF!)</f>
        <v>nm</v>
      </c>
      <c r="W218" s="1157" t="s">
        <v>89</v>
      </c>
      <c r="X218" s="1172" t="str">
        <f>IF(ISERROR((X$8+X$9)*#REF!),"nm",(X$8+X$9)*#REF!)</f>
        <v>nm</v>
      </c>
      <c r="Y218" s="1172" t="str">
        <f>IF(ISERROR((Y$8+Y$9)*#REF!),"nm",(Y$8+Y$9)*#REF!)</f>
        <v>nm</v>
      </c>
      <c r="Z218" s="1172" t="str">
        <f>IF(ISERROR((Z$8+Z$9)*#REF!),"nm",(Z$8+Z$9)*#REF!)</f>
        <v>nm</v>
      </c>
      <c r="AA218" s="1172" t="str">
        <f>IF(ISERROR((AA$8+AA$9)*#REF!),"nm",(AA$8+AA$9)*#REF!)</f>
        <v>nm</v>
      </c>
      <c r="AB218" s="1157" t="s">
        <v>89</v>
      </c>
      <c r="AC218" s="960" t="e">
        <f>(AC$8+AC$9)*#REF!</f>
        <v>#REF!</v>
      </c>
      <c r="AD218" s="960" t="e">
        <f>(AD$8+AD$9)*#REF!</f>
        <v>#REF!</v>
      </c>
      <c r="AE218" s="960" t="e">
        <f>(AE$8+AE$9)*#REF!</f>
        <v>#REF!</v>
      </c>
      <c r="AF218" s="1172" t="str">
        <f>IF(ISERROR((AF$8+AF$9)*#REF!),"nm",(AF$8+AF$9)*#REF!)</f>
        <v>nm</v>
      </c>
      <c r="AG218" s="1157" t="s">
        <v>89</v>
      </c>
      <c r="AH218" s="960" t="e">
        <f>(AH$8+AH$9)*#REF!</f>
        <v>#REF!</v>
      </c>
      <c r="AI218" s="960" t="e">
        <f>(AI$8+AI$9)*#REF!</f>
        <v>#REF!</v>
      </c>
      <c r="AJ218" s="960" t="e">
        <f>(AJ$8+AJ$9)*#REF!</f>
        <v>#REF!</v>
      </c>
      <c r="AK218" s="1172" t="str">
        <f>IF(ISERROR((AK$8+AK$9)*#REF!),"nm",(AK$8+AK$9)*#REF!)</f>
        <v>nm</v>
      </c>
      <c r="AL218" s="1157" t="s">
        <v>89</v>
      </c>
      <c r="AM218" s="960" t="e">
        <f>(AM$8+AM$9)*#REF!</f>
        <v>#REF!</v>
      </c>
      <c r="AN218" s="960" t="e">
        <f>(AN$8+AN$9)*#REF!</f>
        <v>#REF!</v>
      </c>
      <c r="AO218" s="960" t="e">
        <f>(AO$8+AO$9)*#REF!</f>
        <v>#REF!</v>
      </c>
      <c r="AP218" s="1172" t="str">
        <f>IF(ISERROR((AP$8+AP$9)*#REF!),"nm",(AP$8+AP$9)*#REF!)</f>
        <v>nm</v>
      </c>
      <c r="AQ218" s="1157" t="s">
        <v>89</v>
      </c>
      <c r="AR218" s="960" t="e">
        <f>(AR$8+AR$9)*#REF!</f>
        <v>#REF!</v>
      </c>
      <c r="AS218" s="960" t="e">
        <f>(AS$8+AS$9)*#REF!</f>
        <v>#REF!</v>
      </c>
      <c r="AT218" s="960" t="e">
        <f>(AT$8+AT$9)*#REF!</f>
        <v>#REF!</v>
      </c>
      <c r="AU218" s="802"/>
      <c r="AV218" s="1173" t="e">
        <f t="shared" si="503"/>
        <v>#VALUE!</v>
      </c>
      <c r="AW218" s="555" t="e">
        <f t="shared" si="503"/>
        <v>#VALUE!</v>
      </c>
      <c r="AX218" s="555" t="e">
        <f t="shared" si="503"/>
        <v>#VALUE!</v>
      </c>
      <c r="AY218" s="555" t="e">
        <f t="shared" si="503"/>
        <v>#VALUE!</v>
      </c>
      <c r="AZ218" s="902" t="e">
        <f>SUM(AV218:AY218)</f>
        <v>#VALUE!</v>
      </c>
      <c r="BA218" s="1173">
        <f t="shared" si="504"/>
        <v>288.464</v>
      </c>
      <c r="BB218" s="555">
        <f t="shared" si="504"/>
        <v>300.33</v>
      </c>
      <c r="BC218" s="555">
        <f t="shared" si="504"/>
        <v>279.90499999999997</v>
      </c>
      <c r="BD218" s="555" t="e">
        <f t="shared" si="504"/>
        <v>#VALUE!</v>
      </c>
      <c r="BE218" s="1157" t="s">
        <v>89</v>
      </c>
      <c r="BF218" s="1173">
        <f t="shared" si="505"/>
        <v>195.548</v>
      </c>
      <c r="BG218" s="555">
        <f t="shared" si="505"/>
        <v>177.91199999999998</v>
      </c>
      <c r="BH218" s="555">
        <f t="shared" si="505"/>
        <v>185.49199999999999</v>
      </c>
      <c r="BI218" s="555">
        <f t="shared" si="505"/>
        <v>171.60599999999999</v>
      </c>
      <c r="BJ218" s="902">
        <f>SUM(BF218:BI218)</f>
        <v>730.55799999999999</v>
      </c>
      <c r="BK218" s="1173">
        <f t="shared" si="506"/>
        <v>195.21</v>
      </c>
      <c r="BL218" s="555">
        <f t="shared" si="506"/>
        <v>192.97500000000002</v>
      </c>
      <c r="BM218" s="555">
        <f t="shared" si="506"/>
        <v>203.36799999999999</v>
      </c>
      <c r="BN218" s="555">
        <f t="shared" si="506"/>
        <v>178.48</v>
      </c>
      <c r="BO218" s="1175">
        <f>SUM(BK218:BN218)</f>
        <v>770.03300000000013</v>
      </c>
      <c r="BP218" s="1173">
        <f t="shared" si="507"/>
        <v>198.98500000000001</v>
      </c>
      <c r="BQ218" s="555">
        <f t="shared" si="507"/>
        <v>200.64000000000001</v>
      </c>
      <c r="BR218" s="555">
        <f t="shared" si="507"/>
        <v>179.60799999999998</v>
      </c>
      <c r="BS218" s="555">
        <f t="shared" si="507"/>
        <v>196.78800000000001</v>
      </c>
      <c r="BT218" s="1175">
        <f>SUM(BP218:BS218)</f>
        <v>776.02099999999996</v>
      </c>
      <c r="BU218" s="1173">
        <f t="shared" si="508"/>
        <v>252.655</v>
      </c>
      <c r="BV218" s="555">
        <f t="shared" si="508"/>
        <v>161.85</v>
      </c>
      <c r="BW218" s="555">
        <f t="shared" si="508"/>
        <v>171.04</v>
      </c>
      <c r="BX218" s="555">
        <f t="shared" si="508"/>
        <v>187.22199999999998</v>
      </c>
      <c r="BY218" s="1175">
        <f>SUM(BU218:BX218)</f>
        <v>772.76699999999994</v>
      </c>
      <c r="BZ218" s="1173">
        <f t="shared" si="509"/>
        <v>264.15500000000003</v>
      </c>
      <c r="CA218" s="555">
        <f t="shared" si="509"/>
        <v>158.17499999999998</v>
      </c>
      <c r="CB218" s="555">
        <f t="shared" si="509"/>
        <v>166.24</v>
      </c>
      <c r="CC218" s="555">
        <f t="shared" si="509"/>
        <v>181.11599999999999</v>
      </c>
      <c r="CD218" s="1175">
        <f>SUM(BZ218:CC218)</f>
        <v>769.68600000000004</v>
      </c>
      <c r="CE218" s="1173">
        <f t="shared" si="510"/>
        <v>252.77</v>
      </c>
      <c r="CF218" s="555">
        <f t="shared" si="510"/>
        <v>160.72499999999999</v>
      </c>
      <c r="CG218" s="555">
        <f t="shared" si="510"/>
        <v>174</v>
      </c>
      <c r="CH218" s="555">
        <f t="shared" si="510"/>
        <v>186.79199999999997</v>
      </c>
      <c r="CI218" s="1175">
        <f>SUM(CE218:CH218)</f>
        <v>774.28700000000003</v>
      </c>
      <c r="CJ218" s="1173">
        <f t="shared" si="511"/>
        <v>258.75</v>
      </c>
      <c r="CK218" s="555">
        <f t="shared" si="511"/>
        <v>165.82499999999999</v>
      </c>
      <c r="CL218" s="555">
        <f t="shared" si="511"/>
        <v>173.12</v>
      </c>
      <c r="CM218" s="555">
        <f t="shared" si="511"/>
        <v>189.80199999999999</v>
      </c>
      <c r="CN218" s="1175">
        <f>SUM(CJ218:CM218)</f>
        <v>787.49699999999996</v>
      </c>
      <c r="CO218" s="1173">
        <f t="shared" si="512"/>
        <v>268.98500000000001</v>
      </c>
      <c r="CP218" s="555">
        <f t="shared" si="512"/>
        <v>165.29999999999998</v>
      </c>
      <c r="CQ218" s="555">
        <f t="shared" si="512"/>
        <v>174.24</v>
      </c>
      <c r="CR218" s="555">
        <f t="shared" si="512"/>
        <v>192.20999999999998</v>
      </c>
      <c r="CS218" s="1175">
        <f>SUM(CO218:CR218)</f>
        <v>800.7349999999999</v>
      </c>
      <c r="CT218" s="1173">
        <f t="shared" si="513"/>
        <v>177.97499999999999</v>
      </c>
      <c r="CU218" s="555">
        <f t="shared" si="513"/>
        <v>233.9</v>
      </c>
      <c r="CV218" s="555">
        <f t="shared" si="513"/>
        <v>176.32999999999998</v>
      </c>
      <c r="CW218" s="555">
        <f t="shared" si="513"/>
        <v>196.29500000000002</v>
      </c>
      <c r="CX218" s="1175">
        <f>SUM(CT218:CW218)</f>
        <v>784.5</v>
      </c>
      <c r="CY218" s="1173">
        <f t="shared" si="514"/>
        <v>187.92000000000002</v>
      </c>
      <c r="CZ218" s="555">
        <f t="shared" si="514"/>
        <v>236.214</v>
      </c>
      <c r="DA218" s="555">
        <f t="shared" si="514"/>
        <v>206.536</v>
      </c>
      <c r="DB218" s="555">
        <f t="shared" si="514"/>
        <v>346.79700000000003</v>
      </c>
      <c r="DC218" s="1175">
        <f>SUM(CY218:DB218)</f>
        <v>977.4670000000001</v>
      </c>
      <c r="DD218" s="1173">
        <f t="shared" si="515"/>
        <v>291.52199999999999</v>
      </c>
      <c r="DE218" s="555">
        <f t="shared" si="515"/>
        <v>380.25900000000001</v>
      </c>
      <c r="DF218" s="555">
        <f t="shared" si="515"/>
        <v>339.64799999999997</v>
      </c>
      <c r="DG218" s="555">
        <f t="shared" si="515"/>
        <v>472.97341459369824</v>
      </c>
      <c r="DH218" s="1175">
        <v>1485</v>
      </c>
      <c r="DI218" s="1173">
        <f>(DI$8+DI$9)*DI229</f>
        <v>377.476</v>
      </c>
      <c r="DJ218" s="555">
        <v>349</v>
      </c>
      <c r="DK218" s="555">
        <v>361</v>
      </c>
      <c r="DL218" s="555">
        <f>(DL$8+DL$9)*DL229</f>
        <v>363.09434151744495</v>
      </c>
      <c r="DM218" s="1175">
        <v>1451</v>
      </c>
      <c r="DN218" s="1173">
        <v>373</v>
      </c>
      <c r="DO218" s="1173">
        <v>298</v>
      </c>
      <c r="DP218" s="1173">
        <v>342</v>
      </c>
      <c r="DQ218" s="555">
        <f>DR218-SUM(DN218:DP218)</f>
        <v>333</v>
      </c>
      <c r="DR218" s="1499">
        <v>1346</v>
      </c>
      <c r="DS218" s="1173">
        <v>275</v>
      </c>
      <c r="DT218" s="1173">
        <v>291</v>
      </c>
      <c r="DU218" s="1173">
        <v>256</v>
      </c>
      <c r="DV218" s="555">
        <f>DW218-SUM(DS218:DU218)</f>
        <v>503</v>
      </c>
      <c r="DW218" s="1499">
        <v>1325</v>
      </c>
      <c r="DX218" s="555"/>
      <c r="DY218" s="555"/>
      <c r="DZ218" s="555"/>
      <c r="EA218" s="555"/>
      <c r="EB218" s="802"/>
      <c r="EC218" s="555"/>
      <c r="ED218" s="555"/>
      <c r="EE218" s="555"/>
      <c r="EF218" s="555"/>
      <c r="EG218" s="802"/>
      <c r="EH218" s="555"/>
      <c r="EI218" s="555"/>
      <c r="EJ218" s="555"/>
      <c r="EK218" s="555"/>
      <c r="EL218" s="802"/>
    </row>
    <row r="219" spans="1:142">
      <c r="A219" s="557"/>
      <c r="B219" s="557" t="s">
        <v>175</v>
      </c>
      <c r="C219" s="1172"/>
      <c r="D219" s="1172" t="str">
        <f>IF(ISERROR((D$8+D$9)*#REF!),"nm",(D$8+D$9)*#REF!)</f>
        <v>nm</v>
      </c>
      <c r="E219" s="1172" t="str">
        <f>IF(ISERROR((E$8+E$9)*#REF!),"nm",(E$8+E$9)*#REF!)</f>
        <v>nm</v>
      </c>
      <c r="F219" s="1172" t="str">
        <f>IF(ISERROR((F$8+F$9)*#REF!),"nm",(F$8+F$9)*#REF!)</f>
        <v>nm</v>
      </c>
      <c r="G219" s="1172" t="str">
        <f>IF(ISERROR((G$8+G$9)*#REF!),"nm",(G$8+G$9)*#REF!)</f>
        <v>nm</v>
      </c>
      <c r="H219" s="902">
        <f>SUM(D219:G219)</f>
        <v>0</v>
      </c>
      <c r="I219" s="1172" t="str">
        <f>IF(ISERROR((I$8+I$9)*#REF!),"nm",(I$8+I$9)*#REF!)</f>
        <v>nm</v>
      </c>
      <c r="J219" s="1172" t="str">
        <f>IF(ISERROR((J$8+J$9)*#REF!),"nm",(J$8+J$9)*#REF!)</f>
        <v>nm</v>
      </c>
      <c r="K219" s="1172" t="str">
        <f>IF(ISERROR((K$8+K$9)*#REF!),"nm",(K$8+K$9)*#REF!)</f>
        <v>nm</v>
      </c>
      <c r="L219" s="1172" t="str">
        <f>IF(ISERROR((L$8+L$9)*#REF!),"nm",(L$8+L$9)*#REF!)</f>
        <v>nm</v>
      </c>
      <c r="M219" s="902">
        <f>SUM(I219:L219)</f>
        <v>0</v>
      </c>
      <c r="N219" s="1172" t="str">
        <f>IF(ISERROR((N$8+N$9)*#REF!),"nm",(N$8+N$9)*#REF!)</f>
        <v>nm</v>
      </c>
      <c r="O219" s="1172" t="str">
        <f>IF(ISERROR((O$8+O$9)*#REF!),"nm",(O$8+O$9)*#REF!)</f>
        <v>nm</v>
      </c>
      <c r="P219" s="1172" t="str">
        <f>IF(ISERROR((P$8+P$9)*#REF!),"nm",(P$8+P$9)*#REF!)</f>
        <v>nm</v>
      </c>
      <c r="Q219" s="1172" t="str">
        <f>IF(ISERROR((Q$8+Q$9)*#REF!),"nm",(Q$8+Q$9)*#REF!)</f>
        <v>nm</v>
      </c>
      <c r="R219" s="902">
        <f>SUM(N219:Q219)</f>
        <v>0</v>
      </c>
      <c r="S219" s="1172" t="str">
        <f>IF(ISERROR((S$8+S$9)*#REF!),"nm",(S$8+S$9)*#REF!)</f>
        <v>nm</v>
      </c>
      <c r="T219" s="1172" t="str">
        <f>IF(ISERROR((T$8+T$9)*#REF!),"nm",(T$8+T$9)*#REF!)</f>
        <v>nm</v>
      </c>
      <c r="U219" s="1172" t="str">
        <f>IF(ISERROR((U$8+U$9)*#REF!),"nm",(U$8+U$9)*#REF!)</f>
        <v>nm</v>
      </c>
      <c r="V219" s="1172" t="str">
        <f>IF(ISERROR((V$8+V$9)*#REF!),"nm",(V$8+V$9)*#REF!)</f>
        <v>nm</v>
      </c>
      <c r="W219" s="902">
        <f>SUM(S219:V219)</f>
        <v>0</v>
      </c>
      <c r="X219" s="1172" t="str">
        <f>IF(ISERROR((X$8+X$9)*#REF!),"nm",(X$8+X$9)*#REF!)</f>
        <v>nm</v>
      </c>
      <c r="Y219" s="1172" t="str">
        <f>IF(ISERROR((Y$8+Y$9)*#REF!),"nm",(Y$8+Y$9)*#REF!)</f>
        <v>nm</v>
      </c>
      <c r="Z219" s="1172" t="str">
        <f>IF(ISERROR((Z$8+Z$9)*#REF!),"nm",(Z$8+Z$9)*#REF!)</f>
        <v>nm</v>
      </c>
      <c r="AA219" s="1172" t="str">
        <f>IF(ISERROR((AA$8+AA$9)*#REF!),"nm",(AA$8+AA$9)*#REF!)</f>
        <v>nm</v>
      </c>
      <c r="AB219" s="902">
        <f>SUM(X219:AA219)</f>
        <v>0</v>
      </c>
      <c r="AC219" s="1172" t="str">
        <f>IF(ISERROR((AC$8+AC$9)*#REF!),"nm",(AC$8+AC$9)*#REF!)</f>
        <v>nm</v>
      </c>
      <c r="AD219" s="1172" t="str">
        <f>IF(ISERROR((AD$8+AD$9)*#REF!),"nm",(AD$8+AD$9)*#REF!)</f>
        <v>nm</v>
      </c>
      <c r="AE219" s="1172" t="str">
        <f>IF(ISERROR((AE$8+AE$9)*#REF!),"nm",(AE$8+AE$9)*#REF!)</f>
        <v>nm</v>
      </c>
      <c r="AF219" s="1172" t="str">
        <f>IF(ISERROR((AF$8+AF$9)*#REF!),"nm",(AF$8+AF$9)*#REF!)</f>
        <v>nm</v>
      </c>
      <c r="AG219" s="902">
        <f>SUM(AC219:AF219)</f>
        <v>0</v>
      </c>
      <c r="AH219" s="1172" t="str">
        <f>IF(ISERROR((AH$8+AH$9)*#REF!),"nm",(AH$8+AH$9)*#REF!)</f>
        <v>nm</v>
      </c>
      <c r="AI219" s="1172" t="str">
        <f>IF(ISERROR((AI$8+AI$9)*#REF!),"nm",(AI$8+AI$9)*#REF!)</f>
        <v>nm</v>
      </c>
      <c r="AJ219" s="1172" t="str">
        <f>IF(ISERROR((AJ$8+AJ$9)*#REF!),"nm",(AJ$8+AJ$9)*#REF!)</f>
        <v>nm</v>
      </c>
      <c r="AK219" s="1172" t="str">
        <f>IF(ISERROR((AK$8+AK$9)*#REF!),"nm",(AK$8+AK$9)*#REF!)</f>
        <v>nm</v>
      </c>
      <c r="AL219" s="902">
        <f>SUM(AH219:AK219)</f>
        <v>0</v>
      </c>
      <c r="AM219" s="1172" t="str">
        <f>IF(ISERROR((AM$8+AM$9)*#REF!),"nm",(AM$8+AM$9)*#REF!)</f>
        <v>nm</v>
      </c>
      <c r="AN219" s="1172" t="str">
        <f>IF(ISERROR((AN$8+AN$9)*#REF!),"nm",(AN$8+AN$9)*#REF!)</f>
        <v>nm</v>
      </c>
      <c r="AO219" s="1172" t="str">
        <f>IF(ISERROR((AO$8+AO$9)*#REF!),"nm",(AO$8+AO$9)*#REF!)</f>
        <v>nm</v>
      </c>
      <c r="AP219" s="1172" t="str">
        <f>IF(ISERROR((AP$8+AP$9)*#REF!),"nm",(AP$8+AP$9)*#REF!)</f>
        <v>nm</v>
      </c>
      <c r="AQ219" s="902">
        <f>SUM(AM219:AP219)</f>
        <v>0</v>
      </c>
      <c r="AR219" s="1172" t="str">
        <f>IF(ISERROR((AR$8+AR$9)*#REF!),"nm",(AR$8+AR$9)*#REF!)</f>
        <v>nm</v>
      </c>
      <c r="AS219" s="1172" t="str">
        <f>IF(ISERROR((AS$8+AS$9)*#REF!),"nm",(AS$8+AS$9)*#REF!)</f>
        <v>nm</v>
      </c>
      <c r="AT219" s="1172" t="str">
        <f>IF(ISERROR((AT$8+AT$9)*#REF!),"nm",(AT$8+AT$9)*#REF!)</f>
        <v>nm</v>
      </c>
      <c r="AU219" s="802"/>
      <c r="AV219" s="1176" t="e">
        <f t="shared" si="503"/>
        <v>#VALUE!</v>
      </c>
      <c r="AW219" s="959" t="e">
        <f t="shared" si="503"/>
        <v>#VALUE!</v>
      </c>
      <c r="AX219" s="555" t="e">
        <f t="shared" si="503"/>
        <v>#VALUE!</v>
      </c>
      <c r="AY219" s="555" t="e">
        <f t="shared" si="503"/>
        <v>#VALUE!</v>
      </c>
      <c r="AZ219" s="902" t="e">
        <f>SUM(AV219:AY219)</f>
        <v>#VALUE!</v>
      </c>
      <c r="BA219" s="1176">
        <f t="shared" si="504"/>
        <v>1612.7760000000001</v>
      </c>
      <c r="BB219" s="959">
        <f t="shared" si="504"/>
        <v>1536.7949999999998</v>
      </c>
      <c r="BC219" s="555">
        <f t="shared" si="504"/>
        <v>1522.18</v>
      </c>
      <c r="BD219" s="555" t="e">
        <f t="shared" si="504"/>
        <v>#VALUE!</v>
      </c>
      <c r="BE219" s="1157" t="s">
        <v>89</v>
      </c>
      <c r="BF219" s="1176">
        <f t="shared" si="505"/>
        <v>1263.3430000000001</v>
      </c>
      <c r="BG219" s="959">
        <f t="shared" si="505"/>
        <v>1213.261</v>
      </c>
      <c r="BH219" s="555">
        <f t="shared" si="505"/>
        <v>1162.26</v>
      </c>
      <c r="BI219" s="555">
        <f t="shared" si="505"/>
        <v>1161.819</v>
      </c>
      <c r="BJ219" s="902">
        <f>SUM(BF219:BI219)</f>
        <v>4800.6830000000009</v>
      </c>
      <c r="BK219" s="1176">
        <f t="shared" si="506"/>
        <v>1219.46</v>
      </c>
      <c r="BL219" s="959">
        <f t="shared" si="506"/>
        <v>1167.1500000000001</v>
      </c>
      <c r="BM219" s="555">
        <f t="shared" si="506"/>
        <v>1180.921</v>
      </c>
      <c r="BN219" s="555">
        <f t="shared" si="506"/>
        <v>1144.5029999999999</v>
      </c>
      <c r="BO219" s="1177">
        <f>SUM(BK219:BN219)</f>
        <v>4712.0339999999997</v>
      </c>
      <c r="BP219" s="1176">
        <f t="shared" si="507"/>
        <v>1196.251</v>
      </c>
      <c r="BQ219" s="959">
        <f t="shared" si="507"/>
        <v>1102.4639999999999</v>
      </c>
      <c r="BR219" s="555">
        <f t="shared" si="507"/>
        <v>1100.0990000000002</v>
      </c>
      <c r="BS219" s="555">
        <f t="shared" si="507"/>
        <v>1100.32</v>
      </c>
      <c r="BT219" s="1177">
        <f>SUM(BP219:BS219)</f>
        <v>4499.134</v>
      </c>
      <c r="BU219" s="1176">
        <f t="shared" si="508"/>
        <v>1199.5620000000001</v>
      </c>
      <c r="BV219" s="959">
        <f t="shared" si="508"/>
        <v>1255.9559999999999</v>
      </c>
      <c r="BW219" s="555">
        <f t="shared" si="508"/>
        <v>1244.316</v>
      </c>
      <c r="BX219" s="555">
        <f t="shared" si="508"/>
        <v>1264.837</v>
      </c>
      <c r="BY219" s="1177">
        <f>SUM(BU219:BX219)</f>
        <v>4964.6710000000003</v>
      </c>
      <c r="BZ219" s="1176">
        <f t="shared" si="509"/>
        <v>1254.162</v>
      </c>
      <c r="CA219" s="959">
        <f t="shared" si="509"/>
        <v>1227.4379999999999</v>
      </c>
      <c r="CB219" s="555">
        <f t="shared" si="509"/>
        <v>1209.396</v>
      </c>
      <c r="CC219" s="555">
        <f t="shared" si="509"/>
        <v>1223.586</v>
      </c>
      <c r="CD219" s="1177">
        <f>SUM(BZ219:CC219)</f>
        <v>4914.5820000000003</v>
      </c>
      <c r="CE219" s="1176">
        <f t="shared" si="510"/>
        <v>1200.1080000000002</v>
      </c>
      <c r="CF219" s="959">
        <f t="shared" si="510"/>
        <v>1247.2259999999999</v>
      </c>
      <c r="CG219" s="555">
        <f t="shared" si="510"/>
        <v>1265.8499999999999</v>
      </c>
      <c r="CH219" s="555">
        <f t="shared" si="510"/>
        <v>1261.932</v>
      </c>
      <c r="CI219" s="1177">
        <f>SUM(CE219:CH219)</f>
        <v>4975.116</v>
      </c>
      <c r="CJ219" s="1176">
        <f t="shared" si="511"/>
        <v>1228.5</v>
      </c>
      <c r="CK219" s="959">
        <f t="shared" si="511"/>
        <v>1286.8019999999999</v>
      </c>
      <c r="CL219" s="555">
        <f t="shared" si="511"/>
        <v>1259.4479999999999</v>
      </c>
      <c r="CM219" s="555">
        <f t="shared" si="511"/>
        <v>1282.2669999999998</v>
      </c>
      <c r="CN219" s="1177">
        <f>SUM(CJ219:CM219)</f>
        <v>5057.0169999999998</v>
      </c>
      <c r="CO219" s="1176">
        <f t="shared" si="512"/>
        <v>1277.0940000000001</v>
      </c>
      <c r="CP219" s="959">
        <f t="shared" si="512"/>
        <v>1282.7279999999998</v>
      </c>
      <c r="CQ219" s="555">
        <f t="shared" si="512"/>
        <v>1267.596</v>
      </c>
      <c r="CR219" s="555">
        <f t="shared" si="512"/>
        <v>1298.5349999999999</v>
      </c>
      <c r="CS219" s="1177">
        <f>SUM(CO219:CR219)</f>
        <v>5125.9529999999995</v>
      </c>
      <c r="CT219" s="1176">
        <f t="shared" si="513"/>
        <v>1326.5070000000001</v>
      </c>
      <c r="CU219" s="959">
        <f t="shared" si="513"/>
        <v>1328.5519999999999</v>
      </c>
      <c r="CV219" s="555">
        <f t="shared" si="513"/>
        <v>1348.81</v>
      </c>
      <c r="CW219" s="555">
        <f t="shared" si="513"/>
        <v>1378.7949999999998</v>
      </c>
      <c r="CX219" s="1177">
        <f>SUM(CT219:CW219)</f>
        <v>5382.6639999999998</v>
      </c>
      <c r="CY219" s="1176">
        <f t="shared" si="514"/>
        <v>1360.0709999999999</v>
      </c>
      <c r="CZ219" s="959">
        <f t="shared" si="514"/>
        <v>1386.2659999999998</v>
      </c>
      <c r="DA219" s="555">
        <f t="shared" si="514"/>
        <v>1380.0359999999998</v>
      </c>
      <c r="DB219" s="555">
        <f t="shared" si="514"/>
        <v>2151.6329999999998</v>
      </c>
      <c r="DC219" s="1177">
        <f>SUM(CY219:DB219)</f>
        <v>6278.0059999999994</v>
      </c>
      <c r="DD219" s="1176">
        <f t="shared" si="515"/>
        <v>2188.308</v>
      </c>
      <c r="DE219" s="959">
        <f t="shared" si="515"/>
        <v>2227.7799999999997</v>
      </c>
      <c r="DF219" s="555">
        <f t="shared" si="515"/>
        <v>2369.7280000000001</v>
      </c>
      <c r="DG219" s="555">
        <f t="shared" si="515"/>
        <v>2466.6177379767819</v>
      </c>
      <c r="DH219" s="1177">
        <v>9250</v>
      </c>
      <c r="DI219" s="1176">
        <f>(DI$8+DI$9)*DI230</f>
        <v>2412.5639999999999</v>
      </c>
      <c r="DJ219" s="959">
        <v>2501</v>
      </c>
      <c r="DK219" s="555">
        <v>2514</v>
      </c>
      <c r="DL219" s="555">
        <f>(DL$8+DL$9)*DL230</f>
        <v>2678.4740306442677</v>
      </c>
      <c r="DM219" s="1177">
        <v>10098</v>
      </c>
      <c r="DN219" s="1176">
        <v>2626</v>
      </c>
      <c r="DO219" s="1176">
        <v>2407</v>
      </c>
      <c r="DP219" s="1173">
        <v>2599</v>
      </c>
      <c r="DQ219" s="555">
        <f>DR219-SUM(DN219:DP219)</f>
        <v>2494</v>
      </c>
      <c r="DR219" s="1499">
        <v>10126</v>
      </c>
      <c r="DS219" s="1176">
        <v>2551</v>
      </c>
      <c r="DT219" s="1176">
        <v>2664</v>
      </c>
      <c r="DU219" s="1176">
        <v>2524</v>
      </c>
      <c r="DV219" s="555">
        <f>DW219-SUM(DS219:DU219)</f>
        <v>2724</v>
      </c>
      <c r="DW219" s="1499">
        <v>10463</v>
      </c>
      <c r="DX219" s="555"/>
      <c r="DY219" s="555"/>
      <c r="DZ219" s="555"/>
      <c r="EA219" s="555"/>
      <c r="EB219" s="802"/>
      <c r="EC219" s="555"/>
      <c r="ED219" s="555"/>
      <c r="EE219" s="555"/>
      <c r="EF219" s="555"/>
      <c r="EG219" s="802"/>
      <c r="EH219" s="555"/>
      <c r="EI219" s="555"/>
      <c r="EJ219" s="555"/>
      <c r="EK219" s="555"/>
      <c r="EL219" s="802"/>
    </row>
    <row r="220" spans="1:142">
      <c r="A220" s="557"/>
      <c r="B220" s="557" t="s">
        <v>108</v>
      </c>
      <c r="C220" s="1172"/>
      <c r="D220" s="1172" t="str">
        <f>IF(ISERROR((D$8+D$9)*#REF!),"nm",(D$8+D$9)*#REF!)</f>
        <v>nm</v>
      </c>
      <c r="E220" s="1172" t="str">
        <f>IF(ISERROR((E$8+E$9)*#REF!),"nm",(E$8+E$9)*#REF!)</f>
        <v>nm</v>
      </c>
      <c r="F220" s="1172" t="str">
        <f>IF(ISERROR((F$8+F$9)*#REF!),"nm",(F$8+F$9)*#REF!)</f>
        <v>nm</v>
      </c>
      <c r="G220" s="1172" t="str">
        <f>IF(ISERROR((G$8+G$9)*#REF!),"nm",(G$8+G$9)*#REF!)</f>
        <v>nm</v>
      </c>
      <c r="H220" s="1157" t="s">
        <v>89</v>
      </c>
      <c r="I220" s="1172" t="str">
        <f>IF(ISERROR((I$8+I$9)*#REF!),"nm",(I$8+I$9)*#REF!)</f>
        <v>nm</v>
      </c>
      <c r="J220" s="1172" t="str">
        <f>IF(ISERROR((J$8+J$9)*#REF!),"nm",(J$8+J$9)*#REF!)</f>
        <v>nm</v>
      </c>
      <c r="K220" s="1172" t="str">
        <f>IF(ISERROR((K$8+K$9)*#REF!),"nm",(K$8+K$9)*#REF!)</f>
        <v>nm</v>
      </c>
      <c r="L220" s="1172" t="str">
        <f>IF(ISERROR((L$8+L$9)*#REF!),"nm",(L$8+L$9)*#REF!)</f>
        <v>nm</v>
      </c>
      <c r="M220" s="1157" t="s">
        <v>89</v>
      </c>
      <c r="N220" s="1172" t="str">
        <f>IF(ISERROR((N$8+N$9)*#REF!),"nm",(N$8+N$9)*#REF!)</f>
        <v>nm</v>
      </c>
      <c r="O220" s="1172" t="str">
        <f>IF(ISERROR((O$8+O$9)*#REF!),"nm",(O$8+O$9)*#REF!)</f>
        <v>nm</v>
      </c>
      <c r="P220" s="1172" t="str">
        <f>IF(ISERROR((P$8+P$9)*#REF!),"nm",(P$8+P$9)*#REF!)</f>
        <v>nm</v>
      </c>
      <c r="Q220" s="1172" t="str">
        <f>IF(ISERROR((Q$8+Q$9)*#REF!),"nm",(Q$8+Q$9)*#REF!)</f>
        <v>nm</v>
      </c>
      <c r="R220" s="1157" t="s">
        <v>89</v>
      </c>
      <c r="S220" s="1172" t="str">
        <f>IF(ISERROR((S$8+S$9)*#REF!),"nm",(S$8+S$9)*#REF!)</f>
        <v>nm</v>
      </c>
      <c r="T220" s="1172" t="str">
        <f>IF(ISERROR((T$8+T$9)*#REF!),"nm",(T$8+T$9)*#REF!)</f>
        <v>nm</v>
      </c>
      <c r="U220" s="1172" t="str">
        <f>IF(ISERROR((U$8+U$9)*#REF!),"nm",(U$8+U$9)*#REF!)</f>
        <v>nm</v>
      </c>
      <c r="V220" s="1172" t="str">
        <f>IF(ISERROR((V$8+V$9)*#REF!),"nm",(V$8+V$9)*#REF!)</f>
        <v>nm</v>
      </c>
      <c r="W220" s="1157" t="s">
        <v>89</v>
      </c>
      <c r="X220" s="1172" t="str">
        <f>IF(ISERROR((X$8+X$9)*#REF!),"nm",(X$8+X$9)*#REF!)</f>
        <v>nm</v>
      </c>
      <c r="Y220" s="1172" t="str">
        <f>IF(ISERROR((Y$8+Y$9)*#REF!),"nm",(Y$8+Y$9)*#REF!)</f>
        <v>nm</v>
      </c>
      <c r="Z220" s="1172" t="str">
        <f>IF(ISERROR((Z$8+Z$9)*#REF!),"nm",(Z$8+Z$9)*#REF!)</f>
        <v>nm</v>
      </c>
      <c r="AA220" s="1172" t="str">
        <f>IF(ISERROR((AA$8+AA$9)*#REF!),"nm",(AA$8+AA$9)*#REF!)</f>
        <v>nm</v>
      </c>
      <c r="AB220" s="1157" t="s">
        <v>89</v>
      </c>
      <c r="AC220" s="960" t="e">
        <f>(AC$8+AC$9)*#REF!</f>
        <v>#REF!</v>
      </c>
      <c r="AD220" s="960" t="e">
        <f>(AD$8+AD$9)*#REF!</f>
        <v>#REF!</v>
      </c>
      <c r="AE220" s="960" t="e">
        <f>(AE$8+AE$9)*#REF!</f>
        <v>#REF!</v>
      </c>
      <c r="AF220" s="1172" t="str">
        <f>IF(ISERROR((AF$8+AF$9)*#REF!),"nm",(AF$8+AF$9)*#REF!)</f>
        <v>nm</v>
      </c>
      <c r="AG220" s="1157" t="s">
        <v>89</v>
      </c>
      <c r="AH220" s="960" t="e">
        <f>(AH$8+AH$9)*#REF!</f>
        <v>#REF!</v>
      </c>
      <c r="AI220" s="960" t="e">
        <f>(AI$8+AI$9)*#REF!</f>
        <v>#REF!</v>
      </c>
      <c r="AJ220" s="960" t="e">
        <f>(AJ$8+AJ$9)*#REF!</f>
        <v>#REF!</v>
      </c>
      <c r="AK220" s="1172" t="str">
        <f>IF(ISERROR((AK$8+AK$9)*#REF!),"nm",(AK$8+AK$9)*#REF!)</f>
        <v>nm</v>
      </c>
      <c r="AL220" s="1157" t="s">
        <v>89</v>
      </c>
      <c r="AM220" s="960" t="e">
        <f>(AM$8+AM$9)*#REF!</f>
        <v>#REF!</v>
      </c>
      <c r="AN220" s="960" t="e">
        <f>(AN$8+AN$9)*#REF!</f>
        <v>#REF!</v>
      </c>
      <c r="AO220" s="960" t="e">
        <f>(AO$8+AO$9)*#REF!</f>
        <v>#REF!</v>
      </c>
      <c r="AP220" s="1172" t="str">
        <f>IF(ISERROR((AP$8+AP$9)*#REF!),"nm",(AP$8+AP$9)*#REF!)</f>
        <v>nm</v>
      </c>
      <c r="AQ220" s="1157" t="s">
        <v>89</v>
      </c>
      <c r="AR220" s="960" t="e">
        <f>(AR$8+AR$9)*#REF!</f>
        <v>#REF!</v>
      </c>
      <c r="AS220" s="960" t="e">
        <f>(AS$8+AS$9)*#REF!</f>
        <v>#REF!</v>
      </c>
      <c r="AT220" s="960" t="e">
        <f>(AT$8+AT$9)*#REF!</f>
        <v>#REF!</v>
      </c>
      <c r="AU220" s="802"/>
      <c r="AV220" s="1173" t="e">
        <f t="shared" si="503"/>
        <v>#VALUE!</v>
      </c>
      <c r="AW220" s="555" t="e">
        <f t="shared" si="503"/>
        <v>#VALUE!</v>
      </c>
      <c r="AX220" s="555" t="e">
        <f t="shared" si="503"/>
        <v>#VALUE!</v>
      </c>
      <c r="AY220" s="555" t="e">
        <f t="shared" si="503"/>
        <v>#VALUE!</v>
      </c>
      <c r="AZ220" s="902" t="e">
        <f>SUM(AV220:AY220)</f>
        <v>#VALUE!</v>
      </c>
      <c r="BA220" s="1173">
        <f t="shared" si="504"/>
        <v>481.86599999999999</v>
      </c>
      <c r="BB220" s="555">
        <f t="shared" si="504"/>
        <v>498.42</v>
      </c>
      <c r="BC220" s="555">
        <f t="shared" si="504"/>
        <v>512.63499999999999</v>
      </c>
      <c r="BD220" s="555" t="e">
        <f t="shared" si="504"/>
        <v>#VALUE!</v>
      </c>
      <c r="BE220" s="1157" t="s">
        <v>89</v>
      </c>
      <c r="BF220" s="1173">
        <f t="shared" si="505"/>
        <v>445.12899999999996</v>
      </c>
      <c r="BG220" s="555">
        <f t="shared" si="505"/>
        <v>439.83799999999997</v>
      </c>
      <c r="BH220" s="555">
        <f t="shared" si="505"/>
        <v>410.9</v>
      </c>
      <c r="BI220" s="555">
        <f t="shared" si="505"/>
        <v>354.80700000000002</v>
      </c>
      <c r="BJ220" s="902">
        <f>SUM(BF220:BI220)</f>
        <v>1650.6739999999998</v>
      </c>
      <c r="BK220" s="1173">
        <f t="shared" si="506"/>
        <v>315.71000000000004</v>
      </c>
      <c r="BL220" s="555">
        <f t="shared" si="506"/>
        <v>332.47499999999997</v>
      </c>
      <c r="BM220" s="555">
        <f t="shared" si="506"/>
        <v>314.29600000000005</v>
      </c>
      <c r="BN220" s="555">
        <f t="shared" si="506"/>
        <v>278.875</v>
      </c>
      <c r="BO220" s="1175">
        <f>SUM(BK220:BN220)</f>
        <v>1241.356</v>
      </c>
      <c r="BP220" s="1173">
        <f t="shared" si="507"/>
        <v>283.26099999999997</v>
      </c>
      <c r="BQ220" s="555">
        <f t="shared" si="507"/>
        <v>242.88000000000002</v>
      </c>
      <c r="BR220" s="555">
        <f t="shared" si="507"/>
        <v>257.166</v>
      </c>
      <c r="BS220" s="555">
        <f t="shared" si="507"/>
        <v>262.38400000000001</v>
      </c>
      <c r="BT220" s="1175">
        <f>SUM(BP220:BS220)</f>
        <v>1045.691</v>
      </c>
      <c r="BU220" s="1173">
        <f t="shared" si="508"/>
        <v>235.07900000000001</v>
      </c>
      <c r="BV220" s="555">
        <f t="shared" si="508"/>
        <v>233.06399999999999</v>
      </c>
      <c r="BW220" s="555">
        <f t="shared" si="508"/>
        <v>241.59399999999999</v>
      </c>
      <c r="BX220" s="555">
        <f t="shared" si="508"/>
        <v>222.05399999999997</v>
      </c>
      <c r="BY220" s="1175">
        <f>SUM(BU220:BX220)</f>
        <v>931.79100000000005</v>
      </c>
      <c r="BZ220" s="1173">
        <f t="shared" si="509"/>
        <v>245.779</v>
      </c>
      <c r="CA220" s="555">
        <f t="shared" si="509"/>
        <v>227.77199999999999</v>
      </c>
      <c r="CB220" s="555">
        <f t="shared" si="509"/>
        <v>234.81399999999999</v>
      </c>
      <c r="CC220" s="555">
        <f t="shared" si="509"/>
        <v>214.81199999999998</v>
      </c>
      <c r="CD220" s="1175">
        <f>SUM(BZ220:CC220)</f>
        <v>923.17700000000002</v>
      </c>
      <c r="CE220" s="1173">
        <f t="shared" si="510"/>
        <v>235.18600000000001</v>
      </c>
      <c r="CF220" s="555">
        <f t="shared" si="510"/>
        <v>231.44399999999999</v>
      </c>
      <c r="CG220" s="555">
        <f t="shared" si="510"/>
        <v>245.77500000000001</v>
      </c>
      <c r="CH220" s="555">
        <f t="shared" si="510"/>
        <v>221.54399999999998</v>
      </c>
      <c r="CI220" s="1175">
        <f>SUM(CE220:CH220)</f>
        <v>933.94899999999996</v>
      </c>
      <c r="CJ220" s="1173">
        <f t="shared" si="511"/>
        <v>240.75</v>
      </c>
      <c r="CK220" s="555">
        <f t="shared" si="511"/>
        <v>238.78800000000001</v>
      </c>
      <c r="CL220" s="555">
        <f t="shared" si="511"/>
        <v>244.53200000000001</v>
      </c>
      <c r="CM220" s="555">
        <f t="shared" si="511"/>
        <v>225.11399999999998</v>
      </c>
      <c r="CN220" s="1175">
        <f>SUM(CJ220:CM220)</f>
        <v>949.18399999999997</v>
      </c>
      <c r="CO220" s="1173">
        <f t="shared" si="512"/>
        <v>250.273</v>
      </c>
      <c r="CP220" s="555">
        <f t="shared" si="512"/>
        <v>238.03200000000001</v>
      </c>
      <c r="CQ220" s="555">
        <f t="shared" si="512"/>
        <v>246.114</v>
      </c>
      <c r="CR220" s="555">
        <f t="shared" si="512"/>
        <v>227.97</v>
      </c>
      <c r="CS220" s="1175">
        <f>SUM(CO220:CR220)</f>
        <v>962.38900000000001</v>
      </c>
      <c r="CT220" s="1173">
        <f t="shared" si="513"/>
        <v>239.673</v>
      </c>
      <c r="CU220" s="555">
        <f t="shared" si="513"/>
        <v>245.595</v>
      </c>
      <c r="CV220" s="555">
        <f t="shared" si="513"/>
        <v>258.77</v>
      </c>
      <c r="CW220" s="555">
        <f t="shared" si="513"/>
        <v>260.14999999999998</v>
      </c>
      <c r="CX220" s="1175">
        <f>SUM(CT220:CW220)</f>
        <v>1004.188</v>
      </c>
      <c r="CY220" s="1173">
        <f t="shared" si="514"/>
        <v>260.73899999999998</v>
      </c>
      <c r="CZ220" s="555">
        <f t="shared" si="514"/>
        <v>262.45999999999998</v>
      </c>
      <c r="DA220" s="555">
        <f t="shared" si="514"/>
        <v>260.517</v>
      </c>
      <c r="DB220" s="555">
        <f t="shared" si="514"/>
        <v>417.64800000000002</v>
      </c>
      <c r="DC220" s="1175">
        <f>SUM(CY220:DB220)</f>
        <v>1201.364</v>
      </c>
      <c r="DD220" s="1173">
        <f t="shared" si="515"/>
        <v>450.53399999999999</v>
      </c>
      <c r="DE220" s="555">
        <f t="shared" si="515"/>
        <v>368.73599999999999</v>
      </c>
      <c r="DF220" s="555">
        <f t="shared" si="515"/>
        <v>355.26400000000001</v>
      </c>
      <c r="DG220" s="555">
        <f t="shared" si="515"/>
        <v>419.97967412935327</v>
      </c>
      <c r="DH220" s="1175">
        <v>1602</v>
      </c>
      <c r="DI220" s="1173">
        <f>(DI$8+DI$9)*DI231</f>
        <v>418.50599999999997</v>
      </c>
      <c r="DJ220" s="555">
        <v>407</v>
      </c>
      <c r="DK220" s="555">
        <v>426</v>
      </c>
      <c r="DL220" s="555">
        <f>(DL$8+DL$9)*DL231</f>
        <v>463.78003470555649</v>
      </c>
      <c r="DM220" s="1175">
        <v>1726</v>
      </c>
      <c r="DN220" s="1173">
        <v>437</v>
      </c>
      <c r="DO220" s="1173">
        <v>464</v>
      </c>
      <c r="DP220" s="1173">
        <v>311</v>
      </c>
      <c r="DQ220" s="555">
        <f>DR220-SUM(DN220:DP220)</f>
        <v>409</v>
      </c>
      <c r="DR220" s="1499">
        <v>1621</v>
      </c>
      <c r="DS220" s="1173">
        <v>405</v>
      </c>
      <c r="DT220" s="1173">
        <v>449</v>
      </c>
      <c r="DU220" s="1173">
        <v>442</v>
      </c>
      <c r="DV220" s="555">
        <f>DW220-SUM(DS220:DU220)</f>
        <v>444</v>
      </c>
      <c r="DW220" s="1499">
        <v>1740</v>
      </c>
      <c r="DX220" s="555"/>
      <c r="DY220" s="555"/>
      <c r="DZ220" s="555"/>
      <c r="EA220" s="555"/>
      <c r="EB220" s="802"/>
      <c r="EC220" s="555"/>
      <c r="ED220" s="555"/>
      <c r="EE220" s="555"/>
      <c r="EF220" s="555"/>
      <c r="EG220" s="802"/>
      <c r="EH220" s="555"/>
      <c r="EI220" s="555"/>
      <c r="EJ220" s="555"/>
      <c r="EK220" s="555"/>
      <c r="EL220" s="802"/>
    </row>
    <row r="221" spans="1:142">
      <c r="A221" s="556"/>
      <c r="B221" s="556" t="s">
        <v>44</v>
      </c>
      <c r="C221" s="1178"/>
      <c r="D221" s="1178" t="e">
        <f>#REF!</f>
        <v>#REF!</v>
      </c>
      <c r="E221" s="1178" t="e">
        <f>#REF!</f>
        <v>#REF!</v>
      </c>
      <c r="F221" s="1178" t="e">
        <f>#REF!</f>
        <v>#REF!</v>
      </c>
      <c r="G221" s="1178" t="e">
        <f>#REF!</f>
        <v>#REF!</v>
      </c>
      <c r="H221" s="915" t="e">
        <f>SUM(D221:G221)</f>
        <v>#REF!</v>
      </c>
      <c r="I221" s="1178" t="e">
        <f>#REF!</f>
        <v>#REF!</v>
      </c>
      <c r="J221" s="1178" t="e">
        <f>#REF!</f>
        <v>#REF!</v>
      </c>
      <c r="K221" s="1178" t="e">
        <f>#REF!</f>
        <v>#REF!</v>
      </c>
      <c r="L221" s="1178" t="e">
        <f>#REF!</f>
        <v>#REF!</v>
      </c>
      <c r="M221" s="915" t="e">
        <f>SUM(I221:L221)</f>
        <v>#REF!</v>
      </c>
      <c r="N221" s="1178" t="e">
        <f>#REF!</f>
        <v>#REF!</v>
      </c>
      <c r="O221" s="1178" t="e">
        <f>#REF!</f>
        <v>#REF!</v>
      </c>
      <c r="P221" s="1178" t="e">
        <f>#REF!</f>
        <v>#REF!</v>
      </c>
      <c r="Q221" s="1178" t="e">
        <f>#REF!</f>
        <v>#REF!</v>
      </c>
      <c r="R221" s="915" t="e">
        <f>SUM(N221:Q221)</f>
        <v>#REF!</v>
      </c>
      <c r="S221" s="1178" t="e">
        <f>#REF!</f>
        <v>#REF!</v>
      </c>
      <c r="T221" s="1178" t="e">
        <f>#REF!</f>
        <v>#REF!</v>
      </c>
      <c r="U221" s="1178" t="e">
        <f>#REF!</f>
        <v>#REF!</v>
      </c>
      <c r="V221" s="1178" t="e">
        <f>#REF!</f>
        <v>#REF!</v>
      </c>
      <c r="W221" s="915" t="e">
        <f>SUM(S221:V221)</f>
        <v>#REF!</v>
      </c>
      <c r="X221" s="1178" t="e">
        <f>#REF!</f>
        <v>#REF!</v>
      </c>
      <c r="Y221" s="1178" t="e">
        <f>#REF!</f>
        <v>#REF!</v>
      </c>
      <c r="Z221" s="1178" t="e">
        <f>#REF!</f>
        <v>#REF!</v>
      </c>
      <c r="AA221" s="1178" t="e">
        <f>#REF!</f>
        <v>#REF!</v>
      </c>
      <c r="AB221" s="915" t="e">
        <f>SUM(X221:AA221)</f>
        <v>#REF!</v>
      </c>
      <c r="AC221" s="1178" t="e">
        <f>#REF!</f>
        <v>#REF!</v>
      </c>
      <c r="AD221" s="1178" t="e">
        <f>#REF!</f>
        <v>#REF!</v>
      </c>
      <c r="AE221" s="1178" t="e">
        <f>#REF!</f>
        <v>#REF!</v>
      </c>
      <c r="AF221" s="1178" t="e">
        <f>#REF!</f>
        <v>#REF!</v>
      </c>
      <c r="AG221" s="915" t="e">
        <f>SUM(AC221:AF221)</f>
        <v>#REF!</v>
      </c>
      <c r="AH221" s="1178" t="e">
        <f>#REF!</f>
        <v>#REF!</v>
      </c>
      <c r="AI221" s="1178" t="e">
        <f>#REF!</f>
        <v>#REF!</v>
      </c>
      <c r="AJ221" s="1178" t="e">
        <f>#REF!</f>
        <v>#REF!</v>
      </c>
      <c r="AK221" s="1178" t="e">
        <f>#REF!</f>
        <v>#REF!</v>
      </c>
      <c r="AL221" s="915" t="e">
        <f>SUM(AH221:AK221)</f>
        <v>#REF!</v>
      </c>
      <c r="AM221" s="1178" t="e">
        <f>#REF!</f>
        <v>#REF!</v>
      </c>
      <c r="AN221" s="1178" t="e">
        <f>#REF!</f>
        <v>#REF!</v>
      </c>
      <c r="AO221" s="1178" t="e">
        <f>#REF!</f>
        <v>#REF!</v>
      </c>
      <c r="AP221" s="1178" t="e">
        <f>#REF!</f>
        <v>#REF!</v>
      </c>
      <c r="AQ221" s="915" t="e">
        <f>SUM(AM221:AP221)</f>
        <v>#REF!</v>
      </c>
      <c r="AR221" s="1178" t="e">
        <f>#REF!</f>
        <v>#REF!</v>
      </c>
      <c r="AS221" s="1178" t="e">
        <f>#REF!</f>
        <v>#REF!</v>
      </c>
      <c r="AT221" s="1178" t="e">
        <f>#REF!</f>
        <v>#REF!</v>
      </c>
      <c r="AU221" s="802"/>
      <c r="AV221" s="1179">
        <f>AV11</f>
        <v>146</v>
      </c>
      <c r="AW221" s="556">
        <f>AW11</f>
        <v>135</v>
      </c>
      <c r="AX221" s="556">
        <f>AX11</f>
        <v>149</v>
      </c>
      <c r="AY221" s="556">
        <f>AY11</f>
        <v>123</v>
      </c>
      <c r="AZ221" s="915">
        <f>SUM(AV221:AY221)</f>
        <v>553</v>
      </c>
      <c r="BA221" s="1179">
        <f>BA11</f>
        <v>174</v>
      </c>
      <c r="BB221" s="556">
        <f>BB11</f>
        <v>184</v>
      </c>
      <c r="BC221" s="556">
        <f>BC11</f>
        <v>152</v>
      </c>
      <c r="BD221" s="556">
        <f>BD11</f>
        <v>169</v>
      </c>
      <c r="BE221" s="915">
        <f>SUM(BA221:BD221)</f>
        <v>679</v>
      </c>
      <c r="BF221" s="1179">
        <f>BF11</f>
        <v>96</v>
      </c>
      <c r="BG221" s="556">
        <f>BG11</f>
        <v>99</v>
      </c>
      <c r="BH221" s="556">
        <f>BH11</f>
        <v>92</v>
      </c>
      <c r="BI221" s="556">
        <f>BI11</f>
        <v>93</v>
      </c>
      <c r="BJ221" s="915">
        <f>SUM(BF221:BI221)</f>
        <v>380</v>
      </c>
      <c r="BK221" s="1179">
        <f>BK11</f>
        <v>91</v>
      </c>
      <c r="BL221" s="556">
        <f>BL11</f>
        <v>95</v>
      </c>
      <c r="BM221" s="556">
        <f>BM11</f>
        <v>83</v>
      </c>
      <c r="BN221" s="556">
        <f>BN11</f>
        <v>68</v>
      </c>
      <c r="BO221" s="1180">
        <f>SUM(BK221:BN221)</f>
        <v>337</v>
      </c>
      <c r="BP221" s="1179">
        <f>BP11</f>
        <v>73</v>
      </c>
      <c r="BQ221" s="556">
        <f>BQ11</f>
        <v>83</v>
      </c>
      <c r="BR221" s="556">
        <f>BR11</f>
        <v>76</v>
      </c>
      <c r="BS221" s="556">
        <f>BS11</f>
        <v>63</v>
      </c>
      <c r="BT221" s="1180">
        <f>SUM(BP221:BS221)</f>
        <v>295</v>
      </c>
      <c r="BU221" s="1179">
        <f>BU11</f>
        <v>82</v>
      </c>
      <c r="BV221" s="556">
        <f>BV11</f>
        <v>70</v>
      </c>
      <c r="BW221" s="556">
        <f>BW11</f>
        <v>74</v>
      </c>
      <c r="BX221" s="556">
        <f>BX11</f>
        <v>74</v>
      </c>
      <c r="BY221" s="1180">
        <f>SUM(BU221:BX221)</f>
        <v>300</v>
      </c>
      <c r="BZ221" s="1179">
        <f>BZ11</f>
        <v>74</v>
      </c>
      <c r="CA221" s="556">
        <f>CA11</f>
        <v>75</v>
      </c>
      <c r="CB221" s="556">
        <f>CB11</f>
        <v>80</v>
      </c>
      <c r="CC221" s="556">
        <f>CC11</f>
        <v>89</v>
      </c>
      <c r="CD221" s="1180">
        <f>SUM(BZ221:CC221)</f>
        <v>318</v>
      </c>
      <c r="CE221" s="1179">
        <f>CE11</f>
        <v>81</v>
      </c>
      <c r="CF221" s="556">
        <f>CF11</f>
        <v>86</v>
      </c>
      <c r="CG221" s="556">
        <f>CG11</f>
        <v>87</v>
      </c>
      <c r="CH221" s="556">
        <f>CH11</f>
        <v>89</v>
      </c>
      <c r="CI221" s="1180">
        <f>SUM(CE221:CH221)</f>
        <v>343</v>
      </c>
      <c r="CJ221" s="1179">
        <f>CJ11</f>
        <v>89</v>
      </c>
      <c r="CK221" s="556">
        <f>CK11</f>
        <v>92</v>
      </c>
      <c r="CL221" s="556">
        <f>CL11</f>
        <v>98</v>
      </c>
      <c r="CM221" s="556">
        <f>CM11</f>
        <v>94</v>
      </c>
      <c r="CN221" s="1180">
        <f>SUM(CJ221:CM221)</f>
        <v>373</v>
      </c>
      <c r="CO221" s="1179">
        <f>CO11</f>
        <v>90</v>
      </c>
      <c r="CP221" s="556">
        <f>CP11</f>
        <v>96</v>
      </c>
      <c r="CQ221" s="556">
        <f>CQ11</f>
        <v>111</v>
      </c>
      <c r="CR221" s="556">
        <f>CR11</f>
        <v>118</v>
      </c>
      <c r="CS221" s="1180">
        <f>SUM(CO221:CR221)</f>
        <v>415</v>
      </c>
      <c r="CT221" s="1179">
        <f>CT11</f>
        <v>118</v>
      </c>
      <c r="CU221" s="556">
        <f>CU11</f>
        <v>116</v>
      </c>
      <c r="CV221" s="556">
        <f>CV11</f>
        <v>137</v>
      </c>
      <c r="CW221" s="556">
        <f>CW11</f>
        <v>166</v>
      </c>
      <c r="CX221" s="1180">
        <f>SUM(CT221:CW221)</f>
        <v>537</v>
      </c>
      <c r="CY221" s="1179">
        <f>CY11</f>
        <v>245</v>
      </c>
      <c r="CZ221" s="556">
        <f>CZ11</f>
        <v>243</v>
      </c>
      <c r="DA221" s="556">
        <f>DA11</f>
        <v>271</v>
      </c>
      <c r="DB221" s="556">
        <f>DB11</f>
        <v>504</v>
      </c>
      <c r="DC221" s="1180">
        <f>SUM(CY221:DB221)</f>
        <v>1263</v>
      </c>
      <c r="DD221" s="1179">
        <f>DD11</f>
        <v>520</v>
      </c>
      <c r="DE221" s="556">
        <f>DE11</f>
        <v>521</v>
      </c>
      <c r="DF221" s="556">
        <f>DF11</f>
        <v>524</v>
      </c>
      <c r="DG221" s="556">
        <f>DG11</f>
        <v>566</v>
      </c>
      <c r="DH221" s="1180">
        <v>54</v>
      </c>
      <c r="DI221" s="1179">
        <f>DI11</f>
        <v>688</v>
      </c>
      <c r="DJ221" s="556">
        <f>4844-SUM(DJ217:DJ220)</f>
        <v>737</v>
      </c>
      <c r="DK221" s="556">
        <f>11+934</f>
        <v>945</v>
      </c>
      <c r="DL221" s="556">
        <f>DL11</f>
        <v>654</v>
      </c>
      <c r="DM221" s="1180">
        <v>63</v>
      </c>
      <c r="DN221" s="1179">
        <v>7</v>
      </c>
      <c r="DO221" s="1179">
        <v>14</v>
      </c>
      <c r="DP221" s="1179">
        <v>4</v>
      </c>
      <c r="DQ221" s="556">
        <f>DR221-SUM(DN221:DP221)</f>
        <v>-4</v>
      </c>
      <c r="DR221" s="1500">
        <v>21</v>
      </c>
      <c r="DS221" s="922">
        <v>0</v>
      </c>
      <c r="DT221" s="922">
        <v>0</v>
      </c>
      <c r="DU221" s="922">
        <v>0</v>
      </c>
      <c r="DV221" s="1571">
        <f>DW221-SUM(DS221:DU221)</f>
        <v>0</v>
      </c>
      <c r="DW221" s="926">
        <v>0</v>
      </c>
      <c r="DX221" s="556"/>
      <c r="DY221" s="556"/>
      <c r="DZ221" s="556"/>
      <c r="EA221" s="556"/>
      <c r="EB221" s="913"/>
      <c r="EC221" s="556"/>
      <c r="ED221" s="556"/>
      <c r="EE221" s="556"/>
      <c r="EF221" s="556"/>
      <c r="EG221" s="913"/>
      <c r="EH221" s="556"/>
      <c r="EI221" s="556"/>
      <c r="EJ221" s="556"/>
      <c r="EK221" s="556"/>
      <c r="EL221" s="913"/>
    </row>
    <row r="222" spans="1:142">
      <c r="A222" s="804"/>
      <c r="B222" s="804" t="s">
        <v>133</v>
      </c>
      <c r="C222" s="557"/>
      <c r="D222" s="557"/>
      <c r="E222" s="557"/>
      <c r="F222" s="557"/>
      <c r="G222" s="557"/>
      <c r="H222" s="802"/>
      <c r="I222" s="557"/>
      <c r="J222" s="557"/>
      <c r="K222" s="557"/>
      <c r="L222" s="557"/>
      <c r="M222" s="802"/>
      <c r="N222" s="557"/>
      <c r="O222" s="557"/>
      <c r="P222" s="557"/>
      <c r="Q222" s="557"/>
      <c r="R222" s="802"/>
      <c r="S222" s="557"/>
      <c r="T222" s="557"/>
      <c r="U222" s="557"/>
      <c r="V222" s="557"/>
      <c r="W222" s="802"/>
      <c r="X222" s="557"/>
      <c r="Y222" s="557"/>
      <c r="Z222" s="557"/>
      <c r="AA222" s="557"/>
      <c r="AB222" s="802"/>
      <c r="AC222" s="557"/>
      <c r="AD222" s="557"/>
      <c r="AE222" s="557"/>
      <c r="AF222" s="557"/>
      <c r="AG222" s="802"/>
      <c r="AH222" s="557"/>
      <c r="AI222" s="557"/>
      <c r="AJ222" s="557"/>
      <c r="AK222" s="557"/>
      <c r="AL222" s="802"/>
      <c r="AM222" s="557"/>
      <c r="AN222" s="557"/>
      <c r="AO222" s="557"/>
      <c r="AP222" s="557"/>
      <c r="AQ222" s="802"/>
      <c r="AR222" s="557"/>
      <c r="AS222" s="557"/>
      <c r="AT222" s="557"/>
      <c r="AU222" s="802"/>
      <c r="AV222" s="557"/>
      <c r="AW222" s="557"/>
      <c r="AX222" s="557"/>
      <c r="AY222" s="557"/>
      <c r="AZ222" s="802"/>
      <c r="BA222" s="557"/>
      <c r="BB222" s="557"/>
      <c r="BC222" s="557"/>
      <c r="BD222" s="557"/>
      <c r="BE222" s="802"/>
      <c r="BF222" s="557"/>
      <c r="BG222" s="557"/>
      <c r="BH222" s="557"/>
      <c r="BI222" s="557"/>
      <c r="BJ222" s="802"/>
      <c r="BK222" s="557"/>
      <c r="BL222" s="557"/>
      <c r="BM222" s="557"/>
      <c r="BN222" s="557"/>
      <c r="BO222" s="802"/>
      <c r="BP222" s="557"/>
      <c r="BQ222" s="557"/>
      <c r="BR222" s="557"/>
      <c r="BS222" s="557"/>
      <c r="BT222" s="802"/>
      <c r="BU222" s="557"/>
      <c r="BV222" s="557"/>
      <c r="BW222" s="557"/>
      <c r="BX222" s="557"/>
      <c r="BY222" s="802"/>
      <c r="BZ222" s="557"/>
      <c r="CA222" s="557"/>
      <c r="CB222" s="557"/>
      <c r="CC222" s="557"/>
      <c r="CD222" s="802"/>
      <c r="CE222" s="557"/>
      <c r="CF222" s="557"/>
      <c r="CG222" s="557"/>
      <c r="CH222" s="557"/>
      <c r="CI222" s="802"/>
      <c r="CJ222" s="557"/>
      <c r="CK222" s="557"/>
      <c r="CL222" s="557"/>
      <c r="CM222" s="557"/>
      <c r="CN222" s="802"/>
      <c r="CO222" s="557"/>
      <c r="CP222" s="557"/>
      <c r="CQ222" s="557"/>
      <c r="CR222" s="557"/>
      <c r="CS222" s="802"/>
      <c r="CT222" s="557"/>
      <c r="CU222" s="557"/>
      <c r="CV222" s="557"/>
      <c r="CW222" s="557"/>
      <c r="CX222" s="802"/>
      <c r="CY222" s="557"/>
      <c r="CZ222" s="557"/>
      <c r="DA222" s="557"/>
      <c r="DB222" s="557"/>
      <c r="DC222" s="802"/>
      <c r="DD222" s="557"/>
      <c r="DE222" s="557"/>
      <c r="DF222" s="557"/>
      <c r="DG222" s="557"/>
      <c r="DH222" s="802"/>
      <c r="DI222" s="557"/>
      <c r="DJ222" s="557"/>
      <c r="DK222" s="557"/>
      <c r="DL222" s="557"/>
      <c r="DM222" s="802"/>
      <c r="DN222" s="557"/>
      <c r="DO222" s="557"/>
      <c r="DP222" s="557"/>
      <c r="DQ222" s="557"/>
      <c r="DR222" s="802"/>
      <c r="DS222" s="557"/>
      <c r="DT222" s="557"/>
      <c r="DU222" s="557"/>
      <c r="DV222" s="557"/>
      <c r="DW222" s="802"/>
      <c r="DX222" s="557"/>
      <c r="DY222" s="557"/>
      <c r="DZ222" s="557"/>
      <c r="EA222" s="557"/>
      <c r="EB222" s="802"/>
      <c r="EC222" s="557"/>
      <c r="ED222" s="557"/>
      <c r="EE222" s="557"/>
      <c r="EF222" s="557"/>
      <c r="EG222" s="802"/>
      <c r="EH222" s="557"/>
      <c r="EI222" s="557"/>
      <c r="EJ222" s="557"/>
      <c r="EK222" s="557"/>
      <c r="EL222" s="802"/>
    </row>
    <row r="223" spans="1:142">
      <c r="A223" s="557"/>
      <c r="B223" s="557" t="s">
        <v>105</v>
      </c>
      <c r="C223" s="871"/>
      <c r="D223" s="871"/>
      <c r="E223" s="871"/>
      <c r="F223" s="871"/>
      <c r="G223" s="871"/>
      <c r="H223" s="974"/>
      <c r="I223" s="706" t="str">
        <f>IF(ISERROR(I217/D217-1),"NM",I217/D217-1)</f>
        <v>NM</v>
      </c>
      <c r="J223" s="706" t="str">
        <f t="shared" ref="J223:M226" si="516">IF(ISERROR(J217/E217-1),"nm",J217/E217-1)</f>
        <v>nm</v>
      </c>
      <c r="K223" s="706" t="str">
        <f t="shared" si="516"/>
        <v>nm</v>
      </c>
      <c r="L223" s="706" t="str">
        <f t="shared" si="516"/>
        <v>nm</v>
      </c>
      <c r="M223" s="974" t="str">
        <f t="shared" si="516"/>
        <v>nm</v>
      </c>
      <c r="N223" s="706" t="str">
        <f>IF(ISERROR(N217/I217-1),"NM",N217/I217-1)</f>
        <v>NM</v>
      </c>
      <c r="O223" s="706" t="str">
        <f>IF(ISERROR(O217/J217-1),"NM",O217/J217-1)</f>
        <v>NM</v>
      </c>
      <c r="P223" s="706" t="str">
        <f>IF(ISERROR(P217/K217-1),"NM",P217/K217-1)</f>
        <v>NM</v>
      </c>
      <c r="Q223" s="706" t="str">
        <f t="shared" ref="Q223:R226" si="517">IF(ISERROR(Q217/L217-1),"nm",Q217/L217-1)</f>
        <v>nm</v>
      </c>
      <c r="R223" s="974" t="str">
        <f t="shared" si="517"/>
        <v>nm</v>
      </c>
      <c r="S223" s="706" t="str">
        <f>IF(ISERROR(S217/N217-1),"NM",S217/N217-1)</f>
        <v>NM</v>
      </c>
      <c r="T223" s="706" t="str">
        <f>IF(ISERROR(T217/O217-1),"NM",T217/O217-1)</f>
        <v>NM</v>
      </c>
      <c r="U223" s="706" t="str">
        <f>IF(ISERROR(U217/P217-1),"NM",U217/P217-1)</f>
        <v>NM</v>
      </c>
      <c r="V223" s="706" t="str">
        <f t="shared" ref="V223:W226" si="518">IF(ISERROR(V217/Q217-1),"nm",V217/Q217-1)</f>
        <v>nm</v>
      </c>
      <c r="W223" s="974" t="str">
        <f t="shared" si="518"/>
        <v>nm</v>
      </c>
      <c r="X223" s="706" t="str">
        <f>IF(ISERROR(X217/S217-1),"NM",X217/S217-1)</f>
        <v>NM</v>
      </c>
      <c r="Y223" s="706" t="str">
        <f>IF(ISERROR(Y217/T217-1),"NM",Y217/T217-1)</f>
        <v>NM</v>
      </c>
      <c r="Z223" s="706" t="str">
        <f>IF(ISERROR(Z217/U217-1),"NM",Z217/U217-1)</f>
        <v>NM</v>
      </c>
      <c r="AA223" s="706" t="str">
        <f t="shared" ref="AA223:AB226" si="519">IF(ISERROR(AA217/V217-1),"nm",AA217/V217-1)</f>
        <v>nm</v>
      </c>
      <c r="AB223" s="974" t="str">
        <f t="shared" si="519"/>
        <v>nm</v>
      </c>
      <c r="AC223" s="706" t="str">
        <f>IF(ISERROR(AC217/X217-1),"NM",AC217/X217-1)</f>
        <v>NM</v>
      </c>
      <c r="AD223" s="706" t="str">
        <f>IF(ISERROR(AD217/Y217-1),"NM",AD217/Y217-1)</f>
        <v>NM</v>
      </c>
      <c r="AE223" s="706" t="str">
        <f>IF(ISERROR(AE217/Z217-1),"NM",AE217/Z217-1)</f>
        <v>NM</v>
      </c>
      <c r="AF223" s="706" t="str">
        <f t="shared" ref="AF223:AG226" si="520">IF(ISERROR(AF217/AA217-1),"nm",AF217/AA217-1)</f>
        <v>nm</v>
      </c>
      <c r="AG223" s="974" t="str">
        <f t="shared" si="520"/>
        <v>nm</v>
      </c>
      <c r="AH223" s="706" t="str">
        <f t="shared" ref="AH223:AJ224" si="521">IF(ISERROR(AH217/AC217-1),"NM",AH217/AC217-1)</f>
        <v>NM</v>
      </c>
      <c r="AI223" s="706" t="str">
        <f t="shared" si="521"/>
        <v>NM</v>
      </c>
      <c r="AJ223" s="706" t="str">
        <f t="shared" si="521"/>
        <v>NM</v>
      </c>
      <c r="AK223" s="706" t="str">
        <f t="shared" ref="AK223:AL226" si="522">IF(ISERROR(AK217/AF217-1),"nm",AK217/AF217-1)</f>
        <v>nm</v>
      </c>
      <c r="AL223" s="974" t="str">
        <f t="shared" si="522"/>
        <v>nm</v>
      </c>
      <c r="AM223" s="706" t="str">
        <f t="shared" ref="AM223:AO224" si="523">IF(ISERROR(AM217/AH217-1),"NM",AM217/AH217-1)</f>
        <v>NM</v>
      </c>
      <c r="AN223" s="706" t="str">
        <f t="shared" si="523"/>
        <v>NM</v>
      </c>
      <c r="AO223" s="706" t="str">
        <f t="shared" si="523"/>
        <v>NM</v>
      </c>
      <c r="AP223" s="706" t="str">
        <f t="shared" ref="AP223:AQ226" si="524">IF(ISERROR(AP217/AK217-1),"nm",AP217/AK217-1)</f>
        <v>nm</v>
      </c>
      <c r="AQ223" s="974" t="str">
        <f t="shared" si="524"/>
        <v>nm</v>
      </c>
      <c r="AR223" s="706" t="str">
        <f t="shared" ref="AR223:AT224" si="525">IF(ISERROR(AR217/AM217-1),"NM",AR217/AM217-1)</f>
        <v>NM</v>
      </c>
      <c r="AS223" s="706" t="str">
        <f t="shared" si="525"/>
        <v>NM</v>
      </c>
      <c r="AT223" s="706" t="str">
        <f t="shared" si="525"/>
        <v>NM</v>
      </c>
      <c r="AU223" s="802"/>
      <c r="AV223" s="555"/>
      <c r="AW223" s="555"/>
      <c r="AX223" s="555"/>
      <c r="AY223" s="555"/>
      <c r="AZ223" s="974"/>
      <c r="BA223" s="558" t="e">
        <f t="shared" ref="BA223:BJ226" si="526">BA217/AV217-1</f>
        <v>#VALUE!</v>
      </c>
      <c r="BB223" s="558" t="e">
        <f t="shared" si="526"/>
        <v>#VALUE!</v>
      </c>
      <c r="BC223" s="558" t="e">
        <f t="shared" si="526"/>
        <v>#VALUE!</v>
      </c>
      <c r="BD223" s="558" t="e">
        <f t="shared" si="526"/>
        <v>#VALUE!</v>
      </c>
      <c r="BE223" s="558" t="e">
        <f t="shared" si="526"/>
        <v>#VALUE!</v>
      </c>
      <c r="BF223" s="558">
        <f t="shared" si="526"/>
        <v>-0.25244777593770895</v>
      </c>
      <c r="BG223" s="558">
        <f t="shared" si="526"/>
        <v>-0.2553548469669733</v>
      </c>
      <c r="BH223" s="558">
        <f t="shared" si="526"/>
        <v>-0.29018162547574322</v>
      </c>
      <c r="BI223" s="558" t="e">
        <f t="shared" si="526"/>
        <v>#VALUE!</v>
      </c>
      <c r="BJ223" s="558" t="e">
        <f t="shared" si="526"/>
        <v>#VALUE!</v>
      </c>
      <c r="BK223" s="558">
        <f t="shared" ref="BK223:BT226" si="527">BK217/BF217-1</f>
        <v>1.5904810308230211E-2</v>
      </c>
      <c r="BL223" s="558">
        <f t="shared" si="527"/>
        <v>-1.1858016309655217E-2</v>
      </c>
      <c r="BM223" s="558">
        <f t="shared" si="527"/>
        <v>3.9139863035082989E-2</v>
      </c>
      <c r="BN223" s="558">
        <f t="shared" si="527"/>
        <v>-2.5778099079218908E-3</v>
      </c>
      <c r="BO223" s="558">
        <f t="shared" si="527"/>
        <v>9.684134776015707E-3</v>
      </c>
      <c r="BP223" s="558">
        <f t="shared" si="527"/>
        <v>-2.5186133427503532E-2</v>
      </c>
      <c r="BQ223" s="558">
        <f t="shared" si="527"/>
        <v>-0.10497153700189754</v>
      </c>
      <c r="BR223" s="558">
        <f t="shared" si="527"/>
        <v>-0.17682127315627483</v>
      </c>
      <c r="BS223" s="558">
        <f t="shared" si="527"/>
        <v>-0.11544929443591412</v>
      </c>
      <c r="BT223" s="558">
        <f t="shared" si="527"/>
        <v>-0.10355003980690602</v>
      </c>
      <c r="BU223" s="558">
        <f t="shared" ref="BU223:CD226" si="528">BU217/BP217-1</f>
        <v>-0.23063895559718206</v>
      </c>
      <c r="BV223" s="558">
        <f t="shared" si="528"/>
        <v>-0.1040359283129807</v>
      </c>
      <c r="BW223" s="558">
        <f t="shared" si="528"/>
        <v>-4.5776163546090598E-2</v>
      </c>
      <c r="BX223" s="558">
        <f t="shared" si="528"/>
        <v>-9.635261308013543E-2</v>
      </c>
      <c r="BY223" s="558">
        <f t="shared" si="528"/>
        <v>-0.12597798138526284</v>
      </c>
      <c r="BZ223" s="558">
        <f t="shared" si="528"/>
        <v>4.551661356395087E-2</v>
      </c>
      <c r="CA223" s="558">
        <f t="shared" si="528"/>
        <v>-2.2706209453197457E-2</v>
      </c>
      <c r="CB223" s="558">
        <f t="shared" si="528"/>
        <v>-2.8063610851262855E-2</v>
      </c>
      <c r="CC223" s="558">
        <f t="shared" si="528"/>
        <v>-3.2613688562241561E-2</v>
      </c>
      <c r="CD223" s="558">
        <f t="shared" si="528"/>
        <v>-9.1044902190204891E-3</v>
      </c>
      <c r="CE223" s="558">
        <f t="shared" ref="CE223:CN226" si="529">CE217/BZ217-1</f>
        <v>-4.3099695254679937E-2</v>
      </c>
      <c r="CF223" s="558">
        <f t="shared" si="529"/>
        <v>1.6121384542437278E-2</v>
      </c>
      <c r="CG223" s="558">
        <f t="shared" si="529"/>
        <v>4.6679499518768042E-2</v>
      </c>
      <c r="CH223" s="558">
        <f t="shared" si="529"/>
        <v>3.1339031339031376E-2</v>
      </c>
      <c r="CI223" s="558">
        <f t="shared" si="529"/>
        <v>1.1143700931373735E-2</v>
      </c>
      <c r="CJ223" s="558">
        <f t="shared" si="529"/>
        <v>2.3657870791628621E-2</v>
      </c>
      <c r="CK223" s="558">
        <f t="shared" si="529"/>
        <v>3.1731217918805399E-2</v>
      </c>
      <c r="CL223" s="558">
        <f t="shared" si="529"/>
        <v>-5.05747126436773E-3</v>
      </c>
      <c r="CM223" s="558">
        <f t="shared" si="529"/>
        <v>1.6114180478821405E-2</v>
      </c>
      <c r="CN223" s="558">
        <f t="shared" si="529"/>
        <v>1.6787984723502625E-2</v>
      </c>
      <c r="CO223" s="700">
        <f t="shared" ref="CO223:CS226" si="530">CO217/CJ217-1</f>
        <v>3.9555555555555566E-2</v>
      </c>
      <c r="CP223" s="558">
        <f t="shared" si="530"/>
        <v>-3.1659882406150919E-3</v>
      </c>
      <c r="CQ223" s="558">
        <f t="shared" si="530"/>
        <v>6.4695009242143886E-3</v>
      </c>
      <c r="CR223" s="700">
        <f t="shared" si="530"/>
        <v>1.2686905301313889E-2</v>
      </c>
      <c r="CS223" s="78">
        <f t="shared" si="530"/>
        <v>1.4041589519119269E-2</v>
      </c>
      <c r="CT223" s="700">
        <f t="shared" ref="CT223:DK226" si="531">CT217/CO217-1</f>
        <v>0.15884514455042686</v>
      </c>
      <c r="CU223" s="558">
        <f t="shared" si="531"/>
        <v>2.5124531799050054E-2</v>
      </c>
      <c r="CV223" s="558">
        <f t="shared" si="531"/>
        <v>3.2731353943475261E-2</v>
      </c>
      <c r="CW223" s="700">
        <f t="shared" si="531"/>
        <v>2.6099925428784587E-2</v>
      </c>
      <c r="CX223" s="78">
        <f t="shared" si="531"/>
        <v>6.2278565771439087E-2</v>
      </c>
      <c r="CY223" s="700">
        <f t="shared" si="531"/>
        <v>-0.14085346945590738</v>
      </c>
      <c r="CZ223" s="558">
        <f t="shared" si="531"/>
        <v>-5.6300651846773575E-2</v>
      </c>
      <c r="DA223" s="558">
        <f t="shared" si="531"/>
        <v>-1.2209290837598141E-2</v>
      </c>
      <c r="DB223" s="700">
        <f t="shared" si="531"/>
        <v>0.5345099667774087</v>
      </c>
      <c r="DC223" s="78">
        <f t="shared" si="531"/>
        <v>7.2195087737196406E-2</v>
      </c>
      <c r="DD223" s="700">
        <f t="shared" si="531"/>
        <v>0.58371925148536863</v>
      </c>
      <c r="DE223" s="558">
        <f t="shared" si="531"/>
        <v>0.72479343791162743</v>
      </c>
      <c r="DF223" s="558">
        <f t="shared" si="531"/>
        <v>0.6790188653580338</v>
      </c>
      <c r="DG223" s="700">
        <f t="shared" si="531"/>
        <v>0.10518496645454989</v>
      </c>
      <c r="DH223" s="78">
        <f t="shared" si="531"/>
        <v>0.46633856704059995</v>
      </c>
      <c r="DI223" s="700">
        <f t="shared" si="531"/>
        <v>4.5367422595589568E-2</v>
      </c>
      <c r="DJ223" s="558">
        <f t="shared" si="531"/>
        <v>-1.6459833955277836E-2</v>
      </c>
      <c r="DK223" s="558">
        <f t="shared" si="531"/>
        <v>-2.6639344262295084E-2</v>
      </c>
      <c r="DL223" s="700">
        <f>DL217/DG217-1</f>
        <v>-5.7631232050538883E-2</v>
      </c>
      <c r="DM223" s="78">
        <f t="shared" ref="DM223:DP226" si="532">DM217/DH217-1</f>
        <v>-1.4194669756662837E-2</v>
      </c>
      <c r="DN223" s="700">
        <f t="shared" si="532"/>
        <v>-3.9637588964888004E-2</v>
      </c>
      <c r="DO223" s="558">
        <f t="shared" si="532"/>
        <v>3.4117647058823586E-2</v>
      </c>
      <c r="DP223" s="558">
        <f t="shared" si="532"/>
        <v>-9.7919216646267238E-3</v>
      </c>
      <c r="DQ223" s="700">
        <f t="shared" ref="DQ223:DR226" si="533">DQ217/DL217-1</f>
        <v>-2.3210956303780561E-2</v>
      </c>
      <c r="DR223" s="78">
        <f t="shared" si="533"/>
        <v>-8.5218924478401847E-3</v>
      </c>
      <c r="DS223" s="700">
        <f t="shared" ref="DS223:DU226" si="534">DS217/DN217-1</f>
        <v>1.1641443538998875E-3</v>
      </c>
      <c r="DT223" s="700">
        <f t="shared" si="534"/>
        <v>-3.0716723549488067E-2</v>
      </c>
      <c r="DU223" s="700">
        <f t="shared" si="534"/>
        <v>0</v>
      </c>
      <c r="DV223" s="700">
        <f t="shared" ref="DV223:DV226" si="535">DV217/DQ217-1</f>
        <v>4.9576783555018045E-2</v>
      </c>
      <c r="DW223" s="78">
        <f t="shared" ref="DW223:DW226" si="536">DW217/DR217-1</f>
        <v>4.4457617071724798E-3</v>
      </c>
      <c r="DX223" s="555"/>
      <c r="DY223" s="555"/>
      <c r="DZ223" s="555"/>
      <c r="EA223" s="555"/>
      <c r="EB223" s="802"/>
      <c r="EC223" s="555"/>
      <c r="ED223" s="555"/>
      <c r="EE223" s="555"/>
      <c r="EF223" s="555"/>
      <c r="EG223" s="802"/>
      <c r="EH223" s="555"/>
      <c r="EI223" s="555"/>
      <c r="EJ223" s="555"/>
      <c r="EK223" s="555"/>
      <c r="EL223" s="802"/>
    </row>
    <row r="224" spans="1:142">
      <c r="A224" s="557"/>
      <c r="B224" s="557" t="s">
        <v>106</v>
      </c>
      <c r="C224" s="871"/>
      <c r="D224" s="871"/>
      <c r="E224" s="871"/>
      <c r="F224" s="871"/>
      <c r="G224" s="871"/>
      <c r="H224" s="974"/>
      <c r="I224" s="706" t="str">
        <f>IF(ISERROR(I218/D218-1),"nm",I218/D218-1)</f>
        <v>nm</v>
      </c>
      <c r="J224" s="706" t="str">
        <f t="shared" si="516"/>
        <v>nm</v>
      </c>
      <c r="K224" s="706" t="str">
        <f t="shared" si="516"/>
        <v>nm</v>
      </c>
      <c r="L224" s="706" t="str">
        <f t="shared" si="516"/>
        <v>nm</v>
      </c>
      <c r="M224" s="974" t="str">
        <f t="shared" si="516"/>
        <v>nm</v>
      </c>
      <c r="N224" s="706" t="str">
        <f t="shared" ref="N224:P226" si="537">IF(ISERROR(N218/I218-1),"nm",N218/I218-1)</f>
        <v>nm</v>
      </c>
      <c r="O224" s="706" t="str">
        <f t="shared" si="537"/>
        <v>nm</v>
      </c>
      <c r="P224" s="706" t="str">
        <f t="shared" si="537"/>
        <v>nm</v>
      </c>
      <c r="Q224" s="706" t="str">
        <f t="shared" si="517"/>
        <v>nm</v>
      </c>
      <c r="R224" s="974" t="str">
        <f t="shared" si="517"/>
        <v>nm</v>
      </c>
      <c r="S224" s="706" t="str">
        <f t="shared" ref="S224:U226" si="538">IF(ISERROR(S218/N218-1),"nm",S218/N218-1)</f>
        <v>nm</v>
      </c>
      <c r="T224" s="706" t="str">
        <f t="shared" si="538"/>
        <v>nm</v>
      </c>
      <c r="U224" s="706" t="str">
        <f t="shared" si="538"/>
        <v>nm</v>
      </c>
      <c r="V224" s="706" t="str">
        <f t="shared" si="518"/>
        <v>nm</v>
      </c>
      <c r="W224" s="974" t="str">
        <f t="shared" si="518"/>
        <v>nm</v>
      </c>
      <c r="X224" s="706" t="str">
        <f t="shared" ref="X224:Z226" si="539">IF(ISERROR(X218/S218-1),"nm",X218/S218-1)</f>
        <v>nm</v>
      </c>
      <c r="Y224" s="706" t="str">
        <f t="shared" si="539"/>
        <v>nm</v>
      </c>
      <c r="Z224" s="706" t="str">
        <f t="shared" si="539"/>
        <v>nm</v>
      </c>
      <c r="AA224" s="706" t="str">
        <f t="shared" si="519"/>
        <v>nm</v>
      </c>
      <c r="AB224" s="974" t="str">
        <f t="shared" si="519"/>
        <v>nm</v>
      </c>
      <c r="AC224" s="706" t="str">
        <f t="shared" ref="AC224:AE226" si="540">IF(ISERROR(AC218/X218-1),"nm",AC218/X218-1)</f>
        <v>nm</v>
      </c>
      <c r="AD224" s="706" t="str">
        <f t="shared" si="540"/>
        <v>nm</v>
      </c>
      <c r="AE224" s="706" t="str">
        <f t="shared" si="540"/>
        <v>nm</v>
      </c>
      <c r="AF224" s="706" t="str">
        <f t="shared" si="520"/>
        <v>nm</v>
      </c>
      <c r="AG224" s="974" t="str">
        <f t="shared" si="520"/>
        <v>nm</v>
      </c>
      <c r="AH224" s="706" t="str">
        <f t="shared" si="521"/>
        <v>NM</v>
      </c>
      <c r="AI224" s="706" t="str">
        <f t="shared" si="521"/>
        <v>NM</v>
      </c>
      <c r="AJ224" s="706" t="str">
        <f t="shared" si="521"/>
        <v>NM</v>
      </c>
      <c r="AK224" s="706" t="str">
        <f t="shared" si="522"/>
        <v>nm</v>
      </c>
      <c r="AL224" s="974" t="str">
        <f t="shared" si="522"/>
        <v>nm</v>
      </c>
      <c r="AM224" s="706" t="str">
        <f t="shared" si="523"/>
        <v>NM</v>
      </c>
      <c r="AN224" s="706" t="str">
        <f t="shared" si="523"/>
        <v>NM</v>
      </c>
      <c r="AO224" s="706" t="str">
        <f t="shared" si="523"/>
        <v>NM</v>
      </c>
      <c r="AP224" s="706" t="str">
        <f t="shared" si="524"/>
        <v>nm</v>
      </c>
      <c r="AQ224" s="974" t="str">
        <f t="shared" si="524"/>
        <v>nm</v>
      </c>
      <c r="AR224" s="706" t="str">
        <f t="shared" si="525"/>
        <v>NM</v>
      </c>
      <c r="AS224" s="706" t="str">
        <f t="shared" si="525"/>
        <v>NM</v>
      </c>
      <c r="AT224" s="706" t="str">
        <f t="shared" si="525"/>
        <v>NM</v>
      </c>
      <c r="AU224" s="802"/>
      <c r="AV224" s="555"/>
      <c r="AW224" s="555"/>
      <c r="AX224" s="555"/>
      <c r="AY224" s="555"/>
      <c r="AZ224" s="974"/>
      <c r="BA224" s="558" t="e">
        <f t="shared" si="526"/>
        <v>#VALUE!</v>
      </c>
      <c r="BB224" s="558" t="e">
        <f t="shared" si="526"/>
        <v>#VALUE!</v>
      </c>
      <c r="BC224" s="558" t="e">
        <f t="shared" si="526"/>
        <v>#VALUE!</v>
      </c>
      <c r="BD224" s="558" t="e">
        <f t="shared" si="526"/>
        <v>#VALUE!</v>
      </c>
      <c r="BE224" s="558" t="e">
        <f t="shared" si="526"/>
        <v>#VALUE!</v>
      </c>
      <c r="BF224" s="558">
        <f t="shared" si="526"/>
        <v>-0.32210605136169501</v>
      </c>
      <c r="BG224" s="558">
        <f t="shared" si="526"/>
        <v>-0.40761162721006894</v>
      </c>
      <c r="BH224" s="558">
        <f t="shared" si="526"/>
        <v>-0.33730372805058861</v>
      </c>
      <c r="BI224" s="558" t="e">
        <f t="shared" si="526"/>
        <v>#VALUE!</v>
      </c>
      <c r="BJ224" s="558" t="e">
        <f t="shared" si="526"/>
        <v>#VALUE!</v>
      </c>
      <c r="BK224" s="558">
        <f t="shared" si="527"/>
        <v>-1.7284758729314564E-3</v>
      </c>
      <c r="BL224" s="558">
        <f t="shared" si="527"/>
        <v>8.4665452583299938E-2</v>
      </c>
      <c r="BM224" s="558">
        <f t="shared" si="527"/>
        <v>9.6370732969615958E-2</v>
      </c>
      <c r="BN224" s="558">
        <f t="shared" si="527"/>
        <v>4.0056874468258563E-2</v>
      </c>
      <c r="BO224" s="558">
        <f t="shared" si="527"/>
        <v>5.4034039734011774E-2</v>
      </c>
      <c r="BP224" s="558">
        <f t="shared" si="527"/>
        <v>1.9338148660416943E-2</v>
      </c>
      <c r="BQ224" s="558">
        <f t="shared" si="527"/>
        <v>3.9720171006607075E-2</v>
      </c>
      <c r="BR224" s="558">
        <f t="shared" si="527"/>
        <v>-0.11683254002596288</v>
      </c>
      <c r="BS224" s="558">
        <f t="shared" si="527"/>
        <v>0.10257731958762895</v>
      </c>
      <c r="BT224" s="558">
        <f t="shared" si="527"/>
        <v>7.7762901070470569E-3</v>
      </c>
      <c r="BU224" s="558">
        <f t="shared" si="528"/>
        <v>0.26971882302686123</v>
      </c>
      <c r="BV224" s="558">
        <f t="shared" si="528"/>
        <v>-0.19333133971291872</v>
      </c>
      <c r="BW224" s="558">
        <f t="shared" si="528"/>
        <v>-4.7703888468219602E-2</v>
      </c>
      <c r="BX224" s="558">
        <f t="shared" si="528"/>
        <v>-4.8610687643555694E-2</v>
      </c>
      <c r="BY224" s="558">
        <f t="shared" si="528"/>
        <v>-4.1931854936915203E-3</v>
      </c>
      <c r="BZ224" s="558">
        <f t="shared" si="528"/>
        <v>4.551661356395087E-2</v>
      </c>
      <c r="CA224" s="558">
        <f t="shared" si="528"/>
        <v>-2.2706209453197457E-2</v>
      </c>
      <c r="CB224" s="558">
        <f t="shared" si="528"/>
        <v>-2.8063610851262744E-2</v>
      </c>
      <c r="CC224" s="558">
        <f t="shared" si="528"/>
        <v>-3.2613688562241561E-2</v>
      </c>
      <c r="CD224" s="558">
        <f t="shared" si="528"/>
        <v>-3.9869714933478129E-3</v>
      </c>
      <c r="CE224" s="558">
        <f t="shared" si="529"/>
        <v>-4.3099695254680048E-2</v>
      </c>
      <c r="CF224" s="558">
        <f t="shared" si="529"/>
        <v>1.6121384542437278E-2</v>
      </c>
      <c r="CG224" s="558">
        <f t="shared" si="529"/>
        <v>4.6679499518768042E-2</v>
      </c>
      <c r="CH224" s="558">
        <f t="shared" si="529"/>
        <v>3.1339031339031376E-2</v>
      </c>
      <c r="CI224" s="558">
        <f t="shared" si="529"/>
        <v>5.9777623602352836E-3</v>
      </c>
      <c r="CJ224" s="558">
        <f t="shared" si="529"/>
        <v>2.3657870791628621E-2</v>
      </c>
      <c r="CK224" s="558">
        <f t="shared" si="529"/>
        <v>3.1731217918805399E-2</v>
      </c>
      <c r="CL224" s="558">
        <f t="shared" si="529"/>
        <v>-5.057471264367841E-3</v>
      </c>
      <c r="CM224" s="558">
        <f t="shared" si="529"/>
        <v>1.6114180478821405E-2</v>
      </c>
      <c r="CN224" s="558">
        <f t="shared" si="529"/>
        <v>1.7060857279019181E-2</v>
      </c>
      <c r="CO224" s="700">
        <f t="shared" si="530"/>
        <v>3.9555555555555566E-2</v>
      </c>
      <c r="CP224" s="558">
        <f t="shared" si="530"/>
        <v>-3.1659882406150919E-3</v>
      </c>
      <c r="CQ224" s="558">
        <f t="shared" si="530"/>
        <v>6.4695009242143886E-3</v>
      </c>
      <c r="CR224" s="700">
        <f t="shared" si="530"/>
        <v>1.2686905301313889E-2</v>
      </c>
      <c r="CS224" s="78">
        <f t="shared" si="530"/>
        <v>1.681022276910249E-2</v>
      </c>
      <c r="CT224" s="700">
        <f t="shared" si="531"/>
        <v>-0.33834600442403862</v>
      </c>
      <c r="CU224" s="558">
        <f t="shared" si="531"/>
        <v>0.41500302480338802</v>
      </c>
      <c r="CV224" s="558">
        <f t="shared" si="531"/>
        <v>1.1994949494949392E-2</v>
      </c>
      <c r="CW224" s="700">
        <f t="shared" si="531"/>
        <v>2.1252796420581754E-2</v>
      </c>
      <c r="CX224" s="78">
        <f t="shared" si="531"/>
        <v>-2.0275122231449783E-2</v>
      </c>
      <c r="CY224" s="700">
        <f t="shared" si="531"/>
        <v>5.5878634639696667E-2</v>
      </c>
      <c r="CZ224" s="558">
        <f t="shared" si="531"/>
        <v>9.8931167165454692E-3</v>
      </c>
      <c r="DA224" s="558">
        <f t="shared" si="531"/>
        <v>0.17130380536494094</v>
      </c>
      <c r="DB224" s="700">
        <f t="shared" si="531"/>
        <v>0.76671336508826005</v>
      </c>
      <c r="DC224" s="78">
        <f t="shared" si="531"/>
        <v>0.24597450605481219</v>
      </c>
      <c r="DD224" s="700">
        <f t="shared" si="531"/>
        <v>0.55130906768837784</v>
      </c>
      <c r="DE224" s="558">
        <f t="shared" si="531"/>
        <v>0.60980720871751903</v>
      </c>
      <c r="DF224" s="558">
        <f t="shared" si="531"/>
        <v>0.64449781151954122</v>
      </c>
      <c r="DG224" s="700">
        <f t="shared" si="531"/>
        <v>0.36383363925783163</v>
      </c>
      <c r="DH224" s="78">
        <f t="shared" si="531"/>
        <v>0.51923287435790666</v>
      </c>
      <c r="DI224" s="700">
        <f t="shared" si="531"/>
        <v>0.29484567202475298</v>
      </c>
      <c r="DJ224" s="558">
        <f t="shared" si="531"/>
        <v>-8.2204497460941162E-2</v>
      </c>
      <c r="DK224" s="558">
        <f t="shared" si="531"/>
        <v>6.2865083851517012E-2</v>
      </c>
      <c r="DL224" s="700">
        <f>DL218/DG218-1</f>
        <v>-0.23231553758818246</v>
      </c>
      <c r="DM224" s="78">
        <f t="shared" si="532"/>
        <v>-2.2895622895622858E-2</v>
      </c>
      <c r="DN224" s="700">
        <f t="shared" si="532"/>
        <v>-1.1857707509881465E-2</v>
      </c>
      <c r="DO224" s="558">
        <f t="shared" si="532"/>
        <v>-0.14613180515759316</v>
      </c>
      <c r="DP224" s="558">
        <f t="shared" si="532"/>
        <v>-5.2631578947368474E-2</v>
      </c>
      <c r="DQ224" s="700">
        <f t="shared" si="533"/>
        <v>-8.288298129812377E-2</v>
      </c>
      <c r="DR224" s="78">
        <f t="shared" si="533"/>
        <v>-7.2363886974500358E-2</v>
      </c>
      <c r="DS224" s="700">
        <f t="shared" si="534"/>
        <v>-0.2627345844504021</v>
      </c>
      <c r="DT224" s="700">
        <f t="shared" si="534"/>
        <v>-2.3489932885906062E-2</v>
      </c>
      <c r="DU224" s="700">
        <f t="shared" si="534"/>
        <v>-0.25146198830409361</v>
      </c>
      <c r="DV224" s="700">
        <f t="shared" si="535"/>
        <v>0.51051051051051055</v>
      </c>
      <c r="DW224" s="78">
        <f t="shared" si="536"/>
        <v>-1.5601783060921193E-2</v>
      </c>
      <c r="DX224" s="555"/>
      <c r="DY224" s="555"/>
      <c r="DZ224" s="555"/>
      <c r="EA224" s="555"/>
      <c r="EB224" s="802"/>
      <c r="EC224" s="555"/>
      <c r="ED224" s="555"/>
      <c r="EE224" s="555"/>
      <c r="EF224" s="555"/>
      <c r="EG224" s="802"/>
      <c r="EH224" s="555"/>
      <c r="EI224" s="555"/>
      <c r="EJ224" s="555"/>
      <c r="EK224" s="555"/>
      <c r="EL224" s="802"/>
    </row>
    <row r="225" spans="1:142">
      <c r="A225" s="557"/>
      <c r="B225" s="557" t="s">
        <v>175</v>
      </c>
      <c r="C225" s="871"/>
      <c r="D225" s="871"/>
      <c r="E225" s="871"/>
      <c r="F225" s="871"/>
      <c r="G225" s="871"/>
      <c r="H225" s="974"/>
      <c r="I225" s="706" t="str">
        <f>IF(ISERROR(I219/D219-1),"nm",I219/D219-1)</f>
        <v>nm</v>
      </c>
      <c r="J225" s="706" t="str">
        <f t="shared" si="516"/>
        <v>nm</v>
      </c>
      <c r="K225" s="706" t="str">
        <f t="shared" si="516"/>
        <v>nm</v>
      </c>
      <c r="L225" s="706" t="str">
        <f t="shared" si="516"/>
        <v>nm</v>
      </c>
      <c r="M225" s="974" t="str">
        <f t="shared" si="516"/>
        <v>nm</v>
      </c>
      <c r="N225" s="706" t="str">
        <f t="shared" si="537"/>
        <v>nm</v>
      </c>
      <c r="O225" s="706" t="str">
        <f t="shared" si="537"/>
        <v>nm</v>
      </c>
      <c r="P225" s="706" t="str">
        <f t="shared" si="537"/>
        <v>nm</v>
      </c>
      <c r="Q225" s="706" t="str">
        <f t="shared" si="517"/>
        <v>nm</v>
      </c>
      <c r="R225" s="974" t="str">
        <f t="shared" si="517"/>
        <v>nm</v>
      </c>
      <c r="S225" s="706" t="str">
        <f t="shared" si="538"/>
        <v>nm</v>
      </c>
      <c r="T225" s="706" t="str">
        <f t="shared" si="538"/>
        <v>nm</v>
      </c>
      <c r="U225" s="706" t="str">
        <f t="shared" si="538"/>
        <v>nm</v>
      </c>
      <c r="V225" s="706" t="str">
        <f t="shared" si="518"/>
        <v>nm</v>
      </c>
      <c r="W225" s="974" t="str">
        <f t="shared" si="518"/>
        <v>nm</v>
      </c>
      <c r="X225" s="706" t="str">
        <f t="shared" si="539"/>
        <v>nm</v>
      </c>
      <c r="Y225" s="706" t="str">
        <f t="shared" si="539"/>
        <v>nm</v>
      </c>
      <c r="Z225" s="706" t="str">
        <f t="shared" si="539"/>
        <v>nm</v>
      </c>
      <c r="AA225" s="706" t="str">
        <f t="shared" si="519"/>
        <v>nm</v>
      </c>
      <c r="AB225" s="974" t="str">
        <f t="shared" si="519"/>
        <v>nm</v>
      </c>
      <c r="AC225" s="706" t="str">
        <f t="shared" si="540"/>
        <v>nm</v>
      </c>
      <c r="AD225" s="706" t="str">
        <f t="shared" si="540"/>
        <v>nm</v>
      </c>
      <c r="AE225" s="706" t="str">
        <f t="shared" si="540"/>
        <v>nm</v>
      </c>
      <c r="AF225" s="706" t="str">
        <f t="shared" si="520"/>
        <v>nm</v>
      </c>
      <c r="AG225" s="974" t="str">
        <f t="shared" si="520"/>
        <v>nm</v>
      </c>
      <c r="AH225" s="706" t="str">
        <f>IF(ISERROR(AH219/AC219-1),"nm",AH219/AC219-1)</f>
        <v>nm</v>
      </c>
      <c r="AI225" s="706" t="str">
        <f>IF(ISERROR(AI219/AD219-1),"nm",AI219/AD219-1)</f>
        <v>nm</v>
      </c>
      <c r="AJ225" s="706" t="str">
        <f>IF(ISERROR(AJ219/AE219-1),"nm",AJ219/AE219-1)</f>
        <v>nm</v>
      </c>
      <c r="AK225" s="706" t="str">
        <f t="shared" si="522"/>
        <v>nm</v>
      </c>
      <c r="AL225" s="974" t="str">
        <f t="shared" si="522"/>
        <v>nm</v>
      </c>
      <c r="AM225" s="706" t="str">
        <f>IF(ISERROR(AM219/AH219-1),"nm",AM219/AH219-1)</f>
        <v>nm</v>
      </c>
      <c r="AN225" s="706" t="str">
        <f>IF(ISERROR(AN219/AI219-1),"nm",AN219/AI219-1)</f>
        <v>nm</v>
      </c>
      <c r="AO225" s="706" t="str">
        <f>IF(ISERROR(AO219/AJ219-1),"nm",AO219/AJ219-1)</f>
        <v>nm</v>
      </c>
      <c r="AP225" s="706" t="str">
        <f t="shared" si="524"/>
        <v>nm</v>
      </c>
      <c r="AQ225" s="974" t="str">
        <f t="shared" si="524"/>
        <v>nm</v>
      </c>
      <c r="AR225" s="706" t="str">
        <f>IF(ISERROR(AR219/AM219-1),"nm",AR219/AM219-1)</f>
        <v>nm</v>
      </c>
      <c r="AS225" s="706" t="str">
        <f>IF(ISERROR(AS219/AN219-1),"nm",AS219/AN219-1)</f>
        <v>nm</v>
      </c>
      <c r="AT225" s="706" t="str">
        <f>IF(ISERROR(AT219/AO219-1),"nm",AT219/AO219-1)</f>
        <v>nm</v>
      </c>
      <c r="AU225" s="802"/>
      <c r="AV225" s="555"/>
      <c r="AW225" s="555"/>
      <c r="AX225" s="555"/>
      <c r="AY225" s="555"/>
      <c r="AZ225" s="974"/>
      <c r="BA225" s="558" t="e">
        <f t="shared" si="526"/>
        <v>#VALUE!</v>
      </c>
      <c r="BB225" s="558" t="e">
        <f t="shared" si="526"/>
        <v>#VALUE!</v>
      </c>
      <c r="BC225" s="558" t="e">
        <f t="shared" si="526"/>
        <v>#VALUE!</v>
      </c>
      <c r="BD225" s="558" t="e">
        <f t="shared" si="526"/>
        <v>#VALUE!</v>
      </c>
      <c r="BE225" s="558" t="e">
        <f t="shared" si="526"/>
        <v>#VALUE!</v>
      </c>
      <c r="BF225" s="558">
        <f t="shared" si="526"/>
        <v>-0.21666555057862968</v>
      </c>
      <c r="BG225" s="558">
        <f t="shared" si="526"/>
        <v>-0.21052515137022176</v>
      </c>
      <c r="BH225" s="558">
        <f t="shared" si="526"/>
        <v>-0.236450354097413</v>
      </c>
      <c r="BI225" s="558" t="e">
        <f t="shared" si="526"/>
        <v>#VALUE!</v>
      </c>
      <c r="BJ225" s="558" t="e">
        <f t="shared" si="526"/>
        <v>#VALUE!</v>
      </c>
      <c r="BK225" s="558">
        <f t="shared" si="527"/>
        <v>-3.4735618117961664E-2</v>
      </c>
      <c r="BL225" s="558">
        <f t="shared" si="527"/>
        <v>-3.8005837161171341E-2</v>
      </c>
      <c r="BM225" s="558">
        <f t="shared" si="527"/>
        <v>1.6055787861580129E-2</v>
      </c>
      <c r="BN225" s="558">
        <f t="shared" si="527"/>
        <v>-1.4904214856186759E-2</v>
      </c>
      <c r="BO225" s="558">
        <f t="shared" si="527"/>
        <v>-1.8465914120970095E-2</v>
      </c>
      <c r="BP225" s="558">
        <f t="shared" si="527"/>
        <v>-1.903219457792793E-2</v>
      </c>
      <c r="BQ225" s="558">
        <f t="shared" si="527"/>
        <v>-5.5422182238786921E-2</v>
      </c>
      <c r="BR225" s="558">
        <f t="shared" si="527"/>
        <v>-6.8439802493138746E-2</v>
      </c>
      <c r="BS225" s="558">
        <f t="shared" si="527"/>
        <v>-3.8604529651735331E-2</v>
      </c>
      <c r="BT225" s="558">
        <f t="shared" si="527"/>
        <v>-4.5182186715970185E-2</v>
      </c>
      <c r="BU225" s="558">
        <f t="shared" si="528"/>
        <v>2.7678137782121137E-3</v>
      </c>
      <c r="BV225" s="558">
        <f t="shared" si="528"/>
        <v>0.13922631487286652</v>
      </c>
      <c r="BW225" s="558">
        <f t="shared" si="528"/>
        <v>0.13109456512550222</v>
      </c>
      <c r="BX225" s="558">
        <f t="shared" si="528"/>
        <v>0.14951741311618449</v>
      </c>
      <c r="BY225" s="558">
        <f t="shared" si="528"/>
        <v>0.10347257938972265</v>
      </c>
      <c r="BZ225" s="558">
        <f t="shared" si="528"/>
        <v>4.551661356395087E-2</v>
      </c>
      <c r="CA225" s="558">
        <f t="shared" si="528"/>
        <v>-2.2706209453197457E-2</v>
      </c>
      <c r="CB225" s="558">
        <f t="shared" si="528"/>
        <v>-2.8063610851262966E-2</v>
      </c>
      <c r="CC225" s="558">
        <f t="shared" si="528"/>
        <v>-3.2613688562241561E-2</v>
      </c>
      <c r="CD225" s="558">
        <f t="shared" si="528"/>
        <v>-1.0089087474275726E-2</v>
      </c>
      <c r="CE225" s="558">
        <f t="shared" si="529"/>
        <v>-4.3099695254679937E-2</v>
      </c>
      <c r="CF225" s="558">
        <f t="shared" si="529"/>
        <v>1.6121384542437278E-2</v>
      </c>
      <c r="CG225" s="558">
        <f t="shared" si="529"/>
        <v>4.6679499518768042E-2</v>
      </c>
      <c r="CH225" s="558">
        <f t="shared" si="529"/>
        <v>3.1339031339031376E-2</v>
      </c>
      <c r="CI225" s="558">
        <f t="shared" si="529"/>
        <v>1.2317222502340908E-2</v>
      </c>
      <c r="CJ225" s="558">
        <f t="shared" si="529"/>
        <v>2.3657870791628621E-2</v>
      </c>
      <c r="CK225" s="558">
        <f t="shared" si="529"/>
        <v>3.1731217918805399E-2</v>
      </c>
      <c r="CL225" s="558">
        <f t="shared" si="529"/>
        <v>-5.057471264367841E-3</v>
      </c>
      <c r="CM225" s="558">
        <f t="shared" si="529"/>
        <v>1.6114180478821183E-2</v>
      </c>
      <c r="CN225" s="558">
        <f t="shared" si="529"/>
        <v>1.6462128722224634E-2</v>
      </c>
      <c r="CO225" s="700">
        <f t="shared" si="530"/>
        <v>3.9555555555555566E-2</v>
      </c>
      <c r="CP225" s="558">
        <f t="shared" si="530"/>
        <v>-3.1659882406152029E-3</v>
      </c>
      <c r="CQ225" s="558">
        <f t="shared" si="530"/>
        <v>6.4695009242146106E-3</v>
      </c>
      <c r="CR225" s="700">
        <f t="shared" si="530"/>
        <v>1.2686905301314111E-2</v>
      </c>
      <c r="CS225" s="78">
        <f t="shared" si="530"/>
        <v>1.3631751682859683E-2</v>
      </c>
      <c r="CT225" s="700">
        <f t="shared" si="531"/>
        <v>3.8691748610517385E-2</v>
      </c>
      <c r="CU225" s="558">
        <f t="shared" si="531"/>
        <v>3.572386351588186E-2</v>
      </c>
      <c r="CV225" s="558">
        <f t="shared" si="531"/>
        <v>6.4069309148971687E-2</v>
      </c>
      <c r="CW225" s="700">
        <f t="shared" si="531"/>
        <v>6.1808114529065428E-2</v>
      </c>
      <c r="CX225" s="78">
        <f t="shared" si="531"/>
        <v>5.0080638663678734E-2</v>
      </c>
      <c r="CY225" s="700">
        <f t="shared" si="531"/>
        <v>2.5302542692952068E-2</v>
      </c>
      <c r="CZ225" s="558">
        <f t="shared" si="531"/>
        <v>4.344128043162776E-2</v>
      </c>
      <c r="DA225" s="558">
        <f t="shared" si="531"/>
        <v>2.3150777351887974E-2</v>
      </c>
      <c r="DB225" s="700">
        <f t="shared" si="531"/>
        <v>0.56051697315409466</v>
      </c>
      <c r="DC225" s="78">
        <f t="shared" si="531"/>
        <v>0.16633808092052549</v>
      </c>
      <c r="DD225" s="700">
        <f t="shared" si="531"/>
        <v>0.60896600251016308</v>
      </c>
      <c r="DE225" s="558">
        <f t="shared" si="531"/>
        <v>0.60703645620681734</v>
      </c>
      <c r="DF225" s="558">
        <f t="shared" si="531"/>
        <v>0.71714940769661117</v>
      </c>
      <c r="DG225" s="700">
        <f t="shared" si="531"/>
        <v>0.14639333844423374</v>
      </c>
      <c r="DH225" s="78">
        <f t="shared" si="531"/>
        <v>0.47339776355741003</v>
      </c>
      <c r="DI225" s="700">
        <f t="shared" si="531"/>
        <v>0.10247917569190435</v>
      </c>
      <c r="DJ225" s="558">
        <f t="shared" si="531"/>
        <v>0.12264227167853203</v>
      </c>
      <c r="DK225" s="558">
        <f t="shared" si="531"/>
        <v>6.0881248818429823E-2</v>
      </c>
      <c r="DL225" s="700">
        <f>DL219/DG219-1</f>
        <v>8.5889389914652448E-2</v>
      </c>
      <c r="DM225" s="78">
        <f t="shared" si="532"/>
        <v>9.1675675675675583E-2</v>
      </c>
      <c r="DN225" s="700">
        <f t="shared" si="532"/>
        <v>8.8468533891743473E-2</v>
      </c>
      <c r="DO225" s="558">
        <f t="shared" si="532"/>
        <v>-3.7584966013594512E-2</v>
      </c>
      <c r="DP225" s="558">
        <f t="shared" si="532"/>
        <v>3.3810660302307172E-2</v>
      </c>
      <c r="DQ225" s="700">
        <f t="shared" si="533"/>
        <v>-6.8872809119562395E-2</v>
      </c>
      <c r="DR225" s="78">
        <f t="shared" si="533"/>
        <v>2.7728263022379629E-3</v>
      </c>
      <c r="DS225" s="700">
        <f t="shared" si="534"/>
        <v>-2.8560548362528526E-2</v>
      </c>
      <c r="DT225" s="700">
        <f t="shared" si="534"/>
        <v>0.10677191524719576</v>
      </c>
      <c r="DU225" s="700">
        <f t="shared" si="534"/>
        <v>-2.8857252789534438E-2</v>
      </c>
      <c r="DV225" s="700">
        <f t="shared" si="535"/>
        <v>9.222133119486764E-2</v>
      </c>
      <c r="DW225" s="78">
        <f t="shared" si="536"/>
        <v>3.3280663638159291E-2</v>
      </c>
      <c r="DX225" s="555"/>
      <c r="DY225" s="555"/>
      <c r="DZ225" s="555"/>
      <c r="EA225" s="555"/>
      <c r="EB225" s="802"/>
      <c r="EC225" s="555"/>
      <c r="ED225" s="555"/>
      <c r="EE225" s="555"/>
      <c r="EF225" s="555"/>
      <c r="EG225" s="802"/>
      <c r="EH225" s="555"/>
      <c r="EI225" s="555"/>
      <c r="EJ225" s="555"/>
      <c r="EK225" s="555"/>
      <c r="EL225" s="802"/>
    </row>
    <row r="226" spans="1:142">
      <c r="A226" s="1181"/>
      <c r="B226" s="1181" t="s">
        <v>176</v>
      </c>
      <c r="C226" s="871"/>
      <c r="D226" s="871"/>
      <c r="E226" s="871"/>
      <c r="F226" s="871"/>
      <c r="G226" s="871"/>
      <c r="H226" s="1182"/>
      <c r="I226" s="706" t="str">
        <f>IF(ISERROR(I220/D220-1),"nm",I220/D220-1)</f>
        <v>nm</v>
      </c>
      <c r="J226" s="706" t="str">
        <f t="shared" si="516"/>
        <v>nm</v>
      </c>
      <c r="K226" s="706" t="str">
        <f t="shared" si="516"/>
        <v>nm</v>
      </c>
      <c r="L226" s="706" t="str">
        <f t="shared" si="516"/>
        <v>nm</v>
      </c>
      <c r="M226" s="974" t="str">
        <f t="shared" si="516"/>
        <v>nm</v>
      </c>
      <c r="N226" s="706" t="str">
        <f t="shared" si="537"/>
        <v>nm</v>
      </c>
      <c r="O226" s="706" t="str">
        <f t="shared" si="537"/>
        <v>nm</v>
      </c>
      <c r="P226" s="706" t="str">
        <f t="shared" si="537"/>
        <v>nm</v>
      </c>
      <c r="Q226" s="706" t="str">
        <f t="shared" si="517"/>
        <v>nm</v>
      </c>
      <c r="R226" s="974" t="str">
        <f t="shared" si="517"/>
        <v>nm</v>
      </c>
      <c r="S226" s="706" t="str">
        <f t="shared" si="538"/>
        <v>nm</v>
      </c>
      <c r="T226" s="706" t="str">
        <f t="shared" si="538"/>
        <v>nm</v>
      </c>
      <c r="U226" s="706" t="str">
        <f t="shared" si="538"/>
        <v>nm</v>
      </c>
      <c r="V226" s="706" t="str">
        <f t="shared" si="518"/>
        <v>nm</v>
      </c>
      <c r="W226" s="974" t="str">
        <f t="shared" si="518"/>
        <v>nm</v>
      </c>
      <c r="X226" s="706" t="str">
        <f t="shared" si="539"/>
        <v>nm</v>
      </c>
      <c r="Y226" s="706" t="str">
        <f t="shared" si="539"/>
        <v>nm</v>
      </c>
      <c r="Z226" s="706" t="str">
        <f t="shared" si="539"/>
        <v>nm</v>
      </c>
      <c r="AA226" s="706" t="str">
        <f t="shared" si="519"/>
        <v>nm</v>
      </c>
      <c r="AB226" s="974" t="str">
        <f t="shared" si="519"/>
        <v>nm</v>
      </c>
      <c r="AC226" s="706" t="str">
        <f t="shared" si="540"/>
        <v>nm</v>
      </c>
      <c r="AD226" s="706" t="str">
        <f t="shared" si="540"/>
        <v>nm</v>
      </c>
      <c r="AE226" s="706" t="str">
        <f t="shared" si="540"/>
        <v>nm</v>
      </c>
      <c r="AF226" s="706" t="str">
        <f t="shared" si="520"/>
        <v>nm</v>
      </c>
      <c r="AG226" s="974" t="str">
        <f t="shared" si="520"/>
        <v>nm</v>
      </c>
      <c r="AH226" s="706" t="str">
        <f>IF(ISERROR(AH220/AC220-1),"NM",AH220/AC220-1)</f>
        <v>NM</v>
      </c>
      <c r="AI226" s="706" t="str">
        <f>IF(ISERROR(AI220/AD220-1),"NM",AI220/AD220-1)</f>
        <v>NM</v>
      </c>
      <c r="AJ226" s="706" t="str">
        <f>IF(ISERROR(AJ220/AE220-1),"NM",AJ220/AE220-1)</f>
        <v>NM</v>
      </c>
      <c r="AK226" s="706" t="str">
        <f t="shared" si="522"/>
        <v>nm</v>
      </c>
      <c r="AL226" s="974" t="str">
        <f t="shared" si="522"/>
        <v>nm</v>
      </c>
      <c r="AM226" s="706" t="str">
        <f>IF(ISERROR(AM220/AH220-1),"NM",AM220/AH220-1)</f>
        <v>NM</v>
      </c>
      <c r="AN226" s="706" t="str">
        <f>IF(ISERROR(AN220/AI220-1),"NM",AN220/AI220-1)</f>
        <v>NM</v>
      </c>
      <c r="AO226" s="706" t="str">
        <f>IF(ISERROR(AO220/AJ220-1),"NM",AO220/AJ220-1)</f>
        <v>NM</v>
      </c>
      <c r="AP226" s="706" t="str">
        <f t="shared" si="524"/>
        <v>nm</v>
      </c>
      <c r="AQ226" s="974" t="str">
        <f t="shared" si="524"/>
        <v>nm</v>
      </c>
      <c r="AR226" s="706" t="str">
        <f>IF(ISERROR(AR220/AM220-1),"NM",AR220/AM220-1)</f>
        <v>NM</v>
      </c>
      <c r="AS226" s="706" t="str">
        <f>IF(ISERROR(AS220/AN220-1),"NM",AS220/AN220-1)</f>
        <v>NM</v>
      </c>
      <c r="AT226" s="706" t="str">
        <f>IF(ISERROR(AT220/AO220-1),"NM",AT220/AO220-1)</f>
        <v>NM</v>
      </c>
      <c r="AU226" s="802"/>
      <c r="AV226" s="556"/>
      <c r="AW226" s="556"/>
      <c r="AX226" s="556"/>
      <c r="AY226" s="556"/>
      <c r="AZ226" s="1182"/>
      <c r="BA226" s="1181" t="e">
        <f t="shared" si="526"/>
        <v>#VALUE!</v>
      </c>
      <c r="BB226" s="1181" t="e">
        <f t="shared" si="526"/>
        <v>#VALUE!</v>
      </c>
      <c r="BC226" s="1181" t="e">
        <f t="shared" si="526"/>
        <v>#VALUE!</v>
      </c>
      <c r="BD226" s="1181" t="e">
        <f t="shared" si="526"/>
        <v>#VALUE!</v>
      </c>
      <c r="BE226" s="1181" t="e">
        <f t="shared" si="526"/>
        <v>#VALUE!</v>
      </c>
      <c r="BF226" s="1181">
        <f t="shared" si="526"/>
        <v>-7.6239037408740273E-2</v>
      </c>
      <c r="BG226" s="1181">
        <f t="shared" si="526"/>
        <v>-0.11753541190160921</v>
      </c>
      <c r="BH226" s="1181">
        <f t="shared" si="526"/>
        <v>-0.198455041111122</v>
      </c>
      <c r="BI226" s="1181" t="e">
        <f t="shared" si="526"/>
        <v>#VALUE!</v>
      </c>
      <c r="BJ226" s="1181" t="e">
        <f t="shared" si="526"/>
        <v>#VALUE!</v>
      </c>
      <c r="BK226" s="1181">
        <f t="shared" si="527"/>
        <v>-0.29074493012138036</v>
      </c>
      <c r="BL226" s="1181">
        <f t="shared" si="527"/>
        <v>-0.2440966901450079</v>
      </c>
      <c r="BM226" s="1181">
        <f t="shared" si="527"/>
        <v>-0.23510343149184698</v>
      </c>
      <c r="BN226" s="1181">
        <f t="shared" si="527"/>
        <v>-0.21400930646802352</v>
      </c>
      <c r="BO226" s="1181">
        <f t="shared" si="527"/>
        <v>-0.24797022307251448</v>
      </c>
      <c r="BP226" s="1181">
        <f t="shared" si="527"/>
        <v>-0.10278103322669563</v>
      </c>
      <c r="BQ226" s="1181">
        <f t="shared" si="527"/>
        <v>-0.26947890818858544</v>
      </c>
      <c r="BR226" s="1181">
        <f t="shared" si="527"/>
        <v>-0.18177132384758332</v>
      </c>
      <c r="BS226" s="1181">
        <f t="shared" si="527"/>
        <v>-5.913402061855666E-2</v>
      </c>
      <c r="BT226" s="1181">
        <f t="shared" si="527"/>
        <v>-0.15762198756843315</v>
      </c>
      <c r="BU226" s="1181">
        <f t="shared" si="528"/>
        <v>-0.1700975425490977</v>
      </c>
      <c r="BV226" s="1181">
        <f t="shared" si="528"/>
        <v>-4.0415019762846005E-2</v>
      </c>
      <c r="BW226" s="1181">
        <f t="shared" si="528"/>
        <v>-6.0552328068251615E-2</v>
      </c>
      <c r="BX226" s="1181">
        <f t="shared" si="528"/>
        <v>-0.15370601865967448</v>
      </c>
      <c r="BY226" s="1181">
        <f t="shared" si="528"/>
        <v>-0.10892319050273935</v>
      </c>
      <c r="BZ226" s="1181">
        <f t="shared" si="528"/>
        <v>4.551661356395087E-2</v>
      </c>
      <c r="CA226" s="1181">
        <f t="shared" si="528"/>
        <v>-2.2706209453197457E-2</v>
      </c>
      <c r="CB226" s="1181">
        <f t="shared" si="528"/>
        <v>-2.8063610851262855E-2</v>
      </c>
      <c r="CC226" s="1181">
        <f t="shared" si="528"/>
        <v>-3.2613688562241561E-2</v>
      </c>
      <c r="CD226" s="1181">
        <f t="shared" si="528"/>
        <v>-9.2445623535750698E-3</v>
      </c>
      <c r="CE226" s="1181">
        <f t="shared" si="529"/>
        <v>-4.3099695254679937E-2</v>
      </c>
      <c r="CF226" s="1181">
        <f t="shared" si="529"/>
        <v>1.6121384542437056E-2</v>
      </c>
      <c r="CG226" s="1181">
        <f t="shared" si="529"/>
        <v>4.6679499518768042E-2</v>
      </c>
      <c r="CH226" s="1181">
        <f t="shared" si="529"/>
        <v>3.1339031339031376E-2</v>
      </c>
      <c r="CI226" s="1181">
        <f t="shared" si="529"/>
        <v>1.1668401617457969E-2</v>
      </c>
      <c r="CJ226" s="1181">
        <f t="shared" si="529"/>
        <v>2.3657870791628621E-2</v>
      </c>
      <c r="CK226" s="1181">
        <f t="shared" si="529"/>
        <v>3.1731217918805621E-2</v>
      </c>
      <c r="CL226" s="1181">
        <f t="shared" si="529"/>
        <v>-5.057471264367841E-3</v>
      </c>
      <c r="CM226" s="1181">
        <f t="shared" si="529"/>
        <v>1.6114180478821405E-2</v>
      </c>
      <c r="CN226" s="1181">
        <f t="shared" si="529"/>
        <v>1.631245389202185E-2</v>
      </c>
      <c r="CO226" s="700">
        <f t="shared" si="530"/>
        <v>3.9555555555555566E-2</v>
      </c>
      <c r="CP226" s="1181">
        <f t="shared" si="530"/>
        <v>-3.1659882406150919E-3</v>
      </c>
      <c r="CQ226" s="1181">
        <f t="shared" si="530"/>
        <v>6.4695009242143886E-3</v>
      </c>
      <c r="CR226" s="1183">
        <f t="shared" si="530"/>
        <v>1.2686905301314111E-2</v>
      </c>
      <c r="CS226" s="1184">
        <f t="shared" si="530"/>
        <v>1.3911949632526399E-2</v>
      </c>
      <c r="CT226" s="700">
        <f t="shared" si="531"/>
        <v>-4.2353749705321797E-2</v>
      </c>
      <c r="CU226" s="1181">
        <f t="shared" si="531"/>
        <v>3.1773038919136853E-2</v>
      </c>
      <c r="CV226" s="1181">
        <f t="shared" si="531"/>
        <v>5.1423324150596805E-2</v>
      </c>
      <c r="CW226" s="1183">
        <f t="shared" si="531"/>
        <v>0.14115892441987965</v>
      </c>
      <c r="CX226" s="1184">
        <f t="shared" si="531"/>
        <v>4.3432541311257733E-2</v>
      </c>
      <c r="CY226" s="700">
        <f t="shared" si="531"/>
        <v>8.7894756605875424E-2</v>
      </c>
      <c r="CZ226" s="1181">
        <f t="shared" si="531"/>
        <v>6.8669964779413117E-2</v>
      </c>
      <c r="DA226" s="1181">
        <f t="shared" si="531"/>
        <v>6.7511689917687523E-3</v>
      </c>
      <c r="DB226" s="1183">
        <f t="shared" si="531"/>
        <v>0.60541226215644839</v>
      </c>
      <c r="DC226" s="1184">
        <f t="shared" si="531"/>
        <v>0.19635367082657829</v>
      </c>
      <c r="DD226" s="700">
        <f t="shared" si="531"/>
        <v>0.72791181986584297</v>
      </c>
      <c r="DE226" s="1181">
        <f t="shared" si="531"/>
        <v>0.40492265488074386</v>
      </c>
      <c r="DF226" s="1181">
        <f t="shared" si="531"/>
        <v>0.36368835814937217</v>
      </c>
      <c r="DG226" s="1183">
        <f t="shared" si="531"/>
        <v>5.5828691370563011E-3</v>
      </c>
      <c r="DH226" s="1184">
        <f t="shared" si="531"/>
        <v>0.33348427287649707</v>
      </c>
      <c r="DI226" s="700">
        <f t="shared" si="531"/>
        <v>-7.1088974417025219E-2</v>
      </c>
      <c r="DJ226" s="1181">
        <f t="shared" si="531"/>
        <v>0.10377071943070382</v>
      </c>
      <c r="DK226" s="1181">
        <f t="shared" si="531"/>
        <v>0.1991082687804</v>
      </c>
      <c r="DL226" s="1183">
        <f>DL220/DG220-1</f>
        <v>0.10429161998614433</v>
      </c>
      <c r="DM226" s="1184">
        <f t="shared" si="532"/>
        <v>7.7403245942571752E-2</v>
      </c>
      <c r="DN226" s="700">
        <f t="shared" si="532"/>
        <v>4.4190525344917519E-2</v>
      </c>
      <c r="DO226" s="1181">
        <f t="shared" si="532"/>
        <v>0.14004914004914015</v>
      </c>
      <c r="DP226" s="1181">
        <f t="shared" si="532"/>
        <v>-0.2699530516431925</v>
      </c>
      <c r="DQ226" s="1183">
        <f t="shared" si="533"/>
        <v>-0.118116414261634</v>
      </c>
      <c r="DR226" s="1184">
        <f t="shared" si="533"/>
        <v>-6.0834298957126332E-2</v>
      </c>
      <c r="DS226" s="1185">
        <f t="shared" si="534"/>
        <v>-7.3226544622425616E-2</v>
      </c>
      <c r="DT226" s="1181">
        <f t="shared" si="534"/>
        <v>-3.2327586206896575E-2</v>
      </c>
      <c r="DU226" s="1181">
        <f t="shared" si="534"/>
        <v>0.4212218649517685</v>
      </c>
      <c r="DV226" s="1183">
        <f t="shared" si="535"/>
        <v>8.5574572127139259E-2</v>
      </c>
      <c r="DW226" s="1184">
        <f t="shared" si="536"/>
        <v>7.3411474398519472E-2</v>
      </c>
      <c r="DX226" s="556"/>
      <c r="DY226" s="556"/>
      <c r="DZ226" s="556"/>
      <c r="EA226" s="556"/>
      <c r="EB226" s="913"/>
      <c r="EC226" s="556"/>
      <c r="ED226" s="556"/>
      <c r="EE226" s="556"/>
      <c r="EF226" s="556"/>
      <c r="EG226" s="913"/>
      <c r="EH226" s="556"/>
      <c r="EI226" s="556"/>
      <c r="EJ226" s="556"/>
      <c r="EK226" s="556"/>
      <c r="EL226" s="913"/>
    </row>
    <row r="227" spans="1:142">
      <c r="A227" s="804"/>
      <c r="B227" s="804" t="s">
        <v>177</v>
      </c>
      <c r="C227" s="560"/>
      <c r="D227" s="560"/>
      <c r="E227" s="560"/>
      <c r="F227" s="560"/>
      <c r="G227" s="560"/>
      <c r="H227" s="802"/>
      <c r="I227" s="560"/>
      <c r="J227" s="560"/>
      <c r="K227" s="560"/>
      <c r="L227" s="560"/>
      <c r="M227" s="1186"/>
      <c r="N227" s="560"/>
      <c r="O227" s="560"/>
      <c r="P227" s="560"/>
      <c r="Q227" s="560"/>
      <c r="R227" s="1186"/>
      <c r="S227" s="560"/>
      <c r="T227" s="560"/>
      <c r="U227" s="560"/>
      <c r="V227" s="560"/>
      <c r="W227" s="1186"/>
      <c r="X227" s="560"/>
      <c r="Y227" s="560"/>
      <c r="Z227" s="560"/>
      <c r="AA227" s="560"/>
      <c r="AB227" s="1186"/>
      <c r="AC227" s="560"/>
      <c r="AD227" s="560"/>
      <c r="AE227" s="560"/>
      <c r="AF227" s="560"/>
      <c r="AG227" s="1186"/>
      <c r="AH227" s="560"/>
      <c r="AI227" s="560"/>
      <c r="AJ227" s="560"/>
      <c r="AK227" s="560"/>
      <c r="AL227" s="1186"/>
      <c r="AM227" s="560"/>
      <c r="AN227" s="560"/>
      <c r="AO227" s="560"/>
      <c r="AP227" s="560"/>
      <c r="AQ227" s="1186"/>
      <c r="AR227" s="560"/>
      <c r="AS227" s="560"/>
      <c r="AT227" s="560"/>
      <c r="AU227" s="802"/>
      <c r="AV227" s="557"/>
      <c r="AW227" s="557"/>
      <c r="AX227" s="557"/>
      <c r="AY227" s="557"/>
      <c r="AZ227" s="802"/>
      <c r="BA227" s="560"/>
      <c r="BB227" s="560"/>
      <c r="BC227" s="560"/>
      <c r="BD227" s="560"/>
      <c r="BE227" s="1186"/>
      <c r="BF227" s="560"/>
      <c r="BG227" s="560"/>
      <c r="BH227" s="560"/>
      <c r="BI227" s="560"/>
      <c r="BJ227" s="802"/>
      <c r="BK227" s="560"/>
      <c r="BL227" s="557"/>
      <c r="BM227" s="557"/>
      <c r="BN227" s="557"/>
      <c r="BO227" s="802"/>
      <c r="BP227" s="560"/>
      <c r="BQ227" s="557"/>
      <c r="BR227" s="557"/>
      <c r="BS227" s="557"/>
      <c r="BT227" s="802"/>
      <c r="BU227" s="560"/>
      <c r="BV227" s="557"/>
      <c r="BW227" s="557"/>
      <c r="BX227" s="557"/>
      <c r="BY227" s="802"/>
      <c r="BZ227" s="560"/>
      <c r="CA227" s="557"/>
      <c r="CB227" s="557"/>
      <c r="CC227" s="557"/>
      <c r="CD227" s="802"/>
      <c r="CE227" s="560"/>
      <c r="CF227" s="557"/>
      <c r="CG227" s="557"/>
      <c r="CH227" s="557"/>
      <c r="CI227" s="802"/>
      <c r="CJ227" s="560"/>
      <c r="CK227" s="557"/>
      <c r="CL227" s="557"/>
      <c r="CM227" s="557"/>
      <c r="CN227" s="802"/>
      <c r="CO227" s="560"/>
      <c r="CP227" s="557"/>
      <c r="CQ227" s="557"/>
      <c r="CR227" s="557"/>
      <c r="CS227" s="802"/>
      <c r="CT227" s="560"/>
      <c r="CU227" s="557"/>
      <c r="CV227" s="557"/>
      <c r="CW227" s="557"/>
      <c r="CX227" s="802"/>
      <c r="CY227" s="560"/>
      <c r="CZ227" s="557"/>
      <c r="DA227" s="557"/>
      <c r="DB227" s="557"/>
      <c r="DC227" s="802"/>
      <c r="DD227" s="560"/>
      <c r="DE227" s="557"/>
      <c r="DF227" s="557"/>
      <c r="DG227" s="557"/>
      <c r="DH227" s="802"/>
      <c r="DI227" s="560"/>
      <c r="DJ227" s="557"/>
      <c r="DK227" s="557"/>
      <c r="DL227" s="557"/>
      <c r="DM227" s="802"/>
      <c r="DN227" s="560"/>
      <c r="DO227" s="557"/>
      <c r="DP227" s="557"/>
      <c r="DQ227" s="557"/>
      <c r="DR227" s="802"/>
      <c r="DS227" s="557"/>
      <c r="DT227" s="557"/>
      <c r="DU227" s="557"/>
      <c r="DV227" s="557"/>
      <c r="DW227" s="802"/>
      <c r="DX227" s="557"/>
      <c r="DY227" s="557"/>
      <c r="DZ227" s="557"/>
      <c r="EA227" s="557"/>
      <c r="EB227" s="802"/>
      <c r="EC227" s="557"/>
      <c r="ED227" s="557"/>
      <c r="EE227" s="557"/>
      <c r="EF227" s="557"/>
      <c r="EG227" s="802"/>
      <c r="EH227" s="557"/>
      <c r="EI227" s="557"/>
      <c r="EJ227" s="557"/>
      <c r="EK227" s="557"/>
      <c r="EL227" s="802"/>
    </row>
    <row r="228" spans="1:142">
      <c r="A228" s="700"/>
      <c r="B228" s="700" t="s">
        <v>105</v>
      </c>
      <c r="C228" s="702"/>
      <c r="D228" s="702">
        <v>0.42399999999999999</v>
      </c>
      <c r="E228" s="708" t="s">
        <v>503</v>
      </c>
      <c r="F228" s="708" t="s">
        <v>503</v>
      </c>
      <c r="G228" s="708" t="s">
        <v>503</v>
      </c>
      <c r="H228" s="1187">
        <v>0.39</v>
      </c>
      <c r="I228" s="708">
        <v>0.38400000000000001</v>
      </c>
      <c r="J228" s="708">
        <v>0.38400000000000001</v>
      </c>
      <c r="K228" s="708">
        <v>0.41699999999999998</v>
      </c>
      <c r="L228" s="708" t="s">
        <v>503</v>
      </c>
      <c r="M228" s="1187">
        <v>0.39700000000000002</v>
      </c>
      <c r="N228" s="708">
        <v>0.38200000000000001</v>
      </c>
      <c r="O228" s="708">
        <v>0.41699999999999998</v>
      </c>
      <c r="P228" s="708">
        <v>0.41099999999999998</v>
      </c>
      <c r="Q228" s="708" t="s">
        <v>503</v>
      </c>
      <c r="R228" s="1187">
        <v>0.42199999999999999</v>
      </c>
      <c r="S228" s="708">
        <v>0.38300000000000001</v>
      </c>
      <c r="T228" s="708">
        <v>0.378</v>
      </c>
      <c r="U228" s="708">
        <v>0.378</v>
      </c>
      <c r="V228" s="708" t="s">
        <v>503</v>
      </c>
      <c r="W228" s="1187">
        <v>0.38</v>
      </c>
      <c r="X228" s="708">
        <v>0.35299999999999998</v>
      </c>
      <c r="Y228" s="708">
        <v>0.33800000000000002</v>
      </c>
      <c r="Z228" s="708">
        <v>0.34499999999999997</v>
      </c>
      <c r="AA228" s="708" t="s">
        <v>503</v>
      </c>
      <c r="AB228" s="1187">
        <v>0.34200000000000003</v>
      </c>
      <c r="AC228" s="702">
        <v>0.32600000000000001</v>
      </c>
      <c r="AD228" s="702">
        <v>0.316</v>
      </c>
      <c r="AE228" s="702">
        <v>0.33</v>
      </c>
      <c r="AF228" s="708" t="s">
        <v>503</v>
      </c>
      <c r="AG228" s="1187">
        <v>0.32600000000000001</v>
      </c>
      <c r="AH228" s="702">
        <v>0.312</v>
      </c>
      <c r="AI228" s="702">
        <v>0.29699999999999999</v>
      </c>
      <c r="AJ228" s="702">
        <v>0.30099999999999999</v>
      </c>
      <c r="AK228" s="708" t="s">
        <v>503</v>
      </c>
      <c r="AL228" s="1187">
        <v>0.308</v>
      </c>
      <c r="AM228" s="702">
        <v>0.31</v>
      </c>
      <c r="AN228" s="702">
        <v>0.308</v>
      </c>
      <c r="AO228" s="702">
        <v>0.32</v>
      </c>
      <c r="AP228" s="708" t="s">
        <v>503</v>
      </c>
      <c r="AQ228" s="1187">
        <v>0.318</v>
      </c>
      <c r="AR228" s="702">
        <v>0.313</v>
      </c>
      <c r="AS228" s="702">
        <v>0.308</v>
      </c>
      <c r="AT228" s="702">
        <v>0.32</v>
      </c>
      <c r="AU228" s="802"/>
      <c r="AV228" s="1189">
        <v>0.23200000000000001</v>
      </c>
      <c r="AW228" s="558">
        <v>0.23499999999999999</v>
      </c>
      <c r="AX228" s="558">
        <v>0.22500000000000001</v>
      </c>
      <c r="AY228" s="558">
        <v>0.23100000000000001</v>
      </c>
      <c r="AZ228" s="1188" t="s">
        <v>503</v>
      </c>
      <c r="BA228" s="702">
        <v>0.27300000000000002</v>
      </c>
      <c r="BB228" s="702">
        <v>0.26900000000000002</v>
      </c>
      <c r="BC228" s="702">
        <v>0.26400000000000001</v>
      </c>
      <c r="BD228" s="708" t="s">
        <v>503</v>
      </c>
      <c r="BE228" s="1187">
        <v>0.26200000000000001</v>
      </c>
      <c r="BF228" s="702">
        <v>0.26</v>
      </c>
      <c r="BG228" s="702">
        <v>0.25900000000000001</v>
      </c>
      <c r="BH228" s="702">
        <v>0.251</v>
      </c>
      <c r="BI228" s="702">
        <v>0.27200000000000002</v>
      </c>
      <c r="BJ228" s="1187">
        <v>0.26100000000000001</v>
      </c>
      <c r="BK228" s="1189">
        <v>0.28199999999999997</v>
      </c>
      <c r="BL228" s="558">
        <v>0.27200000000000002</v>
      </c>
      <c r="BM228" s="558">
        <v>0.26500000000000001</v>
      </c>
      <c r="BN228" s="558">
        <v>0.28199999999999997</v>
      </c>
      <c r="BO228" s="78">
        <v>0.27500000000000002</v>
      </c>
      <c r="BP228" s="1189">
        <v>0.28299999999999997</v>
      </c>
      <c r="BQ228" s="558">
        <v>0.26800000000000002</v>
      </c>
      <c r="BR228" s="558">
        <v>0.247</v>
      </c>
      <c r="BS228" s="558">
        <v>0.26300000000000001</v>
      </c>
      <c r="BT228" s="78">
        <v>0.26500000000000001</v>
      </c>
      <c r="BU228" s="1189">
        <v>0.23200000000000001</v>
      </c>
      <c r="BV228" s="558">
        <v>0.23499999999999999</v>
      </c>
      <c r="BW228" s="558">
        <v>0.22500000000000001</v>
      </c>
      <c r="BX228" s="558">
        <v>0.23100000000000001</v>
      </c>
      <c r="BY228" s="78">
        <v>0.25800000000000001</v>
      </c>
      <c r="BZ228" s="1189">
        <v>0.23200000000000001</v>
      </c>
      <c r="CA228" s="558">
        <v>0.23499999999999999</v>
      </c>
      <c r="CB228" s="558">
        <v>0.22500000000000001</v>
      </c>
      <c r="CC228" s="558">
        <v>0.23100000000000001</v>
      </c>
      <c r="CD228" s="78">
        <v>0.254</v>
      </c>
      <c r="CE228" s="1189">
        <v>0.23200000000000001</v>
      </c>
      <c r="CF228" s="558">
        <v>0.23499999999999999</v>
      </c>
      <c r="CG228" s="558">
        <v>0.22500000000000001</v>
      </c>
      <c r="CH228" s="558">
        <v>0.23100000000000001</v>
      </c>
      <c r="CI228" s="78">
        <v>0.251</v>
      </c>
      <c r="CJ228" s="1189">
        <v>0.23200000000000001</v>
      </c>
      <c r="CK228" s="558">
        <v>0.23499999999999999</v>
      </c>
      <c r="CL228" s="558">
        <v>0.22500000000000001</v>
      </c>
      <c r="CM228" s="558">
        <v>0.23100000000000001</v>
      </c>
      <c r="CN228" s="78">
        <v>0.23899999999999999</v>
      </c>
      <c r="CO228" s="1189">
        <v>0.23200000000000001</v>
      </c>
      <c r="CP228" s="558">
        <v>0.23499999999999999</v>
      </c>
      <c r="CQ228" s="558">
        <v>0.22500000000000001</v>
      </c>
      <c r="CR228" s="558">
        <v>0.23100000000000001</v>
      </c>
      <c r="CS228" s="78">
        <v>0.23100000000000001</v>
      </c>
      <c r="CT228" s="1189">
        <v>0.26500000000000001</v>
      </c>
      <c r="CU228" s="558">
        <v>0.22700000000000001</v>
      </c>
      <c r="CV228" s="558">
        <v>0.221</v>
      </c>
      <c r="CW228" s="558">
        <v>0.224</v>
      </c>
      <c r="CX228" s="78">
        <v>0.23400000000000001</v>
      </c>
      <c r="CY228" s="1189">
        <v>0.23</v>
      </c>
      <c r="CZ228" s="558">
        <v>0.21</v>
      </c>
      <c r="DA228" s="558">
        <v>0.21299999999999999</v>
      </c>
      <c r="DB228" s="558">
        <v>0.218</v>
      </c>
      <c r="DC228" s="78">
        <v>0.218</v>
      </c>
      <c r="DD228" s="1189">
        <v>0.22600000000000001</v>
      </c>
      <c r="DE228" s="558">
        <v>0.22500000000000001</v>
      </c>
      <c r="DF228" s="558">
        <v>0.215</v>
      </c>
      <c r="DG228" s="558">
        <f>(DH228*DH$82-SUMPRODUCT(DD228:DF228,DD$82:DF$82))/DG$82</f>
        <v>0.21099792703150907</v>
      </c>
      <c r="DH228" s="78">
        <v>0.219</v>
      </c>
      <c r="DI228" s="1189">
        <v>0.218</v>
      </c>
      <c r="DJ228" s="558">
        <v>0.20699999999999999</v>
      </c>
      <c r="DK228" s="558">
        <v>0.19800000000000001</v>
      </c>
      <c r="DL228" s="558">
        <f>(DM228*DM$82-SUMPRODUCT(DI228:DK228,DI$82:DK$82))/DL$82</f>
        <v>0.1945431050396898</v>
      </c>
      <c r="DM228" s="78">
        <v>0.20399999999999999</v>
      </c>
      <c r="DN228" s="1189">
        <v>0.2</v>
      </c>
      <c r="DO228" s="1189">
        <v>0.217</v>
      </c>
      <c r="DP228" s="1189">
        <v>0.19900000000000001</v>
      </c>
      <c r="DQ228" s="1189">
        <v>0.20499999999999999</v>
      </c>
      <c r="DR228" s="78">
        <f>+DQ228</f>
        <v>0.20499999999999999</v>
      </c>
      <c r="DS228" s="1189">
        <v>0.21</v>
      </c>
      <c r="DT228" s="1189">
        <v>0.20100000000000001</v>
      </c>
      <c r="DU228" s="1189">
        <v>0.2</v>
      </c>
      <c r="DV228" s="1189">
        <v>0.2</v>
      </c>
      <c r="DW228" s="78">
        <f>+DV228</f>
        <v>0.2</v>
      </c>
      <c r="DX228" s="558"/>
      <c r="DY228" s="558"/>
      <c r="DZ228" s="558"/>
      <c r="EA228" s="558"/>
      <c r="EB228" s="78"/>
      <c r="EC228" s="558"/>
      <c r="ED228" s="558"/>
      <c r="EE228" s="558"/>
      <c r="EF228" s="558"/>
      <c r="EG228" s="78"/>
      <c r="EH228" s="558"/>
      <c r="EI228" s="558"/>
      <c r="EJ228" s="558"/>
      <c r="EK228" s="558"/>
      <c r="EL228" s="78"/>
    </row>
    <row r="229" spans="1:142">
      <c r="A229" s="700"/>
      <c r="B229" s="700" t="s">
        <v>106</v>
      </c>
      <c r="C229" s="702"/>
      <c r="D229" s="702">
        <v>0.42399999999999999</v>
      </c>
      <c r="E229" s="708" t="s">
        <v>503</v>
      </c>
      <c r="F229" s="708" t="s">
        <v>503</v>
      </c>
      <c r="G229" s="708" t="s">
        <v>503</v>
      </c>
      <c r="H229" s="1188" t="s">
        <v>503</v>
      </c>
      <c r="I229" s="708" t="s">
        <v>503</v>
      </c>
      <c r="J229" s="708" t="s">
        <v>503</v>
      </c>
      <c r="K229" s="708" t="s">
        <v>503</v>
      </c>
      <c r="L229" s="708" t="s">
        <v>503</v>
      </c>
      <c r="M229" s="1187">
        <v>6.7000000000000004E-2</v>
      </c>
      <c r="N229" s="708" t="s">
        <v>503</v>
      </c>
      <c r="O229" s="708" t="s">
        <v>503</v>
      </c>
      <c r="P229" s="708" t="s">
        <v>503</v>
      </c>
      <c r="Q229" s="708" t="s">
        <v>503</v>
      </c>
      <c r="R229" s="1187">
        <v>8.5999999999999993E-2</v>
      </c>
      <c r="S229" s="708" t="s">
        <v>503</v>
      </c>
      <c r="T229" s="708" t="s">
        <v>503</v>
      </c>
      <c r="U229" s="708" t="s">
        <v>503</v>
      </c>
      <c r="V229" s="708" t="s">
        <v>503</v>
      </c>
      <c r="W229" s="1188" t="s">
        <v>503</v>
      </c>
      <c r="X229" s="708" t="s">
        <v>503</v>
      </c>
      <c r="Y229" s="708" t="s">
        <v>503</v>
      </c>
      <c r="Z229" s="708" t="s">
        <v>503</v>
      </c>
      <c r="AA229" s="708" t="s">
        <v>503</v>
      </c>
      <c r="AB229" s="1187">
        <v>9.0999999999999998E-2</v>
      </c>
      <c r="AC229" s="702">
        <v>0.08</v>
      </c>
      <c r="AD229" s="702">
        <v>8.3000000000000004E-2</v>
      </c>
      <c r="AE229" s="702">
        <v>8.5999999999999993E-2</v>
      </c>
      <c r="AF229" s="708" t="s">
        <v>503</v>
      </c>
      <c r="AG229" s="1187">
        <v>8.3000000000000004E-2</v>
      </c>
      <c r="AH229" s="702">
        <v>0.08</v>
      </c>
      <c r="AI229" s="702">
        <v>8.6999999999999994E-2</v>
      </c>
      <c r="AJ229" s="702">
        <v>8.2000000000000003E-2</v>
      </c>
      <c r="AK229" s="708" t="s">
        <v>503</v>
      </c>
      <c r="AL229" s="1187">
        <v>8.2000000000000003E-2</v>
      </c>
      <c r="AM229" s="702">
        <v>7.9000000000000001E-2</v>
      </c>
      <c r="AN229" s="702">
        <v>8.3000000000000004E-2</v>
      </c>
      <c r="AO229" s="702">
        <v>8.6999999999999994E-2</v>
      </c>
      <c r="AP229" s="708" t="s">
        <v>503</v>
      </c>
      <c r="AQ229" s="1187">
        <v>8.5999999999999993E-2</v>
      </c>
      <c r="AR229" s="702">
        <v>8.1000000000000003E-2</v>
      </c>
      <c r="AS229" s="702">
        <v>0.08</v>
      </c>
      <c r="AT229" s="702">
        <v>8.6999999999999994E-2</v>
      </c>
      <c r="AU229" s="802"/>
      <c r="AV229" s="1189">
        <v>0.115</v>
      </c>
      <c r="AW229" s="558">
        <v>7.4999999999999997E-2</v>
      </c>
      <c r="AX229" s="558">
        <v>0.08</v>
      </c>
      <c r="AY229" s="558">
        <v>8.5999999999999993E-2</v>
      </c>
      <c r="AZ229" s="1188" t="s">
        <v>503</v>
      </c>
      <c r="BA229" s="702">
        <v>8.7999999999999995E-2</v>
      </c>
      <c r="BB229" s="702">
        <v>9.4E-2</v>
      </c>
      <c r="BC229" s="702">
        <v>8.8999999999999996E-2</v>
      </c>
      <c r="BD229" s="708" t="s">
        <v>503</v>
      </c>
      <c r="BE229" s="1187">
        <v>9.1999999999999998E-2</v>
      </c>
      <c r="BF229" s="702">
        <v>7.5999999999999998E-2</v>
      </c>
      <c r="BG229" s="702">
        <v>7.1999999999999995E-2</v>
      </c>
      <c r="BH229" s="702">
        <v>7.9000000000000001E-2</v>
      </c>
      <c r="BI229" s="702">
        <v>7.3999999999999996E-2</v>
      </c>
      <c r="BJ229" s="1187">
        <v>7.3999999999999996E-2</v>
      </c>
      <c r="BK229" s="1189">
        <v>8.1000000000000003E-2</v>
      </c>
      <c r="BL229" s="558">
        <v>8.3000000000000004E-2</v>
      </c>
      <c r="BM229" s="558">
        <v>8.7999999999999995E-2</v>
      </c>
      <c r="BN229" s="558">
        <v>0.08</v>
      </c>
      <c r="BO229" s="78">
        <v>8.3000000000000004E-2</v>
      </c>
      <c r="BP229" s="1189">
        <v>8.5000000000000006E-2</v>
      </c>
      <c r="BQ229" s="558">
        <v>9.5000000000000001E-2</v>
      </c>
      <c r="BR229" s="558">
        <v>8.7999999999999995E-2</v>
      </c>
      <c r="BS229" s="558">
        <v>9.2999999999999999E-2</v>
      </c>
      <c r="BT229" s="78">
        <v>0.09</v>
      </c>
      <c r="BU229" s="1189">
        <v>0.115</v>
      </c>
      <c r="BV229" s="558">
        <v>7.4999999999999997E-2</v>
      </c>
      <c r="BW229" s="558">
        <v>0.08</v>
      </c>
      <c r="BX229" s="558">
        <v>8.5999999999999993E-2</v>
      </c>
      <c r="BY229" s="78">
        <v>8.4000000000000005E-2</v>
      </c>
      <c r="BZ229" s="1189">
        <v>0.115</v>
      </c>
      <c r="CA229" s="558">
        <v>7.4999999999999997E-2</v>
      </c>
      <c r="CB229" s="558">
        <v>0.08</v>
      </c>
      <c r="CC229" s="558">
        <v>8.5999999999999993E-2</v>
      </c>
      <c r="CD229" s="78">
        <v>8.4000000000000005E-2</v>
      </c>
      <c r="CE229" s="1189">
        <v>0.115</v>
      </c>
      <c r="CF229" s="558">
        <v>7.4999999999999997E-2</v>
      </c>
      <c r="CG229" s="558">
        <v>0.08</v>
      </c>
      <c r="CH229" s="558">
        <v>8.5999999999999993E-2</v>
      </c>
      <c r="CI229" s="78">
        <v>8.1000000000000003E-2</v>
      </c>
      <c r="CJ229" s="1189">
        <v>0.115</v>
      </c>
      <c r="CK229" s="558">
        <v>7.4999999999999997E-2</v>
      </c>
      <c r="CL229" s="558">
        <v>0.08</v>
      </c>
      <c r="CM229" s="558">
        <v>8.5999999999999993E-2</v>
      </c>
      <c r="CN229" s="78">
        <v>8.6999999999999994E-2</v>
      </c>
      <c r="CO229" s="1189">
        <v>0.115</v>
      </c>
      <c r="CP229" s="558">
        <v>7.4999999999999997E-2</v>
      </c>
      <c r="CQ229" s="558">
        <v>0.08</v>
      </c>
      <c r="CR229" s="558">
        <v>8.5999999999999993E-2</v>
      </c>
      <c r="CS229" s="78">
        <v>0.09</v>
      </c>
      <c r="CT229" s="1189">
        <v>7.4999999999999997E-2</v>
      </c>
      <c r="CU229" s="558">
        <v>0.1</v>
      </c>
      <c r="CV229" s="558">
        <v>7.6999999999999999E-2</v>
      </c>
      <c r="CW229" s="558">
        <v>8.3000000000000004E-2</v>
      </c>
      <c r="CX229" s="78">
        <v>8.4000000000000005E-2</v>
      </c>
      <c r="CY229" s="1189">
        <v>0.08</v>
      </c>
      <c r="CZ229" s="558">
        <v>9.9000000000000005E-2</v>
      </c>
      <c r="DA229" s="558">
        <v>8.7999999999999995E-2</v>
      </c>
      <c r="DB229" s="558">
        <v>9.2999999999999999E-2</v>
      </c>
      <c r="DC229" s="78">
        <v>0.09</v>
      </c>
      <c r="DD229" s="1189">
        <v>7.6999999999999999E-2</v>
      </c>
      <c r="DE229" s="558">
        <v>9.9000000000000005E-2</v>
      </c>
      <c r="DF229" s="558">
        <v>8.6999999999999994E-2</v>
      </c>
      <c r="DG229" s="558">
        <f>(DH229*DH$82-SUMPRODUCT(DD229:DF229,DD$82:DF$82))/DG$82</f>
        <v>0.11107877280265341</v>
      </c>
      <c r="DH229" s="78">
        <v>9.4E-2</v>
      </c>
      <c r="DI229" s="1189">
        <v>9.1999999999999998E-2</v>
      </c>
      <c r="DJ229" s="558">
        <v>8.5000000000000006E-2</v>
      </c>
      <c r="DK229" s="558">
        <v>8.7999999999999995E-2</v>
      </c>
      <c r="DL229" s="558">
        <f>(DM229*DM$82-SUMPRODUCT(DI229:DK229,DI$82:DK$82))/DL$82</f>
        <v>8.3431604208971721E-2</v>
      </c>
      <c r="DM229" s="78">
        <v>8.6999999999999994E-2</v>
      </c>
      <c r="DN229" s="1189">
        <v>8.6999999999999994E-2</v>
      </c>
      <c r="DO229" s="1189">
        <v>7.3999999999999996E-2</v>
      </c>
      <c r="DP229" s="1189">
        <v>8.4000000000000005E-2</v>
      </c>
      <c r="DQ229" s="1189">
        <v>8.2000000000000003E-2</v>
      </c>
      <c r="DR229" s="78">
        <f>+DQ229</f>
        <v>8.2000000000000003E-2</v>
      </c>
      <c r="DS229" s="1189">
        <v>6.7000000000000004E-2</v>
      </c>
      <c r="DT229" s="1189">
        <v>6.9000000000000006E-2</v>
      </c>
      <c r="DU229" s="1189">
        <v>6.5000000000000002E-2</v>
      </c>
      <c r="DV229" s="1189">
        <v>8.1000000000000003E-2</v>
      </c>
      <c r="DW229" s="78">
        <f>+DV229</f>
        <v>8.1000000000000003E-2</v>
      </c>
      <c r="DX229" s="558"/>
      <c r="DY229" s="558"/>
      <c r="DZ229" s="558"/>
      <c r="EA229" s="558"/>
      <c r="EB229" s="78"/>
      <c r="EC229" s="558"/>
      <c r="ED229" s="558"/>
      <c r="EE229" s="558"/>
      <c r="EF229" s="558"/>
      <c r="EG229" s="78"/>
      <c r="EH229" s="558"/>
      <c r="EI229" s="558"/>
      <c r="EJ229" s="558"/>
      <c r="EK229" s="558"/>
      <c r="EL229" s="78"/>
    </row>
    <row r="230" spans="1:142">
      <c r="A230" s="700"/>
      <c r="B230" s="700" t="s">
        <v>107</v>
      </c>
      <c r="C230" s="708"/>
      <c r="D230" s="708" t="s">
        <v>503</v>
      </c>
      <c r="E230" s="708" t="s">
        <v>503</v>
      </c>
      <c r="F230" s="708" t="s">
        <v>503</v>
      </c>
      <c r="G230" s="708" t="s">
        <v>503</v>
      </c>
      <c r="H230" s="1188" t="s">
        <v>503</v>
      </c>
      <c r="I230" s="708" t="s">
        <v>503</v>
      </c>
      <c r="J230" s="708" t="s">
        <v>503</v>
      </c>
      <c r="K230" s="708" t="s">
        <v>503</v>
      </c>
      <c r="L230" s="708" t="s">
        <v>503</v>
      </c>
      <c r="M230" s="1188" t="s">
        <v>503</v>
      </c>
      <c r="N230" s="708" t="s">
        <v>503</v>
      </c>
      <c r="O230" s="708" t="s">
        <v>503</v>
      </c>
      <c r="P230" s="708" t="s">
        <v>503</v>
      </c>
      <c r="Q230" s="708" t="s">
        <v>503</v>
      </c>
      <c r="R230" s="1188" t="s">
        <v>503</v>
      </c>
      <c r="S230" s="708">
        <v>0.32300000000000001</v>
      </c>
      <c r="T230" s="708">
        <v>0.32800000000000001</v>
      </c>
      <c r="U230" s="708">
        <v>0.33700000000000002</v>
      </c>
      <c r="V230" s="708" t="s">
        <v>503</v>
      </c>
      <c r="W230" s="1187">
        <v>0.33700000000000002</v>
      </c>
      <c r="X230" s="708">
        <v>0.35799999999999998</v>
      </c>
      <c r="Y230" s="708">
        <v>0.37</v>
      </c>
      <c r="Z230" s="708">
        <v>0.38400000000000001</v>
      </c>
      <c r="AA230" s="708" t="s">
        <v>503</v>
      </c>
      <c r="AB230" s="1187">
        <v>0.376</v>
      </c>
      <c r="AC230" s="702">
        <v>0.372</v>
      </c>
      <c r="AD230" s="702">
        <v>0.41899999999999998</v>
      </c>
      <c r="AE230" s="702">
        <v>0.40600000000000003</v>
      </c>
      <c r="AF230" s="708" t="s">
        <v>503</v>
      </c>
      <c r="AG230" s="1187">
        <v>0.40699999999999997</v>
      </c>
      <c r="AH230" s="702">
        <v>0.41099999999999998</v>
      </c>
      <c r="AI230" s="702">
        <v>0.439</v>
      </c>
      <c r="AJ230" s="702">
        <v>0.438</v>
      </c>
      <c r="AK230" s="708" t="s">
        <v>503</v>
      </c>
      <c r="AL230" s="1187">
        <v>0.433</v>
      </c>
      <c r="AM230" s="702">
        <v>0.42899999999999999</v>
      </c>
      <c r="AN230" s="702">
        <v>0.44500000000000001</v>
      </c>
      <c r="AO230" s="702">
        <v>0.442</v>
      </c>
      <c r="AP230" s="708" t="s">
        <v>503</v>
      </c>
      <c r="AQ230" s="1187">
        <v>0.439</v>
      </c>
      <c r="AR230" s="702">
        <v>0.45400000000000001</v>
      </c>
      <c r="AS230" s="702">
        <v>0.46200000000000002</v>
      </c>
      <c r="AT230" s="702">
        <v>0.442</v>
      </c>
      <c r="AU230" s="802"/>
      <c r="AV230" s="1189">
        <v>0.54600000000000004</v>
      </c>
      <c r="AW230" s="558">
        <v>0.58199999999999996</v>
      </c>
      <c r="AX230" s="558">
        <v>0.58199999999999996</v>
      </c>
      <c r="AY230" s="558">
        <v>0.58099999999999996</v>
      </c>
      <c r="AZ230" s="1188" t="s">
        <v>503</v>
      </c>
      <c r="BA230" s="702">
        <v>0.49199999999999999</v>
      </c>
      <c r="BB230" s="702">
        <v>0.48099999999999998</v>
      </c>
      <c r="BC230" s="702">
        <v>0.48399999999999999</v>
      </c>
      <c r="BD230" s="708" t="s">
        <v>503</v>
      </c>
      <c r="BE230" s="1187">
        <v>0.48899999999999999</v>
      </c>
      <c r="BF230" s="702">
        <v>0.49099999999999999</v>
      </c>
      <c r="BG230" s="702">
        <v>0.49099999999999999</v>
      </c>
      <c r="BH230" s="702">
        <v>0.495</v>
      </c>
      <c r="BI230" s="702">
        <v>0.501</v>
      </c>
      <c r="BJ230" s="1187">
        <v>0.497</v>
      </c>
      <c r="BK230" s="1189">
        <v>0.50600000000000001</v>
      </c>
      <c r="BL230" s="558">
        <v>0.502</v>
      </c>
      <c r="BM230" s="558">
        <v>0.51100000000000001</v>
      </c>
      <c r="BN230" s="558">
        <v>0.51300000000000001</v>
      </c>
      <c r="BO230" s="78">
        <v>0.50800000000000001</v>
      </c>
      <c r="BP230" s="1189">
        <v>0.51100000000000001</v>
      </c>
      <c r="BQ230" s="558">
        <v>0.52200000000000002</v>
      </c>
      <c r="BR230" s="558">
        <v>0.53900000000000003</v>
      </c>
      <c r="BS230" s="558">
        <v>0.52</v>
      </c>
      <c r="BT230" s="78">
        <v>0.52300000000000002</v>
      </c>
      <c r="BU230" s="1189">
        <v>0.54600000000000004</v>
      </c>
      <c r="BV230" s="558">
        <v>0.58199999999999996</v>
      </c>
      <c r="BW230" s="558">
        <v>0.58199999999999996</v>
      </c>
      <c r="BX230" s="558">
        <v>0.58099999999999996</v>
      </c>
      <c r="BY230" s="78" t="e">
        <f>#REF!</f>
        <v>#REF!</v>
      </c>
      <c r="BZ230" s="1189">
        <v>0.54600000000000004</v>
      </c>
      <c r="CA230" s="558">
        <v>0.58199999999999996</v>
      </c>
      <c r="CB230" s="558">
        <v>0.58199999999999996</v>
      </c>
      <c r="CC230" s="558">
        <v>0.58099999999999996</v>
      </c>
      <c r="CD230" s="78" t="e">
        <f>#REF!</f>
        <v>#REF!</v>
      </c>
      <c r="CE230" s="1189">
        <v>0.54600000000000004</v>
      </c>
      <c r="CF230" s="558">
        <v>0.58199999999999996</v>
      </c>
      <c r="CG230" s="558">
        <v>0.58199999999999996</v>
      </c>
      <c r="CH230" s="558">
        <v>0.58099999999999996</v>
      </c>
      <c r="CI230" s="78" t="e">
        <f>#REF!</f>
        <v>#REF!</v>
      </c>
      <c r="CJ230" s="1189">
        <v>0.54600000000000004</v>
      </c>
      <c r="CK230" s="558">
        <v>0.58199999999999996</v>
      </c>
      <c r="CL230" s="558">
        <v>0.58199999999999996</v>
      </c>
      <c r="CM230" s="558">
        <v>0.58099999999999996</v>
      </c>
      <c r="CN230" s="78">
        <v>0.56499999999999995</v>
      </c>
      <c r="CO230" s="1189">
        <v>0.54600000000000004</v>
      </c>
      <c r="CP230" s="558">
        <v>0.58199999999999996</v>
      </c>
      <c r="CQ230" s="558">
        <v>0.58199999999999996</v>
      </c>
      <c r="CR230" s="558">
        <v>0.58099999999999996</v>
      </c>
      <c r="CS230" s="78">
        <v>0.57199999999999995</v>
      </c>
      <c r="CT230" s="1189">
        <v>0.55900000000000005</v>
      </c>
      <c r="CU230" s="558">
        <v>0.56799999999999995</v>
      </c>
      <c r="CV230" s="558">
        <v>0.58899999999999997</v>
      </c>
      <c r="CW230" s="558">
        <v>0.58299999999999996</v>
      </c>
      <c r="CX230" s="78">
        <v>0.57399999999999995</v>
      </c>
      <c r="CY230" s="1189">
        <v>0.57899999999999996</v>
      </c>
      <c r="CZ230" s="558">
        <v>0.58099999999999996</v>
      </c>
      <c r="DA230" s="558">
        <v>0.58799999999999997</v>
      </c>
      <c r="DB230" s="558">
        <v>0.57699999999999996</v>
      </c>
      <c r="DC230" s="78">
        <v>0.58099999999999996</v>
      </c>
      <c r="DD230" s="1189">
        <v>0.57799999999999996</v>
      </c>
      <c r="DE230" s="558">
        <v>0.57999999999999996</v>
      </c>
      <c r="DF230" s="558">
        <v>0.60699999999999998</v>
      </c>
      <c r="DG230" s="558">
        <f>(DH230*DH$82-SUMPRODUCT(DD230:DF230,DD$82:DF$82))/DG$82</f>
        <v>0.57929021558872285</v>
      </c>
      <c r="DH230" s="78">
        <v>0.58599999999999997</v>
      </c>
      <c r="DI230" s="1189">
        <v>0.58799999999999997</v>
      </c>
      <c r="DJ230" s="558">
        <v>0.60799999999999998</v>
      </c>
      <c r="DK230" s="558">
        <v>0.61099999999999999</v>
      </c>
      <c r="DL230" s="558">
        <f>(DM230*DM$82-SUMPRODUCT(DI230:DK230,DI$82:DK$82))/DL$82</f>
        <v>0.61545818718848067</v>
      </c>
      <c r="DM230" s="78">
        <v>0.60599999999999998</v>
      </c>
      <c r="DN230" s="1189">
        <v>0.61099999999999999</v>
      </c>
      <c r="DO230" s="1189">
        <v>0.59399999999999997</v>
      </c>
      <c r="DP230" s="1189">
        <v>0.64</v>
      </c>
      <c r="DQ230" s="1189">
        <v>0.61499999999999999</v>
      </c>
      <c r="DR230" s="78">
        <f>+DQ230</f>
        <v>0.61499999999999999</v>
      </c>
      <c r="DS230" s="1189">
        <v>0.623</v>
      </c>
      <c r="DT230" s="1189">
        <v>0.625</v>
      </c>
      <c r="DU230" s="1189">
        <v>0.625</v>
      </c>
      <c r="DV230" s="1189">
        <v>0.61699999999999999</v>
      </c>
      <c r="DW230" s="78">
        <f>+DV230</f>
        <v>0.61699999999999999</v>
      </c>
      <c r="DX230" s="558"/>
      <c r="DY230" s="558"/>
      <c r="DZ230" s="558"/>
      <c r="EA230" s="558"/>
      <c r="EB230" s="78"/>
      <c r="EC230" s="558"/>
      <c r="ED230" s="558"/>
      <c r="EE230" s="558"/>
      <c r="EF230" s="558"/>
      <c r="EG230" s="78"/>
      <c r="EH230" s="558"/>
      <c r="EI230" s="558"/>
      <c r="EJ230" s="558"/>
      <c r="EK230" s="558"/>
      <c r="EL230" s="78"/>
    </row>
    <row r="231" spans="1:142">
      <c r="A231" s="700"/>
      <c r="B231" s="700" t="s">
        <v>108</v>
      </c>
      <c r="C231" s="708"/>
      <c r="D231" s="708" t="s">
        <v>503</v>
      </c>
      <c r="E231" s="708" t="s">
        <v>503</v>
      </c>
      <c r="F231" s="708" t="s">
        <v>503</v>
      </c>
      <c r="G231" s="708" t="s">
        <v>503</v>
      </c>
      <c r="H231" s="1188" t="s">
        <v>503</v>
      </c>
      <c r="I231" s="708" t="s">
        <v>503</v>
      </c>
      <c r="J231" s="708" t="s">
        <v>503</v>
      </c>
      <c r="K231" s="708" t="s">
        <v>503</v>
      </c>
      <c r="L231" s="708" t="s">
        <v>503</v>
      </c>
      <c r="M231" s="1187">
        <v>0.53600000000000003</v>
      </c>
      <c r="N231" s="708" t="s">
        <v>503</v>
      </c>
      <c r="O231" s="708" t="s">
        <v>503</v>
      </c>
      <c r="P231" s="708" t="s">
        <v>503</v>
      </c>
      <c r="Q231" s="708" t="s">
        <v>503</v>
      </c>
      <c r="R231" s="78">
        <f>1-(SUM(R228:R230))</f>
        <v>0.49199999999999999</v>
      </c>
      <c r="S231" s="708" t="s">
        <v>503</v>
      </c>
      <c r="T231" s="708" t="s">
        <v>503</v>
      </c>
      <c r="U231" s="708" t="s">
        <v>503</v>
      </c>
      <c r="V231" s="708" t="s">
        <v>503</v>
      </c>
      <c r="W231" s="1188" t="s">
        <v>503</v>
      </c>
      <c r="X231" s="708" t="s">
        <v>503</v>
      </c>
      <c r="Y231" s="708" t="s">
        <v>503</v>
      </c>
      <c r="Z231" s="708" t="s">
        <v>503</v>
      </c>
      <c r="AA231" s="708" t="s">
        <v>503</v>
      </c>
      <c r="AB231" s="1187">
        <v>0.191</v>
      </c>
      <c r="AC231" s="702">
        <v>0.222</v>
      </c>
      <c r="AD231" s="702">
        <v>0.182</v>
      </c>
      <c r="AE231" s="702">
        <v>0.17799999999999999</v>
      </c>
      <c r="AF231" s="708" t="s">
        <v>503</v>
      </c>
      <c r="AG231" s="1187">
        <v>0.184</v>
      </c>
      <c r="AH231" s="702">
        <v>0.19700000000000001</v>
      </c>
      <c r="AI231" s="702">
        <v>0.17699999999999999</v>
      </c>
      <c r="AJ231" s="702">
        <v>0.17899999999999999</v>
      </c>
      <c r="AK231" s="708" t="s">
        <v>503</v>
      </c>
      <c r="AL231" s="1187">
        <v>0.17699999999999999</v>
      </c>
      <c r="AM231" s="702">
        <v>0.182</v>
      </c>
      <c r="AN231" s="702">
        <v>0.16400000000000001</v>
      </c>
      <c r="AO231" s="702">
        <v>0.151</v>
      </c>
      <c r="AP231" s="708" t="s">
        <v>503</v>
      </c>
      <c r="AQ231" s="1187">
        <v>0.157</v>
      </c>
      <c r="AR231" s="702">
        <v>0.152</v>
      </c>
      <c r="AS231" s="702">
        <v>0.15</v>
      </c>
      <c r="AT231" s="702">
        <v>0.151</v>
      </c>
      <c r="AU231" s="802"/>
      <c r="AV231" s="1189">
        <v>0.107</v>
      </c>
      <c r="AW231" s="558">
        <v>0.108</v>
      </c>
      <c r="AX231" s="558">
        <v>0.113</v>
      </c>
      <c r="AY231" s="558">
        <v>0.10199999999999999</v>
      </c>
      <c r="AZ231" s="1188" t="s">
        <v>503</v>
      </c>
      <c r="BA231" s="702">
        <v>0.14699999999999999</v>
      </c>
      <c r="BB231" s="702">
        <v>0.156</v>
      </c>
      <c r="BC231" s="702">
        <v>0.16300000000000001</v>
      </c>
      <c r="BD231" s="708" t="s">
        <v>503</v>
      </c>
      <c r="BE231" s="1187">
        <v>0.157</v>
      </c>
      <c r="BF231" s="702">
        <v>0.17299999999999999</v>
      </c>
      <c r="BG231" s="702">
        <v>0.17799999999999999</v>
      </c>
      <c r="BH231" s="702">
        <v>0.17499999999999999</v>
      </c>
      <c r="BI231" s="702">
        <v>0.153</v>
      </c>
      <c r="BJ231" s="1187">
        <v>0.16800000000000001</v>
      </c>
      <c r="BK231" s="1189">
        <v>0.13100000000000001</v>
      </c>
      <c r="BL231" s="558">
        <v>0.14299999999999999</v>
      </c>
      <c r="BM231" s="558">
        <v>0.13600000000000001</v>
      </c>
      <c r="BN231" s="558">
        <v>0.125</v>
      </c>
      <c r="BO231" s="78">
        <v>0.13400000000000001</v>
      </c>
      <c r="BP231" s="1189">
        <v>0.121</v>
      </c>
      <c r="BQ231" s="558">
        <v>0.115</v>
      </c>
      <c r="BR231" s="558">
        <v>0.126</v>
      </c>
      <c r="BS231" s="558">
        <v>0.124</v>
      </c>
      <c r="BT231" s="78">
        <v>0.122</v>
      </c>
      <c r="BU231" s="1189">
        <v>0.107</v>
      </c>
      <c r="BV231" s="558">
        <v>0.108</v>
      </c>
      <c r="BW231" s="558">
        <v>0.113</v>
      </c>
      <c r="BX231" s="558">
        <v>0.10199999999999999</v>
      </c>
      <c r="BY231" s="78">
        <v>0.11899999999999999</v>
      </c>
      <c r="BZ231" s="1189">
        <v>0.107</v>
      </c>
      <c r="CA231" s="558">
        <v>0.108</v>
      </c>
      <c r="CB231" s="558">
        <v>0.113</v>
      </c>
      <c r="CC231" s="558">
        <v>0.10199999999999999</v>
      </c>
      <c r="CD231" s="78">
        <v>0.114</v>
      </c>
      <c r="CE231" s="1189">
        <v>0.107</v>
      </c>
      <c r="CF231" s="558">
        <v>0.108</v>
      </c>
      <c r="CG231" s="558">
        <v>0.113</v>
      </c>
      <c r="CH231" s="558">
        <v>0.10199999999999999</v>
      </c>
      <c r="CI231" s="78">
        <v>0.108</v>
      </c>
      <c r="CJ231" s="1189">
        <v>0.107</v>
      </c>
      <c r="CK231" s="558">
        <v>0.108</v>
      </c>
      <c r="CL231" s="558">
        <v>0.113</v>
      </c>
      <c r="CM231" s="558">
        <v>0.10199999999999999</v>
      </c>
      <c r="CN231" s="78">
        <v>0.109</v>
      </c>
      <c r="CO231" s="1189">
        <v>0.107</v>
      </c>
      <c r="CP231" s="558">
        <v>0.108</v>
      </c>
      <c r="CQ231" s="558">
        <v>0.113</v>
      </c>
      <c r="CR231" s="558">
        <v>0.10199999999999999</v>
      </c>
      <c r="CS231" s="78">
        <v>0.107</v>
      </c>
      <c r="CT231" s="1189">
        <v>0.10100000000000001</v>
      </c>
      <c r="CU231" s="558">
        <v>0.105</v>
      </c>
      <c r="CV231" s="558">
        <v>0.113</v>
      </c>
      <c r="CW231" s="558">
        <v>0.11</v>
      </c>
      <c r="CX231" s="78">
        <v>0.108</v>
      </c>
      <c r="CY231" s="1189">
        <v>0.111</v>
      </c>
      <c r="CZ231" s="558">
        <v>0.11</v>
      </c>
      <c r="DA231" s="558">
        <v>0.111</v>
      </c>
      <c r="DB231" s="558">
        <v>0.112</v>
      </c>
      <c r="DC231" s="78">
        <v>0.111</v>
      </c>
      <c r="DD231" s="1189">
        <v>0.11899999999999999</v>
      </c>
      <c r="DE231" s="558">
        <v>9.6000000000000002E-2</v>
      </c>
      <c r="DF231" s="558">
        <v>9.0999999999999998E-2</v>
      </c>
      <c r="DG231" s="558">
        <f>(DH231*DH$82-SUMPRODUCT(DD231:DF231,DD$82:DF$82))/DG$82</f>
        <v>9.8633084577114435E-2</v>
      </c>
      <c r="DH231" s="78">
        <v>0.10100000000000001</v>
      </c>
      <c r="DI231" s="1189">
        <v>0.10199999999999999</v>
      </c>
      <c r="DJ231" s="558">
        <v>0.1</v>
      </c>
      <c r="DK231" s="558">
        <v>0.10299999999999999</v>
      </c>
      <c r="DL231" s="558">
        <f>(DM231*DM$82-SUMPRODUCT(DI231:DK231,DI$82:DK$82))/DL$82</f>
        <v>0.10656710356285765</v>
      </c>
      <c r="DM231" s="78">
        <v>0.10299999999999999</v>
      </c>
      <c r="DN231" s="1189">
        <v>0.10199999999999999</v>
      </c>
      <c r="DO231" s="1189">
        <v>0.115</v>
      </c>
      <c r="DP231" s="1189">
        <v>7.6999999999999999E-2</v>
      </c>
      <c r="DQ231" s="1189">
        <v>9.8000000000000004E-2</v>
      </c>
      <c r="DR231" s="78">
        <f>+DQ231</f>
        <v>9.8000000000000004E-2</v>
      </c>
      <c r="DS231" s="1189">
        <v>0.1</v>
      </c>
      <c r="DT231" s="1189">
        <v>0.105</v>
      </c>
      <c r="DU231" s="1189">
        <v>0.11</v>
      </c>
      <c r="DV231" s="1189">
        <v>0.10199999999999999</v>
      </c>
      <c r="DW231" s="78">
        <f>+DV231</f>
        <v>0.10199999999999999</v>
      </c>
      <c r="DX231" s="558"/>
      <c r="DY231" s="558"/>
      <c r="DZ231" s="558"/>
      <c r="EA231" s="558"/>
      <c r="EB231" s="78"/>
      <c r="EC231" s="558"/>
      <c r="ED231" s="558"/>
      <c r="EE231" s="558"/>
      <c r="EF231" s="558"/>
      <c r="EG231" s="78"/>
      <c r="EH231" s="558"/>
      <c r="EI231" s="558"/>
      <c r="EJ231" s="558"/>
      <c r="EK231" s="558"/>
      <c r="EL231" s="78"/>
    </row>
    <row r="232" spans="1:142" collapsed="1">
      <c r="A232" s="932"/>
      <c r="B232" s="932" t="s">
        <v>101</v>
      </c>
      <c r="C232" s="1190"/>
      <c r="D232" s="1190" t="s">
        <v>503</v>
      </c>
      <c r="E232" s="1190" t="s">
        <v>503</v>
      </c>
      <c r="F232" s="1190" t="s">
        <v>503</v>
      </c>
      <c r="G232" s="1190" t="s">
        <v>503</v>
      </c>
      <c r="H232" s="1191" t="s">
        <v>503</v>
      </c>
      <c r="I232" s="1190" t="s">
        <v>503</v>
      </c>
      <c r="J232" s="1190" t="s">
        <v>503</v>
      </c>
      <c r="K232" s="1190" t="s">
        <v>503</v>
      </c>
      <c r="L232" s="1190" t="s">
        <v>503</v>
      </c>
      <c r="M232" s="1192">
        <f>SUM(M228:M231)</f>
        <v>1</v>
      </c>
      <c r="N232" s="1190" t="s">
        <v>503</v>
      </c>
      <c r="O232" s="1190" t="s">
        <v>503</v>
      </c>
      <c r="P232" s="1190" t="s">
        <v>503</v>
      </c>
      <c r="Q232" s="1190" t="s">
        <v>503</v>
      </c>
      <c r="R232" s="1192">
        <f>SUM(R228:R231)</f>
        <v>1</v>
      </c>
      <c r="S232" s="1190" t="s">
        <v>503</v>
      </c>
      <c r="T232" s="1190" t="s">
        <v>503</v>
      </c>
      <c r="U232" s="1190" t="s">
        <v>503</v>
      </c>
      <c r="V232" s="1190" t="s">
        <v>503</v>
      </c>
      <c r="W232" s="1193" t="s">
        <v>503</v>
      </c>
      <c r="X232" s="1190" t="s">
        <v>503</v>
      </c>
      <c r="Y232" s="1190" t="s">
        <v>503</v>
      </c>
      <c r="Z232" s="1190" t="s">
        <v>503</v>
      </c>
      <c r="AA232" s="1190" t="s">
        <v>503</v>
      </c>
      <c r="AB232" s="1192">
        <f>SUM(AB228:AB231)</f>
        <v>1</v>
      </c>
      <c r="AC232" s="1194">
        <f>SUM(AC228:AC231)</f>
        <v>1</v>
      </c>
      <c r="AD232" s="1194">
        <f>SUM(AD228:AD231)</f>
        <v>1</v>
      </c>
      <c r="AE232" s="1194">
        <f>SUM(AE228:AE231)</f>
        <v>1</v>
      </c>
      <c r="AF232" s="1190" t="s">
        <v>503</v>
      </c>
      <c r="AG232" s="1192">
        <f>SUM(AG228:AG231)</f>
        <v>1</v>
      </c>
      <c r="AH232" s="1194">
        <f>SUM(AH228:AH231)</f>
        <v>1</v>
      </c>
      <c r="AI232" s="1194">
        <f>SUM(AI228:AI231)</f>
        <v>1</v>
      </c>
      <c r="AJ232" s="1194">
        <f>SUM(AJ228:AJ231)</f>
        <v>1</v>
      </c>
      <c r="AK232" s="1190" t="s">
        <v>503</v>
      </c>
      <c r="AL232" s="1192">
        <f>SUM(AL228:AL231)</f>
        <v>1</v>
      </c>
      <c r="AM232" s="1194">
        <f>SUM(AM228:AM231)</f>
        <v>1</v>
      </c>
      <c r="AN232" s="1194">
        <f>SUM(AN228:AN231)</f>
        <v>1</v>
      </c>
      <c r="AO232" s="1194">
        <f>SUM(AO228:AO231)</f>
        <v>1</v>
      </c>
      <c r="AP232" s="1190" t="s">
        <v>503</v>
      </c>
      <c r="AQ232" s="1192">
        <f>SUM(AQ228:AQ231)</f>
        <v>1</v>
      </c>
      <c r="AR232" s="1194">
        <f>SUM(AR228:AR231)</f>
        <v>1</v>
      </c>
      <c r="AS232" s="1194">
        <f>SUM(AS228:AS231)</f>
        <v>1</v>
      </c>
      <c r="AT232" s="1194">
        <f>SUM(AT228:AT231)</f>
        <v>1</v>
      </c>
      <c r="AU232" s="802"/>
      <c r="AV232" s="559">
        <f>SUM(AV228:AV231)</f>
        <v>1</v>
      </c>
      <c r="AW232" s="559">
        <f>SUM(AW228:AW231)</f>
        <v>0.99999999999999989</v>
      </c>
      <c r="AX232" s="559">
        <f>SUM(AX228:AX231)</f>
        <v>1</v>
      </c>
      <c r="AY232" s="559">
        <f>SUM(AY228:AY231)</f>
        <v>0.99999999999999989</v>
      </c>
      <c r="AZ232" s="1193" t="s">
        <v>503</v>
      </c>
      <c r="BA232" s="1194">
        <f>SUM(BA228:BA231)</f>
        <v>1</v>
      </c>
      <c r="BB232" s="1194">
        <f>SUM(BB228:BB231)</f>
        <v>1</v>
      </c>
      <c r="BC232" s="1194">
        <f>SUM(BC228:BC231)</f>
        <v>1</v>
      </c>
      <c r="BD232" s="1190" t="s">
        <v>503</v>
      </c>
      <c r="BE232" s="1192">
        <f t="shared" ref="BE232:CM232" si="541">SUM(BE228:BE231)</f>
        <v>1</v>
      </c>
      <c r="BF232" s="1194">
        <f t="shared" si="541"/>
        <v>1</v>
      </c>
      <c r="BG232" s="1194">
        <f t="shared" si="541"/>
        <v>1</v>
      </c>
      <c r="BH232" s="1194">
        <f t="shared" si="541"/>
        <v>1</v>
      </c>
      <c r="BI232" s="1194">
        <f t="shared" si="541"/>
        <v>1</v>
      </c>
      <c r="BJ232" s="1192">
        <f t="shared" si="541"/>
        <v>1</v>
      </c>
      <c r="BK232" s="559">
        <f t="shared" si="541"/>
        <v>1</v>
      </c>
      <c r="BL232" s="559">
        <f t="shared" si="541"/>
        <v>1</v>
      </c>
      <c r="BM232" s="559">
        <f t="shared" si="541"/>
        <v>1</v>
      </c>
      <c r="BN232" s="559">
        <f t="shared" si="541"/>
        <v>1</v>
      </c>
      <c r="BO232" s="1184">
        <f t="shared" si="541"/>
        <v>1</v>
      </c>
      <c r="BP232" s="559">
        <f t="shared" si="541"/>
        <v>1</v>
      </c>
      <c r="BQ232" s="559">
        <f t="shared" si="541"/>
        <v>1</v>
      </c>
      <c r="BR232" s="559">
        <f t="shared" si="541"/>
        <v>1</v>
      </c>
      <c r="BS232" s="559">
        <f t="shared" si="541"/>
        <v>1</v>
      </c>
      <c r="BT232" s="1184">
        <f t="shared" si="541"/>
        <v>1</v>
      </c>
      <c r="BU232" s="559">
        <f t="shared" si="541"/>
        <v>1</v>
      </c>
      <c r="BV232" s="559">
        <f t="shared" si="541"/>
        <v>0.99999999999999989</v>
      </c>
      <c r="BW232" s="559">
        <f t="shared" si="541"/>
        <v>1</v>
      </c>
      <c r="BX232" s="559">
        <f t="shared" si="541"/>
        <v>0.99999999999999989</v>
      </c>
      <c r="BY232" s="1184" t="e">
        <f t="shared" si="541"/>
        <v>#REF!</v>
      </c>
      <c r="BZ232" s="559">
        <f t="shared" si="541"/>
        <v>1</v>
      </c>
      <c r="CA232" s="559">
        <f t="shared" si="541"/>
        <v>0.99999999999999989</v>
      </c>
      <c r="CB232" s="559">
        <f t="shared" si="541"/>
        <v>1</v>
      </c>
      <c r="CC232" s="559">
        <f t="shared" si="541"/>
        <v>0.99999999999999989</v>
      </c>
      <c r="CD232" s="1184" t="e">
        <f t="shared" si="541"/>
        <v>#REF!</v>
      </c>
      <c r="CE232" s="559">
        <f t="shared" si="541"/>
        <v>1</v>
      </c>
      <c r="CF232" s="559">
        <f t="shared" si="541"/>
        <v>0.99999999999999989</v>
      </c>
      <c r="CG232" s="559">
        <f t="shared" si="541"/>
        <v>1</v>
      </c>
      <c r="CH232" s="559">
        <f t="shared" si="541"/>
        <v>0.99999999999999989</v>
      </c>
      <c r="CI232" s="1184" t="e">
        <f t="shared" si="541"/>
        <v>#REF!</v>
      </c>
      <c r="CJ232" s="559">
        <f t="shared" si="541"/>
        <v>1</v>
      </c>
      <c r="CK232" s="559">
        <f t="shared" si="541"/>
        <v>0.99999999999999989</v>
      </c>
      <c r="CL232" s="559">
        <f t="shared" si="541"/>
        <v>1</v>
      </c>
      <c r="CM232" s="559">
        <f t="shared" si="541"/>
        <v>0.99999999999999989</v>
      </c>
      <c r="CN232" s="1184">
        <f t="shared" ref="CN232:DP232" si="542">SUM(CN228:CN231)</f>
        <v>0.99999999999999989</v>
      </c>
      <c r="CO232" s="559">
        <f t="shared" si="542"/>
        <v>1</v>
      </c>
      <c r="CP232" s="559">
        <f t="shared" si="542"/>
        <v>0.99999999999999989</v>
      </c>
      <c r="CQ232" s="559">
        <f t="shared" si="542"/>
        <v>1</v>
      </c>
      <c r="CR232" s="559">
        <f t="shared" si="542"/>
        <v>0.99999999999999989</v>
      </c>
      <c r="CS232" s="1184">
        <f t="shared" si="542"/>
        <v>1</v>
      </c>
      <c r="CT232" s="559">
        <f t="shared" si="542"/>
        <v>1</v>
      </c>
      <c r="CU232" s="559">
        <f t="shared" si="542"/>
        <v>1</v>
      </c>
      <c r="CV232" s="559">
        <f t="shared" si="542"/>
        <v>1</v>
      </c>
      <c r="CW232" s="559">
        <f t="shared" si="542"/>
        <v>0.99999999999999989</v>
      </c>
      <c r="CX232" s="1184">
        <f t="shared" si="542"/>
        <v>0.99999999999999989</v>
      </c>
      <c r="CY232" s="559">
        <f t="shared" si="542"/>
        <v>1</v>
      </c>
      <c r="CZ232" s="559">
        <f t="shared" si="542"/>
        <v>0.99999999999999989</v>
      </c>
      <c r="DA232" s="559">
        <f t="shared" si="542"/>
        <v>1</v>
      </c>
      <c r="DB232" s="559">
        <f t="shared" si="542"/>
        <v>0.99999999999999989</v>
      </c>
      <c r="DC232" s="1184">
        <f t="shared" si="542"/>
        <v>1</v>
      </c>
      <c r="DD232" s="559">
        <f t="shared" si="542"/>
        <v>1</v>
      </c>
      <c r="DE232" s="559">
        <f t="shared" si="542"/>
        <v>0.99999999999999989</v>
      </c>
      <c r="DF232" s="559">
        <f t="shared" si="542"/>
        <v>1</v>
      </c>
      <c r="DG232" s="559">
        <f t="shared" si="542"/>
        <v>0.99999999999999978</v>
      </c>
      <c r="DH232" s="1184">
        <f t="shared" si="542"/>
        <v>1</v>
      </c>
      <c r="DI232" s="559">
        <f t="shared" si="542"/>
        <v>0.99999999999999989</v>
      </c>
      <c r="DJ232" s="559">
        <f t="shared" si="542"/>
        <v>0.99999999999999989</v>
      </c>
      <c r="DK232" s="559">
        <f t="shared" si="542"/>
        <v>1</v>
      </c>
      <c r="DL232" s="559">
        <f t="shared" si="542"/>
        <v>0.99999999999999978</v>
      </c>
      <c r="DM232" s="1184">
        <f t="shared" si="542"/>
        <v>1</v>
      </c>
      <c r="DN232" s="559">
        <f t="shared" si="542"/>
        <v>1</v>
      </c>
      <c r="DO232" s="559">
        <f t="shared" si="542"/>
        <v>1</v>
      </c>
      <c r="DP232" s="559">
        <f t="shared" si="542"/>
        <v>1</v>
      </c>
      <c r="DQ232" s="559">
        <f>+SUM(DQ228:DQ231)</f>
        <v>0.99999999999999989</v>
      </c>
      <c r="DR232" s="1184">
        <f>+DQ232</f>
        <v>0.99999999999999989</v>
      </c>
      <c r="DS232" s="559">
        <f>+SUM(DS228:DS231)</f>
        <v>1</v>
      </c>
      <c r="DT232" s="559">
        <f>+SUM(DT228:DT231)</f>
        <v>1</v>
      </c>
      <c r="DU232" s="559">
        <f>+SUM(DU228:DU231)</f>
        <v>1</v>
      </c>
      <c r="DV232" s="559">
        <f>+SUM(DV228:DV231)</f>
        <v>1</v>
      </c>
      <c r="DW232" s="1184">
        <f>+DV232</f>
        <v>1</v>
      </c>
      <c r="DX232" s="556"/>
      <c r="DY232" s="556"/>
      <c r="DZ232" s="556"/>
      <c r="EA232" s="556"/>
      <c r="EB232" s="913"/>
      <c r="EC232" s="556"/>
      <c r="ED232" s="556"/>
      <c r="EE232" s="556"/>
      <c r="EF232" s="556"/>
      <c r="EG232" s="913"/>
      <c r="EH232" s="556"/>
      <c r="EI232" s="556"/>
      <c r="EJ232" s="556"/>
      <c r="EK232" s="556"/>
      <c r="EL232" s="913"/>
    </row>
    <row r="233" spans="1:142">
      <c r="A233" s="555"/>
      <c r="B233" s="555"/>
      <c r="C233" s="555"/>
      <c r="D233" s="555"/>
      <c r="E233" s="555"/>
      <c r="F233" s="555"/>
      <c r="G233" s="555"/>
      <c r="H233" s="802"/>
      <c r="I233" s="555"/>
      <c r="J233" s="555"/>
      <c r="K233" s="555"/>
      <c r="L233" s="555"/>
      <c r="M233" s="802"/>
      <c r="N233" s="555"/>
      <c r="O233" s="555"/>
      <c r="P233" s="555"/>
      <c r="Q233" s="555"/>
      <c r="R233" s="802"/>
      <c r="S233" s="555"/>
      <c r="T233" s="555"/>
      <c r="U233" s="555"/>
      <c r="V233" s="555"/>
      <c r="W233" s="802"/>
      <c r="X233" s="555"/>
      <c r="Y233" s="555"/>
      <c r="Z233" s="555"/>
      <c r="AA233" s="555"/>
      <c r="AB233" s="802"/>
      <c r="AC233" s="555"/>
      <c r="AD233" s="555"/>
      <c r="AE233" s="555"/>
      <c r="AF233" s="555"/>
      <c r="AG233" s="555"/>
      <c r="AH233" s="555"/>
      <c r="AI233" s="555"/>
      <c r="AJ233" s="555"/>
      <c r="AK233" s="555"/>
      <c r="AL233" s="555"/>
      <c r="AM233" s="555"/>
      <c r="AN233" s="555"/>
      <c r="AO233" s="555"/>
      <c r="AP233" s="555"/>
      <c r="AQ233" s="555"/>
      <c r="AR233" s="555"/>
      <c r="AS233" s="555"/>
      <c r="AT233" s="555"/>
      <c r="AU233" s="802"/>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55"/>
      <c r="DK233" s="555"/>
      <c r="DL233" s="555"/>
      <c r="DM233" s="555"/>
      <c r="DN233" s="555"/>
      <c r="DO233" s="555"/>
      <c r="DP233" s="555"/>
      <c r="DQ233" s="555"/>
      <c r="DR233" s="555"/>
      <c r="DS233" s="555"/>
      <c r="DT233" s="555"/>
      <c r="DU233" s="555"/>
      <c r="DV233" s="555"/>
      <c r="DW233" s="555"/>
      <c r="DX233" s="555"/>
      <c r="DY233" s="555"/>
      <c r="DZ233" s="555"/>
      <c r="EA233" s="555"/>
      <c r="EB233" s="555"/>
      <c r="EC233" s="555"/>
      <c r="ED233" s="555"/>
      <c r="EE233" s="555"/>
      <c r="EF233" s="555"/>
      <c r="EG233" s="555"/>
      <c r="EH233" s="555"/>
      <c r="EI233" s="555"/>
      <c r="EJ233" s="555"/>
      <c r="EK233" s="555"/>
      <c r="EL233" s="555"/>
    </row>
    <row r="234" spans="1:142">
      <c r="A234" s="1195"/>
      <c r="B234" s="1195" t="s">
        <v>104</v>
      </c>
      <c r="C234" s="560"/>
      <c r="D234" s="560"/>
      <c r="E234" s="560"/>
      <c r="F234" s="560"/>
      <c r="G234" s="560"/>
      <c r="H234" s="1186"/>
      <c r="I234" s="560"/>
      <c r="J234" s="560"/>
      <c r="K234" s="560"/>
      <c r="L234" s="560"/>
      <c r="M234" s="1186"/>
      <c r="N234" s="560"/>
      <c r="O234" s="560"/>
      <c r="P234" s="560"/>
      <c r="Q234" s="560"/>
      <c r="R234" s="1186"/>
      <c r="S234" s="560"/>
      <c r="T234" s="560"/>
      <c r="U234" s="560"/>
      <c r="V234" s="560"/>
      <c r="W234" s="1186"/>
      <c r="X234" s="560"/>
      <c r="Y234" s="560"/>
      <c r="Z234" s="560"/>
      <c r="AA234" s="560"/>
      <c r="AB234" s="1186"/>
      <c r="AC234" s="560"/>
      <c r="AD234" s="560"/>
      <c r="AE234" s="560"/>
      <c r="AF234" s="560"/>
      <c r="AG234" s="1186"/>
      <c r="AH234" s="560"/>
      <c r="AI234" s="560"/>
      <c r="AJ234" s="560"/>
      <c r="AK234" s="560"/>
      <c r="AL234" s="1186"/>
      <c r="AM234" s="560"/>
      <c r="AN234" s="560"/>
      <c r="AO234" s="560"/>
      <c r="AP234" s="560"/>
      <c r="AQ234" s="1186"/>
      <c r="AR234" s="560"/>
      <c r="AS234" s="560"/>
      <c r="AT234" s="560"/>
      <c r="AU234" s="802"/>
      <c r="AV234" s="560"/>
      <c r="AW234" s="560"/>
      <c r="AX234" s="560"/>
      <c r="AY234" s="560"/>
      <c r="AZ234" s="1186"/>
      <c r="BA234" s="560"/>
      <c r="BB234" s="560"/>
      <c r="BC234" s="560"/>
      <c r="BD234" s="560"/>
      <c r="BE234" s="1186"/>
      <c r="BF234" s="560"/>
      <c r="BG234" s="560"/>
      <c r="BH234" s="560"/>
      <c r="BI234" s="560"/>
      <c r="BJ234" s="1186"/>
      <c r="BK234" s="560"/>
      <c r="BL234" s="560"/>
      <c r="BM234" s="560"/>
      <c r="BN234" s="560"/>
      <c r="BO234" s="1186"/>
      <c r="BP234" s="560"/>
      <c r="BQ234" s="560"/>
      <c r="BR234" s="560"/>
      <c r="BS234" s="560"/>
      <c r="BT234" s="1186"/>
      <c r="BU234" s="560"/>
      <c r="BV234" s="560"/>
      <c r="BW234" s="560"/>
      <c r="BX234" s="560"/>
      <c r="BY234" s="1186"/>
      <c r="BZ234" s="560"/>
      <c r="CA234" s="560"/>
      <c r="CB234" s="560"/>
      <c r="CC234" s="560"/>
      <c r="CD234" s="1186"/>
      <c r="CE234" s="560"/>
      <c r="CF234" s="560"/>
      <c r="CG234" s="560"/>
      <c r="CH234" s="560"/>
      <c r="CI234" s="1186"/>
      <c r="CJ234" s="560"/>
      <c r="CK234" s="560"/>
      <c r="CL234" s="560"/>
      <c r="CM234" s="560"/>
      <c r="CN234" s="1186"/>
      <c r="CO234" s="560"/>
      <c r="CP234" s="560"/>
      <c r="CQ234" s="560"/>
      <c r="CR234" s="560"/>
      <c r="CS234" s="1186"/>
      <c r="CT234" s="560"/>
      <c r="CU234" s="560"/>
      <c r="CV234" s="560"/>
      <c r="CW234" s="560"/>
      <c r="CX234" s="1186"/>
      <c r="CY234" s="560"/>
      <c r="CZ234" s="560"/>
      <c r="DA234" s="560"/>
      <c r="DB234" s="560"/>
      <c r="DC234" s="1186"/>
      <c r="DD234" s="560"/>
      <c r="DE234" s="560"/>
      <c r="DF234" s="560"/>
      <c r="DG234" s="560"/>
      <c r="DH234" s="1186"/>
      <c r="DI234" s="560"/>
      <c r="DJ234" s="560"/>
      <c r="DK234" s="560"/>
      <c r="DL234" s="560"/>
      <c r="DM234" s="1186"/>
      <c r="DN234" s="560"/>
      <c r="DO234" s="560"/>
      <c r="DP234" s="560"/>
      <c r="DQ234" s="560"/>
      <c r="DR234" s="1186"/>
      <c r="DS234" s="560"/>
      <c r="DT234" s="560"/>
      <c r="DU234" s="560"/>
      <c r="DV234" s="560"/>
      <c r="DW234" s="1186"/>
      <c r="DX234" s="560"/>
      <c r="DY234" s="560"/>
      <c r="DZ234" s="560"/>
      <c r="EA234" s="560"/>
      <c r="EB234" s="1186"/>
      <c r="EC234" s="560"/>
      <c r="ED234" s="560"/>
      <c r="EE234" s="560"/>
      <c r="EF234" s="560"/>
      <c r="EG234" s="1186"/>
      <c r="EH234" s="560"/>
      <c r="EI234" s="560"/>
      <c r="EJ234" s="560"/>
      <c r="EK234" s="560"/>
      <c r="EL234" s="1186"/>
    </row>
    <row r="235" spans="1:142">
      <c r="A235" s="700"/>
      <c r="B235" s="700" t="s">
        <v>105</v>
      </c>
      <c r="C235" s="708"/>
      <c r="D235" s="708" t="s">
        <v>503</v>
      </c>
      <c r="E235" s="708" t="s">
        <v>503</v>
      </c>
      <c r="F235" s="708" t="s">
        <v>503</v>
      </c>
      <c r="G235" s="708" t="s">
        <v>503</v>
      </c>
      <c r="H235" s="1188" t="s">
        <v>503</v>
      </c>
      <c r="I235" s="708" t="s">
        <v>503</v>
      </c>
      <c r="J235" s="708" t="s">
        <v>503</v>
      </c>
      <c r="K235" s="708" t="s">
        <v>503</v>
      </c>
      <c r="L235" s="708" t="s">
        <v>503</v>
      </c>
      <c r="M235" s="1188" t="s">
        <v>503</v>
      </c>
      <c r="N235" s="708" t="s">
        <v>503</v>
      </c>
      <c r="O235" s="708" t="s">
        <v>503</v>
      </c>
      <c r="P235" s="708" t="s">
        <v>503</v>
      </c>
      <c r="Q235" s="708" t="s">
        <v>503</v>
      </c>
      <c r="R235" s="1188" t="s">
        <v>503</v>
      </c>
      <c r="S235" s="708" t="s">
        <v>503</v>
      </c>
      <c r="T235" s="708" t="s">
        <v>503</v>
      </c>
      <c r="U235" s="708" t="s">
        <v>503</v>
      </c>
      <c r="V235" s="708" t="s">
        <v>503</v>
      </c>
      <c r="W235" s="1188" t="s">
        <v>503</v>
      </c>
      <c r="X235" s="708" t="s">
        <v>503</v>
      </c>
      <c r="Y235" s="708" t="s">
        <v>503</v>
      </c>
      <c r="Z235" s="708" t="s">
        <v>503</v>
      </c>
      <c r="AA235" s="708" t="s">
        <v>503</v>
      </c>
      <c r="AB235" s="1188" t="s">
        <v>503</v>
      </c>
      <c r="AC235" s="708" t="s">
        <v>503</v>
      </c>
      <c r="AD235" s="708" t="s">
        <v>503</v>
      </c>
      <c r="AE235" s="708" t="s">
        <v>503</v>
      </c>
      <c r="AF235" s="708" t="s">
        <v>503</v>
      </c>
      <c r="AG235" s="1188" t="s">
        <v>503</v>
      </c>
      <c r="AH235" s="708" t="s">
        <v>503</v>
      </c>
      <c r="AI235" s="708" t="s">
        <v>503</v>
      </c>
      <c r="AJ235" s="708" t="s">
        <v>503</v>
      </c>
      <c r="AK235" s="708" t="s">
        <v>503</v>
      </c>
      <c r="AL235" s="1188" t="s">
        <v>503</v>
      </c>
      <c r="AM235" s="708" t="s">
        <v>503</v>
      </c>
      <c r="AN235" s="708" t="s">
        <v>503</v>
      </c>
      <c r="AO235" s="708" t="s">
        <v>503</v>
      </c>
      <c r="AP235" s="708" t="s">
        <v>503</v>
      </c>
      <c r="AQ235" s="1188" t="s">
        <v>503</v>
      </c>
      <c r="AR235" s="708" t="s">
        <v>503</v>
      </c>
      <c r="AS235" s="708" t="s">
        <v>503</v>
      </c>
      <c r="AT235" s="708" t="s">
        <v>503</v>
      </c>
      <c r="AU235" s="802"/>
      <c r="AV235" s="708" t="s">
        <v>503</v>
      </c>
      <c r="AW235" s="708" t="s">
        <v>503</v>
      </c>
      <c r="AX235" s="708" t="s">
        <v>503</v>
      </c>
      <c r="AY235" s="708" t="s">
        <v>503</v>
      </c>
      <c r="AZ235" s="1188" t="s">
        <v>503</v>
      </c>
      <c r="BA235" s="708" t="s">
        <v>503</v>
      </c>
      <c r="BB235" s="708" t="s">
        <v>503</v>
      </c>
      <c r="BC235" s="708" t="s">
        <v>503</v>
      </c>
      <c r="BD235" s="708" t="s">
        <v>503</v>
      </c>
      <c r="BE235" s="1188" t="s">
        <v>503</v>
      </c>
      <c r="BF235" s="708" t="s">
        <v>503</v>
      </c>
      <c r="BG235" s="708" t="s">
        <v>503</v>
      </c>
      <c r="BH235" s="708" t="s">
        <v>503</v>
      </c>
      <c r="BI235" s="708" t="s">
        <v>503</v>
      </c>
      <c r="BJ235" s="1188" t="s">
        <v>503</v>
      </c>
      <c r="BK235" s="1189" t="s">
        <v>503</v>
      </c>
      <c r="BL235" s="558" t="s">
        <v>503</v>
      </c>
      <c r="BM235" s="558">
        <v>0.32500000000000001</v>
      </c>
      <c r="BN235" s="558">
        <v>0.33500000000000002</v>
      </c>
      <c r="BO235" s="78">
        <f>BN235</f>
        <v>0.33500000000000002</v>
      </c>
      <c r="BP235" s="1189">
        <v>0.34200000000000003</v>
      </c>
      <c r="BQ235" s="558">
        <v>0.32400000000000001</v>
      </c>
      <c r="BR235" s="558">
        <v>0.309</v>
      </c>
      <c r="BS235" s="558">
        <v>0.32200000000000001</v>
      </c>
      <c r="BT235" s="78">
        <f>BS235</f>
        <v>0.32200000000000001</v>
      </c>
      <c r="BU235" s="1189">
        <v>0.33</v>
      </c>
      <c r="BV235" s="558">
        <v>0.312</v>
      </c>
      <c r="BW235" s="558">
        <v>0.29899999999999999</v>
      </c>
      <c r="BX235" s="558">
        <v>0.312</v>
      </c>
      <c r="BY235" s="78">
        <f>BX235</f>
        <v>0.312</v>
      </c>
      <c r="BZ235" s="1189">
        <v>0.32100000000000001</v>
      </c>
      <c r="CA235" s="558">
        <v>0.30399999999999999</v>
      </c>
      <c r="CB235" s="558">
        <v>0.29499999999999998</v>
      </c>
      <c r="CC235" s="558">
        <v>0.307</v>
      </c>
      <c r="CD235" s="78">
        <f>CC235</f>
        <v>0.307</v>
      </c>
      <c r="CE235" s="1189">
        <v>0.314</v>
      </c>
      <c r="CF235" s="558">
        <v>0.3</v>
      </c>
      <c r="CG235" s="558">
        <v>0.28899999999999998</v>
      </c>
      <c r="CH235" s="558">
        <v>0.30099999999999999</v>
      </c>
      <c r="CI235" s="78">
        <f>CH235</f>
        <v>0.30099999999999999</v>
      </c>
      <c r="CJ235" s="1189">
        <v>0.313</v>
      </c>
      <c r="CK235" s="558">
        <v>0.29699999999999999</v>
      </c>
      <c r="CL235" s="558">
        <v>0.28899999999999998</v>
      </c>
      <c r="CM235" s="558">
        <v>0.29899999999999999</v>
      </c>
      <c r="CN235" s="78">
        <f>CM235</f>
        <v>0.29899999999999999</v>
      </c>
      <c r="CO235" s="1189">
        <v>0.307</v>
      </c>
      <c r="CP235" s="558">
        <v>0.29899999999999999</v>
      </c>
      <c r="CQ235" s="558">
        <v>0.28499999999999998</v>
      </c>
      <c r="CR235" s="558">
        <v>0.29599999999999999</v>
      </c>
      <c r="CS235" s="78">
        <f>CR235</f>
        <v>0.29599999999999999</v>
      </c>
      <c r="CT235" s="1189">
        <v>0.30199999999999999</v>
      </c>
      <c r="CU235" s="558">
        <v>0.28899999999999998</v>
      </c>
      <c r="CV235" s="558">
        <v>0.27700000000000002</v>
      </c>
      <c r="CW235" s="558">
        <f>(CX235*$CX$86-SUMPRODUCT(CT235:CV235,$CT$86:$CV$86))/$CW$86</f>
        <v>0.28734749780509206</v>
      </c>
      <c r="CX235" s="78">
        <v>0.28899999999999998</v>
      </c>
      <c r="CY235" s="1189">
        <v>0.29499999999999998</v>
      </c>
      <c r="CZ235" s="558">
        <v>0.27900000000000003</v>
      </c>
      <c r="DA235" s="558">
        <v>0.27100000000000002</v>
      </c>
      <c r="DB235" s="558">
        <f>(DC235*$DC$86-SUMPRODUCT(CY235:DA235,$CY$86:$DA$86))/$DB$86</f>
        <v>0.27646157076417549</v>
      </c>
      <c r="DC235" s="78">
        <v>0.28000000000000003</v>
      </c>
      <c r="DD235" s="1189">
        <v>0.28799999999999998</v>
      </c>
      <c r="DE235" s="558">
        <v>0.27300000000000002</v>
      </c>
      <c r="DF235" s="558">
        <v>0.26600000000000001</v>
      </c>
      <c r="DG235" s="558">
        <f>(DH235*DH$86-SUMPRODUCT(DD235:DF235,DD$86:DF$86))/DG$86</f>
        <v>0.2733342591814647</v>
      </c>
      <c r="DH235" s="78">
        <v>0.27500000000000002</v>
      </c>
      <c r="DI235" s="1189">
        <v>0.28000000000000003</v>
      </c>
      <c r="DJ235" s="558">
        <v>0.26800000000000002</v>
      </c>
      <c r="DK235" s="558">
        <v>0.255</v>
      </c>
      <c r="DL235" s="558">
        <f>(DM235*DM$86-SUMPRODUCT(DI235:DK235,DI$86:DK$86))/DL$86</f>
        <v>0.26469897306961154</v>
      </c>
      <c r="DM235" s="78">
        <v>0.26700000000000002</v>
      </c>
      <c r="DN235" s="1189">
        <v>0.27200000000000002</v>
      </c>
      <c r="DO235" s="1189">
        <v>0.25900000000000001</v>
      </c>
      <c r="DP235" s="1189">
        <v>0.25</v>
      </c>
      <c r="DQ235" s="1189">
        <v>0.26100000000000001</v>
      </c>
      <c r="DR235" s="78">
        <f>+DQ235</f>
        <v>0.26100000000000001</v>
      </c>
      <c r="DS235" s="1189">
        <v>0.27</v>
      </c>
      <c r="DT235" s="1189">
        <v>0.25900000000000001</v>
      </c>
      <c r="DU235" s="1189">
        <v>0.251</v>
      </c>
      <c r="DV235" s="1189">
        <v>0.26</v>
      </c>
      <c r="DW235" s="78">
        <f>+DV235</f>
        <v>0.26</v>
      </c>
      <c r="DX235" s="558"/>
      <c r="DY235" s="558"/>
      <c r="DZ235" s="558"/>
      <c r="EA235" s="558"/>
      <c r="EB235" s="78"/>
      <c r="EC235" s="558"/>
      <c r="ED235" s="558"/>
      <c r="EE235" s="558"/>
      <c r="EF235" s="558"/>
      <c r="EG235" s="78"/>
      <c r="EH235" s="558"/>
      <c r="EI235" s="558"/>
      <c r="EJ235" s="558"/>
      <c r="EK235" s="558"/>
      <c r="EL235" s="78"/>
    </row>
    <row r="236" spans="1:142">
      <c r="A236" s="700"/>
      <c r="B236" s="700" t="s">
        <v>106</v>
      </c>
      <c r="C236" s="708"/>
      <c r="D236" s="708" t="s">
        <v>503</v>
      </c>
      <c r="E236" s="708" t="s">
        <v>503</v>
      </c>
      <c r="F236" s="708" t="s">
        <v>503</v>
      </c>
      <c r="G236" s="708" t="s">
        <v>503</v>
      </c>
      <c r="H236" s="1188" t="s">
        <v>503</v>
      </c>
      <c r="I236" s="708" t="s">
        <v>503</v>
      </c>
      <c r="J236" s="708" t="s">
        <v>503</v>
      </c>
      <c r="K236" s="708" t="s">
        <v>503</v>
      </c>
      <c r="L236" s="708" t="s">
        <v>503</v>
      </c>
      <c r="M236" s="1188" t="s">
        <v>503</v>
      </c>
      <c r="N236" s="708" t="s">
        <v>503</v>
      </c>
      <c r="O236" s="708" t="s">
        <v>503</v>
      </c>
      <c r="P236" s="708" t="s">
        <v>503</v>
      </c>
      <c r="Q236" s="708" t="s">
        <v>503</v>
      </c>
      <c r="R236" s="1188" t="s">
        <v>503</v>
      </c>
      <c r="S236" s="708" t="s">
        <v>503</v>
      </c>
      <c r="T236" s="708" t="s">
        <v>503</v>
      </c>
      <c r="U236" s="708" t="s">
        <v>503</v>
      </c>
      <c r="V236" s="708" t="s">
        <v>503</v>
      </c>
      <c r="W236" s="1188" t="s">
        <v>503</v>
      </c>
      <c r="X236" s="708" t="s">
        <v>503</v>
      </c>
      <c r="Y236" s="708" t="s">
        <v>503</v>
      </c>
      <c r="Z236" s="708" t="s">
        <v>503</v>
      </c>
      <c r="AA236" s="708" t="s">
        <v>503</v>
      </c>
      <c r="AB236" s="1188" t="s">
        <v>503</v>
      </c>
      <c r="AC236" s="708" t="s">
        <v>503</v>
      </c>
      <c r="AD236" s="708" t="s">
        <v>503</v>
      </c>
      <c r="AE236" s="708" t="s">
        <v>503</v>
      </c>
      <c r="AF236" s="708" t="s">
        <v>503</v>
      </c>
      <c r="AG236" s="1188" t="s">
        <v>503</v>
      </c>
      <c r="AH236" s="708" t="s">
        <v>503</v>
      </c>
      <c r="AI236" s="708" t="s">
        <v>503</v>
      </c>
      <c r="AJ236" s="708" t="s">
        <v>503</v>
      </c>
      <c r="AK236" s="708" t="s">
        <v>503</v>
      </c>
      <c r="AL236" s="1188" t="s">
        <v>503</v>
      </c>
      <c r="AM236" s="708" t="s">
        <v>503</v>
      </c>
      <c r="AN236" s="708" t="s">
        <v>503</v>
      </c>
      <c r="AO236" s="708" t="s">
        <v>503</v>
      </c>
      <c r="AP236" s="708" t="s">
        <v>503</v>
      </c>
      <c r="AQ236" s="1188" t="s">
        <v>503</v>
      </c>
      <c r="AR236" s="708" t="s">
        <v>503</v>
      </c>
      <c r="AS236" s="708" t="s">
        <v>503</v>
      </c>
      <c r="AT236" s="708" t="s">
        <v>503</v>
      </c>
      <c r="AU236" s="802"/>
      <c r="AV236" s="708" t="s">
        <v>503</v>
      </c>
      <c r="AW236" s="708" t="s">
        <v>503</v>
      </c>
      <c r="AX236" s="708" t="s">
        <v>503</v>
      </c>
      <c r="AY236" s="708" t="s">
        <v>503</v>
      </c>
      <c r="AZ236" s="1188" t="s">
        <v>503</v>
      </c>
      <c r="BA236" s="708" t="s">
        <v>503</v>
      </c>
      <c r="BB236" s="708" t="s">
        <v>503</v>
      </c>
      <c r="BC236" s="708" t="s">
        <v>503</v>
      </c>
      <c r="BD236" s="708" t="s">
        <v>503</v>
      </c>
      <c r="BE236" s="1188" t="s">
        <v>503</v>
      </c>
      <c r="BF236" s="708" t="s">
        <v>503</v>
      </c>
      <c r="BG236" s="708" t="s">
        <v>503</v>
      </c>
      <c r="BH236" s="708" t="s">
        <v>503</v>
      </c>
      <c r="BI236" s="708" t="s">
        <v>503</v>
      </c>
      <c r="BJ236" s="1188" t="s">
        <v>503</v>
      </c>
      <c r="BK236" s="1189" t="s">
        <v>503</v>
      </c>
      <c r="BL236" s="558" t="s">
        <v>503</v>
      </c>
      <c r="BM236" s="558">
        <v>0.14099999999999999</v>
      </c>
      <c r="BN236" s="558">
        <v>0.13400000000000001</v>
      </c>
      <c r="BO236" s="78">
        <f>BN236</f>
        <v>0.13400000000000001</v>
      </c>
      <c r="BP236" s="1189">
        <v>0.129</v>
      </c>
      <c r="BQ236" s="558">
        <v>0.13200000000000001</v>
      </c>
      <c r="BR236" s="558">
        <v>0.13200000000000001</v>
      </c>
      <c r="BS236" s="558">
        <v>0.13100000000000001</v>
      </c>
      <c r="BT236" s="78">
        <f>BS236</f>
        <v>0.13100000000000001</v>
      </c>
      <c r="BU236" s="1189">
        <v>0.11600000000000001</v>
      </c>
      <c r="BV236" s="558">
        <v>0.123</v>
      </c>
      <c r="BW236" s="558">
        <v>0.125</v>
      </c>
      <c r="BX236" s="558">
        <v>0.123</v>
      </c>
      <c r="BY236" s="78">
        <f>BX236</f>
        <v>0.123</v>
      </c>
      <c r="BZ236" s="1189">
        <v>0.121</v>
      </c>
      <c r="CA236" s="558">
        <v>0.11899999999999999</v>
      </c>
      <c r="CB236" s="558">
        <v>0.13</v>
      </c>
      <c r="CC236" s="558">
        <v>0.124</v>
      </c>
      <c r="CD236" s="78">
        <f>CC236</f>
        <v>0.124</v>
      </c>
      <c r="CE236" s="1189">
        <v>0.11799999999999999</v>
      </c>
      <c r="CF236" s="558">
        <v>0.121</v>
      </c>
      <c r="CG236" s="558">
        <v>0.13</v>
      </c>
      <c r="CH236" s="558">
        <v>0.124</v>
      </c>
      <c r="CI236" s="78">
        <f>CH236</f>
        <v>0.124</v>
      </c>
      <c r="CJ236" s="1189">
        <v>0.125</v>
      </c>
      <c r="CK236" s="558">
        <v>0.13100000000000001</v>
      </c>
      <c r="CL236" s="558">
        <v>0.13400000000000001</v>
      </c>
      <c r="CM236" s="558">
        <v>0.13</v>
      </c>
      <c r="CN236" s="78">
        <f>CM236</f>
        <v>0.13</v>
      </c>
      <c r="CO236" s="1189">
        <v>0.126</v>
      </c>
      <c r="CP236" s="558">
        <v>0.127</v>
      </c>
      <c r="CQ236" s="558">
        <v>0.13300000000000001</v>
      </c>
      <c r="CR236" s="558">
        <v>0.128</v>
      </c>
      <c r="CS236" s="78">
        <f>CR236</f>
        <v>0.128</v>
      </c>
      <c r="CT236" s="1189">
        <v>0.12</v>
      </c>
      <c r="CU236" s="558">
        <v>0.11899999999999999</v>
      </c>
      <c r="CV236" s="558">
        <v>0.125</v>
      </c>
      <c r="CW236" s="558">
        <f>(CX236*$CX$86-SUMPRODUCT(CT236:CV236,$CT$86:$CV$86))/$CW$86</f>
        <v>0.1241005746667731</v>
      </c>
      <c r="CX236" s="78">
        <v>0.122</v>
      </c>
      <c r="CY236" s="1189">
        <v>0.11799999999999999</v>
      </c>
      <c r="CZ236" s="558">
        <v>0.12</v>
      </c>
      <c r="DA236" s="558">
        <v>0.126</v>
      </c>
      <c r="DB236" s="558">
        <f>(DC236*$DC$86-SUMPRODUCT(CY236:DA236,$CY$86:$DA$86))/$DB$86</f>
        <v>0.1086946657848047</v>
      </c>
      <c r="DC236" s="78">
        <v>0.11700000000000001</v>
      </c>
      <c r="DD236" s="1189">
        <v>0.11</v>
      </c>
      <c r="DE236" s="558">
        <v>0.11600000000000001</v>
      </c>
      <c r="DF236" s="558">
        <v>9.9000000000000005E-2</v>
      </c>
      <c r="DG236" s="558">
        <f>(DH236*DH$86-SUMPRODUCT(DD236:DF236,DD$86:DF$86))/DG$86</f>
        <v>8.7725542041247981E-2</v>
      </c>
      <c r="DH236" s="78">
        <v>0.10299999999999999</v>
      </c>
      <c r="DI236" s="1189">
        <v>8.2000000000000003E-2</v>
      </c>
      <c r="DJ236" s="558">
        <v>8.1000000000000003E-2</v>
      </c>
      <c r="DK236" s="558">
        <v>0.08</v>
      </c>
      <c r="DL236" s="558">
        <f>(DM236*DM$86-SUMPRODUCT(DI236:DK236,DI$86:DK$86))/DL$86</f>
        <v>7.7082074239000736E-2</v>
      </c>
      <c r="DM236" s="78">
        <v>0.08</v>
      </c>
      <c r="DN236" s="1189">
        <v>7.2999999999999995E-2</v>
      </c>
      <c r="DO236" s="1189">
        <v>6.7000000000000004E-2</v>
      </c>
      <c r="DP236" s="1189">
        <v>7.1999999999999995E-2</v>
      </c>
      <c r="DQ236" s="1189">
        <v>7.0000000000000007E-2</v>
      </c>
      <c r="DR236" s="78">
        <f>+DQ236</f>
        <v>7.0000000000000007E-2</v>
      </c>
      <c r="DS236" s="1189">
        <v>6.4000000000000001E-2</v>
      </c>
      <c r="DT236" s="1189">
        <v>6.5000000000000002E-2</v>
      </c>
      <c r="DU236" s="1189">
        <v>6.7000000000000004E-2</v>
      </c>
      <c r="DV236" s="1189">
        <v>6.5000000000000002E-2</v>
      </c>
      <c r="DW236" s="78">
        <f>+DV236</f>
        <v>6.5000000000000002E-2</v>
      </c>
      <c r="DX236" s="558"/>
      <c r="DY236" s="558"/>
      <c r="DZ236" s="558"/>
      <c r="EA236" s="558"/>
      <c r="EB236" s="78"/>
      <c r="EC236" s="558"/>
      <c r="ED236" s="558"/>
      <c r="EE236" s="558"/>
      <c r="EF236" s="558"/>
      <c r="EG236" s="78"/>
      <c r="EH236" s="558"/>
      <c r="EI236" s="558"/>
      <c r="EJ236" s="558"/>
      <c r="EK236" s="558"/>
      <c r="EL236" s="78"/>
    </row>
    <row r="237" spans="1:142">
      <c r="A237" s="700"/>
      <c r="B237" s="700" t="s">
        <v>107</v>
      </c>
      <c r="C237" s="708"/>
      <c r="D237" s="708" t="s">
        <v>503</v>
      </c>
      <c r="E237" s="708" t="s">
        <v>503</v>
      </c>
      <c r="F237" s="708" t="s">
        <v>503</v>
      </c>
      <c r="G237" s="708" t="s">
        <v>503</v>
      </c>
      <c r="H237" s="1188" t="s">
        <v>503</v>
      </c>
      <c r="I237" s="708" t="s">
        <v>503</v>
      </c>
      <c r="J237" s="708" t="s">
        <v>503</v>
      </c>
      <c r="K237" s="708" t="s">
        <v>503</v>
      </c>
      <c r="L237" s="708" t="s">
        <v>503</v>
      </c>
      <c r="M237" s="1188" t="s">
        <v>503</v>
      </c>
      <c r="N237" s="708" t="s">
        <v>503</v>
      </c>
      <c r="O237" s="708" t="s">
        <v>503</v>
      </c>
      <c r="P237" s="708" t="s">
        <v>503</v>
      </c>
      <c r="Q237" s="708" t="s">
        <v>503</v>
      </c>
      <c r="R237" s="1188" t="s">
        <v>503</v>
      </c>
      <c r="S237" s="708" t="s">
        <v>503</v>
      </c>
      <c r="T237" s="708" t="s">
        <v>503</v>
      </c>
      <c r="U237" s="708" t="s">
        <v>503</v>
      </c>
      <c r="V237" s="708" t="s">
        <v>503</v>
      </c>
      <c r="W237" s="1188" t="s">
        <v>503</v>
      </c>
      <c r="X237" s="708" t="s">
        <v>503</v>
      </c>
      <c r="Y237" s="708" t="s">
        <v>503</v>
      </c>
      <c r="Z237" s="708" t="s">
        <v>503</v>
      </c>
      <c r="AA237" s="708" t="s">
        <v>503</v>
      </c>
      <c r="AB237" s="1188" t="s">
        <v>503</v>
      </c>
      <c r="AC237" s="708" t="s">
        <v>503</v>
      </c>
      <c r="AD237" s="708" t="s">
        <v>503</v>
      </c>
      <c r="AE237" s="708" t="s">
        <v>503</v>
      </c>
      <c r="AF237" s="708" t="s">
        <v>503</v>
      </c>
      <c r="AG237" s="1188" t="s">
        <v>503</v>
      </c>
      <c r="AH237" s="708" t="s">
        <v>503</v>
      </c>
      <c r="AI237" s="708" t="s">
        <v>503</v>
      </c>
      <c r="AJ237" s="708" t="s">
        <v>503</v>
      </c>
      <c r="AK237" s="708" t="s">
        <v>503</v>
      </c>
      <c r="AL237" s="1188" t="s">
        <v>503</v>
      </c>
      <c r="AM237" s="708" t="s">
        <v>503</v>
      </c>
      <c r="AN237" s="708" t="s">
        <v>503</v>
      </c>
      <c r="AO237" s="708" t="s">
        <v>503</v>
      </c>
      <c r="AP237" s="708" t="s">
        <v>503</v>
      </c>
      <c r="AQ237" s="1188" t="s">
        <v>503</v>
      </c>
      <c r="AR237" s="708" t="s">
        <v>503</v>
      </c>
      <c r="AS237" s="708" t="s">
        <v>503</v>
      </c>
      <c r="AT237" s="708" t="s">
        <v>503</v>
      </c>
      <c r="AU237" s="802"/>
      <c r="AV237" s="708" t="s">
        <v>503</v>
      </c>
      <c r="AW237" s="708" t="s">
        <v>503</v>
      </c>
      <c r="AX237" s="708" t="s">
        <v>503</v>
      </c>
      <c r="AY237" s="708" t="s">
        <v>503</v>
      </c>
      <c r="AZ237" s="1188" t="s">
        <v>503</v>
      </c>
      <c r="BA237" s="708" t="s">
        <v>503</v>
      </c>
      <c r="BB237" s="708" t="s">
        <v>503</v>
      </c>
      <c r="BC237" s="708" t="s">
        <v>503</v>
      </c>
      <c r="BD237" s="708" t="s">
        <v>503</v>
      </c>
      <c r="BE237" s="1188" t="s">
        <v>503</v>
      </c>
      <c r="BF237" s="708" t="s">
        <v>503</v>
      </c>
      <c r="BG237" s="708" t="s">
        <v>503</v>
      </c>
      <c r="BH237" s="708" t="s">
        <v>503</v>
      </c>
      <c r="BI237" s="708" t="s">
        <v>503</v>
      </c>
      <c r="BJ237" s="1188" t="s">
        <v>503</v>
      </c>
      <c r="BK237" s="1189" t="s">
        <v>503</v>
      </c>
      <c r="BL237" s="558" t="s">
        <v>503</v>
      </c>
      <c r="BM237" s="558">
        <v>0.45</v>
      </c>
      <c r="BN237" s="558">
        <v>0.44800000000000001</v>
      </c>
      <c r="BO237" s="78">
        <f>BN237</f>
        <v>0.44800000000000001</v>
      </c>
      <c r="BP237" s="1189">
        <v>0.44600000000000001</v>
      </c>
      <c r="BQ237" s="558">
        <v>0.45600000000000002</v>
      </c>
      <c r="BR237" s="558">
        <v>0.46700000000000003</v>
      </c>
      <c r="BS237" s="558">
        <v>0.45900000000000002</v>
      </c>
      <c r="BT237" s="78">
        <f>BS237</f>
        <v>0.45900000000000002</v>
      </c>
      <c r="BU237" s="1189">
        <v>0.45</v>
      </c>
      <c r="BV237" s="558">
        <v>0.44</v>
      </c>
      <c r="BW237" s="558">
        <v>0.43</v>
      </c>
      <c r="BX237" s="558">
        <v>0.44</v>
      </c>
      <c r="BY237" s="78">
        <f>BX237</f>
        <v>0.44</v>
      </c>
      <c r="BZ237" s="1189">
        <v>0.45</v>
      </c>
      <c r="CA237" s="558">
        <v>0.44</v>
      </c>
      <c r="CB237" s="558">
        <v>0.43</v>
      </c>
      <c r="CC237" s="558">
        <v>0.44</v>
      </c>
      <c r="CD237" s="78">
        <f>CC237</f>
        <v>0.44</v>
      </c>
      <c r="CE237" s="1189">
        <v>0.45</v>
      </c>
      <c r="CF237" s="558">
        <v>0.44</v>
      </c>
      <c r="CG237" s="558">
        <v>0.43</v>
      </c>
      <c r="CH237" s="558">
        <v>0.44</v>
      </c>
      <c r="CI237" s="78">
        <f>CH237</f>
        <v>0.44</v>
      </c>
      <c r="CJ237" s="1189">
        <v>0.45</v>
      </c>
      <c r="CK237" s="558">
        <v>0.44</v>
      </c>
      <c r="CL237" s="558">
        <v>0.43</v>
      </c>
      <c r="CM237" s="558">
        <v>0.44</v>
      </c>
      <c r="CN237" s="78">
        <f>CM237</f>
        <v>0.44</v>
      </c>
      <c r="CO237" s="1189">
        <v>0.47099999999999997</v>
      </c>
      <c r="CP237" s="558">
        <v>0.47699999999999998</v>
      </c>
      <c r="CQ237" s="558">
        <v>0.48</v>
      </c>
      <c r="CR237" s="558">
        <v>0.47899999999999998</v>
      </c>
      <c r="CS237" s="78">
        <f>CR237</f>
        <v>0.47899999999999998</v>
      </c>
      <c r="CT237" s="1189">
        <v>0.48</v>
      </c>
      <c r="CU237" s="558">
        <v>0.48899999999999999</v>
      </c>
      <c r="CV237" s="558">
        <v>0.49099999999999999</v>
      </c>
      <c r="CW237" s="558">
        <f>(CX237*$CX$86-SUMPRODUCT(CT237:CV237,$CT$86:$CV$86))/$CW$86</f>
        <v>0.4923880357570436</v>
      </c>
      <c r="CX237" s="78">
        <v>0.48799999999999999</v>
      </c>
      <c r="CY237" s="1189">
        <v>0.48599999999999999</v>
      </c>
      <c r="CZ237" s="558">
        <v>0.496</v>
      </c>
      <c r="DA237" s="558">
        <v>0.496</v>
      </c>
      <c r="DB237" s="558">
        <f>(DC237*$DC$86-SUMPRODUCT(CY237:DA237,$CY$86:$DA$86))/$DB$86</f>
        <v>0.51434164803208293</v>
      </c>
      <c r="DC237" s="78">
        <v>0.5</v>
      </c>
      <c r="DD237" s="1189">
        <v>0.52100000000000002</v>
      </c>
      <c r="DE237" s="558">
        <v>0.53500000000000003</v>
      </c>
      <c r="DF237" s="558">
        <v>0.56100000000000005</v>
      </c>
      <c r="DG237" s="558">
        <f>(DH237*DH$86-SUMPRODUCT(DD237:DF237,DD$86:DF$86))/DG$86</f>
        <v>0.56185474233580623</v>
      </c>
      <c r="DH237" s="78">
        <v>0.54500000000000004</v>
      </c>
      <c r="DI237" s="1189">
        <v>0.56299999999999994</v>
      </c>
      <c r="DJ237" s="558">
        <v>0.57599999999999996</v>
      </c>
      <c r="DK237" s="558">
        <v>0.58499999999999996</v>
      </c>
      <c r="DL237" s="558">
        <f>(DM237*DM$86-SUMPRODUCT(DI237:DK237,DI$86:DK$86))/DL$86</f>
        <v>0.57631792387412673</v>
      </c>
      <c r="DM237" s="78">
        <v>0.57499999999999996</v>
      </c>
      <c r="DN237" s="1189">
        <v>0.58099999999999996</v>
      </c>
      <c r="DO237" s="1189">
        <v>0.59399999999999997</v>
      </c>
      <c r="DP237" s="1189">
        <v>0.60199999999999998</v>
      </c>
      <c r="DQ237" s="1189">
        <v>0.59199999999999997</v>
      </c>
      <c r="DR237" s="78">
        <f>+DQ237</f>
        <v>0.59199999999999997</v>
      </c>
      <c r="DS237" s="1189">
        <v>0.59</v>
      </c>
      <c r="DT237" s="1189">
        <v>0.59699999999999998</v>
      </c>
      <c r="DU237" s="1189">
        <v>0.60199999999999998</v>
      </c>
      <c r="DV237" s="1189">
        <v>0.59599999999999997</v>
      </c>
      <c r="DW237" s="78">
        <f>+DV237</f>
        <v>0.59599999999999997</v>
      </c>
      <c r="DX237" s="558"/>
      <c r="DY237" s="558"/>
      <c r="DZ237" s="558"/>
      <c r="EA237" s="558"/>
      <c r="EB237" s="78"/>
      <c r="EC237" s="558"/>
      <c r="ED237" s="558"/>
      <c r="EE237" s="558"/>
      <c r="EF237" s="558"/>
      <c r="EG237" s="78"/>
      <c r="EH237" s="558"/>
      <c r="EI237" s="558"/>
      <c r="EJ237" s="558"/>
      <c r="EK237" s="558"/>
      <c r="EL237" s="78"/>
    </row>
    <row r="238" spans="1:142">
      <c r="A238" s="700"/>
      <c r="B238" s="700" t="s">
        <v>108</v>
      </c>
      <c r="C238" s="708"/>
      <c r="D238" s="708" t="s">
        <v>503</v>
      </c>
      <c r="E238" s="708" t="s">
        <v>503</v>
      </c>
      <c r="F238" s="708" t="s">
        <v>503</v>
      </c>
      <c r="G238" s="708" t="s">
        <v>503</v>
      </c>
      <c r="H238" s="1188" t="s">
        <v>503</v>
      </c>
      <c r="I238" s="708" t="s">
        <v>503</v>
      </c>
      <c r="J238" s="708" t="s">
        <v>503</v>
      </c>
      <c r="K238" s="708" t="s">
        <v>503</v>
      </c>
      <c r="L238" s="708" t="s">
        <v>503</v>
      </c>
      <c r="M238" s="1188" t="s">
        <v>503</v>
      </c>
      <c r="N238" s="708" t="s">
        <v>503</v>
      </c>
      <c r="O238" s="708" t="s">
        <v>503</v>
      </c>
      <c r="P238" s="708" t="s">
        <v>503</v>
      </c>
      <c r="Q238" s="708" t="s">
        <v>503</v>
      </c>
      <c r="R238" s="1188" t="s">
        <v>503</v>
      </c>
      <c r="S238" s="708" t="s">
        <v>503</v>
      </c>
      <c r="T238" s="708" t="s">
        <v>503</v>
      </c>
      <c r="U238" s="708" t="s">
        <v>503</v>
      </c>
      <c r="V238" s="708" t="s">
        <v>503</v>
      </c>
      <c r="W238" s="1188" t="s">
        <v>503</v>
      </c>
      <c r="X238" s="708" t="s">
        <v>503</v>
      </c>
      <c r="Y238" s="708" t="s">
        <v>503</v>
      </c>
      <c r="Z238" s="708" t="s">
        <v>503</v>
      </c>
      <c r="AA238" s="708" t="s">
        <v>503</v>
      </c>
      <c r="AB238" s="1188" t="s">
        <v>503</v>
      </c>
      <c r="AC238" s="708" t="s">
        <v>503</v>
      </c>
      <c r="AD238" s="708" t="s">
        <v>503</v>
      </c>
      <c r="AE238" s="708" t="s">
        <v>503</v>
      </c>
      <c r="AF238" s="708" t="s">
        <v>503</v>
      </c>
      <c r="AG238" s="1188" t="s">
        <v>503</v>
      </c>
      <c r="AH238" s="708" t="s">
        <v>503</v>
      </c>
      <c r="AI238" s="708" t="s">
        <v>503</v>
      </c>
      <c r="AJ238" s="708" t="s">
        <v>503</v>
      </c>
      <c r="AK238" s="708" t="s">
        <v>503</v>
      </c>
      <c r="AL238" s="1188" t="s">
        <v>503</v>
      </c>
      <c r="AM238" s="708" t="s">
        <v>503</v>
      </c>
      <c r="AN238" s="708" t="s">
        <v>503</v>
      </c>
      <c r="AO238" s="708" t="s">
        <v>503</v>
      </c>
      <c r="AP238" s="708" t="s">
        <v>503</v>
      </c>
      <c r="AQ238" s="1188" t="s">
        <v>503</v>
      </c>
      <c r="AR238" s="708" t="s">
        <v>503</v>
      </c>
      <c r="AS238" s="708" t="s">
        <v>503</v>
      </c>
      <c r="AT238" s="708" t="s">
        <v>503</v>
      </c>
      <c r="AU238" s="802"/>
      <c r="AV238" s="708" t="s">
        <v>503</v>
      </c>
      <c r="AW238" s="708" t="s">
        <v>503</v>
      </c>
      <c r="AX238" s="708" t="s">
        <v>503</v>
      </c>
      <c r="AY238" s="708" t="s">
        <v>503</v>
      </c>
      <c r="AZ238" s="1188" t="s">
        <v>503</v>
      </c>
      <c r="BA238" s="708" t="s">
        <v>503</v>
      </c>
      <c r="BB238" s="708" t="s">
        <v>503</v>
      </c>
      <c r="BC238" s="708" t="s">
        <v>503</v>
      </c>
      <c r="BD238" s="708" t="s">
        <v>503</v>
      </c>
      <c r="BE238" s="1188" t="s">
        <v>503</v>
      </c>
      <c r="BF238" s="708" t="s">
        <v>503</v>
      </c>
      <c r="BG238" s="708" t="s">
        <v>503</v>
      </c>
      <c r="BH238" s="708" t="s">
        <v>503</v>
      </c>
      <c r="BI238" s="708" t="s">
        <v>503</v>
      </c>
      <c r="BJ238" s="1188" t="s">
        <v>503</v>
      </c>
      <c r="BK238" s="1189" t="s">
        <v>503</v>
      </c>
      <c r="BL238" s="558" t="s">
        <v>503</v>
      </c>
      <c r="BM238" s="558">
        <v>8.4000000000000005E-2</v>
      </c>
      <c r="BN238" s="558">
        <v>8.3000000000000004E-2</v>
      </c>
      <c r="BO238" s="78">
        <f>BN238</f>
        <v>8.3000000000000004E-2</v>
      </c>
      <c r="BP238" s="1189">
        <v>8.3000000000000004E-2</v>
      </c>
      <c r="BQ238" s="558">
        <v>8.7999999999999995E-2</v>
      </c>
      <c r="BR238" s="558">
        <v>9.1999999999999998E-2</v>
      </c>
      <c r="BS238" s="558">
        <v>8.7999999999999995E-2</v>
      </c>
      <c r="BT238" s="78">
        <f>BS238</f>
        <v>8.7999999999999995E-2</v>
      </c>
      <c r="BU238" s="1189">
        <v>8.5999999999999993E-2</v>
      </c>
      <c r="BV238" s="558">
        <v>8.7999999999999995E-2</v>
      </c>
      <c r="BW238" s="558">
        <v>9.1999999999999998E-2</v>
      </c>
      <c r="BX238" s="558">
        <v>8.8999999999999996E-2</v>
      </c>
      <c r="BY238" s="78">
        <f>BX238</f>
        <v>8.8999999999999996E-2</v>
      </c>
      <c r="BZ238" s="1189">
        <v>8.5999999999999993E-2</v>
      </c>
      <c r="CA238" s="558">
        <v>8.8999999999999996E-2</v>
      </c>
      <c r="CB238" s="558">
        <v>9.2999999999999999E-2</v>
      </c>
      <c r="CC238" s="558">
        <v>0.09</v>
      </c>
      <c r="CD238" s="78">
        <f>CC238</f>
        <v>0.09</v>
      </c>
      <c r="CE238" s="1189">
        <v>8.5999999999999993E-2</v>
      </c>
      <c r="CF238" s="558">
        <v>9.4E-2</v>
      </c>
      <c r="CG238" s="558">
        <v>9.2999999999999999E-2</v>
      </c>
      <c r="CH238" s="558">
        <v>9.0999999999999998E-2</v>
      </c>
      <c r="CI238" s="78">
        <f>CH238</f>
        <v>9.0999999999999998E-2</v>
      </c>
      <c r="CJ238" s="1189">
        <v>8.8999999999999996E-2</v>
      </c>
      <c r="CK238" s="558">
        <v>9.6000000000000002E-2</v>
      </c>
      <c r="CL238" s="558">
        <v>0.1</v>
      </c>
      <c r="CM238" s="558">
        <v>9.5000000000000001E-2</v>
      </c>
      <c r="CN238" s="78">
        <f>CM238</f>
        <v>9.5000000000000001E-2</v>
      </c>
      <c r="CO238" s="1189">
        <v>9.6000000000000002E-2</v>
      </c>
      <c r="CP238" s="558">
        <v>9.7000000000000003E-2</v>
      </c>
      <c r="CQ238" s="558">
        <v>0.10199999999999999</v>
      </c>
      <c r="CR238" s="558">
        <v>9.7000000000000003E-2</v>
      </c>
      <c r="CS238" s="78">
        <f>CR238</f>
        <v>9.7000000000000003E-2</v>
      </c>
      <c r="CT238" s="1189">
        <v>9.8000000000000004E-2</v>
      </c>
      <c r="CU238" s="558">
        <v>0.10299999999999999</v>
      </c>
      <c r="CV238" s="558">
        <v>0.107</v>
      </c>
      <c r="CW238" s="558">
        <f>(CX238*$CX$86-SUMPRODUCT(CT238:CV238,$CT$86:$CV$86))/$CW$86</f>
        <v>9.616389177109104E-2</v>
      </c>
      <c r="CX238" s="78">
        <v>0.10100000000000001</v>
      </c>
      <c r="CY238" s="1189">
        <v>0.10100000000000001</v>
      </c>
      <c r="CZ238" s="558">
        <v>0.105</v>
      </c>
      <c r="DA238" s="558">
        <v>0.107</v>
      </c>
      <c r="DB238" s="558">
        <f>(DC238*$DC$86-SUMPRODUCT(CY238:DA238,$CY$86:$DA$86))/$DB$86</f>
        <v>0.1005021154189369</v>
      </c>
      <c r="DC238" s="78">
        <v>0.10299999999999999</v>
      </c>
      <c r="DD238" s="1189">
        <v>8.1000000000000003E-2</v>
      </c>
      <c r="DE238" s="558">
        <v>7.5999999999999998E-2</v>
      </c>
      <c r="DF238" s="558">
        <v>7.3999999999999996E-2</v>
      </c>
      <c r="DG238" s="558">
        <f>(DH238*DH$86-SUMPRODUCT(DD238:DF238,DD$86:DF$86))/DG$86</f>
        <v>7.708545644148132E-2</v>
      </c>
      <c r="DH238" s="78">
        <v>7.6999999999999999E-2</v>
      </c>
      <c r="DI238" s="1189">
        <v>7.4999999999999997E-2</v>
      </c>
      <c r="DJ238" s="558">
        <v>7.4999999999999997E-2</v>
      </c>
      <c r="DK238" s="558">
        <v>0.08</v>
      </c>
      <c r="DL238" s="558">
        <f>(DM238*DM$86-SUMPRODUCT(DI238:DK238,DI$86:DK$86))/DL$86</f>
        <v>8.1901028817261121E-2</v>
      </c>
      <c r="DM238" s="78">
        <v>7.8E-2</v>
      </c>
      <c r="DN238" s="1189">
        <v>7.3999999999999996E-2</v>
      </c>
      <c r="DO238" s="1189">
        <v>0.08</v>
      </c>
      <c r="DP238" s="1189">
        <v>7.5999999999999998E-2</v>
      </c>
      <c r="DQ238" s="1189">
        <v>7.6999999999999999E-2</v>
      </c>
      <c r="DR238" s="78">
        <f>+DQ238</f>
        <v>7.6999999999999999E-2</v>
      </c>
      <c r="DS238" s="1189">
        <v>7.5999999999999998E-2</v>
      </c>
      <c r="DT238" s="1189">
        <v>7.9000000000000001E-2</v>
      </c>
      <c r="DU238" s="1189">
        <v>0.08</v>
      </c>
      <c r="DV238" s="1189">
        <v>7.9000000000000001E-2</v>
      </c>
      <c r="DW238" s="78">
        <f>+DV238</f>
        <v>7.9000000000000001E-2</v>
      </c>
      <c r="DX238" s="558"/>
      <c r="DY238" s="558"/>
      <c r="DZ238" s="558"/>
      <c r="EA238" s="558"/>
      <c r="EB238" s="78"/>
      <c r="EC238" s="558"/>
      <c r="ED238" s="558"/>
      <c r="EE238" s="558"/>
      <c r="EF238" s="558"/>
      <c r="EG238" s="78"/>
      <c r="EH238" s="558"/>
      <c r="EI238" s="558"/>
      <c r="EJ238" s="558"/>
      <c r="EK238" s="558"/>
      <c r="EL238" s="78"/>
    </row>
    <row r="239" spans="1:142">
      <c r="A239" s="932"/>
      <c r="B239" s="932" t="s">
        <v>101</v>
      </c>
      <c r="C239" s="1190"/>
      <c r="D239" s="1190" t="s">
        <v>503</v>
      </c>
      <c r="E239" s="1190" t="s">
        <v>503</v>
      </c>
      <c r="F239" s="1190" t="s">
        <v>503</v>
      </c>
      <c r="G239" s="1190" t="s">
        <v>503</v>
      </c>
      <c r="H239" s="1193" t="s">
        <v>503</v>
      </c>
      <c r="I239" s="1190" t="s">
        <v>503</v>
      </c>
      <c r="J239" s="1190" t="s">
        <v>503</v>
      </c>
      <c r="K239" s="1190" t="s">
        <v>503</v>
      </c>
      <c r="L239" s="1190" t="s">
        <v>503</v>
      </c>
      <c r="M239" s="1193" t="s">
        <v>503</v>
      </c>
      <c r="N239" s="1190" t="s">
        <v>503</v>
      </c>
      <c r="O239" s="1190" t="s">
        <v>503</v>
      </c>
      <c r="P239" s="1190" t="s">
        <v>503</v>
      </c>
      <c r="Q239" s="1190" t="s">
        <v>503</v>
      </c>
      <c r="R239" s="1193" t="s">
        <v>503</v>
      </c>
      <c r="S239" s="1190" t="s">
        <v>503</v>
      </c>
      <c r="T239" s="1190" t="s">
        <v>503</v>
      </c>
      <c r="U239" s="1190" t="s">
        <v>503</v>
      </c>
      <c r="V239" s="1190" t="s">
        <v>503</v>
      </c>
      <c r="W239" s="1193" t="s">
        <v>503</v>
      </c>
      <c r="X239" s="1190" t="s">
        <v>503</v>
      </c>
      <c r="Y239" s="1190" t="s">
        <v>503</v>
      </c>
      <c r="Z239" s="1190" t="s">
        <v>503</v>
      </c>
      <c r="AA239" s="1190" t="s">
        <v>503</v>
      </c>
      <c r="AB239" s="1193" t="s">
        <v>503</v>
      </c>
      <c r="AC239" s="1190" t="s">
        <v>503</v>
      </c>
      <c r="AD239" s="1190" t="s">
        <v>503</v>
      </c>
      <c r="AE239" s="1190" t="s">
        <v>503</v>
      </c>
      <c r="AF239" s="1190" t="s">
        <v>503</v>
      </c>
      <c r="AG239" s="1193" t="s">
        <v>503</v>
      </c>
      <c r="AH239" s="1190" t="s">
        <v>503</v>
      </c>
      <c r="AI239" s="1190" t="s">
        <v>503</v>
      </c>
      <c r="AJ239" s="1190" t="s">
        <v>503</v>
      </c>
      <c r="AK239" s="1190" t="s">
        <v>503</v>
      </c>
      <c r="AL239" s="1193" t="s">
        <v>503</v>
      </c>
      <c r="AM239" s="1190" t="s">
        <v>503</v>
      </c>
      <c r="AN239" s="1190" t="s">
        <v>503</v>
      </c>
      <c r="AO239" s="1190" t="s">
        <v>503</v>
      </c>
      <c r="AP239" s="1190" t="s">
        <v>503</v>
      </c>
      <c r="AQ239" s="1193" t="s">
        <v>503</v>
      </c>
      <c r="AR239" s="1190" t="s">
        <v>503</v>
      </c>
      <c r="AS239" s="1190" t="s">
        <v>503</v>
      </c>
      <c r="AT239" s="1190" t="s">
        <v>503</v>
      </c>
      <c r="AU239" s="802"/>
      <c r="AV239" s="1190" t="s">
        <v>503</v>
      </c>
      <c r="AW239" s="1190" t="s">
        <v>503</v>
      </c>
      <c r="AX239" s="1190" t="s">
        <v>503</v>
      </c>
      <c r="AY239" s="1190" t="s">
        <v>503</v>
      </c>
      <c r="AZ239" s="1193" t="s">
        <v>503</v>
      </c>
      <c r="BA239" s="1196" t="s">
        <v>503</v>
      </c>
      <c r="BB239" s="1196" t="s">
        <v>503</v>
      </c>
      <c r="BC239" s="1196" t="s">
        <v>503</v>
      </c>
      <c r="BD239" s="1196" t="s">
        <v>503</v>
      </c>
      <c r="BE239" s="1197" t="s">
        <v>503</v>
      </c>
      <c r="BF239" s="1196" t="s">
        <v>503</v>
      </c>
      <c r="BG239" s="1196" t="s">
        <v>503</v>
      </c>
      <c r="BH239" s="1196" t="s">
        <v>503</v>
      </c>
      <c r="BI239" s="1196" t="s">
        <v>503</v>
      </c>
      <c r="BJ239" s="1197" t="s">
        <v>503</v>
      </c>
      <c r="BK239" s="559" t="s">
        <v>503</v>
      </c>
      <c r="BL239" s="559" t="s">
        <v>503</v>
      </c>
      <c r="BM239" s="559">
        <f t="shared" ref="BM239:DH239" si="543">SUM(BM235:BM238)</f>
        <v>0.99999999999999989</v>
      </c>
      <c r="BN239" s="559">
        <f t="shared" si="543"/>
        <v>1</v>
      </c>
      <c r="BO239" s="1184">
        <f t="shared" si="543"/>
        <v>1</v>
      </c>
      <c r="BP239" s="559">
        <f t="shared" si="543"/>
        <v>1</v>
      </c>
      <c r="BQ239" s="559">
        <f t="shared" si="543"/>
        <v>1</v>
      </c>
      <c r="BR239" s="559">
        <f t="shared" si="543"/>
        <v>1</v>
      </c>
      <c r="BS239" s="559">
        <f t="shared" si="543"/>
        <v>1</v>
      </c>
      <c r="BT239" s="1184">
        <f t="shared" si="543"/>
        <v>1</v>
      </c>
      <c r="BU239" s="559">
        <f t="shared" si="543"/>
        <v>0.98199999999999998</v>
      </c>
      <c r="BV239" s="559">
        <f t="shared" si="543"/>
        <v>0.96299999999999997</v>
      </c>
      <c r="BW239" s="559">
        <f t="shared" si="543"/>
        <v>0.94599999999999995</v>
      </c>
      <c r="BX239" s="559">
        <f t="shared" si="543"/>
        <v>0.96399999999999997</v>
      </c>
      <c r="BY239" s="1184">
        <f t="shared" si="543"/>
        <v>0.96399999999999997</v>
      </c>
      <c r="BZ239" s="559">
        <f t="shared" si="543"/>
        <v>0.97799999999999998</v>
      </c>
      <c r="CA239" s="559">
        <f t="shared" si="543"/>
        <v>0.95199999999999996</v>
      </c>
      <c r="CB239" s="559">
        <f t="shared" si="543"/>
        <v>0.94799999999999995</v>
      </c>
      <c r="CC239" s="559">
        <f t="shared" si="543"/>
        <v>0.96099999999999997</v>
      </c>
      <c r="CD239" s="1184">
        <f t="shared" si="543"/>
        <v>0.96099999999999997</v>
      </c>
      <c r="CE239" s="559">
        <f t="shared" si="543"/>
        <v>0.96799999999999997</v>
      </c>
      <c r="CF239" s="559">
        <f t="shared" si="543"/>
        <v>0.95499999999999996</v>
      </c>
      <c r="CG239" s="559">
        <f t="shared" si="543"/>
        <v>0.94199999999999995</v>
      </c>
      <c r="CH239" s="559">
        <f t="shared" si="543"/>
        <v>0.95599999999999996</v>
      </c>
      <c r="CI239" s="1184">
        <f t="shared" si="543"/>
        <v>0.95599999999999996</v>
      </c>
      <c r="CJ239" s="559">
        <f t="shared" si="543"/>
        <v>0.97699999999999998</v>
      </c>
      <c r="CK239" s="559">
        <f t="shared" si="543"/>
        <v>0.96399999999999997</v>
      </c>
      <c r="CL239" s="559">
        <f t="shared" si="543"/>
        <v>0.95299999999999996</v>
      </c>
      <c r="CM239" s="559">
        <f t="shared" si="543"/>
        <v>0.96399999999999997</v>
      </c>
      <c r="CN239" s="1184">
        <f t="shared" si="543"/>
        <v>0.96399999999999997</v>
      </c>
      <c r="CO239" s="559">
        <f t="shared" si="543"/>
        <v>0.99999999999999989</v>
      </c>
      <c r="CP239" s="559">
        <f t="shared" si="543"/>
        <v>1</v>
      </c>
      <c r="CQ239" s="559">
        <f t="shared" si="543"/>
        <v>0.99999999999999989</v>
      </c>
      <c r="CR239" s="559">
        <f t="shared" si="543"/>
        <v>1</v>
      </c>
      <c r="CS239" s="1184">
        <f t="shared" si="543"/>
        <v>1</v>
      </c>
      <c r="CT239" s="559">
        <f t="shared" si="543"/>
        <v>0.99999999999999989</v>
      </c>
      <c r="CU239" s="559">
        <f t="shared" si="543"/>
        <v>1</v>
      </c>
      <c r="CV239" s="559">
        <f t="shared" si="543"/>
        <v>1</v>
      </c>
      <c r="CW239" s="559">
        <f t="shared" si="543"/>
        <v>0.99999999999999989</v>
      </c>
      <c r="CX239" s="1184">
        <f t="shared" si="543"/>
        <v>1</v>
      </c>
      <c r="CY239" s="559">
        <f t="shared" si="543"/>
        <v>1</v>
      </c>
      <c r="CZ239" s="559">
        <f t="shared" si="543"/>
        <v>1</v>
      </c>
      <c r="DA239" s="559">
        <f t="shared" si="543"/>
        <v>1</v>
      </c>
      <c r="DB239" s="559">
        <f t="shared" si="543"/>
        <v>1</v>
      </c>
      <c r="DC239" s="1184">
        <f t="shared" si="543"/>
        <v>1</v>
      </c>
      <c r="DD239" s="559">
        <f t="shared" si="543"/>
        <v>1</v>
      </c>
      <c r="DE239" s="559">
        <f t="shared" si="543"/>
        <v>1</v>
      </c>
      <c r="DF239" s="559">
        <f t="shared" si="543"/>
        <v>1</v>
      </c>
      <c r="DG239" s="559">
        <f>SUM(DG235:DG238)</f>
        <v>1.0000000000000002</v>
      </c>
      <c r="DH239" s="1184">
        <f t="shared" si="543"/>
        <v>1</v>
      </c>
      <c r="DI239" s="559">
        <f t="shared" ref="DI239:DP239" si="544">SUM(DI235:DI238)</f>
        <v>1</v>
      </c>
      <c r="DJ239" s="559">
        <f t="shared" si="544"/>
        <v>1</v>
      </c>
      <c r="DK239" s="559">
        <f t="shared" si="544"/>
        <v>0.99999999999999989</v>
      </c>
      <c r="DL239" s="559">
        <f t="shared" si="544"/>
        <v>1</v>
      </c>
      <c r="DM239" s="1184">
        <f t="shared" si="544"/>
        <v>0.99999999999999989</v>
      </c>
      <c r="DN239" s="559">
        <f t="shared" si="544"/>
        <v>0.99999999999999989</v>
      </c>
      <c r="DO239" s="1498">
        <f t="shared" si="544"/>
        <v>0.99999999999999989</v>
      </c>
      <c r="DP239" s="1498">
        <f t="shared" si="544"/>
        <v>0.99999999999999989</v>
      </c>
      <c r="DQ239" s="1498">
        <f>+SUM(DQ235:DQ238)</f>
        <v>1</v>
      </c>
      <c r="DR239" s="1184">
        <f>+DQ239</f>
        <v>1</v>
      </c>
      <c r="DS239" s="559">
        <f>SUM(DS235:DS238)</f>
        <v>0.99999999999999989</v>
      </c>
      <c r="DT239" s="559">
        <f>+SUM(DT235:DT238)</f>
        <v>1</v>
      </c>
      <c r="DU239" s="559">
        <f>+SUM(DU235:DU238)</f>
        <v>0.99999999999999989</v>
      </c>
      <c r="DV239" s="559">
        <f>+SUM(DV235:DV238)</f>
        <v>1</v>
      </c>
      <c r="DW239" s="1184">
        <f>+DV239</f>
        <v>1</v>
      </c>
      <c r="DX239" s="556"/>
      <c r="DY239" s="556"/>
      <c r="DZ239" s="556"/>
      <c r="EA239" s="556"/>
      <c r="EB239" s="913"/>
      <c r="EC239" s="556"/>
      <c r="ED239" s="556"/>
      <c r="EE239" s="556"/>
      <c r="EF239" s="556"/>
      <c r="EG239" s="913"/>
      <c r="EH239" s="556"/>
      <c r="EI239" s="556"/>
      <c r="EJ239" s="556"/>
      <c r="EK239" s="556"/>
      <c r="EL239" s="913"/>
    </row>
    <row r="240" spans="1:142">
      <c r="A240" s="555"/>
      <c r="B240" s="555"/>
      <c r="C240" s="555"/>
      <c r="D240" s="555"/>
      <c r="E240" s="555"/>
      <c r="F240" s="555"/>
      <c r="G240" s="555"/>
      <c r="H240" s="802"/>
      <c r="I240" s="555"/>
      <c r="J240" s="555"/>
      <c r="K240" s="555"/>
      <c r="L240" s="555"/>
      <c r="M240" s="802"/>
      <c r="N240" s="555"/>
      <c r="O240" s="555"/>
      <c r="P240" s="555"/>
      <c r="Q240" s="555"/>
      <c r="R240" s="802"/>
      <c r="S240" s="555"/>
      <c r="T240" s="555"/>
      <c r="U240" s="555"/>
      <c r="V240" s="555"/>
      <c r="W240" s="802"/>
      <c r="X240" s="555"/>
      <c r="Y240" s="555"/>
      <c r="Z240" s="555"/>
      <c r="AA240" s="555"/>
      <c r="AB240" s="802"/>
      <c r="AC240" s="555"/>
      <c r="AD240" s="555"/>
      <c r="AE240" s="555"/>
      <c r="AF240" s="555"/>
      <c r="AG240" s="555"/>
      <c r="AH240" s="555"/>
      <c r="AI240" s="555"/>
      <c r="AJ240" s="555"/>
      <c r="AK240" s="555"/>
      <c r="AL240" s="555"/>
      <c r="AM240" s="555"/>
      <c r="AN240" s="555"/>
      <c r="AO240" s="555"/>
      <c r="AP240" s="555"/>
      <c r="AQ240" s="555"/>
      <c r="AR240" s="555"/>
      <c r="AS240" s="555"/>
      <c r="AT240" s="555"/>
      <c r="AU240" s="802"/>
      <c r="AV240" s="555"/>
      <c r="AW240" s="555"/>
      <c r="AX240" s="555"/>
      <c r="AY240" s="555"/>
      <c r="AZ240" s="555"/>
      <c r="BA240" s="555"/>
      <c r="BB240" s="555"/>
      <c r="BC240" s="555"/>
      <c r="BD240" s="555"/>
      <c r="BE240" s="555"/>
      <c r="BF240" s="555"/>
      <c r="BG240" s="555"/>
      <c r="BH240" s="555"/>
      <c r="BI240" s="555"/>
      <c r="BJ240" s="555"/>
      <c r="BK240" s="555"/>
      <c r="BL240" s="555"/>
      <c r="BM240" s="555"/>
      <c r="BN240" s="555"/>
      <c r="BO240" s="555"/>
      <c r="BP240" s="555"/>
      <c r="BQ240" s="555"/>
      <c r="BR240" s="555"/>
      <c r="BS240" s="555"/>
      <c r="BT240" s="555"/>
      <c r="BU240" s="555"/>
      <c r="BV240" s="555"/>
      <c r="BW240" s="555"/>
      <c r="BX240" s="555"/>
      <c r="BY240" s="555"/>
      <c r="BZ240" s="555"/>
      <c r="CA240" s="555"/>
      <c r="CB240" s="555"/>
      <c r="CC240" s="555"/>
      <c r="CD240" s="555"/>
      <c r="CE240" s="555"/>
      <c r="CF240" s="555"/>
      <c r="CG240" s="555"/>
      <c r="CH240" s="555"/>
      <c r="CI240" s="555"/>
      <c r="CJ240" s="555"/>
      <c r="CK240" s="555"/>
      <c r="CL240" s="555"/>
      <c r="CM240" s="555"/>
      <c r="CN240" s="555"/>
      <c r="CO240" s="555"/>
      <c r="CP240" s="555"/>
      <c r="CQ240" s="555"/>
      <c r="CR240" s="555"/>
      <c r="CS240" s="555"/>
      <c r="CT240" s="555"/>
      <c r="CU240" s="555"/>
      <c r="CV240" s="555"/>
      <c r="CW240" s="555"/>
      <c r="CX240" s="555"/>
      <c r="CY240" s="555"/>
      <c r="CZ240" s="555"/>
      <c r="DA240" s="555"/>
      <c r="DB240" s="555"/>
      <c r="DC240" s="555"/>
      <c r="DD240" s="555"/>
      <c r="DE240" s="555"/>
      <c r="DF240" s="555"/>
      <c r="DG240" s="555"/>
      <c r="DH240" s="555">
        <v>23</v>
      </c>
      <c r="DI240" s="555"/>
      <c r="DJ240" s="555"/>
      <c r="DK240" s="555"/>
      <c r="DL240" s="555"/>
      <c r="DM240" s="555"/>
      <c r="DN240" s="555"/>
      <c r="DO240" s="555"/>
      <c r="DP240" s="555"/>
      <c r="DQ240" s="555"/>
      <c r="DR240" s="555"/>
      <c r="DS240" s="555"/>
      <c r="DT240" s="555"/>
      <c r="DU240" s="555"/>
      <c r="DV240" s="555"/>
      <c r="DW240" s="555"/>
      <c r="DX240" s="555"/>
      <c r="DY240" s="555"/>
      <c r="DZ240" s="555"/>
      <c r="EA240" s="555"/>
      <c r="EB240" s="555"/>
      <c r="EC240" s="555"/>
      <c r="ED240" s="555"/>
      <c r="EE240" s="555"/>
      <c r="EF240" s="555"/>
      <c r="EG240" s="555"/>
      <c r="EH240" s="555"/>
      <c r="EI240" s="555"/>
      <c r="EJ240" s="555"/>
      <c r="EK240" s="555"/>
      <c r="EL240" s="555"/>
    </row>
    <row r="241" spans="1:142">
      <c r="A241" s="964"/>
      <c r="B241" s="964" t="s">
        <v>178</v>
      </c>
      <c r="C241" s="1171"/>
      <c r="D241" s="1171"/>
      <c r="E241" s="1171"/>
      <c r="F241" s="1171"/>
      <c r="G241" s="1171"/>
      <c r="H241" s="967"/>
      <c r="I241" s="1171"/>
      <c r="J241" s="1171"/>
      <c r="K241" s="1171"/>
      <c r="L241" s="1171"/>
      <c r="M241" s="967"/>
      <c r="N241" s="1171"/>
      <c r="O241" s="1171"/>
      <c r="P241" s="1171"/>
      <c r="Q241" s="1171"/>
      <c r="R241" s="967"/>
      <c r="S241" s="1171"/>
      <c r="T241" s="1171"/>
      <c r="U241" s="1171"/>
      <c r="V241" s="1171"/>
      <c r="W241" s="967"/>
      <c r="X241" s="1171"/>
      <c r="Y241" s="1171"/>
      <c r="Z241" s="1171"/>
      <c r="AA241" s="1171"/>
      <c r="AB241" s="967"/>
      <c r="AC241" s="1171"/>
      <c r="AD241" s="1171"/>
      <c r="AE241" s="1171"/>
      <c r="AF241" s="1171"/>
      <c r="AG241" s="967"/>
      <c r="AH241" s="1171"/>
      <c r="AI241" s="1171"/>
      <c r="AJ241" s="1171"/>
      <c r="AK241" s="1171"/>
      <c r="AL241" s="967"/>
      <c r="AM241" s="1171"/>
      <c r="AN241" s="1171"/>
      <c r="AO241" s="1171"/>
      <c r="AP241" s="1171"/>
      <c r="AQ241" s="967"/>
      <c r="AR241" s="1171"/>
      <c r="AS241" s="1171"/>
      <c r="AT241" s="1171"/>
      <c r="AU241" s="802"/>
      <c r="AV241" s="1171"/>
      <c r="AW241" s="1171"/>
      <c r="AX241" s="1171"/>
      <c r="AY241" s="1171"/>
      <c r="AZ241" s="967"/>
      <c r="BA241" s="1171"/>
      <c r="BB241" s="1171"/>
      <c r="BC241" s="1171"/>
      <c r="BD241" s="1171"/>
      <c r="BE241" s="967"/>
      <c r="BF241" s="1171"/>
      <c r="BG241" s="1171"/>
      <c r="BH241" s="1171"/>
      <c r="BI241" s="1171"/>
      <c r="BJ241" s="967"/>
      <c r="BK241" s="1171"/>
      <c r="BL241" s="1171"/>
      <c r="BM241" s="1171"/>
      <c r="BN241" s="1171"/>
      <c r="BO241" s="967"/>
      <c r="BP241" s="1171"/>
      <c r="BQ241" s="1171"/>
      <c r="BR241" s="1171"/>
      <c r="BS241" s="1171"/>
      <c r="BT241" s="967"/>
      <c r="BU241" s="1171"/>
      <c r="BV241" s="1171"/>
      <c r="BW241" s="1171"/>
      <c r="BX241" s="1171"/>
      <c r="BY241" s="967"/>
      <c r="BZ241" s="1171"/>
      <c r="CA241" s="1171"/>
      <c r="CB241" s="1171"/>
      <c r="CC241" s="1171"/>
      <c r="CD241" s="967"/>
      <c r="CE241" s="1171"/>
      <c r="CF241" s="1171"/>
      <c r="CG241" s="1171"/>
      <c r="CH241" s="1171"/>
      <c r="CI241" s="967"/>
      <c r="CJ241" s="1171"/>
      <c r="CK241" s="1171"/>
      <c r="CL241" s="1171"/>
      <c r="CM241" s="1171"/>
      <c r="CN241" s="967"/>
      <c r="CO241" s="1171"/>
      <c r="CP241" s="1171"/>
      <c r="CQ241" s="1171"/>
      <c r="CR241" s="1171"/>
      <c r="CS241" s="967"/>
      <c r="CT241" s="1171"/>
      <c r="CU241" s="1171"/>
      <c r="CV241" s="1171"/>
      <c r="CW241" s="1171"/>
      <c r="CX241" s="967"/>
      <c r="CY241" s="1171"/>
      <c r="CZ241" s="1171"/>
      <c r="DA241" s="1171"/>
      <c r="DB241" s="1171"/>
      <c r="DC241" s="967"/>
      <c r="DD241" s="1171"/>
      <c r="DE241" s="1171"/>
      <c r="DF241" s="1171"/>
      <c r="DG241" s="1171"/>
      <c r="DH241" s="967"/>
      <c r="DI241" s="1171"/>
      <c r="DJ241" s="1171"/>
      <c r="DK241" s="1171"/>
      <c r="DL241" s="1171"/>
      <c r="DM241" s="967"/>
      <c r="DN241" s="1171"/>
      <c r="DO241" s="1171"/>
      <c r="DP241" s="1171"/>
      <c r="DQ241" s="1171"/>
      <c r="DR241" s="967"/>
      <c r="DS241" s="1171"/>
      <c r="DT241" s="1171"/>
      <c r="DU241" s="1171"/>
      <c r="DV241" s="1171"/>
      <c r="DW241" s="967"/>
      <c r="DX241" s="1171"/>
      <c r="DY241" s="1171"/>
      <c r="DZ241" s="1171"/>
      <c r="EA241" s="1171"/>
      <c r="EB241" s="967"/>
      <c r="EC241" s="1171"/>
      <c r="ED241" s="1171"/>
      <c r="EE241" s="1171"/>
      <c r="EF241" s="1171"/>
      <c r="EG241" s="967"/>
      <c r="EH241" s="1171"/>
      <c r="EI241" s="1171"/>
      <c r="EJ241" s="1171"/>
      <c r="EK241" s="1171"/>
      <c r="EL241" s="967"/>
    </row>
    <row r="242" spans="1:142">
      <c r="A242" s="557"/>
      <c r="B242" s="555" t="s">
        <v>179</v>
      </c>
      <c r="C242" s="555"/>
      <c r="D242" s="708" t="s">
        <v>503</v>
      </c>
      <c r="E242" s="708" t="s">
        <v>503</v>
      </c>
      <c r="F242" s="708" t="s">
        <v>503</v>
      </c>
      <c r="G242" s="708" t="s">
        <v>503</v>
      </c>
      <c r="H242" s="1188" t="s">
        <v>503</v>
      </c>
      <c r="I242" s="708" t="s">
        <v>503</v>
      </c>
      <c r="J242" s="708" t="s">
        <v>503</v>
      </c>
      <c r="K242" s="708" t="s">
        <v>503</v>
      </c>
      <c r="L242" s="708" t="s">
        <v>503</v>
      </c>
      <c r="M242" s="1188" t="s">
        <v>503</v>
      </c>
      <c r="N242" s="708" t="s">
        <v>503</v>
      </c>
      <c r="O242" s="708" t="s">
        <v>503</v>
      </c>
      <c r="P242" s="708" t="s">
        <v>503</v>
      </c>
      <c r="Q242" s="708" t="s">
        <v>503</v>
      </c>
      <c r="R242" s="1188" t="s">
        <v>503</v>
      </c>
      <c r="S242" s="708" t="s">
        <v>503</v>
      </c>
      <c r="T242" s="708" t="s">
        <v>503</v>
      </c>
      <c r="U242" s="708" t="s">
        <v>503</v>
      </c>
      <c r="V242" s="708" t="s">
        <v>503</v>
      </c>
      <c r="W242" s="1188" t="s">
        <v>503</v>
      </c>
      <c r="X242" s="708" t="s">
        <v>503</v>
      </c>
      <c r="Y242" s="708" t="s">
        <v>503</v>
      </c>
      <c r="Z242" s="708" t="s">
        <v>503</v>
      </c>
      <c r="AA242" s="708" t="s">
        <v>503</v>
      </c>
      <c r="AB242" s="1188" t="s">
        <v>503</v>
      </c>
      <c r="AC242" s="708" t="s">
        <v>503</v>
      </c>
      <c r="AD242" s="708" t="s">
        <v>503</v>
      </c>
      <c r="AE242" s="708" t="s">
        <v>503</v>
      </c>
      <c r="AF242" s="708" t="s">
        <v>503</v>
      </c>
      <c r="AG242" s="1188" t="s">
        <v>503</v>
      </c>
      <c r="AH242" s="708" t="s">
        <v>503</v>
      </c>
      <c r="AI242" s="708" t="s">
        <v>503</v>
      </c>
      <c r="AJ242" s="708" t="s">
        <v>503</v>
      </c>
      <c r="AK242" s="708" t="s">
        <v>503</v>
      </c>
      <c r="AL242" s="1188" t="s">
        <v>503</v>
      </c>
      <c r="AM242" s="708" t="s">
        <v>503</v>
      </c>
      <c r="AN242" s="708" t="s">
        <v>503</v>
      </c>
      <c r="AO242" s="708" t="s">
        <v>503</v>
      </c>
      <c r="AP242" s="708" t="s">
        <v>503</v>
      </c>
      <c r="AQ242" s="1188" t="s">
        <v>503</v>
      </c>
      <c r="AR242" s="708" t="s">
        <v>503</v>
      </c>
      <c r="AS242" s="147">
        <v>471</v>
      </c>
      <c r="AT242" s="147">
        <v>500</v>
      </c>
      <c r="AU242" s="802"/>
      <c r="AV242" s="708" t="s">
        <v>503</v>
      </c>
      <c r="AW242" s="708" t="s">
        <v>503</v>
      </c>
      <c r="AX242" s="708" t="s">
        <v>503</v>
      </c>
      <c r="AY242" s="708" t="s">
        <v>503</v>
      </c>
      <c r="AZ242" s="1188" t="s">
        <v>503</v>
      </c>
      <c r="BA242" s="147">
        <v>479</v>
      </c>
      <c r="BB242" s="147">
        <v>462</v>
      </c>
      <c r="BC242" s="147">
        <v>439</v>
      </c>
      <c r="BD242" s="147">
        <f>1827-SUM(BA242:BC242)</f>
        <v>447</v>
      </c>
      <c r="BE242" s="844">
        <f t="shared" ref="BE242:BE250" si="545">SUM(BA242:BD242)</f>
        <v>1827</v>
      </c>
      <c r="BF242" s="147">
        <v>393</v>
      </c>
      <c r="BG242" s="147">
        <v>350</v>
      </c>
      <c r="BH242" s="147">
        <v>334</v>
      </c>
      <c r="BI242" s="147">
        <f>1407-SUM(BF242:BH242)</f>
        <v>330</v>
      </c>
      <c r="BJ242" s="844">
        <f t="shared" ref="BJ242:BJ250" si="546">SUM(BF242:BI242)</f>
        <v>1407</v>
      </c>
      <c r="BK242" s="1173">
        <v>393</v>
      </c>
      <c r="BL242" s="555">
        <v>356</v>
      </c>
      <c r="BM242" s="555">
        <v>340</v>
      </c>
      <c r="BN242" s="555">
        <f>1437-SUM(BK242:BM242)</f>
        <v>348</v>
      </c>
      <c r="BO242" s="844">
        <f t="shared" ref="BO242:BO250" si="547">SUM(BK242:BN242)</f>
        <v>1437</v>
      </c>
      <c r="BP242" s="1173">
        <v>379</v>
      </c>
      <c r="BQ242" s="555">
        <v>315</v>
      </c>
      <c r="BR242" s="555">
        <v>292</v>
      </c>
      <c r="BS242" s="555">
        <f>1264-SUM(BP242:BR242)</f>
        <v>278</v>
      </c>
      <c r="BT242" s="844">
        <f t="shared" ref="BT242:BT250" si="548">SUM(BP242:BS242)</f>
        <v>1264</v>
      </c>
      <c r="BU242" s="1173">
        <v>358</v>
      </c>
      <c r="BV242" s="555">
        <v>302</v>
      </c>
      <c r="BW242" s="555">
        <v>278</v>
      </c>
      <c r="BX242" s="555">
        <f>1209-SUM(BU242:BW242)</f>
        <v>271</v>
      </c>
      <c r="BY242" s="844">
        <f t="shared" ref="BY242:BY250" si="549">SUM(BU242:BX242)</f>
        <v>1209</v>
      </c>
      <c r="BZ242" s="1173">
        <v>338</v>
      </c>
      <c r="CA242" s="555">
        <v>296</v>
      </c>
      <c r="CB242" s="555">
        <v>276</v>
      </c>
      <c r="CC242" s="555">
        <f>1177-SUM(BZ242:CB242)</f>
        <v>267</v>
      </c>
      <c r="CD242" s="844">
        <f t="shared" ref="CD242:CD250" si="550">SUM(BZ242:CC242)</f>
        <v>1177</v>
      </c>
      <c r="CE242" s="1173">
        <v>322</v>
      </c>
      <c r="CF242" s="555">
        <v>294</v>
      </c>
      <c r="CG242" s="555">
        <v>281</v>
      </c>
      <c r="CH242" s="555">
        <f>1191-SUM(CE242:CG242)</f>
        <v>294</v>
      </c>
      <c r="CI242" s="844">
        <f t="shared" ref="CI242:CI250" si="551">SUM(CE242:CH242)</f>
        <v>1191</v>
      </c>
      <c r="CJ242" s="1173">
        <v>320</v>
      </c>
      <c r="CK242" s="555">
        <v>292</v>
      </c>
      <c r="CL242" s="555">
        <v>273</v>
      </c>
      <c r="CM242" s="555">
        <f>1171-SUM(CJ242:CL242)</f>
        <v>286</v>
      </c>
      <c r="CN242" s="844">
        <f t="shared" ref="CN242:CN250" si="552">SUM(CJ242:CM242)</f>
        <v>1171</v>
      </c>
      <c r="CO242" s="1173">
        <v>309</v>
      </c>
      <c r="CP242" s="555">
        <v>286</v>
      </c>
      <c r="CQ242" s="555">
        <v>270</v>
      </c>
      <c r="CR242" s="555">
        <f>1126-SUM(CO242:CQ242)</f>
        <v>261</v>
      </c>
      <c r="CS242" s="844">
        <f t="shared" ref="CS242:CS250" si="553">SUM(CO242:CR242)</f>
        <v>1126</v>
      </c>
      <c r="CT242" s="1173">
        <v>299</v>
      </c>
      <c r="CU242" s="555">
        <v>274</v>
      </c>
      <c r="CV242" s="555">
        <v>260</v>
      </c>
      <c r="CW242" s="555">
        <f t="shared" ref="CW242:CW249" si="554">CX242-SUM(CT242:CV242)</f>
        <v>276</v>
      </c>
      <c r="CX242" s="844">
        <v>1109</v>
      </c>
      <c r="CY242" s="1173">
        <v>291</v>
      </c>
      <c r="CZ242" s="555">
        <v>264</v>
      </c>
      <c r="DA242" s="555">
        <v>264</v>
      </c>
      <c r="DB242" s="555">
        <f t="shared" ref="DB242:DB250" si="555">DC242-SUM(CY242:DA242)</f>
        <v>382</v>
      </c>
      <c r="DC242" s="844">
        <v>1201</v>
      </c>
      <c r="DD242" s="1173">
        <v>437</v>
      </c>
      <c r="DE242" s="555">
        <v>404</v>
      </c>
      <c r="DF242" s="555">
        <v>407</v>
      </c>
      <c r="DG242" s="555">
        <f t="shared" ref="DG242:DG250" si="556">DH242-SUM(DD242:DF242)</f>
        <v>429</v>
      </c>
      <c r="DH242" s="844">
        <v>1677</v>
      </c>
      <c r="DI242" s="1173">
        <v>457</v>
      </c>
      <c r="DJ242" s="555">
        <v>435</v>
      </c>
      <c r="DK242" s="555">
        <v>404</v>
      </c>
      <c r="DL242" s="555">
        <f t="shared" ref="DL242:DL250" si="557">DM242-SUM(DI242:DK242)</f>
        <v>448</v>
      </c>
      <c r="DM242" s="844">
        <v>1744</v>
      </c>
      <c r="DN242" s="1173">
        <v>474</v>
      </c>
      <c r="DO242" s="1173">
        <v>415</v>
      </c>
      <c r="DP242" s="1173">
        <v>402</v>
      </c>
      <c r="DQ242" s="555">
        <f t="shared" ref="DQ242:DQ250" si="558">DR242-SUM(DN242:DP242)</f>
        <v>414</v>
      </c>
      <c r="DR242" s="1499">
        <v>1705</v>
      </c>
      <c r="DS242" s="1173">
        <v>450</v>
      </c>
      <c r="DT242" s="1173">
        <v>410</v>
      </c>
      <c r="DU242" s="1173">
        <v>388</v>
      </c>
      <c r="DV242" s="555">
        <f t="shared" ref="DV242:DV250" si="559">DW242-SUM(DS242:DU242)</f>
        <v>411</v>
      </c>
      <c r="DW242" s="1499">
        <v>1659</v>
      </c>
      <c r="DX242" s="555"/>
      <c r="DY242" s="555"/>
      <c r="DZ242" s="555"/>
      <c r="EA242" s="555"/>
      <c r="EB242" s="844"/>
      <c r="EC242" s="555"/>
      <c r="ED242" s="555"/>
      <c r="EE242" s="555"/>
      <c r="EF242" s="555"/>
      <c r="EG242" s="844"/>
      <c r="EH242" s="555"/>
      <c r="EI242" s="555"/>
      <c r="EJ242" s="555"/>
      <c r="EK242" s="555"/>
      <c r="EL242" s="844"/>
    </row>
    <row r="243" spans="1:142">
      <c r="A243" s="557"/>
      <c r="B243" s="555" t="s">
        <v>180</v>
      </c>
      <c r="C243" s="555"/>
      <c r="D243" s="708" t="s">
        <v>503</v>
      </c>
      <c r="E243" s="708" t="s">
        <v>503</v>
      </c>
      <c r="F243" s="708" t="s">
        <v>503</v>
      </c>
      <c r="G243" s="708" t="s">
        <v>503</v>
      </c>
      <c r="H243" s="1188" t="s">
        <v>503</v>
      </c>
      <c r="I243" s="708" t="s">
        <v>503</v>
      </c>
      <c r="J243" s="708" t="s">
        <v>503</v>
      </c>
      <c r="K243" s="708" t="s">
        <v>503</v>
      </c>
      <c r="L243" s="708" t="s">
        <v>503</v>
      </c>
      <c r="M243" s="1188" t="s">
        <v>503</v>
      </c>
      <c r="N243" s="708" t="s">
        <v>503</v>
      </c>
      <c r="O243" s="708" t="s">
        <v>503</v>
      </c>
      <c r="P243" s="708" t="s">
        <v>503</v>
      </c>
      <c r="Q243" s="708" t="s">
        <v>503</v>
      </c>
      <c r="R243" s="1188" t="s">
        <v>503</v>
      </c>
      <c r="S243" s="708" t="s">
        <v>503</v>
      </c>
      <c r="T243" s="708" t="s">
        <v>503</v>
      </c>
      <c r="U243" s="708" t="s">
        <v>503</v>
      </c>
      <c r="V243" s="708" t="s">
        <v>503</v>
      </c>
      <c r="W243" s="1188" t="s">
        <v>503</v>
      </c>
      <c r="X243" s="708" t="s">
        <v>503</v>
      </c>
      <c r="Y243" s="708" t="s">
        <v>503</v>
      </c>
      <c r="Z243" s="708" t="s">
        <v>503</v>
      </c>
      <c r="AA243" s="708" t="s">
        <v>503</v>
      </c>
      <c r="AB243" s="1188" t="s">
        <v>503</v>
      </c>
      <c r="AC243" s="708" t="s">
        <v>503</v>
      </c>
      <c r="AD243" s="708" t="s">
        <v>503</v>
      </c>
      <c r="AE243" s="708" t="s">
        <v>503</v>
      </c>
      <c r="AF243" s="708" t="s">
        <v>503</v>
      </c>
      <c r="AG243" s="1188" t="s">
        <v>503</v>
      </c>
      <c r="AH243" s="708" t="s">
        <v>503</v>
      </c>
      <c r="AI243" s="708" t="s">
        <v>503</v>
      </c>
      <c r="AJ243" s="708" t="s">
        <v>503</v>
      </c>
      <c r="AK243" s="708" t="s">
        <v>503</v>
      </c>
      <c r="AL243" s="1188" t="s">
        <v>503</v>
      </c>
      <c r="AM243" s="708" t="s">
        <v>503</v>
      </c>
      <c r="AN243" s="708" t="s">
        <v>503</v>
      </c>
      <c r="AO243" s="708" t="s">
        <v>503</v>
      </c>
      <c r="AP243" s="708" t="s">
        <v>503</v>
      </c>
      <c r="AQ243" s="1188" t="s">
        <v>503</v>
      </c>
      <c r="AR243" s="708" t="s">
        <v>503</v>
      </c>
      <c r="AS243" s="147">
        <v>54</v>
      </c>
      <c r="AT243" s="147">
        <v>73</v>
      </c>
      <c r="AU243" s="802"/>
      <c r="AV243" s="708" t="s">
        <v>503</v>
      </c>
      <c r="AW243" s="708" t="s">
        <v>503</v>
      </c>
      <c r="AX243" s="708" t="s">
        <v>503</v>
      </c>
      <c r="AY243" s="708" t="s">
        <v>503</v>
      </c>
      <c r="AZ243" s="1188" t="s">
        <v>503</v>
      </c>
      <c r="BA243" s="147">
        <v>53</v>
      </c>
      <c r="BB243" s="147">
        <v>48</v>
      </c>
      <c r="BC243" s="147">
        <v>49</v>
      </c>
      <c r="BD243" s="147">
        <f>197-SUM(BA243:BC243)</f>
        <v>47</v>
      </c>
      <c r="BE243" s="844">
        <f t="shared" si="545"/>
        <v>197</v>
      </c>
      <c r="BF243" s="147">
        <v>42</v>
      </c>
      <c r="BG243" s="147">
        <v>37</v>
      </c>
      <c r="BH243" s="147">
        <v>35</v>
      </c>
      <c r="BI243" s="147">
        <f>149-SUM(BF243:BH243)</f>
        <v>35</v>
      </c>
      <c r="BJ243" s="844">
        <f t="shared" si="546"/>
        <v>149</v>
      </c>
      <c r="BK243" s="1173">
        <v>41</v>
      </c>
      <c r="BL243" s="555">
        <v>36</v>
      </c>
      <c r="BM243" s="555">
        <v>36</v>
      </c>
      <c r="BN243" s="555">
        <f>148-SUM(BK243:BM243)</f>
        <v>35</v>
      </c>
      <c r="BO243" s="844">
        <f t="shared" si="547"/>
        <v>148</v>
      </c>
      <c r="BP243" s="1173">
        <v>38</v>
      </c>
      <c r="BQ243" s="555">
        <v>32</v>
      </c>
      <c r="BR243" s="555">
        <v>30</v>
      </c>
      <c r="BS243" s="555">
        <f>127-SUM(BP243:BR243)</f>
        <v>27</v>
      </c>
      <c r="BT243" s="844">
        <f t="shared" si="548"/>
        <v>127</v>
      </c>
      <c r="BU243" s="1173">
        <v>33</v>
      </c>
      <c r="BV243" s="555">
        <v>30</v>
      </c>
      <c r="BW243" s="555">
        <v>27</v>
      </c>
      <c r="BX243" s="555">
        <f>119-SUM(BU243:BW243)</f>
        <v>29</v>
      </c>
      <c r="BY243" s="844">
        <f t="shared" si="549"/>
        <v>119</v>
      </c>
      <c r="BZ243" s="1173">
        <v>31</v>
      </c>
      <c r="CA243" s="555">
        <v>28</v>
      </c>
      <c r="CB243" s="555">
        <v>26</v>
      </c>
      <c r="CC243" s="555">
        <f>110-SUM(BZ243:CB243)</f>
        <v>25</v>
      </c>
      <c r="CD243" s="844">
        <f t="shared" si="550"/>
        <v>110</v>
      </c>
      <c r="CE243" s="1173">
        <v>31</v>
      </c>
      <c r="CF243" s="555">
        <v>27</v>
      </c>
      <c r="CG243" s="555">
        <v>26</v>
      </c>
      <c r="CH243" s="555">
        <f>109-SUM(CE243:CG243)</f>
        <v>25</v>
      </c>
      <c r="CI243" s="844">
        <f t="shared" si="551"/>
        <v>109</v>
      </c>
      <c r="CJ243" s="1173">
        <v>29</v>
      </c>
      <c r="CK243" s="555">
        <v>27</v>
      </c>
      <c r="CL243" s="555">
        <v>25</v>
      </c>
      <c r="CM243" s="555">
        <f>106-SUM(CJ243:CL243)</f>
        <v>25</v>
      </c>
      <c r="CN243" s="844">
        <f t="shared" si="552"/>
        <v>106</v>
      </c>
      <c r="CO243" s="1173">
        <v>27</v>
      </c>
      <c r="CP243" s="555">
        <v>26</v>
      </c>
      <c r="CQ243" s="555">
        <v>25</v>
      </c>
      <c r="CR243" s="555">
        <f>100-SUM(CO243:CQ243)</f>
        <v>22</v>
      </c>
      <c r="CS243" s="844">
        <f t="shared" si="553"/>
        <v>100</v>
      </c>
      <c r="CT243" s="1173">
        <v>26</v>
      </c>
      <c r="CU243" s="555">
        <v>25</v>
      </c>
      <c r="CV243" s="555">
        <v>23</v>
      </c>
      <c r="CW243" s="555">
        <f t="shared" si="554"/>
        <v>24</v>
      </c>
      <c r="CX243" s="844">
        <v>98</v>
      </c>
      <c r="CY243" s="1173">
        <v>25</v>
      </c>
      <c r="CZ243" s="555">
        <v>23</v>
      </c>
      <c r="DA243" s="555">
        <v>23</v>
      </c>
      <c r="DB243" s="555">
        <f t="shared" si="555"/>
        <v>36</v>
      </c>
      <c r="DC243" s="844">
        <v>107</v>
      </c>
      <c r="DD243" s="1173">
        <v>40</v>
      </c>
      <c r="DE243" s="555">
        <v>37</v>
      </c>
      <c r="DF243" s="555">
        <v>37</v>
      </c>
      <c r="DG243" s="555">
        <f t="shared" si="556"/>
        <v>40</v>
      </c>
      <c r="DH243" s="844">
        <v>154</v>
      </c>
      <c r="DI243" s="1173">
        <v>42</v>
      </c>
      <c r="DJ243" s="555">
        <v>40</v>
      </c>
      <c r="DK243" s="555">
        <v>38</v>
      </c>
      <c r="DL243" s="555">
        <f t="shared" si="557"/>
        <v>41</v>
      </c>
      <c r="DM243" s="844">
        <v>161</v>
      </c>
      <c r="DN243" s="1173">
        <v>43</v>
      </c>
      <c r="DO243" s="1173">
        <v>38</v>
      </c>
      <c r="DP243" s="1173">
        <v>38</v>
      </c>
      <c r="DQ243" s="555">
        <f t="shared" si="558"/>
        <v>38</v>
      </c>
      <c r="DR243" s="1499">
        <v>157</v>
      </c>
      <c r="DS243" s="1173">
        <v>41</v>
      </c>
      <c r="DT243" s="1173">
        <v>37</v>
      </c>
      <c r="DU243" s="1173">
        <v>37</v>
      </c>
      <c r="DV243" s="555">
        <f t="shared" si="559"/>
        <v>47</v>
      </c>
      <c r="DW243" s="1499">
        <v>162</v>
      </c>
      <c r="DX243" s="555"/>
      <c r="DY243" s="555"/>
      <c r="DZ243" s="555"/>
      <c r="EA243" s="555"/>
      <c r="EB243" s="844"/>
      <c r="EC243" s="555"/>
      <c r="ED243" s="555"/>
      <c r="EE243" s="555"/>
      <c r="EF243" s="555"/>
      <c r="EG243" s="844"/>
      <c r="EH243" s="555"/>
      <c r="EI243" s="555"/>
      <c r="EJ243" s="555"/>
      <c r="EK243" s="555"/>
      <c r="EL243" s="844"/>
    </row>
    <row r="244" spans="1:142">
      <c r="A244" s="557"/>
      <c r="B244" s="557" t="s">
        <v>181</v>
      </c>
      <c r="C244" s="708"/>
      <c r="D244" s="708" t="s">
        <v>503</v>
      </c>
      <c r="E244" s="708" t="s">
        <v>503</v>
      </c>
      <c r="F244" s="708" t="s">
        <v>503</v>
      </c>
      <c r="G244" s="708" t="s">
        <v>503</v>
      </c>
      <c r="H244" s="1188" t="s">
        <v>503</v>
      </c>
      <c r="I244" s="708" t="s">
        <v>503</v>
      </c>
      <c r="J244" s="708" t="s">
        <v>503</v>
      </c>
      <c r="K244" s="708" t="s">
        <v>503</v>
      </c>
      <c r="L244" s="708" t="s">
        <v>503</v>
      </c>
      <c r="M244" s="1188" t="s">
        <v>503</v>
      </c>
      <c r="N244" s="708" t="s">
        <v>503</v>
      </c>
      <c r="O244" s="708" t="s">
        <v>503</v>
      </c>
      <c r="P244" s="708" t="s">
        <v>503</v>
      </c>
      <c r="Q244" s="708" t="s">
        <v>503</v>
      </c>
      <c r="R244" s="1188" t="s">
        <v>503</v>
      </c>
      <c r="S244" s="708" t="s">
        <v>503</v>
      </c>
      <c r="T244" s="708" t="s">
        <v>503</v>
      </c>
      <c r="U244" s="708" t="s">
        <v>503</v>
      </c>
      <c r="V244" s="708" t="s">
        <v>503</v>
      </c>
      <c r="W244" s="1188" t="s">
        <v>503</v>
      </c>
      <c r="X244" s="708" t="s">
        <v>503</v>
      </c>
      <c r="Y244" s="708" t="s">
        <v>503</v>
      </c>
      <c r="Z244" s="708" t="s">
        <v>503</v>
      </c>
      <c r="AA244" s="708" t="s">
        <v>503</v>
      </c>
      <c r="AB244" s="1188" t="s">
        <v>503</v>
      </c>
      <c r="AC244" s="708" t="s">
        <v>503</v>
      </c>
      <c r="AD244" s="708" t="s">
        <v>503</v>
      </c>
      <c r="AE244" s="708" t="s">
        <v>503</v>
      </c>
      <c r="AF244" s="708" t="s">
        <v>503</v>
      </c>
      <c r="AG244" s="1188" t="s">
        <v>503</v>
      </c>
      <c r="AH244" s="708" t="s">
        <v>503</v>
      </c>
      <c r="AI244" s="708" t="s">
        <v>503</v>
      </c>
      <c r="AJ244" s="708" t="s">
        <v>503</v>
      </c>
      <c r="AK244" s="708" t="s">
        <v>503</v>
      </c>
      <c r="AL244" s="1188" t="s">
        <v>503</v>
      </c>
      <c r="AM244" s="708" t="s">
        <v>503</v>
      </c>
      <c r="AN244" s="708" t="s">
        <v>503</v>
      </c>
      <c r="AO244" s="708" t="s">
        <v>503</v>
      </c>
      <c r="AP244" s="708" t="s">
        <v>503</v>
      </c>
      <c r="AQ244" s="1188" t="s">
        <v>503</v>
      </c>
      <c r="AR244" s="708" t="s">
        <v>503</v>
      </c>
      <c r="AS244" s="147">
        <v>213</v>
      </c>
      <c r="AT244" s="147">
        <v>40</v>
      </c>
      <c r="AU244" s="802"/>
      <c r="AV244" s="708" t="s">
        <v>503</v>
      </c>
      <c r="AW244" s="708" t="s">
        <v>503</v>
      </c>
      <c r="AX244" s="708" t="s">
        <v>503</v>
      </c>
      <c r="AY244" s="708" t="s">
        <v>503</v>
      </c>
      <c r="AZ244" s="1188" t="s">
        <v>503</v>
      </c>
      <c r="BA244" s="147">
        <v>18</v>
      </c>
      <c r="BB244" s="147">
        <v>16</v>
      </c>
      <c r="BC244" s="147">
        <v>16</v>
      </c>
      <c r="BD244" s="147">
        <f>140-SUM(BA244:BC244)</f>
        <v>90</v>
      </c>
      <c r="BE244" s="844">
        <f t="shared" si="545"/>
        <v>140</v>
      </c>
      <c r="BF244" s="147">
        <v>15</v>
      </c>
      <c r="BG244" s="147">
        <v>14</v>
      </c>
      <c r="BH244" s="147">
        <v>19</v>
      </c>
      <c r="BI244" s="147">
        <f>64-SUM(BF244:BH244)</f>
        <v>16</v>
      </c>
      <c r="BJ244" s="844">
        <f t="shared" si="546"/>
        <v>64</v>
      </c>
      <c r="BK244" s="1173">
        <v>20</v>
      </c>
      <c r="BL244" s="555">
        <v>19</v>
      </c>
      <c r="BM244" s="555">
        <v>22</v>
      </c>
      <c r="BN244" s="555">
        <f>84-SUM(BK244:BM244)</f>
        <v>23</v>
      </c>
      <c r="BO244" s="844">
        <f t="shared" si="547"/>
        <v>84</v>
      </c>
      <c r="BP244" s="1173">
        <v>24</v>
      </c>
      <c r="BQ244" s="555">
        <v>19</v>
      </c>
      <c r="BR244" s="555">
        <v>18</v>
      </c>
      <c r="BS244" s="555">
        <f>78-SUM(BP244:BR244)</f>
        <v>17</v>
      </c>
      <c r="BT244" s="844">
        <f t="shared" si="548"/>
        <v>78</v>
      </c>
      <c r="BU244" s="1173">
        <v>21</v>
      </c>
      <c r="BV244" s="555">
        <v>19</v>
      </c>
      <c r="BW244" s="555">
        <v>18</v>
      </c>
      <c r="BX244" s="555">
        <f>75-SUM(BU244:BW244)</f>
        <v>17</v>
      </c>
      <c r="BY244" s="844">
        <f t="shared" si="549"/>
        <v>75</v>
      </c>
      <c r="BZ244" s="1173">
        <v>22</v>
      </c>
      <c r="CA244" s="555">
        <v>18</v>
      </c>
      <c r="CB244" s="555">
        <v>13</v>
      </c>
      <c r="CC244" s="555">
        <f>67-SUM(BZ244:CB244)</f>
        <v>14</v>
      </c>
      <c r="CD244" s="844">
        <f t="shared" si="550"/>
        <v>67</v>
      </c>
      <c r="CE244" s="1173">
        <v>25</v>
      </c>
      <c r="CF244" s="555">
        <v>18</v>
      </c>
      <c r="CG244" s="555">
        <v>15</v>
      </c>
      <c r="CH244" s="555">
        <f>68-SUM(CE244:CG244)</f>
        <v>10</v>
      </c>
      <c r="CI244" s="844">
        <f t="shared" si="551"/>
        <v>68</v>
      </c>
      <c r="CJ244" s="1173">
        <v>14</v>
      </c>
      <c r="CK244" s="555">
        <v>13</v>
      </c>
      <c r="CL244" s="555">
        <v>11</v>
      </c>
      <c r="CM244" s="555">
        <f>51-SUM(CJ244:CL244)</f>
        <v>13</v>
      </c>
      <c r="CN244" s="844">
        <f t="shared" si="552"/>
        <v>51</v>
      </c>
      <c r="CO244" s="1173">
        <v>12</v>
      </c>
      <c r="CP244" s="555">
        <v>11</v>
      </c>
      <c r="CQ244" s="555">
        <v>12</v>
      </c>
      <c r="CR244" s="555">
        <f>44-SUM(CO244:CQ244)</f>
        <v>9</v>
      </c>
      <c r="CS244" s="844">
        <f t="shared" si="553"/>
        <v>44</v>
      </c>
      <c r="CT244" s="1173">
        <v>14</v>
      </c>
      <c r="CU244" s="555">
        <v>13</v>
      </c>
      <c r="CV244" s="555">
        <v>11</v>
      </c>
      <c r="CW244" s="555">
        <f t="shared" si="554"/>
        <v>13</v>
      </c>
      <c r="CX244" s="844">
        <v>51</v>
      </c>
      <c r="CY244" s="1173">
        <v>14</v>
      </c>
      <c r="CZ244" s="555">
        <v>11</v>
      </c>
      <c r="DA244" s="555">
        <v>11</v>
      </c>
      <c r="DB244" s="555">
        <f t="shared" si="555"/>
        <v>17</v>
      </c>
      <c r="DC244" s="844">
        <v>53</v>
      </c>
      <c r="DD244" s="1173">
        <v>20</v>
      </c>
      <c r="DE244" s="555">
        <v>16</v>
      </c>
      <c r="DF244" s="555">
        <v>16</v>
      </c>
      <c r="DG244" s="555">
        <f t="shared" si="556"/>
        <v>17</v>
      </c>
      <c r="DH244" s="844">
        <v>69</v>
      </c>
      <c r="DI244" s="1173">
        <v>18</v>
      </c>
      <c r="DJ244" s="555">
        <v>14</v>
      </c>
      <c r="DK244" s="555">
        <v>13</v>
      </c>
      <c r="DL244" s="555">
        <f t="shared" si="557"/>
        <v>16</v>
      </c>
      <c r="DM244" s="844">
        <v>61</v>
      </c>
      <c r="DN244" s="1173">
        <v>22</v>
      </c>
      <c r="DO244" s="1173">
        <v>16</v>
      </c>
      <c r="DP244" s="1173">
        <v>20</v>
      </c>
      <c r="DQ244" s="555">
        <f t="shared" si="558"/>
        <v>19</v>
      </c>
      <c r="DR244" s="1499">
        <v>77</v>
      </c>
      <c r="DS244" s="1173">
        <v>21</v>
      </c>
      <c r="DT244" s="1173">
        <v>22</v>
      </c>
      <c r="DU244" s="1173">
        <v>21</v>
      </c>
      <c r="DV244" s="555">
        <f t="shared" si="559"/>
        <v>25</v>
      </c>
      <c r="DW244" s="1499">
        <v>89</v>
      </c>
      <c r="DX244" s="555"/>
      <c r="DY244" s="555"/>
      <c r="DZ244" s="555"/>
      <c r="EA244" s="555"/>
      <c r="EB244" s="844"/>
      <c r="EC244" s="555"/>
      <c r="ED244" s="555"/>
      <c r="EE244" s="555"/>
      <c r="EF244" s="555"/>
      <c r="EG244" s="844"/>
      <c r="EH244" s="555"/>
      <c r="EI244" s="555"/>
      <c r="EJ244" s="555"/>
      <c r="EK244" s="555"/>
      <c r="EL244" s="844"/>
    </row>
    <row r="245" spans="1:142">
      <c r="A245" s="557"/>
      <c r="B245" s="557" t="s">
        <v>182</v>
      </c>
      <c r="C245" s="708"/>
      <c r="D245" s="708" t="s">
        <v>503</v>
      </c>
      <c r="E245" s="708" t="s">
        <v>503</v>
      </c>
      <c r="F245" s="708" t="s">
        <v>503</v>
      </c>
      <c r="G245" s="708" t="s">
        <v>503</v>
      </c>
      <c r="H245" s="1188" t="s">
        <v>503</v>
      </c>
      <c r="I245" s="708" t="s">
        <v>503</v>
      </c>
      <c r="J245" s="708" t="s">
        <v>503</v>
      </c>
      <c r="K245" s="708" t="s">
        <v>503</v>
      </c>
      <c r="L245" s="708" t="s">
        <v>503</v>
      </c>
      <c r="M245" s="1188" t="s">
        <v>503</v>
      </c>
      <c r="N245" s="708" t="s">
        <v>503</v>
      </c>
      <c r="O245" s="708" t="s">
        <v>503</v>
      </c>
      <c r="P245" s="708" t="s">
        <v>503</v>
      </c>
      <c r="Q245" s="708" t="s">
        <v>503</v>
      </c>
      <c r="R245" s="1188" t="s">
        <v>503</v>
      </c>
      <c r="S245" s="708" t="s">
        <v>503</v>
      </c>
      <c r="T245" s="708" t="s">
        <v>503</v>
      </c>
      <c r="U245" s="708" t="s">
        <v>503</v>
      </c>
      <c r="V245" s="708" t="s">
        <v>503</v>
      </c>
      <c r="W245" s="1188" t="s">
        <v>503</v>
      </c>
      <c r="X245" s="708" t="s">
        <v>503</v>
      </c>
      <c r="Y245" s="708" t="s">
        <v>503</v>
      </c>
      <c r="Z245" s="708" t="s">
        <v>503</v>
      </c>
      <c r="AA245" s="708" t="s">
        <v>503</v>
      </c>
      <c r="AB245" s="1188" t="s">
        <v>503</v>
      </c>
      <c r="AC245" s="708" t="s">
        <v>503</v>
      </c>
      <c r="AD245" s="708" t="s">
        <v>503</v>
      </c>
      <c r="AE245" s="708" t="s">
        <v>503</v>
      </c>
      <c r="AF245" s="708" t="s">
        <v>503</v>
      </c>
      <c r="AG245" s="1188" t="s">
        <v>503</v>
      </c>
      <c r="AH245" s="708" t="s">
        <v>503</v>
      </c>
      <c r="AI245" s="708" t="s">
        <v>503</v>
      </c>
      <c r="AJ245" s="708" t="s">
        <v>503</v>
      </c>
      <c r="AK245" s="708" t="s">
        <v>503</v>
      </c>
      <c r="AL245" s="1188" t="s">
        <v>503</v>
      </c>
      <c r="AM245" s="708" t="s">
        <v>503</v>
      </c>
      <c r="AN245" s="708" t="s">
        <v>503</v>
      </c>
      <c r="AO245" s="708" t="s">
        <v>503</v>
      </c>
      <c r="AP245" s="708" t="s">
        <v>503</v>
      </c>
      <c r="AQ245" s="1188" t="s">
        <v>503</v>
      </c>
      <c r="AR245" s="708" t="s">
        <v>503</v>
      </c>
      <c r="AS245" s="147">
        <v>163</v>
      </c>
      <c r="AT245" s="147">
        <v>192</v>
      </c>
      <c r="AU245" s="802"/>
      <c r="AV245" s="708" t="s">
        <v>503</v>
      </c>
      <c r="AW245" s="708" t="s">
        <v>503</v>
      </c>
      <c r="AX245" s="708" t="s">
        <v>503</v>
      </c>
      <c r="AY245" s="708" t="s">
        <v>503</v>
      </c>
      <c r="AZ245" s="1188" t="s">
        <v>503</v>
      </c>
      <c r="BA245" s="147">
        <v>142</v>
      </c>
      <c r="BB245" s="147">
        <v>138</v>
      </c>
      <c r="BC245" s="147">
        <v>134</v>
      </c>
      <c r="BD245" s="147">
        <f>534-SUM(BA245:BC245)</f>
        <v>120</v>
      </c>
      <c r="BE245" s="844">
        <f t="shared" si="545"/>
        <v>534</v>
      </c>
      <c r="BF245" s="147">
        <v>114</v>
      </c>
      <c r="BG245" s="147">
        <v>109</v>
      </c>
      <c r="BH245" s="147">
        <v>102</v>
      </c>
      <c r="BI245" s="147">
        <f>418-SUM(BF245:BH245)</f>
        <v>93</v>
      </c>
      <c r="BJ245" s="844">
        <f t="shared" si="546"/>
        <v>418</v>
      </c>
      <c r="BK245" s="1173">
        <v>108</v>
      </c>
      <c r="BL245" s="555">
        <v>105</v>
      </c>
      <c r="BM245" s="555">
        <v>98</v>
      </c>
      <c r="BN245" s="555">
        <f>404-SUM(BK245:BM245)</f>
        <v>93</v>
      </c>
      <c r="BO245" s="844">
        <f t="shared" si="547"/>
        <v>404</v>
      </c>
      <c r="BP245" s="1173">
        <v>101</v>
      </c>
      <c r="BQ245" s="555">
        <v>95</v>
      </c>
      <c r="BR245" s="555">
        <v>89</v>
      </c>
      <c r="BS245" s="555">
        <f>368-SUM(BP245:BR245)</f>
        <v>83</v>
      </c>
      <c r="BT245" s="844">
        <f t="shared" si="548"/>
        <v>368</v>
      </c>
      <c r="BU245" s="1173">
        <v>99</v>
      </c>
      <c r="BV245" s="555">
        <v>96</v>
      </c>
      <c r="BW245" s="555">
        <v>93</v>
      </c>
      <c r="BX245" s="555">
        <f>375-SUM(BU245:BW245)</f>
        <v>87</v>
      </c>
      <c r="BY245" s="844">
        <f t="shared" si="549"/>
        <v>375</v>
      </c>
      <c r="BZ245" s="1173">
        <v>101</v>
      </c>
      <c r="CA245" s="555">
        <v>97</v>
      </c>
      <c r="CB245" s="555">
        <v>95</v>
      </c>
      <c r="CC245" s="555">
        <f>380-SUM(BZ245:CB245)</f>
        <v>87</v>
      </c>
      <c r="CD245" s="844">
        <f t="shared" si="550"/>
        <v>380</v>
      </c>
      <c r="CE245" s="1173">
        <v>106</v>
      </c>
      <c r="CF245" s="555">
        <v>105</v>
      </c>
      <c r="CG245" s="555">
        <v>107</v>
      </c>
      <c r="CH245" s="555">
        <f>421-SUM(CE245:CG245)</f>
        <v>103</v>
      </c>
      <c r="CI245" s="844">
        <f t="shared" si="551"/>
        <v>421</v>
      </c>
      <c r="CJ245" s="1173">
        <v>114</v>
      </c>
      <c r="CK245" s="555">
        <v>115</v>
      </c>
      <c r="CL245" s="555">
        <v>113</v>
      </c>
      <c r="CM245" s="555">
        <f>453-SUM(CJ245:CL245)</f>
        <v>111</v>
      </c>
      <c r="CN245" s="844">
        <f t="shared" si="552"/>
        <v>453</v>
      </c>
      <c r="CO245" s="1173">
        <v>119</v>
      </c>
      <c r="CP245" s="555">
        <v>117</v>
      </c>
      <c r="CQ245" s="555">
        <v>118</v>
      </c>
      <c r="CR245" s="555">
        <f>462-SUM(CO245:CQ245)</f>
        <v>108</v>
      </c>
      <c r="CS245" s="844">
        <f t="shared" si="553"/>
        <v>462</v>
      </c>
      <c r="CT245" s="1173">
        <v>131</v>
      </c>
      <c r="CU245" s="555">
        <v>131</v>
      </c>
      <c r="CV245" s="555">
        <v>129</v>
      </c>
      <c r="CW245" s="555">
        <f t="shared" si="554"/>
        <v>131</v>
      </c>
      <c r="CX245" s="844">
        <v>522</v>
      </c>
      <c r="CY245" s="1173">
        <v>136</v>
      </c>
      <c r="CZ245" s="555">
        <v>134</v>
      </c>
      <c r="DA245" s="555">
        <v>134</v>
      </c>
      <c r="DB245" s="555">
        <f t="shared" si="555"/>
        <v>228</v>
      </c>
      <c r="DC245" s="844">
        <v>632</v>
      </c>
      <c r="DD245" s="1173">
        <v>230</v>
      </c>
      <c r="DE245" s="555">
        <v>246</v>
      </c>
      <c r="DF245" s="555">
        <v>234</v>
      </c>
      <c r="DG245" s="555">
        <f t="shared" si="556"/>
        <v>243</v>
      </c>
      <c r="DH245" s="844">
        <v>953</v>
      </c>
      <c r="DI245" s="1173">
        <v>252</v>
      </c>
      <c r="DJ245" s="555">
        <v>253</v>
      </c>
      <c r="DK245" s="555">
        <v>260</v>
      </c>
      <c r="DL245" s="555">
        <f t="shared" si="557"/>
        <v>188</v>
      </c>
      <c r="DM245" s="844">
        <v>953</v>
      </c>
      <c r="DN245" s="1173">
        <v>222</v>
      </c>
      <c r="DO245" s="1173">
        <v>252</v>
      </c>
      <c r="DP245" s="1173">
        <v>221</v>
      </c>
      <c r="DQ245" s="555">
        <f t="shared" si="558"/>
        <v>232</v>
      </c>
      <c r="DR245" s="1499">
        <v>927</v>
      </c>
      <c r="DS245" s="1173">
        <v>241</v>
      </c>
      <c r="DT245" s="1173">
        <v>224</v>
      </c>
      <c r="DU245" s="1173">
        <v>221</v>
      </c>
      <c r="DV245" s="555">
        <f t="shared" si="559"/>
        <v>222</v>
      </c>
      <c r="DW245" s="1499">
        <v>908</v>
      </c>
      <c r="DX245" s="555"/>
      <c r="DY245" s="555"/>
      <c r="DZ245" s="555"/>
      <c r="EA245" s="555"/>
      <c r="EB245" s="844"/>
      <c r="EC245" s="555"/>
      <c r="ED245" s="555"/>
      <c r="EE245" s="555"/>
      <c r="EF245" s="555"/>
      <c r="EG245" s="844"/>
      <c r="EH245" s="555"/>
      <c r="EI245" s="555"/>
      <c r="EJ245" s="555"/>
      <c r="EK245" s="555"/>
      <c r="EL245" s="844"/>
    </row>
    <row r="246" spans="1:142">
      <c r="A246" s="557"/>
      <c r="B246" s="557" t="s">
        <v>183</v>
      </c>
      <c r="C246" s="708"/>
      <c r="D246" s="708" t="s">
        <v>503</v>
      </c>
      <c r="E246" s="708" t="s">
        <v>503</v>
      </c>
      <c r="F246" s="708" t="s">
        <v>503</v>
      </c>
      <c r="G246" s="708" t="s">
        <v>503</v>
      </c>
      <c r="H246" s="1188" t="s">
        <v>503</v>
      </c>
      <c r="I246" s="708" t="s">
        <v>503</v>
      </c>
      <c r="J246" s="708" t="s">
        <v>503</v>
      </c>
      <c r="K246" s="708" t="s">
        <v>503</v>
      </c>
      <c r="L246" s="708" t="s">
        <v>503</v>
      </c>
      <c r="M246" s="1188" t="s">
        <v>503</v>
      </c>
      <c r="N246" s="708" t="s">
        <v>503</v>
      </c>
      <c r="O246" s="708" t="s">
        <v>503</v>
      </c>
      <c r="P246" s="708" t="s">
        <v>503</v>
      </c>
      <c r="Q246" s="708" t="s">
        <v>503</v>
      </c>
      <c r="R246" s="1188" t="s">
        <v>503</v>
      </c>
      <c r="S246" s="708" t="s">
        <v>503</v>
      </c>
      <c r="T246" s="708" t="s">
        <v>503</v>
      </c>
      <c r="U246" s="708" t="s">
        <v>503</v>
      </c>
      <c r="V246" s="708" t="s">
        <v>503</v>
      </c>
      <c r="W246" s="1188" t="s">
        <v>503</v>
      </c>
      <c r="X246" s="708" t="s">
        <v>503</v>
      </c>
      <c r="Y246" s="708" t="s">
        <v>503</v>
      </c>
      <c r="Z246" s="708" t="s">
        <v>503</v>
      </c>
      <c r="AA246" s="708" t="s">
        <v>503</v>
      </c>
      <c r="AB246" s="1188" t="s">
        <v>503</v>
      </c>
      <c r="AC246" s="708" t="s">
        <v>503</v>
      </c>
      <c r="AD246" s="708" t="s">
        <v>503</v>
      </c>
      <c r="AE246" s="708" t="s">
        <v>503</v>
      </c>
      <c r="AF246" s="708" t="s">
        <v>503</v>
      </c>
      <c r="AG246" s="1188" t="s">
        <v>503</v>
      </c>
      <c r="AH246" s="708" t="s">
        <v>503</v>
      </c>
      <c r="AI246" s="708" t="s">
        <v>503</v>
      </c>
      <c r="AJ246" s="708" t="s">
        <v>503</v>
      </c>
      <c r="AK246" s="708" t="s">
        <v>503</v>
      </c>
      <c r="AL246" s="1188" t="s">
        <v>503</v>
      </c>
      <c r="AM246" s="708" t="s">
        <v>503</v>
      </c>
      <c r="AN246" s="708" t="s">
        <v>503</v>
      </c>
      <c r="AO246" s="708" t="s">
        <v>503</v>
      </c>
      <c r="AP246" s="708" t="s">
        <v>503</v>
      </c>
      <c r="AQ246" s="1188" t="s">
        <v>503</v>
      </c>
      <c r="AR246" s="708" t="s">
        <v>503</v>
      </c>
      <c r="AS246" s="147">
        <v>81</v>
      </c>
      <c r="AT246" s="147">
        <v>88</v>
      </c>
      <c r="AU246" s="802"/>
      <c r="AV246" s="708" t="s">
        <v>503</v>
      </c>
      <c r="AW246" s="708" t="s">
        <v>503</v>
      </c>
      <c r="AX246" s="708" t="s">
        <v>503</v>
      </c>
      <c r="AY246" s="708" t="s">
        <v>503</v>
      </c>
      <c r="AZ246" s="1188" t="s">
        <v>503</v>
      </c>
      <c r="BA246" s="147">
        <v>85</v>
      </c>
      <c r="BB246" s="147">
        <v>78</v>
      </c>
      <c r="BC246" s="147">
        <v>82</v>
      </c>
      <c r="BD246" s="147">
        <f>322-SUM(BA246:BC246)</f>
        <v>77</v>
      </c>
      <c r="BE246" s="844">
        <f t="shared" si="545"/>
        <v>322</v>
      </c>
      <c r="BF246" s="147">
        <v>57</v>
      </c>
      <c r="BG246" s="147">
        <v>55</v>
      </c>
      <c r="BH246" s="147">
        <v>55</v>
      </c>
      <c r="BI246" s="147">
        <f>215-SUM(BF246:BH246)</f>
        <v>48</v>
      </c>
      <c r="BJ246" s="844">
        <f t="shared" si="546"/>
        <v>215</v>
      </c>
      <c r="BK246" s="1173">
        <v>58</v>
      </c>
      <c r="BL246" s="555">
        <v>55</v>
      </c>
      <c r="BM246" s="555">
        <v>57</v>
      </c>
      <c r="BN246" s="555">
        <f>230-SUM(BK246:BM246)</f>
        <v>60</v>
      </c>
      <c r="BO246" s="844">
        <f t="shared" si="547"/>
        <v>230</v>
      </c>
      <c r="BP246" s="1173">
        <v>58</v>
      </c>
      <c r="BQ246" s="555">
        <v>52</v>
      </c>
      <c r="BR246" s="555">
        <v>52</v>
      </c>
      <c r="BS246" s="555">
        <f>208-SUM(BP246:BR246)</f>
        <v>46</v>
      </c>
      <c r="BT246" s="844">
        <f t="shared" si="548"/>
        <v>208</v>
      </c>
      <c r="BU246" s="1173">
        <v>55</v>
      </c>
      <c r="BV246" s="555">
        <v>53</v>
      </c>
      <c r="BW246" s="555">
        <v>51</v>
      </c>
      <c r="BX246" s="555">
        <f>214-SUM(BU246:BW246)</f>
        <v>55</v>
      </c>
      <c r="BY246" s="844">
        <f t="shared" si="549"/>
        <v>214</v>
      </c>
      <c r="BZ246" s="1173">
        <v>58</v>
      </c>
      <c r="CA246" s="555">
        <v>51</v>
      </c>
      <c r="CB246" s="555">
        <v>51</v>
      </c>
      <c r="CC246" s="555">
        <f>212-SUM(BZ246:CB246)</f>
        <v>52</v>
      </c>
      <c r="CD246" s="844">
        <f t="shared" si="550"/>
        <v>212</v>
      </c>
      <c r="CE246" s="1173">
        <v>58</v>
      </c>
      <c r="CF246" s="555">
        <v>51</v>
      </c>
      <c r="CG246" s="555">
        <v>54</v>
      </c>
      <c r="CH246" s="555">
        <f>219-SUM(CE246:CG246)</f>
        <v>56</v>
      </c>
      <c r="CI246" s="844">
        <f t="shared" si="551"/>
        <v>219</v>
      </c>
      <c r="CJ246" s="1173">
        <v>57</v>
      </c>
      <c r="CK246" s="555">
        <v>53</v>
      </c>
      <c r="CL246" s="555">
        <v>53</v>
      </c>
      <c r="CM246" s="555">
        <f>215-SUM(CJ246:CL246)</f>
        <v>52</v>
      </c>
      <c r="CN246" s="844">
        <f t="shared" si="552"/>
        <v>215</v>
      </c>
      <c r="CO246" s="1173">
        <v>55</v>
      </c>
      <c r="CP246" s="555">
        <v>54</v>
      </c>
      <c r="CQ246" s="555">
        <v>53</v>
      </c>
      <c r="CR246" s="555">
        <f>214-SUM(CO246:CQ246)</f>
        <v>52</v>
      </c>
      <c r="CS246" s="844">
        <f t="shared" si="553"/>
        <v>214</v>
      </c>
      <c r="CT246" s="1173">
        <v>56</v>
      </c>
      <c r="CU246" s="555">
        <v>53</v>
      </c>
      <c r="CV246" s="555">
        <v>52</v>
      </c>
      <c r="CW246" s="555">
        <f t="shared" si="554"/>
        <v>56</v>
      </c>
      <c r="CX246" s="844">
        <v>217</v>
      </c>
      <c r="CY246" s="1173">
        <v>54</v>
      </c>
      <c r="CZ246" s="555">
        <v>52</v>
      </c>
      <c r="DA246" s="555">
        <v>52</v>
      </c>
      <c r="DB246" s="555">
        <f t="shared" si="555"/>
        <v>92</v>
      </c>
      <c r="DC246" s="844">
        <v>250</v>
      </c>
      <c r="DD246" s="1173">
        <v>96</v>
      </c>
      <c r="DE246" s="555">
        <v>95</v>
      </c>
      <c r="DF246" s="555">
        <v>96</v>
      </c>
      <c r="DG246" s="555">
        <f t="shared" si="556"/>
        <v>83</v>
      </c>
      <c r="DH246" s="844">
        <v>370</v>
      </c>
      <c r="DI246" s="1173">
        <v>95</v>
      </c>
      <c r="DJ246" s="555">
        <v>86</v>
      </c>
      <c r="DK246" s="555">
        <v>87</v>
      </c>
      <c r="DL246" s="555">
        <f t="shared" si="557"/>
        <v>69</v>
      </c>
      <c r="DM246" s="844">
        <v>337</v>
      </c>
      <c r="DN246" s="1173">
        <v>78</v>
      </c>
      <c r="DO246" s="1173">
        <v>72</v>
      </c>
      <c r="DP246" s="1173">
        <v>74</v>
      </c>
      <c r="DQ246" s="555">
        <f t="shared" si="558"/>
        <v>69</v>
      </c>
      <c r="DR246" s="1499">
        <v>293</v>
      </c>
      <c r="DS246" s="1173">
        <v>71</v>
      </c>
      <c r="DT246" s="1173">
        <v>68</v>
      </c>
      <c r="DU246" s="1173">
        <v>65</v>
      </c>
      <c r="DV246" s="555">
        <f t="shared" si="559"/>
        <v>61</v>
      </c>
      <c r="DW246" s="1499">
        <v>265</v>
      </c>
      <c r="DX246" s="555"/>
      <c r="DY246" s="555"/>
      <c r="DZ246" s="555"/>
      <c r="EA246" s="555"/>
      <c r="EB246" s="844"/>
      <c r="EC246" s="555"/>
      <c r="ED246" s="555"/>
      <c r="EE246" s="555"/>
      <c r="EF246" s="555"/>
      <c r="EG246" s="844"/>
      <c r="EH246" s="555"/>
      <c r="EI246" s="555"/>
      <c r="EJ246" s="555"/>
      <c r="EK246" s="555"/>
      <c r="EL246" s="844"/>
    </row>
    <row r="247" spans="1:142">
      <c r="A247" s="557"/>
      <c r="B247" s="555" t="s">
        <v>184</v>
      </c>
      <c r="C247" s="555"/>
      <c r="D247" s="708" t="s">
        <v>503</v>
      </c>
      <c r="E247" s="708" t="s">
        <v>503</v>
      </c>
      <c r="F247" s="708" t="s">
        <v>503</v>
      </c>
      <c r="G247" s="708" t="s">
        <v>503</v>
      </c>
      <c r="H247" s="1188" t="s">
        <v>503</v>
      </c>
      <c r="I247" s="708" t="s">
        <v>503</v>
      </c>
      <c r="J247" s="708" t="s">
        <v>503</v>
      </c>
      <c r="K247" s="708" t="s">
        <v>503</v>
      </c>
      <c r="L247" s="708" t="s">
        <v>503</v>
      </c>
      <c r="M247" s="1188" t="s">
        <v>503</v>
      </c>
      <c r="N247" s="708" t="s">
        <v>503</v>
      </c>
      <c r="O247" s="708" t="s">
        <v>503</v>
      </c>
      <c r="P247" s="708" t="s">
        <v>503</v>
      </c>
      <c r="Q247" s="708" t="s">
        <v>503</v>
      </c>
      <c r="R247" s="1188" t="s">
        <v>503</v>
      </c>
      <c r="S247" s="708" t="s">
        <v>503</v>
      </c>
      <c r="T247" s="708" t="s">
        <v>503</v>
      </c>
      <c r="U247" s="708" t="s">
        <v>503</v>
      </c>
      <c r="V247" s="708" t="s">
        <v>503</v>
      </c>
      <c r="W247" s="1188" t="s">
        <v>503</v>
      </c>
      <c r="X247" s="708" t="s">
        <v>503</v>
      </c>
      <c r="Y247" s="708" t="s">
        <v>503</v>
      </c>
      <c r="Z247" s="708" t="s">
        <v>503</v>
      </c>
      <c r="AA247" s="708" t="s">
        <v>503</v>
      </c>
      <c r="AB247" s="1188" t="s">
        <v>503</v>
      </c>
      <c r="AC247" s="708" t="s">
        <v>503</v>
      </c>
      <c r="AD247" s="708" t="s">
        <v>503</v>
      </c>
      <c r="AE247" s="708" t="s">
        <v>503</v>
      </c>
      <c r="AF247" s="708" t="s">
        <v>503</v>
      </c>
      <c r="AG247" s="1188" t="s">
        <v>503</v>
      </c>
      <c r="AH247" s="708" t="s">
        <v>503</v>
      </c>
      <c r="AI247" s="708" t="s">
        <v>503</v>
      </c>
      <c r="AJ247" s="708" t="s">
        <v>503</v>
      </c>
      <c r="AK247" s="708" t="s">
        <v>503</v>
      </c>
      <c r="AL247" s="1188" t="s">
        <v>503</v>
      </c>
      <c r="AM247" s="708" t="s">
        <v>503</v>
      </c>
      <c r="AN247" s="708" t="s">
        <v>503</v>
      </c>
      <c r="AO247" s="708" t="s">
        <v>503</v>
      </c>
      <c r="AP247" s="708" t="s">
        <v>503</v>
      </c>
      <c r="AQ247" s="1188" t="s">
        <v>503</v>
      </c>
      <c r="AR247" s="708" t="s">
        <v>503</v>
      </c>
      <c r="AS247" s="147">
        <v>42</v>
      </c>
      <c r="AT247" s="147">
        <v>41</v>
      </c>
      <c r="AU247" s="802"/>
      <c r="AV247" s="708" t="s">
        <v>503</v>
      </c>
      <c r="AW247" s="708" t="s">
        <v>503</v>
      </c>
      <c r="AX247" s="708" t="s">
        <v>503</v>
      </c>
      <c r="AY247" s="708" t="s">
        <v>503</v>
      </c>
      <c r="AZ247" s="1188" t="s">
        <v>503</v>
      </c>
      <c r="BA247" s="147">
        <v>36</v>
      </c>
      <c r="BB247" s="147">
        <v>44</v>
      </c>
      <c r="BC247" s="147">
        <v>41</v>
      </c>
      <c r="BD247" s="147">
        <f>154-SUM(BA247:BC247)</f>
        <v>33</v>
      </c>
      <c r="BE247" s="844">
        <f t="shared" si="545"/>
        <v>154</v>
      </c>
      <c r="BF247" s="147">
        <v>32</v>
      </c>
      <c r="BG247" s="147">
        <v>33</v>
      </c>
      <c r="BH247" s="147">
        <v>34</v>
      </c>
      <c r="BI247" s="147">
        <f>129-SUM(BF247:BH247)</f>
        <v>30</v>
      </c>
      <c r="BJ247" s="844">
        <f t="shared" si="546"/>
        <v>129</v>
      </c>
      <c r="BK247" s="1173">
        <v>33</v>
      </c>
      <c r="BL247" s="555">
        <v>32</v>
      </c>
      <c r="BM247" s="555">
        <v>32</v>
      </c>
      <c r="BN247" s="555">
        <f>130-SUM(BK247:BM247)</f>
        <v>33</v>
      </c>
      <c r="BO247" s="844">
        <f t="shared" si="547"/>
        <v>130</v>
      </c>
      <c r="BP247" s="1173">
        <v>32</v>
      </c>
      <c r="BQ247" s="555">
        <v>27</v>
      </c>
      <c r="BR247" s="555">
        <v>28</v>
      </c>
      <c r="BS247" s="555">
        <f>109-SUM(BP247:BR247)</f>
        <v>22</v>
      </c>
      <c r="BT247" s="844">
        <f t="shared" si="548"/>
        <v>109</v>
      </c>
      <c r="BU247" s="1173">
        <v>28</v>
      </c>
      <c r="BV247" s="555">
        <v>27</v>
      </c>
      <c r="BW247" s="555">
        <v>27</v>
      </c>
      <c r="BX247" s="555">
        <f>108-SUM(BU247:BW247)</f>
        <v>26</v>
      </c>
      <c r="BY247" s="844">
        <f t="shared" si="549"/>
        <v>108</v>
      </c>
      <c r="BZ247" s="1173">
        <v>30</v>
      </c>
      <c r="CA247" s="555">
        <v>28</v>
      </c>
      <c r="CB247" s="555">
        <v>27</v>
      </c>
      <c r="CC247" s="555">
        <f>110-SUM(BZ247:CB247)</f>
        <v>25</v>
      </c>
      <c r="CD247" s="844">
        <f t="shared" si="550"/>
        <v>110</v>
      </c>
      <c r="CE247" s="1173">
        <v>28</v>
      </c>
      <c r="CF247" s="555">
        <v>29</v>
      </c>
      <c r="CG247" s="555">
        <v>27</v>
      </c>
      <c r="CH247" s="555">
        <f>111-SUM(CE247:CG247)</f>
        <v>27</v>
      </c>
      <c r="CI247" s="844">
        <f t="shared" si="551"/>
        <v>111</v>
      </c>
      <c r="CJ247" s="1173">
        <v>27</v>
      </c>
      <c r="CK247" s="555">
        <v>28</v>
      </c>
      <c r="CL247" s="555">
        <v>30</v>
      </c>
      <c r="CM247" s="555">
        <f>110-SUM(CJ247:CL247)</f>
        <v>25</v>
      </c>
      <c r="CN247" s="844">
        <f t="shared" si="552"/>
        <v>110</v>
      </c>
      <c r="CO247" s="1173">
        <v>28</v>
      </c>
      <c r="CP247" s="555">
        <v>27</v>
      </c>
      <c r="CQ247" s="555">
        <v>28</v>
      </c>
      <c r="CR247" s="555">
        <f>97-SUM(CO247:CQ247)</f>
        <v>14</v>
      </c>
      <c r="CS247" s="844">
        <f t="shared" si="553"/>
        <v>97</v>
      </c>
      <c r="CT247" s="1173">
        <v>24</v>
      </c>
      <c r="CU247" s="555">
        <v>25</v>
      </c>
      <c r="CV247" s="555">
        <v>24</v>
      </c>
      <c r="CW247" s="555">
        <f t="shared" si="554"/>
        <v>23</v>
      </c>
      <c r="CX247" s="844">
        <v>96</v>
      </c>
      <c r="CY247" s="1173">
        <v>25</v>
      </c>
      <c r="CZ247" s="555">
        <v>27</v>
      </c>
      <c r="DA247" s="555">
        <v>27</v>
      </c>
      <c r="DB247" s="555">
        <f t="shared" si="555"/>
        <v>59</v>
      </c>
      <c r="DC247" s="844">
        <v>138</v>
      </c>
      <c r="DD247" s="1173">
        <v>64</v>
      </c>
      <c r="DE247" s="555">
        <v>67</v>
      </c>
      <c r="DF247" s="555">
        <v>55</v>
      </c>
      <c r="DG247" s="555">
        <f t="shared" si="556"/>
        <v>64</v>
      </c>
      <c r="DH247" s="844">
        <v>250</v>
      </c>
      <c r="DI247" s="1173">
        <v>56</v>
      </c>
      <c r="DJ247" s="555">
        <v>68</v>
      </c>
      <c r="DK247" s="555">
        <v>63</v>
      </c>
      <c r="DL247" s="555">
        <f t="shared" si="557"/>
        <v>69</v>
      </c>
      <c r="DM247" s="844">
        <v>256</v>
      </c>
      <c r="DN247" s="1173">
        <v>64</v>
      </c>
      <c r="DO247" s="1173">
        <v>61</v>
      </c>
      <c r="DP247" s="1173">
        <v>62</v>
      </c>
      <c r="DQ247" s="555">
        <f t="shared" si="558"/>
        <v>62</v>
      </c>
      <c r="DR247" s="1499">
        <v>249</v>
      </c>
      <c r="DS247" s="1173">
        <v>66</v>
      </c>
      <c r="DT247" s="1173">
        <v>65</v>
      </c>
      <c r="DU247" s="1173">
        <v>63</v>
      </c>
      <c r="DV247" s="555">
        <f t="shared" si="559"/>
        <v>66</v>
      </c>
      <c r="DW247" s="1499">
        <v>260</v>
      </c>
      <c r="DX247" s="555"/>
      <c r="DY247" s="555"/>
      <c r="DZ247" s="555"/>
      <c r="EA247" s="555"/>
      <c r="EB247" s="844"/>
      <c r="EC247" s="555"/>
      <c r="ED247" s="555"/>
      <c r="EE247" s="555"/>
      <c r="EF247" s="555"/>
      <c r="EG247" s="844"/>
      <c r="EH247" s="555"/>
      <c r="EI247" s="555"/>
      <c r="EJ247" s="555"/>
      <c r="EK247" s="555"/>
      <c r="EL247" s="844"/>
    </row>
    <row r="248" spans="1:142">
      <c r="A248" s="557"/>
      <c r="B248" s="557" t="s">
        <v>185</v>
      </c>
      <c r="C248" s="708"/>
      <c r="D248" s="708" t="s">
        <v>503</v>
      </c>
      <c r="E248" s="708" t="s">
        <v>503</v>
      </c>
      <c r="F248" s="708" t="s">
        <v>503</v>
      </c>
      <c r="G248" s="708" t="s">
        <v>503</v>
      </c>
      <c r="H248" s="1188" t="s">
        <v>503</v>
      </c>
      <c r="I248" s="708" t="s">
        <v>503</v>
      </c>
      <c r="J248" s="708" t="s">
        <v>503</v>
      </c>
      <c r="K248" s="708" t="s">
        <v>503</v>
      </c>
      <c r="L248" s="708" t="s">
        <v>503</v>
      </c>
      <c r="M248" s="1188" t="s">
        <v>503</v>
      </c>
      <c r="N248" s="708" t="s">
        <v>503</v>
      </c>
      <c r="O248" s="708" t="s">
        <v>503</v>
      </c>
      <c r="P248" s="708" t="s">
        <v>503</v>
      </c>
      <c r="Q248" s="708" t="s">
        <v>503</v>
      </c>
      <c r="R248" s="1188" t="s">
        <v>503</v>
      </c>
      <c r="S248" s="708" t="s">
        <v>503</v>
      </c>
      <c r="T248" s="708" t="s">
        <v>503</v>
      </c>
      <c r="U248" s="708" t="s">
        <v>503</v>
      </c>
      <c r="V248" s="708" t="s">
        <v>503</v>
      </c>
      <c r="W248" s="1188" t="s">
        <v>503</v>
      </c>
      <c r="X248" s="708" t="s">
        <v>503</v>
      </c>
      <c r="Y248" s="708" t="s">
        <v>503</v>
      </c>
      <c r="Z248" s="708" t="s">
        <v>503</v>
      </c>
      <c r="AA248" s="708" t="s">
        <v>503</v>
      </c>
      <c r="AB248" s="1188" t="s">
        <v>503</v>
      </c>
      <c r="AC248" s="708" t="s">
        <v>503</v>
      </c>
      <c r="AD248" s="708" t="s">
        <v>503</v>
      </c>
      <c r="AE248" s="708" t="s">
        <v>503</v>
      </c>
      <c r="AF248" s="708" t="s">
        <v>503</v>
      </c>
      <c r="AG248" s="1188" t="s">
        <v>503</v>
      </c>
      <c r="AH248" s="708" t="s">
        <v>503</v>
      </c>
      <c r="AI248" s="708" t="s">
        <v>503</v>
      </c>
      <c r="AJ248" s="708" t="s">
        <v>503</v>
      </c>
      <c r="AK248" s="708" t="s">
        <v>503</v>
      </c>
      <c r="AL248" s="1188" t="s">
        <v>503</v>
      </c>
      <c r="AM248" s="708" t="s">
        <v>503</v>
      </c>
      <c r="AN248" s="708" t="s">
        <v>503</v>
      </c>
      <c r="AO248" s="708" t="s">
        <v>503</v>
      </c>
      <c r="AP248" s="708" t="s">
        <v>503</v>
      </c>
      <c r="AQ248" s="1188" t="s">
        <v>503</v>
      </c>
      <c r="AR248" s="708" t="s">
        <v>503</v>
      </c>
      <c r="AS248" s="147">
        <v>114</v>
      </c>
      <c r="AT248" s="147">
        <v>74</v>
      </c>
      <c r="AU248" s="802"/>
      <c r="AV248" s="708" t="s">
        <v>503</v>
      </c>
      <c r="AW248" s="708" t="s">
        <v>503</v>
      </c>
      <c r="AX248" s="708" t="s">
        <v>503</v>
      </c>
      <c r="AY248" s="708" t="s">
        <v>503</v>
      </c>
      <c r="AZ248" s="1188" t="s">
        <v>503</v>
      </c>
      <c r="BA248" s="147">
        <v>101</v>
      </c>
      <c r="BB248" s="147">
        <v>91</v>
      </c>
      <c r="BC248" s="147">
        <v>91</v>
      </c>
      <c r="BD248" s="147">
        <f>349-SUM(BA248:BC248)</f>
        <v>66</v>
      </c>
      <c r="BE248" s="844">
        <f t="shared" si="545"/>
        <v>349</v>
      </c>
      <c r="BF248" s="147">
        <v>43</v>
      </c>
      <c r="BG248" s="147">
        <v>66</v>
      </c>
      <c r="BH248" s="147">
        <v>50</v>
      </c>
      <c r="BI248" s="147">
        <f>76+123+17-SUM(BF248:BH248)</f>
        <v>57</v>
      </c>
      <c r="BJ248" s="844">
        <f t="shared" si="546"/>
        <v>216</v>
      </c>
      <c r="BK248" s="1173">
        <v>43</v>
      </c>
      <c r="BL248" s="555">
        <v>43</v>
      </c>
      <c r="BM248" s="555">
        <v>39</v>
      </c>
      <c r="BN248" s="555">
        <f>59+92-1-SUM(BK248:BM248)</f>
        <v>25</v>
      </c>
      <c r="BO248" s="844">
        <f t="shared" si="547"/>
        <v>150</v>
      </c>
      <c r="BP248" s="1173">
        <v>22</v>
      </c>
      <c r="BQ248" s="555">
        <v>31</v>
      </c>
      <c r="BR248" s="555">
        <v>15</v>
      </c>
      <c r="BS248" s="555">
        <f>47+59-17-SUM(BP248:BR248)</f>
        <v>21</v>
      </c>
      <c r="BT248" s="844">
        <f t="shared" si="548"/>
        <v>89</v>
      </c>
      <c r="BU248" s="1173">
        <v>4</v>
      </c>
      <c r="BV248" s="555">
        <v>14</v>
      </c>
      <c r="BW248" s="555">
        <v>29</v>
      </c>
      <c r="BX248" s="555">
        <f>93-SUM(BU248:BW248)</f>
        <v>46</v>
      </c>
      <c r="BY248" s="844">
        <f t="shared" si="549"/>
        <v>93</v>
      </c>
      <c r="BZ248" s="1173">
        <v>26</v>
      </c>
      <c r="CA248" s="555">
        <v>22</v>
      </c>
      <c r="CB248" s="555">
        <v>29</v>
      </c>
      <c r="CC248" s="555">
        <f>92-SUM(BZ248:CB248)</f>
        <v>15</v>
      </c>
      <c r="CD248" s="844">
        <f t="shared" si="550"/>
        <v>92</v>
      </c>
      <c r="CE248" s="1173">
        <v>19</v>
      </c>
      <c r="CF248" s="555">
        <v>13</v>
      </c>
      <c r="CG248" s="555">
        <v>20</v>
      </c>
      <c r="CH248" s="555">
        <f>76-SUM(CE248:CG248)</f>
        <v>24</v>
      </c>
      <c r="CI248" s="844">
        <f t="shared" si="551"/>
        <v>76</v>
      </c>
      <c r="CJ248" s="1173">
        <v>14</v>
      </c>
      <c r="CK248" s="555">
        <v>7</v>
      </c>
      <c r="CL248" s="555">
        <v>15</v>
      </c>
      <c r="CM248" s="555">
        <f>53-SUM(CJ248:CL248)</f>
        <v>17</v>
      </c>
      <c r="CN248" s="844">
        <f t="shared" si="552"/>
        <v>53</v>
      </c>
      <c r="CO248" s="1173">
        <v>15</v>
      </c>
      <c r="CP248" s="555">
        <v>17</v>
      </c>
      <c r="CQ248" s="555">
        <v>15</v>
      </c>
      <c r="CR248" s="555">
        <f>70-SUM(CO248:CQ248)</f>
        <v>23</v>
      </c>
      <c r="CS248" s="844">
        <f t="shared" si="553"/>
        <v>70</v>
      </c>
      <c r="CT248" s="1173">
        <v>16</v>
      </c>
      <c r="CU248" s="555">
        <v>13</v>
      </c>
      <c r="CV248" s="555">
        <v>13</v>
      </c>
      <c r="CW248" s="555">
        <f t="shared" si="554"/>
        <v>24</v>
      </c>
      <c r="CX248" s="844">
        <v>66</v>
      </c>
      <c r="CY248" s="1173">
        <v>17</v>
      </c>
      <c r="CZ248" s="555">
        <v>-4</v>
      </c>
      <c r="DA248" s="555">
        <v>-4</v>
      </c>
      <c r="DB248" s="555">
        <f t="shared" si="555"/>
        <v>33</v>
      </c>
      <c r="DC248" s="844">
        <v>42</v>
      </c>
      <c r="DD248" s="1173">
        <v>4</v>
      </c>
      <c r="DE248" s="555">
        <v>21</v>
      </c>
      <c r="DF248" s="555">
        <v>30</v>
      </c>
      <c r="DG248" s="555">
        <f t="shared" si="556"/>
        <v>43</v>
      </c>
      <c r="DH248" s="844">
        <v>98</v>
      </c>
      <c r="DI248" s="1173">
        <v>14</v>
      </c>
      <c r="DJ248" s="555">
        <v>3</v>
      </c>
      <c r="DK248" s="555">
        <v>-3</v>
      </c>
      <c r="DL248" s="555">
        <f t="shared" si="557"/>
        <v>-9</v>
      </c>
      <c r="DM248" s="844">
        <v>5</v>
      </c>
      <c r="DN248" s="1173">
        <v>-17</v>
      </c>
      <c r="DO248" s="1173">
        <v>44</v>
      </c>
      <c r="DP248" s="1173">
        <v>15</v>
      </c>
      <c r="DQ248" s="555">
        <f t="shared" si="558"/>
        <v>21</v>
      </c>
      <c r="DR248" s="1499">
        <v>63</v>
      </c>
      <c r="DS248" s="1173">
        <v>0</v>
      </c>
      <c r="DT248" s="1173">
        <v>12</v>
      </c>
      <c r="DU248" s="1173">
        <v>5</v>
      </c>
      <c r="DV248" s="555">
        <f t="shared" si="559"/>
        <v>-10</v>
      </c>
      <c r="DW248" s="1499">
        <v>7</v>
      </c>
      <c r="DX248" s="555"/>
      <c r="DY248" s="555"/>
      <c r="DZ248" s="555"/>
      <c r="EA248" s="555"/>
      <c r="EB248" s="844"/>
      <c r="EC248" s="555"/>
      <c r="ED248" s="555"/>
      <c r="EE248" s="555"/>
      <c r="EF248" s="555"/>
      <c r="EG248" s="844"/>
      <c r="EH248" s="555"/>
      <c r="EI248" s="555"/>
      <c r="EJ248" s="555"/>
      <c r="EK248" s="555"/>
      <c r="EL248" s="844"/>
    </row>
    <row r="249" spans="1:142">
      <c r="A249" s="556"/>
      <c r="B249" s="556" t="s">
        <v>186</v>
      </c>
      <c r="C249" s="1190"/>
      <c r="D249" s="1190" t="s">
        <v>503</v>
      </c>
      <c r="E249" s="1190" t="s">
        <v>503</v>
      </c>
      <c r="F249" s="1190" t="s">
        <v>503</v>
      </c>
      <c r="G249" s="1190" t="s">
        <v>503</v>
      </c>
      <c r="H249" s="1193" t="s">
        <v>503</v>
      </c>
      <c r="I249" s="1190" t="s">
        <v>503</v>
      </c>
      <c r="J249" s="1190" t="s">
        <v>503</v>
      </c>
      <c r="K249" s="1190" t="s">
        <v>503</v>
      </c>
      <c r="L249" s="1190" t="s">
        <v>503</v>
      </c>
      <c r="M249" s="1193" t="s">
        <v>503</v>
      </c>
      <c r="N249" s="1190" t="s">
        <v>503</v>
      </c>
      <c r="O249" s="1190" t="s">
        <v>503</v>
      </c>
      <c r="P249" s="1190" t="s">
        <v>503</v>
      </c>
      <c r="Q249" s="1190" t="s">
        <v>503</v>
      </c>
      <c r="R249" s="1193" t="s">
        <v>503</v>
      </c>
      <c r="S249" s="1190" t="s">
        <v>503</v>
      </c>
      <c r="T249" s="1190" t="s">
        <v>503</v>
      </c>
      <c r="U249" s="1190" t="s">
        <v>503</v>
      </c>
      <c r="V249" s="1190" t="s">
        <v>503</v>
      </c>
      <c r="W249" s="1193" t="s">
        <v>503</v>
      </c>
      <c r="X249" s="1190" t="s">
        <v>503</v>
      </c>
      <c r="Y249" s="1190" t="s">
        <v>503</v>
      </c>
      <c r="Z249" s="1190" t="s">
        <v>503</v>
      </c>
      <c r="AA249" s="1190" t="s">
        <v>503</v>
      </c>
      <c r="AB249" s="1193" t="s">
        <v>503</v>
      </c>
      <c r="AC249" s="1190" t="s">
        <v>503</v>
      </c>
      <c r="AD249" s="1190" t="s">
        <v>503</v>
      </c>
      <c r="AE249" s="1190" t="s">
        <v>503</v>
      </c>
      <c r="AF249" s="1190" t="s">
        <v>503</v>
      </c>
      <c r="AG249" s="1193" t="s">
        <v>503</v>
      </c>
      <c r="AH249" s="1190" t="s">
        <v>503</v>
      </c>
      <c r="AI249" s="1190" t="s">
        <v>503</v>
      </c>
      <c r="AJ249" s="1190" t="s">
        <v>503</v>
      </c>
      <c r="AK249" s="1190" t="s">
        <v>503</v>
      </c>
      <c r="AL249" s="1193" t="s">
        <v>503</v>
      </c>
      <c r="AM249" s="1190" t="s">
        <v>503</v>
      </c>
      <c r="AN249" s="1190" t="s">
        <v>503</v>
      </c>
      <c r="AO249" s="1190" t="s">
        <v>503</v>
      </c>
      <c r="AP249" s="1190" t="s">
        <v>503</v>
      </c>
      <c r="AQ249" s="1193" t="s">
        <v>503</v>
      </c>
      <c r="AR249" s="1190" t="s">
        <v>503</v>
      </c>
      <c r="AS249" s="148">
        <v>0</v>
      </c>
      <c r="AT249" s="148">
        <v>0</v>
      </c>
      <c r="AU249" s="802"/>
      <c r="AV249" s="1190" t="s">
        <v>503</v>
      </c>
      <c r="AW249" s="1190" t="s">
        <v>503</v>
      </c>
      <c r="AX249" s="1190" t="s">
        <v>503</v>
      </c>
      <c r="AY249" s="1190" t="s">
        <v>503</v>
      </c>
      <c r="AZ249" s="1193" t="s">
        <v>503</v>
      </c>
      <c r="BA249" s="148">
        <v>4</v>
      </c>
      <c r="BB249" s="148">
        <v>7</v>
      </c>
      <c r="BC249" s="148">
        <v>0</v>
      </c>
      <c r="BD249" s="148">
        <f>-133-SUM(BA249:BC249)</f>
        <v>-144</v>
      </c>
      <c r="BE249" s="844">
        <f t="shared" si="545"/>
        <v>-133</v>
      </c>
      <c r="BF249" s="148">
        <v>-9</v>
      </c>
      <c r="BG249" s="148">
        <v>-4</v>
      </c>
      <c r="BH249" s="148">
        <v>-18</v>
      </c>
      <c r="BI249" s="148">
        <f>-33-SUM(BF249:BH249)</f>
        <v>-2</v>
      </c>
      <c r="BJ249" s="844">
        <f t="shared" si="546"/>
        <v>-33</v>
      </c>
      <c r="BK249" s="1179">
        <v>1</v>
      </c>
      <c r="BL249" s="556">
        <v>1</v>
      </c>
      <c r="BM249" s="556">
        <v>2</v>
      </c>
      <c r="BN249" s="556">
        <f>27-SUM(BK249:BM249)</f>
        <v>23</v>
      </c>
      <c r="BO249" s="844">
        <f t="shared" si="547"/>
        <v>27</v>
      </c>
      <c r="BP249" s="1179">
        <v>20</v>
      </c>
      <c r="BQ249" s="556">
        <v>6</v>
      </c>
      <c r="BR249" s="556">
        <v>-9</v>
      </c>
      <c r="BS249" s="556">
        <f>31-SUM(BP249:BR249)</f>
        <v>14</v>
      </c>
      <c r="BT249" s="844">
        <f t="shared" si="548"/>
        <v>31</v>
      </c>
      <c r="BU249" s="1179">
        <v>11</v>
      </c>
      <c r="BV249" s="556">
        <v>9</v>
      </c>
      <c r="BW249" s="556">
        <v>21</v>
      </c>
      <c r="BX249" s="556">
        <f>44-SUM(BU249:BW249)</f>
        <v>3</v>
      </c>
      <c r="BY249" s="844">
        <f t="shared" si="549"/>
        <v>44</v>
      </c>
      <c r="BZ249" s="1179">
        <v>2</v>
      </c>
      <c r="CA249" s="556">
        <v>-9</v>
      </c>
      <c r="CB249" s="556">
        <v>10</v>
      </c>
      <c r="CC249" s="556">
        <f>4-SUM(BZ249:CB249)</f>
        <v>1</v>
      </c>
      <c r="CD249" s="844">
        <f t="shared" si="550"/>
        <v>4</v>
      </c>
      <c r="CE249" s="1179">
        <v>11</v>
      </c>
      <c r="CF249" s="556">
        <v>-15</v>
      </c>
      <c r="CG249" s="556">
        <v>10</v>
      </c>
      <c r="CH249" s="556">
        <f>10-SUM(CE249:CG249)</f>
        <v>4</v>
      </c>
      <c r="CI249" s="844">
        <f t="shared" si="551"/>
        <v>10</v>
      </c>
      <c r="CJ249" s="1179">
        <v>0</v>
      </c>
      <c r="CK249" s="556">
        <v>-14</v>
      </c>
      <c r="CL249" s="556">
        <v>2</v>
      </c>
      <c r="CM249" s="556">
        <f>-15-SUM(CJ249:CL249)</f>
        <v>-3</v>
      </c>
      <c r="CN249" s="844">
        <f t="shared" si="552"/>
        <v>-15</v>
      </c>
      <c r="CO249" s="1179">
        <v>0</v>
      </c>
      <c r="CP249" s="556">
        <v>2</v>
      </c>
      <c r="CQ249" s="556">
        <v>-3</v>
      </c>
      <c r="CR249" s="556">
        <f>0-SUM(CO249:CQ249)</f>
        <v>1</v>
      </c>
      <c r="CS249" s="844">
        <f t="shared" si="553"/>
        <v>0</v>
      </c>
      <c r="CT249" s="1179">
        <v>79</v>
      </c>
      <c r="CU249" s="556">
        <v>15</v>
      </c>
      <c r="CV249" s="556">
        <v>12</v>
      </c>
      <c r="CW249" s="556">
        <f t="shared" si="554"/>
        <v>3</v>
      </c>
      <c r="CX249" s="844">
        <v>109</v>
      </c>
      <c r="CY249" s="1179">
        <v>1</v>
      </c>
      <c r="CZ249" s="556">
        <v>15</v>
      </c>
      <c r="DA249" s="556">
        <v>15</v>
      </c>
      <c r="DB249" s="556">
        <f t="shared" si="555"/>
        <v>1</v>
      </c>
      <c r="DC249" s="844">
        <v>32</v>
      </c>
      <c r="DD249" s="1179">
        <v>1</v>
      </c>
      <c r="DE249" s="556">
        <v>18</v>
      </c>
      <c r="DF249" s="556">
        <v>-1</v>
      </c>
      <c r="DG249" s="556">
        <f t="shared" si="556"/>
        <v>12</v>
      </c>
      <c r="DH249" s="844">
        <v>30</v>
      </c>
      <c r="DI249" s="1179">
        <v>22</v>
      </c>
      <c r="DJ249" s="556">
        <v>10</v>
      </c>
      <c r="DK249" s="556">
        <v>22</v>
      </c>
      <c r="DL249" s="556">
        <f t="shared" si="557"/>
        <v>8</v>
      </c>
      <c r="DM249" s="844">
        <v>62</v>
      </c>
      <c r="DN249" s="1179">
        <v>13</v>
      </c>
      <c r="DO249" s="1179">
        <v>17</v>
      </c>
      <c r="DP249" s="1179">
        <v>12</v>
      </c>
      <c r="DQ249" s="556">
        <f t="shared" si="558"/>
        <v>13</v>
      </c>
      <c r="DR249" s="1499">
        <v>55</v>
      </c>
      <c r="DS249" s="1179">
        <v>12</v>
      </c>
      <c r="DT249" s="1179">
        <v>14</v>
      </c>
      <c r="DU249" s="1179">
        <v>9</v>
      </c>
      <c r="DV249" s="556">
        <f t="shared" si="559"/>
        <v>4</v>
      </c>
      <c r="DW249" s="1499">
        <v>39</v>
      </c>
      <c r="DX249" s="556"/>
      <c r="DY249" s="556"/>
      <c r="DZ249" s="556"/>
      <c r="EA249" s="556"/>
      <c r="EB249" s="844"/>
      <c r="EC249" s="556"/>
      <c r="ED249" s="556"/>
      <c r="EE249" s="556"/>
      <c r="EF249" s="556"/>
      <c r="EG249" s="844"/>
      <c r="EH249" s="556"/>
      <c r="EI249" s="556"/>
      <c r="EJ249" s="556"/>
      <c r="EK249" s="556"/>
      <c r="EL249" s="844"/>
    </row>
    <row r="250" spans="1:142">
      <c r="A250" s="932"/>
      <c r="B250" s="932" t="s">
        <v>187</v>
      </c>
      <c r="C250" s="1160"/>
      <c r="D250" s="1160">
        <f>SUM(D242:D249)</f>
        <v>0</v>
      </c>
      <c r="E250" s="1160">
        <f>SUM(E242:E249)</f>
        <v>0</v>
      </c>
      <c r="F250" s="1160">
        <f>SUM(F242:F249)</f>
        <v>0</v>
      </c>
      <c r="G250" s="1160">
        <f>SUM(G242:G249)</f>
        <v>0</v>
      </c>
      <c r="H250" s="936">
        <f>SUM(D250:G250)</f>
        <v>0</v>
      </c>
      <c r="I250" s="1160">
        <f>SUM(I242:I249)</f>
        <v>0</v>
      </c>
      <c r="J250" s="1160">
        <f>SUM(J242:J249)</f>
        <v>0</v>
      </c>
      <c r="K250" s="1160">
        <f>SUM(K242:K249)</f>
        <v>0</v>
      </c>
      <c r="L250" s="1160">
        <f>SUM(L242:L249)</f>
        <v>0</v>
      </c>
      <c r="M250" s="936">
        <f>SUM(I250:L250)</f>
        <v>0</v>
      </c>
      <c r="N250" s="1160">
        <f>SUM(N242:N249)</f>
        <v>0</v>
      </c>
      <c r="O250" s="1160">
        <f>SUM(O242:O249)</f>
        <v>0</v>
      </c>
      <c r="P250" s="1160">
        <f>SUM(P242:P249)</f>
        <v>0</v>
      </c>
      <c r="Q250" s="1160">
        <f>SUM(Q242:Q249)</f>
        <v>0</v>
      </c>
      <c r="R250" s="936">
        <f>SUM(N250:Q250)</f>
        <v>0</v>
      </c>
      <c r="S250" s="1160">
        <f>SUM(S242:S249)</f>
        <v>0</v>
      </c>
      <c r="T250" s="1160">
        <f>SUM(T242:T249)</f>
        <v>0</v>
      </c>
      <c r="U250" s="1160">
        <f>SUM(U242:U249)</f>
        <v>0</v>
      </c>
      <c r="V250" s="1160">
        <f>SUM(V242:V249)</f>
        <v>0</v>
      </c>
      <c r="W250" s="936">
        <f>SUM(S250:V250)</f>
        <v>0</v>
      </c>
      <c r="X250" s="1160">
        <f>SUM(X242:X249)</f>
        <v>0</v>
      </c>
      <c r="Y250" s="1160">
        <f>SUM(Y242:Y249)</f>
        <v>0</v>
      </c>
      <c r="Z250" s="1160">
        <f>SUM(Z242:Z249)</f>
        <v>0</v>
      </c>
      <c r="AA250" s="1160">
        <f>SUM(AA242:AA249)</f>
        <v>0</v>
      </c>
      <c r="AB250" s="936">
        <f>SUM(X250:AA250)</f>
        <v>0</v>
      </c>
      <c r="AC250" s="1160">
        <f>SUM(AC242:AC249)</f>
        <v>0</v>
      </c>
      <c r="AD250" s="1160">
        <f>SUM(AD242:AD249)</f>
        <v>0</v>
      </c>
      <c r="AE250" s="1160">
        <f>SUM(AE242:AE249)</f>
        <v>0</v>
      </c>
      <c r="AF250" s="1160">
        <f>SUM(AF242:AF249)</f>
        <v>0</v>
      </c>
      <c r="AG250" s="936">
        <f>SUM(AC250:AF250)</f>
        <v>0</v>
      </c>
      <c r="AH250" s="1160">
        <f>SUM(AH242:AH249)</f>
        <v>0</v>
      </c>
      <c r="AI250" s="1160">
        <f>SUM(AI242:AI249)</f>
        <v>0</v>
      </c>
      <c r="AJ250" s="1160">
        <f>SUM(AJ242:AJ249)</f>
        <v>0</v>
      </c>
      <c r="AK250" s="1160">
        <f>SUM(AK242:AK249)</f>
        <v>0</v>
      </c>
      <c r="AL250" s="936">
        <f>SUM(AH250:AK250)</f>
        <v>0</v>
      </c>
      <c r="AM250" s="1160">
        <f>SUM(AM242:AM249)</f>
        <v>0</v>
      </c>
      <c r="AN250" s="1160">
        <f>SUM(AN242:AN249)</f>
        <v>0</v>
      </c>
      <c r="AO250" s="1160">
        <f>SUM(AO242:AO249)</f>
        <v>0</v>
      </c>
      <c r="AP250" s="1160">
        <f>SUM(AP242:AP249)</f>
        <v>0</v>
      </c>
      <c r="AQ250" s="936">
        <f>SUM(AM250:AP250)</f>
        <v>0</v>
      </c>
      <c r="AR250" s="1160">
        <f>SUM(AR242:AR249)</f>
        <v>0</v>
      </c>
      <c r="AS250" s="1160">
        <f>SUM(AS242:AS249)</f>
        <v>1138</v>
      </c>
      <c r="AT250" s="1160">
        <f>SUM(AT242:AT249)</f>
        <v>1008</v>
      </c>
      <c r="AU250" s="802"/>
      <c r="AV250" s="1160">
        <f>SUM(AV242:AV249)</f>
        <v>0</v>
      </c>
      <c r="AW250" s="1160">
        <f>SUM(AW242:AW249)</f>
        <v>0</v>
      </c>
      <c r="AX250" s="1160">
        <f>SUM(AX242:AX249)</f>
        <v>0</v>
      </c>
      <c r="AY250" s="1160">
        <f>SUM(AY242:AY249)</f>
        <v>0</v>
      </c>
      <c r="AZ250" s="936">
        <f>SUM(AV250:AY250)</f>
        <v>0</v>
      </c>
      <c r="BA250" s="1160">
        <f>SUM(BA242:BA249)</f>
        <v>918</v>
      </c>
      <c r="BB250" s="1160">
        <f>SUM(BB242:BB249)</f>
        <v>884</v>
      </c>
      <c r="BC250" s="1160">
        <f>SUM(BC242:BC249)</f>
        <v>852</v>
      </c>
      <c r="BD250" s="1160">
        <f>SUM(BD242:BD249)</f>
        <v>736</v>
      </c>
      <c r="BE250" s="1198">
        <f t="shared" si="545"/>
        <v>3390</v>
      </c>
      <c r="BF250" s="1160">
        <f>SUM(BF242:BF249)</f>
        <v>687</v>
      </c>
      <c r="BG250" s="1160">
        <f>SUM(BG242:BG249)</f>
        <v>660</v>
      </c>
      <c r="BH250" s="1160">
        <f>SUM(BH242:BH249)</f>
        <v>611</v>
      </c>
      <c r="BI250" s="1160">
        <f>SUM(BI242:BI249)</f>
        <v>607</v>
      </c>
      <c r="BJ250" s="1198">
        <f t="shared" si="546"/>
        <v>2565</v>
      </c>
      <c r="BK250" s="1160">
        <f>SUM(BK242:BK249)</f>
        <v>697</v>
      </c>
      <c r="BL250" s="932">
        <f>SUM(BL242:BL249)</f>
        <v>647</v>
      </c>
      <c r="BM250" s="932">
        <f>SUM(BM242:BM249)</f>
        <v>626</v>
      </c>
      <c r="BN250" s="932">
        <f>SUM(BN242:BN249)</f>
        <v>640</v>
      </c>
      <c r="BO250" s="1198">
        <f t="shared" si="547"/>
        <v>2610</v>
      </c>
      <c r="BP250" s="1160">
        <f>SUM(BP242:BP249)</f>
        <v>674</v>
      </c>
      <c r="BQ250" s="932">
        <f>SUM(BQ242:BQ249)</f>
        <v>577</v>
      </c>
      <c r="BR250" s="932">
        <f>SUM(BR242:BR249)</f>
        <v>515</v>
      </c>
      <c r="BS250" s="932">
        <f>SUM(BS242:BS249)</f>
        <v>508</v>
      </c>
      <c r="BT250" s="1198">
        <f t="shared" si="548"/>
        <v>2274</v>
      </c>
      <c r="BU250" s="1160">
        <f>SUM(BU242:BU249)</f>
        <v>609</v>
      </c>
      <c r="BV250" s="932">
        <f>SUM(BV242:BV249)</f>
        <v>550</v>
      </c>
      <c r="BW250" s="932">
        <f>SUM(BW242:BW249)</f>
        <v>544</v>
      </c>
      <c r="BX250" s="932">
        <f>SUM(BX242:BX249)</f>
        <v>534</v>
      </c>
      <c r="BY250" s="1198">
        <f t="shared" si="549"/>
        <v>2237</v>
      </c>
      <c r="BZ250" s="1160">
        <f>SUM(BZ242:BZ249)</f>
        <v>608</v>
      </c>
      <c r="CA250" s="932">
        <f>SUM(CA242:CA249)</f>
        <v>531</v>
      </c>
      <c r="CB250" s="932">
        <f>SUM(CB242:CB249)</f>
        <v>527</v>
      </c>
      <c r="CC250" s="932">
        <f>SUM(CC242:CC249)</f>
        <v>486</v>
      </c>
      <c r="CD250" s="1198">
        <f t="shared" si="550"/>
        <v>2152</v>
      </c>
      <c r="CE250" s="1160">
        <f>SUM(CE242:CE249)</f>
        <v>600</v>
      </c>
      <c r="CF250" s="932">
        <f>SUM(CF242:CF249)</f>
        <v>522</v>
      </c>
      <c r="CG250" s="932">
        <f>SUM(CG242:CG249)</f>
        <v>540</v>
      </c>
      <c r="CH250" s="932">
        <f>SUM(CH242:CH249)</f>
        <v>543</v>
      </c>
      <c r="CI250" s="1198">
        <f t="shared" si="551"/>
        <v>2205</v>
      </c>
      <c r="CJ250" s="1160">
        <f>SUM(CJ242:CJ249)</f>
        <v>575</v>
      </c>
      <c r="CK250" s="932">
        <f>SUM(CK242:CK249)</f>
        <v>521</v>
      </c>
      <c r="CL250" s="932">
        <f>SUM(CL242:CL249)</f>
        <v>522</v>
      </c>
      <c r="CM250" s="932">
        <f>SUM(CM242:CM249)</f>
        <v>526</v>
      </c>
      <c r="CN250" s="1198">
        <f t="shared" si="552"/>
        <v>2144</v>
      </c>
      <c r="CO250" s="1160">
        <f>SUM(CO242:CO249)</f>
        <v>565</v>
      </c>
      <c r="CP250" s="932">
        <f>SUM(CP242:CP249)</f>
        <v>540</v>
      </c>
      <c r="CQ250" s="932">
        <f>SUM(CQ242:CQ249)</f>
        <v>518</v>
      </c>
      <c r="CR250" s="932">
        <f>SUM(CR242:CR249)</f>
        <v>490</v>
      </c>
      <c r="CS250" s="1198">
        <f t="shared" si="553"/>
        <v>2113</v>
      </c>
      <c r="CT250" s="1160">
        <f>SUM(CT242:CT249)</f>
        <v>645</v>
      </c>
      <c r="CU250" s="932">
        <f>SUM(CU242:CU249)</f>
        <v>549</v>
      </c>
      <c r="CV250" s="932">
        <f>SUM(CV242:CV249)</f>
        <v>524</v>
      </c>
      <c r="CW250" s="932">
        <f>SUM(CW242:CW249)</f>
        <v>550</v>
      </c>
      <c r="CX250" s="1198">
        <v>2268</v>
      </c>
      <c r="CY250" s="1160">
        <f>SUM(CY242:CY249)</f>
        <v>563</v>
      </c>
      <c r="CZ250" s="932">
        <f>SUM(CZ242:CZ249)</f>
        <v>522</v>
      </c>
      <c r="DA250" s="932">
        <f>SUM(DA242:DA249)</f>
        <v>522</v>
      </c>
      <c r="DB250" s="932">
        <f t="shared" si="555"/>
        <v>848</v>
      </c>
      <c r="DC250" s="1198">
        <v>2455</v>
      </c>
      <c r="DD250" s="1160">
        <f>SUM(DD242:DD249)</f>
        <v>892</v>
      </c>
      <c r="DE250" s="932">
        <f>SUM(DE242:DE249)</f>
        <v>904</v>
      </c>
      <c r="DF250" s="932">
        <f>SUM(DF242:DF249)</f>
        <v>874</v>
      </c>
      <c r="DG250" s="932">
        <f t="shared" si="556"/>
        <v>931</v>
      </c>
      <c r="DH250" s="1198">
        <f>SUM(DH242:DH249)</f>
        <v>3601</v>
      </c>
      <c r="DI250" s="1160">
        <f>SUM(DI242:DI249)</f>
        <v>956</v>
      </c>
      <c r="DJ250" s="932">
        <f>SUM(DJ242:DJ249)</f>
        <v>909</v>
      </c>
      <c r="DK250" s="932">
        <f>SUM(DK242:DK249)</f>
        <v>884</v>
      </c>
      <c r="DL250" s="932">
        <f t="shared" si="557"/>
        <v>830</v>
      </c>
      <c r="DM250" s="1198">
        <f>SUM(DM242:DM249)</f>
        <v>3579</v>
      </c>
      <c r="DN250" s="1160">
        <f>SUM(DN242:DN249)</f>
        <v>899</v>
      </c>
      <c r="DO250" s="1160">
        <v>915</v>
      </c>
      <c r="DP250" s="1160">
        <v>844</v>
      </c>
      <c r="DQ250" s="932">
        <f t="shared" si="558"/>
        <v>868</v>
      </c>
      <c r="DR250" s="1198">
        <f>SUM(DR242:DR249)</f>
        <v>3526</v>
      </c>
      <c r="DS250" s="1160">
        <v>902</v>
      </c>
      <c r="DT250" s="1160">
        <v>852</v>
      </c>
      <c r="DU250" s="1160">
        <v>809</v>
      </c>
      <c r="DV250" s="932">
        <f t="shared" si="559"/>
        <v>826</v>
      </c>
      <c r="DW250" s="1198">
        <f>SUM(DW242:DW249)</f>
        <v>3389</v>
      </c>
      <c r="DX250" s="932"/>
      <c r="DY250" s="932"/>
      <c r="DZ250" s="932"/>
      <c r="EA250" s="932"/>
      <c r="EB250" s="1198"/>
      <c r="EC250" s="932"/>
      <c r="ED250" s="932"/>
      <c r="EE250" s="932"/>
      <c r="EF250" s="932"/>
      <c r="EG250" s="1198"/>
      <c r="EH250" s="932"/>
      <c r="EI250" s="932"/>
      <c r="EJ250" s="932"/>
      <c r="EK250" s="932"/>
      <c r="EL250" s="1198"/>
    </row>
    <row r="251" spans="1:142">
      <c r="A251" s="555"/>
      <c r="B251" s="555"/>
      <c r="C251" s="555"/>
      <c r="D251" s="555"/>
      <c r="E251" s="555"/>
      <c r="F251" s="555"/>
      <c r="G251" s="555"/>
      <c r="H251" s="555"/>
      <c r="I251" s="555"/>
      <c r="J251" s="555"/>
      <c r="K251" s="555"/>
      <c r="L251" s="555"/>
      <c r="M251" s="555"/>
      <c r="N251" s="555"/>
      <c r="O251" s="555"/>
      <c r="P251" s="555"/>
      <c r="Q251" s="555"/>
      <c r="R251" s="555"/>
      <c r="S251" s="555"/>
      <c r="T251" s="555"/>
      <c r="U251" s="555"/>
      <c r="V251" s="555"/>
      <c r="W251" s="555"/>
      <c r="X251" s="555"/>
      <c r="Y251" s="555"/>
      <c r="Z251" s="555"/>
      <c r="AA251" s="555"/>
      <c r="AB251" s="555"/>
      <c r="AC251" s="555"/>
      <c r="AD251" s="555"/>
      <c r="AE251" s="555"/>
      <c r="AF251" s="555"/>
      <c r="AG251" s="555"/>
      <c r="AH251" s="555"/>
      <c r="AI251" s="555"/>
      <c r="AJ251" s="555"/>
      <c r="AK251" s="555"/>
      <c r="AL251" s="555"/>
      <c r="AM251" s="555"/>
      <c r="AN251" s="555"/>
      <c r="AO251" s="555"/>
      <c r="AP251" s="555"/>
      <c r="AQ251" s="555"/>
      <c r="AR251" s="555"/>
      <c r="AS251" s="555"/>
      <c r="AT251" s="555"/>
      <c r="AU251" s="557"/>
      <c r="AV251" s="555"/>
      <c r="AW251" s="555"/>
      <c r="AX251" s="555"/>
      <c r="AY251" s="555"/>
      <c r="AZ251" s="555"/>
      <c r="BA251" s="555"/>
      <c r="BB251" s="555"/>
      <c r="BC251" s="555"/>
      <c r="BD251" s="555"/>
      <c r="BE251" s="555"/>
      <c r="BF251" s="555"/>
      <c r="BG251" s="555"/>
      <c r="BH251" s="555"/>
      <c r="BI251" s="555"/>
      <c r="BJ251" s="555"/>
      <c r="BK251" s="555"/>
      <c r="BL251" s="555"/>
      <c r="BM251" s="555"/>
      <c r="BN251" s="555"/>
      <c r="BO251" s="555"/>
      <c r="BP251" s="555"/>
      <c r="BQ251" s="555"/>
      <c r="BR251" s="555"/>
      <c r="BS251" s="555"/>
      <c r="BT251" s="555"/>
      <c r="BU251" s="555"/>
      <c r="BV251" s="555"/>
      <c r="BW251" s="555"/>
      <c r="BX251" s="555"/>
      <c r="BY251" s="555"/>
      <c r="BZ251" s="555"/>
      <c r="CA251" s="555"/>
      <c r="CB251" s="555"/>
      <c r="CC251" s="555"/>
      <c r="CD251" s="555"/>
      <c r="CE251" s="555"/>
      <c r="CF251" s="555"/>
      <c r="CG251" s="555"/>
      <c r="CH251" s="555"/>
      <c r="CI251" s="555"/>
      <c r="CJ251" s="555"/>
      <c r="CK251" s="555"/>
      <c r="CL251" s="555"/>
      <c r="CM251" s="555"/>
      <c r="CN251" s="555"/>
      <c r="CO251" s="555"/>
      <c r="CP251" s="555"/>
      <c r="CQ251" s="555"/>
      <c r="CR251" s="555"/>
      <c r="CS251" s="555"/>
      <c r="CT251" s="555"/>
      <c r="CU251" s="555"/>
      <c r="CV251" s="555"/>
      <c r="CW251" s="555"/>
      <c r="CX251" s="555"/>
      <c r="CY251" s="555"/>
      <c r="CZ251" s="555"/>
      <c r="DA251" s="555"/>
      <c r="DB251" s="555"/>
      <c r="DC251" s="555"/>
      <c r="DD251" s="555"/>
      <c r="DE251" s="555"/>
      <c r="DF251" s="555"/>
      <c r="DG251" s="555"/>
      <c r="DH251" s="555"/>
      <c r="DI251" s="555"/>
      <c r="DJ251" s="555"/>
      <c r="DK251" s="555"/>
      <c r="DL251" s="555"/>
      <c r="DM251" s="555"/>
      <c r="DN251" s="555"/>
      <c r="DO251" s="555"/>
      <c r="DP251" s="555"/>
      <c r="DQ251" s="555"/>
      <c r="DR251" s="555"/>
      <c r="DS251" s="555"/>
      <c r="DT251" s="555"/>
      <c r="DU251" s="555"/>
      <c r="DV251" s="555"/>
      <c r="DW251" s="555"/>
      <c r="DX251" s="555"/>
      <c r="DY251" s="555"/>
      <c r="DZ251" s="555"/>
      <c r="EA251" s="555"/>
      <c r="EB251" s="555"/>
      <c r="EC251" s="555"/>
      <c r="ED251" s="555"/>
      <c r="EE251" s="555"/>
      <c r="EF251" s="555"/>
      <c r="EG251" s="555"/>
      <c r="EH251" s="555"/>
      <c r="EI251" s="555"/>
      <c r="EJ251" s="555"/>
      <c r="EK251" s="555"/>
      <c r="EL251" s="555"/>
    </row>
    <row r="252" spans="1:142">
      <c r="A252" s="557"/>
      <c r="B252" s="555" t="s">
        <v>188</v>
      </c>
      <c r="C252" s="555"/>
      <c r="D252" s="555"/>
      <c r="E252" s="555"/>
      <c r="F252" s="555"/>
      <c r="G252" s="555"/>
      <c r="H252" s="555"/>
      <c r="I252" s="555"/>
      <c r="J252" s="555"/>
      <c r="K252" s="555"/>
      <c r="L252" s="555"/>
      <c r="M252" s="555"/>
      <c r="N252" s="555"/>
      <c r="O252" s="555"/>
      <c r="P252" s="555"/>
      <c r="Q252" s="555"/>
      <c r="R252" s="555"/>
      <c r="S252" s="555"/>
      <c r="T252" s="555"/>
      <c r="U252" s="555"/>
      <c r="V252" s="555"/>
      <c r="W252" s="555"/>
      <c r="X252" s="555"/>
      <c r="Y252" s="555"/>
      <c r="Z252" s="555"/>
      <c r="AA252" s="555"/>
      <c r="AB252" s="555"/>
      <c r="AC252" s="555"/>
      <c r="AD252" s="555"/>
      <c r="AE252" s="555"/>
      <c r="AF252" s="555"/>
      <c r="AG252" s="555"/>
      <c r="AH252" s="555"/>
      <c r="AI252" s="555"/>
      <c r="AJ252" s="555"/>
      <c r="AK252" s="555"/>
      <c r="AL252" s="555"/>
      <c r="AM252" s="555"/>
      <c r="AN252" s="555"/>
      <c r="AO252" s="555"/>
      <c r="AP252" s="555"/>
      <c r="AQ252" s="555"/>
      <c r="AR252" s="555"/>
      <c r="AS252" s="555"/>
      <c r="AT252" s="555"/>
      <c r="AU252" s="557"/>
      <c r="AV252" s="555"/>
      <c r="AW252" s="555"/>
      <c r="AX252" s="555"/>
      <c r="AY252" s="555"/>
      <c r="AZ252" s="555"/>
      <c r="BA252" s="555"/>
      <c r="BB252" s="555"/>
      <c r="BC252" s="555"/>
      <c r="BD252" s="555"/>
      <c r="BE252" s="555"/>
      <c r="BF252" s="555"/>
      <c r="BG252" s="555"/>
      <c r="BH252" s="555"/>
      <c r="BI252" s="555"/>
      <c r="BJ252" s="555"/>
      <c r="BK252" s="555"/>
      <c r="BL252" s="555"/>
      <c r="BM252" s="555"/>
      <c r="BN252" s="555"/>
      <c r="BO252" s="555"/>
      <c r="BP252" s="555"/>
      <c r="BQ252" s="555"/>
      <c r="BR252" s="555"/>
      <c r="BS252" s="555"/>
      <c r="BT252" s="555"/>
      <c r="BU252" s="555"/>
      <c r="BV252" s="555"/>
      <c r="BW252" s="555"/>
      <c r="BX252" s="555"/>
      <c r="BY252" s="555"/>
      <c r="BZ252" s="555"/>
      <c r="CA252" s="555"/>
      <c r="CB252" s="555"/>
      <c r="CC252" s="555"/>
      <c r="CD252" s="555"/>
      <c r="CE252" s="555"/>
      <c r="CF252" s="555"/>
      <c r="CG252" s="555"/>
      <c r="CH252" s="555"/>
      <c r="CI252" s="555"/>
      <c r="CJ252" s="555"/>
      <c r="CK252" s="555"/>
      <c r="CL252" s="555"/>
      <c r="CM252" s="555"/>
      <c r="CN252" s="555"/>
      <c r="CO252" s="555"/>
      <c r="CP252" s="555"/>
      <c r="CQ252" s="555"/>
      <c r="CR252" s="555"/>
      <c r="CS252" s="555"/>
      <c r="CT252" s="555"/>
      <c r="CU252" s="555"/>
      <c r="CV252" s="555"/>
      <c r="CW252" s="555"/>
      <c r="CX252" s="555"/>
      <c r="CY252" s="555"/>
      <c r="CZ252" s="555"/>
      <c r="DA252" s="555"/>
      <c r="DB252" s="555"/>
      <c r="DC252" s="555"/>
      <c r="DD252" s="555"/>
      <c r="DE252" s="555"/>
      <c r="DF252" s="555"/>
      <c r="DG252" s="555"/>
      <c r="DH252" s="555"/>
      <c r="DI252" s="555"/>
      <c r="DJ252" s="555"/>
      <c r="DK252" s="555"/>
      <c r="DL252" s="555"/>
      <c r="DM252" s="555"/>
      <c r="DN252" s="555"/>
      <c r="DO252" s="555"/>
      <c r="DP252" s="555"/>
      <c r="DQ252" s="555"/>
      <c r="DR252" s="555"/>
      <c r="DS252" s="555"/>
      <c r="DT252" s="555"/>
      <c r="DU252" s="555"/>
      <c r="DV252" s="555"/>
      <c r="DW252" s="555"/>
      <c r="DX252" s="555"/>
      <c r="DY252" s="555"/>
      <c r="DZ252" s="555"/>
      <c r="EA252" s="555"/>
      <c r="EB252" s="555"/>
      <c r="EC252" s="555"/>
      <c r="ED252" s="555"/>
      <c r="EE252" s="555"/>
      <c r="EF252" s="555"/>
      <c r="EG252" s="555"/>
      <c r="EH252" s="555"/>
      <c r="EI252" s="555"/>
      <c r="EJ252" s="555"/>
      <c r="EK252" s="555"/>
      <c r="EL252" s="555"/>
    </row>
    <row r="253" spans="1:142">
      <c r="A253" s="557"/>
      <c r="B253" s="555" t="s">
        <v>189</v>
      </c>
      <c r="C253" s="555"/>
      <c r="D253" s="555"/>
      <c r="E253" s="555"/>
      <c r="F253" s="555"/>
      <c r="G253" s="555"/>
      <c r="H253" s="555"/>
      <c r="I253" s="555"/>
      <c r="J253" s="555"/>
      <c r="K253" s="555"/>
      <c r="L253" s="555"/>
      <c r="M253" s="555"/>
      <c r="N253" s="555"/>
      <c r="O253" s="555"/>
      <c r="P253" s="555"/>
      <c r="Q253" s="555"/>
      <c r="R253" s="555"/>
      <c r="S253" s="555"/>
      <c r="T253" s="555"/>
      <c r="U253" s="555"/>
      <c r="V253" s="555"/>
      <c r="W253" s="555"/>
      <c r="X253" s="555"/>
      <c r="Y253" s="555"/>
      <c r="Z253" s="555"/>
      <c r="AA253" s="555"/>
      <c r="AB253" s="555"/>
      <c r="AC253" s="555"/>
      <c r="AD253" s="555"/>
      <c r="AE253" s="555"/>
      <c r="AF253" s="555"/>
      <c r="AG253" s="555"/>
      <c r="AH253" s="555"/>
      <c r="AI253" s="555"/>
      <c r="AJ253" s="555"/>
      <c r="AK253" s="555"/>
      <c r="AL253" s="555"/>
      <c r="AM253" s="555"/>
      <c r="AN253" s="555"/>
      <c r="AO253" s="555"/>
      <c r="AP253" s="555"/>
      <c r="AQ253" s="555"/>
      <c r="AR253" s="555"/>
      <c r="AS253" s="555"/>
      <c r="AT253" s="555"/>
      <c r="AU253" s="557"/>
      <c r="AV253" s="555"/>
      <c r="AW253" s="555"/>
      <c r="AX253" s="555"/>
      <c r="AY253" s="555"/>
      <c r="AZ253" s="555"/>
      <c r="BA253" s="555"/>
      <c r="BB253" s="555"/>
      <c r="BC253" s="555"/>
      <c r="BD253" s="555"/>
      <c r="BE253" s="555"/>
      <c r="BF253" s="555"/>
      <c r="BG253" s="555"/>
      <c r="BH253" s="555"/>
      <c r="BI253" s="555"/>
      <c r="BJ253" s="555"/>
      <c r="BK253" s="555"/>
      <c r="BL253" s="555"/>
      <c r="BM253" s="555"/>
      <c r="BN253" s="555"/>
      <c r="BO253" s="555"/>
      <c r="BP253" s="555"/>
      <c r="BQ253" s="555"/>
      <c r="BR253" s="555"/>
      <c r="BS253" s="555"/>
      <c r="BT253" s="555"/>
      <c r="BU253" s="555"/>
      <c r="BV253" s="555"/>
      <c r="BW253" s="555"/>
      <c r="BX253" s="555"/>
      <c r="BY253" s="555"/>
      <c r="BZ253" s="555"/>
      <c r="CA253" s="555"/>
      <c r="CB253" s="555"/>
      <c r="CC253" s="555"/>
      <c r="CD253" s="555"/>
      <c r="CE253" s="555"/>
      <c r="CF253" s="555"/>
      <c r="CG253" s="555"/>
      <c r="CH253" s="555"/>
      <c r="CI253" s="555"/>
      <c r="CJ253" s="555"/>
      <c r="CK253" s="555"/>
      <c r="CL253" s="555"/>
      <c r="CM253" s="555"/>
      <c r="CN253" s="555"/>
      <c r="CO253" s="555"/>
      <c r="CP253" s="555"/>
      <c r="CQ253" s="555"/>
      <c r="CR253" s="555"/>
      <c r="CS253" s="555"/>
      <c r="CT253" s="555"/>
      <c r="CU253" s="555"/>
      <c r="CV253" s="555"/>
      <c r="CW253" s="555"/>
      <c r="CX253" s="555"/>
      <c r="CY253" s="555"/>
      <c r="CZ253" s="555"/>
      <c r="DA253" s="555"/>
      <c r="DB253" s="555"/>
      <c r="DC253" s="555"/>
      <c r="DD253" s="555"/>
      <c r="DE253" s="555"/>
      <c r="DF253" s="555"/>
      <c r="DG253" s="555"/>
      <c r="DH253" s="555"/>
      <c r="DI253" s="555"/>
      <c r="DJ253" s="555"/>
      <c r="DK253" s="555"/>
      <c r="DL253" s="555"/>
      <c r="DM253" s="555"/>
      <c r="DN253" s="555"/>
      <c r="DO253" s="555"/>
      <c r="DP253" s="555"/>
      <c r="DQ253" s="555"/>
      <c r="DR253" s="555"/>
      <c r="DS253" s="555"/>
      <c r="DT253" s="555"/>
      <c r="DU253" s="555"/>
      <c r="DV253" s="555"/>
      <c r="DW253" s="555"/>
      <c r="DX253" s="555"/>
      <c r="DY253" s="555"/>
      <c r="DZ253" s="555"/>
      <c r="EA253" s="555"/>
      <c r="EB253" s="555"/>
      <c r="EC253" s="555"/>
      <c r="ED253" s="555"/>
      <c r="EE253" s="555"/>
      <c r="EF253" s="555"/>
      <c r="EG253" s="555"/>
      <c r="EH253" s="555"/>
      <c r="EI253" s="555"/>
      <c r="EJ253" s="555"/>
      <c r="EK253" s="555"/>
      <c r="EL253" s="555"/>
    </row>
    <row r="254" spans="1:142">
      <c r="A254" s="555"/>
      <c r="B254" s="555"/>
      <c r="C254" s="555"/>
      <c r="D254" s="555"/>
      <c r="E254" s="555"/>
      <c r="F254" s="555"/>
      <c r="G254" s="555"/>
      <c r="H254" s="555"/>
      <c r="I254" s="555"/>
      <c r="J254" s="555"/>
      <c r="K254" s="555"/>
      <c r="L254" s="555"/>
      <c r="M254" s="555"/>
      <c r="N254" s="555"/>
      <c r="O254" s="555"/>
      <c r="P254" s="555"/>
      <c r="Q254" s="555"/>
      <c r="R254" s="555"/>
      <c r="S254" s="555"/>
      <c r="T254" s="555"/>
      <c r="U254" s="555"/>
      <c r="V254" s="555"/>
      <c r="W254" s="555"/>
      <c r="X254" s="555"/>
      <c r="Y254" s="555"/>
      <c r="Z254" s="555"/>
      <c r="AA254" s="555"/>
      <c r="AB254" s="555"/>
      <c r="AC254" s="555"/>
      <c r="AD254" s="555"/>
      <c r="AE254" s="555"/>
      <c r="AF254" s="555"/>
      <c r="AG254" s="555"/>
      <c r="AH254" s="555"/>
      <c r="AI254" s="555"/>
      <c r="AJ254" s="555"/>
      <c r="AK254" s="555"/>
      <c r="AL254" s="555"/>
      <c r="AM254" s="555"/>
      <c r="AN254" s="555"/>
      <c r="AO254" s="555"/>
      <c r="AP254" s="555"/>
      <c r="AQ254" s="555"/>
      <c r="AR254" s="555"/>
      <c r="AS254" s="555"/>
      <c r="AT254" s="555"/>
      <c r="AU254" s="557"/>
      <c r="AV254" s="555"/>
      <c r="AW254" s="555"/>
      <c r="AX254" s="555"/>
      <c r="AY254" s="555"/>
      <c r="AZ254" s="555"/>
      <c r="BA254" s="555"/>
      <c r="BB254" s="555"/>
      <c r="BC254" s="555"/>
      <c r="BD254" s="555"/>
      <c r="BE254" s="555"/>
      <c r="BF254" s="555"/>
      <c r="BG254" s="555"/>
      <c r="BH254" s="555"/>
      <c r="BI254" s="555"/>
      <c r="BJ254" s="555"/>
      <c r="BK254" s="555"/>
      <c r="BL254" s="555"/>
      <c r="BM254" s="555"/>
      <c r="BN254" s="555"/>
      <c r="BO254" s="555"/>
      <c r="BP254" s="555"/>
      <c r="BQ254" s="555"/>
      <c r="BR254" s="555"/>
      <c r="BS254" s="555"/>
      <c r="BT254" s="555"/>
      <c r="BU254" s="555"/>
      <c r="BV254" s="555"/>
      <c r="BW254" s="555"/>
      <c r="BX254" s="555"/>
      <c r="BY254" s="555"/>
      <c r="BZ254" s="555"/>
      <c r="CA254" s="555"/>
      <c r="CB254" s="555"/>
      <c r="CC254" s="555"/>
      <c r="CD254" s="555"/>
      <c r="CE254" s="555"/>
      <c r="CF254" s="555"/>
      <c r="CG254" s="555"/>
      <c r="CH254" s="555"/>
      <c r="CI254" s="555"/>
      <c r="CJ254" s="555"/>
      <c r="CK254" s="555"/>
      <c r="CL254" s="555"/>
      <c r="CM254" s="555"/>
      <c r="CN254" s="555"/>
      <c r="CO254" s="555"/>
      <c r="CP254" s="555"/>
      <c r="CQ254" s="555"/>
      <c r="CR254" s="555"/>
      <c r="CS254" s="555"/>
      <c r="CT254" s="555"/>
      <c r="CU254" s="555"/>
      <c r="CV254" s="555"/>
      <c r="CW254" s="555"/>
      <c r="CX254" s="555"/>
      <c r="CY254" s="555"/>
      <c r="CZ254" s="555"/>
      <c r="DA254" s="555"/>
      <c r="DB254" s="555"/>
      <c r="DC254" s="555"/>
      <c r="DD254" s="555"/>
      <c r="DE254" s="555"/>
      <c r="DF254" s="555"/>
      <c r="DG254" s="555"/>
      <c r="DH254" s="555"/>
      <c r="DI254" s="555"/>
      <c r="DJ254" s="555"/>
      <c r="DK254" s="555"/>
      <c r="DL254" s="555"/>
      <c r="DM254" s="555"/>
      <c r="DN254" s="555"/>
      <c r="DO254" s="555"/>
      <c r="DP254" s="555"/>
      <c r="DQ254" s="555"/>
      <c r="DR254" s="555"/>
      <c r="DS254" s="555"/>
      <c r="DT254" s="555"/>
      <c r="DU254" s="555"/>
      <c r="DV254" s="555"/>
      <c r="DW254" s="555"/>
      <c r="DX254" s="555"/>
      <c r="DY254" s="555"/>
      <c r="DZ254" s="555"/>
      <c r="EA254" s="555"/>
      <c r="EB254" s="555"/>
      <c r="EC254" s="555"/>
      <c r="ED254" s="555"/>
      <c r="EE254" s="555"/>
      <c r="EF254" s="555"/>
      <c r="EG254" s="555"/>
      <c r="EH254" s="555"/>
      <c r="EI254" s="555"/>
      <c r="EJ254" s="555"/>
      <c r="EK254" s="555"/>
      <c r="EL254" s="555"/>
    </row>
    <row r="255" spans="1:142" hidden="1" outlineLevel="1">
      <c r="A255" s="804"/>
      <c r="B255" s="1278" t="s">
        <v>664</v>
      </c>
      <c r="C255" s="1267"/>
      <c r="D255" s="1267"/>
      <c r="E255" s="1267"/>
      <c r="F255" s="1267"/>
      <c r="G255" s="1267"/>
      <c r="H255" s="1268"/>
      <c r="I255" s="1267"/>
      <c r="J255" s="1267"/>
      <c r="K255" s="1267"/>
      <c r="L255" s="1267"/>
      <c r="M255" s="1268"/>
      <c r="N255" s="1267"/>
      <c r="O255" s="1267"/>
      <c r="P255" s="1267"/>
      <c r="Q255" s="1267"/>
      <c r="R255" s="1268"/>
      <c r="S255" s="1267"/>
      <c r="T255" s="1267"/>
      <c r="U255" s="1267"/>
      <c r="V255" s="1267"/>
      <c r="W255" s="1268"/>
      <c r="X255" s="1267"/>
      <c r="Y255" s="1267"/>
      <c r="Z255" s="1267"/>
      <c r="AA255" s="1267"/>
      <c r="AB255" s="1268"/>
      <c r="AC255" s="1267"/>
      <c r="AD255" s="1267"/>
      <c r="AE255" s="1267"/>
      <c r="AF255" s="1267"/>
      <c r="AG255" s="1268"/>
      <c r="AH255" s="1267"/>
      <c r="AI255" s="1267"/>
      <c r="AJ255" s="1267"/>
      <c r="AK255" s="1267"/>
      <c r="AL255" s="1268"/>
      <c r="AM255" s="1267"/>
      <c r="AN255" s="1267"/>
      <c r="AO255" s="1267"/>
      <c r="AP255" s="1267"/>
      <c r="AQ255" s="1268"/>
      <c r="AR255" s="1267"/>
      <c r="AS255" s="1267"/>
      <c r="AT255" s="1267"/>
      <c r="AU255" s="1268"/>
      <c r="AV255" s="1267"/>
      <c r="AW255" s="1267"/>
      <c r="AX255" s="1267"/>
      <c r="AY255" s="1267"/>
      <c r="AZ255" s="1268"/>
      <c r="BA255" s="1267"/>
      <c r="BB255" s="1267"/>
      <c r="BC255" s="1267"/>
      <c r="BD255" s="1267"/>
      <c r="BE255" s="1268"/>
      <c r="BF255" s="1267"/>
      <c r="BG255" s="1267"/>
      <c r="BH255" s="1267"/>
      <c r="BI255" s="1267"/>
      <c r="BJ255" s="1268"/>
      <c r="BK255" s="1267"/>
      <c r="BL255" s="1267"/>
      <c r="BM255" s="1267"/>
      <c r="BN255" s="1267"/>
      <c r="BO255" s="1268"/>
      <c r="BP255" s="1267"/>
      <c r="BQ255" s="1267"/>
      <c r="BR255" s="1267"/>
      <c r="BS255" s="1267"/>
      <c r="BT255" s="1268"/>
      <c r="BU255" s="1267"/>
      <c r="BV255" s="1267"/>
      <c r="BW255" s="1267"/>
      <c r="BX255" s="1267"/>
      <c r="BY255" s="1268"/>
      <c r="BZ255" s="1267"/>
      <c r="CA255" s="1267"/>
      <c r="CB255" s="1267"/>
      <c r="CC255" s="1267"/>
      <c r="CD255" s="1268"/>
      <c r="CE255" s="1267"/>
      <c r="CF255" s="1267"/>
      <c r="CG255" s="1267"/>
      <c r="CH255" s="1267"/>
      <c r="CI255" s="1268"/>
      <c r="CJ255" s="1267"/>
      <c r="CK255" s="1267"/>
      <c r="CL255" s="1267"/>
      <c r="CM255" s="1267"/>
      <c r="CN255" s="1268"/>
      <c r="CO255" s="1267"/>
      <c r="CP255" s="1267"/>
      <c r="CQ255" s="1267"/>
      <c r="CR255" s="1267"/>
      <c r="CS255" s="1268"/>
      <c r="CT255" s="1267"/>
      <c r="CU255" s="1267"/>
      <c r="CV255" s="1267"/>
      <c r="CW255" s="1267"/>
      <c r="CX255" s="1268"/>
      <c r="CY255" s="1267"/>
      <c r="CZ255" s="1267"/>
      <c r="DA255" s="1267"/>
      <c r="DB255" s="1267"/>
      <c r="DC255" s="1268"/>
      <c r="DD255" s="1267"/>
      <c r="DE255" s="1267"/>
      <c r="DF255" s="1267"/>
      <c r="DG255" s="1267"/>
      <c r="DH255" s="1268"/>
      <c r="DI255" s="1267"/>
      <c r="DJ255" s="1267"/>
      <c r="DK255" s="1267"/>
      <c r="DL255" s="1267"/>
      <c r="DM255" s="1268"/>
      <c r="DN255" s="1267"/>
      <c r="DO255" s="1267"/>
      <c r="DP255" s="1267"/>
      <c r="DQ255" s="1267"/>
      <c r="DR255" s="1268"/>
      <c r="DS255" s="1267"/>
      <c r="DT255" s="1267"/>
      <c r="DU255" s="1267"/>
      <c r="DV255" s="1267"/>
      <c r="DW255" s="1268"/>
      <c r="DX255" s="1267"/>
      <c r="DY255" s="1267"/>
      <c r="DZ255" s="1267"/>
      <c r="EA255" s="1267"/>
      <c r="EB255" s="1268"/>
      <c r="EC255" s="1267"/>
      <c r="ED255" s="1267"/>
      <c r="EE255" s="1267"/>
      <c r="EF255" s="1267"/>
      <c r="EG255" s="1268"/>
      <c r="EH255" s="1267"/>
      <c r="EI255" s="1267"/>
      <c r="EJ255" s="1267"/>
      <c r="EK255" s="1267"/>
      <c r="EL255" s="1268"/>
    </row>
    <row r="256" spans="1:142" s="680" customFormat="1" hidden="1" outlineLevel="1">
      <c r="A256" s="804"/>
      <c r="B256" s="973" t="s">
        <v>203</v>
      </c>
      <c r="C256" s="555"/>
      <c r="D256" s="555"/>
      <c r="E256" s="555"/>
      <c r="F256" s="555"/>
      <c r="G256" s="555"/>
      <c r="H256" s="802"/>
      <c r="I256" s="555"/>
      <c r="J256" s="555"/>
      <c r="K256" s="555"/>
      <c r="L256" s="555"/>
      <c r="M256" s="802"/>
      <c r="N256" s="555"/>
      <c r="O256" s="555"/>
      <c r="P256" s="555"/>
      <c r="Q256" s="555"/>
      <c r="R256" s="802"/>
      <c r="S256" s="555"/>
      <c r="T256" s="555"/>
      <c r="U256" s="555"/>
      <c r="V256" s="555"/>
      <c r="W256" s="802"/>
      <c r="X256" s="555"/>
      <c r="Y256" s="555"/>
      <c r="Z256" s="555"/>
      <c r="AA256" s="555"/>
      <c r="AB256" s="802"/>
      <c r="AC256" s="555"/>
      <c r="AD256" s="555"/>
      <c r="AE256" s="555"/>
      <c r="AF256" s="555"/>
      <c r="AG256" s="802"/>
      <c r="AH256" s="555"/>
      <c r="AI256" s="555"/>
      <c r="AJ256" s="555"/>
      <c r="AK256" s="555"/>
      <c r="AL256" s="802"/>
      <c r="AM256" s="555"/>
      <c r="AN256" s="555"/>
      <c r="AO256" s="555"/>
      <c r="AP256" s="555"/>
      <c r="AQ256" s="802"/>
      <c r="AR256" s="555"/>
      <c r="AS256" s="555"/>
      <c r="AT256" s="555"/>
      <c r="AU256" s="802"/>
      <c r="AV256" s="555"/>
      <c r="AW256" s="555"/>
      <c r="AX256" s="555"/>
      <c r="AY256" s="555"/>
      <c r="AZ256" s="802"/>
      <c r="BA256" s="555"/>
      <c r="BB256" s="555"/>
      <c r="BC256" s="555"/>
      <c r="BD256" s="555"/>
      <c r="BE256" s="802"/>
      <c r="BF256" s="555"/>
      <c r="BG256" s="555"/>
      <c r="BH256" s="555"/>
      <c r="BI256" s="555"/>
      <c r="BJ256" s="802"/>
      <c r="BK256" s="555"/>
      <c r="BL256" s="555"/>
      <c r="BM256" s="555"/>
      <c r="BN256" s="555"/>
      <c r="BO256" s="802"/>
      <c r="BP256" s="555"/>
      <c r="BQ256" s="555"/>
      <c r="BR256" s="555"/>
      <c r="BS256" s="555"/>
      <c r="BT256" s="802"/>
      <c r="BU256" s="555"/>
      <c r="BV256" s="555"/>
      <c r="BW256" s="555"/>
      <c r="BX256" s="555"/>
      <c r="BY256" s="802"/>
      <c r="BZ256" s="555"/>
      <c r="CA256" s="555"/>
      <c r="CB256" s="555"/>
      <c r="CC256" s="555"/>
      <c r="CD256" s="802"/>
      <c r="CE256" s="555"/>
      <c r="CF256" s="555"/>
      <c r="CG256" s="555"/>
      <c r="CH256" s="555"/>
      <c r="CI256" s="802"/>
      <c r="CJ256" s="555"/>
      <c r="CK256" s="555"/>
      <c r="CL256" s="555"/>
      <c r="CM256" s="555"/>
      <c r="CN256" s="802"/>
      <c r="CO256" s="555"/>
      <c r="CP256" s="555"/>
      <c r="CQ256" s="555"/>
      <c r="CR256" s="555"/>
      <c r="CS256" s="802"/>
      <c r="CT256" s="555"/>
      <c r="CU256" s="555"/>
      <c r="CV256" s="555"/>
      <c r="CW256" s="555"/>
      <c r="CX256" s="802"/>
      <c r="CY256" s="555"/>
      <c r="CZ256" s="555"/>
      <c r="DA256" s="555"/>
      <c r="DB256" s="555"/>
      <c r="DC256" s="802"/>
      <c r="DD256" s="555"/>
      <c r="DE256" s="555"/>
      <c r="DF256" s="555"/>
      <c r="DG256" s="555"/>
      <c r="DH256" s="802"/>
      <c r="DI256" s="555"/>
      <c r="DJ256" s="555"/>
      <c r="DK256" s="555"/>
      <c r="DL256" s="555"/>
      <c r="DM256" s="802"/>
      <c r="DN256" s="555"/>
      <c r="DO256" s="555"/>
      <c r="DP256" s="555"/>
      <c r="DQ256" s="555"/>
      <c r="DR256" s="802"/>
      <c r="DS256" s="555"/>
      <c r="DT256" s="555"/>
      <c r="DU256" s="555"/>
      <c r="DV256" s="555"/>
      <c r="DW256" s="802"/>
      <c r="DX256" s="555"/>
      <c r="DY256" s="555"/>
      <c r="DZ256" s="555"/>
      <c r="EA256" s="555"/>
      <c r="EB256" s="802"/>
      <c r="EC256" s="555"/>
      <c r="ED256" s="555"/>
      <c r="EE256" s="555"/>
      <c r="EF256" s="555"/>
      <c r="EG256" s="802"/>
      <c r="EH256" s="555"/>
      <c r="EI256" s="555"/>
      <c r="EJ256" s="555"/>
      <c r="EK256" s="555"/>
      <c r="EL256" s="802"/>
    </row>
    <row r="257" spans="1:142" hidden="1" outlineLevel="1">
      <c r="A257" s="557"/>
      <c r="B257" s="555" t="s">
        <v>192</v>
      </c>
      <c r="C257" s="555"/>
      <c r="D257" s="1118">
        <v>33</v>
      </c>
      <c r="E257" s="1118">
        <v>33</v>
      </c>
      <c r="F257" s="1118">
        <v>33</v>
      </c>
      <c r="G257" s="960">
        <f>H257</f>
        <v>70</v>
      </c>
      <c r="H257" s="1048">
        <v>70</v>
      </c>
      <c r="I257" s="1118">
        <v>72</v>
      </c>
      <c r="J257" s="1118">
        <v>75</v>
      </c>
      <c r="K257" s="1118">
        <v>75</v>
      </c>
      <c r="L257" s="960">
        <f>M257</f>
        <v>74</v>
      </c>
      <c r="M257" s="1048">
        <v>74</v>
      </c>
      <c r="N257" s="1118">
        <v>75</v>
      </c>
      <c r="O257" s="1118">
        <v>76</v>
      </c>
      <c r="P257" s="1118">
        <v>127</v>
      </c>
      <c r="Q257" s="960">
        <f>R257</f>
        <v>128</v>
      </c>
      <c r="R257" s="1048">
        <v>128</v>
      </c>
      <c r="S257" s="1118">
        <v>130</v>
      </c>
      <c r="T257" s="1118">
        <v>129</v>
      </c>
      <c r="U257" s="1118">
        <v>125</v>
      </c>
      <c r="V257" s="960">
        <f>W257</f>
        <v>122</v>
      </c>
      <c r="W257" s="1048">
        <v>122</v>
      </c>
      <c r="X257" s="1118">
        <v>121</v>
      </c>
      <c r="Y257" s="1118">
        <v>128</v>
      </c>
      <c r="Z257" s="1118">
        <v>129</v>
      </c>
      <c r="AA257" s="960">
        <f>AB257</f>
        <v>130</v>
      </c>
      <c r="AB257" s="1048">
        <v>130</v>
      </c>
      <c r="AC257" s="1118">
        <v>130</v>
      </c>
      <c r="AD257" s="1118">
        <v>113</v>
      </c>
      <c r="AE257" s="1118">
        <v>112</v>
      </c>
      <c r="AF257" s="960">
        <f>AG257</f>
        <v>110</v>
      </c>
      <c r="AG257" s="1048">
        <v>110</v>
      </c>
      <c r="AH257" s="1118">
        <v>110</v>
      </c>
      <c r="AI257" s="1118">
        <v>111</v>
      </c>
      <c r="AJ257" s="1118">
        <v>110</v>
      </c>
      <c r="AK257" s="960">
        <f>AL257</f>
        <v>111</v>
      </c>
      <c r="AL257" s="1048">
        <v>111</v>
      </c>
      <c r="AM257" s="1118">
        <v>114</v>
      </c>
      <c r="AN257" s="1118">
        <v>114</v>
      </c>
      <c r="AO257" s="1118">
        <v>116</v>
      </c>
      <c r="AP257" s="960">
        <f>AQ257</f>
        <v>116</v>
      </c>
      <c r="AQ257" s="1048">
        <v>116</v>
      </c>
      <c r="AR257" s="1118">
        <v>114</v>
      </c>
      <c r="AS257" s="1118">
        <v>113</v>
      </c>
      <c r="AT257" s="1118">
        <v>114</v>
      </c>
      <c r="AU257" s="802"/>
      <c r="AV257" s="708" t="s">
        <v>503</v>
      </c>
      <c r="AW257" s="708" t="s">
        <v>503</v>
      </c>
      <c r="AX257" s="708" t="s">
        <v>503</v>
      </c>
      <c r="AY257" s="708" t="s">
        <v>503</v>
      </c>
      <c r="AZ257" s="1188" t="s">
        <v>503</v>
      </c>
      <c r="BA257" s="1118">
        <v>99</v>
      </c>
      <c r="BB257" s="1118">
        <v>99</v>
      </c>
      <c r="BC257" s="1118">
        <v>99</v>
      </c>
      <c r="BD257" s="960">
        <f>BE257</f>
        <v>99</v>
      </c>
      <c r="BE257" s="1048">
        <v>99</v>
      </c>
      <c r="BF257" s="1118">
        <v>71</v>
      </c>
      <c r="BG257" s="1118">
        <v>72</v>
      </c>
      <c r="BH257" s="1118">
        <v>70</v>
      </c>
      <c r="BI257" s="1118">
        <v>69</v>
      </c>
      <c r="BJ257" s="1048">
        <v>69</v>
      </c>
      <c r="BK257" s="555">
        <v>69</v>
      </c>
      <c r="BL257" s="555">
        <v>69</v>
      </c>
      <c r="BM257" s="555">
        <v>69</v>
      </c>
      <c r="BN257" s="555">
        <v>69</v>
      </c>
      <c r="BO257" s="802">
        <v>69</v>
      </c>
      <c r="BP257" s="555">
        <v>69</v>
      </c>
      <c r="BQ257" s="555">
        <v>57</v>
      </c>
      <c r="BR257" s="555">
        <v>57</v>
      </c>
      <c r="BS257" s="555">
        <v>57</v>
      </c>
      <c r="BT257" s="802">
        <v>57</v>
      </c>
      <c r="BU257" s="555">
        <v>57</v>
      </c>
      <c r="BV257" s="555">
        <v>58</v>
      </c>
      <c r="BW257" s="555">
        <v>54</v>
      </c>
      <c r="BX257" s="555">
        <v>54</v>
      </c>
      <c r="BY257" s="802">
        <v>54</v>
      </c>
      <c r="BZ257" s="555">
        <v>54</v>
      </c>
      <c r="CA257" s="555">
        <v>52</v>
      </c>
      <c r="CB257" s="555">
        <v>50</v>
      </c>
      <c r="CC257" s="555">
        <v>50</v>
      </c>
      <c r="CD257" s="802">
        <v>50</v>
      </c>
      <c r="CE257" s="555">
        <v>50</v>
      </c>
      <c r="CF257" s="555">
        <v>49</v>
      </c>
      <c r="CG257" s="555">
        <v>49</v>
      </c>
      <c r="CH257" s="555">
        <v>49</v>
      </c>
      <c r="CI257" s="802">
        <v>49</v>
      </c>
      <c r="CJ257" s="555">
        <v>49</v>
      </c>
      <c r="CK257" s="555">
        <v>49</v>
      </c>
      <c r="CL257" s="555">
        <v>49</v>
      </c>
      <c r="CM257" s="555">
        <v>49</v>
      </c>
      <c r="CN257" s="802">
        <v>49</v>
      </c>
      <c r="CO257" s="555">
        <v>49</v>
      </c>
      <c r="CP257" s="555">
        <v>49</v>
      </c>
      <c r="CQ257" s="555">
        <v>49</v>
      </c>
      <c r="CR257" s="555">
        <v>49</v>
      </c>
      <c r="CS257" s="802">
        <v>49</v>
      </c>
      <c r="CT257" s="555">
        <v>49</v>
      </c>
      <c r="CU257" s="555">
        <v>49</v>
      </c>
      <c r="CV257" s="555">
        <v>49</v>
      </c>
      <c r="CW257" s="555">
        <v>49</v>
      </c>
      <c r="CX257" s="802">
        <v>49</v>
      </c>
      <c r="CY257" s="555">
        <v>49</v>
      </c>
      <c r="CZ257" s="555">
        <v>49</v>
      </c>
      <c r="DA257" s="555">
        <v>49</v>
      </c>
      <c r="DB257" s="555">
        <v>77</v>
      </c>
      <c r="DC257" s="802">
        <v>77</v>
      </c>
      <c r="DD257" s="555">
        <v>77</v>
      </c>
      <c r="DE257" s="555">
        <v>79</v>
      </c>
      <c r="DF257" s="555">
        <v>80</v>
      </c>
      <c r="DG257" s="555">
        <v>80</v>
      </c>
      <c r="DH257" s="802">
        <v>80</v>
      </c>
      <c r="DI257" s="555">
        <v>80</v>
      </c>
      <c r="DJ257" s="555">
        <v>80</v>
      </c>
      <c r="DK257" s="555">
        <v>83</v>
      </c>
      <c r="DL257" s="555">
        <v>86</v>
      </c>
      <c r="DM257" s="1279">
        <v>86</v>
      </c>
      <c r="DN257" s="1282">
        <v>80</v>
      </c>
      <c r="DO257" s="1282">
        <v>75</v>
      </c>
      <c r="DP257" s="1282">
        <v>75</v>
      </c>
      <c r="DQ257" s="1282">
        <v>75</v>
      </c>
      <c r="DR257" s="1279">
        <v>75</v>
      </c>
      <c r="DS257" s="1282">
        <v>76</v>
      </c>
      <c r="DT257" s="1282">
        <v>75</v>
      </c>
      <c r="DU257" s="1282">
        <v>73</v>
      </c>
      <c r="DV257" s="1282">
        <v>72</v>
      </c>
      <c r="DW257" s="802">
        <f>DV257</f>
        <v>72</v>
      </c>
      <c r="DX257" s="555"/>
      <c r="DY257" s="555"/>
      <c r="DZ257" s="555"/>
      <c r="EA257" s="555"/>
      <c r="EB257" s="802"/>
      <c r="EC257" s="555"/>
      <c r="ED257" s="555"/>
      <c r="EE257" s="555"/>
      <c r="EF257" s="555"/>
      <c r="EG257" s="802"/>
      <c r="EH257" s="555"/>
      <c r="EI257" s="555"/>
      <c r="EJ257" s="555"/>
      <c r="EK257" s="555"/>
      <c r="EL257" s="802"/>
    </row>
    <row r="258" spans="1:142" hidden="1" outlineLevel="1">
      <c r="A258" s="557"/>
      <c r="B258" s="557" t="s">
        <v>196</v>
      </c>
      <c r="C258" s="1201"/>
      <c r="D258" s="1201">
        <v>49078</v>
      </c>
      <c r="E258" s="1201">
        <v>48663</v>
      </c>
      <c r="F258" s="1201">
        <v>51882</v>
      </c>
      <c r="G258" s="960">
        <f>H258-SUM(D258:F258)</f>
        <v>118245</v>
      </c>
      <c r="H258" s="1202">
        <v>267868</v>
      </c>
      <c r="I258" s="1201">
        <v>111503</v>
      </c>
      <c r="J258" s="1201">
        <v>120363</v>
      </c>
      <c r="K258" s="1201">
        <v>130536</v>
      </c>
      <c r="L258" s="960">
        <f>M258-SUM(I258:K258)</f>
        <v>125199</v>
      </c>
      <c r="M258" s="1202">
        <v>487601</v>
      </c>
      <c r="N258" s="1201">
        <v>122210</v>
      </c>
      <c r="O258" s="1201">
        <v>124564</v>
      </c>
      <c r="P258" s="1201">
        <v>212850</v>
      </c>
      <c r="Q258" s="960">
        <f>R258-SUM(N258:P258)</f>
        <v>327263</v>
      </c>
      <c r="R258" s="1202">
        <v>786887</v>
      </c>
      <c r="S258" s="1201">
        <v>205572</v>
      </c>
      <c r="T258" s="1201">
        <v>213270</v>
      </c>
      <c r="U258" s="1201">
        <v>230955</v>
      </c>
      <c r="V258" s="960">
        <f>W258-SUM(S258:U258)</f>
        <v>222636</v>
      </c>
      <c r="W258" s="1202">
        <v>872433</v>
      </c>
      <c r="X258" s="1201">
        <v>219167</v>
      </c>
      <c r="Y258" s="1201">
        <v>221499</v>
      </c>
      <c r="Z258" s="1201">
        <v>248646</v>
      </c>
      <c r="AA258" s="960">
        <f>AB258-SUM(X258:Z258)</f>
        <v>250935</v>
      </c>
      <c r="AB258" s="1202">
        <v>940247</v>
      </c>
      <c r="AC258" s="1201">
        <v>239378</v>
      </c>
      <c r="AD258" s="1201">
        <v>227647</v>
      </c>
      <c r="AE258" s="1201">
        <v>239792</v>
      </c>
      <c r="AF258" s="960">
        <f>AG258-SUM(AC258:AE258)</f>
        <v>229325</v>
      </c>
      <c r="AG258" s="1202">
        <v>936142</v>
      </c>
      <c r="AH258" s="1201">
        <v>228680</v>
      </c>
      <c r="AI258" s="1201">
        <v>229281</v>
      </c>
      <c r="AJ258" s="1201">
        <v>239074</v>
      </c>
      <c r="AK258" s="960">
        <f>AL258-SUM(AH258:AJ258)</f>
        <v>242566</v>
      </c>
      <c r="AL258" s="1202">
        <v>939601</v>
      </c>
      <c r="AM258" s="1201">
        <v>242172</v>
      </c>
      <c r="AN258" s="1201">
        <v>242861</v>
      </c>
      <c r="AO258" s="1201">
        <v>256840</v>
      </c>
      <c r="AP258" s="960">
        <f>AQ258-SUM(AM258:AO258)</f>
        <v>259163</v>
      </c>
      <c r="AQ258" s="1202">
        <v>1001036</v>
      </c>
      <c r="AR258" s="1201">
        <v>252114</v>
      </c>
      <c r="AS258" s="1201">
        <v>254232</v>
      </c>
      <c r="AT258" s="1201">
        <v>261601</v>
      </c>
      <c r="AU258" s="802"/>
      <c r="AV258" s="708" t="s">
        <v>503</v>
      </c>
      <c r="AW258" s="708" t="s">
        <v>503</v>
      </c>
      <c r="AX258" s="708" t="s">
        <v>503</v>
      </c>
      <c r="AY258" s="708" t="s">
        <v>503</v>
      </c>
      <c r="AZ258" s="1188" t="s">
        <v>503</v>
      </c>
      <c r="BA258" s="1201">
        <v>243226</v>
      </c>
      <c r="BB258" s="1201">
        <v>236059</v>
      </c>
      <c r="BC258" s="1201">
        <v>237374</v>
      </c>
      <c r="BD258" s="960">
        <f>BE258-SUM(BA258:BC258)</f>
        <v>229981</v>
      </c>
      <c r="BE258" s="1202">
        <v>946640</v>
      </c>
      <c r="BF258" s="1201">
        <v>185253</v>
      </c>
      <c r="BG258" s="1201">
        <v>174079</v>
      </c>
      <c r="BH258" s="1201">
        <v>170713</v>
      </c>
      <c r="BI258" s="1201">
        <v>169343</v>
      </c>
      <c r="BJ258" s="1202">
        <v>687857</v>
      </c>
      <c r="BK258" s="959">
        <v>178458</v>
      </c>
      <c r="BL258" s="555">
        <v>168526</v>
      </c>
      <c r="BM258" s="555">
        <v>163707</v>
      </c>
      <c r="BN258" s="555">
        <v>157896</v>
      </c>
      <c r="BO258" s="802">
        <v>668587</v>
      </c>
      <c r="BP258" s="959">
        <v>166426</v>
      </c>
      <c r="BQ258" s="555">
        <v>142976</v>
      </c>
      <c r="BR258" s="555">
        <v>141203</v>
      </c>
      <c r="BS258" s="555">
        <v>143110</v>
      </c>
      <c r="BT258" s="802">
        <v>578168</v>
      </c>
      <c r="BU258" s="959">
        <v>148368</v>
      </c>
      <c r="BV258" s="555">
        <v>139832</v>
      </c>
      <c r="BW258" s="555">
        <v>136373</v>
      </c>
      <c r="BX258" s="555">
        <v>139449</v>
      </c>
      <c r="BY258" s="802">
        <v>556025</v>
      </c>
      <c r="BZ258" s="959">
        <v>146057</v>
      </c>
      <c r="CA258" s="555">
        <v>133983</v>
      </c>
      <c r="CB258" s="555">
        <v>130545</v>
      </c>
      <c r="CC258" s="555">
        <v>131693</v>
      </c>
      <c r="CD258" s="802">
        <v>530303</v>
      </c>
      <c r="CE258" s="959">
        <v>136766</v>
      </c>
      <c r="CF258" s="555">
        <v>130308</v>
      </c>
      <c r="CG258" s="555">
        <v>130258</v>
      </c>
      <c r="CH258" s="555">
        <v>129631</v>
      </c>
      <c r="CI258" s="802">
        <v>525532</v>
      </c>
      <c r="CJ258" s="959">
        <v>132599</v>
      </c>
      <c r="CK258" s="555">
        <v>127751</v>
      </c>
      <c r="CL258" s="555">
        <v>125645</v>
      </c>
      <c r="CM258" s="555">
        <v>126977</v>
      </c>
      <c r="CN258" s="802">
        <v>512972</v>
      </c>
      <c r="CO258" s="959">
        <v>131437</v>
      </c>
      <c r="CP258" s="555">
        <v>125592</v>
      </c>
      <c r="CQ258" s="555">
        <v>125458</v>
      </c>
      <c r="CR258" s="555">
        <v>125347</v>
      </c>
      <c r="CS258" s="802">
        <v>507834</v>
      </c>
      <c r="CT258" s="959">
        <v>131190</v>
      </c>
      <c r="CU258" s="555">
        <v>125136</v>
      </c>
      <c r="CV258" s="555">
        <v>124869</v>
      </c>
      <c r="CW258" s="555">
        <v>125290</v>
      </c>
      <c r="CX258" s="802">
        <v>506485</v>
      </c>
      <c r="CY258" s="959">
        <v>125929</v>
      </c>
      <c r="CZ258" s="555">
        <v>120722</v>
      </c>
      <c r="DA258" s="555">
        <v>121569</v>
      </c>
      <c r="DB258" s="555">
        <v>190506</v>
      </c>
      <c r="DC258" s="802">
        <v>558726</v>
      </c>
      <c r="DD258" s="959">
        <v>194273</v>
      </c>
      <c r="DE258" s="555">
        <v>194641</v>
      </c>
      <c r="DF258" s="555">
        <v>199914</v>
      </c>
      <c r="DG258" s="555">
        <v>202337</v>
      </c>
      <c r="DH258" s="802">
        <v>791165</v>
      </c>
      <c r="DI258" s="1005">
        <v>208333</v>
      </c>
      <c r="DJ258" s="1005">
        <v>201908</v>
      </c>
      <c r="DK258" s="1005">
        <v>201870</v>
      </c>
      <c r="DL258" s="1005">
        <v>211991</v>
      </c>
      <c r="DM258" s="1506">
        <v>824102</v>
      </c>
      <c r="DN258" s="1507">
        <v>211799</v>
      </c>
      <c r="DO258" s="1507">
        <v>193898</v>
      </c>
      <c r="DP258" s="1507">
        <v>194342</v>
      </c>
      <c r="DQ258" s="1507">
        <v>192101</v>
      </c>
      <c r="DR258" s="1506">
        <v>792143</v>
      </c>
      <c r="DS258" s="1507">
        <v>196907</v>
      </c>
      <c r="DT258" s="1507">
        <v>190394</v>
      </c>
      <c r="DU258" s="1507">
        <v>185389</v>
      </c>
      <c r="DV258" s="1507">
        <v>186185</v>
      </c>
      <c r="DW258" s="1004">
        <f t="shared" ref="DW258:DW266" si="560">SUM(DS258:DV258)</f>
        <v>758875</v>
      </c>
      <c r="DX258" s="555"/>
      <c r="DY258" s="555"/>
      <c r="DZ258" s="555"/>
      <c r="EA258" s="555"/>
      <c r="EB258" s="802"/>
      <c r="EC258" s="555"/>
      <c r="ED258" s="555"/>
      <c r="EE258" s="555"/>
      <c r="EF258" s="555"/>
      <c r="EG258" s="802"/>
      <c r="EH258" s="555"/>
      <c r="EI258" s="555"/>
      <c r="EJ258" s="555"/>
      <c r="EK258" s="555"/>
      <c r="EL258" s="802"/>
    </row>
    <row r="259" spans="1:142" hidden="1" outlineLevel="1">
      <c r="A259" s="557"/>
      <c r="B259" s="557" t="s">
        <v>147</v>
      </c>
      <c r="C259" s="1203"/>
      <c r="D259" s="1203" t="s">
        <v>503</v>
      </c>
      <c r="E259" s="1201">
        <v>64496</v>
      </c>
      <c r="F259" s="1201">
        <v>67637</v>
      </c>
      <c r="G259" s="960">
        <f>H259-SUM(D259:F259)</f>
        <v>226531</v>
      </c>
      <c r="H259" s="1202">
        <v>358664</v>
      </c>
      <c r="I259" s="1201">
        <v>156687</v>
      </c>
      <c r="J259" s="1201">
        <v>166564</v>
      </c>
      <c r="K259" s="1201">
        <v>187675</v>
      </c>
      <c r="L259" s="960">
        <f>M259-SUM(I259:K259)</f>
        <v>178693</v>
      </c>
      <c r="M259" s="1202">
        <v>689619</v>
      </c>
      <c r="N259" s="1201">
        <v>177597</v>
      </c>
      <c r="O259" s="1201">
        <v>179602</v>
      </c>
      <c r="P259" s="1201">
        <v>301703</v>
      </c>
      <c r="Q259" s="960">
        <f>R259-SUM(N259:P259)</f>
        <v>465495</v>
      </c>
      <c r="R259" s="1202">
        <v>1124397</v>
      </c>
      <c r="S259" s="1201">
        <v>289833</v>
      </c>
      <c r="T259" s="1201">
        <v>327578</v>
      </c>
      <c r="U259" s="1201">
        <v>326322</v>
      </c>
      <c r="V259" s="960">
        <f>W259-SUM(S259:U259)</f>
        <v>324531</v>
      </c>
      <c r="W259" s="1202">
        <v>1268264</v>
      </c>
      <c r="X259" s="1201">
        <v>322799</v>
      </c>
      <c r="Y259" s="1201">
        <v>322035</v>
      </c>
      <c r="Z259" s="1201">
        <v>351849</v>
      </c>
      <c r="AA259" s="960">
        <f>AB259-SUM(X259:Z259)</f>
        <v>363341</v>
      </c>
      <c r="AB259" s="1202">
        <v>1360024</v>
      </c>
      <c r="AC259" s="1201">
        <v>353711</v>
      </c>
      <c r="AD259" s="1201">
        <v>329667</v>
      </c>
      <c r="AE259" s="1201">
        <v>335658</v>
      </c>
      <c r="AF259" s="960">
        <f>AG259-SUM(AC259:AE259)</f>
        <v>332259</v>
      </c>
      <c r="AG259" s="1202">
        <v>1351295</v>
      </c>
      <c r="AH259" s="1201">
        <v>322799</v>
      </c>
      <c r="AI259" s="1201">
        <v>329224</v>
      </c>
      <c r="AJ259" s="1201">
        <v>334340</v>
      </c>
      <c r="AK259" s="960">
        <f>AL259-SUM(AH259:AJ259)</f>
        <v>354775</v>
      </c>
      <c r="AL259" s="1202">
        <v>1341138</v>
      </c>
      <c r="AM259" s="1201">
        <v>350065</v>
      </c>
      <c r="AN259" s="1201">
        <v>348787</v>
      </c>
      <c r="AO259" s="1201">
        <v>360536</v>
      </c>
      <c r="AP259" s="960">
        <f>AQ259-SUM(AM259:AO259)</f>
        <v>370164</v>
      </c>
      <c r="AQ259" s="1202">
        <v>1429552</v>
      </c>
      <c r="AR259" s="1201">
        <v>360963</v>
      </c>
      <c r="AS259" s="1201">
        <v>361197</v>
      </c>
      <c r="AT259" s="1201">
        <v>365527</v>
      </c>
      <c r="AU259" s="802"/>
      <c r="AV259" s="708" t="s">
        <v>503</v>
      </c>
      <c r="AW259" s="708" t="s">
        <v>503</v>
      </c>
      <c r="AX259" s="708" t="s">
        <v>503</v>
      </c>
      <c r="AY259" s="708" t="s">
        <v>503</v>
      </c>
      <c r="AZ259" s="1188" t="s">
        <v>503</v>
      </c>
      <c r="BA259" s="1201">
        <v>336245</v>
      </c>
      <c r="BB259" s="1201">
        <v>330709</v>
      </c>
      <c r="BC259" s="1201">
        <v>333203</v>
      </c>
      <c r="BD259" s="960">
        <f>BE259-SUM(BA259:BC259)</f>
        <v>319844</v>
      </c>
      <c r="BE259" s="1202">
        <v>1320001</v>
      </c>
      <c r="BF259" s="1201">
        <v>256158</v>
      </c>
      <c r="BG259" s="1201">
        <v>246174</v>
      </c>
      <c r="BH259" s="1201">
        <v>241830</v>
      </c>
      <c r="BI259" s="1201">
        <v>238917</v>
      </c>
      <c r="BJ259" s="1202">
        <v>967093</v>
      </c>
      <c r="BK259" s="959">
        <v>248225</v>
      </c>
      <c r="BL259" s="555">
        <v>239747</v>
      </c>
      <c r="BM259" s="555">
        <v>233272</v>
      </c>
      <c r="BN259" s="555">
        <v>223084</v>
      </c>
      <c r="BO259" s="802">
        <v>944328</v>
      </c>
      <c r="BP259" s="959">
        <v>233356</v>
      </c>
      <c r="BQ259" s="555">
        <v>204640</v>
      </c>
      <c r="BR259" s="555">
        <v>202489</v>
      </c>
      <c r="BS259" s="555">
        <v>203830</v>
      </c>
      <c r="BT259" s="802">
        <v>822062</v>
      </c>
      <c r="BU259" s="959">
        <v>209574</v>
      </c>
      <c r="BV259" s="555">
        <v>202820</v>
      </c>
      <c r="BW259" s="555">
        <v>198046</v>
      </c>
      <c r="BX259" s="555">
        <v>201228</v>
      </c>
      <c r="BY259" s="802">
        <v>799072</v>
      </c>
      <c r="BZ259" s="959">
        <v>207482</v>
      </c>
      <c r="CA259" s="555">
        <v>195522</v>
      </c>
      <c r="CB259" s="555">
        <v>192799</v>
      </c>
      <c r="CC259" s="555">
        <v>193108</v>
      </c>
      <c r="CD259" s="802">
        <v>771704</v>
      </c>
      <c r="CE259" s="959">
        <v>200154</v>
      </c>
      <c r="CF259" s="555">
        <v>195962</v>
      </c>
      <c r="CG259" s="555">
        <v>197164</v>
      </c>
      <c r="CH259" s="555">
        <v>193279</v>
      </c>
      <c r="CI259" s="802">
        <v>784502</v>
      </c>
      <c r="CJ259" s="959">
        <v>195909</v>
      </c>
      <c r="CK259" s="555">
        <v>194828</v>
      </c>
      <c r="CL259" s="555">
        <v>193670</v>
      </c>
      <c r="CM259" s="555">
        <v>194098</v>
      </c>
      <c r="CN259" s="802">
        <v>778505</v>
      </c>
      <c r="CO259" s="959">
        <v>197459</v>
      </c>
      <c r="CP259" s="555">
        <v>193971</v>
      </c>
      <c r="CQ259" s="555">
        <v>194965</v>
      </c>
      <c r="CR259" s="555">
        <v>193631</v>
      </c>
      <c r="CS259" s="802">
        <v>780026</v>
      </c>
      <c r="CT259" s="959">
        <v>202860</v>
      </c>
      <c r="CU259" s="555">
        <v>196932</v>
      </c>
      <c r="CV259" s="555">
        <v>197778</v>
      </c>
      <c r="CW259" s="555">
        <v>199304</v>
      </c>
      <c r="CX259" s="802">
        <v>796874</v>
      </c>
      <c r="CY259" s="959">
        <v>197665</v>
      </c>
      <c r="CZ259" s="555">
        <v>195440</v>
      </c>
      <c r="DA259" s="555">
        <v>196761</v>
      </c>
      <c r="DB259" s="555">
        <v>325410</v>
      </c>
      <c r="DC259" s="802">
        <v>915276</v>
      </c>
      <c r="DD259" s="959">
        <v>323810</v>
      </c>
      <c r="DE259" s="555">
        <v>337509</v>
      </c>
      <c r="DF259" s="555">
        <v>345787</v>
      </c>
      <c r="DG259" s="555">
        <v>347790</v>
      </c>
      <c r="DH259" s="802">
        <v>1354896</v>
      </c>
      <c r="DI259" s="1005">
        <v>351893</v>
      </c>
      <c r="DJ259" s="1005">
        <v>349122</v>
      </c>
      <c r="DK259" s="1005">
        <v>352328</v>
      </c>
      <c r="DL259" s="1005">
        <v>371994</v>
      </c>
      <c r="DM259" s="1506">
        <v>1422588</v>
      </c>
      <c r="DN259" s="1507">
        <v>362819</v>
      </c>
      <c r="DO259" s="1507">
        <v>342813</v>
      </c>
      <c r="DP259" s="1507">
        <v>345207</v>
      </c>
      <c r="DQ259" s="1507">
        <v>338929</v>
      </c>
      <c r="DR259" s="1506">
        <v>1389768</v>
      </c>
      <c r="DS259" s="1507">
        <v>347150</v>
      </c>
      <c r="DT259" s="1507">
        <v>342439</v>
      </c>
      <c r="DU259" s="1507">
        <v>332035</v>
      </c>
      <c r="DV259" s="1507">
        <v>332642</v>
      </c>
      <c r="DW259" s="1004">
        <f t="shared" si="560"/>
        <v>1354266</v>
      </c>
      <c r="DX259" s="555"/>
      <c r="DY259" s="555"/>
      <c r="DZ259" s="555"/>
      <c r="EA259" s="555"/>
      <c r="EB259" s="802"/>
      <c r="EC259" s="555"/>
      <c r="ED259" s="555"/>
      <c r="EE259" s="555"/>
      <c r="EF259" s="555"/>
      <c r="EG259" s="802"/>
      <c r="EH259" s="555"/>
      <c r="EI259" s="555"/>
      <c r="EJ259" s="555"/>
      <c r="EK259" s="555"/>
      <c r="EL259" s="802"/>
    </row>
    <row r="260" spans="1:142" hidden="1" outlineLevel="1">
      <c r="A260" s="1300"/>
      <c r="B260" s="164" t="s">
        <v>204</v>
      </c>
      <c r="C260" s="164"/>
      <c r="D260" s="1301" t="s">
        <v>503</v>
      </c>
      <c r="E260" s="1301" t="s">
        <v>503</v>
      </c>
      <c r="F260" s="1301" t="s">
        <v>503</v>
      </c>
      <c r="G260" s="1301" t="s">
        <v>503</v>
      </c>
      <c r="H260" s="1302" t="s">
        <v>503</v>
      </c>
      <c r="I260" s="1301" t="s">
        <v>503</v>
      </c>
      <c r="J260" s="1301" t="s">
        <v>503</v>
      </c>
      <c r="K260" s="1301" t="s">
        <v>503</v>
      </c>
      <c r="L260" s="1301" t="s">
        <v>503</v>
      </c>
      <c r="M260" s="1302" t="s">
        <v>503</v>
      </c>
      <c r="N260" s="1301" t="s">
        <v>503</v>
      </c>
      <c r="O260" s="1301" t="s">
        <v>503</v>
      </c>
      <c r="P260" s="1301" t="s">
        <v>503</v>
      </c>
      <c r="Q260" s="1301" t="s">
        <v>503</v>
      </c>
      <c r="R260" s="1302" t="s">
        <v>503</v>
      </c>
      <c r="S260" s="1301" t="s">
        <v>503</v>
      </c>
      <c r="T260" s="1301" t="s">
        <v>503</v>
      </c>
      <c r="U260" s="1301" t="s">
        <v>503</v>
      </c>
      <c r="V260" s="1301" t="s">
        <v>503</v>
      </c>
      <c r="W260" s="1302" t="s">
        <v>503</v>
      </c>
      <c r="X260" s="1301" t="s">
        <v>503</v>
      </c>
      <c r="Y260" s="1301" t="s">
        <v>503</v>
      </c>
      <c r="Z260" s="1301" t="s">
        <v>503</v>
      </c>
      <c r="AA260" s="1301" t="s">
        <v>503</v>
      </c>
      <c r="AB260" s="1302" t="s">
        <v>503</v>
      </c>
      <c r="AC260" s="1301" t="s">
        <v>503</v>
      </c>
      <c r="AD260" s="1301" t="s">
        <v>503</v>
      </c>
      <c r="AE260" s="1301" t="s">
        <v>503</v>
      </c>
      <c r="AF260" s="1301" t="s">
        <v>503</v>
      </c>
      <c r="AG260" s="1302" t="s">
        <v>503</v>
      </c>
      <c r="AH260" s="1301" t="s">
        <v>503</v>
      </c>
      <c r="AI260" s="1301" t="s">
        <v>503</v>
      </c>
      <c r="AJ260" s="1301" t="s">
        <v>503</v>
      </c>
      <c r="AK260" s="1301" t="s">
        <v>503</v>
      </c>
      <c r="AL260" s="1302" t="s">
        <v>503</v>
      </c>
      <c r="AM260" s="1301" t="s">
        <v>503</v>
      </c>
      <c r="AN260" s="1301" t="s">
        <v>503</v>
      </c>
      <c r="AO260" s="1301" t="s">
        <v>503</v>
      </c>
      <c r="AP260" s="1301" t="s">
        <v>503</v>
      </c>
      <c r="AQ260" s="1302" t="s">
        <v>503</v>
      </c>
      <c r="AR260" s="1301" t="s">
        <v>503</v>
      </c>
      <c r="AS260" s="1301" t="s">
        <v>503</v>
      </c>
      <c r="AT260" s="1301" t="s">
        <v>503</v>
      </c>
      <c r="AU260" s="1303"/>
      <c r="AV260" s="1304" t="s">
        <v>503</v>
      </c>
      <c r="AW260" s="1304" t="s">
        <v>503</v>
      </c>
      <c r="AX260" s="1304" t="s">
        <v>503</v>
      </c>
      <c r="AY260" s="1304" t="s">
        <v>503</v>
      </c>
      <c r="AZ260" s="1305" t="s">
        <v>503</v>
      </c>
      <c r="BA260" s="1301" t="s">
        <v>503</v>
      </c>
      <c r="BB260" s="1301" t="s">
        <v>503</v>
      </c>
      <c r="BC260" s="1301" t="s">
        <v>503</v>
      </c>
      <c r="BD260" s="1301" t="s">
        <v>503</v>
      </c>
      <c r="BE260" s="1302" t="s">
        <v>503</v>
      </c>
      <c r="BF260" s="1301" t="s">
        <v>503</v>
      </c>
      <c r="BG260" s="1301" t="s">
        <v>503</v>
      </c>
      <c r="BH260" s="1301" t="s">
        <v>503</v>
      </c>
      <c r="BI260" s="1306" t="s">
        <v>503</v>
      </c>
      <c r="BJ260" s="1307" t="s">
        <v>503</v>
      </c>
      <c r="BK260" s="321" t="e">
        <f t="shared" ref="BK260:BY260" si="561">BK290-BK275</f>
        <v>#VALUE!</v>
      </c>
      <c r="BL260" s="321" t="e">
        <f t="shared" si="561"/>
        <v>#VALUE!</v>
      </c>
      <c r="BM260" s="321" t="e">
        <f t="shared" si="561"/>
        <v>#VALUE!</v>
      </c>
      <c r="BN260" s="1308" t="e">
        <f t="shared" si="561"/>
        <v>#VALUE!</v>
      </c>
      <c r="BO260" s="291" t="e">
        <f t="shared" si="561"/>
        <v>#VALUE!</v>
      </c>
      <c r="BP260" s="321" t="e">
        <f t="shared" si="561"/>
        <v>#VALUE!</v>
      </c>
      <c r="BQ260" s="321" t="e">
        <f t="shared" si="561"/>
        <v>#VALUE!</v>
      </c>
      <c r="BR260" s="321" t="e">
        <f t="shared" si="561"/>
        <v>#VALUE!</v>
      </c>
      <c r="BS260" s="1308" t="e">
        <f t="shared" si="561"/>
        <v>#VALUE!</v>
      </c>
      <c r="BT260" s="291" t="e">
        <f t="shared" si="561"/>
        <v>#VALUE!</v>
      </c>
      <c r="BU260" s="321" t="e">
        <f t="shared" si="561"/>
        <v>#VALUE!</v>
      </c>
      <c r="BV260" s="321" t="e">
        <f t="shared" si="561"/>
        <v>#VALUE!</v>
      </c>
      <c r="BW260" s="321" t="e">
        <f t="shared" si="561"/>
        <v>#VALUE!</v>
      </c>
      <c r="BX260" s="1308" t="e">
        <f t="shared" si="561"/>
        <v>#VALUE!</v>
      </c>
      <c r="BY260" s="291" t="e">
        <f t="shared" si="561"/>
        <v>#VALUE!</v>
      </c>
      <c r="BZ260" s="321">
        <v>137244</v>
      </c>
      <c r="CA260" s="321">
        <v>124972</v>
      </c>
      <c r="CB260" s="321">
        <v>121115</v>
      </c>
      <c r="CC260" s="1308">
        <v>122158</v>
      </c>
      <c r="CD260" s="291">
        <v>493811</v>
      </c>
      <c r="CE260" s="321">
        <v>127204</v>
      </c>
      <c r="CF260" s="321">
        <v>120227</v>
      </c>
      <c r="CG260" s="321">
        <v>119925</v>
      </c>
      <c r="CH260" s="1308">
        <v>119799</v>
      </c>
      <c r="CI260" s="291">
        <v>485750</v>
      </c>
      <c r="CJ260" s="321">
        <v>124299</v>
      </c>
      <c r="CK260" s="321">
        <v>119185</v>
      </c>
      <c r="CL260" s="321">
        <v>116672</v>
      </c>
      <c r="CM260" s="1308">
        <v>118583</v>
      </c>
      <c r="CN260" s="291">
        <v>478739</v>
      </c>
      <c r="CO260" s="321">
        <v>124762</v>
      </c>
      <c r="CP260" s="321">
        <v>119097</v>
      </c>
      <c r="CQ260" s="321">
        <v>118505</v>
      </c>
      <c r="CR260" s="1308">
        <v>116763</v>
      </c>
      <c r="CS260" s="291">
        <v>473943</v>
      </c>
      <c r="CT260" s="321">
        <v>122343</v>
      </c>
      <c r="CU260" s="321">
        <v>116195</v>
      </c>
      <c r="CV260" s="321">
        <v>115607</v>
      </c>
      <c r="CW260" s="1308">
        <v>116611</v>
      </c>
      <c r="CX260" s="291">
        <v>470756</v>
      </c>
      <c r="CY260" s="321">
        <v>117326</v>
      </c>
      <c r="CZ260" s="321">
        <v>111891</v>
      </c>
      <c r="DA260" s="321">
        <v>112760</v>
      </c>
      <c r="DB260" s="1308">
        <v>113573</v>
      </c>
      <c r="DC260" s="291">
        <v>455550</v>
      </c>
      <c r="DD260" s="321">
        <v>116064</v>
      </c>
      <c r="DE260" s="321">
        <v>116801</v>
      </c>
      <c r="DF260" s="321">
        <v>118580</v>
      </c>
      <c r="DG260" s="1308">
        <v>124600</v>
      </c>
      <c r="DH260" s="291" t="e">
        <f>DH290-DH275</f>
        <v>#VALUE!</v>
      </c>
      <c r="DI260" s="1508">
        <v>193028</v>
      </c>
      <c r="DJ260" s="1508">
        <v>187029</v>
      </c>
      <c r="DK260" s="1508">
        <v>180353</v>
      </c>
      <c r="DL260" s="1508">
        <v>180353</v>
      </c>
      <c r="DM260" s="1509">
        <v>733155</v>
      </c>
      <c r="DN260" s="1510">
        <v>201436</v>
      </c>
      <c r="DO260" s="1511">
        <v>183539</v>
      </c>
      <c r="DP260" s="1511">
        <v>183042</v>
      </c>
      <c r="DQ260" s="1510">
        <v>181617</v>
      </c>
      <c r="DR260" s="1509">
        <v>749634</v>
      </c>
      <c r="DS260" s="1507">
        <v>186648</v>
      </c>
      <c r="DT260" s="1511">
        <v>179889</v>
      </c>
      <c r="DU260" s="1511">
        <v>174803</v>
      </c>
      <c r="DV260" s="1510">
        <v>176158</v>
      </c>
      <c r="DW260" s="1004">
        <f t="shared" si="560"/>
        <v>717498</v>
      </c>
      <c r="DX260" s="321"/>
      <c r="DY260" s="321"/>
      <c r="DZ260" s="321"/>
      <c r="EA260" s="321"/>
      <c r="EB260" s="1309"/>
      <c r="EC260" s="321"/>
      <c r="ED260" s="321"/>
      <c r="EE260" s="321"/>
      <c r="EF260" s="321"/>
      <c r="EG260" s="1309"/>
      <c r="EH260" s="321"/>
      <c r="EI260" s="321"/>
      <c r="EJ260" s="321"/>
      <c r="EK260" s="321"/>
      <c r="EL260" s="1309"/>
    </row>
    <row r="261" spans="1:142" hidden="1" outlineLevel="1">
      <c r="A261" s="1300"/>
      <c r="B261" s="1300" t="s">
        <v>205</v>
      </c>
      <c r="C261" s="1301"/>
      <c r="D261" s="1301" t="s">
        <v>503</v>
      </c>
      <c r="E261" s="1301" t="s">
        <v>503</v>
      </c>
      <c r="F261" s="1301" t="s">
        <v>503</v>
      </c>
      <c r="G261" s="1301" t="s">
        <v>503</v>
      </c>
      <c r="H261" s="1302" t="s">
        <v>503</v>
      </c>
      <c r="I261" s="1301" t="s">
        <v>503</v>
      </c>
      <c r="J261" s="1301" t="s">
        <v>503</v>
      </c>
      <c r="K261" s="1301" t="s">
        <v>503</v>
      </c>
      <c r="L261" s="1301" t="s">
        <v>503</v>
      </c>
      <c r="M261" s="1302" t="s">
        <v>503</v>
      </c>
      <c r="N261" s="1301" t="s">
        <v>503</v>
      </c>
      <c r="O261" s="1301" t="s">
        <v>503</v>
      </c>
      <c r="P261" s="1301" t="s">
        <v>503</v>
      </c>
      <c r="Q261" s="1301" t="s">
        <v>503</v>
      </c>
      <c r="R261" s="1302" t="s">
        <v>503</v>
      </c>
      <c r="S261" s="1301" t="s">
        <v>503</v>
      </c>
      <c r="T261" s="1301" t="s">
        <v>503</v>
      </c>
      <c r="U261" s="1301" t="s">
        <v>503</v>
      </c>
      <c r="V261" s="1301" t="s">
        <v>503</v>
      </c>
      <c r="W261" s="1302" t="s">
        <v>503</v>
      </c>
      <c r="X261" s="1301" t="s">
        <v>503</v>
      </c>
      <c r="Y261" s="1301" t="s">
        <v>503</v>
      </c>
      <c r="Z261" s="1301" t="s">
        <v>503</v>
      </c>
      <c r="AA261" s="1301" t="s">
        <v>503</v>
      </c>
      <c r="AB261" s="1302" t="s">
        <v>503</v>
      </c>
      <c r="AC261" s="1301" t="s">
        <v>503</v>
      </c>
      <c r="AD261" s="1301" t="s">
        <v>503</v>
      </c>
      <c r="AE261" s="1301" t="s">
        <v>503</v>
      </c>
      <c r="AF261" s="1301" t="s">
        <v>503</v>
      </c>
      <c r="AG261" s="1302" t="s">
        <v>503</v>
      </c>
      <c r="AH261" s="1301" t="s">
        <v>503</v>
      </c>
      <c r="AI261" s="1301" t="s">
        <v>503</v>
      </c>
      <c r="AJ261" s="1301" t="s">
        <v>503</v>
      </c>
      <c r="AK261" s="1301" t="s">
        <v>503</v>
      </c>
      <c r="AL261" s="1302" t="s">
        <v>503</v>
      </c>
      <c r="AM261" s="1301" t="s">
        <v>503</v>
      </c>
      <c r="AN261" s="1301" t="s">
        <v>503</v>
      </c>
      <c r="AO261" s="1301" t="s">
        <v>503</v>
      </c>
      <c r="AP261" s="1301" t="s">
        <v>503</v>
      </c>
      <c r="AQ261" s="1302" t="s">
        <v>503</v>
      </c>
      <c r="AR261" s="1301" t="s">
        <v>503</v>
      </c>
      <c r="AS261" s="1301" t="s">
        <v>503</v>
      </c>
      <c r="AT261" s="1301" t="s">
        <v>503</v>
      </c>
      <c r="AU261" s="1303"/>
      <c r="AV261" s="1304" t="s">
        <v>503</v>
      </c>
      <c r="AW261" s="1304" t="s">
        <v>503</v>
      </c>
      <c r="AX261" s="1304" t="s">
        <v>503</v>
      </c>
      <c r="AY261" s="1304" t="s">
        <v>503</v>
      </c>
      <c r="AZ261" s="1305" t="s">
        <v>503</v>
      </c>
      <c r="BA261" s="1301" t="s">
        <v>503</v>
      </c>
      <c r="BB261" s="1301" t="s">
        <v>503</v>
      </c>
      <c r="BC261" s="1301" t="s">
        <v>503</v>
      </c>
      <c r="BD261" s="1301" t="s">
        <v>503</v>
      </c>
      <c r="BE261" s="1302" t="s">
        <v>503</v>
      </c>
      <c r="BF261" s="1312">
        <f>BF293*BF289</f>
        <v>0</v>
      </c>
      <c r="BG261" s="1312">
        <f>BG293*BG289</f>
        <v>0</v>
      </c>
      <c r="BH261" s="1312">
        <f>BH293*BH289</f>
        <v>0</v>
      </c>
      <c r="BI261" s="1313">
        <f>BI293*BI289</f>
        <v>0</v>
      </c>
      <c r="BJ261" s="1314">
        <f>SUM(BF261:BI261)</f>
        <v>0</v>
      </c>
      <c r="BK261" s="320" t="s">
        <v>503</v>
      </c>
      <c r="BL261" s="320" t="s">
        <v>503</v>
      </c>
      <c r="BM261" s="1315">
        <v>86305</v>
      </c>
      <c r="BN261" s="562">
        <v>86066</v>
      </c>
      <c r="BO261" s="291" t="s">
        <v>503</v>
      </c>
      <c r="BP261" s="320">
        <v>91208</v>
      </c>
      <c r="BQ261" s="320">
        <v>75579</v>
      </c>
      <c r="BR261" s="1315">
        <v>73874</v>
      </c>
      <c r="BS261" s="562">
        <v>76605</v>
      </c>
      <c r="BT261" s="291">
        <f>SUM(BP261:BS261)</f>
        <v>317266</v>
      </c>
      <c r="BU261" s="320">
        <v>81373</v>
      </c>
      <c r="BV261" s="320">
        <v>75680</v>
      </c>
      <c r="BW261" s="1315">
        <v>71645</v>
      </c>
      <c r="BX261" s="562">
        <v>74878</v>
      </c>
      <c r="BY261" s="291">
        <f>SUM(BU261:BX261)</f>
        <v>303576</v>
      </c>
      <c r="BZ261" s="320">
        <v>81246</v>
      </c>
      <c r="CA261" s="320">
        <v>74025</v>
      </c>
      <c r="CB261" s="1315">
        <v>71218</v>
      </c>
      <c r="CC261" s="562">
        <v>73570</v>
      </c>
      <c r="CD261" s="291">
        <v>295473</v>
      </c>
      <c r="CE261" s="320">
        <v>78074</v>
      </c>
      <c r="CF261" s="320">
        <v>73701</v>
      </c>
      <c r="CG261" s="1315">
        <v>73082</v>
      </c>
      <c r="CH261" s="562">
        <v>73806</v>
      </c>
      <c r="CI261" s="291">
        <v>297911</v>
      </c>
      <c r="CJ261" s="320">
        <v>78484</v>
      </c>
      <c r="CK261" s="320">
        <v>74606</v>
      </c>
      <c r="CL261" s="1315">
        <v>72914</v>
      </c>
      <c r="CM261" s="562">
        <v>74648</v>
      </c>
      <c r="CN261" s="291">
        <v>300652</v>
      </c>
      <c r="CO261" s="320">
        <v>80763</v>
      </c>
      <c r="CP261" s="320">
        <v>76824</v>
      </c>
      <c r="CQ261" s="1315">
        <v>75624</v>
      </c>
      <c r="CR261" s="562">
        <v>76151</v>
      </c>
      <c r="CS261" s="291">
        <v>306424</v>
      </c>
      <c r="CT261" s="320">
        <v>81216</v>
      </c>
      <c r="CU261" s="320">
        <v>77604</v>
      </c>
      <c r="CV261" s="1315">
        <v>76617</v>
      </c>
      <c r="CW261" s="562">
        <v>77465</v>
      </c>
      <c r="CX261" s="291">
        <v>312902</v>
      </c>
      <c r="CY261" s="320">
        <v>80208</v>
      </c>
      <c r="CZ261" s="320">
        <v>75608</v>
      </c>
      <c r="DA261" s="1315">
        <v>75512</v>
      </c>
      <c r="DB261" s="562">
        <v>76872</v>
      </c>
      <c r="DC261" s="291">
        <v>308200</v>
      </c>
      <c r="DD261" s="320">
        <v>80910</v>
      </c>
      <c r="DE261" s="320">
        <v>80529</v>
      </c>
      <c r="DF261" s="1315">
        <v>80328</v>
      </c>
      <c r="DG261" s="562">
        <v>124600</v>
      </c>
      <c r="DH261" s="291">
        <v>479805</v>
      </c>
      <c r="DI261" s="1512">
        <v>130241</v>
      </c>
      <c r="DJ261" s="1512">
        <v>1254.68</v>
      </c>
      <c r="DK261" s="1513">
        <v>119264</v>
      </c>
      <c r="DL261" s="1514">
        <v>123761</v>
      </c>
      <c r="DM261" s="1515">
        <v>489401</v>
      </c>
      <c r="DN261" s="1516">
        <v>136056</v>
      </c>
      <c r="DO261" s="1516">
        <v>122283</v>
      </c>
      <c r="DP261" s="1517">
        <v>120447</v>
      </c>
      <c r="DQ261" s="1517">
        <v>120549</v>
      </c>
      <c r="DR261" s="1509">
        <v>499335</v>
      </c>
      <c r="DS261" s="1507">
        <v>126473</v>
      </c>
      <c r="DT261" s="1516">
        <v>121807</v>
      </c>
      <c r="DU261" s="1516">
        <v>120493</v>
      </c>
      <c r="DV261" s="1517">
        <v>123887</v>
      </c>
      <c r="DW261" s="1004">
        <f t="shared" si="560"/>
        <v>492660</v>
      </c>
      <c r="DX261" s="435"/>
      <c r="DY261" s="435"/>
      <c r="DZ261" s="435"/>
      <c r="EA261" s="435"/>
      <c r="EB261" s="55"/>
      <c r="EC261" s="435"/>
      <c r="ED261" s="435"/>
      <c r="EE261" s="435"/>
      <c r="EF261" s="435"/>
      <c r="EG261" s="55"/>
      <c r="EH261" s="435"/>
      <c r="EI261" s="435"/>
      <c r="EJ261" s="435"/>
      <c r="EK261" s="435"/>
      <c r="EL261" s="55"/>
    </row>
    <row r="262" spans="1:142" hidden="1" outlineLevel="1">
      <c r="A262" s="1300"/>
      <c r="B262" s="1300" t="s">
        <v>206</v>
      </c>
      <c r="C262" s="1301"/>
      <c r="D262" s="1301" t="s">
        <v>503</v>
      </c>
      <c r="E262" s="1301" t="s">
        <v>503</v>
      </c>
      <c r="F262" s="1301" t="s">
        <v>503</v>
      </c>
      <c r="G262" s="1301" t="s">
        <v>503</v>
      </c>
      <c r="H262" s="1302" t="s">
        <v>503</v>
      </c>
      <c r="I262" s="1301" t="s">
        <v>503</v>
      </c>
      <c r="J262" s="1301" t="s">
        <v>503</v>
      </c>
      <c r="K262" s="1301" t="s">
        <v>503</v>
      </c>
      <c r="L262" s="1301" t="s">
        <v>503</v>
      </c>
      <c r="M262" s="1302" t="s">
        <v>503</v>
      </c>
      <c r="N262" s="1301" t="s">
        <v>503</v>
      </c>
      <c r="O262" s="1301" t="s">
        <v>503</v>
      </c>
      <c r="P262" s="1301" t="s">
        <v>503</v>
      </c>
      <c r="Q262" s="1301" t="s">
        <v>503</v>
      </c>
      <c r="R262" s="1302" t="s">
        <v>503</v>
      </c>
      <c r="S262" s="1301" t="s">
        <v>503</v>
      </c>
      <c r="T262" s="1301" t="s">
        <v>503</v>
      </c>
      <c r="U262" s="1301" t="s">
        <v>503</v>
      </c>
      <c r="V262" s="1301" t="s">
        <v>503</v>
      </c>
      <c r="W262" s="1302" t="s">
        <v>503</v>
      </c>
      <c r="X262" s="1301" t="s">
        <v>503</v>
      </c>
      <c r="Y262" s="1301" t="s">
        <v>503</v>
      </c>
      <c r="Z262" s="1301" t="s">
        <v>503</v>
      </c>
      <c r="AA262" s="1301" t="s">
        <v>503</v>
      </c>
      <c r="AB262" s="1302" t="s">
        <v>503</v>
      </c>
      <c r="AC262" s="1301" t="s">
        <v>503</v>
      </c>
      <c r="AD262" s="1301" t="s">
        <v>503</v>
      </c>
      <c r="AE262" s="1301" t="s">
        <v>503</v>
      </c>
      <c r="AF262" s="1301" t="s">
        <v>503</v>
      </c>
      <c r="AG262" s="1302" t="s">
        <v>503</v>
      </c>
      <c r="AH262" s="1301" t="s">
        <v>503</v>
      </c>
      <c r="AI262" s="1301" t="s">
        <v>503</v>
      </c>
      <c r="AJ262" s="1301" t="s">
        <v>503</v>
      </c>
      <c r="AK262" s="1301" t="s">
        <v>503</v>
      </c>
      <c r="AL262" s="1302" t="s">
        <v>503</v>
      </c>
      <c r="AM262" s="1301" t="s">
        <v>503</v>
      </c>
      <c r="AN262" s="1301" t="s">
        <v>503</v>
      </c>
      <c r="AO262" s="1301" t="s">
        <v>503</v>
      </c>
      <c r="AP262" s="1301" t="s">
        <v>503</v>
      </c>
      <c r="AQ262" s="1302" t="s">
        <v>503</v>
      </c>
      <c r="AR262" s="1301" t="s">
        <v>503</v>
      </c>
      <c r="AS262" s="1301" t="s">
        <v>503</v>
      </c>
      <c r="AT262" s="1301" t="s">
        <v>503</v>
      </c>
      <c r="AU262" s="1303"/>
      <c r="AV262" s="1304" t="s">
        <v>503</v>
      </c>
      <c r="AW262" s="1304" t="s">
        <v>503</v>
      </c>
      <c r="AX262" s="1304" t="s">
        <v>503</v>
      </c>
      <c r="AY262" s="1304" t="s">
        <v>503</v>
      </c>
      <c r="AZ262" s="1305" t="s">
        <v>503</v>
      </c>
      <c r="BA262" s="1301" t="s">
        <v>503</v>
      </c>
      <c r="BB262" s="1301" t="s">
        <v>503</v>
      </c>
      <c r="BC262" s="1301" t="s">
        <v>503</v>
      </c>
      <c r="BD262" s="1301" t="s">
        <v>503</v>
      </c>
      <c r="BE262" s="1302" t="s">
        <v>503</v>
      </c>
      <c r="BF262" s="1301" t="s">
        <v>503</v>
      </c>
      <c r="BG262" s="1301" t="s">
        <v>503</v>
      </c>
      <c r="BH262" s="1301" t="s">
        <v>503</v>
      </c>
      <c r="BI262" s="1306" t="s">
        <v>503</v>
      </c>
      <c r="BJ262" s="1307" t="s">
        <v>503</v>
      </c>
      <c r="BK262" s="321" t="s">
        <v>503</v>
      </c>
      <c r="BL262" s="321" t="s">
        <v>503</v>
      </c>
      <c r="BM262" s="321" t="s">
        <v>503</v>
      </c>
      <c r="BN262" s="1308" t="s">
        <v>503</v>
      </c>
      <c r="BO262" s="1309" t="s">
        <v>503</v>
      </c>
      <c r="BP262" s="321" t="s">
        <v>503</v>
      </c>
      <c r="BQ262" s="321" t="s">
        <v>503</v>
      </c>
      <c r="BR262" s="321" t="s">
        <v>503</v>
      </c>
      <c r="BS262" s="1308" t="s">
        <v>503</v>
      </c>
      <c r="BT262" s="1309" t="s">
        <v>503</v>
      </c>
      <c r="BU262" s="321">
        <v>44015</v>
      </c>
      <c r="BV262" s="321">
        <v>43379</v>
      </c>
      <c r="BW262" s="321">
        <v>42159</v>
      </c>
      <c r="BX262" s="1308">
        <v>42314</v>
      </c>
      <c r="BY262" s="1309">
        <f>SUM(BU262:BX262)</f>
        <v>171867</v>
      </c>
      <c r="BZ262" s="321">
        <v>42028</v>
      </c>
      <c r="CA262" s="321">
        <v>40267</v>
      </c>
      <c r="CB262" s="321">
        <v>39507</v>
      </c>
      <c r="CC262" s="1308">
        <v>38713</v>
      </c>
      <c r="CD262" s="1309">
        <v>155896</v>
      </c>
      <c r="CE262" s="321">
        <v>38468</v>
      </c>
      <c r="CF262" s="321">
        <v>38298</v>
      </c>
      <c r="CG262" s="321">
        <v>38828</v>
      </c>
      <c r="CH262" s="1308">
        <v>37663</v>
      </c>
      <c r="CI262" s="1309">
        <v>152846</v>
      </c>
      <c r="CJ262" s="321">
        <v>37412</v>
      </c>
      <c r="CK262" s="321">
        <v>37786</v>
      </c>
      <c r="CL262" s="321">
        <v>37916</v>
      </c>
      <c r="CM262" s="1308">
        <v>37448</v>
      </c>
      <c r="CN262" s="1309">
        <v>150562</v>
      </c>
      <c r="CO262" s="321">
        <v>36753</v>
      </c>
      <c r="CP262" s="321">
        <v>36967</v>
      </c>
      <c r="CQ262" s="321">
        <v>37721</v>
      </c>
      <c r="CR262" s="1308">
        <v>35419</v>
      </c>
      <c r="CS262" s="1309">
        <v>144665</v>
      </c>
      <c r="CT262" s="321">
        <v>36237</v>
      </c>
      <c r="CU262" s="321">
        <v>35379</v>
      </c>
      <c r="CV262" s="321">
        <v>35161</v>
      </c>
      <c r="CW262" s="1308">
        <v>34511</v>
      </c>
      <c r="CX262" s="1309">
        <v>141288</v>
      </c>
      <c r="CY262" s="321">
        <v>33204</v>
      </c>
      <c r="CZ262" s="321">
        <v>34340</v>
      </c>
      <c r="DA262" s="321">
        <v>34971</v>
      </c>
      <c r="DB262" s="1308">
        <v>34198</v>
      </c>
      <c r="DC262" s="1309">
        <v>136713</v>
      </c>
      <c r="DD262" s="321">
        <v>33529</v>
      </c>
      <c r="DE262" s="321">
        <v>34369</v>
      </c>
      <c r="DF262" s="321">
        <v>35570</v>
      </c>
      <c r="DG262" s="1308">
        <v>54518</v>
      </c>
      <c r="DH262" s="1309">
        <f>SUM(DD262:DG262)</f>
        <v>157986</v>
      </c>
      <c r="DI262" s="1508">
        <v>52830</v>
      </c>
      <c r="DJ262" s="1508">
        <v>54225</v>
      </c>
      <c r="DK262" s="1508">
        <v>53319</v>
      </c>
      <c r="DL262" s="1518">
        <f>DM262-SUM(DI262:DK262)</f>
        <v>50689</v>
      </c>
      <c r="DM262" s="1515">
        <v>211063</v>
      </c>
      <c r="DN262" s="1510">
        <v>55755</v>
      </c>
      <c r="DO262" s="1511">
        <v>54379</v>
      </c>
      <c r="DP262" s="1511">
        <v>54701</v>
      </c>
      <c r="DQ262" s="1510">
        <v>53071</v>
      </c>
      <c r="DR262" s="1509">
        <v>217906</v>
      </c>
      <c r="DS262" s="1510">
        <v>51800</v>
      </c>
      <c r="DT262" s="1511">
        <v>52083</v>
      </c>
      <c r="DU262" s="1511">
        <v>50939</v>
      </c>
      <c r="DV262" s="1510">
        <v>50292</v>
      </c>
      <c r="DW262" s="1004">
        <f t="shared" si="560"/>
        <v>205114</v>
      </c>
      <c r="DX262" s="321"/>
      <c r="DY262" s="321"/>
      <c r="DZ262" s="321"/>
      <c r="EA262" s="321"/>
      <c r="EB262" s="1309"/>
      <c r="EC262" s="321"/>
      <c r="ED262" s="321"/>
      <c r="EE262" s="321"/>
      <c r="EF262" s="321"/>
      <c r="EG262" s="1309"/>
      <c r="EH262" s="321"/>
      <c r="EI262" s="321"/>
      <c r="EJ262" s="321"/>
      <c r="EK262" s="321"/>
      <c r="EL262" s="1309"/>
    </row>
    <row r="263" spans="1:142" hidden="1" outlineLevel="1">
      <c r="A263" s="1300"/>
      <c r="B263" s="1300" t="s">
        <v>207</v>
      </c>
      <c r="C263" s="1301"/>
      <c r="D263" s="1301" t="s">
        <v>503</v>
      </c>
      <c r="E263" s="1301" t="s">
        <v>503</v>
      </c>
      <c r="F263" s="1301" t="s">
        <v>503</v>
      </c>
      <c r="G263" s="1301" t="s">
        <v>503</v>
      </c>
      <c r="H263" s="1302" t="s">
        <v>503</v>
      </c>
      <c r="I263" s="1301" t="s">
        <v>503</v>
      </c>
      <c r="J263" s="1301" t="s">
        <v>503</v>
      </c>
      <c r="K263" s="1301" t="s">
        <v>503</v>
      </c>
      <c r="L263" s="1301" t="s">
        <v>503</v>
      </c>
      <c r="M263" s="1302" t="s">
        <v>503</v>
      </c>
      <c r="N263" s="1301" t="s">
        <v>503</v>
      </c>
      <c r="O263" s="1301" t="s">
        <v>503</v>
      </c>
      <c r="P263" s="1301" t="s">
        <v>503</v>
      </c>
      <c r="Q263" s="1301" t="s">
        <v>503</v>
      </c>
      <c r="R263" s="1302" t="s">
        <v>503</v>
      </c>
      <c r="S263" s="1301" t="s">
        <v>503</v>
      </c>
      <c r="T263" s="1301" t="s">
        <v>503</v>
      </c>
      <c r="U263" s="1301" t="s">
        <v>503</v>
      </c>
      <c r="V263" s="1301" t="s">
        <v>503</v>
      </c>
      <c r="W263" s="1302" t="s">
        <v>503</v>
      </c>
      <c r="X263" s="1301" t="s">
        <v>503</v>
      </c>
      <c r="Y263" s="1301" t="s">
        <v>503</v>
      </c>
      <c r="Z263" s="1301" t="s">
        <v>503</v>
      </c>
      <c r="AA263" s="1301" t="s">
        <v>503</v>
      </c>
      <c r="AB263" s="1302" t="s">
        <v>503</v>
      </c>
      <c r="AC263" s="1301" t="s">
        <v>503</v>
      </c>
      <c r="AD263" s="1301" t="s">
        <v>503</v>
      </c>
      <c r="AE263" s="1301" t="s">
        <v>503</v>
      </c>
      <c r="AF263" s="1301" t="s">
        <v>503</v>
      </c>
      <c r="AG263" s="1302" t="s">
        <v>503</v>
      </c>
      <c r="AH263" s="1301" t="s">
        <v>503</v>
      </c>
      <c r="AI263" s="1301" t="s">
        <v>503</v>
      </c>
      <c r="AJ263" s="1301" t="s">
        <v>503</v>
      </c>
      <c r="AK263" s="1301" t="s">
        <v>503</v>
      </c>
      <c r="AL263" s="1302" t="s">
        <v>503</v>
      </c>
      <c r="AM263" s="1301" t="s">
        <v>503</v>
      </c>
      <c r="AN263" s="1301" t="s">
        <v>503</v>
      </c>
      <c r="AO263" s="1301" t="s">
        <v>503</v>
      </c>
      <c r="AP263" s="1301" t="s">
        <v>503</v>
      </c>
      <c r="AQ263" s="1302" t="s">
        <v>503</v>
      </c>
      <c r="AR263" s="1301" t="s">
        <v>503</v>
      </c>
      <c r="AS263" s="1301" t="s">
        <v>503</v>
      </c>
      <c r="AT263" s="1301" t="s">
        <v>503</v>
      </c>
      <c r="AU263" s="1303"/>
      <c r="AV263" s="1304" t="s">
        <v>503</v>
      </c>
      <c r="AW263" s="1304" t="s">
        <v>503</v>
      </c>
      <c r="AX263" s="1304" t="s">
        <v>503</v>
      </c>
      <c r="AY263" s="1304" t="s">
        <v>503</v>
      </c>
      <c r="AZ263" s="1305" t="s">
        <v>503</v>
      </c>
      <c r="BA263" s="1301" t="s">
        <v>503</v>
      </c>
      <c r="BB263" s="1301" t="s">
        <v>503</v>
      </c>
      <c r="BC263" s="1301" t="s">
        <v>503</v>
      </c>
      <c r="BD263" s="1301" t="s">
        <v>503</v>
      </c>
      <c r="BE263" s="1302" t="s">
        <v>503</v>
      </c>
      <c r="BF263" s="1301" t="s">
        <v>503</v>
      </c>
      <c r="BG263" s="1301" t="s">
        <v>503</v>
      </c>
      <c r="BH263" s="1301" t="s">
        <v>503</v>
      </c>
      <c r="BI263" s="1306" t="s">
        <v>503</v>
      </c>
      <c r="BJ263" s="1307" t="s">
        <v>503</v>
      </c>
      <c r="BK263" s="321" t="s">
        <v>503</v>
      </c>
      <c r="BL263" s="321" t="s">
        <v>503</v>
      </c>
      <c r="BM263" s="321" t="s">
        <v>503</v>
      </c>
      <c r="BN263" s="1308" t="s">
        <v>503</v>
      </c>
      <c r="BO263" s="1309" t="s">
        <v>503</v>
      </c>
      <c r="BP263" s="321" t="s">
        <v>503</v>
      </c>
      <c r="BQ263" s="321" t="s">
        <v>503</v>
      </c>
      <c r="BR263" s="321" t="s">
        <v>503</v>
      </c>
      <c r="BS263" s="1308" t="s">
        <v>503</v>
      </c>
      <c r="BT263" s="1309" t="s">
        <v>503</v>
      </c>
      <c r="BU263" s="321">
        <v>55892</v>
      </c>
      <c r="BV263" s="321">
        <v>56305</v>
      </c>
      <c r="BW263" s="321">
        <v>55603</v>
      </c>
      <c r="BX263" s="1308">
        <v>54516</v>
      </c>
      <c r="BY263" s="1309">
        <f>SUM(BU263:BX263)</f>
        <v>222316</v>
      </c>
      <c r="BZ263" s="321">
        <v>53316</v>
      </c>
      <c r="CA263" s="321">
        <v>53386</v>
      </c>
      <c r="CB263" s="321">
        <v>51364</v>
      </c>
      <c r="CC263" s="1308">
        <v>52201</v>
      </c>
      <c r="CD263" s="1309">
        <v>205117</v>
      </c>
      <c r="CE263" s="321">
        <v>51835</v>
      </c>
      <c r="CF263" s="321">
        <v>53277</v>
      </c>
      <c r="CG263" s="321">
        <v>52906</v>
      </c>
      <c r="CH263" s="1308">
        <v>52092</v>
      </c>
      <c r="CI263" s="1309">
        <v>209294</v>
      </c>
      <c r="CJ263" s="321">
        <v>50586</v>
      </c>
      <c r="CK263" s="321">
        <v>53499</v>
      </c>
      <c r="CL263" s="321">
        <v>53148</v>
      </c>
      <c r="CM263" s="1308">
        <v>52411</v>
      </c>
      <c r="CN263" s="1309">
        <v>209644</v>
      </c>
      <c r="CO263" s="321">
        <v>52001</v>
      </c>
      <c r="CP263" s="321">
        <v>55283</v>
      </c>
      <c r="CQ263" s="321">
        <v>56222</v>
      </c>
      <c r="CR263" s="1308">
        <v>55781</v>
      </c>
      <c r="CS263" s="1309">
        <v>217621</v>
      </c>
      <c r="CT263" s="321">
        <v>56991</v>
      </c>
      <c r="CU263" s="321">
        <v>60043</v>
      </c>
      <c r="CV263" s="321">
        <v>59099</v>
      </c>
      <c r="CW263" s="1308">
        <v>63534</v>
      </c>
      <c r="CX263" s="1309">
        <v>239667</v>
      </c>
      <c r="CY263" s="321">
        <v>68209</v>
      </c>
      <c r="CZ263" s="321">
        <v>74329</v>
      </c>
      <c r="DA263" s="321">
        <v>76084</v>
      </c>
      <c r="DB263" s="1308">
        <v>84878</v>
      </c>
      <c r="DC263" s="1309">
        <v>303500</v>
      </c>
      <c r="DD263" s="321">
        <v>81205</v>
      </c>
      <c r="DE263" s="321">
        <v>89783</v>
      </c>
      <c r="DF263" s="321">
        <v>91472</v>
      </c>
      <c r="DG263" s="1308">
        <v>126818</v>
      </c>
      <c r="DH263" s="1309">
        <f>SUM(DD263:DG263)</f>
        <v>389278</v>
      </c>
      <c r="DI263" s="1508">
        <v>121041</v>
      </c>
      <c r="DJ263" s="1508">
        <v>71122</v>
      </c>
      <c r="DK263" s="1508">
        <v>70446</v>
      </c>
      <c r="DL263" s="1518">
        <f>DM263-SUM(DI263:DK263)</f>
        <v>14281</v>
      </c>
      <c r="DM263" s="1515">
        <v>276890</v>
      </c>
      <c r="DN263" s="1510">
        <v>76829</v>
      </c>
      <c r="DO263" s="1511">
        <v>75821</v>
      </c>
      <c r="DP263" s="1511">
        <v>72646</v>
      </c>
      <c r="DQ263" s="1510">
        <v>73678</v>
      </c>
      <c r="DR263" s="1509">
        <v>298974</v>
      </c>
      <c r="DS263" s="1510">
        <v>69604</v>
      </c>
      <c r="DT263" s="1511">
        <v>71366</v>
      </c>
      <c r="DU263" s="1511">
        <v>67321</v>
      </c>
      <c r="DV263" s="1510">
        <v>68604</v>
      </c>
      <c r="DW263" s="1004">
        <f t="shared" si="560"/>
        <v>276895</v>
      </c>
      <c r="DX263" s="321"/>
      <c r="DY263" s="321"/>
      <c r="DZ263" s="321"/>
      <c r="EA263" s="321"/>
      <c r="EB263" s="1309"/>
      <c r="EC263" s="321"/>
      <c r="ED263" s="321"/>
      <c r="EE263" s="321"/>
      <c r="EF263" s="321"/>
      <c r="EG263" s="1309"/>
      <c r="EH263" s="321"/>
      <c r="EI263" s="321"/>
      <c r="EJ263" s="321"/>
      <c r="EK263" s="321"/>
      <c r="EL263" s="1309"/>
    </row>
    <row r="264" spans="1:142" hidden="1" outlineLevel="1">
      <c r="A264" s="557"/>
      <c r="B264" s="557" t="s">
        <v>198</v>
      </c>
      <c r="C264" s="1203"/>
      <c r="D264" s="1203" t="s">
        <v>503</v>
      </c>
      <c r="E264" s="1203" t="s">
        <v>503</v>
      </c>
      <c r="F264" s="1203" t="s">
        <v>503</v>
      </c>
      <c r="G264" s="1203" t="s">
        <v>503</v>
      </c>
      <c r="H264" s="1188" t="s">
        <v>503</v>
      </c>
      <c r="I264" s="1203" t="s">
        <v>503</v>
      </c>
      <c r="J264" s="1203" t="s">
        <v>503</v>
      </c>
      <c r="K264" s="1203" t="s">
        <v>503</v>
      </c>
      <c r="L264" s="1203" t="s">
        <v>503</v>
      </c>
      <c r="M264" s="1188" t="s">
        <v>503</v>
      </c>
      <c r="N264" s="1203" t="s">
        <v>503</v>
      </c>
      <c r="O264" s="1203" t="s">
        <v>503</v>
      </c>
      <c r="P264" s="1203" t="s">
        <v>503</v>
      </c>
      <c r="Q264" s="1203" t="s">
        <v>503</v>
      </c>
      <c r="R264" s="1188" t="s">
        <v>503</v>
      </c>
      <c r="S264" s="1203" t="s">
        <v>503</v>
      </c>
      <c r="T264" s="1203" t="s">
        <v>503</v>
      </c>
      <c r="U264" s="1203" t="s">
        <v>503</v>
      </c>
      <c r="V264" s="1203" t="s">
        <v>503</v>
      </c>
      <c r="W264" s="1188" t="s">
        <v>503</v>
      </c>
      <c r="X264" s="1203" t="s">
        <v>503</v>
      </c>
      <c r="Y264" s="1203" t="s">
        <v>503</v>
      </c>
      <c r="Z264" s="1203" t="s">
        <v>503</v>
      </c>
      <c r="AA264" s="1203" t="s">
        <v>503</v>
      </c>
      <c r="AB264" s="1188" t="s">
        <v>503</v>
      </c>
      <c r="AC264" s="1203" t="s">
        <v>503</v>
      </c>
      <c r="AD264" s="1203" t="s">
        <v>503</v>
      </c>
      <c r="AE264" s="1203" t="s">
        <v>503</v>
      </c>
      <c r="AF264" s="1203" t="s">
        <v>503</v>
      </c>
      <c r="AG264" s="1188" t="s">
        <v>503</v>
      </c>
      <c r="AH264" s="1203" t="s">
        <v>503</v>
      </c>
      <c r="AI264" s="1203" t="s">
        <v>503</v>
      </c>
      <c r="AJ264" s="1203" t="s">
        <v>503</v>
      </c>
      <c r="AK264" s="1203" t="s">
        <v>503</v>
      </c>
      <c r="AL264" s="1188" t="s">
        <v>503</v>
      </c>
      <c r="AM264" s="1203" t="s">
        <v>503</v>
      </c>
      <c r="AN264" s="1203" t="s">
        <v>503</v>
      </c>
      <c r="AO264" s="1203" t="s">
        <v>503</v>
      </c>
      <c r="AP264" s="1203" t="s">
        <v>503</v>
      </c>
      <c r="AQ264" s="1188" t="s">
        <v>503</v>
      </c>
      <c r="AR264" s="1203" t="s">
        <v>503</v>
      </c>
      <c r="AS264" s="1203" t="s">
        <v>503</v>
      </c>
      <c r="AT264" s="1203" t="s">
        <v>503</v>
      </c>
      <c r="AU264" s="802"/>
      <c r="AV264" s="708" t="s">
        <v>503</v>
      </c>
      <c r="AW264" s="708" t="s">
        <v>503</v>
      </c>
      <c r="AX264" s="708" t="s">
        <v>503</v>
      </c>
      <c r="AY264" s="708" t="s">
        <v>503</v>
      </c>
      <c r="AZ264" s="1188" t="s">
        <v>503</v>
      </c>
      <c r="BA264" s="1203" t="s">
        <v>503</v>
      </c>
      <c r="BB264" s="1203" t="s">
        <v>503</v>
      </c>
      <c r="BC264" s="1203" t="s">
        <v>503</v>
      </c>
      <c r="BD264" s="1203" t="s">
        <v>503</v>
      </c>
      <c r="BE264" s="1204" t="s">
        <v>503</v>
      </c>
      <c r="BF264" s="1203" t="s">
        <v>503</v>
      </c>
      <c r="BG264" s="1203" t="s">
        <v>503</v>
      </c>
      <c r="BH264" s="1203" t="s">
        <v>503</v>
      </c>
      <c r="BI264" s="1203" t="s">
        <v>503</v>
      </c>
      <c r="BJ264" s="1204" t="s">
        <v>503</v>
      </c>
      <c r="BK264" s="901">
        <v>123101</v>
      </c>
      <c r="BL264" s="901">
        <v>125907</v>
      </c>
      <c r="BM264" s="555">
        <v>120871</v>
      </c>
      <c r="BN264" s="555">
        <v>114226</v>
      </c>
      <c r="BO264" s="802">
        <v>484105</v>
      </c>
      <c r="BP264" s="901">
        <v>117838</v>
      </c>
      <c r="BQ264" s="901">
        <v>104897</v>
      </c>
      <c r="BR264" s="555">
        <v>101089</v>
      </c>
      <c r="BS264" s="555">
        <v>99480</v>
      </c>
      <c r="BT264" s="802">
        <v>411164</v>
      </c>
      <c r="BU264" s="901">
        <v>99907</v>
      </c>
      <c r="BV264" s="901">
        <v>99684</v>
      </c>
      <c r="BW264" s="555">
        <v>98240</v>
      </c>
      <c r="BX264" s="555">
        <v>96891</v>
      </c>
      <c r="BY264" s="802">
        <v>388996</v>
      </c>
      <c r="BZ264" s="901">
        <v>95585</v>
      </c>
      <c r="CA264" s="901">
        <v>93970</v>
      </c>
      <c r="CB264" s="555">
        <v>91407</v>
      </c>
      <c r="CC264" s="555">
        <v>91470</v>
      </c>
      <c r="CD264" s="802">
        <v>362663</v>
      </c>
      <c r="CE264" s="901">
        <v>90867</v>
      </c>
      <c r="CF264" s="901">
        <v>92166</v>
      </c>
      <c r="CG264" s="555">
        <v>92437</v>
      </c>
      <c r="CH264" s="555">
        <v>90470</v>
      </c>
      <c r="CI264" s="802">
        <v>364713</v>
      </c>
      <c r="CJ264" s="901">
        <v>87998</v>
      </c>
      <c r="CK264" s="901">
        <v>91285</v>
      </c>
      <c r="CL264" s="555">
        <v>91064</v>
      </c>
      <c r="CM264" s="555">
        <v>89859</v>
      </c>
      <c r="CN264" s="802">
        <v>360206</v>
      </c>
      <c r="CO264" s="901">
        <v>87507</v>
      </c>
      <c r="CP264" s="901">
        <v>91005</v>
      </c>
      <c r="CQ264" s="555">
        <v>92574</v>
      </c>
      <c r="CR264" s="555">
        <v>91200</v>
      </c>
      <c r="CS264" s="802">
        <v>362286</v>
      </c>
      <c r="CT264" s="901">
        <v>93228</v>
      </c>
      <c r="CU264" s="901">
        <v>95422</v>
      </c>
      <c r="CV264" s="555">
        <v>94260</v>
      </c>
      <c r="CW264" s="555">
        <v>98045</v>
      </c>
      <c r="CX264" s="802">
        <v>380955</v>
      </c>
      <c r="CY264" s="901">
        <v>101413</v>
      </c>
      <c r="CZ264" s="901">
        <v>108669</v>
      </c>
      <c r="DA264" s="555">
        <v>111055</v>
      </c>
      <c r="DB264" s="555">
        <v>168730</v>
      </c>
      <c r="DC264" s="802">
        <v>489867</v>
      </c>
      <c r="DD264" s="901">
        <v>162282</v>
      </c>
      <c r="DE264" s="901">
        <v>173664</v>
      </c>
      <c r="DF264" s="555">
        <v>178439</v>
      </c>
      <c r="DG264" s="555">
        <v>183250</v>
      </c>
      <c r="DH264" s="802">
        <v>697635</v>
      </c>
      <c r="DI264" s="1371">
        <v>175644</v>
      </c>
      <c r="DJ264" s="1371">
        <v>127523</v>
      </c>
      <c r="DK264" s="1005">
        <v>129937</v>
      </c>
      <c r="DL264" s="1005">
        <v>138264</v>
      </c>
      <c r="DM264" s="1506">
        <v>517127</v>
      </c>
      <c r="DN264" s="1519">
        <v>132584</v>
      </c>
      <c r="DO264" s="1519">
        <v>130201</v>
      </c>
      <c r="DP264" s="1507">
        <v>127346</v>
      </c>
      <c r="DQ264" s="1507">
        <v>126749</v>
      </c>
      <c r="DR264" s="1506">
        <v>516880</v>
      </c>
      <c r="DS264" s="1371">
        <f>SUM(DS262:DS263)</f>
        <v>121404</v>
      </c>
      <c r="DT264" s="1371">
        <f>SUM(DT262:DT263)</f>
        <v>123449</v>
      </c>
      <c r="DU264" s="1371">
        <f>SUM(DU262:DU263)</f>
        <v>118260</v>
      </c>
      <c r="DV264" s="1371">
        <f>SUM(DV262:DV263)</f>
        <v>118896</v>
      </c>
      <c r="DW264" s="1004">
        <f t="shared" si="560"/>
        <v>482009</v>
      </c>
      <c r="DX264" s="555"/>
      <c r="DY264" s="555"/>
      <c r="DZ264" s="555"/>
      <c r="EA264" s="555"/>
      <c r="EB264" s="802"/>
      <c r="EC264" s="555"/>
      <c r="ED264" s="555"/>
      <c r="EE264" s="555"/>
      <c r="EF264" s="555"/>
      <c r="EG264" s="802"/>
      <c r="EH264" s="555"/>
      <c r="EI264" s="555"/>
      <c r="EJ264" s="555"/>
      <c r="EK264" s="555"/>
      <c r="EL264" s="802"/>
    </row>
    <row r="265" spans="1:142" hidden="1" outlineLevel="1">
      <c r="A265" s="557"/>
      <c r="B265" s="557" t="s">
        <v>132</v>
      </c>
      <c r="C265" s="1201"/>
      <c r="D265" s="1201">
        <v>268939</v>
      </c>
      <c r="E265" s="1201">
        <v>266541</v>
      </c>
      <c r="F265" s="1201">
        <v>289897</v>
      </c>
      <c r="G265" s="960">
        <f>H265-SUM(D265:F265)</f>
        <v>682488</v>
      </c>
      <c r="H265" s="1202">
        <v>1507865</v>
      </c>
      <c r="I265" s="1201">
        <v>619226</v>
      </c>
      <c r="J265" s="1201">
        <v>661141</v>
      </c>
      <c r="K265" s="1201">
        <v>734293</v>
      </c>
      <c r="L265" s="960">
        <f>M265-SUM(I265:K265)</f>
        <v>695402</v>
      </c>
      <c r="M265" s="1202">
        <v>2710062</v>
      </c>
      <c r="N265" s="1201">
        <v>665006</v>
      </c>
      <c r="O265" s="1201">
        <v>677525</v>
      </c>
      <c r="P265" s="1201">
        <v>1119362</v>
      </c>
      <c r="Q265" s="960">
        <f>R265-SUM(N265:P265)</f>
        <v>1637816</v>
      </c>
      <c r="R265" s="1202">
        <v>4099709</v>
      </c>
      <c r="S265" s="1201">
        <v>1054439</v>
      </c>
      <c r="T265" s="1201">
        <v>1099812</v>
      </c>
      <c r="U265" s="1201">
        <v>1230830</v>
      </c>
      <c r="V265" s="960">
        <f>W265-SUM(S265:U265)</f>
        <v>1162231</v>
      </c>
      <c r="W265" s="1202">
        <v>4547312</v>
      </c>
      <c r="X265" s="1201">
        <v>1113315</v>
      </c>
      <c r="Y265" s="1201">
        <v>1136595</v>
      </c>
      <c r="Z265" s="1201">
        <v>1304313</v>
      </c>
      <c r="AA265" s="960">
        <f>AB265-SUM(X265:Z265)</f>
        <v>1327216</v>
      </c>
      <c r="AB265" s="1202">
        <v>4881439</v>
      </c>
      <c r="AC265" s="1201">
        <v>1223438</v>
      </c>
      <c r="AD265" s="1201">
        <v>1184765</v>
      </c>
      <c r="AE265" s="1201">
        <v>1274739</v>
      </c>
      <c r="AF265" s="960">
        <f>AG265-SUM(AC265:AE265)</f>
        <v>1205707</v>
      </c>
      <c r="AG265" s="1202">
        <v>4888649</v>
      </c>
      <c r="AH265" s="1201">
        <v>1183421</v>
      </c>
      <c r="AI265" s="1201">
        <v>1192364</v>
      </c>
      <c r="AJ265" s="1201">
        <v>1269277</v>
      </c>
      <c r="AK265" s="960">
        <f>AL265-SUM(AH265:AJ265)</f>
        <v>1291691</v>
      </c>
      <c r="AL265" s="1202">
        <v>4936753</v>
      </c>
      <c r="AM265" s="1201">
        <v>1275551</v>
      </c>
      <c r="AN265" s="1201">
        <v>1281472</v>
      </c>
      <c r="AO265" s="1201">
        <v>1375943</v>
      </c>
      <c r="AP265" s="960">
        <f>AQ265-SUM(AM265:AO265)</f>
        <v>1402953</v>
      </c>
      <c r="AQ265" s="1202">
        <v>5335919</v>
      </c>
      <c r="AR265" s="1201">
        <v>1343673</v>
      </c>
      <c r="AS265" s="1201">
        <v>1349050</v>
      </c>
      <c r="AT265" s="1201">
        <v>1388530</v>
      </c>
      <c r="AU265" s="802"/>
      <c r="AV265" s="708" t="s">
        <v>503</v>
      </c>
      <c r="AW265" s="708" t="s">
        <v>503</v>
      </c>
      <c r="AX265" s="708" t="s">
        <v>503</v>
      </c>
      <c r="AY265" s="708" t="s">
        <v>503</v>
      </c>
      <c r="AZ265" s="1188" t="s">
        <v>503</v>
      </c>
      <c r="BA265" s="1201">
        <v>1313502</v>
      </c>
      <c r="BB265" s="1201">
        <v>1256929</v>
      </c>
      <c r="BC265" s="1201">
        <v>1235744</v>
      </c>
      <c r="BD265" s="960">
        <f>BE265-SUM(BA265:BC265)</f>
        <v>1213134</v>
      </c>
      <c r="BE265" s="1202">
        <v>5019309</v>
      </c>
      <c r="BF265" s="1201">
        <v>979258</v>
      </c>
      <c r="BG265" s="1201">
        <v>897777</v>
      </c>
      <c r="BH265" s="1201">
        <v>877620</v>
      </c>
      <c r="BI265" s="1201">
        <v>877259</v>
      </c>
      <c r="BJ265" s="1202">
        <v>3565672</v>
      </c>
      <c r="BK265" s="959">
        <v>934203</v>
      </c>
      <c r="BL265" s="901">
        <v>865396</v>
      </c>
      <c r="BM265" s="555">
        <v>834601</v>
      </c>
      <c r="BN265" s="555">
        <v>809577</v>
      </c>
      <c r="BO265" s="802">
        <v>3443777</v>
      </c>
      <c r="BP265" s="959">
        <v>855620</v>
      </c>
      <c r="BQ265" s="901">
        <v>710339</v>
      </c>
      <c r="BR265" s="555">
        <v>695656</v>
      </c>
      <c r="BS265" s="555">
        <v>705249</v>
      </c>
      <c r="BT265" s="802">
        <v>2881383</v>
      </c>
      <c r="BU265" s="959">
        <v>745651</v>
      </c>
      <c r="BV265" s="901">
        <v>693016</v>
      </c>
      <c r="BW265" s="555">
        <v>671502</v>
      </c>
      <c r="BX265" s="555">
        <v>682853</v>
      </c>
      <c r="BY265" s="802">
        <v>2757848</v>
      </c>
      <c r="BZ265" s="959">
        <v>739709</v>
      </c>
      <c r="CA265" s="901">
        <v>659534</v>
      </c>
      <c r="CB265" s="555">
        <v>634755</v>
      </c>
      <c r="CC265" s="555">
        <v>641594</v>
      </c>
      <c r="CD265" s="802">
        <v>2622227</v>
      </c>
      <c r="CE265" s="959">
        <v>679657</v>
      </c>
      <c r="CF265" s="901">
        <v>629714</v>
      </c>
      <c r="CG265" s="555">
        <v>622427</v>
      </c>
      <c r="CH265" s="555">
        <v>628438</v>
      </c>
      <c r="CI265" s="802">
        <v>2553215</v>
      </c>
      <c r="CJ265" s="959">
        <v>652952</v>
      </c>
      <c r="CK265" s="901">
        <v>614365</v>
      </c>
      <c r="CL265" s="555">
        <v>596810</v>
      </c>
      <c r="CM265" s="555">
        <v>608890</v>
      </c>
      <c r="CN265" s="802">
        <v>2473017</v>
      </c>
      <c r="CO265" s="959">
        <v>635463</v>
      </c>
      <c r="CP265" s="901">
        <v>595986</v>
      </c>
      <c r="CQ265" s="555">
        <v>591948</v>
      </c>
      <c r="CR265" s="555">
        <v>589848</v>
      </c>
      <c r="CS265" s="802">
        <v>2413245</v>
      </c>
      <c r="CT265" s="959">
        <v>617459</v>
      </c>
      <c r="CU265" s="901">
        <v>590437</v>
      </c>
      <c r="CV265" s="555">
        <v>580594</v>
      </c>
      <c r="CW265" s="555">
        <v>580426</v>
      </c>
      <c r="CX265" s="802">
        <v>2368916</v>
      </c>
      <c r="CY265" s="959">
        <v>603285</v>
      </c>
      <c r="CZ265" s="901">
        <v>567390</v>
      </c>
      <c r="DA265" s="555">
        <v>569833</v>
      </c>
      <c r="DB265" s="555">
        <v>880737</v>
      </c>
      <c r="DC265" s="802">
        <v>2621245</v>
      </c>
      <c r="DD265" s="959">
        <v>929164</v>
      </c>
      <c r="DE265" s="901">
        <v>907093</v>
      </c>
      <c r="DF265" s="555">
        <v>921228</v>
      </c>
      <c r="DG265" s="555">
        <v>937803</v>
      </c>
      <c r="DH265" s="802">
        <v>3695288</v>
      </c>
      <c r="DI265" s="1005">
        <v>975912</v>
      </c>
      <c r="DJ265" s="1371">
        <v>929840</v>
      </c>
      <c r="DK265" s="1005">
        <v>927964</v>
      </c>
      <c r="DL265" s="1005">
        <v>983856</v>
      </c>
      <c r="DM265" s="1506">
        <v>3817572</v>
      </c>
      <c r="DN265" s="1507">
        <v>1010514</v>
      </c>
      <c r="DO265" s="1519">
        <v>897313</v>
      </c>
      <c r="DP265" s="1507">
        <v>894323</v>
      </c>
      <c r="DQ265" s="1507">
        <v>888165</v>
      </c>
      <c r="DR265" s="1506">
        <v>3690335</v>
      </c>
      <c r="DS265" s="1507">
        <v>923339</v>
      </c>
      <c r="DT265" s="1519">
        <v>874930</v>
      </c>
      <c r="DU265" s="1519">
        <v>853059</v>
      </c>
      <c r="DV265" s="1507">
        <v>857728</v>
      </c>
      <c r="DW265" s="1004">
        <f t="shared" si="560"/>
        <v>3509056</v>
      </c>
      <c r="DX265" s="555"/>
      <c r="DY265" s="555"/>
      <c r="DZ265" s="555"/>
      <c r="EA265" s="555"/>
      <c r="EB265" s="802"/>
      <c r="EC265" s="555"/>
      <c r="ED265" s="555"/>
      <c r="EE265" s="555"/>
      <c r="EF265" s="555"/>
      <c r="EG265" s="802"/>
      <c r="EH265" s="555"/>
      <c r="EI265" s="555"/>
      <c r="EJ265" s="555"/>
      <c r="EK265" s="555"/>
      <c r="EL265" s="802"/>
    </row>
    <row r="266" spans="1:142" hidden="1" outlineLevel="1">
      <c r="A266" s="557"/>
      <c r="B266" s="557" t="s">
        <v>134</v>
      </c>
      <c r="C266" s="1203"/>
      <c r="D266" s="1203" t="s">
        <v>503</v>
      </c>
      <c r="E266" s="1201">
        <v>350812</v>
      </c>
      <c r="F266" s="1201">
        <v>375131</v>
      </c>
      <c r="G266" s="960">
        <f>H266-SUM(D266:F266)</f>
        <v>1271565</v>
      </c>
      <c r="H266" s="1202">
        <v>1997508</v>
      </c>
      <c r="I266" s="1201">
        <v>860955</v>
      </c>
      <c r="J266" s="1201">
        <v>894989</v>
      </c>
      <c r="K266" s="1201">
        <v>1058125</v>
      </c>
      <c r="L266" s="960">
        <f>M266-SUM(I266:K266)</f>
        <v>982115</v>
      </c>
      <c r="M266" s="1202">
        <v>3796184</v>
      </c>
      <c r="N266" s="1201">
        <v>955578</v>
      </c>
      <c r="O266" s="1201">
        <v>968680</v>
      </c>
      <c r="P266" s="1201">
        <v>1571915</v>
      </c>
      <c r="Q266" s="960">
        <f>R266-SUM(N266:P266)</f>
        <v>2321078</v>
      </c>
      <c r="R266" s="1202">
        <v>5817251</v>
      </c>
      <c r="S266" s="1201">
        <v>1486640</v>
      </c>
      <c r="T266" s="1201">
        <v>1661469</v>
      </c>
      <c r="U266" s="1201">
        <v>1728411</v>
      </c>
      <c r="V266" s="960">
        <f>W266-SUM(S266:U266)</f>
        <v>1681005</v>
      </c>
      <c r="W266" s="1202">
        <v>6557525</v>
      </c>
      <c r="X266" s="1201">
        <v>1624041</v>
      </c>
      <c r="Y266" s="1201">
        <v>1638011</v>
      </c>
      <c r="Z266" s="1201">
        <v>1832782</v>
      </c>
      <c r="AA266" s="960">
        <f>AB266-SUM(X266:Z266)</f>
        <v>1902245</v>
      </c>
      <c r="AB266" s="1202">
        <v>6997079</v>
      </c>
      <c r="AC266" s="1201">
        <v>1787716</v>
      </c>
      <c r="AD266" s="1201">
        <v>1695214</v>
      </c>
      <c r="AE266" s="1201">
        <v>1770750</v>
      </c>
      <c r="AF266" s="960">
        <f>AG266-SUM(AC266:AE266)</f>
        <v>1721626</v>
      </c>
      <c r="AG266" s="1202">
        <v>6975306</v>
      </c>
      <c r="AH266" s="1201">
        <v>1624041</v>
      </c>
      <c r="AI266" s="1201">
        <v>1690618</v>
      </c>
      <c r="AJ266" s="1201">
        <v>1755163</v>
      </c>
      <c r="AK266" s="960">
        <f>AL266-SUM(AH266:AJ266)</f>
        <v>1886717</v>
      </c>
      <c r="AL266" s="1202">
        <v>6956539</v>
      </c>
      <c r="AM266" s="1201">
        <v>1816959</v>
      </c>
      <c r="AN266" s="1201">
        <v>1816168</v>
      </c>
      <c r="AO266" s="1201">
        <v>1907956</v>
      </c>
      <c r="AP266" s="960">
        <f>AQ266-SUM(AM266:AO266)</f>
        <v>1975223</v>
      </c>
      <c r="AQ266" s="1202">
        <v>7516306</v>
      </c>
      <c r="AR266" s="1201">
        <v>1895385</v>
      </c>
      <c r="AS266" s="1201">
        <v>1891584</v>
      </c>
      <c r="AT266" s="1201">
        <v>1917816</v>
      </c>
      <c r="AU266" s="802"/>
      <c r="AV266" s="708" t="s">
        <v>503</v>
      </c>
      <c r="AW266" s="708" t="s">
        <v>503</v>
      </c>
      <c r="AX266" s="708" t="s">
        <v>503</v>
      </c>
      <c r="AY266" s="708" t="s">
        <v>503</v>
      </c>
      <c r="AZ266" s="1188" t="s">
        <v>503</v>
      </c>
      <c r="BA266" s="1201">
        <v>1795249</v>
      </c>
      <c r="BB266" s="1201">
        <v>1738964</v>
      </c>
      <c r="BC266" s="1201">
        <v>1716357</v>
      </c>
      <c r="BD266" s="960">
        <f>BE266-SUM(BA266:BC266)</f>
        <v>1670246</v>
      </c>
      <c r="BE266" s="1202">
        <v>6920816</v>
      </c>
      <c r="BF266" s="1201">
        <v>1345076</v>
      </c>
      <c r="BG266" s="1201">
        <v>1259222</v>
      </c>
      <c r="BH266" s="1201">
        <v>1231594</v>
      </c>
      <c r="BI266" s="1201">
        <v>1226873</v>
      </c>
      <c r="BJ266" s="1202">
        <v>4971323</v>
      </c>
      <c r="BK266" s="959">
        <v>1291165</v>
      </c>
      <c r="BL266" s="901">
        <v>1222322</v>
      </c>
      <c r="BM266" s="555">
        <v>1179032</v>
      </c>
      <c r="BN266" s="555">
        <v>1134196</v>
      </c>
      <c r="BO266" s="802">
        <v>4826715</v>
      </c>
      <c r="BP266" s="959">
        <v>1191546</v>
      </c>
      <c r="BQ266" s="901">
        <v>1008689</v>
      </c>
      <c r="BR266" s="555">
        <v>990535</v>
      </c>
      <c r="BS266" s="555">
        <v>997836</v>
      </c>
      <c r="BT266" s="802">
        <v>4066907</v>
      </c>
      <c r="BU266" s="959">
        <v>1047936</v>
      </c>
      <c r="BV266" s="901">
        <v>998019</v>
      </c>
      <c r="BW266" s="555">
        <v>968418</v>
      </c>
      <c r="BX266" s="555">
        <v>978344</v>
      </c>
      <c r="BY266" s="802">
        <v>3937329</v>
      </c>
      <c r="BZ266" s="959">
        <v>1044642</v>
      </c>
      <c r="CA266" s="901">
        <v>955538</v>
      </c>
      <c r="CB266" s="555">
        <v>930381</v>
      </c>
      <c r="CC266" s="555">
        <v>934829</v>
      </c>
      <c r="CD266" s="802">
        <v>3788063</v>
      </c>
      <c r="CE266" s="959">
        <v>988935</v>
      </c>
      <c r="CF266" s="901">
        <v>940472</v>
      </c>
      <c r="CG266" s="555">
        <v>935375</v>
      </c>
      <c r="CH266" s="555">
        <v>930542</v>
      </c>
      <c r="CI266" s="802">
        <v>3785230</v>
      </c>
      <c r="CJ266" s="959">
        <v>958248</v>
      </c>
      <c r="CK266" s="901">
        <v>929186</v>
      </c>
      <c r="CL266" s="555">
        <v>913049</v>
      </c>
      <c r="CM266" s="555">
        <v>923219</v>
      </c>
      <c r="CN266" s="802">
        <v>3723702</v>
      </c>
      <c r="CO266" s="959">
        <v>948356</v>
      </c>
      <c r="CP266" s="901">
        <v>912369</v>
      </c>
      <c r="CQ266" s="555">
        <v>909960</v>
      </c>
      <c r="CR266" s="555">
        <v>902762</v>
      </c>
      <c r="CS266" s="802">
        <v>3673447</v>
      </c>
      <c r="CT266" s="959">
        <v>947116</v>
      </c>
      <c r="CU266" s="901">
        <v>919895</v>
      </c>
      <c r="CV266" s="555">
        <v>911233</v>
      </c>
      <c r="CW266" s="555">
        <v>915584</v>
      </c>
      <c r="CX266" s="802">
        <v>3693828</v>
      </c>
      <c r="CY266" s="959">
        <v>939840</v>
      </c>
      <c r="CZ266" s="901">
        <v>909720</v>
      </c>
      <c r="DA266" s="555">
        <v>912483</v>
      </c>
      <c r="DB266" s="555">
        <v>1481291</v>
      </c>
      <c r="DC266" s="802">
        <v>4243334</v>
      </c>
      <c r="DD266" s="959">
        <v>1525379</v>
      </c>
      <c r="DE266" s="901">
        <v>1563681</v>
      </c>
      <c r="DF266" s="555">
        <v>1574346</v>
      </c>
      <c r="DG266" s="555">
        <v>1592166</v>
      </c>
      <c r="DH266" s="802">
        <v>6255572</v>
      </c>
      <c r="DI266" s="1005">
        <v>1631597</v>
      </c>
      <c r="DJ266" s="1371">
        <v>1589567</v>
      </c>
      <c r="DK266" s="1005">
        <v>1601405</v>
      </c>
      <c r="DL266" s="1005">
        <v>1710620</v>
      </c>
      <c r="DM266" s="1506">
        <v>6520289</v>
      </c>
      <c r="DN266" s="1507">
        <v>1714369</v>
      </c>
      <c r="DO266" s="1519">
        <v>1569272</v>
      </c>
      <c r="DP266" s="1507">
        <v>1567894</v>
      </c>
      <c r="DQ266" s="1507">
        <v>1543490</v>
      </c>
      <c r="DR266" s="1506">
        <v>6395025</v>
      </c>
      <c r="DS266" s="1507">
        <v>1603698</v>
      </c>
      <c r="DT266" s="1519">
        <v>1552302</v>
      </c>
      <c r="DU266" s="1519">
        <v>1502831</v>
      </c>
      <c r="DV266" s="1507">
        <v>1505130</v>
      </c>
      <c r="DW266" s="1004">
        <f t="shared" si="560"/>
        <v>6163961</v>
      </c>
      <c r="DX266" s="555"/>
      <c r="DY266" s="555"/>
      <c r="DZ266" s="555"/>
      <c r="EA266" s="555"/>
      <c r="EB266" s="802"/>
      <c r="EC266" s="555"/>
      <c r="ED266" s="555"/>
      <c r="EE266" s="555"/>
      <c r="EF266" s="555"/>
      <c r="EG266" s="802"/>
      <c r="EH266" s="555"/>
      <c r="EI266" s="555"/>
      <c r="EJ266" s="555"/>
      <c r="EK266" s="555"/>
      <c r="EL266" s="802"/>
    </row>
    <row r="267" spans="1:142" hidden="1" outlineLevel="1">
      <c r="A267" s="557"/>
      <c r="B267" s="557" t="s">
        <v>136</v>
      </c>
      <c r="C267" s="1209"/>
      <c r="D267" s="1209">
        <v>5.5</v>
      </c>
      <c r="E267" s="1209">
        <v>5.5</v>
      </c>
      <c r="F267" s="1209">
        <v>5.6</v>
      </c>
      <c r="G267" s="1203" t="s">
        <v>503</v>
      </c>
      <c r="H267" s="1210">
        <v>5.6</v>
      </c>
      <c r="I267" s="1209">
        <v>5.6</v>
      </c>
      <c r="J267" s="1209">
        <v>5.5</v>
      </c>
      <c r="K267" s="1209">
        <v>5.6</v>
      </c>
      <c r="L267" s="1203" t="s">
        <v>503</v>
      </c>
      <c r="M267" s="1210">
        <v>5.6</v>
      </c>
      <c r="N267" s="1209">
        <v>5.4</v>
      </c>
      <c r="O267" s="1209">
        <v>5.4</v>
      </c>
      <c r="P267" s="1209">
        <v>5.3</v>
      </c>
      <c r="Q267" s="1203" t="s">
        <v>503</v>
      </c>
      <c r="R267" s="1210">
        <v>5.2</v>
      </c>
      <c r="S267" s="1209">
        <v>5.0999999999999996</v>
      </c>
      <c r="T267" s="1209">
        <v>5.2</v>
      </c>
      <c r="U267" s="1209">
        <v>5.3</v>
      </c>
      <c r="V267" s="1203" t="s">
        <v>503</v>
      </c>
      <c r="W267" s="1210">
        <v>5.2</v>
      </c>
      <c r="X267" s="1209">
        <v>5.0999999999999996</v>
      </c>
      <c r="Y267" s="1209">
        <v>5.0999999999999996</v>
      </c>
      <c r="Z267" s="1209">
        <v>5.2</v>
      </c>
      <c r="AA267" s="1203" t="s">
        <v>503</v>
      </c>
      <c r="AB267" s="1210">
        <v>5.2</v>
      </c>
      <c r="AC267" s="1209">
        <v>5.0999999999999996</v>
      </c>
      <c r="AD267" s="1209">
        <v>5.2</v>
      </c>
      <c r="AE267" s="1209">
        <v>5.3</v>
      </c>
      <c r="AF267" s="1203" t="s">
        <v>503</v>
      </c>
      <c r="AG267" s="1210">
        <v>5.2</v>
      </c>
      <c r="AH267" s="1209">
        <v>5.2</v>
      </c>
      <c r="AI267" s="1209">
        <v>5.2</v>
      </c>
      <c r="AJ267" s="1209">
        <v>5.3</v>
      </c>
      <c r="AK267" s="1203" t="s">
        <v>503</v>
      </c>
      <c r="AL267" s="1210">
        <v>5.3</v>
      </c>
      <c r="AM267" s="1209">
        <v>5.3</v>
      </c>
      <c r="AN267" s="1209">
        <v>5.3</v>
      </c>
      <c r="AO267" s="1209">
        <v>5.4</v>
      </c>
      <c r="AP267" s="1203" t="s">
        <v>503</v>
      </c>
      <c r="AQ267" s="1210">
        <v>5.3</v>
      </c>
      <c r="AR267" s="1209">
        <v>5.3</v>
      </c>
      <c r="AS267" s="1209">
        <v>5.3</v>
      </c>
      <c r="AT267" s="1209">
        <v>5.3</v>
      </c>
      <c r="AU267" s="802"/>
      <c r="AV267" s="708" t="s">
        <v>503</v>
      </c>
      <c r="AW267" s="708" t="s">
        <v>503</v>
      </c>
      <c r="AX267" s="708" t="s">
        <v>503</v>
      </c>
      <c r="AY267" s="708" t="s">
        <v>503</v>
      </c>
      <c r="AZ267" s="1188" t="s">
        <v>503</v>
      </c>
      <c r="BA267" s="1209">
        <v>5.4</v>
      </c>
      <c r="BB267" s="1209">
        <v>5.3</v>
      </c>
      <c r="BC267" s="1209">
        <v>5.2</v>
      </c>
      <c r="BD267" s="1203" t="s">
        <v>503</v>
      </c>
      <c r="BE267" s="1210">
        <v>5.3</v>
      </c>
      <c r="BF267" s="1209">
        <v>5.3</v>
      </c>
      <c r="BG267" s="1209">
        <v>5.2</v>
      </c>
      <c r="BH267" s="1209">
        <v>5.0999999999999996</v>
      </c>
      <c r="BI267" s="1209">
        <v>5.2</v>
      </c>
      <c r="BJ267" s="1210">
        <v>5.2</v>
      </c>
      <c r="BK267" s="555">
        <v>5.2</v>
      </c>
      <c r="BL267" s="555">
        <v>5.0999999999999996</v>
      </c>
      <c r="BM267" s="555">
        <v>5.0999999999999996</v>
      </c>
      <c r="BN267" s="555">
        <v>5.0999999999999996</v>
      </c>
      <c r="BO267" s="802">
        <v>5.2</v>
      </c>
      <c r="BP267" s="555">
        <v>5.0999999999999996</v>
      </c>
      <c r="BQ267" s="555">
        <v>5</v>
      </c>
      <c r="BR267" s="555">
        <v>4.9000000000000004</v>
      </c>
      <c r="BS267" s="555">
        <v>4.9000000000000004</v>
      </c>
      <c r="BT267" s="802">
        <v>5</v>
      </c>
      <c r="BU267" s="555">
        <v>5</v>
      </c>
      <c r="BV267" s="555">
        <v>5</v>
      </c>
      <c r="BW267" s="555">
        <v>4.9000000000000004</v>
      </c>
      <c r="BX267" s="555">
        <v>4.9000000000000004</v>
      </c>
      <c r="BY267" s="802">
        <v>5</v>
      </c>
      <c r="BZ267" s="555">
        <v>5.0999999999999996</v>
      </c>
      <c r="CA267" s="555">
        <v>4.9000000000000004</v>
      </c>
      <c r="CB267" s="555">
        <v>4.9000000000000004</v>
      </c>
      <c r="CC267" s="555">
        <v>4.9000000000000004</v>
      </c>
      <c r="CD267" s="802">
        <v>4.9000000000000004</v>
      </c>
      <c r="CE267" s="555">
        <v>5</v>
      </c>
      <c r="CF267" s="555">
        <v>4.8</v>
      </c>
      <c r="CG267" s="555">
        <v>4.8</v>
      </c>
      <c r="CH267" s="555">
        <v>4.8</v>
      </c>
      <c r="CI267" s="802">
        <v>4.9000000000000004</v>
      </c>
      <c r="CJ267" s="555">
        <v>4.9000000000000004</v>
      </c>
      <c r="CK267" s="555">
        <v>4.8</v>
      </c>
      <c r="CL267" s="555">
        <v>4.7</v>
      </c>
      <c r="CM267" s="555">
        <v>4.8</v>
      </c>
      <c r="CN267" s="802">
        <v>4.8</v>
      </c>
      <c r="CO267" s="555">
        <v>4.83</v>
      </c>
      <c r="CP267" s="555">
        <v>4.75</v>
      </c>
      <c r="CQ267" s="555">
        <v>4.72</v>
      </c>
      <c r="CR267" s="555">
        <v>4.71</v>
      </c>
      <c r="CS267" s="802">
        <v>4.75</v>
      </c>
      <c r="CT267" s="555">
        <v>4.71</v>
      </c>
      <c r="CU267" s="555">
        <v>4.72</v>
      </c>
      <c r="CV267" s="555">
        <v>4.6500000000000004</v>
      </c>
      <c r="CW267" s="555">
        <v>4.63</v>
      </c>
      <c r="CX267" s="802">
        <v>4.68</v>
      </c>
      <c r="CY267" s="555">
        <v>4.79</v>
      </c>
      <c r="CZ267" s="555">
        <v>4.7</v>
      </c>
      <c r="DA267" s="555">
        <v>4.6900000000000004</v>
      </c>
      <c r="DB267" s="555">
        <v>4.62</v>
      </c>
      <c r="DC267" s="802">
        <v>4.6900000000000004</v>
      </c>
      <c r="DD267" s="555">
        <v>4.78</v>
      </c>
      <c r="DE267" s="555">
        <v>4.66</v>
      </c>
      <c r="DF267" s="555">
        <v>4.6100000000000003</v>
      </c>
      <c r="DG267" s="555">
        <v>4.63</v>
      </c>
      <c r="DH267" s="802">
        <v>4.67</v>
      </c>
      <c r="DI267" s="555">
        <v>4.68</v>
      </c>
      <c r="DJ267" s="555">
        <v>4.6100000000000003</v>
      </c>
      <c r="DK267" s="555">
        <v>4.5999999999999996</v>
      </c>
      <c r="DL267" s="555">
        <v>4.6399999999999997</v>
      </c>
      <c r="DM267" s="1279">
        <v>4.63</v>
      </c>
      <c r="DN267" s="1282">
        <v>4.7699999999999996</v>
      </c>
      <c r="DO267" s="1282">
        <v>4.63</v>
      </c>
      <c r="DP267" s="1282">
        <v>4.5999999999999996</v>
      </c>
      <c r="DQ267" s="1282">
        <v>4.62</v>
      </c>
      <c r="DR267" s="1279">
        <v>4.66</v>
      </c>
      <c r="DS267" s="1282">
        <v>4.6900000000000004</v>
      </c>
      <c r="DT267" s="1282">
        <v>4.5999999999999996</v>
      </c>
      <c r="DU267" s="1282">
        <v>4.5999999999999996</v>
      </c>
      <c r="DV267" s="1282">
        <v>4.6100000000000003</v>
      </c>
      <c r="DW267" s="1279">
        <v>4.62</v>
      </c>
      <c r="DX267" s="555"/>
      <c r="DY267" s="555"/>
      <c r="DZ267" s="555"/>
      <c r="EA267" s="555"/>
      <c r="EB267" s="802"/>
      <c r="EC267" s="555"/>
      <c r="ED267" s="555"/>
      <c r="EE267" s="555"/>
      <c r="EF267" s="555"/>
      <c r="EG267" s="802"/>
      <c r="EH267" s="555"/>
      <c r="EI267" s="555"/>
      <c r="EJ267" s="555"/>
      <c r="EK267" s="555"/>
      <c r="EL267" s="802"/>
    </row>
    <row r="268" spans="1:142" hidden="1" outlineLevel="1">
      <c r="A268" s="557"/>
      <c r="B268" s="557" t="s">
        <v>193</v>
      </c>
      <c r="C268" s="1201"/>
      <c r="D268" s="1201">
        <v>6622</v>
      </c>
      <c r="E268" s="1201">
        <v>6622</v>
      </c>
      <c r="F268" s="1201">
        <v>6620</v>
      </c>
      <c r="G268" s="960">
        <f>H268</f>
        <v>15622</v>
      </c>
      <c r="H268" s="1202">
        <v>15622</v>
      </c>
      <c r="I268" s="1201">
        <v>16210</v>
      </c>
      <c r="J268" s="1201">
        <v>16827</v>
      </c>
      <c r="K268" s="1201">
        <v>16874</v>
      </c>
      <c r="L268" s="960">
        <f>M268</f>
        <v>16666</v>
      </c>
      <c r="M268" s="1202">
        <v>16666</v>
      </c>
      <c r="N268" s="1201">
        <v>17031</v>
      </c>
      <c r="O268" s="1201">
        <v>17344</v>
      </c>
      <c r="P268" s="1201">
        <v>27366</v>
      </c>
      <c r="Q268" s="960">
        <f>R268</f>
        <v>27959</v>
      </c>
      <c r="R268" s="1202">
        <v>27959</v>
      </c>
      <c r="S268" s="1201">
        <v>28691</v>
      </c>
      <c r="T268" s="1201">
        <v>28715</v>
      </c>
      <c r="U268" s="1201">
        <v>28433</v>
      </c>
      <c r="V268" s="960">
        <f>W268</f>
        <v>27867</v>
      </c>
      <c r="W268" s="1202">
        <v>27867</v>
      </c>
      <c r="X268" s="1201">
        <v>28126</v>
      </c>
      <c r="Y268" s="1201">
        <v>30410</v>
      </c>
      <c r="Z268" s="1201">
        <v>30471</v>
      </c>
      <c r="AA268" s="960">
        <f>AB268</f>
        <v>30791</v>
      </c>
      <c r="AB268" s="1202">
        <v>30791</v>
      </c>
      <c r="AC268" s="1201">
        <v>30731</v>
      </c>
      <c r="AD268" s="1201">
        <v>27625</v>
      </c>
      <c r="AE268" s="1201">
        <v>27414</v>
      </c>
      <c r="AF268" s="960">
        <f>AG268</f>
        <v>26939</v>
      </c>
      <c r="AG268" s="1202">
        <v>26939</v>
      </c>
      <c r="AH268" s="1201">
        <v>26965</v>
      </c>
      <c r="AI268" s="1201">
        <v>27008</v>
      </c>
      <c r="AJ268" s="1201">
        <v>26931</v>
      </c>
      <c r="AK268" s="960">
        <f>AL268</f>
        <v>27277</v>
      </c>
      <c r="AL268" s="1202">
        <v>27277</v>
      </c>
      <c r="AM268" s="1201">
        <v>28166</v>
      </c>
      <c r="AN268" s="1201">
        <v>28262</v>
      </c>
      <c r="AO268" s="1201">
        <v>28677</v>
      </c>
      <c r="AP268" s="960">
        <f>AQ268</f>
        <v>28667</v>
      </c>
      <c r="AQ268" s="1202">
        <v>28667</v>
      </c>
      <c r="AR268" s="1201">
        <v>28134</v>
      </c>
      <c r="AS268" s="1201">
        <v>27748</v>
      </c>
      <c r="AT268" s="1201">
        <v>27882</v>
      </c>
      <c r="AU268" s="802"/>
      <c r="AV268" s="708" t="s">
        <v>503</v>
      </c>
      <c r="AW268" s="708" t="s">
        <v>503</v>
      </c>
      <c r="AX268" s="708" t="s">
        <v>503</v>
      </c>
      <c r="AY268" s="708" t="s">
        <v>503</v>
      </c>
      <c r="AZ268" s="1188" t="s">
        <v>503</v>
      </c>
      <c r="BA268" s="1201">
        <v>24933</v>
      </c>
      <c r="BB268" s="1201">
        <v>24911</v>
      </c>
      <c r="BC268" s="1201">
        <v>24861</v>
      </c>
      <c r="BD268" s="960">
        <f>BE268</f>
        <v>24649</v>
      </c>
      <c r="BE268" s="1202">
        <v>24649</v>
      </c>
      <c r="BF268" s="1201">
        <v>18764</v>
      </c>
      <c r="BG268" s="1201">
        <v>18784</v>
      </c>
      <c r="BH268" s="1201">
        <v>18090</v>
      </c>
      <c r="BI268" s="1201">
        <v>17902</v>
      </c>
      <c r="BJ268" s="1202">
        <v>17902</v>
      </c>
      <c r="BK268" s="959">
        <v>17941</v>
      </c>
      <c r="BL268" s="901">
        <v>17897</v>
      </c>
      <c r="BM268" s="555">
        <v>17859</v>
      </c>
      <c r="BN268" s="555">
        <v>17863</v>
      </c>
      <c r="BO268" s="802">
        <v>17863</v>
      </c>
      <c r="BP268" s="959">
        <v>17851</v>
      </c>
      <c r="BQ268" s="901">
        <v>15047</v>
      </c>
      <c r="BR268" s="555">
        <v>14941</v>
      </c>
      <c r="BS268" s="555">
        <v>14941</v>
      </c>
      <c r="BT268" s="802">
        <v>14941</v>
      </c>
      <c r="BU268" s="959">
        <v>14957</v>
      </c>
      <c r="BV268" s="901">
        <v>15081</v>
      </c>
      <c r="BW268" s="555">
        <v>14486</v>
      </c>
      <c r="BX268" s="555">
        <v>14516</v>
      </c>
      <c r="BY268" s="802">
        <v>14516</v>
      </c>
      <c r="BZ268" s="959">
        <v>14459</v>
      </c>
      <c r="CA268" s="901">
        <v>13864</v>
      </c>
      <c r="CB268" s="555">
        <v>13531</v>
      </c>
      <c r="CC268" s="555">
        <v>13562</v>
      </c>
      <c r="CD268" s="802">
        <v>13562</v>
      </c>
      <c r="CE268" s="959">
        <v>13580</v>
      </c>
      <c r="CF268" s="901">
        <v>13419</v>
      </c>
      <c r="CG268" s="555">
        <v>13419</v>
      </c>
      <c r="CH268" s="555">
        <v>13436</v>
      </c>
      <c r="CI268" s="802">
        <v>13436</v>
      </c>
      <c r="CJ268" s="959">
        <v>13430</v>
      </c>
      <c r="CK268" s="901">
        <v>13420</v>
      </c>
      <c r="CL268" s="555">
        <v>13430</v>
      </c>
      <c r="CM268" s="555">
        <v>13428</v>
      </c>
      <c r="CN268" s="802">
        <v>13428</v>
      </c>
      <c r="CO268" s="959">
        <v>13123</v>
      </c>
      <c r="CP268" s="901">
        <v>13086</v>
      </c>
      <c r="CQ268" s="555">
        <v>13119</v>
      </c>
      <c r="CR268" s="555">
        <v>13119</v>
      </c>
      <c r="CS268" s="802">
        <v>13119</v>
      </c>
      <c r="CT268" s="959">
        <v>13175</v>
      </c>
      <c r="CU268" s="901">
        <v>13176</v>
      </c>
      <c r="CV268" s="555">
        <v>13216</v>
      </c>
      <c r="CW268" s="555">
        <v>13216</v>
      </c>
      <c r="CX268" s="802">
        <v>13216</v>
      </c>
      <c r="CY268" s="959">
        <v>13180</v>
      </c>
      <c r="CZ268" s="901">
        <v>13180</v>
      </c>
      <c r="DA268" s="555">
        <v>13180</v>
      </c>
      <c r="DB268" s="555">
        <v>20293</v>
      </c>
      <c r="DC268" s="802">
        <v>20293</v>
      </c>
      <c r="DD268" s="959">
        <v>20279</v>
      </c>
      <c r="DE268" s="901">
        <v>20553</v>
      </c>
      <c r="DF268" s="555">
        <v>20762</v>
      </c>
      <c r="DG268" s="555">
        <v>20814</v>
      </c>
      <c r="DH268" s="802">
        <v>20814</v>
      </c>
      <c r="DI268" s="959">
        <f>DI269</f>
        <v>20823</v>
      </c>
      <c r="DJ268" s="901">
        <v>20826</v>
      </c>
      <c r="DK268" s="555">
        <v>21527</v>
      </c>
      <c r="DL268" s="555">
        <v>22525</v>
      </c>
      <c r="DM268" s="1279">
        <v>22525</v>
      </c>
      <c r="DN268" s="1280">
        <v>21529</v>
      </c>
      <c r="DO268" s="1281">
        <v>20380</v>
      </c>
      <c r="DP268" s="1282">
        <v>20340</v>
      </c>
      <c r="DQ268" s="1282">
        <v>20354</v>
      </c>
      <c r="DR268" s="1279">
        <v>20354</v>
      </c>
      <c r="DS268" s="1282">
        <v>20439</v>
      </c>
      <c r="DT268" s="1281">
        <v>20435</v>
      </c>
      <c r="DU268" s="1281">
        <v>19433</v>
      </c>
      <c r="DV268" s="1282">
        <v>19141</v>
      </c>
      <c r="DW268" s="802">
        <f>DV268</f>
        <v>19141</v>
      </c>
      <c r="DX268" s="555"/>
      <c r="DY268" s="555"/>
      <c r="DZ268" s="555"/>
      <c r="EA268" s="555"/>
      <c r="EB268" s="802"/>
      <c r="EC268" s="555"/>
      <c r="ED268" s="555"/>
      <c r="EE268" s="555"/>
      <c r="EF268" s="555"/>
      <c r="EG268" s="802"/>
      <c r="EH268" s="555"/>
      <c r="EI268" s="555"/>
      <c r="EJ268" s="555"/>
      <c r="EK268" s="555"/>
      <c r="EL268" s="802"/>
    </row>
    <row r="269" spans="1:142" hidden="1" outlineLevel="1">
      <c r="A269" s="557"/>
      <c r="B269" s="557" t="s">
        <v>194</v>
      </c>
      <c r="C269" s="1203"/>
      <c r="D269" s="1203">
        <v>6764</v>
      </c>
      <c r="E269" s="1203" t="s">
        <v>503</v>
      </c>
      <c r="F269" s="1203" t="s">
        <v>503</v>
      </c>
      <c r="G269" s="1203" t="s">
        <v>503</v>
      </c>
      <c r="H269" s="1188"/>
      <c r="I269" s="1203" t="s">
        <v>503</v>
      </c>
      <c r="J269" s="1203" t="s">
        <v>503</v>
      </c>
      <c r="K269" s="1203" t="s">
        <v>503</v>
      </c>
      <c r="L269" s="1203" t="s">
        <v>503</v>
      </c>
      <c r="M269" s="1188" t="s">
        <v>503</v>
      </c>
      <c r="N269" s="1203" t="s">
        <v>503</v>
      </c>
      <c r="O269" s="1203" t="s">
        <v>503</v>
      </c>
      <c r="P269" s="1203" t="s">
        <v>503</v>
      </c>
      <c r="Q269" s="1203" t="s">
        <v>503</v>
      </c>
      <c r="R269" s="1188" t="s">
        <v>503</v>
      </c>
      <c r="S269" s="1203" t="s">
        <v>503</v>
      </c>
      <c r="T269" s="1203" t="s">
        <v>503</v>
      </c>
      <c r="U269" s="1203" t="s">
        <v>503</v>
      </c>
      <c r="V269" s="1203" t="s">
        <v>503</v>
      </c>
      <c r="W269" s="1188" t="s">
        <v>503</v>
      </c>
      <c r="X269" s="1203" t="s">
        <v>503</v>
      </c>
      <c r="Y269" s="1203" t="s">
        <v>503</v>
      </c>
      <c r="Z269" s="1203" t="s">
        <v>503</v>
      </c>
      <c r="AA269" s="1203" t="s">
        <v>503</v>
      </c>
      <c r="AB269" s="1188" t="s">
        <v>503</v>
      </c>
      <c r="AC269" s="1203" t="s">
        <v>503</v>
      </c>
      <c r="AD269" s="1203" t="s">
        <v>503</v>
      </c>
      <c r="AE269" s="1203" t="s">
        <v>503</v>
      </c>
      <c r="AF269" s="1203" t="s">
        <v>503</v>
      </c>
      <c r="AG269" s="1188" t="s">
        <v>503</v>
      </c>
      <c r="AH269" s="1203" t="s">
        <v>503</v>
      </c>
      <c r="AI269" s="1203" t="s">
        <v>503</v>
      </c>
      <c r="AJ269" s="1203" t="s">
        <v>503</v>
      </c>
      <c r="AK269" s="1203" t="s">
        <v>503</v>
      </c>
      <c r="AL269" s="1188" t="s">
        <v>503</v>
      </c>
      <c r="AM269" s="1203" t="s">
        <v>503</v>
      </c>
      <c r="AN269" s="1203" t="s">
        <v>503</v>
      </c>
      <c r="AO269" s="1203" t="s">
        <v>503</v>
      </c>
      <c r="AP269" s="1203" t="s">
        <v>503</v>
      </c>
      <c r="AQ269" s="1188" t="s">
        <v>503</v>
      </c>
      <c r="AR269" s="1203" t="s">
        <v>503</v>
      </c>
      <c r="AS269" s="1203" t="s">
        <v>503</v>
      </c>
      <c r="AT269" s="1203" t="s">
        <v>503</v>
      </c>
      <c r="AU269" s="802"/>
      <c r="AV269" s="708" t="s">
        <v>503</v>
      </c>
      <c r="AW269" s="708" t="s">
        <v>503</v>
      </c>
      <c r="AX269" s="708" t="s">
        <v>503</v>
      </c>
      <c r="AY269" s="708" t="s">
        <v>503</v>
      </c>
      <c r="AZ269" s="1188" t="s">
        <v>503</v>
      </c>
      <c r="BA269" s="1203" t="s">
        <v>503</v>
      </c>
      <c r="BB269" s="1203" t="s">
        <v>503</v>
      </c>
      <c r="BC269" s="1203" t="s">
        <v>503</v>
      </c>
      <c r="BD269" s="1203" t="s">
        <v>503</v>
      </c>
      <c r="BE269" s="1204" t="s">
        <v>503</v>
      </c>
      <c r="BF269" s="1203" t="s">
        <v>503</v>
      </c>
      <c r="BG269" s="1201">
        <v>18647</v>
      </c>
      <c r="BH269" s="1201">
        <v>18106</v>
      </c>
      <c r="BI269" s="1201">
        <v>17902</v>
      </c>
      <c r="BJ269" s="1202">
        <v>17861</v>
      </c>
      <c r="BK269" s="959">
        <v>17924</v>
      </c>
      <c r="BL269" s="901">
        <v>17930</v>
      </c>
      <c r="BM269" s="555">
        <v>17859</v>
      </c>
      <c r="BN269" s="555">
        <v>17842</v>
      </c>
      <c r="BO269" s="802">
        <v>17889</v>
      </c>
      <c r="BP269" s="959">
        <v>17851</v>
      </c>
      <c r="BQ269" s="901">
        <v>15069</v>
      </c>
      <c r="BR269" s="555">
        <v>14967</v>
      </c>
      <c r="BS269" s="555">
        <v>14941</v>
      </c>
      <c r="BT269" s="802">
        <v>15023</v>
      </c>
      <c r="BU269" s="959">
        <v>14953</v>
      </c>
      <c r="BV269" s="901">
        <v>14990</v>
      </c>
      <c r="BW269" s="555">
        <v>14389</v>
      </c>
      <c r="BX269" s="555">
        <v>14516</v>
      </c>
      <c r="BY269" s="802">
        <v>14379</v>
      </c>
      <c r="BZ269" s="959">
        <v>14478</v>
      </c>
      <c r="CA269" s="901">
        <v>13829</v>
      </c>
      <c r="CB269" s="555">
        <v>13536</v>
      </c>
      <c r="CC269" s="555">
        <v>13547</v>
      </c>
      <c r="CD269" s="802">
        <v>13512</v>
      </c>
      <c r="CE269" s="959">
        <v>13574</v>
      </c>
      <c r="CF269" s="901">
        <v>13411</v>
      </c>
      <c r="CG269" s="555">
        <v>13419</v>
      </c>
      <c r="CH269" s="555">
        <v>13436</v>
      </c>
      <c r="CI269" s="802">
        <v>13419</v>
      </c>
      <c r="CJ269" s="959">
        <v>13431</v>
      </c>
      <c r="CK269" s="901">
        <v>13435</v>
      </c>
      <c r="CL269" s="555">
        <v>13423</v>
      </c>
      <c r="CM269" s="555">
        <v>13429</v>
      </c>
      <c r="CN269" s="802">
        <v>13430</v>
      </c>
      <c r="CO269" s="959">
        <v>13123</v>
      </c>
      <c r="CP269" s="901">
        <v>13111</v>
      </c>
      <c r="CQ269" s="555">
        <v>13106</v>
      </c>
      <c r="CR269" s="555">
        <v>13119</v>
      </c>
      <c r="CS269" s="802">
        <v>13115</v>
      </c>
      <c r="CT269" s="959">
        <v>13138</v>
      </c>
      <c r="CU269" s="901">
        <v>13176</v>
      </c>
      <c r="CV269" s="555">
        <v>13216</v>
      </c>
      <c r="CW269" s="555">
        <v>13216</v>
      </c>
      <c r="CX269" s="802">
        <v>13187</v>
      </c>
      <c r="CY269" s="959">
        <v>13180</v>
      </c>
      <c r="CZ269" s="901">
        <v>13180</v>
      </c>
      <c r="DA269" s="555">
        <v>13180</v>
      </c>
      <c r="DB269" s="555">
        <v>20294</v>
      </c>
      <c r="DC269" s="802">
        <v>14963</v>
      </c>
      <c r="DD269" s="959">
        <v>20263</v>
      </c>
      <c r="DE269" s="901">
        <v>20370</v>
      </c>
      <c r="DF269" s="555">
        <v>20692</v>
      </c>
      <c r="DG269" s="555">
        <v>20805</v>
      </c>
      <c r="DH269" s="802">
        <v>20531</v>
      </c>
      <c r="DI269" s="959">
        <v>20823</v>
      </c>
      <c r="DJ269" s="901">
        <v>20826</v>
      </c>
      <c r="DK269" s="555">
        <v>21122</v>
      </c>
      <c r="DL269" s="555">
        <v>22549</v>
      </c>
      <c r="DM269" s="1279">
        <v>21092</v>
      </c>
      <c r="DN269" s="1280">
        <v>21524</v>
      </c>
      <c r="DO269" s="1281">
        <v>20380</v>
      </c>
      <c r="DP269" s="1282">
        <v>20367</v>
      </c>
      <c r="DQ269" s="1282">
        <v>20326</v>
      </c>
      <c r="DR269" s="1279">
        <v>20651</v>
      </c>
      <c r="DS269" s="1281">
        <v>20440</v>
      </c>
      <c r="DT269" s="1281">
        <v>20435</v>
      </c>
      <c r="DU269" s="1281">
        <v>19783</v>
      </c>
      <c r="DV269" s="1281">
        <v>19320</v>
      </c>
      <c r="DW269" s="844">
        <f>AVERAGE(DS269:DV269)</f>
        <v>19994.5</v>
      </c>
      <c r="DX269" s="555"/>
      <c r="DY269" s="555"/>
      <c r="DZ269" s="555"/>
      <c r="EA269" s="555"/>
      <c r="EB269" s="802"/>
      <c r="EC269" s="555"/>
      <c r="ED269" s="555"/>
      <c r="EE269" s="555"/>
      <c r="EF269" s="555"/>
      <c r="EG269" s="802"/>
      <c r="EH269" s="555"/>
      <c r="EI269" s="555"/>
      <c r="EJ269" s="555"/>
      <c r="EK269" s="555"/>
      <c r="EL269" s="802"/>
    </row>
    <row r="270" spans="1:142" hidden="1" outlineLevel="1">
      <c r="A270" s="557"/>
      <c r="B270" s="557" t="s">
        <v>137</v>
      </c>
      <c r="C270" s="1205"/>
      <c r="D270" s="1205">
        <v>0.432</v>
      </c>
      <c r="E270" s="1205">
        <v>0.442</v>
      </c>
      <c r="F270" s="1205">
        <v>0.48599999999999999</v>
      </c>
      <c r="G270" s="1203" t="s">
        <v>503</v>
      </c>
      <c r="H270" s="1206">
        <v>0.46400000000000002</v>
      </c>
      <c r="I270" s="1205">
        <v>0.434</v>
      </c>
      <c r="J270" s="1205">
        <v>0.434</v>
      </c>
      <c r="K270" s="1205">
        <v>0.47899999999999998</v>
      </c>
      <c r="L270" s="1203" t="s">
        <v>503</v>
      </c>
      <c r="M270" s="1206">
        <v>0.44900000000000001</v>
      </c>
      <c r="N270" s="1205">
        <v>0.42399999999999999</v>
      </c>
      <c r="O270" s="1205">
        <v>0.432</v>
      </c>
      <c r="P270" s="1205">
        <v>0.46600000000000003</v>
      </c>
      <c r="Q270" s="1203" t="s">
        <v>503</v>
      </c>
      <c r="R270" s="1206">
        <v>0.42499999999999999</v>
      </c>
      <c r="S270" s="1205">
        <v>0.41399999999999998</v>
      </c>
      <c r="T270" s="1205">
        <v>0.42499999999999999</v>
      </c>
      <c r="U270" s="1205">
        <v>0.48299999999999998</v>
      </c>
      <c r="V270" s="1203" t="s">
        <v>503</v>
      </c>
      <c r="W270" s="1206">
        <v>0.44</v>
      </c>
      <c r="X270" s="1205">
        <v>0.43099999999999999</v>
      </c>
      <c r="Y270" s="1205">
        <v>0.438</v>
      </c>
      <c r="Z270" s="1205">
        <v>0.47599999999999998</v>
      </c>
      <c r="AA270" s="1203" t="s">
        <v>503</v>
      </c>
      <c r="AB270" s="1206">
        <v>0.45400000000000001</v>
      </c>
      <c r="AC270" s="1205">
        <v>0.433</v>
      </c>
      <c r="AD270" s="1205">
        <v>0.44700000000000001</v>
      </c>
      <c r="AE270" s="1205">
        <v>0.51100000000000001</v>
      </c>
      <c r="AF270" s="1203" t="s">
        <v>503</v>
      </c>
      <c r="AG270" s="1206">
        <v>0.46800000000000003</v>
      </c>
      <c r="AH270" s="1205">
        <v>0.47599999999999998</v>
      </c>
      <c r="AI270" s="1205">
        <v>0.48599999999999999</v>
      </c>
      <c r="AJ270" s="1205">
        <v>0.52300000000000002</v>
      </c>
      <c r="AK270" s="1203" t="s">
        <v>503</v>
      </c>
      <c r="AL270" s="1206">
        <v>0.5</v>
      </c>
      <c r="AM270" s="1205">
        <v>0.497</v>
      </c>
      <c r="AN270" s="1205">
        <v>0.5</v>
      </c>
      <c r="AO270" s="1205">
        <v>0.53400000000000003</v>
      </c>
      <c r="AP270" s="1203" t="s">
        <v>503</v>
      </c>
      <c r="AQ270" s="1206">
        <v>0.51600000000000001</v>
      </c>
      <c r="AR270" s="1205">
        <v>0.51300000000000001</v>
      </c>
      <c r="AS270" s="1205">
        <v>0.53400000000000003</v>
      </c>
      <c r="AT270" s="1205">
        <v>0.55400000000000005</v>
      </c>
      <c r="AU270" s="802"/>
      <c r="AV270" s="708" t="s">
        <v>503</v>
      </c>
      <c r="AW270" s="708" t="s">
        <v>503</v>
      </c>
      <c r="AX270" s="708" t="s">
        <v>503</v>
      </c>
      <c r="AY270" s="708" t="s">
        <v>503</v>
      </c>
      <c r="AZ270" s="1188" t="s">
        <v>503</v>
      </c>
      <c r="BA270" s="1205">
        <v>0.58499999999999996</v>
      </c>
      <c r="BB270" s="1205">
        <v>0.55500000000000005</v>
      </c>
      <c r="BC270" s="1205">
        <v>0.54</v>
      </c>
      <c r="BD270" s="1203" t="s">
        <v>503</v>
      </c>
      <c r="BE270" s="1206">
        <v>0.55900000000000005</v>
      </c>
      <c r="BF270" s="1205">
        <v>0.57299999999999995</v>
      </c>
      <c r="BG270" s="1205">
        <v>0.52900000000000003</v>
      </c>
      <c r="BH270" s="1205">
        <v>0.52700000000000002</v>
      </c>
      <c r="BI270" s="1205">
        <v>0.53300000000000003</v>
      </c>
      <c r="BJ270" s="1206">
        <v>0.54500000000000004</v>
      </c>
      <c r="BK270" s="558">
        <v>0.57899999999999996</v>
      </c>
      <c r="BL270" s="558">
        <v>0.53</v>
      </c>
      <c r="BM270" s="1207">
        <v>0.50800000000000001</v>
      </c>
      <c r="BN270" s="1207">
        <v>0.49299999999999999</v>
      </c>
      <c r="BO270" s="1208">
        <v>0.52700000000000002</v>
      </c>
      <c r="BP270" s="558">
        <v>0.53300000000000003</v>
      </c>
      <c r="BQ270" s="558">
        <v>0.51800000000000002</v>
      </c>
      <c r="BR270" s="1207">
        <v>0.505</v>
      </c>
      <c r="BS270" s="1207">
        <v>0.51300000000000001</v>
      </c>
      <c r="BT270" s="1208">
        <v>0.52500000000000002</v>
      </c>
      <c r="BU270" s="558">
        <v>0.55400000000000005</v>
      </c>
      <c r="BV270" s="558">
        <v>0.50800000000000001</v>
      </c>
      <c r="BW270" s="1207">
        <v>0.50700000000000001</v>
      </c>
      <c r="BX270" s="1207">
        <v>0.51100000000000001</v>
      </c>
      <c r="BY270" s="1208">
        <v>0.52500000000000002</v>
      </c>
      <c r="BZ270" s="558">
        <v>0.56100000000000005</v>
      </c>
      <c r="CA270" s="558">
        <v>0.52400000000000002</v>
      </c>
      <c r="CB270" s="1207">
        <v>0.51</v>
      </c>
      <c r="CC270" s="1207">
        <v>0.51500000000000001</v>
      </c>
      <c r="CD270" s="1208">
        <v>0.53</v>
      </c>
      <c r="CE270" s="558">
        <v>0.55600000000000005</v>
      </c>
      <c r="CF270" s="558">
        <v>0.51600000000000001</v>
      </c>
      <c r="CG270" s="1207">
        <v>0.504</v>
      </c>
      <c r="CH270" s="1207">
        <v>0.50800000000000001</v>
      </c>
      <c r="CI270" s="1208">
        <v>0.52100000000000002</v>
      </c>
      <c r="CJ270" s="558">
        <v>0.54</v>
      </c>
      <c r="CK270" s="558">
        <v>0.503</v>
      </c>
      <c r="CL270" s="1207">
        <v>0.48299999999999998</v>
      </c>
      <c r="CM270" s="1207">
        <v>0.49299999999999999</v>
      </c>
      <c r="CN270" s="1208">
        <v>0.504</v>
      </c>
      <c r="CO270" s="558">
        <v>0.53800000000000003</v>
      </c>
      <c r="CP270" s="558">
        <v>0.5</v>
      </c>
      <c r="CQ270" s="1207">
        <v>0.49099999999999999</v>
      </c>
      <c r="CR270" s="1207">
        <v>0.48899999999999999</v>
      </c>
      <c r="CS270" s="1208">
        <v>0.504</v>
      </c>
      <c r="CT270" s="558">
        <v>0.51600000000000001</v>
      </c>
      <c r="CU270" s="558">
        <v>0.49199999999999999</v>
      </c>
      <c r="CV270" s="1207">
        <v>0.47799999999999998</v>
      </c>
      <c r="CW270" s="1207">
        <v>0.47699999999999998</v>
      </c>
      <c r="CX270" s="1208">
        <v>0.49099999999999999</v>
      </c>
      <c r="CY270" s="558">
        <v>0.50900000000000001</v>
      </c>
      <c r="CZ270" s="558">
        <v>0.47299999999999998</v>
      </c>
      <c r="DA270" s="1207">
        <v>0.47</v>
      </c>
      <c r="DB270" s="1207">
        <v>0.47199999999999998</v>
      </c>
      <c r="DC270" s="1208">
        <v>0.48</v>
      </c>
      <c r="DD270" s="558">
        <v>0.51</v>
      </c>
      <c r="DE270" s="558">
        <v>0.48899999999999999</v>
      </c>
      <c r="DF270" s="1207">
        <v>0.48399999999999999</v>
      </c>
      <c r="DG270" s="1207">
        <v>0.49</v>
      </c>
      <c r="DH270" s="1208">
        <v>0.49299999999999999</v>
      </c>
      <c r="DI270" s="558">
        <v>0.52100000000000002</v>
      </c>
      <c r="DJ270" s="558">
        <v>0.49099999999999999</v>
      </c>
      <c r="DK270" s="1207">
        <v>0.47799999999999998</v>
      </c>
      <c r="DL270" s="1207">
        <v>0.47399999999999998</v>
      </c>
      <c r="DM270" s="1283">
        <v>0.496</v>
      </c>
      <c r="DN270" s="1284">
        <v>0.51600000000000001</v>
      </c>
      <c r="DO270" s="1284">
        <v>0.48399999999999999</v>
      </c>
      <c r="DP270" s="1285">
        <v>0.47699999999999998</v>
      </c>
      <c r="DQ270" s="1285">
        <v>0.47499999999999998</v>
      </c>
      <c r="DR270" s="1283">
        <v>0.48799999999999999</v>
      </c>
      <c r="DS270" s="1284">
        <v>0.502</v>
      </c>
      <c r="DT270" s="1284">
        <v>0.47</v>
      </c>
      <c r="DU270" s="1284">
        <v>0.46899999999999997</v>
      </c>
      <c r="DV270" s="1285">
        <v>0.48299999999999998</v>
      </c>
      <c r="DW270" s="949">
        <f>AVERAGE(DS270:DV270)</f>
        <v>0.48099999999999998</v>
      </c>
      <c r="DX270" s="555"/>
      <c r="DY270" s="555"/>
      <c r="DZ270" s="555"/>
      <c r="EA270" s="555"/>
      <c r="EB270" s="802"/>
      <c r="EC270" s="555"/>
      <c r="ED270" s="555"/>
      <c r="EE270" s="555"/>
      <c r="EF270" s="555"/>
      <c r="EG270" s="802"/>
      <c r="EH270" s="555"/>
      <c r="EI270" s="555"/>
      <c r="EJ270" s="555"/>
      <c r="EK270" s="555"/>
      <c r="EL270" s="802"/>
    </row>
    <row r="271" spans="1:142" hidden="1" outlineLevel="1">
      <c r="A271" s="557"/>
      <c r="B271" s="973" t="s">
        <v>688</v>
      </c>
      <c r="C271" s="1203"/>
      <c r="D271" s="1203"/>
      <c r="E271" s="1203"/>
      <c r="F271" s="1203"/>
      <c r="G271" s="1203"/>
      <c r="H271" s="1188"/>
      <c r="I271" s="1203"/>
      <c r="J271" s="1203"/>
      <c r="K271" s="1203"/>
      <c r="L271" s="1203"/>
      <c r="M271" s="1188"/>
      <c r="N271" s="1203"/>
      <c r="O271" s="1203"/>
      <c r="P271" s="1203"/>
      <c r="Q271" s="1203"/>
      <c r="R271" s="1188"/>
      <c r="S271" s="1203"/>
      <c r="T271" s="1203"/>
      <c r="U271" s="1203"/>
      <c r="V271" s="1203"/>
      <c r="W271" s="1188"/>
      <c r="X271" s="1203"/>
      <c r="Y271" s="1203"/>
      <c r="Z271" s="1203"/>
      <c r="AA271" s="1203"/>
      <c r="AB271" s="1188"/>
      <c r="AC271" s="1203"/>
      <c r="AD271" s="1203"/>
      <c r="AE271" s="1203"/>
      <c r="AF271" s="1203"/>
      <c r="AG271" s="1188"/>
      <c r="AH271" s="1203"/>
      <c r="AI271" s="1203"/>
      <c r="AJ271" s="1203"/>
      <c r="AK271" s="1203"/>
      <c r="AL271" s="1188"/>
      <c r="AM271" s="1203"/>
      <c r="AN271" s="1203"/>
      <c r="AO271" s="1203"/>
      <c r="AP271" s="1203"/>
      <c r="AQ271" s="1188"/>
      <c r="AR271" s="1203"/>
      <c r="AS271" s="1203"/>
      <c r="AT271" s="1203"/>
      <c r="AU271" s="802"/>
      <c r="AV271" s="708"/>
      <c r="AW271" s="708"/>
      <c r="AX271" s="708"/>
      <c r="AY271" s="708"/>
      <c r="AZ271" s="1501"/>
      <c r="BA271" s="1203"/>
      <c r="BB271" s="1203"/>
      <c r="BC271" s="1203"/>
      <c r="BD271" s="1203"/>
      <c r="BE271" s="1502"/>
      <c r="BF271" s="1203"/>
      <c r="BG271" s="1201"/>
      <c r="BH271" s="1201"/>
      <c r="BI271" s="1201"/>
      <c r="BJ271" s="1503"/>
      <c r="BK271" s="959"/>
      <c r="BL271" s="901"/>
      <c r="BM271" s="555"/>
      <c r="BN271" s="555"/>
      <c r="BO271" s="802"/>
      <c r="BP271" s="959"/>
      <c r="BQ271" s="901"/>
      <c r="BR271" s="555"/>
      <c r="BS271" s="555"/>
      <c r="BT271" s="802"/>
      <c r="BU271" s="959"/>
      <c r="BV271" s="901"/>
      <c r="BW271" s="555"/>
      <c r="BX271" s="555"/>
      <c r="BY271" s="802"/>
      <c r="BZ271" s="959"/>
      <c r="CA271" s="901"/>
      <c r="CB271" s="555"/>
      <c r="CC271" s="555"/>
      <c r="CD271" s="802"/>
      <c r="CE271" s="959"/>
      <c r="CF271" s="901"/>
      <c r="CG271" s="555"/>
      <c r="CH271" s="555"/>
      <c r="CI271" s="802"/>
      <c r="CJ271" s="959"/>
      <c r="CK271" s="901"/>
      <c r="CL271" s="555"/>
      <c r="CM271" s="555"/>
      <c r="CN271" s="802"/>
      <c r="CO271" s="959"/>
      <c r="CP271" s="901"/>
      <c r="CQ271" s="555"/>
      <c r="CR271" s="555"/>
      <c r="CS271" s="802"/>
      <c r="CT271" s="959"/>
      <c r="CU271" s="901"/>
      <c r="CV271" s="555"/>
      <c r="CW271" s="555"/>
      <c r="CX271" s="802"/>
      <c r="CY271" s="959"/>
      <c r="CZ271" s="901"/>
      <c r="DA271" s="555"/>
      <c r="DB271" s="555"/>
      <c r="DC271" s="802"/>
      <c r="DD271" s="959"/>
      <c r="DE271" s="901"/>
      <c r="DF271" s="555"/>
      <c r="DG271" s="555"/>
      <c r="DH271" s="802"/>
      <c r="DI271" s="959"/>
      <c r="DJ271" s="901"/>
      <c r="DK271" s="555"/>
      <c r="DL271" s="555"/>
      <c r="DM271" s="1279"/>
      <c r="DN271" s="1280"/>
      <c r="DO271" s="1281"/>
      <c r="DP271" s="1282"/>
      <c r="DQ271" s="1282"/>
      <c r="DR271" s="1279"/>
      <c r="DS271" s="1282"/>
      <c r="DT271" s="1281"/>
      <c r="DU271" s="1281"/>
      <c r="DV271" s="1282"/>
      <c r="DW271" s="1279"/>
      <c r="DX271" s="555"/>
      <c r="DY271" s="555"/>
      <c r="DZ271" s="555"/>
      <c r="EA271" s="555"/>
      <c r="EB271" s="802"/>
      <c r="EC271" s="555"/>
      <c r="ED271" s="555"/>
      <c r="EE271" s="555"/>
      <c r="EF271" s="555"/>
      <c r="EG271" s="802"/>
      <c r="EH271" s="555"/>
      <c r="EI271" s="555"/>
      <c r="EJ271" s="555"/>
      <c r="EK271" s="555"/>
      <c r="EL271" s="802"/>
    </row>
    <row r="272" spans="1:142" hidden="1" outlineLevel="1">
      <c r="A272" s="557"/>
      <c r="B272" s="557" t="s">
        <v>208</v>
      </c>
      <c r="C272" s="1201"/>
      <c r="D272" s="1201">
        <v>377539</v>
      </c>
      <c r="E272" s="1201">
        <v>369211</v>
      </c>
      <c r="F272" s="1201">
        <v>394453</v>
      </c>
      <c r="G272" s="960">
        <f>H272-SUM(D272:F272)</f>
        <v>1152383</v>
      </c>
      <c r="H272" s="1202">
        <v>2293586</v>
      </c>
      <c r="I272" s="1201">
        <v>1278757</v>
      </c>
      <c r="J272" s="1201">
        <v>1387899</v>
      </c>
      <c r="K272" s="1201">
        <v>1446545</v>
      </c>
      <c r="L272" s="960">
        <f>M272-SUM(I272:K272)</f>
        <v>1496349</v>
      </c>
      <c r="M272" s="1202">
        <v>5609550</v>
      </c>
      <c r="N272" s="1201">
        <v>1540745</v>
      </c>
      <c r="O272" s="1201">
        <v>1615945</v>
      </c>
      <c r="P272" s="1201">
        <v>2620508</v>
      </c>
      <c r="Q272" s="960">
        <f>R272-SUM(N272:P272)</f>
        <v>4220068</v>
      </c>
      <c r="R272" s="1202">
        <v>9997266</v>
      </c>
      <c r="S272" s="1201">
        <v>2652213</v>
      </c>
      <c r="T272" s="1201">
        <v>2642883</v>
      </c>
      <c r="U272" s="1201">
        <v>2535187</v>
      </c>
      <c r="V272" s="960">
        <f>W272-SUM(S272:U272)</f>
        <v>2572674</v>
      </c>
      <c r="W272" s="1202">
        <v>10402957</v>
      </c>
      <c r="X272" s="1201">
        <v>2420628</v>
      </c>
      <c r="Y272" s="1201">
        <v>2326712</v>
      </c>
      <c r="Z272" s="1201">
        <v>2372360</v>
      </c>
      <c r="AA272" s="960">
        <f>AB272-SUM(X272:Z272)</f>
        <v>2535275</v>
      </c>
      <c r="AB272" s="1202">
        <v>9654975</v>
      </c>
      <c r="AC272" s="1201">
        <v>2468827</v>
      </c>
      <c r="AD272" s="1201">
        <v>2289819</v>
      </c>
      <c r="AE272" s="1201">
        <v>2220852</v>
      </c>
      <c r="AF272" s="960">
        <f>AG272-SUM(AC272:AE272)</f>
        <v>2296874</v>
      </c>
      <c r="AG272" s="1202">
        <v>9276372</v>
      </c>
      <c r="AH272" s="1201">
        <v>2276519</v>
      </c>
      <c r="AI272" s="1201">
        <v>2240966</v>
      </c>
      <c r="AJ272" s="1201">
        <v>2216645</v>
      </c>
      <c r="AK272" s="960">
        <f>AL272-SUM(AH272:AJ272)</f>
        <v>2319987</v>
      </c>
      <c r="AL272" s="1202">
        <v>9054117</v>
      </c>
      <c r="AM272" s="1201">
        <v>2310626</v>
      </c>
      <c r="AN272" s="1201">
        <v>2277623</v>
      </c>
      <c r="AO272" s="1201">
        <v>2261010</v>
      </c>
      <c r="AP272" s="960">
        <f>AQ272-SUM(AM272:AO272)</f>
        <v>2471484</v>
      </c>
      <c r="AQ272" s="1202">
        <v>9320743</v>
      </c>
      <c r="AR272" s="1201">
        <v>2329280</v>
      </c>
      <c r="AS272" s="1201">
        <v>2343917</v>
      </c>
      <c r="AT272" s="1201">
        <v>2275989</v>
      </c>
      <c r="AU272" s="802"/>
      <c r="AV272" s="708" t="s">
        <v>503</v>
      </c>
      <c r="AW272" s="708" t="s">
        <v>503</v>
      </c>
      <c r="AX272" s="708" t="s">
        <v>503</v>
      </c>
      <c r="AY272" s="708" t="s">
        <v>503</v>
      </c>
      <c r="AZ272" s="1188" t="s">
        <v>503</v>
      </c>
      <c r="BA272" s="1201">
        <v>2140993</v>
      </c>
      <c r="BB272" s="1201">
        <v>2144668</v>
      </c>
      <c r="BC272" s="1201">
        <v>2125595</v>
      </c>
      <c r="BD272" s="960">
        <f>BE272-SUM(BA272:BC272)</f>
        <v>2015840</v>
      </c>
      <c r="BE272" s="1202">
        <v>8427096</v>
      </c>
      <c r="BF272" s="1201">
        <v>1572413</v>
      </c>
      <c r="BG272" s="1201">
        <v>1513651</v>
      </c>
      <c r="BH272" s="1201">
        <v>1339354</v>
      </c>
      <c r="BI272" s="1201">
        <v>1349983</v>
      </c>
      <c r="BJ272" s="1202">
        <v>5664357</v>
      </c>
      <c r="BK272" s="901">
        <v>1376156</v>
      </c>
      <c r="BL272" s="901">
        <v>1341793</v>
      </c>
      <c r="BM272" s="555">
        <v>1246170</v>
      </c>
      <c r="BN272" s="555">
        <v>1200682</v>
      </c>
      <c r="BO272" s="802">
        <v>5164801</v>
      </c>
      <c r="BP272" s="901">
        <v>1228199</v>
      </c>
      <c r="BQ272" s="901">
        <v>1083060</v>
      </c>
      <c r="BR272" s="555">
        <v>1050600</v>
      </c>
      <c r="BS272" s="555">
        <v>1051106</v>
      </c>
      <c r="BT272" s="802">
        <v>4280812</v>
      </c>
      <c r="BU272" s="901">
        <v>1069676</v>
      </c>
      <c r="BV272" s="901">
        <v>1049048</v>
      </c>
      <c r="BW272" s="555">
        <v>1004577</v>
      </c>
      <c r="BX272" s="555">
        <v>1002585</v>
      </c>
      <c r="BY272" s="802">
        <v>4042350</v>
      </c>
      <c r="BZ272" s="901">
        <v>1026545</v>
      </c>
      <c r="CA272" s="901">
        <v>972261</v>
      </c>
      <c r="CB272" s="555">
        <v>959222</v>
      </c>
      <c r="CC272" s="555">
        <v>946322</v>
      </c>
      <c r="CD272" s="802">
        <v>3828079</v>
      </c>
      <c r="CE272" s="901">
        <v>983865</v>
      </c>
      <c r="CF272" s="901">
        <v>996468</v>
      </c>
      <c r="CG272" s="555">
        <v>995968</v>
      </c>
      <c r="CH272" s="555">
        <v>971741</v>
      </c>
      <c r="CI272" s="802">
        <v>3934496</v>
      </c>
      <c r="CJ272" s="901">
        <v>952915</v>
      </c>
      <c r="CK272" s="901">
        <v>988706</v>
      </c>
      <c r="CL272" s="555">
        <v>976310</v>
      </c>
      <c r="CM272" s="555">
        <v>999827</v>
      </c>
      <c r="CN272" s="802">
        <v>3917758</v>
      </c>
      <c r="CO272" s="901">
        <v>990411</v>
      </c>
      <c r="CP272" s="901">
        <v>994204</v>
      </c>
      <c r="CQ272" s="555">
        <v>987318</v>
      </c>
      <c r="CR272" s="555">
        <v>982083</v>
      </c>
      <c r="CS272" s="802">
        <v>3954016</v>
      </c>
      <c r="CT272" s="901">
        <v>1031611</v>
      </c>
      <c r="CU272" s="901">
        <v>1046768</v>
      </c>
      <c r="CV272" s="555">
        <v>1035236</v>
      </c>
      <c r="CW272" s="555">
        <v>1053499</v>
      </c>
      <c r="CX272" s="802">
        <v>4167114</v>
      </c>
      <c r="CY272" s="901">
        <v>1054789</v>
      </c>
      <c r="CZ272" s="901">
        <v>1072712</v>
      </c>
      <c r="DA272" s="555">
        <v>1071421</v>
      </c>
      <c r="DB272" s="555">
        <v>1875684</v>
      </c>
      <c r="DC272" s="802">
        <v>5074606</v>
      </c>
      <c r="DD272" s="901">
        <v>1947687</v>
      </c>
      <c r="DE272" s="901">
        <v>2066051</v>
      </c>
      <c r="DF272" s="555">
        <v>2125002</v>
      </c>
      <c r="DG272" s="555">
        <v>2145138</v>
      </c>
      <c r="DH272" s="802">
        <v>8283878</v>
      </c>
      <c r="DI272" s="901">
        <v>2145344</v>
      </c>
      <c r="DJ272" s="901">
        <v>2063037</v>
      </c>
      <c r="DK272" s="555">
        <v>2076524</v>
      </c>
      <c r="DL272" s="555">
        <v>2198005</v>
      </c>
      <c r="DM272" s="1504" t="s">
        <v>604</v>
      </c>
      <c r="DN272" s="1281">
        <v>2146618</v>
      </c>
      <c r="DO272" s="1281">
        <v>2038287</v>
      </c>
      <c r="DP272" s="1282">
        <v>2009019</v>
      </c>
      <c r="DQ272" s="1282">
        <v>1950549</v>
      </c>
      <c r="DR272" s="1279">
        <v>8144473</v>
      </c>
      <c r="DS272" s="1281">
        <v>2039942</v>
      </c>
      <c r="DT272" s="1281">
        <v>1981848</v>
      </c>
      <c r="DU272" s="1281">
        <v>1867471</v>
      </c>
      <c r="DV272" s="1281">
        <v>1901864</v>
      </c>
      <c r="DW272" s="1004">
        <f>SUM(DS272:DV272)</f>
        <v>7791125</v>
      </c>
      <c r="DX272" s="555"/>
      <c r="DY272" s="555"/>
      <c r="DZ272" s="555"/>
      <c r="EA272" s="555"/>
      <c r="EB272" s="802"/>
      <c r="EC272" s="555"/>
      <c r="ED272" s="555"/>
      <c r="EE272" s="555"/>
      <c r="EF272" s="555"/>
      <c r="EG272" s="802"/>
      <c r="EH272" s="555"/>
      <c r="EI272" s="555"/>
      <c r="EJ272" s="555"/>
      <c r="EK272" s="555"/>
      <c r="EL272" s="802"/>
    </row>
    <row r="273" spans="1:142" hidden="1" outlineLevel="1">
      <c r="A273" s="1300"/>
      <c r="B273" s="1300" t="s">
        <v>209</v>
      </c>
      <c r="C273" s="1301"/>
      <c r="D273" s="1301" t="s">
        <v>503</v>
      </c>
      <c r="E273" s="1301" t="s">
        <v>503</v>
      </c>
      <c r="F273" s="1301" t="s">
        <v>503</v>
      </c>
      <c r="G273" s="1301" t="s">
        <v>503</v>
      </c>
      <c r="H273" s="1302" t="s">
        <v>503</v>
      </c>
      <c r="I273" s="1301" t="s">
        <v>503</v>
      </c>
      <c r="J273" s="1301" t="s">
        <v>503</v>
      </c>
      <c r="K273" s="1301" t="s">
        <v>503</v>
      </c>
      <c r="L273" s="1301" t="s">
        <v>503</v>
      </c>
      <c r="M273" s="1302" t="s">
        <v>503</v>
      </c>
      <c r="N273" s="1301" t="s">
        <v>503</v>
      </c>
      <c r="O273" s="1301" t="s">
        <v>503</v>
      </c>
      <c r="P273" s="1301" t="s">
        <v>503</v>
      </c>
      <c r="Q273" s="1301" t="s">
        <v>503</v>
      </c>
      <c r="R273" s="1302" t="s">
        <v>503</v>
      </c>
      <c r="S273" s="1301" t="s">
        <v>503</v>
      </c>
      <c r="T273" s="1301" t="s">
        <v>503</v>
      </c>
      <c r="U273" s="1301" t="s">
        <v>503</v>
      </c>
      <c r="V273" s="1301" t="s">
        <v>503</v>
      </c>
      <c r="W273" s="1302" t="s">
        <v>503</v>
      </c>
      <c r="X273" s="1301" t="s">
        <v>503</v>
      </c>
      <c r="Y273" s="1301" t="s">
        <v>503</v>
      </c>
      <c r="Z273" s="1301" t="s">
        <v>503</v>
      </c>
      <c r="AA273" s="1301" t="s">
        <v>503</v>
      </c>
      <c r="AB273" s="1302" t="s">
        <v>503</v>
      </c>
      <c r="AC273" s="1301" t="s">
        <v>503</v>
      </c>
      <c r="AD273" s="1301" t="s">
        <v>503</v>
      </c>
      <c r="AE273" s="1301" t="s">
        <v>503</v>
      </c>
      <c r="AF273" s="1301" t="s">
        <v>503</v>
      </c>
      <c r="AG273" s="1302" t="s">
        <v>503</v>
      </c>
      <c r="AH273" s="1301" t="s">
        <v>503</v>
      </c>
      <c r="AI273" s="1301" t="s">
        <v>503</v>
      </c>
      <c r="AJ273" s="1301" t="s">
        <v>503</v>
      </c>
      <c r="AK273" s="1301" t="s">
        <v>503</v>
      </c>
      <c r="AL273" s="1302" t="s">
        <v>503</v>
      </c>
      <c r="AM273" s="1301" t="s">
        <v>503</v>
      </c>
      <c r="AN273" s="1301" t="s">
        <v>503</v>
      </c>
      <c r="AO273" s="1301" t="s">
        <v>503</v>
      </c>
      <c r="AP273" s="1301" t="s">
        <v>503</v>
      </c>
      <c r="AQ273" s="1302" t="s">
        <v>503</v>
      </c>
      <c r="AR273" s="1301" t="s">
        <v>503</v>
      </c>
      <c r="AS273" s="1301" t="s">
        <v>503</v>
      </c>
      <c r="AT273" s="1301" t="s">
        <v>503</v>
      </c>
      <c r="AU273" s="1303"/>
      <c r="AV273" s="1301" t="s">
        <v>503</v>
      </c>
      <c r="AW273" s="1301" t="s">
        <v>503</v>
      </c>
      <c r="AX273" s="1301" t="s">
        <v>503</v>
      </c>
      <c r="AY273" s="1317" t="s">
        <v>503</v>
      </c>
      <c r="AZ273" s="1317" t="s">
        <v>503</v>
      </c>
      <c r="BA273" s="1301" t="s">
        <v>503</v>
      </c>
      <c r="BB273" s="1301" t="s">
        <v>503</v>
      </c>
      <c r="BC273" s="1301" t="s">
        <v>503</v>
      </c>
      <c r="BD273" s="1317" t="s">
        <v>503</v>
      </c>
      <c r="BE273" s="1317" t="s">
        <v>503</v>
      </c>
      <c r="BF273" s="1301" t="s">
        <v>503</v>
      </c>
      <c r="BG273" s="1301" t="s">
        <v>503</v>
      </c>
      <c r="BH273" s="1301" t="s">
        <v>503</v>
      </c>
      <c r="BI273" s="1317" t="s">
        <v>503</v>
      </c>
      <c r="BJ273" s="1317" t="s">
        <v>503</v>
      </c>
      <c r="BK273" s="321" t="s">
        <v>503</v>
      </c>
      <c r="BL273" s="321" t="s">
        <v>503</v>
      </c>
      <c r="BM273" s="321" t="s">
        <v>503</v>
      </c>
      <c r="BN273" s="1308" t="s">
        <v>503</v>
      </c>
      <c r="BO273" s="1309" t="s">
        <v>503</v>
      </c>
      <c r="BP273" s="321">
        <f>BP261-BP274</f>
        <v>-39496</v>
      </c>
      <c r="BQ273" s="321">
        <f>BQ261-BQ274</f>
        <v>-42505</v>
      </c>
      <c r="BR273" s="321">
        <f>BR261-BR274</f>
        <v>-45217</v>
      </c>
      <c r="BS273" s="1308">
        <f>BS261-BS274</f>
        <v>-39902</v>
      </c>
      <c r="BT273" s="1309">
        <f>SUM(BP273:BS273)</f>
        <v>-167120</v>
      </c>
      <c r="BU273" s="321">
        <f>BU261-BU274</f>
        <v>-43225</v>
      </c>
      <c r="BV273" s="321">
        <f>BV261-BV274</f>
        <v>-44960</v>
      </c>
      <c r="BW273" s="321">
        <f>BW261-BW274</f>
        <v>-43984</v>
      </c>
      <c r="BX273" s="1308">
        <f>BX261-BX274</f>
        <v>-37904</v>
      </c>
      <c r="BY273" s="1309">
        <f>SUM(BU273:BX273)</f>
        <v>-170073</v>
      </c>
      <c r="BZ273" s="321">
        <v>904045</v>
      </c>
      <c r="CA273" s="321">
        <v>854249</v>
      </c>
      <c r="CB273" s="321">
        <v>839920</v>
      </c>
      <c r="CC273" s="1308">
        <v>830633</v>
      </c>
      <c r="CD273" s="1309">
        <v>3355514</v>
      </c>
      <c r="CE273" s="321">
        <v>873084</v>
      </c>
      <c r="CF273" s="321">
        <v>881986</v>
      </c>
      <c r="CG273" s="321">
        <v>878765</v>
      </c>
      <c r="CH273" s="1308">
        <v>858579</v>
      </c>
      <c r="CI273" s="1309">
        <v>3480137</v>
      </c>
      <c r="CJ273" s="321">
        <v>856328</v>
      </c>
      <c r="CK273" s="321">
        <v>883922</v>
      </c>
      <c r="CL273" s="321">
        <v>871930</v>
      </c>
      <c r="CM273" s="1308">
        <v>900182</v>
      </c>
      <c r="CN273" s="1309">
        <v>3512362</v>
      </c>
      <c r="CO273" s="321">
        <v>909359</v>
      </c>
      <c r="CP273" s="321">
        <v>912890</v>
      </c>
      <c r="CQ273" s="321">
        <v>901695</v>
      </c>
      <c r="CR273" s="1308">
        <v>884421</v>
      </c>
      <c r="CS273" s="1309">
        <v>3554231</v>
      </c>
      <c r="CT273" s="321">
        <v>926474</v>
      </c>
      <c r="CU273" s="321">
        <v>937570</v>
      </c>
      <c r="CV273" s="321">
        <v>922700</v>
      </c>
      <c r="CW273" s="1308">
        <v>941658</v>
      </c>
      <c r="CX273" s="1309">
        <v>3728402</v>
      </c>
      <c r="CY273" s="321">
        <v>944549</v>
      </c>
      <c r="CZ273" s="321">
        <v>958379</v>
      </c>
      <c r="DA273" s="321">
        <v>956871</v>
      </c>
      <c r="DB273" s="1308">
        <v>974396</v>
      </c>
      <c r="DC273" s="1309">
        <v>974396</v>
      </c>
      <c r="DD273" s="321">
        <v>968817</v>
      </c>
      <c r="DE273" s="321">
        <v>1031920</v>
      </c>
      <c r="DF273" s="321">
        <v>1042636</v>
      </c>
      <c r="DG273" s="1308">
        <f>DG261-DG274</f>
        <v>-40146</v>
      </c>
      <c r="DH273" s="1309">
        <v>7610558</v>
      </c>
      <c r="DI273" s="321">
        <v>1985073</v>
      </c>
      <c r="DJ273" s="321">
        <v>1858225</v>
      </c>
      <c r="DK273" s="321">
        <v>1800725</v>
      </c>
      <c r="DL273" s="321">
        <v>1800725</v>
      </c>
      <c r="DM273" s="1309">
        <v>7213214</v>
      </c>
      <c r="DN273" s="1311">
        <v>2146618</v>
      </c>
      <c r="DO273" s="1310">
        <v>1896394</v>
      </c>
      <c r="DP273" s="1310">
        <v>1862046</v>
      </c>
      <c r="DQ273" s="1311">
        <v>1834844</v>
      </c>
      <c r="DR273" s="1318">
        <v>7577799</v>
      </c>
      <c r="DS273" s="1311">
        <v>1908212</v>
      </c>
      <c r="DT273" s="1310">
        <v>1849697</v>
      </c>
      <c r="DU273" s="1310">
        <v>1741815</v>
      </c>
      <c r="DV273" s="1311">
        <v>1777790</v>
      </c>
      <c r="DW273" s="1004">
        <f>SUM(DS273:DV273)</f>
        <v>7277514</v>
      </c>
      <c r="DX273" s="321"/>
      <c r="DY273" s="321"/>
      <c r="DZ273" s="321"/>
      <c r="EA273" s="321"/>
      <c r="EB273" s="1309"/>
      <c r="EC273" s="321"/>
      <c r="ED273" s="321"/>
      <c r="EE273" s="321"/>
      <c r="EF273" s="321"/>
      <c r="EG273" s="1309"/>
      <c r="EH273" s="321"/>
      <c r="EI273" s="321"/>
      <c r="EJ273" s="321"/>
      <c r="EK273" s="321"/>
      <c r="EL273" s="1309"/>
    </row>
    <row r="274" spans="1:142" hidden="1" outlineLevel="1">
      <c r="A274" s="1300"/>
      <c r="B274" s="1300" t="s">
        <v>210</v>
      </c>
      <c r="C274" s="1301"/>
      <c r="D274" s="1301" t="s">
        <v>503</v>
      </c>
      <c r="E274" s="1301" t="s">
        <v>503</v>
      </c>
      <c r="F274" s="1301" t="s">
        <v>503</v>
      </c>
      <c r="G274" s="1301" t="s">
        <v>503</v>
      </c>
      <c r="H274" s="1302" t="s">
        <v>503</v>
      </c>
      <c r="I274" s="1301" t="s">
        <v>503</v>
      </c>
      <c r="J274" s="1301" t="s">
        <v>503</v>
      </c>
      <c r="K274" s="1301" t="s">
        <v>503</v>
      </c>
      <c r="L274" s="1301" t="s">
        <v>503</v>
      </c>
      <c r="M274" s="1302" t="s">
        <v>503</v>
      </c>
      <c r="N274" s="1301" t="s">
        <v>503</v>
      </c>
      <c r="O274" s="1301" t="s">
        <v>503</v>
      </c>
      <c r="P274" s="1301" t="s">
        <v>503</v>
      </c>
      <c r="Q274" s="1301" t="s">
        <v>503</v>
      </c>
      <c r="R274" s="1302" t="s">
        <v>503</v>
      </c>
      <c r="S274" s="1301" t="s">
        <v>503</v>
      </c>
      <c r="T274" s="1301" t="s">
        <v>503</v>
      </c>
      <c r="U274" s="1301" t="s">
        <v>503</v>
      </c>
      <c r="V274" s="1301" t="s">
        <v>503</v>
      </c>
      <c r="W274" s="1302" t="s">
        <v>503</v>
      </c>
      <c r="X274" s="1301" t="s">
        <v>503</v>
      </c>
      <c r="Y274" s="1301" t="s">
        <v>503</v>
      </c>
      <c r="Z274" s="1301" t="s">
        <v>503</v>
      </c>
      <c r="AA274" s="1301" t="s">
        <v>503</v>
      </c>
      <c r="AB274" s="1302" t="s">
        <v>503</v>
      </c>
      <c r="AC274" s="1301" t="s">
        <v>503</v>
      </c>
      <c r="AD274" s="1301" t="s">
        <v>503</v>
      </c>
      <c r="AE274" s="1301" t="s">
        <v>503</v>
      </c>
      <c r="AF274" s="1301" t="s">
        <v>503</v>
      </c>
      <c r="AG274" s="1302" t="s">
        <v>503</v>
      </c>
      <c r="AH274" s="1301" t="s">
        <v>503</v>
      </c>
      <c r="AI274" s="1301" t="s">
        <v>503</v>
      </c>
      <c r="AJ274" s="1301" t="s">
        <v>503</v>
      </c>
      <c r="AK274" s="1301" t="s">
        <v>503</v>
      </c>
      <c r="AL274" s="1302" t="s">
        <v>503</v>
      </c>
      <c r="AM274" s="1301" t="s">
        <v>503</v>
      </c>
      <c r="AN274" s="1301" t="s">
        <v>503</v>
      </c>
      <c r="AO274" s="1301" t="s">
        <v>503</v>
      </c>
      <c r="AP274" s="1301" t="s">
        <v>503</v>
      </c>
      <c r="AQ274" s="1302" t="s">
        <v>503</v>
      </c>
      <c r="AR274" s="1301" t="s">
        <v>503</v>
      </c>
      <c r="AS274" s="1301" t="s">
        <v>503</v>
      </c>
      <c r="AT274" s="1301" t="s">
        <v>503</v>
      </c>
      <c r="AU274" s="1303"/>
      <c r="AV274" s="1301" t="s">
        <v>503</v>
      </c>
      <c r="AW274" s="1301" t="s">
        <v>503</v>
      </c>
      <c r="AX274" s="1301" t="s">
        <v>503</v>
      </c>
      <c r="AY274" s="1317" t="s">
        <v>503</v>
      </c>
      <c r="AZ274" s="1317" t="s">
        <v>503</v>
      </c>
      <c r="BA274" s="1301" t="s">
        <v>503</v>
      </c>
      <c r="BB274" s="1301" t="s">
        <v>503</v>
      </c>
      <c r="BC274" s="1301" t="s">
        <v>503</v>
      </c>
      <c r="BD274" s="1317" t="s">
        <v>503</v>
      </c>
      <c r="BE274" s="1317" t="s">
        <v>503</v>
      </c>
      <c r="BF274" s="1301" t="s">
        <v>503</v>
      </c>
      <c r="BG274" s="1301" t="s">
        <v>503</v>
      </c>
      <c r="BH274" s="1301" t="s">
        <v>503</v>
      </c>
      <c r="BI274" s="1317" t="s">
        <v>503</v>
      </c>
      <c r="BJ274" s="1317" t="s">
        <v>503</v>
      </c>
      <c r="BK274" s="321" t="s">
        <v>503</v>
      </c>
      <c r="BL274" s="321" t="s">
        <v>503</v>
      </c>
      <c r="BM274" s="321">
        <f>127470+6018</f>
        <v>133488</v>
      </c>
      <c r="BN274" s="1308">
        <f>124151+5171</f>
        <v>129322</v>
      </c>
      <c r="BO274" s="1309" t="s">
        <v>503</v>
      </c>
      <c r="BP274" s="321">
        <f>125338+5366</f>
        <v>130704</v>
      </c>
      <c r="BQ274" s="321">
        <f>113164+4920</f>
        <v>118084</v>
      </c>
      <c r="BR274" s="321">
        <f>114309+4782</f>
        <v>119091</v>
      </c>
      <c r="BS274" s="1308">
        <f>110824+5683</f>
        <v>116507</v>
      </c>
      <c r="BT274" s="1309">
        <f>SUM(BP274:BS274)</f>
        <v>484386</v>
      </c>
      <c r="BU274" s="321">
        <f>118516+6082</f>
        <v>124598</v>
      </c>
      <c r="BV274" s="321">
        <f>113519+7121</f>
        <v>120640</v>
      </c>
      <c r="BW274" s="321">
        <f>108077+7552</f>
        <v>115629</v>
      </c>
      <c r="BX274" s="1308">
        <f>107542+5240</f>
        <v>112782</v>
      </c>
      <c r="BY274" s="1309">
        <f>SUM(BU274:BX274)</f>
        <v>473649</v>
      </c>
      <c r="BZ274" s="321">
        <f>106885+5801</f>
        <v>112686</v>
      </c>
      <c r="CA274" s="321">
        <f>100733+4857</f>
        <v>105590</v>
      </c>
      <c r="CB274" s="321">
        <f>98157+5333</f>
        <v>103490</v>
      </c>
      <c r="CC274" s="1308">
        <f>93063+6054</f>
        <v>99117</v>
      </c>
      <c r="CD274" s="1309">
        <f>395991+21954</f>
        <v>417945</v>
      </c>
      <c r="CE274" s="321">
        <f>7605+91358</f>
        <v>98963</v>
      </c>
      <c r="CF274" s="321">
        <v>101109</v>
      </c>
      <c r="CG274" s="321">
        <v>104324</v>
      </c>
      <c r="CH274" s="1308">
        <v>97289</v>
      </c>
      <c r="CI274" s="1309">
        <v>400416</v>
      </c>
      <c r="CJ274" s="321">
        <v>96587</v>
      </c>
      <c r="CK274" s="321">
        <v>104784</v>
      </c>
      <c r="CL274" s="321">
        <v>104380</v>
      </c>
      <c r="CM274" s="1308">
        <v>99645</v>
      </c>
      <c r="CN274" s="1309">
        <v>405396</v>
      </c>
      <c r="CO274" s="321">
        <v>101489</v>
      </c>
      <c r="CP274" s="321">
        <v>102940</v>
      </c>
      <c r="CQ274" s="321">
        <v>108241</v>
      </c>
      <c r="CR274" s="1308">
        <v>97662</v>
      </c>
      <c r="CS274" s="1309">
        <v>399785</v>
      </c>
      <c r="CT274" s="321">
        <v>105137</v>
      </c>
      <c r="CU274" s="321">
        <v>109198</v>
      </c>
      <c r="CV274" s="321">
        <v>112536</v>
      </c>
      <c r="CW274" s="1308">
        <v>111841</v>
      </c>
      <c r="CX274" s="1309">
        <v>438712</v>
      </c>
      <c r="CY274" s="321">
        <v>110240</v>
      </c>
      <c r="CZ274" s="321">
        <v>114333</v>
      </c>
      <c r="DA274" s="321">
        <v>114550</v>
      </c>
      <c r="DB274" s="1308">
        <v>113798</v>
      </c>
      <c r="DC274" s="1309">
        <v>113798</v>
      </c>
      <c r="DD274" s="321">
        <v>111857</v>
      </c>
      <c r="DE274" s="321">
        <v>108675</v>
      </c>
      <c r="DF274" s="321">
        <v>113216</v>
      </c>
      <c r="DG274" s="1308">
        <v>164746</v>
      </c>
      <c r="DH274" s="1309">
        <v>673320</v>
      </c>
      <c r="DI274" s="321">
        <v>160271</v>
      </c>
      <c r="DJ274" s="321">
        <v>155701</v>
      </c>
      <c r="DK274" s="321">
        <v>162441</v>
      </c>
      <c r="DL274" s="1308">
        <v>153357</v>
      </c>
      <c r="DM274" s="1309">
        <v>618571</v>
      </c>
      <c r="DN274" s="1311">
        <v>162103</v>
      </c>
      <c r="DO274" s="1310">
        <v>141893</v>
      </c>
      <c r="DP274" s="1310">
        <v>146973</v>
      </c>
      <c r="DQ274" s="1311">
        <v>115705</v>
      </c>
      <c r="DR274" s="1318">
        <v>566674</v>
      </c>
      <c r="DS274" s="1311">
        <v>131730</v>
      </c>
      <c r="DT274" s="1310">
        <v>132151</v>
      </c>
      <c r="DU274" s="1310">
        <v>125656</v>
      </c>
      <c r="DV274" s="1311">
        <v>124074</v>
      </c>
      <c r="DW274" s="1004">
        <f>SUM(DS274:DV274)</f>
        <v>513611</v>
      </c>
      <c r="DX274" s="321"/>
      <c r="DY274" s="321"/>
      <c r="DZ274" s="321"/>
      <c r="EA274" s="321"/>
      <c r="EB274" s="1309"/>
      <c r="EC274" s="321"/>
      <c r="ED274" s="321"/>
      <c r="EE274" s="321"/>
      <c r="EF274" s="321"/>
      <c r="EG274" s="1309"/>
      <c r="EH274" s="321"/>
      <c r="EI274" s="321"/>
      <c r="EJ274" s="321"/>
      <c r="EK274" s="321"/>
      <c r="EL274" s="1309"/>
    </row>
    <row r="275" spans="1:142" hidden="1" outlineLevel="1">
      <c r="A275" s="1300"/>
      <c r="B275" s="1300" t="s">
        <v>211</v>
      </c>
      <c r="C275" s="1301"/>
      <c r="D275" s="1301" t="s">
        <v>503</v>
      </c>
      <c r="E275" s="1301" t="s">
        <v>503</v>
      </c>
      <c r="F275" s="1301" t="s">
        <v>503</v>
      </c>
      <c r="G275" s="1301" t="s">
        <v>503</v>
      </c>
      <c r="H275" s="1302" t="s">
        <v>503</v>
      </c>
      <c r="I275" s="1301" t="s">
        <v>503</v>
      </c>
      <c r="J275" s="1301" t="s">
        <v>503</v>
      </c>
      <c r="K275" s="1301" t="s">
        <v>503</v>
      </c>
      <c r="L275" s="1301" t="s">
        <v>503</v>
      </c>
      <c r="M275" s="1302" t="s">
        <v>503</v>
      </c>
      <c r="N275" s="1301" t="s">
        <v>503</v>
      </c>
      <c r="O275" s="1301" t="s">
        <v>503</v>
      </c>
      <c r="P275" s="1301" t="s">
        <v>503</v>
      </c>
      <c r="Q275" s="1301" t="s">
        <v>503</v>
      </c>
      <c r="R275" s="1302" t="s">
        <v>503</v>
      </c>
      <c r="S275" s="1301" t="s">
        <v>503</v>
      </c>
      <c r="T275" s="1301" t="s">
        <v>503</v>
      </c>
      <c r="U275" s="1301" t="s">
        <v>503</v>
      </c>
      <c r="V275" s="1301" t="s">
        <v>503</v>
      </c>
      <c r="W275" s="1302" t="s">
        <v>503</v>
      </c>
      <c r="X275" s="1301" t="s">
        <v>503</v>
      </c>
      <c r="Y275" s="1301" t="s">
        <v>503</v>
      </c>
      <c r="Z275" s="1301" t="s">
        <v>503</v>
      </c>
      <c r="AA275" s="1301" t="s">
        <v>503</v>
      </c>
      <c r="AB275" s="1302" t="s">
        <v>503</v>
      </c>
      <c r="AC275" s="1301" t="s">
        <v>503</v>
      </c>
      <c r="AD275" s="1301" t="s">
        <v>503</v>
      </c>
      <c r="AE275" s="1301" t="s">
        <v>503</v>
      </c>
      <c r="AF275" s="1301" t="s">
        <v>503</v>
      </c>
      <c r="AG275" s="1302" t="s">
        <v>503</v>
      </c>
      <c r="AH275" s="1301" t="s">
        <v>503</v>
      </c>
      <c r="AI275" s="1301" t="s">
        <v>503</v>
      </c>
      <c r="AJ275" s="1301" t="s">
        <v>503</v>
      </c>
      <c r="AK275" s="1301" t="s">
        <v>503</v>
      </c>
      <c r="AL275" s="1302" t="s">
        <v>503</v>
      </c>
      <c r="AM275" s="1301" t="s">
        <v>503</v>
      </c>
      <c r="AN275" s="1301" t="s">
        <v>503</v>
      </c>
      <c r="AO275" s="1301" t="s">
        <v>503</v>
      </c>
      <c r="AP275" s="1301" t="s">
        <v>503</v>
      </c>
      <c r="AQ275" s="1302" t="s">
        <v>503</v>
      </c>
      <c r="AR275" s="1301" t="s">
        <v>503</v>
      </c>
      <c r="AS275" s="1301" t="s">
        <v>503</v>
      </c>
      <c r="AT275" s="1301" t="s">
        <v>503</v>
      </c>
      <c r="AU275" s="1303"/>
      <c r="AV275" s="1301" t="s">
        <v>503</v>
      </c>
      <c r="AW275" s="1301" t="s">
        <v>503</v>
      </c>
      <c r="AX275" s="1301" t="s">
        <v>503</v>
      </c>
      <c r="AY275" s="1317" t="s">
        <v>503</v>
      </c>
      <c r="AZ275" s="1317" t="s">
        <v>503</v>
      </c>
      <c r="BA275" s="1301" t="s">
        <v>503</v>
      </c>
      <c r="BB275" s="1301" t="s">
        <v>503</v>
      </c>
      <c r="BC275" s="1301" t="s">
        <v>503</v>
      </c>
      <c r="BD275" s="1317" t="s">
        <v>503</v>
      </c>
      <c r="BE275" s="1317" t="s">
        <v>503</v>
      </c>
      <c r="BF275" s="1301" t="s">
        <v>503</v>
      </c>
      <c r="BG275" s="1301" t="s">
        <v>503</v>
      </c>
      <c r="BH275" s="1301" t="s">
        <v>503</v>
      </c>
      <c r="BI275" s="1317" t="s">
        <v>503</v>
      </c>
      <c r="BJ275" s="1317" t="s">
        <v>503</v>
      </c>
      <c r="BK275" s="321" t="s">
        <v>503</v>
      </c>
      <c r="BL275" s="321" t="s">
        <v>503</v>
      </c>
      <c r="BM275" s="321" t="s">
        <v>503</v>
      </c>
      <c r="BN275" s="1308" t="s">
        <v>503</v>
      </c>
      <c r="BO275" s="1309" t="s">
        <v>503</v>
      </c>
      <c r="BP275" s="321" t="s">
        <v>503</v>
      </c>
      <c r="BQ275" s="321" t="s">
        <v>503</v>
      </c>
      <c r="BR275" s="321" t="s">
        <v>503</v>
      </c>
      <c r="BS275" s="1308" t="s">
        <v>503</v>
      </c>
      <c r="BT275" s="1309" t="s">
        <v>503</v>
      </c>
      <c r="BU275" s="321" t="s">
        <v>503</v>
      </c>
      <c r="BV275" s="321" t="s">
        <v>503</v>
      </c>
      <c r="BW275" s="321" t="s">
        <v>503</v>
      </c>
      <c r="BX275" s="1308" t="s">
        <v>503</v>
      </c>
      <c r="BY275" s="1309" t="s">
        <v>503</v>
      </c>
      <c r="BZ275" s="321" t="s">
        <v>503</v>
      </c>
      <c r="CA275" s="321" t="s">
        <v>503</v>
      </c>
      <c r="CB275" s="321" t="s">
        <v>503</v>
      </c>
      <c r="CC275" s="1308" t="s">
        <v>503</v>
      </c>
      <c r="CD275" s="1309" t="s">
        <v>503</v>
      </c>
      <c r="CE275" s="321">
        <f>1410081-SUM(CF275:CH275)</f>
        <v>343803</v>
      </c>
      <c r="CF275" s="321">
        <v>356125</v>
      </c>
      <c r="CG275" s="321">
        <v>357122</v>
      </c>
      <c r="CH275" s="1308">
        <v>353031</v>
      </c>
      <c r="CI275" s="1309">
        <v>1410081</v>
      </c>
      <c r="CJ275" s="321">
        <v>350320</v>
      </c>
      <c r="CK275" s="321">
        <v>362110</v>
      </c>
      <c r="CL275" s="321">
        <v>359658</v>
      </c>
      <c r="CM275" s="1308">
        <v>359168</v>
      </c>
      <c r="CN275" s="1309">
        <v>1431256</v>
      </c>
      <c r="CO275" s="321">
        <v>371658</v>
      </c>
      <c r="CP275" s="321">
        <v>371389</v>
      </c>
      <c r="CQ275" s="321">
        <v>373295</v>
      </c>
      <c r="CR275" s="1308">
        <v>363230</v>
      </c>
      <c r="CS275" s="1309">
        <v>1457250</v>
      </c>
      <c r="CT275" s="321">
        <v>386398</v>
      </c>
      <c r="CU275" s="321">
        <v>384221</v>
      </c>
      <c r="CV275" s="321">
        <v>384772</v>
      </c>
      <c r="CW275" s="1308">
        <v>399711</v>
      </c>
      <c r="CX275" s="1309">
        <v>1555102</v>
      </c>
      <c r="CY275" s="321">
        <v>402078</v>
      </c>
      <c r="CZ275" s="321">
        <v>399702</v>
      </c>
      <c r="DA275" s="321">
        <v>400345</v>
      </c>
      <c r="DB275" s="1308">
        <v>404950</v>
      </c>
      <c r="DC275" s="1309">
        <v>404950</v>
      </c>
      <c r="DD275" s="321">
        <v>414193</v>
      </c>
      <c r="DE275" s="321">
        <v>432858</v>
      </c>
      <c r="DF275" s="321">
        <v>433174</v>
      </c>
      <c r="DG275" s="1308">
        <v>835951</v>
      </c>
      <c r="DH275" s="1309">
        <v>2824526</v>
      </c>
      <c r="DI275" s="321">
        <v>741533</v>
      </c>
      <c r="DJ275" s="321">
        <v>715897</v>
      </c>
      <c r="DK275" s="321">
        <v>702248</v>
      </c>
      <c r="DL275" s="1308">
        <v>700837</v>
      </c>
      <c r="DM275" s="1309">
        <v>2816943</v>
      </c>
      <c r="DN275" s="1311">
        <v>789916</v>
      </c>
      <c r="DO275" s="1310">
        <v>715692</v>
      </c>
      <c r="DP275" s="1310">
        <v>707713</v>
      </c>
      <c r="DQ275" s="1311">
        <v>701100</v>
      </c>
      <c r="DR275" s="1318">
        <v>2914421</v>
      </c>
      <c r="DS275" s="1311">
        <v>733051</v>
      </c>
      <c r="DT275" s="1310">
        <v>724785</v>
      </c>
      <c r="DU275" s="1310">
        <v>685096</v>
      </c>
      <c r="DV275" s="1311">
        <v>711268</v>
      </c>
      <c r="DW275" s="1004">
        <f>SUM(DS275:DV275)</f>
        <v>2854200</v>
      </c>
      <c r="DX275" s="321"/>
      <c r="DY275" s="321"/>
      <c r="DZ275" s="321"/>
      <c r="EA275" s="321"/>
      <c r="EB275" s="1309"/>
      <c r="EC275" s="321"/>
      <c r="ED275" s="321"/>
      <c r="EE275" s="321"/>
      <c r="EF275" s="321"/>
      <c r="EG275" s="1309"/>
      <c r="EH275" s="321"/>
      <c r="EI275" s="321"/>
      <c r="EJ275" s="321"/>
      <c r="EK275" s="321"/>
      <c r="EL275" s="1309"/>
    </row>
    <row r="276" spans="1:142" hidden="1" outlineLevel="1">
      <c r="B276" s="973" t="s">
        <v>138</v>
      </c>
      <c r="DM276" s="1505"/>
      <c r="DR276" s="1505"/>
      <c r="DW276" s="1505"/>
    </row>
    <row r="277" spans="1:142" hidden="1" outlineLevel="1">
      <c r="A277" s="557"/>
      <c r="B277" s="557" t="s">
        <v>190</v>
      </c>
      <c r="C277" s="1201"/>
      <c r="D277" s="1201">
        <v>373.37799999999999</v>
      </c>
      <c r="E277" s="1201">
        <v>366.77499999999998</v>
      </c>
      <c r="F277" s="1201">
        <v>385.7</v>
      </c>
      <c r="G277" s="960">
        <f>H277-SUM(D277:F277)</f>
        <v>812.04700000000003</v>
      </c>
      <c r="H277" s="1202">
        <v>1937.9</v>
      </c>
      <c r="I277" s="1201">
        <v>787.3</v>
      </c>
      <c r="J277" s="1201">
        <v>839.4</v>
      </c>
      <c r="K277" s="1201">
        <v>906.7</v>
      </c>
      <c r="L277" s="960">
        <f>M277-SUM(I277:K277)</f>
        <v>906.60000000000036</v>
      </c>
      <c r="M277" s="1202">
        <v>3440</v>
      </c>
      <c r="N277" s="1201">
        <v>858.2</v>
      </c>
      <c r="O277" s="1201">
        <v>884.5</v>
      </c>
      <c r="P277" s="1201">
        <v>1377</v>
      </c>
      <c r="Q277" s="960">
        <f>R277-SUM(N277:P277)</f>
        <v>2107.3000000000002</v>
      </c>
      <c r="R277" s="1202">
        <v>5227</v>
      </c>
      <c r="S277" s="1201">
        <v>1341</v>
      </c>
      <c r="T277" s="1201">
        <v>1390</v>
      </c>
      <c r="U277" s="1201">
        <v>1564</v>
      </c>
      <c r="V277" s="960">
        <f>W277-SUM(S277:U277)</f>
        <v>1548</v>
      </c>
      <c r="W277" s="1202">
        <v>5843</v>
      </c>
      <c r="X277" s="1201">
        <v>1474</v>
      </c>
      <c r="Y277" s="1201">
        <v>1538</v>
      </c>
      <c r="Z277" s="1201">
        <v>1725</v>
      </c>
      <c r="AA277" s="960">
        <f>AB277-SUM(X277:Z277)</f>
        <v>1779</v>
      </c>
      <c r="AB277" s="1202">
        <v>6516</v>
      </c>
      <c r="AC277" s="1201">
        <v>1703</v>
      </c>
      <c r="AD277" s="1201">
        <v>1700</v>
      </c>
      <c r="AE277" s="1201">
        <v>1831</v>
      </c>
      <c r="AF277" s="960">
        <f>AG277-SUM(AC277:AE277)</f>
        <v>1795</v>
      </c>
      <c r="AG277" s="1202">
        <v>7029</v>
      </c>
      <c r="AH277" s="1201">
        <v>1777</v>
      </c>
      <c r="AI277" s="1201">
        <v>1842</v>
      </c>
      <c r="AJ277" s="1201">
        <v>1987</v>
      </c>
      <c r="AK277" s="960">
        <f>AL277-SUM(AH277:AJ277)</f>
        <v>2071</v>
      </c>
      <c r="AL277" s="1202">
        <v>7677</v>
      </c>
      <c r="AM277" s="1201">
        <v>2121</v>
      </c>
      <c r="AN277" s="1201">
        <v>2210</v>
      </c>
      <c r="AO277" s="1201">
        <v>2335</v>
      </c>
      <c r="AP277" s="960">
        <f>AQ277-SUM(AM277:AO277)</f>
        <v>2474</v>
      </c>
      <c r="AQ277" s="1202">
        <v>9140</v>
      </c>
      <c r="AR277" s="1201">
        <v>2424</v>
      </c>
      <c r="AS277" s="1201">
        <v>2470</v>
      </c>
      <c r="AT277" s="1201">
        <v>2390</v>
      </c>
      <c r="AU277" s="802"/>
      <c r="AV277" s="708" t="s">
        <v>503</v>
      </c>
      <c r="AW277" s="708" t="s">
        <v>503</v>
      </c>
      <c r="AX277" s="708" t="s">
        <v>503</v>
      </c>
      <c r="AY277" s="708" t="s">
        <v>503</v>
      </c>
      <c r="AZ277" s="1188" t="s">
        <v>503</v>
      </c>
      <c r="BA277" s="1201">
        <v>2266</v>
      </c>
      <c r="BB277" s="1201">
        <v>2181</v>
      </c>
      <c r="BC277" s="1201">
        <v>2139</v>
      </c>
      <c r="BD277" s="960">
        <f>BE277-SUM(BA277:BC277)</f>
        <v>1985</v>
      </c>
      <c r="BE277" s="1202">
        <v>8571</v>
      </c>
      <c r="BF277" s="1201">
        <v>1765</v>
      </c>
      <c r="BG277" s="1201">
        <v>1690</v>
      </c>
      <c r="BH277" s="1201">
        <v>1597</v>
      </c>
      <c r="BI277" s="1201">
        <v>1605</v>
      </c>
      <c r="BJ277" s="1202">
        <v>6546</v>
      </c>
      <c r="BK277" s="959">
        <v>1701</v>
      </c>
      <c r="BL277" s="901">
        <v>1598</v>
      </c>
      <c r="BM277" s="959">
        <v>1603</v>
      </c>
      <c r="BN277" s="959">
        <v>1590</v>
      </c>
      <c r="BO277" s="802">
        <v>6492</v>
      </c>
      <c r="BP277" s="959">
        <v>1677</v>
      </c>
      <c r="BQ277" s="901">
        <v>1480</v>
      </c>
      <c r="BR277" s="959">
        <v>1418</v>
      </c>
      <c r="BS277" s="959">
        <v>1494</v>
      </c>
      <c r="BT277" s="802">
        <v>5928</v>
      </c>
      <c r="BU277" s="959">
        <v>1540</v>
      </c>
      <c r="BV277" s="901">
        <v>1491</v>
      </c>
      <c r="BW277" s="959">
        <v>1484</v>
      </c>
      <c r="BX277" s="959">
        <v>1517</v>
      </c>
      <c r="BY277" s="802">
        <v>5967</v>
      </c>
      <c r="BZ277" s="959">
        <v>1614</v>
      </c>
      <c r="CA277" s="901">
        <v>1439</v>
      </c>
      <c r="CB277" s="959">
        <v>1414</v>
      </c>
      <c r="CC277" s="959">
        <v>1452</v>
      </c>
      <c r="CD277" s="802">
        <v>5749</v>
      </c>
      <c r="CE277" s="959">
        <v>1524</v>
      </c>
      <c r="CF277" s="901">
        <v>1441</v>
      </c>
      <c r="CG277" s="959">
        <v>1466</v>
      </c>
      <c r="CH277" s="959">
        <v>1481</v>
      </c>
      <c r="CI277" s="802">
        <v>5902</v>
      </c>
      <c r="CJ277" s="959">
        <v>1544</v>
      </c>
      <c r="CK277" s="901">
        <v>1478</v>
      </c>
      <c r="CL277" s="959">
        <v>1430</v>
      </c>
      <c r="CM277" s="959">
        <v>1477</v>
      </c>
      <c r="CN277" s="802">
        <v>5929</v>
      </c>
      <c r="CO277" s="959">
        <v>1619</v>
      </c>
      <c r="CP277" s="901">
        <v>1466</v>
      </c>
      <c r="CQ277" s="959">
        <v>1444</v>
      </c>
      <c r="CR277" s="959">
        <v>1499</v>
      </c>
      <c r="CS277" s="802">
        <v>6028</v>
      </c>
      <c r="CT277" s="959">
        <v>1607</v>
      </c>
      <c r="CU277" s="901">
        <v>1548</v>
      </c>
      <c r="CV277" s="959">
        <v>1501</v>
      </c>
      <c r="CW277" s="959">
        <v>1544</v>
      </c>
      <c r="CX277" s="802">
        <v>6200</v>
      </c>
      <c r="CY277" s="959">
        <v>1536</v>
      </c>
      <c r="CZ277" s="901">
        <v>1542</v>
      </c>
      <c r="DA277" s="959">
        <v>1502</v>
      </c>
      <c r="DB277" s="959">
        <v>2372</v>
      </c>
      <c r="DC277" s="802">
        <v>6952</v>
      </c>
      <c r="DD277" s="959">
        <v>2440</v>
      </c>
      <c r="DE277" s="901">
        <v>2393</v>
      </c>
      <c r="DF277" s="959">
        <v>2463</v>
      </c>
      <c r="DG277" s="959">
        <v>2719</v>
      </c>
      <c r="DH277" s="802">
        <v>10015</v>
      </c>
      <c r="DI277" s="959">
        <v>2691</v>
      </c>
      <c r="DJ277" s="901">
        <v>2623</v>
      </c>
      <c r="DK277" s="959">
        <v>2603</v>
      </c>
      <c r="DL277" s="959">
        <v>2736</v>
      </c>
      <c r="DM277" s="1279">
        <v>10652</v>
      </c>
      <c r="DN277" s="1280">
        <v>2781</v>
      </c>
      <c r="DO277" s="1281">
        <v>2588</v>
      </c>
      <c r="DP277" s="1280">
        <v>2644</v>
      </c>
      <c r="DQ277" s="1280">
        <v>2606</v>
      </c>
      <c r="DR277" s="1279">
        <v>10619</v>
      </c>
      <c r="DS277" s="1280">
        <v>2609</v>
      </c>
      <c r="DT277" s="1281">
        <v>2555</v>
      </c>
      <c r="DU277" s="1281">
        <v>2434</v>
      </c>
      <c r="DV277" s="1280">
        <v>2721</v>
      </c>
      <c r="DW277" s="1004">
        <f>SUM(DS277:DV277)</f>
        <v>10319</v>
      </c>
      <c r="DX277" s="555"/>
      <c r="DY277" s="555"/>
      <c r="DZ277" s="555"/>
      <c r="EA277" s="555"/>
      <c r="EB277" s="802"/>
      <c r="EC277" s="555"/>
      <c r="ED277" s="555"/>
      <c r="EE277" s="555"/>
      <c r="EF277" s="555"/>
      <c r="EG277" s="802"/>
      <c r="EH277" s="555"/>
      <c r="EI277" s="555"/>
      <c r="EJ277" s="555"/>
      <c r="EK277" s="555"/>
      <c r="EL277" s="802"/>
    </row>
    <row r="278" spans="1:142" hidden="1" outlineLevel="1">
      <c r="A278" s="557"/>
      <c r="B278" s="557" t="s">
        <v>191</v>
      </c>
      <c r="C278" s="1201"/>
      <c r="D278" s="1201">
        <v>144.14400000000001</v>
      </c>
      <c r="E278" s="1201">
        <v>138.39599999999999</v>
      </c>
      <c r="F278" s="1201">
        <v>144.19999999999999</v>
      </c>
      <c r="G278" s="960">
        <f>H278-SUM(D278:F278)</f>
        <v>359.56</v>
      </c>
      <c r="H278" s="1202">
        <v>786.3</v>
      </c>
      <c r="I278" s="1201">
        <v>365.3</v>
      </c>
      <c r="J278" s="1201">
        <v>390</v>
      </c>
      <c r="K278" s="1201">
        <v>402.6</v>
      </c>
      <c r="L278" s="960">
        <f>M278-SUM(I278:K278)</f>
        <v>414.09999999999991</v>
      </c>
      <c r="M278" s="1202">
        <v>1572</v>
      </c>
      <c r="N278" s="1201">
        <v>410.5</v>
      </c>
      <c r="O278" s="1201">
        <v>425.7</v>
      </c>
      <c r="P278" s="1201">
        <v>639.79999999999995</v>
      </c>
      <c r="Q278" s="960">
        <f>R278-SUM(N278:P278)</f>
        <v>1039</v>
      </c>
      <c r="R278" s="1202">
        <v>2515</v>
      </c>
      <c r="S278" s="1201">
        <v>735</v>
      </c>
      <c r="T278" s="1201">
        <v>759</v>
      </c>
      <c r="U278" s="1201">
        <v>724</v>
      </c>
      <c r="V278" s="960">
        <f>W278-SUM(S278:U278)</f>
        <v>760</v>
      </c>
      <c r="W278" s="1202">
        <v>2978</v>
      </c>
      <c r="X278" s="1201">
        <v>786</v>
      </c>
      <c r="Y278" s="1201">
        <v>755</v>
      </c>
      <c r="Z278" s="1201">
        <v>807</v>
      </c>
      <c r="AA278" s="960">
        <f>AB278-SUM(X278:Z278)</f>
        <v>837</v>
      </c>
      <c r="AB278" s="1202">
        <v>3185</v>
      </c>
      <c r="AC278" s="1201">
        <v>902</v>
      </c>
      <c r="AD278" s="1201">
        <v>823</v>
      </c>
      <c r="AE278" s="1201">
        <v>795</v>
      </c>
      <c r="AF278" s="960">
        <f>AG278-SUM(AC278:AE278)</f>
        <v>874</v>
      </c>
      <c r="AG278" s="1202">
        <v>3394</v>
      </c>
      <c r="AH278" s="1201">
        <v>912</v>
      </c>
      <c r="AI278" s="1201">
        <v>879</v>
      </c>
      <c r="AJ278" s="1201">
        <v>864</v>
      </c>
      <c r="AK278" s="960">
        <f>AL278-SUM(AH278:AJ278)</f>
        <v>948</v>
      </c>
      <c r="AL278" s="1202">
        <v>3603</v>
      </c>
      <c r="AM278" s="1201">
        <v>997</v>
      </c>
      <c r="AN278" s="1201">
        <v>1014</v>
      </c>
      <c r="AO278" s="1201">
        <v>982</v>
      </c>
      <c r="AP278" s="960">
        <f>AQ278-SUM(AM278:AO278)</f>
        <v>1115</v>
      </c>
      <c r="AQ278" s="1202">
        <v>4108</v>
      </c>
      <c r="AR278" s="1201">
        <v>1122</v>
      </c>
      <c r="AS278" s="1201">
        <v>1138</v>
      </c>
      <c r="AT278" s="1201">
        <v>1103</v>
      </c>
      <c r="AU278" s="802"/>
      <c r="AV278" s="708" t="s">
        <v>503</v>
      </c>
      <c r="AW278" s="708" t="s">
        <v>503</v>
      </c>
      <c r="AX278" s="708" t="s">
        <v>503</v>
      </c>
      <c r="AY278" s="708" t="s">
        <v>503</v>
      </c>
      <c r="AZ278" s="1188" t="s">
        <v>503</v>
      </c>
      <c r="BA278" s="1201">
        <v>1012</v>
      </c>
      <c r="BB278" s="1201">
        <v>1014</v>
      </c>
      <c r="BC278" s="1201">
        <v>1006</v>
      </c>
      <c r="BD278" s="960">
        <f>BE278-SUM(BA278:BC278)</f>
        <v>929</v>
      </c>
      <c r="BE278" s="1202">
        <v>3961</v>
      </c>
      <c r="BF278" s="1201">
        <v>808</v>
      </c>
      <c r="BG278" s="1201">
        <v>781</v>
      </c>
      <c r="BH278" s="1201">
        <v>751</v>
      </c>
      <c r="BI278" s="1201">
        <v>714</v>
      </c>
      <c r="BJ278" s="1202">
        <v>2999</v>
      </c>
      <c r="BK278" s="959">
        <v>709</v>
      </c>
      <c r="BL278" s="901">
        <v>727</v>
      </c>
      <c r="BM278" s="959">
        <v>708</v>
      </c>
      <c r="BN278" s="959">
        <v>641</v>
      </c>
      <c r="BO278" s="802">
        <v>2785</v>
      </c>
      <c r="BP278" s="959">
        <v>664</v>
      </c>
      <c r="BQ278" s="901">
        <v>632</v>
      </c>
      <c r="BR278" s="959">
        <v>623</v>
      </c>
      <c r="BS278" s="959">
        <v>622</v>
      </c>
      <c r="BT278" s="802">
        <v>2483</v>
      </c>
      <c r="BU278" s="959">
        <v>657</v>
      </c>
      <c r="BV278" s="901">
        <v>667</v>
      </c>
      <c r="BW278" s="959">
        <v>654</v>
      </c>
      <c r="BX278" s="959">
        <v>660</v>
      </c>
      <c r="BY278" s="802">
        <v>2590</v>
      </c>
      <c r="BZ278" s="959">
        <v>683</v>
      </c>
      <c r="CA278" s="901">
        <v>670</v>
      </c>
      <c r="CB278" s="959">
        <v>664</v>
      </c>
      <c r="CC278" s="959">
        <v>654</v>
      </c>
      <c r="CD278" s="802">
        <v>2599</v>
      </c>
      <c r="CE278" s="959">
        <v>674</v>
      </c>
      <c r="CF278" s="901">
        <v>702</v>
      </c>
      <c r="CG278" s="959">
        <v>709</v>
      </c>
      <c r="CH278" s="959">
        <v>691</v>
      </c>
      <c r="CI278" s="802">
        <v>2770</v>
      </c>
      <c r="CJ278" s="959">
        <v>706</v>
      </c>
      <c r="CK278" s="901">
        <v>733</v>
      </c>
      <c r="CL278" s="959">
        <v>734</v>
      </c>
      <c r="CM278" s="959">
        <v>730</v>
      </c>
      <c r="CN278" s="802">
        <v>2903</v>
      </c>
      <c r="CO278" s="959">
        <v>720</v>
      </c>
      <c r="CP278" s="901">
        <v>738</v>
      </c>
      <c r="CQ278" s="959">
        <v>734</v>
      </c>
      <c r="CR278" s="959">
        <v>736</v>
      </c>
      <c r="CS278" s="802">
        <v>2928</v>
      </c>
      <c r="CT278" s="959">
        <v>766</v>
      </c>
      <c r="CU278" s="901">
        <v>791</v>
      </c>
      <c r="CV278" s="959">
        <v>789</v>
      </c>
      <c r="CW278" s="959">
        <v>821</v>
      </c>
      <c r="CX278" s="802">
        <v>3167</v>
      </c>
      <c r="CY278" s="959">
        <v>813</v>
      </c>
      <c r="CZ278" s="901">
        <v>844</v>
      </c>
      <c r="DA278" s="959">
        <v>845</v>
      </c>
      <c r="DB278" s="959">
        <v>1357</v>
      </c>
      <c r="DC278" s="802">
        <v>3859</v>
      </c>
      <c r="DD278" s="959">
        <v>1346</v>
      </c>
      <c r="DE278" s="901">
        <v>1448</v>
      </c>
      <c r="DF278" s="959">
        <v>1441</v>
      </c>
      <c r="DG278" s="959">
        <v>1539</v>
      </c>
      <c r="DH278" s="802">
        <v>5774</v>
      </c>
      <c r="DI278" s="959">
        <v>1412</v>
      </c>
      <c r="DJ278" s="901">
        <v>1484</v>
      </c>
      <c r="DK278" s="959">
        <v>1515</v>
      </c>
      <c r="DL278" s="959">
        <v>1616</v>
      </c>
      <c r="DM278" s="1279">
        <v>6027</v>
      </c>
      <c r="DN278" s="1280">
        <v>1514</v>
      </c>
      <c r="DO278" s="1281">
        <v>1460</v>
      </c>
      <c r="DP278" s="1280">
        <v>1417</v>
      </c>
      <c r="DQ278" s="1280">
        <v>1457</v>
      </c>
      <c r="DR278" s="1279">
        <v>5848</v>
      </c>
      <c r="DS278" s="1280">
        <v>1482</v>
      </c>
      <c r="DT278" s="1281">
        <v>1511</v>
      </c>
      <c r="DU278" s="1281">
        <v>1426</v>
      </c>
      <c r="DV278" s="1280">
        <v>1450</v>
      </c>
      <c r="DW278" s="1004">
        <f>SUM(DS278:DV278)</f>
        <v>5869</v>
      </c>
      <c r="DX278" s="555"/>
      <c r="DY278" s="555"/>
      <c r="DZ278" s="555"/>
      <c r="EA278" s="555"/>
      <c r="EB278" s="802"/>
      <c r="EC278" s="555"/>
      <c r="ED278" s="555"/>
      <c r="EE278" s="555"/>
      <c r="EF278" s="555"/>
      <c r="EG278" s="802"/>
      <c r="EH278" s="555"/>
      <c r="EI278" s="555"/>
      <c r="EJ278" s="555"/>
      <c r="EK278" s="555"/>
      <c r="EL278" s="802"/>
    </row>
    <row r="279" spans="1:142" hidden="1" outlineLevel="1">
      <c r="A279" s="557"/>
      <c r="B279" s="973" t="s">
        <v>689</v>
      </c>
      <c r="C279" s="1201"/>
      <c r="D279" s="1201"/>
      <c r="E279" s="1201"/>
      <c r="F279" s="1201"/>
      <c r="G279" s="960"/>
      <c r="H279" s="1202"/>
      <c r="I279" s="1201"/>
      <c r="J279" s="1201"/>
      <c r="K279" s="1201"/>
      <c r="L279" s="960"/>
      <c r="M279" s="1202"/>
      <c r="N279" s="1201"/>
      <c r="O279" s="1201"/>
      <c r="P279" s="1201"/>
      <c r="Q279" s="960"/>
      <c r="R279" s="1202"/>
      <c r="S279" s="1201"/>
      <c r="T279" s="1201"/>
      <c r="U279" s="1201"/>
      <c r="V279" s="960"/>
      <c r="W279" s="1202"/>
      <c r="X279" s="1201"/>
      <c r="Y279" s="1201"/>
      <c r="Z279" s="1201"/>
      <c r="AA279" s="960"/>
      <c r="AB279" s="1202"/>
      <c r="AC279" s="1201"/>
      <c r="AD279" s="1201"/>
      <c r="AE279" s="1201"/>
      <c r="AF279" s="960"/>
      <c r="AG279" s="1202"/>
      <c r="AH279" s="1201"/>
      <c r="AI279" s="1201"/>
      <c r="AJ279" s="1201"/>
      <c r="AK279" s="960"/>
      <c r="AL279" s="1202"/>
      <c r="AM279" s="1201"/>
      <c r="AN279" s="1201"/>
      <c r="AO279" s="1201"/>
      <c r="AP279" s="960"/>
      <c r="AQ279" s="1202"/>
      <c r="AR279" s="1201"/>
      <c r="AS279" s="1201"/>
      <c r="AT279" s="1201"/>
      <c r="AU279" s="802"/>
      <c r="AV279" s="708"/>
      <c r="AW279" s="708"/>
      <c r="AX279" s="708"/>
      <c r="AY279" s="708"/>
      <c r="AZ279" s="1188"/>
      <c r="BA279" s="1201"/>
      <c r="BB279" s="1201"/>
      <c r="BC279" s="1201"/>
      <c r="BD279" s="960"/>
      <c r="BE279" s="1202"/>
      <c r="BF279" s="1201"/>
      <c r="BG279" s="1201"/>
      <c r="BH279" s="1201"/>
      <c r="BI279" s="1201"/>
      <c r="BJ279" s="1202"/>
      <c r="BK279" s="959"/>
      <c r="BL279" s="901"/>
      <c r="BM279" s="959"/>
      <c r="BN279" s="959"/>
      <c r="BO279" s="802"/>
      <c r="BP279" s="959"/>
      <c r="BQ279" s="901"/>
      <c r="BR279" s="959"/>
      <c r="BS279" s="959"/>
      <c r="BT279" s="802"/>
      <c r="BU279" s="959"/>
      <c r="BV279" s="901"/>
      <c r="BW279" s="959"/>
      <c r="BX279" s="959"/>
      <c r="BY279" s="802"/>
      <c r="BZ279" s="959"/>
      <c r="CA279" s="901"/>
      <c r="CB279" s="959"/>
      <c r="CC279" s="959"/>
      <c r="CD279" s="802"/>
      <c r="CE279" s="959"/>
      <c r="CF279" s="901"/>
      <c r="CG279" s="959"/>
      <c r="CH279" s="959"/>
      <c r="CI279" s="802"/>
      <c r="CJ279" s="959"/>
      <c r="CK279" s="901"/>
      <c r="CL279" s="959"/>
      <c r="CM279" s="959"/>
      <c r="CN279" s="802"/>
      <c r="CO279" s="959"/>
      <c r="CP279" s="901"/>
      <c r="CQ279" s="959"/>
      <c r="CR279" s="959"/>
      <c r="CS279" s="802"/>
      <c r="CT279" s="959"/>
      <c r="CU279" s="901"/>
      <c r="CV279" s="959"/>
      <c r="CW279" s="959"/>
      <c r="CX279" s="802"/>
      <c r="CY279" s="959"/>
      <c r="CZ279" s="901"/>
      <c r="DA279" s="959"/>
      <c r="DB279" s="959"/>
      <c r="DC279" s="802"/>
      <c r="DD279" s="959"/>
      <c r="DE279" s="901"/>
      <c r="DF279" s="959"/>
      <c r="DG279" s="959"/>
      <c r="DH279" s="802"/>
      <c r="DI279" s="959"/>
      <c r="DJ279" s="901"/>
      <c r="DK279" s="959"/>
      <c r="DL279" s="959"/>
      <c r="DM279" s="1279"/>
      <c r="DN279" s="1280"/>
      <c r="DO279" s="1281"/>
      <c r="DP279" s="1280"/>
      <c r="DQ279" s="1280"/>
      <c r="DR279" s="1279"/>
      <c r="DS279" s="1280"/>
      <c r="DT279" s="1281"/>
      <c r="DU279" s="1281"/>
      <c r="DV279" s="1280"/>
      <c r="DW279" s="1279"/>
      <c r="DX279" s="555"/>
      <c r="DY279" s="555"/>
      <c r="DZ279" s="555"/>
      <c r="EA279" s="555"/>
      <c r="EB279" s="802"/>
      <c r="EC279" s="555"/>
      <c r="ED279" s="555"/>
      <c r="EE279" s="555"/>
      <c r="EF279" s="555"/>
      <c r="EG279" s="802"/>
      <c r="EH279" s="555"/>
      <c r="EI279" s="555"/>
      <c r="EJ279" s="555"/>
      <c r="EK279" s="555"/>
      <c r="EL279" s="802"/>
    </row>
    <row r="280" spans="1:142" hidden="1" outlineLevel="1">
      <c r="A280" s="557"/>
      <c r="B280" s="557" t="s">
        <v>197</v>
      </c>
      <c r="C280" s="1203"/>
      <c r="D280" s="1203" t="s">
        <v>503</v>
      </c>
      <c r="E280" s="1203" t="s">
        <v>503</v>
      </c>
      <c r="F280" s="1203" t="s">
        <v>503</v>
      </c>
      <c r="G280" s="1203" t="s">
        <v>503</v>
      </c>
      <c r="H280" s="1188" t="s">
        <v>503</v>
      </c>
      <c r="I280" s="1203" t="s">
        <v>503</v>
      </c>
      <c r="J280" s="1203" t="s">
        <v>503</v>
      </c>
      <c r="K280" s="1203" t="s">
        <v>503</v>
      </c>
      <c r="L280" s="1203" t="s">
        <v>503</v>
      </c>
      <c r="M280" s="1188" t="s">
        <v>503</v>
      </c>
      <c r="N280" s="1201">
        <v>7022</v>
      </c>
      <c r="O280" s="1201">
        <v>7101</v>
      </c>
      <c r="P280" s="1201">
        <v>6469</v>
      </c>
      <c r="Q280" s="1203" t="s">
        <v>503</v>
      </c>
      <c r="R280" s="1202">
        <v>6643</v>
      </c>
      <c r="S280" s="1201">
        <v>6522</v>
      </c>
      <c r="T280" s="1201">
        <v>6518</v>
      </c>
      <c r="U280" s="1201">
        <v>6772</v>
      </c>
      <c r="V280" s="1203" t="s">
        <v>503</v>
      </c>
      <c r="W280" s="1202">
        <v>6697</v>
      </c>
      <c r="X280" s="1201">
        <v>6725</v>
      </c>
      <c r="Y280" s="1201">
        <v>6944</v>
      </c>
      <c r="Z280" s="1201">
        <v>6938</v>
      </c>
      <c r="AA280" s="1203" t="s">
        <v>503</v>
      </c>
      <c r="AB280" s="1202">
        <v>6930</v>
      </c>
      <c r="AC280" s="1201">
        <v>7114</v>
      </c>
      <c r="AD280" s="1201">
        <v>7468</v>
      </c>
      <c r="AE280" s="1201">
        <v>7636</v>
      </c>
      <c r="AF280" s="1203" t="s">
        <v>503</v>
      </c>
      <c r="AG280" s="1202">
        <v>7508</v>
      </c>
      <c r="AH280" s="1201">
        <v>7771</v>
      </c>
      <c r="AI280" s="1201">
        <v>8034</v>
      </c>
      <c r="AJ280" s="1201">
        <v>8311</v>
      </c>
      <c r="AK280" s="1203" t="s">
        <v>503</v>
      </c>
      <c r="AL280" s="1202">
        <v>8170</v>
      </c>
      <c r="AM280" s="1201">
        <v>8758</v>
      </c>
      <c r="AN280" s="1201">
        <v>9100</v>
      </c>
      <c r="AO280" s="1201">
        <v>9091</v>
      </c>
      <c r="AP280" s="1203" t="s">
        <v>503</v>
      </c>
      <c r="AQ280" s="1202">
        <v>9131</v>
      </c>
      <c r="AR280" s="1201">
        <v>9615</v>
      </c>
      <c r="AS280" s="1201">
        <v>9716</v>
      </c>
      <c r="AT280" s="1201">
        <v>9136</v>
      </c>
      <c r="AU280" s="802"/>
      <c r="AV280" s="708" t="s">
        <v>503</v>
      </c>
      <c r="AW280" s="708" t="s">
        <v>503</v>
      </c>
      <c r="AX280" s="708" t="s">
        <v>503</v>
      </c>
      <c r="AY280" s="708" t="s">
        <v>503</v>
      </c>
      <c r="AZ280" s="1188" t="s">
        <v>503</v>
      </c>
      <c r="BA280" s="1201">
        <v>9316</v>
      </c>
      <c r="BB280" s="1201">
        <v>9239</v>
      </c>
      <c r="BC280" s="1201">
        <v>9011</v>
      </c>
      <c r="BD280" s="1203" t="s">
        <v>503</v>
      </c>
      <c r="BE280" s="1202">
        <v>9054</v>
      </c>
      <c r="BF280" s="1201">
        <v>9528</v>
      </c>
      <c r="BG280" s="1201">
        <v>9709</v>
      </c>
      <c r="BH280" s="1201">
        <v>9355</v>
      </c>
      <c r="BI280" s="1201">
        <v>9478</v>
      </c>
      <c r="BJ280" s="1202">
        <v>9517</v>
      </c>
      <c r="BK280" s="555">
        <v>9532</v>
      </c>
      <c r="BL280" s="555">
        <v>9482</v>
      </c>
      <c r="BM280" s="555">
        <v>9792</v>
      </c>
      <c r="BN280" s="555">
        <v>10070</v>
      </c>
      <c r="BO280" s="802">
        <v>9710</v>
      </c>
      <c r="BP280" s="555">
        <v>10077</v>
      </c>
      <c r="BQ280" s="555">
        <v>10351</v>
      </c>
      <c r="BR280" s="555">
        <v>10042</v>
      </c>
      <c r="BS280" s="555">
        <v>10440</v>
      </c>
      <c r="BT280" s="802">
        <v>10253</v>
      </c>
      <c r="BU280" s="555">
        <v>10380</v>
      </c>
      <c r="BV280" s="555">
        <v>10663</v>
      </c>
      <c r="BW280" s="555">
        <v>10882</v>
      </c>
      <c r="BX280" s="555">
        <v>10879</v>
      </c>
      <c r="BY280" s="802">
        <v>10732</v>
      </c>
      <c r="BZ280" s="555">
        <v>11050</v>
      </c>
      <c r="CA280" s="555">
        <v>10740</v>
      </c>
      <c r="CB280" s="555">
        <v>10832</v>
      </c>
      <c r="CC280" s="555">
        <v>11026</v>
      </c>
      <c r="CD280" s="802">
        <v>10841</v>
      </c>
      <c r="CE280" s="555">
        <v>11143</v>
      </c>
      <c r="CF280" s="555">
        <v>11058</v>
      </c>
      <c r="CG280" s="555">
        <v>11255</v>
      </c>
      <c r="CH280" s="555">
        <v>11425</v>
      </c>
      <c r="CI280" s="802">
        <v>11231</v>
      </c>
      <c r="CJ280" s="555">
        <v>11644</v>
      </c>
      <c r="CK280" s="555">
        <v>11569</v>
      </c>
      <c r="CL280" s="555">
        <v>11381</v>
      </c>
      <c r="CM280" s="555">
        <v>11632</v>
      </c>
      <c r="CN280" s="802">
        <v>11558</v>
      </c>
      <c r="CO280" s="555">
        <v>12318</v>
      </c>
      <c r="CP280" s="555">
        <v>11673</v>
      </c>
      <c r="CQ280" s="555">
        <v>11510</v>
      </c>
      <c r="CR280" s="555">
        <v>11959</v>
      </c>
      <c r="CS280" s="802">
        <v>11870</v>
      </c>
      <c r="CT280" s="555">
        <v>12249</v>
      </c>
      <c r="CU280" s="555">
        <v>12371</v>
      </c>
      <c r="CV280" s="555">
        <v>12021</v>
      </c>
      <c r="CW280" s="555">
        <v>12323</v>
      </c>
      <c r="CX280" s="802">
        <v>12241</v>
      </c>
      <c r="CY280" s="555">
        <v>12197</v>
      </c>
      <c r="CZ280" s="555">
        <v>12773</v>
      </c>
      <c r="DA280" s="555">
        <v>12355</v>
      </c>
      <c r="DB280" s="555">
        <v>12451</v>
      </c>
      <c r="DC280" s="802">
        <v>12443</v>
      </c>
      <c r="DD280" s="555">
        <v>12530</v>
      </c>
      <c r="DE280" s="555">
        <v>12294</v>
      </c>
      <c r="DF280" s="555">
        <v>12320</v>
      </c>
      <c r="DG280" s="555">
        <v>13438</v>
      </c>
      <c r="DH280" s="802">
        <v>12659</v>
      </c>
      <c r="DI280" s="1005">
        <v>12912</v>
      </c>
      <c r="DJ280" s="1005">
        <v>12991</v>
      </c>
      <c r="DK280" s="1005">
        <v>12894</v>
      </c>
      <c r="DL280" s="1005">
        <v>12906</v>
      </c>
      <c r="DM280" s="1506">
        <v>12296</v>
      </c>
      <c r="DN280" s="1507">
        <v>13130</v>
      </c>
      <c r="DO280" s="1507">
        <v>13347</v>
      </c>
      <c r="DP280" s="1507">
        <v>13605</v>
      </c>
      <c r="DQ280" s="1507">
        <v>13566</v>
      </c>
      <c r="DR280" s="1506">
        <v>13405</v>
      </c>
      <c r="DS280" s="1507">
        <v>13250</v>
      </c>
      <c r="DT280" s="1507">
        <v>13420</v>
      </c>
      <c r="DU280" s="1507">
        <v>13129</v>
      </c>
      <c r="DV280" s="1507">
        <v>14614</v>
      </c>
      <c r="DW280" s="1506">
        <v>13598</v>
      </c>
      <c r="DX280" s="555"/>
      <c r="DY280" s="555"/>
      <c r="DZ280" s="555"/>
      <c r="EA280" s="555"/>
      <c r="EB280" s="802"/>
      <c r="EC280" s="555"/>
      <c r="ED280" s="555"/>
      <c r="EE280" s="555"/>
      <c r="EF280" s="555"/>
      <c r="EG280" s="802"/>
      <c r="EH280" s="555"/>
      <c r="EI280" s="555"/>
      <c r="EJ280" s="555"/>
      <c r="EK280" s="555"/>
      <c r="EL280" s="802"/>
    </row>
    <row r="281" spans="1:142" hidden="1" outlineLevel="1">
      <c r="A281" s="557"/>
      <c r="B281" s="557" t="s">
        <v>195</v>
      </c>
      <c r="C281" s="1201"/>
      <c r="D281" s="1201">
        <v>1388</v>
      </c>
      <c r="E281" s="1201">
        <v>1376</v>
      </c>
      <c r="F281" s="1201">
        <v>1330</v>
      </c>
      <c r="G281" s="1203" t="s">
        <v>503</v>
      </c>
      <c r="H281" s="1202">
        <v>1285</v>
      </c>
      <c r="I281" s="1201">
        <v>1271</v>
      </c>
      <c r="J281" s="1201">
        <v>1270</v>
      </c>
      <c r="K281" s="1201">
        <v>1235</v>
      </c>
      <c r="L281" s="1203" t="s">
        <v>503</v>
      </c>
      <c r="M281" s="1202">
        <v>1269</v>
      </c>
      <c r="N281" s="1201">
        <v>1291</v>
      </c>
      <c r="O281" s="1201">
        <v>1305</v>
      </c>
      <c r="P281" s="1201">
        <v>1230</v>
      </c>
      <c r="Q281" s="1203" t="s">
        <v>503</v>
      </c>
      <c r="R281" s="1202">
        <v>1275</v>
      </c>
      <c r="S281" s="1201">
        <v>1272</v>
      </c>
      <c r="T281" s="1201">
        <v>1264</v>
      </c>
      <c r="U281" s="1201">
        <v>1271</v>
      </c>
      <c r="V281" s="1203" t="s">
        <v>503</v>
      </c>
      <c r="W281" s="1202">
        <v>1285</v>
      </c>
      <c r="X281" s="1201">
        <v>1324</v>
      </c>
      <c r="Y281" s="1201">
        <v>1353</v>
      </c>
      <c r="Z281" s="1201">
        <v>1323</v>
      </c>
      <c r="AA281" s="1203" t="s">
        <v>503</v>
      </c>
      <c r="AB281" s="1202">
        <v>1335</v>
      </c>
      <c r="AC281" s="1201">
        <v>1392</v>
      </c>
      <c r="AD281" s="1201">
        <v>1435</v>
      </c>
      <c r="AE281" s="1201">
        <v>1436</v>
      </c>
      <c r="AF281" s="1203" t="s">
        <v>503</v>
      </c>
      <c r="AG281" s="1202">
        <v>1438</v>
      </c>
      <c r="AH281" s="1201">
        <v>1502</v>
      </c>
      <c r="AI281" s="1201">
        <v>1545</v>
      </c>
      <c r="AJ281" s="1201">
        <v>1565</v>
      </c>
      <c r="AK281" s="1203" t="s">
        <v>503</v>
      </c>
      <c r="AL281" s="1202">
        <v>1555</v>
      </c>
      <c r="AM281" s="1201">
        <v>1663</v>
      </c>
      <c r="AN281" s="1201">
        <v>1725</v>
      </c>
      <c r="AO281" s="1201">
        <v>1697</v>
      </c>
      <c r="AP281" s="1203" t="s">
        <v>503</v>
      </c>
      <c r="AQ281" s="1202">
        <v>1713</v>
      </c>
      <c r="AR281" s="1201">
        <v>1804</v>
      </c>
      <c r="AS281" s="1201">
        <v>1831</v>
      </c>
      <c r="AT281" s="1201">
        <v>1721</v>
      </c>
      <c r="AU281" s="802"/>
      <c r="AV281" s="708" t="s">
        <v>503</v>
      </c>
      <c r="AW281" s="708" t="s">
        <v>503</v>
      </c>
      <c r="AX281" s="708" t="s">
        <v>503</v>
      </c>
      <c r="AY281" s="708" t="s">
        <v>503</v>
      </c>
      <c r="AZ281" s="1188" t="s">
        <v>503</v>
      </c>
      <c r="BA281" s="1201">
        <v>1725</v>
      </c>
      <c r="BB281" s="1201">
        <v>1735</v>
      </c>
      <c r="BC281" s="1201">
        <v>1731</v>
      </c>
      <c r="BD281" s="1203" t="s">
        <v>503</v>
      </c>
      <c r="BE281" s="1202">
        <v>1708</v>
      </c>
      <c r="BF281" s="1201">
        <v>1802</v>
      </c>
      <c r="BG281" s="1201">
        <v>1883</v>
      </c>
      <c r="BH281" s="1201">
        <v>1820</v>
      </c>
      <c r="BI281" s="1201">
        <v>1830</v>
      </c>
      <c r="BJ281" s="1202">
        <v>1836</v>
      </c>
      <c r="BK281" s="901">
        <v>1821</v>
      </c>
      <c r="BL281" s="901">
        <v>1847</v>
      </c>
      <c r="BM281" s="555">
        <v>1921</v>
      </c>
      <c r="BN281" s="555">
        <v>1964</v>
      </c>
      <c r="BO281" s="802">
        <v>1885</v>
      </c>
      <c r="BP281" s="901">
        <v>1960</v>
      </c>
      <c r="BQ281" s="901">
        <v>2084</v>
      </c>
      <c r="BR281" s="555">
        <v>2038</v>
      </c>
      <c r="BS281" s="555">
        <v>2118</v>
      </c>
      <c r="BT281" s="802">
        <v>2057</v>
      </c>
      <c r="BU281" s="901">
        <v>2065</v>
      </c>
      <c r="BV281" s="901">
        <v>2151</v>
      </c>
      <c r="BW281" s="555">
        <v>2210</v>
      </c>
      <c r="BX281" s="555">
        <v>2222</v>
      </c>
      <c r="BY281" s="802">
        <v>2164</v>
      </c>
      <c r="BZ281" s="901">
        <v>2182</v>
      </c>
      <c r="CA281" s="901">
        <v>2182</v>
      </c>
      <c r="CB281" s="555">
        <v>2228</v>
      </c>
      <c r="CC281" s="555">
        <v>2263</v>
      </c>
      <c r="CD281" s="802">
        <v>2192</v>
      </c>
      <c r="CE281" s="901">
        <v>2242</v>
      </c>
      <c r="CF281" s="901">
        <v>2288</v>
      </c>
      <c r="CG281" s="555">
        <v>2355</v>
      </c>
      <c r="CH281" s="555">
        <v>2357</v>
      </c>
      <c r="CI281" s="802">
        <v>2312</v>
      </c>
      <c r="CJ281" s="901">
        <v>2365</v>
      </c>
      <c r="CK281" s="901">
        <v>2406</v>
      </c>
      <c r="CL281" s="555">
        <v>2396</v>
      </c>
      <c r="CM281" s="555">
        <v>2426</v>
      </c>
      <c r="CN281" s="802">
        <v>2397</v>
      </c>
      <c r="CO281" s="901">
        <v>2548</v>
      </c>
      <c r="CP281" s="901">
        <v>2460</v>
      </c>
      <c r="CQ281" s="555">
        <v>2439</v>
      </c>
      <c r="CR281" s="555">
        <v>2541</v>
      </c>
      <c r="CS281" s="802">
        <v>2498</v>
      </c>
      <c r="CT281" s="901">
        <v>2603</v>
      </c>
      <c r="CU281" s="901">
        <v>2622</v>
      </c>
      <c r="CV281" s="555">
        <v>2585</v>
      </c>
      <c r="CW281" s="555">
        <v>2660</v>
      </c>
      <c r="CX281" s="802">
        <v>2617</v>
      </c>
      <c r="CY281" s="901">
        <v>2546</v>
      </c>
      <c r="CZ281" s="901">
        <v>2718</v>
      </c>
      <c r="DA281" s="555">
        <v>2636</v>
      </c>
      <c r="DB281" s="555">
        <v>2693</v>
      </c>
      <c r="DC281" s="802">
        <v>2652</v>
      </c>
      <c r="DD281" s="901">
        <v>2626</v>
      </c>
      <c r="DE281" s="901">
        <v>2638</v>
      </c>
      <c r="DF281" s="555">
        <v>2674</v>
      </c>
      <c r="DG281" s="555">
        <v>2899</v>
      </c>
      <c r="DH281" s="802">
        <v>2710</v>
      </c>
      <c r="DI281" s="1371">
        <v>2756</v>
      </c>
      <c r="DJ281" s="1371">
        <v>2821</v>
      </c>
      <c r="DK281" s="1005">
        <v>2805</v>
      </c>
      <c r="DL281" s="1005">
        <v>2781</v>
      </c>
      <c r="DM281" s="1506">
        <v>2790</v>
      </c>
      <c r="DN281" s="1519">
        <v>2752</v>
      </c>
      <c r="DO281" s="1519">
        <v>2884</v>
      </c>
      <c r="DP281" s="1507">
        <v>2956</v>
      </c>
      <c r="DQ281" s="1507">
        <v>2934</v>
      </c>
      <c r="DR281" s="1506">
        <v>2878</v>
      </c>
      <c r="DS281" s="1507">
        <v>2826</v>
      </c>
      <c r="DT281" s="1519">
        <v>2920</v>
      </c>
      <c r="DU281" s="1519">
        <v>2853</v>
      </c>
      <c r="DV281" s="1507">
        <v>3172</v>
      </c>
      <c r="DW281" s="1506">
        <v>2941</v>
      </c>
      <c r="DX281" s="555"/>
      <c r="DY281" s="555"/>
      <c r="DZ281" s="555"/>
      <c r="EA281" s="555"/>
      <c r="EB281" s="802"/>
      <c r="EC281" s="555"/>
      <c r="ED281" s="555"/>
      <c r="EE281" s="555"/>
      <c r="EF281" s="555"/>
      <c r="EG281" s="802"/>
      <c r="EH281" s="555"/>
      <c r="EI281" s="555"/>
      <c r="EJ281" s="555"/>
      <c r="EK281" s="555"/>
      <c r="EL281" s="802"/>
    </row>
    <row r="282" spans="1:142" hidden="1" outlineLevel="1">
      <c r="A282" s="557"/>
      <c r="B282" s="557" t="s">
        <v>199</v>
      </c>
      <c r="C282" s="1203"/>
      <c r="D282" s="1203" t="s">
        <v>503</v>
      </c>
      <c r="E282" s="1203" t="s">
        <v>503</v>
      </c>
      <c r="F282" s="1203" t="s">
        <v>503</v>
      </c>
      <c r="G282" s="1203" t="s">
        <v>503</v>
      </c>
      <c r="H282" s="1188" t="s">
        <v>503</v>
      </c>
      <c r="I282" s="1203" t="s">
        <v>503</v>
      </c>
      <c r="J282" s="1203" t="s">
        <v>503</v>
      </c>
      <c r="K282" s="1203" t="s">
        <v>503</v>
      </c>
      <c r="L282" s="1203" t="s">
        <v>503</v>
      </c>
      <c r="M282" s="1188" t="s">
        <v>503</v>
      </c>
      <c r="N282" s="1203" t="s">
        <v>503</v>
      </c>
      <c r="O282" s="1203" t="s">
        <v>503</v>
      </c>
      <c r="P282" s="1203" t="s">
        <v>503</v>
      </c>
      <c r="Q282" s="1203" t="s">
        <v>503</v>
      </c>
      <c r="R282" s="1188" t="s">
        <v>503</v>
      </c>
      <c r="S282" s="1203" t="s">
        <v>503</v>
      </c>
      <c r="T282" s="1203" t="s">
        <v>503</v>
      </c>
      <c r="U282" s="1203" t="s">
        <v>503</v>
      </c>
      <c r="V282" s="1203" t="s">
        <v>503</v>
      </c>
      <c r="W282" s="1188" t="s">
        <v>503</v>
      </c>
      <c r="X282" s="1203" t="s">
        <v>503</v>
      </c>
      <c r="Y282" s="1203" t="s">
        <v>503</v>
      </c>
      <c r="Z282" s="1203" t="s">
        <v>503</v>
      </c>
      <c r="AA282" s="1203" t="s">
        <v>503</v>
      </c>
      <c r="AB282" s="1188" t="s">
        <v>503</v>
      </c>
      <c r="AC282" s="1203" t="s">
        <v>503</v>
      </c>
      <c r="AD282" s="1203" t="s">
        <v>503</v>
      </c>
      <c r="AE282" s="1203" t="s">
        <v>503</v>
      </c>
      <c r="AF282" s="1203" t="s">
        <v>503</v>
      </c>
      <c r="AG282" s="1188" t="s">
        <v>503</v>
      </c>
      <c r="AH282" s="1203" t="s">
        <v>503</v>
      </c>
      <c r="AI282" s="1203" t="s">
        <v>503</v>
      </c>
      <c r="AJ282" s="1203" t="s">
        <v>503</v>
      </c>
      <c r="AK282" s="1203" t="s">
        <v>503</v>
      </c>
      <c r="AL282" s="1188" t="s">
        <v>503</v>
      </c>
      <c r="AM282" s="1203" t="s">
        <v>503</v>
      </c>
      <c r="AN282" s="1203" t="s">
        <v>503</v>
      </c>
      <c r="AO282" s="1203" t="s">
        <v>503</v>
      </c>
      <c r="AP282" s="1203" t="s">
        <v>503</v>
      </c>
      <c r="AQ282" s="1188" t="s">
        <v>503</v>
      </c>
      <c r="AR282" s="1203" t="s">
        <v>503</v>
      </c>
      <c r="AS282" s="1203" t="s">
        <v>503</v>
      </c>
      <c r="AT282" s="1203" t="s">
        <v>503</v>
      </c>
      <c r="AU282" s="802"/>
      <c r="AV282" s="708" t="s">
        <v>503</v>
      </c>
      <c r="AW282" s="708" t="s">
        <v>503</v>
      </c>
      <c r="AX282" s="708" t="s">
        <v>503</v>
      </c>
      <c r="AY282" s="708" t="s">
        <v>503</v>
      </c>
      <c r="AZ282" s="1188" t="s">
        <v>503</v>
      </c>
      <c r="BA282" s="1203" t="s">
        <v>503</v>
      </c>
      <c r="BB282" s="1203" t="s">
        <v>503</v>
      </c>
      <c r="BC282" s="1203" t="s">
        <v>503</v>
      </c>
      <c r="BD282" s="1203" t="s">
        <v>503</v>
      </c>
      <c r="BE282" s="1204" t="s">
        <v>503</v>
      </c>
      <c r="BF282" s="1203" t="s">
        <v>503</v>
      </c>
      <c r="BG282" s="1118"/>
      <c r="BH282" s="1201">
        <v>561</v>
      </c>
      <c r="BI282" s="1118">
        <v>529</v>
      </c>
      <c r="BJ282" s="1048">
        <v>529</v>
      </c>
      <c r="BK282" s="555">
        <v>515</v>
      </c>
      <c r="BL282" s="555">
        <v>542</v>
      </c>
      <c r="BM282" s="555">
        <v>568</v>
      </c>
      <c r="BN282" s="555">
        <v>534</v>
      </c>
      <c r="BO282" s="802">
        <v>539</v>
      </c>
      <c r="BP282" s="555">
        <v>541</v>
      </c>
      <c r="BQ282" s="555">
        <v>584</v>
      </c>
      <c r="BR282" s="555">
        <v>593</v>
      </c>
      <c r="BS282" s="555">
        <v>592</v>
      </c>
      <c r="BT282" s="802">
        <v>580</v>
      </c>
      <c r="BU282" s="555">
        <v>614</v>
      </c>
      <c r="BV282" s="555">
        <v>636</v>
      </c>
      <c r="BW282" s="555">
        <v>651</v>
      </c>
      <c r="BX282" s="555">
        <v>658</v>
      </c>
      <c r="BY282" s="802">
        <v>641</v>
      </c>
      <c r="BZ282" s="555">
        <v>665</v>
      </c>
      <c r="CA282" s="555">
        <v>689</v>
      </c>
      <c r="CB282" s="555">
        <v>692</v>
      </c>
      <c r="CC282" s="555">
        <v>691</v>
      </c>
      <c r="CD282" s="802">
        <v>679</v>
      </c>
      <c r="CE282" s="555">
        <v>685</v>
      </c>
      <c r="CF282" s="555">
        <v>704</v>
      </c>
      <c r="CG282" s="555">
        <v>712</v>
      </c>
      <c r="CH282" s="555">
        <v>711</v>
      </c>
      <c r="CI282" s="802">
        <v>704</v>
      </c>
      <c r="CJ282" s="555">
        <v>741</v>
      </c>
      <c r="CK282" s="555">
        <v>741</v>
      </c>
      <c r="CL282" s="555">
        <v>752</v>
      </c>
      <c r="CM282" s="555">
        <v>730</v>
      </c>
      <c r="CN282" s="802">
        <v>741</v>
      </c>
      <c r="CO282" s="555">
        <v>727</v>
      </c>
      <c r="CP282" s="555">
        <v>742</v>
      </c>
      <c r="CQ282" s="555">
        <v>743</v>
      </c>
      <c r="CR282" s="555">
        <v>749</v>
      </c>
      <c r="CS282" s="802">
        <v>741</v>
      </c>
      <c r="CT282" s="555">
        <v>743</v>
      </c>
      <c r="CU282" s="555">
        <v>756</v>
      </c>
      <c r="CV282" s="555">
        <v>762</v>
      </c>
      <c r="CW282" s="555">
        <v>779</v>
      </c>
      <c r="CX282" s="802">
        <v>760</v>
      </c>
      <c r="CY282" s="555">
        <v>771</v>
      </c>
      <c r="CZ282" s="555">
        <v>787</v>
      </c>
      <c r="DA282" s="555">
        <v>789</v>
      </c>
      <c r="DB282" s="555">
        <v>723</v>
      </c>
      <c r="DC282" s="802">
        <v>760</v>
      </c>
      <c r="DD282" s="555">
        <v>691</v>
      </c>
      <c r="DE282" s="555">
        <v>701</v>
      </c>
      <c r="DF282" s="555">
        <v>678</v>
      </c>
      <c r="DG282" s="555">
        <v>717</v>
      </c>
      <c r="DH282" s="802">
        <v>697</v>
      </c>
      <c r="DI282" s="1005">
        <v>702</v>
      </c>
      <c r="DJ282" s="1005">
        <v>719</v>
      </c>
      <c r="DK282" s="1005">
        <v>790</v>
      </c>
      <c r="DL282" s="1005">
        <v>735</v>
      </c>
      <c r="DM282" s="1506">
        <v>723</v>
      </c>
      <c r="DN282" s="1507">
        <v>705</v>
      </c>
      <c r="DO282" s="1507">
        <v>716</v>
      </c>
      <c r="DP282" s="1507">
        <v>705</v>
      </c>
      <c r="DQ282" s="1507">
        <v>747</v>
      </c>
      <c r="DR282" s="1506">
        <v>719</v>
      </c>
      <c r="DS282" s="1507">
        <v>726</v>
      </c>
      <c r="DT282" s="1507">
        <v>762</v>
      </c>
      <c r="DU282" s="1507">
        <v>764</v>
      </c>
      <c r="DV282" s="1507">
        <v>762</v>
      </c>
      <c r="DW282" s="1506">
        <v>753</v>
      </c>
      <c r="DX282" s="555"/>
      <c r="DY282" s="555"/>
      <c r="DZ282" s="555"/>
      <c r="EA282" s="555"/>
      <c r="EB282" s="802"/>
      <c r="EC282" s="555"/>
      <c r="ED282" s="555"/>
      <c r="EE282" s="555"/>
      <c r="EF282" s="555"/>
      <c r="EG282" s="802"/>
      <c r="EH282" s="555"/>
      <c r="EI282" s="555"/>
      <c r="EJ282" s="555"/>
      <c r="EK282" s="555"/>
      <c r="EL282" s="802"/>
    </row>
    <row r="283" spans="1:142" hidden="1" outlineLevel="1">
      <c r="A283" s="557"/>
      <c r="B283" s="557" t="s">
        <v>690</v>
      </c>
      <c r="C283" s="1203"/>
      <c r="D283" s="1203"/>
      <c r="E283" s="1203"/>
      <c r="F283" s="1203"/>
      <c r="G283" s="1203"/>
      <c r="H283" s="1188"/>
      <c r="I283" s="1203"/>
      <c r="J283" s="1203"/>
      <c r="K283" s="1203"/>
      <c r="L283" s="1203"/>
      <c r="M283" s="1188"/>
      <c r="N283" s="1203"/>
      <c r="O283" s="1203"/>
      <c r="P283" s="1203"/>
      <c r="Q283" s="1203"/>
      <c r="R283" s="1188"/>
      <c r="S283" s="1203"/>
      <c r="T283" s="1203"/>
      <c r="U283" s="1203"/>
      <c r="V283" s="1203"/>
      <c r="W283" s="1188"/>
      <c r="X283" s="1203"/>
      <c r="Y283" s="1203"/>
      <c r="Z283" s="1203"/>
      <c r="AA283" s="1203"/>
      <c r="AB283" s="1188"/>
      <c r="AC283" s="1203"/>
      <c r="AD283" s="1203"/>
      <c r="AE283" s="1203"/>
      <c r="AF283" s="1203"/>
      <c r="AG283" s="1188"/>
      <c r="AH283" s="1203"/>
      <c r="AI283" s="1203"/>
      <c r="AJ283" s="1203"/>
      <c r="AK283" s="1203"/>
      <c r="AL283" s="1188"/>
      <c r="AM283" s="1203"/>
      <c r="AN283" s="1203"/>
      <c r="AO283" s="1203"/>
      <c r="AP283" s="1203"/>
      <c r="AQ283" s="1188"/>
      <c r="AR283" s="1203"/>
      <c r="AS283" s="1203"/>
      <c r="AT283" s="1203"/>
      <c r="AU283" s="802"/>
      <c r="AV283" s="708"/>
      <c r="AW283" s="708"/>
      <c r="AX283" s="708"/>
      <c r="AY283" s="708"/>
      <c r="AZ283" s="1188"/>
      <c r="BA283" s="1203"/>
      <c r="BB283" s="1203"/>
      <c r="BC283" s="1203"/>
      <c r="BD283" s="1203"/>
      <c r="BE283" s="1204"/>
      <c r="BF283" s="1203"/>
      <c r="BG283" s="1118"/>
      <c r="BH283" s="1201"/>
      <c r="BI283" s="1118"/>
      <c r="BJ283" s="1048"/>
      <c r="BK283" s="901"/>
      <c r="BL283" s="901"/>
      <c r="BM283" s="555"/>
      <c r="BN283" s="555"/>
      <c r="BO283" s="802"/>
      <c r="BP283" s="901"/>
      <c r="BQ283" s="901"/>
      <c r="BR283" s="555"/>
      <c r="BS283" s="555"/>
      <c r="BT283" s="802"/>
      <c r="BU283" s="901"/>
      <c r="BV283" s="901"/>
      <c r="BW283" s="555"/>
      <c r="BX283" s="555"/>
      <c r="BY283" s="802"/>
      <c r="BZ283" s="901"/>
      <c r="CA283" s="901"/>
      <c r="CB283" s="555"/>
      <c r="CC283" s="555"/>
      <c r="CD283" s="802"/>
      <c r="CE283" s="901"/>
      <c r="CF283" s="901"/>
      <c r="CG283" s="555"/>
      <c r="CH283" s="555"/>
      <c r="CI283" s="802"/>
      <c r="CJ283" s="901"/>
      <c r="CK283" s="901"/>
      <c r="CL283" s="555"/>
      <c r="CM283" s="555"/>
      <c r="CN283" s="802"/>
      <c r="CO283" s="901"/>
      <c r="CP283" s="901"/>
      <c r="CQ283" s="555"/>
      <c r="CR283" s="555"/>
      <c r="CS283" s="802"/>
      <c r="CT283" s="901"/>
      <c r="CU283" s="901"/>
      <c r="CV283" s="555"/>
      <c r="CW283" s="555"/>
      <c r="CX283" s="802"/>
      <c r="CY283" s="901"/>
      <c r="CZ283" s="901"/>
      <c r="DA283" s="555"/>
      <c r="DB283" s="555"/>
      <c r="DC283" s="802"/>
      <c r="DD283" s="901"/>
      <c r="DE283" s="901"/>
      <c r="DF283" s="555"/>
      <c r="DG283" s="555"/>
      <c r="DH283" s="802"/>
      <c r="DI283" s="1371"/>
      <c r="DJ283" s="1371"/>
      <c r="DK283" s="1005"/>
      <c r="DL283" s="1005">
        <v>11699</v>
      </c>
      <c r="DM283" s="1506">
        <v>11724</v>
      </c>
      <c r="DN283" s="1519">
        <v>11838</v>
      </c>
      <c r="DO283" s="1519">
        <v>11808</v>
      </c>
      <c r="DP283" s="1507">
        <v>11764</v>
      </c>
      <c r="DQ283" s="1507">
        <v>11988</v>
      </c>
      <c r="DR283" s="1506">
        <v>11849</v>
      </c>
      <c r="DS283" s="1507">
        <v>11785</v>
      </c>
      <c r="DT283" s="1519">
        <v>11874</v>
      </c>
      <c r="DU283" s="1519">
        <v>11625</v>
      </c>
      <c r="DV283" s="1507">
        <v>12539</v>
      </c>
      <c r="DW283" s="1506">
        <v>11953</v>
      </c>
      <c r="DX283" s="555"/>
      <c r="DY283" s="555"/>
      <c r="DZ283" s="555"/>
      <c r="EA283" s="555"/>
      <c r="EB283" s="802"/>
      <c r="EC283" s="555"/>
      <c r="ED283" s="555"/>
      <c r="EE283" s="555"/>
      <c r="EF283" s="555"/>
      <c r="EG283" s="802"/>
      <c r="EH283" s="555"/>
      <c r="EI283" s="555"/>
      <c r="EJ283" s="555"/>
      <c r="EK283" s="555"/>
      <c r="EL283" s="802"/>
    </row>
    <row r="284" spans="1:142" hidden="1" outlineLevel="1">
      <c r="A284" s="557"/>
      <c r="B284" s="557" t="s">
        <v>603</v>
      </c>
      <c r="C284" s="1203"/>
      <c r="D284" s="1203"/>
      <c r="E284" s="1203"/>
      <c r="F284" s="1203"/>
      <c r="G284" s="1203"/>
      <c r="H284" s="1188"/>
      <c r="I284" s="1203"/>
      <c r="J284" s="1203"/>
      <c r="K284" s="1203"/>
      <c r="L284" s="1203"/>
      <c r="M284" s="1188"/>
      <c r="N284" s="1203"/>
      <c r="O284" s="1203"/>
      <c r="P284" s="1203"/>
      <c r="Q284" s="1203"/>
      <c r="R284" s="1188"/>
      <c r="S284" s="1203"/>
      <c r="T284" s="1203"/>
      <c r="U284" s="1203"/>
      <c r="V284" s="1203"/>
      <c r="W284" s="1188"/>
      <c r="X284" s="1203"/>
      <c r="Y284" s="1203"/>
      <c r="Z284" s="1203"/>
      <c r="AA284" s="1203"/>
      <c r="AB284" s="1188"/>
      <c r="AC284" s="1203"/>
      <c r="AD284" s="1203"/>
      <c r="AE284" s="1203"/>
      <c r="AF284" s="1203"/>
      <c r="AG284" s="1188"/>
      <c r="AH284" s="1203"/>
      <c r="AI284" s="1203"/>
      <c r="AJ284" s="1203"/>
      <c r="AK284" s="1203"/>
      <c r="AL284" s="1188"/>
      <c r="AM284" s="1203"/>
      <c r="AN284" s="1203"/>
      <c r="AO284" s="1203"/>
      <c r="AP284" s="1203"/>
      <c r="AQ284" s="1188"/>
      <c r="AR284" s="1203"/>
      <c r="AS284" s="1203"/>
      <c r="AT284" s="1203"/>
      <c r="AU284" s="802"/>
      <c r="AV284" s="708"/>
      <c r="AW284" s="708"/>
      <c r="AX284" s="708"/>
      <c r="AY284" s="708"/>
      <c r="AZ284" s="1188"/>
      <c r="BA284" s="1203"/>
      <c r="BB284" s="1203"/>
      <c r="BC284" s="1203"/>
      <c r="BD284" s="1203"/>
      <c r="BE284" s="1204"/>
      <c r="BF284" s="1203"/>
      <c r="BG284" s="1118"/>
      <c r="BH284" s="1201"/>
      <c r="BI284" s="1118"/>
      <c r="BJ284" s="1048"/>
      <c r="BK284" s="959"/>
      <c r="BL284" s="555"/>
      <c r="BM284" s="555"/>
      <c r="BN284" s="555"/>
      <c r="BO284" s="802"/>
      <c r="BP284" s="959"/>
      <c r="BQ284" s="555"/>
      <c r="BR284" s="555"/>
      <c r="BS284" s="555"/>
      <c r="BT284" s="802"/>
      <c r="BU284" s="959"/>
      <c r="BV284" s="555"/>
      <c r="BW284" s="555"/>
      <c r="BX284" s="555"/>
      <c r="BY284" s="802"/>
      <c r="BZ284" s="959"/>
      <c r="CA284" s="555"/>
      <c r="CB284" s="555"/>
      <c r="CC284" s="555"/>
      <c r="CD284" s="802"/>
      <c r="CE284" s="959"/>
      <c r="CF284" s="555"/>
      <c r="CG284" s="555"/>
      <c r="CH284" s="555"/>
      <c r="CI284" s="802"/>
      <c r="CJ284" s="959"/>
      <c r="CK284" s="555"/>
      <c r="CL284" s="555"/>
      <c r="CM284" s="555"/>
      <c r="CN284" s="802"/>
      <c r="CO284" s="959"/>
      <c r="CP284" s="555"/>
      <c r="CQ284" s="555"/>
      <c r="CR284" s="555"/>
      <c r="CS284" s="802"/>
      <c r="CT284" s="959"/>
      <c r="CU284" s="555"/>
      <c r="CV284" s="555"/>
      <c r="CW284" s="555"/>
      <c r="CX284" s="802"/>
      <c r="CY284" s="959"/>
      <c r="CZ284" s="555"/>
      <c r="DA284" s="555"/>
      <c r="DB284" s="555"/>
      <c r="DC284" s="802"/>
      <c r="DD284" s="959"/>
      <c r="DE284" s="555"/>
      <c r="DF284" s="555"/>
      <c r="DG284" s="555"/>
      <c r="DH284" s="802"/>
      <c r="DI284" s="1005"/>
      <c r="DJ284" s="1005"/>
      <c r="DK284" s="1005"/>
      <c r="DL284" s="1005">
        <v>2544</v>
      </c>
      <c r="DM284" s="1506">
        <v>2558</v>
      </c>
      <c r="DN284" s="1507">
        <v>2505</v>
      </c>
      <c r="DO284" s="1507">
        <v>2580</v>
      </c>
      <c r="DP284" s="1507">
        <v>2590</v>
      </c>
      <c r="DQ284" s="1507">
        <v>2632</v>
      </c>
      <c r="DR284" s="1506">
        <v>2575</v>
      </c>
      <c r="DS284" s="1507">
        <v>2551</v>
      </c>
      <c r="DT284" s="1507">
        <v>2619</v>
      </c>
      <c r="DU284" s="1507">
        <v>2568</v>
      </c>
      <c r="DV284" s="1507">
        <v>2771</v>
      </c>
      <c r="DW284" s="1506">
        <v>2626</v>
      </c>
      <c r="DX284" s="555"/>
      <c r="DY284" s="555"/>
      <c r="DZ284" s="555"/>
      <c r="EA284" s="555"/>
      <c r="EB284" s="802"/>
      <c r="EC284" s="555"/>
      <c r="ED284" s="555"/>
      <c r="EE284" s="555"/>
      <c r="EF284" s="555"/>
      <c r="EG284" s="802"/>
      <c r="EH284" s="555"/>
      <c r="EI284" s="555"/>
      <c r="EJ284" s="555"/>
      <c r="EK284" s="555"/>
      <c r="EL284" s="802"/>
    </row>
    <row r="285" spans="1:142" hidden="1" outlineLevel="1">
      <c r="B285" s="973" t="s">
        <v>691</v>
      </c>
      <c r="DM285" s="1505"/>
      <c r="DR285" s="1505"/>
      <c r="DW285" s="1505"/>
    </row>
    <row r="286" spans="1:142" hidden="1" outlineLevel="1">
      <c r="A286" s="557"/>
      <c r="B286" s="557" t="s">
        <v>105</v>
      </c>
      <c r="C286" s="1205"/>
      <c r="D286" s="1205">
        <v>0.42399999999999999</v>
      </c>
      <c r="E286" s="1203" t="s">
        <v>503</v>
      </c>
      <c r="F286" s="1203" t="s">
        <v>503</v>
      </c>
      <c r="G286" s="1203" t="s">
        <v>503</v>
      </c>
      <c r="H286" s="1206">
        <v>0.39</v>
      </c>
      <c r="I286" s="1205">
        <v>0.38400000000000001</v>
      </c>
      <c r="J286" s="1205">
        <v>0.38400000000000001</v>
      </c>
      <c r="K286" s="1205">
        <v>0.41699999999999998</v>
      </c>
      <c r="L286" s="1203" t="s">
        <v>503</v>
      </c>
      <c r="M286" s="1206">
        <v>0.39700000000000002</v>
      </c>
      <c r="N286" s="1205">
        <v>0.38200000000000001</v>
      </c>
      <c r="O286" s="1205">
        <v>0.41699999999999998</v>
      </c>
      <c r="P286" s="1205">
        <v>0.41099999999999998</v>
      </c>
      <c r="Q286" s="1203" t="s">
        <v>503</v>
      </c>
      <c r="R286" s="1206">
        <v>0.42199999999999999</v>
      </c>
      <c r="S286" s="1205">
        <v>0.38300000000000001</v>
      </c>
      <c r="T286" s="1205">
        <v>0.378</v>
      </c>
      <c r="U286" s="1205">
        <v>0.378</v>
      </c>
      <c r="V286" s="1203" t="s">
        <v>503</v>
      </c>
      <c r="W286" s="1206">
        <v>0.38</v>
      </c>
      <c r="X286" s="1205">
        <v>0.35299999999999998</v>
      </c>
      <c r="Y286" s="1205">
        <v>0.33800000000000002</v>
      </c>
      <c r="Z286" s="1205">
        <v>0.34499999999999997</v>
      </c>
      <c r="AA286" s="1203" t="s">
        <v>503</v>
      </c>
      <c r="AB286" s="1206">
        <v>0.34200000000000003</v>
      </c>
      <c r="AC286" s="1205">
        <v>0.32600000000000001</v>
      </c>
      <c r="AD286" s="1205">
        <v>0.316</v>
      </c>
      <c r="AE286" s="1205">
        <v>0.33</v>
      </c>
      <c r="AF286" s="1203" t="s">
        <v>503</v>
      </c>
      <c r="AG286" s="1206">
        <v>0.32600000000000001</v>
      </c>
      <c r="AH286" s="1205">
        <v>0.312</v>
      </c>
      <c r="AI286" s="1205">
        <v>0.29699999999999999</v>
      </c>
      <c r="AJ286" s="1205">
        <v>0.30099999999999999</v>
      </c>
      <c r="AK286" s="1203" t="s">
        <v>503</v>
      </c>
      <c r="AL286" s="1206">
        <v>0.308</v>
      </c>
      <c r="AM286" s="1205">
        <v>0.31</v>
      </c>
      <c r="AN286" s="1205">
        <v>0.308</v>
      </c>
      <c r="AO286" s="1205">
        <v>0.32</v>
      </c>
      <c r="AP286" s="1203" t="s">
        <v>503</v>
      </c>
      <c r="AQ286" s="1206">
        <v>0.318</v>
      </c>
      <c r="AR286" s="1205">
        <v>0.313</v>
      </c>
      <c r="AS286" s="1205">
        <v>0.308</v>
      </c>
      <c r="AT286" s="1205">
        <v>0.28100000000000003</v>
      </c>
      <c r="AU286" s="802"/>
      <c r="AV286" s="708" t="s">
        <v>503</v>
      </c>
      <c r="AW286" s="708" t="s">
        <v>503</v>
      </c>
      <c r="AX286" s="708" t="s">
        <v>503</v>
      </c>
      <c r="AY286" s="708" t="s">
        <v>503</v>
      </c>
      <c r="AZ286" s="1188" t="s">
        <v>503</v>
      </c>
      <c r="BA286" s="1205">
        <v>0.27300000000000002</v>
      </c>
      <c r="BB286" s="1205">
        <v>0.26900000000000002</v>
      </c>
      <c r="BC286" s="1205">
        <v>0.26400000000000001</v>
      </c>
      <c r="BD286" s="1203" t="s">
        <v>503</v>
      </c>
      <c r="BE286" s="1206">
        <v>0.26200000000000001</v>
      </c>
      <c r="BF286" s="1205">
        <v>0.26</v>
      </c>
      <c r="BG286" s="1205">
        <v>0.25900000000000001</v>
      </c>
      <c r="BH286" s="1205">
        <v>0.251</v>
      </c>
      <c r="BI286" s="1205">
        <v>0.27200000000000002</v>
      </c>
      <c r="BJ286" s="1206">
        <v>0.26100000000000001</v>
      </c>
      <c r="BK286" s="950">
        <v>0.28199999999999997</v>
      </c>
      <c r="BL286" s="558">
        <v>0.27200000000000002</v>
      </c>
      <c r="BM286" s="1207">
        <v>0.26600000000000001</v>
      </c>
      <c r="BN286" s="1207">
        <v>0.28199999999999997</v>
      </c>
      <c r="BO286" s="949">
        <v>0.27500000000000002</v>
      </c>
      <c r="BP286" s="950">
        <v>0.28299999999999997</v>
      </c>
      <c r="BQ286" s="558">
        <v>0.26800000000000002</v>
      </c>
      <c r="BR286" s="1207">
        <v>0.247</v>
      </c>
      <c r="BS286" s="1207">
        <v>0.26300000000000001</v>
      </c>
      <c r="BT286" s="949">
        <v>0.26500000000000001</v>
      </c>
      <c r="BU286" s="950">
        <v>0.27200000000000002</v>
      </c>
      <c r="BV286" s="558">
        <v>0.251</v>
      </c>
      <c r="BW286" s="1207">
        <v>0.251</v>
      </c>
      <c r="BX286" s="1207">
        <v>0.25600000000000001</v>
      </c>
      <c r="BY286" s="949">
        <v>0.25800000000000001</v>
      </c>
      <c r="BZ286" s="950">
        <v>0.26100000000000001</v>
      </c>
      <c r="CA286" s="558">
        <v>0.248</v>
      </c>
      <c r="CB286" s="1207">
        <v>0.25</v>
      </c>
      <c r="CC286" s="1207">
        <v>0.255</v>
      </c>
      <c r="CD286" s="949">
        <v>0.254</v>
      </c>
      <c r="CE286" s="950">
        <v>0.26800000000000002</v>
      </c>
      <c r="CF286" s="558">
        <v>0.24</v>
      </c>
      <c r="CG286" s="1207">
        <v>0.24399999999999999</v>
      </c>
      <c r="CH286" s="1207">
        <v>0.247</v>
      </c>
      <c r="CI286" s="949">
        <v>0.25</v>
      </c>
      <c r="CJ286" s="950">
        <v>0.251</v>
      </c>
      <c r="CK286" s="558">
        <v>0.23200000000000001</v>
      </c>
      <c r="CL286" s="1207">
        <v>0.23699999999999999</v>
      </c>
      <c r="CM286" s="1207">
        <v>0.23499999999999999</v>
      </c>
      <c r="CN286" s="949">
        <v>0.23899999999999999</v>
      </c>
      <c r="CO286" s="950">
        <v>0.23200000000000001</v>
      </c>
      <c r="CP286" s="558">
        <v>0.23499999999999999</v>
      </c>
      <c r="CQ286" s="1207">
        <v>0.22500000000000001</v>
      </c>
      <c r="CR286" s="1207">
        <v>0.23100000000000001</v>
      </c>
      <c r="CS286" s="949">
        <v>0.23100000000000001</v>
      </c>
      <c r="CT286" s="950">
        <v>0.26500000000000001</v>
      </c>
      <c r="CU286" s="558">
        <v>0.22700000000000001</v>
      </c>
      <c r="CV286" s="1207">
        <v>0.22700000000000001</v>
      </c>
      <c r="CW286" s="1207">
        <v>0.224</v>
      </c>
      <c r="CX286" s="949">
        <v>0.23400000000000001</v>
      </c>
      <c r="CY286" s="950">
        <v>0.23</v>
      </c>
      <c r="CZ286" s="558">
        <v>0.21</v>
      </c>
      <c r="DA286" s="1207">
        <v>0.21299999999999999</v>
      </c>
      <c r="DB286" s="1207">
        <v>0.218</v>
      </c>
      <c r="DC286" s="949">
        <v>0.218</v>
      </c>
      <c r="DD286" s="950">
        <v>0.22600000000000001</v>
      </c>
      <c r="DE286" s="558">
        <v>0.22500000000000001</v>
      </c>
      <c r="DF286" s="1207">
        <v>0.215</v>
      </c>
      <c r="DG286" s="1207">
        <v>0.20899999999999999</v>
      </c>
      <c r="DH286" s="949"/>
      <c r="DI286" s="950">
        <v>0.218</v>
      </c>
      <c r="DJ286" s="558">
        <v>0.20699999999999999</v>
      </c>
      <c r="DK286" s="1207">
        <v>0.19800000000000001</v>
      </c>
      <c r="DL286" s="1207">
        <v>0.193</v>
      </c>
      <c r="DM286" s="1286">
        <v>0.20399999999999999</v>
      </c>
      <c r="DN286" s="1287">
        <v>0.2</v>
      </c>
      <c r="DO286" s="1284">
        <v>0.217</v>
      </c>
      <c r="DP286" s="1285">
        <v>0.19900000000000001</v>
      </c>
      <c r="DQ286" s="1285">
        <v>0.20399999999999999</v>
      </c>
      <c r="DR286" s="1286">
        <v>0.20499999999999999</v>
      </c>
      <c r="DS286" s="1287">
        <v>0.21</v>
      </c>
      <c r="DT286" s="1284">
        <v>0.20100000000000001</v>
      </c>
      <c r="DU286" s="1284">
        <v>0.2</v>
      </c>
      <c r="DV286" s="1285">
        <v>0.189</v>
      </c>
      <c r="DW286" s="1286">
        <f>AVERAGE(DS286:DV286)</f>
        <v>0.2</v>
      </c>
      <c r="DX286" s="555"/>
      <c r="DY286" s="555"/>
      <c r="DZ286" s="555"/>
      <c r="EA286" s="555"/>
      <c r="EB286" s="802"/>
      <c r="EC286" s="555"/>
      <c r="ED286" s="555"/>
      <c r="EE286" s="555"/>
      <c r="EF286" s="555"/>
      <c r="EG286" s="802"/>
      <c r="EH286" s="555"/>
      <c r="EI286" s="555"/>
      <c r="EJ286" s="555"/>
      <c r="EK286" s="555"/>
      <c r="EL286" s="802"/>
    </row>
    <row r="287" spans="1:142" hidden="1" outlineLevel="1">
      <c r="A287" s="557"/>
      <c r="B287" s="557" t="s">
        <v>106</v>
      </c>
      <c r="C287" s="1205"/>
      <c r="D287" s="1205">
        <v>0.42399999999999999</v>
      </c>
      <c r="E287" s="1203" t="s">
        <v>503</v>
      </c>
      <c r="F287" s="1203" t="s">
        <v>503</v>
      </c>
      <c r="G287" s="1203" t="s">
        <v>503</v>
      </c>
      <c r="H287" s="1188" t="s">
        <v>503</v>
      </c>
      <c r="I287" s="1203" t="s">
        <v>503</v>
      </c>
      <c r="J287" s="1203" t="s">
        <v>503</v>
      </c>
      <c r="K287" s="1203" t="s">
        <v>503</v>
      </c>
      <c r="L287" s="1203" t="s">
        <v>503</v>
      </c>
      <c r="M287" s="1188">
        <v>6.7000000000000004E-2</v>
      </c>
      <c r="N287" s="1203" t="s">
        <v>503</v>
      </c>
      <c r="O287" s="1203" t="s">
        <v>503</v>
      </c>
      <c r="P287" s="1203" t="s">
        <v>503</v>
      </c>
      <c r="Q287" s="1203" t="s">
        <v>503</v>
      </c>
      <c r="R287" s="1188">
        <v>8.5999999999999993E-2</v>
      </c>
      <c r="S287" s="1203" t="s">
        <v>503</v>
      </c>
      <c r="T287" s="1203" t="s">
        <v>503</v>
      </c>
      <c r="U287" s="1203" t="s">
        <v>503</v>
      </c>
      <c r="V287" s="1203" t="s">
        <v>503</v>
      </c>
      <c r="W287" s="1188" t="s">
        <v>503</v>
      </c>
      <c r="X287" s="1203" t="s">
        <v>503</v>
      </c>
      <c r="Y287" s="1203" t="s">
        <v>503</v>
      </c>
      <c r="Z287" s="1203" t="s">
        <v>503</v>
      </c>
      <c r="AA287" s="1203" t="s">
        <v>503</v>
      </c>
      <c r="AB287" s="1211">
        <v>9.0999999999999998E-2</v>
      </c>
      <c r="AC287" s="1212">
        <v>0.08</v>
      </c>
      <c r="AD287" s="1212">
        <v>8.3000000000000004E-2</v>
      </c>
      <c r="AE287" s="1212">
        <v>8.5999999999999993E-2</v>
      </c>
      <c r="AF287" s="1203" t="s">
        <v>503</v>
      </c>
      <c r="AG287" s="1211">
        <v>8.3000000000000004E-2</v>
      </c>
      <c r="AH287" s="1212">
        <v>0.08</v>
      </c>
      <c r="AI287" s="1212">
        <v>8.6999999999999994E-2</v>
      </c>
      <c r="AJ287" s="1212">
        <v>8.2000000000000003E-2</v>
      </c>
      <c r="AK287" s="1203" t="s">
        <v>503</v>
      </c>
      <c r="AL287" s="1211">
        <v>8.2000000000000003E-2</v>
      </c>
      <c r="AM287" s="1212">
        <v>7.9000000000000001E-2</v>
      </c>
      <c r="AN287" s="1212">
        <v>8.3000000000000004E-2</v>
      </c>
      <c r="AO287" s="1212">
        <v>8.6999999999999994E-2</v>
      </c>
      <c r="AP287" s="1203" t="s">
        <v>503</v>
      </c>
      <c r="AQ287" s="1211">
        <v>8.5999999999999993E-2</v>
      </c>
      <c r="AR287" s="1212">
        <v>8.1000000000000003E-2</v>
      </c>
      <c r="AS287" s="1212">
        <v>0.08</v>
      </c>
      <c r="AT287" s="1212">
        <v>0.09</v>
      </c>
      <c r="AU287" s="802"/>
      <c r="AV287" s="708" t="s">
        <v>503</v>
      </c>
      <c r="AW287" s="708" t="s">
        <v>503</v>
      </c>
      <c r="AX287" s="708" t="s">
        <v>503</v>
      </c>
      <c r="AY287" s="708" t="s">
        <v>503</v>
      </c>
      <c r="AZ287" s="1188" t="s">
        <v>503</v>
      </c>
      <c r="BA287" s="1205">
        <v>8.7999999999999995E-2</v>
      </c>
      <c r="BB287" s="1212">
        <v>9.4E-2</v>
      </c>
      <c r="BC287" s="1212">
        <v>8.8999999999999996E-2</v>
      </c>
      <c r="BD287" s="1203" t="s">
        <v>503</v>
      </c>
      <c r="BE287" s="1211">
        <v>9.1999999999999998E-2</v>
      </c>
      <c r="BF287" s="1205">
        <v>7.5999999999999998E-2</v>
      </c>
      <c r="BG287" s="1205">
        <v>7.1999999999999995E-2</v>
      </c>
      <c r="BH287" s="1205">
        <v>7.9000000000000001E-2</v>
      </c>
      <c r="BI287" s="1205">
        <v>7.3999999999999996E-2</v>
      </c>
      <c r="BJ287" s="1206">
        <v>7.3999999999999996E-2</v>
      </c>
      <c r="BK287" s="950">
        <v>8.1000000000000003E-2</v>
      </c>
      <c r="BL287" s="558">
        <v>8.3000000000000004E-2</v>
      </c>
      <c r="BM287" s="1207">
        <v>8.7999999999999995E-2</v>
      </c>
      <c r="BN287" s="1207">
        <v>0.08</v>
      </c>
      <c r="BO287" s="949">
        <v>8.3000000000000004E-2</v>
      </c>
      <c r="BP287" s="950">
        <v>8.5000000000000006E-2</v>
      </c>
      <c r="BQ287" s="558">
        <v>9.5000000000000001E-2</v>
      </c>
      <c r="BR287" s="1207">
        <v>8.7999999999999995E-2</v>
      </c>
      <c r="BS287" s="1207">
        <v>9.2999999999999999E-2</v>
      </c>
      <c r="BT287" s="949">
        <v>0.09</v>
      </c>
      <c r="BU287" s="950">
        <v>6.9000000000000006E-2</v>
      </c>
      <c r="BV287" s="558">
        <v>8.8999999999999996E-2</v>
      </c>
      <c r="BW287" s="1207">
        <v>9.0999999999999998E-2</v>
      </c>
      <c r="BX287" s="1207">
        <v>8.5000000000000006E-2</v>
      </c>
      <c r="BY287" s="949">
        <v>8.4000000000000005E-2</v>
      </c>
      <c r="BZ287" s="950">
        <v>8.1000000000000003E-2</v>
      </c>
      <c r="CA287" s="558">
        <v>8.2000000000000003E-2</v>
      </c>
      <c r="CB287" s="1207">
        <v>8.5999999999999993E-2</v>
      </c>
      <c r="CC287" s="1207">
        <v>8.2000000000000003E-2</v>
      </c>
      <c r="CD287" s="949">
        <v>8.4000000000000005E-2</v>
      </c>
      <c r="CE287" s="950">
        <v>0.08</v>
      </c>
      <c r="CF287" s="558">
        <v>8.3000000000000004E-2</v>
      </c>
      <c r="CG287" s="1207">
        <v>8.5000000000000006E-2</v>
      </c>
      <c r="CH287" s="1207">
        <v>7.4999999999999997E-2</v>
      </c>
      <c r="CI287" s="949">
        <v>8.1000000000000003E-2</v>
      </c>
      <c r="CJ287" s="950">
        <v>8.6999999999999994E-2</v>
      </c>
      <c r="CK287" s="558">
        <v>9.2999999999999999E-2</v>
      </c>
      <c r="CL287" s="1207">
        <v>0.08</v>
      </c>
      <c r="CM287" s="1207">
        <v>8.5999999999999993E-2</v>
      </c>
      <c r="CN287" s="949">
        <v>8.6999999999999994E-2</v>
      </c>
      <c r="CO287" s="950">
        <v>0.115</v>
      </c>
      <c r="CP287" s="558">
        <v>7.4999999999999997E-2</v>
      </c>
      <c r="CQ287" s="1207">
        <v>0.08</v>
      </c>
      <c r="CR287" s="1207">
        <v>8.5999999999999993E-2</v>
      </c>
      <c r="CS287" s="949">
        <v>0.09</v>
      </c>
      <c r="CT287" s="950">
        <v>7.4999999999999997E-2</v>
      </c>
      <c r="CU287" s="558">
        <v>0.1</v>
      </c>
      <c r="CV287" s="1207">
        <v>7.6999999999999999E-2</v>
      </c>
      <c r="CW287" s="1207">
        <v>8.3000000000000004E-2</v>
      </c>
      <c r="CX287" s="949">
        <v>8.4000000000000005E-2</v>
      </c>
      <c r="CY287" s="950">
        <v>0.08</v>
      </c>
      <c r="CZ287" s="558">
        <v>9.9000000000000005E-2</v>
      </c>
      <c r="DA287" s="1207">
        <v>8.7999999999999995E-2</v>
      </c>
      <c r="DB287" s="1207">
        <v>9.2999999999999999E-2</v>
      </c>
      <c r="DC287" s="949">
        <v>0.09</v>
      </c>
      <c r="DD287" s="950">
        <v>7.6999999999999999E-2</v>
      </c>
      <c r="DE287" s="558">
        <v>9.9000000000000005E-2</v>
      </c>
      <c r="DF287" s="1207">
        <v>8.6999999999999994E-2</v>
      </c>
      <c r="DG287" s="1207">
        <v>0.111</v>
      </c>
      <c r="DH287" s="949"/>
      <c r="DI287" s="950">
        <v>9.1999999999999998E-2</v>
      </c>
      <c r="DJ287" s="558">
        <v>8.5000000000000006E-2</v>
      </c>
      <c r="DK287" s="1207">
        <v>8.7999999999999995E-2</v>
      </c>
      <c r="DL287" s="1207">
        <v>8.2000000000000003E-2</v>
      </c>
      <c r="DM287" s="1286">
        <v>8.6999999999999994E-2</v>
      </c>
      <c r="DN287" s="1287">
        <v>8.6999999999999994E-2</v>
      </c>
      <c r="DO287" s="1284">
        <v>7.3999999999999996E-2</v>
      </c>
      <c r="DP287" s="1285">
        <v>8.4000000000000005E-2</v>
      </c>
      <c r="DQ287" s="1285">
        <v>8.2000000000000003E-2</v>
      </c>
      <c r="DR287" s="1286">
        <v>8.2000000000000003E-2</v>
      </c>
      <c r="DS287" s="1287">
        <v>6.7000000000000004E-2</v>
      </c>
      <c r="DT287" s="1284">
        <v>6.9000000000000006E-2</v>
      </c>
      <c r="DU287" s="1284">
        <v>6.5000000000000002E-2</v>
      </c>
      <c r="DV287" s="1285">
        <v>0.11899999999999999</v>
      </c>
      <c r="DW287" s="1286">
        <v>8.1000000000000003E-2</v>
      </c>
      <c r="DX287" s="555"/>
      <c r="DY287" s="555"/>
      <c r="DZ287" s="555"/>
      <c r="EA287" s="555"/>
      <c r="EB287" s="802"/>
      <c r="EC287" s="555"/>
      <c r="ED287" s="555"/>
      <c r="EE287" s="555"/>
      <c r="EF287" s="555"/>
      <c r="EG287" s="802"/>
      <c r="EH287" s="555"/>
      <c r="EI287" s="555"/>
      <c r="EJ287" s="555"/>
      <c r="EK287" s="555"/>
      <c r="EL287" s="802"/>
    </row>
    <row r="288" spans="1:142" hidden="1" outlineLevel="1">
      <c r="A288" s="557"/>
      <c r="B288" s="557" t="s">
        <v>110</v>
      </c>
      <c r="C288" s="1203"/>
      <c r="D288" s="1203" t="s">
        <v>503</v>
      </c>
      <c r="E288" s="1203" t="s">
        <v>503</v>
      </c>
      <c r="F288" s="1203" t="s">
        <v>503</v>
      </c>
      <c r="G288" s="1203" t="s">
        <v>503</v>
      </c>
      <c r="H288" s="1188" t="s">
        <v>503</v>
      </c>
      <c r="I288" s="1203" t="s">
        <v>503</v>
      </c>
      <c r="J288" s="1203" t="s">
        <v>503</v>
      </c>
      <c r="K288" s="1203" t="s">
        <v>503</v>
      </c>
      <c r="L288" s="1203" t="s">
        <v>503</v>
      </c>
      <c r="M288" s="1188" t="s">
        <v>503</v>
      </c>
      <c r="N288" s="1203" t="s">
        <v>503</v>
      </c>
      <c r="O288" s="1203" t="s">
        <v>503</v>
      </c>
      <c r="P288" s="1203" t="s">
        <v>503</v>
      </c>
      <c r="Q288" s="1203" t="s">
        <v>503</v>
      </c>
      <c r="R288" s="1188" t="s">
        <v>503</v>
      </c>
      <c r="S288" s="1203" t="s">
        <v>503</v>
      </c>
      <c r="T288" s="1203" t="s">
        <v>503</v>
      </c>
      <c r="U288" s="1203" t="s">
        <v>503</v>
      </c>
      <c r="V288" s="1203" t="s">
        <v>503</v>
      </c>
      <c r="W288" s="1188" t="s">
        <v>503</v>
      </c>
      <c r="X288" s="1203" t="s">
        <v>503</v>
      </c>
      <c r="Y288" s="1203" t="s">
        <v>503</v>
      </c>
      <c r="Z288" s="1203" t="s">
        <v>503</v>
      </c>
      <c r="AA288" s="1203" t="s">
        <v>503</v>
      </c>
      <c r="AB288" s="1188" t="s">
        <v>503</v>
      </c>
      <c r="AC288" s="1212" t="s">
        <v>503</v>
      </c>
      <c r="AD288" s="1212" t="s">
        <v>503</v>
      </c>
      <c r="AE288" s="1212" t="s">
        <v>503</v>
      </c>
      <c r="AF288" s="1203" t="s">
        <v>503</v>
      </c>
      <c r="AG288" s="1188" t="s">
        <v>503</v>
      </c>
      <c r="AH288" s="1212" t="s">
        <v>503</v>
      </c>
      <c r="AI288" s="1212" t="s">
        <v>503</v>
      </c>
      <c r="AJ288" s="1212" t="s">
        <v>503</v>
      </c>
      <c r="AK288" s="1203" t="s">
        <v>503</v>
      </c>
      <c r="AL288" s="1188" t="s">
        <v>503</v>
      </c>
      <c r="AM288" s="1212" t="s">
        <v>503</v>
      </c>
      <c r="AN288" s="1212" t="s">
        <v>503</v>
      </c>
      <c r="AO288" s="1212" t="s">
        <v>503</v>
      </c>
      <c r="AP288" s="1203" t="s">
        <v>503</v>
      </c>
      <c r="AQ288" s="1188" t="s">
        <v>503</v>
      </c>
      <c r="AR288" s="1212" t="s">
        <v>503</v>
      </c>
      <c r="AS288" s="1212" t="s">
        <v>503</v>
      </c>
      <c r="AT288" s="1212" t="s">
        <v>503</v>
      </c>
      <c r="AU288" s="802"/>
      <c r="AV288" s="708" t="s">
        <v>503</v>
      </c>
      <c r="AW288" s="708" t="s">
        <v>503</v>
      </c>
      <c r="AX288" s="708" t="s">
        <v>503</v>
      </c>
      <c r="AY288" s="708" t="s">
        <v>503</v>
      </c>
      <c r="AZ288" s="1188" t="s">
        <v>503</v>
      </c>
      <c r="BA288" s="1212">
        <v>0.49199999999999999</v>
      </c>
      <c r="BB288" s="1205">
        <v>0.48099999999999998</v>
      </c>
      <c r="BC288" s="1205">
        <v>0.48399999999999999</v>
      </c>
      <c r="BD288" s="1203" t="s">
        <v>503</v>
      </c>
      <c r="BE288" s="1206">
        <v>0.48899999999999999</v>
      </c>
      <c r="BF288" s="1205">
        <v>0.49099999999999999</v>
      </c>
      <c r="BG288" s="1205">
        <v>0.49099999999999999</v>
      </c>
      <c r="BH288" s="1205">
        <v>0.495</v>
      </c>
      <c r="BI288" s="1205">
        <v>0.501</v>
      </c>
      <c r="BJ288" s="1206">
        <v>0.497</v>
      </c>
      <c r="BK288" s="950">
        <v>0.505</v>
      </c>
      <c r="BL288" s="558">
        <v>0.502</v>
      </c>
      <c r="BM288" s="1207">
        <v>0.50900000000000001</v>
      </c>
      <c r="BN288" s="1207">
        <v>0.51300000000000001</v>
      </c>
      <c r="BO288" s="949">
        <v>0.50800000000000001</v>
      </c>
      <c r="BP288" s="950">
        <v>0.51100000000000001</v>
      </c>
      <c r="BQ288" s="558">
        <v>0.52200000000000002</v>
      </c>
      <c r="BR288" s="1207">
        <v>0.53900000000000003</v>
      </c>
      <c r="BS288" s="1207">
        <v>0.52</v>
      </c>
      <c r="BT288" s="949">
        <v>0.52300000000000002</v>
      </c>
      <c r="BU288" s="950">
        <f t="shared" ref="BU288:CL288" si="562">BU290+BU291</f>
        <v>0.54400000000000004</v>
      </c>
      <c r="BV288" s="558">
        <f t="shared" si="562"/>
        <v>0.53100000000000003</v>
      </c>
      <c r="BW288" s="1207">
        <f t="shared" si="562"/>
        <v>0.53500000000000003</v>
      </c>
      <c r="BX288" s="1207">
        <f t="shared" si="562"/>
        <v>0.54400000000000004</v>
      </c>
      <c r="BY288" s="949">
        <f t="shared" si="562"/>
        <v>0.53800000000000003</v>
      </c>
      <c r="BZ288" s="950">
        <f t="shared" si="562"/>
        <v>0.54400000000000004</v>
      </c>
      <c r="CA288" s="558">
        <f t="shared" si="562"/>
        <v>0.55299999999999994</v>
      </c>
      <c r="CB288" s="1207">
        <f t="shared" si="562"/>
        <v>0.54800000000000004</v>
      </c>
      <c r="CC288" s="1207">
        <f t="shared" si="562"/>
        <v>0.55899999999999994</v>
      </c>
      <c r="CD288" s="949">
        <f t="shared" si="562"/>
        <v>0.54800000000000004</v>
      </c>
      <c r="CE288" s="950">
        <f t="shared" si="562"/>
        <v>0.55300000000000005</v>
      </c>
      <c r="CF288" s="558">
        <f t="shared" si="562"/>
        <v>0.56799999999999995</v>
      </c>
      <c r="CG288" s="1207">
        <f t="shared" si="562"/>
        <v>0.55999999999999994</v>
      </c>
      <c r="CH288" s="1207">
        <f t="shared" si="562"/>
        <v>0.56199999999999994</v>
      </c>
      <c r="CI288" s="949">
        <f t="shared" si="562"/>
        <v>0.56099999999999994</v>
      </c>
      <c r="CJ288" s="950">
        <f t="shared" si="562"/>
        <v>0.55300000000000005</v>
      </c>
      <c r="CK288" s="558">
        <f t="shared" si="562"/>
        <v>0.56499999999999995</v>
      </c>
      <c r="CL288" s="1207">
        <f t="shared" si="562"/>
        <v>0.56999999999999995</v>
      </c>
      <c r="CM288" s="1207">
        <v>0.56899999999999995</v>
      </c>
      <c r="CN288" s="949">
        <v>0.56499999999999995</v>
      </c>
      <c r="CO288" s="950">
        <v>0.54600000000000004</v>
      </c>
      <c r="CP288" s="558">
        <v>0.58199999999999996</v>
      </c>
      <c r="CQ288" s="1207">
        <v>0.58199999999999996</v>
      </c>
      <c r="CR288" s="1207">
        <v>0.58099999999999996</v>
      </c>
      <c r="CS288" s="949">
        <v>0.57199999999999995</v>
      </c>
      <c r="CT288" s="950">
        <v>0.55900000000000005</v>
      </c>
      <c r="CU288" s="558">
        <v>0.56799999999999995</v>
      </c>
      <c r="CV288" s="1207">
        <v>0.58899999999999997</v>
      </c>
      <c r="CW288" s="1207">
        <v>0.58299999999999996</v>
      </c>
      <c r="CX288" s="949">
        <v>0.57399999999999995</v>
      </c>
      <c r="CY288" s="950">
        <v>0.57899999999999996</v>
      </c>
      <c r="CZ288" s="558">
        <v>0.58099999999999996</v>
      </c>
      <c r="DA288" s="1207">
        <v>0.58799999999999997</v>
      </c>
      <c r="DB288" s="1207">
        <v>0.57699999999999996</v>
      </c>
      <c r="DC288" s="949">
        <v>0.58099999999999996</v>
      </c>
      <c r="DD288" s="950">
        <v>0.57799999999999996</v>
      </c>
      <c r="DE288" s="558">
        <v>0.57999999999999996</v>
      </c>
      <c r="DF288" s="1207">
        <v>0.60699999999999998</v>
      </c>
      <c r="DG288" s="1207">
        <v>0.57899999999999996</v>
      </c>
      <c r="DH288" s="949"/>
      <c r="DI288" s="950">
        <v>0.58799999999999997</v>
      </c>
      <c r="DJ288" s="558">
        <v>0.60799999999999998</v>
      </c>
      <c r="DK288" s="1207">
        <v>0.61099999999999999</v>
      </c>
      <c r="DL288" s="1207">
        <v>0.61599999999999999</v>
      </c>
      <c r="DM288" s="1286">
        <v>0.60599999999999998</v>
      </c>
      <c r="DN288" s="1287">
        <v>0.61099999999999999</v>
      </c>
      <c r="DO288" s="1284">
        <v>0.59399999999999997</v>
      </c>
      <c r="DP288" s="1285">
        <v>0.64</v>
      </c>
      <c r="DQ288" s="1285">
        <v>0.61399999999999999</v>
      </c>
      <c r="DR288" s="1286">
        <v>0.61499999999999999</v>
      </c>
      <c r="DS288" s="1287">
        <v>0.623</v>
      </c>
      <c r="DT288" s="1284">
        <v>0.625</v>
      </c>
      <c r="DU288" s="1284">
        <v>0.625</v>
      </c>
      <c r="DV288" s="1285">
        <v>0.59599999999999997</v>
      </c>
      <c r="DW288" s="1286">
        <f t="shared" ref="DW288" si="563">AVERAGE(DS288:DV288)</f>
        <v>0.61724999999999997</v>
      </c>
      <c r="DX288" s="555"/>
      <c r="DY288" s="555"/>
      <c r="DZ288" s="555"/>
      <c r="EA288" s="555"/>
      <c r="EB288" s="802"/>
      <c r="EC288" s="555"/>
      <c r="ED288" s="555"/>
      <c r="EE288" s="555"/>
      <c r="EF288" s="555"/>
      <c r="EG288" s="802"/>
      <c r="EH288" s="555"/>
      <c r="EI288" s="555"/>
      <c r="EJ288" s="555"/>
      <c r="EK288" s="555"/>
      <c r="EL288" s="802"/>
    </row>
    <row r="289" spans="1:142" hidden="1" outlineLevel="1">
      <c r="A289" s="557"/>
      <c r="B289" s="557" t="s">
        <v>200</v>
      </c>
      <c r="C289" s="1203"/>
      <c r="D289" s="1203" t="s">
        <v>503</v>
      </c>
      <c r="E289" s="1203" t="s">
        <v>503</v>
      </c>
      <c r="F289" s="1203" t="s">
        <v>503</v>
      </c>
      <c r="G289" s="1203" t="s">
        <v>503</v>
      </c>
      <c r="H289" s="1188" t="s">
        <v>503</v>
      </c>
      <c r="I289" s="1203" t="s">
        <v>503</v>
      </c>
      <c r="J289" s="1203" t="s">
        <v>503</v>
      </c>
      <c r="K289" s="1203" t="s">
        <v>503</v>
      </c>
      <c r="L289" s="1203" t="s">
        <v>503</v>
      </c>
      <c r="M289" s="1188">
        <v>0.53600000000000003</v>
      </c>
      <c r="N289" s="1203" t="s">
        <v>503</v>
      </c>
      <c r="O289" s="1203" t="s">
        <v>503</v>
      </c>
      <c r="P289" s="1203" t="s">
        <v>503</v>
      </c>
      <c r="Q289" s="1203" t="s">
        <v>503</v>
      </c>
      <c r="R289" s="974">
        <f>1-(SUM(R286:R288))</f>
        <v>0.49199999999999999</v>
      </c>
      <c r="S289" s="1203" t="s">
        <v>503</v>
      </c>
      <c r="T289" s="1203" t="s">
        <v>503</v>
      </c>
      <c r="U289" s="1203" t="s">
        <v>503</v>
      </c>
      <c r="V289" s="1203" t="s">
        <v>503</v>
      </c>
      <c r="W289" s="1188" t="s">
        <v>503</v>
      </c>
      <c r="X289" s="1203" t="s">
        <v>503</v>
      </c>
      <c r="Y289" s="1203" t="s">
        <v>503</v>
      </c>
      <c r="Z289" s="1203" t="s">
        <v>503</v>
      </c>
      <c r="AA289" s="1203" t="s">
        <v>503</v>
      </c>
      <c r="AB289" s="1206">
        <v>0.191</v>
      </c>
      <c r="AC289" s="1212">
        <v>0.222</v>
      </c>
      <c r="AD289" s="1212">
        <v>0.182</v>
      </c>
      <c r="AE289" s="1212">
        <v>0.17799999999999999</v>
      </c>
      <c r="AF289" s="1203" t="s">
        <v>503</v>
      </c>
      <c r="AG289" s="1206">
        <v>0.184</v>
      </c>
      <c r="AH289" s="1212">
        <v>0.19700000000000001</v>
      </c>
      <c r="AI289" s="1212">
        <v>0.17699999999999999</v>
      </c>
      <c r="AJ289" s="1212">
        <v>0.17899999999999999</v>
      </c>
      <c r="AK289" s="1203" t="s">
        <v>503</v>
      </c>
      <c r="AL289" s="1206">
        <v>0.17699999999999999</v>
      </c>
      <c r="AM289" s="1212">
        <v>0.182</v>
      </c>
      <c r="AN289" s="1212">
        <v>0.16400000000000001</v>
      </c>
      <c r="AO289" s="1212">
        <v>0.151</v>
      </c>
      <c r="AP289" s="1203" t="s">
        <v>503</v>
      </c>
      <c r="AQ289" s="1206">
        <v>0.157</v>
      </c>
      <c r="AR289" s="1205">
        <v>0.152</v>
      </c>
      <c r="AS289" s="1205">
        <v>0.15</v>
      </c>
      <c r="AT289" s="1212">
        <v>0.14299999999999999</v>
      </c>
      <c r="AU289" s="802"/>
      <c r="AV289" s="708" t="s">
        <v>503</v>
      </c>
      <c r="AW289" s="708" t="s">
        <v>503</v>
      </c>
      <c r="AX289" s="708" t="s">
        <v>503</v>
      </c>
      <c r="AY289" s="708" t="s">
        <v>503</v>
      </c>
      <c r="AZ289" s="1188" t="s">
        <v>503</v>
      </c>
      <c r="BA289" s="1205">
        <v>0.14699999999999999</v>
      </c>
      <c r="BB289" s="1205">
        <v>0.156</v>
      </c>
      <c r="BC289" s="1205">
        <v>0.16300000000000001</v>
      </c>
      <c r="BD289" s="1203" t="s">
        <v>503</v>
      </c>
      <c r="BE289" s="1206">
        <v>0.157</v>
      </c>
      <c r="BF289" s="1205">
        <v>0.17299999999999999</v>
      </c>
      <c r="BG289" s="1205">
        <v>0.17799999999999999</v>
      </c>
      <c r="BH289" s="1205">
        <v>0.17499999999999999</v>
      </c>
      <c r="BI289" s="1205">
        <v>0.153</v>
      </c>
      <c r="BJ289" s="1206">
        <v>0.16800000000000001</v>
      </c>
      <c r="BK289" s="950">
        <v>0.13200000000000001</v>
      </c>
      <c r="BL289" s="558">
        <v>0.14299999999999999</v>
      </c>
      <c r="BM289" s="1207">
        <v>0.13700000000000001</v>
      </c>
      <c r="BN289" s="1207">
        <v>0.125</v>
      </c>
      <c r="BO289" s="949">
        <v>0.13400000000000001</v>
      </c>
      <c r="BP289" s="950">
        <v>0.121</v>
      </c>
      <c r="BQ289" s="558">
        <v>0.115</v>
      </c>
      <c r="BR289" s="1207">
        <v>0.126</v>
      </c>
      <c r="BS289" s="1207">
        <v>0.124</v>
      </c>
      <c r="BT289" s="949">
        <v>0.122</v>
      </c>
      <c r="BU289" s="950">
        <v>0.115</v>
      </c>
      <c r="BV289" s="558">
        <v>0.129</v>
      </c>
      <c r="BW289" s="1207">
        <v>0.123</v>
      </c>
      <c r="BX289" s="1207">
        <v>0.115</v>
      </c>
      <c r="BY289" s="949">
        <v>0.12</v>
      </c>
      <c r="BZ289" s="950">
        <v>0.114</v>
      </c>
      <c r="CA289" s="558">
        <v>0.11700000000000001</v>
      </c>
      <c r="CB289" s="1207">
        <v>0.11600000000000001</v>
      </c>
      <c r="CC289" s="1207">
        <v>0.104</v>
      </c>
      <c r="CD289" s="949">
        <v>0.114</v>
      </c>
      <c r="CE289" s="950">
        <v>9.8000000000000004E-2</v>
      </c>
      <c r="CF289" s="558">
        <v>0.109</v>
      </c>
      <c r="CG289" s="1207">
        <v>0.111</v>
      </c>
      <c r="CH289" s="1207">
        <v>0.11600000000000001</v>
      </c>
      <c r="CI289" s="949">
        <v>0.108</v>
      </c>
      <c r="CJ289" s="950">
        <v>0.109</v>
      </c>
      <c r="CK289" s="558">
        <v>0.11</v>
      </c>
      <c r="CL289" s="1207">
        <v>0.113</v>
      </c>
      <c r="CM289" s="1207">
        <v>0.11</v>
      </c>
      <c r="CN289" s="949">
        <v>0.109</v>
      </c>
      <c r="CO289" s="950">
        <v>0.107</v>
      </c>
      <c r="CP289" s="558">
        <v>0.108</v>
      </c>
      <c r="CQ289" s="1207">
        <v>0.113</v>
      </c>
      <c r="CR289" s="1207">
        <v>0.10199999999999999</v>
      </c>
      <c r="CS289" s="949">
        <v>0.107</v>
      </c>
      <c r="CT289" s="950">
        <v>0.10100000000000001</v>
      </c>
      <c r="CU289" s="558">
        <v>0.105</v>
      </c>
      <c r="CV289" s="1207">
        <v>0.113</v>
      </c>
      <c r="CW289" s="1207">
        <v>0.11</v>
      </c>
      <c r="CX289" s="949">
        <v>0.108</v>
      </c>
      <c r="CY289" s="950">
        <v>0.111</v>
      </c>
      <c r="CZ289" s="558">
        <v>0.11</v>
      </c>
      <c r="DA289" s="1207">
        <v>0.111</v>
      </c>
      <c r="DB289" s="1207">
        <v>0.112</v>
      </c>
      <c r="DC289" s="949">
        <v>0.111</v>
      </c>
      <c r="DD289" s="950">
        <v>0.11899999999999999</v>
      </c>
      <c r="DE289" s="558">
        <v>9.6000000000000002E-2</v>
      </c>
      <c r="DF289" s="1207">
        <v>9.0999999999999998E-2</v>
      </c>
      <c r="DG289" s="1207">
        <v>0.10100000000000001</v>
      </c>
      <c r="DH289" s="949"/>
      <c r="DI289" s="950">
        <v>0.10199999999999999</v>
      </c>
      <c r="DJ289" s="558">
        <v>0.1</v>
      </c>
      <c r="DK289" s="1207">
        <v>0.10299999999999999</v>
      </c>
      <c r="DL289" s="1207">
        <v>0.109</v>
      </c>
      <c r="DM289" s="1286">
        <v>0.10299999999999999</v>
      </c>
      <c r="DN289" s="1287">
        <v>0.10199999999999999</v>
      </c>
      <c r="DO289" s="1284">
        <v>0.115</v>
      </c>
      <c r="DP289" s="1285">
        <v>7.6999999999999999E-2</v>
      </c>
      <c r="DQ289" s="1285">
        <v>0.1</v>
      </c>
      <c r="DR289" s="1286">
        <v>9.8000000000000004E-2</v>
      </c>
      <c r="DS289" s="1287">
        <v>0.1</v>
      </c>
      <c r="DT289" s="1284">
        <v>0.105</v>
      </c>
      <c r="DU289" s="1284">
        <v>0.11</v>
      </c>
      <c r="DV289" s="1285">
        <v>9.6000000000000002E-2</v>
      </c>
      <c r="DW289" s="1286">
        <v>0.10199999999999999</v>
      </c>
      <c r="DX289" s="555"/>
      <c r="DY289" s="555"/>
      <c r="DZ289" s="555"/>
      <c r="EA289" s="555"/>
      <c r="EB289" s="802"/>
      <c r="EC289" s="555"/>
      <c r="ED289" s="555"/>
      <c r="EE289" s="555"/>
      <c r="EF289" s="555"/>
      <c r="EG289" s="802"/>
      <c r="EH289" s="555"/>
      <c r="EI289" s="555"/>
      <c r="EJ289" s="555"/>
      <c r="EK289" s="555"/>
      <c r="EL289" s="802"/>
    </row>
    <row r="290" spans="1:142" hidden="1" outlineLevel="1">
      <c r="A290" s="557"/>
      <c r="B290" s="557" t="s">
        <v>201</v>
      </c>
      <c r="C290" s="1203"/>
      <c r="D290" s="1203" t="s">
        <v>503</v>
      </c>
      <c r="E290" s="1203" t="s">
        <v>503</v>
      </c>
      <c r="F290" s="1203" t="s">
        <v>503</v>
      </c>
      <c r="G290" s="1203" t="s">
        <v>503</v>
      </c>
      <c r="H290" s="1188" t="s">
        <v>503</v>
      </c>
      <c r="I290" s="1203" t="s">
        <v>503</v>
      </c>
      <c r="J290" s="1203" t="s">
        <v>503</v>
      </c>
      <c r="K290" s="1203" t="s">
        <v>503</v>
      </c>
      <c r="L290" s="1203" t="s">
        <v>503</v>
      </c>
      <c r="M290" s="1188" t="s">
        <v>503</v>
      </c>
      <c r="N290" s="1203" t="s">
        <v>503</v>
      </c>
      <c r="O290" s="1203" t="s">
        <v>503</v>
      </c>
      <c r="P290" s="1203" t="s">
        <v>503</v>
      </c>
      <c r="Q290" s="1203" t="s">
        <v>503</v>
      </c>
      <c r="R290" s="1188" t="s">
        <v>503</v>
      </c>
      <c r="S290" s="1203" t="s">
        <v>503</v>
      </c>
      <c r="T290" s="1203" t="s">
        <v>503</v>
      </c>
      <c r="U290" s="1203" t="s">
        <v>503</v>
      </c>
      <c r="V290" s="1203" t="s">
        <v>503</v>
      </c>
      <c r="W290" s="1188" t="s">
        <v>503</v>
      </c>
      <c r="X290" s="1203" t="s">
        <v>503</v>
      </c>
      <c r="Y290" s="1203" t="s">
        <v>503</v>
      </c>
      <c r="Z290" s="1203" t="s">
        <v>503</v>
      </c>
      <c r="AA290" s="1203" t="s">
        <v>503</v>
      </c>
      <c r="AB290" s="1188" t="s">
        <v>503</v>
      </c>
      <c r="AC290" s="1212" t="s">
        <v>503</v>
      </c>
      <c r="AD290" s="1212" t="s">
        <v>503</v>
      </c>
      <c r="AE290" s="1212" t="s">
        <v>503</v>
      </c>
      <c r="AF290" s="1203" t="s">
        <v>503</v>
      </c>
      <c r="AG290" s="1188" t="s">
        <v>503</v>
      </c>
      <c r="AH290" s="1212" t="s">
        <v>503</v>
      </c>
      <c r="AI290" s="1212" t="s">
        <v>503</v>
      </c>
      <c r="AJ290" s="1212" t="s">
        <v>503</v>
      </c>
      <c r="AK290" s="1203" t="s">
        <v>503</v>
      </c>
      <c r="AL290" s="1188" t="s">
        <v>503</v>
      </c>
      <c r="AM290" s="1212" t="s">
        <v>503</v>
      </c>
      <c r="AN290" s="1212" t="s">
        <v>503</v>
      </c>
      <c r="AO290" s="1212" t="s">
        <v>503</v>
      </c>
      <c r="AP290" s="1203" t="s">
        <v>503</v>
      </c>
      <c r="AQ290" s="1188" t="s">
        <v>503</v>
      </c>
      <c r="AR290" s="1212" t="s">
        <v>503</v>
      </c>
      <c r="AS290" s="1212" t="s">
        <v>503</v>
      </c>
      <c r="AT290" s="1212" t="s">
        <v>503</v>
      </c>
      <c r="AU290" s="802"/>
      <c r="AV290" s="708" t="s">
        <v>503</v>
      </c>
      <c r="AW290" s="708" t="s">
        <v>503</v>
      </c>
      <c r="AX290" s="708" t="s">
        <v>503</v>
      </c>
      <c r="AY290" s="708" t="s">
        <v>503</v>
      </c>
      <c r="AZ290" s="1188" t="s">
        <v>503</v>
      </c>
      <c r="BA290" s="1212" t="s">
        <v>503</v>
      </c>
      <c r="BB290" s="1212" t="s">
        <v>503</v>
      </c>
      <c r="BC290" s="1212" t="s">
        <v>503</v>
      </c>
      <c r="BD290" s="1203" t="s">
        <v>503</v>
      </c>
      <c r="BE290" s="1211" t="s">
        <v>503</v>
      </c>
      <c r="BF290" s="1212" t="s">
        <v>503</v>
      </c>
      <c r="BG290" s="1212" t="s">
        <v>503</v>
      </c>
      <c r="BH290" s="1212" t="s">
        <v>503</v>
      </c>
      <c r="BI290" s="1212" t="s">
        <v>503</v>
      </c>
      <c r="BJ290" s="1211" t="s">
        <v>503</v>
      </c>
      <c r="BK290" s="1200" t="s">
        <v>503</v>
      </c>
      <c r="BL290" s="1200" t="s">
        <v>503</v>
      </c>
      <c r="BM290" s="1200" t="s">
        <v>503</v>
      </c>
      <c r="BN290" s="1200" t="s">
        <v>503</v>
      </c>
      <c r="BO290" s="1211" t="s">
        <v>503</v>
      </c>
      <c r="BP290" s="1200" t="s">
        <v>503</v>
      </c>
      <c r="BQ290" s="1200" t="s">
        <v>503</v>
      </c>
      <c r="BR290" s="1200" t="s">
        <v>503</v>
      </c>
      <c r="BS290" s="1200" t="s">
        <v>503</v>
      </c>
      <c r="BT290" s="1211" t="s">
        <v>503</v>
      </c>
      <c r="BU290" s="1200">
        <v>0.128</v>
      </c>
      <c r="BV290" s="1200">
        <v>0.114</v>
      </c>
      <c r="BW290" s="1200">
        <v>0.115</v>
      </c>
      <c r="BX290" s="1200">
        <v>0.125</v>
      </c>
      <c r="BY290" s="1211">
        <v>0.12</v>
      </c>
      <c r="BZ290" s="1200">
        <v>0.13400000000000001</v>
      </c>
      <c r="CA290" s="1200">
        <v>0.13200000000000001</v>
      </c>
      <c r="CB290" s="1200">
        <v>0.13300000000000001</v>
      </c>
      <c r="CC290" s="1200">
        <v>0.14099999999999999</v>
      </c>
      <c r="CD290" s="1211">
        <v>0.13500000000000001</v>
      </c>
      <c r="CE290" s="1200">
        <v>0.14799999999999999</v>
      </c>
      <c r="CF290" s="1200">
        <v>0.14899999999999999</v>
      </c>
      <c r="CG290" s="1200">
        <v>0.14799999999999999</v>
      </c>
      <c r="CH290" s="1200">
        <v>0.14599999999999999</v>
      </c>
      <c r="CI290" s="1211">
        <v>0.14799999999999999</v>
      </c>
      <c r="CJ290" s="1200">
        <v>0.14799999999999999</v>
      </c>
      <c r="CK290" s="1200">
        <v>0.151</v>
      </c>
      <c r="CL290" s="1200">
        <v>0.152</v>
      </c>
      <c r="CM290" s="1200" t="s">
        <v>503</v>
      </c>
      <c r="CN290" s="1211" t="s">
        <v>503</v>
      </c>
      <c r="CO290" s="1200" t="s">
        <v>503</v>
      </c>
      <c r="CP290" s="1200" t="s">
        <v>503</v>
      </c>
      <c r="CQ290" s="1200" t="s">
        <v>503</v>
      </c>
      <c r="CR290" s="1200" t="s">
        <v>503</v>
      </c>
      <c r="CS290" s="1211" t="s">
        <v>503</v>
      </c>
      <c r="CT290" s="1200" t="s">
        <v>503</v>
      </c>
      <c r="CU290" s="1200" t="s">
        <v>503</v>
      </c>
      <c r="CV290" s="1200" t="s">
        <v>503</v>
      </c>
      <c r="CW290" s="1200" t="s">
        <v>503</v>
      </c>
      <c r="CX290" s="1211" t="s">
        <v>503</v>
      </c>
      <c r="CY290" s="1200" t="s">
        <v>503</v>
      </c>
      <c r="CZ290" s="1200" t="s">
        <v>503</v>
      </c>
      <c r="DA290" s="1200" t="s">
        <v>503</v>
      </c>
      <c r="DB290" s="1200" t="s">
        <v>503</v>
      </c>
      <c r="DC290" s="1211" t="s">
        <v>503</v>
      </c>
      <c r="DD290" s="1200" t="s">
        <v>503</v>
      </c>
      <c r="DE290" s="1200" t="s">
        <v>503</v>
      </c>
      <c r="DF290" s="1200" t="s">
        <v>503</v>
      </c>
      <c r="DG290" s="1200" t="s">
        <v>503</v>
      </c>
      <c r="DH290" s="1211" t="s">
        <v>503</v>
      </c>
      <c r="DI290" s="1200" t="s">
        <v>503</v>
      </c>
      <c r="DJ290" s="1200" t="s">
        <v>503</v>
      </c>
      <c r="DK290" s="1200" t="s">
        <v>503</v>
      </c>
      <c r="DL290" s="1200" t="s">
        <v>503</v>
      </c>
      <c r="DM290" s="1288" t="s">
        <v>503</v>
      </c>
      <c r="DN290" s="1289" t="s">
        <v>503</v>
      </c>
      <c r="DO290" s="1289" t="s">
        <v>503</v>
      </c>
      <c r="DP290" s="1289" t="s">
        <v>503</v>
      </c>
      <c r="DQ290" s="1289" t="s">
        <v>503</v>
      </c>
      <c r="DR290" s="1288" t="s">
        <v>503</v>
      </c>
      <c r="DS290" s="1289" t="s">
        <v>503</v>
      </c>
      <c r="DT290" s="1289" t="s">
        <v>503</v>
      </c>
      <c r="DU290" s="1289" t="s">
        <v>503</v>
      </c>
      <c r="DV290" s="1289" t="s">
        <v>503</v>
      </c>
      <c r="DW290" s="1288" t="s">
        <v>503</v>
      </c>
      <c r="DX290" s="555"/>
      <c r="DY290" s="555"/>
      <c r="DZ290" s="555"/>
      <c r="EA290" s="555"/>
      <c r="EB290" s="802"/>
      <c r="EC290" s="555"/>
      <c r="ED290" s="555"/>
      <c r="EE290" s="555"/>
      <c r="EF290" s="555"/>
      <c r="EG290" s="802"/>
      <c r="EH290" s="555"/>
      <c r="EI290" s="555"/>
      <c r="EJ290" s="555"/>
      <c r="EK290" s="555"/>
      <c r="EL290" s="802"/>
    </row>
    <row r="291" spans="1:142" hidden="1" outlineLevel="1">
      <c r="A291" s="557"/>
      <c r="B291" s="557" t="s">
        <v>202</v>
      </c>
      <c r="C291" s="1203"/>
      <c r="D291" s="1203" t="s">
        <v>503</v>
      </c>
      <c r="E291" s="1203" t="s">
        <v>503</v>
      </c>
      <c r="F291" s="1203" t="s">
        <v>503</v>
      </c>
      <c r="G291" s="1203" t="s">
        <v>503</v>
      </c>
      <c r="H291" s="1188" t="s">
        <v>503</v>
      </c>
      <c r="I291" s="1203" t="s">
        <v>503</v>
      </c>
      <c r="J291" s="1203" t="s">
        <v>503</v>
      </c>
      <c r="K291" s="1203" t="s">
        <v>503</v>
      </c>
      <c r="L291" s="1203" t="s">
        <v>503</v>
      </c>
      <c r="M291" s="1188" t="s">
        <v>503</v>
      </c>
      <c r="N291" s="1203" t="s">
        <v>503</v>
      </c>
      <c r="O291" s="1203" t="s">
        <v>503</v>
      </c>
      <c r="P291" s="1203" t="s">
        <v>503</v>
      </c>
      <c r="Q291" s="1203" t="s">
        <v>503</v>
      </c>
      <c r="R291" s="1188" t="s">
        <v>503</v>
      </c>
      <c r="S291" s="1205">
        <v>0.32300000000000001</v>
      </c>
      <c r="T291" s="1205">
        <v>0.32800000000000001</v>
      </c>
      <c r="U291" s="1205">
        <v>0.33700000000000002</v>
      </c>
      <c r="V291" s="1203" t="s">
        <v>503</v>
      </c>
      <c r="W291" s="1211">
        <v>0.33700000000000002</v>
      </c>
      <c r="X291" s="1205">
        <v>0.35799999999999998</v>
      </c>
      <c r="Y291" s="1205">
        <v>0.37</v>
      </c>
      <c r="Z291" s="1205">
        <v>0.38400000000000001</v>
      </c>
      <c r="AA291" s="1203" t="s">
        <v>503</v>
      </c>
      <c r="AB291" s="1211">
        <v>0.376</v>
      </c>
      <c r="AC291" s="1212">
        <v>0.372</v>
      </c>
      <c r="AD291" s="1212">
        <v>0.41899999999999998</v>
      </c>
      <c r="AE291" s="1212">
        <v>0.40600000000000003</v>
      </c>
      <c r="AF291" s="1203" t="s">
        <v>503</v>
      </c>
      <c r="AG291" s="1211">
        <v>0.40699999999999997</v>
      </c>
      <c r="AH291" s="1212">
        <v>0.41099999999999998</v>
      </c>
      <c r="AI291" s="1212">
        <v>0.439</v>
      </c>
      <c r="AJ291" s="1212">
        <v>0.438</v>
      </c>
      <c r="AK291" s="1203" t="s">
        <v>503</v>
      </c>
      <c r="AL291" s="1211">
        <v>0.433</v>
      </c>
      <c r="AM291" s="1212">
        <v>0.42899999999999999</v>
      </c>
      <c r="AN291" s="1212">
        <v>0.44500000000000001</v>
      </c>
      <c r="AO291" s="1212">
        <v>0.442</v>
      </c>
      <c r="AP291" s="1203" t="s">
        <v>503</v>
      </c>
      <c r="AQ291" s="1211">
        <v>0.439</v>
      </c>
      <c r="AR291" s="1212">
        <v>0.45400000000000001</v>
      </c>
      <c r="AS291" s="1212">
        <v>0.46200000000000002</v>
      </c>
      <c r="AT291" s="1212">
        <v>0.48599999999999999</v>
      </c>
      <c r="AU291" s="802"/>
      <c r="AV291" s="708" t="s">
        <v>503</v>
      </c>
      <c r="AW291" s="708" t="s">
        <v>503</v>
      </c>
      <c r="AX291" s="708" t="s">
        <v>503</v>
      </c>
      <c r="AY291" s="708" t="s">
        <v>503</v>
      </c>
      <c r="AZ291" s="1188" t="s">
        <v>503</v>
      </c>
      <c r="BA291" s="1212" t="s">
        <v>503</v>
      </c>
      <c r="BB291" s="1212" t="s">
        <v>503</v>
      </c>
      <c r="BC291" s="1212" t="s">
        <v>503</v>
      </c>
      <c r="BD291" s="1203" t="s">
        <v>503</v>
      </c>
      <c r="BE291" s="1211" t="s">
        <v>503</v>
      </c>
      <c r="BF291" s="1212" t="s">
        <v>503</v>
      </c>
      <c r="BG291" s="1212" t="s">
        <v>503</v>
      </c>
      <c r="BH291" s="1212" t="s">
        <v>503</v>
      </c>
      <c r="BI291" s="1212" t="s">
        <v>503</v>
      </c>
      <c r="BJ291" s="1211" t="s">
        <v>503</v>
      </c>
      <c r="BK291" s="1200" t="s">
        <v>503</v>
      </c>
      <c r="BL291" s="1200" t="s">
        <v>503</v>
      </c>
      <c r="BM291" s="1200" t="s">
        <v>503</v>
      </c>
      <c r="BN291" s="1200" t="s">
        <v>503</v>
      </c>
      <c r="BO291" s="1211" t="s">
        <v>503</v>
      </c>
      <c r="BP291" s="1200" t="s">
        <v>503</v>
      </c>
      <c r="BQ291" s="1200" t="s">
        <v>503</v>
      </c>
      <c r="BR291" s="1200" t="s">
        <v>503</v>
      </c>
      <c r="BS291" s="1200" t="s">
        <v>503</v>
      </c>
      <c r="BT291" s="1211" t="s">
        <v>503</v>
      </c>
      <c r="BU291" s="1200">
        <v>0.41599999999999998</v>
      </c>
      <c r="BV291" s="1200">
        <v>0.41699999999999998</v>
      </c>
      <c r="BW291" s="1200">
        <v>0.42</v>
      </c>
      <c r="BX291" s="1200">
        <v>0.41899999999999998</v>
      </c>
      <c r="BY291" s="1211">
        <v>0.41799999999999998</v>
      </c>
      <c r="BZ291" s="1200">
        <v>0.41</v>
      </c>
      <c r="CA291" s="1200">
        <v>0.42099999999999999</v>
      </c>
      <c r="CB291" s="1200">
        <v>0.41499999999999998</v>
      </c>
      <c r="CC291" s="1200">
        <v>0.41799999999999998</v>
      </c>
      <c r="CD291" s="1211">
        <v>0.41299999999999998</v>
      </c>
      <c r="CE291" s="1200">
        <v>0.40500000000000003</v>
      </c>
      <c r="CF291" s="1200">
        <v>0.41899999999999998</v>
      </c>
      <c r="CG291" s="1200">
        <v>0.41199999999999998</v>
      </c>
      <c r="CH291" s="1200">
        <v>0.41599999999999998</v>
      </c>
      <c r="CI291" s="1211">
        <v>0.41299999999999998</v>
      </c>
      <c r="CJ291" s="1200">
        <v>0.40500000000000003</v>
      </c>
      <c r="CK291" s="1200">
        <v>0.41399999999999998</v>
      </c>
      <c r="CL291" s="1200">
        <v>0.41799999999999998</v>
      </c>
      <c r="CM291" s="1200" t="s">
        <v>503</v>
      </c>
      <c r="CN291" s="1211" t="s">
        <v>503</v>
      </c>
      <c r="CO291" s="1200" t="s">
        <v>503</v>
      </c>
      <c r="CP291" s="1200" t="s">
        <v>503</v>
      </c>
      <c r="CQ291" s="1200" t="s">
        <v>503</v>
      </c>
      <c r="CR291" s="1200" t="s">
        <v>503</v>
      </c>
      <c r="CS291" s="1211" t="s">
        <v>503</v>
      </c>
      <c r="CT291" s="1200" t="s">
        <v>503</v>
      </c>
      <c r="CU291" s="1200" t="s">
        <v>503</v>
      </c>
      <c r="CV291" s="1200" t="s">
        <v>503</v>
      </c>
      <c r="CW291" s="1200" t="s">
        <v>503</v>
      </c>
      <c r="CX291" s="1211" t="s">
        <v>503</v>
      </c>
      <c r="CY291" s="1200" t="s">
        <v>503</v>
      </c>
      <c r="CZ291" s="1200" t="s">
        <v>503</v>
      </c>
      <c r="DA291" s="1200" t="s">
        <v>503</v>
      </c>
      <c r="DB291" s="1200" t="s">
        <v>503</v>
      </c>
      <c r="DC291" s="1211" t="s">
        <v>503</v>
      </c>
      <c r="DD291" s="1200" t="s">
        <v>503</v>
      </c>
      <c r="DE291" s="1200" t="s">
        <v>503</v>
      </c>
      <c r="DF291" s="1200" t="s">
        <v>503</v>
      </c>
      <c r="DG291" s="1200" t="s">
        <v>503</v>
      </c>
      <c r="DH291" s="1211" t="s">
        <v>503</v>
      </c>
      <c r="DI291" s="1200" t="s">
        <v>503</v>
      </c>
      <c r="DJ291" s="1200" t="s">
        <v>503</v>
      </c>
      <c r="DK291" s="1200" t="s">
        <v>503</v>
      </c>
      <c r="DL291" s="1200" t="s">
        <v>503</v>
      </c>
      <c r="DM291" s="1288" t="s">
        <v>503</v>
      </c>
      <c r="DN291" s="1289" t="s">
        <v>503</v>
      </c>
      <c r="DO291" s="1289" t="s">
        <v>503</v>
      </c>
      <c r="DP291" s="1289" t="s">
        <v>503</v>
      </c>
      <c r="DQ291" s="1289" t="s">
        <v>503</v>
      </c>
      <c r="DR291" s="1288" t="s">
        <v>503</v>
      </c>
      <c r="DS291" s="1289" t="s">
        <v>503</v>
      </c>
      <c r="DT291" s="1289" t="s">
        <v>503</v>
      </c>
      <c r="DU291" s="1289" t="s">
        <v>503</v>
      </c>
      <c r="DV291" s="1289" t="s">
        <v>503</v>
      </c>
      <c r="DW291" s="1288" t="s">
        <v>503</v>
      </c>
      <c r="DX291" s="555"/>
      <c r="DY291" s="555"/>
      <c r="DZ291" s="555"/>
      <c r="EA291" s="555"/>
      <c r="EB291" s="802"/>
      <c r="EC291" s="555"/>
      <c r="ED291" s="555"/>
      <c r="EE291" s="555"/>
      <c r="EF291" s="555"/>
      <c r="EG291" s="802"/>
      <c r="EH291" s="555"/>
      <c r="EI291" s="555"/>
      <c r="EJ291" s="555"/>
      <c r="EK291" s="555"/>
      <c r="EL291" s="802"/>
    </row>
    <row r="292" spans="1:142" hidden="1" outlineLevel="1">
      <c r="A292" s="804"/>
      <c r="B292" s="1278" t="s">
        <v>665</v>
      </c>
      <c r="C292" s="1267"/>
      <c r="D292" s="1267"/>
      <c r="E292" s="1267"/>
      <c r="F292" s="1267"/>
      <c r="G292" s="1267"/>
      <c r="H292" s="1268"/>
      <c r="I292" s="1267"/>
      <c r="J292" s="1267"/>
      <c r="K292" s="1267"/>
      <c r="L292" s="1267"/>
      <c r="M292" s="1268"/>
      <c r="N292" s="1267"/>
      <c r="O292" s="1267"/>
      <c r="P292" s="1267"/>
      <c r="Q292" s="1267"/>
      <c r="R292" s="1268"/>
      <c r="S292" s="1267"/>
      <c r="T292" s="1267"/>
      <c r="U292" s="1267"/>
      <c r="V292" s="1267"/>
      <c r="W292" s="1268"/>
      <c r="X292" s="1267"/>
      <c r="Y292" s="1267"/>
      <c r="Z292" s="1267"/>
      <c r="AA292" s="1267"/>
      <c r="AB292" s="1268"/>
      <c r="AC292" s="1267"/>
      <c r="AD292" s="1267"/>
      <c r="AE292" s="1267"/>
      <c r="AF292" s="1267"/>
      <c r="AG292" s="1268"/>
      <c r="AH292" s="1267"/>
      <c r="AI292" s="1267"/>
      <c r="AJ292" s="1267"/>
      <c r="AK292" s="1267"/>
      <c r="AL292" s="1268"/>
      <c r="AM292" s="1267"/>
      <c r="AN292" s="1267"/>
      <c r="AO292" s="1267"/>
      <c r="AP292" s="1267"/>
      <c r="AQ292" s="1268"/>
      <c r="AR292" s="1267"/>
      <c r="AS292" s="1267"/>
      <c r="AT292" s="1267"/>
      <c r="AU292" s="1268"/>
      <c r="AV292" s="1267"/>
      <c r="AW292" s="1267"/>
      <c r="AX292" s="1267"/>
      <c r="AY292" s="1267"/>
      <c r="AZ292" s="1268"/>
      <c r="BA292" s="1267"/>
      <c r="BB292" s="1267"/>
      <c r="BC292" s="1267"/>
      <c r="BD292" s="1267"/>
      <c r="BE292" s="1268"/>
      <c r="BF292" s="1267"/>
      <c r="BG292" s="1267"/>
      <c r="BH292" s="1267"/>
      <c r="BI292" s="1267"/>
      <c r="BJ292" s="1268"/>
      <c r="BK292" s="1267"/>
      <c r="BL292" s="1267"/>
      <c r="BM292" s="1267"/>
      <c r="BN292" s="1267"/>
      <c r="BO292" s="1268"/>
      <c r="BP292" s="1267"/>
      <c r="BQ292" s="1267"/>
      <c r="BR292" s="1267"/>
      <c r="BS292" s="1267"/>
      <c r="BT292" s="1268"/>
      <c r="BU292" s="1267"/>
      <c r="BV292" s="1267"/>
      <c r="BW292" s="1267"/>
      <c r="BX292" s="1267"/>
      <c r="BY292" s="1268"/>
      <c r="BZ292" s="1267"/>
      <c r="CA292" s="1267"/>
      <c r="CB292" s="1267"/>
      <c r="CC292" s="1267"/>
      <c r="CD292" s="1268"/>
      <c r="CE292" s="1267"/>
      <c r="CF292" s="1267"/>
      <c r="CG292" s="1267"/>
      <c r="CH292" s="1267"/>
      <c r="CI292" s="1268"/>
      <c r="CJ292" s="1267"/>
      <c r="CK292" s="1267"/>
      <c r="CL292" s="1267"/>
      <c r="CM292" s="1267"/>
      <c r="CN292" s="1268"/>
      <c r="CO292" s="1267"/>
      <c r="CP292" s="1267"/>
      <c r="CQ292" s="1267"/>
      <c r="CR292" s="1267"/>
      <c r="CS292" s="1268"/>
      <c r="CT292" s="1267"/>
      <c r="CU292" s="1267"/>
      <c r="CV292" s="1267"/>
      <c r="CW292" s="1267"/>
      <c r="CX292" s="1268"/>
      <c r="CY292" s="1267"/>
      <c r="CZ292" s="1267"/>
      <c r="DA292" s="1267"/>
      <c r="DB292" s="1267"/>
      <c r="DC292" s="1268"/>
      <c r="DD292" s="1267"/>
      <c r="DE292" s="1267"/>
      <c r="DF292" s="1267"/>
      <c r="DG292" s="1267"/>
      <c r="DH292" s="1268"/>
      <c r="DI292" s="1267"/>
      <c r="DJ292" s="1267"/>
      <c r="DK292" s="1267"/>
      <c r="DL292" s="1267"/>
      <c r="DM292" s="1268"/>
      <c r="DN292" s="1267"/>
      <c r="DO292" s="1267"/>
      <c r="DP292" s="1267"/>
      <c r="DQ292" s="1267"/>
      <c r="DR292" s="1268"/>
      <c r="DS292" s="1267"/>
      <c r="DT292" s="1267"/>
      <c r="DU292" s="1267"/>
      <c r="DV292" s="1267"/>
      <c r="DW292" s="1268"/>
      <c r="DX292" s="1267"/>
      <c r="DY292" s="1267"/>
      <c r="DZ292" s="1267"/>
      <c r="EA292" s="1267"/>
      <c r="EB292" s="1268"/>
      <c r="EC292" s="1267"/>
      <c r="ED292" s="1267"/>
      <c r="EE292" s="1267"/>
      <c r="EF292" s="1267"/>
      <c r="EG292" s="1268"/>
      <c r="EH292" s="1267"/>
      <c r="EI292" s="1267"/>
      <c r="EJ292" s="1267"/>
      <c r="EK292" s="1267"/>
      <c r="EL292" s="1268"/>
    </row>
    <row r="293" spans="1:142" hidden="1" outlineLevel="1">
      <c r="A293" s="804"/>
      <c r="B293" s="973" t="s">
        <v>203</v>
      </c>
      <c r="C293" s="555"/>
      <c r="D293" s="555"/>
      <c r="E293" s="555"/>
      <c r="F293" s="555"/>
      <c r="G293" s="555"/>
      <c r="H293" s="802"/>
      <c r="I293" s="555"/>
      <c r="J293" s="555"/>
      <c r="K293" s="555"/>
      <c r="L293" s="555"/>
      <c r="M293" s="802"/>
      <c r="N293" s="555"/>
      <c r="O293" s="555"/>
      <c r="P293" s="555"/>
      <c r="Q293" s="555"/>
      <c r="R293" s="802"/>
      <c r="S293" s="555"/>
      <c r="T293" s="555"/>
      <c r="U293" s="555"/>
      <c r="V293" s="555"/>
      <c r="W293" s="802"/>
      <c r="X293" s="555"/>
      <c r="Y293" s="555"/>
      <c r="Z293" s="555"/>
      <c r="AA293" s="555"/>
      <c r="AB293" s="802"/>
      <c r="AC293" s="555"/>
      <c r="AD293" s="555"/>
      <c r="AE293" s="555"/>
      <c r="AF293" s="555"/>
      <c r="AG293" s="802"/>
      <c r="AH293" s="555"/>
      <c r="AI293" s="555"/>
      <c r="AJ293" s="555"/>
      <c r="AK293" s="555"/>
      <c r="AL293" s="802"/>
      <c r="AM293" s="555"/>
      <c r="AN293" s="555"/>
      <c r="AO293" s="555"/>
      <c r="AP293" s="555"/>
      <c r="AQ293" s="802"/>
      <c r="AR293" s="555"/>
      <c r="AS293" s="555"/>
      <c r="AT293" s="555"/>
      <c r="AU293" s="802"/>
      <c r="AV293" s="555"/>
      <c r="AW293" s="555"/>
      <c r="AX293" s="555"/>
      <c r="AY293" s="555"/>
      <c r="AZ293" s="802"/>
      <c r="BA293" s="555"/>
      <c r="BB293" s="555"/>
      <c r="BC293" s="555"/>
      <c r="BD293" s="555"/>
      <c r="BE293" s="802"/>
      <c r="BF293" s="555"/>
      <c r="BG293" s="555"/>
      <c r="BH293" s="555"/>
      <c r="BI293" s="555"/>
      <c r="BJ293" s="802"/>
      <c r="BK293" s="555"/>
      <c r="BL293" s="555"/>
      <c r="BM293" s="555"/>
      <c r="BN293" s="555"/>
      <c r="BO293" s="802"/>
      <c r="BP293" s="555"/>
      <c r="BQ293" s="555"/>
      <c r="BR293" s="555"/>
      <c r="BS293" s="555"/>
      <c r="BT293" s="802"/>
      <c r="BU293" s="555"/>
      <c r="BV293" s="555"/>
      <c r="BW293" s="555"/>
      <c r="BX293" s="555"/>
      <c r="BY293" s="802"/>
      <c r="BZ293" s="555"/>
      <c r="CA293" s="555"/>
      <c r="CB293" s="555"/>
      <c r="CC293" s="555"/>
      <c r="CD293" s="802"/>
      <c r="CE293" s="555"/>
      <c r="CF293" s="555"/>
      <c r="CG293" s="555"/>
      <c r="CH293" s="555"/>
      <c r="CI293" s="802"/>
      <c r="CJ293" s="555"/>
      <c r="CK293" s="555"/>
      <c r="CL293" s="555"/>
      <c r="CM293" s="555"/>
      <c r="CN293" s="802"/>
      <c r="CO293" s="555"/>
      <c r="CP293" s="555"/>
      <c r="CQ293" s="555"/>
      <c r="CR293" s="555"/>
      <c r="CS293" s="802"/>
      <c r="CT293" s="555"/>
      <c r="CU293" s="555"/>
      <c r="CV293" s="555"/>
      <c r="CW293" s="555"/>
      <c r="CX293" s="802"/>
      <c r="CY293" s="555"/>
      <c r="CZ293" s="555"/>
      <c r="DA293" s="555"/>
      <c r="DB293" s="555"/>
      <c r="DC293" s="802"/>
      <c r="DD293" s="555"/>
      <c r="DE293" s="555"/>
      <c r="DF293" s="555"/>
      <c r="DG293" s="555"/>
      <c r="DH293" s="802"/>
      <c r="DI293" s="555"/>
      <c r="DJ293" s="555"/>
      <c r="DK293" s="555"/>
      <c r="DL293" s="555"/>
      <c r="DM293" s="1279"/>
      <c r="DN293" s="1282"/>
      <c r="DO293" s="1282"/>
      <c r="DP293" s="1282"/>
      <c r="DQ293" s="1282"/>
      <c r="DR293" s="1279"/>
      <c r="DS293" s="1282"/>
      <c r="DT293" s="555"/>
      <c r="DU293" s="555"/>
      <c r="DV293" s="1282"/>
      <c r="DW293" s="802"/>
      <c r="DX293" s="555"/>
      <c r="DY293" s="555"/>
      <c r="DZ293" s="555"/>
      <c r="EA293" s="555"/>
      <c r="EB293" s="802"/>
      <c r="EC293" s="555"/>
      <c r="ED293" s="555"/>
      <c r="EE293" s="555"/>
      <c r="EF293" s="555"/>
      <c r="EG293" s="802"/>
      <c r="EH293" s="555"/>
      <c r="EI293" s="555"/>
      <c r="EJ293" s="555"/>
      <c r="EK293" s="555"/>
      <c r="EL293" s="802"/>
    </row>
    <row r="294" spans="1:142" hidden="1" outlineLevel="1">
      <c r="A294" s="557"/>
      <c r="B294" s="555" t="s">
        <v>192</v>
      </c>
      <c r="C294" s="555"/>
      <c r="D294" s="1118">
        <v>33</v>
      </c>
      <c r="E294" s="1118">
        <v>33</v>
      </c>
      <c r="F294" s="1118">
        <v>33</v>
      </c>
      <c r="G294" s="960">
        <f>H294</f>
        <v>70</v>
      </c>
      <c r="H294" s="1048">
        <v>70</v>
      </c>
      <c r="I294" s="1118">
        <v>72</v>
      </c>
      <c r="J294" s="1118">
        <v>75</v>
      </c>
      <c r="K294" s="1118">
        <v>75</v>
      </c>
      <c r="L294" s="960">
        <f>M294</f>
        <v>74</v>
      </c>
      <c r="M294" s="1048">
        <v>74</v>
      </c>
      <c r="N294" s="1118">
        <v>75</v>
      </c>
      <c r="O294" s="1118">
        <v>76</v>
      </c>
      <c r="P294" s="1118">
        <v>127</v>
      </c>
      <c r="Q294" s="960">
        <f>R294</f>
        <v>128</v>
      </c>
      <c r="R294" s="1048">
        <v>128</v>
      </c>
      <c r="S294" s="1118">
        <v>130</v>
      </c>
      <c r="T294" s="1118">
        <v>129</v>
      </c>
      <c r="U294" s="1118">
        <v>125</v>
      </c>
      <c r="V294" s="960">
        <f>W294</f>
        <v>122</v>
      </c>
      <c r="W294" s="1048">
        <v>122</v>
      </c>
      <c r="X294" s="1118">
        <v>121</v>
      </c>
      <c r="Y294" s="1118">
        <v>128</v>
      </c>
      <c r="Z294" s="1118">
        <v>129</v>
      </c>
      <c r="AA294" s="960">
        <f>AB294</f>
        <v>130</v>
      </c>
      <c r="AB294" s="1048">
        <v>130</v>
      </c>
      <c r="AC294" s="1118">
        <v>130</v>
      </c>
      <c r="AD294" s="1118">
        <v>113</v>
      </c>
      <c r="AE294" s="1118">
        <v>112</v>
      </c>
      <c r="AF294" s="960">
        <f>AG294</f>
        <v>110</v>
      </c>
      <c r="AG294" s="1048">
        <v>110</v>
      </c>
      <c r="AH294" s="1118">
        <v>110</v>
      </c>
      <c r="AI294" s="1118">
        <v>111</v>
      </c>
      <c r="AJ294" s="1118">
        <v>110</v>
      </c>
      <c r="AK294" s="960">
        <f>AL294</f>
        <v>111</v>
      </c>
      <c r="AL294" s="1048">
        <v>111</v>
      </c>
      <c r="AM294" s="1118">
        <v>114</v>
      </c>
      <c r="AN294" s="1118">
        <v>114</v>
      </c>
      <c r="AO294" s="1118">
        <v>116</v>
      </c>
      <c r="AP294" s="960">
        <f>AQ294</f>
        <v>116</v>
      </c>
      <c r="AQ294" s="1048">
        <v>116</v>
      </c>
      <c r="AR294" s="1118">
        <v>114</v>
      </c>
      <c r="AS294" s="1118">
        <v>113</v>
      </c>
      <c r="AT294" s="1118">
        <v>114</v>
      </c>
      <c r="AU294" s="802"/>
      <c r="AV294" s="708" t="s">
        <v>503</v>
      </c>
      <c r="AW294" s="708" t="s">
        <v>503</v>
      </c>
      <c r="AX294" s="708" t="s">
        <v>503</v>
      </c>
      <c r="AY294" s="708" t="s">
        <v>503</v>
      </c>
      <c r="AZ294" s="1188" t="s">
        <v>503</v>
      </c>
      <c r="BA294" s="1118">
        <v>99</v>
      </c>
      <c r="BB294" s="1118">
        <v>99</v>
      </c>
      <c r="BC294" s="1118">
        <v>99</v>
      </c>
      <c r="BD294" s="960">
        <f>BE294</f>
        <v>99</v>
      </c>
      <c r="BE294" s="1048">
        <v>99</v>
      </c>
      <c r="BF294" s="1118">
        <v>71</v>
      </c>
      <c r="BG294" s="1118">
        <v>72</v>
      </c>
      <c r="BH294" s="1118">
        <v>70</v>
      </c>
      <c r="BI294" s="1118">
        <v>69</v>
      </c>
      <c r="BJ294" s="1048">
        <v>69</v>
      </c>
      <c r="BK294" s="555">
        <v>69</v>
      </c>
      <c r="BL294" s="555">
        <v>69</v>
      </c>
      <c r="BM294" s="555">
        <v>69</v>
      </c>
      <c r="BN294" s="555">
        <v>69</v>
      </c>
      <c r="BO294" s="802">
        <v>69</v>
      </c>
      <c r="BP294" s="555">
        <v>69</v>
      </c>
      <c r="BQ294" s="555">
        <v>57</v>
      </c>
      <c r="BR294" s="555">
        <v>57</v>
      </c>
      <c r="BS294" s="555">
        <v>57</v>
      </c>
      <c r="BT294" s="802">
        <v>57</v>
      </c>
      <c r="BU294" s="555">
        <v>57</v>
      </c>
      <c r="BV294" s="555">
        <v>58</v>
      </c>
      <c r="BW294" s="555">
        <v>54</v>
      </c>
      <c r="BX294" s="555">
        <v>54</v>
      </c>
      <c r="BY294" s="802">
        <v>54</v>
      </c>
      <c r="BZ294" s="555">
        <v>54</v>
      </c>
      <c r="CA294" s="555">
        <v>52</v>
      </c>
      <c r="CB294" s="555">
        <v>50</v>
      </c>
      <c r="CC294" s="555">
        <v>50</v>
      </c>
      <c r="CD294" s="802">
        <v>50</v>
      </c>
      <c r="CE294" s="555">
        <v>50</v>
      </c>
      <c r="CF294" s="555">
        <v>49</v>
      </c>
      <c r="CG294" s="555">
        <v>49</v>
      </c>
      <c r="CH294" s="555">
        <v>49</v>
      </c>
      <c r="CI294" s="802">
        <v>49</v>
      </c>
      <c r="CJ294" s="555">
        <v>49</v>
      </c>
      <c r="CK294" s="555">
        <v>49</v>
      </c>
      <c r="CL294" s="555">
        <v>49</v>
      </c>
      <c r="CM294" s="555">
        <v>49</v>
      </c>
      <c r="CN294" s="802">
        <v>49</v>
      </c>
      <c r="CO294" s="555">
        <v>49</v>
      </c>
      <c r="CP294" s="555">
        <v>49</v>
      </c>
      <c r="CQ294" s="555">
        <v>49</v>
      </c>
      <c r="CR294" s="555">
        <v>49</v>
      </c>
      <c r="CS294" s="802">
        <v>49</v>
      </c>
      <c r="CT294" s="555">
        <v>49</v>
      </c>
      <c r="CU294" s="555">
        <v>49</v>
      </c>
      <c r="CV294" s="555">
        <v>49</v>
      </c>
      <c r="CW294" s="555">
        <v>49</v>
      </c>
      <c r="CX294" s="802">
        <v>49</v>
      </c>
      <c r="CY294" s="555">
        <v>49</v>
      </c>
      <c r="CZ294" s="555">
        <v>49</v>
      </c>
      <c r="DA294" s="555">
        <v>49</v>
      </c>
      <c r="DB294" s="555">
        <v>77</v>
      </c>
      <c r="DC294" s="802">
        <v>77</v>
      </c>
      <c r="DD294" s="555">
        <v>77</v>
      </c>
      <c r="DE294" s="555">
        <v>79</v>
      </c>
      <c r="DF294" s="555">
        <v>80</v>
      </c>
      <c r="DG294" s="555">
        <v>80</v>
      </c>
      <c r="DH294" s="802">
        <v>80</v>
      </c>
      <c r="DI294" s="555">
        <v>80</v>
      </c>
      <c r="DJ294" s="555">
        <v>80</v>
      </c>
      <c r="DK294" s="555">
        <v>83</v>
      </c>
      <c r="DL294" s="555">
        <v>86</v>
      </c>
      <c r="DM294" s="1279">
        <v>86</v>
      </c>
      <c r="DN294" s="1282">
        <v>72</v>
      </c>
      <c r="DO294" s="1282">
        <v>75</v>
      </c>
      <c r="DP294" s="1282">
        <v>67</v>
      </c>
      <c r="DQ294" s="1282">
        <v>67</v>
      </c>
      <c r="DR294" s="1279">
        <v>67</v>
      </c>
      <c r="DS294" s="1282">
        <v>75</v>
      </c>
      <c r="DT294" s="1282">
        <v>75</v>
      </c>
      <c r="DU294" s="1282">
        <v>72</v>
      </c>
      <c r="DV294" s="1282">
        <v>72</v>
      </c>
      <c r="DW294" s="802">
        <f>DV294</f>
        <v>72</v>
      </c>
      <c r="DX294" s="555"/>
      <c r="DY294" s="555"/>
      <c r="DZ294" s="555"/>
      <c r="EA294" s="555"/>
      <c r="EB294" s="802"/>
      <c r="EC294" s="555"/>
      <c r="ED294" s="555"/>
      <c r="EE294" s="555"/>
      <c r="EF294" s="555"/>
      <c r="EG294" s="802"/>
      <c r="EH294" s="555"/>
      <c r="EI294" s="555"/>
      <c r="EJ294" s="555"/>
      <c r="EK294" s="555"/>
      <c r="EL294" s="802"/>
    </row>
    <row r="295" spans="1:142" hidden="1" outlineLevel="1">
      <c r="A295" s="557"/>
      <c r="B295" s="557" t="s">
        <v>196</v>
      </c>
      <c r="C295" s="1201"/>
      <c r="D295" s="1201">
        <v>49078</v>
      </c>
      <c r="E295" s="1201">
        <v>48663</v>
      </c>
      <c r="F295" s="1201">
        <v>51882</v>
      </c>
      <c r="G295" s="960">
        <f>H295-SUM(D295:F295)</f>
        <v>118245</v>
      </c>
      <c r="H295" s="1202">
        <v>267868</v>
      </c>
      <c r="I295" s="1201">
        <v>111503</v>
      </c>
      <c r="J295" s="1201">
        <v>120363</v>
      </c>
      <c r="K295" s="1201">
        <v>130536</v>
      </c>
      <c r="L295" s="960">
        <f>M295-SUM(I295:K295)</f>
        <v>125199</v>
      </c>
      <c r="M295" s="1202">
        <v>487601</v>
      </c>
      <c r="N295" s="1201">
        <v>122210</v>
      </c>
      <c r="O295" s="1201">
        <v>124564</v>
      </c>
      <c r="P295" s="1201">
        <v>212850</v>
      </c>
      <c r="Q295" s="960">
        <f>R295-SUM(N295:P295)</f>
        <v>327263</v>
      </c>
      <c r="R295" s="1202">
        <v>786887</v>
      </c>
      <c r="S295" s="1201">
        <v>205572</v>
      </c>
      <c r="T295" s="1201">
        <v>213270</v>
      </c>
      <c r="U295" s="1201">
        <v>230955</v>
      </c>
      <c r="V295" s="960">
        <f>W295-SUM(S295:U295)</f>
        <v>222636</v>
      </c>
      <c r="W295" s="1202">
        <v>872433</v>
      </c>
      <c r="X295" s="1201">
        <v>219167</v>
      </c>
      <c r="Y295" s="1201">
        <v>221499</v>
      </c>
      <c r="Z295" s="1201">
        <v>248646</v>
      </c>
      <c r="AA295" s="960">
        <f>AB295-SUM(X295:Z295)</f>
        <v>250935</v>
      </c>
      <c r="AB295" s="1202">
        <v>940247</v>
      </c>
      <c r="AC295" s="1201">
        <v>239378</v>
      </c>
      <c r="AD295" s="1201">
        <v>227647</v>
      </c>
      <c r="AE295" s="1201">
        <v>239792</v>
      </c>
      <c r="AF295" s="960">
        <f>AG295-SUM(AC295:AE295)</f>
        <v>229325</v>
      </c>
      <c r="AG295" s="1202">
        <v>936142</v>
      </c>
      <c r="AH295" s="1201">
        <v>228680</v>
      </c>
      <c r="AI295" s="1201">
        <v>229281</v>
      </c>
      <c r="AJ295" s="1201">
        <v>239074</v>
      </c>
      <c r="AK295" s="960">
        <f>AL295-SUM(AH295:AJ295)</f>
        <v>242566</v>
      </c>
      <c r="AL295" s="1202">
        <v>939601</v>
      </c>
      <c r="AM295" s="1201">
        <v>242172</v>
      </c>
      <c r="AN295" s="1201">
        <v>242861</v>
      </c>
      <c r="AO295" s="1201">
        <v>256840</v>
      </c>
      <c r="AP295" s="960">
        <f>AQ295-SUM(AM295:AO295)</f>
        <v>259163</v>
      </c>
      <c r="AQ295" s="1202">
        <v>1001036</v>
      </c>
      <c r="AR295" s="1201">
        <v>252114</v>
      </c>
      <c r="AS295" s="1201">
        <v>254232</v>
      </c>
      <c r="AT295" s="1201">
        <v>261601</v>
      </c>
      <c r="AU295" s="802"/>
      <c r="AV295" s="708" t="s">
        <v>503</v>
      </c>
      <c r="AW295" s="708" t="s">
        <v>503</v>
      </c>
      <c r="AX295" s="708" t="s">
        <v>503</v>
      </c>
      <c r="AY295" s="708" t="s">
        <v>503</v>
      </c>
      <c r="AZ295" s="1188" t="s">
        <v>503</v>
      </c>
      <c r="BA295" s="1201">
        <v>243226</v>
      </c>
      <c r="BB295" s="1201">
        <v>236059</v>
      </c>
      <c r="BC295" s="1201">
        <v>237374</v>
      </c>
      <c r="BD295" s="960">
        <f>BE295-SUM(BA295:BC295)</f>
        <v>229981</v>
      </c>
      <c r="BE295" s="1202">
        <v>946640</v>
      </c>
      <c r="BF295" s="1201">
        <v>185253</v>
      </c>
      <c r="BG295" s="1201">
        <v>174079</v>
      </c>
      <c r="BH295" s="1201">
        <v>170713</v>
      </c>
      <c r="BI295" s="1201">
        <v>169343</v>
      </c>
      <c r="BJ295" s="1202">
        <v>687857</v>
      </c>
      <c r="BK295" s="959">
        <v>178458</v>
      </c>
      <c r="BL295" s="555">
        <v>168526</v>
      </c>
      <c r="BM295" s="555">
        <v>163707</v>
      </c>
      <c r="BN295" s="555">
        <v>157896</v>
      </c>
      <c r="BO295" s="802">
        <v>668587</v>
      </c>
      <c r="BP295" s="959">
        <v>166426</v>
      </c>
      <c r="BQ295" s="555">
        <v>142976</v>
      </c>
      <c r="BR295" s="555">
        <v>141203</v>
      </c>
      <c r="BS295" s="555">
        <v>143110</v>
      </c>
      <c r="BT295" s="802">
        <v>578168</v>
      </c>
      <c r="BU295" s="959">
        <v>148368</v>
      </c>
      <c r="BV295" s="555">
        <v>139832</v>
      </c>
      <c r="BW295" s="555">
        <v>136373</v>
      </c>
      <c r="BX295" s="555">
        <v>139449</v>
      </c>
      <c r="BY295" s="802">
        <v>556025</v>
      </c>
      <c r="BZ295" s="959">
        <v>146057</v>
      </c>
      <c r="CA295" s="555">
        <v>133983</v>
      </c>
      <c r="CB295" s="555">
        <v>130545</v>
      </c>
      <c r="CC295" s="555">
        <v>131693</v>
      </c>
      <c r="CD295" s="802">
        <v>530303</v>
      </c>
      <c r="CE295" s="959">
        <v>136766</v>
      </c>
      <c r="CF295" s="555">
        <v>130308</v>
      </c>
      <c r="CG295" s="555">
        <v>130258</v>
      </c>
      <c r="CH295" s="555">
        <v>129631</v>
      </c>
      <c r="CI295" s="802">
        <v>525532</v>
      </c>
      <c r="CJ295" s="959">
        <v>132599</v>
      </c>
      <c r="CK295" s="555">
        <v>127751</v>
      </c>
      <c r="CL295" s="555">
        <v>125645</v>
      </c>
      <c r="CM295" s="555">
        <v>126977</v>
      </c>
      <c r="CN295" s="802">
        <v>512972</v>
      </c>
      <c r="CO295" s="959">
        <v>131437</v>
      </c>
      <c r="CP295" s="555">
        <v>125592</v>
      </c>
      <c r="CQ295" s="555">
        <v>125458</v>
      </c>
      <c r="CR295" s="555">
        <v>125347</v>
      </c>
      <c r="CS295" s="802">
        <v>507834</v>
      </c>
      <c r="CT295" s="959">
        <v>131190</v>
      </c>
      <c r="CU295" s="555">
        <v>125136</v>
      </c>
      <c r="CV295" s="555">
        <v>124869</v>
      </c>
      <c r="CW295" s="555">
        <v>125290</v>
      </c>
      <c r="CX295" s="802">
        <v>506485</v>
      </c>
      <c r="CY295" s="959">
        <v>125929</v>
      </c>
      <c r="CZ295" s="555">
        <v>120722</v>
      </c>
      <c r="DA295" s="555">
        <v>121569</v>
      </c>
      <c r="DB295" s="555">
        <v>190506</v>
      </c>
      <c r="DC295" s="802">
        <v>558726</v>
      </c>
      <c r="DD295" s="959">
        <v>194273</v>
      </c>
      <c r="DE295" s="555">
        <v>194641</v>
      </c>
      <c r="DF295" s="555">
        <v>199914</v>
      </c>
      <c r="DG295" s="555">
        <v>202337</v>
      </c>
      <c r="DH295" s="802">
        <v>791165</v>
      </c>
      <c r="DI295" s="1005">
        <v>208333</v>
      </c>
      <c r="DJ295" s="1005">
        <v>201908</v>
      </c>
      <c r="DK295" s="1005">
        <v>201870</v>
      </c>
      <c r="DL295" s="1005">
        <v>211991</v>
      </c>
      <c r="DM295" s="1506">
        <v>824102</v>
      </c>
      <c r="DN295" s="1507">
        <v>193980</v>
      </c>
      <c r="DO295" s="1507">
        <v>193779</v>
      </c>
      <c r="DP295" s="1507">
        <v>177626</v>
      </c>
      <c r="DQ295" s="1507">
        <v>175672</v>
      </c>
      <c r="DR295" s="1506">
        <v>715502</v>
      </c>
      <c r="DS295" s="1507">
        <v>196182</v>
      </c>
      <c r="DT295" s="1507">
        <v>189473</v>
      </c>
      <c r="DU295" s="1507">
        <v>181970</v>
      </c>
      <c r="DV295" s="1507">
        <v>184877</v>
      </c>
      <c r="DW295" s="1506">
        <v>738528</v>
      </c>
      <c r="DX295" s="555"/>
      <c r="DY295" s="555"/>
      <c r="DZ295" s="555"/>
      <c r="EA295" s="555"/>
      <c r="EB295" s="802"/>
      <c r="EC295" s="555"/>
      <c r="ED295" s="555"/>
      <c r="EE295" s="555"/>
      <c r="EF295" s="555"/>
      <c r="EG295" s="802"/>
      <c r="EH295" s="555"/>
      <c r="EI295" s="555"/>
      <c r="EJ295" s="555"/>
      <c r="EK295" s="555"/>
      <c r="EL295" s="802"/>
    </row>
    <row r="296" spans="1:142" hidden="1" outlineLevel="1">
      <c r="A296" s="557"/>
      <c r="B296" s="557" t="s">
        <v>147</v>
      </c>
      <c r="C296" s="1203"/>
      <c r="D296" s="1203" t="s">
        <v>503</v>
      </c>
      <c r="E296" s="1201">
        <v>64496</v>
      </c>
      <c r="F296" s="1201">
        <v>67637</v>
      </c>
      <c r="G296" s="960">
        <f>H296-SUM(D296:F296)</f>
        <v>226531</v>
      </c>
      <c r="H296" s="1202">
        <v>358664</v>
      </c>
      <c r="I296" s="1201">
        <v>156687</v>
      </c>
      <c r="J296" s="1201">
        <v>166564</v>
      </c>
      <c r="K296" s="1201">
        <v>187675</v>
      </c>
      <c r="L296" s="960">
        <f>M296-SUM(I296:K296)</f>
        <v>178693</v>
      </c>
      <c r="M296" s="1202">
        <v>689619</v>
      </c>
      <c r="N296" s="1201">
        <v>177597</v>
      </c>
      <c r="O296" s="1201">
        <v>179602</v>
      </c>
      <c r="P296" s="1201">
        <v>301703</v>
      </c>
      <c r="Q296" s="960">
        <f>R296-SUM(N296:P296)</f>
        <v>465495</v>
      </c>
      <c r="R296" s="1202">
        <v>1124397</v>
      </c>
      <c r="S296" s="1201">
        <v>289833</v>
      </c>
      <c r="T296" s="1201">
        <v>327578</v>
      </c>
      <c r="U296" s="1201">
        <v>326322</v>
      </c>
      <c r="V296" s="960">
        <f>W296-SUM(S296:U296)</f>
        <v>324531</v>
      </c>
      <c r="W296" s="1202">
        <v>1268264</v>
      </c>
      <c r="X296" s="1201">
        <v>322799</v>
      </c>
      <c r="Y296" s="1201">
        <v>322035</v>
      </c>
      <c r="Z296" s="1201">
        <v>351849</v>
      </c>
      <c r="AA296" s="960">
        <f>AB296-SUM(X296:Z296)</f>
        <v>363341</v>
      </c>
      <c r="AB296" s="1202">
        <v>1360024</v>
      </c>
      <c r="AC296" s="1201">
        <v>353711</v>
      </c>
      <c r="AD296" s="1201">
        <v>329667</v>
      </c>
      <c r="AE296" s="1201">
        <v>335658</v>
      </c>
      <c r="AF296" s="960">
        <f>AG296-SUM(AC296:AE296)</f>
        <v>332259</v>
      </c>
      <c r="AG296" s="1202">
        <v>1351295</v>
      </c>
      <c r="AH296" s="1201">
        <v>322799</v>
      </c>
      <c r="AI296" s="1201">
        <v>329224</v>
      </c>
      <c r="AJ296" s="1201">
        <v>334340</v>
      </c>
      <c r="AK296" s="960">
        <f>AL296-SUM(AH296:AJ296)</f>
        <v>354775</v>
      </c>
      <c r="AL296" s="1202">
        <v>1341138</v>
      </c>
      <c r="AM296" s="1201">
        <v>350065</v>
      </c>
      <c r="AN296" s="1201">
        <v>348787</v>
      </c>
      <c r="AO296" s="1201">
        <v>360536</v>
      </c>
      <c r="AP296" s="960">
        <f>AQ296-SUM(AM296:AO296)</f>
        <v>370164</v>
      </c>
      <c r="AQ296" s="1202">
        <v>1429552</v>
      </c>
      <c r="AR296" s="1201">
        <v>360963</v>
      </c>
      <c r="AS296" s="1201">
        <v>361197</v>
      </c>
      <c r="AT296" s="1201">
        <v>365527</v>
      </c>
      <c r="AU296" s="802"/>
      <c r="AV296" s="708" t="s">
        <v>503</v>
      </c>
      <c r="AW296" s="708" t="s">
        <v>503</v>
      </c>
      <c r="AX296" s="708" t="s">
        <v>503</v>
      </c>
      <c r="AY296" s="708" t="s">
        <v>503</v>
      </c>
      <c r="AZ296" s="1188" t="s">
        <v>503</v>
      </c>
      <c r="BA296" s="1201">
        <v>336245</v>
      </c>
      <c r="BB296" s="1201">
        <v>330709</v>
      </c>
      <c r="BC296" s="1201">
        <v>333203</v>
      </c>
      <c r="BD296" s="960">
        <f>BE296-SUM(BA296:BC296)</f>
        <v>319844</v>
      </c>
      <c r="BE296" s="1202">
        <v>1320001</v>
      </c>
      <c r="BF296" s="1201">
        <v>256158</v>
      </c>
      <c r="BG296" s="1201">
        <v>246174</v>
      </c>
      <c r="BH296" s="1201">
        <v>241830</v>
      </c>
      <c r="BI296" s="1201">
        <v>238917</v>
      </c>
      <c r="BJ296" s="1202">
        <v>967093</v>
      </c>
      <c r="BK296" s="959">
        <v>248225</v>
      </c>
      <c r="BL296" s="555">
        <v>239747</v>
      </c>
      <c r="BM296" s="555">
        <v>233272</v>
      </c>
      <c r="BN296" s="555">
        <v>223084</v>
      </c>
      <c r="BO296" s="802">
        <v>944328</v>
      </c>
      <c r="BP296" s="959">
        <v>233356</v>
      </c>
      <c r="BQ296" s="555">
        <v>204640</v>
      </c>
      <c r="BR296" s="555">
        <v>202489</v>
      </c>
      <c r="BS296" s="555">
        <v>203830</v>
      </c>
      <c r="BT296" s="802">
        <v>822062</v>
      </c>
      <c r="BU296" s="959">
        <v>209574</v>
      </c>
      <c r="BV296" s="555">
        <v>202820</v>
      </c>
      <c r="BW296" s="555">
        <v>198046</v>
      </c>
      <c r="BX296" s="555">
        <v>201228</v>
      </c>
      <c r="BY296" s="802">
        <v>799072</v>
      </c>
      <c r="BZ296" s="959">
        <v>207482</v>
      </c>
      <c r="CA296" s="555">
        <v>195522</v>
      </c>
      <c r="CB296" s="555">
        <v>192799</v>
      </c>
      <c r="CC296" s="555">
        <v>193108</v>
      </c>
      <c r="CD296" s="802">
        <v>771704</v>
      </c>
      <c r="CE296" s="959">
        <v>200154</v>
      </c>
      <c r="CF296" s="555">
        <v>195962</v>
      </c>
      <c r="CG296" s="555">
        <v>197164</v>
      </c>
      <c r="CH296" s="555">
        <v>193279</v>
      </c>
      <c r="CI296" s="802">
        <v>784502</v>
      </c>
      <c r="CJ296" s="959">
        <v>195909</v>
      </c>
      <c r="CK296" s="555">
        <v>194828</v>
      </c>
      <c r="CL296" s="555">
        <v>193670</v>
      </c>
      <c r="CM296" s="555">
        <v>194098</v>
      </c>
      <c r="CN296" s="802">
        <v>778505</v>
      </c>
      <c r="CO296" s="959">
        <v>197459</v>
      </c>
      <c r="CP296" s="555">
        <v>193971</v>
      </c>
      <c r="CQ296" s="555">
        <v>194965</v>
      </c>
      <c r="CR296" s="555">
        <v>193631</v>
      </c>
      <c r="CS296" s="802">
        <v>780026</v>
      </c>
      <c r="CT296" s="959">
        <v>202860</v>
      </c>
      <c r="CU296" s="555">
        <v>196932</v>
      </c>
      <c r="CV296" s="555">
        <v>197778</v>
      </c>
      <c r="CW296" s="555">
        <v>199304</v>
      </c>
      <c r="CX296" s="802">
        <v>796874</v>
      </c>
      <c r="CY296" s="959">
        <v>197665</v>
      </c>
      <c r="CZ296" s="555">
        <v>195440</v>
      </c>
      <c r="DA296" s="555">
        <v>196761</v>
      </c>
      <c r="DB296" s="555">
        <v>325410</v>
      </c>
      <c r="DC296" s="802">
        <v>915276</v>
      </c>
      <c r="DD296" s="959">
        <v>323810</v>
      </c>
      <c r="DE296" s="555">
        <v>337509</v>
      </c>
      <c r="DF296" s="555">
        <v>345787</v>
      </c>
      <c r="DG296" s="555">
        <v>347790</v>
      </c>
      <c r="DH296" s="802">
        <v>1354896</v>
      </c>
      <c r="DI296" s="1005">
        <v>351893</v>
      </c>
      <c r="DJ296" s="1005">
        <v>349122</v>
      </c>
      <c r="DK296" s="1005">
        <v>352328</v>
      </c>
      <c r="DL296" s="1005">
        <v>371994</v>
      </c>
      <c r="DM296" s="1506">
        <v>1422588</v>
      </c>
      <c r="DN296" s="1507">
        <v>330575</v>
      </c>
      <c r="DO296" s="1507">
        <v>340792</v>
      </c>
      <c r="DP296" s="1507">
        <v>310253</v>
      </c>
      <c r="DQ296" s="1507">
        <v>303912</v>
      </c>
      <c r="DR296" s="1506">
        <v>12399324</v>
      </c>
      <c r="DS296" s="1507">
        <v>339522</v>
      </c>
      <c r="DT296" s="1507">
        <v>335915</v>
      </c>
      <c r="DU296" s="1507">
        <v>320821</v>
      </c>
      <c r="DV296" s="1507">
        <v>324495</v>
      </c>
      <c r="DW296" s="1506">
        <v>1294913</v>
      </c>
      <c r="DX296" s="555"/>
      <c r="DY296" s="555"/>
      <c r="DZ296" s="555"/>
      <c r="EA296" s="555"/>
      <c r="EB296" s="802"/>
      <c r="EC296" s="555"/>
      <c r="ED296" s="555"/>
      <c r="EE296" s="555"/>
      <c r="EF296" s="555"/>
      <c r="EG296" s="802"/>
      <c r="EH296" s="555"/>
      <c r="EI296" s="555"/>
      <c r="EJ296" s="555"/>
      <c r="EK296" s="555"/>
      <c r="EL296" s="802"/>
    </row>
    <row r="297" spans="1:142" hidden="1" outlineLevel="1">
      <c r="A297" s="1300"/>
      <c r="B297" s="164" t="s">
        <v>204</v>
      </c>
      <c r="C297" s="164"/>
      <c r="D297" s="1301" t="s">
        <v>503</v>
      </c>
      <c r="E297" s="1301" t="s">
        <v>503</v>
      </c>
      <c r="F297" s="1301" t="s">
        <v>503</v>
      </c>
      <c r="G297" s="1301" t="s">
        <v>503</v>
      </c>
      <c r="H297" s="1302" t="s">
        <v>503</v>
      </c>
      <c r="I297" s="1301" t="s">
        <v>503</v>
      </c>
      <c r="J297" s="1301" t="s">
        <v>503</v>
      </c>
      <c r="K297" s="1301" t="s">
        <v>503</v>
      </c>
      <c r="L297" s="1301" t="s">
        <v>503</v>
      </c>
      <c r="M297" s="1302" t="s">
        <v>503</v>
      </c>
      <c r="N297" s="1301" t="s">
        <v>503</v>
      </c>
      <c r="O297" s="1301" t="s">
        <v>503</v>
      </c>
      <c r="P297" s="1301" t="s">
        <v>503</v>
      </c>
      <c r="Q297" s="1301" t="s">
        <v>503</v>
      </c>
      <c r="R297" s="1302" t="s">
        <v>503</v>
      </c>
      <c r="S297" s="1301" t="s">
        <v>503</v>
      </c>
      <c r="T297" s="1301" t="s">
        <v>503</v>
      </c>
      <c r="U297" s="1301" t="s">
        <v>503</v>
      </c>
      <c r="V297" s="1301" t="s">
        <v>503</v>
      </c>
      <c r="W297" s="1302" t="s">
        <v>503</v>
      </c>
      <c r="X297" s="1301" t="s">
        <v>503</v>
      </c>
      <c r="Y297" s="1301" t="s">
        <v>503</v>
      </c>
      <c r="Z297" s="1301" t="s">
        <v>503</v>
      </c>
      <c r="AA297" s="1301" t="s">
        <v>503</v>
      </c>
      <c r="AB297" s="1302" t="s">
        <v>503</v>
      </c>
      <c r="AC297" s="1301" t="s">
        <v>503</v>
      </c>
      <c r="AD297" s="1301" t="s">
        <v>503</v>
      </c>
      <c r="AE297" s="1301" t="s">
        <v>503</v>
      </c>
      <c r="AF297" s="1301" t="s">
        <v>503</v>
      </c>
      <c r="AG297" s="1302" t="s">
        <v>503</v>
      </c>
      <c r="AH297" s="1301" t="s">
        <v>503</v>
      </c>
      <c r="AI297" s="1301" t="s">
        <v>503</v>
      </c>
      <c r="AJ297" s="1301" t="s">
        <v>503</v>
      </c>
      <c r="AK297" s="1301" t="s">
        <v>503</v>
      </c>
      <c r="AL297" s="1302" t="s">
        <v>503</v>
      </c>
      <c r="AM297" s="1301" t="s">
        <v>503</v>
      </c>
      <c r="AN297" s="1301" t="s">
        <v>503</v>
      </c>
      <c r="AO297" s="1301" t="s">
        <v>503</v>
      </c>
      <c r="AP297" s="1301" t="s">
        <v>503</v>
      </c>
      <c r="AQ297" s="1302" t="s">
        <v>503</v>
      </c>
      <c r="AR297" s="1301" t="s">
        <v>503</v>
      </c>
      <c r="AS297" s="1301" t="s">
        <v>503</v>
      </c>
      <c r="AT297" s="1301" t="s">
        <v>503</v>
      </c>
      <c r="AU297" s="1303"/>
      <c r="AV297" s="1304" t="s">
        <v>503</v>
      </c>
      <c r="AW297" s="1304" t="s">
        <v>503</v>
      </c>
      <c r="AX297" s="1304" t="s">
        <v>503</v>
      </c>
      <c r="AY297" s="1304" t="s">
        <v>503</v>
      </c>
      <c r="AZ297" s="1305" t="s">
        <v>503</v>
      </c>
      <c r="BA297" s="1301" t="s">
        <v>503</v>
      </c>
      <c r="BB297" s="1301" t="s">
        <v>503</v>
      </c>
      <c r="BC297" s="1301" t="s">
        <v>503</v>
      </c>
      <c r="BD297" s="1301" t="s">
        <v>503</v>
      </c>
      <c r="BE297" s="1302" t="s">
        <v>503</v>
      </c>
      <c r="BF297" s="1301" t="s">
        <v>503</v>
      </c>
      <c r="BG297" s="1301" t="s">
        <v>503</v>
      </c>
      <c r="BH297" s="1301" t="s">
        <v>503</v>
      </c>
      <c r="BI297" s="1306" t="s">
        <v>503</v>
      </c>
      <c r="BJ297" s="1307" t="s">
        <v>503</v>
      </c>
      <c r="BK297" s="321" t="e">
        <f t="shared" ref="BK297:BY297" si="564">BK327-BK312</f>
        <v>#VALUE!</v>
      </c>
      <c r="BL297" s="321" t="e">
        <f t="shared" si="564"/>
        <v>#VALUE!</v>
      </c>
      <c r="BM297" s="321" t="e">
        <f t="shared" si="564"/>
        <v>#VALUE!</v>
      </c>
      <c r="BN297" s="1308" t="e">
        <f t="shared" si="564"/>
        <v>#VALUE!</v>
      </c>
      <c r="BO297" s="291" t="e">
        <f t="shared" si="564"/>
        <v>#VALUE!</v>
      </c>
      <c r="BP297" s="321" t="e">
        <f t="shared" si="564"/>
        <v>#VALUE!</v>
      </c>
      <c r="BQ297" s="321" t="e">
        <f t="shared" si="564"/>
        <v>#VALUE!</v>
      </c>
      <c r="BR297" s="321" t="e">
        <f t="shared" si="564"/>
        <v>#VALUE!</v>
      </c>
      <c r="BS297" s="1308" t="e">
        <f t="shared" si="564"/>
        <v>#VALUE!</v>
      </c>
      <c r="BT297" s="291" t="e">
        <f t="shared" si="564"/>
        <v>#VALUE!</v>
      </c>
      <c r="BU297" s="321" t="e">
        <f t="shared" si="564"/>
        <v>#VALUE!</v>
      </c>
      <c r="BV297" s="321" t="e">
        <f t="shared" si="564"/>
        <v>#VALUE!</v>
      </c>
      <c r="BW297" s="321" t="e">
        <f t="shared" si="564"/>
        <v>#VALUE!</v>
      </c>
      <c r="BX297" s="1308" t="e">
        <f t="shared" si="564"/>
        <v>#VALUE!</v>
      </c>
      <c r="BY297" s="291" t="e">
        <f t="shared" si="564"/>
        <v>#VALUE!</v>
      </c>
      <c r="BZ297" s="321">
        <v>137244</v>
      </c>
      <c r="CA297" s="321">
        <v>124972</v>
      </c>
      <c r="CB297" s="321">
        <v>121115</v>
      </c>
      <c r="CC297" s="1308">
        <v>122158</v>
      </c>
      <c r="CD297" s="291">
        <v>493811</v>
      </c>
      <c r="CE297" s="321">
        <v>127204</v>
      </c>
      <c r="CF297" s="321">
        <v>120227</v>
      </c>
      <c r="CG297" s="321">
        <v>119925</v>
      </c>
      <c r="CH297" s="1308">
        <v>119799</v>
      </c>
      <c r="CI297" s="291">
        <v>485750</v>
      </c>
      <c r="CJ297" s="321">
        <v>124299</v>
      </c>
      <c r="CK297" s="321">
        <v>119185</v>
      </c>
      <c r="CL297" s="321">
        <v>116672</v>
      </c>
      <c r="CM297" s="1308">
        <v>118583</v>
      </c>
      <c r="CN297" s="291">
        <v>478739</v>
      </c>
      <c r="CO297" s="321">
        <v>124762</v>
      </c>
      <c r="CP297" s="321">
        <v>119097</v>
      </c>
      <c r="CQ297" s="321">
        <v>118505</v>
      </c>
      <c r="CR297" s="1308">
        <v>116763</v>
      </c>
      <c r="CS297" s="291">
        <v>473943</v>
      </c>
      <c r="CT297" s="321">
        <v>122343</v>
      </c>
      <c r="CU297" s="321">
        <v>116195</v>
      </c>
      <c r="CV297" s="321">
        <v>115607</v>
      </c>
      <c r="CW297" s="1308">
        <v>116611</v>
      </c>
      <c r="CX297" s="291">
        <v>470756</v>
      </c>
      <c r="CY297" s="321">
        <v>117326</v>
      </c>
      <c r="CZ297" s="321">
        <v>111891</v>
      </c>
      <c r="DA297" s="321">
        <v>112760</v>
      </c>
      <c r="DB297" s="1308">
        <v>113573</v>
      </c>
      <c r="DC297" s="291">
        <v>455550</v>
      </c>
      <c r="DD297" s="321">
        <v>116064</v>
      </c>
      <c r="DE297" s="321">
        <v>116801</v>
      </c>
      <c r="DF297" s="321">
        <v>118580</v>
      </c>
      <c r="DG297" s="1308">
        <v>124600</v>
      </c>
      <c r="DH297" s="291" t="e">
        <f>DH327-DH312</f>
        <v>#VALUE!</v>
      </c>
      <c r="DI297" s="1508">
        <v>193028</v>
      </c>
      <c r="DJ297" s="1508">
        <v>187029</v>
      </c>
      <c r="DK297" s="1508">
        <v>180353</v>
      </c>
      <c r="DL297" s="1508">
        <v>180353</v>
      </c>
      <c r="DM297" s="1509">
        <v>733155</v>
      </c>
      <c r="DN297" s="1511">
        <v>184436</v>
      </c>
      <c r="DO297" s="1511">
        <v>183474</v>
      </c>
      <c r="DP297" s="1511">
        <v>167219</v>
      </c>
      <c r="DQ297" s="1510">
        <v>166139</v>
      </c>
      <c r="DR297" s="1509">
        <v>677361</v>
      </c>
      <c r="DS297" s="1511">
        <v>186079</v>
      </c>
      <c r="DT297" s="1511">
        <v>179101</v>
      </c>
      <c r="DU297" s="1511">
        <v>171791</v>
      </c>
      <c r="DV297" s="1510">
        <v>175025</v>
      </c>
      <c r="DW297" s="1509">
        <v>699613</v>
      </c>
      <c r="DX297" s="321"/>
      <c r="DY297" s="321"/>
      <c r="DZ297" s="321"/>
      <c r="EA297" s="321"/>
      <c r="EB297" s="1309"/>
      <c r="EC297" s="321"/>
      <c r="ED297" s="321"/>
      <c r="EE297" s="321"/>
      <c r="EF297" s="321"/>
      <c r="EG297" s="1309"/>
      <c r="EH297" s="321"/>
      <c r="EI297" s="321"/>
      <c r="EJ297" s="321"/>
      <c r="EK297" s="321"/>
      <c r="EL297" s="1309"/>
    </row>
    <row r="298" spans="1:142" hidden="1" outlineLevel="1">
      <c r="A298" s="1300"/>
      <c r="B298" s="1300" t="s">
        <v>205</v>
      </c>
      <c r="C298" s="1301"/>
      <c r="D298" s="1301" t="s">
        <v>503</v>
      </c>
      <c r="E298" s="1301" t="s">
        <v>503</v>
      </c>
      <c r="F298" s="1301" t="s">
        <v>503</v>
      </c>
      <c r="G298" s="1301" t="s">
        <v>503</v>
      </c>
      <c r="H298" s="1302" t="s">
        <v>503</v>
      </c>
      <c r="I298" s="1301" t="s">
        <v>503</v>
      </c>
      <c r="J298" s="1301" t="s">
        <v>503</v>
      </c>
      <c r="K298" s="1301" t="s">
        <v>503</v>
      </c>
      <c r="L298" s="1301" t="s">
        <v>503</v>
      </c>
      <c r="M298" s="1302" t="s">
        <v>503</v>
      </c>
      <c r="N298" s="1301" t="s">
        <v>503</v>
      </c>
      <c r="O298" s="1301" t="s">
        <v>503</v>
      </c>
      <c r="P298" s="1301" t="s">
        <v>503</v>
      </c>
      <c r="Q298" s="1301" t="s">
        <v>503</v>
      </c>
      <c r="R298" s="1302" t="s">
        <v>503</v>
      </c>
      <c r="S298" s="1301" t="s">
        <v>503</v>
      </c>
      <c r="T298" s="1301" t="s">
        <v>503</v>
      </c>
      <c r="U298" s="1301" t="s">
        <v>503</v>
      </c>
      <c r="V298" s="1301" t="s">
        <v>503</v>
      </c>
      <c r="W298" s="1302" t="s">
        <v>503</v>
      </c>
      <c r="X298" s="1301" t="s">
        <v>503</v>
      </c>
      <c r="Y298" s="1301" t="s">
        <v>503</v>
      </c>
      <c r="Z298" s="1301" t="s">
        <v>503</v>
      </c>
      <c r="AA298" s="1301" t="s">
        <v>503</v>
      </c>
      <c r="AB298" s="1302" t="s">
        <v>503</v>
      </c>
      <c r="AC298" s="1301" t="s">
        <v>503</v>
      </c>
      <c r="AD298" s="1301" t="s">
        <v>503</v>
      </c>
      <c r="AE298" s="1301" t="s">
        <v>503</v>
      </c>
      <c r="AF298" s="1301" t="s">
        <v>503</v>
      </c>
      <c r="AG298" s="1302" t="s">
        <v>503</v>
      </c>
      <c r="AH298" s="1301" t="s">
        <v>503</v>
      </c>
      <c r="AI298" s="1301" t="s">
        <v>503</v>
      </c>
      <c r="AJ298" s="1301" t="s">
        <v>503</v>
      </c>
      <c r="AK298" s="1301" t="s">
        <v>503</v>
      </c>
      <c r="AL298" s="1302" t="s">
        <v>503</v>
      </c>
      <c r="AM298" s="1301" t="s">
        <v>503</v>
      </c>
      <c r="AN298" s="1301" t="s">
        <v>503</v>
      </c>
      <c r="AO298" s="1301" t="s">
        <v>503</v>
      </c>
      <c r="AP298" s="1301" t="s">
        <v>503</v>
      </c>
      <c r="AQ298" s="1302" t="s">
        <v>503</v>
      </c>
      <c r="AR298" s="1301" t="s">
        <v>503</v>
      </c>
      <c r="AS298" s="1301" t="s">
        <v>503</v>
      </c>
      <c r="AT298" s="1301" t="s">
        <v>503</v>
      </c>
      <c r="AU298" s="1303"/>
      <c r="AV298" s="1304" t="s">
        <v>503</v>
      </c>
      <c r="AW298" s="1304" t="s">
        <v>503</v>
      </c>
      <c r="AX298" s="1304" t="s">
        <v>503</v>
      </c>
      <c r="AY298" s="1304" t="s">
        <v>503</v>
      </c>
      <c r="AZ298" s="1305" t="s">
        <v>503</v>
      </c>
      <c r="BA298" s="1301" t="s">
        <v>503</v>
      </c>
      <c r="BB298" s="1301" t="s">
        <v>503</v>
      </c>
      <c r="BC298" s="1301" t="s">
        <v>503</v>
      </c>
      <c r="BD298" s="1301" t="s">
        <v>503</v>
      </c>
      <c r="BE298" s="1302" t="s">
        <v>503</v>
      </c>
      <c r="BF298" s="1312">
        <f>BF330*BF326</f>
        <v>0</v>
      </c>
      <c r="BG298" s="1312">
        <f>BG330*BG326</f>
        <v>0</v>
      </c>
      <c r="BH298" s="1312">
        <f>BH330*BH326</f>
        <v>0</v>
      </c>
      <c r="BI298" s="1313">
        <f>BI330*BI326</f>
        <v>0</v>
      </c>
      <c r="BJ298" s="1314">
        <f>SUM(BF298:BI298)</f>
        <v>0</v>
      </c>
      <c r="BK298" s="320" t="s">
        <v>503</v>
      </c>
      <c r="BL298" s="320" t="s">
        <v>503</v>
      </c>
      <c r="BM298" s="1315">
        <v>86305</v>
      </c>
      <c r="BN298" s="562">
        <v>86066</v>
      </c>
      <c r="BO298" s="291" t="s">
        <v>503</v>
      </c>
      <c r="BP298" s="320">
        <v>91208</v>
      </c>
      <c r="BQ298" s="320">
        <v>75579</v>
      </c>
      <c r="BR298" s="1315">
        <v>73874</v>
      </c>
      <c r="BS298" s="562">
        <v>76605</v>
      </c>
      <c r="BT298" s="291">
        <f>SUM(BP298:BS298)</f>
        <v>317266</v>
      </c>
      <c r="BU298" s="320">
        <v>81373</v>
      </c>
      <c r="BV298" s="320">
        <v>75680</v>
      </c>
      <c r="BW298" s="1315">
        <v>71645</v>
      </c>
      <c r="BX298" s="562">
        <v>74878</v>
      </c>
      <c r="BY298" s="291">
        <f>SUM(BU298:BX298)</f>
        <v>303576</v>
      </c>
      <c r="BZ298" s="320">
        <v>81246</v>
      </c>
      <c r="CA298" s="320">
        <v>74025</v>
      </c>
      <c r="CB298" s="1315">
        <v>71218</v>
      </c>
      <c r="CC298" s="562">
        <v>73570</v>
      </c>
      <c r="CD298" s="291">
        <v>295473</v>
      </c>
      <c r="CE298" s="320">
        <v>78074</v>
      </c>
      <c r="CF298" s="320">
        <v>73701</v>
      </c>
      <c r="CG298" s="1315">
        <v>73082</v>
      </c>
      <c r="CH298" s="562">
        <v>73806</v>
      </c>
      <c r="CI298" s="291">
        <v>297911</v>
      </c>
      <c r="CJ298" s="320">
        <v>78484</v>
      </c>
      <c r="CK298" s="320">
        <v>74606</v>
      </c>
      <c r="CL298" s="1315">
        <v>72914</v>
      </c>
      <c r="CM298" s="562">
        <v>74648</v>
      </c>
      <c r="CN298" s="291">
        <v>300652</v>
      </c>
      <c r="CO298" s="320">
        <v>80763</v>
      </c>
      <c r="CP298" s="320">
        <v>76824</v>
      </c>
      <c r="CQ298" s="1315">
        <v>75624</v>
      </c>
      <c r="CR298" s="562">
        <v>76151</v>
      </c>
      <c r="CS298" s="291">
        <v>306424</v>
      </c>
      <c r="CT298" s="320">
        <v>81216</v>
      </c>
      <c r="CU298" s="320">
        <v>77604</v>
      </c>
      <c r="CV298" s="1315">
        <v>76617</v>
      </c>
      <c r="CW298" s="562">
        <v>77465</v>
      </c>
      <c r="CX298" s="291">
        <v>312902</v>
      </c>
      <c r="CY298" s="320">
        <v>80208</v>
      </c>
      <c r="CZ298" s="320">
        <v>75608</v>
      </c>
      <c r="DA298" s="1315">
        <v>75512</v>
      </c>
      <c r="DB298" s="562">
        <v>76872</v>
      </c>
      <c r="DC298" s="291">
        <v>308200</v>
      </c>
      <c r="DD298" s="320">
        <v>80910</v>
      </c>
      <c r="DE298" s="320">
        <v>80529</v>
      </c>
      <c r="DF298" s="1315">
        <v>80328</v>
      </c>
      <c r="DG298" s="562">
        <v>124600</v>
      </c>
      <c r="DH298" s="291">
        <v>479805</v>
      </c>
      <c r="DI298" s="1512">
        <v>130241</v>
      </c>
      <c r="DJ298" s="1514">
        <v>123761</v>
      </c>
      <c r="DK298" s="1513">
        <v>119264</v>
      </c>
      <c r="DL298" s="1514">
        <v>123761</v>
      </c>
      <c r="DM298" s="1515">
        <v>489401</v>
      </c>
      <c r="DN298" s="1520">
        <v>125004</v>
      </c>
      <c r="DO298" s="1520">
        <v>122239</v>
      </c>
      <c r="DP298" s="1521">
        <v>110539</v>
      </c>
      <c r="DQ298" s="1517">
        <v>110674</v>
      </c>
      <c r="DR298" s="1509">
        <v>451785</v>
      </c>
      <c r="DS298" s="1511">
        <v>126067</v>
      </c>
      <c r="DT298" s="1520">
        <v>121212</v>
      </c>
      <c r="DU298" s="1520">
        <v>118361</v>
      </c>
      <c r="DV298" s="1517">
        <v>123102</v>
      </c>
      <c r="DW298" s="1509">
        <v>480180</v>
      </c>
      <c r="DX298" s="435"/>
      <c r="DY298" s="435"/>
      <c r="DZ298" s="435"/>
      <c r="EA298" s="435"/>
      <c r="EB298" s="55"/>
      <c r="EC298" s="435"/>
      <c r="ED298" s="435"/>
      <c r="EE298" s="435"/>
      <c r="EF298" s="435"/>
      <c r="EG298" s="55"/>
      <c r="EH298" s="435"/>
      <c r="EI298" s="435"/>
      <c r="EJ298" s="435"/>
      <c r="EK298" s="435"/>
      <c r="EL298" s="55"/>
    </row>
    <row r="299" spans="1:142" hidden="1" outlineLevel="1">
      <c r="A299" s="1300"/>
      <c r="B299" s="1300" t="s">
        <v>206</v>
      </c>
      <c r="C299" s="1301"/>
      <c r="D299" s="1301" t="s">
        <v>503</v>
      </c>
      <c r="E299" s="1301" t="s">
        <v>503</v>
      </c>
      <c r="F299" s="1301" t="s">
        <v>503</v>
      </c>
      <c r="G299" s="1301" t="s">
        <v>503</v>
      </c>
      <c r="H299" s="1302" t="s">
        <v>503</v>
      </c>
      <c r="I299" s="1301" t="s">
        <v>503</v>
      </c>
      <c r="J299" s="1301" t="s">
        <v>503</v>
      </c>
      <c r="K299" s="1301" t="s">
        <v>503</v>
      </c>
      <c r="L299" s="1301" t="s">
        <v>503</v>
      </c>
      <c r="M299" s="1302" t="s">
        <v>503</v>
      </c>
      <c r="N299" s="1301" t="s">
        <v>503</v>
      </c>
      <c r="O299" s="1301" t="s">
        <v>503</v>
      </c>
      <c r="P299" s="1301" t="s">
        <v>503</v>
      </c>
      <c r="Q299" s="1301" t="s">
        <v>503</v>
      </c>
      <c r="R299" s="1302" t="s">
        <v>503</v>
      </c>
      <c r="S299" s="1301" t="s">
        <v>503</v>
      </c>
      <c r="T299" s="1301" t="s">
        <v>503</v>
      </c>
      <c r="U299" s="1301" t="s">
        <v>503</v>
      </c>
      <c r="V299" s="1301" t="s">
        <v>503</v>
      </c>
      <c r="W299" s="1302" t="s">
        <v>503</v>
      </c>
      <c r="X299" s="1301" t="s">
        <v>503</v>
      </c>
      <c r="Y299" s="1301" t="s">
        <v>503</v>
      </c>
      <c r="Z299" s="1301" t="s">
        <v>503</v>
      </c>
      <c r="AA299" s="1301" t="s">
        <v>503</v>
      </c>
      <c r="AB299" s="1302" t="s">
        <v>503</v>
      </c>
      <c r="AC299" s="1301" t="s">
        <v>503</v>
      </c>
      <c r="AD299" s="1301" t="s">
        <v>503</v>
      </c>
      <c r="AE299" s="1301" t="s">
        <v>503</v>
      </c>
      <c r="AF299" s="1301" t="s">
        <v>503</v>
      </c>
      <c r="AG299" s="1302" t="s">
        <v>503</v>
      </c>
      <c r="AH299" s="1301" t="s">
        <v>503</v>
      </c>
      <c r="AI299" s="1301" t="s">
        <v>503</v>
      </c>
      <c r="AJ299" s="1301" t="s">
        <v>503</v>
      </c>
      <c r="AK299" s="1301" t="s">
        <v>503</v>
      </c>
      <c r="AL299" s="1302" t="s">
        <v>503</v>
      </c>
      <c r="AM299" s="1301" t="s">
        <v>503</v>
      </c>
      <c r="AN299" s="1301" t="s">
        <v>503</v>
      </c>
      <c r="AO299" s="1301" t="s">
        <v>503</v>
      </c>
      <c r="AP299" s="1301" t="s">
        <v>503</v>
      </c>
      <c r="AQ299" s="1302" t="s">
        <v>503</v>
      </c>
      <c r="AR299" s="1301" t="s">
        <v>503</v>
      </c>
      <c r="AS299" s="1301" t="s">
        <v>503</v>
      </c>
      <c r="AT299" s="1301" t="s">
        <v>503</v>
      </c>
      <c r="AU299" s="1303"/>
      <c r="AV299" s="1304" t="s">
        <v>503</v>
      </c>
      <c r="AW299" s="1304" t="s">
        <v>503</v>
      </c>
      <c r="AX299" s="1304" t="s">
        <v>503</v>
      </c>
      <c r="AY299" s="1304" t="s">
        <v>503</v>
      </c>
      <c r="AZ299" s="1305" t="s">
        <v>503</v>
      </c>
      <c r="BA299" s="1301" t="s">
        <v>503</v>
      </c>
      <c r="BB299" s="1301" t="s">
        <v>503</v>
      </c>
      <c r="BC299" s="1301" t="s">
        <v>503</v>
      </c>
      <c r="BD299" s="1301" t="s">
        <v>503</v>
      </c>
      <c r="BE299" s="1302" t="s">
        <v>503</v>
      </c>
      <c r="BF299" s="1301" t="s">
        <v>503</v>
      </c>
      <c r="BG299" s="1301" t="s">
        <v>503</v>
      </c>
      <c r="BH299" s="1301" t="s">
        <v>503</v>
      </c>
      <c r="BI299" s="1306" t="s">
        <v>503</v>
      </c>
      <c r="BJ299" s="1307" t="s">
        <v>503</v>
      </c>
      <c r="BK299" s="321" t="s">
        <v>503</v>
      </c>
      <c r="BL299" s="321" t="s">
        <v>503</v>
      </c>
      <c r="BM299" s="321" t="s">
        <v>503</v>
      </c>
      <c r="BN299" s="1308" t="s">
        <v>503</v>
      </c>
      <c r="BO299" s="1309" t="s">
        <v>503</v>
      </c>
      <c r="BP299" s="321" t="s">
        <v>503</v>
      </c>
      <c r="BQ299" s="321" t="s">
        <v>503</v>
      </c>
      <c r="BR299" s="321" t="s">
        <v>503</v>
      </c>
      <c r="BS299" s="1308" t="s">
        <v>503</v>
      </c>
      <c r="BT299" s="1309" t="s">
        <v>503</v>
      </c>
      <c r="BU299" s="321">
        <v>44015</v>
      </c>
      <c r="BV299" s="321">
        <v>43379</v>
      </c>
      <c r="BW299" s="321">
        <v>42159</v>
      </c>
      <c r="BX299" s="1308">
        <v>42314</v>
      </c>
      <c r="BY299" s="1309">
        <f>SUM(BU299:BX299)</f>
        <v>171867</v>
      </c>
      <c r="BZ299" s="321">
        <v>42028</v>
      </c>
      <c r="CA299" s="321">
        <v>40267</v>
      </c>
      <c r="CB299" s="321">
        <v>39507</v>
      </c>
      <c r="CC299" s="1308">
        <v>38713</v>
      </c>
      <c r="CD299" s="1309">
        <v>155896</v>
      </c>
      <c r="CE299" s="321">
        <v>38468</v>
      </c>
      <c r="CF299" s="321">
        <v>38298</v>
      </c>
      <c r="CG299" s="321">
        <v>38828</v>
      </c>
      <c r="CH299" s="1308">
        <v>37663</v>
      </c>
      <c r="CI299" s="1309">
        <v>152846</v>
      </c>
      <c r="CJ299" s="321">
        <v>37412</v>
      </c>
      <c r="CK299" s="321">
        <v>37786</v>
      </c>
      <c r="CL299" s="321">
        <v>37916</v>
      </c>
      <c r="CM299" s="1308">
        <v>37448</v>
      </c>
      <c r="CN299" s="1309">
        <v>150562</v>
      </c>
      <c r="CO299" s="321">
        <v>36753</v>
      </c>
      <c r="CP299" s="321">
        <v>36967</v>
      </c>
      <c r="CQ299" s="321">
        <v>37721</v>
      </c>
      <c r="CR299" s="1308">
        <v>35419</v>
      </c>
      <c r="CS299" s="1309">
        <v>144665</v>
      </c>
      <c r="CT299" s="321">
        <v>36237</v>
      </c>
      <c r="CU299" s="321">
        <v>35379</v>
      </c>
      <c r="CV299" s="321">
        <v>35161</v>
      </c>
      <c r="CW299" s="1308">
        <v>34511</v>
      </c>
      <c r="CX299" s="1309">
        <v>141288</v>
      </c>
      <c r="CY299" s="321">
        <v>33204</v>
      </c>
      <c r="CZ299" s="321">
        <v>34340</v>
      </c>
      <c r="DA299" s="321">
        <v>34971</v>
      </c>
      <c r="DB299" s="1308">
        <v>34198</v>
      </c>
      <c r="DC299" s="1309">
        <v>136713</v>
      </c>
      <c r="DD299" s="321">
        <v>33529</v>
      </c>
      <c r="DE299" s="321">
        <v>34369</v>
      </c>
      <c r="DF299" s="321">
        <v>35570</v>
      </c>
      <c r="DG299" s="1308">
        <v>54518</v>
      </c>
      <c r="DH299" s="1309">
        <f>SUM(DD299:DG299)</f>
        <v>157986</v>
      </c>
      <c r="DI299" s="1508">
        <v>52830</v>
      </c>
      <c r="DJ299" s="1508">
        <v>54225</v>
      </c>
      <c r="DK299" s="1508">
        <v>53319</v>
      </c>
      <c r="DL299" s="1518">
        <f>DM299-SUM(DI299:DK299)</f>
        <v>50689</v>
      </c>
      <c r="DM299" s="1515">
        <v>211063</v>
      </c>
      <c r="DN299" s="1511">
        <v>50563</v>
      </c>
      <c r="DO299" s="1511">
        <v>54376</v>
      </c>
      <c r="DP299" s="1511">
        <v>49608</v>
      </c>
      <c r="DQ299" s="1510">
        <v>48264</v>
      </c>
      <c r="DR299" s="1509">
        <v>195641</v>
      </c>
      <c r="DS299" s="1511">
        <v>51723</v>
      </c>
      <c r="DT299" s="1511">
        <v>51913</v>
      </c>
      <c r="DU299" s="1511">
        <v>50074</v>
      </c>
      <c r="DV299" s="1510">
        <v>50070</v>
      </c>
      <c r="DW299" s="1509">
        <v>199871</v>
      </c>
      <c r="DX299" s="321"/>
      <c r="DY299" s="321"/>
      <c r="DZ299" s="321"/>
      <c r="EA299" s="321"/>
      <c r="EB299" s="1309"/>
      <c r="EC299" s="321"/>
      <c r="ED299" s="321"/>
      <c r="EE299" s="321"/>
      <c r="EF299" s="321"/>
      <c r="EG299" s="1309"/>
      <c r="EH299" s="321"/>
      <c r="EI299" s="321"/>
      <c r="EJ299" s="321"/>
      <c r="EK299" s="321"/>
      <c r="EL299" s="1309"/>
    </row>
    <row r="300" spans="1:142" hidden="1" outlineLevel="1">
      <c r="A300" s="1300"/>
      <c r="B300" s="1300" t="s">
        <v>207</v>
      </c>
      <c r="C300" s="1301"/>
      <c r="D300" s="1301" t="s">
        <v>503</v>
      </c>
      <c r="E300" s="1301" t="s">
        <v>503</v>
      </c>
      <c r="F300" s="1301" t="s">
        <v>503</v>
      </c>
      <c r="G300" s="1301" t="s">
        <v>503</v>
      </c>
      <c r="H300" s="1302" t="s">
        <v>503</v>
      </c>
      <c r="I300" s="1301" t="s">
        <v>503</v>
      </c>
      <c r="J300" s="1301" t="s">
        <v>503</v>
      </c>
      <c r="K300" s="1301" t="s">
        <v>503</v>
      </c>
      <c r="L300" s="1301" t="s">
        <v>503</v>
      </c>
      <c r="M300" s="1302" t="s">
        <v>503</v>
      </c>
      <c r="N300" s="1301" t="s">
        <v>503</v>
      </c>
      <c r="O300" s="1301" t="s">
        <v>503</v>
      </c>
      <c r="P300" s="1301" t="s">
        <v>503</v>
      </c>
      <c r="Q300" s="1301" t="s">
        <v>503</v>
      </c>
      <c r="R300" s="1302" t="s">
        <v>503</v>
      </c>
      <c r="S300" s="1301" t="s">
        <v>503</v>
      </c>
      <c r="T300" s="1301" t="s">
        <v>503</v>
      </c>
      <c r="U300" s="1301" t="s">
        <v>503</v>
      </c>
      <c r="V300" s="1301" t="s">
        <v>503</v>
      </c>
      <c r="W300" s="1302" t="s">
        <v>503</v>
      </c>
      <c r="X300" s="1301" t="s">
        <v>503</v>
      </c>
      <c r="Y300" s="1301" t="s">
        <v>503</v>
      </c>
      <c r="Z300" s="1301" t="s">
        <v>503</v>
      </c>
      <c r="AA300" s="1301" t="s">
        <v>503</v>
      </c>
      <c r="AB300" s="1302" t="s">
        <v>503</v>
      </c>
      <c r="AC300" s="1301" t="s">
        <v>503</v>
      </c>
      <c r="AD300" s="1301" t="s">
        <v>503</v>
      </c>
      <c r="AE300" s="1301" t="s">
        <v>503</v>
      </c>
      <c r="AF300" s="1301" t="s">
        <v>503</v>
      </c>
      <c r="AG300" s="1302" t="s">
        <v>503</v>
      </c>
      <c r="AH300" s="1301" t="s">
        <v>503</v>
      </c>
      <c r="AI300" s="1301" t="s">
        <v>503</v>
      </c>
      <c r="AJ300" s="1301" t="s">
        <v>503</v>
      </c>
      <c r="AK300" s="1301" t="s">
        <v>503</v>
      </c>
      <c r="AL300" s="1302" t="s">
        <v>503</v>
      </c>
      <c r="AM300" s="1301" t="s">
        <v>503</v>
      </c>
      <c r="AN300" s="1301" t="s">
        <v>503</v>
      </c>
      <c r="AO300" s="1301" t="s">
        <v>503</v>
      </c>
      <c r="AP300" s="1301" t="s">
        <v>503</v>
      </c>
      <c r="AQ300" s="1302" t="s">
        <v>503</v>
      </c>
      <c r="AR300" s="1301" t="s">
        <v>503</v>
      </c>
      <c r="AS300" s="1301" t="s">
        <v>503</v>
      </c>
      <c r="AT300" s="1301" t="s">
        <v>503</v>
      </c>
      <c r="AU300" s="1303"/>
      <c r="AV300" s="1304" t="s">
        <v>503</v>
      </c>
      <c r="AW300" s="1304" t="s">
        <v>503</v>
      </c>
      <c r="AX300" s="1304" t="s">
        <v>503</v>
      </c>
      <c r="AY300" s="1304" t="s">
        <v>503</v>
      </c>
      <c r="AZ300" s="1305" t="s">
        <v>503</v>
      </c>
      <c r="BA300" s="1301" t="s">
        <v>503</v>
      </c>
      <c r="BB300" s="1301" t="s">
        <v>503</v>
      </c>
      <c r="BC300" s="1301" t="s">
        <v>503</v>
      </c>
      <c r="BD300" s="1301" t="s">
        <v>503</v>
      </c>
      <c r="BE300" s="1302" t="s">
        <v>503</v>
      </c>
      <c r="BF300" s="1301" t="s">
        <v>503</v>
      </c>
      <c r="BG300" s="1301" t="s">
        <v>503</v>
      </c>
      <c r="BH300" s="1301" t="s">
        <v>503</v>
      </c>
      <c r="BI300" s="1306" t="s">
        <v>503</v>
      </c>
      <c r="BJ300" s="1307" t="s">
        <v>503</v>
      </c>
      <c r="BK300" s="321" t="s">
        <v>503</v>
      </c>
      <c r="BL300" s="321" t="s">
        <v>503</v>
      </c>
      <c r="BM300" s="321" t="s">
        <v>503</v>
      </c>
      <c r="BN300" s="1308" t="s">
        <v>503</v>
      </c>
      <c r="BO300" s="1309" t="s">
        <v>503</v>
      </c>
      <c r="BP300" s="321" t="s">
        <v>503</v>
      </c>
      <c r="BQ300" s="321" t="s">
        <v>503</v>
      </c>
      <c r="BR300" s="321" t="s">
        <v>503</v>
      </c>
      <c r="BS300" s="1308" t="s">
        <v>503</v>
      </c>
      <c r="BT300" s="1309" t="s">
        <v>503</v>
      </c>
      <c r="BU300" s="321">
        <v>55892</v>
      </c>
      <c r="BV300" s="321">
        <v>56305</v>
      </c>
      <c r="BW300" s="321">
        <v>55603</v>
      </c>
      <c r="BX300" s="1308">
        <v>54516</v>
      </c>
      <c r="BY300" s="1309">
        <f>SUM(BU300:BX300)</f>
        <v>222316</v>
      </c>
      <c r="BZ300" s="321">
        <v>53316</v>
      </c>
      <c r="CA300" s="321">
        <v>53386</v>
      </c>
      <c r="CB300" s="321">
        <v>51364</v>
      </c>
      <c r="CC300" s="1308">
        <v>52201</v>
      </c>
      <c r="CD300" s="1309">
        <v>205117</v>
      </c>
      <c r="CE300" s="321">
        <v>51835</v>
      </c>
      <c r="CF300" s="321">
        <v>53277</v>
      </c>
      <c r="CG300" s="321">
        <v>52906</v>
      </c>
      <c r="CH300" s="1308">
        <v>52092</v>
      </c>
      <c r="CI300" s="1309">
        <v>209294</v>
      </c>
      <c r="CJ300" s="321">
        <v>50586</v>
      </c>
      <c r="CK300" s="321">
        <v>53499</v>
      </c>
      <c r="CL300" s="321">
        <v>53148</v>
      </c>
      <c r="CM300" s="1308">
        <v>52411</v>
      </c>
      <c r="CN300" s="1309">
        <v>209644</v>
      </c>
      <c r="CO300" s="321">
        <v>52001</v>
      </c>
      <c r="CP300" s="321">
        <v>55283</v>
      </c>
      <c r="CQ300" s="321">
        <v>56222</v>
      </c>
      <c r="CR300" s="1308">
        <v>55781</v>
      </c>
      <c r="CS300" s="1309">
        <v>217621</v>
      </c>
      <c r="CT300" s="321">
        <v>56991</v>
      </c>
      <c r="CU300" s="321">
        <v>60043</v>
      </c>
      <c r="CV300" s="321">
        <v>59099</v>
      </c>
      <c r="CW300" s="1308">
        <v>63534</v>
      </c>
      <c r="CX300" s="1309">
        <v>239667</v>
      </c>
      <c r="CY300" s="321">
        <v>68209</v>
      </c>
      <c r="CZ300" s="321">
        <v>74329</v>
      </c>
      <c r="DA300" s="321">
        <v>76084</v>
      </c>
      <c r="DB300" s="1308">
        <v>84878</v>
      </c>
      <c r="DC300" s="1309">
        <v>303500</v>
      </c>
      <c r="DD300" s="321">
        <v>81205</v>
      </c>
      <c r="DE300" s="321">
        <v>89783</v>
      </c>
      <c r="DF300" s="321">
        <v>91472</v>
      </c>
      <c r="DG300" s="1308">
        <v>126818</v>
      </c>
      <c r="DH300" s="1309">
        <f>SUM(DD300:DG300)</f>
        <v>389278</v>
      </c>
      <c r="DI300" s="1508">
        <v>121041</v>
      </c>
      <c r="DJ300" s="1508">
        <v>71122</v>
      </c>
      <c r="DK300" s="1508">
        <v>70446</v>
      </c>
      <c r="DL300" s="1518">
        <f>DM300-SUM(DI300:DK300)</f>
        <v>14281</v>
      </c>
      <c r="DM300" s="1515">
        <v>276890</v>
      </c>
      <c r="DN300" s="1511">
        <v>66467</v>
      </c>
      <c r="DO300" s="1511">
        <v>75825</v>
      </c>
      <c r="DP300" s="1511">
        <v>62571</v>
      </c>
      <c r="DQ300" s="1510">
        <v>64053</v>
      </c>
      <c r="DR300" s="1509">
        <v>256301</v>
      </c>
      <c r="DS300" s="1511">
        <v>69553</v>
      </c>
      <c r="DT300" s="1511">
        <v>71253</v>
      </c>
      <c r="DU300" s="1511">
        <v>66482</v>
      </c>
      <c r="DV300" s="1510">
        <v>68432</v>
      </c>
      <c r="DW300" s="1509">
        <v>271228</v>
      </c>
      <c r="DX300" s="321"/>
      <c r="DY300" s="321"/>
      <c r="DZ300" s="321"/>
      <c r="EA300" s="321"/>
      <c r="EB300" s="1309"/>
      <c r="EC300" s="321"/>
      <c r="ED300" s="321"/>
      <c r="EE300" s="321"/>
      <c r="EF300" s="321"/>
      <c r="EG300" s="1309"/>
      <c r="EH300" s="321"/>
      <c r="EI300" s="321"/>
      <c r="EJ300" s="321"/>
      <c r="EK300" s="321"/>
      <c r="EL300" s="1309"/>
    </row>
    <row r="301" spans="1:142" hidden="1" outlineLevel="1">
      <c r="A301" s="557"/>
      <c r="B301" s="557" t="s">
        <v>198</v>
      </c>
      <c r="C301" s="1203"/>
      <c r="D301" s="1203" t="s">
        <v>503</v>
      </c>
      <c r="E301" s="1203" t="s">
        <v>503</v>
      </c>
      <c r="F301" s="1203" t="s">
        <v>503</v>
      </c>
      <c r="G301" s="1203" t="s">
        <v>503</v>
      </c>
      <c r="H301" s="1188" t="s">
        <v>503</v>
      </c>
      <c r="I301" s="1203" t="s">
        <v>503</v>
      </c>
      <c r="J301" s="1203" t="s">
        <v>503</v>
      </c>
      <c r="K301" s="1203" t="s">
        <v>503</v>
      </c>
      <c r="L301" s="1203" t="s">
        <v>503</v>
      </c>
      <c r="M301" s="1188" t="s">
        <v>503</v>
      </c>
      <c r="N301" s="1203" t="s">
        <v>503</v>
      </c>
      <c r="O301" s="1203" t="s">
        <v>503</v>
      </c>
      <c r="P301" s="1203" t="s">
        <v>503</v>
      </c>
      <c r="Q301" s="1203" t="s">
        <v>503</v>
      </c>
      <c r="R301" s="1188" t="s">
        <v>503</v>
      </c>
      <c r="S301" s="1203" t="s">
        <v>503</v>
      </c>
      <c r="T301" s="1203" t="s">
        <v>503</v>
      </c>
      <c r="U301" s="1203" t="s">
        <v>503</v>
      </c>
      <c r="V301" s="1203" t="s">
        <v>503</v>
      </c>
      <c r="W301" s="1188" t="s">
        <v>503</v>
      </c>
      <c r="X301" s="1203" t="s">
        <v>503</v>
      </c>
      <c r="Y301" s="1203" t="s">
        <v>503</v>
      </c>
      <c r="Z301" s="1203" t="s">
        <v>503</v>
      </c>
      <c r="AA301" s="1203" t="s">
        <v>503</v>
      </c>
      <c r="AB301" s="1188" t="s">
        <v>503</v>
      </c>
      <c r="AC301" s="1203" t="s">
        <v>503</v>
      </c>
      <c r="AD301" s="1203" t="s">
        <v>503</v>
      </c>
      <c r="AE301" s="1203" t="s">
        <v>503</v>
      </c>
      <c r="AF301" s="1203" t="s">
        <v>503</v>
      </c>
      <c r="AG301" s="1188" t="s">
        <v>503</v>
      </c>
      <c r="AH301" s="1203" t="s">
        <v>503</v>
      </c>
      <c r="AI301" s="1203" t="s">
        <v>503</v>
      </c>
      <c r="AJ301" s="1203" t="s">
        <v>503</v>
      </c>
      <c r="AK301" s="1203" t="s">
        <v>503</v>
      </c>
      <c r="AL301" s="1188" t="s">
        <v>503</v>
      </c>
      <c r="AM301" s="1203" t="s">
        <v>503</v>
      </c>
      <c r="AN301" s="1203" t="s">
        <v>503</v>
      </c>
      <c r="AO301" s="1203" t="s">
        <v>503</v>
      </c>
      <c r="AP301" s="1203" t="s">
        <v>503</v>
      </c>
      <c r="AQ301" s="1188" t="s">
        <v>503</v>
      </c>
      <c r="AR301" s="1203" t="s">
        <v>503</v>
      </c>
      <c r="AS301" s="1203" t="s">
        <v>503</v>
      </c>
      <c r="AT301" s="1203" t="s">
        <v>503</v>
      </c>
      <c r="AU301" s="802"/>
      <c r="AV301" s="708" t="s">
        <v>503</v>
      </c>
      <c r="AW301" s="708" t="s">
        <v>503</v>
      </c>
      <c r="AX301" s="708" t="s">
        <v>503</v>
      </c>
      <c r="AY301" s="708" t="s">
        <v>503</v>
      </c>
      <c r="AZ301" s="1188" t="s">
        <v>503</v>
      </c>
      <c r="BA301" s="1203" t="s">
        <v>503</v>
      </c>
      <c r="BB301" s="1203" t="s">
        <v>503</v>
      </c>
      <c r="BC301" s="1203" t="s">
        <v>503</v>
      </c>
      <c r="BD301" s="1203" t="s">
        <v>503</v>
      </c>
      <c r="BE301" s="1204" t="s">
        <v>503</v>
      </c>
      <c r="BF301" s="1203" t="s">
        <v>503</v>
      </c>
      <c r="BG301" s="1203" t="s">
        <v>503</v>
      </c>
      <c r="BH301" s="1203" t="s">
        <v>503</v>
      </c>
      <c r="BI301" s="1203" t="s">
        <v>503</v>
      </c>
      <c r="BJ301" s="1204" t="s">
        <v>503</v>
      </c>
      <c r="BK301" s="901">
        <v>123101</v>
      </c>
      <c r="BL301" s="901">
        <v>125907</v>
      </c>
      <c r="BM301" s="555">
        <v>120871</v>
      </c>
      <c r="BN301" s="555">
        <v>114226</v>
      </c>
      <c r="BO301" s="802">
        <v>484105</v>
      </c>
      <c r="BP301" s="901">
        <v>117838</v>
      </c>
      <c r="BQ301" s="901">
        <v>104897</v>
      </c>
      <c r="BR301" s="555">
        <v>101089</v>
      </c>
      <c r="BS301" s="555">
        <v>99480</v>
      </c>
      <c r="BT301" s="802">
        <v>411164</v>
      </c>
      <c r="BU301" s="901">
        <v>99907</v>
      </c>
      <c r="BV301" s="901">
        <v>99684</v>
      </c>
      <c r="BW301" s="555">
        <v>98240</v>
      </c>
      <c r="BX301" s="555">
        <v>96891</v>
      </c>
      <c r="BY301" s="802">
        <v>388996</v>
      </c>
      <c r="BZ301" s="901">
        <v>95585</v>
      </c>
      <c r="CA301" s="901">
        <v>93970</v>
      </c>
      <c r="CB301" s="555">
        <v>91407</v>
      </c>
      <c r="CC301" s="555">
        <v>91470</v>
      </c>
      <c r="CD301" s="802">
        <v>362663</v>
      </c>
      <c r="CE301" s="901">
        <v>90867</v>
      </c>
      <c r="CF301" s="901">
        <v>92166</v>
      </c>
      <c r="CG301" s="555">
        <v>92437</v>
      </c>
      <c r="CH301" s="555">
        <v>90470</v>
      </c>
      <c r="CI301" s="802">
        <v>364713</v>
      </c>
      <c r="CJ301" s="901">
        <v>87998</v>
      </c>
      <c r="CK301" s="901">
        <v>91285</v>
      </c>
      <c r="CL301" s="555">
        <v>91064</v>
      </c>
      <c r="CM301" s="555">
        <v>89859</v>
      </c>
      <c r="CN301" s="802">
        <v>360206</v>
      </c>
      <c r="CO301" s="901">
        <v>87507</v>
      </c>
      <c r="CP301" s="901">
        <v>91005</v>
      </c>
      <c r="CQ301" s="555">
        <v>92574</v>
      </c>
      <c r="CR301" s="555">
        <v>91200</v>
      </c>
      <c r="CS301" s="802">
        <v>362286</v>
      </c>
      <c r="CT301" s="901">
        <v>93228</v>
      </c>
      <c r="CU301" s="901">
        <v>95422</v>
      </c>
      <c r="CV301" s="555">
        <v>94260</v>
      </c>
      <c r="CW301" s="555">
        <v>98045</v>
      </c>
      <c r="CX301" s="802">
        <v>380955</v>
      </c>
      <c r="CY301" s="901">
        <v>101413</v>
      </c>
      <c r="CZ301" s="901">
        <v>108669</v>
      </c>
      <c r="DA301" s="555">
        <v>111055</v>
      </c>
      <c r="DB301" s="555">
        <v>168730</v>
      </c>
      <c r="DC301" s="802">
        <v>489867</v>
      </c>
      <c r="DD301" s="901">
        <v>162282</v>
      </c>
      <c r="DE301" s="901">
        <v>173664</v>
      </c>
      <c r="DF301" s="555">
        <v>178439</v>
      </c>
      <c r="DG301" s="555">
        <v>183250</v>
      </c>
      <c r="DH301" s="802">
        <v>697635</v>
      </c>
      <c r="DI301" s="1371">
        <v>175644</v>
      </c>
      <c r="DJ301" s="1371">
        <v>127523</v>
      </c>
      <c r="DK301" s="1005">
        <v>129937</v>
      </c>
      <c r="DL301" s="1005">
        <v>138264</v>
      </c>
      <c r="DM301" s="1506">
        <v>517127</v>
      </c>
      <c r="DN301" s="1519">
        <v>117030</v>
      </c>
      <c r="DO301" s="1519">
        <v>130201</v>
      </c>
      <c r="DP301" s="1507">
        <v>112179</v>
      </c>
      <c r="DQ301" s="1507">
        <v>112317</v>
      </c>
      <c r="DR301" s="1506">
        <v>451942</v>
      </c>
      <c r="DS301" s="1371">
        <f>SUM(DS299:DS300)</f>
        <v>121276</v>
      </c>
      <c r="DT301" s="1371">
        <f>SUM(DT299:DT300)</f>
        <v>123166</v>
      </c>
      <c r="DU301" s="1371">
        <f>SUM(DU299:DU300)</f>
        <v>116556</v>
      </c>
      <c r="DV301" s="1371">
        <f>SUM(DV299:DV300)</f>
        <v>118502</v>
      </c>
      <c r="DW301" s="1004">
        <f>SUM(DW299:DW300)</f>
        <v>471099</v>
      </c>
      <c r="DX301" s="555"/>
      <c r="DY301" s="555"/>
      <c r="DZ301" s="555"/>
      <c r="EA301" s="555"/>
      <c r="EB301" s="802"/>
      <c r="EC301" s="555"/>
      <c r="ED301" s="555"/>
      <c r="EE301" s="555"/>
      <c r="EF301" s="555"/>
      <c r="EG301" s="802"/>
      <c r="EH301" s="555"/>
      <c r="EI301" s="555"/>
      <c r="EJ301" s="555"/>
      <c r="EK301" s="555"/>
      <c r="EL301" s="802"/>
    </row>
    <row r="302" spans="1:142" hidden="1" outlineLevel="1">
      <c r="A302" s="557"/>
      <c r="B302" s="557" t="s">
        <v>132</v>
      </c>
      <c r="C302" s="1201"/>
      <c r="D302" s="1201">
        <v>268939</v>
      </c>
      <c r="E302" s="1201">
        <v>266541</v>
      </c>
      <c r="F302" s="1201">
        <v>289897</v>
      </c>
      <c r="G302" s="960">
        <f>H302-SUM(D302:F302)</f>
        <v>682488</v>
      </c>
      <c r="H302" s="1202">
        <v>1507865</v>
      </c>
      <c r="I302" s="1201">
        <v>619226</v>
      </c>
      <c r="J302" s="1201">
        <v>661141</v>
      </c>
      <c r="K302" s="1201">
        <v>734293</v>
      </c>
      <c r="L302" s="960">
        <f>M302-SUM(I302:K302)</f>
        <v>695402</v>
      </c>
      <c r="M302" s="1202">
        <v>2710062</v>
      </c>
      <c r="N302" s="1201">
        <v>665006</v>
      </c>
      <c r="O302" s="1201">
        <v>677525</v>
      </c>
      <c r="P302" s="1201">
        <v>1119362</v>
      </c>
      <c r="Q302" s="960">
        <f>R302-SUM(N302:P302)</f>
        <v>1637816</v>
      </c>
      <c r="R302" s="1202">
        <v>4099709</v>
      </c>
      <c r="S302" s="1201">
        <v>1054439</v>
      </c>
      <c r="T302" s="1201">
        <v>1099812</v>
      </c>
      <c r="U302" s="1201">
        <v>1230830</v>
      </c>
      <c r="V302" s="960">
        <f>W302-SUM(S302:U302)</f>
        <v>1162231</v>
      </c>
      <c r="W302" s="1202">
        <v>4547312</v>
      </c>
      <c r="X302" s="1201">
        <v>1113315</v>
      </c>
      <c r="Y302" s="1201">
        <v>1136595</v>
      </c>
      <c r="Z302" s="1201">
        <v>1304313</v>
      </c>
      <c r="AA302" s="960">
        <f>AB302-SUM(X302:Z302)</f>
        <v>1327216</v>
      </c>
      <c r="AB302" s="1202">
        <v>4881439</v>
      </c>
      <c r="AC302" s="1201">
        <v>1223438</v>
      </c>
      <c r="AD302" s="1201">
        <v>1184765</v>
      </c>
      <c r="AE302" s="1201">
        <v>1274739</v>
      </c>
      <c r="AF302" s="960">
        <f>AG302-SUM(AC302:AE302)</f>
        <v>1205707</v>
      </c>
      <c r="AG302" s="1202">
        <v>4888649</v>
      </c>
      <c r="AH302" s="1201">
        <v>1183421</v>
      </c>
      <c r="AI302" s="1201">
        <v>1192364</v>
      </c>
      <c r="AJ302" s="1201">
        <v>1269277</v>
      </c>
      <c r="AK302" s="960">
        <f>AL302-SUM(AH302:AJ302)</f>
        <v>1291691</v>
      </c>
      <c r="AL302" s="1202">
        <v>4936753</v>
      </c>
      <c r="AM302" s="1201">
        <v>1275551</v>
      </c>
      <c r="AN302" s="1201">
        <v>1281472</v>
      </c>
      <c r="AO302" s="1201">
        <v>1375943</v>
      </c>
      <c r="AP302" s="960">
        <f>AQ302-SUM(AM302:AO302)</f>
        <v>1402953</v>
      </c>
      <c r="AQ302" s="1202">
        <v>5335919</v>
      </c>
      <c r="AR302" s="1201">
        <v>1343673</v>
      </c>
      <c r="AS302" s="1201">
        <v>1349050</v>
      </c>
      <c r="AT302" s="1201">
        <v>1388530</v>
      </c>
      <c r="AU302" s="802"/>
      <c r="AV302" s="708" t="s">
        <v>503</v>
      </c>
      <c r="AW302" s="708" t="s">
        <v>503</v>
      </c>
      <c r="AX302" s="708" t="s">
        <v>503</v>
      </c>
      <c r="AY302" s="708" t="s">
        <v>503</v>
      </c>
      <c r="AZ302" s="1188" t="s">
        <v>503</v>
      </c>
      <c r="BA302" s="1201">
        <v>1313502</v>
      </c>
      <c r="BB302" s="1201">
        <v>1256929</v>
      </c>
      <c r="BC302" s="1201">
        <v>1235744</v>
      </c>
      <c r="BD302" s="960">
        <f>BE302-SUM(BA302:BC302)</f>
        <v>1213134</v>
      </c>
      <c r="BE302" s="1202">
        <v>5019309</v>
      </c>
      <c r="BF302" s="1201">
        <v>979258</v>
      </c>
      <c r="BG302" s="1201">
        <v>897777</v>
      </c>
      <c r="BH302" s="1201">
        <v>877620</v>
      </c>
      <c r="BI302" s="1201">
        <v>877259</v>
      </c>
      <c r="BJ302" s="1202">
        <v>3565672</v>
      </c>
      <c r="BK302" s="959">
        <v>934203</v>
      </c>
      <c r="BL302" s="901">
        <v>865396</v>
      </c>
      <c r="BM302" s="555">
        <v>834601</v>
      </c>
      <c r="BN302" s="555">
        <v>809577</v>
      </c>
      <c r="BO302" s="802">
        <v>3443777</v>
      </c>
      <c r="BP302" s="959">
        <v>855620</v>
      </c>
      <c r="BQ302" s="901">
        <v>710339</v>
      </c>
      <c r="BR302" s="555">
        <v>695656</v>
      </c>
      <c r="BS302" s="555">
        <v>705249</v>
      </c>
      <c r="BT302" s="802">
        <v>2881383</v>
      </c>
      <c r="BU302" s="959">
        <v>745651</v>
      </c>
      <c r="BV302" s="901">
        <v>693016</v>
      </c>
      <c r="BW302" s="555">
        <v>671502</v>
      </c>
      <c r="BX302" s="555">
        <v>682853</v>
      </c>
      <c r="BY302" s="802">
        <v>2757848</v>
      </c>
      <c r="BZ302" s="959">
        <v>739709</v>
      </c>
      <c r="CA302" s="901">
        <v>659534</v>
      </c>
      <c r="CB302" s="555">
        <v>634755</v>
      </c>
      <c r="CC302" s="555">
        <v>641594</v>
      </c>
      <c r="CD302" s="802">
        <v>2622227</v>
      </c>
      <c r="CE302" s="959">
        <v>679657</v>
      </c>
      <c r="CF302" s="901">
        <v>629714</v>
      </c>
      <c r="CG302" s="555">
        <v>622427</v>
      </c>
      <c r="CH302" s="555">
        <v>628438</v>
      </c>
      <c r="CI302" s="802">
        <v>2553215</v>
      </c>
      <c r="CJ302" s="959">
        <v>652952</v>
      </c>
      <c r="CK302" s="901">
        <v>614365</v>
      </c>
      <c r="CL302" s="555">
        <v>596810</v>
      </c>
      <c r="CM302" s="555">
        <v>608890</v>
      </c>
      <c r="CN302" s="802">
        <v>2473017</v>
      </c>
      <c r="CO302" s="959">
        <v>635463</v>
      </c>
      <c r="CP302" s="901">
        <v>595986</v>
      </c>
      <c r="CQ302" s="555">
        <v>591948</v>
      </c>
      <c r="CR302" s="555">
        <v>589848</v>
      </c>
      <c r="CS302" s="802">
        <v>2413245</v>
      </c>
      <c r="CT302" s="959">
        <v>617459</v>
      </c>
      <c r="CU302" s="901">
        <v>590437</v>
      </c>
      <c r="CV302" s="555">
        <v>580594</v>
      </c>
      <c r="CW302" s="555">
        <v>580426</v>
      </c>
      <c r="CX302" s="802">
        <v>2368916</v>
      </c>
      <c r="CY302" s="959">
        <v>603285</v>
      </c>
      <c r="CZ302" s="901">
        <v>567390</v>
      </c>
      <c r="DA302" s="555">
        <v>569833</v>
      </c>
      <c r="DB302" s="555">
        <v>880737</v>
      </c>
      <c r="DC302" s="802">
        <v>2621245</v>
      </c>
      <c r="DD302" s="959">
        <v>929164</v>
      </c>
      <c r="DE302" s="901">
        <v>907093</v>
      </c>
      <c r="DF302" s="555">
        <v>921228</v>
      </c>
      <c r="DG302" s="555">
        <v>937803</v>
      </c>
      <c r="DH302" s="802">
        <v>3695288</v>
      </c>
      <c r="DI302" s="1005">
        <v>975912</v>
      </c>
      <c r="DJ302" s="1371">
        <v>929840</v>
      </c>
      <c r="DK302" s="1005">
        <v>927964</v>
      </c>
      <c r="DL302" s="1005">
        <v>983856</v>
      </c>
      <c r="DM302" s="1506">
        <v>3817572</v>
      </c>
      <c r="DN302" s="1507">
        <v>911651</v>
      </c>
      <c r="DO302" s="1519">
        <v>897127</v>
      </c>
      <c r="DP302" s="1507">
        <v>803553</v>
      </c>
      <c r="DQ302" s="1507">
        <v>798205</v>
      </c>
      <c r="DR302" s="1506">
        <v>3269558</v>
      </c>
      <c r="DS302" s="1507">
        <v>921014</v>
      </c>
      <c r="DT302" s="1519">
        <v>871816</v>
      </c>
      <c r="DU302" s="1519">
        <v>838215</v>
      </c>
      <c r="DV302" s="1507">
        <v>853217</v>
      </c>
      <c r="DW302" s="1506">
        <v>3423934</v>
      </c>
      <c r="DX302" s="555"/>
      <c r="DY302" s="555"/>
      <c r="DZ302" s="555"/>
      <c r="EA302" s="555"/>
      <c r="EB302" s="802"/>
      <c r="EC302" s="555"/>
      <c r="ED302" s="555"/>
      <c r="EE302" s="555"/>
      <c r="EF302" s="555"/>
      <c r="EG302" s="802"/>
      <c r="EH302" s="555"/>
      <c r="EI302" s="555"/>
      <c r="EJ302" s="555"/>
      <c r="EK302" s="555"/>
      <c r="EL302" s="802"/>
    </row>
    <row r="303" spans="1:142" hidden="1" outlineLevel="1">
      <c r="A303" s="557"/>
      <c r="B303" s="557" t="s">
        <v>134</v>
      </c>
      <c r="C303" s="1203"/>
      <c r="D303" s="1203" t="s">
        <v>503</v>
      </c>
      <c r="E303" s="1201">
        <v>350812</v>
      </c>
      <c r="F303" s="1201">
        <v>375131</v>
      </c>
      <c r="G303" s="960">
        <f>H303-SUM(D303:F303)</f>
        <v>1271565</v>
      </c>
      <c r="H303" s="1202">
        <v>1997508</v>
      </c>
      <c r="I303" s="1201">
        <v>860955</v>
      </c>
      <c r="J303" s="1201">
        <v>894989</v>
      </c>
      <c r="K303" s="1201">
        <v>1058125</v>
      </c>
      <c r="L303" s="960">
        <f>M303-SUM(I303:K303)</f>
        <v>982115</v>
      </c>
      <c r="M303" s="1202">
        <v>3796184</v>
      </c>
      <c r="N303" s="1201">
        <v>955578</v>
      </c>
      <c r="O303" s="1201">
        <v>968680</v>
      </c>
      <c r="P303" s="1201">
        <v>1571915</v>
      </c>
      <c r="Q303" s="960">
        <f>R303-SUM(N303:P303)</f>
        <v>2321078</v>
      </c>
      <c r="R303" s="1202">
        <v>5817251</v>
      </c>
      <c r="S303" s="1201">
        <v>1486640</v>
      </c>
      <c r="T303" s="1201">
        <v>1661469</v>
      </c>
      <c r="U303" s="1201">
        <v>1728411</v>
      </c>
      <c r="V303" s="960">
        <f>W303-SUM(S303:U303)</f>
        <v>1681005</v>
      </c>
      <c r="W303" s="1202">
        <v>6557525</v>
      </c>
      <c r="X303" s="1201">
        <v>1624041</v>
      </c>
      <c r="Y303" s="1201">
        <v>1638011</v>
      </c>
      <c r="Z303" s="1201">
        <v>1832782</v>
      </c>
      <c r="AA303" s="960">
        <f>AB303-SUM(X303:Z303)</f>
        <v>1902245</v>
      </c>
      <c r="AB303" s="1202">
        <v>6997079</v>
      </c>
      <c r="AC303" s="1201">
        <v>1787716</v>
      </c>
      <c r="AD303" s="1201">
        <v>1695214</v>
      </c>
      <c r="AE303" s="1201">
        <v>1770750</v>
      </c>
      <c r="AF303" s="960">
        <f>AG303-SUM(AC303:AE303)</f>
        <v>1721626</v>
      </c>
      <c r="AG303" s="1202">
        <v>6975306</v>
      </c>
      <c r="AH303" s="1201">
        <v>1624041</v>
      </c>
      <c r="AI303" s="1201">
        <v>1690618</v>
      </c>
      <c r="AJ303" s="1201">
        <v>1755163</v>
      </c>
      <c r="AK303" s="960">
        <f>AL303-SUM(AH303:AJ303)</f>
        <v>1886717</v>
      </c>
      <c r="AL303" s="1202">
        <v>6956539</v>
      </c>
      <c r="AM303" s="1201">
        <v>1816959</v>
      </c>
      <c r="AN303" s="1201">
        <v>1816168</v>
      </c>
      <c r="AO303" s="1201">
        <v>1907956</v>
      </c>
      <c r="AP303" s="960">
        <f>AQ303-SUM(AM303:AO303)</f>
        <v>1975223</v>
      </c>
      <c r="AQ303" s="1202">
        <v>7516306</v>
      </c>
      <c r="AR303" s="1201">
        <v>1895385</v>
      </c>
      <c r="AS303" s="1201">
        <v>1891584</v>
      </c>
      <c r="AT303" s="1201">
        <v>1917816</v>
      </c>
      <c r="AU303" s="802"/>
      <c r="AV303" s="708" t="s">
        <v>503</v>
      </c>
      <c r="AW303" s="708" t="s">
        <v>503</v>
      </c>
      <c r="AX303" s="708" t="s">
        <v>503</v>
      </c>
      <c r="AY303" s="708" t="s">
        <v>503</v>
      </c>
      <c r="AZ303" s="1188" t="s">
        <v>503</v>
      </c>
      <c r="BA303" s="1201">
        <v>1795249</v>
      </c>
      <c r="BB303" s="1201">
        <v>1738964</v>
      </c>
      <c r="BC303" s="1201">
        <v>1716357</v>
      </c>
      <c r="BD303" s="960">
        <f>BE303-SUM(BA303:BC303)</f>
        <v>1670246</v>
      </c>
      <c r="BE303" s="1202">
        <v>6920816</v>
      </c>
      <c r="BF303" s="1201">
        <v>1345076</v>
      </c>
      <c r="BG303" s="1201">
        <v>1259222</v>
      </c>
      <c r="BH303" s="1201">
        <v>1231594</v>
      </c>
      <c r="BI303" s="1201">
        <v>1226873</v>
      </c>
      <c r="BJ303" s="1202">
        <v>4971323</v>
      </c>
      <c r="BK303" s="959">
        <v>1291165</v>
      </c>
      <c r="BL303" s="901">
        <v>1222322</v>
      </c>
      <c r="BM303" s="555">
        <v>1179032</v>
      </c>
      <c r="BN303" s="555">
        <v>1134196</v>
      </c>
      <c r="BO303" s="802">
        <v>4826715</v>
      </c>
      <c r="BP303" s="959">
        <v>1191546</v>
      </c>
      <c r="BQ303" s="901">
        <v>1008689</v>
      </c>
      <c r="BR303" s="555">
        <v>990535</v>
      </c>
      <c r="BS303" s="555">
        <v>997836</v>
      </c>
      <c r="BT303" s="802">
        <v>4066907</v>
      </c>
      <c r="BU303" s="959">
        <v>1047936</v>
      </c>
      <c r="BV303" s="901">
        <v>998019</v>
      </c>
      <c r="BW303" s="555">
        <v>968418</v>
      </c>
      <c r="BX303" s="555">
        <v>978344</v>
      </c>
      <c r="BY303" s="802">
        <v>3937329</v>
      </c>
      <c r="BZ303" s="959">
        <v>1044642</v>
      </c>
      <c r="CA303" s="901">
        <v>955538</v>
      </c>
      <c r="CB303" s="555">
        <v>930381</v>
      </c>
      <c r="CC303" s="555">
        <v>934829</v>
      </c>
      <c r="CD303" s="802">
        <v>3788063</v>
      </c>
      <c r="CE303" s="959">
        <v>988935</v>
      </c>
      <c r="CF303" s="901">
        <v>940472</v>
      </c>
      <c r="CG303" s="555">
        <v>935375</v>
      </c>
      <c r="CH303" s="555">
        <v>930542</v>
      </c>
      <c r="CI303" s="802">
        <v>3785230</v>
      </c>
      <c r="CJ303" s="959">
        <v>958248</v>
      </c>
      <c r="CK303" s="901">
        <v>929186</v>
      </c>
      <c r="CL303" s="555">
        <v>913049</v>
      </c>
      <c r="CM303" s="555">
        <v>923219</v>
      </c>
      <c r="CN303" s="802">
        <v>3723702</v>
      </c>
      <c r="CO303" s="959">
        <v>948356</v>
      </c>
      <c r="CP303" s="901">
        <v>912369</v>
      </c>
      <c r="CQ303" s="555">
        <v>909960</v>
      </c>
      <c r="CR303" s="555">
        <v>902762</v>
      </c>
      <c r="CS303" s="802">
        <v>3673447</v>
      </c>
      <c r="CT303" s="959">
        <v>947116</v>
      </c>
      <c r="CU303" s="901">
        <v>919895</v>
      </c>
      <c r="CV303" s="555">
        <v>911233</v>
      </c>
      <c r="CW303" s="555">
        <v>915584</v>
      </c>
      <c r="CX303" s="802">
        <v>3693828</v>
      </c>
      <c r="CY303" s="959">
        <v>939840</v>
      </c>
      <c r="CZ303" s="901">
        <v>909720</v>
      </c>
      <c r="DA303" s="555">
        <v>912483</v>
      </c>
      <c r="DB303" s="555">
        <v>1481291</v>
      </c>
      <c r="DC303" s="802">
        <v>4243334</v>
      </c>
      <c r="DD303" s="959">
        <v>1525379</v>
      </c>
      <c r="DE303" s="901">
        <v>1563681</v>
      </c>
      <c r="DF303" s="555">
        <v>1574346</v>
      </c>
      <c r="DG303" s="555">
        <v>1592166</v>
      </c>
      <c r="DH303" s="802">
        <v>6255572</v>
      </c>
      <c r="DI303" s="1005">
        <v>1631597</v>
      </c>
      <c r="DJ303" s="1371">
        <v>1589567</v>
      </c>
      <c r="DK303" s="1005">
        <v>1601405</v>
      </c>
      <c r="DL303" s="1005">
        <v>1710620</v>
      </c>
      <c r="DM303" s="1506">
        <v>6520289</v>
      </c>
      <c r="DN303" s="1507">
        <v>1537812</v>
      </c>
      <c r="DO303" s="1519">
        <v>1568680</v>
      </c>
      <c r="DP303" s="1507">
        <v>1390214</v>
      </c>
      <c r="DQ303" s="1507">
        <v>1370960</v>
      </c>
      <c r="DR303" s="1506">
        <v>5612240</v>
      </c>
      <c r="DS303" s="1507">
        <v>1583962</v>
      </c>
      <c r="DT303" s="1519">
        <v>1538940</v>
      </c>
      <c r="DU303" s="1519">
        <v>1466266</v>
      </c>
      <c r="DV303" s="1507">
        <v>1485209</v>
      </c>
      <c r="DW303" s="1506">
        <v>5964002</v>
      </c>
      <c r="DX303" s="555"/>
      <c r="DY303" s="555"/>
      <c r="DZ303" s="555"/>
      <c r="EA303" s="555"/>
      <c r="EB303" s="802"/>
      <c r="EC303" s="555"/>
      <c r="ED303" s="555"/>
      <c r="EE303" s="555"/>
      <c r="EF303" s="555"/>
      <c r="EG303" s="802"/>
      <c r="EH303" s="555"/>
      <c r="EI303" s="555"/>
      <c r="EJ303" s="555"/>
      <c r="EK303" s="555"/>
      <c r="EL303" s="802"/>
    </row>
    <row r="304" spans="1:142" hidden="1" outlineLevel="1">
      <c r="A304" s="557"/>
      <c r="B304" s="557" t="s">
        <v>136</v>
      </c>
      <c r="C304" s="1209"/>
      <c r="D304" s="1209">
        <v>5.5</v>
      </c>
      <c r="E304" s="1209">
        <v>5.5</v>
      </c>
      <c r="F304" s="1209">
        <v>5.6</v>
      </c>
      <c r="G304" s="1203" t="s">
        <v>503</v>
      </c>
      <c r="H304" s="1210">
        <v>5.6</v>
      </c>
      <c r="I304" s="1209">
        <v>5.6</v>
      </c>
      <c r="J304" s="1209">
        <v>5.5</v>
      </c>
      <c r="K304" s="1209">
        <v>5.6</v>
      </c>
      <c r="L304" s="1203" t="s">
        <v>503</v>
      </c>
      <c r="M304" s="1210">
        <v>5.6</v>
      </c>
      <c r="N304" s="1209">
        <v>5.4</v>
      </c>
      <c r="O304" s="1209">
        <v>5.4</v>
      </c>
      <c r="P304" s="1209">
        <v>5.3</v>
      </c>
      <c r="Q304" s="1203" t="s">
        <v>503</v>
      </c>
      <c r="R304" s="1210">
        <v>5.2</v>
      </c>
      <c r="S304" s="1209">
        <v>5.0999999999999996</v>
      </c>
      <c r="T304" s="1209">
        <v>5.2</v>
      </c>
      <c r="U304" s="1209">
        <v>5.3</v>
      </c>
      <c r="V304" s="1203" t="s">
        <v>503</v>
      </c>
      <c r="W304" s="1210">
        <v>5.2</v>
      </c>
      <c r="X304" s="1209">
        <v>5.0999999999999996</v>
      </c>
      <c r="Y304" s="1209">
        <v>5.0999999999999996</v>
      </c>
      <c r="Z304" s="1209">
        <v>5.2</v>
      </c>
      <c r="AA304" s="1203" t="s">
        <v>503</v>
      </c>
      <c r="AB304" s="1210">
        <v>5.2</v>
      </c>
      <c r="AC304" s="1209">
        <v>5.0999999999999996</v>
      </c>
      <c r="AD304" s="1209">
        <v>5.2</v>
      </c>
      <c r="AE304" s="1209">
        <v>5.3</v>
      </c>
      <c r="AF304" s="1203" t="s">
        <v>503</v>
      </c>
      <c r="AG304" s="1210">
        <v>5.2</v>
      </c>
      <c r="AH304" s="1209">
        <v>5.2</v>
      </c>
      <c r="AI304" s="1209">
        <v>5.2</v>
      </c>
      <c r="AJ304" s="1209">
        <v>5.3</v>
      </c>
      <c r="AK304" s="1203" t="s">
        <v>503</v>
      </c>
      <c r="AL304" s="1210">
        <v>5.3</v>
      </c>
      <c r="AM304" s="1209">
        <v>5.3</v>
      </c>
      <c r="AN304" s="1209">
        <v>5.3</v>
      </c>
      <c r="AO304" s="1209">
        <v>5.4</v>
      </c>
      <c r="AP304" s="1203" t="s">
        <v>503</v>
      </c>
      <c r="AQ304" s="1210">
        <v>5.3</v>
      </c>
      <c r="AR304" s="1209">
        <v>5.3</v>
      </c>
      <c r="AS304" s="1209">
        <v>5.3</v>
      </c>
      <c r="AT304" s="1209">
        <v>5.3</v>
      </c>
      <c r="AU304" s="802"/>
      <c r="AV304" s="708" t="s">
        <v>503</v>
      </c>
      <c r="AW304" s="708" t="s">
        <v>503</v>
      </c>
      <c r="AX304" s="708" t="s">
        <v>503</v>
      </c>
      <c r="AY304" s="708" t="s">
        <v>503</v>
      </c>
      <c r="AZ304" s="1188" t="s">
        <v>503</v>
      </c>
      <c r="BA304" s="1209">
        <v>5.4</v>
      </c>
      <c r="BB304" s="1209">
        <v>5.3</v>
      </c>
      <c r="BC304" s="1209">
        <v>5.2</v>
      </c>
      <c r="BD304" s="1203" t="s">
        <v>503</v>
      </c>
      <c r="BE304" s="1210">
        <v>5.3</v>
      </c>
      <c r="BF304" s="1209">
        <v>5.3</v>
      </c>
      <c r="BG304" s="1209">
        <v>5.2</v>
      </c>
      <c r="BH304" s="1209">
        <v>5.0999999999999996</v>
      </c>
      <c r="BI304" s="1209">
        <v>5.2</v>
      </c>
      <c r="BJ304" s="1210">
        <v>5.2</v>
      </c>
      <c r="BK304" s="555">
        <v>5.2</v>
      </c>
      <c r="BL304" s="555">
        <v>5.0999999999999996</v>
      </c>
      <c r="BM304" s="555">
        <v>5.0999999999999996</v>
      </c>
      <c r="BN304" s="555">
        <v>5.0999999999999996</v>
      </c>
      <c r="BO304" s="802">
        <v>5.2</v>
      </c>
      <c r="BP304" s="555">
        <v>5.0999999999999996</v>
      </c>
      <c r="BQ304" s="555">
        <v>5</v>
      </c>
      <c r="BR304" s="555">
        <v>4.9000000000000004</v>
      </c>
      <c r="BS304" s="555">
        <v>4.9000000000000004</v>
      </c>
      <c r="BT304" s="802">
        <v>5</v>
      </c>
      <c r="BU304" s="555">
        <v>5</v>
      </c>
      <c r="BV304" s="555">
        <v>5</v>
      </c>
      <c r="BW304" s="555">
        <v>4.9000000000000004</v>
      </c>
      <c r="BX304" s="555">
        <v>4.9000000000000004</v>
      </c>
      <c r="BY304" s="802">
        <v>5</v>
      </c>
      <c r="BZ304" s="555">
        <v>5.0999999999999996</v>
      </c>
      <c r="CA304" s="555">
        <v>4.9000000000000004</v>
      </c>
      <c r="CB304" s="555">
        <v>4.9000000000000004</v>
      </c>
      <c r="CC304" s="555">
        <v>4.9000000000000004</v>
      </c>
      <c r="CD304" s="802">
        <v>4.9000000000000004</v>
      </c>
      <c r="CE304" s="555">
        <v>5</v>
      </c>
      <c r="CF304" s="555">
        <v>4.8</v>
      </c>
      <c r="CG304" s="555">
        <v>4.8</v>
      </c>
      <c r="CH304" s="555">
        <v>4.8</v>
      </c>
      <c r="CI304" s="802">
        <v>4.9000000000000004</v>
      </c>
      <c r="CJ304" s="555">
        <v>4.9000000000000004</v>
      </c>
      <c r="CK304" s="555">
        <v>4.8</v>
      </c>
      <c r="CL304" s="555">
        <v>4.7</v>
      </c>
      <c r="CM304" s="555">
        <v>4.8</v>
      </c>
      <c r="CN304" s="802">
        <v>4.8</v>
      </c>
      <c r="CO304" s="555">
        <v>4.83</v>
      </c>
      <c r="CP304" s="555">
        <v>4.75</v>
      </c>
      <c r="CQ304" s="555">
        <v>4.72</v>
      </c>
      <c r="CR304" s="555">
        <v>4.71</v>
      </c>
      <c r="CS304" s="802">
        <v>4.75</v>
      </c>
      <c r="CT304" s="555">
        <v>4.71</v>
      </c>
      <c r="CU304" s="555">
        <v>4.72</v>
      </c>
      <c r="CV304" s="555">
        <v>4.6500000000000004</v>
      </c>
      <c r="CW304" s="555">
        <v>4.63</v>
      </c>
      <c r="CX304" s="802">
        <v>4.68</v>
      </c>
      <c r="CY304" s="555">
        <v>4.79</v>
      </c>
      <c r="CZ304" s="555">
        <v>4.7</v>
      </c>
      <c r="DA304" s="555">
        <v>4.6900000000000004</v>
      </c>
      <c r="DB304" s="555">
        <v>4.62</v>
      </c>
      <c r="DC304" s="802">
        <v>4.6900000000000004</v>
      </c>
      <c r="DD304" s="555">
        <v>4.78</v>
      </c>
      <c r="DE304" s="555">
        <v>4.66</v>
      </c>
      <c r="DF304" s="555">
        <v>4.6100000000000003</v>
      </c>
      <c r="DG304" s="555">
        <v>4.63</v>
      </c>
      <c r="DH304" s="802">
        <v>4.67</v>
      </c>
      <c r="DI304" s="555">
        <v>4.68</v>
      </c>
      <c r="DJ304" s="555">
        <v>4.6100000000000003</v>
      </c>
      <c r="DK304" s="555">
        <v>4.5999999999999996</v>
      </c>
      <c r="DL304" s="555">
        <v>4.6399999999999997</v>
      </c>
      <c r="DM304" s="1279">
        <v>4.63</v>
      </c>
      <c r="DN304" s="1282">
        <v>4.7</v>
      </c>
      <c r="DO304" s="1282">
        <v>4.63</v>
      </c>
      <c r="DP304" s="1282">
        <v>4.5199999999999996</v>
      </c>
      <c r="DQ304" s="1282">
        <v>4.54</v>
      </c>
      <c r="DR304" s="1279">
        <v>4.57</v>
      </c>
      <c r="DS304" s="1282">
        <v>4.6900000000000004</v>
      </c>
      <c r="DT304" s="1282">
        <v>4.5999999999999996</v>
      </c>
      <c r="DU304" s="1282">
        <v>4.6100000000000003</v>
      </c>
      <c r="DV304" s="1282">
        <v>4.62</v>
      </c>
      <c r="DW304" s="1279">
        <v>4.6399999999999997</v>
      </c>
      <c r="DX304" s="555"/>
      <c r="DY304" s="555"/>
      <c r="DZ304" s="555"/>
      <c r="EA304" s="555"/>
      <c r="EB304" s="802"/>
      <c r="EC304" s="555"/>
      <c r="ED304" s="555"/>
      <c r="EE304" s="555"/>
      <c r="EF304" s="555"/>
      <c r="EG304" s="802"/>
      <c r="EH304" s="555"/>
      <c r="EI304" s="555"/>
      <c r="EJ304" s="555"/>
      <c r="EK304" s="555"/>
      <c r="EL304" s="802"/>
    </row>
    <row r="305" spans="1:142" hidden="1" outlineLevel="1">
      <c r="A305" s="557"/>
      <c r="B305" s="557" t="s">
        <v>193</v>
      </c>
      <c r="C305" s="1201"/>
      <c r="D305" s="1201">
        <v>6622</v>
      </c>
      <c r="E305" s="1201">
        <v>6622</v>
      </c>
      <c r="F305" s="1201">
        <v>6620</v>
      </c>
      <c r="G305" s="960">
        <f>H305</f>
        <v>15622</v>
      </c>
      <c r="H305" s="1202">
        <v>15622</v>
      </c>
      <c r="I305" s="1201">
        <v>16210</v>
      </c>
      <c r="J305" s="1201">
        <v>16827</v>
      </c>
      <c r="K305" s="1201">
        <v>16874</v>
      </c>
      <c r="L305" s="960">
        <f>M305</f>
        <v>16666</v>
      </c>
      <c r="M305" s="1202">
        <v>16666</v>
      </c>
      <c r="N305" s="1201">
        <v>17031</v>
      </c>
      <c r="O305" s="1201">
        <v>17344</v>
      </c>
      <c r="P305" s="1201">
        <v>27366</v>
      </c>
      <c r="Q305" s="960">
        <f>R305</f>
        <v>27959</v>
      </c>
      <c r="R305" s="1202">
        <v>27959</v>
      </c>
      <c r="S305" s="1201">
        <v>28691</v>
      </c>
      <c r="T305" s="1201">
        <v>28715</v>
      </c>
      <c r="U305" s="1201">
        <v>28433</v>
      </c>
      <c r="V305" s="960">
        <f>W305</f>
        <v>27867</v>
      </c>
      <c r="W305" s="1202">
        <v>27867</v>
      </c>
      <c r="X305" s="1201">
        <v>28126</v>
      </c>
      <c r="Y305" s="1201">
        <v>30410</v>
      </c>
      <c r="Z305" s="1201">
        <v>30471</v>
      </c>
      <c r="AA305" s="960">
        <f>AB305</f>
        <v>30791</v>
      </c>
      <c r="AB305" s="1202">
        <v>30791</v>
      </c>
      <c r="AC305" s="1201">
        <v>30731</v>
      </c>
      <c r="AD305" s="1201">
        <v>27625</v>
      </c>
      <c r="AE305" s="1201">
        <v>27414</v>
      </c>
      <c r="AF305" s="960">
        <f>AG305</f>
        <v>26939</v>
      </c>
      <c r="AG305" s="1202">
        <v>26939</v>
      </c>
      <c r="AH305" s="1201">
        <v>26965</v>
      </c>
      <c r="AI305" s="1201">
        <v>27008</v>
      </c>
      <c r="AJ305" s="1201">
        <v>26931</v>
      </c>
      <c r="AK305" s="960">
        <f>AL305</f>
        <v>27277</v>
      </c>
      <c r="AL305" s="1202">
        <v>27277</v>
      </c>
      <c r="AM305" s="1201">
        <v>28166</v>
      </c>
      <c r="AN305" s="1201">
        <v>28262</v>
      </c>
      <c r="AO305" s="1201">
        <v>28677</v>
      </c>
      <c r="AP305" s="960">
        <f>AQ305</f>
        <v>28667</v>
      </c>
      <c r="AQ305" s="1202">
        <v>28667</v>
      </c>
      <c r="AR305" s="1201">
        <v>28134</v>
      </c>
      <c r="AS305" s="1201">
        <v>27748</v>
      </c>
      <c r="AT305" s="1201">
        <v>27882</v>
      </c>
      <c r="AU305" s="802"/>
      <c r="AV305" s="708" t="s">
        <v>503</v>
      </c>
      <c r="AW305" s="708" t="s">
        <v>503</v>
      </c>
      <c r="AX305" s="708" t="s">
        <v>503</v>
      </c>
      <c r="AY305" s="708" t="s">
        <v>503</v>
      </c>
      <c r="AZ305" s="1188" t="s">
        <v>503</v>
      </c>
      <c r="BA305" s="1201">
        <v>24933</v>
      </c>
      <c r="BB305" s="1201">
        <v>24911</v>
      </c>
      <c r="BC305" s="1201">
        <v>24861</v>
      </c>
      <c r="BD305" s="960">
        <f>BE305</f>
        <v>24649</v>
      </c>
      <c r="BE305" s="1202">
        <v>24649</v>
      </c>
      <c r="BF305" s="1201">
        <v>18764</v>
      </c>
      <c r="BG305" s="1201">
        <v>18784</v>
      </c>
      <c r="BH305" s="1201">
        <v>18090</v>
      </c>
      <c r="BI305" s="1201">
        <v>17902</v>
      </c>
      <c r="BJ305" s="1202">
        <v>17902</v>
      </c>
      <c r="BK305" s="959">
        <v>17941</v>
      </c>
      <c r="BL305" s="901">
        <v>17897</v>
      </c>
      <c r="BM305" s="555">
        <v>17859</v>
      </c>
      <c r="BN305" s="555">
        <v>17863</v>
      </c>
      <c r="BO305" s="802">
        <v>17863</v>
      </c>
      <c r="BP305" s="959">
        <v>17851</v>
      </c>
      <c r="BQ305" s="901">
        <v>15047</v>
      </c>
      <c r="BR305" s="555">
        <v>14941</v>
      </c>
      <c r="BS305" s="555">
        <v>14941</v>
      </c>
      <c r="BT305" s="802">
        <v>14941</v>
      </c>
      <c r="BU305" s="959">
        <v>14957</v>
      </c>
      <c r="BV305" s="901">
        <v>15081</v>
      </c>
      <c r="BW305" s="555">
        <v>14486</v>
      </c>
      <c r="BX305" s="555">
        <v>14516</v>
      </c>
      <c r="BY305" s="802">
        <v>14516</v>
      </c>
      <c r="BZ305" s="959">
        <v>14459</v>
      </c>
      <c r="CA305" s="901">
        <v>13864</v>
      </c>
      <c r="CB305" s="555">
        <v>13531</v>
      </c>
      <c r="CC305" s="555">
        <v>13562</v>
      </c>
      <c r="CD305" s="802">
        <v>13562</v>
      </c>
      <c r="CE305" s="959">
        <v>13580</v>
      </c>
      <c r="CF305" s="901">
        <v>13419</v>
      </c>
      <c r="CG305" s="555">
        <v>13419</v>
      </c>
      <c r="CH305" s="555">
        <v>13436</v>
      </c>
      <c r="CI305" s="802">
        <v>13436</v>
      </c>
      <c r="CJ305" s="959">
        <v>13430</v>
      </c>
      <c r="CK305" s="901">
        <v>13420</v>
      </c>
      <c r="CL305" s="555">
        <v>13430</v>
      </c>
      <c r="CM305" s="555">
        <v>13428</v>
      </c>
      <c r="CN305" s="802">
        <v>13428</v>
      </c>
      <c r="CO305" s="959">
        <v>13123</v>
      </c>
      <c r="CP305" s="901">
        <v>13086</v>
      </c>
      <c r="CQ305" s="555">
        <v>13119</v>
      </c>
      <c r="CR305" s="555">
        <v>13119</v>
      </c>
      <c r="CS305" s="802">
        <v>13119</v>
      </c>
      <c r="CT305" s="959">
        <v>13175</v>
      </c>
      <c r="CU305" s="901">
        <v>13176</v>
      </c>
      <c r="CV305" s="555">
        <v>13216</v>
      </c>
      <c r="CW305" s="555">
        <v>13216</v>
      </c>
      <c r="CX305" s="802">
        <v>13216</v>
      </c>
      <c r="CY305" s="959">
        <v>13180</v>
      </c>
      <c r="CZ305" s="901">
        <v>13180</v>
      </c>
      <c r="DA305" s="555">
        <v>13180</v>
      </c>
      <c r="DB305" s="555">
        <v>20293</v>
      </c>
      <c r="DC305" s="802">
        <v>20293</v>
      </c>
      <c r="DD305" s="959">
        <v>20279</v>
      </c>
      <c r="DE305" s="901">
        <v>20553</v>
      </c>
      <c r="DF305" s="555">
        <v>20762</v>
      </c>
      <c r="DG305" s="555">
        <v>20814</v>
      </c>
      <c r="DH305" s="802">
        <v>20814</v>
      </c>
      <c r="DI305" s="1005">
        <f>DI306</f>
        <v>20823</v>
      </c>
      <c r="DJ305" s="1371">
        <v>20826</v>
      </c>
      <c r="DK305" s="1005">
        <v>21527</v>
      </c>
      <c r="DL305" s="1005">
        <v>22525</v>
      </c>
      <c r="DM305" s="1506">
        <v>22525</v>
      </c>
      <c r="DN305" s="1507">
        <v>19293</v>
      </c>
      <c r="DO305" s="1519">
        <v>20380</v>
      </c>
      <c r="DP305" s="1507">
        <v>18104</v>
      </c>
      <c r="DQ305" s="1507">
        <v>18118</v>
      </c>
      <c r="DR305" s="1506">
        <v>18118</v>
      </c>
      <c r="DS305" s="1507">
        <v>20333</v>
      </c>
      <c r="DT305" s="1519">
        <v>20329</v>
      </c>
      <c r="DU305" s="1519">
        <v>19327</v>
      </c>
      <c r="DV305" s="1507">
        <v>19035</v>
      </c>
      <c r="DW305" s="1506">
        <v>19035</v>
      </c>
      <c r="DX305" s="555"/>
      <c r="DY305" s="555"/>
      <c r="DZ305" s="555"/>
      <c r="EA305" s="555"/>
      <c r="EB305" s="802"/>
      <c r="EC305" s="555"/>
      <c r="ED305" s="555"/>
      <c r="EE305" s="555"/>
      <c r="EF305" s="555"/>
      <c r="EG305" s="802"/>
      <c r="EH305" s="555"/>
      <c r="EI305" s="555"/>
      <c r="EJ305" s="555"/>
      <c r="EK305" s="555"/>
      <c r="EL305" s="802"/>
    </row>
    <row r="306" spans="1:142" hidden="1" outlineLevel="1">
      <c r="A306" s="557"/>
      <c r="B306" s="557" t="s">
        <v>194</v>
      </c>
      <c r="C306" s="1203"/>
      <c r="D306" s="1203">
        <v>6764</v>
      </c>
      <c r="E306" s="1203" t="s">
        <v>503</v>
      </c>
      <c r="F306" s="1203" t="s">
        <v>503</v>
      </c>
      <c r="G306" s="1203" t="s">
        <v>503</v>
      </c>
      <c r="H306" s="1188"/>
      <c r="I306" s="1203" t="s">
        <v>503</v>
      </c>
      <c r="J306" s="1203" t="s">
        <v>503</v>
      </c>
      <c r="K306" s="1203" t="s">
        <v>503</v>
      </c>
      <c r="L306" s="1203" t="s">
        <v>503</v>
      </c>
      <c r="M306" s="1188" t="s">
        <v>503</v>
      </c>
      <c r="N306" s="1203" t="s">
        <v>503</v>
      </c>
      <c r="O306" s="1203" t="s">
        <v>503</v>
      </c>
      <c r="P306" s="1203" t="s">
        <v>503</v>
      </c>
      <c r="Q306" s="1203" t="s">
        <v>503</v>
      </c>
      <c r="R306" s="1188" t="s">
        <v>503</v>
      </c>
      <c r="S306" s="1203" t="s">
        <v>503</v>
      </c>
      <c r="T306" s="1203" t="s">
        <v>503</v>
      </c>
      <c r="U306" s="1203" t="s">
        <v>503</v>
      </c>
      <c r="V306" s="1203" t="s">
        <v>503</v>
      </c>
      <c r="W306" s="1188" t="s">
        <v>503</v>
      </c>
      <c r="X306" s="1203" t="s">
        <v>503</v>
      </c>
      <c r="Y306" s="1203" t="s">
        <v>503</v>
      </c>
      <c r="Z306" s="1203" t="s">
        <v>503</v>
      </c>
      <c r="AA306" s="1203" t="s">
        <v>503</v>
      </c>
      <c r="AB306" s="1188" t="s">
        <v>503</v>
      </c>
      <c r="AC306" s="1203" t="s">
        <v>503</v>
      </c>
      <c r="AD306" s="1203" t="s">
        <v>503</v>
      </c>
      <c r="AE306" s="1203" t="s">
        <v>503</v>
      </c>
      <c r="AF306" s="1203" t="s">
        <v>503</v>
      </c>
      <c r="AG306" s="1188" t="s">
        <v>503</v>
      </c>
      <c r="AH306" s="1203" t="s">
        <v>503</v>
      </c>
      <c r="AI306" s="1203" t="s">
        <v>503</v>
      </c>
      <c r="AJ306" s="1203" t="s">
        <v>503</v>
      </c>
      <c r="AK306" s="1203" t="s">
        <v>503</v>
      </c>
      <c r="AL306" s="1188" t="s">
        <v>503</v>
      </c>
      <c r="AM306" s="1203" t="s">
        <v>503</v>
      </c>
      <c r="AN306" s="1203" t="s">
        <v>503</v>
      </c>
      <c r="AO306" s="1203" t="s">
        <v>503</v>
      </c>
      <c r="AP306" s="1203" t="s">
        <v>503</v>
      </c>
      <c r="AQ306" s="1188" t="s">
        <v>503</v>
      </c>
      <c r="AR306" s="1203" t="s">
        <v>503</v>
      </c>
      <c r="AS306" s="1203" t="s">
        <v>503</v>
      </c>
      <c r="AT306" s="1203" t="s">
        <v>503</v>
      </c>
      <c r="AU306" s="802"/>
      <c r="AV306" s="708" t="s">
        <v>503</v>
      </c>
      <c r="AW306" s="708" t="s">
        <v>503</v>
      </c>
      <c r="AX306" s="708" t="s">
        <v>503</v>
      </c>
      <c r="AY306" s="708" t="s">
        <v>503</v>
      </c>
      <c r="AZ306" s="1188" t="s">
        <v>503</v>
      </c>
      <c r="BA306" s="1203" t="s">
        <v>503</v>
      </c>
      <c r="BB306" s="1203" t="s">
        <v>503</v>
      </c>
      <c r="BC306" s="1203" t="s">
        <v>503</v>
      </c>
      <c r="BD306" s="1203" t="s">
        <v>503</v>
      </c>
      <c r="BE306" s="1204" t="s">
        <v>503</v>
      </c>
      <c r="BF306" s="1203" t="s">
        <v>503</v>
      </c>
      <c r="BG306" s="1201">
        <v>18647</v>
      </c>
      <c r="BH306" s="1201">
        <v>18106</v>
      </c>
      <c r="BI306" s="1201">
        <v>17902</v>
      </c>
      <c r="BJ306" s="1202">
        <v>17861</v>
      </c>
      <c r="BK306" s="959">
        <v>17924</v>
      </c>
      <c r="BL306" s="901">
        <v>17930</v>
      </c>
      <c r="BM306" s="555">
        <v>17859</v>
      </c>
      <c r="BN306" s="555">
        <v>17842</v>
      </c>
      <c r="BO306" s="802">
        <v>17889</v>
      </c>
      <c r="BP306" s="959">
        <v>17851</v>
      </c>
      <c r="BQ306" s="901">
        <v>15069</v>
      </c>
      <c r="BR306" s="555">
        <v>14967</v>
      </c>
      <c r="BS306" s="555">
        <v>14941</v>
      </c>
      <c r="BT306" s="802">
        <v>15023</v>
      </c>
      <c r="BU306" s="959">
        <v>14953</v>
      </c>
      <c r="BV306" s="901">
        <v>14990</v>
      </c>
      <c r="BW306" s="555">
        <v>14389</v>
      </c>
      <c r="BX306" s="555">
        <v>14516</v>
      </c>
      <c r="BY306" s="802">
        <v>14379</v>
      </c>
      <c r="BZ306" s="959">
        <v>14478</v>
      </c>
      <c r="CA306" s="901">
        <v>13829</v>
      </c>
      <c r="CB306" s="555">
        <v>13536</v>
      </c>
      <c r="CC306" s="555">
        <v>13547</v>
      </c>
      <c r="CD306" s="802">
        <v>13512</v>
      </c>
      <c r="CE306" s="959">
        <v>13574</v>
      </c>
      <c r="CF306" s="901">
        <v>13411</v>
      </c>
      <c r="CG306" s="555">
        <v>13419</v>
      </c>
      <c r="CH306" s="555">
        <v>13436</v>
      </c>
      <c r="CI306" s="802">
        <v>13419</v>
      </c>
      <c r="CJ306" s="959">
        <v>13431</v>
      </c>
      <c r="CK306" s="901">
        <v>13435</v>
      </c>
      <c r="CL306" s="555">
        <v>13423</v>
      </c>
      <c r="CM306" s="555">
        <v>13429</v>
      </c>
      <c r="CN306" s="802">
        <v>13430</v>
      </c>
      <c r="CO306" s="959">
        <v>13123</v>
      </c>
      <c r="CP306" s="901">
        <v>13111</v>
      </c>
      <c r="CQ306" s="555">
        <v>13106</v>
      </c>
      <c r="CR306" s="555">
        <v>13119</v>
      </c>
      <c r="CS306" s="802">
        <v>13115</v>
      </c>
      <c r="CT306" s="959">
        <v>13138</v>
      </c>
      <c r="CU306" s="901">
        <v>13176</v>
      </c>
      <c r="CV306" s="555">
        <v>13216</v>
      </c>
      <c r="CW306" s="555">
        <v>13216</v>
      </c>
      <c r="CX306" s="802">
        <v>13187</v>
      </c>
      <c r="CY306" s="959">
        <v>13180</v>
      </c>
      <c r="CZ306" s="901">
        <v>13180</v>
      </c>
      <c r="DA306" s="555">
        <v>13180</v>
      </c>
      <c r="DB306" s="555">
        <v>20294</v>
      </c>
      <c r="DC306" s="802">
        <v>14963</v>
      </c>
      <c r="DD306" s="959">
        <v>20263</v>
      </c>
      <c r="DE306" s="901">
        <v>20370</v>
      </c>
      <c r="DF306" s="555">
        <v>20692</v>
      </c>
      <c r="DG306" s="555">
        <v>20805</v>
      </c>
      <c r="DH306" s="802">
        <v>20531</v>
      </c>
      <c r="DI306" s="1005">
        <v>20823</v>
      </c>
      <c r="DJ306" s="1371">
        <v>20826</v>
      </c>
      <c r="DK306" s="1005">
        <v>21122</v>
      </c>
      <c r="DL306" s="1005">
        <v>22549</v>
      </c>
      <c r="DM306" s="1506">
        <v>21092</v>
      </c>
      <c r="DN306" s="1507">
        <v>19288</v>
      </c>
      <c r="DO306" s="1519">
        <v>20380</v>
      </c>
      <c r="DP306" s="1507">
        <v>18131</v>
      </c>
      <c r="DQ306" s="1507">
        <v>18090</v>
      </c>
      <c r="DR306" s="1506">
        <v>18127</v>
      </c>
      <c r="DS306" s="1507">
        <v>20334</v>
      </c>
      <c r="DT306" s="1519">
        <v>20329</v>
      </c>
      <c r="DU306" s="1519">
        <v>19328</v>
      </c>
      <c r="DV306" s="1507">
        <v>19214</v>
      </c>
      <c r="DW306" s="1506">
        <v>19277</v>
      </c>
      <c r="DX306" s="555"/>
      <c r="DY306" s="555"/>
      <c r="DZ306" s="555"/>
      <c r="EA306" s="555"/>
      <c r="EB306" s="802"/>
      <c r="EC306" s="555"/>
      <c r="ED306" s="555"/>
      <c r="EE306" s="555"/>
      <c r="EF306" s="555"/>
      <c r="EG306" s="802"/>
      <c r="EH306" s="555"/>
      <c r="EI306" s="555"/>
      <c r="EJ306" s="555"/>
      <c r="EK306" s="555"/>
      <c r="EL306" s="802"/>
    </row>
    <row r="307" spans="1:142" hidden="1" outlineLevel="1">
      <c r="A307" s="557"/>
      <c r="B307" s="557" t="s">
        <v>137</v>
      </c>
      <c r="C307" s="1205"/>
      <c r="D307" s="1205">
        <v>0.432</v>
      </c>
      <c r="E307" s="1205">
        <v>0.442</v>
      </c>
      <c r="F307" s="1205">
        <v>0.48599999999999999</v>
      </c>
      <c r="G307" s="1203" t="s">
        <v>503</v>
      </c>
      <c r="H307" s="1206">
        <v>0.46400000000000002</v>
      </c>
      <c r="I307" s="1205">
        <v>0.434</v>
      </c>
      <c r="J307" s="1205">
        <v>0.434</v>
      </c>
      <c r="K307" s="1205">
        <v>0.47899999999999998</v>
      </c>
      <c r="L307" s="1203" t="s">
        <v>503</v>
      </c>
      <c r="M307" s="1206">
        <v>0.44900000000000001</v>
      </c>
      <c r="N307" s="1205">
        <v>0.42399999999999999</v>
      </c>
      <c r="O307" s="1205">
        <v>0.432</v>
      </c>
      <c r="P307" s="1205">
        <v>0.46600000000000003</v>
      </c>
      <c r="Q307" s="1203" t="s">
        <v>503</v>
      </c>
      <c r="R307" s="1206">
        <v>0.42499999999999999</v>
      </c>
      <c r="S307" s="1205">
        <v>0.41399999999999998</v>
      </c>
      <c r="T307" s="1205">
        <v>0.42499999999999999</v>
      </c>
      <c r="U307" s="1205">
        <v>0.48299999999999998</v>
      </c>
      <c r="V307" s="1203" t="s">
        <v>503</v>
      </c>
      <c r="W307" s="1206">
        <v>0.44</v>
      </c>
      <c r="X307" s="1205">
        <v>0.43099999999999999</v>
      </c>
      <c r="Y307" s="1205">
        <v>0.438</v>
      </c>
      <c r="Z307" s="1205">
        <v>0.47599999999999998</v>
      </c>
      <c r="AA307" s="1203" t="s">
        <v>503</v>
      </c>
      <c r="AB307" s="1206">
        <v>0.45400000000000001</v>
      </c>
      <c r="AC307" s="1205">
        <v>0.433</v>
      </c>
      <c r="AD307" s="1205">
        <v>0.44700000000000001</v>
      </c>
      <c r="AE307" s="1205">
        <v>0.51100000000000001</v>
      </c>
      <c r="AF307" s="1203" t="s">
        <v>503</v>
      </c>
      <c r="AG307" s="1206">
        <v>0.46800000000000003</v>
      </c>
      <c r="AH307" s="1205">
        <v>0.47599999999999998</v>
      </c>
      <c r="AI307" s="1205">
        <v>0.48599999999999999</v>
      </c>
      <c r="AJ307" s="1205">
        <v>0.52300000000000002</v>
      </c>
      <c r="AK307" s="1203" t="s">
        <v>503</v>
      </c>
      <c r="AL307" s="1206">
        <v>0.5</v>
      </c>
      <c r="AM307" s="1205">
        <v>0.497</v>
      </c>
      <c r="AN307" s="1205">
        <v>0.5</v>
      </c>
      <c r="AO307" s="1205">
        <v>0.53400000000000003</v>
      </c>
      <c r="AP307" s="1203" t="s">
        <v>503</v>
      </c>
      <c r="AQ307" s="1206">
        <v>0.51600000000000001</v>
      </c>
      <c r="AR307" s="1205">
        <v>0.51300000000000001</v>
      </c>
      <c r="AS307" s="1205">
        <v>0.53400000000000003</v>
      </c>
      <c r="AT307" s="1205">
        <v>0.55400000000000005</v>
      </c>
      <c r="AU307" s="802"/>
      <c r="AV307" s="708" t="s">
        <v>503</v>
      </c>
      <c r="AW307" s="708" t="s">
        <v>503</v>
      </c>
      <c r="AX307" s="708" t="s">
        <v>503</v>
      </c>
      <c r="AY307" s="708" t="s">
        <v>503</v>
      </c>
      <c r="AZ307" s="1188" t="s">
        <v>503</v>
      </c>
      <c r="BA307" s="1205">
        <v>0.58499999999999996</v>
      </c>
      <c r="BB307" s="1205">
        <v>0.55500000000000005</v>
      </c>
      <c r="BC307" s="1205">
        <v>0.54</v>
      </c>
      <c r="BD307" s="1203" t="s">
        <v>503</v>
      </c>
      <c r="BE307" s="1206">
        <v>0.55900000000000005</v>
      </c>
      <c r="BF307" s="1205">
        <v>0.57299999999999995</v>
      </c>
      <c r="BG307" s="1205">
        <v>0.52900000000000003</v>
      </c>
      <c r="BH307" s="1205">
        <v>0.52700000000000002</v>
      </c>
      <c r="BI307" s="1205">
        <v>0.53300000000000003</v>
      </c>
      <c r="BJ307" s="1206">
        <v>0.54500000000000004</v>
      </c>
      <c r="BK307" s="558">
        <v>0.57899999999999996</v>
      </c>
      <c r="BL307" s="558">
        <v>0.53</v>
      </c>
      <c r="BM307" s="1207">
        <v>0.50800000000000001</v>
      </c>
      <c r="BN307" s="1207">
        <v>0.49299999999999999</v>
      </c>
      <c r="BO307" s="1208">
        <v>0.52700000000000002</v>
      </c>
      <c r="BP307" s="558">
        <v>0.53300000000000003</v>
      </c>
      <c r="BQ307" s="558">
        <v>0.51800000000000002</v>
      </c>
      <c r="BR307" s="1207">
        <v>0.505</v>
      </c>
      <c r="BS307" s="1207">
        <v>0.51300000000000001</v>
      </c>
      <c r="BT307" s="1208">
        <v>0.52500000000000002</v>
      </c>
      <c r="BU307" s="558">
        <v>0.55400000000000005</v>
      </c>
      <c r="BV307" s="558">
        <v>0.50800000000000001</v>
      </c>
      <c r="BW307" s="1207">
        <v>0.50700000000000001</v>
      </c>
      <c r="BX307" s="1207">
        <v>0.51100000000000001</v>
      </c>
      <c r="BY307" s="1208">
        <v>0.52500000000000002</v>
      </c>
      <c r="BZ307" s="558">
        <v>0.56100000000000005</v>
      </c>
      <c r="CA307" s="558">
        <v>0.52400000000000002</v>
      </c>
      <c r="CB307" s="1207">
        <v>0.51</v>
      </c>
      <c r="CC307" s="1207">
        <v>0.51500000000000001</v>
      </c>
      <c r="CD307" s="1208">
        <v>0.53</v>
      </c>
      <c r="CE307" s="558">
        <v>0.55600000000000005</v>
      </c>
      <c r="CF307" s="558">
        <v>0.51600000000000001</v>
      </c>
      <c r="CG307" s="1207">
        <v>0.504</v>
      </c>
      <c r="CH307" s="1207">
        <v>0.50800000000000001</v>
      </c>
      <c r="CI307" s="1208">
        <v>0.52100000000000002</v>
      </c>
      <c r="CJ307" s="558">
        <v>0.54</v>
      </c>
      <c r="CK307" s="558">
        <v>0.503</v>
      </c>
      <c r="CL307" s="1207">
        <v>0.48299999999999998</v>
      </c>
      <c r="CM307" s="1207">
        <v>0.49299999999999999</v>
      </c>
      <c r="CN307" s="1208">
        <v>0.504</v>
      </c>
      <c r="CO307" s="558">
        <v>0.53800000000000003</v>
      </c>
      <c r="CP307" s="558">
        <v>0.5</v>
      </c>
      <c r="CQ307" s="1207">
        <v>0.49099999999999999</v>
      </c>
      <c r="CR307" s="1207">
        <v>0.48899999999999999</v>
      </c>
      <c r="CS307" s="1208">
        <v>0.504</v>
      </c>
      <c r="CT307" s="558">
        <v>0.51600000000000001</v>
      </c>
      <c r="CU307" s="558">
        <v>0.49199999999999999</v>
      </c>
      <c r="CV307" s="1207">
        <v>0.47799999999999998</v>
      </c>
      <c r="CW307" s="1207">
        <v>0.47699999999999998</v>
      </c>
      <c r="CX307" s="1208">
        <v>0.49099999999999999</v>
      </c>
      <c r="CY307" s="558">
        <v>0.50900000000000001</v>
      </c>
      <c r="CZ307" s="558">
        <v>0.47299999999999998</v>
      </c>
      <c r="DA307" s="1207">
        <v>0.47</v>
      </c>
      <c r="DB307" s="1207">
        <v>0.47199999999999998</v>
      </c>
      <c r="DC307" s="1208">
        <v>0.48</v>
      </c>
      <c r="DD307" s="558">
        <v>0.51</v>
      </c>
      <c r="DE307" s="558">
        <v>0.48899999999999999</v>
      </c>
      <c r="DF307" s="1207">
        <v>0.48399999999999999</v>
      </c>
      <c r="DG307" s="1207">
        <v>0.49</v>
      </c>
      <c r="DH307" s="1208">
        <v>0.49299999999999999</v>
      </c>
      <c r="DI307" s="558">
        <v>0.52100000000000002</v>
      </c>
      <c r="DJ307" s="558">
        <v>0.49099999999999999</v>
      </c>
      <c r="DK307" s="1207">
        <v>0.47799999999999998</v>
      </c>
      <c r="DL307" s="1207">
        <v>0.47399999999999998</v>
      </c>
      <c r="DM307" s="1283">
        <v>0.496</v>
      </c>
      <c r="DN307" s="1284">
        <v>0.52500000000000002</v>
      </c>
      <c r="DO307" s="1284">
        <v>0.48399999999999999</v>
      </c>
      <c r="DP307" s="1285">
        <v>0.48199999999999998</v>
      </c>
      <c r="DQ307" s="1285">
        <v>0.48</v>
      </c>
      <c r="DR307" s="1283">
        <v>0.49399999999999999</v>
      </c>
      <c r="DS307" s="1284">
        <v>0.503</v>
      </c>
      <c r="DT307" s="1284">
        <v>0.47099999999999997</v>
      </c>
      <c r="DU307" s="1284">
        <v>0.47099999999999997</v>
      </c>
      <c r="DV307" s="1285">
        <v>0.48299999999999998</v>
      </c>
      <c r="DW307" s="1283">
        <v>0.48699999999999999</v>
      </c>
      <c r="DX307" s="555"/>
      <c r="DY307" s="555"/>
      <c r="DZ307" s="555"/>
      <c r="EA307" s="555"/>
      <c r="EB307" s="802"/>
      <c r="EC307" s="555"/>
      <c r="ED307" s="555"/>
      <c r="EE307" s="555"/>
      <c r="EF307" s="555"/>
      <c r="EG307" s="802"/>
      <c r="EH307" s="555"/>
      <c r="EI307" s="555"/>
      <c r="EJ307" s="555"/>
      <c r="EK307" s="555"/>
      <c r="EL307" s="802"/>
    </row>
    <row r="308" spans="1:142" hidden="1" outlineLevel="1">
      <c r="A308" s="557"/>
      <c r="B308" s="973" t="s">
        <v>688</v>
      </c>
      <c r="C308" s="1205"/>
      <c r="D308" s="1205"/>
      <c r="E308" s="1205"/>
      <c r="F308" s="1205"/>
      <c r="G308" s="1203"/>
      <c r="H308" s="1206"/>
      <c r="I308" s="1205"/>
      <c r="J308" s="1205"/>
      <c r="K308" s="1205"/>
      <c r="L308" s="1203"/>
      <c r="M308" s="1206"/>
      <c r="N308" s="1205"/>
      <c r="O308" s="1205"/>
      <c r="P308" s="1205"/>
      <c r="Q308" s="1203"/>
      <c r="R308" s="1206"/>
      <c r="S308" s="1205"/>
      <c r="T308" s="1205"/>
      <c r="U308" s="1205"/>
      <c r="V308" s="1203"/>
      <c r="W308" s="1206"/>
      <c r="X308" s="1205"/>
      <c r="Y308" s="1205"/>
      <c r="Z308" s="1205"/>
      <c r="AA308" s="1203"/>
      <c r="AB308" s="1206"/>
      <c r="AC308" s="1205"/>
      <c r="AD308" s="1205"/>
      <c r="AE308" s="1205"/>
      <c r="AF308" s="1203"/>
      <c r="AG308" s="1206"/>
      <c r="AH308" s="1205"/>
      <c r="AI308" s="1205"/>
      <c r="AJ308" s="1205"/>
      <c r="AK308" s="1203"/>
      <c r="AL308" s="1206"/>
      <c r="AM308" s="1205"/>
      <c r="AN308" s="1205"/>
      <c r="AO308" s="1205"/>
      <c r="AP308" s="1203"/>
      <c r="AQ308" s="1206"/>
      <c r="AR308" s="1205"/>
      <c r="AS308" s="1205"/>
      <c r="AT308" s="1205"/>
      <c r="AU308" s="802"/>
      <c r="AV308" s="708"/>
      <c r="AW308" s="708"/>
      <c r="AX308" s="708"/>
      <c r="AY308" s="708"/>
      <c r="AZ308" s="1188"/>
      <c r="BA308" s="1205"/>
      <c r="BB308" s="1205"/>
      <c r="BC308" s="1205"/>
      <c r="BD308" s="1203"/>
      <c r="BE308" s="1206"/>
      <c r="BF308" s="1205"/>
      <c r="BG308" s="1205"/>
      <c r="BH308" s="1205"/>
      <c r="BI308" s="1205"/>
      <c r="BJ308" s="1206"/>
      <c r="BK308" s="558"/>
      <c r="BL308" s="558"/>
      <c r="BM308" s="1207"/>
      <c r="BN308" s="1207"/>
      <c r="BO308" s="1208"/>
      <c r="BP308" s="558"/>
      <c r="BQ308" s="558"/>
      <c r="BR308" s="1207"/>
      <c r="BS308" s="1207"/>
      <c r="BT308" s="1208"/>
      <c r="BU308" s="558"/>
      <c r="BV308" s="558"/>
      <c r="BW308" s="1207"/>
      <c r="BX308" s="1207"/>
      <c r="BY308" s="1208"/>
      <c r="BZ308" s="558"/>
      <c r="CA308" s="558"/>
      <c r="CB308" s="1207"/>
      <c r="CC308" s="1207"/>
      <c r="CD308" s="1208"/>
      <c r="CE308" s="558"/>
      <c r="CF308" s="558"/>
      <c r="CG308" s="1207"/>
      <c r="CH308" s="1207"/>
      <c r="CI308" s="1208"/>
      <c r="CJ308" s="558"/>
      <c r="CK308" s="558"/>
      <c r="CL308" s="1207"/>
      <c r="CM308" s="1207"/>
      <c r="CN308" s="1208"/>
      <c r="CO308" s="558"/>
      <c r="CP308" s="558"/>
      <c r="CQ308" s="1207"/>
      <c r="CR308" s="1207"/>
      <c r="CS308" s="1208"/>
      <c r="CT308" s="558"/>
      <c r="CU308" s="558"/>
      <c r="CV308" s="1207"/>
      <c r="CW308" s="1207"/>
      <c r="CX308" s="1208"/>
      <c r="CY308" s="558"/>
      <c r="CZ308" s="558"/>
      <c r="DA308" s="1207"/>
      <c r="DB308" s="1207"/>
      <c r="DC308" s="1208"/>
      <c r="DD308" s="558"/>
      <c r="DE308" s="558"/>
      <c r="DF308" s="1207"/>
      <c r="DG308" s="1207"/>
      <c r="DH308" s="1208"/>
      <c r="DI308" s="558"/>
      <c r="DJ308" s="558"/>
      <c r="DK308" s="1207"/>
      <c r="DL308" s="1207"/>
      <c r="DM308" s="1283"/>
      <c r="DN308" s="1284"/>
      <c r="DO308" s="1284"/>
      <c r="DP308" s="1285"/>
      <c r="DQ308" s="1285"/>
      <c r="DR308" s="1283"/>
      <c r="DS308" s="1284"/>
      <c r="DT308" s="1284"/>
      <c r="DU308" s="1284"/>
      <c r="DV308" s="1285"/>
      <c r="DW308" s="1283"/>
      <c r="DX308" s="555"/>
      <c r="DY308" s="555"/>
      <c r="DZ308" s="555"/>
      <c r="EA308" s="555"/>
      <c r="EB308" s="802"/>
      <c r="EC308" s="555"/>
      <c r="ED308" s="555"/>
      <c r="EE308" s="555"/>
      <c r="EF308" s="555"/>
      <c r="EG308" s="802"/>
      <c r="EH308" s="555"/>
      <c r="EI308" s="555"/>
      <c r="EJ308" s="555"/>
      <c r="EK308" s="555"/>
      <c r="EL308" s="802"/>
    </row>
    <row r="309" spans="1:142" hidden="1" outlineLevel="1">
      <c r="A309" s="557"/>
      <c r="B309" s="557" t="s">
        <v>208</v>
      </c>
      <c r="C309" s="1201"/>
      <c r="D309" s="1201">
        <v>377539</v>
      </c>
      <c r="E309" s="1201">
        <v>369211</v>
      </c>
      <c r="F309" s="1201">
        <v>394453</v>
      </c>
      <c r="G309" s="960">
        <f>H309-SUM(D309:F309)</f>
        <v>1152383</v>
      </c>
      <c r="H309" s="1202">
        <v>2293586</v>
      </c>
      <c r="I309" s="1201">
        <v>1278757</v>
      </c>
      <c r="J309" s="1201">
        <v>1387899</v>
      </c>
      <c r="K309" s="1201">
        <v>1446545</v>
      </c>
      <c r="L309" s="960">
        <f>M309-SUM(I309:K309)</f>
        <v>1496349</v>
      </c>
      <c r="M309" s="1202">
        <v>5609550</v>
      </c>
      <c r="N309" s="1201">
        <v>1540745</v>
      </c>
      <c r="O309" s="1201">
        <v>1615945</v>
      </c>
      <c r="P309" s="1201">
        <v>2620508</v>
      </c>
      <c r="Q309" s="960">
        <f>R309-SUM(N309:P309)</f>
        <v>4220068</v>
      </c>
      <c r="R309" s="1202">
        <v>9997266</v>
      </c>
      <c r="S309" s="1201">
        <v>2652213</v>
      </c>
      <c r="T309" s="1201">
        <v>2642883</v>
      </c>
      <c r="U309" s="1201">
        <v>2535187</v>
      </c>
      <c r="V309" s="960">
        <f>W309-SUM(S309:U309)</f>
        <v>2572674</v>
      </c>
      <c r="W309" s="1202">
        <v>10402957</v>
      </c>
      <c r="X309" s="1201">
        <v>2420628</v>
      </c>
      <c r="Y309" s="1201">
        <v>2326712</v>
      </c>
      <c r="Z309" s="1201">
        <v>2372360</v>
      </c>
      <c r="AA309" s="960">
        <f>AB309-SUM(X309:Z309)</f>
        <v>2535275</v>
      </c>
      <c r="AB309" s="1202">
        <v>9654975</v>
      </c>
      <c r="AC309" s="1201">
        <v>2468827</v>
      </c>
      <c r="AD309" s="1201">
        <v>2289819</v>
      </c>
      <c r="AE309" s="1201">
        <v>2220852</v>
      </c>
      <c r="AF309" s="960">
        <f>AG309-SUM(AC309:AE309)</f>
        <v>2296874</v>
      </c>
      <c r="AG309" s="1202">
        <v>9276372</v>
      </c>
      <c r="AH309" s="1201">
        <v>2276519</v>
      </c>
      <c r="AI309" s="1201">
        <v>2240966</v>
      </c>
      <c r="AJ309" s="1201">
        <v>2216645</v>
      </c>
      <c r="AK309" s="960">
        <f>AL309-SUM(AH309:AJ309)</f>
        <v>2319987</v>
      </c>
      <c r="AL309" s="1202">
        <v>9054117</v>
      </c>
      <c r="AM309" s="1201">
        <v>2310626</v>
      </c>
      <c r="AN309" s="1201">
        <v>2277623</v>
      </c>
      <c r="AO309" s="1201">
        <v>2261010</v>
      </c>
      <c r="AP309" s="960">
        <f>AQ309-SUM(AM309:AO309)</f>
        <v>2471484</v>
      </c>
      <c r="AQ309" s="1202">
        <v>9320743</v>
      </c>
      <c r="AR309" s="1201">
        <v>2329280</v>
      </c>
      <c r="AS309" s="1201">
        <v>2343917</v>
      </c>
      <c r="AT309" s="1201">
        <v>2275989</v>
      </c>
      <c r="AU309" s="802"/>
      <c r="AV309" s="708" t="s">
        <v>503</v>
      </c>
      <c r="AW309" s="708" t="s">
        <v>503</v>
      </c>
      <c r="AX309" s="708" t="s">
        <v>503</v>
      </c>
      <c r="AY309" s="708" t="s">
        <v>503</v>
      </c>
      <c r="AZ309" s="1188" t="s">
        <v>503</v>
      </c>
      <c r="BA309" s="1201">
        <v>2140993</v>
      </c>
      <c r="BB309" s="1201">
        <v>2144668</v>
      </c>
      <c r="BC309" s="1201">
        <v>2125595</v>
      </c>
      <c r="BD309" s="960">
        <f>BE309-SUM(BA309:BC309)</f>
        <v>2015840</v>
      </c>
      <c r="BE309" s="1202">
        <v>8427096</v>
      </c>
      <c r="BF309" s="1201">
        <v>1572413</v>
      </c>
      <c r="BG309" s="1201">
        <v>1513651</v>
      </c>
      <c r="BH309" s="1201">
        <v>1339354</v>
      </c>
      <c r="BI309" s="1201">
        <v>1349983</v>
      </c>
      <c r="BJ309" s="1202">
        <v>5664357</v>
      </c>
      <c r="BK309" s="901">
        <v>1376156</v>
      </c>
      <c r="BL309" s="901">
        <v>1341793</v>
      </c>
      <c r="BM309" s="555">
        <v>1246170</v>
      </c>
      <c r="BN309" s="555">
        <v>1200682</v>
      </c>
      <c r="BO309" s="802">
        <v>5164801</v>
      </c>
      <c r="BP309" s="901">
        <v>1228199</v>
      </c>
      <c r="BQ309" s="901">
        <v>1083060</v>
      </c>
      <c r="BR309" s="555">
        <v>1050600</v>
      </c>
      <c r="BS309" s="555">
        <v>1051106</v>
      </c>
      <c r="BT309" s="802">
        <v>4280812</v>
      </c>
      <c r="BU309" s="901">
        <v>1069676</v>
      </c>
      <c r="BV309" s="901">
        <v>1049048</v>
      </c>
      <c r="BW309" s="555">
        <v>1004577</v>
      </c>
      <c r="BX309" s="555">
        <v>1002585</v>
      </c>
      <c r="BY309" s="802">
        <v>4042350</v>
      </c>
      <c r="BZ309" s="901">
        <v>1026545</v>
      </c>
      <c r="CA309" s="901">
        <v>972261</v>
      </c>
      <c r="CB309" s="555">
        <v>959222</v>
      </c>
      <c r="CC309" s="555">
        <v>946322</v>
      </c>
      <c r="CD309" s="802">
        <v>3828079</v>
      </c>
      <c r="CE309" s="901">
        <v>983865</v>
      </c>
      <c r="CF309" s="901">
        <v>996468</v>
      </c>
      <c r="CG309" s="555">
        <v>995968</v>
      </c>
      <c r="CH309" s="555">
        <v>971741</v>
      </c>
      <c r="CI309" s="802">
        <v>3934496</v>
      </c>
      <c r="CJ309" s="901">
        <v>952915</v>
      </c>
      <c r="CK309" s="901">
        <v>988706</v>
      </c>
      <c r="CL309" s="555">
        <v>976310</v>
      </c>
      <c r="CM309" s="555">
        <v>999827</v>
      </c>
      <c r="CN309" s="802">
        <v>3917758</v>
      </c>
      <c r="CO309" s="901">
        <v>990411</v>
      </c>
      <c r="CP309" s="901">
        <v>994204</v>
      </c>
      <c r="CQ309" s="555">
        <v>987318</v>
      </c>
      <c r="CR309" s="555">
        <v>982083</v>
      </c>
      <c r="CS309" s="802">
        <v>3954016</v>
      </c>
      <c r="CT309" s="901">
        <v>1031611</v>
      </c>
      <c r="CU309" s="901">
        <v>1046768</v>
      </c>
      <c r="CV309" s="555">
        <v>1035236</v>
      </c>
      <c r="CW309" s="555">
        <v>1053499</v>
      </c>
      <c r="CX309" s="802">
        <v>4167114</v>
      </c>
      <c r="CY309" s="901">
        <v>1054789</v>
      </c>
      <c r="CZ309" s="901">
        <v>1072712</v>
      </c>
      <c r="DA309" s="555">
        <v>1071421</v>
      </c>
      <c r="DB309" s="555">
        <v>1875684</v>
      </c>
      <c r="DC309" s="802">
        <v>5074606</v>
      </c>
      <c r="DD309" s="901">
        <v>1947687</v>
      </c>
      <c r="DE309" s="901">
        <v>2066051</v>
      </c>
      <c r="DF309" s="555">
        <v>2125002</v>
      </c>
      <c r="DG309" s="555">
        <v>2145138</v>
      </c>
      <c r="DH309" s="802">
        <v>8283878</v>
      </c>
      <c r="DI309" s="1371">
        <v>2145344</v>
      </c>
      <c r="DJ309" s="1371">
        <v>2063037</v>
      </c>
      <c r="DK309" s="1005">
        <v>2076524</v>
      </c>
      <c r="DL309" s="1005">
        <v>2198005</v>
      </c>
      <c r="DM309" s="1522" t="s">
        <v>604</v>
      </c>
      <c r="DN309" s="1519">
        <v>1949159</v>
      </c>
      <c r="DO309" s="1519">
        <v>2025946</v>
      </c>
      <c r="DP309" s="1507">
        <v>1805800</v>
      </c>
      <c r="DQ309" s="1507">
        <v>1782614</v>
      </c>
      <c r="DR309" s="1506">
        <v>7273671</v>
      </c>
      <c r="DS309" s="1519">
        <v>2009408</v>
      </c>
      <c r="DT309" s="1519">
        <v>1950251</v>
      </c>
      <c r="DU309" s="1519">
        <v>1813595</v>
      </c>
      <c r="DV309" s="1507">
        <v>1865781</v>
      </c>
      <c r="DW309" s="1506">
        <v>7495754</v>
      </c>
      <c r="DX309" s="555"/>
      <c r="DY309" s="555"/>
      <c r="DZ309" s="555"/>
      <c r="EA309" s="555"/>
      <c r="EB309" s="802"/>
      <c r="EC309" s="555"/>
      <c r="ED309" s="555"/>
      <c r="EE309" s="555"/>
      <c r="EF309" s="555"/>
      <c r="EG309" s="802"/>
      <c r="EH309" s="555"/>
      <c r="EI309" s="555"/>
      <c r="EJ309" s="555"/>
      <c r="EK309" s="555"/>
      <c r="EL309" s="802"/>
    </row>
    <row r="310" spans="1:142" hidden="1" outlineLevel="1">
      <c r="A310" s="1300"/>
      <c r="B310" s="1300" t="s">
        <v>209</v>
      </c>
      <c r="C310" s="1301"/>
      <c r="D310" s="1301" t="s">
        <v>503</v>
      </c>
      <c r="E310" s="1301" t="s">
        <v>503</v>
      </c>
      <c r="F310" s="1301" t="s">
        <v>503</v>
      </c>
      <c r="G310" s="1301" t="s">
        <v>503</v>
      </c>
      <c r="H310" s="1302" t="s">
        <v>503</v>
      </c>
      <c r="I310" s="1301" t="s">
        <v>503</v>
      </c>
      <c r="J310" s="1301" t="s">
        <v>503</v>
      </c>
      <c r="K310" s="1301" t="s">
        <v>503</v>
      </c>
      <c r="L310" s="1301" t="s">
        <v>503</v>
      </c>
      <c r="M310" s="1302" t="s">
        <v>503</v>
      </c>
      <c r="N310" s="1301" t="s">
        <v>503</v>
      </c>
      <c r="O310" s="1301" t="s">
        <v>503</v>
      </c>
      <c r="P310" s="1301" t="s">
        <v>503</v>
      </c>
      <c r="Q310" s="1301" t="s">
        <v>503</v>
      </c>
      <c r="R310" s="1302" t="s">
        <v>503</v>
      </c>
      <c r="S310" s="1301" t="s">
        <v>503</v>
      </c>
      <c r="T310" s="1301" t="s">
        <v>503</v>
      </c>
      <c r="U310" s="1301" t="s">
        <v>503</v>
      </c>
      <c r="V310" s="1301" t="s">
        <v>503</v>
      </c>
      <c r="W310" s="1302" t="s">
        <v>503</v>
      </c>
      <c r="X310" s="1301" t="s">
        <v>503</v>
      </c>
      <c r="Y310" s="1301" t="s">
        <v>503</v>
      </c>
      <c r="Z310" s="1301" t="s">
        <v>503</v>
      </c>
      <c r="AA310" s="1301" t="s">
        <v>503</v>
      </c>
      <c r="AB310" s="1302" t="s">
        <v>503</v>
      </c>
      <c r="AC310" s="1301" t="s">
        <v>503</v>
      </c>
      <c r="AD310" s="1301" t="s">
        <v>503</v>
      </c>
      <c r="AE310" s="1301" t="s">
        <v>503</v>
      </c>
      <c r="AF310" s="1301" t="s">
        <v>503</v>
      </c>
      <c r="AG310" s="1302" t="s">
        <v>503</v>
      </c>
      <c r="AH310" s="1301" t="s">
        <v>503</v>
      </c>
      <c r="AI310" s="1301" t="s">
        <v>503</v>
      </c>
      <c r="AJ310" s="1301" t="s">
        <v>503</v>
      </c>
      <c r="AK310" s="1301" t="s">
        <v>503</v>
      </c>
      <c r="AL310" s="1302" t="s">
        <v>503</v>
      </c>
      <c r="AM310" s="1301" t="s">
        <v>503</v>
      </c>
      <c r="AN310" s="1301" t="s">
        <v>503</v>
      </c>
      <c r="AO310" s="1301" t="s">
        <v>503</v>
      </c>
      <c r="AP310" s="1301" t="s">
        <v>503</v>
      </c>
      <c r="AQ310" s="1302" t="s">
        <v>503</v>
      </c>
      <c r="AR310" s="1301" t="s">
        <v>503</v>
      </c>
      <c r="AS310" s="1301" t="s">
        <v>503</v>
      </c>
      <c r="AT310" s="1301" t="s">
        <v>503</v>
      </c>
      <c r="AU310" s="1303"/>
      <c r="AV310" s="1301" t="s">
        <v>503</v>
      </c>
      <c r="AW310" s="1301" t="s">
        <v>503</v>
      </c>
      <c r="AX310" s="1301" t="s">
        <v>503</v>
      </c>
      <c r="AY310" s="1317" t="s">
        <v>503</v>
      </c>
      <c r="AZ310" s="1317" t="s">
        <v>503</v>
      </c>
      <c r="BA310" s="1301" t="s">
        <v>503</v>
      </c>
      <c r="BB310" s="1301" t="s">
        <v>503</v>
      </c>
      <c r="BC310" s="1301" t="s">
        <v>503</v>
      </c>
      <c r="BD310" s="1317" t="s">
        <v>503</v>
      </c>
      <c r="BE310" s="1317" t="s">
        <v>503</v>
      </c>
      <c r="BF310" s="1301" t="s">
        <v>503</v>
      </c>
      <c r="BG310" s="1301" t="s">
        <v>503</v>
      </c>
      <c r="BH310" s="1301" t="s">
        <v>503</v>
      </c>
      <c r="BI310" s="1317" t="s">
        <v>503</v>
      </c>
      <c r="BJ310" s="1317" t="s">
        <v>503</v>
      </c>
      <c r="BK310" s="321" t="s">
        <v>503</v>
      </c>
      <c r="BL310" s="321" t="s">
        <v>503</v>
      </c>
      <c r="BM310" s="321" t="s">
        <v>503</v>
      </c>
      <c r="BN310" s="1308" t="s">
        <v>503</v>
      </c>
      <c r="BO310" s="1309" t="s">
        <v>503</v>
      </c>
      <c r="BP310" s="321">
        <f>BP298-BP311</f>
        <v>-39496</v>
      </c>
      <c r="BQ310" s="321">
        <f>BQ298-BQ311</f>
        <v>-42505</v>
      </c>
      <c r="BR310" s="321">
        <f>BR298-BR311</f>
        <v>-45217</v>
      </c>
      <c r="BS310" s="1308">
        <f>BS298-BS311</f>
        <v>-39902</v>
      </c>
      <c r="BT310" s="1309">
        <f>SUM(BP310:BS310)</f>
        <v>-167120</v>
      </c>
      <c r="BU310" s="321">
        <f>BU298-BU311</f>
        <v>-43225</v>
      </c>
      <c r="BV310" s="321">
        <f>BV298-BV311</f>
        <v>-44960</v>
      </c>
      <c r="BW310" s="321">
        <f>BW298-BW311</f>
        <v>-43984</v>
      </c>
      <c r="BX310" s="1308">
        <f>BX298-BX311</f>
        <v>-37904</v>
      </c>
      <c r="BY310" s="1309">
        <f>SUM(BU310:BX310)</f>
        <v>-170073</v>
      </c>
      <c r="BZ310" s="321">
        <v>904045</v>
      </c>
      <c r="CA310" s="321">
        <v>854249</v>
      </c>
      <c r="CB310" s="321">
        <v>839920</v>
      </c>
      <c r="CC310" s="1308">
        <v>830633</v>
      </c>
      <c r="CD310" s="1309">
        <v>3355514</v>
      </c>
      <c r="CE310" s="321">
        <v>873084</v>
      </c>
      <c r="CF310" s="321">
        <v>881986</v>
      </c>
      <c r="CG310" s="321">
        <v>878765</v>
      </c>
      <c r="CH310" s="1308">
        <v>858579</v>
      </c>
      <c r="CI310" s="1309">
        <v>3480137</v>
      </c>
      <c r="CJ310" s="321">
        <v>856328</v>
      </c>
      <c r="CK310" s="321">
        <v>883922</v>
      </c>
      <c r="CL310" s="321">
        <v>871930</v>
      </c>
      <c r="CM310" s="1308">
        <v>900182</v>
      </c>
      <c r="CN310" s="1309">
        <v>3512362</v>
      </c>
      <c r="CO310" s="321">
        <v>909359</v>
      </c>
      <c r="CP310" s="321">
        <v>912890</v>
      </c>
      <c r="CQ310" s="321">
        <v>901695</v>
      </c>
      <c r="CR310" s="1308">
        <v>884421</v>
      </c>
      <c r="CS310" s="1309">
        <v>3554231</v>
      </c>
      <c r="CT310" s="321">
        <v>926474</v>
      </c>
      <c r="CU310" s="321">
        <v>937570</v>
      </c>
      <c r="CV310" s="321">
        <v>922700</v>
      </c>
      <c r="CW310" s="1308">
        <v>941658</v>
      </c>
      <c r="CX310" s="1309">
        <v>3728402</v>
      </c>
      <c r="CY310" s="321">
        <v>944549</v>
      </c>
      <c r="CZ310" s="321">
        <v>958379</v>
      </c>
      <c r="DA310" s="321">
        <v>956871</v>
      </c>
      <c r="DB310" s="1308">
        <v>974396</v>
      </c>
      <c r="DC310" s="1309">
        <v>974396</v>
      </c>
      <c r="DD310" s="321">
        <v>968817</v>
      </c>
      <c r="DE310" s="321">
        <v>1031920</v>
      </c>
      <c r="DF310" s="321">
        <v>1042636</v>
      </c>
      <c r="DG310" s="1308">
        <f>DG298-DG311</f>
        <v>-40146</v>
      </c>
      <c r="DH310" s="1309">
        <v>7610558</v>
      </c>
      <c r="DI310" s="1508">
        <v>1985073</v>
      </c>
      <c r="DJ310" s="1508">
        <v>1858225</v>
      </c>
      <c r="DK310" s="1508">
        <v>1800725</v>
      </c>
      <c r="DL310" s="1518">
        <f>DL298-153357</f>
        <v>-29596</v>
      </c>
      <c r="DM310" s="1515">
        <v>7213214</v>
      </c>
      <c r="DN310" s="1511">
        <v>1804947</v>
      </c>
      <c r="DO310" s="1511">
        <v>1884716</v>
      </c>
      <c r="DP310" s="1511">
        <v>1676686</v>
      </c>
      <c r="DQ310" s="1510">
        <v>1671428</v>
      </c>
      <c r="DR310" s="1509">
        <v>6784173</v>
      </c>
      <c r="DS310" s="1511">
        <v>1883235</v>
      </c>
      <c r="DT310" s="1511">
        <v>1823601</v>
      </c>
      <c r="DU310" s="1511">
        <v>1696468</v>
      </c>
      <c r="DV310" s="1510">
        <v>1747285</v>
      </c>
      <c r="DW310" s="1509">
        <v>7028688</v>
      </c>
      <c r="DX310" s="321"/>
      <c r="DY310" s="321"/>
      <c r="DZ310" s="321"/>
      <c r="EA310" s="321"/>
      <c r="EB310" s="1309"/>
      <c r="EC310" s="321"/>
      <c r="ED310" s="321"/>
      <c r="EE310" s="321"/>
      <c r="EF310" s="321"/>
      <c r="EG310" s="1309"/>
      <c r="EH310" s="321"/>
      <c r="EI310" s="321"/>
      <c r="EJ310" s="321"/>
      <c r="EK310" s="321"/>
      <c r="EL310" s="1309"/>
    </row>
    <row r="311" spans="1:142" hidden="1" outlineLevel="1">
      <c r="A311" s="1300"/>
      <c r="B311" s="1300" t="s">
        <v>210</v>
      </c>
      <c r="C311" s="1301"/>
      <c r="D311" s="1301" t="s">
        <v>503</v>
      </c>
      <c r="E311" s="1301" t="s">
        <v>503</v>
      </c>
      <c r="F311" s="1301" t="s">
        <v>503</v>
      </c>
      <c r="G311" s="1301" t="s">
        <v>503</v>
      </c>
      <c r="H311" s="1302" t="s">
        <v>503</v>
      </c>
      <c r="I311" s="1301" t="s">
        <v>503</v>
      </c>
      <c r="J311" s="1301" t="s">
        <v>503</v>
      </c>
      <c r="K311" s="1301" t="s">
        <v>503</v>
      </c>
      <c r="L311" s="1301" t="s">
        <v>503</v>
      </c>
      <c r="M311" s="1302" t="s">
        <v>503</v>
      </c>
      <c r="N311" s="1301" t="s">
        <v>503</v>
      </c>
      <c r="O311" s="1301" t="s">
        <v>503</v>
      </c>
      <c r="P311" s="1301" t="s">
        <v>503</v>
      </c>
      <c r="Q311" s="1301" t="s">
        <v>503</v>
      </c>
      <c r="R311" s="1302" t="s">
        <v>503</v>
      </c>
      <c r="S311" s="1301" t="s">
        <v>503</v>
      </c>
      <c r="T311" s="1301" t="s">
        <v>503</v>
      </c>
      <c r="U311" s="1301" t="s">
        <v>503</v>
      </c>
      <c r="V311" s="1301" t="s">
        <v>503</v>
      </c>
      <c r="W311" s="1302" t="s">
        <v>503</v>
      </c>
      <c r="X311" s="1301" t="s">
        <v>503</v>
      </c>
      <c r="Y311" s="1301" t="s">
        <v>503</v>
      </c>
      <c r="Z311" s="1301" t="s">
        <v>503</v>
      </c>
      <c r="AA311" s="1301" t="s">
        <v>503</v>
      </c>
      <c r="AB311" s="1302" t="s">
        <v>503</v>
      </c>
      <c r="AC311" s="1301" t="s">
        <v>503</v>
      </c>
      <c r="AD311" s="1301" t="s">
        <v>503</v>
      </c>
      <c r="AE311" s="1301" t="s">
        <v>503</v>
      </c>
      <c r="AF311" s="1301" t="s">
        <v>503</v>
      </c>
      <c r="AG311" s="1302" t="s">
        <v>503</v>
      </c>
      <c r="AH311" s="1301" t="s">
        <v>503</v>
      </c>
      <c r="AI311" s="1301" t="s">
        <v>503</v>
      </c>
      <c r="AJ311" s="1301" t="s">
        <v>503</v>
      </c>
      <c r="AK311" s="1301" t="s">
        <v>503</v>
      </c>
      <c r="AL311" s="1302" t="s">
        <v>503</v>
      </c>
      <c r="AM311" s="1301" t="s">
        <v>503</v>
      </c>
      <c r="AN311" s="1301" t="s">
        <v>503</v>
      </c>
      <c r="AO311" s="1301" t="s">
        <v>503</v>
      </c>
      <c r="AP311" s="1301" t="s">
        <v>503</v>
      </c>
      <c r="AQ311" s="1302" t="s">
        <v>503</v>
      </c>
      <c r="AR311" s="1301" t="s">
        <v>503</v>
      </c>
      <c r="AS311" s="1301" t="s">
        <v>503</v>
      </c>
      <c r="AT311" s="1301" t="s">
        <v>503</v>
      </c>
      <c r="AU311" s="1303"/>
      <c r="AV311" s="1301" t="s">
        <v>503</v>
      </c>
      <c r="AW311" s="1301" t="s">
        <v>503</v>
      </c>
      <c r="AX311" s="1301" t="s">
        <v>503</v>
      </c>
      <c r="AY311" s="1317" t="s">
        <v>503</v>
      </c>
      <c r="AZ311" s="1317" t="s">
        <v>503</v>
      </c>
      <c r="BA311" s="1301" t="s">
        <v>503</v>
      </c>
      <c r="BB311" s="1301" t="s">
        <v>503</v>
      </c>
      <c r="BC311" s="1301" t="s">
        <v>503</v>
      </c>
      <c r="BD311" s="1317" t="s">
        <v>503</v>
      </c>
      <c r="BE311" s="1317" t="s">
        <v>503</v>
      </c>
      <c r="BF311" s="1301" t="s">
        <v>503</v>
      </c>
      <c r="BG311" s="1301" t="s">
        <v>503</v>
      </c>
      <c r="BH311" s="1301" t="s">
        <v>503</v>
      </c>
      <c r="BI311" s="1317" t="s">
        <v>503</v>
      </c>
      <c r="BJ311" s="1317" t="s">
        <v>503</v>
      </c>
      <c r="BK311" s="321" t="s">
        <v>503</v>
      </c>
      <c r="BL311" s="321" t="s">
        <v>503</v>
      </c>
      <c r="BM311" s="321">
        <f>127470+6018</f>
        <v>133488</v>
      </c>
      <c r="BN311" s="1308">
        <f>124151+5171</f>
        <v>129322</v>
      </c>
      <c r="BO311" s="1309" t="s">
        <v>503</v>
      </c>
      <c r="BP311" s="321">
        <f>125338+5366</f>
        <v>130704</v>
      </c>
      <c r="BQ311" s="321">
        <f>113164+4920</f>
        <v>118084</v>
      </c>
      <c r="BR311" s="321">
        <f>114309+4782</f>
        <v>119091</v>
      </c>
      <c r="BS311" s="1308">
        <f>110824+5683</f>
        <v>116507</v>
      </c>
      <c r="BT311" s="1309">
        <f>SUM(BP311:BS311)</f>
        <v>484386</v>
      </c>
      <c r="BU311" s="321">
        <f>118516+6082</f>
        <v>124598</v>
      </c>
      <c r="BV311" s="321">
        <f>113519+7121</f>
        <v>120640</v>
      </c>
      <c r="BW311" s="321">
        <f>108077+7552</f>
        <v>115629</v>
      </c>
      <c r="BX311" s="1308">
        <f>107542+5240</f>
        <v>112782</v>
      </c>
      <c r="BY311" s="1309">
        <f>SUM(BU311:BX311)</f>
        <v>473649</v>
      </c>
      <c r="BZ311" s="321">
        <f>106885+5801</f>
        <v>112686</v>
      </c>
      <c r="CA311" s="321">
        <f>100733+4857</f>
        <v>105590</v>
      </c>
      <c r="CB311" s="321">
        <f>98157+5333</f>
        <v>103490</v>
      </c>
      <c r="CC311" s="1308">
        <f>93063+6054</f>
        <v>99117</v>
      </c>
      <c r="CD311" s="1309">
        <f>395991+21954</f>
        <v>417945</v>
      </c>
      <c r="CE311" s="321">
        <f>7605+91358</f>
        <v>98963</v>
      </c>
      <c r="CF311" s="321">
        <v>101109</v>
      </c>
      <c r="CG311" s="321">
        <v>104324</v>
      </c>
      <c r="CH311" s="1308">
        <v>97289</v>
      </c>
      <c r="CI311" s="1309">
        <v>400416</v>
      </c>
      <c r="CJ311" s="321">
        <v>96587</v>
      </c>
      <c r="CK311" s="321">
        <v>104784</v>
      </c>
      <c r="CL311" s="321">
        <v>104380</v>
      </c>
      <c r="CM311" s="1308">
        <v>99645</v>
      </c>
      <c r="CN311" s="1309">
        <v>405396</v>
      </c>
      <c r="CO311" s="321">
        <v>101489</v>
      </c>
      <c r="CP311" s="321">
        <v>102940</v>
      </c>
      <c r="CQ311" s="321">
        <v>108241</v>
      </c>
      <c r="CR311" s="1308">
        <v>97662</v>
      </c>
      <c r="CS311" s="1309">
        <v>399785</v>
      </c>
      <c r="CT311" s="321">
        <v>105137</v>
      </c>
      <c r="CU311" s="321">
        <v>109198</v>
      </c>
      <c r="CV311" s="321">
        <v>112536</v>
      </c>
      <c r="CW311" s="1308">
        <v>111841</v>
      </c>
      <c r="CX311" s="1309">
        <v>438712</v>
      </c>
      <c r="CY311" s="321">
        <v>110240</v>
      </c>
      <c r="CZ311" s="321">
        <v>114333</v>
      </c>
      <c r="DA311" s="321">
        <v>114550</v>
      </c>
      <c r="DB311" s="1308">
        <v>113798</v>
      </c>
      <c r="DC311" s="1309">
        <v>113798</v>
      </c>
      <c r="DD311" s="321">
        <v>111857</v>
      </c>
      <c r="DE311" s="321">
        <v>108675</v>
      </c>
      <c r="DF311" s="321">
        <v>113216</v>
      </c>
      <c r="DG311" s="1308">
        <v>164746</v>
      </c>
      <c r="DH311" s="1309">
        <v>673320</v>
      </c>
      <c r="DI311" s="1508">
        <v>160271</v>
      </c>
      <c r="DJ311" s="1508">
        <v>155701</v>
      </c>
      <c r="DK311" s="1508">
        <v>162441</v>
      </c>
      <c r="DL311" s="1518">
        <v>153357</v>
      </c>
      <c r="DM311" s="1515">
        <v>618571</v>
      </c>
      <c r="DN311" s="1511">
        <v>144212</v>
      </c>
      <c r="DO311" s="1511">
        <v>141230</v>
      </c>
      <c r="DP311" s="1511">
        <v>129114</v>
      </c>
      <c r="DQ311" s="1510">
        <v>111186</v>
      </c>
      <c r="DR311" s="1509">
        <v>489498</v>
      </c>
      <c r="DS311" s="1511">
        <v>126173</v>
      </c>
      <c r="DT311" s="1511">
        <v>126650</v>
      </c>
      <c r="DU311" s="1511">
        <v>117127</v>
      </c>
      <c r="DV311" s="1510">
        <v>118496</v>
      </c>
      <c r="DW311" s="1509">
        <v>467066</v>
      </c>
      <c r="DX311" s="321"/>
      <c r="DY311" s="321"/>
      <c r="DZ311" s="321"/>
      <c r="EA311" s="321"/>
      <c r="EB311" s="1309"/>
      <c r="EC311" s="321"/>
      <c r="ED311" s="321"/>
      <c r="EE311" s="321"/>
      <c r="EF311" s="321"/>
      <c r="EG311" s="1309"/>
      <c r="EH311" s="321"/>
      <c r="EI311" s="321"/>
      <c r="EJ311" s="321"/>
      <c r="EK311" s="321"/>
      <c r="EL311" s="1309"/>
    </row>
    <row r="312" spans="1:142" hidden="1" outlineLevel="1">
      <c r="A312" s="1300"/>
      <c r="B312" s="1300" t="s">
        <v>211</v>
      </c>
      <c r="C312" s="1301"/>
      <c r="D312" s="1301" t="s">
        <v>503</v>
      </c>
      <c r="E312" s="1301" t="s">
        <v>503</v>
      </c>
      <c r="F312" s="1301" t="s">
        <v>503</v>
      </c>
      <c r="G312" s="1301" t="s">
        <v>503</v>
      </c>
      <c r="H312" s="1302" t="s">
        <v>503</v>
      </c>
      <c r="I312" s="1301" t="s">
        <v>503</v>
      </c>
      <c r="J312" s="1301" t="s">
        <v>503</v>
      </c>
      <c r="K312" s="1301" t="s">
        <v>503</v>
      </c>
      <c r="L312" s="1301" t="s">
        <v>503</v>
      </c>
      <c r="M312" s="1302" t="s">
        <v>503</v>
      </c>
      <c r="N312" s="1301" t="s">
        <v>503</v>
      </c>
      <c r="O312" s="1301" t="s">
        <v>503</v>
      </c>
      <c r="P312" s="1301" t="s">
        <v>503</v>
      </c>
      <c r="Q312" s="1301" t="s">
        <v>503</v>
      </c>
      <c r="R312" s="1302" t="s">
        <v>503</v>
      </c>
      <c r="S312" s="1301" t="s">
        <v>503</v>
      </c>
      <c r="T312" s="1301" t="s">
        <v>503</v>
      </c>
      <c r="U312" s="1301" t="s">
        <v>503</v>
      </c>
      <c r="V312" s="1301" t="s">
        <v>503</v>
      </c>
      <c r="W312" s="1302" t="s">
        <v>503</v>
      </c>
      <c r="X312" s="1301" t="s">
        <v>503</v>
      </c>
      <c r="Y312" s="1301" t="s">
        <v>503</v>
      </c>
      <c r="Z312" s="1301" t="s">
        <v>503</v>
      </c>
      <c r="AA312" s="1301" t="s">
        <v>503</v>
      </c>
      <c r="AB312" s="1302" t="s">
        <v>503</v>
      </c>
      <c r="AC312" s="1301" t="s">
        <v>503</v>
      </c>
      <c r="AD312" s="1301" t="s">
        <v>503</v>
      </c>
      <c r="AE312" s="1301" t="s">
        <v>503</v>
      </c>
      <c r="AF312" s="1301" t="s">
        <v>503</v>
      </c>
      <c r="AG312" s="1302" t="s">
        <v>503</v>
      </c>
      <c r="AH312" s="1301" t="s">
        <v>503</v>
      </c>
      <c r="AI312" s="1301" t="s">
        <v>503</v>
      </c>
      <c r="AJ312" s="1301" t="s">
        <v>503</v>
      </c>
      <c r="AK312" s="1301" t="s">
        <v>503</v>
      </c>
      <c r="AL312" s="1302" t="s">
        <v>503</v>
      </c>
      <c r="AM312" s="1301" t="s">
        <v>503</v>
      </c>
      <c r="AN312" s="1301" t="s">
        <v>503</v>
      </c>
      <c r="AO312" s="1301" t="s">
        <v>503</v>
      </c>
      <c r="AP312" s="1301" t="s">
        <v>503</v>
      </c>
      <c r="AQ312" s="1302" t="s">
        <v>503</v>
      </c>
      <c r="AR312" s="1301" t="s">
        <v>503</v>
      </c>
      <c r="AS312" s="1301" t="s">
        <v>503</v>
      </c>
      <c r="AT312" s="1301" t="s">
        <v>503</v>
      </c>
      <c r="AU312" s="1303"/>
      <c r="AV312" s="1301" t="s">
        <v>503</v>
      </c>
      <c r="AW312" s="1301" t="s">
        <v>503</v>
      </c>
      <c r="AX312" s="1301" t="s">
        <v>503</v>
      </c>
      <c r="AY312" s="1317" t="s">
        <v>503</v>
      </c>
      <c r="AZ312" s="1317" t="s">
        <v>503</v>
      </c>
      <c r="BA312" s="1301" t="s">
        <v>503</v>
      </c>
      <c r="BB312" s="1301" t="s">
        <v>503</v>
      </c>
      <c r="BC312" s="1301" t="s">
        <v>503</v>
      </c>
      <c r="BD312" s="1317" t="s">
        <v>503</v>
      </c>
      <c r="BE312" s="1317" t="s">
        <v>503</v>
      </c>
      <c r="BF312" s="1301" t="s">
        <v>503</v>
      </c>
      <c r="BG312" s="1301" t="s">
        <v>503</v>
      </c>
      <c r="BH312" s="1301" t="s">
        <v>503</v>
      </c>
      <c r="BI312" s="1317" t="s">
        <v>503</v>
      </c>
      <c r="BJ312" s="1317" t="s">
        <v>503</v>
      </c>
      <c r="BK312" s="321" t="s">
        <v>503</v>
      </c>
      <c r="BL312" s="321" t="s">
        <v>503</v>
      </c>
      <c r="BM312" s="321" t="s">
        <v>503</v>
      </c>
      <c r="BN312" s="1308" t="s">
        <v>503</v>
      </c>
      <c r="BO312" s="1309" t="s">
        <v>503</v>
      </c>
      <c r="BP312" s="321" t="s">
        <v>503</v>
      </c>
      <c r="BQ312" s="321" t="s">
        <v>503</v>
      </c>
      <c r="BR312" s="321" t="s">
        <v>503</v>
      </c>
      <c r="BS312" s="1308" t="s">
        <v>503</v>
      </c>
      <c r="BT312" s="1309" t="s">
        <v>503</v>
      </c>
      <c r="BU312" s="321" t="s">
        <v>503</v>
      </c>
      <c r="BV312" s="321" t="s">
        <v>503</v>
      </c>
      <c r="BW312" s="321" t="s">
        <v>503</v>
      </c>
      <c r="BX312" s="1308" t="s">
        <v>503</v>
      </c>
      <c r="BY312" s="1309" t="s">
        <v>503</v>
      </c>
      <c r="BZ312" s="321" t="s">
        <v>503</v>
      </c>
      <c r="CA312" s="321" t="s">
        <v>503</v>
      </c>
      <c r="CB312" s="321" t="s">
        <v>503</v>
      </c>
      <c r="CC312" s="1308" t="s">
        <v>503</v>
      </c>
      <c r="CD312" s="1309" t="s">
        <v>503</v>
      </c>
      <c r="CE312" s="321">
        <f>1410081-SUM(CF312:CH312)</f>
        <v>343803</v>
      </c>
      <c r="CF312" s="321">
        <v>356125</v>
      </c>
      <c r="CG312" s="321">
        <v>357122</v>
      </c>
      <c r="CH312" s="1308">
        <v>353031</v>
      </c>
      <c r="CI312" s="1309">
        <v>1410081</v>
      </c>
      <c r="CJ312" s="321">
        <v>350320</v>
      </c>
      <c r="CK312" s="321">
        <v>362110</v>
      </c>
      <c r="CL312" s="321">
        <v>359658</v>
      </c>
      <c r="CM312" s="1308">
        <v>359168</v>
      </c>
      <c r="CN312" s="1309">
        <v>1431256</v>
      </c>
      <c r="CO312" s="321">
        <v>371658</v>
      </c>
      <c r="CP312" s="321">
        <v>371389</v>
      </c>
      <c r="CQ312" s="321">
        <v>373295</v>
      </c>
      <c r="CR312" s="1308">
        <v>363230</v>
      </c>
      <c r="CS312" s="1309">
        <v>1457250</v>
      </c>
      <c r="CT312" s="321">
        <v>386398</v>
      </c>
      <c r="CU312" s="321">
        <v>384221</v>
      </c>
      <c r="CV312" s="321">
        <v>384772</v>
      </c>
      <c r="CW312" s="1308">
        <v>399711</v>
      </c>
      <c r="CX312" s="1309">
        <v>1555102</v>
      </c>
      <c r="CY312" s="321">
        <v>402078</v>
      </c>
      <c r="CZ312" s="321">
        <v>399702</v>
      </c>
      <c r="DA312" s="321">
        <v>400345</v>
      </c>
      <c r="DB312" s="1308">
        <v>404950</v>
      </c>
      <c r="DC312" s="1309">
        <v>404950</v>
      </c>
      <c r="DD312" s="321">
        <v>414193</v>
      </c>
      <c r="DE312" s="321">
        <v>432858</v>
      </c>
      <c r="DF312" s="321">
        <v>433174</v>
      </c>
      <c r="DG312" s="1308">
        <v>835951</v>
      </c>
      <c r="DH312" s="1309">
        <v>2824526</v>
      </c>
      <c r="DI312" s="1508">
        <v>741533</v>
      </c>
      <c r="DJ312" s="1508">
        <v>715897</v>
      </c>
      <c r="DK312" s="1508">
        <v>702248</v>
      </c>
      <c r="DL312" s="1518">
        <v>700837</v>
      </c>
      <c r="DM312" s="1515">
        <v>2816943</v>
      </c>
      <c r="DN312" s="1511">
        <v>726730</v>
      </c>
      <c r="DO312" s="1511">
        <v>703276</v>
      </c>
      <c r="DP312" s="1511">
        <v>628234</v>
      </c>
      <c r="DQ312" s="1510">
        <v>620622</v>
      </c>
      <c r="DR312" s="1509">
        <v>2560308</v>
      </c>
      <c r="DS312" s="1511">
        <v>703035</v>
      </c>
      <c r="DT312" s="1511">
        <v>694213</v>
      </c>
      <c r="DU312" s="1511">
        <v>646331</v>
      </c>
      <c r="DV312" s="1510">
        <v>676705</v>
      </c>
      <c r="DW312" s="1509">
        <v>2664448</v>
      </c>
      <c r="DX312" s="321"/>
      <c r="DY312" s="321"/>
      <c r="DZ312" s="321"/>
      <c r="EA312" s="321"/>
      <c r="EB312" s="1309"/>
      <c r="EC312" s="321"/>
      <c r="ED312" s="321"/>
      <c r="EE312" s="321"/>
      <c r="EF312" s="321"/>
      <c r="EG312" s="1309"/>
      <c r="EH312" s="321"/>
      <c r="EI312" s="321"/>
      <c r="EJ312" s="321"/>
      <c r="EK312" s="321"/>
      <c r="EL312" s="1309"/>
    </row>
    <row r="313" spans="1:142" hidden="1" outlineLevel="1">
      <c r="A313" s="1300"/>
      <c r="B313" s="973" t="s">
        <v>138</v>
      </c>
      <c r="C313" s="1301"/>
      <c r="D313" s="1301"/>
      <c r="E313" s="1301"/>
      <c r="F313" s="1301"/>
      <c r="G313" s="1301"/>
      <c r="H313" s="1302"/>
      <c r="I313" s="1301"/>
      <c r="J313" s="1301"/>
      <c r="K313" s="1301"/>
      <c r="L313" s="1301"/>
      <c r="M313" s="1302"/>
      <c r="N313" s="1301"/>
      <c r="O313" s="1301"/>
      <c r="P313" s="1301"/>
      <c r="Q313" s="1301"/>
      <c r="R313" s="1302"/>
      <c r="S313" s="1301"/>
      <c r="T313" s="1301"/>
      <c r="U313" s="1301"/>
      <c r="V313" s="1301"/>
      <c r="W313" s="1302"/>
      <c r="X313" s="1301"/>
      <c r="Y313" s="1301"/>
      <c r="Z313" s="1301"/>
      <c r="AA313" s="1301"/>
      <c r="AB313" s="1302"/>
      <c r="AC313" s="1301"/>
      <c r="AD313" s="1301"/>
      <c r="AE313" s="1301"/>
      <c r="AF313" s="1301"/>
      <c r="AG313" s="1302"/>
      <c r="AH313" s="1301"/>
      <c r="AI313" s="1301"/>
      <c r="AJ313" s="1301"/>
      <c r="AK313" s="1301"/>
      <c r="AL313" s="1302"/>
      <c r="AM313" s="1301"/>
      <c r="AN313" s="1301"/>
      <c r="AO313" s="1301"/>
      <c r="AP313" s="1301"/>
      <c r="AQ313" s="1302"/>
      <c r="AR313" s="1301"/>
      <c r="AS313" s="1301"/>
      <c r="AT313" s="1301"/>
      <c r="AU313" s="1303"/>
      <c r="AV313" s="1301"/>
      <c r="AW313" s="1301"/>
      <c r="AX313" s="1301"/>
      <c r="AY313" s="1319"/>
      <c r="AZ313" s="1317"/>
      <c r="BA313" s="1301"/>
      <c r="BB313" s="1301"/>
      <c r="BC313" s="1301"/>
      <c r="BD313" s="1319"/>
      <c r="BE313" s="1317"/>
      <c r="BF313" s="1301"/>
      <c r="BG313" s="1301"/>
      <c r="BH313" s="1301"/>
      <c r="BI313" s="1319"/>
      <c r="BJ313" s="1317"/>
      <c r="BK313" s="321"/>
      <c r="BL313" s="321"/>
      <c r="BM313" s="321"/>
      <c r="BN313" s="1308"/>
      <c r="BO313" s="1309"/>
      <c r="BP313" s="321"/>
      <c r="BQ313" s="321"/>
      <c r="BR313" s="321"/>
      <c r="BS313" s="1308"/>
      <c r="BT313" s="1309"/>
      <c r="BU313" s="321"/>
      <c r="BV313" s="321"/>
      <c r="BW313" s="321"/>
      <c r="BX313" s="1308"/>
      <c r="BY313" s="1309"/>
      <c r="BZ313" s="321"/>
      <c r="CA313" s="321"/>
      <c r="CB313" s="321"/>
      <c r="CC313" s="1308"/>
      <c r="CD313" s="1309"/>
      <c r="CE313" s="321"/>
      <c r="CF313" s="321"/>
      <c r="CG313" s="321"/>
      <c r="CH313" s="1308"/>
      <c r="CI313" s="1309"/>
      <c r="CJ313" s="321"/>
      <c r="CK313" s="321"/>
      <c r="CL313" s="321"/>
      <c r="CM313" s="1308"/>
      <c r="CN313" s="1309"/>
      <c r="CO313" s="321"/>
      <c r="CP313" s="321"/>
      <c r="CQ313" s="321"/>
      <c r="CR313" s="1308"/>
      <c r="CS313" s="1309"/>
      <c r="CT313" s="321"/>
      <c r="CU313" s="321"/>
      <c r="CV313" s="321"/>
      <c r="CW313" s="1308"/>
      <c r="CX313" s="1309"/>
      <c r="CY313" s="321"/>
      <c r="CZ313" s="321"/>
      <c r="DA313" s="321"/>
      <c r="DB313" s="1308"/>
      <c r="DC313" s="1309"/>
      <c r="DD313" s="321"/>
      <c r="DE313" s="321"/>
      <c r="DF313" s="321"/>
      <c r="DG313" s="1308"/>
      <c r="DH313" s="1309"/>
      <c r="DI313" s="1508"/>
      <c r="DJ313" s="1508"/>
      <c r="DK313" s="1508"/>
      <c r="DL313" s="1518"/>
      <c r="DM313" s="1515"/>
      <c r="DN313" s="1511"/>
      <c r="DO313" s="1511"/>
      <c r="DP313" s="1511"/>
      <c r="DQ313" s="1510"/>
      <c r="DR313" s="1509"/>
      <c r="DS313" s="1511"/>
      <c r="DT313" s="1511"/>
      <c r="DU313" s="1511"/>
      <c r="DV313" s="1510"/>
      <c r="DW313" s="1509"/>
      <c r="DX313" s="321"/>
      <c r="DY313" s="321"/>
      <c r="DZ313" s="321"/>
      <c r="EA313" s="321"/>
      <c r="EB313" s="1309"/>
      <c r="EC313" s="321"/>
      <c r="ED313" s="321"/>
      <c r="EE313" s="321"/>
      <c r="EF313" s="321"/>
      <c r="EG313" s="1309"/>
      <c r="EH313" s="321"/>
      <c r="EI313" s="321"/>
      <c r="EJ313" s="321"/>
      <c r="EK313" s="321"/>
      <c r="EL313" s="1309"/>
    </row>
    <row r="314" spans="1:142" hidden="1" outlineLevel="1">
      <c r="A314" s="557"/>
      <c r="B314" s="557" t="s">
        <v>190</v>
      </c>
      <c r="C314" s="1201"/>
      <c r="D314" s="1201">
        <v>373.37799999999999</v>
      </c>
      <c r="E314" s="1201">
        <v>366.77499999999998</v>
      </c>
      <c r="F314" s="1201">
        <v>385.7</v>
      </c>
      <c r="G314" s="960">
        <f>H314-SUM(D314:F314)</f>
        <v>812.04700000000003</v>
      </c>
      <c r="H314" s="1202">
        <v>1937.9</v>
      </c>
      <c r="I314" s="1201">
        <v>787.3</v>
      </c>
      <c r="J314" s="1201">
        <v>839.4</v>
      </c>
      <c r="K314" s="1201">
        <v>906.7</v>
      </c>
      <c r="L314" s="960">
        <f>M314-SUM(I314:K314)</f>
        <v>906.60000000000036</v>
      </c>
      <c r="M314" s="1202">
        <v>3440</v>
      </c>
      <c r="N314" s="1201">
        <v>858.2</v>
      </c>
      <c r="O314" s="1201">
        <v>884.5</v>
      </c>
      <c r="P314" s="1201">
        <v>1377</v>
      </c>
      <c r="Q314" s="960">
        <f>R314-SUM(N314:P314)</f>
        <v>2107.3000000000002</v>
      </c>
      <c r="R314" s="1202">
        <v>5227</v>
      </c>
      <c r="S314" s="1201">
        <v>1341</v>
      </c>
      <c r="T314" s="1201">
        <v>1390</v>
      </c>
      <c r="U314" s="1201">
        <v>1564</v>
      </c>
      <c r="V314" s="960">
        <f>W314-SUM(S314:U314)</f>
        <v>1548</v>
      </c>
      <c r="W314" s="1202">
        <v>5843</v>
      </c>
      <c r="X314" s="1201">
        <v>1474</v>
      </c>
      <c r="Y314" s="1201">
        <v>1538</v>
      </c>
      <c r="Z314" s="1201">
        <v>1725</v>
      </c>
      <c r="AA314" s="960">
        <f>AB314-SUM(X314:Z314)</f>
        <v>1779</v>
      </c>
      <c r="AB314" s="1202">
        <v>6516</v>
      </c>
      <c r="AC314" s="1201">
        <v>1703</v>
      </c>
      <c r="AD314" s="1201">
        <v>1700</v>
      </c>
      <c r="AE314" s="1201">
        <v>1831</v>
      </c>
      <c r="AF314" s="960">
        <f>AG314-SUM(AC314:AE314)</f>
        <v>1795</v>
      </c>
      <c r="AG314" s="1202">
        <v>7029</v>
      </c>
      <c r="AH314" s="1201">
        <v>1777</v>
      </c>
      <c r="AI314" s="1201">
        <v>1842</v>
      </c>
      <c r="AJ314" s="1201">
        <v>1987</v>
      </c>
      <c r="AK314" s="960">
        <f>AL314-SUM(AH314:AJ314)</f>
        <v>2071</v>
      </c>
      <c r="AL314" s="1202">
        <v>7677</v>
      </c>
      <c r="AM314" s="1201">
        <v>2121</v>
      </c>
      <c r="AN314" s="1201">
        <v>2210</v>
      </c>
      <c r="AO314" s="1201">
        <v>2335</v>
      </c>
      <c r="AP314" s="960">
        <f>AQ314-SUM(AM314:AO314)</f>
        <v>2474</v>
      </c>
      <c r="AQ314" s="1202">
        <v>9140</v>
      </c>
      <c r="AR314" s="1201">
        <v>2424</v>
      </c>
      <c r="AS314" s="1201">
        <v>2470</v>
      </c>
      <c r="AT314" s="1201">
        <v>2390</v>
      </c>
      <c r="AU314" s="802"/>
      <c r="AV314" s="708" t="s">
        <v>503</v>
      </c>
      <c r="AW314" s="708" t="s">
        <v>503</v>
      </c>
      <c r="AX314" s="708" t="s">
        <v>503</v>
      </c>
      <c r="AY314" s="708" t="s">
        <v>503</v>
      </c>
      <c r="AZ314" s="1188" t="s">
        <v>503</v>
      </c>
      <c r="BA314" s="1201">
        <v>2266</v>
      </c>
      <c r="BB314" s="1201">
        <v>2181</v>
      </c>
      <c r="BC314" s="1201">
        <v>2139</v>
      </c>
      <c r="BD314" s="960">
        <f>BE314-SUM(BA314:BC314)</f>
        <v>1985</v>
      </c>
      <c r="BE314" s="1202">
        <v>8571</v>
      </c>
      <c r="BF314" s="1201">
        <v>1765</v>
      </c>
      <c r="BG314" s="1201">
        <v>1690</v>
      </c>
      <c r="BH314" s="1201">
        <v>1597</v>
      </c>
      <c r="BI314" s="1201">
        <v>1605</v>
      </c>
      <c r="BJ314" s="1202">
        <v>6546</v>
      </c>
      <c r="BK314" s="959">
        <v>1701</v>
      </c>
      <c r="BL314" s="901">
        <v>1598</v>
      </c>
      <c r="BM314" s="959">
        <v>1603</v>
      </c>
      <c r="BN314" s="959">
        <v>1590</v>
      </c>
      <c r="BO314" s="802">
        <v>6492</v>
      </c>
      <c r="BP314" s="959">
        <v>1677</v>
      </c>
      <c r="BQ314" s="901">
        <v>1480</v>
      </c>
      <c r="BR314" s="959">
        <v>1418</v>
      </c>
      <c r="BS314" s="959">
        <v>1494</v>
      </c>
      <c r="BT314" s="802">
        <v>5928</v>
      </c>
      <c r="BU314" s="959">
        <v>1540</v>
      </c>
      <c r="BV314" s="901">
        <v>1491</v>
      </c>
      <c r="BW314" s="959">
        <v>1484</v>
      </c>
      <c r="BX314" s="959">
        <v>1517</v>
      </c>
      <c r="BY314" s="802">
        <v>5967</v>
      </c>
      <c r="BZ314" s="959">
        <v>1614</v>
      </c>
      <c r="CA314" s="901">
        <v>1439</v>
      </c>
      <c r="CB314" s="959">
        <v>1414</v>
      </c>
      <c r="CC314" s="959">
        <v>1452</v>
      </c>
      <c r="CD314" s="802">
        <v>5749</v>
      </c>
      <c r="CE314" s="959">
        <v>1524</v>
      </c>
      <c r="CF314" s="901">
        <v>1441</v>
      </c>
      <c r="CG314" s="959">
        <v>1466</v>
      </c>
      <c r="CH314" s="959">
        <v>1481</v>
      </c>
      <c r="CI314" s="802">
        <v>5902</v>
      </c>
      <c r="CJ314" s="959">
        <v>1544</v>
      </c>
      <c r="CK314" s="901">
        <v>1478</v>
      </c>
      <c r="CL314" s="959">
        <v>1430</v>
      </c>
      <c r="CM314" s="959">
        <v>1477</v>
      </c>
      <c r="CN314" s="802">
        <v>5929</v>
      </c>
      <c r="CO314" s="959">
        <v>1619</v>
      </c>
      <c r="CP314" s="901">
        <v>1466</v>
      </c>
      <c r="CQ314" s="959">
        <v>1444</v>
      </c>
      <c r="CR314" s="959">
        <v>1499</v>
      </c>
      <c r="CS314" s="802">
        <v>6028</v>
      </c>
      <c r="CT314" s="959">
        <v>1607</v>
      </c>
      <c r="CU314" s="901">
        <v>1548</v>
      </c>
      <c r="CV314" s="959">
        <v>1501</v>
      </c>
      <c r="CW314" s="959">
        <v>1544</v>
      </c>
      <c r="CX314" s="802">
        <v>6200</v>
      </c>
      <c r="CY314" s="959">
        <v>1536</v>
      </c>
      <c r="CZ314" s="901">
        <v>1542</v>
      </c>
      <c r="DA314" s="959">
        <v>1502</v>
      </c>
      <c r="DB314" s="959">
        <v>2372</v>
      </c>
      <c r="DC314" s="802">
        <v>6952</v>
      </c>
      <c r="DD314" s="959">
        <v>2440</v>
      </c>
      <c r="DE314" s="901">
        <v>2393</v>
      </c>
      <c r="DF314" s="959">
        <v>2463</v>
      </c>
      <c r="DG314" s="959">
        <v>2719</v>
      </c>
      <c r="DH314" s="802">
        <v>10015</v>
      </c>
      <c r="DI314" s="1005">
        <v>2691</v>
      </c>
      <c r="DJ314" s="1371">
        <v>2623</v>
      </c>
      <c r="DK314" s="1005">
        <v>2603</v>
      </c>
      <c r="DL314" s="1005">
        <v>2736</v>
      </c>
      <c r="DM314" s="1506">
        <v>10652</v>
      </c>
      <c r="DN314" s="1507">
        <v>2616</v>
      </c>
      <c r="DO314" s="1519">
        <v>2568</v>
      </c>
      <c r="DP314" s="1507">
        <v>2350</v>
      </c>
      <c r="DQ314" s="1507">
        <v>2442</v>
      </c>
      <c r="DR314" s="1506">
        <v>9776</v>
      </c>
      <c r="DS314" s="1507">
        <v>2605</v>
      </c>
      <c r="DT314" s="1519">
        <v>2545</v>
      </c>
      <c r="DU314" s="1519">
        <v>2391</v>
      </c>
      <c r="DV314" s="1507">
        <v>2695</v>
      </c>
      <c r="DW314" s="1506">
        <v>10037</v>
      </c>
      <c r="DX314" s="555"/>
      <c r="DY314" s="555"/>
      <c r="DZ314" s="555"/>
      <c r="EA314" s="555"/>
      <c r="EB314" s="802"/>
      <c r="EC314" s="555"/>
      <c r="ED314" s="555"/>
      <c r="EE314" s="555"/>
      <c r="EF314" s="555"/>
      <c r="EG314" s="802"/>
      <c r="EH314" s="555"/>
      <c r="EI314" s="555"/>
      <c r="EJ314" s="555"/>
      <c r="EK314" s="555"/>
      <c r="EL314" s="802"/>
    </row>
    <row r="315" spans="1:142" hidden="1" outlineLevel="1">
      <c r="A315" s="557"/>
      <c r="B315" s="557" t="s">
        <v>191</v>
      </c>
      <c r="C315" s="1201"/>
      <c r="D315" s="1201">
        <v>144.14400000000001</v>
      </c>
      <c r="E315" s="1201">
        <v>138.39599999999999</v>
      </c>
      <c r="F315" s="1201">
        <v>144.19999999999999</v>
      </c>
      <c r="G315" s="960">
        <f>H315-SUM(D315:F315)</f>
        <v>359.56</v>
      </c>
      <c r="H315" s="1202">
        <v>786.3</v>
      </c>
      <c r="I315" s="1201">
        <v>365.3</v>
      </c>
      <c r="J315" s="1201">
        <v>390</v>
      </c>
      <c r="K315" s="1201">
        <v>402.6</v>
      </c>
      <c r="L315" s="960">
        <f>M315-SUM(I315:K315)</f>
        <v>414.09999999999991</v>
      </c>
      <c r="M315" s="1202">
        <v>1572</v>
      </c>
      <c r="N315" s="1201">
        <v>410.5</v>
      </c>
      <c r="O315" s="1201">
        <v>425.7</v>
      </c>
      <c r="P315" s="1201">
        <v>639.79999999999995</v>
      </c>
      <c r="Q315" s="960">
        <f>R315-SUM(N315:P315)</f>
        <v>1039</v>
      </c>
      <c r="R315" s="1202">
        <v>2515</v>
      </c>
      <c r="S315" s="1201">
        <v>735</v>
      </c>
      <c r="T315" s="1201">
        <v>759</v>
      </c>
      <c r="U315" s="1201">
        <v>724</v>
      </c>
      <c r="V315" s="960">
        <f>W315-SUM(S315:U315)</f>
        <v>760</v>
      </c>
      <c r="W315" s="1202">
        <v>2978</v>
      </c>
      <c r="X315" s="1201">
        <v>786</v>
      </c>
      <c r="Y315" s="1201">
        <v>755</v>
      </c>
      <c r="Z315" s="1201">
        <v>807</v>
      </c>
      <c r="AA315" s="960">
        <f>AB315-SUM(X315:Z315)</f>
        <v>837</v>
      </c>
      <c r="AB315" s="1202">
        <v>3185</v>
      </c>
      <c r="AC315" s="1201">
        <v>902</v>
      </c>
      <c r="AD315" s="1201">
        <v>823</v>
      </c>
      <c r="AE315" s="1201">
        <v>795</v>
      </c>
      <c r="AF315" s="960">
        <f>AG315-SUM(AC315:AE315)</f>
        <v>874</v>
      </c>
      <c r="AG315" s="1202">
        <v>3394</v>
      </c>
      <c r="AH315" s="1201">
        <v>912</v>
      </c>
      <c r="AI315" s="1201">
        <v>879</v>
      </c>
      <c r="AJ315" s="1201">
        <v>864</v>
      </c>
      <c r="AK315" s="960">
        <f>AL315-SUM(AH315:AJ315)</f>
        <v>948</v>
      </c>
      <c r="AL315" s="1202">
        <v>3603</v>
      </c>
      <c r="AM315" s="1201">
        <v>997</v>
      </c>
      <c r="AN315" s="1201">
        <v>1014</v>
      </c>
      <c r="AO315" s="1201">
        <v>982</v>
      </c>
      <c r="AP315" s="960">
        <f>AQ315-SUM(AM315:AO315)</f>
        <v>1115</v>
      </c>
      <c r="AQ315" s="1202">
        <v>4108</v>
      </c>
      <c r="AR315" s="1201">
        <v>1122</v>
      </c>
      <c r="AS315" s="1201">
        <v>1138</v>
      </c>
      <c r="AT315" s="1201">
        <v>1103</v>
      </c>
      <c r="AU315" s="802"/>
      <c r="AV315" s="708" t="s">
        <v>503</v>
      </c>
      <c r="AW315" s="708" t="s">
        <v>503</v>
      </c>
      <c r="AX315" s="708" t="s">
        <v>503</v>
      </c>
      <c r="AY315" s="708" t="s">
        <v>503</v>
      </c>
      <c r="AZ315" s="1188" t="s">
        <v>503</v>
      </c>
      <c r="BA315" s="1201">
        <v>1012</v>
      </c>
      <c r="BB315" s="1201">
        <v>1014</v>
      </c>
      <c r="BC315" s="1201">
        <v>1006</v>
      </c>
      <c r="BD315" s="960">
        <f>BE315-SUM(BA315:BC315)</f>
        <v>929</v>
      </c>
      <c r="BE315" s="1202">
        <v>3961</v>
      </c>
      <c r="BF315" s="1201">
        <v>808</v>
      </c>
      <c r="BG315" s="1201">
        <v>781</v>
      </c>
      <c r="BH315" s="1201">
        <v>751</v>
      </c>
      <c r="BI315" s="1201">
        <v>714</v>
      </c>
      <c r="BJ315" s="1202">
        <v>2999</v>
      </c>
      <c r="BK315" s="959">
        <v>709</v>
      </c>
      <c r="BL315" s="901">
        <v>727</v>
      </c>
      <c r="BM315" s="959">
        <v>708</v>
      </c>
      <c r="BN315" s="959">
        <v>641</v>
      </c>
      <c r="BO315" s="802">
        <v>2785</v>
      </c>
      <c r="BP315" s="959">
        <v>664</v>
      </c>
      <c r="BQ315" s="901">
        <v>632</v>
      </c>
      <c r="BR315" s="959">
        <v>623</v>
      </c>
      <c r="BS315" s="959">
        <v>622</v>
      </c>
      <c r="BT315" s="802">
        <v>2483</v>
      </c>
      <c r="BU315" s="959">
        <v>657</v>
      </c>
      <c r="BV315" s="901">
        <v>667</v>
      </c>
      <c r="BW315" s="959">
        <v>654</v>
      </c>
      <c r="BX315" s="959">
        <v>660</v>
      </c>
      <c r="BY315" s="802">
        <v>2590</v>
      </c>
      <c r="BZ315" s="959">
        <v>683</v>
      </c>
      <c r="CA315" s="901">
        <v>670</v>
      </c>
      <c r="CB315" s="959">
        <v>664</v>
      </c>
      <c r="CC315" s="959">
        <v>654</v>
      </c>
      <c r="CD315" s="802">
        <v>2599</v>
      </c>
      <c r="CE315" s="959">
        <v>674</v>
      </c>
      <c r="CF315" s="901">
        <v>702</v>
      </c>
      <c r="CG315" s="959">
        <v>709</v>
      </c>
      <c r="CH315" s="959">
        <v>691</v>
      </c>
      <c r="CI315" s="802">
        <v>2770</v>
      </c>
      <c r="CJ315" s="959">
        <v>706</v>
      </c>
      <c r="CK315" s="901">
        <v>733</v>
      </c>
      <c r="CL315" s="959">
        <v>734</v>
      </c>
      <c r="CM315" s="959">
        <v>730</v>
      </c>
      <c r="CN315" s="802">
        <v>2903</v>
      </c>
      <c r="CO315" s="959">
        <v>720</v>
      </c>
      <c r="CP315" s="901">
        <v>738</v>
      </c>
      <c r="CQ315" s="959">
        <v>734</v>
      </c>
      <c r="CR315" s="959">
        <v>736</v>
      </c>
      <c r="CS315" s="802">
        <v>2928</v>
      </c>
      <c r="CT315" s="959">
        <v>766</v>
      </c>
      <c r="CU315" s="901">
        <v>791</v>
      </c>
      <c r="CV315" s="959">
        <v>789</v>
      </c>
      <c r="CW315" s="959">
        <v>821</v>
      </c>
      <c r="CX315" s="802">
        <v>3167</v>
      </c>
      <c r="CY315" s="959">
        <v>813</v>
      </c>
      <c r="CZ315" s="901">
        <v>844</v>
      </c>
      <c r="DA315" s="959">
        <v>845</v>
      </c>
      <c r="DB315" s="959">
        <v>1357</v>
      </c>
      <c r="DC315" s="802">
        <v>3859</v>
      </c>
      <c r="DD315" s="959">
        <v>1346</v>
      </c>
      <c r="DE315" s="901">
        <v>1448</v>
      </c>
      <c r="DF315" s="959">
        <v>1441</v>
      </c>
      <c r="DG315" s="959">
        <v>1539</v>
      </c>
      <c r="DH315" s="802">
        <v>5774</v>
      </c>
      <c r="DI315" s="1005">
        <v>1412</v>
      </c>
      <c r="DJ315" s="1371">
        <v>1484</v>
      </c>
      <c r="DK315" s="1005">
        <v>1515</v>
      </c>
      <c r="DL315" s="1005">
        <v>1616</v>
      </c>
      <c r="DM315" s="1506">
        <v>6027</v>
      </c>
      <c r="DN315" s="1507">
        <v>1400</v>
      </c>
      <c r="DO315" s="1519">
        <v>1451</v>
      </c>
      <c r="DP315" s="1507">
        <v>1333</v>
      </c>
      <c r="DQ315" s="1507">
        <v>1340</v>
      </c>
      <c r="DR315" s="1506">
        <v>5347</v>
      </c>
      <c r="DS315" s="1507">
        <v>1463</v>
      </c>
      <c r="DT315" s="1519">
        <v>1491</v>
      </c>
      <c r="DU315" s="1519">
        <v>1386</v>
      </c>
      <c r="DV315" s="1507">
        <v>1431</v>
      </c>
      <c r="DW315" s="1506">
        <v>5626</v>
      </c>
      <c r="DX315" s="555"/>
      <c r="DY315" s="555"/>
      <c r="DZ315" s="555"/>
      <c r="EA315" s="555"/>
      <c r="EB315" s="802"/>
      <c r="EC315" s="555"/>
      <c r="ED315" s="555"/>
      <c r="EE315" s="555"/>
      <c r="EF315" s="555"/>
      <c r="EG315" s="802"/>
      <c r="EH315" s="555"/>
      <c r="EI315" s="555"/>
      <c r="EJ315" s="555"/>
      <c r="EK315" s="555"/>
      <c r="EL315" s="802"/>
    </row>
    <row r="316" spans="1:142" hidden="1" outlineLevel="1">
      <c r="A316" s="557"/>
      <c r="B316" s="973" t="s">
        <v>689</v>
      </c>
      <c r="C316" s="1201"/>
      <c r="D316" s="1201"/>
      <c r="E316" s="1201"/>
      <c r="F316" s="1201"/>
      <c r="G316" s="960"/>
      <c r="H316" s="1202"/>
      <c r="I316" s="1201"/>
      <c r="J316" s="1201"/>
      <c r="K316" s="1201"/>
      <c r="L316" s="960"/>
      <c r="M316" s="1202"/>
      <c r="N316" s="1201"/>
      <c r="O316" s="1201"/>
      <c r="P316" s="1201"/>
      <c r="Q316" s="960"/>
      <c r="R316" s="1202"/>
      <c r="S316" s="1201"/>
      <c r="T316" s="1201"/>
      <c r="U316" s="1201"/>
      <c r="V316" s="960"/>
      <c r="W316" s="1202"/>
      <c r="X316" s="1201"/>
      <c r="Y316" s="1201"/>
      <c r="Z316" s="1201"/>
      <c r="AA316" s="960"/>
      <c r="AB316" s="1202"/>
      <c r="AC316" s="1201"/>
      <c r="AD316" s="1201"/>
      <c r="AE316" s="1201"/>
      <c r="AF316" s="960"/>
      <c r="AG316" s="1202"/>
      <c r="AH316" s="1201"/>
      <c r="AI316" s="1201"/>
      <c r="AJ316" s="1201"/>
      <c r="AK316" s="960"/>
      <c r="AL316" s="1202"/>
      <c r="AM316" s="1201"/>
      <c r="AN316" s="1201"/>
      <c r="AO316" s="1201"/>
      <c r="AP316" s="960"/>
      <c r="AQ316" s="1202"/>
      <c r="AR316" s="1201"/>
      <c r="AS316" s="1201"/>
      <c r="AT316" s="1201"/>
      <c r="AU316" s="802"/>
      <c r="AV316" s="708"/>
      <c r="AW316" s="708"/>
      <c r="AX316" s="708"/>
      <c r="AY316" s="708"/>
      <c r="AZ316" s="1188"/>
      <c r="BA316" s="1201"/>
      <c r="BB316" s="1201"/>
      <c r="BC316" s="1201"/>
      <c r="BD316" s="960"/>
      <c r="BE316" s="1202"/>
      <c r="BF316" s="1201"/>
      <c r="BG316" s="1201"/>
      <c r="BH316" s="1201"/>
      <c r="BI316" s="1201"/>
      <c r="BJ316" s="1202"/>
      <c r="BK316" s="959"/>
      <c r="BL316" s="901"/>
      <c r="BM316" s="959"/>
      <c r="BN316" s="959"/>
      <c r="BO316" s="802"/>
      <c r="BP316" s="959"/>
      <c r="BQ316" s="901"/>
      <c r="BR316" s="959"/>
      <c r="BS316" s="959"/>
      <c r="BT316" s="802"/>
      <c r="BU316" s="959"/>
      <c r="BV316" s="901"/>
      <c r="BW316" s="959"/>
      <c r="BX316" s="959"/>
      <c r="BY316" s="802"/>
      <c r="BZ316" s="959"/>
      <c r="CA316" s="901"/>
      <c r="CB316" s="959"/>
      <c r="CC316" s="959"/>
      <c r="CD316" s="802"/>
      <c r="CE316" s="959"/>
      <c r="CF316" s="901"/>
      <c r="CG316" s="959"/>
      <c r="CH316" s="959"/>
      <c r="CI316" s="802"/>
      <c r="CJ316" s="959"/>
      <c r="CK316" s="901"/>
      <c r="CL316" s="959"/>
      <c r="CM316" s="959"/>
      <c r="CN316" s="802"/>
      <c r="CO316" s="959"/>
      <c r="CP316" s="901"/>
      <c r="CQ316" s="959"/>
      <c r="CR316" s="959"/>
      <c r="CS316" s="802"/>
      <c r="CT316" s="959"/>
      <c r="CU316" s="901"/>
      <c r="CV316" s="959"/>
      <c r="CW316" s="959"/>
      <c r="CX316" s="802"/>
      <c r="CY316" s="959"/>
      <c r="CZ316" s="901"/>
      <c r="DA316" s="959"/>
      <c r="DB316" s="959"/>
      <c r="DC316" s="802"/>
      <c r="DD316" s="959"/>
      <c r="DE316" s="901"/>
      <c r="DF316" s="959"/>
      <c r="DG316" s="959"/>
      <c r="DH316" s="802"/>
      <c r="DI316" s="1005"/>
      <c r="DJ316" s="1371"/>
      <c r="DK316" s="1005"/>
      <c r="DL316" s="1005"/>
      <c r="DM316" s="1506"/>
      <c r="DN316" s="1507"/>
      <c r="DO316" s="1519"/>
      <c r="DP316" s="1507"/>
      <c r="DQ316" s="1507"/>
      <c r="DR316" s="1506"/>
      <c r="DS316" s="1507"/>
      <c r="DT316" s="1519"/>
      <c r="DU316" s="1519"/>
      <c r="DV316" s="1507"/>
      <c r="DW316" s="1506"/>
      <c r="DX316" s="555"/>
      <c r="DY316" s="555"/>
      <c r="DZ316" s="555"/>
      <c r="EA316" s="555"/>
      <c r="EB316" s="802"/>
      <c r="EC316" s="555"/>
      <c r="ED316" s="555"/>
      <c r="EE316" s="555"/>
      <c r="EF316" s="555"/>
      <c r="EG316" s="802"/>
      <c r="EH316" s="555"/>
      <c r="EI316" s="555"/>
      <c r="EJ316" s="555"/>
      <c r="EK316" s="555"/>
      <c r="EL316" s="802"/>
    </row>
    <row r="317" spans="1:142" hidden="1" outlineLevel="1">
      <c r="A317" s="557"/>
      <c r="B317" s="557" t="s">
        <v>197</v>
      </c>
      <c r="C317" s="1203"/>
      <c r="D317" s="1203" t="s">
        <v>503</v>
      </c>
      <c r="E317" s="1203" t="s">
        <v>503</v>
      </c>
      <c r="F317" s="1203" t="s">
        <v>503</v>
      </c>
      <c r="G317" s="1203" t="s">
        <v>503</v>
      </c>
      <c r="H317" s="1188" t="s">
        <v>503</v>
      </c>
      <c r="I317" s="1203" t="s">
        <v>503</v>
      </c>
      <c r="J317" s="1203" t="s">
        <v>503</v>
      </c>
      <c r="K317" s="1203" t="s">
        <v>503</v>
      </c>
      <c r="L317" s="1203" t="s">
        <v>503</v>
      </c>
      <c r="M317" s="1188" t="s">
        <v>503</v>
      </c>
      <c r="N317" s="1201">
        <v>7022</v>
      </c>
      <c r="O317" s="1201">
        <v>7101</v>
      </c>
      <c r="P317" s="1201">
        <v>6469</v>
      </c>
      <c r="Q317" s="1203" t="s">
        <v>503</v>
      </c>
      <c r="R317" s="1202">
        <v>6643</v>
      </c>
      <c r="S317" s="1201">
        <v>6522</v>
      </c>
      <c r="T317" s="1201">
        <v>6518</v>
      </c>
      <c r="U317" s="1201">
        <v>6772</v>
      </c>
      <c r="V317" s="1203" t="s">
        <v>503</v>
      </c>
      <c r="W317" s="1202">
        <v>6697</v>
      </c>
      <c r="X317" s="1201">
        <v>6725</v>
      </c>
      <c r="Y317" s="1201">
        <v>6944</v>
      </c>
      <c r="Z317" s="1201">
        <v>6938</v>
      </c>
      <c r="AA317" s="1203" t="s">
        <v>503</v>
      </c>
      <c r="AB317" s="1202">
        <v>6930</v>
      </c>
      <c r="AC317" s="1201">
        <v>7114</v>
      </c>
      <c r="AD317" s="1201">
        <v>7468</v>
      </c>
      <c r="AE317" s="1201">
        <v>7636</v>
      </c>
      <c r="AF317" s="1203" t="s">
        <v>503</v>
      </c>
      <c r="AG317" s="1202">
        <v>7508</v>
      </c>
      <c r="AH317" s="1201">
        <v>7771</v>
      </c>
      <c r="AI317" s="1201">
        <v>8034</v>
      </c>
      <c r="AJ317" s="1201">
        <v>8311</v>
      </c>
      <c r="AK317" s="1203" t="s">
        <v>503</v>
      </c>
      <c r="AL317" s="1202">
        <v>8170</v>
      </c>
      <c r="AM317" s="1201">
        <v>8758</v>
      </c>
      <c r="AN317" s="1201">
        <v>9100</v>
      </c>
      <c r="AO317" s="1201">
        <v>9091</v>
      </c>
      <c r="AP317" s="1203" t="s">
        <v>503</v>
      </c>
      <c r="AQ317" s="1202">
        <v>9131</v>
      </c>
      <c r="AR317" s="1201">
        <v>9615</v>
      </c>
      <c r="AS317" s="1201">
        <v>9716</v>
      </c>
      <c r="AT317" s="1201">
        <v>9136</v>
      </c>
      <c r="AU317" s="802"/>
      <c r="AV317" s="708" t="s">
        <v>503</v>
      </c>
      <c r="AW317" s="708" t="s">
        <v>503</v>
      </c>
      <c r="AX317" s="708" t="s">
        <v>503</v>
      </c>
      <c r="AY317" s="708" t="s">
        <v>503</v>
      </c>
      <c r="AZ317" s="1188" t="s">
        <v>503</v>
      </c>
      <c r="BA317" s="1201">
        <v>9316</v>
      </c>
      <c r="BB317" s="1201">
        <v>9239</v>
      </c>
      <c r="BC317" s="1201">
        <v>9011</v>
      </c>
      <c r="BD317" s="1203" t="s">
        <v>503</v>
      </c>
      <c r="BE317" s="1202">
        <v>9054</v>
      </c>
      <c r="BF317" s="1201">
        <v>9528</v>
      </c>
      <c r="BG317" s="1201">
        <v>9709</v>
      </c>
      <c r="BH317" s="1201">
        <v>9355</v>
      </c>
      <c r="BI317" s="1201">
        <v>9478</v>
      </c>
      <c r="BJ317" s="1202">
        <v>9517</v>
      </c>
      <c r="BK317" s="555">
        <v>9532</v>
      </c>
      <c r="BL317" s="555">
        <v>9482</v>
      </c>
      <c r="BM317" s="555">
        <v>9792</v>
      </c>
      <c r="BN317" s="555">
        <v>10070</v>
      </c>
      <c r="BO317" s="802">
        <v>9710</v>
      </c>
      <c r="BP317" s="555">
        <v>10077</v>
      </c>
      <c r="BQ317" s="555">
        <v>10351</v>
      </c>
      <c r="BR317" s="555">
        <v>10042</v>
      </c>
      <c r="BS317" s="555">
        <v>10440</v>
      </c>
      <c r="BT317" s="802">
        <v>10253</v>
      </c>
      <c r="BU317" s="555">
        <v>10380</v>
      </c>
      <c r="BV317" s="555">
        <v>10663</v>
      </c>
      <c r="BW317" s="555">
        <v>10882</v>
      </c>
      <c r="BX317" s="555">
        <v>10879</v>
      </c>
      <c r="BY317" s="802">
        <v>10732</v>
      </c>
      <c r="BZ317" s="555">
        <v>11050</v>
      </c>
      <c r="CA317" s="555">
        <v>10740</v>
      </c>
      <c r="CB317" s="555">
        <v>10832</v>
      </c>
      <c r="CC317" s="555">
        <v>11026</v>
      </c>
      <c r="CD317" s="802">
        <v>10841</v>
      </c>
      <c r="CE317" s="555">
        <v>11143</v>
      </c>
      <c r="CF317" s="555">
        <v>11058</v>
      </c>
      <c r="CG317" s="555">
        <v>11255</v>
      </c>
      <c r="CH317" s="555">
        <v>11425</v>
      </c>
      <c r="CI317" s="802">
        <v>11231</v>
      </c>
      <c r="CJ317" s="555">
        <v>11644</v>
      </c>
      <c r="CK317" s="555">
        <v>11569</v>
      </c>
      <c r="CL317" s="555">
        <v>11381</v>
      </c>
      <c r="CM317" s="555">
        <v>11632</v>
      </c>
      <c r="CN317" s="802">
        <v>11558</v>
      </c>
      <c r="CO317" s="555">
        <v>12318</v>
      </c>
      <c r="CP317" s="555">
        <v>11673</v>
      </c>
      <c r="CQ317" s="555">
        <v>11510</v>
      </c>
      <c r="CR317" s="555">
        <v>11959</v>
      </c>
      <c r="CS317" s="802">
        <v>11870</v>
      </c>
      <c r="CT317" s="555">
        <v>12249</v>
      </c>
      <c r="CU317" s="555">
        <v>12371</v>
      </c>
      <c r="CV317" s="555">
        <v>12021</v>
      </c>
      <c r="CW317" s="555">
        <v>12323</v>
      </c>
      <c r="CX317" s="802">
        <v>12241</v>
      </c>
      <c r="CY317" s="555">
        <v>12197</v>
      </c>
      <c r="CZ317" s="555">
        <v>12773</v>
      </c>
      <c r="DA317" s="555">
        <v>12355</v>
      </c>
      <c r="DB317" s="555">
        <v>12451</v>
      </c>
      <c r="DC317" s="802">
        <v>12443</v>
      </c>
      <c r="DD317" s="555">
        <v>12530</v>
      </c>
      <c r="DE317" s="555">
        <v>12294</v>
      </c>
      <c r="DF317" s="555">
        <v>12320</v>
      </c>
      <c r="DG317" s="555">
        <v>13438</v>
      </c>
      <c r="DH317" s="802">
        <v>12659</v>
      </c>
      <c r="DI317" s="1005">
        <v>12912</v>
      </c>
      <c r="DJ317" s="1005">
        <v>12991</v>
      </c>
      <c r="DK317" s="1005">
        <v>12894</v>
      </c>
      <c r="DL317" s="1005">
        <v>12906</v>
      </c>
      <c r="DM317" s="1506">
        <v>12296</v>
      </c>
      <c r="DN317" s="1507">
        <v>13486</v>
      </c>
      <c r="DO317" s="1507">
        <v>13252</v>
      </c>
      <c r="DP317" s="1507">
        <v>13709</v>
      </c>
      <c r="DQ317" s="1507">
        <v>13901</v>
      </c>
      <c r="DR317" s="1506">
        <v>13663</v>
      </c>
      <c r="DS317" s="1507">
        <v>13278</v>
      </c>
      <c r="DT317" s="1507">
        <v>13432</v>
      </c>
      <c r="DU317" s="1507">
        <v>13140</v>
      </c>
      <c r="DV317" s="1507">
        <v>14577</v>
      </c>
      <c r="DW317" s="1506">
        <v>13591</v>
      </c>
      <c r="DX317" s="555"/>
      <c r="DY317" s="555"/>
      <c r="DZ317" s="555"/>
      <c r="EA317" s="555"/>
      <c r="EB317" s="802"/>
      <c r="EC317" s="555"/>
      <c r="ED317" s="555"/>
      <c r="EE317" s="555"/>
      <c r="EF317" s="555"/>
      <c r="EG317" s="802"/>
      <c r="EH317" s="555"/>
      <c r="EI317" s="555"/>
      <c r="EJ317" s="555"/>
      <c r="EK317" s="555"/>
      <c r="EL317" s="802"/>
    </row>
    <row r="318" spans="1:142" hidden="1" outlineLevel="1">
      <c r="A318" s="557"/>
      <c r="B318" s="557" t="s">
        <v>195</v>
      </c>
      <c r="C318" s="1201"/>
      <c r="D318" s="1201">
        <v>1388</v>
      </c>
      <c r="E318" s="1201">
        <v>1376</v>
      </c>
      <c r="F318" s="1201">
        <v>1330</v>
      </c>
      <c r="G318" s="1203" t="s">
        <v>503</v>
      </c>
      <c r="H318" s="1202">
        <v>1285</v>
      </c>
      <c r="I318" s="1201">
        <v>1271</v>
      </c>
      <c r="J318" s="1201">
        <v>1270</v>
      </c>
      <c r="K318" s="1201">
        <v>1235</v>
      </c>
      <c r="L318" s="1203" t="s">
        <v>503</v>
      </c>
      <c r="M318" s="1202">
        <v>1269</v>
      </c>
      <c r="N318" s="1201">
        <v>1291</v>
      </c>
      <c r="O318" s="1201">
        <v>1305</v>
      </c>
      <c r="P318" s="1201">
        <v>1230</v>
      </c>
      <c r="Q318" s="1203" t="s">
        <v>503</v>
      </c>
      <c r="R318" s="1202">
        <v>1275</v>
      </c>
      <c r="S318" s="1201">
        <v>1272</v>
      </c>
      <c r="T318" s="1201">
        <v>1264</v>
      </c>
      <c r="U318" s="1201">
        <v>1271</v>
      </c>
      <c r="V318" s="1203" t="s">
        <v>503</v>
      </c>
      <c r="W318" s="1202">
        <v>1285</v>
      </c>
      <c r="X318" s="1201">
        <v>1324</v>
      </c>
      <c r="Y318" s="1201">
        <v>1353</v>
      </c>
      <c r="Z318" s="1201">
        <v>1323</v>
      </c>
      <c r="AA318" s="1203" t="s">
        <v>503</v>
      </c>
      <c r="AB318" s="1202">
        <v>1335</v>
      </c>
      <c r="AC318" s="1201">
        <v>1392</v>
      </c>
      <c r="AD318" s="1201">
        <v>1435</v>
      </c>
      <c r="AE318" s="1201">
        <v>1436</v>
      </c>
      <c r="AF318" s="1203" t="s">
        <v>503</v>
      </c>
      <c r="AG318" s="1202">
        <v>1438</v>
      </c>
      <c r="AH318" s="1201">
        <v>1502</v>
      </c>
      <c r="AI318" s="1201">
        <v>1545</v>
      </c>
      <c r="AJ318" s="1201">
        <v>1565</v>
      </c>
      <c r="AK318" s="1203" t="s">
        <v>503</v>
      </c>
      <c r="AL318" s="1202">
        <v>1555</v>
      </c>
      <c r="AM318" s="1201">
        <v>1663</v>
      </c>
      <c r="AN318" s="1201">
        <v>1725</v>
      </c>
      <c r="AO318" s="1201">
        <v>1697</v>
      </c>
      <c r="AP318" s="1203" t="s">
        <v>503</v>
      </c>
      <c r="AQ318" s="1202">
        <v>1713</v>
      </c>
      <c r="AR318" s="1201">
        <v>1804</v>
      </c>
      <c r="AS318" s="1201">
        <v>1831</v>
      </c>
      <c r="AT318" s="1201">
        <v>1721</v>
      </c>
      <c r="AU318" s="802"/>
      <c r="AV318" s="708" t="s">
        <v>503</v>
      </c>
      <c r="AW318" s="708" t="s">
        <v>503</v>
      </c>
      <c r="AX318" s="708" t="s">
        <v>503</v>
      </c>
      <c r="AY318" s="708" t="s">
        <v>503</v>
      </c>
      <c r="AZ318" s="1188" t="s">
        <v>503</v>
      </c>
      <c r="BA318" s="1201">
        <v>1725</v>
      </c>
      <c r="BB318" s="1201">
        <v>1735</v>
      </c>
      <c r="BC318" s="1201">
        <v>1731</v>
      </c>
      <c r="BD318" s="1203" t="s">
        <v>503</v>
      </c>
      <c r="BE318" s="1202">
        <v>1708</v>
      </c>
      <c r="BF318" s="1201">
        <v>1802</v>
      </c>
      <c r="BG318" s="1201">
        <v>1883</v>
      </c>
      <c r="BH318" s="1201">
        <v>1820</v>
      </c>
      <c r="BI318" s="1201">
        <v>1830</v>
      </c>
      <c r="BJ318" s="1202">
        <v>1836</v>
      </c>
      <c r="BK318" s="901">
        <v>1821</v>
      </c>
      <c r="BL318" s="901">
        <v>1847</v>
      </c>
      <c r="BM318" s="555">
        <v>1921</v>
      </c>
      <c r="BN318" s="555">
        <v>1964</v>
      </c>
      <c r="BO318" s="802">
        <v>1885</v>
      </c>
      <c r="BP318" s="901">
        <v>1960</v>
      </c>
      <c r="BQ318" s="901">
        <v>2084</v>
      </c>
      <c r="BR318" s="555">
        <v>2038</v>
      </c>
      <c r="BS318" s="555">
        <v>2118</v>
      </c>
      <c r="BT318" s="802">
        <v>2057</v>
      </c>
      <c r="BU318" s="901">
        <v>2065</v>
      </c>
      <c r="BV318" s="901">
        <v>2151</v>
      </c>
      <c r="BW318" s="555">
        <v>2210</v>
      </c>
      <c r="BX318" s="555">
        <v>2222</v>
      </c>
      <c r="BY318" s="802">
        <v>2164</v>
      </c>
      <c r="BZ318" s="901">
        <v>2182</v>
      </c>
      <c r="CA318" s="901">
        <v>2182</v>
      </c>
      <c r="CB318" s="555">
        <v>2228</v>
      </c>
      <c r="CC318" s="555">
        <v>2263</v>
      </c>
      <c r="CD318" s="802">
        <v>2192</v>
      </c>
      <c r="CE318" s="901">
        <v>2242</v>
      </c>
      <c r="CF318" s="901">
        <v>2288</v>
      </c>
      <c r="CG318" s="555">
        <v>2355</v>
      </c>
      <c r="CH318" s="555">
        <v>2357</v>
      </c>
      <c r="CI318" s="802">
        <v>2312</v>
      </c>
      <c r="CJ318" s="901">
        <v>2365</v>
      </c>
      <c r="CK318" s="901">
        <v>2406</v>
      </c>
      <c r="CL318" s="555">
        <v>2396</v>
      </c>
      <c r="CM318" s="555">
        <v>2426</v>
      </c>
      <c r="CN318" s="802">
        <v>2397</v>
      </c>
      <c r="CO318" s="901">
        <v>2548</v>
      </c>
      <c r="CP318" s="901">
        <v>2460</v>
      </c>
      <c r="CQ318" s="555">
        <v>2439</v>
      </c>
      <c r="CR318" s="555">
        <v>2541</v>
      </c>
      <c r="CS318" s="802">
        <v>2498</v>
      </c>
      <c r="CT318" s="901">
        <v>2603</v>
      </c>
      <c r="CU318" s="901">
        <v>2622</v>
      </c>
      <c r="CV318" s="555">
        <v>2585</v>
      </c>
      <c r="CW318" s="555">
        <v>2660</v>
      </c>
      <c r="CX318" s="802">
        <v>2617</v>
      </c>
      <c r="CY318" s="901">
        <v>2546</v>
      </c>
      <c r="CZ318" s="901">
        <v>2718</v>
      </c>
      <c r="DA318" s="555">
        <v>2636</v>
      </c>
      <c r="DB318" s="555">
        <v>2693</v>
      </c>
      <c r="DC318" s="802">
        <v>2652</v>
      </c>
      <c r="DD318" s="901">
        <v>2626</v>
      </c>
      <c r="DE318" s="901">
        <v>2638</v>
      </c>
      <c r="DF318" s="555">
        <v>2674</v>
      </c>
      <c r="DG318" s="555">
        <v>2899</v>
      </c>
      <c r="DH318" s="802">
        <v>2710</v>
      </c>
      <c r="DI318" s="1371">
        <v>2756</v>
      </c>
      <c r="DJ318" s="1371">
        <v>2821</v>
      </c>
      <c r="DK318" s="1005">
        <v>2805</v>
      </c>
      <c r="DL318" s="1005">
        <v>2781</v>
      </c>
      <c r="DM318" s="1506">
        <v>2790</v>
      </c>
      <c r="DN318" s="1519">
        <v>2870</v>
      </c>
      <c r="DO318" s="1519">
        <v>2862</v>
      </c>
      <c r="DP318" s="1507">
        <v>3030</v>
      </c>
      <c r="DQ318" s="1507">
        <v>3059</v>
      </c>
      <c r="DR318" s="1506">
        <v>2990</v>
      </c>
      <c r="DS318" s="1519">
        <v>2828</v>
      </c>
      <c r="DT318" s="1519">
        <v>2919</v>
      </c>
      <c r="DU318" s="1519">
        <v>2852</v>
      </c>
      <c r="DV318" s="1507">
        <v>3159</v>
      </c>
      <c r="DW318" s="1506">
        <v>2931</v>
      </c>
      <c r="DX318" s="555"/>
      <c r="DY318" s="555"/>
      <c r="DZ318" s="555"/>
      <c r="EA318" s="555"/>
      <c r="EB318" s="802"/>
      <c r="EC318" s="555"/>
      <c r="ED318" s="555"/>
      <c r="EE318" s="555"/>
      <c r="EF318" s="555"/>
      <c r="EG318" s="802"/>
      <c r="EH318" s="555"/>
      <c r="EI318" s="555"/>
      <c r="EJ318" s="555"/>
      <c r="EK318" s="555"/>
      <c r="EL318" s="802"/>
    </row>
    <row r="319" spans="1:142" hidden="1" outlineLevel="1">
      <c r="A319" s="557"/>
      <c r="B319" s="557" t="s">
        <v>199</v>
      </c>
      <c r="C319" s="1203"/>
      <c r="D319" s="1203" t="s">
        <v>503</v>
      </c>
      <c r="E319" s="1203" t="s">
        <v>503</v>
      </c>
      <c r="F319" s="1203" t="s">
        <v>503</v>
      </c>
      <c r="G319" s="1203" t="s">
        <v>503</v>
      </c>
      <c r="H319" s="1188" t="s">
        <v>503</v>
      </c>
      <c r="I319" s="1203" t="s">
        <v>503</v>
      </c>
      <c r="J319" s="1203" t="s">
        <v>503</v>
      </c>
      <c r="K319" s="1203" t="s">
        <v>503</v>
      </c>
      <c r="L319" s="1203" t="s">
        <v>503</v>
      </c>
      <c r="M319" s="1188" t="s">
        <v>503</v>
      </c>
      <c r="N319" s="1203" t="s">
        <v>503</v>
      </c>
      <c r="O319" s="1203" t="s">
        <v>503</v>
      </c>
      <c r="P319" s="1203" t="s">
        <v>503</v>
      </c>
      <c r="Q319" s="1203" t="s">
        <v>503</v>
      </c>
      <c r="R319" s="1188" t="s">
        <v>503</v>
      </c>
      <c r="S319" s="1203" t="s">
        <v>503</v>
      </c>
      <c r="T319" s="1203" t="s">
        <v>503</v>
      </c>
      <c r="U319" s="1203" t="s">
        <v>503</v>
      </c>
      <c r="V319" s="1203" t="s">
        <v>503</v>
      </c>
      <c r="W319" s="1188" t="s">
        <v>503</v>
      </c>
      <c r="X319" s="1203" t="s">
        <v>503</v>
      </c>
      <c r="Y319" s="1203" t="s">
        <v>503</v>
      </c>
      <c r="Z319" s="1203" t="s">
        <v>503</v>
      </c>
      <c r="AA319" s="1203" t="s">
        <v>503</v>
      </c>
      <c r="AB319" s="1188" t="s">
        <v>503</v>
      </c>
      <c r="AC319" s="1203" t="s">
        <v>503</v>
      </c>
      <c r="AD319" s="1203" t="s">
        <v>503</v>
      </c>
      <c r="AE319" s="1203" t="s">
        <v>503</v>
      </c>
      <c r="AF319" s="1203" t="s">
        <v>503</v>
      </c>
      <c r="AG319" s="1188" t="s">
        <v>503</v>
      </c>
      <c r="AH319" s="1203" t="s">
        <v>503</v>
      </c>
      <c r="AI319" s="1203" t="s">
        <v>503</v>
      </c>
      <c r="AJ319" s="1203" t="s">
        <v>503</v>
      </c>
      <c r="AK319" s="1203" t="s">
        <v>503</v>
      </c>
      <c r="AL319" s="1188" t="s">
        <v>503</v>
      </c>
      <c r="AM319" s="1203" t="s">
        <v>503</v>
      </c>
      <c r="AN319" s="1203" t="s">
        <v>503</v>
      </c>
      <c r="AO319" s="1203" t="s">
        <v>503</v>
      </c>
      <c r="AP319" s="1203" t="s">
        <v>503</v>
      </c>
      <c r="AQ319" s="1188" t="s">
        <v>503</v>
      </c>
      <c r="AR319" s="1203" t="s">
        <v>503</v>
      </c>
      <c r="AS319" s="1203" t="s">
        <v>503</v>
      </c>
      <c r="AT319" s="1203" t="s">
        <v>503</v>
      </c>
      <c r="AU319" s="802"/>
      <c r="AV319" s="708" t="s">
        <v>503</v>
      </c>
      <c r="AW319" s="708" t="s">
        <v>503</v>
      </c>
      <c r="AX319" s="708" t="s">
        <v>503</v>
      </c>
      <c r="AY319" s="708" t="s">
        <v>503</v>
      </c>
      <c r="AZ319" s="1188" t="s">
        <v>503</v>
      </c>
      <c r="BA319" s="1203" t="s">
        <v>503</v>
      </c>
      <c r="BB319" s="1203" t="s">
        <v>503</v>
      </c>
      <c r="BC319" s="1203" t="s">
        <v>503</v>
      </c>
      <c r="BD319" s="1203" t="s">
        <v>503</v>
      </c>
      <c r="BE319" s="1204" t="s">
        <v>503</v>
      </c>
      <c r="BF319" s="1203" t="s">
        <v>503</v>
      </c>
      <c r="BG319" s="1118"/>
      <c r="BH319" s="1201">
        <v>561</v>
      </c>
      <c r="BI319" s="1118">
        <v>529</v>
      </c>
      <c r="BJ319" s="1048">
        <v>529</v>
      </c>
      <c r="BK319" s="555">
        <v>515</v>
      </c>
      <c r="BL319" s="555">
        <v>542</v>
      </c>
      <c r="BM319" s="555">
        <v>568</v>
      </c>
      <c r="BN319" s="555">
        <v>534</v>
      </c>
      <c r="BO319" s="802">
        <v>539</v>
      </c>
      <c r="BP319" s="555">
        <v>541</v>
      </c>
      <c r="BQ319" s="555">
        <v>584</v>
      </c>
      <c r="BR319" s="555">
        <v>593</v>
      </c>
      <c r="BS319" s="555">
        <v>592</v>
      </c>
      <c r="BT319" s="802">
        <v>580</v>
      </c>
      <c r="BU319" s="555">
        <v>614</v>
      </c>
      <c r="BV319" s="555">
        <v>636</v>
      </c>
      <c r="BW319" s="555">
        <v>651</v>
      </c>
      <c r="BX319" s="555">
        <v>658</v>
      </c>
      <c r="BY319" s="802">
        <v>641</v>
      </c>
      <c r="BZ319" s="555">
        <v>665</v>
      </c>
      <c r="CA319" s="555">
        <v>689</v>
      </c>
      <c r="CB319" s="555">
        <v>692</v>
      </c>
      <c r="CC319" s="555">
        <v>691</v>
      </c>
      <c r="CD319" s="802">
        <v>679</v>
      </c>
      <c r="CE319" s="555">
        <v>685</v>
      </c>
      <c r="CF319" s="555">
        <v>704</v>
      </c>
      <c r="CG319" s="555">
        <v>712</v>
      </c>
      <c r="CH319" s="555">
        <v>711</v>
      </c>
      <c r="CI319" s="802">
        <v>704</v>
      </c>
      <c r="CJ319" s="555">
        <v>741</v>
      </c>
      <c r="CK319" s="555">
        <v>741</v>
      </c>
      <c r="CL319" s="555">
        <v>752</v>
      </c>
      <c r="CM319" s="555">
        <v>730</v>
      </c>
      <c r="CN319" s="802">
        <v>741</v>
      </c>
      <c r="CO319" s="555">
        <v>727</v>
      </c>
      <c r="CP319" s="555">
        <v>742</v>
      </c>
      <c r="CQ319" s="555">
        <v>743</v>
      </c>
      <c r="CR319" s="555">
        <v>749</v>
      </c>
      <c r="CS319" s="802">
        <v>741</v>
      </c>
      <c r="CT319" s="555">
        <v>743</v>
      </c>
      <c r="CU319" s="555">
        <v>756</v>
      </c>
      <c r="CV319" s="555">
        <v>762</v>
      </c>
      <c r="CW319" s="555">
        <v>779</v>
      </c>
      <c r="CX319" s="802">
        <v>760</v>
      </c>
      <c r="CY319" s="555">
        <v>771</v>
      </c>
      <c r="CZ319" s="555">
        <v>787</v>
      </c>
      <c r="DA319" s="555">
        <v>789</v>
      </c>
      <c r="DB319" s="555">
        <v>723</v>
      </c>
      <c r="DC319" s="802">
        <v>760</v>
      </c>
      <c r="DD319" s="555">
        <v>691</v>
      </c>
      <c r="DE319" s="555">
        <v>701</v>
      </c>
      <c r="DF319" s="555">
        <v>678</v>
      </c>
      <c r="DG319" s="555">
        <v>717</v>
      </c>
      <c r="DH319" s="802">
        <v>697</v>
      </c>
      <c r="DI319" s="1005">
        <v>702</v>
      </c>
      <c r="DJ319" s="1005">
        <v>719</v>
      </c>
      <c r="DK319" s="1005">
        <v>790</v>
      </c>
      <c r="DL319" s="1005">
        <v>735</v>
      </c>
      <c r="DM319" s="1506">
        <v>723</v>
      </c>
      <c r="DN319" s="1507">
        <v>718</v>
      </c>
      <c r="DO319" s="1507">
        <v>716</v>
      </c>
      <c r="DP319" s="1507">
        <v>738</v>
      </c>
      <c r="DQ319" s="1507">
        <v>752</v>
      </c>
      <c r="DR319" s="1506">
        <v>735</v>
      </c>
      <c r="DS319" s="1507">
        <v>728</v>
      </c>
      <c r="DT319" s="1507">
        <v>765</v>
      </c>
      <c r="DU319" s="1507">
        <v>764</v>
      </c>
      <c r="DV319" s="1507">
        <v>767</v>
      </c>
      <c r="DW319" s="1506">
        <v>751</v>
      </c>
      <c r="DX319" s="555"/>
      <c r="DY319" s="555"/>
      <c r="DZ319" s="555"/>
      <c r="EA319" s="555"/>
      <c r="EB319" s="802"/>
      <c r="EC319" s="555"/>
      <c r="ED319" s="555"/>
      <c r="EE319" s="555"/>
      <c r="EF319" s="555"/>
      <c r="EG319" s="802"/>
      <c r="EH319" s="555"/>
      <c r="EI319" s="555"/>
      <c r="EJ319" s="555"/>
      <c r="EK319" s="555"/>
      <c r="EL319" s="802"/>
    </row>
    <row r="320" spans="1:142" hidden="1" outlineLevel="1">
      <c r="A320" s="557"/>
      <c r="B320" s="557" t="s">
        <v>690</v>
      </c>
      <c r="C320" s="1203"/>
      <c r="D320" s="1203"/>
      <c r="E320" s="1203"/>
      <c r="F320" s="1203"/>
      <c r="G320" s="1203"/>
      <c r="H320" s="1188"/>
      <c r="I320" s="1203"/>
      <c r="J320" s="1203"/>
      <c r="K320" s="1203"/>
      <c r="L320" s="1203"/>
      <c r="M320" s="1188"/>
      <c r="N320" s="1203"/>
      <c r="O320" s="1203"/>
      <c r="P320" s="1203"/>
      <c r="Q320" s="1203"/>
      <c r="R320" s="1188"/>
      <c r="S320" s="1203"/>
      <c r="T320" s="1203"/>
      <c r="U320" s="1203"/>
      <c r="V320" s="1203"/>
      <c r="W320" s="1188"/>
      <c r="X320" s="1203"/>
      <c r="Y320" s="1203"/>
      <c r="Z320" s="1203"/>
      <c r="AA320" s="1203"/>
      <c r="AB320" s="1188"/>
      <c r="AC320" s="1203"/>
      <c r="AD320" s="1203"/>
      <c r="AE320" s="1203"/>
      <c r="AF320" s="1203"/>
      <c r="AG320" s="1188"/>
      <c r="AH320" s="1203"/>
      <c r="AI320" s="1203"/>
      <c r="AJ320" s="1203"/>
      <c r="AK320" s="1203"/>
      <c r="AL320" s="1188"/>
      <c r="AM320" s="1203"/>
      <c r="AN320" s="1203"/>
      <c r="AO320" s="1203"/>
      <c r="AP320" s="1203"/>
      <c r="AQ320" s="1188"/>
      <c r="AR320" s="1203"/>
      <c r="AS320" s="1203"/>
      <c r="AT320" s="1203"/>
      <c r="AU320" s="802"/>
      <c r="AV320" s="708"/>
      <c r="AW320" s="708"/>
      <c r="AX320" s="708"/>
      <c r="AY320" s="708"/>
      <c r="AZ320" s="1188"/>
      <c r="BA320" s="1203"/>
      <c r="BB320" s="1203"/>
      <c r="BC320" s="1203"/>
      <c r="BD320" s="1203"/>
      <c r="BE320" s="1204"/>
      <c r="BF320" s="1203"/>
      <c r="BG320" s="1118"/>
      <c r="BH320" s="1201"/>
      <c r="BI320" s="1118"/>
      <c r="BJ320" s="1048"/>
      <c r="BK320" s="901"/>
      <c r="BL320" s="901"/>
      <c r="BM320" s="555"/>
      <c r="BN320" s="555"/>
      <c r="BO320" s="802"/>
      <c r="BP320" s="901"/>
      <c r="BQ320" s="901"/>
      <c r="BR320" s="555"/>
      <c r="BS320" s="555"/>
      <c r="BT320" s="802"/>
      <c r="BU320" s="901"/>
      <c r="BV320" s="901"/>
      <c r="BW320" s="555"/>
      <c r="BX320" s="555"/>
      <c r="BY320" s="802"/>
      <c r="BZ320" s="901"/>
      <c r="CA320" s="901"/>
      <c r="CB320" s="555"/>
      <c r="CC320" s="555"/>
      <c r="CD320" s="802"/>
      <c r="CE320" s="901"/>
      <c r="CF320" s="901"/>
      <c r="CG320" s="555"/>
      <c r="CH320" s="555"/>
      <c r="CI320" s="802"/>
      <c r="CJ320" s="901"/>
      <c r="CK320" s="901"/>
      <c r="CL320" s="555"/>
      <c r="CM320" s="555"/>
      <c r="CN320" s="802"/>
      <c r="CO320" s="901"/>
      <c r="CP320" s="901"/>
      <c r="CQ320" s="555"/>
      <c r="CR320" s="555"/>
      <c r="CS320" s="802"/>
      <c r="CT320" s="901"/>
      <c r="CU320" s="901"/>
      <c r="CV320" s="555"/>
      <c r="CW320" s="555"/>
      <c r="CX320" s="802"/>
      <c r="CY320" s="901"/>
      <c r="CZ320" s="901"/>
      <c r="DA320" s="555"/>
      <c r="DB320" s="555"/>
      <c r="DC320" s="802"/>
      <c r="DD320" s="901"/>
      <c r="DE320" s="901"/>
      <c r="DF320" s="555"/>
      <c r="DG320" s="555"/>
      <c r="DH320" s="802"/>
      <c r="DI320" s="1371"/>
      <c r="DJ320" s="1371"/>
      <c r="DK320" s="1005"/>
      <c r="DL320" s="1005">
        <v>11699</v>
      </c>
      <c r="DM320" s="1506">
        <v>11724</v>
      </c>
      <c r="DN320" s="1519">
        <v>12149</v>
      </c>
      <c r="DO320" s="1519">
        <v>11793</v>
      </c>
      <c r="DP320" s="1507">
        <v>12145</v>
      </c>
      <c r="DQ320" s="1507">
        <v>12444</v>
      </c>
      <c r="DR320" s="1506">
        <v>12203</v>
      </c>
      <c r="DS320" s="1519">
        <v>11982</v>
      </c>
      <c r="DT320" s="1519">
        <v>12015</v>
      </c>
      <c r="DU320" s="1519">
        <v>11773</v>
      </c>
      <c r="DV320" s="1507">
        <v>12715</v>
      </c>
      <c r="DW320" s="1506">
        <v>12096</v>
      </c>
      <c r="DX320" s="555"/>
      <c r="DY320" s="555"/>
      <c r="DZ320" s="555"/>
      <c r="EA320" s="555"/>
      <c r="EB320" s="802"/>
      <c r="EC320" s="555"/>
      <c r="ED320" s="555"/>
      <c r="EE320" s="555"/>
      <c r="EF320" s="555"/>
      <c r="EG320" s="802"/>
      <c r="EH320" s="555"/>
      <c r="EI320" s="555"/>
      <c r="EJ320" s="555"/>
      <c r="EK320" s="555"/>
      <c r="EL320" s="802"/>
    </row>
    <row r="321" spans="1:142" hidden="1" outlineLevel="1">
      <c r="A321" s="557"/>
      <c r="B321" s="557" t="s">
        <v>603</v>
      </c>
      <c r="C321" s="1203"/>
      <c r="D321" s="1203"/>
      <c r="E321" s="1203"/>
      <c r="F321" s="1203"/>
      <c r="G321" s="1203"/>
      <c r="H321" s="1188"/>
      <c r="I321" s="1203"/>
      <c r="J321" s="1203"/>
      <c r="K321" s="1203"/>
      <c r="L321" s="1203"/>
      <c r="M321" s="1188"/>
      <c r="N321" s="1203"/>
      <c r="O321" s="1203"/>
      <c r="P321" s="1203"/>
      <c r="Q321" s="1203"/>
      <c r="R321" s="1188"/>
      <c r="S321" s="1203"/>
      <c r="T321" s="1203"/>
      <c r="U321" s="1203"/>
      <c r="V321" s="1203"/>
      <c r="W321" s="1188"/>
      <c r="X321" s="1203"/>
      <c r="Y321" s="1203"/>
      <c r="Z321" s="1203"/>
      <c r="AA321" s="1203"/>
      <c r="AB321" s="1188"/>
      <c r="AC321" s="1203"/>
      <c r="AD321" s="1203"/>
      <c r="AE321" s="1203"/>
      <c r="AF321" s="1203"/>
      <c r="AG321" s="1188"/>
      <c r="AH321" s="1203"/>
      <c r="AI321" s="1203"/>
      <c r="AJ321" s="1203"/>
      <c r="AK321" s="1203"/>
      <c r="AL321" s="1188"/>
      <c r="AM321" s="1203"/>
      <c r="AN321" s="1203"/>
      <c r="AO321" s="1203"/>
      <c r="AP321" s="1203"/>
      <c r="AQ321" s="1188"/>
      <c r="AR321" s="1203"/>
      <c r="AS321" s="1203"/>
      <c r="AT321" s="1203"/>
      <c r="AU321" s="802"/>
      <c r="AV321" s="708"/>
      <c r="AW321" s="708"/>
      <c r="AX321" s="708"/>
      <c r="AY321" s="708"/>
      <c r="AZ321" s="1188"/>
      <c r="BA321" s="1203"/>
      <c r="BB321" s="1203"/>
      <c r="BC321" s="1203"/>
      <c r="BD321" s="1203"/>
      <c r="BE321" s="1204"/>
      <c r="BF321" s="1203"/>
      <c r="BG321" s="1118"/>
      <c r="BH321" s="1201"/>
      <c r="BI321" s="1118"/>
      <c r="BJ321" s="1048"/>
      <c r="BK321" s="959"/>
      <c r="BL321" s="555"/>
      <c r="BM321" s="555"/>
      <c r="BN321" s="555"/>
      <c r="BO321" s="802"/>
      <c r="BP321" s="959"/>
      <c r="BQ321" s="555"/>
      <c r="BR321" s="555"/>
      <c r="BS321" s="555"/>
      <c r="BT321" s="802"/>
      <c r="BU321" s="959"/>
      <c r="BV321" s="555"/>
      <c r="BW321" s="555"/>
      <c r="BX321" s="555"/>
      <c r="BY321" s="802"/>
      <c r="BZ321" s="959"/>
      <c r="CA321" s="555"/>
      <c r="CB321" s="555"/>
      <c r="CC321" s="555"/>
      <c r="CD321" s="802"/>
      <c r="CE321" s="959"/>
      <c r="CF321" s="555"/>
      <c r="CG321" s="555"/>
      <c r="CH321" s="555"/>
      <c r="CI321" s="802"/>
      <c r="CJ321" s="959"/>
      <c r="CK321" s="555"/>
      <c r="CL321" s="555"/>
      <c r="CM321" s="555"/>
      <c r="CN321" s="802"/>
      <c r="CO321" s="959"/>
      <c r="CP321" s="555"/>
      <c r="CQ321" s="555"/>
      <c r="CR321" s="555"/>
      <c r="CS321" s="802"/>
      <c r="CT321" s="959"/>
      <c r="CU321" s="555"/>
      <c r="CV321" s="555"/>
      <c r="CW321" s="555"/>
      <c r="CX321" s="802"/>
      <c r="CY321" s="959"/>
      <c r="CZ321" s="555"/>
      <c r="DA321" s="555"/>
      <c r="DB321" s="555"/>
      <c r="DC321" s="802"/>
      <c r="DD321" s="959"/>
      <c r="DE321" s="555"/>
      <c r="DF321" s="555"/>
      <c r="DG321" s="555"/>
      <c r="DH321" s="802"/>
      <c r="DI321" s="1005"/>
      <c r="DJ321" s="1005"/>
      <c r="DK321" s="1005"/>
      <c r="DL321" s="1005">
        <v>2544</v>
      </c>
      <c r="DM321" s="1506">
        <v>2558</v>
      </c>
      <c r="DN321" s="1507">
        <v>2612</v>
      </c>
      <c r="DO321" s="1507">
        <v>2562</v>
      </c>
      <c r="DP321" s="1507">
        <v>2710</v>
      </c>
      <c r="DQ321" s="1507">
        <v>2759</v>
      </c>
      <c r="DR321" s="1506">
        <v>2695</v>
      </c>
      <c r="DS321" s="1507">
        <v>2568</v>
      </c>
      <c r="DT321" s="1507">
        <v>2623</v>
      </c>
      <c r="DU321" s="1507">
        <v>2576</v>
      </c>
      <c r="DV321" s="1507">
        <v>2778</v>
      </c>
      <c r="DW321" s="1506">
        <v>2626</v>
      </c>
      <c r="DX321" s="555"/>
      <c r="DY321" s="555"/>
      <c r="DZ321" s="555"/>
      <c r="EA321" s="555"/>
      <c r="EB321" s="802"/>
      <c r="EC321" s="555"/>
      <c r="ED321" s="555"/>
      <c r="EE321" s="555"/>
      <c r="EF321" s="555"/>
      <c r="EG321" s="802"/>
      <c r="EH321" s="555"/>
      <c r="EI321" s="555"/>
      <c r="EJ321" s="555"/>
      <c r="EK321" s="555"/>
      <c r="EL321" s="802"/>
    </row>
    <row r="322" spans="1:142" hidden="1" outlineLevel="1">
      <c r="A322" s="557"/>
      <c r="B322" s="973" t="s">
        <v>691</v>
      </c>
      <c r="C322" s="1203"/>
      <c r="D322" s="1203"/>
      <c r="E322" s="1203"/>
      <c r="F322" s="1203"/>
      <c r="G322" s="1203"/>
      <c r="H322" s="1188"/>
      <c r="I322" s="1203"/>
      <c r="J322" s="1203"/>
      <c r="K322" s="1203"/>
      <c r="L322" s="1203"/>
      <c r="M322" s="1188"/>
      <c r="N322" s="1203"/>
      <c r="O322" s="1203"/>
      <c r="P322" s="1203"/>
      <c r="Q322" s="1203"/>
      <c r="R322" s="1188"/>
      <c r="S322" s="1203"/>
      <c r="T322" s="1203"/>
      <c r="U322" s="1203"/>
      <c r="V322" s="1203"/>
      <c r="W322" s="1188"/>
      <c r="X322" s="1203"/>
      <c r="Y322" s="1203"/>
      <c r="Z322" s="1203"/>
      <c r="AA322" s="1203"/>
      <c r="AB322" s="1188"/>
      <c r="AC322" s="1203"/>
      <c r="AD322" s="1203"/>
      <c r="AE322" s="1203"/>
      <c r="AF322" s="1203"/>
      <c r="AG322" s="1188"/>
      <c r="AH322" s="1203"/>
      <c r="AI322" s="1203"/>
      <c r="AJ322" s="1203"/>
      <c r="AK322" s="1203"/>
      <c r="AL322" s="1188"/>
      <c r="AM322" s="1203"/>
      <c r="AN322" s="1203"/>
      <c r="AO322" s="1203"/>
      <c r="AP322" s="1203"/>
      <c r="AQ322" s="1188"/>
      <c r="AR322" s="1203"/>
      <c r="AS322" s="1203"/>
      <c r="AT322" s="1203"/>
      <c r="AU322" s="802"/>
      <c r="AV322" s="708"/>
      <c r="AW322" s="708"/>
      <c r="AX322" s="708"/>
      <c r="AY322" s="708"/>
      <c r="AZ322" s="1188"/>
      <c r="BA322" s="1203"/>
      <c r="BB322" s="1203"/>
      <c r="BC322" s="1203"/>
      <c r="BD322" s="1203"/>
      <c r="BE322" s="1204"/>
      <c r="BF322" s="1203"/>
      <c r="BG322" s="1118"/>
      <c r="BH322" s="1201"/>
      <c r="BI322" s="1118"/>
      <c r="BJ322" s="1048"/>
      <c r="BK322" s="959"/>
      <c r="BL322" s="555"/>
      <c r="BM322" s="555"/>
      <c r="BN322" s="555"/>
      <c r="BO322" s="802"/>
      <c r="BP322" s="959"/>
      <c r="BQ322" s="555"/>
      <c r="BR322" s="555"/>
      <c r="BS322" s="555"/>
      <c r="BT322" s="802"/>
      <c r="BU322" s="959"/>
      <c r="BV322" s="555"/>
      <c r="BW322" s="555"/>
      <c r="BX322" s="555"/>
      <c r="BY322" s="802"/>
      <c r="BZ322" s="959"/>
      <c r="CA322" s="555"/>
      <c r="CB322" s="555"/>
      <c r="CC322" s="555"/>
      <c r="CD322" s="802"/>
      <c r="CE322" s="959"/>
      <c r="CF322" s="555"/>
      <c r="CG322" s="555"/>
      <c r="CH322" s="555"/>
      <c r="CI322" s="802"/>
      <c r="CJ322" s="959"/>
      <c r="CK322" s="555"/>
      <c r="CL322" s="555"/>
      <c r="CM322" s="555"/>
      <c r="CN322" s="802"/>
      <c r="CO322" s="959"/>
      <c r="CP322" s="555"/>
      <c r="CQ322" s="555"/>
      <c r="CR322" s="555"/>
      <c r="CS322" s="802"/>
      <c r="CT322" s="959"/>
      <c r="CU322" s="555"/>
      <c r="CV322" s="555"/>
      <c r="CW322" s="555"/>
      <c r="CX322" s="802"/>
      <c r="CY322" s="959"/>
      <c r="CZ322" s="555"/>
      <c r="DA322" s="555"/>
      <c r="DB322" s="555"/>
      <c r="DC322" s="802"/>
      <c r="DD322" s="959"/>
      <c r="DE322" s="555"/>
      <c r="DF322" s="555"/>
      <c r="DG322" s="555"/>
      <c r="DH322" s="802"/>
      <c r="DI322" s="1005"/>
      <c r="DJ322" s="1005"/>
      <c r="DK322" s="1005"/>
      <c r="DL322" s="1005"/>
      <c r="DM322" s="1506"/>
      <c r="DN322" s="1507"/>
      <c r="DO322" s="1507"/>
      <c r="DP322" s="1507"/>
      <c r="DQ322" s="1507"/>
      <c r="DR322" s="1506"/>
      <c r="DS322" s="1507"/>
      <c r="DT322" s="1507"/>
      <c r="DU322" s="1507"/>
      <c r="DV322" s="1507"/>
      <c r="DW322" s="1506"/>
      <c r="DX322" s="555"/>
      <c r="DY322" s="555"/>
      <c r="DZ322" s="555"/>
      <c r="EA322" s="555"/>
      <c r="EB322" s="802"/>
      <c r="EC322" s="555"/>
      <c r="ED322" s="555"/>
      <c r="EE322" s="555"/>
      <c r="EF322" s="555"/>
      <c r="EG322" s="802"/>
      <c r="EH322" s="555"/>
      <c r="EI322" s="555"/>
      <c r="EJ322" s="555"/>
      <c r="EK322" s="555"/>
      <c r="EL322" s="802"/>
    </row>
    <row r="323" spans="1:142" hidden="1" outlineLevel="1">
      <c r="A323" s="557"/>
      <c r="B323" s="557" t="s">
        <v>105</v>
      </c>
      <c r="C323" s="1205"/>
      <c r="D323" s="1205">
        <v>0.42399999999999999</v>
      </c>
      <c r="E323" s="1203" t="s">
        <v>503</v>
      </c>
      <c r="F323" s="1203" t="s">
        <v>503</v>
      </c>
      <c r="G323" s="1203" t="s">
        <v>503</v>
      </c>
      <c r="H323" s="1206">
        <v>0.39</v>
      </c>
      <c r="I323" s="1205">
        <v>0.38400000000000001</v>
      </c>
      <c r="J323" s="1205">
        <v>0.38400000000000001</v>
      </c>
      <c r="K323" s="1205">
        <v>0.41699999999999998</v>
      </c>
      <c r="L323" s="1203" t="s">
        <v>503</v>
      </c>
      <c r="M323" s="1206">
        <v>0.39700000000000002</v>
      </c>
      <c r="N323" s="1205">
        <v>0.38200000000000001</v>
      </c>
      <c r="O323" s="1205">
        <v>0.41699999999999998</v>
      </c>
      <c r="P323" s="1205">
        <v>0.41099999999999998</v>
      </c>
      <c r="Q323" s="1203" t="s">
        <v>503</v>
      </c>
      <c r="R323" s="1206">
        <v>0.42199999999999999</v>
      </c>
      <c r="S323" s="1205">
        <v>0.38300000000000001</v>
      </c>
      <c r="T323" s="1205">
        <v>0.378</v>
      </c>
      <c r="U323" s="1205">
        <v>0.378</v>
      </c>
      <c r="V323" s="1203" t="s">
        <v>503</v>
      </c>
      <c r="W323" s="1206">
        <v>0.38</v>
      </c>
      <c r="X323" s="1205">
        <v>0.35299999999999998</v>
      </c>
      <c r="Y323" s="1205">
        <v>0.33800000000000002</v>
      </c>
      <c r="Z323" s="1205">
        <v>0.34499999999999997</v>
      </c>
      <c r="AA323" s="1203" t="s">
        <v>503</v>
      </c>
      <c r="AB323" s="1206">
        <v>0.34200000000000003</v>
      </c>
      <c r="AC323" s="1205">
        <v>0.32600000000000001</v>
      </c>
      <c r="AD323" s="1205">
        <v>0.316</v>
      </c>
      <c r="AE323" s="1205">
        <v>0.33</v>
      </c>
      <c r="AF323" s="1203" t="s">
        <v>503</v>
      </c>
      <c r="AG323" s="1206">
        <v>0.32600000000000001</v>
      </c>
      <c r="AH323" s="1205">
        <v>0.312</v>
      </c>
      <c r="AI323" s="1205">
        <v>0.29699999999999999</v>
      </c>
      <c r="AJ323" s="1205">
        <v>0.30099999999999999</v>
      </c>
      <c r="AK323" s="1203" t="s">
        <v>503</v>
      </c>
      <c r="AL323" s="1206">
        <v>0.308</v>
      </c>
      <c r="AM323" s="1205">
        <v>0.31</v>
      </c>
      <c r="AN323" s="1205">
        <v>0.308</v>
      </c>
      <c r="AO323" s="1205">
        <v>0.32</v>
      </c>
      <c r="AP323" s="1203" t="s">
        <v>503</v>
      </c>
      <c r="AQ323" s="1206">
        <v>0.318</v>
      </c>
      <c r="AR323" s="1205">
        <v>0.313</v>
      </c>
      <c r="AS323" s="1205">
        <v>0.308</v>
      </c>
      <c r="AT323" s="1205">
        <v>0.28100000000000003</v>
      </c>
      <c r="AU323" s="802"/>
      <c r="AV323" s="708" t="s">
        <v>503</v>
      </c>
      <c r="AW323" s="708" t="s">
        <v>503</v>
      </c>
      <c r="AX323" s="708" t="s">
        <v>503</v>
      </c>
      <c r="AY323" s="708" t="s">
        <v>503</v>
      </c>
      <c r="AZ323" s="1188" t="s">
        <v>503</v>
      </c>
      <c r="BA323" s="1205">
        <v>0.27300000000000002</v>
      </c>
      <c r="BB323" s="1205">
        <v>0.26900000000000002</v>
      </c>
      <c r="BC323" s="1205">
        <v>0.26400000000000001</v>
      </c>
      <c r="BD323" s="1203" t="s">
        <v>503</v>
      </c>
      <c r="BE323" s="1206">
        <v>0.26200000000000001</v>
      </c>
      <c r="BF323" s="1205">
        <v>0.26</v>
      </c>
      <c r="BG323" s="1205">
        <v>0.25900000000000001</v>
      </c>
      <c r="BH323" s="1205">
        <v>0.251</v>
      </c>
      <c r="BI323" s="1205">
        <v>0.27200000000000002</v>
      </c>
      <c r="BJ323" s="1206">
        <v>0.26100000000000001</v>
      </c>
      <c r="BK323" s="950">
        <v>0.28199999999999997</v>
      </c>
      <c r="BL323" s="558">
        <v>0.27200000000000002</v>
      </c>
      <c r="BM323" s="1207">
        <v>0.26600000000000001</v>
      </c>
      <c r="BN323" s="1207">
        <v>0.28199999999999997</v>
      </c>
      <c r="BO323" s="949">
        <v>0.27500000000000002</v>
      </c>
      <c r="BP323" s="950">
        <v>0.28299999999999997</v>
      </c>
      <c r="BQ323" s="558">
        <v>0.26800000000000002</v>
      </c>
      <c r="BR323" s="1207">
        <v>0.247</v>
      </c>
      <c r="BS323" s="1207">
        <v>0.26300000000000001</v>
      </c>
      <c r="BT323" s="949">
        <v>0.26500000000000001</v>
      </c>
      <c r="BU323" s="950">
        <v>0.27200000000000002</v>
      </c>
      <c r="BV323" s="558">
        <v>0.251</v>
      </c>
      <c r="BW323" s="1207">
        <v>0.251</v>
      </c>
      <c r="BX323" s="1207">
        <v>0.25600000000000001</v>
      </c>
      <c r="BY323" s="949">
        <v>0.25800000000000001</v>
      </c>
      <c r="BZ323" s="950">
        <v>0.26100000000000001</v>
      </c>
      <c r="CA323" s="558">
        <v>0.248</v>
      </c>
      <c r="CB323" s="1207">
        <v>0.25</v>
      </c>
      <c r="CC323" s="1207">
        <v>0.255</v>
      </c>
      <c r="CD323" s="949">
        <v>0.254</v>
      </c>
      <c r="CE323" s="950">
        <v>0.26800000000000002</v>
      </c>
      <c r="CF323" s="558">
        <v>0.24</v>
      </c>
      <c r="CG323" s="1207">
        <v>0.24399999999999999</v>
      </c>
      <c r="CH323" s="1207">
        <v>0.247</v>
      </c>
      <c r="CI323" s="949">
        <v>0.25</v>
      </c>
      <c r="CJ323" s="950">
        <v>0.251</v>
      </c>
      <c r="CK323" s="558">
        <v>0.23200000000000001</v>
      </c>
      <c r="CL323" s="1207">
        <v>0.23699999999999999</v>
      </c>
      <c r="CM323" s="1207">
        <v>0.23499999999999999</v>
      </c>
      <c r="CN323" s="949">
        <v>0.23899999999999999</v>
      </c>
      <c r="CO323" s="950">
        <v>0.23200000000000001</v>
      </c>
      <c r="CP323" s="558">
        <v>0.23499999999999999</v>
      </c>
      <c r="CQ323" s="1207">
        <v>0.22500000000000001</v>
      </c>
      <c r="CR323" s="1207">
        <v>0.23100000000000001</v>
      </c>
      <c r="CS323" s="949">
        <v>0.23100000000000001</v>
      </c>
      <c r="CT323" s="950">
        <v>0.26500000000000001</v>
      </c>
      <c r="CU323" s="558">
        <v>0.22700000000000001</v>
      </c>
      <c r="CV323" s="1207">
        <v>0.22700000000000001</v>
      </c>
      <c r="CW323" s="1207">
        <v>0.224</v>
      </c>
      <c r="CX323" s="949">
        <v>0.23400000000000001</v>
      </c>
      <c r="CY323" s="950">
        <v>0.23</v>
      </c>
      <c r="CZ323" s="558">
        <v>0.21</v>
      </c>
      <c r="DA323" s="1207">
        <v>0.21299999999999999</v>
      </c>
      <c r="DB323" s="1207">
        <v>0.218</v>
      </c>
      <c r="DC323" s="949">
        <v>0.218</v>
      </c>
      <c r="DD323" s="950">
        <v>0.22600000000000001</v>
      </c>
      <c r="DE323" s="558">
        <v>0.22500000000000001</v>
      </c>
      <c r="DF323" s="1207">
        <v>0.215</v>
      </c>
      <c r="DG323" s="1207">
        <v>0.20899999999999999</v>
      </c>
      <c r="DH323" s="949"/>
      <c r="DI323" s="950">
        <v>0.218</v>
      </c>
      <c r="DJ323" s="558">
        <v>0.20699999999999999</v>
      </c>
      <c r="DK323" s="1207">
        <v>0.19800000000000001</v>
      </c>
      <c r="DL323" s="1207">
        <v>0.193</v>
      </c>
      <c r="DM323" s="1286">
        <v>0.20399999999999999</v>
      </c>
      <c r="DN323" s="1287">
        <v>0.20599999999999999</v>
      </c>
      <c r="DO323" s="1284">
        <v>0.218</v>
      </c>
      <c r="DP323" s="1285">
        <v>0.19700000000000001</v>
      </c>
      <c r="DQ323" s="1285">
        <v>0.19900000000000001</v>
      </c>
      <c r="DR323" s="1286">
        <v>0.20100000000000001</v>
      </c>
      <c r="DS323" s="1287">
        <v>0.21099999999999999</v>
      </c>
      <c r="DT323" s="1284">
        <v>0.20200000000000001</v>
      </c>
      <c r="DU323" s="1284">
        <v>0.20100000000000001</v>
      </c>
      <c r="DV323" s="1285">
        <v>0.189</v>
      </c>
      <c r="DW323" s="1286">
        <v>0.20300000000000001</v>
      </c>
      <c r="DX323" s="555"/>
      <c r="DY323" s="555"/>
      <c r="DZ323" s="555"/>
      <c r="EA323" s="555"/>
      <c r="EB323" s="802"/>
      <c r="EC323" s="555"/>
      <c r="ED323" s="555"/>
      <c r="EE323" s="555"/>
      <c r="EF323" s="555"/>
      <c r="EG323" s="802"/>
      <c r="EH323" s="555"/>
      <c r="EI323" s="555"/>
      <c r="EJ323" s="555"/>
      <c r="EK323" s="555"/>
      <c r="EL323" s="802"/>
    </row>
    <row r="324" spans="1:142" hidden="1" outlineLevel="1">
      <c r="A324" s="557"/>
      <c r="B324" s="557" t="s">
        <v>106</v>
      </c>
      <c r="C324" s="1205"/>
      <c r="D324" s="1205">
        <v>0.42399999999999999</v>
      </c>
      <c r="E324" s="1203" t="s">
        <v>503</v>
      </c>
      <c r="F324" s="1203" t="s">
        <v>503</v>
      </c>
      <c r="G324" s="1203" t="s">
        <v>503</v>
      </c>
      <c r="H324" s="1188" t="s">
        <v>503</v>
      </c>
      <c r="I324" s="1203" t="s">
        <v>503</v>
      </c>
      <c r="J324" s="1203" t="s">
        <v>503</v>
      </c>
      <c r="K324" s="1203" t="s">
        <v>503</v>
      </c>
      <c r="L324" s="1203" t="s">
        <v>503</v>
      </c>
      <c r="M324" s="1188">
        <v>6.7000000000000004E-2</v>
      </c>
      <c r="N324" s="1203" t="s">
        <v>503</v>
      </c>
      <c r="O324" s="1203" t="s">
        <v>503</v>
      </c>
      <c r="P324" s="1203" t="s">
        <v>503</v>
      </c>
      <c r="Q324" s="1203" t="s">
        <v>503</v>
      </c>
      <c r="R324" s="1188">
        <v>8.5999999999999993E-2</v>
      </c>
      <c r="S324" s="1203" t="s">
        <v>503</v>
      </c>
      <c r="T324" s="1203" t="s">
        <v>503</v>
      </c>
      <c r="U324" s="1203" t="s">
        <v>503</v>
      </c>
      <c r="V324" s="1203" t="s">
        <v>503</v>
      </c>
      <c r="W324" s="1188" t="s">
        <v>503</v>
      </c>
      <c r="X324" s="1203" t="s">
        <v>503</v>
      </c>
      <c r="Y324" s="1203" t="s">
        <v>503</v>
      </c>
      <c r="Z324" s="1203" t="s">
        <v>503</v>
      </c>
      <c r="AA324" s="1203" t="s">
        <v>503</v>
      </c>
      <c r="AB324" s="1211">
        <v>9.0999999999999998E-2</v>
      </c>
      <c r="AC324" s="1212">
        <v>0.08</v>
      </c>
      <c r="AD324" s="1212">
        <v>8.3000000000000004E-2</v>
      </c>
      <c r="AE324" s="1212">
        <v>8.5999999999999993E-2</v>
      </c>
      <c r="AF324" s="1203" t="s">
        <v>503</v>
      </c>
      <c r="AG324" s="1211">
        <v>8.3000000000000004E-2</v>
      </c>
      <c r="AH324" s="1212">
        <v>0.08</v>
      </c>
      <c r="AI324" s="1212">
        <v>8.6999999999999994E-2</v>
      </c>
      <c r="AJ324" s="1212">
        <v>8.2000000000000003E-2</v>
      </c>
      <c r="AK324" s="1203" t="s">
        <v>503</v>
      </c>
      <c r="AL324" s="1211">
        <v>8.2000000000000003E-2</v>
      </c>
      <c r="AM324" s="1212">
        <v>7.9000000000000001E-2</v>
      </c>
      <c r="AN324" s="1212">
        <v>8.3000000000000004E-2</v>
      </c>
      <c r="AO324" s="1212">
        <v>8.6999999999999994E-2</v>
      </c>
      <c r="AP324" s="1203" t="s">
        <v>503</v>
      </c>
      <c r="AQ324" s="1211">
        <v>8.5999999999999993E-2</v>
      </c>
      <c r="AR324" s="1212">
        <v>8.1000000000000003E-2</v>
      </c>
      <c r="AS324" s="1212">
        <v>0.08</v>
      </c>
      <c r="AT324" s="1212">
        <v>0.09</v>
      </c>
      <c r="AU324" s="802"/>
      <c r="AV324" s="708" t="s">
        <v>503</v>
      </c>
      <c r="AW324" s="708" t="s">
        <v>503</v>
      </c>
      <c r="AX324" s="708" t="s">
        <v>503</v>
      </c>
      <c r="AY324" s="708" t="s">
        <v>503</v>
      </c>
      <c r="AZ324" s="1188" t="s">
        <v>503</v>
      </c>
      <c r="BA324" s="1205">
        <v>8.7999999999999995E-2</v>
      </c>
      <c r="BB324" s="1212">
        <v>9.4E-2</v>
      </c>
      <c r="BC324" s="1212">
        <v>8.8999999999999996E-2</v>
      </c>
      <c r="BD324" s="1203" t="s">
        <v>503</v>
      </c>
      <c r="BE324" s="1211">
        <v>9.1999999999999998E-2</v>
      </c>
      <c r="BF324" s="1205">
        <v>7.5999999999999998E-2</v>
      </c>
      <c r="BG324" s="1205">
        <v>7.1999999999999995E-2</v>
      </c>
      <c r="BH324" s="1205">
        <v>7.9000000000000001E-2</v>
      </c>
      <c r="BI324" s="1205">
        <v>7.3999999999999996E-2</v>
      </c>
      <c r="BJ324" s="1206">
        <v>7.3999999999999996E-2</v>
      </c>
      <c r="BK324" s="950">
        <v>8.1000000000000003E-2</v>
      </c>
      <c r="BL324" s="558">
        <v>8.3000000000000004E-2</v>
      </c>
      <c r="BM324" s="1207">
        <v>8.7999999999999995E-2</v>
      </c>
      <c r="BN324" s="1207">
        <v>0.08</v>
      </c>
      <c r="BO324" s="949">
        <v>8.3000000000000004E-2</v>
      </c>
      <c r="BP324" s="950">
        <v>8.5000000000000006E-2</v>
      </c>
      <c r="BQ324" s="558">
        <v>9.5000000000000001E-2</v>
      </c>
      <c r="BR324" s="1207">
        <v>8.7999999999999995E-2</v>
      </c>
      <c r="BS324" s="1207">
        <v>9.2999999999999999E-2</v>
      </c>
      <c r="BT324" s="949">
        <v>0.09</v>
      </c>
      <c r="BU324" s="950">
        <v>6.9000000000000006E-2</v>
      </c>
      <c r="BV324" s="558">
        <v>8.8999999999999996E-2</v>
      </c>
      <c r="BW324" s="1207">
        <v>9.0999999999999998E-2</v>
      </c>
      <c r="BX324" s="1207">
        <v>8.5000000000000006E-2</v>
      </c>
      <c r="BY324" s="949">
        <v>8.4000000000000005E-2</v>
      </c>
      <c r="BZ324" s="950">
        <v>8.1000000000000003E-2</v>
      </c>
      <c r="CA324" s="558">
        <v>8.2000000000000003E-2</v>
      </c>
      <c r="CB324" s="1207">
        <v>8.5999999999999993E-2</v>
      </c>
      <c r="CC324" s="1207">
        <v>8.2000000000000003E-2</v>
      </c>
      <c r="CD324" s="949">
        <v>8.4000000000000005E-2</v>
      </c>
      <c r="CE324" s="950">
        <v>0.08</v>
      </c>
      <c r="CF324" s="558">
        <v>8.3000000000000004E-2</v>
      </c>
      <c r="CG324" s="1207">
        <v>8.5000000000000006E-2</v>
      </c>
      <c r="CH324" s="1207">
        <v>7.4999999999999997E-2</v>
      </c>
      <c r="CI324" s="949">
        <v>8.1000000000000003E-2</v>
      </c>
      <c r="CJ324" s="950">
        <v>8.6999999999999994E-2</v>
      </c>
      <c r="CK324" s="558">
        <v>9.2999999999999999E-2</v>
      </c>
      <c r="CL324" s="1207">
        <v>0.08</v>
      </c>
      <c r="CM324" s="1207">
        <v>8.5999999999999993E-2</v>
      </c>
      <c r="CN324" s="949">
        <v>8.6999999999999994E-2</v>
      </c>
      <c r="CO324" s="950">
        <v>0.115</v>
      </c>
      <c r="CP324" s="558">
        <v>7.4999999999999997E-2</v>
      </c>
      <c r="CQ324" s="1207">
        <v>0.08</v>
      </c>
      <c r="CR324" s="1207">
        <v>8.5999999999999993E-2</v>
      </c>
      <c r="CS324" s="949">
        <v>0.09</v>
      </c>
      <c r="CT324" s="950">
        <v>7.4999999999999997E-2</v>
      </c>
      <c r="CU324" s="558">
        <v>0.1</v>
      </c>
      <c r="CV324" s="1207">
        <v>7.6999999999999999E-2</v>
      </c>
      <c r="CW324" s="1207">
        <v>8.3000000000000004E-2</v>
      </c>
      <c r="CX324" s="949">
        <v>8.4000000000000005E-2</v>
      </c>
      <c r="CY324" s="950">
        <v>0.08</v>
      </c>
      <c r="CZ324" s="558">
        <v>9.9000000000000005E-2</v>
      </c>
      <c r="DA324" s="1207">
        <v>8.7999999999999995E-2</v>
      </c>
      <c r="DB324" s="1207">
        <v>9.2999999999999999E-2</v>
      </c>
      <c r="DC324" s="949">
        <v>0.09</v>
      </c>
      <c r="DD324" s="950">
        <v>7.6999999999999999E-2</v>
      </c>
      <c r="DE324" s="558">
        <v>9.9000000000000005E-2</v>
      </c>
      <c r="DF324" s="1207">
        <v>8.6999999999999994E-2</v>
      </c>
      <c r="DG324" s="1207">
        <v>0.111</v>
      </c>
      <c r="DH324" s="949"/>
      <c r="DI324" s="950">
        <v>9.1999999999999998E-2</v>
      </c>
      <c r="DJ324" s="558">
        <v>8.5000000000000006E-2</v>
      </c>
      <c r="DK324" s="1207">
        <v>8.7999999999999995E-2</v>
      </c>
      <c r="DL324" s="1207">
        <v>8.2000000000000003E-2</v>
      </c>
      <c r="DM324" s="1286">
        <v>8.6999999999999994E-2</v>
      </c>
      <c r="DN324" s="1287">
        <v>8.2000000000000003E-2</v>
      </c>
      <c r="DO324" s="1284">
        <v>7.5999999999999998E-2</v>
      </c>
      <c r="DP324" s="1285">
        <v>8.5000000000000006E-2</v>
      </c>
      <c r="DQ324" s="1285">
        <v>8.1000000000000003E-2</v>
      </c>
      <c r="DR324" s="1286">
        <v>8.2000000000000003E-2</v>
      </c>
      <c r="DS324" s="1287">
        <v>6.8000000000000005E-2</v>
      </c>
      <c r="DT324" s="1284">
        <v>6.9000000000000006E-2</v>
      </c>
      <c r="DU324" s="1284">
        <v>6.6000000000000003E-2</v>
      </c>
      <c r="DV324" s="1285">
        <v>0.121</v>
      </c>
      <c r="DW324" s="1286">
        <v>8.1000000000000003E-2</v>
      </c>
      <c r="DX324" s="555"/>
      <c r="DY324" s="555"/>
      <c r="DZ324" s="555"/>
      <c r="EA324" s="555"/>
      <c r="EB324" s="802"/>
      <c r="EC324" s="555"/>
      <c r="ED324" s="555"/>
      <c r="EE324" s="555"/>
      <c r="EF324" s="555"/>
      <c r="EG324" s="802"/>
      <c r="EH324" s="555"/>
      <c r="EI324" s="555"/>
      <c r="EJ324" s="555"/>
      <c r="EK324" s="555"/>
      <c r="EL324" s="802"/>
    </row>
    <row r="325" spans="1:142" hidden="1" outlineLevel="1">
      <c r="A325" s="557"/>
      <c r="B325" s="557" t="s">
        <v>110</v>
      </c>
      <c r="C325" s="1203"/>
      <c r="D325" s="1203" t="s">
        <v>503</v>
      </c>
      <c r="E325" s="1203" t="s">
        <v>503</v>
      </c>
      <c r="F325" s="1203" t="s">
        <v>503</v>
      </c>
      <c r="G325" s="1203" t="s">
        <v>503</v>
      </c>
      <c r="H325" s="1188" t="s">
        <v>503</v>
      </c>
      <c r="I325" s="1203" t="s">
        <v>503</v>
      </c>
      <c r="J325" s="1203" t="s">
        <v>503</v>
      </c>
      <c r="K325" s="1203" t="s">
        <v>503</v>
      </c>
      <c r="L325" s="1203" t="s">
        <v>503</v>
      </c>
      <c r="M325" s="1188" t="s">
        <v>503</v>
      </c>
      <c r="N325" s="1203" t="s">
        <v>503</v>
      </c>
      <c r="O325" s="1203" t="s">
        <v>503</v>
      </c>
      <c r="P325" s="1203" t="s">
        <v>503</v>
      </c>
      <c r="Q325" s="1203" t="s">
        <v>503</v>
      </c>
      <c r="R325" s="1188" t="s">
        <v>503</v>
      </c>
      <c r="S325" s="1203" t="s">
        <v>503</v>
      </c>
      <c r="T325" s="1203" t="s">
        <v>503</v>
      </c>
      <c r="U325" s="1203" t="s">
        <v>503</v>
      </c>
      <c r="V325" s="1203" t="s">
        <v>503</v>
      </c>
      <c r="W325" s="1188" t="s">
        <v>503</v>
      </c>
      <c r="X325" s="1203" t="s">
        <v>503</v>
      </c>
      <c r="Y325" s="1203" t="s">
        <v>503</v>
      </c>
      <c r="Z325" s="1203" t="s">
        <v>503</v>
      </c>
      <c r="AA325" s="1203" t="s">
        <v>503</v>
      </c>
      <c r="AB325" s="1188" t="s">
        <v>503</v>
      </c>
      <c r="AC325" s="1212" t="s">
        <v>503</v>
      </c>
      <c r="AD325" s="1212" t="s">
        <v>503</v>
      </c>
      <c r="AE325" s="1212" t="s">
        <v>503</v>
      </c>
      <c r="AF325" s="1203" t="s">
        <v>503</v>
      </c>
      <c r="AG325" s="1188" t="s">
        <v>503</v>
      </c>
      <c r="AH325" s="1212" t="s">
        <v>503</v>
      </c>
      <c r="AI325" s="1212" t="s">
        <v>503</v>
      </c>
      <c r="AJ325" s="1212" t="s">
        <v>503</v>
      </c>
      <c r="AK325" s="1203" t="s">
        <v>503</v>
      </c>
      <c r="AL325" s="1188" t="s">
        <v>503</v>
      </c>
      <c r="AM325" s="1212" t="s">
        <v>503</v>
      </c>
      <c r="AN325" s="1212" t="s">
        <v>503</v>
      </c>
      <c r="AO325" s="1212" t="s">
        <v>503</v>
      </c>
      <c r="AP325" s="1203" t="s">
        <v>503</v>
      </c>
      <c r="AQ325" s="1188" t="s">
        <v>503</v>
      </c>
      <c r="AR325" s="1212" t="s">
        <v>503</v>
      </c>
      <c r="AS325" s="1212" t="s">
        <v>503</v>
      </c>
      <c r="AT325" s="1212" t="s">
        <v>503</v>
      </c>
      <c r="AU325" s="802"/>
      <c r="AV325" s="708" t="s">
        <v>503</v>
      </c>
      <c r="AW325" s="708" t="s">
        <v>503</v>
      </c>
      <c r="AX325" s="708" t="s">
        <v>503</v>
      </c>
      <c r="AY325" s="708" t="s">
        <v>503</v>
      </c>
      <c r="AZ325" s="1188" t="s">
        <v>503</v>
      </c>
      <c r="BA325" s="1212">
        <v>0.49199999999999999</v>
      </c>
      <c r="BB325" s="1205">
        <v>0.48099999999999998</v>
      </c>
      <c r="BC325" s="1205">
        <v>0.48399999999999999</v>
      </c>
      <c r="BD325" s="1203" t="s">
        <v>503</v>
      </c>
      <c r="BE325" s="1206">
        <v>0.48899999999999999</v>
      </c>
      <c r="BF325" s="1205">
        <v>0.49099999999999999</v>
      </c>
      <c r="BG325" s="1205">
        <v>0.49099999999999999</v>
      </c>
      <c r="BH325" s="1205">
        <v>0.495</v>
      </c>
      <c r="BI325" s="1205">
        <v>0.501</v>
      </c>
      <c r="BJ325" s="1206">
        <v>0.497</v>
      </c>
      <c r="BK325" s="950">
        <v>0.505</v>
      </c>
      <c r="BL325" s="558">
        <v>0.502</v>
      </c>
      <c r="BM325" s="1207">
        <v>0.50900000000000001</v>
      </c>
      <c r="BN325" s="1207">
        <v>0.51300000000000001</v>
      </c>
      <c r="BO325" s="949">
        <v>0.50800000000000001</v>
      </c>
      <c r="BP325" s="950">
        <v>0.51100000000000001</v>
      </c>
      <c r="BQ325" s="558">
        <v>0.52200000000000002</v>
      </c>
      <c r="BR325" s="1207">
        <v>0.53900000000000003</v>
      </c>
      <c r="BS325" s="1207">
        <v>0.52</v>
      </c>
      <c r="BT325" s="949">
        <v>0.52300000000000002</v>
      </c>
      <c r="BU325" s="950">
        <f t="shared" ref="BU325:CL325" si="565">BU327+BU328</f>
        <v>0.54400000000000004</v>
      </c>
      <c r="BV325" s="558">
        <f t="shared" si="565"/>
        <v>0.53100000000000003</v>
      </c>
      <c r="BW325" s="1207">
        <f t="shared" si="565"/>
        <v>0.53500000000000003</v>
      </c>
      <c r="BX325" s="1207">
        <f t="shared" si="565"/>
        <v>0.54400000000000004</v>
      </c>
      <c r="BY325" s="949">
        <f t="shared" si="565"/>
        <v>0.53800000000000003</v>
      </c>
      <c r="BZ325" s="950">
        <f t="shared" si="565"/>
        <v>0.54400000000000004</v>
      </c>
      <c r="CA325" s="558">
        <f t="shared" si="565"/>
        <v>0.55299999999999994</v>
      </c>
      <c r="CB325" s="1207">
        <f t="shared" si="565"/>
        <v>0.54800000000000004</v>
      </c>
      <c r="CC325" s="1207">
        <f t="shared" si="565"/>
        <v>0.55899999999999994</v>
      </c>
      <c r="CD325" s="949">
        <f t="shared" si="565"/>
        <v>0.54800000000000004</v>
      </c>
      <c r="CE325" s="950">
        <f t="shared" si="565"/>
        <v>0.55300000000000005</v>
      </c>
      <c r="CF325" s="558">
        <f t="shared" si="565"/>
        <v>0.56799999999999995</v>
      </c>
      <c r="CG325" s="1207">
        <f t="shared" si="565"/>
        <v>0.55999999999999994</v>
      </c>
      <c r="CH325" s="1207">
        <f t="shared" si="565"/>
        <v>0.56199999999999994</v>
      </c>
      <c r="CI325" s="949">
        <f t="shared" si="565"/>
        <v>0.56099999999999994</v>
      </c>
      <c r="CJ325" s="950">
        <f t="shared" si="565"/>
        <v>0.55300000000000005</v>
      </c>
      <c r="CK325" s="558">
        <f t="shared" si="565"/>
        <v>0.56499999999999995</v>
      </c>
      <c r="CL325" s="1207">
        <f t="shared" si="565"/>
        <v>0.56999999999999995</v>
      </c>
      <c r="CM325" s="1207">
        <v>0.56899999999999995</v>
      </c>
      <c r="CN325" s="949">
        <v>0.56499999999999995</v>
      </c>
      <c r="CO325" s="950">
        <v>0.54600000000000004</v>
      </c>
      <c r="CP325" s="558">
        <v>0.58199999999999996</v>
      </c>
      <c r="CQ325" s="1207">
        <v>0.58199999999999996</v>
      </c>
      <c r="CR325" s="1207">
        <v>0.58099999999999996</v>
      </c>
      <c r="CS325" s="949">
        <v>0.57199999999999995</v>
      </c>
      <c r="CT325" s="950">
        <v>0.55900000000000005</v>
      </c>
      <c r="CU325" s="558">
        <v>0.56799999999999995</v>
      </c>
      <c r="CV325" s="1207">
        <v>0.58899999999999997</v>
      </c>
      <c r="CW325" s="1207">
        <v>0.58299999999999996</v>
      </c>
      <c r="CX325" s="949">
        <v>0.57399999999999995</v>
      </c>
      <c r="CY325" s="950">
        <v>0.57899999999999996</v>
      </c>
      <c r="CZ325" s="558">
        <v>0.58099999999999996</v>
      </c>
      <c r="DA325" s="1207">
        <v>0.58799999999999997</v>
      </c>
      <c r="DB325" s="1207">
        <v>0.57699999999999996</v>
      </c>
      <c r="DC325" s="949">
        <v>0.58099999999999996</v>
      </c>
      <c r="DD325" s="950">
        <v>0.57799999999999996</v>
      </c>
      <c r="DE325" s="558">
        <v>0.57999999999999996</v>
      </c>
      <c r="DF325" s="1207">
        <v>0.60699999999999998</v>
      </c>
      <c r="DG325" s="1207">
        <v>0.57899999999999996</v>
      </c>
      <c r="DH325" s="949"/>
      <c r="DI325" s="950">
        <v>0.58799999999999997</v>
      </c>
      <c r="DJ325" s="558">
        <v>0.60799999999999998</v>
      </c>
      <c r="DK325" s="1207">
        <v>0.61099999999999999</v>
      </c>
      <c r="DL325" s="1207">
        <v>0.61599999999999999</v>
      </c>
      <c r="DM325" s="1286">
        <v>0.60599999999999998</v>
      </c>
      <c r="DN325" s="1287">
        <v>0.61499999999999999</v>
      </c>
      <c r="DO325" s="1284">
        <v>0.59599999999999997</v>
      </c>
      <c r="DP325" s="1285">
        <v>0.621</v>
      </c>
      <c r="DQ325" s="1285">
        <v>0.61399999999999999</v>
      </c>
      <c r="DR325" s="1286">
        <v>0.61699999999999999</v>
      </c>
      <c r="DS325" s="1287">
        <v>0.62</v>
      </c>
      <c r="DT325" s="1284">
        <v>0.623</v>
      </c>
      <c r="DU325" s="1284">
        <v>0.623</v>
      </c>
      <c r="DV325" s="1285">
        <v>0.59299999999999997</v>
      </c>
      <c r="DW325" s="1286">
        <v>0.61599999999999999</v>
      </c>
      <c r="DX325" s="555"/>
      <c r="DY325" s="555"/>
      <c r="DZ325" s="555"/>
      <c r="EA325" s="555"/>
      <c r="EB325" s="802"/>
      <c r="EC325" s="555"/>
      <c r="ED325" s="555"/>
      <c r="EE325" s="555"/>
      <c r="EF325" s="555"/>
      <c r="EG325" s="802"/>
      <c r="EH325" s="555"/>
      <c r="EI325" s="555"/>
      <c r="EJ325" s="555"/>
      <c r="EK325" s="555"/>
      <c r="EL325" s="802"/>
    </row>
    <row r="326" spans="1:142" hidden="1" outlineLevel="1">
      <c r="A326" s="557"/>
      <c r="B326" s="557" t="s">
        <v>200</v>
      </c>
      <c r="C326" s="1203"/>
      <c r="D326" s="1203" t="s">
        <v>503</v>
      </c>
      <c r="E326" s="1203" t="s">
        <v>503</v>
      </c>
      <c r="F326" s="1203" t="s">
        <v>503</v>
      </c>
      <c r="G326" s="1203" t="s">
        <v>503</v>
      </c>
      <c r="H326" s="1188" t="s">
        <v>503</v>
      </c>
      <c r="I326" s="1203" t="s">
        <v>503</v>
      </c>
      <c r="J326" s="1203" t="s">
        <v>503</v>
      </c>
      <c r="K326" s="1203" t="s">
        <v>503</v>
      </c>
      <c r="L326" s="1203" t="s">
        <v>503</v>
      </c>
      <c r="M326" s="1188">
        <v>0.53600000000000003</v>
      </c>
      <c r="N326" s="1203" t="s">
        <v>503</v>
      </c>
      <c r="O326" s="1203" t="s">
        <v>503</v>
      </c>
      <c r="P326" s="1203" t="s">
        <v>503</v>
      </c>
      <c r="Q326" s="1203" t="s">
        <v>503</v>
      </c>
      <c r="R326" s="974">
        <f>1-(SUM(R323:R325))</f>
        <v>0.49199999999999999</v>
      </c>
      <c r="S326" s="1203" t="s">
        <v>503</v>
      </c>
      <c r="T326" s="1203" t="s">
        <v>503</v>
      </c>
      <c r="U326" s="1203" t="s">
        <v>503</v>
      </c>
      <c r="V326" s="1203" t="s">
        <v>503</v>
      </c>
      <c r="W326" s="1188" t="s">
        <v>503</v>
      </c>
      <c r="X326" s="1203" t="s">
        <v>503</v>
      </c>
      <c r="Y326" s="1203" t="s">
        <v>503</v>
      </c>
      <c r="Z326" s="1203" t="s">
        <v>503</v>
      </c>
      <c r="AA326" s="1203" t="s">
        <v>503</v>
      </c>
      <c r="AB326" s="1206">
        <v>0.191</v>
      </c>
      <c r="AC326" s="1212">
        <v>0.222</v>
      </c>
      <c r="AD326" s="1212">
        <v>0.182</v>
      </c>
      <c r="AE326" s="1212">
        <v>0.17799999999999999</v>
      </c>
      <c r="AF326" s="1203" t="s">
        <v>503</v>
      </c>
      <c r="AG326" s="1206">
        <v>0.184</v>
      </c>
      <c r="AH326" s="1212">
        <v>0.19700000000000001</v>
      </c>
      <c r="AI326" s="1212">
        <v>0.17699999999999999</v>
      </c>
      <c r="AJ326" s="1212">
        <v>0.17899999999999999</v>
      </c>
      <c r="AK326" s="1203" t="s">
        <v>503</v>
      </c>
      <c r="AL326" s="1206">
        <v>0.17699999999999999</v>
      </c>
      <c r="AM326" s="1212">
        <v>0.182</v>
      </c>
      <c r="AN326" s="1212">
        <v>0.16400000000000001</v>
      </c>
      <c r="AO326" s="1212">
        <v>0.151</v>
      </c>
      <c r="AP326" s="1203" t="s">
        <v>503</v>
      </c>
      <c r="AQ326" s="1206">
        <v>0.157</v>
      </c>
      <c r="AR326" s="1205">
        <v>0.152</v>
      </c>
      <c r="AS326" s="1205">
        <v>0.15</v>
      </c>
      <c r="AT326" s="1212">
        <v>0.14299999999999999</v>
      </c>
      <c r="AU326" s="802"/>
      <c r="AV326" s="708" t="s">
        <v>503</v>
      </c>
      <c r="AW326" s="708" t="s">
        <v>503</v>
      </c>
      <c r="AX326" s="708" t="s">
        <v>503</v>
      </c>
      <c r="AY326" s="708" t="s">
        <v>503</v>
      </c>
      <c r="AZ326" s="1188" t="s">
        <v>503</v>
      </c>
      <c r="BA326" s="1205">
        <v>0.14699999999999999</v>
      </c>
      <c r="BB326" s="1205">
        <v>0.156</v>
      </c>
      <c r="BC326" s="1205">
        <v>0.16300000000000001</v>
      </c>
      <c r="BD326" s="1203" t="s">
        <v>503</v>
      </c>
      <c r="BE326" s="1206">
        <v>0.157</v>
      </c>
      <c r="BF326" s="1205">
        <v>0.17299999999999999</v>
      </c>
      <c r="BG326" s="1205">
        <v>0.17799999999999999</v>
      </c>
      <c r="BH326" s="1205">
        <v>0.17499999999999999</v>
      </c>
      <c r="BI326" s="1205">
        <v>0.153</v>
      </c>
      <c r="BJ326" s="1206">
        <v>0.16800000000000001</v>
      </c>
      <c r="BK326" s="950">
        <v>0.13200000000000001</v>
      </c>
      <c r="BL326" s="558">
        <v>0.14299999999999999</v>
      </c>
      <c r="BM326" s="1207">
        <v>0.13700000000000001</v>
      </c>
      <c r="BN326" s="1207">
        <v>0.125</v>
      </c>
      <c r="BO326" s="949">
        <v>0.13400000000000001</v>
      </c>
      <c r="BP326" s="950">
        <v>0.121</v>
      </c>
      <c r="BQ326" s="558">
        <v>0.115</v>
      </c>
      <c r="BR326" s="1207">
        <v>0.126</v>
      </c>
      <c r="BS326" s="1207">
        <v>0.124</v>
      </c>
      <c r="BT326" s="949">
        <v>0.122</v>
      </c>
      <c r="BU326" s="950">
        <v>0.115</v>
      </c>
      <c r="BV326" s="558">
        <v>0.129</v>
      </c>
      <c r="BW326" s="1207">
        <v>0.123</v>
      </c>
      <c r="BX326" s="1207">
        <v>0.115</v>
      </c>
      <c r="BY326" s="949">
        <v>0.12</v>
      </c>
      <c r="BZ326" s="950">
        <v>0.114</v>
      </c>
      <c r="CA326" s="558">
        <v>0.11700000000000001</v>
      </c>
      <c r="CB326" s="1207">
        <v>0.11600000000000001</v>
      </c>
      <c r="CC326" s="1207">
        <v>0.104</v>
      </c>
      <c r="CD326" s="949">
        <v>0.114</v>
      </c>
      <c r="CE326" s="950">
        <v>9.8000000000000004E-2</v>
      </c>
      <c r="CF326" s="558">
        <v>0.109</v>
      </c>
      <c r="CG326" s="1207">
        <v>0.111</v>
      </c>
      <c r="CH326" s="1207">
        <v>0.11600000000000001</v>
      </c>
      <c r="CI326" s="949">
        <v>0.108</v>
      </c>
      <c r="CJ326" s="950">
        <v>0.109</v>
      </c>
      <c r="CK326" s="558">
        <v>0.11</v>
      </c>
      <c r="CL326" s="1207">
        <v>0.113</v>
      </c>
      <c r="CM326" s="1207">
        <v>0.11</v>
      </c>
      <c r="CN326" s="949">
        <v>0.109</v>
      </c>
      <c r="CO326" s="950">
        <v>0.107</v>
      </c>
      <c r="CP326" s="558">
        <v>0.108</v>
      </c>
      <c r="CQ326" s="1207">
        <v>0.113</v>
      </c>
      <c r="CR326" s="1207">
        <v>0.10199999999999999</v>
      </c>
      <c r="CS326" s="949">
        <v>0.107</v>
      </c>
      <c r="CT326" s="950">
        <v>0.10100000000000001</v>
      </c>
      <c r="CU326" s="558">
        <v>0.105</v>
      </c>
      <c r="CV326" s="1207">
        <v>0.113</v>
      </c>
      <c r="CW326" s="1207">
        <v>0.11</v>
      </c>
      <c r="CX326" s="949">
        <v>0.108</v>
      </c>
      <c r="CY326" s="950">
        <v>0.111</v>
      </c>
      <c r="CZ326" s="558">
        <v>0.11</v>
      </c>
      <c r="DA326" s="1207">
        <v>0.111</v>
      </c>
      <c r="DB326" s="1207">
        <v>0.112</v>
      </c>
      <c r="DC326" s="949">
        <v>0.111</v>
      </c>
      <c r="DD326" s="950">
        <v>0.11899999999999999</v>
      </c>
      <c r="DE326" s="558">
        <v>9.6000000000000002E-2</v>
      </c>
      <c r="DF326" s="1207">
        <v>9.0999999999999998E-2</v>
      </c>
      <c r="DG326" s="1207">
        <v>0.10100000000000001</v>
      </c>
      <c r="DH326" s="949"/>
      <c r="DI326" s="950">
        <v>0.10199999999999999</v>
      </c>
      <c r="DJ326" s="558">
        <v>0.1</v>
      </c>
      <c r="DK326" s="1207">
        <v>0.10299999999999999</v>
      </c>
      <c r="DL326" s="1207">
        <v>0.109</v>
      </c>
      <c r="DM326" s="1286">
        <v>0.10299999999999999</v>
      </c>
      <c r="DN326" s="1287">
        <v>9.7000000000000003E-2</v>
      </c>
      <c r="DO326" s="1284">
        <v>0.11</v>
      </c>
      <c r="DP326" s="1285">
        <v>0.10100000000000001</v>
      </c>
      <c r="DQ326" s="1285">
        <v>0.106</v>
      </c>
      <c r="DR326" s="1286">
        <v>0.1</v>
      </c>
      <c r="DS326" s="1287">
        <v>0.10100000000000001</v>
      </c>
      <c r="DT326" s="1284">
        <v>0.106</v>
      </c>
      <c r="DU326" s="1284">
        <v>0.11</v>
      </c>
      <c r="DV326" s="1285">
        <v>9.7000000000000003E-2</v>
      </c>
      <c r="DW326" s="1286">
        <v>0.1</v>
      </c>
      <c r="DX326" s="555"/>
      <c r="DY326" s="555"/>
      <c r="DZ326" s="555"/>
      <c r="EA326" s="555"/>
      <c r="EB326" s="802"/>
      <c r="EC326" s="555"/>
      <c r="ED326" s="555"/>
      <c r="EE326" s="555"/>
      <c r="EF326" s="555"/>
      <c r="EG326" s="802"/>
      <c r="EH326" s="555"/>
      <c r="EI326" s="555"/>
      <c r="EJ326" s="555"/>
      <c r="EK326" s="555"/>
      <c r="EL326" s="802"/>
    </row>
    <row r="327" spans="1:142" hidden="1" outlineLevel="1">
      <c r="A327" s="557"/>
      <c r="B327" s="557" t="s">
        <v>201</v>
      </c>
      <c r="C327" s="1203"/>
      <c r="D327" s="1203" t="s">
        <v>503</v>
      </c>
      <c r="E327" s="1203" t="s">
        <v>503</v>
      </c>
      <c r="F327" s="1203" t="s">
        <v>503</v>
      </c>
      <c r="G327" s="1203" t="s">
        <v>503</v>
      </c>
      <c r="H327" s="1188" t="s">
        <v>503</v>
      </c>
      <c r="I327" s="1203" t="s">
        <v>503</v>
      </c>
      <c r="J327" s="1203" t="s">
        <v>503</v>
      </c>
      <c r="K327" s="1203" t="s">
        <v>503</v>
      </c>
      <c r="L327" s="1203" t="s">
        <v>503</v>
      </c>
      <c r="M327" s="1188" t="s">
        <v>503</v>
      </c>
      <c r="N327" s="1203" t="s">
        <v>503</v>
      </c>
      <c r="O327" s="1203" t="s">
        <v>503</v>
      </c>
      <c r="P327" s="1203" t="s">
        <v>503</v>
      </c>
      <c r="Q327" s="1203" t="s">
        <v>503</v>
      </c>
      <c r="R327" s="1188" t="s">
        <v>503</v>
      </c>
      <c r="S327" s="1203" t="s">
        <v>503</v>
      </c>
      <c r="T327" s="1203" t="s">
        <v>503</v>
      </c>
      <c r="U327" s="1203" t="s">
        <v>503</v>
      </c>
      <c r="V327" s="1203" t="s">
        <v>503</v>
      </c>
      <c r="W327" s="1188" t="s">
        <v>503</v>
      </c>
      <c r="X327" s="1203" t="s">
        <v>503</v>
      </c>
      <c r="Y327" s="1203" t="s">
        <v>503</v>
      </c>
      <c r="Z327" s="1203" t="s">
        <v>503</v>
      </c>
      <c r="AA327" s="1203" t="s">
        <v>503</v>
      </c>
      <c r="AB327" s="1188" t="s">
        <v>503</v>
      </c>
      <c r="AC327" s="1212" t="s">
        <v>503</v>
      </c>
      <c r="AD327" s="1212" t="s">
        <v>503</v>
      </c>
      <c r="AE327" s="1212" t="s">
        <v>503</v>
      </c>
      <c r="AF327" s="1203" t="s">
        <v>503</v>
      </c>
      <c r="AG327" s="1188" t="s">
        <v>503</v>
      </c>
      <c r="AH327" s="1212" t="s">
        <v>503</v>
      </c>
      <c r="AI327" s="1212" t="s">
        <v>503</v>
      </c>
      <c r="AJ327" s="1212" t="s">
        <v>503</v>
      </c>
      <c r="AK327" s="1203" t="s">
        <v>503</v>
      </c>
      <c r="AL327" s="1188" t="s">
        <v>503</v>
      </c>
      <c r="AM327" s="1212" t="s">
        <v>503</v>
      </c>
      <c r="AN327" s="1212" t="s">
        <v>503</v>
      </c>
      <c r="AO327" s="1212" t="s">
        <v>503</v>
      </c>
      <c r="AP327" s="1203" t="s">
        <v>503</v>
      </c>
      <c r="AQ327" s="1188" t="s">
        <v>503</v>
      </c>
      <c r="AR327" s="1212" t="s">
        <v>503</v>
      </c>
      <c r="AS327" s="1212" t="s">
        <v>503</v>
      </c>
      <c r="AT327" s="1212" t="s">
        <v>503</v>
      </c>
      <c r="AU327" s="802"/>
      <c r="AV327" s="708" t="s">
        <v>503</v>
      </c>
      <c r="AW327" s="708" t="s">
        <v>503</v>
      </c>
      <c r="AX327" s="708" t="s">
        <v>503</v>
      </c>
      <c r="AY327" s="708" t="s">
        <v>503</v>
      </c>
      <c r="AZ327" s="1188" t="s">
        <v>503</v>
      </c>
      <c r="BA327" s="1212" t="s">
        <v>503</v>
      </c>
      <c r="BB327" s="1212" t="s">
        <v>503</v>
      </c>
      <c r="BC327" s="1212" t="s">
        <v>503</v>
      </c>
      <c r="BD327" s="1203" t="s">
        <v>503</v>
      </c>
      <c r="BE327" s="1211" t="s">
        <v>503</v>
      </c>
      <c r="BF327" s="1212" t="s">
        <v>503</v>
      </c>
      <c r="BG327" s="1212" t="s">
        <v>503</v>
      </c>
      <c r="BH327" s="1212" t="s">
        <v>503</v>
      </c>
      <c r="BI327" s="1212" t="s">
        <v>503</v>
      </c>
      <c r="BJ327" s="1211" t="s">
        <v>503</v>
      </c>
      <c r="BK327" s="1200" t="s">
        <v>503</v>
      </c>
      <c r="BL327" s="1200" t="s">
        <v>503</v>
      </c>
      <c r="BM327" s="1200" t="s">
        <v>503</v>
      </c>
      <c r="BN327" s="1200" t="s">
        <v>503</v>
      </c>
      <c r="BO327" s="1211" t="s">
        <v>503</v>
      </c>
      <c r="BP327" s="1200" t="s">
        <v>503</v>
      </c>
      <c r="BQ327" s="1200" t="s">
        <v>503</v>
      </c>
      <c r="BR327" s="1200" t="s">
        <v>503</v>
      </c>
      <c r="BS327" s="1200" t="s">
        <v>503</v>
      </c>
      <c r="BT327" s="1211" t="s">
        <v>503</v>
      </c>
      <c r="BU327" s="1200">
        <v>0.128</v>
      </c>
      <c r="BV327" s="1200">
        <v>0.114</v>
      </c>
      <c r="BW327" s="1200">
        <v>0.115</v>
      </c>
      <c r="BX327" s="1200">
        <v>0.125</v>
      </c>
      <c r="BY327" s="1211">
        <v>0.12</v>
      </c>
      <c r="BZ327" s="1200">
        <v>0.13400000000000001</v>
      </c>
      <c r="CA327" s="1200">
        <v>0.13200000000000001</v>
      </c>
      <c r="CB327" s="1200">
        <v>0.13300000000000001</v>
      </c>
      <c r="CC327" s="1200">
        <v>0.14099999999999999</v>
      </c>
      <c r="CD327" s="1211">
        <v>0.13500000000000001</v>
      </c>
      <c r="CE327" s="1200">
        <v>0.14799999999999999</v>
      </c>
      <c r="CF327" s="1200">
        <v>0.14899999999999999</v>
      </c>
      <c r="CG327" s="1200">
        <v>0.14799999999999999</v>
      </c>
      <c r="CH327" s="1200">
        <v>0.14599999999999999</v>
      </c>
      <c r="CI327" s="1211">
        <v>0.14799999999999999</v>
      </c>
      <c r="CJ327" s="1200">
        <v>0.14799999999999999</v>
      </c>
      <c r="CK327" s="1200">
        <v>0.151</v>
      </c>
      <c r="CL327" s="1200">
        <v>0.152</v>
      </c>
      <c r="CM327" s="1200" t="s">
        <v>503</v>
      </c>
      <c r="CN327" s="1211" t="s">
        <v>503</v>
      </c>
      <c r="CO327" s="1200" t="s">
        <v>503</v>
      </c>
      <c r="CP327" s="1200" t="s">
        <v>503</v>
      </c>
      <c r="CQ327" s="1200" t="s">
        <v>503</v>
      </c>
      <c r="CR327" s="1200" t="s">
        <v>503</v>
      </c>
      <c r="CS327" s="1211" t="s">
        <v>503</v>
      </c>
      <c r="CT327" s="1200" t="s">
        <v>503</v>
      </c>
      <c r="CU327" s="1200" t="s">
        <v>503</v>
      </c>
      <c r="CV327" s="1200" t="s">
        <v>503</v>
      </c>
      <c r="CW327" s="1200" t="s">
        <v>503</v>
      </c>
      <c r="CX327" s="1211" t="s">
        <v>503</v>
      </c>
      <c r="CY327" s="1200" t="s">
        <v>503</v>
      </c>
      <c r="CZ327" s="1200" t="s">
        <v>503</v>
      </c>
      <c r="DA327" s="1200" t="s">
        <v>503</v>
      </c>
      <c r="DB327" s="1200" t="s">
        <v>503</v>
      </c>
      <c r="DC327" s="1211" t="s">
        <v>503</v>
      </c>
      <c r="DD327" s="1200" t="s">
        <v>503</v>
      </c>
      <c r="DE327" s="1200" t="s">
        <v>503</v>
      </c>
      <c r="DF327" s="1200" t="s">
        <v>503</v>
      </c>
      <c r="DG327" s="1200" t="s">
        <v>503</v>
      </c>
      <c r="DH327" s="1211" t="s">
        <v>503</v>
      </c>
      <c r="DI327" s="1200" t="s">
        <v>503</v>
      </c>
      <c r="DJ327" s="1200" t="s">
        <v>503</v>
      </c>
      <c r="DK327" s="1200" t="s">
        <v>503</v>
      </c>
      <c r="DL327" s="1200" t="s">
        <v>503</v>
      </c>
      <c r="DM327" s="1288" t="s">
        <v>503</v>
      </c>
      <c r="DN327" s="1289" t="s">
        <v>503</v>
      </c>
      <c r="DO327" s="1289" t="s">
        <v>503</v>
      </c>
      <c r="DP327" s="1289" t="s">
        <v>503</v>
      </c>
      <c r="DQ327" s="1289" t="s">
        <v>503</v>
      </c>
      <c r="DR327" s="1288" t="s">
        <v>503</v>
      </c>
      <c r="DS327" s="1289" t="s">
        <v>503</v>
      </c>
      <c r="DT327" s="1289" t="s">
        <v>503</v>
      </c>
      <c r="DU327" s="1289" t="s">
        <v>503</v>
      </c>
      <c r="DV327" s="1289" t="s">
        <v>503</v>
      </c>
      <c r="DW327" s="1288" t="s">
        <v>503</v>
      </c>
      <c r="DX327" s="555"/>
      <c r="DY327" s="555"/>
      <c r="DZ327" s="555"/>
      <c r="EA327" s="555"/>
      <c r="EB327" s="802"/>
      <c r="EC327" s="555"/>
      <c r="ED327" s="555"/>
      <c r="EE327" s="555"/>
      <c r="EF327" s="555"/>
      <c r="EG327" s="802"/>
      <c r="EH327" s="555"/>
      <c r="EI327" s="555"/>
      <c r="EJ327" s="555"/>
      <c r="EK327" s="555"/>
      <c r="EL327" s="802"/>
    </row>
    <row r="328" spans="1:142" hidden="1" outlineLevel="1">
      <c r="A328" s="557"/>
      <c r="B328" s="557" t="s">
        <v>202</v>
      </c>
      <c r="C328" s="1203"/>
      <c r="D328" s="1203" t="s">
        <v>503</v>
      </c>
      <c r="E328" s="1203" t="s">
        <v>503</v>
      </c>
      <c r="F328" s="1203" t="s">
        <v>503</v>
      </c>
      <c r="G328" s="1203" t="s">
        <v>503</v>
      </c>
      <c r="H328" s="1188" t="s">
        <v>503</v>
      </c>
      <c r="I328" s="1203" t="s">
        <v>503</v>
      </c>
      <c r="J328" s="1203" t="s">
        <v>503</v>
      </c>
      <c r="K328" s="1203" t="s">
        <v>503</v>
      </c>
      <c r="L328" s="1203" t="s">
        <v>503</v>
      </c>
      <c r="M328" s="1188" t="s">
        <v>503</v>
      </c>
      <c r="N328" s="1203" t="s">
        <v>503</v>
      </c>
      <c r="O328" s="1203" t="s">
        <v>503</v>
      </c>
      <c r="P328" s="1203" t="s">
        <v>503</v>
      </c>
      <c r="Q328" s="1203" t="s">
        <v>503</v>
      </c>
      <c r="R328" s="1188" t="s">
        <v>503</v>
      </c>
      <c r="S328" s="1205">
        <v>0.32300000000000001</v>
      </c>
      <c r="T328" s="1205">
        <v>0.32800000000000001</v>
      </c>
      <c r="U328" s="1205">
        <v>0.33700000000000002</v>
      </c>
      <c r="V328" s="1203" t="s">
        <v>503</v>
      </c>
      <c r="W328" s="1211">
        <v>0.33700000000000002</v>
      </c>
      <c r="X328" s="1205">
        <v>0.35799999999999998</v>
      </c>
      <c r="Y328" s="1205">
        <v>0.37</v>
      </c>
      <c r="Z328" s="1205">
        <v>0.38400000000000001</v>
      </c>
      <c r="AA328" s="1203" t="s">
        <v>503</v>
      </c>
      <c r="AB328" s="1211">
        <v>0.376</v>
      </c>
      <c r="AC328" s="1212">
        <v>0.372</v>
      </c>
      <c r="AD328" s="1212">
        <v>0.41899999999999998</v>
      </c>
      <c r="AE328" s="1212">
        <v>0.40600000000000003</v>
      </c>
      <c r="AF328" s="1203" t="s">
        <v>503</v>
      </c>
      <c r="AG328" s="1211">
        <v>0.40699999999999997</v>
      </c>
      <c r="AH328" s="1212">
        <v>0.41099999999999998</v>
      </c>
      <c r="AI328" s="1212">
        <v>0.439</v>
      </c>
      <c r="AJ328" s="1212">
        <v>0.438</v>
      </c>
      <c r="AK328" s="1203" t="s">
        <v>503</v>
      </c>
      <c r="AL328" s="1211">
        <v>0.433</v>
      </c>
      <c r="AM328" s="1212">
        <v>0.42899999999999999</v>
      </c>
      <c r="AN328" s="1212">
        <v>0.44500000000000001</v>
      </c>
      <c r="AO328" s="1212">
        <v>0.442</v>
      </c>
      <c r="AP328" s="1203" t="s">
        <v>503</v>
      </c>
      <c r="AQ328" s="1211">
        <v>0.439</v>
      </c>
      <c r="AR328" s="1212">
        <v>0.45400000000000001</v>
      </c>
      <c r="AS328" s="1212">
        <v>0.46200000000000002</v>
      </c>
      <c r="AT328" s="1212">
        <v>0.48599999999999999</v>
      </c>
      <c r="AU328" s="802"/>
      <c r="AV328" s="708" t="s">
        <v>503</v>
      </c>
      <c r="AW328" s="708" t="s">
        <v>503</v>
      </c>
      <c r="AX328" s="708" t="s">
        <v>503</v>
      </c>
      <c r="AY328" s="708" t="s">
        <v>503</v>
      </c>
      <c r="AZ328" s="1188" t="s">
        <v>503</v>
      </c>
      <c r="BA328" s="1212" t="s">
        <v>503</v>
      </c>
      <c r="BB328" s="1212" t="s">
        <v>503</v>
      </c>
      <c r="BC328" s="1212" t="s">
        <v>503</v>
      </c>
      <c r="BD328" s="1203" t="s">
        <v>503</v>
      </c>
      <c r="BE328" s="1211" t="s">
        <v>503</v>
      </c>
      <c r="BF328" s="1212" t="s">
        <v>503</v>
      </c>
      <c r="BG328" s="1212" t="s">
        <v>503</v>
      </c>
      <c r="BH328" s="1212" t="s">
        <v>503</v>
      </c>
      <c r="BI328" s="1212" t="s">
        <v>503</v>
      </c>
      <c r="BJ328" s="1211" t="s">
        <v>503</v>
      </c>
      <c r="BK328" s="1200" t="s">
        <v>503</v>
      </c>
      <c r="BL328" s="1200" t="s">
        <v>503</v>
      </c>
      <c r="BM328" s="1200" t="s">
        <v>503</v>
      </c>
      <c r="BN328" s="1200" t="s">
        <v>503</v>
      </c>
      <c r="BO328" s="1211" t="s">
        <v>503</v>
      </c>
      <c r="BP328" s="1200" t="s">
        <v>503</v>
      </c>
      <c r="BQ328" s="1200" t="s">
        <v>503</v>
      </c>
      <c r="BR328" s="1200" t="s">
        <v>503</v>
      </c>
      <c r="BS328" s="1200" t="s">
        <v>503</v>
      </c>
      <c r="BT328" s="1211" t="s">
        <v>503</v>
      </c>
      <c r="BU328" s="1200">
        <v>0.41599999999999998</v>
      </c>
      <c r="BV328" s="1200">
        <v>0.41699999999999998</v>
      </c>
      <c r="BW328" s="1200">
        <v>0.42</v>
      </c>
      <c r="BX328" s="1200">
        <v>0.41899999999999998</v>
      </c>
      <c r="BY328" s="1211">
        <v>0.41799999999999998</v>
      </c>
      <c r="BZ328" s="1200">
        <v>0.41</v>
      </c>
      <c r="CA328" s="1200">
        <v>0.42099999999999999</v>
      </c>
      <c r="CB328" s="1200">
        <v>0.41499999999999998</v>
      </c>
      <c r="CC328" s="1200">
        <v>0.41799999999999998</v>
      </c>
      <c r="CD328" s="1211">
        <v>0.41299999999999998</v>
      </c>
      <c r="CE328" s="1200">
        <v>0.40500000000000003</v>
      </c>
      <c r="CF328" s="1200">
        <v>0.41899999999999998</v>
      </c>
      <c r="CG328" s="1200">
        <v>0.41199999999999998</v>
      </c>
      <c r="CH328" s="1200">
        <v>0.41599999999999998</v>
      </c>
      <c r="CI328" s="1211">
        <v>0.41299999999999998</v>
      </c>
      <c r="CJ328" s="1200">
        <v>0.40500000000000003</v>
      </c>
      <c r="CK328" s="1200">
        <v>0.41399999999999998</v>
      </c>
      <c r="CL328" s="1200">
        <v>0.41799999999999998</v>
      </c>
      <c r="CM328" s="1200" t="s">
        <v>503</v>
      </c>
      <c r="CN328" s="1211" t="s">
        <v>503</v>
      </c>
      <c r="CO328" s="1200" t="s">
        <v>503</v>
      </c>
      <c r="CP328" s="1200" t="s">
        <v>503</v>
      </c>
      <c r="CQ328" s="1200" t="s">
        <v>503</v>
      </c>
      <c r="CR328" s="1200" t="s">
        <v>503</v>
      </c>
      <c r="CS328" s="1211" t="s">
        <v>503</v>
      </c>
      <c r="CT328" s="1200" t="s">
        <v>503</v>
      </c>
      <c r="CU328" s="1200" t="s">
        <v>503</v>
      </c>
      <c r="CV328" s="1200" t="s">
        <v>503</v>
      </c>
      <c r="CW328" s="1200" t="s">
        <v>503</v>
      </c>
      <c r="CX328" s="1211" t="s">
        <v>503</v>
      </c>
      <c r="CY328" s="1200" t="s">
        <v>503</v>
      </c>
      <c r="CZ328" s="1200" t="s">
        <v>503</v>
      </c>
      <c r="DA328" s="1200" t="s">
        <v>503</v>
      </c>
      <c r="DB328" s="1200" t="s">
        <v>503</v>
      </c>
      <c r="DC328" s="1211" t="s">
        <v>503</v>
      </c>
      <c r="DD328" s="1200" t="s">
        <v>503</v>
      </c>
      <c r="DE328" s="1200" t="s">
        <v>503</v>
      </c>
      <c r="DF328" s="1200" t="s">
        <v>503</v>
      </c>
      <c r="DG328" s="1200" t="s">
        <v>503</v>
      </c>
      <c r="DH328" s="1211" t="s">
        <v>503</v>
      </c>
      <c r="DI328" s="1200" t="s">
        <v>503</v>
      </c>
      <c r="DJ328" s="1200" t="s">
        <v>503</v>
      </c>
      <c r="DK328" s="1200" t="s">
        <v>503</v>
      </c>
      <c r="DL328" s="1200" t="s">
        <v>503</v>
      </c>
      <c r="DM328" s="1288" t="s">
        <v>503</v>
      </c>
      <c r="DN328" s="1289" t="s">
        <v>503</v>
      </c>
      <c r="DO328" s="1289" t="s">
        <v>503</v>
      </c>
      <c r="DP328" s="1289" t="s">
        <v>503</v>
      </c>
      <c r="DQ328" s="1289" t="s">
        <v>503</v>
      </c>
      <c r="DR328" s="1288" t="s">
        <v>503</v>
      </c>
      <c r="DS328" s="1289" t="s">
        <v>503</v>
      </c>
      <c r="DT328" s="1289" t="s">
        <v>503</v>
      </c>
      <c r="DU328" s="1289" t="s">
        <v>503</v>
      </c>
      <c r="DV328" s="1289" t="s">
        <v>503</v>
      </c>
      <c r="DW328" s="1288" t="s">
        <v>503</v>
      </c>
      <c r="DX328" s="555"/>
      <c r="DY328" s="555"/>
      <c r="DZ328" s="555"/>
      <c r="EA328" s="555"/>
      <c r="EB328" s="802"/>
      <c r="EC328" s="555"/>
      <c r="ED328" s="555"/>
      <c r="EE328" s="555"/>
      <c r="EF328" s="555"/>
      <c r="EG328" s="802"/>
      <c r="EH328" s="555"/>
      <c r="EI328" s="555"/>
      <c r="EJ328" s="555"/>
      <c r="EK328" s="555"/>
      <c r="EL328" s="802"/>
    </row>
    <row r="329" spans="1:142" hidden="1" outlineLevel="1">
      <c r="A329" s="804"/>
      <c r="B329" s="804"/>
      <c r="C329" s="555"/>
      <c r="D329" s="555"/>
      <c r="E329" s="555"/>
      <c r="F329" s="555"/>
      <c r="G329" s="555"/>
      <c r="H329" s="802"/>
      <c r="I329" s="555"/>
      <c r="J329" s="555"/>
      <c r="K329" s="555"/>
      <c r="L329" s="555"/>
      <c r="M329" s="802"/>
      <c r="N329" s="555"/>
      <c r="O329" s="555"/>
      <c r="P329" s="555"/>
      <c r="Q329" s="555"/>
      <c r="R329" s="802"/>
      <c r="S329" s="555"/>
      <c r="T329" s="555"/>
      <c r="U329" s="555"/>
      <c r="V329" s="555"/>
      <c r="W329" s="802"/>
      <c r="X329" s="555"/>
      <c r="Y329" s="555"/>
      <c r="Z329" s="555"/>
      <c r="AA329" s="555"/>
      <c r="AB329" s="802"/>
      <c r="AC329" s="555"/>
      <c r="AD329" s="555"/>
      <c r="AE329" s="555"/>
      <c r="AF329" s="555"/>
      <c r="AG329" s="802"/>
      <c r="AH329" s="555"/>
      <c r="AI329" s="555"/>
      <c r="AJ329" s="555"/>
      <c r="AK329" s="555"/>
      <c r="AL329" s="802"/>
      <c r="AM329" s="555"/>
      <c r="AN329" s="555"/>
      <c r="AO329" s="555"/>
      <c r="AP329" s="555"/>
      <c r="AQ329" s="802"/>
      <c r="AR329" s="555"/>
      <c r="AS329" s="555"/>
      <c r="AT329" s="555"/>
      <c r="AU329" s="802"/>
      <c r="AV329" s="555"/>
      <c r="AW329" s="555"/>
      <c r="AX329" s="555"/>
      <c r="AY329" s="555"/>
      <c r="AZ329" s="802"/>
      <c r="BA329" s="555"/>
      <c r="BB329" s="555"/>
      <c r="BC329" s="555"/>
      <c r="BD329" s="555"/>
      <c r="BE329" s="802"/>
      <c r="BF329" s="555"/>
      <c r="BG329" s="555"/>
      <c r="BH329" s="555"/>
      <c r="BI329" s="555"/>
      <c r="BJ329" s="802"/>
      <c r="BK329" s="555"/>
      <c r="BL329" s="555"/>
      <c r="BM329" s="555"/>
      <c r="BN329" s="555"/>
      <c r="BO329" s="802"/>
      <c r="BP329" s="555"/>
      <c r="BQ329" s="555"/>
      <c r="BR329" s="555"/>
      <c r="BS329" s="555"/>
      <c r="BT329" s="802"/>
      <c r="BU329" s="555"/>
      <c r="BV329" s="555"/>
      <c r="BW329" s="555"/>
      <c r="BX329" s="555"/>
      <c r="BY329" s="802"/>
      <c r="BZ329" s="555"/>
      <c r="CA329" s="555"/>
      <c r="CB329" s="555"/>
      <c r="CC329" s="555"/>
      <c r="CD329" s="802"/>
      <c r="CE329" s="555"/>
      <c r="CF329" s="555"/>
      <c r="CG329" s="555"/>
      <c r="CH329" s="555"/>
      <c r="CI329" s="802"/>
      <c r="CJ329" s="555"/>
      <c r="CK329" s="555"/>
      <c r="CL329" s="555"/>
      <c r="CM329" s="555"/>
      <c r="CN329" s="802"/>
      <c r="CO329" s="555"/>
      <c r="CP329" s="555"/>
      <c r="CQ329" s="555"/>
      <c r="CR329" s="555"/>
      <c r="CS329" s="802"/>
      <c r="CT329" s="555"/>
      <c r="CU329" s="555"/>
      <c r="CV329" s="555"/>
      <c r="CW329" s="555"/>
      <c r="CX329" s="802"/>
      <c r="CY329" s="555"/>
      <c r="CZ329" s="555"/>
      <c r="DA329" s="555"/>
      <c r="DB329" s="555"/>
      <c r="DC329" s="802"/>
      <c r="DD329" s="555"/>
      <c r="DE329" s="555"/>
      <c r="DF329" s="555"/>
      <c r="DG329" s="555"/>
      <c r="DH329" s="802"/>
      <c r="DI329" s="555"/>
      <c r="DJ329" s="555"/>
      <c r="DK329" s="555"/>
      <c r="DL329" s="555"/>
      <c r="DM329" s="1279"/>
      <c r="DN329" s="1282"/>
      <c r="DO329" s="1282"/>
      <c r="DP329" s="1282"/>
      <c r="DQ329" s="1282"/>
      <c r="DR329" s="1279"/>
      <c r="DS329" s="1282"/>
      <c r="DT329" s="555"/>
      <c r="DU329" s="555"/>
      <c r="DV329" s="1282"/>
      <c r="DW329" s="802"/>
      <c r="DX329" s="555"/>
      <c r="DY329" s="555"/>
      <c r="DZ329" s="555"/>
      <c r="EA329" s="555"/>
      <c r="EB329" s="802"/>
      <c r="EC329" s="555"/>
      <c r="ED329" s="555"/>
      <c r="EE329" s="555"/>
      <c r="EF329" s="555"/>
      <c r="EG329" s="802"/>
      <c r="EH329" s="555"/>
      <c r="EI329" s="555"/>
      <c r="EJ329" s="555"/>
      <c r="EK329" s="555"/>
      <c r="EL329" s="802"/>
    </row>
    <row r="330" spans="1:142" hidden="1" outlineLevel="1">
      <c r="A330" s="804"/>
      <c r="B330" s="1278" t="s">
        <v>666</v>
      </c>
      <c r="C330" s="1267"/>
      <c r="D330" s="1267"/>
      <c r="E330" s="1267"/>
      <c r="F330" s="1267"/>
      <c r="G330" s="1267"/>
      <c r="H330" s="1268"/>
      <c r="I330" s="1267"/>
      <c r="J330" s="1267"/>
      <c r="K330" s="1267"/>
      <c r="L330" s="1267"/>
      <c r="M330" s="1268"/>
      <c r="N330" s="1267"/>
      <c r="O330" s="1267"/>
      <c r="P330" s="1267"/>
      <c r="Q330" s="1267"/>
      <c r="R330" s="1268"/>
      <c r="S330" s="1267"/>
      <c r="T330" s="1267"/>
      <c r="U330" s="1267"/>
      <c r="V330" s="1267"/>
      <c r="W330" s="1268"/>
      <c r="X330" s="1267"/>
      <c r="Y330" s="1267"/>
      <c r="Z330" s="1267"/>
      <c r="AA330" s="1267"/>
      <c r="AB330" s="1268"/>
      <c r="AC330" s="1267"/>
      <c r="AD330" s="1267"/>
      <c r="AE330" s="1267"/>
      <c r="AF330" s="1267"/>
      <c r="AG330" s="1268"/>
      <c r="AH330" s="1267"/>
      <c r="AI330" s="1267"/>
      <c r="AJ330" s="1267"/>
      <c r="AK330" s="1267"/>
      <c r="AL330" s="1268"/>
      <c r="AM330" s="1267"/>
      <c r="AN330" s="1267"/>
      <c r="AO330" s="1267"/>
      <c r="AP330" s="1267"/>
      <c r="AQ330" s="1268"/>
      <c r="AR330" s="1267"/>
      <c r="AS330" s="1267"/>
      <c r="AT330" s="1267"/>
      <c r="AU330" s="1268"/>
      <c r="AV330" s="1267"/>
      <c r="AW330" s="1267"/>
      <c r="AX330" s="1267"/>
      <c r="AY330" s="1267"/>
      <c r="AZ330" s="1268"/>
      <c r="BA330" s="1267"/>
      <c r="BB330" s="1267"/>
      <c r="BC330" s="1267"/>
      <c r="BD330" s="1267"/>
      <c r="BE330" s="1268"/>
      <c r="BF330" s="1267"/>
      <c r="BG330" s="1267"/>
      <c r="BH330" s="1267"/>
      <c r="BI330" s="1267"/>
      <c r="BJ330" s="1268"/>
      <c r="BK330" s="1267"/>
      <c r="BL330" s="1267"/>
      <c r="BM330" s="1267"/>
      <c r="BN330" s="1267"/>
      <c r="BO330" s="1268"/>
      <c r="BP330" s="1267"/>
      <c r="BQ330" s="1267"/>
      <c r="BR330" s="1267"/>
      <c r="BS330" s="1267"/>
      <c r="BT330" s="1268"/>
      <c r="BU330" s="1267"/>
      <c r="BV330" s="1267"/>
      <c r="BW330" s="1267"/>
      <c r="BX330" s="1267"/>
      <c r="BY330" s="1268"/>
      <c r="BZ330" s="1267"/>
      <c r="CA330" s="1267"/>
      <c r="CB330" s="1267"/>
      <c r="CC330" s="1267"/>
      <c r="CD330" s="1268"/>
      <c r="CE330" s="1267"/>
      <c r="CF330" s="1267"/>
      <c r="CG330" s="1267"/>
      <c r="CH330" s="1267"/>
      <c r="CI330" s="1268"/>
      <c r="CJ330" s="1267"/>
      <c r="CK330" s="1267"/>
      <c r="CL330" s="1267"/>
      <c r="CM330" s="1267"/>
      <c r="CN330" s="1268"/>
      <c r="CO330" s="1267"/>
      <c r="CP330" s="1267"/>
      <c r="CQ330" s="1267"/>
      <c r="CR330" s="1267"/>
      <c r="CS330" s="1268"/>
      <c r="CT330" s="1267"/>
      <c r="CU330" s="1267"/>
      <c r="CV330" s="1267"/>
      <c r="CW330" s="1267"/>
      <c r="CX330" s="1268"/>
      <c r="CY330" s="1267"/>
      <c r="CZ330" s="1267"/>
      <c r="DA330" s="1267"/>
      <c r="DB330" s="1267"/>
      <c r="DC330" s="1268"/>
      <c r="DD330" s="1267"/>
      <c r="DE330" s="1267"/>
      <c r="DF330" s="1267"/>
      <c r="DG330" s="1267"/>
      <c r="DH330" s="1268"/>
      <c r="DI330" s="1267"/>
      <c r="DJ330" s="1267"/>
      <c r="DK330" s="1267"/>
      <c r="DL330" s="1267"/>
      <c r="DM330" s="1268"/>
      <c r="DN330" s="1267"/>
      <c r="DO330" s="1267"/>
      <c r="DP330" s="1267"/>
      <c r="DQ330" s="1267"/>
      <c r="DR330" s="1268"/>
      <c r="DS330" s="1267"/>
      <c r="DT330" s="1267"/>
      <c r="DU330" s="1267"/>
      <c r="DV330" s="1267"/>
      <c r="DW330" s="1268"/>
      <c r="DX330" s="1267"/>
      <c r="DY330" s="1267"/>
      <c r="DZ330" s="1267"/>
      <c r="EA330" s="1267"/>
      <c r="EB330" s="1268"/>
      <c r="EC330" s="1267"/>
      <c r="ED330" s="1267"/>
      <c r="EE330" s="1267"/>
      <c r="EF330" s="1267"/>
      <c r="EG330" s="1268"/>
      <c r="EH330" s="1267"/>
      <c r="EI330" s="1267"/>
      <c r="EJ330" s="1267"/>
      <c r="EK330" s="1267"/>
      <c r="EL330" s="1268"/>
    </row>
    <row r="331" spans="1:142" hidden="1" outlineLevel="1">
      <c r="A331" s="804"/>
      <c r="B331" s="973" t="s">
        <v>203</v>
      </c>
      <c r="C331" s="555"/>
      <c r="D331" s="555"/>
      <c r="E331" s="555"/>
      <c r="F331" s="555"/>
      <c r="G331" s="555"/>
      <c r="H331" s="802"/>
      <c r="I331" s="555"/>
      <c r="J331" s="555"/>
      <c r="K331" s="555"/>
      <c r="L331" s="555"/>
      <c r="M331" s="802"/>
      <c r="N331" s="555"/>
      <c r="O331" s="555"/>
      <c r="P331" s="555"/>
      <c r="Q331" s="555"/>
      <c r="R331" s="802"/>
      <c r="S331" s="555"/>
      <c r="T331" s="555"/>
      <c r="U331" s="555"/>
      <c r="V331" s="555"/>
      <c r="W331" s="802"/>
      <c r="X331" s="555"/>
      <c r="Y331" s="555"/>
      <c r="Z331" s="555"/>
      <c r="AA331" s="555"/>
      <c r="AB331" s="802"/>
      <c r="AC331" s="555"/>
      <c r="AD331" s="555"/>
      <c r="AE331" s="555"/>
      <c r="AF331" s="555"/>
      <c r="AG331" s="802"/>
      <c r="AH331" s="555"/>
      <c r="AI331" s="555"/>
      <c r="AJ331" s="555"/>
      <c r="AK331" s="555"/>
      <c r="AL331" s="802"/>
      <c r="AM331" s="555"/>
      <c r="AN331" s="555"/>
      <c r="AO331" s="555"/>
      <c r="AP331" s="555"/>
      <c r="AQ331" s="802"/>
      <c r="AR331" s="555"/>
      <c r="AS331" s="555"/>
      <c r="AT331" s="555"/>
      <c r="AU331" s="802"/>
      <c r="AV331" s="555"/>
      <c r="AW331" s="555"/>
      <c r="AX331" s="555"/>
      <c r="AY331" s="555"/>
      <c r="AZ331" s="802"/>
      <c r="BA331" s="555"/>
      <c r="BB331" s="555"/>
      <c r="BC331" s="555"/>
      <c r="BD331" s="555"/>
      <c r="BE331" s="802"/>
      <c r="BF331" s="555"/>
      <c r="BG331" s="555"/>
      <c r="BH331" s="555"/>
      <c r="BI331" s="555"/>
      <c r="BJ331" s="802"/>
      <c r="BK331" s="555"/>
      <c r="BL331" s="555"/>
      <c r="BM331" s="555"/>
      <c r="BN331" s="555"/>
      <c r="BO331" s="802"/>
      <c r="BP331" s="555"/>
      <c r="BQ331" s="555"/>
      <c r="BR331" s="555"/>
      <c r="BS331" s="555"/>
      <c r="BT331" s="802"/>
      <c r="BU331" s="555"/>
      <c r="BV331" s="555"/>
      <c r="BW331" s="555"/>
      <c r="BX331" s="555"/>
      <c r="BY331" s="802"/>
      <c r="BZ331" s="555"/>
      <c r="CA331" s="555"/>
      <c r="CB331" s="555"/>
      <c r="CC331" s="555"/>
      <c r="CD331" s="802"/>
      <c r="CE331" s="555"/>
      <c r="CF331" s="555"/>
      <c r="CG331" s="555"/>
      <c r="CH331" s="555"/>
      <c r="CI331" s="802"/>
      <c r="CJ331" s="555"/>
      <c r="CK331" s="555"/>
      <c r="CL331" s="555"/>
      <c r="CM331" s="555"/>
      <c r="CN331" s="802"/>
      <c r="CO331" s="555"/>
      <c r="CP331" s="555"/>
      <c r="CQ331" s="555"/>
      <c r="CR331" s="555"/>
      <c r="CS331" s="802"/>
      <c r="CT331" s="555"/>
      <c r="CU331" s="555"/>
      <c r="CV331" s="555"/>
      <c r="CW331" s="555"/>
      <c r="CX331" s="802"/>
      <c r="CY331" s="555"/>
      <c r="CZ331" s="555"/>
      <c r="DA331" s="555"/>
      <c r="DB331" s="555"/>
      <c r="DC331" s="802"/>
      <c r="DD331" s="555"/>
      <c r="DE331" s="555"/>
      <c r="DF331" s="555"/>
      <c r="DG331" s="555"/>
      <c r="DH331" s="802"/>
      <c r="DI331" s="555"/>
      <c r="DJ331" s="555"/>
      <c r="DK331" s="555"/>
      <c r="DL331" s="555"/>
      <c r="DM331" s="1279"/>
      <c r="DN331" s="1282"/>
      <c r="DO331" s="1282"/>
      <c r="DP331" s="1282"/>
      <c r="DQ331" s="1282"/>
      <c r="DR331" s="1279"/>
      <c r="DS331" s="1282"/>
      <c r="DT331" s="555"/>
      <c r="DU331" s="555"/>
      <c r="DV331" s="1282"/>
      <c r="DW331" s="802"/>
      <c r="DX331" s="555"/>
      <c r="DY331" s="555"/>
      <c r="DZ331" s="555"/>
      <c r="EA331" s="555"/>
      <c r="EB331" s="802"/>
      <c r="EC331" s="555"/>
      <c r="ED331" s="555"/>
      <c r="EE331" s="555"/>
      <c r="EF331" s="555"/>
      <c r="EG331" s="802"/>
      <c r="EH331" s="555"/>
      <c r="EI331" s="555"/>
      <c r="EJ331" s="555"/>
      <c r="EK331" s="555"/>
      <c r="EL331" s="802"/>
    </row>
    <row r="332" spans="1:142" hidden="1" outlineLevel="1">
      <c r="A332" s="557"/>
      <c r="B332" s="555" t="s">
        <v>192</v>
      </c>
      <c r="C332" s="555"/>
      <c r="D332" s="1118">
        <v>33</v>
      </c>
      <c r="E332" s="1118">
        <v>33</v>
      </c>
      <c r="F332" s="1118">
        <v>33</v>
      </c>
      <c r="G332" s="960">
        <f>H332</f>
        <v>70</v>
      </c>
      <c r="H332" s="1048">
        <v>70</v>
      </c>
      <c r="I332" s="1118">
        <v>72</v>
      </c>
      <c r="J332" s="1118">
        <v>75</v>
      </c>
      <c r="K332" s="1118">
        <v>75</v>
      </c>
      <c r="L332" s="960">
        <f>M332</f>
        <v>74</v>
      </c>
      <c r="M332" s="1048">
        <v>74</v>
      </c>
      <c r="N332" s="1118">
        <v>75</v>
      </c>
      <c r="O332" s="1118">
        <v>76</v>
      </c>
      <c r="P332" s="1118">
        <v>127</v>
      </c>
      <c r="Q332" s="960">
        <f>R332</f>
        <v>128</v>
      </c>
      <c r="R332" s="1048">
        <v>128</v>
      </c>
      <c r="S332" s="1118">
        <v>130</v>
      </c>
      <c r="T332" s="1118">
        <v>129</v>
      </c>
      <c r="U332" s="1118">
        <v>125</v>
      </c>
      <c r="V332" s="960">
        <f>W332</f>
        <v>122</v>
      </c>
      <c r="W332" s="1048">
        <v>122</v>
      </c>
      <c r="X332" s="1118">
        <v>121</v>
      </c>
      <c r="Y332" s="1118">
        <v>128</v>
      </c>
      <c r="Z332" s="1118">
        <v>129</v>
      </c>
      <c r="AA332" s="960">
        <f>AB332</f>
        <v>130</v>
      </c>
      <c r="AB332" s="1048">
        <v>130</v>
      </c>
      <c r="AC332" s="1118">
        <v>130</v>
      </c>
      <c r="AD332" s="1118">
        <v>113</v>
      </c>
      <c r="AE332" s="1118">
        <v>112</v>
      </c>
      <c r="AF332" s="960">
        <f>AG332</f>
        <v>110</v>
      </c>
      <c r="AG332" s="1048">
        <v>110</v>
      </c>
      <c r="AH332" s="1118">
        <v>110</v>
      </c>
      <c r="AI332" s="1118">
        <v>111</v>
      </c>
      <c r="AJ332" s="1118">
        <v>110</v>
      </c>
      <c r="AK332" s="960">
        <f>AL332</f>
        <v>111</v>
      </c>
      <c r="AL332" s="1048">
        <v>111</v>
      </c>
      <c r="AM332" s="1118">
        <v>114</v>
      </c>
      <c r="AN332" s="1118">
        <v>114</v>
      </c>
      <c r="AO332" s="1118">
        <v>116</v>
      </c>
      <c r="AP332" s="960">
        <f>AQ332</f>
        <v>116</v>
      </c>
      <c r="AQ332" s="1048">
        <v>116</v>
      </c>
      <c r="AR332" s="1118">
        <v>114</v>
      </c>
      <c r="AS332" s="1118">
        <v>113</v>
      </c>
      <c r="AT332" s="1118">
        <v>114</v>
      </c>
      <c r="AU332" s="802"/>
      <c r="AV332" s="708" t="s">
        <v>503</v>
      </c>
      <c r="AW332" s="708" t="s">
        <v>503</v>
      </c>
      <c r="AX332" s="708" t="s">
        <v>503</v>
      </c>
      <c r="AY332" s="708" t="s">
        <v>503</v>
      </c>
      <c r="AZ332" s="1188" t="s">
        <v>503</v>
      </c>
      <c r="BA332" s="1118">
        <v>99</v>
      </c>
      <c r="BB332" s="1118">
        <v>99</v>
      </c>
      <c r="BC332" s="1118">
        <v>99</v>
      </c>
      <c r="BD332" s="960">
        <f>BE332</f>
        <v>99</v>
      </c>
      <c r="BE332" s="1048">
        <v>99</v>
      </c>
      <c r="BF332" s="1118">
        <v>71</v>
      </c>
      <c r="BG332" s="1118">
        <v>72</v>
      </c>
      <c r="BH332" s="1118">
        <v>70</v>
      </c>
      <c r="BI332" s="1118">
        <v>69</v>
      </c>
      <c r="BJ332" s="1048">
        <v>69</v>
      </c>
      <c r="BK332" s="555">
        <v>69</v>
      </c>
      <c r="BL332" s="555">
        <v>69</v>
      </c>
      <c r="BM332" s="555">
        <v>69</v>
      </c>
      <c r="BN332" s="555">
        <v>69</v>
      </c>
      <c r="BO332" s="802">
        <v>69</v>
      </c>
      <c r="BP332" s="555">
        <v>69</v>
      </c>
      <c r="BQ332" s="555">
        <v>57</v>
      </c>
      <c r="BR332" s="555">
        <v>57</v>
      </c>
      <c r="BS332" s="555">
        <v>57</v>
      </c>
      <c r="BT332" s="802">
        <v>57</v>
      </c>
      <c r="BU332" s="555">
        <v>57</v>
      </c>
      <c r="BV332" s="555">
        <v>58</v>
      </c>
      <c r="BW332" s="555">
        <v>54</v>
      </c>
      <c r="BX332" s="555">
        <v>54</v>
      </c>
      <c r="BY332" s="802">
        <v>54</v>
      </c>
      <c r="BZ332" s="555">
        <v>54</v>
      </c>
      <c r="CA332" s="555">
        <v>52</v>
      </c>
      <c r="CB332" s="555">
        <v>50</v>
      </c>
      <c r="CC332" s="555">
        <v>50</v>
      </c>
      <c r="CD332" s="802">
        <v>50</v>
      </c>
      <c r="CE332" s="555">
        <v>50</v>
      </c>
      <c r="CF332" s="555">
        <v>49</v>
      </c>
      <c r="CG332" s="555">
        <v>49</v>
      </c>
      <c r="CH332" s="555">
        <v>49</v>
      </c>
      <c r="CI332" s="802">
        <v>49</v>
      </c>
      <c r="CJ332" s="555">
        <v>49</v>
      </c>
      <c r="CK332" s="555">
        <v>49</v>
      </c>
      <c r="CL332" s="555">
        <v>49</v>
      </c>
      <c r="CM332" s="555">
        <v>49</v>
      </c>
      <c r="CN332" s="802">
        <v>49</v>
      </c>
      <c r="CO332" s="555">
        <v>49</v>
      </c>
      <c r="CP332" s="555">
        <v>49</v>
      </c>
      <c r="CQ332" s="555">
        <v>49</v>
      </c>
      <c r="CR332" s="555">
        <v>49</v>
      </c>
      <c r="CS332" s="802">
        <v>49</v>
      </c>
      <c r="CT332" s="555">
        <v>49</v>
      </c>
      <c r="CU332" s="555">
        <v>49</v>
      </c>
      <c r="CV332" s="555">
        <v>49</v>
      </c>
      <c r="CW332" s="555">
        <v>49</v>
      </c>
      <c r="CX332" s="802">
        <v>49</v>
      </c>
      <c r="CY332" s="555">
        <v>49</v>
      </c>
      <c r="CZ332" s="555">
        <v>49</v>
      </c>
      <c r="DA332" s="555">
        <v>49</v>
      </c>
      <c r="DB332" s="555">
        <v>77</v>
      </c>
      <c r="DC332" s="802">
        <v>77</v>
      </c>
      <c r="DD332" s="555">
        <v>77</v>
      </c>
      <c r="DE332" s="555">
        <v>79</v>
      </c>
      <c r="DF332" s="555">
        <v>80</v>
      </c>
      <c r="DG332" s="555">
        <v>80</v>
      </c>
      <c r="DH332" s="802">
        <v>80</v>
      </c>
      <c r="DI332" s="1507">
        <v>80</v>
      </c>
      <c r="DJ332" s="1507">
        <v>80</v>
      </c>
      <c r="DK332" s="1507">
        <v>83</v>
      </c>
      <c r="DL332" s="1507">
        <v>86</v>
      </c>
      <c r="DM332" s="1506">
        <v>86</v>
      </c>
      <c r="DN332" s="1507">
        <v>80</v>
      </c>
      <c r="DO332" s="1507">
        <v>75</v>
      </c>
      <c r="DP332" s="1507">
        <v>75</v>
      </c>
      <c r="DQ332" s="1507">
        <v>75</v>
      </c>
      <c r="DR332" s="1004">
        <f>DQ332</f>
        <v>75</v>
      </c>
      <c r="DS332" s="1290"/>
      <c r="DT332" s="561"/>
      <c r="DU332" s="561"/>
      <c r="DV332" s="1290"/>
      <c r="DW332" s="844"/>
      <c r="DX332" s="561"/>
      <c r="DY332" s="561"/>
      <c r="DZ332" s="561"/>
      <c r="EA332" s="561"/>
      <c r="EB332" s="844"/>
      <c r="EC332" s="561"/>
      <c r="ED332" s="561"/>
      <c r="EE332" s="561"/>
      <c r="EF332" s="561"/>
      <c r="EG332" s="844"/>
      <c r="EH332" s="561"/>
      <c r="EI332" s="561"/>
      <c r="EJ332" s="561"/>
      <c r="EK332" s="561"/>
      <c r="EL332" s="844"/>
    </row>
    <row r="333" spans="1:142" hidden="1" outlineLevel="1">
      <c r="A333" s="557"/>
      <c r="B333" s="557" t="s">
        <v>196</v>
      </c>
      <c r="C333" s="1201"/>
      <c r="D333" s="1201">
        <v>49078</v>
      </c>
      <c r="E333" s="1201">
        <v>48663</v>
      </c>
      <c r="F333" s="1201">
        <v>51882</v>
      </c>
      <c r="G333" s="960">
        <f>H333-SUM(D333:F333)</f>
        <v>118245</v>
      </c>
      <c r="H333" s="1202">
        <v>267868</v>
      </c>
      <c r="I333" s="1201">
        <v>111503</v>
      </c>
      <c r="J333" s="1201">
        <v>120363</v>
      </c>
      <c r="K333" s="1201">
        <v>130536</v>
      </c>
      <c r="L333" s="960">
        <f>M333-SUM(I333:K333)</f>
        <v>125199</v>
      </c>
      <c r="M333" s="1202">
        <v>487601</v>
      </c>
      <c r="N333" s="1201">
        <v>122210</v>
      </c>
      <c r="O333" s="1201">
        <v>124564</v>
      </c>
      <c r="P333" s="1201">
        <v>212850</v>
      </c>
      <c r="Q333" s="960">
        <f>R333-SUM(N333:P333)</f>
        <v>327263</v>
      </c>
      <c r="R333" s="1202">
        <v>786887</v>
      </c>
      <c r="S333" s="1201">
        <v>205572</v>
      </c>
      <c r="T333" s="1201">
        <v>213270</v>
      </c>
      <c r="U333" s="1201">
        <v>230955</v>
      </c>
      <c r="V333" s="960">
        <f>W333-SUM(S333:U333)</f>
        <v>222636</v>
      </c>
      <c r="W333" s="1202">
        <v>872433</v>
      </c>
      <c r="X333" s="1201">
        <v>219167</v>
      </c>
      <c r="Y333" s="1201">
        <v>221499</v>
      </c>
      <c r="Z333" s="1201">
        <v>248646</v>
      </c>
      <c r="AA333" s="960">
        <f>AB333-SUM(X333:Z333)</f>
        <v>250935</v>
      </c>
      <c r="AB333" s="1202">
        <v>940247</v>
      </c>
      <c r="AC333" s="1201">
        <v>239378</v>
      </c>
      <c r="AD333" s="1201">
        <v>227647</v>
      </c>
      <c r="AE333" s="1201">
        <v>239792</v>
      </c>
      <c r="AF333" s="960">
        <f>AG333-SUM(AC333:AE333)</f>
        <v>229325</v>
      </c>
      <c r="AG333" s="1202">
        <v>936142</v>
      </c>
      <c r="AH333" s="1201">
        <v>228680</v>
      </c>
      <c r="AI333" s="1201">
        <v>229281</v>
      </c>
      <c r="AJ333" s="1201">
        <v>239074</v>
      </c>
      <c r="AK333" s="960">
        <f>AL333-SUM(AH333:AJ333)</f>
        <v>242566</v>
      </c>
      <c r="AL333" s="1202">
        <v>939601</v>
      </c>
      <c r="AM333" s="1201">
        <v>242172</v>
      </c>
      <c r="AN333" s="1201">
        <v>242861</v>
      </c>
      <c r="AO333" s="1201">
        <v>256840</v>
      </c>
      <c r="AP333" s="960">
        <f>AQ333-SUM(AM333:AO333)</f>
        <v>259163</v>
      </c>
      <c r="AQ333" s="1202">
        <v>1001036</v>
      </c>
      <c r="AR333" s="1201">
        <v>252114</v>
      </c>
      <c r="AS333" s="1201">
        <v>254232</v>
      </c>
      <c r="AT333" s="1201">
        <v>261601</v>
      </c>
      <c r="AU333" s="802"/>
      <c r="AV333" s="708" t="s">
        <v>503</v>
      </c>
      <c r="AW333" s="708" t="s">
        <v>503</v>
      </c>
      <c r="AX333" s="708" t="s">
        <v>503</v>
      </c>
      <c r="AY333" s="708" t="s">
        <v>503</v>
      </c>
      <c r="AZ333" s="1188" t="s">
        <v>503</v>
      </c>
      <c r="BA333" s="1201">
        <v>243226</v>
      </c>
      <c r="BB333" s="1201">
        <v>236059</v>
      </c>
      <c r="BC333" s="1201">
        <v>237374</v>
      </c>
      <c r="BD333" s="960">
        <f>BE333-SUM(BA333:BC333)</f>
        <v>229981</v>
      </c>
      <c r="BE333" s="1202">
        <v>946640</v>
      </c>
      <c r="BF333" s="1201">
        <v>185253</v>
      </c>
      <c r="BG333" s="1201">
        <v>174079</v>
      </c>
      <c r="BH333" s="1201">
        <v>170713</v>
      </c>
      <c r="BI333" s="1201">
        <v>169343</v>
      </c>
      <c r="BJ333" s="1202">
        <v>687857</v>
      </c>
      <c r="BK333" s="959">
        <v>178458</v>
      </c>
      <c r="BL333" s="555">
        <v>168526</v>
      </c>
      <c r="BM333" s="555">
        <v>163707</v>
      </c>
      <c r="BN333" s="555">
        <v>157896</v>
      </c>
      <c r="BO333" s="802">
        <v>668587</v>
      </c>
      <c r="BP333" s="959">
        <v>166426</v>
      </c>
      <c r="BQ333" s="555">
        <v>142976</v>
      </c>
      <c r="BR333" s="555">
        <v>141203</v>
      </c>
      <c r="BS333" s="555">
        <v>143110</v>
      </c>
      <c r="BT333" s="802">
        <v>578168</v>
      </c>
      <c r="BU333" s="959">
        <v>148368</v>
      </c>
      <c r="BV333" s="555">
        <v>139832</v>
      </c>
      <c r="BW333" s="555">
        <v>136373</v>
      </c>
      <c r="BX333" s="555">
        <v>139449</v>
      </c>
      <c r="BY333" s="802">
        <v>556025</v>
      </c>
      <c r="BZ333" s="959">
        <v>146057</v>
      </c>
      <c r="CA333" s="555">
        <v>133983</v>
      </c>
      <c r="CB333" s="555">
        <v>130545</v>
      </c>
      <c r="CC333" s="555">
        <v>131693</v>
      </c>
      <c r="CD333" s="802">
        <v>530303</v>
      </c>
      <c r="CE333" s="959">
        <v>136766</v>
      </c>
      <c r="CF333" s="555">
        <v>130308</v>
      </c>
      <c r="CG333" s="555">
        <v>130258</v>
      </c>
      <c r="CH333" s="555">
        <v>129631</v>
      </c>
      <c r="CI333" s="802">
        <v>525532</v>
      </c>
      <c r="CJ333" s="959">
        <v>132599</v>
      </c>
      <c r="CK333" s="555">
        <v>127751</v>
      </c>
      <c r="CL333" s="555">
        <v>125645</v>
      </c>
      <c r="CM333" s="555">
        <v>126977</v>
      </c>
      <c r="CN333" s="802">
        <v>512972</v>
      </c>
      <c r="CO333" s="959">
        <v>131437</v>
      </c>
      <c r="CP333" s="555">
        <v>125592</v>
      </c>
      <c r="CQ333" s="555">
        <v>125458</v>
      </c>
      <c r="CR333" s="555">
        <v>125347</v>
      </c>
      <c r="CS333" s="802">
        <v>507834</v>
      </c>
      <c r="CT333" s="959">
        <v>131190</v>
      </c>
      <c r="CU333" s="555">
        <v>125136</v>
      </c>
      <c r="CV333" s="555">
        <v>124869</v>
      </c>
      <c r="CW333" s="555">
        <v>125290</v>
      </c>
      <c r="CX333" s="802">
        <v>506485</v>
      </c>
      <c r="CY333" s="959">
        <v>125929</v>
      </c>
      <c r="CZ333" s="555">
        <v>120722</v>
      </c>
      <c r="DA333" s="555">
        <v>121569</v>
      </c>
      <c r="DB333" s="555">
        <v>190506</v>
      </c>
      <c r="DC333" s="802">
        <v>558726</v>
      </c>
      <c r="DD333" s="959">
        <v>194273</v>
      </c>
      <c r="DE333" s="555">
        <v>194641</v>
      </c>
      <c r="DF333" s="555">
        <v>199914</v>
      </c>
      <c r="DG333" s="555">
        <v>202337</v>
      </c>
      <c r="DH333" s="802">
        <v>791165</v>
      </c>
      <c r="DI333" s="1507">
        <v>208333</v>
      </c>
      <c r="DJ333" s="1507">
        <v>201908</v>
      </c>
      <c r="DK333" s="1507">
        <v>201870</v>
      </c>
      <c r="DL333" s="1507">
        <v>211991</v>
      </c>
      <c r="DM333" s="1506">
        <v>824102</v>
      </c>
      <c r="DN333" s="1507">
        <v>211799</v>
      </c>
      <c r="DO333" s="1507">
        <v>193898</v>
      </c>
      <c r="DP333" s="1507">
        <v>194342</v>
      </c>
      <c r="DQ333" s="1507">
        <v>192104</v>
      </c>
      <c r="DR333" s="1004">
        <f t="shared" ref="DR333:DR341" si="566">SUM(DN333:DQ333)</f>
        <v>792143</v>
      </c>
      <c r="DS333" s="1284"/>
      <c r="DT333" s="558"/>
      <c r="DU333" s="558"/>
      <c r="DV333" s="1284"/>
      <c r="DW333" s="78"/>
      <c r="DX333" s="558"/>
      <c r="DY333" s="558"/>
      <c r="DZ333" s="558"/>
      <c r="EA333" s="558"/>
      <c r="EB333" s="78"/>
      <c r="EC333" s="558"/>
      <c r="ED333" s="558"/>
      <c r="EE333" s="558"/>
      <c r="EF333" s="558"/>
      <c r="EG333" s="78"/>
      <c r="EH333" s="558"/>
      <c r="EI333" s="558"/>
      <c r="EJ333" s="558"/>
      <c r="EK333" s="558"/>
      <c r="EL333" s="78"/>
    </row>
    <row r="334" spans="1:142" hidden="1" outlineLevel="1">
      <c r="A334" s="557"/>
      <c r="B334" s="557" t="s">
        <v>147</v>
      </c>
      <c r="C334" s="1203"/>
      <c r="D334" s="1203" t="s">
        <v>503</v>
      </c>
      <c r="E334" s="1201">
        <v>64496</v>
      </c>
      <c r="F334" s="1201">
        <v>67637</v>
      </c>
      <c r="G334" s="960">
        <f>H334-SUM(D334:F334)</f>
        <v>226531</v>
      </c>
      <c r="H334" s="1202">
        <v>358664</v>
      </c>
      <c r="I334" s="1201">
        <v>156687</v>
      </c>
      <c r="J334" s="1201">
        <v>166564</v>
      </c>
      <c r="K334" s="1201">
        <v>187675</v>
      </c>
      <c r="L334" s="960">
        <f>M334-SUM(I334:K334)</f>
        <v>178693</v>
      </c>
      <c r="M334" s="1202">
        <v>689619</v>
      </c>
      <c r="N334" s="1201">
        <v>177597</v>
      </c>
      <c r="O334" s="1201">
        <v>179602</v>
      </c>
      <c r="P334" s="1201">
        <v>301703</v>
      </c>
      <c r="Q334" s="960">
        <f>R334-SUM(N334:P334)</f>
        <v>465495</v>
      </c>
      <c r="R334" s="1202">
        <v>1124397</v>
      </c>
      <c r="S334" s="1201">
        <v>289833</v>
      </c>
      <c r="T334" s="1201">
        <v>327578</v>
      </c>
      <c r="U334" s="1201">
        <v>326322</v>
      </c>
      <c r="V334" s="960">
        <f>W334-SUM(S334:U334)</f>
        <v>324531</v>
      </c>
      <c r="W334" s="1202">
        <v>1268264</v>
      </c>
      <c r="X334" s="1201">
        <v>322799</v>
      </c>
      <c r="Y334" s="1201">
        <v>322035</v>
      </c>
      <c r="Z334" s="1201">
        <v>351849</v>
      </c>
      <c r="AA334" s="960">
        <f>AB334-SUM(X334:Z334)</f>
        <v>363341</v>
      </c>
      <c r="AB334" s="1202">
        <v>1360024</v>
      </c>
      <c r="AC334" s="1201">
        <v>353711</v>
      </c>
      <c r="AD334" s="1201">
        <v>329667</v>
      </c>
      <c r="AE334" s="1201">
        <v>335658</v>
      </c>
      <c r="AF334" s="960">
        <f>AG334-SUM(AC334:AE334)</f>
        <v>332259</v>
      </c>
      <c r="AG334" s="1202">
        <v>1351295</v>
      </c>
      <c r="AH334" s="1201">
        <v>322799</v>
      </c>
      <c r="AI334" s="1201">
        <v>329224</v>
      </c>
      <c r="AJ334" s="1201">
        <v>334340</v>
      </c>
      <c r="AK334" s="960">
        <f>AL334-SUM(AH334:AJ334)</f>
        <v>354775</v>
      </c>
      <c r="AL334" s="1202">
        <v>1341138</v>
      </c>
      <c r="AM334" s="1201">
        <v>350065</v>
      </c>
      <c r="AN334" s="1201">
        <v>348787</v>
      </c>
      <c r="AO334" s="1201">
        <v>360536</v>
      </c>
      <c r="AP334" s="960">
        <f>AQ334-SUM(AM334:AO334)</f>
        <v>370164</v>
      </c>
      <c r="AQ334" s="1202">
        <v>1429552</v>
      </c>
      <c r="AR334" s="1201">
        <v>360963</v>
      </c>
      <c r="AS334" s="1201">
        <v>361197</v>
      </c>
      <c r="AT334" s="1201">
        <v>365527</v>
      </c>
      <c r="AU334" s="802"/>
      <c r="AV334" s="708" t="s">
        <v>503</v>
      </c>
      <c r="AW334" s="708" t="s">
        <v>503</v>
      </c>
      <c r="AX334" s="708" t="s">
        <v>503</v>
      </c>
      <c r="AY334" s="708" t="s">
        <v>503</v>
      </c>
      <c r="AZ334" s="1188" t="s">
        <v>503</v>
      </c>
      <c r="BA334" s="1201">
        <v>336245</v>
      </c>
      <c r="BB334" s="1201">
        <v>330709</v>
      </c>
      <c r="BC334" s="1201">
        <v>333203</v>
      </c>
      <c r="BD334" s="960">
        <f>BE334-SUM(BA334:BC334)</f>
        <v>319844</v>
      </c>
      <c r="BE334" s="1202">
        <v>1320001</v>
      </c>
      <c r="BF334" s="1201">
        <v>256158</v>
      </c>
      <c r="BG334" s="1201">
        <v>246174</v>
      </c>
      <c r="BH334" s="1201">
        <v>241830</v>
      </c>
      <c r="BI334" s="1201">
        <v>238917</v>
      </c>
      <c r="BJ334" s="1202">
        <v>967093</v>
      </c>
      <c r="BK334" s="959">
        <v>248225</v>
      </c>
      <c r="BL334" s="555">
        <v>239747</v>
      </c>
      <c r="BM334" s="555">
        <v>233272</v>
      </c>
      <c r="BN334" s="555">
        <v>223084</v>
      </c>
      <c r="BO334" s="802">
        <v>944328</v>
      </c>
      <c r="BP334" s="959">
        <v>233356</v>
      </c>
      <c r="BQ334" s="555">
        <v>204640</v>
      </c>
      <c r="BR334" s="555">
        <v>202489</v>
      </c>
      <c r="BS334" s="555">
        <v>203830</v>
      </c>
      <c r="BT334" s="802">
        <v>822062</v>
      </c>
      <c r="BU334" s="959">
        <v>209574</v>
      </c>
      <c r="BV334" s="555">
        <v>202820</v>
      </c>
      <c r="BW334" s="555">
        <v>198046</v>
      </c>
      <c r="BX334" s="555">
        <v>201228</v>
      </c>
      <c r="BY334" s="802">
        <v>799072</v>
      </c>
      <c r="BZ334" s="959">
        <v>207482</v>
      </c>
      <c r="CA334" s="555">
        <v>195522</v>
      </c>
      <c r="CB334" s="555">
        <v>192799</v>
      </c>
      <c r="CC334" s="555">
        <v>193108</v>
      </c>
      <c r="CD334" s="802">
        <v>771704</v>
      </c>
      <c r="CE334" s="959">
        <v>200154</v>
      </c>
      <c r="CF334" s="555">
        <v>195962</v>
      </c>
      <c r="CG334" s="555">
        <v>197164</v>
      </c>
      <c r="CH334" s="555">
        <v>193279</v>
      </c>
      <c r="CI334" s="802">
        <v>784502</v>
      </c>
      <c r="CJ334" s="959">
        <v>195909</v>
      </c>
      <c r="CK334" s="555">
        <v>194828</v>
      </c>
      <c r="CL334" s="555">
        <v>193670</v>
      </c>
      <c r="CM334" s="555">
        <v>194098</v>
      </c>
      <c r="CN334" s="802">
        <v>778505</v>
      </c>
      <c r="CO334" s="959">
        <v>197459</v>
      </c>
      <c r="CP334" s="555">
        <v>193971</v>
      </c>
      <c r="CQ334" s="555">
        <v>194965</v>
      </c>
      <c r="CR334" s="555">
        <v>193631</v>
      </c>
      <c r="CS334" s="802">
        <v>780026</v>
      </c>
      <c r="CT334" s="959">
        <v>202860</v>
      </c>
      <c r="CU334" s="555">
        <v>196932</v>
      </c>
      <c r="CV334" s="555">
        <v>197778</v>
      </c>
      <c r="CW334" s="555">
        <v>199304</v>
      </c>
      <c r="CX334" s="802">
        <v>796874</v>
      </c>
      <c r="CY334" s="959">
        <v>197665</v>
      </c>
      <c r="CZ334" s="555">
        <v>195440</v>
      </c>
      <c r="DA334" s="555">
        <v>196761</v>
      </c>
      <c r="DB334" s="555">
        <v>325410</v>
      </c>
      <c r="DC334" s="802">
        <v>915276</v>
      </c>
      <c r="DD334" s="959">
        <v>323810</v>
      </c>
      <c r="DE334" s="555">
        <v>337509</v>
      </c>
      <c r="DF334" s="555">
        <v>345787</v>
      </c>
      <c r="DG334" s="555">
        <v>347790</v>
      </c>
      <c r="DH334" s="802">
        <v>1354896</v>
      </c>
      <c r="DI334" s="1507">
        <v>349097</v>
      </c>
      <c r="DJ334" s="1507">
        <v>349145</v>
      </c>
      <c r="DK334" s="1507">
        <v>352352</v>
      </c>
      <c r="DL334" s="1507">
        <v>371994</v>
      </c>
      <c r="DM334" s="1506">
        <v>1422588</v>
      </c>
      <c r="DN334" s="1507">
        <v>362819</v>
      </c>
      <c r="DO334" s="1507">
        <v>342813</v>
      </c>
      <c r="DP334" s="1507">
        <v>345207</v>
      </c>
      <c r="DQ334" s="1507">
        <v>338929</v>
      </c>
      <c r="DR334" s="1004">
        <f t="shared" si="566"/>
        <v>1389768</v>
      </c>
      <c r="DS334" s="1290"/>
      <c r="DT334" s="561"/>
      <c r="DU334" s="561"/>
      <c r="DV334" s="1290"/>
      <c r="DW334" s="844"/>
      <c r="DX334" s="561"/>
      <c r="DY334" s="561"/>
      <c r="DZ334" s="561"/>
      <c r="EA334" s="561"/>
      <c r="EB334" s="844"/>
      <c r="EC334" s="561"/>
      <c r="ED334" s="561"/>
      <c r="EE334" s="561"/>
      <c r="EF334" s="561"/>
      <c r="EG334" s="844"/>
      <c r="EH334" s="561"/>
      <c r="EI334" s="561"/>
      <c r="EJ334" s="561"/>
      <c r="EK334" s="561"/>
      <c r="EL334" s="844"/>
    </row>
    <row r="335" spans="1:142" hidden="1" outlineLevel="1">
      <c r="A335" s="1300"/>
      <c r="B335" s="164" t="s">
        <v>204</v>
      </c>
      <c r="C335" s="164"/>
      <c r="D335" s="1301" t="s">
        <v>503</v>
      </c>
      <c r="E335" s="1301" t="s">
        <v>503</v>
      </c>
      <c r="F335" s="1301" t="s">
        <v>503</v>
      </c>
      <c r="G335" s="1301" t="s">
        <v>503</v>
      </c>
      <c r="H335" s="1302" t="s">
        <v>503</v>
      </c>
      <c r="I335" s="1301" t="s">
        <v>503</v>
      </c>
      <c r="J335" s="1301" t="s">
        <v>503</v>
      </c>
      <c r="K335" s="1301" t="s">
        <v>503</v>
      </c>
      <c r="L335" s="1301" t="s">
        <v>503</v>
      </c>
      <c r="M335" s="1302" t="s">
        <v>503</v>
      </c>
      <c r="N335" s="1301" t="s">
        <v>503</v>
      </c>
      <c r="O335" s="1301" t="s">
        <v>503</v>
      </c>
      <c r="P335" s="1301" t="s">
        <v>503</v>
      </c>
      <c r="Q335" s="1301" t="s">
        <v>503</v>
      </c>
      <c r="R335" s="1302" t="s">
        <v>503</v>
      </c>
      <c r="S335" s="1301" t="s">
        <v>503</v>
      </c>
      <c r="T335" s="1301" t="s">
        <v>503</v>
      </c>
      <c r="U335" s="1301" t="s">
        <v>503</v>
      </c>
      <c r="V335" s="1301" t="s">
        <v>503</v>
      </c>
      <c r="W335" s="1302" t="s">
        <v>503</v>
      </c>
      <c r="X335" s="1301" t="s">
        <v>503</v>
      </c>
      <c r="Y335" s="1301" t="s">
        <v>503</v>
      </c>
      <c r="Z335" s="1301" t="s">
        <v>503</v>
      </c>
      <c r="AA335" s="1301" t="s">
        <v>503</v>
      </c>
      <c r="AB335" s="1302" t="s">
        <v>503</v>
      </c>
      <c r="AC335" s="1301" t="s">
        <v>503</v>
      </c>
      <c r="AD335" s="1301" t="s">
        <v>503</v>
      </c>
      <c r="AE335" s="1301" t="s">
        <v>503</v>
      </c>
      <c r="AF335" s="1301" t="s">
        <v>503</v>
      </c>
      <c r="AG335" s="1302" t="s">
        <v>503</v>
      </c>
      <c r="AH335" s="1301" t="s">
        <v>503</v>
      </c>
      <c r="AI335" s="1301" t="s">
        <v>503</v>
      </c>
      <c r="AJ335" s="1301" t="s">
        <v>503</v>
      </c>
      <c r="AK335" s="1301" t="s">
        <v>503</v>
      </c>
      <c r="AL335" s="1302" t="s">
        <v>503</v>
      </c>
      <c r="AM335" s="1301" t="s">
        <v>503</v>
      </c>
      <c r="AN335" s="1301" t="s">
        <v>503</v>
      </c>
      <c r="AO335" s="1301" t="s">
        <v>503</v>
      </c>
      <c r="AP335" s="1301" t="s">
        <v>503</v>
      </c>
      <c r="AQ335" s="1302" t="s">
        <v>503</v>
      </c>
      <c r="AR335" s="1301" t="s">
        <v>503</v>
      </c>
      <c r="AS335" s="1301" t="s">
        <v>503</v>
      </c>
      <c r="AT335" s="1301" t="s">
        <v>503</v>
      </c>
      <c r="AU335" s="1303"/>
      <c r="AV335" s="1304" t="s">
        <v>503</v>
      </c>
      <c r="AW335" s="1304" t="s">
        <v>503</v>
      </c>
      <c r="AX335" s="1304" t="s">
        <v>503</v>
      </c>
      <c r="AY335" s="1304" t="s">
        <v>503</v>
      </c>
      <c r="AZ335" s="1305" t="s">
        <v>503</v>
      </c>
      <c r="BA335" s="1301" t="s">
        <v>503</v>
      </c>
      <c r="BB335" s="1301" t="s">
        <v>503</v>
      </c>
      <c r="BC335" s="1301" t="s">
        <v>503</v>
      </c>
      <c r="BD335" s="1301" t="s">
        <v>503</v>
      </c>
      <c r="BE335" s="1302" t="s">
        <v>503</v>
      </c>
      <c r="BF335" s="1301" t="s">
        <v>503</v>
      </c>
      <c r="BG335" s="1301" t="s">
        <v>503</v>
      </c>
      <c r="BH335" s="1301" t="s">
        <v>503</v>
      </c>
      <c r="BI335" s="1306" t="s">
        <v>503</v>
      </c>
      <c r="BJ335" s="1307" t="s">
        <v>503</v>
      </c>
      <c r="BK335" s="321" t="e">
        <f t="shared" ref="BK335:BY335" si="567">BK365-BK350</f>
        <v>#VALUE!</v>
      </c>
      <c r="BL335" s="321" t="e">
        <f t="shared" si="567"/>
        <v>#VALUE!</v>
      </c>
      <c r="BM335" s="321" t="e">
        <f t="shared" si="567"/>
        <v>#VALUE!</v>
      </c>
      <c r="BN335" s="1308" t="e">
        <f t="shared" si="567"/>
        <v>#VALUE!</v>
      </c>
      <c r="BO335" s="291" t="e">
        <f t="shared" si="567"/>
        <v>#VALUE!</v>
      </c>
      <c r="BP335" s="321" t="e">
        <f t="shared" si="567"/>
        <v>#VALUE!</v>
      </c>
      <c r="BQ335" s="321" t="e">
        <f t="shared" si="567"/>
        <v>#VALUE!</v>
      </c>
      <c r="BR335" s="321" t="e">
        <f t="shared" si="567"/>
        <v>#VALUE!</v>
      </c>
      <c r="BS335" s="1308" t="e">
        <f t="shared" si="567"/>
        <v>#VALUE!</v>
      </c>
      <c r="BT335" s="291" t="e">
        <f t="shared" si="567"/>
        <v>#VALUE!</v>
      </c>
      <c r="BU335" s="321" t="e">
        <f t="shared" si="567"/>
        <v>#VALUE!</v>
      </c>
      <c r="BV335" s="321" t="e">
        <f t="shared" si="567"/>
        <v>#VALUE!</v>
      </c>
      <c r="BW335" s="321" t="e">
        <f t="shared" si="567"/>
        <v>#VALUE!</v>
      </c>
      <c r="BX335" s="1308" t="e">
        <f t="shared" si="567"/>
        <v>#VALUE!</v>
      </c>
      <c r="BY335" s="291" t="e">
        <f t="shared" si="567"/>
        <v>#VALUE!</v>
      </c>
      <c r="BZ335" s="321">
        <v>137244</v>
      </c>
      <c r="CA335" s="321">
        <v>124972</v>
      </c>
      <c r="CB335" s="321">
        <v>121115</v>
      </c>
      <c r="CC335" s="1308">
        <v>122158</v>
      </c>
      <c r="CD335" s="291">
        <v>493811</v>
      </c>
      <c r="CE335" s="321">
        <v>127204</v>
      </c>
      <c r="CF335" s="321">
        <v>120227</v>
      </c>
      <c r="CG335" s="321">
        <v>119925</v>
      </c>
      <c r="CH335" s="1308">
        <v>119799</v>
      </c>
      <c r="CI335" s="291">
        <v>485750</v>
      </c>
      <c r="CJ335" s="321">
        <v>124299</v>
      </c>
      <c r="CK335" s="321">
        <v>119185</v>
      </c>
      <c r="CL335" s="321">
        <v>116672</v>
      </c>
      <c r="CM335" s="1308">
        <v>118583</v>
      </c>
      <c r="CN335" s="291">
        <v>478739</v>
      </c>
      <c r="CO335" s="321">
        <v>124762</v>
      </c>
      <c r="CP335" s="321">
        <v>119097</v>
      </c>
      <c r="CQ335" s="321">
        <v>118505</v>
      </c>
      <c r="CR335" s="1308">
        <v>116763</v>
      </c>
      <c r="CS335" s="291">
        <v>473943</v>
      </c>
      <c r="CT335" s="321">
        <v>122343</v>
      </c>
      <c r="CU335" s="321">
        <v>116195</v>
      </c>
      <c r="CV335" s="321">
        <v>115607</v>
      </c>
      <c r="CW335" s="1308">
        <v>116611</v>
      </c>
      <c r="CX335" s="291">
        <v>470756</v>
      </c>
      <c r="CY335" s="321">
        <v>117326</v>
      </c>
      <c r="CZ335" s="321">
        <v>111891</v>
      </c>
      <c r="DA335" s="321">
        <v>112760</v>
      </c>
      <c r="DB335" s="1308">
        <v>113573</v>
      </c>
      <c r="DC335" s="291">
        <v>455550</v>
      </c>
      <c r="DD335" s="321">
        <v>116064</v>
      </c>
      <c r="DE335" s="321">
        <v>116801</v>
      </c>
      <c r="DF335" s="321">
        <v>118580</v>
      </c>
      <c r="DG335" s="1308">
        <v>124600</v>
      </c>
      <c r="DH335" s="291" t="e">
        <f>DH365-DH350</f>
        <v>#VALUE!</v>
      </c>
      <c r="DI335" s="1511">
        <v>201436</v>
      </c>
      <c r="DJ335" s="1511">
        <v>191373</v>
      </c>
      <c r="DK335" s="1511">
        <v>190548</v>
      </c>
      <c r="DL335" s="1511">
        <v>200462</v>
      </c>
      <c r="DM335" s="1509">
        <v>779766</v>
      </c>
      <c r="DN335" s="1511">
        <v>201436</v>
      </c>
      <c r="DO335" s="1511">
        <v>183539</v>
      </c>
      <c r="DP335" s="1511">
        <v>183042</v>
      </c>
      <c r="DQ335" s="1511">
        <v>181617</v>
      </c>
      <c r="DR335" s="1004">
        <f t="shared" si="566"/>
        <v>749634</v>
      </c>
      <c r="DS335" s="1310"/>
      <c r="DT335" s="321"/>
      <c r="DU335" s="321"/>
      <c r="DV335" s="1311"/>
      <c r="DW335" s="1309"/>
      <c r="DX335" s="321"/>
      <c r="DY335" s="321"/>
      <c r="DZ335" s="321"/>
      <c r="EA335" s="321"/>
      <c r="EB335" s="1309"/>
      <c r="EC335" s="321"/>
      <c r="ED335" s="321"/>
      <c r="EE335" s="321"/>
      <c r="EF335" s="321"/>
      <c r="EG335" s="1309"/>
      <c r="EH335" s="321"/>
      <c r="EI335" s="321"/>
      <c r="EJ335" s="321"/>
      <c r="EK335" s="321"/>
      <c r="EL335" s="1309"/>
    </row>
    <row r="336" spans="1:142" hidden="1" outlineLevel="1">
      <c r="A336" s="1300"/>
      <c r="B336" s="1300" t="s">
        <v>205</v>
      </c>
      <c r="C336" s="1301"/>
      <c r="D336" s="1301" t="s">
        <v>503</v>
      </c>
      <c r="E336" s="1301" t="s">
        <v>503</v>
      </c>
      <c r="F336" s="1301" t="s">
        <v>503</v>
      </c>
      <c r="G336" s="1301" t="s">
        <v>503</v>
      </c>
      <c r="H336" s="1302" t="s">
        <v>503</v>
      </c>
      <c r="I336" s="1301" t="s">
        <v>503</v>
      </c>
      <c r="J336" s="1301" t="s">
        <v>503</v>
      </c>
      <c r="K336" s="1301" t="s">
        <v>503</v>
      </c>
      <c r="L336" s="1301" t="s">
        <v>503</v>
      </c>
      <c r="M336" s="1302" t="s">
        <v>503</v>
      </c>
      <c r="N336" s="1301" t="s">
        <v>503</v>
      </c>
      <c r="O336" s="1301" t="s">
        <v>503</v>
      </c>
      <c r="P336" s="1301" t="s">
        <v>503</v>
      </c>
      <c r="Q336" s="1301" t="s">
        <v>503</v>
      </c>
      <c r="R336" s="1302" t="s">
        <v>503</v>
      </c>
      <c r="S336" s="1301" t="s">
        <v>503</v>
      </c>
      <c r="T336" s="1301" t="s">
        <v>503</v>
      </c>
      <c r="U336" s="1301" t="s">
        <v>503</v>
      </c>
      <c r="V336" s="1301" t="s">
        <v>503</v>
      </c>
      <c r="W336" s="1302" t="s">
        <v>503</v>
      </c>
      <c r="X336" s="1301" t="s">
        <v>503</v>
      </c>
      <c r="Y336" s="1301" t="s">
        <v>503</v>
      </c>
      <c r="Z336" s="1301" t="s">
        <v>503</v>
      </c>
      <c r="AA336" s="1301" t="s">
        <v>503</v>
      </c>
      <c r="AB336" s="1302" t="s">
        <v>503</v>
      </c>
      <c r="AC336" s="1301" t="s">
        <v>503</v>
      </c>
      <c r="AD336" s="1301" t="s">
        <v>503</v>
      </c>
      <c r="AE336" s="1301" t="s">
        <v>503</v>
      </c>
      <c r="AF336" s="1301" t="s">
        <v>503</v>
      </c>
      <c r="AG336" s="1302" t="s">
        <v>503</v>
      </c>
      <c r="AH336" s="1301" t="s">
        <v>503</v>
      </c>
      <c r="AI336" s="1301" t="s">
        <v>503</v>
      </c>
      <c r="AJ336" s="1301" t="s">
        <v>503</v>
      </c>
      <c r="AK336" s="1301" t="s">
        <v>503</v>
      </c>
      <c r="AL336" s="1302" t="s">
        <v>503</v>
      </c>
      <c r="AM336" s="1301" t="s">
        <v>503</v>
      </c>
      <c r="AN336" s="1301" t="s">
        <v>503</v>
      </c>
      <c r="AO336" s="1301" t="s">
        <v>503</v>
      </c>
      <c r="AP336" s="1301" t="s">
        <v>503</v>
      </c>
      <c r="AQ336" s="1302" t="s">
        <v>503</v>
      </c>
      <c r="AR336" s="1301" t="s">
        <v>503</v>
      </c>
      <c r="AS336" s="1301" t="s">
        <v>503</v>
      </c>
      <c r="AT336" s="1301" t="s">
        <v>503</v>
      </c>
      <c r="AU336" s="1303"/>
      <c r="AV336" s="1304" t="s">
        <v>503</v>
      </c>
      <c r="AW336" s="1304" t="s">
        <v>503</v>
      </c>
      <c r="AX336" s="1304" t="s">
        <v>503</v>
      </c>
      <c r="AY336" s="1304" t="s">
        <v>503</v>
      </c>
      <c r="AZ336" s="1305" t="s">
        <v>503</v>
      </c>
      <c r="BA336" s="1301" t="s">
        <v>503</v>
      </c>
      <c r="BB336" s="1301" t="s">
        <v>503</v>
      </c>
      <c r="BC336" s="1301" t="s">
        <v>503</v>
      </c>
      <c r="BD336" s="1301" t="s">
        <v>503</v>
      </c>
      <c r="BE336" s="1302" t="s">
        <v>503</v>
      </c>
      <c r="BF336" s="1312">
        <f>BF369*BF364</f>
        <v>0</v>
      </c>
      <c r="BG336" s="1312">
        <f>BG369*BG364</f>
        <v>0</v>
      </c>
      <c r="BH336" s="1312">
        <f>BH369*BH364</f>
        <v>0</v>
      </c>
      <c r="BI336" s="1313">
        <f>BI369*BI364</f>
        <v>0</v>
      </c>
      <c r="BJ336" s="1314">
        <f>SUM(BF336:BI336)</f>
        <v>0</v>
      </c>
      <c r="BK336" s="320" t="s">
        <v>503</v>
      </c>
      <c r="BL336" s="320" t="s">
        <v>503</v>
      </c>
      <c r="BM336" s="1315">
        <v>86305</v>
      </c>
      <c r="BN336" s="562">
        <v>86066</v>
      </c>
      <c r="BO336" s="291" t="s">
        <v>503</v>
      </c>
      <c r="BP336" s="320">
        <v>91208</v>
      </c>
      <c r="BQ336" s="320">
        <v>75579</v>
      </c>
      <c r="BR336" s="1315">
        <v>73874</v>
      </c>
      <c r="BS336" s="562">
        <v>76605</v>
      </c>
      <c r="BT336" s="291">
        <f>SUM(BP336:BS336)</f>
        <v>317266</v>
      </c>
      <c r="BU336" s="320">
        <v>81373</v>
      </c>
      <c r="BV336" s="320">
        <v>75680</v>
      </c>
      <c r="BW336" s="1315">
        <v>71645</v>
      </c>
      <c r="BX336" s="562">
        <v>74878</v>
      </c>
      <c r="BY336" s="291">
        <f>SUM(BU336:BX336)</f>
        <v>303576</v>
      </c>
      <c r="BZ336" s="320">
        <v>81246</v>
      </c>
      <c r="CA336" s="320">
        <v>74025</v>
      </c>
      <c r="CB336" s="1315">
        <v>71218</v>
      </c>
      <c r="CC336" s="562">
        <v>73570</v>
      </c>
      <c r="CD336" s="291">
        <v>295473</v>
      </c>
      <c r="CE336" s="320">
        <v>78074</v>
      </c>
      <c r="CF336" s="320">
        <v>73701</v>
      </c>
      <c r="CG336" s="1315">
        <v>73082</v>
      </c>
      <c r="CH336" s="562">
        <v>73806</v>
      </c>
      <c r="CI336" s="291">
        <v>297911</v>
      </c>
      <c r="CJ336" s="320">
        <v>78484</v>
      </c>
      <c r="CK336" s="320">
        <v>74606</v>
      </c>
      <c r="CL336" s="1315">
        <v>72914</v>
      </c>
      <c r="CM336" s="562">
        <v>74648</v>
      </c>
      <c r="CN336" s="291">
        <v>300652</v>
      </c>
      <c r="CO336" s="320">
        <v>80763</v>
      </c>
      <c r="CP336" s="320">
        <v>76824</v>
      </c>
      <c r="CQ336" s="1315">
        <v>75624</v>
      </c>
      <c r="CR336" s="562">
        <v>76151</v>
      </c>
      <c r="CS336" s="291">
        <v>306424</v>
      </c>
      <c r="CT336" s="320">
        <v>81216</v>
      </c>
      <c r="CU336" s="320">
        <v>77604</v>
      </c>
      <c r="CV336" s="1315">
        <v>76617</v>
      </c>
      <c r="CW336" s="562">
        <v>77465</v>
      </c>
      <c r="CX336" s="291">
        <v>312902</v>
      </c>
      <c r="CY336" s="320">
        <v>80208</v>
      </c>
      <c r="CZ336" s="320">
        <v>75608</v>
      </c>
      <c r="DA336" s="1315">
        <v>75512</v>
      </c>
      <c r="DB336" s="562">
        <v>76872</v>
      </c>
      <c r="DC336" s="291">
        <v>308200</v>
      </c>
      <c r="DD336" s="320">
        <v>80910</v>
      </c>
      <c r="DE336" s="320">
        <v>80529</v>
      </c>
      <c r="DF336" s="1315">
        <v>80328</v>
      </c>
      <c r="DG336" s="562">
        <v>124600</v>
      </c>
      <c r="DH336" s="291">
        <v>479805</v>
      </c>
      <c r="DI336" s="1520">
        <v>133544</v>
      </c>
      <c r="DJ336" s="1520">
        <v>128570</v>
      </c>
      <c r="DK336" s="1521">
        <v>126050</v>
      </c>
      <c r="DL336" s="1517">
        <v>133108</v>
      </c>
      <c r="DM336" s="1509">
        <v>521272</v>
      </c>
      <c r="DN336" s="1517">
        <v>136056</v>
      </c>
      <c r="DO336" s="1517">
        <v>122283</v>
      </c>
      <c r="DP336" s="1517">
        <v>120447</v>
      </c>
      <c r="DQ336" s="1517">
        <v>120549</v>
      </c>
      <c r="DR336" s="1004">
        <f t="shared" si="566"/>
        <v>499335</v>
      </c>
      <c r="DS336" s="1316"/>
      <c r="DT336" s="435"/>
      <c r="DU336" s="435"/>
      <c r="DV336" s="1291"/>
      <c r="DW336" s="55"/>
      <c r="DX336" s="435"/>
      <c r="DY336" s="435"/>
      <c r="DZ336" s="435"/>
      <c r="EA336" s="435"/>
      <c r="EB336" s="55"/>
      <c r="EC336" s="435"/>
      <c r="ED336" s="435"/>
      <c r="EE336" s="435"/>
      <c r="EF336" s="435"/>
      <c r="EG336" s="55"/>
      <c r="EH336" s="435"/>
      <c r="EI336" s="435"/>
      <c r="EJ336" s="435"/>
      <c r="EK336" s="435"/>
      <c r="EL336" s="55"/>
    </row>
    <row r="337" spans="1:142" hidden="1" outlineLevel="1">
      <c r="A337" s="1300"/>
      <c r="B337" s="1300" t="s">
        <v>206</v>
      </c>
      <c r="C337" s="1301"/>
      <c r="D337" s="1301" t="s">
        <v>503</v>
      </c>
      <c r="E337" s="1301" t="s">
        <v>503</v>
      </c>
      <c r="F337" s="1301" t="s">
        <v>503</v>
      </c>
      <c r="G337" s="1301" t="s">
        <v>503</v>
      </c>
      <c r="H337" s="1302" t="s">
        <v>503</v>
      </c>
      <c r="I337" s="1301" t="s">
        <v>503</v>
      </c>
      <c r="J337" s="1301" t="s">
        <v>503</v>
      </c>
      <c r="K337" s="1301" t="s">
        <v>503</v>
      </c>
      <c r="L337" s="1301" t="s">
        <v>503</v>
      </c>
      <c r="M337" s="1302" t="s">
        <v>503</v>
      </c>
      <c r="N337" s="1301" t="s">
        <v>503</v>
      </c>
      <c r="O337" s="1301" t="s">
        <v>503</v>
      </c>
      <c r="P337" s="1301" t="s">
        <v>503</v>
      </c>
      <c r="Q337" s="1301" t="s">
        <v>503</v>
      </c>
      <c r="R337" s="1302" t="s">
        <v>503</v>
      </c>
      <c r="S337" s="1301" t="s">
        <v>503</v>
      </c>
      <c r="T337" s="1301" t="s">
        <v>503</v>
      </c>
      <c r="U337" s="1301" t="s">
        <v>503</v>
      </c>
      <c r="V337" s="1301" t="s">
        <v>503</v>
      </c>
      <c r="W337" s="1302" t="s">
        <v>503</v>
      </c>
      <c r="X337" s="1301" t="s">
        <v>503</v>
      </c>
      <c r="Y337" s="1301" t="s">
        <v>503</v>
      </c>
      <c r="Z337" s="1301" t="s">
        <v>503</v>
      </c>
      <c r="AA337" s="1301" t="s">
        <v>503</v>
      </c>
      <c r="AB337" s="1302" t="s">
        <v>503</v>
      </c>
      <c r="AC337" s="1301" t="s">
        <v>503</v>
      </c>
      <c r="AD337" s="1301" t="s">
        <v>503</v>
      </c>
      <c r="AE337" s="1301" t="s">
        <v>503</v>
      </c>
      <c r="AF337" s="1301" t="s">
        <v>503</v>
      </c>
      <c r="AG337" s="1302" t="s">
        <v>503</v>
      </c>
      <c r="AH337" s="1301" t="s">
        <v>503</v>
      </c>
      <c r="AI337" s="1301" t="s">
        <v>503</v>
      </c>
      <c r="AJ337" s="1301" t="s">
        <v>503</v>
      </c>
      <c r="AK337" s="1301" t="s">
        <v>503</v>
      </c>
      <c r="AL337" s="1302" t="s">
        <v>503</v>
      </c>
      <c r="AM337" s="1301" t="s">
        <v>503</v>
      </c>
      <c r="AN337" s="1301" t="s">
        <v>503</v>
      </c>
      <c r="AO337" s="1301" t="s">
        <v>503</v>
      </c>
      <c r="AP337" s="1301" t="s">
        <v>503</v>
      </c>
      <c r="AQ337" s="1302" t="s">
        <v>503</v>
      </c>
      <c r="AR337" s="1301" t="s">
        <v>503</v>
      </c>
      <c r="AS337" s="1301" t="s">
        <v>503</v>
      </c>
      <c r="AT337" s="1301" t="s">
        <v>503</v>
      </c>
      <c r="AU337" s="1303"/>
      <c r="AV337" s="1304" t="s">
        <v>503</v>
      </c>
      <c r="AW337" s="1304" t="s">
        <v>503</v>
      </c>
      <c r="AX337" s="1304" t="s">
        <v>503</v>
      </c>
      <c r="AY337" s="1304" t="s">
        <v>503</v>
      </c>
      <c r="AZ337" s="1305" t="s">
        <v>503</v>
      </c>
      <c r="BA337" s="1301" t="s">
        <v>503</v>
      </c>
      <c r="BB337" s="1301" t="s">
        <v>503</v>
      </c>
      <c r="BC337" s="1301" t="s">
        <v>503</v>
      </c>
      <c r="BD337" s="1301" t="s">
        <v>503</v>
      </c>
      <c r="BE337" s="1302" t="s">
        <v>503</v>
      </c>
      <c r="BF337" s="1301" t="s">
        <v>503</v>
      </c>
      <c r="BG337" s="1301" t="s">
        <v>503</v>
      </c>
      <c r="BH337" s="1301" t="s">
        <v>503</v>
      </c>
      <c r="BI337" s="1306" t="s">
        <v>503</v>
      </c>
      <c r="BJ337" s="1307" t="s">
        <v>503</v>
      </c>
      <c r="BK337" s="321" t="s">
        <v>503</v>
      </c>
      <c r="BL337" s="321" t="s">
        <v>503</v>
      </c>
      <c r="BM337" s="321" t="s">
        <v>503</v>
      </c>
      <c r="BN337" s="1308" t="s">
        <v>503</v>
      </c>
      <c r="BO337" s="1309" t="s">
        <v>503</v>
      </c>
      <c r="BP337" s="321" t="s">
        <v>503</v>
      </c>
      <c r="BQ337" s="321" t="s">
        <v>503</v>
      </c>
      <c r="BR337" s="321" t="s">
        <v>503</v>
      </c>
      <c r="BS337" s="1308" t="s">
        <v>503</v>
      </c>
      <c r="BT337" s="1309" t="s">
        <v>503</v>
      </c>
      <c r="BU337" s="321">
        <v>44015</v>
      </c>
      <c r="BV337" s="321">
        <v>43379</v>
      </c>
      <c r="BW337" s="321">
        <v>42159</v>
      </c>
      <c r="BX337" s="1308">
        <v>42314</v>
      </c>
      <c r="BY337" s="1309">
        <f>SUM(BU337:BX337)</f>
        <v>171867</v>
      </c>
      <c r="BZ337" s="321">
        <v>42028</v>
      </c>
      <c r="CA337" s="321">
        <v>40267</v>
      </c>
      <c r="CB337" s="321">
        <v>39507</v>
      </c>
      <c r="CC337" s="1308">
        <v>38713</v>
      </c>
      <c r="CD337" s="1309">
        <v>155896</v>
      </c>
      <c r="CE337" s="321">
        <v>38468</v>
      </c>
      <c r="CF337" s="321">
        <v>38298</v>
      </c>
      <c r="CG337" s="321">
        <v>38828</v>
      </c>
      <c r="CH337" s="1308">
        <v>37663</v>
      </c>
      <c r="CI337" s="1309">
        <v>152846</v>
      </c>
      <c r="CJ337" s="321">
        <v>37412</v>
      </c>
      <c r="CK337" s="321">
        <v>37786</v>
      </c>
      <c r="CL337" s="321">
        <v>37916</v>
      </c>
      <c r="CM337" s="1308">
        <v>37448</v>
      </c>
      <c r="CN337" s="1309">
        <v>150562</v>
      </c>
      <c r="CO337" s="321">
        <v>36753</v>
      </c>
      <c r="CP337" s="321">
        <v>36967</v>
      </c>
      <c r="CQ337" s="321">
        <v>37721</v>
      </c>
      <c r="CR337" s="1308">
        <v>35419</v>
      </c>
      <c r="CS337" s="1309">
        <v>144665</v>
      </c>
      <c r="CT337" s="321">
        <v>36237</v>
      </c>
      <c r="CU337" s="321">
        <v>35379</v>
      </c>
      <c r="CV337" s="321">
        <v>35161</v>
      </c>
      <c r="CW337" s="1308">
        <v>34511</v>
      </c>
      <c r="CX337" s="1309">
        <v>141288</v>
      </c>
      <c r="CY337" s="321">
        <v>33204</v>
      </c>
      <c r="CZ337" s="321">
        <v>34340</v>
      </c>
      <c r="DA337" s="321">
        <v>34971</v>
      </c>
      <c r="DB337" s="1308">
        <v>34198</v>
      </c>
      <c r="DC337" s="1309">
        <v>136713</v>
      </c>
      <c r="DD337" s="321">
        <v>33529</v>
      </c>
      <c r="DE337" s="321">
        <v>34369</v>
      </c>
      <c r="DF337" s="321">
        <v>35570</v>
      </c>
      <c r="DG337" s="1308">
        <v>54518</v>
      </c>
      <c r="DH337" s="1309">
        <f>SUM(DD337:DG337)</f>
        <v>157986</v>
      </c>
      <c r="DI337" s="1511">
        <v>56710</v>
      </c>
      <c r="DJ337" s="1511">
        <v>55282</v>
      </c>
      <c r="DK337" s="1511">
        <v>55977</v>
      </c>
      <c r="DL337" s="1510">
        <v>53071</v>
      </c>
      <c r="DM337" s="1509">
        <v>223863</v>
      </c>
      <c r="DN337" s="1510">
        <v>55755</v>
      </c>
      <c r="DO337" s="1510">
        <v>54380</v>
      </c>
      <c r="DP337" s="1510">
        <v>54701</v>
      </c>
      <c r="DQ337" s="1510">
        <v>53071</v>
      </c>
      <c r="DR337" s="1004">
        <f t="shared" si="566"/>
        <v>217907</v>
      </c>
      <c r="DS337" s="1310"/>
      <c r="DT337" s="321"/>
      <c r="DU337" s="321"/>
      <c r="DV337" s="1311"/>
      <c r="DW337" s="1309"/>
      <c r="DX337" s="321"/>
      <c r="DY337" s="321"/>
      <c r="DZ337" s="321"/>
      <c r="EA337" s="321"/>
      <c r="EB337" s="1309"/>
      <c r="EC337" s="321"/>
      <c r="ED337" s="321"/>
      <c r="EE337" s="321"/>
      <c r="EF337" s="321"/>
      <c r="EG337" s="1309"/>
      <c r="EH337" s="321"/>
      <c r="EI337" s="321"/>
      <c r="EJ337" s="321"/>
      <c r="EK337" s="321"/>
      <c r="EL337" s="1309"/>
    </row>
    <row r="338" spans="1:142" hidden="1" outlineLevel="1">
      <c r="A338" s="1300"/>
      <c r="B338" s="1300" t="s">
        <v>207</v>
      </c>
      <c r="C338" s="1301"/>
      <c r="D338" s="1301" t="s">
        <v>503</v>
      </c>
      <c r="E338" s="1301" t="s">
        <v>503</v>
      </c>
      <c r="F338" s="1301" t="s">
        <v>503</v>
      </c>
      <c r="G338" s="1301" t="s">
        <v>503</v>
      </c>
      <c r="H338" s="1302" t="s">
        <v>503</v>
      </c>
      <c r="I338" s="1301" t="s">
        <v>503</v>
      </c>
      <c r="J338" s="1301" t="s">
        <v>503</v>
      </c>
      <c r="K338" s="1301" t="s">
        <v>503</v>
      </c>
      <c r="L338" s="1301" t="s">
        <v>503</v>
      </c>
      <c r="M338" s="1302" t="s">
        <v>503</v>
      </c>
      <c r="N338" s="1301" t="s">
        <v>503</v>
      </c>
      <c r="O338" s="1301" t="s">
        <v>503</v>
      </c>
      <c r="P338" s="1301" t="s">
        <v>503</v>
      </c>
      <c r="Q338" s="1301" t="s">
        <v>503</v>
      </c>
      <c r="R338" s="1302" t="s">
        <v>503</v>
      </c>
      <c r="S338" s="1301" t="s">
        <v>503</v>
      </c>
      <c r="T338" s="1301" t="s">
        <v>503</v>
      </c>
      <c r="U338" s="1301" t="s">
        <v>503</v>
      </c>
      <c r="V338" s="1301" t="s">
        <v>503</v>
      </c>
      <c r="W338" s="1302" t="s">
        <v>503</v>
      </c>
      <c r="X338" s="1301" t="s">
        <v>503</v>
      </c>
      <c r="Y338" s="1301" t="s">
        <v>503</v>
      </c>
      <c r="Z338" s="1301" t="s">
        <v>503</v>
      </c>
      <c r="AA338" s="1301" t="s">
        <v>503</v>
      </c>
      <c r="AB338" s="1302" t="s">
        <v>503</v>
      </c>
      <c r="AC338" s="1301" t="s">
        <v>503</v>
      </c>
      <c r="AD338" s="1301" t="s">
        <v>503</v>
      </c>
      <c r="AE338" s="1301" t="s">
        <v>503</v>
      </c>
      <c r="AF338" s="1301" t="s">
        <v>503</v>
      </c>
      <c r="AG338" s="1302" t="s">
        <v>503</v>
      </c>
      <c r="AH338" s="1301" t="s">
        <v>503</v>
      </c>
      <c r="AI338" s="1301" t="s">
        <v>503</v>
      </c>
      <c r="AJ338" s="1301" t="s">
        <v>503</v>
      </c>
      <c r="AK338" s="1301" t="s">
        <v>503</v>
      </c>
      <c r="AL338" s="1302" t="s">
        <v>503</v>
      </c>
      <c r="AM338" s="1301" t="s">
        <v>503</v>
      </c>
      <c r="AN338" s="1301" t="s">
        <v>503</v>
      </c>
      <c r="AO338" s="1301" t="s">
        <v>503</v>
      </c>
      <c r="AP338" s="1301" t="s">
        <v>503</v>
      </c>
      <c r="AQ338" s="1302" t="s">
        <v>503</v>
      </c>
      <c r="AR338" s="1301" t="s">
        <v>503</v>
      </c>
      <c r="AS338" s="1301" t="s">
        <v>503</v>
      </c>
      <c r="AT338" s="1301" t="s">
        <v>503</v>
      </c>
      <c r="AU338" s="1303"/>
      <c r="AV338" s="1304" t="s">
        <v>503</v>
      </c>
      <c r="AW338" s="1304" t="s">
        <v>503</v>
      </c>
      <c r="AX338" s="1304" t="s">
        <v>503</v>
      </c>
      <c r="AY338" s="1304" t="s">
        <v>503</v>
      </c>
      <c r="AZ338" s="1305" t="s">
        <v>503</v>
      </c>
      <c r="BA338" s="1301" t="s">
        <v>503</v>
      </c>
      <c r="BB338" s="1301" t="s">
        <v>503</v>
      </c>
      <c r="BC338" s="1301" t="s">
        <v>503</v>
      </c>
      <c r="BD338" s="1301" t="s">
        <v>503</v>
      </c>
      <c r="BE338" s="1302" t="s">
        <v>503</v>
      </c>
      <c r="BF338" s="1301" t="s">
        <v>503</v>
      </c>
      <c r="BG338" s="1301" t="s">
        <v>503</v>
      </c>
      <c r="BH338" s="1301" t="s">
        <v>503</v>
      </c>
      <c r="BI338" s="1306" t="s">
        <v>503</v>
      </c>
      <c r="BJ338" s="1307" t="s">
        <v>503</v>
      </c>
      <c r="BK338" s="321" t="s">
        <v>503</v>
      </c>
      <c r="BL338" s="321" t="s">
        <v>503</v>
      </c>
      <c r="BM338" s="321" t="s">
        <v>503</v>
      </c>
      <c r="BN338" s="1308" t="s">
        <v>503</v>
      </c>
      <c r="BO338" s="1309" t="s">
        <v>503</v>
      </c>
      <c r="BP338" s="321" t="s">
        <v>503</v>
      </c>
      <c r="BQ338" s="321" t="s">
        <v>503</v>
      </c>
      <c r="BR338" s="321" t="s">
        <v>503</v>
      </c>
      <c r="BS338" s="1308" t="s">
        <v>503</v>
      </c>
      <c r="BT338" s="1309" t="s">
        <v>503</v>
      </c>
      <c r="BU338" s="321">
        <v>55892</v>
      </c>
      <c r="BV338" s="321">
        <v>56305</v>
      </c>
      <c r="BW338" s="321">
        <v>55603</v>
      </c>
      <c r="BX338" s="1308">
        <v>54516</v>
      </c>
      <c r="BY338" s="1309">
        <f>SUM(BU338:BX338)</f>
        <v>222316</v>
      </c>
      <c r="BZ338" s="321">
        <v>53316</v>
      </c>
      <c r="CA338" s="321">
        <v>53386</v>
      </c>
      <c r="CB338" s="321">
        <v>51364</v>
      </c>
      <c r="CC338" s="1308">
        <v>52201</v>
      </c>
      <c r="CD338" s="1309">
        <v>205117</v>
      </c>
      <c r="CE338" s="321">
        <v>51835</v>
      </c>
      <c r="CF338" s="321">
        <v>53277</v>
      </c>
      <c r="CG338" s="321">
        <v>52906</v>
      </c>
      <c r="CH338" s="1308">
        <v>52092</v>
      </c>
      <c r="CI338" s="1309">
        <v>209294</v>
      </c>
      <c r="CJ338" s="321">
        <v>50586</v>
      </c>
      <c r="CK338" s="321">
        <v>53499</v>
      </c>
      <c r="CL338" s="321">
        <v>53148</v>
      </c>
      <c r="CM338" s="1308">
        <v>52411</v>
      </c>
      <c r="CN338" s="1309">
        <v>209644</v>
      </c>
      <c r="CO338" s="321">
        <v>52001</v>
      </c>
      <c r="CP338" s="321">
        <v>55283</v>
      </c>
      <c r="CQ338" s="321">
        <v>56222</v>
      </c>
      <c r="CR338" s="1308">
        <v>55781</v>
      </c>
      <c r="CS338" s="1309">
        <v>217621</v>
      </c>
      <c r="CT338" s="321">
        <v>56991</v>
      </c>
      <c r="CU338" s="321">
        <v>60043</v>
      </c>
      <c r="CV338" s="321">
        <v>59099</v>
      </c>
      <c r="CW338" s="1308">
        <v>63534</v>
      </c>
      <c r="CX338" s="1309">
        <v>239667</v>
      </c>
      <c r="CY338" s="321">
        <v>68209</v>
      </c>
      <c r="CZ338" s="321">
        <v>74329</v>
      </c>
      <c r="DA338" s="321">
        <v>76084</v>
      </c>
      <c r="DB338" s="1308">
        <v>84878</v>
      </c>
      <c r="DC338" s="1309">
        <v>303500</v>
      </c>
      <c r="DD338" s="321">
        <v>81205</v>
      </c>
      <c r="DE338" s="321">
        <v>89783</v>
      </c>
      <c r="DF338" s="321">
        <v>91472</v>
      </c>
      <c r="DG338" s="1308">
        <v>126818</v>
      </c>
      <c r="DH338" s="1309">
        <f>SUM(DD338:DG338)</f>
        <v>389278</v>
      </c>
      <c r="DI338" s="1511">
        <v>67693</v>
      </c>
      <c r="DJ338" s="1511">
        <v>72241</v>
      </c>
      <c r="DK338" s="1511">
        <v>73960</v>
      </c>
      <c r="DL338" s="1510">
        <v>73678</v>
      </c>
      <c r="DM338" s="1509">
        <v>293264</v>
      </c>
      <c r="DN338" s="1510">
        <v>76829</v>
      </c>
      <c r="DO338" s="1510">
        <v>75821</v>
      </c>
      <c r="DP338" s="1510">
        <v>72646</v>
      </c>
      <c r="DQ338" s="1510">
        <v>73678</v>
      </c>
      <c r="DR338" s="1004">
        <f t="shared" si="566"/>
        <v>298974</v>
      </c>
      <c r="DS338" s="1310"/>
      <c r="DT338" s="321"/>
      <c r="DU338" s="321"/>
      <c r="DV338" s="1311"/>
      <c r="DW338" s="1309"/>
      <c r="DX338" s="321"/>
      <c r="DY338" s="321"/>
      <c r="DZ338" s="321"/>
      <c r="EA338" s="321"/>
      <c r="EB338" s="1309"/>
      <c r="EC338" s="321"/>
      <c r="ED338" s="321"/>
      <c r="EE338" s="321"/>
      <c r="EF338" s="321"/>
      <c r="EG338" s="1309"/>
      <c r="EH338" s="321"/>
      <c r="EI338" s="321"/>
      <c r="EJ338" s="321"/>
      <c r="EK338" s="321"/>
      <c r="EL338" s="1309"/>
    </row>
    <row r="339" spans="1:142" hidden="1" outlineLevel="1">
      <c r="A339" s="557"/>
      <c r="B339" s="557" t="s">
        <v>198</v>
      </c>
      <c r="C339" s="1203"/>
      <c r="D339" s="1203" t="s">
        <v>503</v>
      </c>
      <c r="E339" s="1203" t="s">
        <v>503</v>
      </c>
      <c r="F339" s="1203" t="s">
        <v>503</v>
      </c>
      <c r="G339" s="1203" t="s">
        <v>503</v>
      </c>
      <c r="H339" s="1188" t="s">
        <v>503</v>
      </c>
      <c r="I339" s="1203" t="s">
        <v>503</v>
      </c>
      <c r="J339" s="1203" t="s">
        <v>503</v>
      </c>
      <c r="K339" s="1203" t="s">
        <v>503</v>
      </c>
      <c r="L339" s="1203" t="s">
        <v>503</v>
      </c>
      <c r="M339" s="1188" t="s">
        <v>503</v>
      </c>
      <c r="N339" s="1203" t="s">
        <v>503</v>
      </c>
      <c r="O339" s="1203" t="s">
        <v>503</v>
      </c>
      <c r="P339" s="1203" t="s">
        <v>503</v>
      </c>
      <c r="Q339" s="1203" t="s">
        <v>503</v>
      </c>
      <c r="R339" s="1188" t="s">
        <v>503</v>
      </c>
      <c r="S339" s="1203" t="s">
        <v>503</v>
      </c>
      <c r="T339" s="1203" t="s">
        <v>503</v>
      </c>
      <c r="U339" s="1203" t="s">
        <v>503</v>
      </c>
      <c r="V339" s="1203" t="s">
        <v>503</v>
      </c>
      <c r="W339" s="1188" t="s">
        <v>503</v>
      </c>
      <c r="X339" s="1203" t="s">
        <v>503</v>
      </c>
      <c r="Y339" s="1203" t="s">
        <v>503</v>
      </c>
      <c r="Z339" s="1203" t="s">
        <v>503</v>
      </c>
      <c r="AA339" s="1203" t="s">
        <v>503</v>
      </c>
      <c r="AB339" s="1188" t="s">
        <v>503</v>
      </c>
      <c r="AC339" s="1203" t="s">
        <v>503</v>
      </c>
      <c r="AD339" s="1203" t="s">
        <v>503</v>
      </c>
      <c r="AE339" s="1203" t="s">
        <v>503</v>
      </c>
      <c r="AF339" s="1203" t="s">
        <v>503</v>
      </c>
      <c r="AG339" s="1188" t="s">
        <v>503</v>
      </c>
      <c r="AH339" s="1203" t="s">
        <v>503</v>
      </c>
      <c r="AI339" s="1203" t="s">
        <v>503</v>
      </c>
      <c r="AJ339" s="1203" t="s">
        <v>503</v>
      </c>
      <c r="AK339" s="1203" t="s">
        <v>503</v>
      </c>
      <c r="AL339" s="1188" t="s">
        <v>503</v>
      </c>
      <c r="AM339" s="1203" t="s">
        <v>503</v>
      </c>
      <c r="AN339" s="1203" t="s">
        <v>503</v>
      </c>
      <c r="AO339" s="1203" t="s">
        <v>503</v>
      </c>
      <c r="AP339" s="1203" t="s">
        <v>503</v>
      </c>
      <c r="AQ339" s="1188" t="s">
        <v>503</v>
      </c>
      <c r="AR339" s="1203" t="s">
        <v>503</v>
      </c>
      <c r="AS339" s="1203" t="s">
        <v>503</v>
      </c>
      <c r="AT339" s="1203" t="s">
        <v>503</v>
      </c>
      <c r="AU339" s="802"/>
      <c r="AV339" s="708" t="s">
        <v>503</v>
      </c>
      <c r="AW339" s="708" t="s">
        <v>503</v>
      </c>
      <c r="AX339" s="708" t="s">
        <v>503</v>
      </c>
      <c r="AY339" s="708" t="s">
        <v>503</v>
      </c>
      <c r="AZ339" s="1188" t="s">
        <v>503</v>
      </c>
      <c r="BA339" s="1203" t="s">
        <v>503</v>
      </c>
      <c r="BB339" s="1203" t="s">
        <v>503</v>
      </c>
      <c r="BC339" s="1203" t="s">
        <v>503</v>
      </c>
      <c r="BD339" s="1203" t="s">
        <v>503</v>
      </c>
      <c r="BE339" s="1204" t="s">
        <v>503</v>
      </c>
      <c r="BF339" s="1203" t="s">
        <v>503</v>
      </c>
      <c r="BG339" s="1203" t="s">
        <v>503</v>
      </c>
      <c r="BH339" s="1203" t="s">
        <v>503</v>
      </c>
      <c r="BI339" s="1203" t="s">
        <v>503</v>
      </c>
      <c r="BJ339" s="1204" t="s">
        <v>503</v>
      </c>
      <c r="BK339" s="901">
        <v>123101</v>
      </c>
      <c r="BL339" s="901">
        <v>125907</v>
      </c>
      <c r="BM339" s="555">
        <v>120871</v>
      </c>
      <c r="BN339" s="555">
        <v>114226</v>
      </c>
      <c r="BO339" s="802">
        <v>484105</v>
      </c>
      <c r="BP339" s="901">
        <v>117838</v>
      </c>
      <c r="BQ339" s="901">
        <v>104897</v>
      </c>
      <c r="BR339" s="555">
        <v>101089</v>
      </c>
      <c r="BS339" s="555">
        <v>99480</v>
      </c>
      <c r="BT339" s="802">
        <v>411164</v>
      </c>
      <c r="BU339" s="901">
        <v>99907</v>
      </c>
      <c r="BV339" s="901">
        <v>99684</v>
      </c>
      <c r="BW339" s="555">
        <v>98240</v>
      </c>
      <c r="BX339" s="555">
        <v>96891</v>
      </c>
      <c r="BY339" s="802">
        <v>388996</v>
      </c>
      <c r="BZ339" s="901">
        <v>95585</v>
      </c>
      <c r="CA339" s="901">
        <v>93970</v>
      </c>
      <c r="CB339" s="555">
        <v>91407</v>
      </c>
      <c r="CC339" s="555">
        <v>91470</v>
      </c>
      <c r="CD339" s="802">
        <v>362663</v>
      </c>
      <c r="CE339" s="901">
        <v>90867</v>
      </c>
      <c r="CF339" s="901">
        <v>92166</v>
      </c>
      <c r="CG339" s="555">
        <v>92437</v>
      </c>
      <c r="CH339" s="555">
        <v>90470</v>
      </c>
      <c r="CI339" s="802">
        <v>364713</v>
      </c>
      <c r="CJ339" s="901">
        <v>87998</v>
      </c>
      <c r="CK339" s="901">
        <v>91285</v>
      </c>
      <c r="CL339" s="555">
        <v>91064</v>
      </c>
      <c r="CM339" s="555">
        <v>89859</v>
      </c>
      <c r="CN339" s="802">
        <v>360206</v>
      </c>
      <c r="CO339" s="901">
        <v>87507</v>
      </c>
      <c r="CP339" s="901">
        <v>91005</v>
      </c>
      <c r="CQ339" s="555">
        <v>92574</v>
      </c>
      <c r="CR339" s="555">
        <v>91200</v>
      </c>
      <c r="CS339" s="802">
        <v>362286</v>
      </c>
      <c r="CT339" s="901">
        <v>93228</v>
      </c>
      <c r="CU339" s="901">
        <v>95422</v>
      </c>
      <c r="CV339" s="555">
        <v>94260</v>
      </c>
      <c r="CW339" s="555">
        <v>98045</v>
      </c>
      <c r="CX339" s="802">
        <v>380955</v>
      </c>
      <c r="CY339" s="901">
        <v>101413</v>
      </c>
      <c r="CZ339" s="901">
        <v>108669</v>
      </c>
      <c r="DA339" s="555">
        <v>111055</v>
      </c>
      <c r="DB339" s="555">
        <v>168730</v>
      </c>
      <c r="DC339" s="802">
        <v>489867</v>
      </c>
      <c r="DD339" s="901">
        <v>162282</v>
      </c>
      <c r="DE339" s="901">
        <v>173664</v>
      </c>
      <c r="DF339" s="555">
        <v>178439</v>
      </c>
      <c r="DG339" s="555">
        <v>183250</v>
      </c>
      <c r="DH339" s="802">
        <v>697635</v>
      </c>
      <c r="DI339" s="1519">
        <v>121403</v>
      </c>
      <c r="DJ339" s="1519">
        <v>127523</v>
      </c>
      <c r="DK339" s="1507">
        <v>129937</v>
      </c>
      <c r="DL339" s="1507">
        <v>138264</v>
      </c>
      <c r="DM339" s="1506">
        <v>517127</v>
      </c>
      <c r="DN339" s="1005">
        <f>SUM(DN337:DN338)</f>
        <v>132584</v>
      </c>
      <c r="DO339" s="1005">
        <f>SUM(DO337:DO338)</f>
        <v>130201</v>
      </c>
      <c r="DP339" s="1005">
        <f>SUM(DP337:DP338)</f>
        <v>127347</v>
      </c>
      <c r="DQ339" s="1005">
        <f>SUM(DQ337:DQ338)</f>
        <v>126749</v>
      </c>
      <c r="DR339" s="1004">
        <f t="shared" si="566"/>
        <v>516881</v>
      </c>
      <c r="DS339" s="1290"/>
      <c r="DT339" s="561"/>
      <c r="DU339" s="561"/>
      <c r="DV339" s="1290"/>
      <c r="DW339" s="844"/>
      <c r="DX339" s="561"/>
      <c r="DY339" s="561"/>
      <c r="DZ339" s="561"/>
      <c r="EA339" s="561"/>
      <c r="EB339" s="844"/>
      <c r="EC339" s="561"/>
      <c r="ED339" s="561"/>
      <c r="EE339" s="561"/>
      <c r="EF339" s="561"/>
      <c r="EG339" s="844"/>
      <c r="EH339" s="561"/>
      <c r="EI339" s="561"/>
      <c r="EJ339" s="561"/>
      <c r="EK339" s="561"/>
      <c r="EL339" s="844"/>
    </row>
    <row r="340" spans="1:142" hidden="1" outlineLevel="1">
      <c r="A340" s="557"/>
      <c r="B340" s="557" t="s">
        <v>132</v>
      </c>
      <c r="C340" s="1201"/>
      <c r="D340" s="1201">
        <v>268939</v>
      </c>
      <c r="E340" s="1201">
        <v>266541</v>
      </c>
      <c r="F340" s="1201">
        <v>289897</v>
      </c>
      <c r="G340" s="960">
        <f>H340-SUM(D340:F340)</f>
        <v>682488</v>
      </c>
      <c r="H340" s="1202">
        <v>1507865</v>
      </c>
      <c r="I340" s="1201">
        <v>619226</v>
      </c>
      <c r="J340" s="1201">
        <v>661141</v>
      </c>
      <c r="K340" s="1201">
        <v>734293</v>
      </c>
      <c r="L340" s="960">
        <f>M340-SUM(I340:K340)</f>
        <v>695402</v>
      </c>
      <c r="M340" s="1202">
        <v>2710062</v>
      </c>
      <c r="N340" s="1201">
        <v>665006</v>
      </c>
      <c r="O340" s="1201">
        <v>677525</v>
      </c>
      <c r="P340" s="1201">
        <v>1119362</v>
      </c>
      <c r="Q340" s="960">
        <f>R340-SUM(N340:P340)</f>
        <v>1637816</v>
      </c>
      <c r="R340" s="1202">
        <v>4099709</v>
      </c>
      <c r="S340" s="1201">
        <v>1054439</v>
      </c>
      <c r="T340" s="1201">
        <v>1099812</v>
      </c>
      <c r="U340" s="1201">
        <v>1230830</v>
      </c>
      <c r="V340" s="960">
        <f>W340-SUM(S340:U340)</f>
        <v>1162231</v>
      </c>
      <c r="W340" s="1202">
        <v>4547312</v>
      </c>
      <c r="X340" s="1201">
        <v>1113315</v>
      </c>
      <c r="Y340" s="1201">
        <v>1136595</v>
      </c>
      <c r="Z340" s="1201">
        <v>1304313</v>
      </c>
      <c r="AA340" s="960">
        <f>AB340-SUM(X340:Z340)</f>
        <v>1327216</v>
      </c>
      <c r="AB340" s="1202">
        <v>4881439</v>
      </c>
      <c r="AC340" s="1201">
        <v>1223438</v>
      </c>
      <c r="AD340" s="1201">
        <v>1184765</v>
      </c>
      <c r="AE340" s="1201">
        <v>1274739</v>
      </c>
      <c r="AF340" s="960">
        <f>AG340-SUM(AC340:AE340)</f>
        <v>1205707</v>
      </c>
      <c r="AG340" s="1202">
        <v>4888649</v>
      </c>
      <c r="AH340" s="1201">
        <v>1183421</v>
      </c>
      <c r="AI340" s="1201">
        <v>1192364</v>
      </c>
      <c r="AJ340" s="1201">
        <v>1269277</v>
      </c>
      <c r="AK340" s="960">
        <f>AL340-SUM(AH340:AJ340)</f>
        <v>1291691</v>
      </c>
      <c r="AL340" s="1202">
        <v>4936753</v>
      </c>
      <c r="AM340" s="1201">
        <v>1275551</v>
      </c>
      <c r="AN340" s="1201">
        <v>1281472</v>
      </c>
      <c r="AO340" s="1201">
        <v>1375943</v>
      </c>
      <c r="AP340" s="960">
        <f>AQ340-SUM(AM340:AO340)</f>
        <v>1402953</v>
      </c>
      <c r="AQ340" s="1202">
        <v>5335919</v>
      </c>
      <c r="AR340" s="1201">
        <v>1343673</v>
      </c>
      <c r="AS340" s="1201">
        <v>1349050</v>
      </c>
      <c r="AT340" s="1201">
        <v>1388530</v>
      </c>
      <c r="AU340" s="802"/>
      <c r="AV340" s="708" t="s">
        <v>503</v>
      </c>
      <c r="AW340" s="708" t="s">
        <v>503</v>
      </c>
      <c r="AX340" s="708" t="s">
        <v>503</v>
      </c>
      <c r="AY340" s="708" t="s">
        <v>503</v>
      </c>
      <c r="AZ340" s="1188" t="s">
        <v>503</v>
      </c>
      <c r="BA340" s="1201">
        <v>1313502</v>
      </c>
      <c r="BB340" s="1201">
        <v>1256929</v>
      </c>
      <c r="BC340" s="1201">
        <v>1235744</v>
      </c>
      <c r="BD340" s="960">
        <f>BE340-SUM(BA340:BC340)</f>
        <v>1213134</v>
      </c>
      <c r="BE340" s="1202">
        <v>5019309</v>
      </c>
      <c r="BF340" s="1201">
        <v>979258</v>
      </c>
      <c r="BG340" s="1201">
        <v>897777</v>
      </c>
      <c r="BH340" s="1201">
        <v>877620</v>
      </c>
      <c r="BI340" s="1201">
        <v>877259</v>
      </c>
      <c r="BJ340" s="1202">
        <v>3565672</v>
      </c>
      <c r="BK340" s="959">
        <v>934203</v>
      </c>
      <c r="BL340" s="901">
        <v>865396</v>
      </c>
      <c r="BM340" s="555">
        <v>834601</v>
      </c>
      <c r="BN340" s="555">
        <v>809577</v>
      </c>
      <c r="BO340" s="802">
        <v>3443777</v>
      </c>
      <c r="BP340" s="959">
        <v>855620</v>
      </c>
      <c r="BQ340" s="901">
        <v>710339</v>
      </c>
      <c r="BR340" s="555">
        <v>695656</v>
      </c>
      <c r="BS340" s="555">
        <v>705249</v>
      </c>
      <c r="BT340" s="802">
        <v>2881383</v>
      </c>
      <c r="BU340" s="959">
        <v>745651</v>
      </c>
      <c r="BV340" s="901">
        <v>693016</v>
      </c>
      <c r="BW340" s="555">
        <v>671502</v>
      </c>
      <c r="BX340" s="555">
        <v>682853</v>
      </c>
      <c r="BY340" s="802">
        <v>2757848</v>
      </c>
      <c r="BZ340" s="959">
        <v>739709</v>
      </c>
      <c r="CA340" s="901">
        <v>659534</v>
      </c>
      <c r="CB340" s="555">
        <v>634755</v>
      </c>
      <c r="CC340" s="555">
        <v>641594</v>
      </c>
      <c r="CD340" s="802">
        <v>2622227</v>
      </c>
      <c r="CE340" s="959">
        <v>679657</v>
      </c>
      <c r="CF340" s="901">
        <v>629714</v>
      </c>
      <c r="CG340" s="555">
        <v>622427</v>
      </c>
      <c r="CH340" s="555">
        <v>628438</v>
      </c>
      <c r="CI340" s="802">
        <v>2553215</v>
      </c>
      <c r="CJ340" s="959">
        <v>652952</v>
      </c>
      <c r="CK340" s="901">
        <v>614365</v>
      </c>
      <c r="CL340" s="555">
        <v>596810</v>
      </c>
      <c r="CM340" s="555">
        <v>608890</v>
      </c>
      <c r="CN340" s="802">
        <v>2473017</v>
      </c>
      <c r="CO340" s="959">
        <v>635463</v>
      </c>
      <c r="CP340" s="901">
        <v>595986</v>
      </c>
      <c r="CQ340" s="555">
        <v>591948</v>
      </c>
      <c r="CR340" s="555">
        <v>589848</v>
      </c>
      <c r="CS340" s="802">
        <v>2413245</v>
      </c>
      <c r="CT340" s="959">
        <v>617459</v>
      </c>
      <c r="CU340" s="901">
        <v>590437</v>
      </c>
      <c r="CV340" s="555">
        <v>580594</v>
      </c>
      <c r="CW340" s="555">
        <v>580426</v>
      </c>
      <c r="CX340" s="802">
        <v>2368916</v>
      </c>
      <c r="CY340" s="959">
        <v>603285</v>
      </c>
      <c r="CZ340" s="901">
        <v>567390</v>
      </c>
      <c r="DA340" s="555">
        <v>569833</v>
      </c>
      <c r="DB340" s="555">
        <v>880737</v>
      </c>
      <c r="DC340" s="802">
        <v>2621245</v>
      </c>
      <c r="DD340" s="959">
        <v>929164</v>
      </c>
      <c r="DE340" s="901">
        <v>907093</v>
      </c>
      <c r="DF340" s="555">
        <v>921228</v>
      </c>
      <c r="DG340" s="555">
        <v>937803</v>
      </c>
      <c r="DH340" s="802">
        <v>3695288</v>
      </c>
      <c r="DI340" s="1507">
        <v>975912</v>
      </c>
      <c r="DJ340" s="1519">
        <v>929840</v>
      </c>
      <c r="DK340" s="1507">
        <v>927964</v>
      </c>
      <c r="DL340" s="1507">
        <v>983856</v>
      </c>
      <c r="DM340" s="1506">
        <v>3817572</v>
      </c>
      <c r="DN340" s="1507">
        <v>1010514</v>
      </c>
      <c r="DO340" s="1507">
        <v>897313</v>
      </c>
      <c r="DP340" s="1507">
        <v>894323</v>
      </c>
      <c r="DQ340" s="1507">
        <v>888185</v>
      </c>
      <c r="DR340" s="1004">
        <f t="shared" si="566"/>
        <v>3690335</v>
      </c>
      <c r="DS340" s="1291"/>
      <c r="DT340" s="558"/>
      <c r="DU340" s="558"/>
      <c r="DV340" s="1291"/>
      <c r="DW340" s="78"/>
      <c r="DX340" s="558"/>
      <c r="DY340" s="558"/>
      <c r="DZ340" s="558"/>
      <c r="EA340" s="558"/>
      <c r="EB340" s="78"/>
      <c r="EC340" s="558"/>
      <c r="ED340" s="558"/>
      <c r="EE340" s="558"/>
      <c r="EF340" s="558"/>
      <c r="EG340" s="78"/>
      <c r="EH340" s="558"/>
      <c r="EI340" s="558"/>
      <c r="EJ340" s="558"/>
      <c r="EK340" s="558"/>
      <c r="EL340" s="78"/>
    </row>
    <row r="341" spans="1:142" hidden="1" outlineLevel="1">
      <c r="A341" s="557"/>
      <c r="B341" s="557" t="s">
        <v>134</v>
      </c>
      <c r="C341" s="1203"/>
      <c r="D341" s="1203" t="s">
        <v>503</v>
      </c>
      <c r="E341" s="1201">
        <v>350812</v>
      </c>
      <c r="F341" s="1201">
        <v>375131</v>
      </c>
      <c r="G341" s="960">
        <f>H341-SUM(D341:F341)</f>
        <v>1271565</v>
      </c>
      <c r="H341" s="1202">
        <v>1997508</v>
      </c>
      <c r="I341" s="1201">
        <v>860955</v>
      </c>
      <c r="J341" s="1201">
        <v>894989</v>
      </c>
      <c r="K341" s="1201">
        <v>1058125</v>
      </c>
      <c r="L341" s="960">
        <f>M341-SUM(I341:K341)</f>
        <v>982115</v>
      </c>
      <c r="M341" s="1202">
        <v>3796184</v>
      </c>
      <c r="N341" s="1201">
        <v>955578</v>
      </c>
      <c r="O341" s="1201">
        <v>968680</v>
      </c>
      <c r="P341" s="1201">
        <v>1571915</v>
      </c>
      <c r="Q341" s="960">
        <f>R341-SUM(N341:P341)</f>
        <v>2321078</v>
      </c>
      <c r="R341" s="1202">
        <v>5817251</v>
      </c>
      <c r="S341" s="1201">
        <v>1486640</v>
      </c>
      <c r="T341" s="1201">
        <v>1661469</v>
      </c>
      <c r="U341" s="1201">
        <v>1728411</v>
      </c>
      <c r="V341" s="960">
        <f>W341-SUM(S341:U341)</f>
        <v>1681005</v>
      </c>
      <c r="W341" s="1202">
        <v>6557525</v>
      </c>
      <c r="X341" s="1201">
        <v>1624041</v>
      </c>
      <c r="Y341" s="1201">
        <v>1638011</v>
      </c>
      <c r="Z341" s="1201">
        <v>1832782</v>
      </c>
      <c r="AA341" s="960">
        <f>AB341-SUM(X341:Z341)</f>
        <v>1902245</v>
      </c>
      <c r="AB341" s="1202">
        <v>6997079</v>
      </c>
      <c r="AC341" s="1201">
        <v>1787716</v>
      </c>
      <c r="AD341" s="1201">
        <v>1695214</v>
      </c>
      <c r="AE341" s="1201">
        <v>1770750</v>
      </c>
      <c r="AF341" s="960">
        <f>AG341-SUM(AC341:AE341)</f>
        <v>1721626</v>
      </c>
      <c r="AG341" s="1202">
        <v>6975306</v>
      </c>
      <c r="AH341" s="1201">
        <v>1624041</v>
      </c>
      <c r="AI341" s="1201">
        <v>1690618</v>
      </c>
      <c r="AJ341" s="1201">
        <v>1755163</v>
      </c>
      <c r="AK341" s="960">
        <f>AL341-SUM(AH341:AJ341)</f>
        <v>1886717</v>
      </c>
      <c r="AL341" s="1202">
        <v>6956539</v>
      </c>
      <c r="AM341" s="1201">
        <v>1816959</v>
      </c>
      <c r="AN341" s="1201">
        <v>1816168</v>
      </c>
      <c r="AO341" s="1201">
        <v>1907956</v>
      </c>
      <c r="AP341" s="960">
        <f>AQ341-SUM(AM341:AO341)</f>
        <v>1975223</v>
      </c>
      <c r="AQ341" s="1202">
        <v>7516306</v>
      </c>
      <c r="AR341" s="1201">
        <v>1895385</v>
      </c>
      <c r="AS341" s="1201">
        <v>1891584</v>
      </c>
      <c r="AT341" s="1201">
        <v>1917816</v>
      </c>
      <c r="AU341" s="802"/>
      <c r="AV341" s="708" t="s">
        <v>503</v>
      </c>
      <c r="AW341" s="708" t="s">
        <v>503</v>
      </c>
      <c r="AX341" s="708" t="s">
        <v>503</v>
      </c>
      <c r="AY341" s="708" t="s">
        <v>503</v>
      </c>
      <c r="AZ341" s="1188" t="s">
        <v>503</v>
      </c>
      <c r="BA341" s="1201">
        <v>1795249</v>
      </c>
      <c r="BB341" s="1201">
        <v>1738964</v>
      </c>
      <c r="BC341" s="1201">
        <v>1716357</v>
      </c>
      <c r="BD341" s="960">
        <f>BE341-SUM(BA341:BC341)</f>
        <v>1670246</v>
      </c>
      <c r="BE341" s="1202">
        <v>6920816</v>
      </c>
      <c r="BF341" s="1201">
        <v>1345076</v>
      </c>
      <c r="BG341" s="1201">
        <v>1259222</v>
      </c>
      <c r="BH341" s="1201">
        <v>1231594</v>
      </c>
      <c r="BI341" s="1201">
        <v>1226873</v>
      </c>
      <c r="BJ341" s="1202">
        <v>4971323</v>
      </c>
      <c r="BK341" s="959">
        <v>1291165</v>
      </c>
      <c r="BL341" s="901">
        <v>1222322</v>
      </c>
      <c r="BM341" s="555">
        <v>1179032</v>
      </c>
      <c r="BN341" s="555">
        <v>1134196</v>
      </c>
      <c r="BO341" s="802">
        <v>4826715</v>
      </c>
      <c r="BP341" s="959">
        <v>1191546</v>
      </c>
      <c r="BQ341" s="901">
        <v>1008689</v>
      </c>
      <c r="BR341" s="555">
        <v>990535</v>
      </c>
      <c r="BS341" s="555">
        <v>997836</v>
      </c>
      <c r="BT341" s="802">
        <v>4066907</v>
      </c>
      <c r="BU341" s="959">
        <v>1047936</v>
      </c>
      <c r="BV341" s="901">
        <v>998019</v>
      </c>
      <c r="BW341" s="555">
        <v>968418</v>
      </c>
      <c r="BX341" s="555">
        <v>978344</v>
      </c>
      <c r="BY341" s="802">
        <v>3937329</v>
      </c>
      <c r="BZ341" s="959">
        <v>1044642</v>
      </c>
      <c r="CA341" s="901">
        <v>955538</v>
      </c>
      <c r="CB341" s="555">
        <v>930381</v>
      </c>
      <c r="CC341" s="555">
        <v>934829</v>
      </c>
      <c r="CD341" s="802">
        <v>3788063</v>
      </c>
      <c r="CE341" s="959">
        <v>988935</v>
      </c>
      <c r="CF341" s="901">
        <v>940472</v>
      </c>
      <c r="CG341" s="555">
        <v>935375</v>
      </c>
      <c r="CH341" s="555">
        <v>930542</v>
      </c>
      <c r="CI341" s="802">
        <v>3785230</v>
      </c>
      <c r="CJ341" s="959">
        <v>958248</v>
      </c>
      <c r="CK341" s="901">
        <v>929186</v>
      </c>
      <c r="CL341" s="555">
        <v>913049</v>
      </c>
      <c r="CM341" s="555">
        <v>923219</v>
      </c>
      <c r="CN341" s="802">
        <v>3723702</v>
      </c>
      <c r="CO341" s="959">
        <v>948356</v>
      </c>
      <c r="CP341" s="901">
        <v>912369</v>
      </c>
      <c r="CQ341" s="555">
        <v>909960</v>
      </c>
      <c r="CR341" s="555">
        <v>902762</v>
      </c>
      <c r="CS341" s="802">
        <v>3673447</v>
      </c>
      <c r="CT341" s="959">
        <v>947116</v>
      </c>
      <c r="CU341" s="901">
        <v>919895</v>
      </c>
      <c r="CV341" s="555">
        <v>911233</v>
      </c>
      <c r="CW341" s="555">
        <v>915584</v>
      </c>
      <c r="CX341" s="802">
        <v>3693828</v>
      </c>
      <c r="CY341" s="959">
        <v>939840</v>
      </c>
      <c r="CZ341" s="901">
        <v>909720</v>
      </c>
      <c r="DA341" s="555">
        <v>912483</v>
      </c>
      <c r="DB341" s="555">
        <v>1481291</v>
      </c>
      <c r="DC341" s="802">
        <v>4243334</v>
      </c>
      <c r="DD341" s="959">
        <v>1525379</v>
      </c>
      <c r="DE341" s="901">
        <v>1563681</v>
      </c>
      <c r="DF341" s="555">
        <v>1574346</v>
      </c>
      <c r="DG341" s="555">
        <v>1592166</v>
      </c>
      <c r="DH341" s="802">
        <v>6255572</v>
      </c>
      <c r="DI341" s="1507">
        <v>1618516</v>
      </c>
      <c r="DJ341" s="1519">
        <v>1589659</v>
      </c>
      <c r="DK341" s="1507">
        <v>1601494</v>
      </c>
      <c r="DL341" s="1507">
        <v>1710620</v>
      </c>
      <c r="DM341" s="1506">
        <v>6520289</v>
      </c>
      <c r="DN341" s="1507">
        <v>1714369</v>
      </c>
      <c r="DO341" s="1507">
        <v>1569272</v>
      </c>
      <c r="DP341" s="1507">
        <v>1567894</v>
      </c>
      <c r="DQ341" s="1507">
        <v>1543490</v>
      </c>
      <c r="DR341" s="1004">
        <f t="shared" si="566"/>
        <v>6395025</v>
      </c>
      <c r="DS341" s="1284"/>
      <c r="DT341" s="558"/>
      <c r="DU341" s="558"/>
      <c r="DV341" s="1284"/>
      <c r="DW341" s="78"/>
      <c r="DX341" s="558"/>
      <c r="DY341" s="558"/>
      <c r="DZ341" s="558"/>
      <c r="EA341" s="558"/>
      <c r="EB341" s="78"/>
      <c r="EC341" s="558"/>
      <c r="ED341" s="558"/>
      <c r="EE341" s="558"/>
      <c r="EF341" s="558"/>
      <c r="EG341" s="78"/>
      <c r="EH341" s="558"/>
      <c r="EI341" s="558"/>
      <c r="EJ341" s="558"/>
      <c r="EK341" s="558"/>
      <c r="EL341" s="78"/>
    </row>
    <row r="342" spans="1:142" hidden="1" outlineLevel="1">
      <c r="A342" s="557"/>
      <c r="B342" s="557" t="s">
        <v>136</v>
      </c>
      <c r="C342" s="1209"/>
      <c r="D342" s="1209">
        <v>5.5</v>
      </c>
      <c r="E342" s="1209">
        <v>5.5</v>
      </c>
      <c r="F342" s="1209">
        <v>5.6</v>
      </c>
      <c r="G342" s="1203" t="s">
        <v>503</v>
      </c>
      <c r="H342" s="1210">
        <v>5.6</v>
      </c>
      <c r="I342" s="1209">
        <v>5.6</v>
      </c>
      <c r="J342" s="1209">
        <v>5.5</v>
      </c>
      <c r="K342" s="1209">
        <v>5.6</v>
      </c>
      <c r="L342" s="1203" t="s">
        <v>503</v>
      </c>
      <c r="M342" s="1210">
        <v>5.6</v>
      </c>
      <c r="N342" s="1209">
        <v>5.4</v>
      </c>
      <c r="O342" s="1209">
        <v>5.4</v>
      </c>
      <c r="P342" s="1209">
        <v>5.3</v>
      </c>
      <c r="Q342" s="1203" t="s">
        <v>503</v>
      </c>
      <c r="R342" s="1210">
        <v>5.2</v>
      </c>
      <c r="S342" s="1209">
        <v>5.0999999999999996</v>
      </c>
      <c r="T342" s="1209">
        <v>5.2</v>
      </c>
      <c r="U342" s="1209">
        <v>5.3</v>
      </c>
      <c r="V342" s="1203" t="s">
        <v>503</v>
      </c>
      <c r="W342" s="1210">
        <v>5.2</v>
      </c>
      <c r="X342" s="1209">
        <v>5.0999999999999996</v>
      </c>
      <c r="Y342" s="1209">
        <v>5.0999999999999996</v>
      </c>
      <c r="Z342" s="1209">
        <v>5.2</v>
      </c>
      <c r="AA342" s="1203" t="s">
        <v>503</v>
      </c>
      <c r="AB342" s="1210">
        <v>5.2</v>
      </c>
      <c r="AC342" s="1209">
        <v>5.0999999999999996</v>
      </c>
      <c r="AD342" s="1209">
        <v>5.2</v>
      </c>
      <c r="AE342" s="1209">
        <v>5.3</v>
      </c>
      <c r="AF342" s="1203" t="s">
        <v>503</v>
      </c>
      <c r="AG342" s="1210">
        <v>5.2</v>
      </c>
      <c r="AH342" s="1209">
        <v>5.2</v>
      </c>
      <c r="AI342" s="1209">
        <v>5.2</v>
      </c>
      <c r="AJ342" s="1209">
        <v>5.3</v>
      </c>
      <c r="AK342" s="1203" t="s">
        <v>503</v>
      </c>
      <c r="AL342" s="1210">
        <v>5.3</v>
      </c>
      <c r="AM342" s="1209">
        <v>5.3</v>
      </c>
      <c r="AN342" s="1209">
        <v>5.3</v>
      </c>
      <c r="AO342" s="1209">
        <v>5.4</v>
      </c>
      <c r="AP342" s="1203" t="s">
        <v>503</v>
      </c>
      <c r="AQ342" s="1210">
        <v>5.3</v>
      </c>
      <c r="AR342" s="1209">
        <v>5.3</v>
      </c>
      <c r="AS342" s="1209">
        <v>5.3</v>
      </c>
      <c r="AT342" s="1209">
        <v>5.3</v>
      </c>
      <c r="AU342" s="802"/>
      <c r="AV342" s="708" t="s">
        <v>503</v>
      </c>
      <c r="AW342" s="708" t="s">
        <v>503</v>
      </c>
      <c r="AX342" s="708" t="s">
        <v>503</v>
      </c>
      <c r="AY342" s="708" t="s">
        <v>503</v>
      </c>
      <c r="AZ342" s="1188" t="s">
        <v>503</v>
      </c>
      <c r="BA342" s="1209">
        <v>5.4</v>
      </c>
      <c r="BB342" s="1209">
        <v>5.3</v>
      </c>
      <c r="BC342" s="1209">
        <v>5.2</v>
      </c>
      <c r="BD342" s="1203" t="s">
        <v>503</v>
      </c>
      <c r="BE342" s="1210">
        <v>5.3</v>
      </c>
      <c r="BF342" s="1209">
        <v>5.3</v>
      </c>
      <c r="BG342" s="1209">
        <v>5.2</v>
      </c>
      <c r="BH342" s="1209">
        <v>5.0999999999999996</v>
      </c>
      <c r="BI342" s="1209">
        <v>5.2</v>
      </c>
      <c r="BJ342" s="1210">
        <v>5.2</v>
      </c>
      <c r="BK342" s="555">
        <v>5.2</v>
      </c>
      <c r="BL342" s="555">
        <v>5.0999999999999996</v>
      </c>
      <c r="BM342" s="555">
        <v>5.0999999999999996</v>
      </c>
      <c r="BN342" s="555">
        <v>5.0999999999999996</v>
      </c>
      <c r="BO342" s="802">
        <v>5.2</v>
      </c>
      <c r="BP342" s="555">
        <v>5.0999999999999996</v>
      </c>
      <c r="BQ342" s="555">
        <v>5</v>
      </c>
      <c r="BR342" s="555">
        <v>4.9000000000000004</v>
      </c>
      <c r="BS342" s="555">
        <v>4.9000000000000004</v>
      </c>
      <c r="BT342" s="802">
        <v>5</v>
      </c>
      <c r="BU342" s="555">
        <v>5</v>
      </c>
      <c r="BV342" s="555">
        <v>5</v>
      </c>
      <c r="BW342" s="555">
        <v>4.9000000000000004</v>
      </c>
      <c r="BX342" s="555">
        <v>4.9000000000000004</v>
      </c>
      <c r="BY342" s="802">
        <v>5</v>
      </c>
      <c r="BZ342" s="555">
        <v>5.0999999999999996</v>
      </c>
      <c r="CA342" s="555">
        <v>4.9000000000000004</v>
      </c>
      <c r="CB342" s="555">
        <v>4.9000000000000004</v>
      </c>
      <c r="CC342" s="555">
        <v>4.9000000000000004</v>
      </c>
      <c r="CD342" s="802">
        <v>4.9000000000000004</v>
      </c>
      <c r="CE342" s="555">
        <v>5</v>
      </c>
      <c r="CF342" s="555">
        <v>4.8</v>
      </c>
      <c r="CG342" s="555">
        <v>4.8</v>
      </c>
      <c r="CH342" s="555">
        <v>4.8</v>
      </c>
      <c r="CI342" s="802">
        <v>4.9000000000000004</v>
      </c>
      <c r="CJ342" s="555">
        <v>4.9000000000000004</v>
      </c>
      <c r="CK342" s="555">
        <v>4.8</v>
      </c>
      <c r="CL342" s="555">
        <v>4.7</v>
      </c>
      <c r="CM342" s="555">
        <v>4.8</v>
      </c>
      <c r="CN342" s="802">
        <v>4.8</v>
      </c>
      <c r="CO342" s="555">
        <v>4.83</v>
      </c>
      <c r="CP342" s="555">
        <v>4.75</v>
      </c>
      <c r="CQ342" s="555">
        <v>4.72</v>
      </c>
      <c r="CR342" s="555">
        <v>4.71</v>
      </c>
      <c r="CS342" s="802">
        <v>4.75</v>
      </c>
      <c r="CT342" s="555">
        <v>4.71</v>
      </c>
      <c r="CU342" s="555">
        <v>4.72</v>
      </c>
      <c r="CV342" s="555">
        <v>4.6500000000000004</v>
      </c>
      <c r="CW342" s="555">
        <v>4.63</v>
      </c>
      <c r="CX342" s="802">
        <v>4.68</v>
      </c>
      <c r="CY342" s="555">
        <v>4.79</v>
      </c>
      <c r="CZ342" s="555">
        <v>4.7</v>
      </c>
      <c r="DA342" s="555">
        <v>4.6900000000000004</v>
      </c>
      <c r="DB342" s="555">
        <v>4.62</v>
      </c>
      <c r="DC342" s="802">
        <v>4.6900000000000004</v>
      </c>
      <c r="DD342" s="555">
        <v>4.78</v>
      </c>
      <c r="DE342" s="555">
        <v>4.66</v>
      </c>
      <c r="DF342" s="555">
        <v>4.6100000000000003</v>
      </c>
      <c r="DG342" s="555">
        <v>4.63</v>
      </c>
      <c r="DH342" s="802">
        <v>4.67</v>
      </c>
      <c r="DI342" s="1282">
        <v>4.68</v>
      </c>
      <c r="DJ342" s="1282">
        <v>4.6100000000000003</v>
      </c>
      <c r="DK342" s="1282">
        <v>4.5999999999999996</v>
      </c>
      <c r="DL342" s="1282">
        <v>4.6399999999999997</v>
      </c>
      <c r="DM342" s="1279">
        <v>4.63</v>
      </c>
      <c r="DN342" s="1566">
        <v>4.7699999999999996</v>
      </c>
      <c r="DO342" s="1566">
        <v>4.63</v>
      </c>
      <c r="DP342" s="1566">
        <v>4.5999999999999996</v>
      </c>
      <c r="DQ342" s="1566">
        <v>4.62</v>
      </c>
      <c r="DR342" s="1567">
        <f>AVERAGE(DN342:DQ342)</f>
        <v>4.6549999999999994</v>
      </c>
      <c r="DS342" s="1290"/>
      <c r="DT342" s="561"/>
      <c r="DU342" s="561"/>
      <c r="DV342" s="1290"/>
      <c r="DW342" s="844"/>
      <c r="DX342" s="561"/>
      <c r="DY342" s="561"/>
      <c r="DZ342" s="561"/>
      <c r="EA342" s="561"/>
      <c r="EB342" s="844"/>
      <c r="EC342" s="561"/>
      <c r="ED342" s="561"/>
      <c r="EE342" s="561"/>
      <c r="EF342" s="561"/>
      <c r="EG342" s="844"/>
      <c r="EH342" s="561"/>
      <c r="EI342" s="561"/>
      <c r="EJ342" s="561"/>
      <c r="EK342" s="561"/>
      <c r="EL342" s="844"/>
    </row>
    <row r="343" spans="1:142" hidden="1" outlineLevel="1">
      <c r="A343" s="557"/>
      <c r="B343" s="557" t="s">
        <v>193</v>
      </c>
      <c r="C343" s="1201"/>
      <c r="D343" s="1201">
        <v>6622</v>
      </c>
      <c r="E343" s="1201">
        <v>6622</v>
      </c>
      <c r="F343" s="1201">
        <v>6620</v>
      </c>
      <c r="G343" s="960">
        <f>H343</f>
        <v>15622</v>
      </c>
      <c r="H343" s="1202">
        <v>15622</v>
      </c>
      <c r="I343" s="1201">
        <v>16210</v>
      </c>
      <c r="J343" s="1201">
        <v>16827</v>
      </c>
      <c r="K343" s="1201">
        <v>16874</v>
      </c>
      <c r="L343" s="960">
        <f>M343</f>
        <v>16666</v>
      </c>
      <c r="M343" s="1202">
        <v>16666</v>
      </c>
      <c r="N343" s="1201">
        <v>17031</v>
      </c>
      <c r="O343" s="1201">
        <v>17344</v>
      </c>
      <c r="P343" s="1201">
        <v>27366</v>
      </c>
      <c r="Q343" s="960">
        <f>R343</f>
        <v>27959</v>
      </c>
      <c r="R343" s="1202">
        <v>27959</v>
      </c>
      <c r="S343" s="1201">
        <v>28691</v>
      </c>
      <c r="T343" s="1201">
        <v>28715</v>
      </c>
      <c r="U343" s="1201">
        <v>28433</v>
      </c>
      <c r="V343" s="960">
        <f>W343</f>
        <v>27867</v>
      </c>
      <c r="W343" s="1202">
        <v>27867</v>
      </c>
      <c r="X343" s="1201">
        <v>28126</v>
      </c>
      <c r="Y343" s="1201">
        <v>30410</v>
      </c>
      <c r="Z343" s="1201">
        <v>30471</v>
      </c>
      <c r="AA343" s="960">
        <f>AB343</f>
        <v>30791</v>
      </c>
      <c r="AB343" s="1202">
        <v>30791</v>
      </c>
      <c r="AC343" s="1201">
        <v>30731</v>
      </c>
      <c r="AD343" s="1201">
        <v>27625</v>
      </c>
      <c r="AE343" s="1201">
        <v>27414</v>
      </c>
      <c r="AF343" s="960">
        <f>AG343</f>
        <v>26939</v>
      </c>
      <c r="AG343" s="1202">
        <v>26939</v>
      </c>
      <c r="AH343" s="1201">
        <v>26965</v>
      </c>
      <c r="AI343" s="1201">
        <v>27008</v>
      </c>
      <c r="AJ343" s="1201">
        <v>26931</v>
      </c>
      <c r="AK343" s="960">
        <f>AL343</f>
        <v>27277</v>
      </c>
      <c r="AL343" s="1202">
        <v>27277</v>
      </c>
      <c r="AM343" s="1201">
        <v>28166</v>
      </c>
      <c r="AN343" s="1201">
        <v>28262</v>
      </c>
      <c r="AO343" s="1201">
        <v>28677</v>
      </c>
      <c r="AP343" s="960">
        <f>AQ343</f>
        <v>28667</v>
      </c>
      <c r="AQ343" s="1202">
        <v>28667</v>
      </c>
      <c r="AR343" s="1201">
        <v>28134</v>
      </c>
      <c r="AS343" s="1201">
        <v>27748</v>
      </c>
      <c r="AT343" s="1201">
        <v>27882</v>
      </c>
      <c r="AU343" s="802"/>
      <c r="AV343" s="708" t="s">
        <v>503</v>
      </c>
      <c r="AW343" s="708" t="s">
        <v>503</v>
      </c>
      <c r="AX343" s="708" t="s">
        <v>503</v>
      </c>
      <c r="AY343" s="708" t="s">
        <v>503</v>
      </c>
      <c r="AZ343" s="1188" t="s">
        <v>503</v>
      </c>
      <c r="BA343" s="1201">
        <v>24933</v>
      </c>
      <c r="BB343" s="1201">
        <v>24911</v>
      </c>
      <c r="BC343" s="1201">
        <v>24861</v>
      </c>
      <c r="BD343" s="960">
        <f>BE343</f>
        <v>24649</v>
      </c>
      <c r="BE343" s="1202">
        <v>24649</v>
      </c>
      <c r="BF343" s="1201">
        <v>18764</v>
      </c>
      <c r="BG343" s="1201">
        <v>18784</v>
      </c>
      <c r="BH343" s="1201">
        <v>18090</v>
      </c>
      <c r="BI343" s="1201">
        <v>17902</v>
      </c>
      <c r="BJ343" s="1202">
        <v>17902</v>
      </c>
      <c r="BK343" s="959">
        <v>17941</v>
      </c>
      <c r="BL343" s="901">
        <v>17897</v>
      </c>
      <c r="BM343" s="555">
        <v>17859</v>
      </c>
      <c r="BN343" s="555">
        <v>17863</v>
      </c>
      <c r="BO343" s="802">
        <v>17863</v>
      </c>
      <c r="BP343" s="959">
        <v>17851</v>
      </c>
      <c r="BQ343" s="901">
        <v>15047</v>
      </c>
      <c r="BR343" s="555">
        <v>14941</v>
      </c>
      <c r="BS343" s="555">
        <v>14941</v>
      </c>
      <c r="BT343" s="802">
        <v>14941</v>
      </c>
      <c r="BU343" s="959">
        <v>14957</v>
      </c>
      <c r="BV343" s="901">
        <v>15081</v>
      </c>
      <c r="BW343" s="555">
        <v>14486</v>
      </c>
      <c r="BX343" s="555">
        <v>14516</v>
      </c>
      <c r="BY343" s="802">
        <v>14516</v>
      </c>
      <c r="BZ343" s="959">
        <v>14459</v>
      </c>
      <c r="CA343" s="901">
        <v>13864</v>
      </c>
      <c r="CB343" s="555">
        <v>13531</v>
      </c>
      <c r="CC343" s="555">
        <v>13562</v>
      </c>
      <c r="CD343" s="802">
        <v>13562</v>
      </c>
      <c r="CE343" s="959">
        <v>13580</v>
      </c>
      <c r="CF343" s="901">
        <v>13419</v>
      </c>
      <c r="CG343" s="555">
        <v>13419</v>
      </c>
      <c r="CH343" s="555">
        <v>13436</v>
      </c>
      <c r="CI343" s="802">
        <v>13436</v>
      </c>
      <c r="CJ343" s="959">
        <v>13430</v>
      </c>
      <c r="CK343" s="901">
        <v>13420</v>
      </c>
      <c r="CL343" s="555">
        <v>13430</v>
      </c>
      <c r="CM343" s="555">
        <v>13428</v>
      </c>
      <c r="CN343" s="802">
        <v>13428</v>
      </c>
      <c r="CO343" s="959">
        <v>13123</v>
      </c>
      <c r="CP343" s="901">
        <v>13086</v>
      </c>
      <c r="CQ343" s="555">
        <v>13119</v>
      </c>
      <c r="CR343" s="555">
        <v>13119</v>
      </c>
      <c r="CS343" s="802">
        <v>13119</v>
      </c>
      <c r="CT343" s="959">
        <v>13175</v>
      </c>
      <c r="CU343" s="901">
        <v>13176</v>
      </c>
      <c r="CV343" s="555">
        <v>13216</v>
      </c>
      <c r="CW343" s="555">
        <v>13216</v>
      </c>
      <c r="CX343" s="802">
        <v>13216</v>
      </c>
      <c r="CY343" s="959">
        <v>13180</v>
      </c>
      <c r="CZ343" s="901">
        <v>13180</v>
      </c>
      <c r="DA343" s="555">
        <v>13180</v>
      </c>
      <c r="DB343" s="555">
        <v>20293</v>
      </c>
      <c r="DC343" s="802">
        <v>20293</v>
      </c>
      <c r="DD343" s="959">
        <v>20279</v>
      </c>
      <c r="DE343" s="901">
        <v>20553</v>
      </c>
      <c r="DF343" s="555">
        <v>20762</v>
      </c>
      <c r="DG343" s="555">
        <v>20814</v>
      </c>
      <c r="DH343" s="802">
        <v>20814</v>
      </c>
      <c r="DI343" s="1507">
        <v>20826</v>
      </c>
      <c r="DJ343" s="1519">
        <v>20826</v>
      </c>
      <c r="DK343" s="1507">
        <v>21527</v>
      </c>
      <c r="DL343" s="1507">
        <v>22525</v>
      </c>
      <c r="DM343" s="1506">
        <v>22525</v>
      </c>
      <c r="DN343" s="1507">
        <v>21529</v>
      </c>
      <c r="DO343" s="1507">
        <v>20380</v>
      </c>
      <c r="DP343" s="1507">
        <v>20340</v>
      </c>
      <c r="DQ343" s="1507">
        <v>20354</v>
      </c>
      <c r="DR343" s="1004">
        <f>DQ343</f>
        <v>20354</v>
      </c>
      <c r="DS343" s="1290"/>
      <c r="DT343" s="561"/>
      <c r="DU343" s="561"/>
      <c r="DV343" s="1290"/>
      <c r="DW343" s="844"/>
      <c r="DX343" s="561"/>
      <c r="DY343" s="561"/>
      <c r="DZ343" s="561"/>
      <c r="EA343" s="561"/>
      <c r="EB343" s="844"/>
      <c r="EC343" s="561"/>
      <c r="ED343" s="561"/>
      <c r="EE343" s="561"/>
      <c r="EF343" s="561"/>
      <c r="EG343" s="844"/>
      <c r="EH343" s="561"/>
      <c r="EI343" s="561"/>
      <c r="EJ343" s="561"/>
      <c r="EK343" s="561"/>
      <c r="EL343" s="844"/>
    </row>
    <row r="344" spans="1:142" hidden="1" outlineLevel="1">
      <c r="A344" s="557"/>
      <c r="B344" s="557" t="s">
        <v>194</v>
      </c>
      <c r="C344" s="1203"/>
      <c r="D344" s="1203">
        <v>6764</v>
      </c>
      <c r="E344" s="1203" t="s">
        <v>503</v>
      </c>
      <c r="F344" s="1203" t="s">
        <v>503</v>
      </c>
      <c r="G344" s="1203" t="s">
        <v>503</v>
      </c>
      <c r="H344" s="1188"/>
      <c r="I344" s="1203" t="s">
        <v>503</v>
      </c>
      <c r="J344" s="1203" t="s">
        <v>503</v>
      </c>
      <c r="K344" s="1203" t="s">
        <v>503</v>
      </c>
      <c r="L344" s="1203" t="s">
        <v>503</v>
      </c>
      <c r="M344" s="1188" t="s">
        <v>503</v>
      </c>
      <c r="N344" s="1203" t="s">
        <v>503</v>
      </c>
      <c r="O344" s="1203" t="s">
        <v>503</v>
      </c>
      <c r="P344" s="1203" t="s">
        <v>503</v>
      </c>
      <c r="Q344" s="1203" t="s">
        <v>503</v>
      </c>
      <c r="R344" s="1188" t="s">
        <v>503</v>
      </c>
      <c r="S344" s="1203" t="s">
        <v>503</v>
      </c>
      <c r="T344" s="1203" t="s">
        <v>503</v>
      </c>
      <c r="U344" s="1203" t="s">
        <v>503</v>
      </c>
      <c r="V344" s="1203" t="s">
        <v>503</v>
      </c>
      <c r="W344" s="1188" t="s">
        <v>503</v>
      </c>
      <c r="X344" s="1203" t="s">
        <v>503</v>
      </c>
      <c r="Y344" s="1203" t="s">
        <v>503</v>
      </c>
      <c r="Z344" s="1203" t="s">
        <v>503</v>
      </c>
      <c r="AA344" s="1203" t="s">
        <v>503</v>
      </c>
      <c r="AB344" s="1188" t="s">
        <v>503</v>
      </c>
      <c r="AC344" s="1203" t="s">
        <v>503</v>
      </c>
      <c r="AD344" s="1203" t="s">
        <v>503</v>
      </c>
      <c r="AE344" s="1203" t="s">
        <v>503</v>
      </c>
      <c r="AF344" s="1203" t="s">
        <v>503</v>
      </c>
      <c r="AG344" s="1188" t="s">
        <v>503</v>
      </c>
      <c r="AH344" s="1203" t="s">
        <v>503</v>
      </c>
      <c r="AI344" s="1203" t="s">
        <v>503</v>
      </c>
      <c r="AJ344" s="1203" t="s">
        <v>503</v>
      </c>
      <c r="AK344" s="1203" t="s">
        <v>503</v>
      </c>
      <c r="AL344" s="1188" t="s">
        <v>503</v>
      </c>
      <c r="AM344" s="1203" t="s">
        <v>503</v>
      </c>
      <c r="AN344" s="1203" t="s">
        <v>503</v>
      </c>
      <c r="AO344" s="1203" t="s">
        <v>503</v>
      </c>
      <c r="AP344" s="1203" t="s">
        <v>503</v>
      </c>
      <c r="AQ344" s="1188" t="s">
        <v>503</v>
      </c>
      <c r="AR344" s="1203" t="s">
        <v>503</v>
      </c>
      <c r="AS344" s="1203" t="s">
        <v>503</v>
      </c>
      <c r="AT344" s="1203" t="s">
        <v>503</v>
      </c>
      <c r="AU344" s="802"/>
      <c r="AV344" s="708" t="s">
        <v>503</v>
      </c>
      <c r="AW344" s="708" t="s">
        <v>503</v>
      </c>
      <c r="AX344" s="708" t="s">
        <v>503</v>
      </c>
      <c r="AY344" s="708" t="s">
        <v>503</v>
      </c>
      <c r="AZ344" s="1188" t="s">
        <v>503</v>
      </c>
      <c r="BA344" s="1203" t="s">
        <v>503</v>
      </c>
      <c r="BB344" s="1203" t="s">
        <v>503</v>
      </c>
      <c r="BC344" s="1203" t="s">
        <v>503</v>
      </c>
      <c r="BD344" s="1203" t="s">
        <v>503</v>
      </c>
      <c r="BE344" s="1204" t="s">
        <v>503</v>
      </c>
      <c r="BF344" s="1203" t="s">
        <v>503</v>
      </c>
      <c r="BG344" s="1201">
        <v>18647</v>
      </c>
      <c r="BH344" s="1201">
        <v>18106</v>
      </c>
      <c r="BI344" s="1201">
        <v>17902</v>
      </c>
      <c r="BJ344" s="1202">
        <v>17861</v>
      </c>
      <c r="BK344" s="959">
        <v>17924</v>
      </c>
      <c r="BL344" s="901">
        <v>17930</v>
      </c>
      <c r="BM344" s="555">
        <v>17859</v>
      </c>
      <c r="BN344" s="555">
        <v>17842</v>
      </c>
      <c r="BO344" s="802">
        <v>17889</v>
      </c>
      <c r="BP344" s="959">
        <v>17851</v>
      </c>
      <c r="BQ344" s="901">
        <v>15069</v>
      </c>
      <c r="BR344" s="555">
        <v>14967</v>
      </c>
      <c r="BS344" s="555">
        <v>14941</v>
      </c>
      <c r="BT344" s="802">
        <v>15023</v>
      </c>
      <c r="BU344" s="959">
        <v>14953</v>
      </c>
      <c r="BV344" s="901">
        <v>14990</v>
      </c>
      <c r="BW344" s="555">
        <v>14389</v>
      </c>
      <c r="BX344" s="555">
        <v>14516</v>
      </c>
      <c r="BY344" s="802">
        <v>14379</v>
      </c>
      <c r="BZ344" s="959">
        <v>14478</v>
      </c>
      <c r="CA344" s="901">
        <v>13829</v>
      </c>
      <c r="CB344" s="555">
        <v>13536</v>
      </c>
      <c r="CC344" s="555">
        <v>13547</v>
      </c>
      <c r="CD344" s="802">
        <v>13512</v>
      </c>
      <c r="CE344" s="959">
        <v>13574</v>
      </c>
      <c r="CF344" s="901">
        <v>13411</v>
      </c>
      <c r="CG344" s="555">
        <v>13419</v>
      </c>
      <c r="CH344" s="555">
        <v>13436</v>
      </c>
      <c r="CI344" s="802">
        <v>13419</v>
      </c>
      <c r="CJ344" s="959">
        <v>13431</v>
      </c>
      <c r="CK344" s="901">
        <v>13435</v>
      </c>
      <c r="CL344" s="555">
        <v>13423</v>
      </c>
      <c r="CM344" s="555">
        <v>13429</v>
      </c>
      <c r="CN344" s="802">
        <v>13430</v>
      </c>
      <c r="CO344" s="959">
        <v>13123</v>
      </c>
      <c r="CP344" s="901">
        <v>13111</v>
      </c>
      <c r="CQ344" s="555">
        <v>13106</v>
      </c>
      <c r="CR344" s="555">
        <v>13119</v>
      </c>
      <c r="CS344" s="802">
        <v>13115</v>
      </c>
      <c r="CT344" s="959">
        <v>13138</v>
      </c>
      <c r="CU344" s="901">
        <v>13176</v>
      </c>
      <c r="CV344" s="555">
        <v>13216</v>
      </c>
      <c r="CW344" s="555">
        <v>13216</v>
      </c>
      <c r="CX344" s="802">
        <v>13187</v>
      </c>
      <c r="CY344" s="959">
        <v>13180</v>
      </c>
      <c r="CZ344" s="901">
        <v>13180</v>
      </c>
      <c r="DA344" s="555">
        <v>13180</v>
      </c>
      <c r="DB344" s="555">
        <v>20294</v>
      </c>
      <c r="DC344" s="802">
        <v>14963</v>
      </c>
      <c r="DD344" s="959">
        <v>20263</v>
      </c>
      <c r="DE344" s="901">
        <v>20370</v>
      </c>
      <c r="DF344" s="555">
        <v>20692</v>
      </c>
      <c r="DG344" s="555">
        <v>20805</v>
      </c>
      <c r="DH344" s="802">
        <v>20531</v>
      </c>
      <c r="DI344" s="1507">
        <v>20823</v>
      </c>
      <c r="DJ344" s="1519">
        <v>20826</v>
      </c>
      <c r="DK344" s="1507">
        <v>21122</v>
      </c>
      <c r="DL344" s="1507">
        <v>22549</v>
      </c>
      <c r="DM344" s="1506">
        <v>21092</v>
      </c>
      <c r="DN344" s="1507">
        <v>21524</v>
      </c>
      <c r="DO344" s="1507">
        <v>20380</v>
      </c>
      <c r="DP344" s="1507">
        <v>20367</v>
      </c>
      <c r="DQ344" s="1507">
        <v>20326</v>
      </c>
      <c r="DR344" s="1506">
        <v>20651</v>
      </c>
      <c r="DS344" s="1290"/>
      <c r="DT344" s="561"/>
      <c r="DU344" s="561"/>
      <c r="DV344" s="1290"/>
      <c r="DW344" s="844"/>
      <c r="DX344" s="561"/>
      <c r="DY344" s="561"/>
      <c r="DZ344" s="561"/>
      <c r="EA344" s="561"/>
      <c r="EB344" s="844"/>
      <c r="EC344" s="561"/>
      <c r="ED344" s="561"/>
      <c r="EE344" s="561"/>
      <c r="EF344" s="561"/>
      <c r="EG344" s="844"/>
      <c r="EH344" s="561"/>
      <c r="EI344" s="561"/>
      <c r="EJ344" s="561"/>
      <c r="EK344" s="561"/>
      <c r="EL344" s="844"/>
    </row>
    <row r="345" spans="1:142" hidden="1" outlineLevel="1">
      <c r="A345" s="557"/>
      <c r="B345" s="557" t="s">
        <v>137</v>
      </c>
      <c r="C345" s="1205"/>
      <c r="D345" s="1205">
        <v>0.432</v>
      </c>
      <c r="E345" s="1205">
        <v>0.442</v>
      </c>
      <c r="F345" s="1205">
        <v>0.48599999999999999</v>
      </c>
      <c r="G345" s="1203" t="s">
        <v>503</v>
      </c>
      <c r="H345" s="1206">
        <v>0.46400000000000002</v>
      </c>
      <c r="I345" s="1205">
        <v>0.434</v>
      </c>
      <c r="J345" s="1205">
        <v>0.434</v>
      </c>
      <c r="K345" s="1205">
        <v>0.47899999999999998</v>
      </c>
      <c r="L345" s="1203" t="s">
        <v>503</v>
      </c>
      <c r="M345" s="1206">
        <v>0.44900000000000001</v>
      </c>
      <c r="N345" s="1205">
        <v>0.42399999999999999</v>
      </c>
      <c r="O345" s="1205">
        <v>0.432</v>
      </c>
      <c r="P345" s="1205">
        <v>0.46600000000000003</v>
      </c>
      <c r="Q345" s="1203" t="s">
        <v>503</v>
      </c>
      <c r="R345" s="1206">
        <v>0.42499999999999999</v>
      </c>
      <c r="S345" s="1205">
        <v>0.41399999999999998</v>
      </c>
      <c r="T345" s="1205">
        <v>0.42499999999999999</v>
      </c>
      <c r="U345" s="1205">
        <v>0.48299999999999998</v>
      </c>
      <c r="V345" s="1203" t="s">
        <v>503</v>
      </c>
      <c r="W345" s="1206">
        <v>0.44</v>
      </c>
      <c r="X345" s="1205">
        <v>0.43099999999999999</v>
      </c>
      <c r="Y345" s="1205">
        <v>0.438</v>
      </c>
      <c r="Z345" s="1205">
        <v>0.47599999999999998</v>
      </c>
      <c r="AA345" s="1203" t="s">
        <v>503</v>
      </c>
      <c r="AB345" s="1206">
        <v>0.45400000000000001</v>
      </c>
      <c r="AC345" s="1205">
        <v>0.433</v>
      </c>
      <c r="AD345" s="1205">
        <v>0.44700000000000001</v>
      </c>
      <c r="AE345" s="1205">
        <v>0.51100000000000001</v>
      </c>
      <c r="AF345" s="1203" t="s">
        <v>503</v>
      </c>
      <c r="AG345" s="1206">
        <v>0.46800000000000003</v>
      </c>
      <c r="AH345" s="1205">
        <v>0.47599999999999998</v>
      </c>
      <c r="AI345" s="1205">
        <v>0.48599999999999999</v>
      </c>
      <c r="AJ345" s="1205">
        <v>0.52300000000000002</v>
      </c>
      <c r="AK345" s="1203" t="s">
        <v>503</v>
      </c>
      <c r="AL345" s="1206">
        <v>0.5</v>
      </c>
      <c r="AM345" s="1205">
        <v>0.497</v>
      </c>
      <c r="AN345" s="1205">
        <v>0.5</v>
      </c>
      <c r="AO345" s="1205">
        <v>0.53400000000000003</v>
      </c>
      <c r="AP345" s="1203" t="s">
        <v>503</v>
      </c>
      <c r="AQ345" s="1206">
        <v>0.51600000000000001</v>
      </c>
      <c r="AR345" s="1205">
        <v>0.51300000000000001</v>
      </c>
      <c r="AS345" s="1205">
        <v>0.53400000000000003</v>
      </c>
      <c r="AT345" s="1205">
        <v>0.55400000000000005</v>
      </c>
      <c r="AU345" s="802"/>
      <c r="AV345" s="708" t="s">
        <v>503</v>
      </c>
      <c r="AW345" s="708" t="s">
        <v>503</v>
      </c>
      <c r="AX345" s="708" t="s">
        <v>503</v>
      </c>
      <c r="AY345" s="708" t="s">
        <v>503</v>
      </c>
      <c r="AZ345" s="1188" t="s">
        <v>503</v>
      </c>
      <c r="BA345" s="1205">
        <v>0.58499999999999996</v>
      </c>
      <c r="BB345" s="1205">
        <v>0.55500000000000005</v>
      </c>
      <c r="BC345" s="1205">
        <v>0.54</v>
      </c>
      <c r="BD345" s="1203" t="s">
        <v>503</v>
      </c>
      <c r="BE345" s="1206">
        <v>0.55900000000000005</v>
      </c>
      <c r="BF345" s="1205">
        <v>0.57299999999999995</v>
      </c>
      <c r="BG345" s="1205">
        <v>0.52900000000000003</v>
      </c>
      <c r="BH345" s="1205">
        <v>0.52700000000000002</v>
      </c>
      <c r="BI345" s="1205">
        <v>0.53300000000000003</v>
      </c>
      <c r="BJ345" s="1206">
        <v>0.54500000000000004</v>
      </c>
      <c r="BK345" s="558">
        <v>0.57899999999999996</v>
      </c>
      <c r="BL345" s="558">
        <v>0.53</v>
      </c>
      <c r="BM345" s="1207">
        <v>0.50800000000000001</v>
      </c>
      <c r="BN345" s="1207">
        <v>0.49299999999999999</v>
      </c>
      <c r="BO345" s="1208">
        <v>0.52700000000000002</v>
      </c>
      <c r="BP345" s="558">
        <v>0.53300000000000003</v>
      </c>
      <c r="BQ345" s="558">
        <v>0.51800000000000002</v>
      </c>
      <c r="BR345" s="1207">
        <v>0.505</v>
      </c>
      <c r="BS345" s="1207">
        <v>0.51300000000000001</v>
      </c>
      <c r="BT345" s="1208">
        <v>0.52500000000000002</v>
      </c>
      <c r="BU345" s="558">
        <v>0.55400000000000005</v>
      </c>
      <c r="BV345" s="558">
        <v>0.50800000000000001</v>
      </c>
      <c r="BW345" s="1207">
        <v>0.50700000000000001</v>
      </c>
      <c r="BX345" s="1207">
        <v>0.51100000000000001</v>
      </c>
      <c r="BY345" s="1208">
        <v>0.52500000000000002</v>
      </c>
      <c r="BZ345" s="558">
        <v>0.56100000000000005</v>
      </c>
      <c r="CA345" s="558">
        <v>0.52400000000000002</v>
      </c>
      <c r="CB345" s="1207">
        <v>0.51</v>
      </c>
      <c r="CC345" s="1207">
        <v>0.51500000000000001</v>
      </c>
      <c r="CD345" s="1208">
        <v>0.53</v>
      </c>
      <c r="CE345" s="558">
        <v>0.55600000000000005</v>
      </c>
      <c r="CF345" s="558">
        <v>0.51600000000000001</v>
      </c>
      <c r="CG345" s="1207">
        <v>0.504</v>
      </c>
      <c r="CH345" s="1207">
        <v>0.50800000000000001</v>
      </c>
      <c r="CI345" s="1208">
        <v>0.52100000000000002</v>
      </c>
      <c r="CJ345" s="558">
        <v>0.54</v>
      </c>
      <c r="CK345" s="558">
        <v>0.503</v>
      </c>
      <c r="CL345" s="1207">
        <v>0.48299999999999998</v>
      </c>
      <c r="CM345" s="1207">
        <v>0.49299999999999999</v>
      </c>
      <c r="CN345" s="1208">
        <v>0.504</v>
      </c>
      <c r="CO345" s="558">
        <v>0.53800000000000003</v>
      </c>
      <c r="CP345" s="558">
        <v>0.5</v>
      </c>
      <c r="CQ345" s="1207">
        <v>0.49099999999999999</v>
      </c>
      <c r="CR345" s="1207">
        <v>0.48899999999999999</v>
      </c>
      <c r="CS345" s="1208">
        <v>0.504</v>
      </c>
      <c r="CT345" s="558">
        <v>0.51600000000000001</v>
      </c>
      <c r="CU345" s="558">
        <v>0.49199999999999999</v>
      </c>
      <c r="CV345" s="1207">
        <v>0.47799999999999998</v>
      </c>
      <c r="CW345" s="1207">
        <v>0.47699999999999998</v>
      </c>
      <c r="CX345" s="1208">
        <v>0.49099999999999999</v>
      </c>
      <c r="CY345" s="558">
        <v>0.50900000000000001</v>
      </c>
      <c r="CZ345" s="558">
        <v>0.47299999999999998</v>
      </c>
      <c r="DA345" s="1207">
        <v>0.47</v>
      </c>
      <c r="DB345" s="1207">
        <v>0.47199999999999998</v>
      </c>
      <c r="DC345" s="1208">
        <v>0.48</v>
      </c>
      <c r="DD345" s="558">
        <v>0.51</v>
      </c>
      <c r="DE345" s="558">
        <v>0.48899999999999999</v>
      </c>
      <c r="DF345" s="1207">
        <v>0.48399999999999999</v>
      </c>
      <c r="DG345" s="1207">
        <v>0.49</v>
      </c>
      <c r="DH345" s="1208">
        <v>0.49299999999999999</v>
      </c>
      <c r="DI345" s="1284">
        <v>0.52100000000000002</v>
      </c>
      <c r="DJ345" s="1284">
        <v>0.49099999999999999</v>
      </c>
      <c r="DK345" s="1285">
        <v>0.47799999999999998</v>
      </c>
      <c r="DL345" s="1285">
        <v>0.47399999999999998</v>
      </c>
      <c r="DM345" s="1283">
        <v>0.496</v>
      </c>
      <c r="DN345" s="1285">
        <v>0.51600000000000001</v>
      </c>
      <c r="DO345" s="1285">
        <v>0.48399999999999999</v>
      </c>
      <c r="DP345" s="1285">
        <v>0.47699999999999998</v>
      </c>
      <c r="DQ345" s="1285">
        <v>0.47499999999999998</v>
      </c>
      <c r="DR345" s="1208">
        <f>AVERAGE(DN345:DQ345)</f>
        <v>0.48799999999999999</v>
      </c>
      <c r="DS345" s="1290"/>
      <c r="DT345" s="561"/>
      <c r="DU345" s="561"/>
      <c r="DV345" s="1290"/>
      <c r="DW345" s="844"/>
      <c r="DX345" s="561"/>
      <c r="DY345" s="561"/>
      <c r="DZ345" s="561"/>
      <c r="EA345" s="561"/>
      <c r="EB345" s="844"/>
      <c r="EC345" s="561"/>
      <c r="ED345" s="561"/>
      <c r="EE345" s="561"/>
      <c r="EF345" s="561"/>
      <c r="EG345" s="844"/>
      <c r="EH345" s="561"/>
      <c r="EI345" s="561"/>
      <c r="EJ345" s="561"/>
      <c r="EK345" s="561"/>
      <c r="EL345" s="844"/>
    </row>
    <row r="346" spans="1:142" hidden="1" outlineLevel="1">
      <c r="A346" s="557"/>
      <c r="B346" s="973" t="s">
        <v>688</v>
      </c>
      <c r="C346" s="1203"/>
      <c r="D346" s="1203"/>
      <c r="E346" s="1203"/>
      <c r="F346" s="1203"/>
      <c r="G346" s="1203"/>
      <c r="H346" s="1188"/>
      <c r="I346" s="1203"/>
      <c r="J346" s="1203"/>
      <c r="K346" s="1203"/>
      <c r="L346" s="1203"/>
      <c r="M346" s="1188"/>
      <c r="N346" s="1203"/>
      <c r="O346" s="1203"/>
      <c r="P346" s="1203"/>
      <c r="Q346" s="1203"/>
      <c r="R346" s="1188"/>
      <c r="S346" s="1203"/>
      <c r="T346" s="1203"/>
      <c r="U346" s="1203"/>
      <c r="V346" s="1203"/>
      <c r="W346" s="1188"/>
      <c r="X346" s="1203"/>
      <c r="Y346" s="1203"/>
      <c r="Z346" s="1203"/>
      <c r="AA346" s="1203"/>
      <c r="AB346" s="1188"/>
      <c r="AC346" s="1203"/>
      <c r="AD346" s="1203"/>
      <c r="AE346" s="1203"/>
      <c r="AF346" s="1203"/>
      <c r="AG346" s="1188"/>
      <c r="AH346" s="1203"/>
      <c r="AI346" s="1203"/>
      <c r="AJ346" s="1203"/>
      <c r="AK346" s="1203"/>
      <c r="AL346" s="1188"/>
      <c r="AM346" s="1203"/>
      <c r="AN346" s="1203"/>
      <c r="AO346" s="1203"/>
      <c r="AP346" s="1203"/>
      <c r="AQ346" s="1188"/>
      <c r="AR346" s="1203"/>
      <c r="AS346" s="1203"/>
      <c r="AT346" s="1203"/>
      <c r="AU346" s="802"/>
      <c r="AV346" s="708"/>
      <c r="AW346" s="708"/>
      <c r="AX346" s="708"/>
      <c r="AY346" s="708"/>
      <c r="AZ346" s="1188"/>
      <c r="BA346" s="1203"/>
      <c r="BB346" s="1203"/>
      <c r="BC346" s="1203"/>
      <c r="BD346" s="1203"/>
      <c r="BE346" s="1204"/>
      <c r="BF346" s="1203"/>
      <c r="BG346" s="1201"/>
      <c r="BH346" s="1201"/>
      <c r="BI346" s="1201"/>
      <c r="BJ346" s="1202"/>
      <c r="BK346" s="959"/>
      <c r="BL346" s="901"/>
      <c r="BM346" s="555"/>
      <c r="BN346" s="555"/>
      <c r="BO346" s="802"/>
      <c r="BP346" s="959"/>
      <c r="BQ346" s="901"/>
      <c r="BR346" s="555"/>
      <c r="BS346" s="555"/>
      <c r="BT346" s="802"/>
      <c r="BU346" s="959"/>
      <c r="BV346" s="901"/>
      <c r="BW346" s="555"/>
      <c r="BX346" s="555"/>
      <c r="BY346" s="802"/>
      <c r="BZ346" s="959"/>
      <c r="CA346" s="901"/>
      <c r="CB346" s="555"/>
      <c r="CC346" s="555"/>
      <c r="CD346" s="802"/>
      <c r="CE346" s="959"/>
      <c r="CF346" s="901"/>
      <c r="CG346" s="555"/>
      <c r="CH346" s="555"/>
      <c r="CI346" s="802"/>
      <c r="CJ346" s="959"/>
      <c r="CK346" s="901"/>
      <c r="CL346" s="555"/>
      <c r="CM346" s="555"/>
      <c r="CN346" s="802"/>
      <c r="CO346" s="959"/>
      <c r="CP346" s="901"/>
      <c r="CQ346" s="555"/>
      <c r="CR346" s="555"/>
      <c r="CS346" s="802"/>
      <c r="CT346" s="959"/>
      <c r="CU346" s="901"/>
      <c r="CV346" s="555"/>
      <c r="CW346" s="555"/>
      <c r="CX346" s="802"/>
      <c r="CY346" s="959"/>
      <c r="CZ346" s="901"/>
      <c r="DA346" s="555"/>
      <c r="DB346" s="555"/>
      <c r="DC346" s="802"/>
      <c r="DD346" s="959"/>
      <c r="DE346" s="901"/>
      <c r="DF346" s="555"/>
      <c r="DG346" s="555"/>
      <c r="DH346" s="802"/>
      <c r="DI346" s="1507"/>
      <c r="DJ346" s="1519"/>
      <c r="DK346" s="1507"/>
      <c r="DL346" s="1507"/>
      <c r="DM346" s="1506"/>
      <c r="DN346" s="1507"/>
      <c r="DO346" s="1507"/>
      <c r="DP346" s="1507"/>
      <c r="DQ346" s="1507"/>
      <c r="DR346" s="1506"/>
      <c r="DS346" s="1290"/>
      <c r="DT346" s="561"/>
      <c r="DU346" s="561"/>
      <c r="DV346" s="1290"/>
      <c r="DW346" s="844"/>
      <c r="DX346" s="561"/>
      <c r="DY346" s="561"/>
      <c r="DZ346" s="561"/>
      <c r="EA346" s="561"/>
      <c r="EB346" s="844"/>
      <c r="EC346" s="561"/>
      <c r="ED346" s="561"/>
      <c r="EE346" s="561"/>
      <c r="EF346" s="561"/>
      <c r="EG346" s="844"/>
      <c r="EH346" s="561"/>
      <c r="EI346" s="561"/>
      <c r="EJ346" s="561"/>
      <c r="EK346" s="561"/>
      <c r="EL346" s="844"/>
    </row>
    <row r="347" spans="1:142" hidden="1" outlineLevel="1">
      <c r="A347" s="557"/>
      <c r="B347" s="557" t="s">
        <v>208</v>
      </c>
      <c r="C347" s="1201"/>
      <c r="D347" s="1201">
        <v>377539</v>
      </c>
      <c r="E347" s="1201">
        <v>369211</v>
      </c>
      <c r="F347" s="1201">
        <v>394453</v>
      </c>
      <c r="G347" s="960">
        <f>H347-SUM(D347:F347)</f>
        <v>1152383</v>
      </c>
      <c r="H347" s="1202">
        <v>2293586</v>
      </c>
      <c r="I347" s="1201">
        <v>1278757</v>
      </c>
      <c r="J347" s="1201">
        <v>1387899</v>
      </c>
      <c r="K347" s="1201">
        <v>1446545</v>
      </c>
      <c r="L347" s="960">
        <f>M347-SUM(I347:K347)</f>
        <v>1496349</v>
      </c>
      <c r="M347" s="1202">
        <v>5609550</v>
      </c>
      <c r="N347" s="1201">
        <v>1540745</v>
      </c>
      <c r="O347" s="1201">
        <v>1615945</v>
      </c>
      <c r="P347" s="1201">
        <v>2620508</v>
      </c>
      <c r="Q347" s="960">
        <f>R347-SUM(N347:P347)</f>
        <v>4220068</v>
      </c>
      <c r="R347" s="1202">
        <v>9997266</v>
      </c>
      <c r="S347" s="1201">
        <v>2652213</v>
      </c>
      <c r="T347" s="1201">
        <v>2642883</v>
      </c>
      <c r="U347" s="1201">
        <v>2535187</v>
      </c>
      <c r="V347" s="960">
        <f>W347-SUM(S347:U347)</f>
        <v>2572674</v>
      </c>
      <c r="W347" s="1202">
        <v>10402957</v>
      </c>
      <c r="X347" s="1201">
        <v>2420628</v>
      </c>
      <c r="Y347" s="1201">
        <v>2326712</v>
      </c>
      <c r="Z347" s="1201">
        <v>2372360</v>
      </c>
      <c r="AA347" s="960">
        <f>AB347-SUM(X347:Z347)</f>
        <v>2535275</v>
      </c>
      <c r="AB347" s="1202">
        <v>9654975</v>
      </c>
      <c r="AC347" s="1201">
        <v>2468827</v>
      </c>
      <c r="AD347" s="1201">
        <v>2289819</v>
      </c>
      <c r="AE347" s="1201">
        <v>2220852</v>
      </c>
      <c r="AF347" s="960">
        <f>AG347-SUM(AC347:AE347)</f>
        <v>2296874</v>
      </c>
      <c r="AG347" s="1202">
        <v>9276372</v>
      </c>
      <c r="AH347" s="1201">
        <v>2276519</v>
      </c>
      <c r="AI347" s="1201">
        <v>2240966</v>
      </c>
      <c r="AJ347" s="1201">
        <v>2216645</v>
      </c>
      <c r="AK347" s="960">
        <f>AL347-SUM(AH347:AJ347)</f>
        <v>2319987</v>
      </c>
      <c r="AL347" s="1202">
        <v>9054117</v>
      </c>
      <c r="AM347" s="1201">
        <v>2310626</v>
      </c>
      <c r="AN347" s="1201">
        <v>2277623</v>
      </c>
      <c r="AO347" s="1201">
        <v>2261010</v>
      </c>
      <c r="AP347" s="960">
        <f>AQ347-SUM(AM347:AO347)</f>
        <v>2471484</v>
      </c>
      <c r="AQ347" s="1202">
        <v>9320743</v>
      </c>
      <c r="AR347" s="1201">
        <v>2329280</v>
      </c>
      <c r="AS347" s="1201">
        <v>2343917</v>
      </c>
      <c r="AT347" s="1201">
        <v>2275989</v>
      </c>
      <c r="AU347" s="802"/>
      <c r="AV347" s="708" t="s">
        <v>503</v>
      </c>
      <c r="AW347" s="708" t="s">
        <v>503</v>
      </c>
      <c r="AX347" s="708" t="s">
        <v>503</v>
      </c>
      <c r="AY347" s="708" t="s">
        <v>503</v>
      </c>
      <c r="AZ347" s="1188" t="s">
        <v>503</v>
      </c>
      <c r="BA347" s="1201">
        <v>2140993</v>
      </c>
      <c r="BB347" s="1201">
        <v>2144668</v>
      </c>
      <c r="BC347" s="1201">
        <v>2125595</v>
      </c>
      <c r="BD347" s="960">
        <f>BE347-SUM(BA347:BC347)</f>
        <v>2015840</v>
      </c>
      <c r="BE347" s="1202">
        <v>8427096</v>
      </c>
      <c r="BF347" s="1201">
        <v>1572413</v>
      </c>
      <c r="BG347" s="1201">
        <v>1513651</v>
      </c>
      <c r="BH347" s="1201">
        <v>1339354</v>
      </c>
      <c r="BI347" s="1201">
        <v>1349983</v>
      </c>
      <c r="BJ347" s="1202">
        <v>5664357</v>
      </c>
      <c r="BK347" s="901">
        <v>1376156</v>
      </c>
      <c r="BL347" s="901">
        <v>1341793</v>
      </c>
      <c r="BM347" s="555">
        <v>1246170</v>
      </c>
      <c r="BN347" s="555">
        <v>1200682</v>
      </c>
      <c r="BO347" s="802">
        <v>5164801</v>
      </c>
      <c r="BP347" s="901">
        <v>1228199</v>
      </c>
      <c r="BQ347" s="901">
        <v>1083060</v>
      </c>
      <c r="BR347" s="555">
        <v>1050600</v>
      </c>
      <c r="BS347" s="555">
        <v>1051106</v>
      </c>
      <c r="BT347" s="802">
        <v>4280812</v>
      </c>
      <c r="BU347" s="901">
        <v>1069676</v>
      </c>
      <c r="BV347" s="901">
        <v>1049048</v>
      </c>
      <c r="BW347" s="555">
        <v>1004577</v>
      </c>
      <c r="BX347" s="555">
        <v>1002585</v>
      </c>
      <c r="BY347" s="802">
        <v>4042350</v>
      </c>
      <c r="BZ347" s="901">
        <v>1026545</v>
      </c>
      <c r="CA347" s="901">
        <v>972261</v>
      </c>
      <c r="CB347" s="555">
        <v>959222</v>
      </c>
      <c r="CC347" s="555">
        <v>946322</v>
      </c>
      <c r="CD347" s="802">
        <v>3828079</v>
      </c>
      <c r="CE347" s="901">
        <v>983865</v>
      </c>
      <c r="CF347" s="901">
        <v>996468</v>
      </c>
      <c r="CG347" s="555">
        <v>995968</v>
      </c>
      <c r="CH347" s="555">
        <v>971741</v>
      </c>
      <c r="CI347" s="802">
        <v>3934496</v>
      </c>
      <c r="CJ347" s="901">
        <v>952915</v>
      </c>
      <c r="CK347" s="901">
        <v>988706</v>
      </c>
      <c r="CL347" s="555">
        <v>976310</v>
      </c>
      <c r="CM347" s="555">
        <v>999827</v>
      </c>
      <c r="CN347" s="802">
        <v>3917758</v>
      </c>
      <c r="CO347" s="901">
        <v>990411</v>
      </c>
      <c r="CP347" s="901">
        <v>994204</v>
      </c>
      <c r="CQ347" s="555">
        <v>987318</v>
      </c>
      <c r="CR347" s="555">
        <v>982083</v>
      </c>
      <c r="CS347" s="802">
        <v>3954016</v>
      </c>
      <c r="CT347" s="901">
        <v>1031611</v>
      </c>
      <c r="CU347" s="901">
        <v>1046768</v>
      </c>
      <c r="CV347" s="555">
        <v>1035236</v>
      </c>
      <c r="CW347" s="555">
        <v>1053499</v>
      </c>
      <c r="CX347" s="802">
        <v>4167114</v>
      </c>
      <c r="CY347" s="901">
        <v>1054789</v>
      </c>
      <c r="CZ347" s="901">
        <v>1072712</v>
      </c>
      <c r="DA347" s="555">
        <v>1071421</v>
      </c>
      <c r="DB347" s="555">
        <v>1875684</v>
      </c>
      <c r="DC347" s="802">
        <v>5074606</v>
      </c>
      <c r="DD347" s="901">
        <v>1947687</v>
      </c>
      <c r="DE347" s="901">
        <v>2066051</v>
      </c>
      <c r="DF347" s="555">
        <v>2125002</v>
      </c>
      <c r="DG347" s="555">
        <v>2145138</v>
      </c>
      <c r="DH347" s="802">
        <v>8283878</v>
      </c>
      <c r="DI347" s="1519">
        <v>1944573</v>
      </c>
      <c r="DJ347" s="1519">
        <v>2063037</v>
      </c>
      <c r="DK347" s="1507">
        <v>2076524</v>
      </c>
      <c r="DL347" s="1507">
        <v>2198005</v>
      </c>
      <c r="DM347" s="1506">
        <v>8332139</v>
      </c>
      <c r="DN347" s="1507">
        <v>2146618</v>
      </c>
      <c r="DO347" s="1507">
        <v>2038287</v>
      </c>
      <c r="DP347" s="1507">
        <v>2009019</v>
      </c>
      <c r="DQ347" s="1507">
        <v>1950549</v>
      </c>
      <c r="DR347" s="1004">
        <f>SUM(DN347:DQ347)</f>
        <v>8144473</v>
      </c>
      <c r="DS347" s="1290"/>
      <c r="DT347" s="561"/>
      <c r="DU347" s="561"/>
      <c r="DV347" s="1290"/>
      <c r="DW347" s="844"/>
      <c r="DX347" s="561"/>
      <c r="DY347" s="561"/>
      <c r="DZ347" s="561"/>
      <c r="EA347" s="561"/>
      <c r="EB347" s="844"/>
      <c r="EC347" s="561"/>
      <c r="ED347" s="561"/>
      <c r="EE347" s="561"/>
      <c r="EF347" s="561"/>
      <c r="EG347" s="844"/>
      <c r="EH347" s="561"/>
      <c r="EI347" s="561"/>
      <c r="EJ347" s="561"/>
      <c r="EK347" s="561"/>
      <c r="EL347" s="844"/>
    </row>
    <row r="348" spans="1:142" hidden="1" outlineLevel="1">
      <c r="A348" s="1300"/>
      <c r="B348" s="1300" t="s">
        <v>209</v>
      </c>
      <c r="C348" s="1301"/>
      <c r="D348" s="1301" t="s">
        <v>503</v>
      </c>
      <c r="E348" s="1301" t="s">
        <v>503</v>
      </c>
      <c r="F348" s="1301" t="s">
        <v>503</v>
      </c>
      <c r="G348" s="1301" t="s">
        <v>503</v>
      </c>
      <c r="H348" s="1302" t="s">
        <v>503</v>
      </c>
      <c r="I348" s="1301" t="s">
        <v>503</v>
      </c>
      <c r="J348" s="1301" t="s">
        <v>503</v>
      </c>
      <c r="K348" s="1301" t="s">
        <v>503</v>
      </c>
      <c r="L348" s="1301" t="s">
        <v>503</v>
      </c>
      <c r="M348" s="1302" t="s">
        <v>503</v>
      </c>
      <c r="N348" s="1301" t="s">
        <v>503</v>
      </c>
      <c r="O348" s="1301" t="s">
        <v>503</v>
      </c>
      <c r="P348" s="1301" t="s">
        <v>503</v>
      </c>
      <c r="Q348" s="1301" t="s">
        <v>503</v>
      </c>
      <c r="R348" s="1302" t="s">
        <v>503</v>
      </c>
      <c r="S348" s="1301" t="s">
        <v>503</v>
      </c>
      <c r="T348" s="1301" t="s">
        <v>503</v>
      </c>
      <c r="U348" s="1301" t="s">
        <v>503</v>
      </c>
      <c r="V348" s="1301" t="s">
        <v>503</v>
      </c>
      <c r="W348" s="1302" t="s">
        <v>503</v>
      </c>
      <c r="X348" s="1301" t="s">
        <v>503</v>
      </c>
      <c r="Y348" s="1301" t="s">
        <v>503</v>
      </c>
      <c r="Z348" s="1301" t="s">
        <v>503</v>
      </c>
      <c r="AA348" s="1301" t="s">
        <v>503</v>
      </c>
      <c r="AB348" s="1302" t="s">
        <v>503</v>
      </c>
      <c r="AC348" s="1301" t="s">
        <v>503</v>
      </c>
      <c r="AD348" s="1301" t="s">
        <v>503</v>
      </c>
      <c r="AE348" s="1301" t="s">
        <v>503</v>
      </c>
      <c r="AF348" s="1301" t="s">
        <v>503</v>
      </c>
      <c r="AG348" s="1302" t="s">
        <v>503</v>
      </c>
      <c r="AH348" s="1301" t="s">
        <v>503</v>
      </c>
      <c r="AI348" s="1301" t="s">
        <v>503</v>
      </c>
      <c r="AJ348" s="1301" t="s">
        <v>503</v>
      </c>
      <c r="AK348" s="1301" t="s">
        <v>503</v>
      </c>
      <c r="AL348" s="1302" t="s">
        <v>503</v>
      </c>
      <c r="AM348" s="1301" t="s">
        <v>503</v>
      </c>
      <c r="AN348" s="1301" t="s">
        <v>503</v>
      </c>
      <c r="AO348" s="1301" t="s">
        <v>503</v>
      </c>
      <c r="AP348" s="1301" t="s">
        <v>503</v>
      </c>
      <c r="AQ348" s="1302" t="s">
        <v>503</v>
      </c>
      <c r="AR348" s="1301" t="s">
        <v>503</v>
      </c>
      <c r="AS348" s="1301" t="s">
        <v>503</v>
      </c>
      <c r="AT348" s="1301" t="s">
        <v>503</v>
      </c>
      <c r="AU348" s="1303"/>
      <c r="AV348" s="1301" t="s">
        <v>503</v>
      </c>
      <c r="AW348" s="1301" t="s">
        <v>503</v>
      </c>
      <c r="AX348" s="1301" t="s">
        <v>503</v>
      </c>
      <c r="AY348" s="1317" t="s">
        <v>503</v>
      </c>
      <c r="AZ348" s="1317" t="s">
        <v>503</v>
      </c>
      <c r="BA348" s="1301" t="s">
        <v>503</v>
      </c>
      <c r="BB348" s="1301" t="s">
        <v>503</v>
      </c>
      <c r="BC348" s="1301" t="s">
        <v>503</v>
      </c>
      <c r="BD348" s="1317" t="s">
        <v>503</v>
      </c>
      <c r="BE348" s="1317" t="s">
        <v>503</v>
      </c>
      <c r="BF348" s="1301" t="s">
        <v>503</v>
      </c>
      <c r="BG348" s="1301" t="s">
        <v>503</v>
      </c>
      <c r="BH348" s="1301" t="s">
        <v>503</v>
      </c>
      <c r="BI348" s="1317" t="s">
        <v>503</v>
      </c>
      <c r="BJ348" s="1317" t="s">
        <v>503</v>
      </c>
      <c r="BK348" s="321" t="s">
        <v>503</v>
      </c>
      <c r="BL348" s="321" t="s">
        <v>503</v>
      </c>
      <c r="BM348" s="321" t="s">
        <v>503</v>
      </c>
      <c r="BN348" s="1308" t="s">
        <v>503</v>
      </c>
      <c r="BO348" s="1309" t="s">
        <v>503</v>
      </c>
      <c r="BP348" s="321">
        <f>BP336-BP349</f>
        <v>-39496</v>
      </c>
      <c r="BQ348" s="321">
        <f>BQ336-BQ349</f>
        <v>-42505</v>
      </c>
      <c r="BR348" s="321">
        <f>BR336-BR349</f>
        <v>-45217</v>
      </c>
      <c r="BS348" s="1308">
        <f>BS336-BS349</f>
        <v>-39902</v>
      </c>
      <c r="BT348" s="1309">
        <f>SUM(BP348:BS348)</f>
        <v>-167120</v>
      </c>
      <c r="BU348" s="321">
        <f>BU336-BU349</f>
        <v>-43225</v>
      </c>
      <c r="BV348" s="321">
        <f>BV336-BV349</f>
        <v>-44960</v>
      </c>
      <c r="BW348" s="321">
        <f>BW336-BW349</f>
        <v>-43984</v>
      </c>
      <c r="BX348" s="1308">
        <f>BX336-BX349</f>
        <v>-37904</v>
      </c>
      <c r="BY348" s="1309">
        <f>SUM(BU348:BX348)</f>
        <v>-170073</v>
      </c>
      <c r="BZ348" s="321">
        <v>904045</v>
      </c>
      <c r="CA348" s="321">
        <v>854249</v>
      </c>
      <c r="CB348" s="321">
        <v>839920</v>
      </c>
      <c r="CC348" s="1308">
        <v>830633</v>
      </c>
      <c r="CD348" s="1309">
        <v>3355514</v>
      </c>
      <c r="CE348" s="321">
        <v>873084</v>
      </c>
      <c r="CF348" s="321">
        <v>881986</v>
      </c>
      <c r="CG348" s="321">
        <v>878765</v>
      </c>
      <c r="CH348" s="1308">
        <v>858579</v>
      </c>
      <c r="CI348" s="1309">
        <v>3480137</v>
      </c>
      <c r="CJ348" s="321">
        <v>856328</v>
      </c>
      <c r="CK348" s="321">
        <v>883922</v>
      </c>
      <c r="CL348" s="321">
        <v>871930</v>
      </c>
      <c r="CM348" s="1308">
        <v>900182</v>
      </c>
      <c r="CN348" s="1309">
        <v>3512362</v>
      </c>
      <c r="CO348" s="321">
        <v>909359</v>
      </c>
      <c r="CP348" s="321">
        <v>912890</v>
      </c>
      <c r="CQ348" s="321">
        <v>901695</v>
      </c>
      <c r="CR348" s="1308">
        <v>884421</v>
      </c>
      <c r="CS348" s="1309">
        <v>3554231</v>
      </c>
      <c r="CT348" s="321">
        <v>926474</v>
      </c>
      <c r="CU348" s="321">
        <v>937570</v>
      </c>
      <c r="CV348" s="321">
        <v>922700</v>
      </c>
      <c r="CW348" s="1308">
        <v>941658</v>
      </c>
      <c r="CX348" s="1309">
        <v>3728402</v>
      </c>
      <c r="CY348" s="321">
        <v>944549</v>
      </c>
      <c r="CZ348" s="321">
        <v>958379</v>
      </c>
      <c r="DA348" s="321">
        <v>956871</v>
      </c>
      <c r="DB348" s="1308">
        <v>974396</v>
      </c>
      <c r="DC348" s="1309">
        <v>974396</v>
      </c>
      <c r="DD348" s="321">
        <v>968817</v>
      </c>
      <c r="DE348" s="321">
        <v>1031920</v>
      </c>
      <c r="DF348" s="321">
        <v>1042636</v>
      </c>
      <c r="DG348" s="1308">
        <f>DG336-DG349</f>
        <v>-40146</v>
      </c>
      <c r="DH348" s="1309">
        <v>7610558</v>
      </c>
      <c r="DI348" s="1511">
        <v>1837376</v>
      </c>
      <c r="DJ348" s="1511">
        <v>1903403</v>
      </c>
      <c r="DK348" s="1511">
        <v>1904467</v>
      </c>
      <c r="DL348" s="1510">
        <v>2024725</v>
      </c>
      <c r="DM348" s="1509">
        <v>7669971</v>
      </c>
      <c r="DN348" s="1510">
        <v>1984515</v>
      </c>
      <c r="DO348" s="1510">
        <v>1896394</v>
      </c>
      <c r="DP348" s="1510">
        <v>1862046</v>
      </c>
      <c r="DQ348" s="1510">
        <v>1834844</v>
      </c>
      <c r="DR348" s="1004">
        <f>SUM(DN348:DQ348)</f>
        <v>7577799</v>
      </c>
      <c r="DS348" s="1310"/>
      <c r="DT348" s="321"/>
      <c r="DU348" s="321"/>
      <c r="DV348" s="1311"/>
      <c r="DW348" s="1309"/>
      <c r="DX348" s="321"/>
      <c r="DY348" s="321"/>
      <c r="DZ348" s="321"/>
      <c r="EA348" s="321"/>
      <c r="EB348" s="1309"/>
      <c r="EC348" s="321"/>
      <c r="ED348" s="321"/>
      <c r="EE348" s="321"/>
      <c r="EF348" s="321"/>
      <c r="EG348" s="1309"/>
      <c r="EH348" s="321"/>
      <c r="EI348" s="321"/>
      <c r="EJ348" s="321"/>
      <c r="EK348" s="321"/>
      <c r="EL348" s="1309"/>
    </row>
    <row r="349" spans="1:142" hidden="1" outlineLevel="1">
      <c r="A349" s="1300"/>
      <c r="B349" s="1300" t="s">
        <v>210</v>
      </c>
      <c r="C349" s="1301"/>
      <c r="D349" s="1301" t="s">
        <v>503</v>
      </c>
      <c r="E349" s="1301" t="s">
        <v>503</v>
      </c>
      <c r="F349" s="1301" t="s">
        <v>503</v>
      </c>
      <c r="G349" s="1301" t="s">
        <v>503</v>
      </c>
      <c r="H349" s="1302" t="s">
        <v>503</v>
      </c>
      <c r="I349" s="1301" t="s">
        <v>503</v>
      </c>
      <c r="J349" s="1301" t="s">
        <v>503</v>
      </c>
      <c r="K349" s="1301" t="s">
        <v>503</v>
      </c>
      <c r="L349" s="1301" t="s">
        <v>503</v>
      </c>
      <c r="M349" s="1302" t="s">
        <v>503</v>
      </c>
      <c r="N349" s="1301" t="s">
        <v>503</v>
      </c>
      <c r="O349" s="1301" t="s">
        <v>503</v>
      </c>
      <c r="P349" s="1301" t="s">
        <v>503</v>
      </c>
      <c r="Q349" s="1301" t="s">
        <v>503</v>
      </c>
      <c r="R349" s="1302" t="s">
        <v>503</v>
      </c>
      <c r="S349" s="1301" t="s">
        <v>503</v>
      </c>
      <c r="T349" s="1301" t="s">
        <v>503</v>
      </c>
      <c r="U349" s="1301" t="s">
        <v>503</v>
      </c>
      <c r="V349" s="1301" t="s">
        <v>503</v>
      </c>
      <c r="W349" s="1302" t="s">
        <v>503</v>
      </c>
      <c r="X349" s="1301" t="s">
        <v>503</v>
      </c>
      <c r="Y349" s="1301" t="s">
        <v>503</v>
      </c>
      <c r="Z349" s="1301" t="s">
        <v>503</v>
      </c>
      <c r="AA349" s="1301" t="s">
        <v>503</v>
      </c>
      <c r="AB349" s="1302" t="s">
        <v>503</v>
      </c>
      <c r="AC349" s="1301" t="s">
        <v>503</v>
      </c>
      <c r="AD349" s="1301" t="s">
        <v>503</v>
      </c>
      <c r="AE349" s="1301" t="s">
        <v>503</v>
      </c>
      <c r="AF349" s="1301" t="s">
        <v>503</v>
      </c>
      <c r="AG349" s="1302" t="s">
        <v>503</v>
      </c>
      <c r="AH349" s="1301" t="s">
        <v>503</v>
      </c>
      <c r="AI349" s="1301" t="s">
        <v>503</v>
      </c>
      <c r="AJ349" s="1301" t="s">
        <v>503</v>
      </c>
      <c r="AK349" s="1301" t="s">
        <v>503</v>
      </c>
      <c r="AL349" s="1302" t="s">
        <v>503</v>
      </c>
      <c r="AM349" s="1301" t="s">
        <v>503</v>
      </c>
      <c r="AN349" s="1301" t="s">
        <v>503</v>
      </c>
      <c r="AO349" s="1301" t="s">
        <v>503</v>
      </c>
      <c r="AP349" s="1301" t="s">
        <v>503</v>
      </c>
      <c r="AQ349" s="1302" t="s">
        <v>503</v>
      </c>
      <c r="AR349" s="1301" t="s">
        <v>503</v>
      </c>
      <c r="AS349" s="1301" t="s">
        <v>503</v>
      </c>
      <c r="AT349" s="1301" t="s">
        <v>503</v>
      </c>
      <c r="AU349" s="1303"/>
      <c r="AV349" s="1301" t="s">
        <v>503</v>
      </c>
      <c r="AW349" s="1301" t="s">
        <v>503</v>
      </c>
      <c r="AX349" s="1301" t="s">
        <v>503</v>
      </c>
      <c r="AY349" s="1317" t="s">
        <v>503</v>
      </c>
      <c r="AZ349" s="1317" t="s">
        <v>503</v>
      </c>
      <c r="BA349" s="1301" t="s">
        <v>503</v>
      </c>
      <c r="BB349" s="1301" t="s">
        <v>503</v>
      </c>
      <c r="BC349" s="1301" t="s">
        <v>503</v>
      </c>
      <c r="BD349" s="1317" t="s">
        <v>503</v>
      </c>
      <c r="BE349" s="1317" t="s">
        <v>503</v>
      </c>
      <c r="BF349" s="1301" t="s">
        <v>503</v>
      </c>
      <c r="BG349" s="1301" t="s">
        <v>503</v>
      </c>
      <c r="BH349" s="1301" t="s">
        <v>503</v>
      </c>
      <c r="BI349" s="1317" t="s">
        <v>503</v>
      </c>
      <c r="BJ349" s="1317" t="s">
        <v>503</v>
      </c>
      <c r="BK349" s="321" t="s">
        <v>503</v>
      </c>
      <c r="BL349" s="321" t="s">
        <v>503</v>
      </c>
      <c r="BM349" s="321">
        <f>127470+6018</f>
        <v>133488</v>
      </c>
      <c r="BN349" s="1308">
        <f>124151+5171</f>
        <v>129322</v>
      </c>
      <c r="BO349" s="1309" t="s">
        <v>503</v>
      </c>
      <c r="BP349" s="321">
        <f>125338+5366</f>
        <v>130704</v>
      </c>
      <c r="BQ349" s="321">
        <f>113164+4920</f>
        <v>118084</v>
      </c>
      <c r="BR349" s="321">
        <f>114309+4782</f>
        <v>119091</v>
      </c>
      <c r="BS349" s="1308">
        <f>110824+5683</f>
        <v>116507</v>
      </c>
      <c r="BT349" s="1309">
        <f>SUM(BP349:BS349)</f>
        <v>484386</v>
      </c>
      <c r="BU349" s="321">
        <f>118516+6082</f>
        <v>124598</v>
      </c>
      <c r="BV349" s="321">
        <f>113519+7121</f>
        <v>120640</v>
      </c>
      <c r="BW349" s="321">
        <f>108077+7552</f>
        <v>115629</v>
      </c>
      <c r="BX349" s="1308">
        <f>107542+5240</f>
        <v>112782</v>
      </c>
      <c r="BY349" s="1309">
        <f>SUM(BU349:BX349)</f>
        <v>473649</v>
      </c>
      <c r="BZ349" s="321">
        <f>106885+5801</f>
        <v>112686</v>
      </c>
      <c r="CA349" s="321">
        <f>100733+4857</f>
        <v>105590</v>
      </c>
      <c r="CB349" s="321">
        <f>98157+5333</f>
        <v>103490</v>
      </c>
      <c r="CC349" s="1308">
        <f>93063+6054</f>
        <v>99117</v>
      </c>
      <c r="CD349" s="1309">
        <f>395991+21954</f>
        <v>417945</v>
      </c>
      <c r="CE349" s="321">
        <f>7605+91358</f>
        <v>98963</v>
      </c>
      <c r="CF349" s="321">
        <v>101109</v>
      </c>
      <c r="CG349" s="321">
        <v>104324</v>
      </c>
      <c r="CH349" s="1308">
        <v>97289</v>
      </c>
      <c r="CI349" s="1309">
        <v>400416</v>
      </c>
      <c r="CJ349" s="321">
        <v>96587</v>
      </c>
      <c r="CK349" s="321">
        <v>104784</v>
      </c>
      <c r="CL349" s="321">
        <v>104380</v>
      </c>
      <c r="CM349" s="1308">
        <v>99645</v>
      </c>
      <c r="CN349" s="1309">
        <v>405396</v>
      </c>
      <c r="CO349" s="321">
        <v>101489</v>
      </c>
      <c r="CP349" s="321">
        <v>102940</v>
      </c>
      <c r="CQ349" s="321">
        <v>108241</v>
      </c>
      <c r="CR349" s="1308">
        <v>97662</v>
      </c>
      <c r="CS349" s="1309">
        <v>399785</v>
      </c>
      <c r="CT349" s="321">
        <v>105137</v>
      </c>
      <c r="CU349" s="321">
        <v>109198</v>
      </c>
      <c r="CV349" s="321">
        <v>112536</v>
      </c>
      <c r="CW349" s="1308">
        <v>111841</v>
      </c>
      <c r="CX349" s="1309">
        <v>438712</v>
      </c>
      <c r="CY349" s="321">
        <v>110240</v>
      </c>
      <c r="CZ349" s="321">
        <v>114333</v>
      </c>
      <c r="DA349" s="321">
        <v>114550</v>
      </c>
      <c r="DB349" s="1308">
        <v>113798</v>
      </c>
      <c r="DC349" s="1309">
        <v>113798</v>
      </c>
      <c r="DD349" s="321">
        <v>111857</v>
      </c>
      <c r="DE349" s="321">
        <v>108675</v>
      </c>
      <c r="DF349" s="321">
        <v>113216</v>
      </c>
      <c r="DG349" s="1308">
        <v>164746</v>
      </c>
      <c r="DH349" s="1309">
        <v>673320</v>
      </c>
      <c r="DI349" s="1511">
        <v>157197</v>
      </c>
      <c r="DJ349" s="1511">
        <v>159634</v>
      </c>
      <c r="DK349" s="1511">
        <v>172057</v>
      </c>
      <c r="DL349" s="1510">
        <v>173280</v>
      </c>
      <c r="DM349" s="1509">
        <v>662168</v>
      </c>
      <c r="DN349" s="1510">
        <v>162103</v>
      </c>
      <c r="DO349" s="1510">
        <v>141893</v>
      </c>
      <c r="DP349" s="1510">
        <v>146973</v>
      </c>
      <c r="DQ349" s="1510">
        <v>115705</v>
      </c>
      <c r="DR349" s="1004">
        <f>SUM(DN349:DQ349)</f>
        <v>566674</v>
      </c>
      <c r="DS349" s="1310"/>
      <c r="DT349" s="321"/>
      <c r="DU349" s="321"/>
      <c r="DV349" s="1311"/>
      <c r="DW349" s="1309"/>
      <c r="DX349" s="321"/>
      <c r="DY349" s="321"/>
      <c r="DZ349" s="321"/>
      <c r="EA349" s="321"/>
      <c r="EB349" s="1309"/>
      <c r="EC349" s="321"/>
      <c r="ED349" s="321"/>
      <c r="EE349" s="321"/>
      <c r="EF349" s="321"/>
      <c r="EG349" s="1309"/>
      <c r="EH349" s="321"/>
      <c r="EI349" s="321"/>
      <c r="EJ349" s="321"/>
      <c r="EK349" s="321"/>
      <c r="EL349" s="1309"/>
    </row>
    <row r="350" spans="1:142" hidden="1" outlineLevel="1">
      <c r="A350" s="1300"/>
      <c r="B350" s="1300" t="s">
        <v>211</v>
      </c>
      <c r="C350" s="1301"/>
      <c r="D350" s="1301" t="s">
        <v>503</v>
      </c>
      <c r="E350" s="1301" t="s">
        <v>503</v>
      </c>
      <c r="F350" s="1301" t="s">
        <v>503</v>
      </c>
      <c r="G350" s="1301" t="s">
        <v>503</v>
      </c>
      <c r="H350" s="1302" t="s">
        <v>503</v>
      </c>
      <c r="I350" s="1301" t="s">
        <v>503</v>
      </c>
      <c r="J350" s="1301" t="s">
        <v>503</v>
      </c>
      <c r="K350" s="1301" t="s">
        <v>503</v>
      </c>
      <c r="L350" s="1301" t="s">
        <v>503</v>
      </c>
      <c r="M350" s="1302" t="s">
        <v>503</v>
      </c>
      <c r="N350" s="1301" t="s">
        <v>503</v>
      </c>
      <c r="O350" s="1301" t="s">
        <v>503</v>
      </c>
      <c r="P350" s="1301" t="s">
        <v>503</v>
      </c>
      <c r="Q350" s="1301" t="s">
        <v>503</v>
      </c>
      <c r="R350" s="1302" t="s">
        <v>503</v>
      </c>
      <c r="S350" s="1301" t="s">
        <v>503</v>
      </c>
      <c r="T350" s="1301" t="s">
        <v>503</v>
      </c>
      <c r="U350" s="1301" t="s">
        <v>503</v>
      </c>
      <c r="V350" s="1301" t="s">
        <v>503</v>
      </c>
      <c r="W350" s="1302" t="s">
        <v>503</v>
      </c>
      <c r="X350" s="1301" t="s">
        <v>503</v>
      </c>
      <c r="Y350" s="1301" t="s">
        <v>503</v>
      </c>
      <c r="Z350" s="1301" t="s">
        <v>503</v>
      </c>
      <c r="AA350" s="1301" t="s">
        <v>503</v>
      </c>
      <c r="AB350" s="1302" t="s">
        <v>503</v>
      </c>
      <c r="AC350" s="1301" t="s">
        <v>503</v>
      </c>
      <c r="AD350" s="1301" t="s">
        <v>503</v>
      </c>
      <c r="AE350" s="1301" t="s">
        <v>503</v>
      </c>
      <c r="AF350" s="1301" t="s">
        <v>503</v>
      </c>
      <c r="AG350" s="1302" t="s">
        <v>503</v>
      </c>
      <c r="AH350" s="1301" t="s">
        <v>503</v>
      </c>
      <c r="AI350" s="1301" t="s">
        <v>503</v>
      </c>
      <c r="AJ350" s="1301" t="s">
        <v>503</v>
      </c>
      <c r="AK350" s="1301" t="s">
        <v>503</v>
      </c>
      <c r="AL350" s="1302" t="s">
        <v>503</v>
      </c>
      <c r="AM350" s="1301" t="s">
        <v>503</v>
      </c>
      <c r="AN350" s="1301" t="s">
        <v>503</v>
      </c>
      <c r="AO350" s="1301" t="s">
        <v>503</v>
      </c>
      <c r="AP350" s="1301" t="s">
        <v>503</v>
      </c>
      <c r="AQ350" s="1302" t="s">
        <v>503</v>
      </c>
      <c r="AR350" s="1301" t="s">
        <v>503</v>
      </c>
      <c r="AS350" s="1301" t="s">
        <v>503</v>
      </c>
      <c r="AT350" s="1301" t="s">
        <v>503</v>
      </c>
      <c r="AU350" s="1303"/>
      <c r="AV350" s="1301" t="s">
        <v>503</v>
      </c>
      <c r="AW350" s="1301" t="s">
        <v>503</v>
      </c>
      <c r="AX350" s="1301" t="s">
        <v>503</v>
      </c>
      <c r="AY350" s="1317" t="s">
        <v>503</v>
      </c>
      <c r="AZ350" s="1317" t="s">
        <v>503</v>
      </c>
      <c r="BA350" s="1301" t="s">
        <v>503</v>
      </c>
      <c r="BB350" s="1301" t="s">
        <v>503</v>
      </c>
      <c r="BC350" s="1301" t="s">
        <v>503</v>
      </c>
      <c r="BD350" s="1317" t="s">
        <v>503</v>
      </c>
      <c r="BE350" s="1317" t="s">
        <v>503</v>
      </c>
      <c r="BF350" s="1301" t="s">
        <v>503</v>
      </c>
      <c r="BG350" s="1301" t="s">
        <v>503</v>
      </c>
      <c r="BH350" s="1301" t="s">
        <v>503</v>
      </c>
      <c r="BI350" s="1317" t="s">
        <v>503</v>
      </c>
      <c r="BJ350" s="1317" t="s">
        <v>503</v>
      </c>
      <c r="BK350" s="321" t="s">
        <v>503</v>
      </c>
      <c r="BL350" s="321" t="s">
        <v>503</v>
      </c>
      <c r="BM350" s="321" t="s">
        <v>503</v>
      </c>
      <c r="BN350" s="1308" t="s">
        <v>503</v>
      </c>
      <c r="BO350" s="1309" t="s">
        <v>503</v>
      </c>
      <c r="BP350" s="321" t="s">
        <v>503</v>
      </c>
      <c r="BQ350" s="321" t="s">
        <v>503</v>
      </c>
      <c r="BR350" s="321" t="s">
        <v>503</v>
      </c>
      <c r="BS350" s="1308" t="s">
        <v>503</v>
      </c>
      <c r="BT350" s="1309" t="s">
        <v>503</v>
      </c>
      <c r="BU350" s="321" t="s">
        <v>503</v>
      </c>
      <c r="BV350" s="321" t="s">
        <v>503</v>
      </c>
      <c r="BW350" s="321" t="s">
        <v>503</v>
      </c>
      <c r="BX350" s="1308" t="s">
        <v>503</v>
      </c>
      <c r="BY350" s="1309" t="s">
        <v>503</v>
      </c>
      <c r="BZ350" s="321" t="s">
        <v>503</v>
      </c>
      <c r="CA350" s="321" t="s">
        <v>503</v>
      </c>
      <c r="CB350" s="321" t="s">
        <v>503</v>
      </c>
      <c r="CC350" s="1308" t="s">
        <v>503</v>
      </c>
      <c r="CD350" s="1309" t="s">
        <v>503</v>
      </c>
      <c r="CE350" s="321">
        <f>1410081-SUM(CF350:CH350)</f>
        <v>343803</v>
      </c>
      <c r="CF350" s="321">
        <v>356125</v>
      </c>
      <c r="CG350" s="321">
        <v>357122</v>
      </c>
      <c r="CH350" s="1308">
        <v>353031</v>
      </c>
      <c r="CI350" s="1309">
        <v>1410081</v>
      </c>
      <c r="CJ350" s="321">
        <v>350320</v>
      </c>
      <c r="CK350" s="321">
        <v>362110</v>
      </c>
      <c r="CL350" s="321">
        <v>359658</v>
      </c>
      <c r="CM350" s="1308">
        <v>359168</v>
      </c>
      <c r="CN350" s="1309">
        <v>1431256</v>
      </c>
      <c r="CO350" s="321">
        <v>371658</v>
      </c>
      <c r="CP350" s="321">
        <v>371389</v>
      </c>
      <c r="CQ350" s="321">
        <v>373295</v>
      </c>
      <c r="CR350" s="1308">
        <v>363230</v>
      </c>
      <c r="CS350" s="1309">
        <v>1457250</v>
      </c>
      <c r="CT350" s="321">
        <v>386398</v>
      </c>
      <c r="CU350" s="321">
        <v>384221</v>
      </c>
      <c r="CV350" s="321">
        <v>384772</v>
      </c>
      <c r="CW350" s="1308">
        <v>399711</v>
      </c>
      <c r="CX350" s="1309">
        <v>1555102</v>
      </c>
      <c r="CY350" s="321">
        <v>402078</v>
      </c>
      <c r="CZ350" s="321">
        <v>399702</v>
      </c>
      <c r="DA350" s="321">
        <v>400345</v>
      </c>
      <c r="DB350" s="1308">
        <v>404950</v>
      </c>
      <c r="DC350" s="1309">
        <v>404950</v>
      </c>
      <c r="DD350" s="321">
        <v>414193</v>
      </c>
      <c r="DE350" s="321">
        <v>432858</v>
      </c>
      <c r="DF350" s="321">
        <v>433174</v>
      </c>
      <c r="DG350" s="1308">
        <v>835951</v>
      </c>
      <c r="DH350" s="1309">
        <v>2824526</v>
      </c>
      <c r="DI350" s="1511">
        <v>741533</v>
      </c>
      <c r="DJ350" s="1511">
        <v>742951</v>
      </c>
      <c r="DK350" s="1511">
        <v>747993</v>
      </c>
      <c r="DL350" s="1510">
        <v>778148</v>
      </c>
      <c r="DM350" s="1509">
        <v>3010625</v>
      </c>
      <c r="DN350" s="1510">
        <v>789916</v>
      </c>
      <c r="DO350" s="1510">
        <v>715692</v>
      </c>
      <c r="DP350" s="1510">
        <v>707713</v>
      </c>
      <c r="DQ350" s="1510">
        <v>701100</v>
      </c>
      <c r="DR350" s="1004">
        <f>SUM(DN350:DQ350)</f>
        <v>2914421</v>
      </c>
      <c r="DS350" s="1310"/>
      <c r="DT350" s="321"/>
      <c r="DU350" s="321"/>
      <c r="DV350" s="1311"/>
      <c r="DW350" s="1309"/>
      <c r="DX350" s="321"/>
      <c r="DY350" s="321"/>
      <c r="DZ350" s="321"/>
      <c r="EA350" s="321"/>
      <c r="EB350" s="1309"/>
      <c r="EC350" s="321"/>
      <c r="ED350" s="321"/>
      <c r="EE350" s="321"/>
      <c r="EF350" s="321"/>
      <c r="EG350" s="1309"/>
      <c r="EH350" s="321"/>
      <c r="EI350" s="321"/>
      <c r="EJ350" s="321"/>
      <c r="EK350" s="321"/>
      <c r="EL350" s="1309"/>
    </row>
    <row r="351" spans="1:142" hidden="1" outlineLevel="1">
      <c r="A351" s="1300"/>
      <c r="B351" s="973" t="s">
        <v>138</v>
      </c>
      <c r="C351" s="1301"/>
      <c r="D351" s="1301"/>
      <c r="E351" s="1301"/>
      <c r="F351" s="1301"/>
      <c r="G351" s="1301"/>
      <c r="H351" s="1302"/>
      <c r="I351" s="1301"/>
      <c r="J351" s="1301"/>
      <c r="K351" s="1301"/>
      <c r="L351" s="1301"/>
      <c r="M351" s="1302"/>
      <c r="N351" s="1301"/>
      <c r="O351" s="1301"/>
      <c r="P351" s="1301"/>
      <c r="Q351" s="1301"/>
      <c r="R351" s="1302"/>
      <c r="S351" s="1301"/>
      <c r="T351" s="1301"/>
      <c r="U351" s="1301"/>
      <c r="V351" s="1301"/>
      <c r="W351" s="1302"/>
      <c r="X351" s="1301"/>
      <c r="Y351" s="1301"/>
      <c r="Z351" s="1301"/>
      <c r="AA351" s="1301"/>
      <c r="AB351" s="1302"/>
      <c r="AC351" s="1301"/>
      <c r="AD351" s="1301"/>
      <c r="AE351" s="1301"/>
      <c r="AF351" s="1301"/>
      <c r="AG351" s="1302"/>
      <c r="AH351" s="1301"/>
      <c r="AI351" s="1301"/>
      <c r="AJ351" s="1301"/>
      <c r="AK351" s="1301"/>
      <c r="AL351" s="1302"/>
      <c r="AM351" s="1301"/>
      <c r="AN351" s="1301"/>
      <c r="AO351" s="1301"/>
      <c r="AP351" s="1301"/>
      <c r="AQ351" s="1302"/>
      <c r="AR351" s="1301"/>
      <c r="AS351" s="1301"/>
      <c r="AT351" s="1301"/>
      <c r="AU351" s="1303"/>
      <c r="AV351" s="1301"/>
      <c r="AW351" s="1301"/>
      <c r="AX351" s="1301"/>
      <c r="AY351" s="1319"/>
      <c r="AZ351" s="1317"/>
      <c r="BA351" s="1301"/>
      <c r="BB351" s="1301"/>
      <c r="BC351" s="1301"/>
      <c r="BD351" s="1319"/>
      <c r="BE351" s="1317"/>
      <c r="BF351" s="1301"/>
      <c r="BG351" s="1301"/>
      <c r="BH351" s="1301"/>
      <c r="BI351" s="1319"/>
      <c r="BJ351" s="1317"/>
      <c r="BK351" s="321"/>
      <c r="BL351" s="321"/>
      <c r="BM351" s="321"/>
      <c r="BN351" s="1308"/>
      <c r="BO351" s="1309"/>
      <c r="BP351" s="321"/>
      <c r="BQ351" s="321"/>
      <c r="BR351" s="321"/>
      <c r="BS351" s="1308"/>
      <c r="BT351" s="1309"/>
      <c r="BU351" s="321"/>
      <c r="BV351" s="321"/>
      <c r="BW351" s="321"/>
      <c r="BX351" s="1308"/>
      <c r="BY351" s="1309"/>
      <c r="BZ351" s="321"/>
      <c r="CA351" s="321"/>
      <c r="CB351" s="321"/>
      <c r="CC351" s="1308"/>
      <c r="CD351" s="1309"/>
      <c r="CE351" s="321"/>
      <c r="CF351" s="321"/>
      <c r="CG351" s="321"/>
      <c r="CH351" s="1308"/>
      <c r="CI351" s="1309"/>
      <c r="CJ351" s="321"/>
      <c r="CK351" s="321"/>
      <c r="CL351" s="321"/>
      <c r="CM351" s="1308"/>
      <c r="CN351" s="1309"/>
      <c r="CO351" s="321"/>
      <c r="CP351" s="321"/>
      <c r="CQ351" s="321"/>
      <c r="CR351" s="1308"/>
      <c r="CS351" s="1309"/>
      <c r="CT351" s="321"/>
      <c r="CU351" s="321"/>
      <c r="CV351" s="321"/>
      <c r="CW351" s="1308"/>
      <c r="CX351" s="1309"/>
      <c r="CY351" s="321"/>
      <c r="CZ351" s="321"/>
      <c r="DA351" s="321"/>
      <c r="DB351" s="1308"/>
      <c r="DC351" s="1309"/>
      <c r="DD351" s="321"/>
      <c r="DE351" s="321"/>
      <c r="DF351" s="321"/>
      <c r="DG351" s="1308"/>
      <c r="DH351" s="1309"/>
      <c r="DI351" s="1511"/>
      <c r="DJ351" s="1511"/>
      <c r="DK351" s="1511"/>
      <c r="DL351" s="1510"/>
      <c r="DM351" s="1509"/>
      <c r="DN351" s="1510"/>
      <c r="DO351" s="1510"/>
      <c r="DP351" s="1510"/>
      <c r="DQ351" s="1510"/>
      <c r="DR351" s="1509"/>
      <c r="DS351" s="1310"/>
      <c r="DT351" s="321"/>
      <c r="DU351" s="321"/>
      <c r="DV351" s="1311"/>
      <c r="DW351" s="1309"/>
      <c r="DX351" s="321"/>
      <c r="DY351" s="321"/>
      <c r="DZ351" s="321"/>
      <c r="EA351" s="321"/>
      <c r="EB351" s="1309"/>
      <c r="EC351" s="321"/>
      <c r="ED351" s="321"/>
      <c r="EE351" s="321"/>
      <c r="EF351" s="321"/>
      <c r="EG351" s="1309"/>
      <c r="EH351" s="321"/>
      <c r="EI351" s="321"/>
      <c r="EJ351" s="321"/>
      <c r="EK351" s="321"/>
      <c r="EL351" s="1309"/>
    </row>
    <row r="352" spans="1:142" hidden="1" outlineLevel="1">
      <c r="A352" s="557"/>
      <c r="B352" s="557" t="s">
        <v>190</v>
      </c>
      <c r="C352" s="1201"/>
      <c r="D352" s="1201">
        <v>373.37799999999999</v>
      </c>
      <c r="E352" s="1201">
        <v>366.77499999999998</v>
      </c>
      <c r="F352" s="1201">
        <v>385.7</v>
      </c>
      <c r="G352" s="960">
        <f>H352-SUM(D352:F352)</f>
        <v>812.04700000000003</v>
      </c>
      <c r="H352" s="1202">
        <v>1937.9</v>
      </c>
      <c r="I352" s="1201">
        <v>787.3</v>
      </c>
      <c r="J352" s="1201">
        <v>839.4</v>
      </c>
      <c r="K352" s="1201">
        <v>906.7</v>
      </c>
      <c r="L352" s="960">
        <f>M352-SUM(I352:K352)</f>
        <v>906.60000000000036</v>
      </c>
      <c r="M352" s="1202">
        <v>3440</v>
      </c>
      <c r="N352" s="1201">
        <v>858.2</v>
      </c>
      <c r="O352" s="1201">
        <v>884.5</v>
      </c>
      <c r="P352" s="1201">
        <v>1377</v>
      </c>
      <c r="Q352" s="960">
        <f>R352-SUM(N352:P352)</f>
        <v>2107.3000000000002</v>
      </c>
      <c r="R352" s="1202">
        <v>5227</v>
      </c>
      <c r="S352" s="1201">
        <v>1341</v>
      </c>
      <c r="T352" s="1201">
        <v>1390</v>
      </c>
      <c r="U352" s="1201">
        <v>1564</v>
      </c>
      <c r="V352" s="960">
        <f>W352-SUM(S352:U352)</f>
        <v>1548</v>
      </c>
      <c r="W352" s="1202">
        <v>5843</v>
      </c>
      <c r="X352" s="1201">
        <v>1474</v>
      </c>
      <c r="Y352" s="1201">
        <v>1538</v>
      </c>
      <c r="Z352" s="1201">
        <v>1725</v>
      </c>
      <c r="AA352" s="960">
        <f>AB352-SUM(X352:Z352)</f>
        <v>1779</v>
      </c>
      <c r="AB352" s="1202">
        <v>6516</v>
      </c>
      <c r="AC352" s="1201">
        <v>1703</v>
      </c>
      <c r="AD352" s="1201">
        <v>1700</v>
      </c>
      <c r="AE352" s="1201">
        <v>1831</v>
      </c>
      <c r="AF352" s="960">
        <f>AG352-SUM(AC352:AE352)</f>
        <v>1795</v>
      </c>
      <c r="AG352" s="1202">
        <v>7029</v>
      </c>
      <c r="AH352" s="1201">
        <v>1777</v>
      </c>
      <c r="AI352" s="1201">
        <v>1842</v>
      </c>
      <c r="AJ352" s="1201">
        <v>1987</v>
      </c>
      <c r="AK352" s="960">
        <f>AL352-SUM(AH352:AJ352)</f>
        <v>2071</v>
      </c>
      <c r="AL352" s="1202">
        <v>7677</v>
      </c>
      <c r="AM352" s="1201">
        <v>2121</v>
      </c>
      <c r="AN352" s="1201">
        <v>2210</v>
      </c>
      <c r="AO352" s="1201">
        <v>2335</v>
      </c>
      <c r="AP352" s="960">
        <f>AQ352-SUM(AM352:AO352)</f>
        <v>2474</v>
      </c>
      <c r="AQ352" s="1202">
        <v>9140</v>
      </c>
      <c r="AR352" s="1201">
        <v>2424</v>
      </c>
      <c r="AS352" s="1201">
        <v>2470</v>
      </c>
      <c r="AT352" s="1201">
        <v>2390</v>
      </c>
      <c r="AU352" s="802"/>
      <c r="AV352" s="708" t="s">
        <v>503</v>
      </c>
      <c r="AW352" s="708" t="s">
        <v>503</v>
      </c>
      <c r="AX352" s="708" t="s">
        <v>503</v>
      </c>
      <c r="AY352" s="708" t="s">
        <v>503</v>
      </c>
      <c r="AZ352" s="1188" t="s">
        <v>503</v>
      </c>
      <c r="BA352" s="1201">
        <v>2266</v>
      </c>
      <c r="BB352" s="1201">
        <v>2181</v>
      </c>
      <c r="BC352" s="1201">
        <v>2139</v>
      </c>
      <c r="BD352" s="960">
        <f>BE352-SUM(BA352:BC352)</f>
        <v>1985</v>
      </c>
      <c r="BE352" s="1202">
        <v>8571</v>
      </c>
      <c r="BF352" s="1201">
        <v>1765</v>
      </c>
      <c r="BG352" s="1201">
        <v>1690</v>
      </c>
      <c r="BH352" s="1201">
        <v>1597</v>
      </c>
      <c r="BI352" s="1201">
        <v>1605</v>
      </c>
      <c r="BJ352" s="1202">
        <v>6546</v>
      </c>
      <c r="BK352" s="959">
        <v>1701</v>
      </c>
      <c r="BL352" s="901">
        <v>1598</v>
      </c>
      <c r="BM352" s="959">
        <v>1603</v>
      </c>
      <c r="BN352" s="959">
        <v>1590</v>
      </c>
      <c r="BO352" s="802">
        <v>6492</v>
      </c>
      <c r="BP352" s="959">
        <v>1677</v>
      </c>
      <c r="BQ352" s="901">
        <v>1480</v>
      </c>
      <c r="BR352" s="959">
        <v>1418</v>
      </c>
      <c r="BS352" s="959">
        <v>1494</v>
      </c>
      <c r="BT352" s="802">
        <v>5928</v>
      </c>
      <c r="BU352" s="959">
        <v>1540</v>
      </c>
      <c r="BV352" s="901">
        <v>1491</v>
      </c>
      <c r="BW352" s="959">
        <v>1484</v>
      </c>
      <c r="BX352" s="959">
        <v>1517</v>
      </c>
      <c r="BY352" s="802">
        <v>5967</v>
      </c>
      <c r="BZ352" s="959">
        <v>1614</v>
      </c>
      <c r="CA352" s="901">
        <v>1439</v>
      </c>
      <c r="CB352" s="959">
        <v>1414</v>
      </c>
      <c r="CC352" s="959">
        <v>1452</v>
      </c>
      <c r="CD352" s="802">
        <v>5749</v>
      </c>
      <c r="CE352" s="959">
        <v>1524</v>
      </c>
      <c r="CF352" s="901">
        <v>1441</v>
      </c>
      <c r="CG352" s="959">
        <v>1466</v>
      </c>
      <c r="CH352" s="959">
        <v>1481</v>
      </c>
      <c r="CI352" s="802">
        <v>5902</v>
      </c>
      <c r="CJ352" s="959">
        <v>1544</v>
      </c>
      <c r="CK352" s="901">
        <v>1478</v>
      </c>
      <c r="CL352" s="959">
        <v>1430</v>
      </c>
      <c r="CM352" s="959">
        <v>1477</v>
      </c>
      <c r="CN352" s="802">
        <v>5929</v>
      </c>
      <c r="CO352" s="959">
        <v>1619</v>
      </c>
      <c r="CP352" s="901">
        <v>1466</v>
      </c>
      <c r="CQ352" s="959">
        <v>1444</v>
      </c>
      <c r="CR352" s="959">
        <v>1499</v>
      </c>
      <c r="CS352" s="802">
        <v>6028</v>
      </c>
      <c r="CT352" s="959">
        <v>1607</v>
      </c>
      <c r="CU352" s="901">
        <v>1548</v>
      </c>
      <c r="CV352" s="959">
        <v>1501</v>
      </c>
      <c r="CW352" s="959">
        <v>1544</v>
      </c>
      <c r="CX352" s="802">
        <v>6200</v>
      </c>
      <c r="CY352" s="959">
        <v>1536</v>
      </c>
      <c r="CZ352" s="901">
        <v>1542</v>
      </c>
      <c r="DA352" s="959">
        <v>1502</v>
      </c>
      <c r="DB352" s="959">
        <v>2372</v>
      </c>
      <c r="DC352" s="802">
        <v>6952</v>
      </c>
      <c r="DD352" s="959">
        <v>2440</v>
      </c>
      <c r="DE352" s="901">
        <v>2393</v>
      </c>
      <c r="DF352" s="959">
        <v>2463</v>
      </c>
      <c r="DG352" s="959">
        <v>2719</v>
      </c>
      <c r="DH352" s="802">
        <v>10015</v>
      </c>
      <c r="DI352" s="1507">
        <v>2691</v>
      </c>
      <c r="DJ352" s="1519">
        <v>2623</v>
      </c>
      <c r="DK352" s="1507">
        <v>2603</v>
      </c>
      <c r="DL352" s="1507">
        <v>2736</v>
      </c>
      <c r="DM352" s="1506">
        <v>10652</v>
      </c>
      <c r="DN352" s="1507">
        <v>2781</v>
      </c>
      <c r="DO352" s="1507">
        <v>2588</v>
      </c>
      <c r="DP352" s="1507">
        <v>2644</v>
      </c>
      <c r="DQ352" s="1507">
        <v>2606</v>
      </c>
      <c r="DR352" s="1004">
        <f>SUM(DN352:DQ352)</f>
        <v>10619</v>
      </c>
      <c r="DS352" s="1282"/>
      <c r="DT352" s="555"/>
      <c r="DU352" s="555"/>
      <c r="DV352" s="1282"/>
      <c r="DW352" s="802"/>
      <c r="DX352" s="555"/>
      <c r="DY352" s="555"/>
      <c r="DZ352" s="555"/>
      <c r="EA352" s="555"/>
      <c r="EB352" s="802"/>
      <c r="EC352" s="555"/>
      <c r="ED352" s="555"/>
      <c r="EE352" s="555"/>
      <c r="EF352" s="555"/>
      <c r="EG352" s="802"/>
      <c r="EH352" s="555"/>
      <c r="EI352" s="555"/>
      <c r="EJ352" s="555"/>
      <c r="EK352" s="555"/>
      <c r="EL352" s="802"/>
    </row>
    <row r="353" spans="1:142" hidden="1" outlineLevel="1">
      <c r="A353" s="557"/>
      <c r="B353" s="557" t="s">
        <v>191</v>
      </c>
      <c r="C353" s="1201"/>
      <c r="D353" s="1201">
        <v>144.14400000000001</v>
      </c>
      <c r="E353" s="1201">
        <v>138.39599999999999</v>
      </c>
      <c r="F353" s="1201">
        <v>144.19999999999999</v>
      </c>
      <c r="G353" s="960">
        <f>H353-SUM(D353:F353)</f>
        <v>359.56</v>
      </c>
      <c r="H353" s="1202">
        <v>786.3</v>
      </c>
      <c r="I353" s="1201">
        <v>365.3</v>
      </c>
      <c r="J353" s="1201">
        <v>390</v>
      </c>
      <c r="K353" s="1201">
        <v>402.6</v>
      </c>
      <c r="L353" s="960">
        <f>M353-SUM(I353:K353)</f>
        <v>414.09999999999991</v>
      </c>
      <c r="M353" s="1202">
        <v>1572</v>
      </c>
      <c r="N353" s="1201">
        <v>410.5</v>
      </c>
      <c r="O353" s="1201">
        <v>425.7</v>
      </c>
      <c r="P353" s="1201">
        <v>639.79999999999995</v>
      </c>
      <c r="Q353" s="960">
        <f>R353-SUM(N353:P353)</f>
        <v>1039</v>
      </c>
      <c r="R353" s="1202">
        <v>2515</v>
      </c>
      <c r="S353" s="1201">
        <v>735</v>
      </c>
      <c r="T353" s="1201">
        <v>759</v>
      </c>
      <c r="U353" s="1201">
        <v>724</v>
      </c>
      <c r="V353" s="960">
        <f>W353-SUM(S353:U353)</f>
        <v>760</v>
      </c>
      <c r="W353" s="1202">
        <v>2978</v>
      </c>
      <c r="X353" s="1201">
        <v>786</v>
      </c>
      <c r="Y353" s="1201">
        <v>755</v>
      </c>
      <c r="Z353" s="1201">
        <v>807</v>
      </c>
      <c r="AA353" s="960">
        <f>AB353-SUM(X353:Z353)</f>
        <v>837</v>
      </c>
      <c r="AB353" s="1202">
        <v>3185</v>
      </c>
      <c r="AC353" s="1201">
        <v>902</v>
      </c>
      <c r="AD353" s="1201">
        <v>823</v>
      </c>
      <c r="AE353" s="1201">
        <v>795</v>
      </c>
      <c r="AF353" s="960">
        <f>AG353-SUM(AC353:AE353)</f>
        <v>874</v>
      </c>
      <c r="AG353" s="1202">
        <v>3394</v>
      </c>
      <c r="AH353" s="1201">
        <v>912</v>
      </c>
      <c r="AI353" s="1201">
        <v>879</v>
      </c>
      <c r="AJ353" s="1201">
        <v>864</v>
      </c>
      <c r="AK353" s="960">
        <f>AL353-SUM(AH353:AJ353)</f>
        <v>948</v>
      </c>
      <c r="AL353" s="1202">
        <v>3603</v>
      </c>
      <c r="AM353" s="1201">
        <v>997</v>
      </c>
      <c r="AN353" s="1201">
        <v>1014</v>
      </c>
      <c r="AO353" s="1201">
        <v>982</v>
      </c>
      <c r="AP353" s="960">
        <f>AQ353-SUM(AM353:AO353)</f>
        <v>1115</v>
      </c>
      <c r="AQ353" s="1202">
        <v>4108</v>
      </c>
      <c r="AR353" s="1201">
        <v>1122</v>
      </c>
      <c r="AS353" s="1201">
        <v>1138</v>
      </c>
      <c r="AT353" s="1201">
        <v>1103</v>
      </c>
      <c r="AU353" s="802"/>
      <c r="AV353" s="708" t="s">
        <v>503</v>
      </c>
      <c r="AW353" s="708" t="s">
        <v>503</v>
      </c>
      <c r="AX353" s="708" t="s">
        <v>503</v>
      </c>
      <c r="AY353" s="708" t="s">
        <v>503</v>
      </c>
      <c r="AZ353" s="1188" t="s">
        <v>503</v>
      </c>
      <c r="BA353" s="1201">
        <v>1012</v>
      </c>
      <c r="BB353" s="1201">
        <v>1014</v>
      </c>
      <c r="BC353" s="1201">
        <v>1006</v>
      </c>
      <c r="BD353" s="960">
        <f>BE353-SUM(BA353:BC353)</f>
        <v>929</v>
      </c>
      <c r="BE353" s="1202">
        <v>3961</v>
      </c>
      <c r="BF353" s="1201">
        <v>808</v>
      </c>
      <c r="BG353" s="1201">
        <v>781</v>
      </c>
      <c r="BH353" s="1201">
        <v>751</v>
      </c>
      <c r="BI353" s="1201">
        <v>714</v>
      </c>
      <c r="BJ353" s="1202">
        <v>2999</v>
      </c>
      <c r="BK353" s="959">
        <v>709</v>
      </c>
      <c r="BL353" s="901">
        <v>727</v>
      </c>
      <c r="BM353" s="959">
        <v>708</v>
      </c>
      <c r="BN353" s="959">
        <v>641</v>
      </c>
      <c r="BO353" s="802">
        <v>2785</v>
      </c>
      <c r="BP353" s="959">
        <v>664</v>
      </c>
      <c r="BQ353" s="901">
        <v>632</v>
      </c>
      <c r="BR353" s="959">
        <v>623</v>
      </c>
      <c r="BS353" s="959">
        <v>622</v>
      </c>
      <c r="BT353" s="802">
        <v>2483</v>
      </c>
      <c r="BU353" s="959">
        <v>657</v>
      </c>
      <c r="BV353" s="901">
        <v>667</v>
      </c>
      <c r="BW353" s="959">
        <v>654</v>
      </c>
      <c r="BX353" s="959">
        <v>660</v>
      </c>
      <c r="BY353" s="802">
        <v>2590</v>
      </c>
      <c r="BZ353" s="959">
        <v>683</v>
      </c>
      <c r="CA353" s="901">
        <v>670</v>
      </c>
      <c r="CB353" s="959">
        <v>664</v>
      </c>
      <c r="CC353" s="959">
        <v>654</v>
      </c>
      <c r="CD353" s="802">
        <v>2599</v>
      </c>
      <c r="CE353" s="959">
        <v>674</v>
      </c>
      <c r="CF353" s="901">
        <v>702</v>
      </c>
      <c r="CG353" s="959">
        <v>709</v>
      </c>
      <c r="CH353" s="959">
        <v>691</v>
      </c>
      <c r="CI353" s="802">
        <v>2770</v>
      </c>
      <c r="CJ353" s="959">
        <v>706</v>
      </c>
      <c r="CK353" s="901">
        <v>733</v>
      </c>
      <c r="CL353" s="959">
        <v>734</v>
      </c>
      <c r="CM353" s="959">
        <v>730</v>
      </c>
      <c r="CN353" s="802">
        <v>2903</v>
      </c>
      <c r="CO353" s="959">
        <v>720</v>
      </c>
      <c r="CP353" s="901">
        <v>738</v>
      </c>
      <c r="CQ353" s="959">
        <v>734</v>
      </c>
      <c r="CR353" s="959">
        <v>736</v>
      </c>
      <c r="CS353" s="802">
        <v>2928</v>
      </c>
      <c r="CT353" s="959">
        <v>766</v>
      </c>
      <c r="CU353" s="901">
        <v>791</v>
      </c>
      <c r="CV353" s="959">
        <v>789</v>
      </c>
      <c r="CW353" s="959">
        <v>821</v>
      </c>
      <c r="CX353" s="802">
        <v>3167</v>
      </c>
      <c r="CY353" s="959">
        <v>813</v>
      </c>
      <c r="CZ353" s="901">
        <v>844</v>
      </c>
      <c r="DA353" s="959">
        <v>845</v>
      </c>
      <c r="DB353" s="959">
        <v>1357</v>
      </c>
      <c r="DC353" s="802">
        <v>3859</v>
      </c>
      <c r="DD353" s="959">
        <v>1346</v>
      </c>
      <c r="DE353" s="901">
        <v>1448</v>
      </c>
      <c r="DF353" s="959">
        <v>1441</v>
      </c>
      <c r="DG353" s="959">
        <v>1539</v>
      </c>
      <c r="DH353" s="802">
        <v>5774</v>
      </c>
      <c r="DI353" s="1507">
        <v>1412</v>
      </c>
      <c r="DJ353" s="1519">
        <v>1484</v>
      </c>
      <c r="DK353" s="1507">
        <v>1515</v>
      </c>
      <c r="DL353" s="1507">
        <v>1616</v>
      </c>
      <c r="DM353" s="1506">
        <v>6027</v>
      </c>
      <c r="DN353" s="1507">
        <v>1514</v>
      </c>
      <c r="DO353" s="1507">
        <v>1460</v>
      </c>
      <c r="DP353" s="1507">
        <v>1417</v>
      </c>
      <c r="DQ353" s="1507">
        <v>1457</v>
      </c>
      <c r="DR353" s="1004">
        <f>SUM(DN353:DQ353)</f>
        <v>5848</v>
      </c>
      <c r="DS353" s="1282"/>
      <c r="DT353" s="555"/>
      <c r="DU353" s="555"/>
      <c r="DV353" s="1282"/>
      <c r="DW353" s="802"/>
      <c r="DX353" s="555"/>
      <c r="DY353" s="555"/>
      <c r="DZ353" s="555"/>
      <c r="EA353" s="555"/>
      <c r="EB353" s="802"/>
      <c r="EC353" s="555"/>
      <c r="ED353" s="555"/>
      <c r="EE353" s="555"/>
      <c r="EF353" s="555"/>
      <c r="EG353" s="802"/>
      <c r="EH353" s="555"/>
      <c r="EI353" s="555"/>
      <c r="EJ353" s="555"/>
      <c r="EK353" s="555"/>
      <c r="EL353" s="802"/>
    </row>
    <row r="354" spans="1:142" hidden="1" outlineLevel="1">
      <c r="A354" s="557"/>
      <c r="B354" s="973" t="s">
        <v>689</v>
      </c>
      <c r="C354" s="1201"/>
      <c r="D354" s="1201"/>
      <c r="E354" s="1201"/>
      <c r="F354" s="1201"/>
      <c r="G354" s="960"/>
      <c r="H354" s="1202"/>
      <c r="I354" s="1201"/>
      <c r="J354" s="1201"/>
      <c r="K354" s="1201"/>
      <c r="L354" s="960"/>
      <c r="M354" s="1202"/>
      <c r="N354" s="1201"/>
      <c r="O354" s="1201"/>
      <c r="P354" s="1201"/>
      <c r="Q354" s="960"/>
      <c r="R354" s="1202"/>
      <c r="S354" s="1201"/>
      <c r="T354" s="1201"/>
      <c r="U354" s="1201"/>
      <c r="V354" s="960"/>
      <c r="W354" s="1202"/>
      <c r="X354" s="1201"/>
      <c r="Y354" s="1201"/>
      <c r="Z354" s="1201"/>
      <c r="AA354" s="960"/>
      <c r="AB354" s="1202"/>
      <c r="AC354" s="1201"/>
      <c r="AD354" s="1201"/>
      <c r="AE354" s="1201"/>
      <c r="AF354" s="960"/>
      <c r="AG354" s="1202"/>
      <c r="AH354" s="1201"/>
      <c r="AI354" s="1201"/>
      <c r="AJ354" s="1201"/>
      <c r="AK354" s="960"/>
      <c r="AL354" s="1202"/>
      <c r="AM354" s="1201"/>
      <c r="AN354" s="1201"/>
      <c r="AO354" s="1201"/>
      <c r="AP354" s="960"/>
      <c r="AQ354" s="1202"/>
      <c r="AR354" s="1201"/>
      <c r="AS354" s="1201"/>
      <c r="AT354" s="1201"/>
      <c r="AU354" s="802"/>
      <c r="AV354" s="708"/>
      <c r="AW354" s="708"/>
      <c r="AX354" s="708"/>
      <c r="AY354" s="708"/>
      <c r="AZ354" s="1188"/>
      <c r="BA354" s="1201"/>
      <c r="BB354" s="1201"/>
      <c r="BC354" s="1201"/>
      <c r="BD354" s="960"/>
      <c r="BE354" s="1202"/>
      <c r="BF354" s="1201"/>
      <c r="BG354" s="1201"/>
      <c r="BH354" s="1201"/>
      <c r="BI354" s="1201"/>
      <c r="BJ354" s="1202"/>
      <c r="BK354" s="959"/>
      <c r="BL354" s="901"/>
      <c r="BM354" s="959"/>
      <c r="BN354" s="959"/>
      <c r="BO354" s="802"/>
      <c r="BP354" s="959"/>
      <c r="BQ354" s="901"/>
      <c r="BR354" s="959"/>
      <c r="BS354" s="959"/>
      <c r="BT354" s="802"/>
      <c r="BU354" s="959"/>
      <c r="BV354" s="901"/>
      <c r="BW354" s="959"/>
      <c r="BX354" s="959"/>
      <c r="BY354" s="802"/>
      <c r="BZ354" s="959"/>
      <c r="CA354" s="901"/>
      <c r="CB354" s="959"/>
      <c r="CC354" s="959"/>
      <c r="CD354" s="802"/>
      <c r="CE354" s="959"/>
      <c r="CF354" s="901"/>
      <c r="CG354" s="959"/>
      <c r="CH354" s="959"/>
      <c r="CI354" s="802"/>
      <c r="CJ354" s="959"/>
      <c r="CK354" s="901"/>
      <c r="CL354" s="959"/>
      <c r="CM354" s="959"/>
      <c r="CN354" s="802"/>
      <c r="CO354" s="959"/>
      <c r="CP354" s="901"/>
      <c r="CQ354" s="959"/>
      <c r="CR354" s="959"/>
      <c r="CS354" s="802"/>
      <c r="CT354" s="959"/>
      <c r="CU354" s="901"/>
      <c r="CV354" s="959"/>
      <c r="CW354" s="959"/>
      <c r="CX354" s="802"/>
      <c r="CY354" s="959"/>
      <c r="CZ354" s="901"/>
      <c r="DA354" s="959"/>
      <c r="DB354" s="959"/>
      <c r="DC354" s="802"/>
      <c r="DD354" s="959"/>
      <c r="DE354" s="901"/>
      <c r="DF354" s="959"/>
      <c r="DG354" s="959"/>
      <c r="DH354" s="802"/>
      <c r="DI354" s="1507"/>
      <c r="DJ354" s="1519"/>
      <c r="DK354" s="1507"/>
      <c r="DL354" s="1507"/>
      <c r="DM354" s="1506"/>
      <c r="DN354" s="1507"/>
      <c r="DO354" s="1507"/>
      <c r="DP354" s="1507"/>
      <c r="DQ354" s="1507"/>
      <c r="DR354" s="1506"/>
      <c r="DS354" s="1282"/>
      <c r="DT354" s="555"/>
      <c r="DU354" s="555"/>
      <c r="DV354" s="1282"/>
      <c r="DW354" s="802"/>
      <c r="DX354" s="555"/>
      <c r="DY354" s="555"/>
      <c r="DZ354" s="555"/>
      <c r="EA354" s="555"/>
      <c r="EB354" s="802"/>
      <c r="EC354" s="555"/>
      <c r="ED354" s="555"/>
      <c r="EE354" s="555"/>
      <c r="EF354" s="555"/>
      <c r="EG354" s="802"/>
      <c r="EH354" s="555"/>
      <c r="EI354" s="555"/>
      <c r="EJ354" s="555"/>
      <c r="EK354" s="555"/>
      <c r="EL354" s="802"/>
    </row>
    <row r="355" spans="1:142" hidden="1" outlineLevel="1">
      <c r="A355" s="557"/>
      <c r="B355" s="557" t="s">
        <v>197</v>
      </c>
      <c r="C355" s="1203"/>
      <c r="D355" s="1203" t="s">
        <v>503</v>
      </c>
      <c r="E355" s="1203" t="s">
        <v>503</v>
      </c>
      <c r="F355" s="1203" t="s">
        <v>503</v>
      </c>
      <c r="G355" s="1203" t="s">
        <v>503</v>
      </c>
      <c r="H355" s="1188" t="s">
        <v>503</v>
      </c>
      <c r="I355" s="1203" t="s">
        <v>503</v>
      </c>
      <c r="J355" s="1203" t="s">
        <v>503</v>
      </c>
      <c r="K355" s="1203" t="s">
        <v>503</v>
      </c>
      <c r="L355" s="1203" t="s">
        <v>503</v>
      </c>
      <c r="M355" s="1188" t="s">
        <v>503</v>
      </c>
      <c r="N355" s="1201">
        <v>7022</v>
      </c>
      <c r="O355" s="1201">
        <v>7101</v>
      </c>
      <c r="P355" s="1201">
        <v>6469</v>
      </c>
      <c r="Q355" s="1203" t="s">
        <v>503</v>
      </c>
      <c r="R355" s="1202">
        <v>6643</v>
      </c>
      <c r="S355" s="1201">
        <v>6522</v>
      </c>
      <c r="T355" s="1201">
        <v>6518</v>
      </c>
      <c r="U355" s="1201">
        <v>6772</v>
      </c>
      <c r="V355" s="1203" t="s">
        <v>503</v>
      </c>
      <c r="W355" s="1202">
        <v>6697</v>
      </c>
      <c r="X355" s="1201">
        <v>6725</v>
      </c>
      <c r="Y355" s="1201">
        <v>6944</v>
      </c>
      <c r="Z355" s="1201">
        <v>6938</v>
      </c>
      <c r="AA355" s="1203" t="s">
        <v>503</v>
      </c>
      <c r="AB355" s="1202">
        <v>6930</v>
      </c>
      <c r="AC355" s="1201">
        <v>7114</v>
      </c>
      <c r="AD355" s="1201">
        <v>7468</v>
      </c>
      <c r="AE355" s="1201">
        <v>7636</v>
      </c>
      <c r="AF355" s="1203" t="s">
        <v>503</v>
      </c>
      <c r="AG355" s="1202">
        <v>7508</v>
      </c>
      <c r="AH355" s="1201">
        <v>7771</v>
      </c>
      <c r="AI355" s="1201">
        <v>8034</v>
      </c>
      <c r="AJ355" s="1201">
        <v>8311</v>
      </c>
      <c r="AK355" s="1203" t="s">
        <v>503</v>
      </c>
      <c r="AL355" s="1202">
        <v>8170</v>
      </c>
      <c r="AM355" s="1201">
        <v>8758</v>
      </c>
      <c r="AN355" s="1201">
        <v>9100</v>
      </c>
      <c r="AO355" s="1201">
        <v>9091</v>
      </c>
      <c r="AP355" s="1203" t="s">
        <v>503</v>
      </c>
      <c r="AQ355" s="1202">
        <v>9131</v>
      </c>
      <c r="AR355" s="1201">
        <v>9615</v>
      </c>
      <c r="AS355" s="1201">
        <v>9716</v>
      </c>
      <c r="AT355" s="1201">
        <v>9136</v>
      </c>
      <c r="AU355" s="802"/>
      <c r="AV355" s="708" t="s">
        <v>503</v>
      </c>
      <c r="AW355" s="708" t="s">
        <v>503</v>
      </c>
      <c r="AX355" s="708" t="s">
        <v>503</v>
      </c>
      <c r="AY355" s="708" t="s">
        <v>503</v>
      </c>
      <c r="AZ355" s="1188" t="s">
        <v>503</v>
      </c>
      <c r="BA355" s="1201">
        <v>9316</v>
      </c>
      <c r="BB355" s="1201">
        <v>9239</v>
      </c>
      <c r="BC355" s="1201">
        <v>9011</v>
      </c>
      <c r="BD355" s="1203" t="s">
        <v>503</v>
      </c>
      <c r="BE355" s="1202">
        <v>9054</v>
      </c>
      <c r="BF355" s="1201">
        <v>9528</v>
      </c>
      <c r="BG355" s="1201">
        <v>9709</v>
      </c>
      <c r="BH355" s="1201">
        <v>9355</v>
      </c>
      <c r="BI355" s="1201">
        <v>9478</v>
      </c>
      <c r="BJ355" s="1202">
        <v>9517</v>
      </c>
      <c r="BK355" s="555">
        <v>9532</v>
      </c>
      <c r="BL355" s="555">
        <v>9482</v>
      </c>
      <c r="BM355" s="555">
        <v>9792</v>
      </c>
      <c r="BN355" s="555">
        <v>10070</v>
      </c>
      <c r="BO355" s="802">
        <v>9710</v>
      </c>
      <c r="BP355" s="555">
        <v>10077</v>
      </c>
      <c r="BQ355" s="555">
        <v>10351</v>
      </c>
      <c r="BR355" s="555">
        <v>10042</v>
      </c>
      <c r="BS355" s="555">
        <v>10440</v>
      </c>
      <c r="BT355" s="802">
        <v>10253</v>
      </c>
      <c r="BU355" s="555">
        <v>10380</v>
      </c>
      <c r="BV355" s="555">
        <v>10663</v>
      </c>
      <c r="BW355" s="555">
        <v>10882</v>
      </c>
      <c r="BX355" s="555">
        <v>10879</v>
      </c>
      <c r="BY355" s="802">
        <v>10732</v>
      </c>
      <c r="BZ355" s="555">
        <v>11050</v>
      </c>
      <c r="CA355" s="555">
        <v>10740</v>
      </c>
      <c r="CB355" s="555">
        <v>10832</v>
      </c>
      <c r="CC355" s="555">
        <v>11026</v>
      </c>
      <c r="CD355" s="802">
        <v>10841</v>
      </c>
      <c r="CE355" s="555">
        <v>11143</v>
      </c>
      <c r="CF355" s="555">
        <v>11058</v>
      </c>
      <c r="CG355" s="555">
        <v>11255</v>
      </c>
      <c r="CH355" s="555">
        <v>11425</v>
      </c>
      <c r="CI355" s="802">
        <v>11231</v>
      </c>
      <c r="CJ355" s="555">
        <v>11644</v>
      </c>
      <c r="CK355" s="555">
        <v>11569</v>
      </c>
      <c r="CL355" s="555">
        <v>11381</v>
      </c>
      <c r="CM355" s="555">
        <v>11632</v>
      </c>
      <c r="CN355" s="802">
        <v>11558</v>
      </c>
      <c r="CO355" s="555">
        <v>12318</v>
      </c>
      <c r="CP355" s="555">
        <v>11673</v>
      </c>
      <c r="CQ355" s="555">
        <v>11510</v>
      </c>
      <c r="CR355" s="555">
        <v>11959</v>
      </c>
      <c r="CS355" s="802">
        <v>11870</v>
      </c>
      <c r="CT355" s="555">
        <v>12249</v>
      </c>
      <c r="CU355" s="555">
        <v>12371</v>
      </c>
      <c r="CV355" s="555">
        <v>12021</v>
      </c>
      <c r="CW355" s="555">
        <v>12323</v>
      </c>
      <c r="CX355" s="802">
        <v>12241</v>
      </c>
      <c r="CY355" s="555">
        <v>12197</v>
      </c>
      <c r="CZ355" s="555">
        <v>12773</v>
      </c>
      <c r="DA355" s="555">
        <v>12355</v>
      </c>
      <c r="DB355" s="555">
        <v>12451</v>
      </c>
      <c r="DC355" s="802">
        <v>12443</v>
      </c>
      <c r="DD355" s="555">
        <v>12530</v>
      </c>
      <c r="DE355" s="555">
        <v>12294</v>
      </c>
      <c r="DF355" s="555">
        <v>12320</v>
      </c>
      <c r="DG355" s="555">
        <v>13438</v>
      </c>
      <c r="DH355" s="802">
        <v>12659</v>
      </c>
      <c r="DI355" s="1507">
        <v>12917</v>
      </c>
      <c r="DJ355" s="1507">
        <v>12991</v>
      </c>
      <c r="DK355" s="1507">
        <v>12894</v>
      </c>
      <c r="DL355" s="1507">
        <v>12906</v>
      </c>
      <c r="DM355" s="1506">
        <v>12926</v>
      </c>
      <c r="DN355" s="1507">
        <v>13130</v>
      </c>
      <c r="DO355" s="1507">
        <v>13347</v>
      </c>
      <c r="DP355" s="1507">
        <v>13605</v>
      </c>
      <c r="DQ355" s="1507">
        <v>13566</v>
      </c>
      <c r="DR355" s="1506">
        <v>13405</v>
      </c>
      <c r="DS355" s="1290"/>
      <c r="DT355" s="561"/>
      <c r="DU355" s="561"/>
      <c r="DV355" s="1290"/>
      <c r="DW355" s="844"/>
      <c r="DX355" s="561"/>
      <c r="DY355" s="561"/>
      <c r="DZ355" s="561"/>
      <c r="EA355" s="561"/>
      <c r="EB355" s="844"/>
      <c r="EC355" s="561"/>
      <c r="ED355" s="561"/>
      <c r="EE355" s="561"/>
      <c r="EF355" s="561"/>
      <c r="EG355" s="844"/>
      <c r="EH355" s="561"/>
      <c r="EI355" s="561"/>
      <c r="EJ355" s="561"/>
      <c r="EK355" s="561"/>
      <c r="EL355" s="844"/>
    </row>
    <row r="356" spans="1:142" hidden="1" outlineLevel="1">
      <c r="A356" s="557"/>
      <c r="B356" s="557" t="s">
        <v>195</v>
      </c>
      <c r="C356" s="1201"/>
      <c r="D356" s="1201">
        <v>1388</v>
      </c>
      <c r="E356" s="1201">
        <v>1376</v>
      </c>
      <c r="F356" s="1201">
        <v>1330</v>
      </c>
      <c r="G356" s="1203" t="s">
        <v>503</v>
      </c>
      <c r="H356" s="1202">
        <v>1285</v>
      </c>
      <c r="I356" s="1201">
        <v>1271</v>
      </c>
      <c r="J356" s="1201">
        <v>1270</v>
      </c>
      <c r="K356" s="1201">
        <v>1235</v>
      </c>
      <c r="L356" s="1203" t="s">
        <v>503</v>
      </c>
      <c r="M356" s="1202">
        <v>1269</v>
      </c>
      <c r="N356" s="1201">
        <v>1291</v>
      </c>
      <c r="O356" s="1201">
        <v>1305</v>
      </c>
      <c r="P356" s="1201">
        <v>1230</v>
      </c>
      <c r="Q356" s="1203" t="s">
        <v>503</v>
      </c>
      <c r="R356" s="1202">
        <v>1275</v>
      </c>
      <c r="S356" s="1201">
        <v>1272</v>
      </c>
      <c r="T356" s="1201">
        <v>1264</v>
      </c>
      <c r="U356" s="1201">
        <v>1271</v>
      </c>
      <c r="V356" s="1203" t="s">
        <v>503</v>
      </c>
      <c r="W356" s="1202">
        <v>1285</v>
      </c>
      <c r="X356" s="1201">
        <v>1324</v>
      </c>
      <c r="Y356" s="1201">
        <v>1353</v>
      </c>
      <c r="Z356" s="1201">
        <v>1323</v>
      </c>
      <c r="AA356" s="1203" t="s">
        <v>503</v>
      </c>
      <c r="AB356" s="1202">
        <v>1335</v>
      </c>
      <c r="AC356" s="1201">
        <v>1392</v>
      </c>
      <c r="AD356" s="1201">
        <v>1435</v>
      </c>
      <c r="AE356" s="1201">
        <v>1436</v>
      </c>
      <c r="AF356" s="1203" t="s">
        <v>503</v>
      </c>
      <c r="AG356" s="1202">
        <v>1438</v>
      </c>
      <c r="AH356" s="1201">
        <v>1502</v>
      </c>
      <c r="AI356" s="1201">
        <v>1545</v>
      </c>
      <c r="AJ356" s="1201">
        <v>1565</v>
      </c>
      <c r="AK356" s="1203" t="s">
        <v>503</v>
      </c>
      <c r="AL356" s="1202">
        <v>1555</v>
      </c>
      <c r="AM356" s="1201">
        <v>1663</v>
      </c>
      <c r="AN356" s="1201">
        <v>1725</v>
      </c>
      <c r="AO356" s="1201">
        <v>1697</v>
      </c>
      <c r="AP356" s="1203" t="s">
        <v>503</v>
      </c>
      <c r="AQ356" s="1202">
        <v>1713</v>
      </c>
      <c r="AR356" s="1201">
        <v>1804</v>
      </c>
      <c r="AS356" s="1201">
        <v>1831</v>
      </c>
      <c r="AT356" s="1201">
        <v>1721</v>
      </c>
      <c r="AU356" s="802"/>
      <c r="AV356" s="708" t="s">
        <v>503</v>
      </c>
      <c r="AW356" s="708" t="s">
        <v>503</v>
      </c>
      <c r="AX356" s="708" t="s">
        <v>503</v>
      </c>
      <c r="AY356" s="708" t="s">
        <v>503</v>
      </c>
      <c r="AZ356" s="1188" t="s">
        <v>503</v>
      </c>
      <c r="BA356" s="1201">
        <v>1725</v>
      </c>
      <c r="BB356" s="1201">
        <v>1735</v>
      </c>
      <c r="BC356" s="1201">
        <v>1731</v>
      </c>
      <c r="BD356" s="1203" t="s">
        <v>503</v>
      </c>
      <c r="BE356" s="1202">
        <v>1708</v>
      </c>
      <c r="BF356" s="1201">
        <v>1802</v>
      </c>
      <c r="BG356" s="1201">
        <v>1883</v>
      </c>
      <c r="BH356" s="1201">
        <v>1820</v>
      </c>
      <c r="BI356" s="1201">
        <v>1830</v>
      </c>
      <c r="BJ356" s="1202">
        <v>1836</v>
      </c>
      <c r="BK356" s="901">
        <v>1821</v>
      </c>
      <c r="BL356" s="901">
        <v>1847</v>
      </c>
      <c r="BM356" s="555">
        <v>1921</v>
      </c>
      <c r="BN356" s="555">
        <v>1964</v>
      </c>
      <c r="BO356" s="802">
        <v>1885</v>
      </c>
      <c r="BP356" s="901">
        <v>1960</v>
      </c>
      <c r="BQ356" s="901">
        <v>2084</v>
      </c>
      <c r="BR356" s="555">
        <v>2038</v>
      </c>
      <c r="BS356" s="555">
        <v>2118</v>
      </c>
      <c r="BT356" s="802">
        <v>2057</v>
      </c>
      <c r="BU356" s="901">
        <v>2065</v>
      </c>
      <c r="BV356" s="901">
        <v>2151</v>
      </c>
      <c r="BW356" s="555">
        <v>2210</v>
      </c>
      <c r="BX356" s="555">
        <v>2222</v>
      </c>
      <c r="BY356" s="802">
        <v>2164</v>
      </c>
      <c r="BZ356" s="901">
        <v>2182</v>
      </c>
      <c r="CA356" s="901">
        <v>2182</v>
      </c>
      <c r="CB356" s="555">
        <v>2228</v>
      </c>
      <c r="CC356" s="555">
        <v>2263</v>
      </c>
      <c r="CD356" s="802">
        <v>2192</v>
      </c>
      <c r="CE356" s="901">
        <v>2242</v>
      </c>
      <c r="CF356" s="901">
        <v>2288</v>
      </c>
      <c r="CG356" s="555">
        <v>2355</v>
      </c>
      <c r="CH356" s="555">
        <v>2357</v>
      </c>
      <c r="CI356" s="802">
        <v>2312</v>
      </c>
      <c r="CJ356" s="901">
        <v>2365</v>
      </c>
      <c r="CK356" s="901">
        <v>2406</v>
      </c>
      <c r="CL356" s="555">
        <v>2396</v>
      </c>
      <c r="CM356" s="555">
        <v>2426</v>
      </c>
      <c r="CN356" s="802">
        <v>2397</v>
      </c>
      <c r="CO356" s="901">
        <v>2548</v>
      </c>
      <c r="CP356" s="901">
        <v>2460</v>
      </c>
      <c r="CQ356" s="555">
        <v>2439</v>
      </c>
      <c r="CR356" s="555">
        <v>2541</v>
      </c>
      <c r="CS356" s="802">
        <v>2498</v>
      </c>
      <c r="CT356" s="901">
        <v>2603</v>
      </c>
      <c r="CU356" s="901">
        <v>2622</v>
      </c>
      <c r="CV356" s="555">
        <v>2585</v>
      </c>
      <c r="CW356" s="555">
        <v>2660</v>
      </c>
      <c r="CX356" s="802">
        <v>2617</v>
      </c>
      <c r="CY356" s="901">
        <v>2546</v>
      </c>
      <c r="CZ356" s="901">
        <v>2718</v>
      </c>
      <c r="DA356" s="555">
        <v>2636</v>
      </c>
      <c r="DB356" s="555">
        <v>2693</v>
      </c>
      <c r="DC356" s="802">
        <v>2652</v>
      </c>
      <c r="DD356" s="901">
        <v>2626</v>
      </c>
      <c r="DE356" s="901">
        <v>2638</v>
      </c>
      <c r="DF356" s="555">
        <v>2674</v>
      </c>
      <c r="DG356" s="555">
        <v>2899</v>
      </c>
      <c r="DH356" s="802">
        <v>2710</v>
      </c>
      <c r="DI356" s="1519">
        <v>2757</v>
      </c>
      <c r="DJ356" s="1519">
        <v>2821</v>
      </c>
      <c r="DK356" s="1507">
        <v>2805</v>
      </c>
      <c r="DL356" s="1507">
        <v>2781</v>
      </c>
      <c r="DM356" s="1506">
        <v>2790</v>
      </c>
      <c r="DN356" s="1507">
        <v>2752</v>
      </c>
      <c r="DO356" s="1507">
        <v>2884</v>
      </c>
      <c r="DP356" s="1507">
        <v>2956</v>
      </c>
      <c r="DQ356" s="1507">
        <v>2934</v>
      </c>
      <c r="DR356" s="1506">
        <v>2878</v>
      </c>
      <c r="DS356" s="1284"/>
      <c r="DT356" s="558"/>
      <c r="DU356" s="558"/>
      <c r="DV356" s="1284"/>
      <c r="DW356" s="78"/>
      <c r="DX356" s="558"/>
      <c r="DY356" s="558"/>
      <c r="DZ356" s="558"/>
      <c r="EA356" s="558"/>
      <c r="EB356" s="78"/>
      <c r="EC356" s="558"/>
      <c r="ED356" s="558"/>
      <c r="EE356" s="558"/>
      <c r="EF356" s="558"/>
      <c r="EG356" s="78"/>
      <c r="EH356" s="558"/>
      <c r="EI356" s="558"/>
      <c r="EJ356" s="558"/>
      <c r="EK356" s="558"/>
      <c r="EL356" s="78"/>
    </row>
    <row r="357" spans="1:142" hidden="1" outlineLevel="1">
      <c r="A357" s="557"/>
      <c r="B357" s="557" t="s">
        <v>199</v>
      </c>
      <c r="C357" s="1203"/>
      <c r="D357" s="1203" t="s">
        <v>503</v>
      </c>
      <c r="E357" s="1203" t="s">
        <v>503</v>
      </c>
      <c r="F357" s="1203" t="s">
        <v>503</v>
      </c>
      <c r="G357" s="1203" t="s">
        <v>503</v>
      </c>
      <c r="H357" s="1188" t="s">
        <v>503</v>
      </c>
      <c r="I357" s="1203" t="s">
        <v>503</v>
      </c>
      <c r="J357" s="1203" t="s">
        <v>503</v>
      </c>
      <c r="K357" s="1203" t="s">
        <v>503</v>
      </c>
      <c r="L357" s="1203" t="s">
        <v>503</v>
      </c>
      <c r="M357" s="1188" t="s">
        <v>503</v>
      </c>
      <c r="N357" s="1203" t="s">
        <v>503</v>
      </c>
      <c r="O357" s="1203" t="s">
        <v>503</v>
      </c>
      <c r="P357" s="1203" t="s">
        <v>503</v>
      </c>
      <c r="Q357" s="1203" t="s">
        <v>503</v>
      </c>
      <c r="R357" s="1188" t="s">
        <v>503</v>
      </c>
      <c r="S357" s="1203" t="s">
        <v>503</v>
      </c>
      <c r="T357" s="1203" t="s">
        <v>503</v>
      </c>
      <c r="U357" s="1203" t="s">
        <v>503</v>
      </c>
      <c r="V357" s="1203" t="s">
        <v>503</v>
      </c>
      <c r="W357" s="1188" t="s">
        <v>503</v>
      </c>
      <c r="X357" s="1203" t="s">
        <v>503</v>
      </c>
      <c r="Y357" s="1203" t="s">
        <v>503</v>
      </c>
      <c r="Z357" s="1203" t="s">
        <v>503</v>
      </c>
      <c r="AA357" s="1203" t="s">
        <v>503</v>
      </c>
      <c r="AB357" s="1188" t="s">
        <v>503</v>
      </c>
      <c r="AC357" s="1203" t="s">
        <v>503</v>
      </c>
      <c r="AD357" s="1203" t="s">
        <v>503</v>
      </c>
      <c r="AE357" s="1203" t="s">
        <v>503</v>
      </c>
      <c r="AF357" s="1203" t="s">
        <v>503</v>
      </c>
      <c r="AG357" s="1188" t="s">
        <v>503</v>
      </c>
      <c r="AH357" s="1203" t="s">
        <v>503</v>
      </c>
      <c r="AI357" s="1203" t="s">
        <v>503</v>
      </c>
      <c r="AJ357" s="1203" t="s">
        <v>503</v>
      </c>
      <c r="AK357" s="1203" t="s">
        <v>503</v>
      </c>
      <c r="AL357" s="1188" t="s">
        <v>503</v>
      </c>
      <c r="AM357" s="1203" t="s">
        <v>503</v>
      </c>
      <c r="AN357" s="1203" t="s">
        <v>503</v>
      </c>
      <c r="AO357" s="1203" t="s">
        <v>503</v>
      </c>
      <c r="AP357" s="1203" t="s">
        <v>503</v>
      </c>
      <c r="AQ357" s="1188" t="s">
        <v>503</v>
      </c>
      <c r="AR357" s="1203" t="s">
        <v>503</v>
      </c>
      <c r="AS357" s="1203" t="s">
        <v>503</v>
      </c>
      <c r="AT357" s="1203" t="s">
        <v>503</v>
      </c>
      <c r="AU357" s="802"/>
      <c r="AV357" s="708" t="s">
        <v>503</v>
      </c>
      <c r="AW357" s="708" t="s">
        <v>503</v>
      </c>
      <c r="AX357" s="708" t="s">
        <v>503</v>
      </c>
      <c r="AY357" s="708" t="s">
        <v>503</v>
      </c>
      <c r="AZ357" s="1188" t="s">
        <v>503</v>
      </c>
      <c r="BA357" s="1203" t="s">
        <v>503</v>
      </c>
      <c r="BB357" s="1203" t="s">
        <v>503</v>
      </c>
      <c r="BC357" s="1203" t="s">
        <v>503</v>
      </c>
      <c r="BD357" s="1203" t="s">
        <v>503</v>
      </c>
      <c r="BE357" s="1204" t="s">
        <v>503</v>
      </c>
      <c r="BF357" s="1203" t="s">
        <v>503</v>
      </c>
      <c r="BG357" s="1118"/>
      <c r="BH357" s="1201">
        <v>561</v>
      </c>
      <c r="BI357" s="1118">
        <v>529</v>
      </c>
      <c r="BJ357" s="1048">
        <v>529</v>
      </c>
      <c r="BK357" s="555">
        <v>515</v>
      </c>
      <c r="BL357" s="555">
        <v>542</v>
      </c>
      <c r="BM357" s="555">
        <v>568</v>
      </c>
      <c r="BN357" s="555">
        <v>534</v>
      </c>
      <c r="BO357" s="802">
        <v>539</v>
      </c>
      <c r="BP357" s="555">
        <v>541</v>
      </c>
      <c r="BQ357" s="555">
        <v>584</v>
      </c>
      <c r="BR357" s="555">
        <v>593</v>
      </c>
      <c r="BS357" s="555">
        <v>592</v>
      </c>
      <c r="BT357" s="802">
        <v>580</v>
      </c>
      <c r="BU357" s="555">
        <v>614</v>
      </c>
      <c r="BV357" s="555">
        <v>636</v>
      </c>
      <c r="BW357" s="555">
        <v>651</v>
      </c>
      <c r="BX357" s="555">
        <v>658</v>
      </c>
      <c r="BY357" s="802">
        <v>641</v>
      </c>
      <c r="BZ357" s="555">
        <v>665</v>
      </c>
      <c r="CA357" s="555">
        <v>689</v>
      </c>
      <c r="CB357" s="555">
        <v>692</v>
      </c>
      <c r="CC357" s="555">
        <v>691</v>
      </c>
      <c r="CD357" s="802">
        <v>679</v>
      </c>
      <c r="CE357" s="555">
        <v>685</v>
      </c>
      <c r="CF357" s="555">
        <v>704</v>
      </c>
      <c r="CG357" s="555">
        <v>712</v>
      </c>
      <c r="CH357" s="555">
        <v>711</v>
      </c>
      <c r="CI357" s="802">
        <v>704</v>
      </c>
      <c r="CJ357" s="555">
        <v>741</v>
      </c>
      <c r="CK357" s="555">
        <v>741</v>
      </c>
      <c r="CL357" s="555">
        <v>752</v>
      </c>
      <c r="CM357" s="555">
        <v>730</v>
      </c>
      <c r="CN357" s="802">
        <v>741</v>
      </c>
      <c r="CO357" s="555">
        <v>727</v>
      </c>
      <c r="CP357" s="555">
        <v>742</v>
      </c>
      <c r="CQ357" s="555">
        <v>743</v>
      </c>
      <c r="CR357" s="555">
        <v>749</v>
      </c>
      <c r="CS357" s="802">
        <v>741</v>
      </c>
      <c r="CT357" s="555">
        <v>743</v>
      </c>
      <c r="CU357" s="555">
        <v>756</v>
      </c>
      <c r="CV357" s="555">
        <v>762</v>
      </c>
      <c r="CW357" s="555">
        <v>779</v>
      </c>
      <c r="CX357" s="802">
        <v>760</v>
      </c>
      <c r="CY357" s="555">
        <v>771</v>
      </c>
      <c r="CZ357" s="555">
        <v>787</v>
      </c>
      <c r="DA357" s="555">
        <v>789</v>
      </c>
      <c r="DB357" s="555">
        <v>723</v>
      </c>
      <c r="DC357" s="802">
        <v>760</v>
      </c>
      <c r="DD357" s="555">
        <v>691</v>
      </c>
      <c r="DE357" s="555">
        <v>701</v>
      </c>
      <c r="DF357" s="555">
        <v>678</v>
      </c>
      <c r="DG357" s="555">
        <v>717</v>
      </c>
      <c r="DH357" s="802">
        <v>697</v>
      </c>
      <c r="DI357" s="1507">
        <v>708</v>
      </c>
      <c r="DJ357" s="1507">
        <v>719</v>
      </c>
      <c r="DK357" s="1507">
        <v>730</v>
      </c>
      <c r="DL357" s="1507">
        <v>735</v>
      </c>
      <c r="DM357" s="1506">
        <v>723</v>
      </c>
      <c r="DN357" s="1507">
        <v>705</v>
      </c>
      <c r="DO357" s="1507">
        <v>716</v>
      </c>
      <c r="DP357" s="1507">
        <v>705</v>
      </c>
      <c r="DQ357" s="1507">
        <v>747</v>
      </c>
      <c r="DR357" s="1506">
        <v>718</v>
      </c>
      <c r="DS357" s="1293"/>
      <c r="DT357" s="563"/>
      <c r="DU357" s="563"/>
      <c r="DV357" s="1293"/>
      <c r="DW357" s="815"/>
      <c r="DX357" s="563"/>
      <c r="DY357" s="563"/>
      <c r="DZ357" s="563"/>
      <c r="EA357" s="563"/>
      <c r="EB357" s="815"/>
      <c r="EC357" s="563"/>
      <c r="ED357" s="563"/>
      <c r="EE357" s="563"/>
      <c r="EF357" s="563"/>
      <c r="EG357" s="815"/>
      <c r="EH357" s="563"/>
      <c r="EI357" s="563"/>
      <c r="EJ357" s="563"/>
      <c r="EK357" s="563"/>
      <c r="EL357" s="815"/>
    </row>
    <row r="358" spans="1:142" hidden="1" outlineLevel="1">
      <c r="A358" s="557"/>
      <c r="B358" s="557" t="s">
        <v>690</v>
      </c>
      <c r="C358" s="1203"/>
      <c r="D358" s="1203"/>
      <c r="E358" s="1203"/>
      <c r="F358" s="1203"/>
      <c r="G358" s="1203"/>
      <c r="H358" s="1188"/>
      <c r="I358" s="1203"/>
      <c r="J358" s="1203"/>
      <c r="K358" s="1203"/>
      <c r="L358" s="1203"/>
      <c r="M358" s="1188"/>
      <c r="N358" s="1203"/>
      <c r="O358" s="1203"/>
      <c r="P358" s="1203"/>
      <c r="Q358" s="1203"/>
      <c r="R358" s="1188"/>
      <c r="S358" s="1203"/>
      <c r="T358" s="1203"/>
      <c r="U358" s="1203"/>
      <c r="V358" s="1203"/>
      <c r="W358" s="1188"/>
      <c r="X358" s="1203"/>
      <c r="Y358" s="1203"/>
      <c r="Z358" s="1203"/>
      <c r="AA358" s="1203"/>
      <c r="AB358" s="1188"/>
      <c r="AC358" s="1203"/>
      <c r="AD358" s="1203"/>
      <c r="AE358" s="1203"/>
      <c r="AF358" s="1203"/>
      <c r="AG358" s="1188"/>
      <c r="AH358" s="1203"/>
      <c r="AI358" s="1203"/>
      <c r="AJ358" s="1203"/>
      <c r="AK358" s="1203"/>
      <c r="AL358" s="1188"/>
      <c r="AM358" s="1203"/>
      <c r="AN358" s="1203"/>
      <c r="AO358" s="1203"/>
      <c r="AP358" s="1203"/>
      <c r="AQ358" s="1188"/>
      <c r="AR358" s="1203"/>
      <c r="AS358" s="1203"/>
      <c r="AT358" s="1203"/>
      <c r="AU358" s="802"/>
      <c r="AV358" s="708"/>
      <c r="AW358" s="708"/>
      <c r="AX358" s="708"/>
      <c r="AY358" s="708"/>
      <c r="AZ358" s="1188"/>
      <c r="BA358" s="1203"/>
      <c r="BB358" s="1203"/>
      <c r="BC358" s="1203"/>
      <c r="BD358" s="1203"/>
      <c r="BE358" s="1204"/>
      <c r="BF358" s="1203"/>
      <c r="BG358" s="1118"/>
      <c r="BH358" s="1201"/>
      <c r="BI358" s="1118"/>
      <c r="BJ358" s="1048"/>
      <c r="BK358" s="901"/>
      <c r="BL358" s="901"/>
      <c r="BM358" s="555"/>
      <c r="BN358" s="555"/>
      <c r="BO358" s="802"/>
      <c r="BP358" s="901"/>
      <c r="BQ358" s="901"/>
      <c r="BR358" s="555"/>
      <c r="BS358" s="555"/>
      <c r="BT358" s="802"/>
      <c r="BU358" s="901"/>
      <c r="BV358" s="901"/>
      <c r="BW358" s="555"/>
      <c r="BX358" s="555"/>
      <c r="BY358" s="802"/>
      <c r="BZ358" s="901"/>
      <c r="CA358" s="901"/>
      <c r="CB358" s="555"/>
      <c r="CC358" s="555"/>
      <c r="CD358" s="802"/>
      <c r="CE358" s="901"/>
      <c r="CF358" s="901"/>
      <c r="CG358" s="555"/>
      <c r="CH358" s="555"/>
      <c r="CI358" s="802"/>
      <c r="CJ358" s="901"/>
      <c r="CK358" s="901"/>
      <c r="CL358" s="555"/>
      <c r="CM358" s="555"/>
      <c r="CN358" s="802"/>
      <c r="CO358" s="901"/>
      <c r="CP358" s="901"/>
      <c r="CQ358" s="555"/>
      <c r="CR358" s="555"/>
      <c r="CS358" s="802"/>
      <c r="CT358" s="901"/>
      <c r="CU358" s="901"/>
      <c r="CV358" s="555"/>
      <c r="CW358" s="555"/>
      <c r="CX358" s="802"/>
      <c r="CY358" s="901"/>
      <c r="CZ358" s="901"/>
      <c r="DA358" s="555"/>
      <c r="DB358" s="555"/>
      <c r="DC358" s="802"/>
      <c r="DD358" s="901"/>
      <c r="DE358" s="901"/>
      <c r="DF358" s="555"/>
      <c r="DG358" s="555"/>
      <c r="DH358" s="802"/>
      <c r="DI358" s="1519">
        <v>11750</v>
      </c>
      <c r="DJ358" s="1519">
        <v>11767</v>
      </c>
      <c r="DK358" s="1507">
        <v>11688</v>
      </c>
      <c r="DL358" s="1507">
        <v>11699</v>
      </c>
      <c r="DM358" s="1506">
        <v>11724</v>
      </c>
      <c r="DN358" s="1507">
        <v>11838</v>
      </c>
      <c r="DO358" s="1507">
        <v>11808</v>
      </c>
      <c r="DP358" s="1507">
        <v>11764</v>
      </c>
      <c r="DQ358" s="1507">
        <v>11988</v>
      </c>
      <c r="DR358" s="1506">
        <v>11849</v>
      </c>
      <c r="DS358" s="1294"/>
      <c r="DT358" s="564"/>
      <c r="DU358" s="564"/>
      <c r="DV358" s="1294"/>
      <c r="DW358" s="1153"/>
      <c r="DX358" s="564"/>
      <c r="DY358" s="564"/>
      <c r="DZ358" s="564"/>
      <c r="EA358" s="564"/>
      <c r="EB358" s="1153"/>
      <c r="EC358" s="564"/>
      <c r="ED358" s="564"/>
      <c r="EE358" s="564"/>
      <c r="EF358" s="564"/>
      <c r="EG358" s="1153"/>
      <c r="EH358" s="564"/>
      <c r="EI358" s="564"/>
      <c r="EJ358" s="564"/>
      <c r="EK358" s="564"/>
      <c r="EL358" s="1153"/>
    </row>
    <row r="359" spans="1:142" hidden="1" outlineLevel="1">
      <c r="A359" s="557"/>
      <c r="B359" s="557" t="s">
        <v>679</v>
      </c>
      <c r="C359" s="1203"/>
      <c r="D359" s="1203"/>
      <c r="E359" s="1203"/>
      <c r="F359" s="1203"/>
      <c r="G359" s="1203"/>
      <c r="H359" s="1188"/>
      <c r="I359" s="1203"/>
      <c r="J359" s="1203"/>
      <c r="K359" s="1203"/>
      <c r="L359" s="1203"/>
      <c r="M359" s="1188"/>
      <c r="N359" s="1203"/>
      <c r="O359" s="1203"/>
      <c r="P359" s="1203"/>
      <c r="Q359" s="1203"/>
      <c r="R359" s="1188"/>
      <c r="S359" s="1203"/>
      <c r="T359" s="1203"/>
      <c r="U359" s="1203"/>
      <c r="V359" s="1203"/>
      <c r="W359" s="1188"/>
      <c r="X359" s="1203"/>
      <c r="Y359" s="1203"/>
      <c r="Z359" s="1203"/>
      <c r="AA359" s="1203"/>
      <c r="AB359" s="1188"/>
      <c r="AC359" s="1203"/>
      <c r="AD359" s="1203"/>
      <c r="AE359" s="1203"/>
      <c r="AF359" s="1203"/>
      <c r="AG359" s="1188"/>
      <c r="AH359" s="1203"/>
      <c r="AI359" s="1203"/>
      <c r="AJ359" s="1203"/>
      <c r="AK359" s="1203"/>
      <c r="AL359" s="1188"/>
      <c r="AM359" s="1203"/>
      <c r="AN359" s="1203"/>
      <c r="AO359" s="1203"/>
      <c r="AP359" s="1203"/>
      <c r="AQ359" s="1188"/>
      <c r="AR359" s="1203"/>
      <c r="AS359" s="1203"/>
      <c r="AT359" s="1203"/>
      <c r="AU359" s="802"/>
      <c r="AV359" s="708"/>
      <c r="AW359" s="708"/>
      <c r="AX359" s="708"/>
      <c r="AY359" s="708"/>
      <c r="AZ359" s="1188"/>
      <c r="BA359" s="1203"/>
      <c r="BB359" s="1203"/>
      <c r="BC359" s="1203"/>
      <c r="BD359" s="1203"/>
      <c r="BE359" s="1204"/>
      <c r="BF359" s="1203"/>
      <c r="BG359" s="1118"/>
      <c r="BH359" s="1201"/>
      <c r="BI359" s="1118"/>
      <c r="BJ359" s="1048"/>
      <c r="BK359" s="959"/>
      <c r="BL359" s="555"/>
      <c r="BM359" s="555"/>
      <c r="BN359" s="555"/>
      <c r="BO359" s="802"/>
      <c r="BP359" s="959"/>
      <c r="BQ359" s="555"/>
      <c r="BR359" s="555"/>
      <c r="BS359" s="555"/>
      <c r="BT359" s="802"/>
      <c r="BU359" s="959"/>
      <c r="BV359" s="555"/>
      <c r="BW359" s="555"/>
      <c r="BX359" s="555"/>
      <c r="BY359" s="802"/>
      <c r="BZ359" s="959"/>
      <c r="CA359" s="555"/>
      <c r="CB359" s="555"/>
      <c r="CC359" s="555"/>
      <c r="CD359" s="802"/>
      <c r="CE359" s="959"/>
      <c r="CF359" s="555"/>
      <c r="CG359" s="555"/>
      <c r="CH359" s="555"/>
      <c r="CI359" s="802"/>
      <c r="CJ359" s="959"/>
      <c r="CK359" s="555"/>
      <c r="CL359" s="555"/>
      <c r="CM359" s="555"/>
      <c r="CN359" s="802"/>
      <c r="CO359" s="959"/>
      <c r="CP359" s="555"/>
      <c r="CQ359" s="555"/>
      <c r="CR359" s="555"/>
      <c r="CS359" s="802"/>
      <c r="CT359" s="959"/>
      <c r="CU359" s="555"/>
      <c r="CV359" s="555"/>
      <c r="CW359" s="555"/>
      <c r="CX359" s="802"/>
      <c r="CY359" s="959"/>
      <c r="CZ359" s="555"/>
      <c r="DA359" s="555"/>
      <c r="DB359" s="555"/>
      <c r="DC359" s="802"/>
      <c r="DD359" s="959"/>
      <c r="DE359" s="555"/>
      <c r="DF359" s="555"/>
      <c r="DG359" s="555"/>
      <c r="DH359" s="802"/>
      <c r="DI359" s="1507">
        <v>2534</v>
      </c>
      <c r="DJ359" s="1507">
        <v>2585</v>
      </c>
      <c r="DK359" s="1507">
        <v>2571</v>
      </c>
      <c r="DL359" s="1507">
        <v>2544</v>
      </c>
      <c r="DM359" s="1506">
        <v>2558</v>
      </c>
      <c r="DN359" s="1507">
        <v>2505</v>
      </c>
      <c r="DO359" s="1507">
        <v>2580</v>
      </c>
      <c r="DP359" s="1507">
        <v>2590</v>
      </c>
      <c r="DQ359" s="1507">
        <v>2632</v>
      </c>
      <c r="DR359" s="1506">
        <v>2575</v>
      </c>
      <c r="DS359" s="1294"/>
      <c r="DT359" s="564"/>
      <c r="DU359" s="564"/>
      <c r="DV359" s="1294"/>
      <c r="DW359" s="1153"/>
      <c r="DX359" s="564"/>
      <c r="DY359" s="564"/>
      <c r="DZ359" s="564"/>
      <c r="EA359" s="564"/>
      <c r="EB359" s="1153"/>
      <c r="EC359" s="564"/>
      <c r="ED359" s="564"/>
      <c r="EE359" s="564"/>
      <c r="EF359" s="564"/>
      <c r="EG359" s="1153"/>
      <c r="EH359" s="564"/>
      <c r="EI359" s="564"/>
      <c r="EJ359" s="564"/>
      <c r="EK359" s="564"/>
      <c r="EL359" s="1153"/>
    </row>
    <row r="360" spans="1:142" hidden="1" outlineLevel="1">
      <c r="A360" s="557"/>
      <c r="B360" s="973" t="s">
        <v>691</v>
      </c>
      <c r="C360" s="1203"/>
      <c r="D360" s="1203"/>
      <c r="E360" s="1203"/>
      <c r="F360" s="1203"/>
      <c r="G360" s="1203"/>
      <c r="H360" s="1188"/>
      <c r="I360" s="1203"/>
      <c r="J360" s="1203"/>
      <c r="K360" s="1203"/>
      <c r="L360" s="1203"/>
      <c r="M360" s="1188"/>
      <c r="N360" s="1203"/>
      <c r="O360" s="1203"/>
      <c r="P360" s="1203"/>
      <c r="Q360" s="1203"/>
      <c r="R360" s="1188"/>
      <c r="S360" s="1203"/>
      <c r="T360" s="1203"/>
      <c r="U360" s="1203"/>
      <c r="V360" s="1203"/>
      <c r="W360" s="1188"/>
      <c r="X360" s="1203"/>
      <c r="Y360" s="1203"/>
      <c r="Z360" s="1203"/>
      <c r="AA360" s="1203"/>
      <c r="AB360" s="1188"/>
      <c r="AC360" s="1203"/>
      <c r="AD360" s="1203"/>
      <c r="AE360" s="1203"/>
      <c r="AF360" s="1203"/>
      <c r="AG360" s="1188"/>
      <c r="AH360" s="1203"/>
      <c r="AI360" s="1203"/>
      <c r="AJ360" s="1203"/>
      <c r="AK360" s="1203"/>
      <c r="AL360" s="1188"/>
      <c r="AM360" s="1203"/>
      <c r="AN360" s="1203"/>
      <c r="AO360" s="1203"/>
      <c r="AP360" s="1203"/>
      <c r="AQ360" s="1188"/>
      <c r="AR360" s="1203"/>
      <c r="AS360" s="1203"/>
      <c r="AT360" s="1203"/>
      <c r="AU360" s="802"/>
      <c r="AV360" s="708"/>
      <c r="AW360" s="708"/>
      <c r="AX360" s="708"/>
      <c r="AY360" s="708"/>
      <c r="AZ360" s="1188"/>
      <c r="BA360" s="1203"/>
      <c r="BB360" s="1203"/>
      <c r="BC360" s="1203"/>
      <c r="BD360" s="1203"/>
      <c r="BE360" s="1204"/>
      <c r="BF360" s="1203"/>
      <c r="BG360" s="1118"/>
      <c r="BH360" s="1201"/>
      <c r="BI360" s="1118"/>
      <c r="BJ360" s="1048"/>
      <c r="BK360" s="959"/>
      <c r="BL360" s="555"/>
      <c r="BM360" s="555"/>
      <c r="BN360" s="555"/>
      <c r="BO360" s="802"/>
      <c r="BP360" s="959"/>
      <c r="BQ360" s="555"/>
      <c r="BR360" s="555"/>
      <c r="BS360" s="555"/>
      <c r="BT360" s="802"/>
      <c r="BU360" s="959"/>
      <c r="BV360" s="555"/>
      <c r="BW360" s="555"/>
      <c r="BX360" s="555"/>
      <c r="BY360" s="802"/>
      <c r="BZ360" s="959"/>
      <c r="CA360" s="555"/>
      <c r="CB360" s="555"/>
      <c r="CC360" s="555"/>
      <c r="CD360" s="802"/>
      <c r="CE360" s="959"/>
      <c r="CF360" s="555"/>
      <c r="CG360" s="555"/>
      <c r="CH360" s="555"/>
      <c r="CI360" s="802"/>
      <c r="CJ360" s="959"/>
      <c r="CK360" s="555"/>
      <c r="CL360" s="555"/>
      <c r="CM360" s="555"/>
      <c r="CN360" s="802"/>
      <c r="CO360" s="959"/>
      <c r="CP360" s="555"/>
      <c r="CQ360" s="555"/>
      <c r="CR360" s="555"/>
      <c r="CS360" s="802"/>
      <c r="CT360" s="959"/>
      <c r="CU360" s="555"/>
      <c r="CV360" s="555"/>
      <c r="CW360" s="555"/>
      <c r="CX360" s="802"/>
      <c r="CY360" s="959"/>
      <c r="CZ360" s="555"/>
      <c r="DA360" s="555"/>
      <c r="DB360" s="555"/>
      <c r="DC360" s="802"/>
      <c r="DD360" s="959"/>
      <c r="DE360" s="555"/>
      <c r="DF360" s="555"/>
      <c r="DG360" s="555"/>
      <c r="DH360" s="802"/>
      <c r="DI360" s="1507"/>
      <c r="DJ360" s="1507"/>
      <c r="DK360" s="1507"/>
      <c r="DL360" s="1507"/>
      <c r="DM360" s="1506"/>
      <c r="DN360" s="1507"/>
      <c r="DO360" s="1507"/>
      <c r="DP360" s="1507"/>
      <c r="DQ360" s="1507"/>
      <c r="DR360" s="1506"/>
      <c r="DS360" s="1294"/>
      <c r="DT360" s="564"/>
      <c r="DU360" s="564"/>
      <c r="DV360" s="1294"/>
      <c r="DW360" s="1153"/>
      <c r="DX360" s="564"/>
      <c r="DY360" s="564"/>
      <c r="DZ360" s="564"/>
      <c r="EA360" s="564"/>
      <c r="EB360" s="1153"/>
      <c r="EC360" s="564"/>
      <c r="ED360" s="564"/>
      <c r="EE360" s="564"/>
      <c r="EF360" s="564"/>
      <c r="EG360" s="1153"/>
      <c r="EH360" s="564"/>
      <c r="EI360" s="564"/>
      <c r="EJ360" s="564"/>
      <c r="EK360" s="564"/>
      <c r="EL360" s="1153"/>
    </row>
    <row r="361" spans="1:142" hidden="1" outlineLevel="1">
      <c r="A361" s="557"/>
      <c r="B361" s="557" t="s">
        <v>105</v>
      </c>
      <c r="C361" s="1205"/>
      <c r="D361" s="1205">
        <v>0.42399999999999999</v>
      </c>
      <c r="E361" s="1203" t="s">
        <v>503</v>
      </c>
      <c r="F361" s="1203" t="s">
        <v>503</v>
      </c>
      <c r="G361" s="1203" t="s">
        <v>503</v>
      </c>
      <c r="H361" s="1206">
        <v>0.39</v>
      </c>
      <c r="I361" s="1205">
        <v>0.38400000000000001</v>
      </c>
      <c r="J361" s="1205">
        <v>0.38400000000000001</v>
      </c>
      <c r="K361" s="1205">
        <v>0.41699999999999998</v>
      </c>
      <c r="L361" s="1203" t="s">
        <v>503</v>
      </c>
      <c r="M361" s="1206">
        <v>0.39700000000000002</v>
      </c>
      <c r="N361" s="1205">
        <v>0.38200000000000001</v>
      </c>
      <c r="O361" s="1205">
        <v>0.41699999999999998</v>
      </c>
      <c r="P361" s="1205">
        <v>0.41099999999999998</v>
      </c>
      <c r="Q361" s="1203" t="s">
        <v>503</v>
      </c>
      <c r="R361" s="1206">
        <v>0.42199999999999999</v>
      </c>
      <c r="S361" s="1205">
        <v>0.38300000000000001</v>
      </c>
      <c r="T361" s="1205">
        <v>0.378</v>
      </c>
      <c r="U361" s="1205">
        <v>0.378</v>
      </c>
      <c r="V361" s="1203" t="s">
        <v>503</v>
      </c>
      <c r="W361" s="1206">
        <v>0.38</v>
      </c>
      <c r="X361" s="1205">
        <v>0.35299999999999998</v>
      </c>
      <c r="Y361" s="1205">
        <v>0.33800000000000002</v>
      </c>
      <c r="Z361" s="1205">
        <v>0.34499999999999997</v>
      </c>
      <c r="AA361" s="1203" t="s">
        <v>503</v>
      </c>
      <c r="AB361" s="1206">
        <v>0.34200000000000003</v>
      </c>
      <c r="AC361" s="1205">
        <v>0.32600000000000001</v>
      </c>
      <c r="AD361" s="1205">
        <v>0.316</v>
      </c>
      <c r="AE361" s="1205">
        <v>0.33</v>
      </c>
      <c r="AF361" s="1203" t="s">
        <v>503</v>
      </c>
      <c r="AG361" s="1206">
        <v>0.32600000000000001</v>
      </c>
      <c r="AH361" s="1205">
        <v>0.312</v>
      </c>
      <c r="AI361" s="1205">
        <v>0.29699999999999999</v>
      </c>
      <c r="AJ361" s="1205">
        <v>0.30099999999999999</v>
      </c>
      <c r="AK361" s="1203" t="s">
        <v>503</v>
      </c>
      <c r="AL361" s="1206">
        <v>0.308</v>
      </c>
      <c r="AM361" s="1205">
        <v>0.31</v>
      </c>
      <c r="AN361" s="1205">
        <v>0.308</v>
      </c>
      <c r="AO361" s="1205">
        <v>0.32</v>
      </c>
      <c r="AP361" s="1203" t="s">
        <v>503</v>
      </c>
      <c r="AQ361" s="1206">
        <v>0.318</v>
      </c>
      <c r="AR361" s="1205">
        <v>0.313</v>
      </c>
      <c r="AS361" s="1205">
        <v>0.308</v>
      </c>
      <c r="AT361" s="1205">
        <v>0.28100000000000003</v>
      </c>
      <c r="AU361" s="802"/>
      <c r="AV361" s="708" t="s">
        <v>503</v>
      </c>
      <c r="AW361" s="708" t="s">
        <v>503</v>
      </c>
      <c r="AX361" s="708" t="s">
        <v>503</v>
      </c>
      <c r="AY361" s="708" t="s">
        <v>503</v>
      </c>
      <c r="AZ361" s="1188" t="s">
        <v>503</v>
      </c>
      <c r="BA361" s="1205">
        <v>0.27300000000000002</v>
      </c>
      <c r="BB361" s="1205">
        <v>0.26900000000000002</v>
      </c>
      <c r="BC361" s="1205">
        <v>0.26400000000000001</v>
      </c>
      <c r="BD361" s="1203" t="s">
        <v>503</v>
      </c>
      <c r="BE361" s="1206">
        <v>0.26200000000000001</v>
      </c>
      <c r="BF361" s="1205">
        <v>0.26</v>
      </c>
      <c r="BG361" s="1205">
        <v>0.25900000000000001</v>
      </c>
      <c r="BH361" s="1205">
        <v>0.251</v>
      </c>
      <c r="BI361" s="1205">
        <v>0.27200000000000002</v>
      </c>
      <c r="BJ361" s="1206">
        <v>0.26100000000000001</v>
      </c>
      <c r="BK361" s="950">
        <v>0.28199999999999997</v>
      </c>
      <c r="BL361" s="558">
        <v>0.27200000000000002</v>
      </c>
      <c r="BM361" s="1207">
        <v>0.26600000000000001</v>
      </c>
      <c r="BN361" s="1207">
        <v>0.28199999999999997</v>
      </c>
      <c r="BO361" s="949">
        <v>0.27500000000000002</v>
      </c>
      <c r="BP361" s="950">
        <v>0.28299999999999997</v>
      </c>
      <c r="BQ361" s="558">
        <v>0.26800000000000002</v>
      </c>
      <c r="BR361" s="1207">
        <v>0.247</v>
      </c>
      <c r="BS361" s="1207">
        <v>0.26300000000000001</v>
      </c>
      <c r="BT361" s="949">
        <v>0.26500000000000001</v>
      </c>
      <c r="BU361" s="950">
        <v>0.27200000000000002</v>
      </c>
      <c r="BV361" s="558">
        <v>0.251</v>
      </c>
      <c r="BW361" s="1207">
        <v>0.251</v>
      </c>
      <c r="BX361" s="1207">
        <v>0.25600000000000001</v>
      </c>
      <c r="BY361" s="949">
        <v>0.25800000000000001</v>
      </c>
      <c r="BZ361" s="950">
        <v>0.26100000000000001</v>
      </c>
      <c r="CA361" s="558">
        <v>0.248</v>
      </c>
      <c r="CB361" s="1207">
        <v>0.25</v>
      </c>
      <c r="CC361" s="1207">
        <v>0.255</v>
      </c>
      <c r="CD361" s="949">
        <v>0.254</v>
      </c>
      <c r="CE361" s="950">
        <v>0.26800000000000002</v>
      </c>
      <c r="CF361" s="558">
        <v>0.24</v>
      </c>
      <c r="CG361" s="1207">
        <v>0.24399999999999999</v>
      </c>
      <c r="CH361" s="1207">
        <v>0.247</v>
      </c>
      <c r="CI361" s="949">
        <v>0.25</v>
      </c>
      <c r="CJ361" s="950">
        <v>0.251</v>
      </c>
      <c r="CK361" s="558">
        <v>0.23200000000000001</v>
      </c>
      <c r="CL361" s="1207">
        <v>0.23699999999999999</v>
      </c>
      <c r="CM361" s="1207">
        <v>0.23499999999999999</v>
      </c>
      <c r="CN361" s="949">
        <v>0.23899999999999999</v>
      </c>
      <c r="CO361" s="950">
        <v>0.23200000000000001</v>
      </c>
      <c r="CP361" s="558">
        <v>0.23499999999999999</v>
      </c>
      <c r="CQ361" s="1207">
        <v>0.22500000000000001</v>
      </c>
      <c r="CR361" s="1207">
        <v>0.23100000000000001</v>
      </c>
      <c r="CS361" s="949">
        <v>0.23100000000000001</v>
      </c>
      <c r="CT361" s="950">
        <v>0.26500000000000001</v>
      </c>
      <c r="CU361" s="558">
        <v>0.22700000000000001</v>
      </c>
      <c r="CV361" s="1207">
        <v>0.22700000000000001</v>
      </c>
      <c r="CW361" s="1207">
        <v>0.224</v>
      </c>
      <c r="CX361" s="949">
        <v>0.23400000000000001</v>
      </c>
      <c r="CY361" s="950">
        <v>0.23</v>
      </c>
      <c r="CZ361" s="558">
        <v>0.21</v>
      </c>
      <c r="DA361" s="1207">
        <v>0.21299999999999999</v>
      </c>
      <c r="DB361" s="1207">
        <v>0.218</v>
      </c>
      <c r="DC361" s="949">
        <v>0.218</v>
      </c>
      <c r="DD361" s="950">
        <v>0.22600000000000001</v>
      </c>
      <c r="DE361" s="558">
        <v>0.22500000000000001</v>
      </c>
      <c r="DF361" s="1207">
        <v>0.215</v>
      </c>
      <c r="DG361" s="1207">
        <v>0.20899999999999999</v>
      </c>
      <c r="DH361" s="949"/>
      <c r="DI361" s="1287">
        <v>0.219</v>
      </c>
      <c r="DJ361" s="1284">
        <v>0.20699999999999999</v>
      </c>
      <c r="DK361" s="1285">
        <v>0.19800000000000001</v>
      </c>
      <c r="DL361" s="1285">
        <v>0.193</v>
      </c>
      <c r="DM361" s="1286">
        <v>0.20399999999999999</v>
      </c>
      <c r="DN361" s="1285">
        <v>0.2</v>
      </c>
      <c r="DO361" s="1285">
        <v>0.217</v>
      </c>
      <c r="DP361" s="1285">
        <v>0.19900000000000001</v>
      </c>
      <c r="DQ361" s="1285">
        <v>0.20399999999999999</v>
      </c>
      <c r="DR361" s="1286">
        <v>0.20499999999999999</v>
      </c>
      <c r="DS361" s="1294"/>
      <c r="DT361" s="564"/>
      <c r="DU361" s="564"/>
      <c r="DV361" s="1294"/>
      <c r="DW361" s="1153"/>
      <c r="DX361" s="564"/>
      <c r="DY361" s="564"/>
      <c r="DZ361" s="564"/>
      <c r="EA361" s="564"/>
      <c r="EB361" s="1153"/>
      <c r="EC361" s="564"/>
      <c r="ED361" s="564"/>
      <c r="EE361" s="564"/>
      <c r="EF361" s="564"/>
      <c r="EG361" s="1153"/>
      <c r="EH361" s="564"/>
      <c r="EI361" s="564"/>
      <c r="EJ361" s="564"/>
      <c r="EK361" s="564"/>
      <c r="EL361" s="1153"/>
    </row>
    <row r="362" spans="1:142" hidden="1" outlineLevel="1">
      <c r="A362" s="557"/>
      <c r="B362" s="557" t="s">
        <v>106</v>
      </c>
      <c r="C362" s="1205"/>
      <c r="D362" s="1205">
        <v>0.42399999999999999</v>
      </c>
      <c r="E362" s="1203" t="s">
        <v>503</v>
      </c>
      <c r="F362" s="1203" t="s">
        <v>503</v>
      </c>
      <c r="G362" s="1203" t="s">
        <v>503</v>
      </c>
      <c r="H362" s="1188" t="s">
        <v>503</v>
      </c>
      <c r="I362" s="1203" t="s">
        <v>503</v>
      </c>
      <c r="J362" s="1203" t="s">
        <v>503</v>
      </c>
      <c r="K362" s="1203" t="s">
        <v>503</v>
      </c>
      <c r="L362" s="1203" t="s">
        <v>503</v>
      </c>
      <c r="M362" s="1188">
        <v>6.7000000000000004E-2</v>
      </c>
      <c r="N362" s="1203" t="s">
        <v>503</v>
      </c>
      <c r="O362" s="1203" t="s">
        <v>503</v>
      </c>
      <c r="P362" s="1203" t="s">
        <v>503</v>
      </c>
      <c r="Q362" s="1203" t="s">
        <v>503</v>
      </c>
      <c r="R362" s="1188">
        <v>8.5999999999999993E-2</v>
      </c>
      <c r="S362" s="1203" t="s">
        <v>503</v>
      </c>
      <c r="T362" s="1203" t="s">
        <v>503</v>
      </c>
      <c r="U362" s="1203" t="s">
        <v>503</v>
      </c>
      <c r="V362" s="1203" t="s">
        <v>503</v>
      </c>
      <c r="W362" s="1188" t="s">
        <v>503</v>
      </c>
      <c r="X362" s="1203" t="s">
        <v>503</v>
      </c>
      <c r="Y362" s="1203" t="s">
        <v>503</v>
      </c>
      <c r="Z362" s="1203" t="s">
        <v>503</v>
      </c>
      <c r="AA362" s="1203" t="s">
        <v>503</v>
      </c>
      <c r="AB362" s="1211">
        <v>9.0999999999999998E-2</v>
      </c>
      <c r="AC362" s="1212">
        <v>0.08</v>
      </c>
      <c r="AD362" s="1212">
        <v>8.3000000000000004E-2</v>
      </c>
      <c r="AE362" s="1212">
        <v>8.5999999999999993E-2</v>
      </c>
      <c r="AF362" s="1203" t="s">
        <v>503</v>
      </c>
      <c r="AG362" s="1211">
        <v>8.3000000000000004E-2</v>
      </c>
      <c r="AH362" s="1212">
        <v>0.08</v>
      </c>
      <c r="AI362" s="1212">
        <v>8.6999999999999994E-2</v>
      </c>
      <c r="AJ362" s="1212">
        <v>8.2000000000000003E-2</v>
      </c>
      <c r="AK362" s="1203" t="s">
        <v>503</v>
      </c>
      <c r="AL362" s="1211">
        <v>8.2000000000000003E-2</v>
      </c>
      <c r="AM362" s="1212">
        <v>7.9000000000000001E-2</v>
      </c>
      <c r="AN362" s="1212">
        <v>8.3000000000000004E-2</v>
      </c>
      <c r="AO362" s="1212">
        <v>8.6999999999999994E-2</v>
      </c>
      <c r="AP362" s="1203" t="s">
        <v>503</v>
      </c>
      <c r="AQ362" s="1211">
        <v>8.5999999999999993E-2</v>
      </c>
      <c r="AR362" s="1212">
        <v>8.1000000000000003E-2</v>
      </c>
      <c r="AS362" s="1212">
        <v>0.08</v>
      </c>
      <c r="AT362" s="1212">
        <v>0.09</v>
      </c>
      <c r="AU362" s="802"/>
      <c r="AV362" s="708" t="s">
        <v>503</v>
      </c>
      <c r="AW362" s="708" t="s">
        <v>503</v>
      </c>
      <c r="AX362" s="708" t="s">
        <v>503</v>
      </c>
      <c r="AY362" s="708" t="s">
        <v>503</v>
      </c>
      <c r="AZ362" s="1188" t="s">
        <v>503</v>
      </c>
      <c r="BA362" s="1205">
        <v>8.7999999999999995E-2</v>
      </c>
      <c r="BB362" s="1212">
        <v>9.4E-2</v>
      </c>
      <c r="BC362" s="1212">
        <v>8.8999999999999996E-2</v>
      </c>
      <c r="BD362" s="1203" t="s">
        <v>503</v>
      </c>
      <c r="BE362" s="1211">
        <v>9.1999999999999998E-2</v>
      </c>
      <c r="BF362" s="1205">
        <v>7.5999999999999998E-2</v>
      </c>
      <c r="BG362" s="1205">
        <v>7.1999999999999995E-2</v>
      </c>
      <c r="BH362" s="1205">
        <v>7.9000000000000001E-2</v>
      </c>
      <c r="BI362" s="1205">
        <v>7.3999999999999996E-2</v>
      </c>
      <c r="BJ362" s="1206">
        <v>7.3999999999999996E-2</v>
      </c>
      <c r="BK362" s="950">
        <v>8.1000000000000003E-2</v>
      </c>
      <c r="BL362" s="558">
        <v>8.3000000000000004E-2</v>
      </c>
      <c r="BM362" s="1207">
        <v>8.7999999999999995E-2</v>
      </c>
      <c r="BN362" s="1207">
        <v>0.08</v>
      </c>
      <c r="BO362" s="949">
        <v>8.3000000000000004E-2</v>
      </c>
      <c r="BP362" s="950">
        <v>8.5000000000000006E-2</v>
      </c>
      <c r="BQ362" s="558">
        <v>9.5000000000000001E-2</v>
      </c>
      <c r="BR362" s="1207">
        <v>8.7999999999999995E-2</v>
      </c>
      <c r="BS362" s="1207">
        <v>9.2999999999999999E-2</v>
      </c>
      <c r="BT362" s="949">
        <v>0.09</v>
      </c>
      <c r="BU362" s="950">
        <v>6.9000000000000006E-2</v>
      </c>
      <c r="BV362" s="558">
        <v>8.8999999999999996E-2</v>
      </c>
      <c r="BW362" s="1207">
        <v>9.0999999999999998E-2</v>
      </c>
      <c r="BX362" s="1207">
        <v>8.5000000000000006E-2</v>
      </c>
      <c r="BY362" s="949">
        <v>8.4000000000000005E-2</v>
      </c>
      <c r="BZ362" s="950">
        <v>8.1000000000000003E-2</v>
      </c>
      <c r="CA362" s="558">
        <v>8.2000000000000003E-2</v>
      </c>
      <c r="CB362" s="1207">
        <v>8.5999999999999993E-2</v>
      </c>
      <c r="CC362" s="1207">
        <v>8.2000000000000003E-2</v>
      </c>
      <c r="CD362" s="949">
        <v>8.4000000000000005E-2</v>
      </c>
      <c r="CE362" s="950">
        <v>0.08</v>
      </c>
      <c r="CF362" s="558">
        <v>8.3000000000000004E-2</v>
      </c>
      <c r="CG362" s="1207">
        <v>8.5000000000000006E-2</v>
      </c>
      <c r="CH362" s="1207">
        <v>7.4999999999999997E-2</v>
      </c>
      <c r="CI362" s="949">
        <v>8.1000000000000003E-2</v>
      </c>
      <c r="CJ362" s="950">
        <v>8.6999999999999994E-2</v>
      </c>
      <c r="CK362" s="558">
        <v>9.2999999999999999E-2</v>
      </c>
      <c r="CL362" s="1207">
        <v>0.08</v>
      </c>
      <c r="CM362" s="1207">
        <v>8.5999999999999993E-2</v>
      </c>
      <c r="CN362" s="949">
        <v>8.6999999999999994E-2</v>
      </c>
      <c r="CO362" s="950">
        <v>0.115</v>
      </c>
      <c r="CP362" s="558">
        <v>7.4999999999999997E-2</v>
      </c>
      <c r="CQ362" s="1207">
        <v>0.08</v>
      </c>
      <c r="CR362" s="1207">
        <v>8.5999999999999993E-2</v>
      </c>
      <c r="CS362" s="949">
        <v>0.09</v>
      </c>
      <c r="CT362" s="950">
        <v>7.4999999999999997E-2</v>
      </c>
      <c r="CU362" s="558">
        <v>0.1</v>
      </c>
      <c r="CV362" s="1207">
        <v>7.6999999999999999E-2</v>
      </c>
      <c r="CW362" s="1207">
        <v>8.3000000000000004E-2</v>
      </c>
      <c r="CX362" s="949">
        <v>8.4000000000000005E-2</v>
      </c>
      <c r="CY362" s="950">
        <v>0.08</v>
      </c>
      <c r="CZ362" s="558">
        <v>9.9000000000000005E-2</v>
      </c>
      <c r="DA362" s="1207">
        <v>8.7999999999999995E-2</v>
      </c>
      <c r="DB362" s="1207">
        <v>9.2999999999999999E-2</v>
      </c>
      <c r="DC362" s="949">
        <v>0.09</v>
      </c>
      <c r="DD362" s="950">
        <v>7.6999999999999999E-2</v>
      </c>
      <c r="DE362" s="558">
        <v>9.9000000000000005E-2</v>
      </c>
      <c r="DF362" s="1207">
        <v>8.6999999999999994E-2</v>
      </c>
      <c r="DG362" s="1207">
        <v>0.111</v>
      </c>
      <c r="DH362" s="949"/>
      <c r="DI362" s="1287">
        <v>9.4E-2</v>
      </c>
      <c r="DJ362" s="1284">
        <v>8.5000000000000006E-2</v>
      </c>
      <c r="DK362" s="1285">
        <v>8.7999999999999995E-2</v>
      </c>
      <c r="DL362" s="1285">
        <v>8.2000000000000003E-2</v>
      </c>
      <c r="DM362" s="1286">
        <v>8.6999999999999994E-2</v>
      </c>
      <c r="DN362" s="1285">
        <v>8.6999999999999994E-2</v>
      </c>
      <c r="DO362" s="1285">
        <v>7.3999999999999996E-2</v>
      </c>
      <c r="DP362" s="1285">
        <v>8.4000000000000005E-2</v>
      </c>
      <c r="DQ362" s="1285">
        <v>8.2000000000000003E-2</v>
      </c>
      <c r="DR362" s="1286">
        <v>8.2000000000000003E-2</v>
      </c>
      <c r="DS362" s="1284"/>
      <c r="DT362" s="558"/>
      <c r="DU362" s="558"/>
      <c r="DV362" s="1284"/>
      <c r="DW362" s="78"/>
      <c r="DX362" s="558"/>
      <c r="DY362" s="558"/>
      <c r="DZ362" s="558"/>
      <c r="EA362" s="558"/>
      <c r="EB362" s="78"/>
      <c r="EC362" s="558"/>
      <c r="ED362" s="558"/>
      <c r="EE362" s="558"/>
      <c r="EF362" s="558"/>
      <c r="EG362" s="78"/>
      <c r="EH362" s="558"/>
      <c r="EI362" s="558"/>
      <c r="EJ362" s="558"/>
      <c r="EK362" s="558"/>
      <c r="EL362" s="78"/>
    </row>
    <row r="363" spans="1:142" hidden="1" outlineLevel="1">
      <c r="A363" s="561"/>
      <c r="B363" s="557" t="s">
        <v>110</v>
      </c>
      <c r="C363" s="1203"/>
      <c r="D363" s="1203" t="s">
        <v>503</v>
      </c>
      <c r="E363" s="1203" t="s">
        <v>503</v>
      </c>
      <c r="F363" s="1203" t="s">
        <v>503</v>
      </c>
      <c r="G363" s="1203" t="s">
        <v>503</v>
      </c>
      <c r="H363" s="1188" t="s">
        <v>503</v>
      </c>
      <c r="I363" s="1203" t="s">
        <v>503</v>
      </c>
      <c r="J363" s="1203" t="s">
        <v>503</v>
      </c>
      <c r="K363" s="1203" t="s">
        <v>503</v>
      </c>
      <c r="L363" s="1203" t="s">
        <v>503</v>
      </c>
      <c r="M363" s="1188" t="s">
        <v>503</v>
      </c>
      <c r="N363" s="1203" t="s">
        <v>503</v>
      </c>
      <c r="O363" s="1203" t="s">
        <v>503</v>
      </c>
      <c r="P363" s="1203" t="s">
        <v>503</v>
      </c>
      <c r="Q363" s="1203" t="s">
        <v>503</v>
      </c>
      <c r="R363" s="1188" t="s">
        <v>503</v>
      </c>
      <c r="S363" s="1203" t="s">
        <v>503</v>
      </c>
      <c r="T363" s="1203" t="s">
        <v>503</v>
      </c>
      <c r="U363" s="1203" t="s">
        <v>503</v>
      </c>
      <c r="V363" s="1203" t="s">
        <v>503</v>
      </c>
      <c r="W363" s="1188" t="s">
        <v>503</v>
      </c>
      <c r="X363" s="1203" t="s">
        <v>503</v>
      </c>
      <c r="Y363" s="1203" t="s">
        <v>503</v>
      </c>
      <c r="Z363" s="1203" t="s">
        <v>503</v>
      </c>
      <c r="AA363" s="1203" t="s">
        <v>503</v>
      </c>
      <c r="AB363" s="1188" t="s">
        <v>503</v>
      </c>
      <c r="AC363" s="1212" t="s">
        <v>503</v>
      </c>
      <c r="AD363" s="1212" t="s">
        <v>503</v>
      </c>
      <c r="AE363" s="1212" t="s">
        <v>503</v>
      </c>
      <c r="AF363" s="1203" t="s">
        <v>503</v>
      </c>
      <c r="AG363" s="1188" t="s">
        <v>503</v>
      </c>
      <c r="AH363" s="1212" t="s">
        <v>503</v>
      </c>
      <c r="AI363" s="1212" t="s">
        <v>503</v>
      </c>
      <c r="AJ363" s="1212" t="s">
        <v>503</v>
      </c>
      <c r="AK363" s="1203" t="s">
        <v>503</v>
      </c>
      <c r="AL363" s="1188" t="s">
        <v>503</v>
      </c>
      <c r="AM363" s="1212" t="s">
        <v>503</v>
      </c>
      <c r="AN363" s="1212" t="s">
        <v>503</v>
      </c>
      <c r="AO363" s="1212" t="s">
        <v>503</v>
      </c>
      <c r="AP363" s="1203" t="s">
        <v>503</v>
      </c>
      <c r="AQ363" s="1188" t="s">
        <v>503</v>
      </c>
      <c r="AR363" s="1212" t="s">
        <v>503</v>
      </c>
      <c r="AS363" s="1212" t="s">
        <v>503</v>
      </c>
      <c r="AT363" s="1212" t="s">
        <v>503</v>
      </c>
      <c r="AU363" s="802"/>
      <c r="AV363" s="708" t="s">
        <v>503</v>
      </c>
      <c r="AW363" s="708" t="s">
        <v>503</v>
      </c>
      <c r="AX363" s="708" t="s">
        <v>503</v>
      </c>
      <c r="AY363" s="708" t="s">
        <v>503</v>
      </c>
      <c r="AZ363" s="1188" t="s">
        <v>503</v>
      </c>
      <c r="BA363" s="1212">
        <v>0.49199999999999999</v>
      </c>
      <c r="BB363" s="1205">
        <v>0.48099999999999998</v>
      </c>
      <c r="BC363" s="1205">
        <v>0.48399999999999999</v>
      </c>
      <c r="BD363" s="1203" t="s">
        <v>503</v>
      </c>
      <c r="BE363" s="1206">
        <v>0.48899999999999999</v>
      </c>
      <c r="BF363" s="1205">
        <v>0.49099999999999999</v>
      </c>
      <c r="BG363" s="1205">
        <v>0.49099999999999999</v>
      </c>
      <c r="BH363" s="1205">
        <v>0.495</v>
      </c>
      <c r="BI363" s="1205">
        <v>0.501</v>
      </c>
      <c r="BJ363" s="1206">
        <v>0.497</v>
      </c>
      <c r="BK363" s="950">
        <v>0.505</v>
      </c>
      <c r="BL363" s="558">
        <v>0.502</v>
      </c>
      <c r="BM363" s="1207">
        <v>0.50900000000000001</v>
      </c>
      <c r="BN363" s="1207">
        <v>0.51300000000000001</v>
      </c>
      <c r="BO363" s="949">
        <v>0.50800000000000001</v>
      </c>
      <c r="BP363" s="950">
        <v>0.51100000000000001</v>
      </c>
      <c r="BQ363" s="558">
        <v>0.52200000000000002</v>
      </c>
      <c r="BR363" s="1207">
        <v>0.53900000000000003</v>
      </c>
      <c r="BS363" s="1207">
        <v>0.52</v>
      </c>
      <c r="BT363" s="949">
        <v>0.52300000000000002</v>
      </c>
      <c r="BU363" s="950">
        <f t="shared" ref="BU363:CL363" si="568">BU365+BU366</f>
        <v>0.54400000000000004</v>
      </c>
      <c r="BV363" s="558">
        <f t="shared" si="568"/>
        <v>0.53100000000000003</v>
      </c>
      <c r="BW363" s="1207">
        <f t="shared" si="568"/>
        <v>0.53500000000000003</v>
      </c>
      <c r="BX363" s="1207">
        <f t="shared" si="568"/>
        <v>0.54400000000000004</v>
      </c>
      <c r="BY363" s="949">
        <f t="shared" si="568"/>
        <v>0.53800000000000003</v>
      </c>
      <c r="BZ363" s="950">
        <f t="shared" si="568"/>
        <v>0.54400000000000004</v>
      </c>
      <c r="CA363" s="558">
        <f t="shared" si="568"/>
        <v>0.55299999999999994</v>
      </c>
      <c r="CB363" s="1207">
        <f t="shared" si="568"/>
        <v>0.54800000000000004</v>
      </c>
      <c r="CC363" s="1207">
        <f t="shared" si="568"/>
        <v>0.55899999999999994</v>
      </c>
      <c r="CD363" s="949">
        <f t="shared" si="568"/>
        <v>0.54800000000000004</v>
      </c>
      <c r="CE363" s="950">
        <f t="shared" si="568"/>
        <v>0.55300000000000005</v>
      </c>
      <c r="CF363" s="558">
        <f t="shared" si="568"/>
        <v>0.56799999999999995</v>
      </c>
      <c r="CG363" s="1207">
        <f t="shared" si="568"/>
        <v>0.55999999999999994</v>
      </c>
      <c r="CH363" s="1207">
        <f t="shared" si="568"/>
        <v>0.56199999999999994</v>
      </c>
      <c r="CI363" s="949">
        <f t="shared" si="568"/>
        <v>0.56099999999999994</v>
      </c>
      <c r="CJ363" s="950">
        <f t="shared" si="568"/>
        <v>0.55300000000000005</v>
      </c>
      <c r="CK363" s="558">
        <f t="shared" si="568"/>
        <v>0.56499999999999995</v>
      </c>
      <c r="CL363" s="1207">
        <f t="shared" si="568"/>
        <v>0.56999999999999995</v>
      </c>
      <c r="CM363" s="1207">
        <v>0.56899999999999995</v>
      </c>
      <c r="CN363" s="949">
        <v>0.56499999999999995</v>
      </c>
      <c r="CO363" s="950">
        <v>0.54600000000000004</v>
      </c>
      <c r="CP363" s="558">
        <v>0.58199999999999996</v>
      </c>
      <c r="CQ363" s="1207">
        <v>0.58199999999999996</v>
      </c>
      <c r="CR363" s="1207">
        <v>0.58099999999999996</v>
      </c>
      <c r="CS363" s="949">
        <v>0.57199999999999995</v>
      </c>
      <c r="CT363" s="950">
        <v>0.55900000000000005</v>
      </c>
      <c r="CU363" s="558">
        <v>0.56799999999999995</v>
      </c>
      <c r="CV363" s="1207">
        <v>0.58899999999999997</v>
      </c>
      <c r="CW363" s="1207">
        <v>0.58299999999999996</v>
      </c>
      <c r="CX363" s="949">
        <v>0.57399999999999995</v>
      </c>
      <c r="CY363" s="950">
        <v>0.57899999999999996</v>
      </c>
      <c r="CZ363" s="558">
        <v>0.58099999999999996</v>
      </c>
      <c r="DA363" s="1207">
        <v>0.58799999999999997</v>
      </c>
      <c r="DB363" s="1207">
        <v>0.57699999999999996</v>
      </c>
      <c r="DC363" s="949">
        <v>0.58099999999999996</v>
      </c>
      <c r="DD363" s="950">
        <v>0.57799999999999996</v>
      </c>
      <c r="DE363" s="558">
        <v>0.57999999999999996</v>
      </c>
      <c r="DF363" s="1207">
        <v>0.60699999999999998</v>
      </c>
      <c r="DG363" s="1207">
        <v>0.57899999999999996</v>
      </c>
      <c r="DH363" s="949"/>
      <c r="DI363" s="1287">
        <v>0.58599999999999997</v>
      </c>
      <c r="DJ363" s="1284">
        <v>0.60799999999999998</v>
      </c>
      <c r="DK363" s="1285">
        <v>0.61099999999999999</v>
      </c>
      <c r="DL363" s="1285">
        <v>0.61599999999999999</v>
      </c>
      <c r="DM363" s="1286">
        <v>0.60599999999999998</v>
      </c>
      <c r="DN363" s="1285">
        <v>0.61099999999999999</v>
      </c>
      <c r="DO363" s="1285">
        <v>0.59399999999999997</v>
      </c>
      <c r="DP363" s="1285">
        <v>0.64</v>
      </c>
      <c r="DQ363" s="1285">
        <v>0.61399999999999999</v>
      </c>
      <c r="DR363" s="1286">
        <v>0.61499999999999999</v>
      </c>
      <c r="DS363" s="1290"/>
      <c r="DT363" s="561"/>
      <c r="DU363" s="561"/>
      <c r="DV363" s="1290"/>
      <c r="DW363" s="844"/>
      <c r="DX363" s="561"/>
      <c r="DY363" s="561"/>
      <c r="DZ363" s="561"/>
      <c r="EA363" s="561"/>
      <c r="EB363" s="844"/>
      <c r="EC363" s="561"/>
      <c r="ED363" s="561"/>
      <c r="EE363" s="561"/>
      <c r="EF363" s="561"/>
      <c r="EG363" s="844"/>
      <c r="EH363" s="561"/>
      <c r="EI363" s="561"/>
      <c r="EJ363" s="561"/>
      <c r="EK363" s="561"/>
      <c r="EL363" s="844"/>
    </row>
    <row r="364" spans="1:142" hidden="1" outlineLevel="1">
      <c r="A364" s="923"/>
      <c r="B364" s="557" t="s">
        <v>200</v>
      </c>
      <c r="C364" s="1203"/>
      <c r="D364" s="1203" t="s">
        <v>503</v>
      </c>
      <c r="E364" s="1203" t="s">
        <v>503</v>
      </c>
      <c r="F364" s="1203" t="s">
        <v>503</v>
      </c>
      <c r="G364" s="1203" t="s">
        <v>503</v>
      </c>
      <c r="H364" s="1188" t="s">
        <v>503</v>
      </c>
      <c r="I364" s="1203" t="s">
        <v>503</v>
      </c>
      <c r="J364" s="1203" t="s">
        <v>503</v>
      </c>
      <c r="K364" s="1203" t="s">
        <v>503</v>
      </c>
      <c r="L364" s="1203" t="s">
        <v>503</v>
      </c>
      <c r="M364" s="1188">
        <v>0.53600000000000003</v>
      </c>
      <c r="N364" s="1203" t="s">
        <v>503</v>
      </c>
      <c r="O364" s="1203" t="s">
        <v>503</v>
      </c>
      <c r="P364" s="1203" t="s">
        <v>503</v>
      </c>
      <c r="Q364" s="1203" t="s">
        <v>503</v>
      </c>
      <c r="R364" s="974">
        <f>1-(SUM(R361:R363))</f>
        <v>0.49199999999999999</v>
      </c>
      <c r="S364" s="1203" t="s">
        <v>503</v>
      </c>
      <c r="T364" s="1203" t="s">
        <v>503</v>
      </c>
      <c r="U364" s="1203" t="s">
        <v>503</v>
      </c>
      <c r="V364" s="1203" t="s">
        <v>503</v>
      </c>
      <c r="W364" s="1188" t="s">
        <v>503</v>
      </c>
      <c r="X364" s="1203" t="s">
        <v>503</v>
      </c>
      <c r="Y364" s="1203" t="s">
        <v>503</v>
      </c>
      <c r="Z364" s="1203" t="s">
        <v>503</v>
      </c>
      <c r="AA364" s="1203" t="s">
        <v>503</v>
      </c>
      <c r="AB364" s="1206">
        <v>0.191</v>
      </c>
      <c r="AC364" s="1212">
        <v>0.222</v>
      </c>
      <c r="AD364" s="1212">
        <v>0.182</v>
      </c>
      <c r="AE364" s="1212">
        <v>0.17799999999999999</v>
      </c>
      <c r="AF364" s="1203" t="s">
        <v>503</v>
      </c>
      <c r="AG364" s="1206">
        <v>0.184</v>
      </c>
      <c r="AH364" s="1212">
        <v>0.19700000000000001</v>
      </c>
      <c r="AI364" s="1212">
        <v>0.17699999999999999</v>
      </c>
      <c r="AJ364" s="1212">
        <v>0.17899999999999999</v>
      </c>
      <c r="AK364" s="1203" t="s">
        <v>503</v>
      </c>
      <c r="AL364" s="1206">
        <v>0.17699999999999999</v>
      </c>
      <c r="AM364" s="1212">
        <v>0.182</v>
      </c>
      <c r="AN364" s="1212">
        <v>0.16400000000000001</v>
      </c>
      <c r="AO364" s="1212">
        <v>0.151</v>
      </c>
      <c r="AP364" s="1203" t="s">
        <v>503</v>
      </c>
      <c r="AQ364" s="1206">
        <v>0.157</v>
      </c>
      <c r="AR364" s="1205">
        <v>0.152</v>
      </c>
      <c r="AS364" s="1205">
        <v>0.15</v>
      </c>
      <c r="AT364" s="1212">
        <v>0.14299999999999999</v>
      </c>
      <c r="AU364" s="802"/>
      <c r="AV364" s="708" t="s">
        <v>503</v>
      </c>
      <c r="AW364" s="708" t="s">
        <v>503</v>
      </c>
      <c r="AX364" s="708" t="s">
        <v>503</v>
      </c>
      <c r="AY364" s="708" t="s">
        <v>503</v>
      </c>
      <c r="AZ364" s="1188" t="s">
        <v>503</v>
      </c>
      <c r="BA364" s="1205">
        <v>0.14699999999999999</v>
      </c>
      <c r="BB364" s="1205">
        <v>0.156</v>
      </c>
      <c r="BC364" s="1205">
        <v>0.16300000000000001</v>
      </c>
      <c r="BD364" s="1203" t="s">
        <v>503</v>
      </c>
      <c r="BE364" s="1206">
        <v>0.157</v>
      </c>
      <c r="BF364" s="1205">
        <v>0.17299999999999999</v>
      </c>
      <c r="BG364" s="1205">
        <v>0.17799999999999999</v>
      </c>
      <c r="BH364" s="1205">
        <v>0.17499999999999999</v>
      </c>
      <c r="BI364" s="1205">
        <v>0.153</v>
      </c>
      <c r="BJ364" s="1206">
        <v>0.16800000000000001</v>
      </c>
      <c r="BK364" s="950">
        <v>0.13200000000000001</v>
      </c>
      <c r="BL364" s="558">
        <v>0.14299999999999999</v>
      </c>
      <c r="BM364" s="1207">
        <v>0.13700000000000001</v>
      </c>
      <c r="BN364" s="1207">
        <v>0.125</v>
      </c>
      <c r="BO364" s="949">
        <v>0.13400000000000001</v>
      </c>
      <c r="BP364" s="950">
        <v>0.121</v>
      </c>
      <c r="BQ364" s="558">
        <v>0.115</v>
      </c>
      <c r="BR364" s="1207">
        <v>0.126</v>
      </c>
      <c r="BS364" s="1207">
        <v>0.124</v>
      </c>
      <c r="BT364" s="949">
        <v>0.122</v>
      </c>
      <c r="BU364" s="950">
        <v>0.115</v>
      </c>
      <c r="BV364" s="558">
        <v>0.129</v>
      </c>
      <c r="BW364" s="1207">
        <v>0.123</v>
      </c>
      <c r="BX364" s="1207">
        <v>0.115</v>
      </c>
      <c r="BY364" s="949">
        <v>0.12</v>
      </c>
      <c r="BZ364" s="950">
        <v>0.114</v>
      </c>
      <c r="CA364" s="558">
        <v>0.11700000000000001</v>
      </c>
      <c r="CB364" s="1207">
        <v>0.11600000000000001</v>
      </c>
      <c r="CC364" s="1207">
        <v>0.104</v>
      </c>
      <c r="CD364" s="949">
        <v>0.114</v>
      </c>
      <c r="CE364" s="950">
        <v>9.8000000000000004E-2</v>
      </c>
      <c r="CF364" s="558">
        <v>0.109</v>
      </c>
      <c r="CG364" s="1207">
        <v>0.111</v>
      </c>
      <c r="CH364" s="1207">
        <v>0.11600000000000001</v>
      </c>
      <c r="CI364" s="949">
        <v>0.108</v>
      </c>
      <c r="CJ364" s="950">
        <v>0.109</v>
      </c>
      <c r="CK364" s="558">
        <v>0.11</v>
      </c>
      <c r="CL364" s="1207">
        <v>0.113</v>
      </c>
      <c r="CM364" s="1207">
        <v>0.11</v>
      </c>
      <c r="CN364" s="949">
        <v>0.109</v>
      </c>
      <c r="CO364" s="950">
        <v>0.107</v>
      </c>
      <c r="CP364" s="558">
        <v>0.108</v>
      </c>
      <c r="CQ364" s="1207">
        <v>0.113</v>
      </c>
      <c r="CR364" s="1207">
        <v>0.10199999999999999</v>
      </c>
      <c r="CS364" s="949">
        <v>0.107</v>
      </c>
      <c r="CT364" s="950">
        <v>0.10100000000000001</v>
      </c>
      <c r="CU364" s="558">
        <v>0.105</v>
      </c>
      <c r="CV364" s="1207">
        <v>0.113</v>
      </c>
      <c r="CW364" s="1207">
        <v>0.11</v>
      </c>
      <c r="CX364" s="949">
        <v>0.108</v>
      </c>
      <c r="CY364" s="950">
        <v>0.111</v>
      </c>
      <c r="CZ364" s="558">
        <v>0.11</v>
      </c>
      <c r="DA364" s="1207">
        <v>0.111</v>
      </c>
      <c r="DB364" s="1207">
        <v>0.112</v>
      </c>
      <c r="DC364" s="949">
        <v>0.111</v>
      </c>
      <c r="DD364" s="950">
        <v>0.11899999999999999</v>
      </c>
      <c r="DE364" s="558">
        <v>9.6000000000000002E-2</v>
      </c>
      <c r="DF364" s="1207">
        <v>9.0999999999999998E-2</v>
      </c>
      <c r="DG364" s="1207">
        <v>0.10100000000000001</v>
      </c>
      <c r="DH364" s="949"/>
      <c r="DI364" s="1287">
        <v>0.10100000000000001</v>
      </c>
      <c r="DJ364" s="1284">
        <v>0.1</v>
      </c>
      <c r="DK364" s="1285">
        <v>0.10299999999999999</v>
      </c>
      <c r="DL364" s="1285">
        <v>0.1</v>
      </c>
      <c r="DM364" s="1286">
        <v>0.10299999999999999</v>
      </c>
      <c r="DN364" s="1285">
        <v>0.10199999999999999</v>
      </c>
      <c r="DO364" s="1285">
        <v>0.115</v>
      </c>
      <c r="DP364" s="1285">
        <v>7.6999999999999999E-2</v>
      </c>
      <c r="DQ364" s="1285">
        <v>0.1</v>
      </c>
      <c r="DR364" s="1286">
        <v>9.8000000000000004E-2</v>
      </c>
      <c r="DS364" s="1290"/>
      <c r="DT364" s="561"/>
      <c r="DU364" s="561"/>
      <c r="DV364" s="1290"/>
      <c r="DW364" s="844"/>
      <c r="DX364" s="561"/>
      <c r="DY364" s="561"/>
      <c r="DZ364" s="561"/>
      <c r="EA364" s="561"/>
      <c r="EB364" s="844"/>
      <c r="EC364" s="561"/>
      <c r="ED364" s="561"/>
      <c r="EE364" s="561"/>
      <c r="EF364" s="561"/>
      <c r="EG364" s="844"/>
      <c r="EH364" s="561"/>
      <c r="EI364" s="561"/>
      <c r="EJ364" s="561"/>
      <c r="EK364" s="561"/>
      <c r="EL364" s="844"/>
    </row>
    <row r="365" spans="1:142" hidden="1" outlineLevel="1">
      <c r="A365" s="557"/>
      <c r="B365" s="557" t="s">
        <v>201</v>
      </c>
      <c r="C365" s="1203"/>
      <c r="D365" s="1203" t="s">
        <v>503</v>
      </c>
      <c r="E365" s="1203" t="s">
        <v>503</v>
      </c>
      <c r="F365" s="1203" t="s">
        <v>503</v>
      </c>
      <c r="G365" s="1203" t="s">
        <v>503</v>
      </c>
      <c r="H365" s="1188" t="s">
        <v>503</v>
      </c>
      <c r="I365" s="1203" t="s">
        <v>503</v>
      </c>
      <c r="J365" s="1203" t="s">
        <v>503</v>
      </c>
      <c r="K365" s="1203" t="s">
        <v>503</v>
      </c>
      <c r="L365" s="1203" t="s">
        <v>503</v>
      </c>
      <c r="M365" s="1188" t="s">
        <v>503</v>
      </c>
      <c r="N365" s="1203" t="s">
        <v>503</v>
      </c>
      <c r="O365" s="1203" t="s">
        <v>503</v>
      </c>
      <c r="P365" s="1203" t="s">
        <v>503</v>
      </c>
      <c r="Q365" s="1203" t="s">
        <v>503</v>
      </c>
      <c r="R365" s="1188" t="s">
        <v>503</v>
      </c>
      <c r="S365" s="1203" t="s">
        <v>503</v>
      </c>
      <c r="T365" s="1203" t="s">
        <v>503</v>
      </c>
      <c r="U365" s="1203" t="s">
        <v>503</v>
      </c>
      <c r="V365" s="1203" t="s">
        <v>503</v>
      </c>
      <c r="W365" s="1188" t="s">
        <v>503</v>
      </c>
      <c r="X365" s="1203" t="s">
        <v>503</v>
      </c>
      <c r="Y365" s="1203" t="s">
        <v>503</v>
      </c>
      <c r="Z365" s="1203" t="s">
        <v>503</v>
      </c>
      <c r="AA365" s="1203" t="s">
        <v>503</v>
      </c>
      <c r="AB365" s="1188" t="s">
        <v>503</v>
      </c>
      <c r="AC365" s="1212" t="s">
        <v>503</v>
      </c>
      <c r="AD365" s="1212" t="s">
        <v>503</v>
      </c>
      <c r="AE365" s="1212" t="s">
        <v>503</v>
      </c>
      <c r="AF365" s="1203" t="s">
        <v>503</v>
      </c>
      <c r="AG365" s="1188" t="s">
        <v>503</v>
      </c>
      <c r="AH365" s="1212" t="s">
        <v>503</v>
      </c>
      <c r="AI365" s="1212" t="s">
        <v>503</v>
      </c>
      <c r="AJ365" s="1212" t="s">
        <v>503</v>
      </c>
      <c r="AK365" s="1203" t="s">
        <v>503</v>
      </c>
      <c r="AL365" s="1188" t="s">
        <v>503</v>
      </c>
      <c r="AM365" s="1212" t="s">
        <v>503</v>
      </c>
      <c r="AN365" s="1212" t="s">
        <v>503</v>
      </c>
      <c r="AO365" s="1212" t="s">
        <v>503</v>
      </c>
      <c r="AP365" s="1203" t="s">
        <v>503</v>
      </c>
      <c r="AQ365" s="1188" t="s">
        <v>503</v>
      </c>
      <c r="AR365" s="1212" t="s">
        <v>503</v>
      </c>
      <c r="AS365" s="1212" t="s">
        <v>503</v>
      </c>
      <c r="AT365" s="1212" t="s">
        <v>503</v>
      </c>
      <c r="AU365" s="802"/>
      <c r="AV365" s="708" t="s">
        <v>503</v>
      </c>
      <c r="AW365" s="708" t="s">
        <v>503</v>
      </c>
      <c r="AX365" s="708" t="s">
        <v>503</v>
      </c>
      <c r="AY365" s="708" t="s">
        <v>503</v>
      </c>
      <c r="AZ365" s="1188" t="s">
        <v>503</v>
      </c>
      <c r="BA365" s="1212" t="s">
        <v>503</v>
      </c>
      <c r="BB365" s="1212" t="s">
        <v>503</v>
      </c>
      <c r="BC365" s="1212" t="s">
        <v>503</v>
      </c>
      <c r="BD365" s="1203" t="s">
        <v>503</v>
      </c>
      <c r="BE365" s="1211" t="s">
        <v>503</v>
      </c>
      <c r="BF365" s="1212" t="s">
        <v>503</v>
      </c>
      <c r="BG365" s="1212" t="s">
        <v>503</v>
      </c>
      <c r="BH365" s="1212" t="s">
        <v>503</v>
      </c>
      <c r="BI365" s="1212" t="s">
        <v>503</v>
      </c>
      <c r="BJ365" s="1211" t="s">
        <v>503</v>
      </c>
      <c r="BK365" s="1200" t="s">
        <v>503</v>
      </c>
      <c r="BL365" s="1200" t="s">
        <v>503</v>
      </c>
      <c r="BM365" s="1200" t="s">
        <v>503</v>
      </c>
      <c r="BN365" s="1200" t="s">
        <v>503</v>
      </c>
      <c r="BO365" s="1211" t="s">
        <v>503</v>
      </c>
      <c r="BP365" s="1200" t="s">
        <v>503</v>
      </c>
      <c r="BQ365" s="1200" t="s">
        <v>503</v>
      </c>
      <c r="BR365" s="1200" t="s">
        <v>503</v>
      </c>
      <c r="BS365" s="1200" t="s">
        <v>503</v>
      </c>
      <c r="BT365" s="1211" t="s">
        <v>503</v>
      </c>
      <c r="BU365" s="1200">
        <v>0.128</v>
      </c>
      <c r="BV365" s="1200">
        <v>0.114</v>
      </c>
      <c r="BW365" s="1200">
        <v>0.115</v>
      </c>
      <c r="BX365" s="1200">
        <v>0.125</v>
      </c>
      <c r="BY365" s="1211">
        <v>0.12</v>
      </c>
      <c r="BZ365" s="1200">
        <v>0.13400000000000001</v>
      </c>
      <c r="CA365" s="1200">
        <v>0.13200000000000001</v>
      </c>
      <c r="CB365" s="1200">
        <v>0.13300000000000001</v>
      </c>
      <c r="CC365" s="1200">
        <v>0.14099999999999999</v>
      </c>
      <c r="CD365" s="1211">
        <v>0.13500000000000001</v>
      </c>
      <c r="CE365" s="1200">
        <v>0.14799999999999999</v>
      </c>
      <c r="CF365" s="1200">
        <v>0.14899999999999999</v>
      </c>
      <c r="CG365" s="1200">
        <v>0.14799999999999999</v>
      </c>
      <c r="CH365" s="1200">
        <v>0.14599999999999999</v>
      </c>
      <c r="CI365" s="1211">
        <v>0.14799999999999999</v>
      </c>
      <c r="CJ365" s="1200">
        <v>0.14799999999999999</v>
      </c>
      <c r="CK365" s="1200">
        <v>0.151</v>
      </c>
      <c r="CL365" s="1200">
        <v>0.152</v>
      </c>
      <c r="CM365" s="1200" t="s">
        <v>503</v>
      </c>
      <c r="CN365" s="1211" t="s">
        <v>503</v>
      </c>
      <c r="CO365" s="1200" t="s">
        <v>503</v>
      </c>
      <c r="CP365" s="1200" t="s">
        <v>503</v>
      </c>
      <c r="CQ365" s="1200" t="s">
        <v>503</v>
      </c>
      <c r="CR365" s="1200" t="s">
        <v>503</v>
      </c>
      <c r="CS365" s="1211" t="s">
        <v>503</v>
      </c>
      <c r="CT365" s="1200" t="s">
        <v>503</v>
      </c>
      <c r="CU365" s="1200" t="s">
        <v>503</v>
      </c>
      <c r="CV365" s="1200" t="s">
        <v>503</v>
      </c>
      <c r="CW365" s="1200" t="s">
        <v>503</v>
      </c>
      <c r="CX365" s="1211" t="s">
        <v>503</v>
      </c>
      <c r="CY365" s="1200" t="s">
        <v>503</v>
      </c>
      <c r="CZ365" s="1200" t="s">
        <v>503</v>
      </c>
      <c r="DA365" s="1200" t="s">
        <v>503</v>
      </c>
      <c r="DB365" s="1200" t="s">
        <v>503</v>
      </c>
      <c r="DC365" s="1211" t="s">
        <v>503</v>
      </c>
      <c r="DD365" s="1200" t="s">
        <v>503</v>
      </c>
      <c r="DE365" s="1200" t="s">
        <v>503</v>
      </c>
      <c r="DF365" s="1200" t="s">
        <v>503</v>
      </c>
      <c r="DG365" s="1200" t="s">
        <v>503</v>
      </c>
      <c r="DH365" s="1211" t="s">
        <v>503</v>
      </c>
      <c r="DI365" s="1289" t="s">
        <v>503</v>
      </c>
      <c r="DJ365" s="1289" t="s">
        <v>503</v>
      </c>
      <c r="DK365" s="1289" t="s">
        <v>503</v>
      </c>
      <c r="DL365" s="1289" t="s">
        <v>503</v>
      </c>
      <c r="DM365" s="1288" t="s">
        <v>503</v>
      </c>
      <c r="DN365" s="1289" t="s">
        <v>503</v>
      </c>
      <c r="DO365" s="1289" t="s">
        <v>503</v>
      </c>
      <c r="DP365" s="1289" t="s">
        <v>503</v>
      </c>
      <c r="DQ365" s="1289" t="s">
        <v>503</v>
      </c>
      <c r="DR365" s="1288" t="s">
        <v>503</v>
      </c>
      <c r="DS365" s="1290"/>
      <c r="DT365" s="561"/>
      <c r="DU365" s="561"/>
      <c r="DV365" s="1290"/>
      <c r="DW365" s="844"/>
      <c r="DX365" s="561"/>
      <c r="DY365" s="561"/>
      <c r="DZ365" s="561"/>
      <c r="EA365" s="561"/>
      <c r="EB365" s="844"/>
      <c r="EC365" s="561"/>
      <c r="ED365" s="561"/>
      <c r="EE365" s="561"/>
      <c r="EF365" s="561"/>
      <c r="EG365" s="844"/>
      <c r="EH365" s="561"/>
      <c r="EI365" s="561"/>
      <c r="EJ365" s="561"/>
      <c r="EK365" s="561"/>
      <c r="EL365" s="844"/>
    </row>
    <row r="366" spans="1:142" hidden="1" outlineLevel="1">
      <c r="A366" s="557"/>
      <c r="B366" s="557" t="s">
        <v>202</v>
      </c>
      <c r="C366" s="1203"/>
      <c r="D366" s="1203" t="s">
        <v>503</v>
      </c>
      <c r="E366" s="1203" t="s">
        <v>503</v>
      </c>
      <c r="F366" s="1203" t="s">
        <v>503</v>
      </c>
      <c r="G366" s="1203" t="s">
        <v>503</v>
      </c>
      <c r="H366" s="1188" t="s">
        <v>503</v>
      </c>
      <c r="I366" s="1203" t="s">
        <v>503</v>
      </c>
      <c r="J366" s="1203" t="s">
        <v>503</v>
      </c>
      <c r="K366" s="1203" t="s">
        <v>503</v>
      </c>
      <c r="L366" s="1203" t="s">
        <v>503</v>
      </c>
      <c r="M366" s="1188" t="s">
        <v>503</v>
      </c>
      <c r="N366" s="1203" t="s">
        <v>503</v>
      </c>
      <c r="O366" s="1203" t="s">
        <v>503</v>
      </c>
      <c r="P366" s="1203" t="s">
        <v>503</v>
      </c>
      <c r="Q366" s="1203" t="s">
        <v>503</v>
      </c>
      <c r="R366" s="1188" t="s">
        <v>503</v>
      </c>
      <c r="S366" s="1205">
        <v>0.32300000000000001</v>
      </c>
      <c r="T366" s="1205">
        <v>0.32800000000000001</v>
      </c>
      <c r="U366" s="1205">
        <v>0.33700000000000002</v>
      </c>
      <c r="V366" s="1203" t="s">
        <v>503</v>
      </c>
      <c r="W366" s="1211">
        <v>0.33700000000000002</v>
      </c>
      <c r="X366" s="1205">
        <v>0.35799999999999998</v>
      </c>
      <c r="Y366" s="1205">
        <v>0.37</v>
      </c>
      <c r="Z366" s="1205">
        <v>0.38400000000000001</v>
      </c>
      <c r="AA366" s="1203" t="s">
        <v>503</v>
      </c>
      <c r="AB366" s="1211">
        <v>0.376</v>
      </c>
      <c r="AC366" s="1212">
        <v>0.372</v>
      </c>
      <c r="AD366" s="1212">
        <v>0.41899999999999998</v>
      </c>
      <c r="AE366" s="1212">
        <v>0.40600000000000003</v>
      </c>
      <c r="AF366" s="1203" t="s">
        <v>503</v>
      </c>
      <c r="AG366" s="1211">
        <v>0.40699999999999997</v>
      </c>
      <c r="AH366" s="1212">
        <v>0.41099999999999998</v>
      </c>
      <c r="AI366" s="1212">
        <v>0.439</v>
      </c>
      <c r="AJ366" s="1212">
        <v>0.438</v>
      </c>
      <c r="AK366" s="1203" t="s">
        <v>503</v>
      </c>
      <c r="AL366" s="1211">
        <v>0.433</v>
      </c>
      <c r="AM366" s="1212">
        <v>0.42899999999999999</v>
      </c>
      <c r="AN366" s="1212">
        <v>0.44500000000000001</v>
      </c>
      <c r="AO366" s="1212">
        <v>0.442</v>
      </c>
      <c r="AP366" s="1203" t="s">
        <v>503</v>
      </c>
      <c r="AQ366" s="1211">
        <v>0.439</v>
      </c>
      <c r="AR366" s="1212">
        <v>0.45400000000000001</v>
      </c>
      <c r="AS366" s="1212">
        <v>0.46200000000000002</v>
      </c>
      <c r="AT366" s="1212">
        <v>0.48599999999999999</v>
      </c>
      <c r="AU366" s="802"/>
      <c r="AV366" s="708" t="s">
        <v>503</v>
      </c>
      <c r="AW366" s="708" t="s">
        <v>503</v>
      </c>
      <c r="AX366" s="708" t="s">
        <v>503</v>
      </c>
      <c r="AY366" s="708" t="s">
        <v>503</v>
      </c>
      <c r="AZ366" s="1188" t="s">
        <v>503</v>
      </c>
      <c r="BA366" s="1212" t="s">
        <v>503</v>
      </c>
      <c r="BB366" s="1212" t="s">
        <v>503</v>
      </c>
      <c r="BC366" s="1212" t="s">
        <v>503</v>
      </c>
      <c r="BD366" s="1203" t="s">
        <v>503</v>
      </c>
      <c r="BE366" s="1211" t="s">
        <v>503</v>
      </c>
      <c r="BF366" s="1212" t="s">
        <v>503</v>
      </c>
      <c r="BG366" s="1212" t="s">
        <v>503</v>
      </c>
      <c r="BH366" s="1212" t="s">
        <v>503</v>
      </c>
      <c r="BI366" s="1212" t="s">
        <v>503</v>
      </c>
      <c r="BJ366" s="1211" t="s">
        <v>503</v>
      </c>
      <c r="BK366" s="1200" t="s">
        <v>503</v>
      </c>
      <c r="BL366" s="1200" t="s">
        <v>503</v>
      </c>
      <c r="BM366" s="1200" t="s">
        <v>503</v>
      </c>
      <c r="BN366" s="1200" t="s">
        <v>503</v>
      </c>
      <c r="BO366" s="1211" t="s">
        <v>503</v>
      </c>
      <c r="BP366" s="1200" t="s">
        <v>503</v>
      </c>
      <c r="BQ366" s="1200" t="s">
        <v>503</v>
      </c>
      <c r="BR366" s="1200" t="s">
        <v>503</v>
      </c>
      <c r="BS366" s="1200" t="s">
        <v>503</v>
      </c>
      <c r="BT366" s="1211" t="s">
        <v>503</v>
      </c>
      <c r="BU366" s="1200">
        <v>0.41599999999999998</v>
      </c>
      <c r="BV366" s="1200">
        <v>0.41699999999999998</v>
      </c>
      <c r="BW366" s="1200">
        <v>0.42</v>
      </c>
      <c r="BX366" s="1200">
        <v>0.41899999999999998</v>
      </c>
      <c r="BY366" s="1211">
        <v>0.41799999999999998</v>
      </c>
      <c r="BZ366" s="1200">
        <v>0.41</v>
      </c>
      <c r="CA366" s="1200">
        <v>0.42099999999999999</v>
      </c>
      <c r="CB366" s="1200">
        <v>0.41499999999999998</v>
      </c>
      <c r="CC366" s="1200">
        <v>0.41799999999999998</v>
      </c>
      <c r="CD366" s="1211">
        <v>0.41299999999999998</v>
      </c>
      <c r="CE366" s="1200">
        <v>0.40500000000000003</v>
      </c>
      <c r="CF366" s="1200">
        <v>0.41899999999999998</v>
      </c>
      <c r="CG366" s="1200">
        <v>0.41199999999999998</v>
      </c>
      <c r="CH366" s="1200">
        <v>0.41599999999999998</v>
      </c>
      <c r="CI366" s="1211">
        <v>0.41299999999999998</v>
      </c>
      <c r="CJ366" s="1200">
        <v>0.40500000000000003</v>
      </c>
      <c r="CK366" s="1200">
        <v>0.41399999999999998</v>
      </c>
      <c r="CL366" s="1200">
        <v>0.41799999999999998</v>
      </c>
      <c r="CM366" s="1200" t="s">
        <v>503</v>
      </c>
      <c r="CN366" s="1211" t="s">
        <v>503</v>
      </c>
      <c r="CO366" s="1200" t="s">
        <v>503</v>
      </c>
      <c r="CP366" s="1200" t="s">
        <v>503</v>
      </c>
      <c r="CQ366" s="1200" t="s">
        <v>503</v>
      </c>
      <c r="CR366" s="1200" t="s">
        <v>503</v>
      </c>
      <c r="CS366" s="1211" t="s">
        <v>503</v>
      </c>
      <c r="CT366" s="1200" t="s">
        <v>503</v>
      </c>
      <c r="CU366" s="1200" t="s">
        <v>503</v>
      </c>
      <c r="CV366" s="1200" t="s">
        <v>503</v>
      </c>
      <c r="CW366" s="1200" t="s">
        <v>503</v>
      </c>
      <c r="CX366" s="1211" t="s">
        <v>503</v>
      </c>
      <c r="CY366" s="1200" t="s">
        <v>503</v>
      </c>
      <c r="CZ366" s="1200" t="s">
        <v>503</v>
      </c>
      <c r="DA366" s="1200" t="s">
        <v>503</v>
      </c>
      <c r="DB366" s="1200" t="s">
        <v>503</v>
      </c>
      <c r="DC366" s="1211" t="s">
        <v>503</v>
      </c>
      <c r="DD366" s="1200" t="s">
        <v>503</v>
      </c>
      <c r="DE366" s="1200" t="s">
        <v>503</v>
      </c>
      <c r="DF366" s="1200" t="s">
        <v>503</v>
      </c>
      <c r="DG366" s="1200" t="s">
        <v>503</v>
      </c>
      <c r="DH366" s="1211" t="s">
        <v>503</v>
      </c>
      <c r="DI366" s="1289" t="s">
        <v>503</v>
      </c>
      <c r="DJ366" s="1289" t="s">
        <v>503</v>
      </c>
      <c r="DK366" s="1289" t="s">
        <v>503</v>
      </c>
      <c r="DL366" s="1289" t="s">
        <v>503</v>
      </c>
      <c r="DM366" s="1288" t="s">
        <v>503</v>
      </c>
      <c r="DN366" s="1289" t="s">
        <v>503</v>
      </c>
      <c r="DO366" s="1289" t="s">
        <v>503</v>
      </c>
      <c r="DP366" s="1289" t="s">
        <v>503</v>
      </c>
      <c r="DQ366" s="1289" t="s">
        <v>503</v>
      </c>
      <c r="DR366" s="1288" t="s">
        <v>503</v>
      </c>
      <c r="DS366" s="1290"/>
      <c r="DT366" s="561"/>
      <c r="DU366" s="561"/>
      <c r="DV366" s="1290"/>
      <c r="DW366" s="844"/>
      <c r="DX366" s="561"/>
      <c r="DY366" s="561"/>
      <c r="DZ366" s="561"/>
      <c r="EA366" s="561"/>
      <c r="EB366" s="844"/>
      <c r="EC366" s="561"/>
      <c r="ED366" s="561"/>
      <c r="EE366" s="561"/>
      <c r="EF366" s="561"/>
      <c r="EG366" s="844"/>
      <c r="EH366" s="561"/>
      <c r="EI366" s="561"/>
      <c r="EJ366" s="561"/>
      <c r="EK366" s="561"/>
      <c r="EL366" s="844"/>
    </row>
    <row r="367" spans="1:142" hidden="1" outlineLevel="1">
      <c r="A367" s="561"/>
      <c r="B367" s="561"/>
      <c r="C367" s="561"/>
      <c r="D367" s="561"/>
      <c r="E367" s="561"/>
      <c r="F367" s="561"/>
      <c r="G367" s="1213"/>
      <c r="H367" s="844"/>
      <c r="I367" s="1217"/>
      <c r="J367" s="1217"/>
      <c r="K367" s="1217"/>
      <c r="L367" s="1217"/>
      <c r="M367" s="844"/>
      <c r="N367" s="1217"/>
      <c r="O367" s="1217"/>
      <c r="P367" s="1217"/>
      <c r="Q367" s="1217"/>
      <c r="R367" s="844"/>
      <c r="S367" s="1217"/>
      <c r="T367" s="1217"/>
      <c r="U367" s="1217"/>
      <c r="V367" s="1217"/>
      <c r="W367" s="844"/>
      <c r="X367" s="1217"/>
      <c r="Y367" s="1217"/>
      <c r="Z367" s="1217"/>
      <c r="AA367" s="1217"/>
      <c r="AB367" s="844"/>
      <c r="AC367" s="1217"/>
      <c r="AD367" s="1217"/>
      <c r="AE367" s="1217"/>
      <c r="AF367" s="1217"/>
      <c r="AG367" s="844"/>
      <c r="AH367" s="1217"/>
      <c r="AI367" s="1217"/>
      <c r="AJ367" s="1217"/>
      <c r="AK367" s="1217"/>
      <c r="AL367" s="844"/>
      <c r="AM367" s="1217"/>
      <c r="AN367" s="1217"/>
      <c r="AO367" s="1217"/>
      <c r="AP367" s="1217"/>
      <c r="AQ367" s="844"/>
      <c r="AR367" s="1217"/>
      <c r="AS367" s="1217"/>
      <c r="AT367" s="1217"/>
      <c r="AU367" s="802"/>
      <c r="AV367" s="561"/>
      <c r="AW367" s="561"/>
      <c r="AX367" s="561"/>
      <c r="AY367" s="561"/>
      <c r="AZ367" s="844"/>
      <c r="BA367" s="561"/>
      <c r="BB367" s="561"/>
      <c r="BC367" s="561"/>
      <c r="BD367" s="561"/>
      <c r="BE367" s="844"/>
      <c r="BF367" s="561"/>
      <c r="BG367" s="561"/>
      <c r="BH367" s="561"/>
      <c r="BI367" s="561"/>
      <c r="BJ367" s="844"/>
      <c r="BK367" s="561"/>
      <c r="BL367" s="561"/>
      <c r="BM367" s="561"/>
      <c r="BN367" s="561"/>
      <c r="BO367" s="844"/>
      <c r="BP367" s="561"/>
      <c r="BQ367" s="561"/>
      <c r="BR367" s="561"/>
      <c r="BS367" s="561"/>
      <c r="BT367" s="844"/>
      <c r="BU367" s="561"/>
      <c r="BV367" s="561"/>
      <c r="BW367" s="561"/>
      <c r="BX367" s="561"/>
      <c r="BY367" s="844"/>
      <c r="BZ367" s="561"/>
      <c r="CA367" s="561"/>
      <c r="CB367" s="561"/>
      <c r="CC367" s="561"/>
      <c r="CD367" s="844"/>
      <c r="CE367" s="561"/>
      <c r="CF367" s="561"/>
      <c r="CG367" s="561"/>
      <c r="CH367" s="561"/>
      <c r="CI367" s="844"/>
      <c r="CJ367" s="561"/>
      <c r="CK367" s="561"/>
      <c r="CL367" s="561"/>
      <c r="CM367" s="561"/>
      <c r="CN367" s="844"/>
      <c r="CO367" s="561"/>
      <c r="CP367" s="561"/>
      <c r="CQ367" s="561"/>
      <c r="CR367" s="561"/>
      <c r="CS367" s="844"/>
      <c r="CT367" s="561"/>
      <c r="CU367" s="561"/>
      <c r="CV367" s="561"/>
      <c r="CW367" s="561"/>
      <c r="CX367" s="844"/>
      <c r="CY367" s="561"/>
      <c r="CZ367" s="561"/>
      <c r="DA367" s="561"/>
      <c r="DB367" s="561"/>
      <c r="DC367" s="844"/>
      <c r="DD367" s="561"/>
      <c r="DE367" s="561"/>
      <c r="DF367" s="561"/>
      <c r="DG367" s="561"/>
      <c r="DH367" s="844"/>
      <c r="DI367" s="561"/>
      <c r="DJ367" s="561"/>
      <c r="DK367" s="561"/>
      <c r="DL367" s="561"/>
      <c r="DM367" s="1292"/>
      <c r="DN367" s="1290"/>
      <c r="DO367" s="1290"/>
      <c r="DP367" s="1290"/>
      <c r="DQ367" s="1290"/>
      <c r="DR367" s="1292"/>
      <c r="DS367" s="1290"/>
      <c r="DT367" s="561"/>
      <c r="DU367" s="561"/>
      <c r="DV367" s="1290"/>
      <c r="DW367" s="844"/>
      <c r="DX367" s="561"/>
      <c r="DY367" s="561"/>
      <c r="DZ367" s="561"/>
      <c r="EA367" s="561"/>
      <c r="EB367" s="844"/>
      <c r="EC367" s="561"/>
      <c r="ED367" s="561"/>
      <c r="EE367" s="561"/>
      <c r="EF367" s="561"/>
      <c r="EG367" s="844"/>
      <c r="EH367" s="561"/>
      <c r="EI367" s="561"/>
      <c r="EJ367" s="561"/>
      <c r="EK367" s="561"/>
      <c r="EL367" s="844"/>
    </row>
    <row r="368" spans="1:142" hidden="1" outlineLevel="1">
      <c r="A368" s="804"/>
      <c r="B368" s="1278" t="s">
        <v>667</v>
      </c>
      <c r="C368" s="1267"/>
      <c r="D368" s="1267"/>
      <c r="E368" s="1267"/>
      <c r="F368" s="1267"/>
      <c r="G368" s="1267"/>
      <c r="H368" s="1268"/>
      <c r="I368" s="1267"/>
      <c r="J368" s="1267"/>
      <c r="K368" s="1267"/>
      <c r="L368" s="1267"/>
      <c r="M368" s="1268"/>
      <c r="N368" s="1267"/>
      <c r="O368" s="1267"/>
      <c r="P368" s="1267"/>
      <c r="Q368" s="1267"/>
      <c r="R368" s="1268"/>
      <c r="S368" s="1267"/>
      <c r="T368" s="1267"/>
      <c r="U368" s="1267"/>
      <c r="V368" s="1267"/>
      <c r="W368" s="1268"/>
      <c r="X368" s="1267"/>
      <c r="Y368" s="1267"/>
      <c r="Z368" s="1267"/>
      <c r="AA368" s="1267"/>
      <c r="AB368" s="1268"/>
      <c r="AC368" s="1267"/>
      <c r="AD368" s="1267"/>
      <c r="AE368" s="1267"/>
      <c r="AF368" s="1267"/>
      <c r="AG368" s="1268"/>
      <c r="AH368" s="1267"/>
      <c r="AI368" s="1267"/>
      <c r="AJ368" s="1267"/>
      <c r="AK368" s="1267"/>
      <c r="AL368" s="1268"/>
      <c r="AM368" s="1267"/>
      <c r="AN368" s="1267"/>
      <c r="AO368" s="1267"/>
      <c r="AP368" s="1267"/>
      <c r="AQ368" s="1268"/>
      <c r="AR368" s="1267"/>
      <c r="AS368" s="1267"/>
      <c r="AT368" s="1267"/>
      <c r="AU368" s="1268"/>
      <c r="AV368" s="1267"/>
      <c r="AW368" s="1267"/>
      <c r="AX368" s="1267"/>
      <c r="AY368" s="1267"/>
      <c r="AZ368" s="1268"/>
      <c r="BA368" s="1267"/>
      <c r="BB368" s="1267"/>
      <c r="BC368" s="1267"/>
      <c r="BD368" s="1267"/>
      <c r="BE368" s="1268"/>
      <c r="BF368" s="1267"/>
      <c r="BG368" s="1267"/>
      <c r="BH368" s="1267"/>
      <c r="BI368" s="1267"/>
      <c r="BJ368" s="1268"/>
      <c r="BK368" s="1267"/>
      <c r="BL368" s="1267"/>
      <c r="BM368" s="1267"/>
      <c r="BN368" s="1267"/>
      <c r="BO368" s="1268"/>
      <c r="BP368" s="1267"/>
      <c r="BQ368" s="1267"/>
      <c r="BR368" s="1267"/>
      <c r="BS368" s="1267"/>
      <c r="BT368" s="1268"/>
      <c r="BU368" s="1267"/>
      <c r="BV368" s="1267"/>
      <c r="BW368" s="1267"/>
      <c r="BX368" s="1267"/>
      <c r="BY368" s="1268"/>
      <c r="BZ368" s="1267"/>
      <c r="CA368" s="1267"/>
      <c r="CB368" s="1267"/>
      <c r="CC368" s="1267"/>
      <c r="CD368" s="1268"/>
      <c r="CE368" s="1267"/>
      <c r="CF368" s="1267"/>
      <c r="CG368" s="1267"/>
      <c r="CH368" s="1267"/>
      <c r="CI368" s="1268"/>
      <c r="CJ368" s="1267"/>
      <c r="CK368" s="1267"/>
      <c r="CL368" s="1267"/>
      <c r="CM368" s="1267"/>
      <c r="CN368" s="1268"/>
      <c r="CO368" s="1267"/>
      <c r="CP368" s="1267"/>
      <c r="CQ368" s="1267"/>
      <c r="CR368" s="1267"/>
      <c r="CS368" s="1268"/>
      <c r="CT368" s="1267"/>
      <c r="CU368" s="1267"/>
      <c r="CV368" s="1267"/>
      <c r="CW368" s="1267"/>
      <c r="CX368" s="1268"/>
      <c r="CY368" s="1267"/>
      <c r="CZ368" s="1267"/>
      <c r="DA368" s="1267"/>
      <c r="DB368" s="1267"/>
      <c r="DC368" s="1268"/>
      <c r="DD368" s="1267"/>
      <c r="DE368" s="1267"/>
      <c r="DF368" s="1267"/>
      <c r="DG368" s="1267"/>
      <c r="DH368" s="1268"/>
      <c r="DI368" s="1267"/>
      <c r="DJ368" s="1267"/>
      <c r="DK368" s="1267"/>
      <c r="DL368" s="1267"/>
      <c r="DM368" s="1268"/>
      <c r="DN368" s="1267"/>
      <c r="DO368" s="1267"/>
      <c r="DP368" s="1267"/>
      <c r="DQ368" s="1267"/>
      <c r="DR368" s="1268"/>
      <c r="DS368" s="1267"/>
      <c r="DT368" s="1267"/>
      <c r="DU368" s="1267"/>
      <c r="DV368" s="1267"/>
      <c r="DW368" s="1268"/>
      <c r="DX368" s="1267"/>
      <c r="DY368" s="1267"/>
      <c r="DZ368" s="1267"/>
      <c r="EA368" s="1267"/>
      <c r="EB368" s="1268"/>
      <c r="EC368" s="1267"/>
      <c r="ED368" s="1267"/>
      <c r="EE368" s="1267"/>
      <c r="EF368" s="1267"/>
      <c r="EG368" s="1268"/>
      <c r="EH368" s="1267"/>
      <c r="EI368" s="1267"/>
      <c r="EJ368" s="1267"/>
      <c r="EK368" s="1267"/>
      <c r="EL368" s="1268"/>
    </row>
    <row r="369" spans="1:142" hidden="1" outlineLevel="1">
      <c r="A369" s="804"/>
      <c r="B369" s="973" t="s">
        <v>203</v>
      </c>
      <c r="C369" s="555"/>
      <c r="D369" s="555"/>
      <c r="E369" s="555"/>
      <c r="F369" s="555"/>
      <c r="G369" s="555"/>
      <c r="H369" s="802"/>
      <c r="I369" s="555"/>
      <c r="J369" s="555"/>
      <c r="K369" s="555"/>
      <c r="L369" s="555"/>
      <c r="M369" s="802"/>
      <c r="N369" s="555"/>
      <c r="O369" s="555"/>
      <c r="P369" s="555"/>
      <c r="Q369" s="555"/>
      <c r="R369" s="802"/>
      <c r="S369" s="555"/>
      <c r="T369" s="555"/>
      <c r="U369" s="555"/>
      <c r="V369" s="555"/>
      <c r="W369" s="802"/>
      <c r="X369" s="555"/>
      <c r="Y369" s="555"/>
      <c r="Z369" s="555"/>
      <c r="AA369" s="555"/>
      <c r="AB369" s="802"/>
      <c r="AC369" s="555"/>
      <c r="AD369" s="555"/>
      <c r="AE369" s="555"/>
      <c r="AF369" s="555"/>
      <c r="AG369" s="802"/>
      <c r="AH369" s="555"/>
      <c r="AI369" s="555"/>
      <c r="AJ369" s="555"/>
      <c r="AK369" s="555"/>
      <c r="AL369" s="802"/>
      <c r="AM369" s="555"/>
      <c r="AN369" s="555"/>
      <c r="AO369" s="555"/>
      <c r="AP369" s="555"/>
      <c r="AQ369" s="802"/>
      <c r="AR369" s="555"/>
      <c r="AS369" s="555"/>
      <c r="AT369" s="555"/>
      <c r="AU369" s="802"/>
      <c r="AV369" s="555"/>
      <c r="AW369" s="555"/>
      <c r="AX369" s="555"/>
      <c r="AY369" s="555"/>
      <c r="AZ369" s="802"/>
      <c r="BA369" s="555"/>
      <c r="BB369" s="555"/>
      <c r="BC369" s="555"/>
      <c r="BD369" s="555"/>
      <c r="BE369" s="802"/>
      <c r="BF369" s="555"/>
      <c r="BG369" s="555"/>
      <c r="BH369" s="555"/>
      <c r="BI369" s="555"/>
      <c r="BJ369" s="802"/>
      <c r="BK369" s="555"/>
      <c r="BL369" s="555"/>
      <c r="BM369" s="555"/>
      <c r="BN369" s="555"/>
      <c r="BO369" s="802"/>
      <c r="BP369" s="555"/>
      <c r="BQ369" s="555"/>
      <c r="BR369" s="555"/>
      <c r="BS369" s="555"/>
      <c r="BT369" s="802"/>
      <c r="BU369" s="555"/>
      <c r="BV369" s="555"/>
      <c r="BW369" s="555"/>
      <c r="BX369" s="555"/>
      <c r="BY369" s="802"/>
      <c r="BZ369" s="555"/>
      <c r="CA369" s="555"/>
      <c r="CB369" s="555"/>
      <c r="CC369" s="555"/>
      <c r="CD369" s="802"/>
      <c r="CE369" s="555"/>
      <c r="CF369" s="555"/>
      <c r="CG369" s="555"/>
      <c r="CH369" s="555"/>
      <c r="CI369" s="802"/>
      <c r="CJ369" s="555"/>
      <c r="CK369" s="555"/>
      <c r="CL369" s="555"/>
      <c r="CM369" s="555"/>
      <c r="CN369" s="802"/>
      <c r="CO369" s="555"/>
      <c r="CP369" s="555"/>
      <c r="CQ369" s="555"/>
      <c r="CR369" s="555"/>
      <c r="CS369" s="802"/>
      <c r="CT369" s="555"/>
      <c r="CU369" s="555"/>
      <c r="CV369" s="555"/>
      <c r="CW369" s="555"/>
      <c r="CX369" s="802"/>
      <c r="CY369" s="555"/>
      <c r="CZ369" s="555"/>
      <c r="DA369" s="555"/>
      <c r="DB369" s="555"/>
      <c r="DC369" s="802"/>
      <c r="DD369" s="555"/>
      <c r="DE369" s="555"/>
      <c r="DF369" s="555"/>
      <c r="DG369" s="555"/>
      <c r="DH369" s="802"/>
      <c r="DI369" s="555"/>
      <c r="DJ369" s="555"/>
      <c r="DK369" s="555"/>
      <c r="DL369" s="555"/>
      <c r="DM369" s="1279"/>
      <c r="DN369" s="1282"/>
      <c r="DO369" s="1282"/>
      <c r="DP369" s="1282"/>
      <c r="DQ369" s="1282"/>
      <c r="DR369" s="1279"/>
      <c r="DS369" s="1282"/>
      <c r="DT369" s="555"/>
      <c r="DU369" s="555"/>
      <c r="DV369" s="1282"/>
      <c r="DW369" s="802"/>
      <c r="DX369" s="555"/>
      <c r="DY369" s="555"/>
      <c r="DZ369" s="555"/>
      <c r="EA369" s="555"/>
      <c r="EB369" s="802"/>
      <c r="EC369" s="555"/>
      <c r="ED369" s="555"/>
      <c r="EE369" s="555"/>
      <c r="EF369" s="555"/>
      <c r="EG369" s="802"/>
      <c r="EH369" s="555"/>
      <c r="EI369" s="555"/>
      <c r="EJ369" s="555"/>
      <c r="EK369" s="555"/>
      <c r="EL369" s="802"/>
    </row>
    <row r="370" spans="1:142" hidden="1" outlineLevel="1">
      <c r="A370" s="557"/>
      <c r="B370" s="555" t="s">
        <v>192</v>
      </c>
      <c r="C370" s="555"/>
      <c r="D370" s="1118">
        <v>33</v>
      </c>
      <c r="E370" s="1118">
        <v>33</v>
      </c>
      <c r="F370" s="1118">
        <v>33</v>
      </c>
      <c r="G370" s="960">
        <f>H370</f>
        <v>70</v>
      </c>
      <c r="H370" s="1048">
        <v>70</v>
      </c>
      <c r="I370" s="1118">
        <v>72</v>
      </c>
      <c r="J370" s="1118">
        <v>75</v>
      </c>
      <c r="K370" s="1118">
        <v>75</v>
      </c>
      <c r="L370" s="960">
        <f>M370</f>
        <v>74</v>
      </c>
      <c r="M370" s="1048">
        <v>74</v>
      </c>
      <c r="N370" s="1118">
        <v>75</v>
      </c>
      <c r="O370" s="1118">
        <v>76</v>
      </c>
      <c r="P370" s="1118">
        <v>127</v>
      </c>
      <c r="Q370" s="960">
        <f>R370</f>
        <v>128</v>
      </c>
      <c r="R370" s="1048">
        <v>128</v>
      </c>
      <c r="S370" s="1118">
        <v>130</v>
      </c>
      <c r="T370" s="1118">
        <v>129</v>
      </c>
      <c r="U370" s="1118">
        <v>125</v>
      </c>
      <c r="V370" s="960">
        <f>W370</f>
        <v>122</v>
      </c>
      <c r="W370" s="1048">
        <v>122</v>
      </c>
      <c r="X370" s="1118">
        <v>121</v>
      </c>
      <c r="Y370" s="1118">
        <v>128</v>
      </c>
      <c r="Z370" s="1118">
        <v>129</v>
      </c>
      <c r="AA370" s="960">
        <f>AB370</f>
        <v>130</v>
      </c>
      <c r="AB370" s="1048">
        <v>130</v>
      </c>
      <c r="AC370" s="1118">
        <v>130</v>
      </c>
      <c r="AD370" s="1118">
        <v>113</v>
      </c>
      <c r="AE370" s="1118">
        <v>112</v>
      </c>
      <c r="AF370" s="960">
        <f>AG370</f>
        <v>110</v>
      </c>
      <c r="AG370" s="1048">
        <v>110</v>
      </c>
      <c r="AH370" s="1118">
        <v>110</v>
      </c>
      <c r="AI370" s="1118">
        <v>111</v>
      </c>
      <c r="AJ370" s="1118">
        <v>110</v>
      </c>
      <c r="AK370" s="960">
        <f>AL370</f>
        <v>111</v>
      </c>
      <c r="AL370" s="1048">
        <v>111</v>
      </c>
      <c r="AM370" s="1118">
        <v>114</v>
      </c>
      <c r="AN370" s="1118">
        <v>114</v>
      </c>
      <c r="AO370" s="1118">
        <v>116</v>
      </c>
      <c r="AP370" s="960">
        <f>AQ370</f>
        <v>116</v>
      </c>
      <c r="AQ370" s="1048">
        <v>116</v>
      </c>
      <c r="AR370" s="1118">
        <v>114</v>
      </c>
      <c r="AS370" s="1118">
        <v>113</v>
      </c>
      <c r="AT370" s="1118">
        <v>114</v>
      </c>
      <c r="AU370" s="802"/>
      <c r="AV370" s="708" t="s">
        <v>503</v>
      </c>
      <c r="AW370" s="708" t="s">
        <v>503</v>
      </c>
      <c r="AX370" s="708" t="s">
        <v>503</v>
      </c>
      <c r="AY370" s="708" t="s">
        <v>503</v>
      </c>
      <c r="AZ370" s="1188" t="s">
        <v>503</v>
      </c>
      <c r="BA370" s="1118">
        <v>99</v>
      </c>
      <c r="BB370" s="1118">
        <v>99</v>
      </c>
      <c r="BC370" s="1118">
        <v>99</v>
      </c>
      <c r="BD370" s="960">
        <f>BE370</f>
        <v>99</v>
      </c>
      <c r="BE370" s="1048">
        <v>99</v>
      </c>
      <c r="BF370" s="1118">
        <v>71</v>
      </c>
      <c r="BG370" s="1118">
        <v>72</v>
      </c>
      <c r="BH370" s="1118">
        <v>70</v>
      </c>
      <c r="BI370" s="1118">
        <v>69</v>
      </c>
      <c r="BJ370" s="1048">
        <v>69</v>
      </c>
      <c r="BK370" s="555">
        <v>69</v>
      </c>
      <c r="BL370" s="555">
        <v>69</v>
      </c>
      <c r="BM370" s="555">
        <v>69</v>
      </c>
      <c r="BN370" s="555">
        <v>69</v>
      </c>
      <c r="BO370" s="802">
        <v>69</v>
      </c>
      <c r="BP370" s="555">
        <v>69</v>
      </c>
      <c r="BQ370" s="555">
        <v>57</v>
      </c>
      <c r="BR370" s="555">
        <v>57</v>
      </c>
      <c r="BS370" s="555">
        <v>57</v>
      </c>
      <c r="BT370" s="802">
        <v>57</v>
      </c>
      <c r="BU370" s="555">
        <v>57</v>
      </c>
      <c r="BV370" s="555">
        <v>58</v>
      </c>
      <c r="BW370" s="555">
        <v>54</v>
      </c>
      <c r="BX370" s="555">
        <v>54</v>
      </c>
      <c r="BY370" s="802">
        <v>54</v>
      </c>
      <c r="BZ370" s="555">
        <v>54</v>
      </c>
      <c r="CA370" s="555">
        <v>52</v>
      </c>
      <c r="CB370" s="555">
        <v>50</v>
      </c>
      <c r="CC370" s="555">
        <v>50</v>
      </c>
      <c r="CD370" s="802">
        <v>50</v>
      </c>
      <c r="CE370" s="555">
        <v>50</v>
      </c>
      <c r="CF370" s="555">
        <v>49</v>
      </c>
      <c r="CG370" s="555">
        <v>49</v>
      </c>
      <c r="CH370" s="555">
        <v>49</v>
      </c>
      <c r="CI370" s="802">
        <v>49</v>
      </c>
      <c r="CJ370" s="555">
        <v>49</v>
      </c>
      <c r="CK370" s="555">
        <v>49</v>
      </c>
      <c r="CL370" s="555">
        <v>49</v>
      </c>
      <c r="CM370" s="555">
        <v>49</v>
      </c>
      <c r="CN370" s="802">
        <v>49</v>
      </c>
      <c r="CO370" s="555">
        <v>49</v>
      </c>
      <c r="CP370" s="555">
        <v>49</v>
      </c>
      <c r="CQ370" s="555">
        <v>49</v>
      </c>
      <c r="CR370" s="555">
        <v>49</v>
      </c>
      <c r="CS370" s="802">
        <v>49</v>
      </c>
      <c r="CT370" s="555">
        <v>49</v>
      </c>
      <c r="CU370" s="555">
        <v>49</v>
      </c>
      <c r="CV370" s="555">
        <v>49</v>
      </c>
      <c r="CW370" s="555">
        <v>49</v>
      </c>
      <c r="CX370" s="802">
        <v>49</v>
      </c>
      <c r="CY370" s="555">
        <v>49</v>
      </c>
      <c r="CZ370" s="555">
        <v>49</v>
      </c>
      <c r="DA370" s="555">
        <v>49</v>
      </c>
      <c r="DB370" s="555">
        <v>77</v>
      </c>
      <c r="DC370" s="802">
        <v>77</v>
      </c>
      <c r="DD370" s="555">
        <v>77</v>
      </c>
      <c r="DE370" s="555">
        <v>79</v>
      </c>
      <c r="DF370" s="555">
        <v>80</v>
      </c>
      <c r="DG370" s="555">
        <v>80</v>
      </c>
      <c r="DH370" s="802">
        <v>80</v>
      </c>
      <c r="DI370" s="1507">
        <v>72</v>
      </c>
      <c r="DJ370" s="1507">
        <v>67</v>
      </c>
      <c r="DK370" s="1507">
        <v>67</v>
      </c>
      <c r="DL370" s="1507">
        <v>67</v>
      </c>
      <c r="DM370" s="1506">
        <v>67</v>
      </c>
      <c r="DN370" s="1507">
        <v>75</v>
      </c>
      <c r="DO370" s="1507">
        <v>75</v>
      </c>
      <c r="DP370" s="1507">
        <v>72</v>
      </c>
      <c r="DQ370" s="1507">
        <v>72</v>
      </c>
      <c r="DR370" s="1506">
        <v>72</v>
      </c>
      <c r="DS370" s="1290"/>
      <c r="DT370" s="561"/>
      <c r="DU370" s="561"/>
      <c r="DV370" s="1290"/>
      <c r="DW370" s="844"/>
      <c r="DX370" s="561"/>
      <c r="DY370" s="561"/>
      <c r="DZ370" s="561"/>
      <c r="EA370" s="561"/>
      <c r="EB370" s="844"/>
      <c r="EC370" s="561"/>
      <c r="ED370" s="561"/>
      <c r="EE370" s="561"/>
      <c r="EF370" s="561"/>
      <c r="EG370" s="844"/>
      <c r="EH370" s="561"/>
      <c r="EI370" s="561"/>
      <c r="EJ370" s="561"/>
      <c r="EK370" s="561"/>
      <c r="EL370" s="844"/>
    </row>
    <row r="371" spans="1:142" hidden="1" outlineLevel="1">
      <c r="A371" s="557"/>
      <c r="B371" s="557" t="s">
        <v>196</v>
      </c>
      <c r="C371" s="1201"/>
      <c r="D371" s="1201">
        <v>49078</v>
      </c>
      <c r="E371" s="1201">
        <v>48663</v>
      </c>
      <c r="F371" s="1201">
        <v>51882</v>
      </c>
      <c r="G371" s="960">
        <f>H371-SUM(D371:F371)</f>
        <v>118245</v>
      </c>
      <c r="H371" s="1202">
        <v>267868</v>
      </c>
      <c r="I371" s="1201">
        <v>111503</v>
      </c>
      <c r="J371" s="1201">
        <v>120363</v>
      </c>
      <c r="K371" s="1201">
        <v>130536</v>
      </c>
      <c r="L371" s="960">
        <f>M371-SUM(I371:K371)</f>
        <v>125199</v>
      </c>
      <c r="M371" s="1202">
        <v>487601</v>
      </c>
      <c r="N371" s="1201">
        <v>122210</v>
      </c>
      <c r="O371" s="1201">
        <v>124564</v>
      </c>
      <c r="P371" s="1201">
        <v>212850</v>
      </c>
      <c r="Q371" s="960">
        <f>R371-SUM(N371:P371)</f>
        <v>327263</v>
      </c>
      <c r="R371" s="1202">
        <v>786887</v>
      </c>
      <c r="S371" s="1201">
        <v>205572</v>
      </c>
      <c r="T371" s="1201">
        <v>213270</v>
      </c>
      <c r="U371" s="1201">
        <v>230955</v>
      </c>
      <c r="V371" s="960">
        <f>W371-SUM(S371:U371)</f>
        <v>222636</v>
      </c>
      <c r="W371" s="1202">
        <v>872433</v>
      </c>
      <c r="X371" s="1201">
        <v>219167</v>
      </c>
      <c r="Y371" s="1201">
        <v>221499</v>
      </c>
      <c r="Z371" s="1201">
        <v>248646</v>
      </c>
      <c r="AA371" s="960">
        <f>AB371-SUM(X371:Z371)</f>
        <v>250935</v>
      </c>
      <c r="AB371" s="1202">
        <v>940247</v>
      </c>
      <c r="AC371" s="1201">
        <v>239378</v>
      </c>
      <c r="AD371" s="1201">
        <v>227647</v>
      </c>
      <c r="AE371" s="1201">
        <v>239792</v>
      </c>
      <c r="AF371" s="960">
        <f>AG371-SUM(AC371:AE371)</f>
        <v>229325</v>
      </c>
      <c r="AG371" s="1202">
        <v>936142</v>
      </c>
      <c r="AH371" s="1201">
        <v>228680</v>
      </c>
      <c r="AI371" s="1201">
        <v>229281</v>
      </c>
      <c r="AJ371" s="1201">
        <v>239074</v>
      </c>
      <c r="AK371" s="960">
        <f>AL371-SUM(AH371:AJ371)</f>
        <v>242566</v>
      </c>
      <c r="AL371" s="1202">
        <v>939601</v>
      </c>
      <c r="AM371" s="1201">
        <v>242172</v>
      </c>
      <c r="AN371" s="1201">
        <v>242861</v>
      </c>
      <c r="AO371" s="1201">
        <v>256840</v>
      </c>
      <c r="AP371" s="960">
        <f>AQ371-SUM(AM371:AO371)</f>
        <v>259163</v>
      </c>
      <c r="AQ371" s="1202">
        <v>1001036</v>
      </c>
      <c r="AR371" s="1201">
        <v>252114</v>
      </c>
      <c r="AS371" s="1201">
        <v>254232</v>
      </c>
      <c r="AT371" s="1201">
        <v>261601</v>
      </c>
      <c r="AU371" s="802"/>
      <c r="AV371" s="708" t="s">
        <v>503</v>
      </c>
      <c r="AW371" s="708" t="s">
        <v>503</v>
      </c>
      <c r="AX371" s="708" t="s">
        <v>503</v>
      </c>
      <c r="AY371" s="708" t="s">
        <v>503</v>
      </c>
      <c r="AZ371" s="1188" t="s">
        <v>503</v>
      </c>
      <c r="BA371" s="1201">
        <v>243226</v>
      </c>
      <c r="BB371" s="1201">
        <v>236059</v>
      </c>
      <c r="BC371" s="1201">
        <v>237374</v>
      </c>
      <c r="BD371" s="960">
        <f>BE371-SUM(BA371:BC371)</f>
        <v>229981</v>
      </c>
      <c r="BE371" s="1202">
        <v>946640</v>
      </c>
      <c r="BF371" s="1201">
        <v>185253</v>
      </c>
      <c r="BG371" s="1201">
        <v>174079</v>
      </c>
      <c r="BH371" s="1201">
        <v>170713</v>
      </c>
      <c r="BI371" s="1201">
        <v>169343</v>
      </c>
      <c r="BJ371" s="1202">
        <v>687857</v>
      </c>
      <c r="BK371" s="959">
        <v>178458</v>
      </c>
      <c r="BL371" s="555">
        <v>168526</v>
      </c>
      <c r="BM371" s="555">
        <v>163707</v>
      </c>
      <c r="BN371" s="555">
        <v>157896</v>
      </c>
      <c r="BO371" s="802">
        <v>668587</v>
      </c>
      <c r="BP371" s="959">
        <v>166426</v>
      </c>
      <c r="BQ371" s="555">
        <v>142976</v>
      </c>
      <c r="BR371" s="555">
        <v>141203</v>
      </c>
      <c r="BS371" s="555">
        <v>143110</v>
      </c>
      <c r="BT371" s="802">
        <v>578168</v>
      </c>
      <c r="BU371" s="959">
        <v>148368</v>
      </c>
      <c r="BV371" s="555">
        <v>139832</v>
      </c>
      <c r="BW371" s="555">
        <v>136373</v>
      </c>
      <c r="BX371" s="555">
        <v>139449</v>
      </c>
      <c r="BY371" s="802">
        <v>556025</v>
      </c>
      <c r="BZ371" s="959">
        <v>146057</v>
      </c>
      <c r="CA371" s="555">
        <v>133983</v>
      </c>
      <c r="CB371" s="555">
        <v>130545</v>
      </c>
      <c r="CC371" s="555">
        <v>131693</v>
      </c>
      <c r="CD371" s="802">
        <v>530303</v>
      </c>
      <c r="CE371" s="959">
        <v>136766</v>
      </c>
      <c r="CF371" s="555">
        <v>130308</v>
      </c>
      <c r="CG371" s="555">
        <v>130258</v>
      </c>
      <c r="CH371" s="555">
        <v>129631</v>
      </c>
      <c r="CI371" s="802">
        <v>525532</v>
      </c>
      <c r="CJ371" s="959">
        <v>132599</v>
      </c>
      <c r="CK371" s="555">
        <v>127751</v>
      </c>
      <c r="CL371" s="555">
        <v>125645</v>
      </c>
      <c r="CM371" s="555">
        <v>126977</v>
      </c>
      <c r="CN371" s="802">
        <v>512972</v>
      </c>
      <c r="CO371" s="959">
        <v>131437</v>
      </c>
      <c r="CP371" s="555">
        <v>125592</v>
      </c>
      <c r="CQ371" s="555">
        <v>125458</v>
      </c>
      <c r="CR371" s="555">
        <v>125347</v>
      </c>
      <c r="CS371" s="802">
        <v>507834</v>
      </c>
      <c r="CT371" s="959">
        <v>131190</v>
      </c>
      <c r="CU371" s="555">
        <v>125136</v>
      </c>
      <c r="CV371" s="555">
        <v>124869</v>
      </c>
      <c r="CW371" s="555">
        <v>125290</v>
      </c>
      <c r="CX371" s="802">
        <v>506485</v>
      </c>
      <c r="CY371" s="959">
        <v>125929</v>
      </c>
      <c r="CZ371" s="555">
        <v>120722</v>
      </c>
      <c r="DA371" s="555">
        <v>121569</v>
      </c>
      <c r="DB371" s="555">
        <v>190506</v>
      </c>
      <c r="DC371" s="802">
        <v>558726</v>
      </c>
      <c r="DD371" s="959">
        <v>194273</v>
      </c>
      <c r="DE371" s="555">
        <v>194641</v>
      </c>
      <c r="DF371" s="555">
        <v>199914</v>
      </c>
      <c r="DG371" s="555">
        <v>202337</v>
      </c>
      <c r="DH371" s="802">
        <v>791165</v>
      </c>
      <c r="DI371" s="1507">
        <v>194143</v>
      </c>
      <c r="DJ371" s="1507">
        <v>179135</v>
      </c>
      <c r="DK371" s="1507">
        <v>176885</v>
      </c>
      <c r="DL371" s="1507">
        <v>176051</v>
      </c>
      <c r="DM371" s="1506">
        <v>717218</v>
      </c>
      <c r="DN371" s="1507">
        <v>202873</v>
      </c>
      <c r="DO371" s="1507">
        <v>193779</v>
      </c>
      <c r="DP371" s="1507">
        <v>186765</v>
      </c>
      <c r="DQ371" s="1507">
        <v>184561</v>
      </c>
      <c r="DR371" s="1506">
        <v>753673</v>
      </c>
      <c r="DS371" s="1284"/>
      <c r="DT371" s="558"/>
      <c r="DU371" s="558"/>
      <c r="DV371" s="1284"/>
      <c r="DW371" s="78"/>
      <c r="DX371" s="558"/>
      <c r="DY371" s="558"/>
      <c r="DZ371" s="558"/>
      <c r="EA371" s="558"/>
      <c r="EB371" s="78"/>
      <c r="EC371" s="558"/>
      <c r="ED371" s="558"/>
      <c r="EE371" s="558"/>
      <c r="EF371" s="558"/>
      <c r="EG371" s="78"/>
      <c r="EH371" s="558"/>
      <c r="EI371" s="558"/>
      <c r="EJ371" s="558"/>
      <c r="EK371" s="558"/>
      <c r="EL371" s="78"/>
    </row>
    <row r="372" spans="1:142" hidden="1" outlineLevel="1">
      <c r="A372" s="557"/>
      <c r="B372" s="557" t="s">
        <v>147</v>
      </c>
      <c r="C372" s="1203"/>
      <c r="D372" s="1203" t="s">
        <v>503</v>
      </c>
      <c r="E372" s="1201">
        <v>64496</v>
      </c>
      <c r="F372" s="1201">
        <v>67637</v>
      </c>
      <c r="G372" s="960">
        <f>H372-SUM(D372:F372)</f>
        <v>226531</v>
      </c>
      <c r="H372" s="1202">
        <v>358664</v>
      </c>
      <c r="I372" s="1201">
        <v>156687</v>
      </c>
      <c r="J372" s="1201">
        <v>166564</v>
      </c>
      <c r="K372" s="1201">
        <v>187675</v>
      </c>
      <c r="L372" s="960">
        <f>M372-SUM(I372:K372)</f>
        <v>178693</v>
      </c>
      <c r="M372" s="1202">
        <v>689619</v>
      </c>
      <c r="N372" s="1201">
        <v>177597</v>
      </c>
      <c r="O372" s="1201">
        <v>179602</v>
      </c>
      <c r="P372" s="1201">
        <v>301703</v>
      </c>
      <c r="Q372" s="960">
        <f>R372-SUM(N372:P372)</f>
        <v>465495</v>
      </c>
      <c r="R372" s="1202">
        <v>1124397</v>
      </c>
      <c r="S372" s="1201">
        <v>289833</v>
      </c>
      <c r="T372" s="1201">
        <v>327578</v>
      </c>
      <c r="U372" s="1201">
        <v>326322</v>
      </c>
      <c r="V372" s="960">
        <f>W372-SUM(S372:U372)</f>
        <v>324531</v>
      </c>
      <c r="W372" s="1202">
        <v>1268264</v>
      </c>
      <c r="X372" s="1201">
        <v>322799</v>
      </c>
      <c r="Y372" s="1201">
        <v>322035</v>
      </c>
      <c r="Z372" s="1201">
        <v>351849</v>
      </c>
      <c r="AA372" s="960">
        <f>AB372-SUM(X372:Z372)</f>
        <v>363341</v>
      </c>
      <c r="AB372" s="1202">
        <v>1360024</v>
      </c>
      <c r="AC372" s="1201">
        <v>353711</v>
      </c>
      <c r="AD372" s="1201">
        <v>329667</v>
      </c>
      <c r="AE372" s="1201">
        <v>335658</v>
      </c>
      <c r="AF372" s="960">
        <f>AG372-SUM(AC372:AE372)</f>
        <v>332259</v>
      </c>
      <c r="AG372" s="1202">
        <v>1351295</v>
      </c>
      <c r="AH372" s="1201">
        <v>322799</v>
      </c>
      <c r="AI372" s="1201">
        <v>329224</v>
      </c>
      <c r="AJ372" s="1201">
        <v>334340</v>
      </c>
      <c r="AK372" s="960">
        <f>AL372-SUM(AH372:AJ372)</f>
        <v>354775</v>
      </c>
      <c r="AL372" s="1202">
        <v>1341138</v>
      </c>
      <c r="AM372" s="1201">
        <v>350065</v>
      </c>
      <c r="AN372" s="1201">
        <v>348787</v>
      </c>
      <c r="AO372" s="1201">
        <v>360536</v>
      </c>
      <c r="AP372" s="960">
        <f>AQ372-SUM(AM372:AO372)</f>
        <v>370164</v>
      </c>
      <c r="AQ372" s="1202">
        <v>1429552</v>
      </c>
      <c r="AR372" s="1201">
        <v>360963</v>
      </c>
      <c r="AS372" s="1201">
        <v>361197</v>
      </c>
      <c r="AT372" s="1201">
        <v>365527</v>
      </c>
      <c r="AU372" s="802"/>
      <c r="AV372" s="708" t="s">
        <v>503</v>
      </c>
      <c r="AW372" s="708" t="s">
        <v>503</v>
      </c>
      <c r="AX372" s="708" t="s">
        <v>503</v>
      </c>
      <c r="AY372" s="708" t="s">
        <v>503</v>
      </c>
      <c r="AZ372" s="1188" t="s">
        <v>503</v>
      </c>
      <c r="BA372" s="1201">
        <v>336245</v>
      </c>
      <c r="BB372" s="1201">
        <v>330709</v>
      </c>
      <c r="BC372" s="1201">
        <v>333203</v>
      </c>
      <c r="BD372" s="960">
        <f>BE372-SUM(BA372:BC372)</f>
        <v>319844</v>
      </c>
      <c r="BE372" s="1202">
        <v>1320001</v>
      </c>
      <c r="BF372" s="1201">
        <v>256158</v>
      </c>
      <c r="BG372" s="1201">
        <v>246174</v>
      </c>
      <c r="BH372" s="1201">
        <v>241830</v>
      </c>
      <c r="BI372" s="1201">
        <v>238917</v>
      </c>
      <c r="BJ372" s="1202">
        <v>967093</v>
      </c>
      <c r="BK372" s="959">
        <v>248225</v>
      </c>
      <c r="BL372" s="555">
        <v>239747</v>
      </c>
      <c r="BM372" s="555">
        <v>233272</v>
      </c>
      <c r="BN372" s="555">
        <v>223084</v>
      </c>
      <c r="BO372" s="802">
        <v>944328</v>
      </c>
      <c r="BP372" s="959">
        <v>233356</v>
      </c>
      <c r="BQ372" s="555">
        <v>204640</v>
      </c>
      <c r="BR372" s="555">
        <v>202489</v>
      </c>
      <c r="BS372" s="555">
        <v>203830</v>
      </c>
      <c r="BT372" s="802">
        <v>822062</v>
      </c>
      <c r="BU372" s="959">
        <v>209574</v>
      </c>
      <c r="BV372" s="555">
        <v>202820</v>
      </c>
      <c r="BW372" s="555">
        <v>198046</v>
      </c>
      <c r="BX372" s="555">
        <v>201228</v>
      </c>
      <c r="BY372" s="802">
        <v>799072</v>
      </c>
      <c r="BZ372" s="959">
        <v>207482</v>
      </c>
      <c r="CA372" s="555">
        <v>195522</v>
      </c>
      <c r="CB372" s="555">
        <v>192799</v>
      </c>
      <c r="CC372" s="555">
        <v>193108</v>
      </c>
      <c r="CD372" s="802">
        <v>771704</v>
      </c>
      <c r="CE372" s="959">
        <v>200154</v>
      </c>
      <c r="CF372" s="555">
        <v>195962</v>
      </c>
      <c r="CG372" s="555">
        <v>197164</v>
      </c>
      <c r="CH372" s="555">
        <v>193279</v>
      </c>
      <c r="CI372" s="802">
        <v>784502</v>
      </c>
      <c r="CJ372" s="959">
        <v>195909</v>
      </c>
      <c r="CK372" s="555">
        <v>194828</v>
      </c>
      <c r="CL372" s="555">
        <v>193670</v>
      </c>
      <c r="CM372" s="555">
        <v>194098</v>
      </c>
      <c r="CN372" s="802">
        <v>778505</v>
      </c>
      <c r="CO372" s="959">
        <v>197459</v>
      </c>
      <c r="CP372" s="555">
        <v>193971</v>
      </c>
      <c r="CQ372" s="555">
        <v>194965</v>
      </c>
      <c r="CR372" s="555">
        <v>193631</v>
      </c>
      <c r="CS372" s="802">
        <v>780026</v>
      </c>
      <c r="CT372" s="959">
        <v>202860</v>
      </c>
      <c r="CU372" s="555">
        <v>196932</v>
      </c>
      <c r="CV372" s="555">
        <v>197778</v>
      </c>
      <c r="CW372" s="555">
        <v>199304</v>
      </c>
      <c r="CX372" s="802">
        <v>796874</v>
      </c>
      <c r="CY372" s="959">
        <v>197665</v>
      </c>
      <c r="CZ372" s="555">
        <v>195440</v>
      </c>
      <c r="DA372" s="555">
        <v>196761</v>
      </c>
      <c r="DB372" s="555">
        <v>325410</v>
      </c>
      <c r="DC372" s="802">
        <v>915276</v>
      </c>
      <c r="DD372" s="959">
        <v>323810</v>
      </c>
      <c r="DE372" s="555">
        <v>337509</v>
      </c>
      <c r="DF372" s="555">
        <v>345787</v>
      </c>
      <c r="DG372" s="555">
        <v>347790</v>
      </c>
      <c r="DH372" s="802">
        <v>1354896</v>
      </c>
      <c r="DI372" s="1507">
        <v>323577</v>
      </c>
      <c r="DJ372" s="1507">
        <f>DO372/1.005</f>
        <v>339096.51741293538</v>
      </c>
      <c r="DK372" s="1507">
        <v>305916</v>
      </c>
      <c r="DL372" s="1507">
        <v>305436</v>
      </c>
      <c r="DM372" s="1506">
        <v>1228039</v>
      </c>
      <c r="DN372" s="1507">
        <v>348221</v>
      </c>
      <c r="DO372" s="1507">
        <v>340792</v>
      </c>
      <c r="DP372" s="1507">
        <v>327960</v>
      </c>
      <c r="DQ372" s="1507">
        <v>320445</v>
      </c>
      <c r="DR372" s="1506">
        <v>1310962</v>
      </c>
      <c r="DS372" s="1290"/>
      <c r="DT372" s="561"/>
      <c r="DU372" s="561"/>
      <c r="DV372" s="1290"/>
      <c r="DW372" s="844"/>
      <c r="DX372" s="561"/>
      <c r="DY372" s="561"/>
      <c r="DZ372" s="561"/>
      <c r="EA372" s="561"/>
      <c r="EB372" s="844"/>
      <c r="EC372" s="561"/>
      <c r="ED372" s="561"/>
      <c r="EE372" s="561"/>
      <c r="EF372" s="561"/>
      <c r="EG372" s="844"/>
      <c r="EH372" s="561"/>
      <c r="EI372" s="561"/>
      <c r="EJ372" s="561"/>
      <c r="EK372" s="561"/>
      <c r="EL372" s="844"/>
    </row>
    <row r="373" spans="1:142" hidden="1" outlineLevel="1">
      <c r="A373" s="1300"/>
      <c r="B373" s="164" t="s">
        <v>204</v>
      </c>
      <c r="C373" s="164"/>
      <c r="D373" s="1301" t="s">
        <v>503</v>
      </c>
      <c r="E373" s="1301" t="s">
        <v>503</v>
      </c>
      <c r="F373" s="1301" t="s">
        <v>503</v>
      </c>
      <c r="G373" s="1301" t="s">
        <v>503</v>
      </c>
      <c r="H373" s="1302" t="s">
        <v>503</v>
      </c>
      <c r="I373" s="1301" t="s">
        <v>503</v>
      </c>
      <c r="J373" s="1301" t="s">
        <v>503</v>
      </c>
      <c r="K373" s="1301" t="s">
        <v>503</v>
      </c>
      <c r="L373" s="1301" t="s">
        <v>503</v>
      </c>
      <c r="M373" s="1302" t="s">
        <v>503</v>
      </c>
      <c r="N373" s="1301" t="s">
        <v>503</v>
      </c>
      <c r="O373" s="1301" t="s">
        <v>503</v>
      </c>
      <c r="P373" s="1301" t="s">
        <v>503</v>
      </c>
      <c r="Q373" s="1301" t="s">
        <v>503</v>
      </c>
      <c r="R373" s="1302" t="s">
        <v>503</v>
      </c>
      <c r="S373" s="1301" t="s">
        <v>503</v>
      </c>
      <c r="T373" s="1301" t="s">
        <v>503</v>
      </c>
      <c r="U373" s="1301" t="s">
        <v>503</v>
      </c>
      <c r="V373" s="1301" t="s">
        <v>503</v>
      </c>
      <c r="W373" s="1302" t="s">
        <v>503</v>
      </c>
      <c r="X373" s="1301" t="s">
        <v>503</v>
      </c>
      <c r="Y373" s="1301" t="s">
        <v>503</v>
      </c>
      <c r="Z373" s="1301" t="s">
        <v>503</v>
      </c>
      <c r="AA373" s="1301" t="s">
        <v>503</v>
      </c>
      <c r="AB373" s="1302" t="s">
        <v>503</v>
      </c>
      <c r="AC373" s="1301" t="s">
        <v>503</v>
      </c>
      <c r="AD373" s="1301" t="s">
        <v>503</v>
      </c>
      <c r="AE373" s="1301" t="s">
        <v>503</v>
      </c>
      <c r="AF373" s="1301" t="s">
        <v>503</v>
      </c>
      <c r="AG373" s="1302" t="s">
        <v>503</v>
      </c>
      <c r="AH373" s="1301" t="s">
        <v>503</v>
      </c>
      <c r="AI373" s="1301" t="s">
        <v>503</v>
      </c>
      <c r="AJ373" s="1301" t="s">
        <v>503</v>
      </c>
      <c r="AK373" s="1301" t="s">
        <v>503</v>
      </c>
      <c r="AL373" s="1302" t="s">
        <v>503</v>
      </c>
      <c r="AM373" s="1301" t="s">
        <v>503</v>
      </c>
      <c r="AN373" s="1301" t="s">
        <v>503</v>
      </c>
      <c r="AO373" s="1301" t="s">
        <v>503</v>
      </c>
      <c r="AP373" s="1301" t="s">
        <v>503</v>
      </c>
      <c r="AQ373" s="1302" t="s">
        <v>503</v>
      </c>
      <c r="AR373" s="1301" t="s">
        <v>503</v>
      </c>
      <c r="AS373" s="1301" t="s">
        <v>503</v>
      </c>
      <c r="AT373" s="1301" t="s">
        <v>503</v>
      </c>
      <c r="AU373" s="1303"/>
      <c r="AV373" s="1304" t="s">
        <v>503</v>
      </c>
      <c r="AW373" s="1304" t="s">
        <v>503</v>
      </c>
      <c r="AX373" s="1304" t="s">
        <v>503</v>
      </c>
      <c r="AY373" s="1304" t="s">
        <v>503</v>
      </c>
      <c r="AZ373" s="1305" t="s">
        <v>503</v>
      </c>
      <c r="BA373" s="1301" t="s">
        <v>503</v>
      </c>
      <c r="BB373" s="1301" t="s">
        <v>503</v>
      </c>
      <c r="BC373" s="1301" t="s">
        <v>503</v>
      </c>
      <c r="BD373" s="1301" t="s">
        <v>503</v>
      </c>
      <c r="BE373" s="1302" t="s">
        <v>503</v>
      </c>
      <c r="BF373" s="1301" t="s">
        <v>503</v>
      </c>
      <c r="BG373" s="1301" t="s">
        <v>503</v>
      </c>
      <c r="BH373" s="1301" t="s">
        <v>503</v>
      </c>
      <c r="BI373" s="1306" t="s">
        <v>503</v>
      </c>
      <c r="BJ373" s="1307" t="s">
        <v>503</v>
      </c>
      <c r="BK373" s="321" t="e">
        <f t="shared" ref="BK373:BY373" si="569">BK403-BK388</f>
        <v>#VALUE!</v>
      </c>
      <c r="BL373" s="321" t="e">
        <f t="shared" si="569"/>
        <v>#VALUE!</v>
      </c>
      <c r="BM373" s="321" t="e">
        <f t="shared" si="569"/>
        <v>#VALUE!</v>
      </c>
      <c r="BN373" s="1308" t="e">
        <f t="shared" si="569"/>
        <v>#VALUE!</v>
      </c>
      <c r="BO373" s="291" t="e">
        <f t="shared" si="569"/>
        <v>#VALUE!</v>
      </c>
      <c r="BP373" s="321" t="e">
        <f t="shared" si="569"/>
        <v>#VALUE!</v>
      </c>
      <c r="BQ373" s="321" t="e">
        <f t="shared" si="569"/>
        <v>#VALUE!</v>
      </c>
      <c r="BR373" s="321" t="e">
        <f t="shared" si="569"/>
        <v>#VALUE!</v>
      </c>
      <c r="BS373" s="1308" t="e">
        <f t="shared" si="569"/>
        <v>#VALUE!</v>
      </c>
      <c r="BT373" s="291" t="e">
        <f t="shared" si="569"/>
        <v>#VALUE!</v>
      </c>
      <c r="BU373" s="321" t="e">
        <f t="shared" si="569"/>
        <v>#VALUE!</v>
      </c>
      <c r="BV373" s="321" t="e">
        <f t="shared" si="569"/>
        <v>#VALUE!</v>
      </c>
      <c r="BW373" s="321" t="e">
        <f t="shared" si="569"/>
        <v>#VALUE!</v>
      </c>
      <c r="BX373" s="1308" t="e">
        <f t="shared" si="569"/>
        <v>#VALUE!</v>
      </c>
      <c r="BY373" s="291" t="e">
        <f t="shared" si="569"/>
        <v>#VALUE!</v>
      </c>
      <c r="BZ373" s="321">
        <v>137244</v>
      </c>
      <c r="CA373" s="321">
        <v>124972</v>
      </c>
      <c r="CB373" s="321">
        <v>121115</v>
      </c>
      <c r="CC373" s="1308">
        <v>122158</v>
      </c>
      <c r="CD373" s="291">
        <v>493811</v>
      </c>
      <c r="CE373" s="321">
        <v>127204</v>
      </c>
      <c r="CF373" s="321">
        <v>120227</v>
      </c>
      <c r="CG373" s="321">
        <v>119925</v>
      </c>
      <c r="CH373" s="1308">
        <v>119799</v>
      </c>
      <c r="CI373" s="291">
        <v>485750</v>
      </c>
      <c r="CJ373" s="321">
        <v>124299</v>
      </c>
      <c r="CK373" s="321">
        <v>119185</v>
      </c>
      <c r="CL373" s="321">
        <v>116672</v>
      </c>
      <c r="CM373" s="1308">
        <v>118583</v>
      </c>
      <c r="CN373" s="291">
        <v>478739</v>
      </c>
      <c r="CO373" s="321">
        <v>124762</v>
      </c>
      <c r="CP373" s="321">
        <v>119097</v>
      </c>
      <c r="CQ373" s="321">
        <v>118505</v>
      </c>
      <c r="CR373" s="1308">
        <v>116763</v>
      </c>
      <c r="CS373" s="291">
        <v>473943</v>
      </c>
      <c r="CT373" s="321">
        <v>122343</v>
      </c>
      <c r="CU373" s="321">
        <v>116195</v>
      </c>
      <c r="CV373" s="321">
        <v>115607</v>
      </c>
      <c r="CW373" s="1308">
        <v>116611</v>
      </c>
      <c r="CX373" s="291">
        <v>470756</v>
      </c>
      <c r="CY373" s="321">
        <v>117326</v>
      </c>
      <c r="CZ373" s="321">
        <v>111891</v>
      </c>
      <c r="DA373" s="321">
        <v>112760</v>
      </c>
      <c r="DB373" s="1308">
        <v>113573</v>
      </c>
      <c r="DC373" s="291">
        <v>455550</v>
      </c>
      <c r="DD373" s="321">
        <v>116064</v>
      </c>
      <c r="DE373" s="321">
        <v>116801</v>
      </c>
      <c r="DF373" s="321">
        <v>118580</v>
      </c>
      <c r="DG373" s="1308">
        <v>124600</v>
      </c>
      <c r="DH373" s="291" t="e">
        <f>DH403-DH388</f>
        <v>#VALUE!</v>
      </c>
      <c r="DI373" s="1511">
        <v>184225</v>
      </c>
      <c r="DJ373" s="1511">
        <v>170389</v>
      </c>
      <c r="DK373" s="1511">
        <v>167463</v>
      </c>
      <c r="DL373" s="1511">
        <v>166962</v>
      </c>
      <c r="DM373" s="1509">
        <v>680837</v>
      </c>
      <c r="DN373" s="1511">
        <v>193286</v>
      </c>
      <c r="DO373" s="1511">
        <v>183474</v>
      </c>
      <c r="DP373" s="1511">
        <v>176376</v>
      </c>
      <c r="DQ373" s="1511">
        <v>175026</v>
      </c>
      <c r="DR373" s="1509">
        <v>715198</v>
      </c>
      <c r="DS373" s="1310"/>
      <c r="DT373" s="321"/>
      <c r="DU373" s="321"/>
      <c r="DV373" s="1311"/>
      <c r="DW373" s="1309"/>
      <c r="DX373" s="321"/>
      <c r="DY373" s="321"/>
      <c r="DZ373" s="321"/>
      <c r="EA373" s="321"/>
      <c r="EB373" s="1309"/>
      <c r="EC373" s="321"/>
      <c r="ED373" s="321"/>
      <c r="EE373" s="321"/>
      <c r="EF373" s="321"/>
      <c r="EG373" s="1309"/>
      <c r="EH373" s="321"/>
      <c r="EI373" s="321"/>
      <c r="EJ373" s="321"/>
      <c r="EK373" s="321"/>
      <c r="EL373" s="1309"/>
    </row>
    <row r="374" spans="1:142" hidden="1" outlineLevel="1">
      <c r="A374" s="1300"/>
      <c r="B374" s="1300" t="s">
        <v>205</v>
      </c>
      <c r="C374" s="1301"/>
      <c r="D374" s="1301" t="s">
        <v>503</v>
      </c>
      <c r="E374" s="1301" t="s">
        <v>503</v>
      </c>
      <c r="F374" s="1301" t="s">
        <v>503</v>
      </c>
      <c r="G374" s="1301" t="s">
        <v>503</v>
      </c>
      <c r="H374" s="1302" t="s">
        <v>503</v>
      </c>
      <c r="I374" s="1301" t="s">
        <v>503</v>
      </c>
      <c r="J374" s="1301" t="s">
        <v>503</v>
      </c>
      <c r="K374" s="1301" t="s">
        <v>503</v>
      </c>
      <c r="L374" s="1301" t="s">
        <v>503</v>
      </c>
      <c r="M374" s="1302" t="s">
        <v>503</v>
      </c>
      <c r="N374" s="1301" t="s">
        <v>503</v>
      </c>
      <c r="O374" s="1301" t="s">
        <v>503</v>
      </c>
      <c r="P374" s="1301" t="s">
        <v>503</v>
      </c>
      <c r="Q374" s="1301" t="s">
        <v>503</v>
      </c>
      <c r="R374" s="1302" t="s">
        <v>503</v>
      </c>
      <c r="S374" s="1301" t="s">
        <v>503</v>
      </c>
      <c r="T374" s="1301" t="s">
        <v>503</v>
      </c>
      <c r="U374" s="1301" t="s">
        <v>503</v>
      </c>
      <c r="V374" s="1301" t="s">
        <v>503</v>
      </c>
      <c r="W374" s="1302" t="s">
        <v>503</v>
      </c>
      <c r="X374" s="1301" t="s">
        <v>503</v>
      </c>
      <c r="Y374" s="1301" t="s">
        <v>503</v>
      </c>
      <c r="Z374" s="1301" t="s">
        <v>503</v>
      </c>
      <c r="AA374" s="1301" t="s">
        <v>503</v>
      </c>
      <c r="AB374" s="1302" t="s">
        <v>503</v>
      </c>
      <c r="AC374" s="1301" t="s">
        <v>503</v>
      </c>
      <c r="AD374" s="1301" t="s">
        <v>503</v>
      </c>
      <c r="AE374" s="1301" t="s">
        <v>503</v>
      </c>
      <c r="AF374" s="1301" t="s">
        <v>503</v>
      </c>
      <c r="AG374" s="1302" t="s">
        <v>503</v>
      </c>
      <c r="AH374" s="1301" t="s">
        <v>503</v>
      </c>
      <c r="AI374" s="1301" t="s">
        <v>503</v>
      </c>
      <c r="AJ374" s="1301" t="s">
        <v>503</v>
      </c>
      <c r="AK374" s="1301" t="s">
        <v>503</v>
      </c>
      <c r="AL374" s="1302" t="s">
        <v>503</v>
      </c>
      <c r="AM374" s="1301" t="s">
        <v>503</v>
      </c>
      <c r="AN374" s="1301" t="s">
        <v>503</v>
      </c>
      <c r="AO374" s="1301" t="s">
        <v>503</v>
      </c>
      <c r="AP374" s="1301" t="s">
        <v>503</v>
      </c>
      <c r="AQ374" s="1302" t="s">
        <v>503</v>
      </c>
      <c r="AR374" s="1301" t="s">
        <v>503</v>
      </c>
      <c r="AS374" s="1301" t="s">
        <v>503</v>
      </c>
      <c r="AT374" s="1301" t="s">
        <v>503</v>
      </c>
      <c r="AU374" s="1303"/>
      <c r="AV374" s="1304" t="s">
        <v>503</v>
      </c>
      <c r="AW374" s="1304" t="s">
        <v>503</v>
      </c>
      <c r="AX374" s="1304" t="s">
        <v>503</v>
      </c>
      <c r="AY374" s="1304" t="s">
        <v>503</v>
      </c>
      <c r="AZ374" s="1305" t="s">
        <v>503</v>
      </c>
      <c r="BA374" s="1301" t="s">
        <v>503</v>
      </c>
      <c r="BB374" s="1301" t="s">
        <v>503</v>
      </c>
      <c r="BC374" s="1301" t="s">
        <v>503</v>
      </c>
      <c r="BD374" s="1301" t="s">
        <v>503</v>
      </c>
      <c r="BE374" s="1302" t="s">
        <v>503</v>
      </c>
      <c r="BF374" s="1312">
        <f>BF405*BF402</f>
        <v>0</v>
      </c>
      <c r="BG374" s="1312">
        <f>BG405*BG402</f>
        <v>0</v>
      </c>
      <c r="BH374" s="1312">
        <f>BH405*BH402</f>
        <v>0</v>
      </c>
      <c r="BI374" s="1313">
        <f>BI405*BI402</f>
        <v>0</v>
      </c>
      <c r="BJ374" s="1314">
        <f>SUM(BF374:BI374)</f>
        <v>0</v>
      </c>
      <c r="BK374" s="320" t="s">
        <v>503</v>
      </c>
      <c r="BL374" s="320" t="s">
        <v>503</v>
      </c>
      <c r="BM374" s="1315">
        <v>86305</v>
      </c>
      <c r="BN374" s="562">
        <v>86066</v>
      </c>
      <c r="BO374" s="291" t="s">
        <v>503</v>
      </c>
      <c r="BP374" s="320">
        <v>91208</v>
      </c>
      <c r="BQ374" s="320">
        <v>75579</v>
      </c>
      <c r="BR374" s="1315">
        <v>73874</v>
      </c>
      <c r="BS374" s="562">
        <v>76605</v>
      </c>
      <c r="BT374" s="291">
        <f>SUM(BP374:BS374)</f>
        <v>317266</v>
      </c>
      <c r="BU374" s="320">
        <v>81373</v>
      </c>
      <c r="BV374" s="320">
        <v>75680</v>
      </c>
      <c r="BW374" s="1315">
        <v>71645</v>
      </c>
      <c r="BX374" s="562">
        <v>74878</v>
      </c>
      <c r="BY374" s="291">
        <f>SUM(BU374:BX374)</f>
        <v>303576</v>
      </c>
      <c r="BZ374" s="320">
        <v>81246</v>
      </c>
      <c r="CA374" s="320">
        <v>74025</v>
      </c>
      <c r="CB374" s="1315">
        <v>71218</v>
      </c>
      <c r="CC374" s="562">
        <v>73570</v>
      </c>
      <c r="CD374" s="291">
        <v>295473</v>
      </c>
      <c r="CE374" s="320">
        <v>78074</v>
      </c>
      <c r="CF374" s="320">
        <v>73701</v>
      </c>
      <c r="CG374" s="1315">
        <v>73082</v>
      </c>
      <c r="CH374" s="562">
        <v>73806</v>
      </c>
      <c r="CI374" s="291">
        <v>297911</v>
      </c>
      <c r="CJ374" s="320">
        <v>78484</v>
      </c>
      <c r="CK374" s="320">
        <v>74606</v>
      </c>
      <c r="CL374" s="1315">
        <v>72914</v>
      </c>
      <c r="CM374" s="562">
        <v>74648</v>
      </c>
      <c r="CN374" s="291">
        <v>300652</v>
      </c>
      <c r="CO374" s="320">
        <v>80763</v>
      </c>
      <c r="CP374" s="320">
        <v>76824</v>
      </c>
      <c r="CQ374" s="1315">
        <v>75624</v>
      </c>
      <c r="CR374" s="562">
        <v>76151</v>
      </c>
      <c r="CS374" s="291">
        <v>306424</v>
      </c>
      <c r="CT374" s="320">
        <v>81216</v>
      </c>
      <c r="CU374" s="320">
        <v>77604</v>
      </c>
      <c r="CV374" s="1315">
        <v>76617</v>
      </c>
      <c r="CW374" s="562">
        <v>77465</v>
      </c>
      <c r="CX374" s="291">
        <v>312902</v>
      </c>
      <c r="CY374" s="320">
        <v>80208</v>
      </c>
      <c r="CZ374" s="320">
        <v>75608</v>
      </c>
      <c r="DA374" s="1315">
        <v>75512</v>
      </c>
      <c r="DB374" s="562">
        <v>76872</v>
      </c>
      <c r="DC374" s="291">
        <v>308200</v>
      </c>
      <c r="DD374" s="320">
        <v>80910</v>
      </c>
      <c r="DE374" s="320">
        <v>80529</v>
      </c>
      <c r="DF374" s="1315">
        <v>80328</v>
      </c>
      <c r="DG374" s="562">
        <v>124600</v>
      </c>
      <c r="DH374" s="291">
        <v>479805</v>
      </c>
      <c r="DI374" s="1520">
        <v>124492</v>
      </c>
      <c r="DJ374" s="1520">
        <v>113741</v>
      </c>
      <c r="DK374" s="1521">
        <v>110235</v>
      </c>
      <c r="DL374" s="1517">
        <v>110291</v>
      </c>
      <c r="DM374" s="1509">
        <v>452593</v>
      </c>
      <c r="DN374" s="1520">
        <v>129606</v>
      </c>
      <c r="DO374" s="1520">
        <v>122239</v>
      </c>
      <c r="DP374" s="1520">
        <v>116234</v>
      </c>
      <c r="DQ374" s="1517">
        <v>116374</v>
      </c>
      <c r="DR374" s="1509">
        <v>476068</v>
      </c>
      <c r="DS374" s="1316"/>
      <c r="DT374" s="435"/>
      <c r="DU374" s="435"/>
      <c r="DV374" s="1291"/>
      <c r="DW374" s="55"/>
      <c r="DX374" s="435"/>
      <c r="DY374" s="435"/>
      <c r="DZ374" s="435"/>
      <c r="EA374" s="435"/>
      <c r="EB374" s="55"/>
      <c r="EC374" s="435"/>
      <c r="ED374" s="435"/>
      <c r="EE374" s="435"/>
      <c r="EF374" s="435"/>
      <c r="EG374" s="55"/>
      <c r="EH374" s="435"/>
      <c r="EI374" s="435"/>
      <c r="EJ374" s="435"/>
      <c r="EK374" s="435"/>
      <c r="EL374" s="55"/>
    </row>
    <row r="375" spans="1:142" hidden="1" outlineLevel="1">
      <c r="A375" s="1300"/>
      <c r="B375" s="1300" t="s">
        <v>206</v>
      </c>
      <c r="C375" s="1301"/>
      <c r="D375" s="1301" t="s">
        <v>503</v>
      </c>
      <c r="E375" s="1301" t="s">
        <v>503</v>
      </c>
      <c r="F375" s="1301" t="s">
        <v>503</v>
      </c>
      <c r="G375" s="1301" t="s">
        <v>503</v>
      </c>
      <c r="H375" s="1302" t="s">
        <v>503</v>
      </c>
      <c r="I375" s="1301" t="s">
        <v>503</v>
      </c>
      <c r="J375" s="1301" t="s">
        <v>503</v>
      </c>
      <c r="K375" s="1301" t="s">
        <v>503</v>
      </c>
      <c r="L375" s="1301" t="s">
        <v>503</v>
      </c>
      <c r="M375" s="1302" t="s">
        <v>503</v>
      </c>
      <c r="N375" s="1301" t="s">
        <v>503</v>
      </c>
      <c r="O375" s="1301" t="s">
        <v>503</v>
      </c>
      <c r="P375" s="1301" t="s">
        <v>503</v>
      </c>
      <c r="Q375" s="1301" t="s">
        <v>503</v>
      </c>
      <c r="R375" s="1302" t="s">
        <v>503</v>
      </c>
      <c r="S375" s="1301" t="s">
        <v>503</v>
      </c>
      <c r="T375" s="1301" t="s">
        <v>503</v>
      </c>
      <c r="U375" s="1301" t="s">
        <v>503</v>
      </c>
      <c r="V375" s="1301" t="s">
        <v>503</v>
      </c>
      <c r="W375" s="1302" t="s">
        <v>503</v>
      </c>
      <c r="X375" s="1301" t="s">
        <v>503</v>
      </c>
      <c r="Y375" s="1301" t="s">
        <v>503</v>
      </c>
      <c r="Z375" s="1301" t="s">
        <v>503</v>
      </c>
      <c r="AA375" s="1301" t="s">
        <v>503</v>
      </c>
      <c r="AB375" s="1302" t="s">
        <v>503</v>
      </c>
      <c r="AC375" s="1301" t="s">
        <v>503</v>
      </c>
      <c r="AD375" s="1301" t="s">
        <v>503</v>
      </c>
      <c r="AE375" s="1301" t="s">
        <v>503</v>
      </c>
      <c r="AF375" s="1301" t="s">
        <v>503</v>
      </c>
      <c r="AG375" s="1302" t="s">
        <v>503</v>
      </c>
      <c r="AH375" s="1301" t="s">
        <v>503</v>
      </c>
      <c r="AI375" s="1301" t="s">
        <v>503</v>
      </c>
      <c r="AJ375" s="1301" t="s">
        <v>503</v>
      </c>
      <c r="AK375" s="1301" t="s">
        <v>503</v>
      </c>
      <c r="AL375" s="1302" t="s">
        <v>503</v>
      </c>
      <c r="AM375" s="1301" t="s">
        <v>503</v>
      </c>
      <c r="AN375" s="1301" t="s">
        <v>503</v>
      </c>
      <c r="AO375" s="1301" t="s">
        <v>503</v>
      </c>
      <c r="AP375" s="1301" t="s">
        <v>503</v>
      </c>
      <c r="AQ375" s="1302" t="s">
        <v>503</v>
      </c>
      <c r="AR375" s="1301" t="s">
        <v>503</v>
      </c>
      <c r="AS375" s="1301" t="s">
        <v>503</v>
      </c>
      <c r="AT375" s="1301" t="s">
        <v>503</v>
      </c>
      <c r="AU375" s="1303"/>
      <c r="AV375" s="1304" t="s">
        <v>503</v>
      </c>
      <c r="AW375" s="1304" t="s">
        <v>503</v>
      </c>
      <c r="AX375" s="1304" t="s">
        <v>503</v>
      </c>
      <c r="AY375" s="1304" t="s">
        <v>503</v>
      </c>
      <c r="AZ375" s="1305" t="s">
        <v>503</v>
      </c>
      <c r="BA375" s="1301" t="s">
        <v>503</v>
      </c>
      <c r="BB375" s="1301" t="s">
        <v>503</v>
      </c>
      <c r="BC375" s="1301" t="s">
        <v>503</v>
      </c>
      <c r="BD375" s="1301" t="s">
        <v>503</v>
      </c>
      <c r="BE375" s="1302" t="s">
        <v>503</v>
      </c>
      <c r="BF375" s="1301" t="s">
        <v>503</v>
      </c>
      <c r="BG375" s="1301" t="s">
        <v>503</v>
      </c>
      <c r="BH375" s="1301" t="s">
        <v>503</v>
      </c>
      <c r="BI375" s="1306" t="s">
        <v>503</v>
      </c>
      <c r="BJ375" s="1307" t="s">
        <v>503</v>
      </c>
      <c r="BK375" s="321" t="s">
        <v>503</v>
      </c>
      <c r="BL375" s="321" t="s">
        <v>503</v>
      </c>
      <c r="BM375" s="321" t="s">
        <v>503</v>
      </c>
      <c r="BN375" s="1308" t="s">
        <v>503</v>
      </c>
      <c r="BO375" s="1309" t="s">
        <v>503</v>
      </c>
      <c r="BP375" s="321" t="s">
        <v>503</v>
      </c>
      <c r="BQ375" s="321" t="s">
        <v>503</v>
      </c>
      <c r="BR375" s="321" t="s">
        <v>503</v>
      </c>
      <c r="BS375" s="1308" t="s">
        <v>503</v>
      </c>
      <c r="BT375" s="1309" t="s">
        <v>503</v>
      </c>
      <c r="BU375" s="321">
        <v>44015</v>
      </c>
      <c r="BV375" s="321">
        <v>43379</v>
      </c>
      <c r="BW375" s="321">
        <v>42159</v>
      </c>
      <c r="BX375" s="1308">
        <v>42314</v>
      </c>
      <c r="BY375" s="1309">
        <f>SUM(BU375:BX375)</f>
        <v>171867</v>
      </c>
      <c r="BZ375" s="321">
        <v>42028</v>
      </c>
      <c r="CA375" s="321">
        <v>40267</v>
      </c>
      <c r="CB375" s="321">
        <v>39507</v>
      </c>
      <c r="CC375" s="1308">
        <v>38713</v>
      </c>
      <c r="CD375" s="1309">
        <v>155896</v>
      </c>
      <c r="CE375" s="321">
        <v>38468</v>
      </c>
      <c r="CF375" s="321">
        <v>38298</v>
      </c>
      <c r="CG375" s="321">
        <v>38828</v>
      </c>
      <c r="CH375" s="1308">
        <v>37663</v>
      </c>
      <c r="CI375" s="1309">
        <v>152846</v>
      </c>
      <c r="CJ375" s="321">
        <v>37412</v>
      </c>
      <c r="CK375" s="321">
        <v>37786</v>
      </c>
      <c r="CL375" s="321">
        <v>37916</v>
      </c>
      <c r="CM375" s="1308">
        <v>37448</v>
      </c>
      <c r="CN375" s="1309">
        <v>150562</v>
      </c>
      <c r="CO375" s="321">
        <v>36753</v>
      </c>
      <c r="CP375" s="321">
        <v>36967</v>
      </c>
      <c r="CQ375" s="321">
        <v>37721</v>
      </c>
      <c r="CR375" s="1308">
        <v>35419</v>
      </c>
      <c r="CS375" s="1309">
        <v>144665</v>
      </c>
      <c r="CT375" s="321">
        <v>36237</v>
      </c>
      <c r="CU375" s="321">
        <v>35379</v>
      </c>
      <c r="CV375" s="321">
        <v>35161</v>
      </c>
      <c r="CW375" s="1308">
        <v>34511</v>
      </c>
      <c r="CX375" s="1309">
        <v>141288</v>
      </c>
      <c r="CY375" s="321">
        <v>33204</v>
      </c>
      <c r="CZ375" s="321">
        <v>34340</v>
      </c>
      <c r="DA375" s="321">
        <v>34971</v>
      </c>
      <c r="DB375" s="1308">
        <v>34198</v>
      </c>
      <c r="DC375" s="1309">
        <v>136713</v>
      </c>
      <c r="DD375" s="321">
        <v>33529</v>
      </c>
      <c r="DE375" s="321">
        <v>34369</v>
      </c>
      <c r="DF375" s="321">
        <v>35570</v>
      </c>
      <c r="DG375" s="1308">
        <v>54518</v>
      </c>
      <c r="DH375" s="1309">
        <f>SUM(DD375:DG375)</f>
        <v>157986</v>
      </c>
      <c r="DI375" s="1511">
        <v>50447</v>
      </c>
      <c r="DJ375" s="1511">
        <v>49291</v>
      </c>
      <c r="DK375" s="1511">
        <v>49527</v>
      </c>
      <c r="DL375" s="1510">
        <v>49239</v>
      </c>
      <c r="DM375" s="1509">
        <v>196352</v>
      </c>
      <c r="DN375" s="1511">
        <v>53739</v>
      </c>
      <c r="DO375" s="1511">
        <v>54376</v>
      </c>
      <c r="DP375" s="1511">
        <v>52556</v>
      </c>
      <c r="DQ375" s="1510">
        <v>50971</v>
      </c>
      <c r="DR375" s="1509">
        <v>207609</v>
      </c>
      <c r="DS375" s="1310"/>
      <c r="DT375" s="321"/>
      <c r="DU375" s="321"/>
      <c r="DV375" s="1311"/>
      <c r="DW375" s="1309"/>
      <c r="DX375" s="321"/>
      <c r="DY375" s="321"/>
      <c r="DZ375" s="321"/>
      <c r="EA375" s="321"/>
      <c r="EB375" s="1309"/>
      <c r="EC375" s="321"/>
      <c r="ED375" s="321"/>
      <c r="EE375" s="321"/>
      <c r="EF375" s="321"/>
      <c r="EG375" s="1309"/>
      <c r="EH375" s="321"/>
      <c r="EI375" s="321"/>
      <c r="EJ375" s="321"/>
      <c r="EK375" s="321"/>
      <c r="EL375" s="1309"/>
    </row>
    <row r="376" spans="1:142" hidden="1" outlineLevel="1">
      <c r="A376" s="1300"/>
      <c r="B376" s="1300" t="s">
        <v>207</v>
      </c>
      <c r="C376" s="1301"/>
      <c r="D376" s="1301" t="s">
        <v>503</v>
      </c>
      <c r="E376" s="1301" t="s">
        <v>503</v>
      </c>
      <c r="F376" s="1301" t="s">
        <v>503</v>
      </c>
      <c r="G376" s="1301" t="s">
        <v>503</v>
      </c>
      <c r="H376" s="1302" t="s">
        <v>503</v>
      </c>
      <c r="I376" s="1301" t="s">
        <v>503</v>
      </c>
      <c r="J376" s="1301" t="s">
        <v>503</v>
      </c>
      <c r="K376" s="1301" t="s">
        <v>503</v>
      </c>
      <c r="L376" s="1301" t="s">
        <v>503</v>
      </c>
      <c r="M376" s="1302" t="s">
        <v>503</v>
      </c>
      <c r="N376" s="1301" t="s">
        <v>503</v>
      </c>
      <c r="O376" s="1301" t="s">
        <v>503</v>
      </c>
      <c r="P376" s="1301" t="s">
        <v>503</v>
      </c>
      <c r="Q376" s="1301" t="s">
        <v>503</v>
      </c>
      <c r="R376" s="1302" t="s">
        <v>503</v>
      </c>
      <c r="S376" s="1301" t="s">
        <v>503</v>
      </c>
      <c r="T376" s="1301" t="s">
        <v>503</v>
      </c>
      <c r="U376" s="1301" t="s">
        <v>503</v>
      </c>
      <c r="V376" s="1301" t="s">
        <v>503</v>
      </c>
      <c r="W376" s="1302" t="s">
        <v>503</v>
      </c>
      <c r="X376" s="1301" t="s">
        <v>503</v>
      </c>
      <c r="Y376" s="1301" t="s">
        <v>503</v>
      </c>
      <c r="Z376" s="1301" t="s">
        <v>503</v>
      </c>
      <c r="AA376" s="1301" t="s">
        <v>503</v>
      </c>
      <c r="AB376" s="1302" t="s">
        <v>503</v>
      </c>
      <c r="AC376" s="1301" t="s">
        <v>503</v>
      </c>
      <c r="AD376" s="1301" t="s">
        <v>503</v>
      </c>
      <c r="AE376" s="1301" t="s">
        <v>503</v>
      </c>
      <c r="AF376" s="1301" t="s">
        <v>503</v>
      </c>
      <c r="AG376" s="1302" t="s">
        <v>503</v>
      </c>
      <c r="AH376" s="1301" t="s">
        <v>503</v>
      </c>
      <c r="AI376" s="1301" t="s">
        <v>503</v>
      </c>
      <c r="AJ376" s="1301" t="s">
        <v>503</v>
      </c>
      <c r="AK376" s="1301" t="s">
        <v>503</v>
      </c>
      <c r="AL376" s="1302" t="s">
        <v>503</v>
      </c>
      <c r="AM376" s="1301" t="s">
        <v>503</v>
      </c>
      <c r="AN376" s="1301" t="s">
        <v>503</v>
      </c>
      <c r="AO376" s="1301" t="s">
        <v>503</v>
      </c>
      <c r="AP376" s="1301" t="s">
        <v>503</v>
      </c>
      <c r="AQ376" s="1302" t="s">
        <v>503</v>
      </c>
      <c r="AR376" s="1301" t="s">
        <v>503</v>
      </c>
      <c r="AS376" s="1301" t="s">
        <v>503</v>
      </c>
      <c r="AT376" s="1301" t="s">
        <v>503</v>
      </c>
      <c r="AU376" s="1303"/>
      <c r="AV376" s="1304" t="s">
        <v>503</v>
      </c>
      <c r="AW376" s="1304" t="s">
        <v>503</v>
      </c>
      <c r="AX376" s="1304" t="s">
        <v>503</v>
      </c>
      <c r="AY376" s="1304" t="s">
        <v>503</v>
      </c>
      <c r="AZ376" s="1305" t="s">
        <v>503</v>
      </c>
      <c r="BA376" s="1301" t="s">
        <v>503</v>
      </c>
      <c r="BB376" s="1301" t="s">
        <v>503</v>
      </c>
      <c r="BC376" s="1301" t="s">
        <v>503</v>
      </c>
      <c r="BD376" s="1301" t="s">
        <v>503</v>
      </c>
      <c r="BE376" s="1302" t="s">
        <v>503</v>
      </c>
      <c r="BF376" s="1301" t="s">
        <v>503</v>
      </c>
      <c r="BG376" s="1301" t="s">
        <v>503</v>
      </c>
      <c r="BH376" s="1301" t="s">
        <v>503</v>
      </c>
      <c r="BI376" s="1306" t="s">
        <v>503</v>
      </c>
      <c r="BJ376" s="1307" t="s">
        <v>503</v>
      </c>
      <c r="BK376" s="321" t="s">
        <v>503</v>
      </c>
      <c r="BL376" s="321" t="s">
        <v>503</v>
      </c>
      <c r="BM376" s="321" t="s">
        <v>503</v>
      </c>
      <c r="BN376" s="1308" t="s">
        <v>503</v>
      </c>
      <c r="BO376" s="1309" t="s">
        <v>503</v>
      </c>
      <c r="BP376" s="321" t="s">
        <v>503</v>
      </c>
      <c r="BQ376" s="321" t="s">
        <v>503</v>
      </c>
      <c r="BR376" s="321" t="s">
        <v>503</v>
      </c>
      <c r="BS376" s="1308" t="s">
        <v>503</v>
      </c>
      <c r="BT376" s="1309" t="s">
        <v>503</v>
      </c>
      <c r="BU376" s="321">
        <v>55892</v>
      </c>
      <c r="BV376" s="321">
        <v>56305</v>
      </c>
      <c r="BW376" s="321">
        <v>55603</v>
      </c>
      <c r="BX376" s="1308">
        <v>54516</v>
      </c>
      <c r="BY376" s="1309">
        <f>SUM(BU376:BX376)</f>
        <v>222316</v>
      </c>
      <c r="BZ376" s="321">
        <v>53316</v>
      </c>
      <c r="CA376" s="321">
        <v>53386</v>
      </c>
      <c r="CB376" s="321">
        <v>51364</v>
      </c>
      <c r="CC376" s="1308">
        <v>52201</v>
      </c>
      <c r="CD376" s="1309">
        <v>205117</v>
      </c>
      <c r="CE376" s="321">
        <v>51835</v>
      </c>
      <c r="CF376" s="321">
        <v>53277</v>
      </c>
      <c r="CG376" s="321">
        <v>52906</v>
      </c>
      <c r="CH376" s="1308">
        <v>52092</v>
      </c>
      <c r="CI376" s="1309">
        <v>209294</v>
      </c>
      <c r="CJ376" s="321">
        <v>50586</v>
      </c>
      <c r="CK376" s="321">
        <v>53499</v>
      </c>
      <c r="CL376" s="321">
        <v>53148</v>
      </c>
      <c r="CM376" s="1308">
        <v>52411</v>
      </c>
      <c r="CN376" s="1309">
        <v>209644</v>
      </c>
      <c r="CO376" s="321">
        <v>52001</v>
      </c>
      <c r="CP376" s="321">
        <v>55283</v>
      </c>
      <c r="CQ376" s="321">
        <v>56222</v>
      </c>
      <c r="CR376" s="1308">
        <v>55781</v>
      </c>
      <c r="CS376" s="1309">
        <v>217621</v>
      </c>
      <c r="CT376" s="321">
        <v>56991</v>
      </c>
      <c r="CU376" s="321">
        <v>60043</v>
      </c>
      <c r="CV376" s="321">
        <v>59099</v>
      </c>
      <c r="CW376" s="1308">
        <v>63534</v>
      </c>
      <c r="CX376" s="1309">
        <v>239667</v>
      </c>
      <c r="CY376" s="321">
        <v>68209</v>
      </c>
      <c r="CZ376" s="321">
        <v>74329</v>
      </c>
      <c r="DA376" s="321">
        <v>76084</v>
      </c>
      <c r="DB376" s="1308">
        <v>84878</v>
      </c>
      <c r="DC376" s="1309">
        <v>303500</v>
      </c>
      <c r="DD376" s="321">
        <v>81205</v>
      </c>
      <c r="DE376" s="321">
        <v>89783</v>
      </c>
      <c r="DF376" s="321">
        <v>91472</v>
      </c>
      <c r="DG376" s="1308">
        <v>126818</v>
      </c>
      <c r="DH376" s="1309">
        <f>SUM(DD376:DG376)</f>
        <v>389278</v>
      </c>
      <c r="DI376" s="1511">
        <v>62949</v>
      </c>
      <c r="DJ376" s="1511">
        <v>64407</v>
      </c>
      <c r="DK376" s="1511">
        <v>64985</v>
      </c>
      <c r="DL376" s="1510">
        <v>65046</v>
      </c>
      <c r="DM376" s="1509">
        <v>254932</v>
      </c>
      <c r="DN376" s="1511">
        <v>74360</v>
      </c>
      <c r="DO376" s="1511">
        <v>75825</v>
      </c>
      <c r="DP376" s="1511">
        <v>70206</v>
      </c>
      <c r="DQ376" s="1510">
        <v>71129</v>
      </c>
      <c r="DR376" s="1509">
        <v>286761</v>
      </c>
      <c r="DS376" s="1310"/>
      <c r="DT376" s="321"/>
      <c r="DU376" s="321"/>
      <c r="DV376" s="1311"/>
      <c r="DW376" s="1309"/>
      <c r="DX376" s="321"/>
      <c r="DY376" s="321"/>
      <c r="DZ376" s="321"/>
      <c r="EA376" s="321"/>
      <c r="EB376" s="1309"/>
      <c r="EC376" s="321"/>
      <c r="ED376" s="321"/>
      <c r="EE376" s="321"/>
      <c r="EF376" s="321"/>
      <c r="EG376" s="1309"/>
      <c r="EH376" s="321"/>
      <c r="EI376" s="321"/>
      <c r="EJ376" s="321"/>
      <c r="EK376" s="321"/>
      <c r="EL376" s="1309"/>
    </row>
    <row r="377" spans="1:142" hidden="1" outlineLevel="1">
      <c r="A377" s="557"/>
      <c r="B377" s="557" t="s">
        <v>198</v>
      </c>
      <c r="C377" s="1203"/>
      <c r="D377" s="1203" t="s">
        <v>503</v>
      </c>
      <c r="E377" s="1203" t="s">
        <v>503</v>
      </c>
      <c r="F377" s="1203" t="s">
        <v>503</v>
      </c>
      <c r="G377" s="1203" t="s">
        <v>503</v>
      </c>
      <c r="H377" s="1188" t="s">
        <v>503</v>
      </c>
      <c r="I377" s="1203" t="s">
        <v>503</v>
      </c>
      <c r="J377" s="1203" t="s">
        <v>503</v>
      </c>
      <c r="K377" s="1203" t="s">
        <v>503</v>
      </c>
      <c r="L377" s="1203" t="s">
        <v>503</v>
      </c>
      <c r="M377" s="1188" t="s">
        <v>503</v>
      </c>
      <c r="N377" s="1203" t="s">
        <v>503</v>
      </c>
      <c r="O377" s="1203" t="s">
        <v>503</v>
      </c>
      <c r="P377" s="1203" t="s">
        <v>503</v>
      </c>
      <c r="Q377" s="1203" t="s">
        <v>503</v>
      </c>
      <c r="R377" s="1188" t="s">
        <v>503</v>
      </c>
      <c r="S377" s="1203" t="s">
        <v>503</v>
      </c>
      <c r="T377" s="1203" t="s">
        <v>503</v>
      </c>
      <c r="U377" s="1203" t="s">
        <v>503</v>
      </c>
      <c r="V377" s="1203" t="s">
        <v>503</v>
      </c>
      <c r="W377" s="1188" t="s">
        <v>503</v>
      </c>
      <c r="X377" s="1203" t="s">
        <v>503</v>
      </c>
      <c r="Y377" s="1203" t="s">
        <v>503</v>
      </c>
      <c r="Z377" s="1203" t="s">
        <v>503</v>
      </c>
      <c r="AA377" s="1203" t="s">
        <v>503</v>
      </c>
      <c r="AB377" s="1188" t="s">
        <v>503</v>
      </c>
      <c r="AC377" s="1203" t="s">
        <v>503</v>
      </c>
      <c r="AD377" s="1203" t="s">
        <v>503</v>
      </c>
      <c r="AE377" s="1203" t="s">
        <v>503</v>
      </c>
      <c r="AF377" s="1203" t="s">
        <v>503</v>
      </c>
      <c r="AG377" s="1188" t="s">
        <v>503</v>
      </c>
      <c r="AH377" s="1203" t="s">
        <v>503</v>
      </c>
      <c r="AI377" s="1203" t="s">
        <v>503</v>
      </c>
      <c r="AJ377" s="1203" t="s">
        <v>503</v>
      </c>
      <c r="AK377" s="1203" t="s">
        <v>503</v>
      </c>
      <c r="AL377" s="1188" t="s">
        <v>503</v>
      </c>
      <c r="AM377" s="1203" t="s">
        <v>503</v>
      </c>
      <c r="AN377" s="1203" t="s">
        <v>503</v>
      </c>
      <c r="AO377" s="1203" t="s">
        <v>503</v>
      </c>
      <c r="AP377" s="1203" t="s">
        <v>503</v>
      </c>
      <c r="AQ377" s="1188" t="s">
        <v>503</v>
      </c>
      <c r="AR377" s="1203" t="s">
        <v>503</v>
      </c>
      <c r="AS377" s="1203" t="s">
        <v>503</v>
      </c>
      <c r="AT377" s="1203" t="s">
        <v>503</v>
      </c>
      <c r="AU377" s="802"/>
      <c r="AV377" s="708" t="s">
        <v>503</v>
      </c>
      <c r="AW377" s="708" t="s">
        <v>503</v>
      </c>
      <c r="AX377" s="708" t="s">
        <v>503</v>
      </c>
      <c r="AY377" s="708" t="s">
        <v>503</v>
      </c>
      <c r="AZ377" s="1188" t="s">
        <v>503</v>
      </c>
      <c r="BA377" s="1203" t="s">
        <v>503</v>
      </c>
      <c r="BB377" s="1203" t="s">
        <v>503</v>
      </c>
      <c r="BC377" s="1203" t="s">
        <v>503</v>
      </c>
      <c r="BD377" s="1203" t="s">
        <v>503</v>
      </c>
      <c r="BE377" s="1204" t="s">
        <v>503</v>
      </c>
      <c r="BF377" s="1203" t="s">
        <v>503</v>
      </c>
      <c r="BG377" s="1203" t="s">
        <v>503</v>
      </c>
      <c r="BH377" s="1203" t="s">
        <v>503</v>
      </c>
      <c r="BI377" s="1203" t="s">
        <v>503</v>
      </c>
      <c r="BJ377" s="1204" t="s">
        <v>503</v>
      </c>
      <c r="BK377" s="901">
        <v>123101</v>
      </c>
      <c r="BL377" s="901">
        <v>125907</v>
      </c>
      <c r="BM377" s="555">
        <v>120871</v>
      </c>
      <c r="BN377" s="555">
        <v>114226</v>
      </c>
      <c r="BO377" s="802">
        <v>484105</v>
      </c>
      <c r="BP377" s="901">
        <v>117838</v>
      </c>
      <c r="BQ377" s="901">
        <v>104897</v>
      </c>
      <c r="BR377" s="555">
        <v>101089</v>
      </c>
      <c r="BS377" s="555">
        <v>99480</v>
      </c>
      <c r="BT377" s="802">
        <v>411164</v>
      </c>
      <c r="BU377" s="901">
        <v>99907</v>
      </c>
      <c r="BV377" s="901">
        <v>99684</v>
      </c>
      <c r="BW377" s="555">
        <v>98240</v>
      </c>
      <c r="BX377" s="555">
        <v>96891</v>
      </c>
      <c r="BY377" s="802">
        <v>388996</v>
      </c>
      <c r="BZ377" s="901">
        <v>95585</v>
      </c>
      <c r="CA377" s="901">
        <v>93970</v>
      </c>
      <c r="CB377" s="555">
        <v>91407</v>
      </c>
      <c r="CC377" s="555">
        <v>91470</v>
      </c>
      <c r="CD377" s="802">
        <v>362663</v>
      </c>
      <c r="CE377" s="901">
        <v>90867</v>
      </c>
      <c r="CF377" s="901">
        <v>92166</v>
      </c>
      <c r="CG377" s="555">
        <v>92437</v>
      </c>
      <c r="CH377" s="555">
        <v>90470</v>
      </c>
      <c r="CI377" s="802">
        <v>364713</v>
      </c>
      <c r="CJ377" s="901">
        <v>87998</v>
      </c>
      <c r="CK377" s="901">
        <v>91285</v>
      </c>
      <c r="CL377" s="555">
        <v>91064</v>
      </c>
      <c r="CM377" s="555">
        <v>89859</v>
      </c>
      <c r="CN377" s="802">
        <v>360206</v>
      </c>
      <c r="CO377" s="901">
        <v>87507</v>
      </c>
      <c r="CP377" s="901">
        <v>91005</v>
      </c>
      <c r="CQ377" s="555">
        <v>92574</v>
      </c>
      <c r="CR377" s="555">
        <v>91200</v>
      </c>
      <c r="CS377" s="802">
        <v>362286</v>
      </c>
      <c r="CT377" s="901">
        <v>93228</v>
      </c>
      <c r="CU377" s="901">
        <v>95422</v>
      </c>
      <c r="CV377" s="555">
        <v>94260</v>
      </c>
      <c r="CW377" s="555">
        <v>98045</v>
      </c>
      <c r="CX377" s="802">
        <v>380955</v>
      </c>
      <c r="CY377" s="901">
        <v>101413</v>
      </c>
      <c r="CZ377" s="901">
        <v>108669</v>
      </c>
      <c r="DA377" s="555">
        <v>111055</v>
      </c>
      <c r="DB377" s="555">
        <v>168730</v>
      </c>
      <c r="DC377" s="802">
        <v>489867</v>
      </c>
      <c r="DD377" s="901">
        <v>162282</v>
      </c>
      <c r="DE377" s="901">
        <v>173664</v>
      </c>
      <c r="DF377" s="555">
        <v>178439</v>
      </c>
      <c r="DG377" s="555">
        <v>183250</v>
      </c>
      <c r="DH377" s="802">
        <v>697635</v>
      </c>
      <c r="DI377" s="1519">
        <v>113396</v>
      </c>
      <c r="DJ377" s="1519">
        <v>113698</v>
      </c>
      <c r="DK377" s="1507">
        <v>114512</v>
      </c>
      <c r="DL377" s="1507">
        <v>114285</v>
      </c>
      <c r="DM377" s="1506">
        <v>451284</v>
      </c>
      <c r="DN377" s="1371">
        <f>SUM(DN375:DN376)</f>
        <v>128099</v>
      </c>
      <c r="DO377" s="1371">
        <f>SUM(DO375:DO376)</f>
        <v>130201</v>
      </c>
      <c r="DP377" s="1371">
        <f>SUM(DP375:DP376)</f>
        <v>122762</v>
      </c>
      <c r="DQ377" s="1371">
        <f>SUM(DQ375:DQ376)</f>
        <v>122100</v>
      </c>
      <c r="DR377" s="1004">
        <f>SUM(DR375:DR376)</f>
        <v>494370</v>
      </c>
      <c r="DS377" s="1290"/>
      <c r="DT377" s="561"/>
      <c r="DU377" s="561"/>
      <c r="DV377" s="1290"/>
      <c r="DW377" s="844"/>
      <c r="DX377" s="561"/>
      <c r="DY377" s="561"/>
      <c r="DZ377" s="561"/>
      <c r="EA377" s="561"/>
      <c r="EB377" s="844"/>
      <c r="EC377" s="561"/>
      <c r="ED377" s="561"/>
      <c r="EE377" s="561"/>
      <c r="EF377" s="561"/>
      <c r="EG377" s="844"/>
      <c r="EH377" s="561"/>
      <c r="EI377" s="561"/>
      <c r="EJ377" s="561"/>
      <c r="EK377" s="561"/>
      <c r="EL377" s="844"/>
    </row>
    <row r="378" spans="1:142" hidden="1" outlineLevel="1">
      <c r="A378" s="557"/>
      <c r="B378" s="557" t="s">
        <v>132</v>
      </c>
      <c r="C378" s="1201"/>
      <c r="D378" s="1201">
        <v>268939</v>
      </c>
      <c r="E378" s="1201">
        <v>266541</v>
      </c>
      <c r="F378" s="1201">
        <v>289897</v>
      </c>
      <c r="G378" s="960">
        <f>H378-SUM(D378:F378)</f>
        <v>682488</v>
      </c>
      <c r="H378" s="1202">
        <v>1507865</v>
      </c>
      <c r="I378" s="1201">
        <v>619226</v>
      </c>
      <c r="J378" s="1201">
        <v>661141</v>
      </c>
      <c r="K378" s="1201">
        <v>734293</v>
      </c>
      <c r="L378" s="960">
        <f>M378-SUM(I378:K378)</f>
        <v>695402</v>
      </c>
      <c r="M378" s="1202">
        <v>2710062</v>
      </c>
      <c r="N378" s="1201">
        <v>665006</v>
      </c>
      <c r="O378" s="1201">
        <v>677525</v>
      </c>
      <c r="P378" s="1201">
        <v>1119362</v>
      </c>
      <c r="Q378" s="960">
        <f>R378-SUM(N378:P378)</f>
        <v>1637816</v>
      </c>
      <c r="R378" s="1202">
        <v>4099709</v>
      </c>
      <c r="S378" s="1201">
        <v>1054439</v>
      </c>
      <c r="T378" s="1201">
        <v>1099812</v>
      </c>
      <c r="U378" s="1201">
        <v>1230830</v>
      </c>
      <c r="V378" s="960">
        <f>W378-SUM(S378:U378)</f>
        <v>1162231</v>
      </c>
      <c r="W378" s="1202">
        <v>4547312</v>
      </c>
      <c r="X378" s="1201">
        <v>1113315</v>
      </c>
      <c r="Y378" s="1201">
        <v>1136595</v>
      </c>
      <c r="Z378" s="1201">
        <v>1304313</v>
      </c>
      <c r="AA378" s="960">
        <f>AB378-SUM(X378:Z378)</f>
        <v>1327216</v>
      </c>
      <c r="AB378" s="1202">
        <v>4881439</v>
      </c>
      <c r="AC378" s="1201">
        <v>1223438</v>
      </c>
      <c r="AD378" s="1201">
        <v>1184765</v>
      </c>
      <c r="AE378" s="1201">
        <v>1274739</v>
      </c>
      <c r="AF378" s="960">
        <f>AG378-SUM(AC378:AE378)</f>
        <v>1205707</v>
      </c>
      <c r="AG378" s="1202">
        <v>4888649</v>
      </c>
      <c r="AH378" s="1201">
        <v>1183421</v>
      </c>
      <c r="AI378" s="1201">
        <v>1192364</v>
      </c>
      <c r="AJ378" s="1201">
        <v>1269277</v>
      </c>
      <c r="AK378" s="960">
        <f>AL378-SUM(AH378:AJ378)</f>
        <v>1291691</v>
      </c>
      <c r="AL378" s="1202">
        <v>4936753</v>
      </c>
      <c r="AM378" s="1201">
        <v>1275551</v>
      </c>
      <c r="AN378" s="1201">
        <v>1281472</v>
      </c>
      <c r="AO378" s="1201">
        <v>1375943</v>
      </c>
      <c r="AP378" s="960">
        <f>AQ378-SUM(AM378:AO378)</f>
        <v>1402953</v>
      </c>
      <c r="AQ378" s="1202">
        <v>5335919</v>
      </c>
      <c r="AR378" s="1201">
        <v>1343673</v>
      </c>
      <c r="AS378" s="1201">
        <v>1349050</v>
      </c>
      <c r="AT378" s="1201">
        <v>1388530</v>
      </c>
      <c r="AU378" s="802"/>
      <c r="AV378" s="708" t="s">
        <v>503</v>
      </c>
      <c r="AW378" s="708" t="s">
        <v>503</v>
      </c>
      <c r="AX378" s="708" t="s">
        <v>503</v>
      </c>
      <c r="AY378" s="708" t="s">
        <v>503</v>
      </c>
      <c r="AZ378" s="1188" t="s">
        <v>503</v>
      </c>
      <c r="BA378" s="1201">
        <v>1313502</v>
      </c>
      <c r="BB378" s="1201">
        <v>1256929</v>
      </c>
      <c r="BC378" s="1201">
        <v>1235744</v>
      </c>
      <c r="BD378" s="960">
        <f>BE378-SUM(BA378:BC378)</f>
        <v>1213134</v>
      </c>
      <c r="BE378" s="1202">
        <v>5019309</v>
      </c>
      <c r="BF378" s="1201">
        <v>979258</v>
      </c>
      <c r="BG378" s="1201">
        <v>897777</v>
      </c>
      <c r="BH378" s="1201">
        <v>877620</v>
      </c>
      <c r="BI378" s="1201">
        <v>877259</v>
      </c>
      <c r="BJ378" s="1202">
        <v>3565672</v>
      </c>
      <c r="BK378" s="959">
        <v>934203</v>
      </c>
      <c r="BL378" s="901">
        <v>865396</v>
      </c>
      <c r="BM378" s="555">
        <v>834601</v>
      </c>
      <c r="BN378" s="555">
        <v>809577</v>
      </c>
      <c r="BO378" s="802">
        <v>3443777</v>
      </c>
      <c r="BP378" s="959">
        <v>855620</v>
      </c>
      <c r="BQ378" s="901">
        <v>710339</v>
      </c>
      <c r="BR378" s="555">
        <v>695656</v>
      </c>
      <c r="BS378" s="555">
        <v>705249</v>
      </c>
      <c r="BT378" s="802">
        <v>2881383</v>
      </c>
      <c r="BU378" s="959">
        <v>745651</v>
      </c>
      <c r="BV378" s="901">
        <v>693016</v>
      </c>
      <c r="BW378" s="555">
        <v>671502</v>
      </c>
      <c r="BX378" s="555">
        <v>682853</v>
      </c>
      <c r="BY378" s="802">
        <v>2757848</v>
      </c>
      <c r="BZ378" s="959">
        <v>739709</v>
      </c>
      <c r="CA378" s="901">
        <v>659534</v>
      </c>
      <c r="CB378" s="555">
        <v>634755</v>
      </c>
      <c r="CC378" s="555">
        <v>641594</v>
      </c>
      <c r="CD378" s="802">
        <v>2622227</v>
      </c>
      <c r="CE378" s="959">
        <v>679657</v>
      </c>
      <c r="CF378" s="901">
        <v>629714</v>
      </c>
      <c r="CG378" s="555">
        <v>622427</v>
      </c>
      <c r="CH378" s="555">
        <v>628438</v>
      </c>
      <c r="CI378" s="802">
        <v>2553215</v>
      </c>
      <c r="CJ378" s="959">
        <v>652952</v>
      </c>
      <c r="CK378" s="901">
        <v>614365</v>
      </c>
      <c r="CL378" s="555">
        <v>596810</v>
      </c>
      <c r="CM378" s="555">
        <v>608890</v>
      </c>
      <c r="CN378" s="802">
        <v>2473017</v>
      </c>
      <c r="CO378" s="959">
        <v>635463</v>
      </c>
      <c r="CP378" s="901">
        <v>595986</v>
      </c>
      <c r="CQ378" s="555">
        <v>591948</v>
      </c>
      <c r="CR378" s="555">
        <v>589848</v>
      </c>
      <c r="CS378" s="802">
        <v>2413245</v>
      </c>
      <c r="CT378" s="959">
        <v>617459</v>
      </c>
      <c r="CU378" s="901">
        <v>590437</v>
      </c>
      <c r="CV378" s="555">
        <v>580594</v>
      </c>
      <c r="CW378" s="555">
        <v>580426</v>
      </c>
      <c r="CX378" s="802">
        <v>2368916</v>
      </c>
      <c r="CY378" s="959">
        <v>603285</v>
      </c>
      <c r="CZ378" s="901">
        <v>567390</v>
      </c>
      <c r="DA378" s="555">
        <v>569833</v>
      </c>
      <c r="DB378" s="555">
        <v>880737</v>
      </c>
      <c r="DC378" s="802">
        <v>2621245</v>
      </c>
      <c r="DD378" s="959">
        <v>929164</v>
      </c>
      <c r="DE378" s="901">
        <v>907093</v>
      </c>
      <c r="DF378" s="555">
        <v>921228</v>
      </c>
      <c r="DG378" s="555">
        <v>937803</v>
      </c>
      <c r="DH378" s="802">
        <v>3695288</v>
      </c>
      <c r="DI378" s="1507">
        <v>909116</v>
      </c>
      <c r="DJ378" s="1519">
        <v>817881</v>
      </c>
      <c r="DK378" s="1507">
        <v>804181</v>
      </c>
      <c r="DL378" s="1507">
        <v>803037</v>
      </c>
      <c r="DM378" s="1506">
        <v>3286026</v>
      </c>
      <c r="DN378" s="1507">
        <v>960998</v>
      </c>
      <c r="DO378" s="1507">
        <v>897127</v>
      </c>
      <c r="DP378" s="1507">
        <v>863100</v>
      </c>
      <c r="DQ378" s="1507">
        <v>857118</v>
      </c>
      <c r="DR378" s="1506">
        <v>3515087</v>
      </c>
      <c r="DS378" s="1291"/>
      <c r="DT378" s="558"/>
      <c r="DU378" s="558"/>
      <c r="DV378" s="1291"/>
      <c r="DW378" s="78"/>
      <c r="DX378" s="558"/>
      <c r="DY378" s="558"/>
      <c r="DZ378" s="558"/>
      <c r="EA378" s="558"/>
      <c r="EB378" s="78"/>
      <c r="EC378" s="558"/>
      <c r="ED378" s="558"/>
      <c r="EE378" s="558"/>
      <c r="EF378" s="558"/>
      <c r="EG378" s="78"/>
      <c r="EH378" s="558"/>
      <c r="EI378" s="558"/>
      <c r="EJ378" s="558"/>
      <c r="EK378" s="558"/>
      <c r="EL378" s="78"/>
    </row>
    <row r="379" spans="1:142" hidden="1" outlineLevel="1">
      <c r="A379" s="557"/>
      <c r="B379" s="557" t="s">
        <v>134</v>
      </c>
      <c r="C379" s="1203"/>
      <c r="D379" s="1203" t="s">
        <v>503</v>
      </c>
      <c r="E379" s="1201">
        <v>350812</v>
      </c>
      <c r="F379" s="1201">
        <v>375131</v>
      </c>
      <c r="G379" s="960">
        <f>H379-SUM(D379:F379)</f>
        <v>1271565</v>
      </c>
      <c r="H379" s="1202">
        <v>1997508</v>
      </c>
      <c r="I379" s="1201">
        <v>860955</v>
      </c>
      <c r="J379" s="1201">
        <v>894989</v>
      </c>
      <c r="K379" s="1201">
        <v>1058125</v>
      </c>
      <c r="L379" s="960">
        <f>M379-SUM(I379:K379)</f>
        <v>982115</v>
      </c>
      <c r="M379" s="1202">
        <v>3796184</v>
      </c>
      <c r="N379" s="1201">
        <v>955578</v>
      </c>
      <c r="O379" s="1201">
        <v>968680</v>
      </c>
      <c r="P379" s="1201">
        <v>1571915</v>
      </c>
      <c r="Q379" s="960">
        <f>R379-SUM(N379:P379)</f>
        <v>2321078</v>
      </c>
      <c r="R379" s="1202">
        <v>5817251</v>
      </c>
      <c r="S379" s="1201">
        <v>1486640</v>
      </c>
      <c r="T379" s="1201">
        <v>1661469</v>
      </c>
      <c r="U379" s="1201">
        <v>1728411</v>
      </c>
      <c r="V379" s="960">
        <f>W379-SUM(S379:U379)</f>
        <v>1681005</v>
      </c>
      <c r="W379" s="1202">
        <v>6557525</v>
      </c>
      <c r="X379" s="1201">
        <v>1624041</v>
      </c>
      <c r="Y379" s="1201">
        <v>1638011</v>
      </c>
      <c r="Z379" s="1201">
        <v>1832782</v>
      </c>
      <c r="AA379" s="960">
        <f>AB379-SUM(X379:Z379)</f>
        <v>1902245</v>
      </c>
      <c r="AB379" s="1202">
        <v>6997079</v>
      </c>
      <c r="AC379" s="1201">
        <v>1787716</v>
      </c>
      <c r="AD379" s="1201">
        <v>1695214</v>
      </c>
      <c r="AE379" s="1201">
        <v>1770750</v>
      </c>
      <c r="AF379" s="960">
        <f>AG379-SUM(AC379:AE379)</f>
        <v>1721626</v>
      </c>
      <c r="AG379" s="1202">
        <v>6975306</v>
      </c>
      <c r="AH379" s="1201">
        <v>1624041</v>
      </c>
      <c r="AI379" s="1201">
        <v>1690618</v>
      </c>
      <c r="AJ379" s="1201">
        <v>1755163</v>
      </c>
      <c r="AK379" s="960">
        <f>AL379-SUM(AH379:AJ379)</f>
        <v>1886717</v>
      </c>
      <c r="AL379" s="1202">
        <v>6956539</v>
      </c>
      <c r="AM379" s="1201">
        <v>1816959</v>
      </c>
      <c r="AN379" s="1201">
        <v>1816168</v>
      </c>
      <c r="AO379" s="1201">
        <v>1907956</v>
      </c>
      <c r="AP379" s="960">
        <f>AQ379-SUM(AM379:AO379)</f>
        <v>1975223</v>
      </c>
      <c r="AQ379" s="1202">
        <v>7516306</v>
      </c>
      <c r="AR379" s="1201">
        <v>1895385</v>
      </c>
      <c r="AS379" s="1201">
        <v>1891584</v>
      </c>
      <c r="AT379" s="1201">
        <v>1917816</v>
      </c>
      <c r="AU379" s="802"/>
      <c r="AV379" s="708" t="s">
        <v>503</v>
      </c>
      <c r="AW379" s="708" t="s">
        <v>503</v>
      </c>
      <c r="AX379" s="708" t="s">
        <v>503</v>
      </c>
      <c r="AY379" s="708" t="s">
        <v>503</v>
      </c>
      <c r="AZ379" s="1188" t="s">
        <v>503</v>
      </c>
      <c r="BA379" s="1201">
        <v>1795249</v>
      </c>
      <c r="BB379" s="1201">
        <v>1738964</v>
      </c>
      <c r="BC379" s="1201">
        <v>1716357</v>
      </c>
      <c r="BD379" s="960">
        <f>BE379-SUM(BA379:BC379)</f>
        <v>1670246</v>
      </c>
      <c r="BE379" s="1202">
        <v>6920816</v>
      </c>
      <c r="BF379" s="1201">
        <v>1345076</v>
      </c>
      <c r="BG379" s="1201">
        <v>1259222</v>
      </c>
      <c r="BH379" s="1201">
        <v>1231594</v>
      </c>
      <c r="BI379" s="1201">
        <v>1226873</v>
      </c>
      <c r="BJ379" s="1202">
        <v>4971323</v>
      </c>
      <c r="BK379" s="959">
        <v>1291165</v>
      </c>
      <c r="BL379" s="901">
        <v>1222322</v>
      </c>
      <c r="BM379" s="555">
        <v>1179032</v>
      </c>
      <c r="BN379" s="555">
        <v>1134196</v>
      </c>
      <c r="BO379" s="802">
        <v>4826715</v>
      </c>
      <c r="BP379" s="959">
        <v>1191546</v>
      </c>
      <c r="BQ379" s="901">
        <v>1008689</v>
      </c>
      <c r="BR379" s="555">
        <v>990535</v>
      </c>
      <c r="BS379" s="555">
        <v>997836</v>
      </c>
      <c r="BT379" s="802">
        <v>4066907</v>
      </c>
      <c r="BU379" s="959">
        <v>1047936</v>
      </c>
      <c r="BV379" s="901">
        <v>998019</v>
      </c>
      <c r="BW379" s="555">
        <v>968418</v>
      </c>
      <c r="BX379" s="555">
        <v>978344</v>
      </c>
      <c r="BY379" s="802">
        <v>3937329</v>
      </c>
      <c r="BZ379" s="959">
        <v>1044642</v>
      </c>
      <c r="CA379" s="901">
        <v>955538</v>
      </c>
      <c r="CB379" s="555">
        <v>930381</v>
      </c>
      <c r="CC379" s="555">
        <v>934829</v>
      </c>
      <c r="CD379" s="802">
        <v>3788063</v>
      </c>
      <c r="CE379" s="959">
        <v>988935</v>
      </c>
      <c r="CF379" s="901">
        <v>940472</v>
      </c>
      <c r="CG379" s="555">
        <v>935375</v>
      </c>
      <c r="CH379" s="555">
        <v>930542</v>
      </c>
      <c r="CI379" s="802">
        <v>3785230</v>
      </c>
      <c r="CJ379" s="959">
        <v>958248</v>
      </c>
      <c r="CK379" s="901">
        <v>929186</v>
      </c>
      <c r="CL379" s="555">
        <v>913049</v>
      </c>
      <c r="CM379" s="555">
        <v>923219</v>
      </c>
      <c r="CN379" s="802">
        <v>3723702</v>
      </c>
      <c r="CO379" s="959">
        <v>948356</v>
      </c>
      <c r="CP379" s="901">
        <v>912369</v>
      </c>
      <c r="CQ379" s="555">
        <v>909960</v>
      </c>
      <c r="CR379" s="555">
        <v>902762</v>
      </c>
      <c r="CS379" s="802">
        <v>3673447</v>
      </c>
      <c r="CT379" s="959">
        <v>947116</v>
      </c>
      <c r="CU379" s="901">
        <v>919895</v>
      </c>
      <c r="CV379" s="555">
        <v>911233</v>
      </c>
      <c r="CW379" s="555">
        <v>915584</v>
      </c>
      <c r="CX379" s="802">
        <v>3693828</v>
      </c>
      <c r="CY379" s="959">
        <v>939840</v>
      </c>
      <c r="CZ379" s="901">
        <v>909720</v>
      </c>
      <c r="DA379" s="555">
        <v>912483</v>
      </c>
      <c r="DB379" s="555">
        <v>1481291</v>
      </c>
      <c r="DC379" s="802">
        <v>4243334</v>
      </c>
      <c r="DD379" s="959">
        <v>1525379</v>
      </c>
      <c r="DE379" s="901">
        <v>1563681</v>
      </c>
      <c r="DF379" s="555">
        <v>1574346</v>
      </c>
      <c r="DG379" s="555">
        <v>1592166</v>
      </c>
      <c r="DH379" s="802">
        <v>6255572</v>
      </c>
      <c r="DI379" s="1507">
        <v>1499932</v>
      </c>
      <c r="DJ379" s="1519">
        <v>1391305</v>
      </c>
      <c r="DK379" s="1507">
        <v>1374619</v>
      </c>
      <c r="DL379" s="1507">
        <v>1379612</v>
      </c>
      <c r="DM379" s="1506">
        <v>5567041</v>
      </c>
      <c r="DN379" s="1507">
        <v>1637408</v>
      </c>
      <c r="DO379" s="1507">
        <v>1568680</v>
      </c>
      <c r="DP379" s="1507">
        <v>1508217</v>
      </c>
      <c r="DQ379" s="1507">
        <v>1481787</v>
      </c>
      <c r="DR379" s="1506">
        <v>6080456</v>
      </c>
      <c r="DS379" s="1284"/>
      <c r="DT379" s="558"/>
      <c r="DU379" s="558"/>
      <c r="DV379" s="1284"/>
      <c r="DW379" s="78"/>
      <c r="DX379" s="558"/>
      <c r="DY379" s="558"/>
      <c r="DZ379" s="558"/>
      <c r="EA379" s="558"/>
      <c r="EB379" s="78"/>
      <c r="EC379" s="558"/>
      <c r="ED379" s="558"/>
      <c r="EE379" s="558"/>
      <c r="EF379" s="558"/>
      <c r="EG379" s="78"/>
      <c r="EH379" s="558"/>
      <c r="EI379" s="558"/>
      <c r="EJ379" s="558"/>
      <c r="EK379" s="558"/>
      <c r="EL379" s="78"/>
    </row>
    <row r="380" spans="1:142" hidden="1" outlineLevel="1">
      <c r="A380" s="557"/>
      <c r="B380" s="557" t="s">
        <v>136</v>
      </c>
      <c r="C380" s="1209"/>
      <c r="D380" s="1209">
        <v>5.5</v>
      </c>
      <c r="E380" s="1209">
        <v>5.5</v>
      </c>
      <c r="F380" s="1209">
        <v>5.6</v>
      </c>
      <c r="G380" s="1203" t="s">
        <v>503</v>
      </c>
      <c r="H380" s="1210">
        <v>5.6</v>
      </c>
      <c r="I380" s="1209">
        <v>5.6</v>
      </c>
      <c r="J380" s="1209">
        <v>5.5</v>
      </c>
      <c r="K380" s="1209">
        <v>5.6</v>
      </c>
      <c r="L380" s="1203" t="s">
        <v>503</v>
      </c>
      <c r="M380" s="1210">
        <v>5.6</v>
      </c>
      <c r="N380" s="1209">
        <v>5.4</v>
      </c>
      <c r="O380" s="1209">
        <v>5.4</v>
      </c>
      <c r="P380" s="1209">
        <v>5.3</v>
      </c>
      <c r="Q380" s="1203" t="s">
        <v>503</v>
      </c>
      <c r="R380" s="1210">
        <v>5.2</v>
      </c>
      <c r="S380" s="1209">
        <v>5.0999999999999996</v>
      </c>
      <c r="T380" s="1209">
        <v>5.2</v>
      </c>
      <c r="U380" s="1209">
        <v>5.3</v>
      </c>
      <c r="V380" s="1203" t="s">
        <v>503</v>
      </c>
      <c r="W380" s="1210">
        <v>5.2</v>
      </c>
      <c r="X380" s="1209">
        <v>5.0999999999999996</v>
      </c>
      <c r="Y380" s="1209">
        <v>5.0999999999999996</v>
      </c>
      <c r="Z380" s="1209">
        <v>5.2</v>
      </c>
      <c r="AA380" s="1203" t="s">
        <v>503</v>
      </c>
      <c r="AB380" s="1210">
        <v>5.2</v>
      </c>
      <c r="AC380" s="1209">
        <v>5.0999999999999996</v>
      </c>
      <c r="AD380" s="1209">
        <v>5.2</v>
      </c>
      <c r="AE380" s="1209">
        <v>5.3</v>
      </c>
      <c r="AF380" s="1203" t="s">
        <v>503</v>
      </c>
      <c r="AG380" s="1210">
        <v>5.2</v>
      </c>
      <c r="AH380" s="1209">
        <v>5.2</v>
      </c>
      <c r="AI380" s="1209">
        <v>5.2</v>
      </c>
      <c r="AJ380" s="1209">
        <v>5.3</v>
      </c>
      <c r="AK380" s="1203" t="s">
        <v>503</v>
      </c>
      <c r="AL380" s="1210">
        <v>5.3</v>
      </c>
      <c r="AM380" s="1209">
        <v>5.3</v>
      </c>
      <c r="AN380" s="1209">
        <v>5.3</v>
      </c>
      <c r="AO380" s="1209">
        <v>5.4</v>
      </c>
      <c r="AP380" s="1203" t="s">
        <v>503</v>
      </c>
      <c r="AQ380" s="1210">
        <v>5.3</v>
      </c>
      <c r="AR380" s="1209">
        <v>5.3</v>
      </c>
      <c r="AS380" s="1209">
        <v>5.3</v>
      </c>
      <c r="AT380" s="1209">
        <v>5.3</v>
      </c>
      <c r="AU380" s="802"/>
      <c r="AV380" s="708" t="s">
        <v>503</v>
      </c>
      <c r="AW380" s="708" t="s">
        <v>503</v>
      </c>
      <c r="AX380" s="708" t="s">
        <v>503</v>
      </c>
      <c r="AY380" s="708" t="s">
        <v>503</v>
      </c>
      <c r="AZ380" s="1188" t="s">
        <v>503</v>
      </c>
      <c r="BA380" s="1209">
        <v>5.4</v>
      </c>
      <c r="BB380" s="1209">
        <v>5.3</v>
      </c>
      <c r="BC380" s="1209">
        <v>5.2</v>
      </c>
      <c r="BD380" s="1203" t="s">
        <v>503</v>
      </c>
      <c r="BE380" s="1210">
        <v>5.3</v>
      </c>
      <c r="BF380" s="1209">
        <v>5.3</v>
      </c>
      <c r="BG380" s="1209">
        <v>5.2</v>
      </c>
      <c r="BH380" s="1209">
        <v>5.0999999999999996</v>
      </c>
      <c r="BI380" s="1209">
        <v>5.2</v>
      </c>
      <c r="BJ380" s="1210">
        <v>5.2</v>
      </c>
      <c r="BK380" s="555">
        <v>5.2</v>
      </c>
      <c r="BL380" s="555">
        <v>5.0999999999999996</v>
      </c>
      <c r="BM380" s="555">
        <v>5.0999999999999996</v>
      </c>
      <c r="BN380" s="555">
        <v>5.0999999999999996</v>
      </c>
      <c r="BO380" s="802">
        <v>5.2</v>
      </c>
      <c r="BP380" s="555">
        <v>5.0999999999999996</v>
      </c>
      <c r="BQ380" s="555">
        <v>5</v>
      </c>
      <c r="BR380" s="555">
        <v>4.9000000000000004</v>
      </c>
      <c r="BS380" s="555">
        <v>4.9000000000000004</v>
      </c>
      <c r="BT380" s="802">
        <v>5</v>
      </c>
      <c r="BU380" s="555">
        <v>5</v>
      </c>
      <c r="BV380" s="555">
        <v>5</v>
      </c>
      <c r="BW380" s="555">
        <v>4.9000000000000004</v>
      </c>
      <c r="BX380" s="555">
        <v>4.9000000000000004</v>
      </c>
      <c r="BY380" s="802">
        <v>5</v>
      </c>
      <c r="BZ380" s="555">
        <v>5.0999999999999996</v>
      </c>
      <c r="CA380" s="555">
        <v>4.9000000000000004</v>
      </c>
      <c r="CB380" s="555">
        <v>4.9000000000000004</v>
      </c>
      <c r="CC380" s="555">
        <v>4.9000000000000004</v>
      </c>
      <c r="CD380" s="802">
        <v>4.9000000000000004</v>
      </c>
      <c r="CE380" s="555">
        <v>5</v>
      </c>
      <c r="CF380" s="555">
        <v>4.8</v>
      </c>
      <c r="CG380" s="555">
        <v>4.8</v>
      </c>
      <c r="CH380" s="555">
        <v>4.8</v>
      </c>
      <c r="CI380" s="802">
        <v>4.9000000000000004</v>
      </c>
      <c r="CJ380" s="555">
        <v>4.9000000000000004</v>
      </c>
      <c r="CK380" s="555">
        <v>4.8</v>
      </c>
      <c r="CL380" s="555">
        <v>4.7</v>
      </c>
      <c r="CM380" s="555">
        <v>4.8</v>
      </c>
      <c r="CN380" s="802">
        <v>4.8</v>
      </c>
      <c r="CO380" s="555">
        <v>4.83</v>
      </c>
      <c r="CP380" s="555">
        <v>4.75</v>
      </c>
      <c r="CQ380" s="555">
        <v>4.72</v>
      </c>
      <c r="CR380" s="555">
        <v>4.71</v>
      </c>
      <c r="CS380" s="802">
        <v>4.75</v>
      </c>
      <c r="CT380" s="555">
        <v>4.71</v>
      </c>
      <c r="CU380" s="555">
        <v>4.72</v>
      </c>
      <c r="CV380" s="555">
        <v>4.6500000000000004</v>
      </c>
      <c r="CW380" s="555">
        <v>4.63</v>
      </c>
      <c r="CX380" s="802">
        <v>4.68</v>
      </c>
      <c r="CY380" s="555">
        <v>4.79</v>
      </c>
      <c r="CZ380" s="555">
        <v>4.7</v>
      </c>
      <c r="DA380" s="555">
        <v>4.6900000000000004</v>
      </c>
      <c r="DB380" s="555">
        <v>4.62</v>
      </c>
      <c r="DC380" s="802">
        <v>4.6900000000000004</v>
      </c>
      <c r="DD380" s="555">
        <v>4.78</v>
      </c>
      <c r="DE380" s="555">
        <v>4.66</v>
      </c>
      <c r="DF380" s="555">
        <v>4.6100000000000003</v>
      </c>
      <c r="DG380" s="555">
        <v>4.63</v>
      </c>
      <c r="DH380" s="802">
        <v>4.67</v>
      </c>
      <c r="DI380" s="1282">
        <v>4.68</v>
      </c>
      <c r="DJ380" s="1282">
        <v>4.57</v>
      </c>
      <c r="DK380" s="1282">
        <v>4.55</v>
      </c>
      <c r="DL380" s="1282">
        <v>4.5599999999999996</v>
      </c>
      <c r="DM380" s="1279">
        <v>4.58</v>
      </c>
      <c r="DN380" s="1282">
        <v>4.74</v>
      </c>
      <c r="DO380" s="1282">
        <v>4.63</v>
      </c>
      <c r="DP380" s="1282">
        <v>4.62</v>
      </c>
      <c r="DQ380" s="1282">
        <v>4.6399999999999997</v>
      </c>
      <c r="DR380" s="1279">
        <v>4.66</v>
      </c>
      <c r="DS380" s="1290"/>
      <c r="DT380" s="561"/>
      <c r="DU380" s="561"/>
      <c r="DV380" s="1290"/>
      <c r="DW380" s="844"/>
      <c r="DX380" s="561"/>
      <c r="DY380" s="561"/>
      <c r="DZ380" s="561"/>
      <c r="EA380" s="561"/>
      <c r="EB380" s="844"/>
      <c r="EC380" s="561"/>
      <c r="ED380" s="561"/>
      <c r="EE380" s="561"/>
      <c r="EF380" s="561"/>
      <c r="EG380" s="844"/>
      <c r="EH380" s="561"/>
      <c r="EI380" s="561"/>
      <c r="EJ380" s="561"/>
      <c r="EK380" s="561"/>
      <c r="EL380" s="844"/>
    </row>
    <row r="381" spans="1:142" hidden="1" outlineLevel="1">
      <c r="A381" s="557"/>
      <c r="B381" s="557" t="s">
        <v>193</v>
      </c>
      <c r="C381" s="1201"/>
      <c r="D381" s="1201">
        <v>6622</v>
      </c>
      <c r="E381" s="1201">
        <v>6622</v>
      </c>
      <c r="F381" s="1201">
        <v>6620</v>
      </c>
      <c r="G381" s="960">
        <f>H381</f>
        <v>15622</v>
      </c>
      <c r="H381" s="1202">
        <v>15622</v>
      </c>
      <c r="I381" s="1201">
        <v>16210</v>
      </c>
      <c r="J381" s="1201">
        <v>16827</v>
      </c>
      <c r="K381" s="1201">
        <v>16874</v>
      </c>
      <c r="L381" s="960">
        <f>M381</f>
        <v>16666</v>
      </c>
      <c r="M381" s="1202">
        <v>16666</v>
      </c>
      <c r="N381" s="1201">
        <v>17031</v>
      </c>
      <c r="O381" s="1201">
        <v>17344</v>
      </c>
      <c r="P381" s="1201">
        <v>27366</v>
      </c>
      <c r="Q381" s="960">
        <f>R381</f>
        <v>27959</v>
      </c>
      <c r="R381" s="1202">
        <v>27959</v>
      </c>
      <c r="S381" s="1201">
        <v>28691</v>
      </c>
      <c r="T381" s="1201">
        <v>28715</v>
      </c>
      <c r="U381" s="1201">
        <v>28433</v>
      </c>
      <c r="V381" s="960">
        <f>W381</f>
        <v>27867</v>
      </c>
      <c r="W381" s="1202">
        <v>27867</v>
      </c>
      <c r="X381" s="1201">
        <v>28126</v>
      </c>
      <c r="Y381" s="1201">
        <v>30410</v>
      </c>
      <c r="Z381" s="1201">
        <v>30471</v>
      </c>
      <c r="AA381" s="960">
        <f>AB381</f>
        <v>30791</v>
      </c>
      <c r="AB381" s="1202">
        <v>30791</v>
      </c>
      <c r="AC381" s="1201">
        <v>30731</v>
      </c>
      <c r="AD381" s="1201">
        <v>27625</v>
      </c>
      <c r="AE381" s="1201">
        <v>27414</v>
      </c>
      <c r="AF381" s="960">
        <f>AG381</f>
        <v>26939</v>
      </c>
      <c r="AG381" s="1202">
        <v>26939</v>
      </c>
      <c r="AH381" s="1201">
        <v>26965</v>
      </c>
      <c r="AI381" s="1201">
        <v>27008</v>
      </c>
      <c r="AJ381" s="1201">
        <v>26931</v>
      </c>
      <c r="AK381" s="960">
        <f>AL381</f>
        <v>27277</v>
      </c>
      <c r="AL381" s="1202">
        <v>27277</v>
      </c>
      <c r="AM381" s="1201">
        <v>28166</v>
      </c>
      <c r="AN381" s="1201">
        <v>28262</v>
      </c>
      <c r="AO381" s="1201">
        <v>28677</v>
      </c>
      <c r="AP381" s="960">
        <f>AQ381</f>
        <v>28667</v>
      </c>
      <c r="AQ381" s="1202">
        <v>28667</v>
      </c>
      <c r="AR381" s="1201">
        <v>28134</v>
      </c>
      <c r="AS381" s="1201">
        <v>27748</v>
      </c>
      <c r="AT381" s="1201">
        <v>27882</v>
      </c>
      <c r="AU381" s="802"/>
      <c r="AV381" s="708" t="s">
        <v>503</v>
      </c>
      <c r="AW381" s="708" t="s">
        <v>503</v>
      </c>
      <c r="AX381" s="708" t="s">
        <v>503</v>
      </c>
      <c r="AY381" s="708" t="s">
        <v>503</v>
      </c>
      <c r="AZ381" s="1188" t="s">
        <v>503</v>
      </c>
      <c r="BA381" s="1201">
        <v>24933</v>
      </c>
      <c r="BB381" s="1201">
        <v>24911</v>
      </c>
      <c r="BC381" s="1201">
        <v>24861</v>
      </c>
      <c r="BD381" s="960">
        <f>BE381</f>
        <v>24649</v>
      </c>
      <c r="BE381" s="1202">
        <v>24649</v>
      </c>
      <c r="BF381" s="1201">
        <v>18764</v>
      </c>
      <c r="BG381" s="1201">
        <v>18784</v>
      </c>
      <c r="BH381" s="1201">
        <v>18090</v>
      </c>
      <c r="BI381" s="1201">
        <v>17902</v>
      </c>
      <c r="BJ381" s="1202">
        <v>17902</v>
      </c>
      <c r="BK381" s="959">
        <v>17941</v>
      </c>
      <c r="BL381" s="901">
        <v>17897</v>
      </c>
      <c r="BM381" s="555">
        <v>17859</v>
      </c>
      <c r="BN381" s="555">
        <v>17863</v>
      </c>
      <c r="BO381" s="802">
        <v>17863</v>
      </c>
      <c r="BP381" s="959">
        <v>17851</v>
      </c>
      <c r="BQ381" s="901">
        <v>15047</v>
      </c>
      <c r="BR381" s="555">
        <v>14941</v>
      </c>
      <c r="BS381" s="555">
        <v>14941</v>
      </c>
      <c r="BT381" s="802">
        <v>14941</v>
      </c>
      <c r="BU381" s="959">
        <v>14957</v>
      </c>
      <c r="BV381" s="901">
        <v>15081</v>
      </c>
      <c r="BW381" s="555">
        <v>14486</v>
      </c>
      <c r="BX381" s="555">
        <v>14516</v>
      </c>
      <c r="BY381" s="802">
        <v>14516</v>
      </c>
      <c r="BZ381" s="959">
        <v>14459</v>
      </c>
      <c r="CA381" s="901">
        <v>13864</v>
      </c>
      <c r="CB381" s="555">
        <v>13531</v>
      </c>
      <c r="CC381" s="555">
        <v>13562</v>
      </c>
      <c r="CD381" s="802">
        <v>13562</v>
      </c>
      <c r="CE381" s="959">
        <v>13580</v>
      </c>
      <c r="CF381" s="901">
        <v>13419</v>
      </c>
      <c r="CG381" s="555">
        <v>13419</v>
      </c>
      <c r="CH381" s="555">
        <v>13436</v>
      </c>
      <c r="CI381" s="802">
        <v>13436</v>
      </c>
      <c r="CJ381" s="959">
        <v>13430</v>
      </c>
      <c r="CK381" s="901">
        <v>13420</v>
      </c>
      <c r="CL381" s="555">
        <v>13430</v>
      </c>
      <c r="CM381" s="555">
        <v>13428</v>
      </c>
      <c r="CN381" s="802">
        <v>13428</v>
      </c>
      <c r="CO381" s="959">
        <v>13123</v>
      </c>
      <c r="CP381" s="901">
        <v>13086</v>
      </c>
      <c r="CQ381" s="555">
        <v>13119</v>
      </c>
      <c r="CR381" s="555">
        <v>13119</v>
      </c>
      <c r="CS381" s="802">
        <v>13119</v>
      </c>
      <c r="CT381" s="959">
        <v>13175</v>
      </c>
      <c r="CU381" s="901">
        <v>13176</v>
      </c>
      <c r="CV381" s="555">
        <v>13216</v>
      </c>
      <c r="CW381" s="555">
        <v>13216</v>
      </c>
      <c r="CX381" s="802">
        <v>13216</v>
      </c>
      <c r="CY381" s="959">
        <v>13180</v>
      </c>
      <c r="CZ381" s="901">
        <v>13180</v>
      </c>
      <c r="DA381" s="555">
        <v>13180</v>
      </c>
      <c r="DB381" s="555">
        <v>20293</v>
      </c>
      <c r="DC381" s="802">
        <v>20293</v>
      </c>
      <c r="DD381" s="959">
        <v>20279</v>
      </c>
      <c r="DE381" s="901">
        <v>20553</v>
      </c>
      <c r="DF381" s="555">
        <v>20762</v>
      </c>
      <c r="DG381" s="555">
        <v>20814</v>
      </c>
      <c r="DH381" s="802">
        <v>20814</v>
      </c>
      <c r="DI381" s="1507">
        <v>19393</v>
      </c>
      <c r="DJ381" s="1519">
        <v>18244</v>
      </c>
      <c r="DK381" s="1507">
        <v>18201</v>
      </c>
      <c r="DL381" s="1507">
        <v>18130</v>
      </c>
      <c r="DM381" s="1506">
        <v>18130</v>
      </c>
      <c r="DN381" s="1507">
        <v>20380</v>
      </c>
      <c r="DO381" s="1507">
        <v>20380</v>
      </c>
      <c r="DP381" s="1507">
        <v>19292</v>
      </c>
      <c r="DQ381" s="1507">
        <v>19306</v>
      </c>
      <c r="DR381" s="1506">
        <v>19306</v>
      </c>
      <c r="DS381" s="1290"/>
      <c r="DT381" s="561"/>
      <c r="DU381" s="561"/>
      <c r="DV381" s="1290"/>
      <c r="DW381" s="844"/>
      <c r="DX381" s="561"/>
      <c r="DY381" s="561"/>
      <c r="DZ381" s="561"/>
      <c r="EA381" s="561"/>
      <c r="EB381" s="844"/>
      <c r="EC381" s="561"/>
      <c r="ED381" s="561"/>
      <c r="EE381" s="561"/>
      <c r="EF381" s="561"/>
      <c r="EG381" s="844"/>
      <c r="EH381" s="561"/>
      <c r="EI381" s="561"/>
      <c r="EJ381" s="561"/>
      <c r="EK381" s="561"/>
      <c r="EL381" s="844"/>
    </row>
    <row r="382" spans="1:142" hidden="1" outlineLevel="1">
      <c r="A382" s="557"/>
      <c r="B382" s="557" t="s">
        <v>194</v>
      </c>
      <c r="C382" s="1203"/>
      <c r="D382" s="1203">
        <v>6764</v>
      </c>
      <c r="E382" s="1203" t="s">
        <v>503</v>
      </c>
      <c r="F382" s="1203" t="s">
        <v>503</v>
      </c>
      <c r="G382" s="1203" t="s">
        <v>503</v>
      </c>
      <c r="H382" s="1188"/>
      <c r="I382" s="1203" t="s">
        <v>503</v>
      </c>
      <c r="J382" s="1203" t="s">
        <v>503</v>
      </c>
      <c r="K382" s="1203" t="s">
        <v>503</v>
      </c>
      <c r="L382" s="1203" t="s">
        <v>503</v>
      </c>
      <c r="M382" s="1188" t="s">
        <v>503</v>
      </c>
      <c r="N382" s="1203" t="s">
        <v>503</v>
      </c>
      <c r="O382" s="1203" t="s">
        <v>503</v>
      </c>
      <c r="P382" s="1203" t="s">
        <v>503</v>
      </c>
      <c r="Q382" s="1203" t="s">
        <v>503</v>
      </c>
      <c r="R382" s="1188" t="s">
        <v>503</v>
      </c>
      <c r="S382" s="1203" t="s">
        <v>503</v>
      </c>
      <c r="T382" s="1203" t="s">
        <v>503</v>
      </c>
      <c r="U382" s="1203" t="s">
        <v>503</v>
      </c>
      <c r="V382" s="1203" t="s">
        <v>503</v>
      </c>
      <c r="W382" s="1188" t="s">
        <v>503</v>
      </c>
      <c r="X382" s="1203" t="s">
        <v>503</v>
      </c>
      <c r="Y382" s="1203" t="s">
        <v>503</v>
      </c>
      <c r="Z382" s="1203" t="s">
        <v>503</v>
      </c>
      <c r="AA382" s="1203" t="s">
        <v>503</v>
      </c>
      <c r="AB382" s="1188" t="s">
        <v>503</v>
      </c>
      <c r="AC382" s="1203" t="s">
        <v>503</v>
      </c>
      <c r="AD382" s="1203" t="s">
        <v>503</v>
      </c>
      <c r="AE382" s="1203" t="s">
        <v>503</v>
      </c>
      <c r="AF382" s="1203" t="s">
        <v>503</v>
      </c>
      <c r="AG382" s="1188" t="s">
        <v>503</v>
      </c>
      <c r="AH382" s="1203" t="s">
        <v>503</v>
      </c>
      <c r="AI382" s="1203" t="s">
        <v>503</v>
      </c>
      <c r="AJ382" s="1203" t="s">
        <v>503</v>
      </c>
      <c r="AK382" s="1203" t="s">
        <v>503</v>
      </c>
      <c r="AL382" s="1188" t="s">
        <v>503</v>
      </c>
      <c r="AM382" s="1203" t="s">
        <v>503</v>
      </c>
      <c r="AN382" s="1203" t="s">
        <v>503</v>
      </c>
      <c r="AO382" s="1203" t="s">
        <v>503</v>
      </c>
      <c r="AP382" s="1203" t="s">
        <v>503</v>
      </c>
      <c r="AQ382" s="1188" t="s">
        <v>503</v>
      </c>
      <c r="AR382" s="1203" t="s">
        <v>503</v>
      </c>
      <c r="AS382" s="1203" t="s">
        <v>503</v>
      </c>
      <c r="AT382" s="1203" t="s">
        <v>503</v>
      </c>
      <c r="AU382" s="802"/>
      <c r="AV382" s="708" t="s">
        <v>503</v>
      </c>
      <c r="AW382" s="708" t="s">
        <v>503</v>
      </c>
      <c r="AX382" s="708" t="s">
        <v>503</v>
      </c>
      <c r="AY382" s="708" t="s">
        <v>503</v>
      </c>
      <c r="AZ382" s="1188" t="s">
        <v>503</v>
      </c>
      <c r="BA382" s="1203" t="s">
        <v>503</v>
      </c>
      <c r="BB382" s="1203" t="s">
        <v>503</v>
      </c>
      <c r="BC382" s="1203" t="s">
        <v>503</v>
      </c>
      <c r="BD382" s="1203" t="s">
        <v>503</v>
      </c>
      <c r="BE382" s="1204" t="s">
        <v>503</v>
      </c>
      <c r="BF382" s="1203" t="s">
        <v>503</v>
      </c>
      <c r="BG382" s="1201">
        <v>18647</v>
      </c>
      <c r="BH382" s="1201">
        <v>18106</v>
      </c>
      <c r="BI382" s="1201">
        <v>17902</v>
      </c>
      <c r="BJ382" s="1202">
        <v>17861</v>
      </c>
      <c r="BK382" s="959">
        <v>17924</v>
      </c>
      <c r="BL382" s="901">
        <v>17930</v>
      </c>
      <c r="BM382" s="555">
        <v>17859</v>
      </c>
      <c r="BN382" s="555">
        <v>17842</v>
      </c>
      <c r="BO382" s="802">
        <v>17889</v>
      </c>
      <c r="BP382" s="959">
        <v>17851</v>
      </c>
      <c r="BQ382" s="901">
        <v>15069</v>
      </c>
      <c r="BR382" s="555">
        <v>14967</v>
      </c>
      <c r="BS382" s="555">
        <v>14941</v>
      </c>
      <c r="BT382" s="802">
        <v>15023</v>
      </c>
      <c r="BU382" s="959">
        <v>14953</v>
      </c>
      <c r="BV382" s="901">
        <v>14990</v>
      </c>
      <c r="BW382" s="555">
        <v>14389</v>
      </c>
      <c r="BX382" s="555">
        <v>14516</v>
      </c>
      <c r="BY382" s="802">
        <v>14379</v>
      </c>
      <c r="BZ382" s="959">
        <v>14478</v>
      </c>
      <c r="CA382" s="901">
        <v>13829</v>
      </c>
      <c r="CB382" s="555">
        <v>13536</v>
      </c>
      <c r="CC382" s="555">
        <v>13547</v>
      </c>
      <c r="CD382" s="802">
        <v>13512</v>
      </c>
      <c r="CE382" s="959">
        <v>13574</v>
      </c>
      <c r="CF382" s="901">
        <v>13411</v>
      </c>
      <c r="CG382" s="555">
        <v>13419</v>
      </c>
      <c r="CH382" s="555">
        <v>13436</v>
      </c>
      <c r="CI382" s="802">
        <v>13419</v>
      </c>
      <c r="CJ382" s="959">
        <v>13431</v>
      </c>
      <c r="CK382" s="901">
        <v>13435</v>
      </c>
      <c r="CL382" s="555">
        <v>13423</v>
      </c>
      <c r="CM382" s="555">
        <v>13429</v>
      </c>
      <c r="CN382" s="802">
        <v>13430</v>
      </c>
      <c r="CO382" s="959">
        <v>13123</v>
      </c>
      <c r="CP382" s="901">
        <v>13111</v>
      </c>
      <c r="CQ382" s="555">
        <v>13106</v>
      </c>
      <c r="CR382" s="555">
        <v>13119</v>
      </c>
      <c r="CS382" s="802">
        <v>13115</v>
      </c>
      <c r="CT382" s="959">
        <v>13138</v>
      </c>
      <c r="CU382" s="901">
        <v>13176</v>
      </c>
      <c r="CV382" s="555">
        <v>13216</v>
      </c>
      <c r="CW382" s="555">
        <v>13216</v>
      </c>
      <c r="CX382" s="802">
        <v>13187</v>
      </c>
      <c r="CY382" s="959">
        <v>13180</v>
      </c>
      <c r="CZ382" s="901">
        <v>13180</v>
      </c>
      <c r="DA382" s="555">
        <v>13180</v>
      </c>
      <c r="DB382" s="555">
        <v>20294</v>
      </c>
      <c r="DC382" s="802">
        <v>14963</v>
      </c>
      <c r="DD382" s="959">
        <v>20263</v>
      </c>
      <c r="DE382" s="901">
        <v>20370</v>
      </c>
      <c r="DF382" s="555">
        <v>20692</v>
      </c>
      <c r="DG382" s="555">
        <v>20805</v>
      </c>
      <c r="DH382" s="802">
        <v>20531</v>
      </c>
      <c r="DI382" s="1507">
        <v>19390</v>
      </c>
      <c r="DJ382" s="1519">
        <v>18244</v>
      </c>
      <c r="DK382" s="1507">
        <v>18233</v>
      </c>
      <c r="DL382" s="1507">
        <v>18154</v>
      </c>
      <c r="DM382" s="1506">
        <v>18217</v>
      </c>
      <c r="DN382" s="1507">
        <v>20375</v>
      </c>
      <c r="DO382" s="1507">
        <v>20380</v>
      </c>
      <c r="DP382" s="1507">
        <v>19319</v>
      </c>
      <c r="DQ382" s="1507">
        <v>19278</v>
      </c>
      <c r="DR382" s="1506">
        <v>19315</v>
      </c>
      <c r="DS382" s="1290"/>
      <c r="DT382" s="561"/>
      <c r="DU382" s="561"/>
      <c r="DV382" s="1290"/>
      <c r="DW382" s="844"/>
      <c r="DX382" s="561"/>
      <c r="DY382" s="561"/>
      <c r="DZ382" s="561"/>
      <c r="EA382" s="561"/>
      <c r="EB382" s="844"/>
      <c r="EC382" s="561"/>
      <c r="ED382" s="561"/>
      <c r="EE382" s="561"/>
      <c r="EF382" s="561"/>
      <c r="EG382" s="844"/>
      <c r="EH382" s="561"/>
      <c r="EI382" s="561"/>
      <c r="EJ382" s="561"/>
      <c r="EK382" s="561"/>
      <c r="EL382" s="844"/>
    </row>
    <row r="383" spans="1:142" hidden="1" outlineLevel="1">
      <c r="A383" s="557"/>
      <c r="B383" s="557" t="s">
        <v>137</v>
      </c>
      <c r="C383" s="1205"/>
      <c r="D383" s="1205">
        <v>0.432</v>
      </c>
      <c r="E383" s="1205">
        <v>0.442</v>
      </c>
      <c r="F383" s="1205">
        <v>0.48599999999999999</v>
      </c>
      <c r="G383" s="1203" t="s">
        <v>503</v>
      </c>
      <c r="H383" s="1206">
        <v>0.46400000000000002</v>
      </c>
      <c r="I383" s="1205">
        <v>0.434</v>
      </c>
      <c r="J383" s="1205">
        <v>0.434</v>
      </c>
      <c r="K383" s="1205">
        <v>0.47899999999999998</v>
      </c>
      <c r="L383" s="1203" t="s">
        <v>503</v>
      </c>
      <c r="M383" s="1206">
        <v>0.44900000000000001</v>
      </c>
      <c r="N383" s="1205">
        <v>0.42399999999999999</v>
      </c>
      <c r="O383" s="1205">
        <v>0.432</v>
      </c>
      <c r="P383" s="1205">
        <v>0.46600000000000003</v>
      </c>
      <c r="Q383" s="1203" t="s">
        <v>503</v>
      </c>
      <c r="R383" s="1206">
        <v>0.42499999999999999</v>
      </c>
      <c r="S383" s="1205">
        <v>0.41399999999999998</v>
      </c>
      <c r="T383" s="1205">
        <v>0.42499999999999999</v>
      </c>
      <c r="U383" s="1205">
        <v>0.48299999999999998</v>
      </c>
      <c r="V383" s="1203" t="s">
        <v>503</v>
      </c>
      <c r="W383" s="1206">
        <v>0.44</v>
      </c>
      <c r="X383" s="1205">
        <v>0.43099999999999999</v>
      </c>
      <c r="Y383" s="1205">
        <v>0.438</v>
      </c>
      <c r="Z383" s="1205">
        <v>0.47599999999999998</v>
      </c>
      <c r="AA383" s="1203" t="s">
        <v>503</v>
      </c>
      <c r="AB383" s="1206">
        <v>0.45400000000000001</v>
      </c>
      <c r="AC383" s="1205">
        <v>0.433</v>
      </c>
      <c r="AD383" s="1205">
        <v>0.44700000000000001</v>
      </c>
      <c r="AE383" s="1205">
        <v>0.51100000000000001</v>
      </c>
      <c r="AF383" s="1203" t="s">
        <v>503</v>
      </c>
      <c r="AG383" s="1206">
        <v>0.46800000000000003</v>
      </c>
      <c r="AH383" s="1205">
        <v>0.47599999999999998</v>
      </c>
      <c r="AI383" s="1205">
        <v>0.48599999999999999</v>
      </c>
      <c r="AJ383" s="1205">
        <v>0.52300000000000002</v>
      </c>
      <c r="AK383" s="1203" t="s">
        <v>503</v>
      </c>
      <c r="AL383" s="1206">
        <v>0.5</v>
      </c>
      <c r="AM383" s="1205">
        <v>0.497</v>
      </c>
      <c r="AN383" s="1205">
        <v>0.5</v>
      </c>
      <c r="AO383" s="1205">
        <v>0.53400000000000003</v>
      </c>
      <c r="AP383" s="1203" t="s">
        <v>503</v>
      </c>
      <c r="AQ383" s="1206">
        <v>0.51600000000000001</v>
      </c>
      <c r="AR383" s="1205">
        <v>0.51300000000000001</v>
      </c>
      <c r="AS383" s="1205">
        <v>0.53400000000000003</v>
      </c>
      <c r="AT383" s="1205">
        <v>0.55400000000000005</v>
      </c>
      <c r="AU383" s="802"/>
      <c r="AV383" s="708" t="s">
        <v>503</v>
      </c>
      <c r="AW383" s="708" t="s">
        <v>503</v>
      </c>
      <c r="AX383" s="708" t="s">
        <v>503</v>
      </c>
      <c r="AY383" s="708" t="s">
        <v>503</v>
      </c>
      <c r="AZ383" s="1188" t="s">
        <v>503</v>
      </c>
      <c r="BA383" s="1205">
        <v>0.58499999999999996</v>
      </c>
      <c r="BB383" s="1205">
        <v>0.55500000000000005</v>
      </c>
      <c r="BC383" s="1205">
        <v>0.54</v>
      </c>
      <c r="BD383" s="1203" t="s">
        <v>503</v>
      </c>
      <c r="BE383" s="1206">
        <v>0.55900000000000005</v>
      </c>
      <c r="BF383" s="1205">
        <v>0.57299999999999995</v>
      </c>
      <c r="BG383" s="1205">
        <v>0.52900000000000003</v>
      </c>
      <c r="BH383" s="1205">
        <v>0.52700000000000002</v>
      </c>
      <c r="BI383" s="1205">
        <v>0.53300000000000003</v>
      </c>
      <c r="BJ383" s="1206">
        <v>0.54500000000000004</v>
      </c>
      <c r="BK383" s="558">
        <v>0.57899999999999996</v>
      </c>
      <c r="BL383" s="558">
        <v>0.53</v>
      </c>
      <c r="BM383" s="1207">
        <v>0.50800000000000001</v>
      </c>
      <c r="BN383" s="1207">
        <v>0.49299999999999999</v>
      </c>
      <c r="BO383" s="1208">
        <v>0.52700000000000002</v>
      </c>
      <c r="BP383" s="558">
        <v>0.53300000000000003</v>
      </c>
      <c r="BQ383" s="558">
        <v>0.51800000000000002</v>
      </c>
      <c r="BR383" s="1207">
        <v>0.505</v>
      </c>
      <c r="BS383" s="1207">
        <v>0.51300000000000001</v>
      </c>
      <c r="BT383" s="1208">
        <v>0.52500000000000002</v>
      </c>
      <c r="BU383" s="558">
        <v>0.55400000000000005</v>
      </c>
      <c r="BV383" s="558">
        <v>0.50800000000000001</v>
      </c>
      <c r="BW383" s="1207">
        <v>0.50700000000000001</v>
      </c>
      <c r="BX383" s="1207">
        <v>0.51100000000000001</v>
      </c>
      <c r="BY383" s="1208">
        <v>0.52500000000000002</v>
      </c>
      <c r="BZ383" s="558">
        <v>0.56100000000000005</v>
      </c>
      <c r="CA383" s="558">
        <v>0.52400000000000002</v>
      </c>
      <c r="CB383" s="1207">
        <v>0.51</v>
      </c>
      <c r="CC383" s="1207">
        <v>0.51500000000000001</v>
      </c>
      <c r="CD383" s="1208">
        <v>0.53</v>
      </c>
      <c r="CE383" s="558">
        <v>0.55600000000000005</v>
      </c>
      <c r="CF383" s="558">
        <v>0.51600000000000001</v>
      </c>
      <c r="CG383" s="1207">
        <v>0.504</v>
      </c>
      <c r="CH383" s="1207">
        <v>0.50800000000000001</v>
      </c>
      <c r="CI383" s="1208">
        <v>0.52100000000000002</v>
      </c>
      <c r="CJ383" s="558">
        <v>0.54</v>
      </c>
      <c r="CK383" s="558">
        <v>0.503</v>
      </c>
      <c r="CL383" s="1207">
        <v>0.48299999999999998</v>
      </c>
      <c r="CM383" s="1207">
        <v>0.49299999999999999</v>
      </c>
      <c r="CN383" s="1208">
        <v>0.504</v>
      </c>
      <c r="CO383" s="558">
        <v>0.53800000000000003</v>
      </c>
      <c r="CP383" s="558">
        <v>0.5</v>
      </c>
      <c r="CQ383" s="1207">
        <v>0.49099999999999999</v>
      </c>
      <c r="CR383" s="1207">
        <v>0.48899999999999999</v>
      </c>
      <c r="CS383" s="1208">
        <v>0.504</v>
      </c>
      <c r="CT383" s="558">
        <v>0.51600000000000001</v>
      </c>
      <c r="CU383" s="558">
        <v>0.49199999999999999</v>
      </c>
      <c r="CV383" s="1207">
        <v>0.47799999999999998</v>
      </c>
      <c r="CW383" s="1207">
        <v>0.47699999999999998</v>
      </c>
      <c r="CX383" s="1208">
        <v>0.49099999999999999</v>
      </c>
      <c r="CY383" s="558">
        <v>0.50900000000000001</v>
      </c>
      <c r="CZ383" s="558">
        <v>0.47299999999999998</v>
      </c>
      <c r="DA383" s="1207">
        <v>0.47</v>
      </c>
      <c r="DB383" s="1207">
        <v>0.47199999999999998</v>
      </c>
      <c r="DC383" s="1208">
        <v>0.48</v>
      </c>
      <c r="DD383" s="558">
        <v>0.51</v>
      </c>
      <c r="DE383" s="558">
        <v>0.48899999999999999</v>
      </c>
      <c r="DF383" s="1207">
        <v>0.48399999999999999</v>
      </c>
      <c r="DG383" s="1207">
        <v>0.49</v>
      </c>
      <c r="DH383" s="1208">
        <v>0.49299999999999999</v>
      </c>
      <c r="DI383" s="1284">
        <v>0.52100000000000002</v>
      </c>
      <c r="DJ383" s="1284">
        <v>0.49299999999999999</v>
      </c>
      <c r="DK383" s="1285">
        <v>0.47899999999999998</v>
      </c>
      <c r="DL383" s="1285">
        <v>0.48099999999999998</v>
      </c>
      <c r="DM383" s="1283">
        <v>0.49399999999999999</v>
      </c>
      <c r="DN383" s="1284">
        <v>0.52400000000000002</v>
      </c>
      <c r="DO383" s="1284">
        <v>0.48399999999999999</v>
      </c>
      <c r="DP383" s="1284">
        <v>0.48599999999999999</v>
      </c>
      <c r="DQ383" s="1285">
        <v>0.48299999999999998</v>
      </c>
      <c r="DR383" s="1283">
        <v>0.499</v>
      </c>
      <c r="DS383" s="1290"/>
      <c r="DT383" s="561"/>
      <c r="DU383" s="561"/>
      <c r="DV383" s="1290"/>
      <c r="DW383" s="844"/>
      <c r="DX383" s="561"/>
      <c r="DY383" s="561"/>
      <c r="DZ383" s="561"/>
      <c r="EA383" s="561"/>
      <c r="EB383" s="844"/>
      <c r="EC383" s="561"/>
      <c r="ED383" s="561"/>
      <c r="EE383" s="561"/>
      <c r="EF383" s="561"/>
      <c r="EG383" s="844"/>
      <c r="EH383" s="561"/>
      <c r="EI383" s="561"/>
      <c r="EJ383" s="561"/>
      <c r="EK383" s="561"/>
      <c r="EL383" s="844"/>
    </row>
    <row r="384" spans="1:142" hidden="1" outlineLevel="1">
      <c r="A384" s="557"/>
      <c r="B384" s="973" t="s">
        <v>688</v>
      </c>
      <c r="C384" s="1205"/>
      <c r="D384" s="1205"/>
      <c r="E384" s="1205"/>
      <c r="F384" s="1205"/>
      <c r="G384" s="1203"/>
      <c r="H384" s="1206"/>
      <c r="I384" s="1205"/>
      <c r="J384" s="1205"/>
      <c r="K384" s="1205"/>
      <c r="L384" s="1203"/>
      <c r="M384" s="1206"/>
      <c r="N384" s="1205"/>
      <c r="O384" s="1205"/>
      <c r="P384" s="1205"/>
      <c r="Q384" s="1203"/>
      <c r="R384" s="1206"/>
      <c r="S384" s="1205"/>
      <c r="T384" s="1205"/>
      <c r="U384" s="1205"/>
      <c r="V384" s="1203"/>
      <c r="W384" s="1206"/>
      <c r="X384" s="1205"/>
      <c r="Y384" s="1205"/>
      <c r="Z384" s="1205"/>
      <c r="AA384" s="1203"/>
      <c r="AB384" s="1206"/>
      <c r="AC384" s="1205"/>
      <c r="AD384" s="1205"/>
      <c r="AE384" s="1205"/>
      <c r="AF384" s="1203"/>
      <c r="AG384" s="1206"/>
      <c r="AH384" s="1205"/>
      <c r="AI384" s="1205"/>
      <c r="AJ384" s="1205"/>
      <c r="AK384" s="1203"/>
      <c r="AL384" s="1206"/>
      <c r="AM384" s="1205"/>
      <c r="AN384" s="1205"/>
      <c r="AO384" s="1205"/>
      <c r="AP384" s="1203"/>
      <c r="AQ384" s="1206"/>
      <c r="AR384" s="1205"/>
      <c r="AS384" s="1205"/>
      <c r="AT384" s="1205"/>
      <c r="AU384" s="802"/>
      <c r="AV384" s="708"/>
      <c r="AW384" s="708"/>
      <c r="AX384" s="708"/>
      <c r="AY384" s="708"/>
      <c r="AZ384" s="1188"/>
      <c r="BA384" s="1205"/>
      <c r="BB384" s="1205"/>
      <c r="BC384" s="1205"/>
      <c r="BD384" s="1203"/>
      <c r="BE384" s="1206"/>
      <c r="BF384" s="1205"/>
      <c r="BG384" s="1205"/>
      <c r="BH384" s="1205"/>
      <c r="BI384" s="1205"/>
      <c r="BJ384" s="1206"/>
      <c r="BK384" s="558"/>
      <c r="BL384" s="558"/>
      <c r="BM384" s="1207"/>
      <c r="BN384" s="1207"/>
      <c r="BO384" s="1208"/>
      <c r="BP384" s="558"/>
      <c r="BQ384" s="558"/>
      <c r="BR384" s="1207"/>
      <c r="BS384" s="1207"/>
      <c r="BT384" s="1208"/>
      <c r="BU384" s="558"/>
      <c r="BV384" s="558"/>
      <c r="BW384" s="1207"/>
      <c r="BX384" s="1207"/>
      <c r="BY384" s="1208"/>
      <c r="BZ384" s="558"/>
      <c r="CA384" s="558"/>
      <c r="CB384" s="1207"/>
      <c r="CC384" s="1207"/>
      <c r="CD384" s="1208"/>
      <c r="CE384" s="558"/>
      <c r="CF384" s="558"/>
      <c r="CG384" s="1207"/>
      <c r="CH384" s="1207"/>
      <c r="CI384" s="1208"/>
      <c r="CJ384" s="558"/>
      <c r="CK384" s="558"/>
      <c r="CL384" s="1207"/>
      <c r="CM384" s="1207"/>
      <c r="CN384" s="1208"/>
      <c r="CO384" s="558"/>
      <c r="CP384" s="558"/>
      <c r="CQ384" s="1207"/>
      <c r="CR384" s="1207"/>
      <c r="CS384" s="1208"/>
      <c r="CT384" s="558"/>
      <c r="CU384" s="558"/>
      <c r="CV384" s="1207"/>
      <c r="CW384" s="1207"/>
      <c r="CX384" s="1208"/>
      <c r="CY384" s="558"/>
      <c r="CZ384" s="558"/>
      <c r="DA384" s="1207"/>
      <c r="DB384" s="1207"/>
      <c r="DC384" s="1208"/>
      <c r="DD384" s="558"/>
      <c r="DE384" s="558"/>
      <c r="DF384" s="1207"/>
      <c r="DG384" s="1207"/>
      <c r="DH384" s="1208"/>
      <c r="DI384" s="1284"/>
      <c r="DJ384" s="1284"/>
      <c r="DK384" s="1285"/>
      <c r="DL384" s="1285"/>
      <c r="DM384" s="1283"/>
      <c r="DN384" s="1284"/>
      <c r="DO384" s="1284"/>
      <c r="DP384" s="1284"/>
      <c r="DQ384" s="1285"/>
      <c r="DR384" s="1283"/>
      <c r="DS384" s="1290"/>
      <c r="DT384" s="561"/>
      <c r="DU384" s="561"/>
      <c r="DV384" s="1290"/>
      <c r="DW384" s="844"/>
      <c r="DX384" s="561"/>
      <c r="DY384" s="561"/>
      <c r="DZ384" s="561"/>
      <c r="EA384" s="561"/>
      <c r="EB384" s="844"/>
      <c r="EC384" s="561"/>
      <c r="ED384" s="561"/>
      <c r="EE384" s="561"/>
      <c r="EF384" s="561"/>
      <c r="EG384" s="844"/>
      <c r="EH384" s="561"/>
      <c r="EI384" s="561"/>
      <c r="EJ384" s="561"/>
      <c r="EK384" s="561"/>
      <c r="EL384" s="844"/>
    </row>
    <row r="385" spans="1:142" hidden="1" outlineLevel="1">
      <c r="A385" s="557"/>
      <c r="B385" s="557" t="s">
        <v>208</v>
      </c>
      <c r="C385" s="1201"/>
      <c r="D385" s="1201">
        <v>377539</v>
      </c>
      <c r="E385" s="1201">
        <v>369211</v>
      </c>
      <c r="F385" s="1201">
        <v>394453</v>
      </c>
      <c r="G385" s="960">
        <f>H385-SUM(D385:F385)</f>
        <v>1152383</v>
      </c>
      <c r="H385" s="1202">
        <v>2293586</v>
      </c>
      <c r="I385" s="1201">
        <v>1278757</v>
      </c>
      <c r="J385" s="1201">
        <v>1387899</v>
      </c>
      <c r="K385" s="1201">
        <v>1446545</v>
      </c>
      <c r="L385" s="960">
        <f>M385-SUM(I385:K385)</f>
        <v>1496349</v>
      </c>
      <c r="M385" s="1202">
        <v>5609550</v>
      </c>
      <c r="N385" s="1201">
        <v>1540745</v>
      </c>
      <c r="O385" s="1201">
        <v>1615945</v>
      </c>
      <c r="P385" s="1201">
        <v>2620508</v>
      </c>
      <c r="Q385" s="960">
        <f>R385-SUM(N385:P385)</f>
        <v>4220068</v>
      </c>
      <c r="R385" s="1202">
        <v>9997266</v>
      </c>
      <c r="S385" s="1201">
        <v>2652213</v>
      </c>
      <c r="T385" s="1201">
        <v>2642883</v>
      </c>
      <c r="U385" s="1201">
        <v>2535187</v>
      </c>
      <c r="V385" s="960">
        <f>W385-SUM(S385:U385)</f>
        <v>2572674</v>
      </c>
      <c r="W385" s="1202">
        <v>10402957</v>
      </c>
      <c r="X385" s="1201">
        <v>2420628</v>
      </c>
      <c r="Y385" s="1201">
        <v>2326712</v>
      </c>
      <c r="Z385" s="1201">
        <v>2372360</v>
      </c>
      <c r="AA385" s="960">
        <f>AB385-SUM(X385:Z385)</f>
        <v>2535275</v>
      </c>
      <c r="AB385" s="1202">
        <v>9654975</v>
      </c>
      <c r="AC385" s="1201">
        <v>2468827</v>
      </c>
      <c r="AD385" s="1201">
        <v>2289819</v>
      </c>
      <c r="AE385" s="1201">
        <v>2220852</v>
      </c>
      <c r="AF385" s="960">
        <f>AG385-SUM(AC385:AE385)</f>
        <v>2296874</v>
      </c>
      <c r="AG385" s="1202">
        <v>9276372</v>
      </c>
      <c r="AH385" s="1201">
        <v>2276519</v>
      </c>
      <c r="AI385" s="1201">
        <v>2240966</v>
      </c>
      <c r="AJ385" s="1201">
        <v>2216645</v>
      </c>
      <c r="AK385" s="960">
        <f>AL385-SUM(AH385:AJ385)</f>
        <v>2319987</v>
      </c>
      <c r="AL385" s="1202">
        <v>9054117</v>
      </c>
      <c r="AM385" s="1201">
        <v>2310626</v>
      </c>
      <c r="AN385" s="1201">
        <v>2277623</v>
      </c>
      <c r="AO385" s="1201">
        <v>2261010</v>
      </c>
      <c r="AP385" s="960">
        <f>AQ385-SUM(AM385:AO385)</f>
        <v>2471484</v>
      </c>
      <c r="AQ385" s="1202">
        <v>9320743</v>
      </c>
      <c r="AR385" s="1201">
        <v>2329280</v>
      </c>
      <c r="AS385" s="1201">
        <v>2343917</v>
      </c>
      <c r="AT385" s="1201">
        <v>2275989</v>
      </c>
      <c r="AU385" s="802"/>
      <c r="AV385" s="708" t="s">
        <v>503</v>
      </c>
      <c r="AW385" s="708" t="s">
        <v>503</v>
      </c>
      <c r="AX385" s="708" t="s">
        <v>503</v>
      </c>
      <c r="AY385" s="708" t="s">
        <v>503</v>
      </c>
      <c r="AZ385" s="1188" t="s">
        <v>503</v>
      </c>
      <c r="BA385" s="1201">
        <v>2140993</v>
      </c>
      <c r="BB385" s="1201">
        <v>2144668</v>
      </c>
      <c r="BC385" s="1201">
        <v>2125595</v>
      </c>
      <c r="BD385" s="960">
        <f>BE385-SUM(BA385:BC385)</f>
        <v>2015840</v>
      </c>
      <c r="BE385" s="1202">
        <v>8427096</v>
      </c>
      <c r="BF385" s="1201">
        <v>1572413</v>
      </c>
      <c r="BG385" s="1201">
        <v>1513651</v>
      </c>
      <c r="BH385" s="1201">
        <v>1339354</v>
      </c>
      <c r="BI385" s="1201">
        <v>1349983</v>
      </c>
      <c r="BJ385" s="1202">
        <v>5664357</v>
      </c>
      <c r="BK385" s="901">
        <v>1376156</v>
      </c>
      <c r="BL385" s="901">
        <v>1341793</v>
      </c>
      <c r="BM385" s="555">
        <v>1246170</v>
      </c>
      <c r="BN385" s="555">
        <v>1200682</v>
      </c>
      <c r="BO385" s="802">
        <v>5164801</v>
      </c>
      <c r="BP385" s="901">
        <v>1228199</v>
      </c>
      <c r="BQ385" s="901">
        <v>1083060</v>
      </c>
      <c r="BR385" s="555">
        <v>1050600</v>
      </c>
      <c r="BS385" s="555">
        <v>1051106</v>
      </c>
      <c r="BT385" s="802">
        <v>4280812</v>
      </c>
      <c r="BU385" s="901">
        <v>1069676</v>
      </c>
      <c r="BV385" s="901">
        <v>1049048</v>
      </c>
      <c r="BW385" s="555">
        <v>1004577</v>
      </c>
      <c r="BX385" s="555">
        <v>1002585</v>
      </c>
      <c r="BY385" s="802">
        <v>4042350</v>
      </c>
      <c r="BZ385" s="901">
        <v>1026545</v>
      </c>
      <c r="CA385" s="901">
        <v>972261</v>
      </c>
      <c r="CB385" s="555">
        <v>959222</v>
      </c>
      <c r="CC385" s="555">
        <v>946322</v>
      </c>
      <c r="CD385" s="802">
        <v>3828079</v>
      </c>
      <c r="CE385" s="901">
        <v>983865</v>
      </c>
      <c r="CF385" s="901">
        <v>996468</v>
      </c>
      <c r="CG385" s="555">
        <v>995968</v>
      </c>
      <c r="CH385" s="555">
        <v>971741</v>
      </c>
      <c r="CI385" s="802">
        <v>3934496</v>
      </c>
      <c r="CJ385" s="901">
        <v>952915</v>
      </c>
      <c r="CK385" s="901">
        <v>988706</v>
      </c>
      <c r="CL385" s="555">
        <v>976310</v>
      </c>
      <c r="CM385" s="555">
        <v>999827</v>
      </c>
      <c r="CN385" s="802">
        <v>3917758</v>
      </c>
      <c r="CO385" s="901">
        <v>990411</v>
      </c>
      <c r="CP385" s="901">
        <v>994204</v>
      </c>
      <c r="CQ385" s="555">
        <v>987318</v>
      </c>
      <c r="CR385" s="555">
        <v>982083</v>
      </c>
      <c r="CS385" s="802">
        <v>3954016</v>
      </c>
      <c r="CT385" s="901">
        <v>1031611</v>
      </c>
      <c r="CU385" s="901">
        <v>1046768</v>
      </c>
      <c r="CV385" s="555">
        <v>1035236</v>
      </c>
      <c r="CW385" s="555">
        <v>1053499</v>
      </c>
      <c r="CX385" s="802">
        <v>4167114</v>
      </c>
      <c r="CY385" s="901">
        <v>1054789</v>
      </c>
      <c r="CZ385" s="901">
        <v>1072712</v>
      </c>
      <c r="DA385" s="555">
        <v>1071421</v>
      </c>
      <c r="DB385" s="555">
        <v>1875684</v>
      </c>
      <c r="DC385" s="802">
        <v>5074606</v>
      </c>
      <c r="DD385" s="901">
        <v>1947687</v>
      </c>
      <c r="DE385" s="901">
        <v>2066051</v>
      </c>
      <c r="DF385" s="555">
        <v>2125002</v>
      </c>
      <c r="DG385" s="555">
        <v>2145138</v>
      </c>
      <c r="DH385" s="802">
        <v>8283878</v>
      </c>
      <c r="DI385" s="1519">
        <v>1852780</v>
      </c>
      <c r="DJ385" s="1519">
        <v>1815393</v>
      </c>
      <c r="DK385" s="1507">
        <v>1792264</v>
      </c>
      <c r="DL385" s="1507">
        <v>1806125</v>
      </c>
      <c r="DM385" s="1506">
        <v>7176650</v>
      </c>
      <c r="DN385" s="1519">
        <v>2059169</v>
      </c>
      <c r="DO385" s="1519">
        <v>2025946</v>
      </c>
      <c r="DP385" s="1519">
        <v>1917200</v>
      </c>
      <c r="DQ385" s="1507">
        <v>1869272</v>
      </c>
      <c r="DR385" s="1506">
        <v>7697302</v>
      </c>
      <c r="DS385" s="1290"/>
      <c r="DT385" s="561"/>
      <c r="DU385" s="561"/>
      <c r="DV385" s="1290"/>
      <c r="DW385" s="844"/>
      <c r="DX385" s="561"/>
      <c r="DY385" s="561"/>
      <c r="DZ385" s="561"/>
      <c r="EA385" s="561"/>
      <c r="EB385" s="844"/>
      <c r="EC385" s="561"/>
      <c r="ED385" s="561"/>
      <c r="EE385" s="561"/>
      <c r="EF385" s="561"/>
      <c r="EG385" s="844"/>
      <c r="EH385" s="561"/>
      <c r="EI385" s="561"/>
      <c r="EJ385" s="561"/>
      <c r="EK385" s="561"/>
      <c r="EL385" s="844"/>
    </row>
    <row r="386" spans="1:142" hidden="1" outlineLevel="1">
      <c r="A386" s="1300"/>
      <c r="B386" s="1300" t="s">
        <v>209</v>
      </c>
      <c r="C386" s="1301"/>
      <c r="D386" s="1301" t="s">
        <v>503</v>
      </c>
      <c r="E386" s="1301" t="s">
        <v>503</v>
      </c>
      <c r="F386" s="1301" t="s">
        <v>503</v>
      </c>
      <c r="G386" s="1301" t="s">
        <v>503</v>
      </c>
      <c r="H386" s="1302" t="s">
        <v>503</v>
      </c>
      <c r="I386" s="1301" t="s">
        <v>503</v>
      </c>
      <c r="J386" s="1301" t="s">
        <v>503</v>
      </c>
      <c r="K386" s="1301" t="s">
        <v>503</v>
      </c>
      <c r="L386" s="1301" t="s">
        <v>503</v>
      </c>
      <c r="M386" s="1302" t="s">
        <v>503</v>
      </c>
      <c r="N386" s="1301" t="s">
        <v>503</v>
      </c>
      <c r="O386" s="1301" t="s">
        <v>503</v>
      </c>
      <c r="P386" s="1301" t="s">
        <v>503</v>
      </c>
      <c r="Q386" s="1301" t="s">
        <v>503</v>
      </c>
      <c r="R386" s="1302" t="s">
        <v>503</v>
      </c>
      <c r="S386" s="1301" t="s">
        <v>503</v>
      </c>
      <c r="T386" s="1301" t="s">
        <v>503</v>
      </c>
      <c r="U386" s="1301" t="s">
        <v>503</v>
      </c>
      <c r="V386" s="1301" t="s">
        <v>503</v>
      </c>
      <c r="W386" s="1302" t="s">
        <v>503</v>
      </c>
      <c r="X386" s="1301" t="s">
        <v>503</v>
      </c>
      <c r="Y386" s="1301" t="s">
        <v>503</v>
      </c>
      <c r="Z386" s="1301" t="s">
        <v>503</v>
      </c>
      <c r="AA386" s="1301" t="s">
        <v>503</v>
      </c>
      <c r="AB386" s="1302" t="s">
        <v>503</v>
      </c>
      <c r="AC386" s="1301" t="s">
        <v>503</v>
      </c>
      <c r="AD386" s="1301" t="s">
        <v>503</v>
      </c>
      <c r="AE386" s="1301" t="s">
        <v>503</v>
      </c>
      <c r="AF386" s="1301" t="s">
        <v>503</v>
      </c>
      <c r="AG386" s="1302" t="s">
        <v>503</v>
      </c>
      <c r="AH386" s="1301" t="s">
        <v>503</v>
      </c>
      <c r="AI386" s="1301" t="s">
        <v>503</v>
      </c>
      <c r="AJ386" s="1301" t="s">
        <v>503</v>
      </c>
      <c r="AK386" s="1301" t="s">
        <v>503</v>
      </c>
      <c r="AL386" s="1302" t="s">
        <v>503</v>
      </c>
      <c r="AM386" s="1301" t="s">
        <v>503</v>
      </c>
      <c r="AN386" s="1301" t="s">
        <v>503</v>
      </c>
      <c r="AO386" s="1301" t="s">
        <v>503</v>
      </c>
      <c r="AP386" s="1301" t="s">
        <v>503</v>
      </c>
      <c r="AQ386" s="1302" t="s">
        <v>503</v>
      </c>
      <c r="AR386" s="1301" t="s">
        <v>503</v>
      </c>
      <c r="AS386" s="1301" t="s">
        <v>503</v>
      </c>
      <c r="AT386" s="1301" t="s">
        <v>503</v>
      </c>
      <c r="AU386" s="1303"/>
      <c r="AV386" s="1301" t="s">
        <v>503</v>
      </c>
      <c r="AW386" s="1301" t="s">
        <v>503</v>
      </c>
      <c r="AX386" s="1301" t="s">
        <v>503</v>
      </c>
      <c r="AY386" s="1317" t="s">
        <v>503</v>
      </c>
      <c r="AZ386" s="1317" t="s">
        <v>503</v>
      </c>
      <c r="BA386" s="1301" t="s">
        <v>503</v>
      </c>
      <c r="BB386" s="1301" t="s">
        <v>503</v>
      </c>
      <c r="BC386" s="1301" t="s">
        <v>503</v>
      </c>
      <c r="BD386" s="1317" t="s">
        <v>503</v>
      </c>
      <c r="BE386" s="1317" t="s">
        <v>503</v>
      </c>
      <c r="BF386" s="1301" t="s">
        <v>503</v>
      </c>
      <c r="BG386" s="1301" t="s">
        <v>503</v>
      </c>
      <c r="BH386" s="1301" t="s">
        <v>503</v>
      </c>
      <c r="BI386" s="1317" t="s">
        <v>503</v>
      </c>
      <c r="BJ386" s="1317" t="s">
        <v>503</v>
      </c>
      <c r="BK386" s="321" t="s">
        <v>503</v>
      </c>
      <c r="BL386" s="321" t="s">
        <v>503</v>
      </c>
      <c r="BM386" s="321" t="s">
        <v>503</v>
      </c>
      <c r="BN386" s="1308" t="s">
        <v>503</v>
      </c>
      <c r="BO386" s="1309" t="s">
        <v>503</v>
      </c>
      <c r="BP386" s="321">
        <f>BP374-BP387</f>
        <v>-39496</v>
      </c>
      <c r="BQ386" s="321">
        <f>BQ374-BQ387</f>
        <v>-42505</v>
      </c>
      <c r="BR386" s="321">
        <f>BR374-BR387</f>
        <v>-45217</v>
      </c>
      <c r="BS386" s="1308">
        <f>BS374-BS387</f>
        <v>-39902</v>
      </c>
      <c r="BT386" s="1309">
        <f>SUM(BP386:BS386)</f>
        <v>-167120</v>
      </c>
      <c r="BU386" s="321">
        <f>BU374-BU387</f>
        <v>-43225</v>
      </c>
      <c r="BV386" s="321">
        <f>BV374-BV387</f>
        <v>-44960</v>
      </c>
      <c r="BW386" s="321">
        <f>BW374-BW387</f>
        <v>-43984</v>
      </c>
      <c r="BX386" s="1308">
        <f>BX374-BX387</f>
        <v>-37904</v>
      </c>
      <c r="BY386" s="1309">
        <f>SUM(BU386:BX386)</f>
        <v>-170073</v>
      </c>
      <c r="BZ386" s="321">
        <v>904045</v>
      </c>
      <c r="CA386" s="321">
        <v>854249</v>
      </c>
      <c r="CB386" s="321">
        <v>839920</v>
      </c>
      <c r="CC386" s="1308">
        <v>830633</v>
      </c>
      <c r="CD386" s="1309">
        <v>3355514</v>
      </c>
      <c r="CE386" s="321">
        <v>873084</v>
      </c>
      <c r="CF386" s="321">
        <v>881986</v>
      </c>
      <c r="CG386" s="321">
        <v>878765</v>
      </c>
      <c r="CH386" s="1308">
        <v>858579</v>
      </c>
      <c r="CI386" s="1309">
        <v>3480137</v>
      </c>
      <c r="CJ386" s="321">
        <v>856328</v>
      </c>
      <c r="CK386" s="321">
        <v>883922</v>
      </c>
      <c r="CL386" s="321">
        <v>871930</v>
      </c>
      <c r="CM386" s="1308">
        <v>900182</v>
      </c>
      <c r="CN386" s="1309">
        <v>3512362</v>
      </c>
      <c r="CO386" s="321">
        <v>909359</v>
      </c>
      <c r="CP386" s="321">
        <v>912890</v>
      </c>
      <c r="CQ386" s="321">
        <v>901695</v>
      </c>
      <c r="CR386" s="1308">
        <v>884421</v>
      </c>
      <c r="CS386" s="1309">
        <v>3554231</v>
      </c>
      <c r="CT386" s="321">
        <v>926474</v>
      </c>
      <c r="CU386" s="321">
        <v>937570</v>
      </c>
      <c r="CV386" s="321">
        <v>922700</v>
      </c>
      <c r="CW386" s="1308">
        <v>941658</v>
      </c>
      <c r="CX386" s="1309">
        <v>3728402</v>
      </c>
      <c r="CY386" s="321">
        <v>944549</v>
      </c>
      <c r="CZ386" s="321">
        <v>958379</v>
      </c>
      <c r="DA386" s="321">
        <v>956871</v>
      </c>
      <c r="DB386" s="1308">
        <v>974396</v>
      </c>
      <c r="DC386" s="1309">
        <v>974396</v>
      </c>
      <c r="DD386" s="321">
        <v>968817</v>
      </c>
      <c r="DE386" s="321">
        <v>1031920</v>
      </c>
      <c r="DF386" s="321">
        <v>1042636</v>
      </c>
      <c r="DG386" s="1308">
        <f>DG374-DG387</f>
        <v>-40146</v>
      </c>
      <c r="DH386" s="1309">
        <v>7610558</v>
      </c>
      <c r="DI386" s="1511">
        <v>1710661</v>
      </c>
      <c r="DJ386" s="1511">
        <v>1691554</v>
      </c>
      <c r="DK386" s="1511">
        <v>1659417</v>
      </c>
      <c r="DL386" s="1510">
        <v>1680609</v>
      </c>
      <c r="DM386" s="1509">
        <v>6670711</v>
      </c>
      <c r="DN386" s="1511">
        <v>1907998</v>
      </c>
      <c r="DO386" s="1511">
        <v>1884716</v>
      </c>
      <c r="DP386" s="1511">
        <v>1784379</v>
      </c>
      <c r="DQ386" s="1510">
        <v>1757013</v>
      </c>
      <c r="DR386" s="1509">
        <v>7200453</v>
      </c>
      <c r="DS386" s="1310"/>
      <c r="DT386" s="321"/>
      <c r="DU386" s="321"/>
      <c r="DV386" s="1311"/>
      <c r="DW386" s="1309"/>
      <c r="DX386" s="321"/>
      <c r="DY386" s="321"/>
      <c r="DZ386" s="321"/>
      <c r="EA386" s="321"/>
      <c r="EB386" s="1309"/>
      <c r="EC386" s="321"/>
      <c r="ED386" s="321"/>
      <c r="EE386" s="321"/>
      <c r="EF386" s="321"/>
      <c r="EG386" s="1309"/>
      <c r="EH386" s="321"/>
      <c r="EI386" s="321"/>
      <c r="EJ386" s="321"/>
      <c r="EK386" s="321"/>
      <c r="EL386" s="1309"/>
    </row>
    <row r="387" spans="1:142" hidden="1" outlineLevel="1">
      <c r="A387" s="1300"/>
      <c r="B387" s="1300" t="s">
        <v>210</v>
      </c>
      <c r="C387" s="1301"/>
      <c r="D387" s="1301" t="s">
        <v>503</v>
      </c>
      <c r="E387" s="1301" t="s">
        <v>503</v>
      </c>
      <c r="F387" s="1301" t="s">
        <v>503</v>
      </c>
      <c r="G387" s="1301" t="s">
        <v>503</v>
      </c>
      <c r="H387" s="1302" t="s">
        <v>503</v>
      </c>
      <c r="I387" s="1301" t="s">
        <v>503</v>
      </c>
      <c r="J387" s="1301" t="s">
        <v>503</v>
      </c>
      <c r="K387" s="1301" t="s">
        <v>503</v>
      </c>
      <c r="L387" s="1301" t="s">
        <v>503</v>
      </c>
      <c r="M387" s="1302" t="s">
        <v>503</v>
      </c>
      <c r="N387" s="1301" t="s">
        <v>503</v>
      </c>
      <c r="O387" s="1301" t="s">
        <v>503</v>
      </c>
      <c r="P387" s="1301" t="s">
        <v>503</v>
      </c>
      <c r="Q387" s="1301" t="s">
        <v>503</v>
      </c>
      <c r="R387" s="1302" t="s">
        <v>503</v>
      </c>
      <c r="S387" s="1301" t="s">
        <v>503</v>
      </c>
      <c r="T387" s="1301" t="s">
        <v>503</v>
      </c>
      <c r="U387" s="1301" t="s">
        <v>503</v>
      </c>
      <c r="V387" s="1301" t="s">
        <v>503</v>
      </c>
      <c r="W387" s="1302" t="s">
        <v>503</v>
      </c>
      <c r="X387" s="1301" t="s">
        <v>503</v>
      </c>
      <c r="Y387" s="1301" t="s">
        <v>503</v>
      </c>
      <c r="Z387" s="1301" t="s">
        <v>503</v>
      </c>
      <c r="AA387" s="1301" t="s">
        <v>503</v>
      </c>
      <c r="AB387" s="1302" t="s">
        <v>503</v>
      </c>
      <c r="AC387" s="1301" t="s">
        <v>503</v>
      </c>
      <c r="AD387" s="1301" t="s">
        <v>503</v>
      </c>
      <c r="AE387" s="1301" t="s">
        <v>503</v>
      </c>
      <c r="AF387" s="1301" t="s">
        <v>503</v>
      </c>
      <c r="AG387" s="1302" t="s">
        <v>503</v>
      </c>
      <c r="AH387" s="1301" t="s">
        <v>503</v>
      </c>
      <c r="AI387" s="1301" t="s">
        <v>503</v>
      </c>
      <c r="AJ387" s="1301" t="s">
        <v>503</v>
      </c>
      <c r="AK387" s="1301" t="s">
        <v>503</v>
      </c>
      <c r="AL387" s="1302" t="s">
        <v>503</v>
      </c>
      <c r="AM387" s="1301" t="s">
        <v>503</v>
      </c>
      <c r="AN387" s="1301" t="s">
        <v>503</v>
      </c>
      <c r="AO387" s="1301" t="s">
        <v>503</v>
      </c>
      <c r="AP387" s="1301" t="s">
        <v>503</v>
      </c>
      <c r="AQ387" s="1302" t="s">
        <v>503</v>
      </c>
      <c r="AR387" s="1301" t="s">
        <v>503</v>
      </c>
      <c r="AS387" s="1301" t="s">
        <v>503</v>
      </c>
      <c r="AT387" s="1301" t="s">
        <v>503</v>
      </c>
      <c r="AU387" s="1303"/>
      <c r="AV387" s="1301" t="s">
        <v>503</v>
      </c>
      <c r="AW387" s="1301" t="s">
        <v>503</v>
      </c>
      <c r="AX387" s="1301" t="s">
        <v>503</v>
      </c>
      <c r="AY387" s="1317" t="s">
        <v>503</v>
      </c>
      <c r="AZ387" s="1317" t="s">
        <v>503</v>
      </c>
      <c r="BA387" s="1301" t="s">
        <v>503</v>
      </c>
      <c r="BB387" s="1301" t="s">
        <v>503</v>
      </c>
      <c r="BC387" s="1301" t="s">
        <v>503</v>
      </c>
      <c r="BD387" s="1317" t="s">
        <v>503</v>
      </c>
      <c r="BE387" s="1317" t="s">
        <v>503</v>
      </c>
      <c r="BF387" s="1301" t="s">
        <v>503</v>
      </c>
      <c r="BG387" s="1301" t="s">
        <v>503</v>
      </c>
      <c r="BH387" s="1301" t="s">
        <v>503</v>
      </c>
      <c r="BI387" s="1317" t="s">
        <v>503</v>
      </c>
      <c r="BJ387" s="1317" t="s">
        <v>503</v>
      </c>
      <c r="BK387" s="321" t="s">
        <v>503</v>
      </c>
      <c r="BL387" s="321" t="s">
        <v>503</v>
      </c>
      <c r="BM387" s="321">
        <f>127470+6018</f>
        <v>133488</v>
      </c>
      <c r="BN387" s="1308">
        <f>124151+5171</f>
        <v>129322</v>
      </c>
      <c r="BO387" s="1309" t="s">
        <v>503</v>
      </c>
      <c r="BP387" s="321">
        <f>125338+5366</f>
        <v>130704</v>
      </c>
      <c r="BQ387" s="321">
        <f>113164+4920</f>
        <v>118084</v>
      </c>
      <c r="BR387" s="321">
        <f>114309+4782</f>
        <v>119091</v>
      </c>
      <c r="BS387" s="1308">
        <f>110824+5683</f>
        <v>116507</v>
      </c>
      <c r="BT387" s="1309">
        <f>SUM(BP387:BS387)</f>
        <v>484386</v>
      </c>
      <c r="BU387" s="321">
        <f>118516+6082</f>
        <v>124598</v>
      </c>
      <c r="BV387" s="321">
        <f>113519+7121</f>
        <v>120640</v>
      </c>
      <c r="BW387" s="321">
        <f>108077+7552</f>
        <v>115629</v>
      </c>
      <c r="BX387" s="1308">
        <f>107542+5240</f>
        <v>112782</v>
      </c>
      <c r="BY387" s="1309">
        <f>SUM(BU387:BX387)</f>
        <v>473649</v>
      </c>
      <c r="BZ387" s="321">
        <f>106885+5801</f>
        <v>112686</v>
      </c>
      <c r="CA387" s="321">
        <f>100733+4857</f>
        <v>105590</v>
      </c>
      <c r="CB387" s="321">
        <f>98157+5333</f>
        <v>103490</v>
      </c>
      <c r="CC387" s="1308">
        <f>93063+6054</f>
        <v>99117</v>
      </c>
      <c r="CD387" s="1309">
        <f>395991+21954</f>
        <v>417945</v>
      </c>
      <c r="CE387" s="321">
        <f>7605+91358</f>
        <v>98963</v>
      </c>
      <c r="CF387" s="321">
        <v>101109</v>
      </c>
      <c r="CG387" s="321">
        <v>104324</v>
      </c>
      <c r="CH387" s="1308">
        <v>97289</v>
      </c>
      <c r="CI387" s="1309">
        <v>400416</v>
      </c>
      <c r="CJ387" s="321">
        <v>96587</v>
      </c>
      <c r="CK387" s="321">
        <v>104784</v>
      </c>
      <c r="CL387" s="321">
        <v>104380</v>
      </c>
      <c r="CM387" s="1308">
        <v>99645</v>
      </c>
      <c r="CN387" s="1309">
        <v>405396</v>
      </c>
      <c r="CO387" s="321">
        <v>101489</v>
      </c>
      <c r="CP387" s="321">
        <v>102940</v>
      </c>
      <c r="CQ387" s="321">
        <v>108241</v>
      </c>
      <c r="CR387" s="1308">
        <v>97662</v>
      </c>
      <c r="CS387" s="1309">
        <v>399785</v>
      </c>
      <c r="CT387" s="321">
        <v>105137</v>
      </c>
      <c r="CU387" s="321">
        <v>109198</v>
      </c>
      <c r="CV387" s="321">
        <v>112536</v>
      </c>
      <c r="CW387" s="1308">
        <v>111841</v>
      </c>
      <c r="CX387" s="1309">
        <v>438712</v>
      </c>
      <c r="CY387" s="321">
        <v>110240</v>
      </c>
      <c r="CZ387" s="321">
        <v>114333</v>
      </c>
      <c r="DA387" s="321">
        <v>114550</v>
      </c>
      <c r="DB387" s="1308">
        <v>113798</v>
      </c>
      <c r="DC387" s="1309">
        <v>113798</v>
      </c>
      <c r="DD387" s="321">
        <v>111857</v>
      </c>
      <c r="DE387" s="321">
        <v>108675</v>
      </c>
      <c r="DF387" s="321">
        <v>113216</v>
      </c>
      <c r="DG387" s="1308">
        <v>164746</v>
      </c>
      <c r="DH387" s="1309">
        <v>673320</v>
      </c>
      <c r="DI387" s="1511">
        <v>142119</v>
      </c>
      <c r="DJ387" s="1511">
        <v>123839</v>
      </c>
      <c r="DK387" s="1511">
        <v>132847</v>
      </c>
      <c r="DL387" s="1510">
        <v>125516</v>
      </c>
      <c r="DM387" s="1509">
        <v>505939</v>
      </c>
      <c r="DN387" s="1511">
        <v>144171</v>
      </c>
      <c r="DO387" s="1511">
        <v>141230</v>
      </c>
      <c r="DP387" s="1511">
        <v>132821</v>
      </c>
      <c r="DQ387" s="1510">
        <v>112259</v>
      </c>
      <c r="DR387" s="1509">
        <v>496849</v>
      </c>
      <c r="DS387" s="1310"/>
      <c r="DT387" s="321"/>
      <c r="DU387" s="321"/>
      <c r="DV387" s="1311"/>
      <c r="DW387" s="1309"/>
      <c r="DX387" s="321"/>
      <c r="DY387" s="321"/>
      <c r="DZ387" s="321"/>
      <c r="EA387" s="321"/>
      <c r="EB387" s="1309"/>
      <c r="EC387" s="321"/>
      <c r="ED387" s="321"/>
      <c r="EE387" s="321"/>
      <c r="EF387" s="321"/>
      <c r="EG387" s="1309"/>
      <c r="EH387" s="321"/>
      <c r="EI387" s="321"/>
      <c r="EJ387" s="321"/>
      <c r="EK387" s="321"/>
      <c r="EL387" s="1309"/>
    </row>
    <row r="388" spans="1:142" hidden="1" outlineLevel="1">
      <c r="A388" s="1300"/>
      <c r="B388" s="1300" t="s">
        <v>211</v>
      </c>
      <c r="C388" s="1301"/>
      <c r="D388" s="1301" t="s">
        <v>503</v>
      </c>
      <c r="E388" s="1301" t="s">
        <v>503</v>
      </c>
      <c r="F388" s="1301" t="s">
        <v>503</v>
      </c>
      <c r="G388" s="1301" t="s">
        <v>503</v>
      </c>
      <c r="H388" s="1302" t="s">
        <v>503</v>
      </c>
      <c r="I388" s="1301" t="s">
        <v>503</v>
      </c>
      <c r="J388" s="1301" t="s">
        <v>503</v>
      </c>
      <c r="K388" s="1301" t="s">
        <v>503</v>
      </c>
      <c r="L388" s="1301" t="s">
        <v>503</v>
      </c>
      <c r="M388" s="1302" t="s">
        <v>503</v>
      </c>
      <c r="N388" s="1301" t="s">
        <v>503</v>
      </c>
      <c r="O388" s="1301" t="s">
        <v>503</v>
      </c>
      <c r="P388" s="1301" t="s">
        <v>503</v>
      </c>
      <c r="Q388" s="1301" t="s">
        <v>503</v>
      </c>
      <c r="R388" s="1302" t="s">
        <v>503</v>
      </c>
      <c r="S388" s="1301" t="s">
        <v>503</v>
      </c>
      <c r="T388" s="1301" t="s">
        <v>503</v>
      </c>
      <c r="U388" s="1301" t="s">
        <v>503</v>
      </c>
      <c r="V388" s="1301" t="s">
        <v>503</v>
      </c>
      <c r="W388" s="1302" t="s">
        <v>503</v>
      </c>
      <c r="X388" s="1301" t="s">
        <v>503</v>
      </c>
      <c r="Y388" s="1301" t="s">
        <v>503</v>
      </c>
      <c r="Z388" s="1301" t="s">
        <v>503</v>
      </c>
      <c r="AA388" s="1301" t="s">
        <v>503</v>
      </c>
      <c r="AB388" s="1302" t="s">
        <v>503</v>
      </c>
      <c r="AC388" s="1301" t="s">
        <v>503</v>
      </c>
      <c r="AD388" s="1301" t="s">
        <v>503</v>
      </c>
      <c r="AE388" s="1301" t="s">
        <v>503</v>
      </c>
      <c r="AF388" s="1301" t="s">
        <v>503</v>
      </c>
      <c r="AG388" s="1302" t="s">
        <v>503</v>
      </c>
      <c r="AH388" s="1301" t="s">
        <v>503</v>
      </c>
      <c r="AI388" s="1301" t="s">
        <v>503</v>
      </c>
      <c r="AJ388" s="1301" t="s">
        <v>503</v>
      </c>
      <c r="AK388" s="1301" t="s">
        <v>503</v>
      </c>
      <c r="AL388" s="1302" t="s">
        <v>503</v>
      </c>
      <c r="AM388" s="1301" t="s">
        <v>503</v>
      </c>
      <c r="AN388" s="1301" t="s">
        <v>503</v>
      </c>
      <c r="AO388" s="1301" t="s">
        <v>503</v>
      </c>
      <c r="AP388" s="1301" t="s">
        <v>503</v>
      </c>
      <c r="AQ388" s="1302" t="s">
        <v>503</v>
      </c>
      <c r="AR388" s="1301" t="s">
        <v>503</v>
      </c>
      <c r="AS388" s="1301" t="s">
        <v>503</v>
      </c>
      <c r="AT388" s="1301" t="s">
        <v>503</v>
      </c>
      <c r="AU388" s="1303"/>
      <c r="AV388" s="1301" t="s">
        <v>503</v>
      </c>
      <c r="AW388" s="1301" t="s">
        <v>503</v>
      </c>
      <c r="AX388" s="1301" t="s">
        <v>503</v>
      </c>
      <c r="AY388" s="1317" t="s">
        <v>503</v>
      </c>
      <c r="AZ388" s="1317" t="s">
        <v>503</v>
      </c>
      <c r="BA388" s="1301" t="s">
        <v>503</v>
      </c>
      <c r="BB388" s="1301" t="s">
        <v>503</v>
      </c>
      <c r="BC388" s="1301" t="s">
        <v>503</v>
      </c>
      <c r="BD388" s="1317" t="s">
        <v>503</v>
      </c>
      <c r="BE388" s="1317" t="s">
        <v>503</v>
      </c>
      <c r="BF388" s="1301" t="s">
        <v>503</v>
      </c>
      <c r="BG388" s="1301" t="s">
        <v>503</v>
      </c>
      <c r="BH388" s="1301" t="s">
        <v>503</v>
      </c>
      <c r="BI388" s="1317" t="s">
        <v>503</v>
      </c>
      <c r="BJ388" s="1317" t="s">
        <v>503</v>
      </c>
      <c r="BK388" s="321" t="s">
        <v>503</v>
      </c>
      <c r="BL388" s="321" t="s">
        <v>503</v>
      </c>
      <c r="BM388" s="321" t="s">
        <v>503</v>
      </c>
      <c r="BN388" s="1308" t="s">
        <v>503</v>
      </c>
      <c r="BO388" s="1309" t="s">
        <v>503</v>
      </c>
      <c r="BP388" s="321" t="s">
        <v>503</v>
      </c>
      <c r="BQ388" s="321" t="s">
        <v>503</v>
      </c>
      <c r="BR388" s="321" t="s">
        <v>503</v>
      </c>
      <c r="BS388" s="1308" t="s">
        <v>503</v>
      </c>
      <c r="BT388" s="1309" t="s">
        <v>503</v>
      </c>
      <c r="BU388" s="321" t="s">
        <v>503</v>
      </c>
      <c r="BV388" s="321" t="s">
        <v>503</v>
      </c>
      <c r="BW388" s="321" t="s">
        <v>503</v>
      </c>
      <c r="BX388" s="1308" t="s">
        <v>503</v>
      </c>
      <c r="BY388" s="1309" t="s">
        <v>503</v>
      </c>
      <c r="BZ388" s="321" t="s">
        <v>503</v>
      </c>
      <c r="CA388" s="321" t="s">
        <v>503</v>
      </c>
      <c r="CB388" s="321" t="s">
        <v>503</v>
      </c>
      <c r="CC388" s="1308" t="s">
        <v>503</v>
      </c>
      <c r="CD388" s="1309" t="s">
        <v>503</v>
      </c>
      <c r="CE388" s="321">
        <f>1410081-SUM(CF388:CH388)</f>
        <v>343803</v>
      </c>
      <c r="CF388" s="321">
        <v>356125</v>
      </c>
      <c r="CG388" s="321">
        <v>357122</v>
      </c>
      <c r="CH388" s="1308">
        <v>353031</v>
      </c>
      <c r="CI388" s="1309">
        <v>1410081</v>
      </c>
      <c r="CJ388" s="321">
        <v>350320</v>
      </c>
      <c r="CK388" s="321">
        <v>362110</v>
      </c>
      <c r="CL388" s="321">
        <v>359658</v>
      </c>
      <c r="CM388" s="1308">
        <v>359168</v>
      </c>
      <c r="CN388" s="1309">
        <v>1431256</v>
      </c>
      <c r="CO388" s="321">
        <v>371658</v>
      </c>
      <c r="CP388" s="321">
        <v>371389</v>
      </c>
      <c r="CQ388" s="321">
        <v>373295</v>
      </c>
      <c r="CR388" s="1308">
        <v>363230</v>
      </c>
      <c r="CS388" s="1309">
        <v>1457250</v>
      </c>
      <c r="CT388" s="321">
        <v>386398</v>
      </c>
      <c r="CU388" s="321">
        <v>384221</v>
      </c>
      <c r="CV388" s="321">
        <v>384772</v>
      </c>
      <c r="CW388" s="1308">
        <v>399711</v>
      </c>
      <c r="CX388" s="1309">
        <v>1555102</v>
      </c>
      <c r="CY388" s="321">
        <v>402078</v>
      </c>
      <c r="CZ388" s="321">
        <v>399702</v>
      </c>
      <c r="DA388" s="321">
        <v>400345</v>
      </c>
      <c r="DB388" s="1308">
        <v>404950</v>
      </c>
      <c r="DC388" s="1309">
        <v>404950</v>
      </c>
      <c r="DD388" s="321">
        <v>414193</v>
      </c>
      <c r="DE388" s="321">
        <v>432858</v>
      </c>
      <c r="DF388" s="321">
        <v>433174</v>
      </c>
      <c r="DG388" s="1308">
        <v>835951</v>
      </c>
      <c r="DH388" s="1309">
        <v>2824526</v>
      </c>
      <c r="DI388" s="1511">
        <v>688242</v>
      </c>
      <c r="DJ388" s="1511">
        <v>632470</v>
      </c>
      <c r="DK388" s="1511">
        <v>624871</v>
      </c>
      <c r="DL388" s="1510">
        <v>6226280</v>
      </c>
      <c r="DM388" s="1509">
        <v>2520481</v>
      </c>
      <c r="DN388" s="1511">
        <v>733756</v>
      </c>
      <c r="DO388" s="1511">
        <v>703276</v>
      </c>
      <c r="DP388" s="1511">
        <v>662625</v>
      </c>
      <c r="DQ388" s="1510">
        <v>650573</v>
      </c>
      <c r="DR388" s="1509">
        <v>2689519</v>
      </c>
      <c r="DS388" s="1310"/>
      <c r="DT388" s="321"/>
      <c r="DU388" s="321"/>
      <c r="DV388" s="1311"/>
      <c r="DW388" s="1309"/>
      <c r="DX388" s="321"/>
      <c r="DY388" s="321"/>
      <c r="DZ388" s="321"/>
      <c r="EA388" s="321"/>
      <c r="EB388" s="1309"/>
      <c r="EC388" s="321"/>
      <c r="ED388" s="321"/>
      <c r="EE388" s="321"/>
      <c r="EF388" s="321"/>
      <c r="EG388" s="1309"/>
      <c r="EH388" s="321"/>
      <c r="EI388" s="321"/>
      <c r="EJ388" s="321"/>
      <c r="EK388" s="321"/>
      <c r="EL388" s="1309"/>
    </row>
    <row r="389" spans="1:142" hidden="1" outlineLevel="1">
      <c r="A389" s="1300"/>
      <c r="B389" s="973" t="s">
        <v>138</v>
      </c>
      <c r="C389" s="1301"/>
      <c r="D389" s="1301"/>
      <c r="E389" s="1301"/>
      <c r="F389" s="1301"/>
      <c r="G389" s="1301"/>
      <c r="H389" s="1302"/>
      <c r="I389" s="1301"/>
      <c r="J389" s="1301"/>
      <c r="K389" s="1301"/>
      <c r="L389" s="1301"/>
      <c r="M389" s="1302"/>
      <c r="N389" s="1301"/>
      <c r="O389" s="1301"/>
      <c r="P389" s="1301"/>
      <c r="Q389" s="1301"/>
      <c r="R389" s="1302"/>
      <c r="S389" s="1301"/>
      <c r="T389" s="1301"/>
      <c r="U389" s="1301"/>
      <c r="V389" s="1301"/>
      <c r="W389" s="1302"/>
      <c r="X389" s="1301"/>
      <c r="Y389" s="1301"/>
      <c r="Z389" s="1301"/>
      <c r="AA389" s="1301"/>
      <c r="AB389" s="1302"/>
      <c r="AC389" s="1301"/>
      <c r="AD389" s="1301"/>
      <c r="AE389" s="1301"/>
      <c r="AF389" s="1301"/>
      <c r="AG389" s="1302"/>
      <c r="AH389" s="1301"/>
      <c r="AI389" s="1301"/>
      <c r="AJ389" s="1301"/>
      <c r="AK389" s="1301"/>
      <c r="AL389" s="1302"/>
      <c r="AM389" s="1301"/>
      <c r="AN389" s="1301"/>
      <c r="AO389" s="1301"/>
      <c r="AP389" s="1301"/>
      <c r="AQ389" s="1302"/>
      <c r="AR389" s="1301"/>
      <c r="AS389" s="1301"/>
      <c r="AT389" s="1301"/>
      <c r="AU389" s="1303"/>
      <c r="AV389" s="1301"/>
      <c r="AW389" s="1301"/>
      <c r="AX389" s="1301"/>
      <c r="AY389" s="1319"/>
      <c r="AZ389" s="1317"/>
      <c r="BA389" s="1301"/>
      <c r="BB389" s="1301"/>
      <c r="BC389" s="1301"/>
      <c r="BD389" s="1319"/>
      <c r="BE389" s="1317"/>
      <c r="BF389" s="1301"/>
      <c r="BG389" s="1301"/>
      <c r="BH389" s="1301"/>
      <c r="BI389" s="1319"/>
      <c r="BJ389" s="1317"/>
      <c r="BK389" s="321"/>
      <c r="BL389" s="321"/>
      <c r="BM389" s="321"/>
      <c r="BN389" s="1308"/>
      <c r="BO389" s="1309"/>
      <c r="BP389" s="321"/>
      <c r="BQ389" s="321"/>
      <c r="BR389" s="321"/>
      <c r="BS389" s="1308"/>
      <c r="BT389" s="1309"/>
      <c r="BU389" s="321"/>
      <c r="BV389" s="321"/>
      <c r="BW389" s="321"/>
      <c r="BX389" s="1308"/>
      <c r="BY389" s="1309"/>
      <c r="BZ389" s="321"/>
      <c r="CA389" s="321"/>
      <c r="CB389" s="321"/>
      <c r="CC389" s="1308"/>
      <c r="CD389" s="1309"/>
      <c r="CE389" s="321"/>
      <c r="CF389" s="321"/>
      <c r="CG389" s="321"/>
      <c r="CH389" s="1308"/>
      <c r="CI389" s="1309"/>
      <c r="CJ389" s="321"/>
      <c r="CK389" s="321"/>
      <c r="CL389" s="321"/>
      <c r="CM389" s="1308"/>
      <c r="CN389" s="1309"/>
      <c r="CO389" s="321"/>
      <c r="CP389" s="321"/>
      <c r="CQ389" s="321"/>
      <c r="CR389" s="1308"/>
      <c r="CS389" s="1309"/>
      <c r="CT389" s="321"/>
      <c r="CU389" s="321"/>
      <c r="CV389" s="321"/>
      <c r="CW389" s="1308"/>
      <c r="CX389" s="1309"/>
      <c r="CY389" s="321"/>
      <c r="CZ389" s="321"/>
      <c r="DA389" s="321"/>
      <c r="DB389" s="1308"/>
      <c r="DC389" s="1309"/>
      <c r="DD389" s="321"/>
      <c r="DE389" s="321"/>
      <c r="DF389" s="321"/>
      <c r="DG389" s="1308"/>
      <c r="DH389" s="1309"/>
      <c r="DI389" s="1511"/>
      <c r="DJ389" s="1511"/>
      <c r="DK389" s="1511"/>
      <c r="DL389" s="1510"/>
      <c r="DM389" s="1509"/>
      <c r="DN389" s="1511"/>
      <c r="DO389" s="1511"/>
      <c r="DP389" s="1511"/>
      <c r="DQ389" s="1510"/>
      <c r="DR389" s="1509"/>
      <c r="DS389" s="1310"/>
      <c r="DT389" s="321"/>
      <c r="DU389" s="321"/>
      <c r="DV389" s="1311"/>
      <c r="DW389" s="1309"/>
      <c r="DX389" s="321"/>
      <c r="DY389" s="321"/>
      <c r="DZ389" s="321"/>
      <c r="EA389" s="321"/>
      <c r="EB389" s="1309"/>
      <c r="EC389" s="321"/>
      <c r="ED389" s="321"/>
      <c r="EE389" s="321"/>
      <c r="EF389" s="321"/>
      <c r="EG389" s="1309"/>
      <c r="EH389" s="321"/>
      <c r="EI389" s="321"/>
      <c r="EJ389" s="321"/>
      <c r="EK389" s="321"/>
      <c r="EL389" s="1309"/>
    </row>
    <row r="390" spans="1:142" hidden="1" outlineLevel="1">
      <c r="A390" s="557"/>
      <c r="B390" s="557" t="s">
        <v>190</v>
      </c>
      <c r="C390" s="1201"/>
      <c r="D390" s="1201">
        <v>373.37799999999999</v>
      </c>
      <c r="E390" s="1201">
        <v>366.77499999999998</v>
      </c>
      <c r="F390" s="1201">
        <v>385.7</v>
      </c>
      <c r="G390" s="960">
        <f>H390-SUM(D390:F390)</f>
        <v>812.04700000000003</v>
      </c>
      <c r="H390" s="1202">
        <v>1937.9</v>
      </c>
      <c r="I390" s="1201">
        <v>787.3</v>
      </c>
      <c r="J390" s="1201">
        <v>839.4</v>
      </c>
      <c r="K390" s="1201">
        <v>906.7</v>
      </c>
      <c r="L390" s="960">
        <f>M390-SUM(I390:K390)</f>
        <v>906.60000000000036</v>
      </c>
      <c r="M390" s="1202">
        <v>3440</v>
      </c>
      <c r="N390" s="1201">
        <v>858.2</v>
      </c>
      <c r="O390" s="1201">
        <v>884.5</v>
      </c>
      <c r="P390" s="1201">
        <v>1377</v>
      </c>
      <c r="Q390" s="960">
        <f>R390-SUM(N390:P390)</f>
        <v>2107.3000000000002</v>
      </c>
      <c r="R390" s="1202">
        <v>5227</v>
      </c>
      <c r="S390" s="1201">
        <v>1341</v>
      </c>
      <c r="T390" s="1201">
        <v>1390</v>
      </c>
      <c r="U390" s="1201">
        <v>1564</v>
      </c>
      <c r="V390" s="960">
        <f>W390-SUM(S390:U390)</f>
        <v>1548</v>
      </c>
      <c r="W390" s="1202">
        <v>5843</v>
      </c>
      <c r="X390" s="1201">
        <v>1474</v>
      </c>
      <c r="Y390" s="1201">
        <v>1538</v>
      </c>
      <c r="Z390" s="1201">
        <v>1725</v>
      </c>
      <c r="AA390" s="960">
        <f>AB390-SUM(X390:Z390)</f>
        <v>1779</v>
      </c>
      <c r="AB390" s="1202">
        <v>6516</v>
      </c>
      <c r="AC390" s="1201">
        <v>1703</v>
      </c>
      <c r="AD390" s="1201">
        <v>1700</v>
      </c>
      <c r="AE390" s="1201">
        <v>1831</v>
      </c>
      <c r="AF390" s="960">
        <f>AG390-SUM(AC390:AE390)</f>
        <v>1795</v>
      </c>
      <c r="AG390" s="1202">
        <v>7029</v>
      </c>
      <c r="AH390" s="1201">
        <v>1777</v>
      </c>
      <c r="AI390" s="1201">
        <v>1842</v>
      </c>
      <c r="AJ390" s="1201">
        <v>1987</v>
      </c>
      <c r="AK390" s="960">
        <f>AL390-SUM(AH390:AJ390)</f>
        <v>2071</v>
      </c>
      <c r="AL390" s="1202">
        <v>7677</v>
      </c>
      <c r="AM390" s="1201">
        <v>2121</v>
      </c>
      <c r="AN390" s="1201">
        <v>2210</v>
      </c>
      <c r="AO390" s="1201">
        <v>2335</v>
      </c>
      <c r="AP390" s="960">
        <f>AQ390-SUM(AM390:AO390)</f>
        <v>2474</v>
      </c>
      <c r="AQ390" s="1202">
        <v>9140</v>
      </c>
      <c r="AR390" s="1201">
        <v>2424</v>
      </c>
      <c r="AS390" s="1201">
        <v>2470</v>
      </c>
      <c r="AT390" s="1201">
        <v>2390</v>
      </c>
      <c r="AU390" s="802"/>
      <c r="AV390" s="708" t="s">
        <v>503</v>
      </c>
      <c r="AW390" s="708" t="s">
        <v>503</v>
      </c>
      <c r="AX390" s="708" t="s">
        <v>503</v>
      </c>
      <c r="AY390" s="708" t="s">
        <v>503</v>
      </c>
      <c r="AZ390" s="1188" t="s">
        <v>503</v>
      </c>
      <c r="BA390" s="1201">
        <v>2266</v>
      </c>
      <c r="BB390" s="1201">
        <v>2181</v>
      </c>
      <c r="BC390" s="1201">
        <v>2139</v>
      </c>
      <c r="BD390" s="960">
        <f>BE390-SUM(BA390:BC390)</f>
        <v>1985</v>
      </c>
      <c r="BE390" s="1202">
        <v>8571</v>
      </c>
      <c r="BF390" s="1201">
        <v>1765</v>
      </c>
      <c r="BG390" s="1201">
        <v>1690</v>
      </c>
      <c r="BH390" s="1201">
        <v>1597</v>
      </c>
      <c r="BI390" s="1201">
        <v>1605</v>
      </c>
      <c r="BJ390" s="1202">
        <v>6546</v>
      </c>
      <c r="BK390" s="959">
        <v>1701</v>
      </c>
      <c r="BL390" s="901">
        <v>1598</v>
      </c>
      <c r="BM390" s="959">
        <v>1603</v>
      </c>
      <c r="BN390" s="959">
        <v>1590</v>
      </c>
      <c r="BO390" s="802">
        <v>6492</v>
      </c>
      <c r="BP390" s="959">
        <v>1677</v>
      </c>
      <c r="BQ390" s="901">
        <v>1480</v>
      </c>
      <c r="BR390" s="959">
        <v>1418</v>
      </c>
      <c r="BS390" s="959">
        <v>1494</v>
      </c>
      <c r="BT390" s="802">
        <v>5928</v>
      </c>
      <c r="BU390" s="959">
        <v>1540</v>
      </c>
      <c r="BV390" s="901">
        <v>1491</v>
      </c>
      <c r="BW390" s="959">
        <v>1484</v>
      </c>
      <c r="BX390" s="959">
        <v>1517</v>
      </c>
      <c r="BY390" s="802">
        <v>5967</v>
      </c>
      <c r="BZ390" s="959">
        <v>1614</v>
      </c>
      <c r="CA390" s="901">
        <v>1439</v>
      </c>
      <c r="CB390" s="959">
        <v>1414</v>
      </c>
      <c r="CC390" s="959">
        <v>1452</v>
      </c>
      <c r="CD390" s="802">
        <v>5749</v>
      </c>
      <c r="CE390" s="959">
        <v>1524</v>
      </c>
      <c r="CF390" s="901">
        <v>1441</v>
      </c>
      <c r="CG390" s="959">
        <v>1466</v>
      </c>
      <c r="CH390" s="959">
        <v>1481</v>
      </c>
      <c r="CI390" s="802">
        <v>5902</v>
      </c>
      <c r="CJ390" s="959">
        <v>1544</v>
      </c>
      <c r="CK390" s="901">
        <v>1478</v>
      </c>
      <c r="CL390" s="959">
        <v>1430</v>
      </c>
      <c r="CM390" s="959">
        <v>1477</v>
      </c>
      <c r="CN390" s="802">
        <v>5929</v>
      </c>
      <c r="CO390" s="959">
        <v>1619</v>
      </c>
      <c r="CP390" s="901">
        <v>1466</v>
      </c>
      <c r="CQ390" s="959">
        <v>1444</v>
      </c>
      <c r="CR390" s="959">
        <v>1499</v>
      </c>
      <c r="CS390" s="802">
        <v>6028</v>
      </c>
      <c r="CT390" s="959">
        <v>1607</v>
      </c>
      <c r="CU390" s="901">
        <v>1548</v>
      </c>
      <c r="CV390" s="959">
        <v>1501</v>
      </c>
      <c r="CW390" s="959">
        <v>1544</v>
      </c>
      <c r="CX390" s="802">
        <v>6200</v>
      </c>
      <c r="CY390" s="959">
        <v>1536</v>
      </c>
      <c r="CZ390" s="901">
        <v>1542</v>
      </c>
      <c r="DA390" s="959">
        <v>1502</v>
      </c>
      <c r="DB390" s="959">
        <v>2372</v>
      </c>
      <c r="DC390" s="802">
        <v>6952</v>
      </c>
      <c r="DD390" s="959">
        <v>2440</v>
      </c>
      <c r="DE390" s="901">
        <v>2393</v>
      </c>
      <c r="DF390" s="959">
        <v>2463</v>
      </c>
      <c r="DG390" s="959">
        <v>2719</v>
      </c>
      <c r="DH390" s="802">
        <v>10015</v>
      </c>
      <c r="DI390" s="1507">
        <v>2501</v>
      </c>
      <c r="DJ390" s="1519">
        <v>2305</v>
      </c>
      <c r="DK390" s="1507">
        <v>2289</v>
      </c>
      <c r="DL390" s="1507">
        <v>2358</v>
      </c>
      <c r="DM390" s="1506">
        <v>9334</v>
      </c>
      <c r="DN390" s="1507">
        <v>2663</v>
      </c>
      <c r="DO390" s="1507">
        <v>2568</v>
      </c>
      <c r="DP390" s="1507">
        <v>2533</v>
      </c>
      <c r="DQ390" s="1507">
        <v>2518</v>
      </c>
      <c r="DR390" s="1506">
        <v>10089</v>
      </c>
      <c r="DS390" s="1282"/>
      <c r="DT390" s="555"/>
      <c r="DU390" s="555"/>
      <c r="DV390" s="1282"/>
      <c r="DW390" s="802"/>
      <c r="DX390" s="555"/>
      <c r="DY390" s="555"/>
      <c r="DZ390" s="555"/>
      <c r="EA390" s="555"/>
      <c r="EB390" s="802"/>
      <c r="EC390" s="555"/>
      <c r="ED390" s="555"/>
      <c r="EE390" s="555"/>
      <c r="EF390" s="555"/>
      <c r="EG390" s="802"/>
      <c r="EH390" s="555"/>
      <c r="EI390" s="555"/>
      <c r="EJ390" s="555"/>
      <c r="EK390" s="555"/>
      <c r="EL390" s="802"/>
    </row>
    <row r="391" spans="1:142" hidden="1" outlineLevel="1">
      <c r="A391" s="557"/>
      <c r="B391" s="557" t="s">
        <v>191</v>
      </c>
      <c r="C391" s="1201"/>
      <c r="D391" s="1201">
        <v>144.14400000000001</v>
      </c>
      <c r="E391" s="1201">
        <v>138.39599999999999</v>
      </c>
      <c r="F391" s="1201">
        <v>144.19999999999999</v>
      </c>
      <c r="G391" s="960">
        <f>H391-SUM(D391:F391)</f>
        <v>359.56</v>
      </c>
      <c r="H391" s="1202">
        <v>786.3</v>
      </c>
      <c r="I391" s="1201">
        <v>365.3</v>
      </c>
      <c r="J391" s="1201">
        <v>390</v>
      </c>
      <c r="K391" s="1201">
        <v>402.6</v>
      </c>
      <c r="L391" s="960">
        <f>M391-SUM(I391:K391)</f>
        <v>414.09999999999991</v>
      </c>
      <c r="M391" s="1202">
        <v>1572</v>
      </c>
      <c r="N391" s="1201">
        <v>410.5</v>
      </c>
      <c r="O391" s="1201">
        <v>425.7</v>
      </c>
      <c r="P391" s="1201">
        <v>639.79999999999995</v>
      </c>
      <c r="Q391" s="960">
        <f>R391-SUM(N391:P391)</f>
        <v>1039</v>
      </c>
      <c r="R391" s="1202">
        <v>2515</v>
      </c>
      <c r="S391" s="1201">
        <v>735</v>
      </c>
      <c r="T391" s="1201">
        <v>759</v>
      </c>
      <c r="U391" s="1201">
        <v>724</v>
      </c>
      <c r="V391" s="960">
        <f>W391-SUM(S391:U391)</f>
        <v>760</v>
      </c>
      <c r="W391" s="1202">
        <v>2978</v>
      </c>
      <c r="X391" s="1201">
        <v>786</v>
      </c>
      <c r="Y391" s="1201">
        <v>755</v>
      </c>
      <c r="Z391" s="1201">
        <v>807</v>
      </c>
      <c r="AA391" s="960">
        <f>AB391-SUM(X391:Z391)</f>
        <v>837</v>
      </c>
      <c r="AB391" s="1202">
        <v>3185</v>
      </c>
      <c r="AC391" s="1201">
        <v>902</v>
      </c>
      <c r="AD391" s="1201">
        <v>823</v>
      </c>
      <c r="AE391" s="1201">
        <v>795</v>
      </c>
      <c r="AF391" s="960">
        <f>AG391-SUM(AC391:AE391)</f>
        <v>874</v>
      </c>
      <c r="AG391" s="1202">
        <v>3394</v>
      </c>
      <c r="AH391" s="1201">
        <v>912</v>
      </c>
      <c r="AI391" s="1201">
        <v>879</v>
      </c>
      <c r="AJ391" s="1201">
        <v>864</v>
      </c>
      <c r="AK391" s="960">
        <f>AL391-SUM(AH391:AJ391)</f>
        <v>948</v>
      </c>
      <c r="AL391" s="1202">
        <v>3603</v>
      </c>
      <c r="AM391" s="1201">
        <v>997</v>
      </c>
      <c r="AN391" s="1201">
        <v>1014</v>
      </c>
      <c r="AO391" s="1201">
        <v>982</v>
      </c>
      <c r="AP391" s="960">
        <f>AQ391-SUM(AM391:AO391)</f>
        <v>1115</v>
      </c>
      <c r="AQ391" s="1202">
        <v>4108</v>
      </c>
      <c r="AR391" s="1201">
        <v>1122</v>
      </c>
      <c r="AS391" s="1201">
        <v>1138</v>
      </c>
      <c r="AT391" s="1201">
        <v>1103</v>
      </c>
      <c r="AU391" s="802"/>
      <c r="AV391" s="708" t="s">
        <v>503</v>
      </c>
      <c r="AW391" s="708" t="s">
        <v>503</v>
      </c>
      <c r="AX391" s="708" t="s">
        <v>503</v>
      </c>
      <c r="AY391" s="708" t="s">
        <v>503</v>
      </c>
      <c r="AZ391" s="1188" t="s">
        <v>503</v>
      </c>
      <c r="BA391" s="1201">
        <v>1012</v>
      </c>
      <c r="BB391" s="1201">
        <v>1014</v>
      </c>
      <c r="BC391" s="1201">
        <v>1006</v>
      </c>
      <c r="BD391" s="960">
        <f>BE391-SUM(BA391:BC391)</f>
        <v>929</v>
      </c>
      <c r="BE391" s="1202">
        <v>3961</v>
      </c>
      <c r="BF391" s="1201">
        <v>808</v>
      </c>
      <c r="BG391" s="1201">
        <v>781</v>
      </c>
      <c r="BH391" s="1201">
        <v>751</v>
      </c>
      <c r="BI391" s="1201">
        <v>714</v>
      </c>
      <c r="BJ391" s="1202">
        <v>2999</v>
      </c>
      <c r="BK391" s="959">
        <v>709</v>
      </c>
      <c r="BL391" s="901">
        <v>727</v>
      </c>
      <c r="BM391" s="959">
        <v>708</v>
      </c>
      <c r="BN391" s="959">
        <v>641</v>
      </c>
      <c r="BO391" s="802">
        <v>2785</v>
      </c>
      <c r="BP391" s="959">
        <v>664</v>
      </c>
      <c r="BQ391" s="901">
        <v>632</v>
      </c>
      <c r="BR391" s="959">
        <v>623</v>
      </c>
      <c r="BS391" s="959">
        <v>622</v>
      </c>
      <c r="BT391" s="802">
        <v>2483</v>
      </c>
      <c r="BU391" s="959">
        <v>657</v>
      </c>
      <c r="BV391" s="901">
        <v>667</v>
      </c>
      <c r="BW391" s="959">
        <v>654</v>
      </c>
      <c r="BX391" s="959">
        <v>660</v>
      </c>
      <c r="BY391" s="802">
        <v>2590</v>
      </c>
      <c r="BZ391" s="959">
        <v>683</v>
      </c>
      <c r="CA391" s="901">
        <v>670</v>
      </c>
      <c r="CB391" s="959">
        <v>664</v>
      </c>
      <c r="CC391" s="959">
        <v>654</v>
      </c>
      <c r="CD391" s="802">
        <v>2599</v>
      </c>
      <c r="CE391" s="959">
        <v>674</v>
      </c>
      <c r="CF391" s="901">
        <v>702</v>
      </c>
      <c r="CG391" s="959">
        <v>709</v>
      </c>
      <c r="CH391" s="959">
        <v>691</v>
      </c>
      <c r="CI391" s="802">
        <v>2770</v>
      </c>
      <c r="CJ391" s="959">
        <v>706</v>
      </c>
      <c r="CK391" s="901">
        <v>733</v>
      </c>
      <c r="CL391" s="959">
        <v>734</v>
      </c>
      <c r="CM391" s="959">
        <v>730</v>
      </c>
      <c r="CN391" s="802">
        <v>2903</v>
      </c>
      <c r="CO391" s="959">
        <v>720</v>
      </c>
      <c r="CP391" s="901">
        <v>738</v>
      </c>
      <c r="CQ391" s="959">
        <v>734</v>
      </c>
      <c r="CR391" s="959">
        <v>736</v>
      </c>
      <c r="CS391" s="802">
        <v>2928</v>
      </c>
      <c r="CT391" s="959">
        <v>766</v>
      </c>
      <c r="CU391" s="901">
        <v>791</v>
      </c>
      <c r="CV391" s="959">
        <v>789</v>
      </c>
      <c r="CW391" s="959">
        <v>821</v>
      </c>
      <c r="CX391" s="802">
        <v>3167</v>
      </c>
      <c r="CY391" s="959">
        <v>813</v>
      </c>
      <c r="CZ391" s="901">
        <v>844</v>
      </c>
      <c r="DA391" s="959">
        <v>845</v>
      </c>
      <c r="DB391" s="959">
        <v>1357</v>
      </c>
      <c r="DC391" s="802">
        <v>3859</v>
      </c>
      <c r="DD391" s="959">
        <v>1346</v>
      </c>
      <c r="DE391" s="901">
        <v>1448</v>
      </c>
      <c r="DF391" s="959">
        <v>1441</v>
      </c>
      <c r="DG391" s="959">
        <v>1539</v>
      </c>
      <c r="DH391" s="802">
        <v>5774</v>
      </c>
      <c r="DI391" s="1507">
        <v>1289</v>
      </c>
      <c r="DJ391" s="1519">
        <v>1281</v>
      </c>
      <c r="DK391" s="1507">
        <v>1288</v>
      </c>
      <c r="DL391" s="1507">
        <v>1308</v>
      </c>
      <c r="DM391" s="1506">
        <v>5103</v>
      </c>
      <c r="DN391" s="1507">
        <v>1445</v>
      </c>
      <c r="DO391" s="1507">
        <v>1451</v>
      </c>
      <c r="DP391" s="1507">
        <v>1334</v>
      </c>
      <c r="DQ391" s="1507">
        <v>1371</v>
      </c>
      <c r="DR391" s="1506">
        <v>5452</v>
      </c>
      <c r="DS391" s="1282"/>
      <c r="DT391" s="555"/>
      <c r="DU391" s="555"/>
      <c r="DV391" s="1282"/>
      <c r="DW391" s="802"/>
      <c r="DX391" s="555"/>
      <c r="DY391" s="555"/>
      <c r="DZ391" s="555"/>
      <c r="EA391" s="555"/>
      <c r="EB391" s="802"/>
      <c r="EC391" s="555"/>
      <c r="ED391" s="555"/>
      <c r="EE391" s="555"/>
      <c r="EF391" s="555"/>
      <c r="EG391" s="802"/>
      <c r="EH391" s="555"/>
      <c r="EI391" s="555"/>
      <c r="EJ391" s="555"/>
      <c r="EK391" s="555"/>
      <c r="EL391" s="802"/>
    </row>
    <row r="392" spans="1:142" hidden="1" outlineLevel="1">
      <c r="A392" s="557"/>
      <c r="B392" s="973" t="s">
        <v>689</v>
      </c>
      <c r="C392" s="1201"/>
      <c r="D392" s="1201"/>
      <c r="E392" s="1201"/>
      <c r="F392" s="1201"/>
      <c r="G392" s="960"/>
      <c r="H392" s="1202"/>
      <c r="I392" s="1201"/>
      <c r="J392" s="1201"/>
      <c r="K392" s="1201"/>
      <c r="L392" s="960"/>
      <c r="M392" s="1202"/>
      <c r="N392" s="1201"/>
      <c r="O392" s="1201"/>
      <c r="P392" s="1201"/>
      <c r="Q392" s="960"/>
      <c r="R392" s="1202"/>
      <c r="S392" s="1201"/>
      <c r="T392" s="1201"/>
      <c r="U392" s="1201"/>
      <c r="V392" s="960"/>
      <c r="W392" s="1202"/>
      <c r="X392" s="1201"/>
      <c r="Y392" s="1201"/>
      <c r="Z392" s="1201"/>
      <c r="AA392" s="960"/>
      <c r="AB392" s="1202"/>
      <c r="AC392" s="1201"/>
      <c r="AD392" s="1201"/>
      <c r="AE392" s="1201"/>
      <c r="AF392" s="960"/>
      <c r="AG392" s="1202"/>
      <c r="AH392" s="1201"/>
      <c r="AI392" s="1201"/>
      <c r="AJ392" s="1201"/>
      <c r="AK392" s="960"/>
      <c r="AL392" s="1202"/>
      <c r="AM392" s="1201"/>
      <c r="AN392" s="1201"/>
      <c r="AO392" s="1201"/>
      <c r="AP392" s="960"/>
      <c r="AQ392" s="1202"/>
      <c r="AR392" s="1201"/>
      <c r="AS392" s="1201"/>
      <c r="AT392" s="1201"/>
      <c r="AU392" s="802"/>
      <c r="AV392" s="708"/>
      <c r="AW392" s="708"/>
      <c r="AX392" s="708"/>
      <c r="AY392" s="708"/>
      <c r="AZ392" s="1188"/>
      <c r="BA392" s="1201"/>
      <c r="BB392" s="1201"/>
      <c r="BC392" s="1201"/>
      <c r="BD392" s="960"/>
      <c r="BE392" s="1202"/>
      <c r="BF392" s="1201"/>
      <c r="BG392" s="1201"/>
      <c r="BH392" s="1201"/>
      <c r="BI392" s="1201"/>
      <c r="BJ392" s="1202"/>
      <c r="BK392" s="959"/>
      <c r="BL392" s="901"/>
      <c r="BM392" s="959"/>
      <c r="BN392" s="959"/>
      <c r="BO392" s="802"/>
      <c r="BP392" s="959"/>
      <c r="BQ392" s="901"/>
      <c r="BR392" s="959"/>
      <c r="BS392" s="959"/>
      <c r="BT392" s="802"/>
      <c r="BU392" s="959"/>
      <c r="BV392" s="901"/>
      <c r="BW392" s="959"/>
      <c r="BX392" s="959"/>
      <c r="BY392" s="802"/>
      <c r="BZ392" s="959"/>
      <c r="CA392" s="901"/>
      <c r="CB392" s="959"/>
      <c r="CC392" s="959"/>
      <c r="CD392" s="802"/>
      <c r="CE392" s="959"/>
      <c r="CF392" s="901"/>
      <c r="CG392" s="959"/>
      <c r="CH392" s="959"/>
      <c r="CI392" s="802"/>
      <c r="CJ392" s="959"/>
      <c r="CK392" s="901"/>
      <c r="CL392" s="959"/>
      <c r="CM392" s="959"/>
      <c r="CN392" s="802"/>
      <c r="CO392" s="959"/>
      <c r="CP392" s="901"/>
      <c r="CQ392" s="959"/>
      <c r="CR392" s="959"/>
      <c r="CS392" s="802"/>
      <c r="CT392" s="959"/>
      <c r="CU392" s="901"/>
      <c r="CV392" s="959"/>
      <c r="CW392" s="959"/>
      <c r="CX392" s="802"/>
      <c r="CY392" s="959"/>
      <c r="CZ392" s="901"/>
      <c r="DA392" s="959"/>
      <c r="DB392" s="959"/>
      <c r="DC392" s="802"/>
      <c r="DD392" s="959"/>
      <c r="DE392" s="901"/>
      <c r="DF392" s="959"/>
      <c r="DG392" s="959"/>
      <c r="DH392" s="802"/>
      <c r="DI392" s="1507"/>
      <c r="DJ392" s="1519"/>
      <c r="DK392" s="1507"/>
      <c r="DL392" s="1507"/>
      <c r="DM392" s="1506"/>
      <c r="DN392" s="1507"/>
      <c r="DO392" s="1507"/>
      <c r="DP392" s="1507"/>
      <c r="DQ392" s="1507"/>
      <c r="DR392" s="1506"/>
      <c r="DS392" s="1282"/>
      <c r="DT392" s="555"/>
      <c r="DU392" s="555"/>
      <c r="DV392" s="1282"/>
      <c r="DW392" s="802"/>
      <c r="DX392" s="555"/>
      <c r="DY392" s="555"/>
      <c r="DZ392" s="555"/>
      <c r="EA392" s="555"/>
      <c r="EB392" s="802"/>
      <c r="EC392" s="555"/>
      <c r="ED392" s="555"/>
      <c r="EE392" s="555"/>
      <c r="EF392" s="555"/>
      <c r="EG392" s="802"/>
      <c r="EH392" s="555"/>
      <c r="EI392" s="555"/>
      <c r="EJ392" s="555"/>
      <c r="EK392" s="555"/>
      <c r="EL392" s="802"/>
    </row>
    <row r="393" spans="1:142" hidden="1" outlineLevel="1">
      <c r="A393" s="557"/>
      <c r="B393" s="557" t="s">
        <v>197</v>
      </c>
      <c r="C393" s="1203"/>
      <c r="D393" s="1203" t="s">
        <v>503</v>
      </c>
      <c r="E393" s="1203" t="s">
        <v>503</v>
      </c>
      <c r="F393" s="1203" t="s">
        <v>503</v>
      </c>
      <c r="G393" s="1203" t="s">
        <v>503</v>
      </c>
      <c r="H393" s="1188" t="s">
        <v>503</v>
      </c>
      <c r="I393" s="1203" t="s">
        <v>503</v>
      </c>
      <c r="J393" s="1203" t="s">
        <v>503</v>
      </c>
      <c r="K393" s="1203" t="s">
        <v>503</v>
      </c>
      <c r="L393" s="1203" t="s">
        <v>503</v>
      </c>
      <c r="M393" s="1188" t="s">
        <v>503</v>
      </c>
      <c r="N393" s="1201">
        <v>7022</v>
      </c>
      <c r="O393" s="1201">
        <v>7101</v>
      </c>
      <c r="P393" s="1201">
        <v>6469</v>
      </c>
      <c r="Q393" s="1203" t="s">
        <v>503</v>
      </c>
      <c r="R393" s="1202">
        <v>6643</v>
      </c>
      <c r="S393" s="1201">
        <v>6522</v>
      </c>
      <c r="T393" s="1201">
        <v>6518</v>
      </c>
      <c r="U393" s="1201">
        <v>6772</v>
      </c>
      <c r="V393" s="1203" t="s">
        <v>503</v>
      </c>
      <c r="W393" s="1202">
        <v>6697</v>
      </c>
      <c r="X393" s="1201">
        <v>6725</v>
      </c>
      <c r="Y393" s="1201">
        <v>6944</v>
      </c>
      <c r="Z393" s="1201">
        <v>6938</v>
      </c>
      <c r="AA393" s="1203" t="s">
        <v>503</v>
      </c>
      <c r="AB393" s="1202">
        <v>6930</v>
      </c>
      <c r="AC393" s="1201">
        <v>7114</v>
      </c>
      <c r="AD393" s="1201">
        <v>7468</v>
      </c>
      <c r="AE393" s="1201">
        <v>7636</v>
      </c>
      <c r="AF393" s="1203" t="s">
        <v>503</v>
      </c>
      <c r="AG393" s="1202">
        <v>7508</v>
      </c>
      <c r="AH393" s="1201">
        <v>7771</v>
      </c>
      <c r="AI393" s="1201">
        <v>8034</v>
      </c>
      <c r="AJ393" s="1201">
        <v>8311</v>
      </c>
      <c r="AK393" s="1203" t="s">
        <v>503</v>
      </c>
      <c r="AL393" s="1202">
        <v>8170</v>
      </c>
      <c r="AM393" s="1201">
        <v>8758</v>
      </c>
      <c r="AN393" s="1201">
        <v>9100</v>
      </c>
      <c r="AO393" s="1201">
        <v>9091</v>
      </c>
      <c r="AP393" s="1203" t="s">
        <v>503</v>
      </c>
      <c r="AQ393" s="1202">
        <v>9131</v>
      </c>
      <c r="AR393" s="1201">
        <v>9615</v>
      </c>
      <c r="AS393" s="1201">
        <v>9716</v>
      </c>
      <c r="AT393" s="1201">
        <v>9136</v>
      </c>
      <c r="AU393" s="802"/>
      <c r="AV393" s="708" t="s">
        <v>503</v>
      </c>
      <c r="AW393" s="708" t="s">
        <v>503</v>
      </c>
      <c r="AX393" s="708" t="s">
        <v>503</v>
      </c>
      <c r="AY393" s="708" t="s">
        <v>503</v>
      </c>
      <c r="AZ393" s="1188" t="s">
        <v>503</v>
      </c>
      <c r="BA393" s="1201">
        <v>9316</v>
      </c>
      <c r="BB393" s="1201">
        <v>9239</v>
      </c>
      <c r="BC393" s="1201">
        <v>9011</v>
      </c>
      <c r="BD393" s="1203" t="s">
        <v>503</v>
      </c>
      <c r="BE393" s="1202">
        <v>9054</v>
      </c>
      <c r="BF393" s="1201">
        <v>9528</v>
      </c>
      <c r="BG393" s="1201">
        <v>9709</v>
      </c>
      <c r="BH393" s="1201">
        <v>9355</v>
      </c>
      <c r="BI393" s="1201">
        <v>9478</v>
      </c>
      <c r="BJ393" s="1202">
        <v>9517</v>
      </c>
      <c r="BK393" s="555">
        <v>9532</v>
      </c>
      <c r="BL393" s="555">
        <v>9482</v>
      </c>
      <c r="BM393" s="555">
        <v>9792</v>
      </c>
      <c r="BN393" s="555">
        <v>10070</v>
      </c>
      <c r="BO393" s="802">
        <v>9710</v>
      </c>
      <c r="BP393" s="555">
        <v>10077</v>
      </c>
      <c r="BQ393" s="555">
        <v>10351</v>
      </c>
      <c r="BR393" s="555">
        <v>10042</v>
      </c>
      <c r="BS393" s="555">
        <v>10440</v>
      </c>
      <c r="BT393" s="802">
        <v>10253</v>
      </c>
      <c r="BU393" s="555">
        <v>10380</v>
      </c>
      <c r="BV393" s="555">
        <v>10663</v>
      </c>
      <c r="BW393" s="555">
        <v>10882</v>
      </c>
      <c r="BX393" s="555">
        <v>10879</v>
      </c>
      <c r="BY393" s="802">
        <v>10732</v>
      </c>
      <c r="BZ393" s="555">
        <v>11050</v>
      </c>
      <c r="CA393" s="555">
        <v>10740</v>
      </c>
      <c r="CB393" s="555">
        <v>10832</v>
      </c>
      <c r="CC393" s="555">
        <v>11026</v>
      </c>
      <c r="CD393" s="802">
        <v>10841</v>
      </c>
      <c r="CE393" s="555">
        <v>11143</v>
      </c>
      <c r="CF393" s="555">
        <v>11058</v>
      </c>
      <c r="CG393" s="555">
        <v>11255</v>
      </c>
      <c r="CH393" s="555">
        <v>11425</v>
      </c>
      <c r="CI393" s="802">
        <v>11231</v>
      </c>
      <c r="CJ393" s="555">
        <v>11644</v>
      </c>
      <c r="CK393" s="555">
        <v>11569</v>
      </c>
      <c r="CL393" s="555">
        <v>11381</v>
      </c>
      <c r="CM393" s="555">
        <v>11632</v>
      </c>
      <c r="CN393" s="802">
        <v>11558</v>
      </c>
      <c r="CO393" s="555">
        <v>12318</v>
      </c>
      <c r="CP393" s="555">
        <v>11673</v>
      </c>
      <c r="CQ393" s="555">
        <v>11510</v>
      </c>
      <c r="CR393" s="555">
        <v>11959</v>
      </c>
      <c r="CS393" s="802">
        <v>11870</v>
      </c>
      <c r="CT393" s="555">
        <v>12249</v>
      </c>
      <c r="CU393" s="555">
        <v>12371</v>
      </c>
      <c r="CV393" s="555">
        <v>12021</v>
      </c>
      <c r="CW393" s="555">
        <v>12323</v>
      </c>
      <c r="CX393" s="802">
        <v>12241</v>
      </c>
      <c r="CY393" s="555">
        <v>12197</v>
      </c>
      <c r="CZ393" s="555">
        <v>12773</v>
      </c>
      <c r="DA393" s="555">
        <v>12355</v>
      </c>
      <c r="DB393" s="555">
        <v>12451</v>
      </c>
      <c r="DC393" s="802">
        <v>12443</v>
      </c>
      <c r="DD393" s="555">
        <v>12530</v>
      </c>
      <c r="DE393" s="555">
        <v>12294</v>
      </c>
      <c r="DF393" s="555">
        <v>12320</v>
      </c>
      <c r="DG393" s="555">
        <v>13438</v>
      </c>
      <c r="DH393" s="802">
        <v>12659</v>
      </c>
      <c r="DI393" s="1507">
        <v>12882</v>
      </c>
      <c r="DJ393" s="1507">
        <v>12867</v>
      </c>
      <c r="DK393" s="1507">
        <v>12941</v>
      </c>
      <c r="DL393" s="1507">
        <v>13394</v>
      </c>
      <c r="DM393" s="1506">
        <v>12926</v>
      </c>
      <c r="DN393" s="1507">
        <v>13126</v>
      </c>
      <c r="DO393" s="1507">
        <v>13252</v>
      </c>
      <c r="DP393" s="1507">
        <v>13562</v>
      </c>
      <c r="DQ393" s="1507">
        <v>13643</v>
      </c>
      <c r="DR393" s="1506">
        <v>13386</v>
      </c>
      <c r="DS393" s="1290"/>
      <c r="DT393" s="561"/>
      <c r="DU393" s="561"/>
      <c r="DV393" s="1290"/>
      <c r="DW393" s="844"/>
      <c r="DX393" s="561"/>
      <c r="DY393" s="561"/>
      <c r="DZ393" s="561"/>
      <c r="EA393" s="561"/>
      <c r="EB393" s="844"/>
      <c r="EC393" s="561"/>
      <c r="ED393" s="561"/>
      <c r="EE393" s="561"/>
      <c r="EF393" s="561"/>
      <c r="EG393" s="844"/>
      <c r="EH393" s="561"/>
      <c r="EI393" s="561"/>
      <c r="EJ393" s="561"/>
      <c r="EK393" s="561"/>
      <c r="EL393" s="844"/>
    </row>
    <row r="394" spans="1:142" hidden="1" outlineLevel="1">
      <c r="A394" s="557"/>
      <c r="B394" s="557" t="s">
        <v>195</v>
      </c>
      <c r="C394" s="1201"/>
      <c r="D394" s="1201">
        <v>1388</v>
      </c>
      <c r="E394" s="1201">
        <v>1376</v>
      </c>
      <c r="F394" s="1201">
        <v>1330</v>
      </c>
      <c r="G394" s="1203" t="s">
        <v>503</v>
      </c>
      <c r="H394" s="1202">
        <v>1285</v>
      </c>
      <c r="I394" s="1201">
        <v>1271</v>
      </c>
      <c r="J394" s="1201">
        <v>1270</v>
      </c>
      <c r="K394" s="1201">
        <v>1235</v>
      </c>
      <c r="L394" s="1203" t="s">
        <v>503</v>
      </c>
      <c r="M394" s="1202">
        <v>1269</v>
      </c>
      <c r="N394" s="1201">
        <v>1291</v>
      </c>
      <c r="O394" s="1201">
        <v>1305</v>
      </c>
      <c r="P394" s="1201">
        <v>1230</v>
      </c>
      <c r="Q394" s="1203" t="s">
        <v>503</v>
      </c>
      <c r="R394" s="1202">
        <v>1275</v>
      </c>
      <c r="S394" s="1201">
        <v>1272</v>
      </c>
      <c r="T394" s="1201">
        <v>1264</v>
      </c>
      <c r="U394" s="1201">
        <v>1271</v>
      </c>
      <c r="V394" s="1203" t="s">
        <v>503</v>
      </c>
      <c r="W394" s="1202">
        <v>1285</v>
      </c>
      <c r="X394" s="1201">
        <v>1324</v>
      </c>
      <c r="Y394" s="1201">
        <v>1353</v>
      </c>
      <c r="Z394" s="1201">
        <v>1323</v>
      </c>
      <c r="AA394" s="1203" t="s">
        <v>503</v>
      </c>
      <c r="AB394" s="1202">
        <v>1335</v>
      </c>
      <c r="AC394" s="1201">
        <v>1392</v>
      </c>
      <c r="AD394" s="1201">
        <v>1435</v>
      </c>
      <c r="AE394" s="1201">
        <v>1436</v>
      </c>
      <c r="AF394" s="1203" t="s">
        <v>503</v>
      </c>
      <c r="AG394" s="1202">
        <v>1438</v>
      </c>
      <c r="AH394" s="1201">
        <v>1502</v>
      </c>
      <c r="AI394" s="1201">
        <v>1545</v>
      </c>
      <c r="AJ394" s="1201">
        <v>1565</v>
      </c>
      <c r="AK394" s="1203" t="s">
        <v>503</v>
      </c>
      <c r="AL394" s="1202">
        <v>1555</v>
      </c>
      <c r="AM394" s="1201">
        <v>1663</v>
      </c>
      <c r="AN394" s="1201">
        <v>1725</v>
      </c>
      <c r="AO394" s="1201">
        <v>1697</v>
      </c>
      <c r="AP394" s="1203" t="s">
        <v>503</v>
      </c>
      <c r="AQ394" s="1202">
        <v>1713</v>
      </c>
      <c r="AR394" s="1201">
        <v>1804</v>
      </c>
      <c r="AS394" s="1201">
        <v>1831</v>
      </c>
      <c r="AT394" s="1201">
        <v>1721</v>
      </c>
      <c r="AU394" s="802"/>
      <c r="AV394" s="708" t="s">
        <v>503</v>
      </c>
      <c r="AW394" s="708" t="s">
        <v>503</v>
      </c>
      <c r="AX394" s="708" t="s">
        <v>503</v>
      </c>
      <c r="AY394" s="708" t="s">
        <v>503</v>
      </c>
      <c r="AZ394" s="1188" t="s">
        <v>503</v>
      </c>
      <c r="BA394" s="1201">
        <v>1725</v>
      </c>
      <c r="BB394" s="1201">
        <v>1735</v>
      </c>
      <c r="BC394" s="1201">
        <v>1731</v>
      </c>
      <c r="BD394" s="1203" t="s">
        <v>503</v>
      </c>
      <c r="BE394" s="1202">
        <v>1708</v>
      </c>
      <c r="BF394" s="1201">
        <v>1802</v>
      </c>
      <c r="BG394" s="1201">
        <v>1883</v>
      </c>
      <c r="BH394" s="1201">
        <v>1820</v>
      </c>
      <c r="BI394" s="1201">
        <v>1830</v>
      </c>
      <c r="BJ394" s="1202">
        <v>1836</v>
      </c>
      <c r="BK394" s="901">
        <v>1821</v>
      </c>
      <c r="BL394" s="901">
        <v>1847</v>
      </c>
      <c r="BM394" s="555">
        <v>1921</v>
      </c>
      <c r="BN394" s="555">
        <v>1964</v>
      </c>
      <c r="BO394" s="802">
        <v>1885</v>
      </c>
      <c r="BP394" s="901">
        <v>1960</v>
      </c>
      <c r="BQ394" s="901">
        <v>2084</v>
      </c>
      <c r="BR394" s="555">
        <v>2038</v>
      </c>
      <c r="BS394" s="555">
        <v>2118</v>
      </c>
      <c r="BT394" s="802">
        <v>2057</v>
      </c>
      <c r="BU394" s="901">
        <v>2065</v>
      </c>
      <c r="BV394" s="901">
        <v>2151</v>
      </c>
      <c r="BW394" s="555">
        <v>2210</v>
      </c>
      <c r="BX394" s="555">
        <v>2222</v>
      </c>
      <c r="BY394" s="802">
        <v>2164</v>
      </c>
      <c r="BZ394" s="901">
        <v>2182</v>
      </c>
      <c r="CA394" s="901">
        <v>2182</v>
      </c>
      <c r="CB394" s="555">
        <v>2228</v>
      </c>
      <c r="CC394" s="555">
        <v>2263</v>
      </c>
      <c r="CD394" s="802">
        <v>2192</v>
      </c>
      <c r="CE394" s="901">
        <v>2242</v>
      </c>
      <c r="CF394" s="901">
        <v>2288</v>
      </c>
      <c r="CG394" s="555">
        <v>2355</v>
      </c>
      <c r="CH394" s="555">
        <v>2357</v>
      </c>
      <c r="CI394" s="802">
        <v>2312</v>
      </c>
      <c r="CJ394" s="901">
        <v>2365</v>
      </c>
      <c r="CK394" s="901">
        <v>2406</v>
      </c>
      <c r="CL394" s="555">
        <v>2396</v>
      </c>
      <c r="CM394" s="555">
        <v>2426</v>
      </c>
      <c r="CN394" s="802">
        <v>2397</v>
      </c>
      <c r="CO394" s="901">
        <v>2548</v>
      </c>
      <c r="CP394" s="901">
        <v>2460</v>
      </c>
      <c r="CQ394" s="555">
        <v>2439</v>
      </c>
      <c r="CR394" s="555">
        <v>2541</v>
      </c>
      <c r="CS394" s="802">
        <v>2498</v>
      </c>
      <c r="CT394" s="901">
        <v>2603</v>
      </c>
      <c r="CU394" s="901">
        <v>2622</v>
      </c>
      <c r="CV394" s="555">
        <v>2585</v>
      </c>
      <c r="CW394" s="555">
        <v>2660</v>
      </c>
      <c r="CX394" s="802">
        <v>2617</v>
      </c>
      <c r="CY394" s="901">
        <v>2546</v>
      </c>
      <c r="CZ394" s="901">
        <v>2718</v>
      </c>
      <c r="DA394" s="555">
        <v>2636</v>
      </c>
      <c r="DB394" s="555">
        <v>2693</v>
      </c>
      <c r="DC394" s="802">
        <v>2652</v>
      </c>
      <c r="DD394" s="901">
        <v>2626</v>
      </c>
      <c r="DE394" s="901">
        <v>2638</v>
      </c>
      <c r="DF394" s="555">
        <v>2674</v>
      </c>
      <c r="DG394" s="555">
        <v>2899</v>
      </c>
      <c r="DH394" s="802">
        <v>2710</v>
      </c>
      <c r="DI394" s="1519">
        <v>2751</v>
      </c>
      <c r="DJ394" s="1519">
        <v>2818</v>
      </c>
      <c r="DK394" s="1507">
        <v>2846</v>
      </c>
      <c r="DL394" s="1507">
        <v>2936</v>
      </c>
      <c r="DM394" s="1506">
        <v>2841</v>
      </c>
      <c r="DN394" s="1519">
        <v>2771</v>
      </c>
      <c r="DO394" s="1519">
        <v>2862</v>
      </c>
      <c r="DP394" s="1519">
        <v>2935</v>
      </c>
      <c r="DQ394" s="1507">
        <v>2938</v>
      </c>
      <c r="DR394" s="1506">
        <v>2870</v>
      </c>
      <c r="DS394" s="1284"/>
      <c r="DT394" s="558"/>
      <c r="DU394" s="558"/>
      <c r="DV394" s="1284"/>
      <c r="DW394" s="78"/>
      <c r="DX394" s="558"/>
      <c r="DY394" s="558"/>
      <c r="DZ394" s="558"/>
      <c r="EA394" s="558"/>
      <c r="EB394" s="78"/>
      <c r="EC394" s="558"/>
      <c r="ED394" s="558"/>
      <c r="EE394" s="558"/>
      <c r="EF394" s="558"/>
      <c r="EG394" s="78"/>
      <c r="EH394" s="558"/>
      <c r="EI394" s="558"/>
      <c r="EJ394" s="558"/>
      <c r="EK394" s="558"/>
      <c r="EL394" s="78"/>
    </row>
    <row r="395" spans="1:142" hidden="1" outlineLevel="1">
      <c r="A395" s="557"/>
      <c r="B395" s="557" t="s">
        <v>199</v>
      </c>
      <c r="C395" s="1203"/>
      <c r="D395" s="1203" t="s">
        <v>503</v>
      </c>
      <c r="E395" s="1203" t="s">
        <v>503</v>
      </c>
      <c r="F395" s="1203" t="s">
        <v>503</v>
      </c>
      <c r="G395" s="1203" t="s">
        <v>503</v>
      </c>
      <c r="H395" s="1188" t="s">
        <v>503</v>
      </c>
      <c r="I395" s="1203" t="s">
        <v>503</v>
      </c>
      <c r="J395" s="1203" t="s">
        <v>503</v>
      </c>
      <c r="K395" s="1203" t="s">
        <v>503</v>
      </c>
      <c r="L395" s="1203" t="s">
        <v>503</v>
      </c>
      <c r="M395" s="1188" t="s">
        <v>503</v>
      </c>
      <c r="N395" s="1203" t="s">
        <v>503</v>
      </c>
      <c r="O395" s="1203" t="s">
        <v>503</v>
      </c>
      <c r="P395" s="1203" t="s">
        <v>503</v>
      </c>
      <c r="Q395" s="1203" t="s">
        <v>503</v>
      </c>
      <c r="R395" s="1188" t="s">
        <v>503</v>
      </c>
      <c r="S395" s="1203" t="s">
        <v>503</v>
      </c>
      <c r="T395" s="1203" t="s">
        <v>503</v>
      </c>
      <c r="U395" s="1203" t="s">
        <v>503</v>
      </c>
      <c r="V395" s="1203" t="s">
        <v>503</v>
      </c>
      <c r="W395" s="1188" t="s">
        <v>503</v>
      </c>
      <c r="X395" s="1203" t="s">
        <v>503</v>
      </c>
      <c r="Y395" s="1203" t="s">
        <v>503</v>
      </c>
      <c r="Z395" s="1203" t="s">
        <v>503</v>
      </c>
      <c r="AA395" s="1203" t="s">
        <v>503</v>
      </c>
      <c r="AB395" s="1188" t="s">
        <v>503</v>
      </c>
      <c r="AC395" s="1203" t="s">
        <v>503</v>
      </c>
      <c r="AD395" s="1203" t="s">
        <v>503</v>
      </c>
      <c r="AE395" s="1203" t="s">
        <v>503</v>
      </c>
      <c r="AF395" s="1203" t="s">
        <v>503</v>
      </c>
      <c r="AG395" s="1188" t="s">
        <v>503</v>
      </c>
      <c r="AH395" s="1203" t="s">
        <v>503</v>
      </c>
      <c r="AI395" s="1203" t="s">
        <v>503</v>
      </c>
      <c r="AJ395" s="1203" t="s">
        <v>503</v>
      </c>
      <c r="AK395" s="1203" t="s">
        <v>503</v>
      </c>
      <c r="AL395" s="1188" t="s">
        <v>503</v>
      </c>
      <c r="AM395" s="1203" t="s">
        <v>503</v>
      </c>
      <c r="AN395" s="1203" t="s">
        <v>503</v>
      </c>
      <c r="AO395" s="1203" t="s">
        <v>503</v>
      </c>
      <c r="AP395" s="1203" t="s">
        <v>503</v>
      </c>
      <c r="AQ395" s="1188" t="s">
        <v>503</v>
      </c>
      <c r="AR395" s="1203" t="s">
        <v>503</v>
      </c>
      <c r="AS395" s="1203" t="s">
        <v>503</v>
      </c>
      <c r="AT395" s="1203" t="s">
        <v>503</v>
      </c>
      <c r="AU395" s="802"/>
      <c r="AV395" s="708" t="s">
        <v>503</v>
      </c>
      <c r="AW395" s="708" t="s">
        <v>503</v>
      </c>
      <c r="AX395" s="708" t="s">
        <v>503</v>
      </c>
      <c r="AY395" s="708" t="s">
        <v>503</v>
      </c>
      <c r="AZ395" s="1188" t="s">
        <v>503</v>
      </c>
      <c r="BA395" s="1203" t="s">
        <v>503</v>
      </c>
      <c r="BB395" s="1203" t="s">
        <v>503</v>
      </c>
      <c r="BC395" s="1203" t="s">
        <v>503</v>
      </c>
      <c r="BD395" s="1203" t="s">
        <v>503</v>
      </c>
      <c r="BE395" s="1204" t="s">
        <v>503</v>
      </c>
      <c r="BF395" s="1203" t="s">
        <v>503</v>
      </c>
      <c r="BG395" s="1118"/>
      <c r="BH395" s="1201">
        <v>561</v>
      </c>
      <c r="BI395" s="1118">
        <v>529</v>
      </c>
      <c r="BJ395" s="1048">
        <v>529</v>
      </c>
      <c r="BK395" s="555">
        <v>515</v>
      </c>
      <c r="BL395" s="555">
        <v>542</v>
      </c>
      <c r="BM395" s="555">
        <v>568</v>
      </c>
      <c r="BN395" s="555">
        <v>534</v>
      </c>
      <c r="BO395" s="802">
        <v>539</v>
      </c>
      <c r="BP395" s="555">
        <v>541</v>
      </c>
      <c r="BQ395" s="555">
        <v>584</v>
      </c>
      <c r="BR395" s="555">
        <v>593</v>
      </c>
      <c r="BS395" s="555">
        <v>592</v>
      </c>
      <c r="BT395" s="802">
        <v>580</v>
      </c>
      <c r="BU395" s="555">
        <v>614</v>
      </c>
      <c r="BV395" s="555">
        <v>636</v>
      </c>
      <c r="BW395" s="555">
        <v>651</v>
      </c>
      <c r="BX395" s="555">
        <v>658</v>
      </c>
      <c r="BY395" s="802">
        <v>641</v>
      </c>
      <c r="BZ395" s="555">
        <v>665</v>
      </c>
      <c r="CA395" s="555">
        <v>689</v>
      </c>
      <c r="CB395" s="555">
        <v>692</v>
      </c>
      <c r="CC395" s="555">
        <v>691</v>
      </c>
      <c r="CD395" s="802">
        <v>679</v>
      </c>
      <c r="CE395" s="555">
        <v>685</v>
      </c>
      <c r="CF395" s="555">
        <v>704</v>
      </c>
      <c r="CG395" s="555">
        <v>712</v>
      </c>
      <c r="CH395" s="555">
        <v>711</v>
      </c>
      <c r="CI395" s="802">
        <v>704</v>
      </c>
      <c r="CJ395" s="555">
        <v>741</v>
      </c>
      <c r="CK395" s="555">
        <v>741</v>
      </c>
      <c r="CL395" s="555">
        <v>752</v>
      </c>
      <c r="CM395" s="555">
        <v>730</v>
      </c>
      <c r="CN395" s="802">
        <v>741</v>
      </c>
      <c r="CO395" s="555">
        <v>727</v>
      </c>
      <c r="CP395" s="555">
        <v>742</v>
      </c>
      <c r="CQ395" s="555">
        <v>743</v>
      </c>
      <c r="CR395" s="555">
        <v>749</v>
      </c>
      <c r="CS395" s="802">
        <v>741</v>
      </c>
      <c r="CT395" s="555">
        <v>743</v>
      </c>
      <c r="CU395" s="555">
        <v>756</v>
      </c>
      <c r="CV395" s="555">
        <v>762</v>
      </c>
      <c r="CW395" s="555">
        <v>779</v>
      </c>
      <c r="CX395" s="802">
        <v>760</v>
      </c>
      <c r="CY395" s="555">
        <v>771</v>
      </c>
      <c r="CZ395" s="555">
        <v>787</v>
      </c>
      <c r="DA395" s="555">
        <v>789</v>
      </c>
      <c r="DB395" s="555">
        <v>723</v>
      </c>
      <c r="DC395" s="802">
        <v>760</v>
      </c>
      <c r="DD395" s="555">
        <v>691</v>
      </c>
      <c r="DE395" s="555">
        <v>701</v>
      </c>
      <c r="DF395" s="555">
        <v>678</v>
      </c>
      <c r="DG395" s="555">
        <v>717</v>
      </c>
      <c r="DH395" s="802">
        <v>697</v>
      </c>
      <c r="DI395" s="1507">
        <v>696</v>
      </c>
      <c r="DJ395" s="1507">
        <v>706</v>
      </c>
      <c r="DK395" s="1507">
        <v>714</v>
      </c>
      <c r="DL395" s="1507">
        <v>724</v>
      </c>
      <c r="DM395" s="1506">
        <v>711</v>
      </c>
      <c r="DN395" s="1507">
        <v>704</v>
      </c>
      <c r="DO395" s="1507">
        <v>716</v>
      </c>
      <c r="DP395" s="1507">
        <v>696</v>
      </c>
      <c r="DQ395" s="1507">
        <v>733</v>
      </c>
      <c r="DR395" s="1506">
        <v>708</v>
      </c>
      <c r="DS395" s="1293"/>
      <c r="DT395" s="563"/>
      <c r="DU395" s="563"/>
      <c r="DV395" s="1293"/>
      <c r="DW395" s="815"/>
      <c r="DX395" s="563"/>
      <c r="DY395" s="563"/>
      <c r="DZ395" s="563"/>
      <c r="EA395" s="563"/>
      <c r="EB395" s="815"/>
      <c r="EC395" s="563"/>
      <c r="ED395" s="563"/>
      <c r="EE395" s="563"/>
      <c r="EF395" s="563"/>
      <c r="EG395" s="815"/>
      <c r="EH395" s="563"/>
      <c r="EI395" s="563"/>
      <c r="EJ395" s="563"/>
      <c r="EK395" s="563"/>
      <c r="EL395" s="815"/>
    </row>
    <row r="396" spans="1:142" hidden="1" outlineLevel="1">
      <c r="A396" s="557"/>
      <c r="B396" s="557" t="s">
        <v>690</v>
      </c>
      <c r="C396" s="1203"/>
      <c r="D396" s="1203"/>
      <c r="E396" s="1203"/>
      <c r="F396" s="1203"/>
      <c r="G396" s="1203"/>
      <c r="H396" s="1188"/>
      <c r="I396" s="1203"/>
      <c r="J396" s="1203"/>
      <c r="K396" s="1203"/>
      <c r="L396" s="1203"/>
      <c r="M396" s="1188"/>
      <c r="N396" s="1203"/>
      <c r="O396" s="1203"/>
      <c r="P396" s="1203"/>
      <c r="Q396" s="1203"/>
      <c r="R396" s="1188"/>
      <c r="S396" s="1203"/>
      <c r="T396" s="1203"/>
      <c r="U396" s="1203"/>
      <c r="V396" s="1203"/>
      <c r="W396" s="1188"/>
      <c r="X396" s="1203"/>
      <c r="Y396" s="1203"/>
      <c r="Z396" s="1203"/>
      <c r="AA396" s="1203"/>
      <c r="AB396" s="1188"/>
      <c r="AC396" s="1203"/>
      <c r="AD396" s="1203"/>
      <c r="AE396" s="1203"/>
      <c r="AF396" s="1203"/>
      <c r="AG396" s="1188"/>
      <c r="AH396" s="1203"/>
      <c r="AI396" s="1203"/>
      <c r="AJ396" s="1203"/>
      <c r="AK396" s="1203"/>
      <c r="AL396" s="1188"/>
      <c r="AM396" s="1203"/>
      <c r="AN396" s="1203"/>
      <c r="AO396" s="1203"/>
      <c r="AP396" s="1203"/>
      <c r="AQ396" s="1188"/>
      <c r="AR396" s="1203"/>
      <c r="AS396" s="1203"/>
      <c r="AT396" s="1203"/>
      <c r="AU396" s="802"/>
      <c r="AV396" s="708"/>
      <c r="AW396" s="708"/>
      <c r="AX396" s="708"/>
      <c r="AY396" s="708"/>
      <c r="AZ396" s="1188"/>
      <c r="BA396" s="1203"/>
      <c r="BB396" s="1203"/>
      <c r="BC396" s="1203"/>
      <c r="BD396" s="1203"/>
      <c r="BE396" s="1204"/>
      <c r="BF396" s="1203"/>
      <c r="BG396" s="1118"/>
      <c r="BH396" s="1201"/>
      <c r="BI396" s="1118"/>
      <c r="BJ396" s="1048"/>
      <c r="BK396" s="901"/>
      <c r="BL396" s="901"/>
      <c r="BM396" s="555"/>
      <c r="BN396" s="555"/>
      <c r="BO396" s="802"/>
      <c r="BP396" s="901"/>
      <c r="BQ396" s="901"/>
      <c r="BR396" s="555"/>
      <c r="BS396" s="555"/>
      <c r="BT396" s="802"/>
      <c r="BU396" s="901"/>
      <c r="BV396" s="901"/>
      <c r="BW396" s="555"/>
      <c r="BX396" s="555"/>
      <c r="BY396" s="802"/>
      <c r="BZ396" s="901"/>
      <c r="CA396" s="901"/>
      <c r="CB396" s="555"/>
      <c r="CC396" s="555"/>
      <c r="CD396" s="802"/>
      <c r="CE396" s="901"/>
      <c r="CF396" s="901"/>
      <c r="CG396" s="555"/>
      <c r="CH396" s="555"/>
      <c r="CI396" s="802"/>
      <c r="CJ396" s="901"/>
      <c r="CK396" s="901"/>
      <c r="CL396" s="555"/>
      <c r="CM396" s="555"/>
      <c r="CN396" s="802"/>
      <c r="CO396" s="901"/>
      <c r="CP396" s="901"/>
      <c r="CQ396" s="555"/>
      <c r="CR396" s="555"/>
      <c r="CS396" s="802"/>
      <c r="CT396" s="901"/>
      <c r="CU396" s="901"/>
      <c r="CV396" s="555"/>
      <c r="CW396" s="555"/>
      <c r="CX396" s="802"/>
      <c r="CY396" s="901"/>
      <c r="CZ396" s="901"/>
      <c r="DA396" s="555"/>
      <c r="DB396" s="555"/>
      <c r="DC396" s="802"/>
      <c r="DD396" s="901"/>
      <c r="DE396" s="901"/>
      <c r="DF396" s="555"/>
      <c r="DG396" s="555"/>
      <c r="DH396" s="802"/>
      <c r="DI396" s="1519">
        <v>11713</v>
      </c>
      <c r="DJ396" s="1519">
        <v>11644</v>
      </c>
      <c r="DK396" s="1507">
        <v>11693</v>
      </c>
      <c r="DL396" s="1507">
        <v>12003</v>
      </c>
      <c r="DM396" s="1506">
        <v>11756</v>
      </c>
      <c r="DN396" s="1519">
        <v>11797</v>
      </c>
      <c r="DO396" s="1519">
        <v>11793</v>
      </c>
      <c r="DP396" s="1519">
        <v>11791</v>
      </c>
      <c r="DQ396" s="1507">
        <v>12136</v>
      </c>
      <c r="DR396" s="1506">
        <v>11855</v>
      </c>
      <c r="DS396" s="1294"/>
      <c r="DT396" s="564"/>
      <c r="DU396" s="564"/>
      <c r="DV396" s="1294"/>
      <c r="DW396" s="1153"/>
      <c r="DX396" s="564"/>
      <c r="DY396" s="564"/>
      <c r="DZ396" s="564"/>
      <c r="EA396" s="564"/>
      <c r="EB396" s="1153"/>
      <c r="EC396" s="564"/>
      <c r="ED396" s="564"/>
      <c r="EE396" s="564"/>
      <c r="EF396" s="564"/>
      <c r="EG396" s="1153"/>
      <c r="EH396" s="564"/>
      <c r="EI396" s="564"/>
      <c r="EJ396" s="564"/>
      <c r="EK396" s="564"/>
      <c r="EL396" s="1153"/>
    </row>
    <row r="397" spans="1:142" hidden="1" outlineLevel="1">
      <c r="A397" s="557"/>
      <c r="B397" s="557" t="s">
        <v>603</v>
      </c>
      <c r="C397" s="1203"/>
      <c r="D397" s="1203"/>
      <c r="E397" s="1203"/>
      <c r="F397" s="1203"/>
      <c r="G397" s="1203"/>
      <c r="H397" s="1188"/>
      <c r="I397" s="1203"/>
      <c r="J397" s="1203"/>
      <c r="K397" s="1203"/>
      <c r="L397" s="1203"/>
      <c r="M397" s="1188"/>
      <c r="N397" s="1203"/>
      <c r="O397" s="1203"/>
      <c r="P397" s="1203"/>
      <c r="Q397" s="1203"/>
      <c r="R397" s="1188"/>
      <c r="S397" s="1203"/>
      <c r="T397" s="1203"/>
      <c r="U397" s="1203"/>
      <c r="V397" s="1203"/>
      <c r="W397" s="1188"/>
      <c r="X397" s="1203"/>
      <c r="Y397" s="1203"/>
      <c r="Z397" s="1203"/>
      <c r="AA397" s="1203"/>
      <c r="AB397" s="1188"/>
      <c r="AC397" s="1203"/>
      <c r="AD397" s="1203"/>
      <c r="AE397" s="1203"/>
      <c r="AF397" s="1203"/>
      <c r="AG397" s="1188"/>
      <c r="AH397" s="1203"/>
      <c r="AI397" s="1203"/>
      <c r="AJ397" s="1203"/>
      <c r="AK397" s="1203"/>
      <c r="AL397" s="1188"/>
      <c r="AM397" s="1203"/>
      <c r="AN397" s="1203"/>
      <c r="AO397" s="1203"/>
      <c r="AP397" s="1203"/>
      <c r="AQ397" s="1188"/>
      <c r="AR397" s="1203"/>
      <c r="AS397" s="1203"/>
      <c r="AT397" s="1203"/>
      <c r="AU397" s="802"/>
      <c r="AV397" s="708"/>
      <c r="AW397" s="708"/>
      <c r="AX397" s="708"/>
      <c r="AY397" s="708"/>
      <c r="AZ397" s="1188"/>
      <c r="BA397" s="1203"/>
      <c r="BB397" s="1203"/>
      <c r="BC397" s="1203"/>
      <c r="BD397" s="1203"/>
      <c r="BE397" s="1204"/>
      <c r="BF397" s="1203"/>
      <c r="BG397" s="1118"/>
      <c r="BH397" s="1201"/>
      <c r="BI397" s="1118"/>
      <c r="BJ397" s="1048"/>
      <c r="BK397" s="959"/>
      <c r="BL397" s="555"/>
      <c r="BM397" s="555"/>
      <c r="BN397" s="555"/>
      <c r="BO397" s="802"/>
      <c r="BP397" s="959"/>
      <c r="BQ397" s="555"/>
      <c r="BR397" s="555"/>
      <c r="BS397" s="555"/>
      <c r="BT397" s="802"/>
      <c r="BU397" s="959"/>
      <c r="BV397" s="555"/>
      <c r="BW397" s="555"/>
      <c r="BX397" s="555"/>
      <c r="BY397" s="802"/>
      <c r="BZ397" s="959"/>
      <c r="CA397" s="555"/>
      <c r="CB397" s="555"/>
      <c r="CC397" s="555"/>
      <c r="CD397" s="802"/>
      <c r="CE397" s="959"/>
      <c r="CF397" s="555"/>
      <c r="CG397" s="555"/>
      <c r="CH397" s="555"/>
      <c r="CI397" s="802"/>
      <c r="CJ397" s="959"/>
      <c r="CK397" s="555"/>
      <c r="CL397" s="555"/>
      <c r="CM397" s="555"/>
      <c r="CN397" s="802"/>
      <c r="CO397" s="959"/>
      <c r="CP397" s="555"/>
      <c r="CQ397" s="555"/>
      <c r="CR397" s="555"/>
      <c r="CS397" s="802"/>
      <c r="CT397" s="959"/>
      <c r="CU397" s="555"/>
      <c r="CV397" s="555"/>
      <c r="CW397" s="555"/>
      <c r="CX397" s="802"/>
      <c r="CY397" s="959"/>
      <c r="CZ397" s="555"/>
      <c r="DA397" s="555"/>
      <c r="DB397" s="555"/>
      <c r="DC397" s="802"/>
      <c r="DD397" s="959"/>
      <c r="DE397" s="555"/>
      <c r="DF397" s="555"/>
      <c r="DG397" s="555"/>
      <c r="DH397" s="802"/>
      <c r="DI397" s="1507">
        <v>2527</v>
      </c>
      <c r="DJ397" s="1507">
        <v>2577</v>
      </c>
      <c r="DK397" s="1507">
        <v>2602</v>
      </c>
      <c r="DL397" s="1507">
        <v>2657</v>
      </c>
      <c r="DM397" s="1506">
        <v>2593</v>
      </c>
      <c r="DN397" s="1507">
        <v>2509</v>
      </c>
      <c r="DO397" s="1507">
        <v>2562</v>
      </c>
      <c r="DP397" s="1507">
        <v>2564</v>
      </c>
      <c r="DQ397" s="1507">
        <v>2625</v>
      </c>
      <c r="DR397" s="1506">
        <v>2556</v>
      </c>
      <c r="DS397" s="1294"/>
      <c r="DT397" s="564"/>
      <c r="DU397" s="564"/>
      <c r="DV397" s="1294"/>
      <c r="DW397" s="1153"/>
      <c r="DX397" s="564"/>
      <c r="DY397" s="564"/>
      <c r="DZ397" s="564"/>
      <c r="EA397" s="564"/>
      <c r="EB397" s="1153"/>
      <c r="EC397" s="564"/>
      <c r="ED397" s="564"/>
      <c r="EE397" s="564"/>
      <c r="EF397" s="564"/>
      <c r="EG397" s="1153"/>
      <c r="EH397" s="564"/>
      <c r="EI397" s="564"/>
      <c r="EJ397" s="564"/>
      <c r="EK397" s="564"/>
      <c r="EL397" s="1153"/>
    </row>
    <row r="398" spans="1:142" hidden="1" outlineLevel="1">
      <c r="A398" s="557"/>
      <c r="B398" s="973" t="s">
        <v>691</v>
      </c>
      <c r="C398" s="1203"/>
      <c r="D398" s="1203"/>
      <c r="E398" s="1203"/>
      <c r="F398" s="1203"/>
      <c r="G398" s="1203"/>
      <c r="H398" s="1188"/>
      <c r="I398" s="1203"/>
      <c r="J398" s="1203"/>
      <c r="K398" s="1203"/>
      <c r="L398" s="1203"/>
      <c r="M398" s="1188"/>
      <c r="N398" s="1203"/>
      <c r="O398" s="1203"/>
      <c r="P398" s="1203"/>
      <c r="Q398" s="1203"/>
      <c r="R398" s="1188"/>
      <c r="S398" s="1203"/>
      <c r="T398" s="1203"/>
      <c r="U398" s="1203"/>
      <c r="V398" s="1203"/>
      <c r="W398" s="1188"/>
      <c r="X398" s="1203"/>
      <c r="Y398" s="1203"/>
      <c r="Z398" s="1203"/>
      <c r="AA398" s="1203"/>
      <c r="AB398" s="1188"/>
      <c r="AC398" s="1203"/>
      <c r="AD398" s="1203"/>
      <c r="AE398" s="1203"/>
      <c r="AF398" s="1203"/>
      <c r="AG398" s="1188"/>
      <c r="AH398" s="1203"/>
      <c r="AI398" s="1203"/>
      <c r="AJ398" s="1203"/>
      <c r="AK398" s="1203"/>
      <c r="AL398" s="1188"/>
      <c r="AM398" s="1203"/>
      <c r="AN398" s="1203"/>
      <c r="AO398" s="1203"/>
      <c r="AP398" s="1203"/>
      <c r="AQ398" s="1188"/>
      <c r="AR398" s="1203"/>
      <c r="AS398" s="1203"/>
      <c r="AT398" s="1203"/>
      <c r="AU398" s="802"/>
      <c r="AV398" s="708"/>
      <c r="AW398" s="708"/>
      <c r="AX398" s="708"/>
      <c r="AY398" s="708"/>
      <c r="AZ398" s="1188"/>
      <c r="BA398" s="1203"/>
      <c r="BB398" s="1203"/>
      <c r="BC398" s="1203"/>
      <c r="BD398" s="1203"/>
      <c r="BE398" s="1204"/>
      <c r="BF398" s="1203"/>
      <c r="BG398" s="1118"/>
      <c r="BH398" s="1201"/>
      <c r="BI398" s="1118"/>
      <c r="BJ398" s="1048"/>
      <c r="BK398" s="959"/>
      <c r="BL398" s="555"/>
      <c r="BM398" s="555"/>
      <c r="BN398" s="555"/>
      <c r="BO398" s="802"/>
      <c r="BP398" s="959"/>
      <c r="BQ398" s="555"/>
      <c r="BR398" s="555"/>
      <c r="BS398" s="555"/>
      <c r="BT398" s="802"/>
      <c r="BU398" s="959"/>
      <c r="BV398" s="555"/>
      <c r="BW398" s="555"/>
      <c r="BX398" s="555"/>
      <c r="BY398" s="802"/>
      <c r="BZ398" s="959"/>
      <c r="CA398" s="555"/>
      <c r="CB398" s="555"/>
      <c r="CC398" s="555"/>
      <c r="CD398" s="802"/>
      <c r="CE398" s="959"/>
      <c r="CF398" s="555"/>
      <c r="CG398" s="555"/>
      <c r="CH398" s="555"/>
      <c r="CI398" s="802"/>
      <c r="CJ398" s="959"/>
      <c r="CK398" s="555"/>
      <c r="CL398" s="555"/>
      <c r="CM398" s="555"/>
      <c r="CN398" s="802"/>
      <c r="CO398" s="959"/>
      <c r="CP398" s="555"/>
      <c r="CQ398" s="555"/>
      <c r="CR398" s="555"/>
      <c r="CS398" s="802"/>
      <c r="CT398" s="959"/>
      <c r="CU398" s="555"/>
      <c r="CV398" s="555"/>
      <c r="CW398" s="555"/>
      <c r="CX398" s="802"/>
      <c r="CY398" s="959"/>
      <c r="CZ398" s="555"/>
      <c r="DA398" s="555"/>
      <c r="DB398" s="555"/>
      <c r="DC398" s="802"/>
      <c r="DD398" s="959"/>
      <c r="DE398" s="555"/>
      <c r="DF398" s="555"/>
      <c r="DG398" s="555"/>
      <c r="DH398" s="802"/>
      <c r="DI398" s="1507"/>
      <c r="DJ398" s="1507"/>
      <c r="DK398" s="1507"/>
      <c r="DL398" s="1507"/>
      <c r="DM398" s="1506"/>
      <c r="DN398" s="1507"/>
      <c r="DO398" s="1507"/>
      <c r="DP398" s="1507"/>
      <c r="DQ398" s="1507"/>
      <c r="DR398" s="1506"/>
      <c r="DS398" s="1294"/>
      <c r="DT398" s="564"/>
      <c r="DU398" s="564"/>
      <c r="DV398" s="1294"/>
      <c r="DW398" s="1153"/>
      <c r="DX398" s="564"/>
      <c r="DY398" s="564"/>
      <c r="DZ398" s="564"/>
      <c r="EA398" s="564"/>
      <c r="EB398" s="1153"/>
      <c r="EC398" s="564"/>
      <c r="ED398" s="564"/>
      <c r="EE398" s="564"/>
      <c r="EF398" s="564"/>
      <c r="EG398" s="1153"/>
      <c r="EH398" s="564"/>
      <c r="EI398" s="564"/>
      <c r="EJ398" s="564"/>
      <c r="EK398" s="564"/>
      <c r="EL398" s="1153"/>
    </row>
    <row r="399" spans="1:142" hidden="1" outlineLevel="1">
      <c r="A399" s="557"/>
      <c r="B399" s="557" t="s">
        <v>105</v>
      </c>
      <c r="C399" s="1205"/>
      <c r="D399" s="1205">
        <v>0.42399999999999999</v>
      </c>
      <c r="E399" s="1203" t="s">
        <v>503</v>
      </c>
      <c r="F399" s="1203" t="s">
        <v>503</v>
      </c>
      <c r="G399" s="1203" t="s">
        <v>503</v>
      </c>
      <c r="H399" s="1206">
        <v>0.39</v>
      </c>
      <c r="I399" s="1205">
        <v>0.38400000000000001</v>
      </c>
      <c r="J399" s="1205">
        <v>0.38400000000000001</v>
      </c>
      <c r="K399" s="1205">
        <v>0.41699999999999998</v>
      </c>
      <c r="L399" s="1203" t="s">
        <v>503</v>
      </c>
      <c r="M399" s="1206">
        <v>0.39700000000000002</v>
      </c>
      <c r="N399" s="1205">
        <v>0.38200000000000001</v>
      </c>
      <c r="O399" s="1205">
        <v>0.41699999999999998</v>
      </c>
      <c r="P399" s="1205">
        <v>0.41099999999999998</v>
      </c>
      <c r="Q399" s="1203" t="s">
        <v>503</v>
      </c>
      <c r="R399" s="1206">
        <v>0.42199999999999999</v>
      </c>
      <c r="S399" s="1205">
        <v>0.38300000000000001</v>
      </c>
      <c r="T399" s="1205">
        <v>0.378</v>
      </c>
      <c r="U399" s="1205">
        <v>0.378</v>
      </c>
      <c r="V399" s="1203" t="s">
        <v>503</v>
      </c>
      <c r="W399" s="1206">
        <v>0.38</v>
      </c>
      <c r="X399" s="1205">
        <v>0.35299999999999998</v>
      </c>
      <c r="Y399" s="1205">
        <v>0.33800000000000002</v>
      </c>
      <c r="Z399" s="1205">
        <v>0.34499999999999997</v>
      </c>
      <c r="AA399" s="1203" t="s">
        <v>503</v>
      </c>
      <c r="AB399" s="1206">
        <v>0.34200000000000003</v>
      </c>
      <c r="AC399" s="1205">
        <v>0.32600000000000001</v>
      </c>
      <c r="AD399" s="1205">
        <v>0.316</v>
      </c>
      <c r="AE399" s="1205">
        <v>0.33</v>
      </c>
      <c r="AF399" s="1203" t="s">
        <v>503</v>
      </c>
      <c r="AG399" s="1206">
        <v>0.32600000000000001</v>
      </c>
      <c r="AH399" s="1205">
        <v>0.312</v>
      </c>
      <c r="AI399" s="1205">
        <v>0.29699999999999999</v>
      </c>
      <c r="AJ399" s="1205">
        <v>0.30099999999999999</v>
      </c>
      <c r="AK399" s="1203" t="s">
        <v>503</v>
      </c>
      <c r="AL399" s="1206">
        <v>0.308</v>
      </c>
      <c r="AM399" s="1205">
        <v>0.31</v>
      </c>
      <c r="AN399" s="1205">
        <v>0.308</v>
      </c>
      <c r="AO399" s="1205">
        <v>0.32</v>
      </c>
      <c r="AP399" s="1203" t="s">
        <v>503</v>
      </c>
      <c r="AQ399" s="1206">
        <v>0.318</v>
      </c>
      <c r="AR399" s="1205">
        <v>0.313</v>
      </c>
      <c r="AS399" s="1205">
        <v>0.308</v>
      </c>
      <c r="AT399" s="1205">
        <v>0.28100000000000003</v>
      </c>
      <c r="AU399" s="802"/>
      <c r="AV399" s="708" t="s">
        <v>503</v>
      </c>
      <c r="AW399" s="708" t="s">
        <v>503</v>
      </c>
      <c r="AX399" s="708" t="s">
        <v>503</v>
      </c>
      <c r="AY399" s="708" t="s">
        <v>503</v>
      </c>
      <c r="AZ399" s="1188" t="s">
        <v>503</v>
      </c>
      <c r="BA399" s="1205">
        <v>0.27300000000000002</v>
      </c>
      <c r="BB399" s="1205">
        <v>0.26900000000000002</v>
      </c>
      <c r="BC399" s="1205">
        <v>0.26400000000000001</v>
      </c>
      <c r="BD399" s="1203" t="s">
        <v>503</v>
      </c>
      <c r="BE399" s="1206">
        <v>0.26200000000000001</v>
      </c>
      <c r="BF399" s="1205">
        <v>0.26</v>
      </c>
      <c r="BG399" s="1205">
        <v>0.25900000000000001</v>
      </c>
      <c r="BH399" s="1205">
        <v>0.251</v>
      </c>
      <c r="BI399" s="1205">
        <v>0.27200000000000002</v>
      </c>
      <c r="BJ399" s="1206">
        <v>0.26100000000000001</v>
      </c>
      <c r="BK399" s="950">
        <v>0.28199999999999997</v>
      </c>
      <c r="BL399" s="558">
        <v>0.27200000000000002</v>
      </c>
      <c r="BM399" s="1207">
        <v>0.26600000000000001</v>
      </c>
      <c r="BN399" s="1207">
        <v>0.28199999999999997</v>
      </c>
      <c r="BO399" s="949">
        <v>0.27500000000000002</v>
      </c>
      <c r="BP399" s="950">
        <v>0.28299999999999997</v>
      </c>
      <c r="BQ399" s="558">
        <v>0.26800000000000002</v>
      </c>
      <c r="BR399" s="1207">
        <v>0.247</v>
      </c>
      <c r="BS399" s="1207">
        <v>0.26300000000000001</v>
      </c>
      <c r="BT399" s="949">
        <v>0.26500000000000001</v>
      </c>
      <c r="BU399" s="950">
        <v>0.27200000000000002</v>
      </c>
      <c r="BV399" s="558">
        <v>0.251</v>
      </c>
      <c r="BW399" s="1207">
        <v>0.251</v>
      </c>
      <c r="BX399" s="1207">
        <v>0.25600000000000001</v>
      </c>
      <c r="BY399" s="949">
        <v>0.25800000000000001</v>
      </c>
      <c r="BZ399" s="950">
        <v>0.26100000000000001</v>
      </c>
      <c r="CA399" s="558">
        <v>0.248</v>
      </c>
      <c r="CB399" s="1207">
        <v>0.25</v>
      </c>
      <c r="CC399" s="1207">
        <v>0.255</v>
      </c>
      <c r="CD399" s="949">
        <v>0.254</v>
      </c>
      <c r="CE399" s="950">
        <v>0.26800000000000002</v>
      </c>
      <c r="CF399" s="558">
        <v>0.24</v>
      </c>
      <c r="CG399" s="1207">
        <v>0.24399999999999999</v>
      </c>
      <c r="CH399" s="1207">
        <v>0.247</v>
      </c>
      <c r="CI399" s="949">
        <v>0.25</v>
      </c>
      <c r="CJ399" s="950">
        <v>0.251</v>
      </c>
      <c r="CK399" s="558">
        <v>0.23200000000000001</v>
      </c>
      <c r="CL399" s="1207">
        <v>0.23699999999999999</v>
      </c>
      <c r="CM399" s="1207">
        <v>0.23499999999999999</v>
      </c>
      <c r="CN399" s="949">
        <v>0.23899999999999999</v>
      </c>
      <c r="CO399" s="950">
        <v>0.23200000000000001</v>
      </c>
      <c r="CP399" s="558">
        <v>0.23499999999999999</v>
      </c>
      <c r="CQ399" s="1207">
        <v>0.22500000000000001</v>
      </c>
      <c r="CR399" s="1207">
        <v>0.23100000000000001</v>
      </c>
      <c r="CS399" s="949">
        <v>0.23100000000000001</v>
      </c>
      <c r="CT399" s="950">
        <v>0.26500000000000001</v>
      </c>
      <c r="CU399" s="558">
        <v>0.22700000000000001</v>
      </c>
      <c r="CV399" s="1207">
        <v>0.22700000000000001</v>
      </c>
      <c r="CW399" s="1207">
        <v>0.224</v>
      </c>
      <c r="CX399" s="949">
        <v>0.23400000000000001</v>
      </c>
      <c r="CY399" s="950">
        <v>0.23</v>
      </c>
      <c r="CZ399" s="558">
        <v>0.21</v>
      </c>
      <c r="DA399" s="1207">
        <v>0.21299999999999999</v>
      </c>
      <c r="DB399" s="1207">
        <v>0.218</v>
      </c>
      <c r="DC399" s="949">
        <v>0.218</v>
      </c>
      <c r="DD399" s="950">
        <v>0.22600000000000001</v>
      </c>
      <c r="DE399" s="558">
        <v>0.22500000000000001</v>
      </c>
      <c r="DF399" s="1207">
        <v>0.215</v>
      </c>
      <c r="DG399" s="1207">
        <v>0.20899999999999999</v>
      </c>
      <c r="DH399" s="949"/>
      <c r="DI399" s="1287">
        <v>0.218</v>
      </c>
      <c r="DJ399" s="1284">
        <v>0.20699999999999999</v>
      </c>
      <c r="DK399" s="1285">
        <v>0.20200000000000001</v>
      </c>
      <c r="DL399" s="1285">
        <v>0.19900000000000001</v>
      </c>
      <c r="DM399" s="1286">
        <v>0.20699999999999999</v>
      </c>
      <c r="DN399" s="1287">
        <v>0.2</v>
      </c>
      <c r="DO399" s="1287">
        <v>0.218</v>
      </c>
      <c r="DP399" s="1287">
        <v>0.20499999999999999</v>
      </c>
      <c r="DQ399" s="1285">
        <v>0.20799999999999999</v>
      </c>
      <c r="DR399" s="1286">
        <v>0.21</v>
      </c>
      <c r="DS399" s="1294"/>
      <c r="DT399" s="564"/>
      <c r="DU399" s="564"/>
      <c r="DV399" s="1294"/>
      <c r="DW399" s="1153"/>
      <c r="DX399" s="564"/>
      <c r="DY399" s="564"/>
      <c r="DZ399" s="564"/>
      <c r="EA399" s="564"/>
      <c r="EB399" s="1153"/>
      <c r="EC399" s="564"/>
      <c r="ED399" s="564"/>
      <c r="EE399" s="564"/>
      <c r="EF399" s="564"/>
      <c r="EG399" s="1153"/>
      <c r="EH399" s="564"/>
      <c r="EI399" s="564"/>
      <c r="EJ399" s="564"/>
      <c r="EK399" s="564"/>
      <c r="EL399" s="1153"/>
    </row>
    <row r="400" spans="1:142" hidden="1" outlineLevel="1">
      <c r="A400" s="557"/>
      <c r="B400" s="557" t="s">
        <v>106</v>
      </c>
      <c r="C400" s="1205"/>
      <c r="D400" s="1205">
        <v>0.42399999999999999</v>
      </c>
      <c r="E400" s="1203" t="s">
        <v>503</v>
      </c>
      <c r="F400" s="1203" t="s">
        <v>503</v>
      </c>
      <c r="G400" s="1203" t="s">
        <v>503</v>
      </c>
      <c r="H400" s="1188" t="s">
        <v>503</v>
      </c>
      <c r="I400" s="1203" t="s">
        <v>503</v>
      </c>
      <c r="J400" s="1203" t="s">
        <v>503</v>
      </c>
      <c r="K400" s="1203" t="s">
        <v>503</v>
      </c>
      <c r="L400" s="1203" t="s">
        <v>503</v>
      </c>
      <c r="M400" s="1188">
        <v>6.7000000000000004E-2</v>
      </c>
      <c r="N400" s="1203" t="s">
        <v>503</v>
      </c>
      <c r="O400" s="1203" t="s">
        <v>503</v>
      </c>
      <c r="P400" s="1203" t="s">
        <v>503</v>
      </c>
      <c r="Q400" s="1203" t="s">
        <v>503</v>
      </c>
      <c r="R400" s="1188">
        <v>8.5999999999999993E-2</v>
      </c>
      <c r="S400" s="1203" t="s">
        <v>503</v>
      </c>
      <c r="T400" s="1203" t="s">
        <v>503</v>
      </c>
      <c r="U400" s="1203" t="s">
        <v>503</v>
      </c>
      <c r="V400" s="1203" t="s">
        <v>503</v>
      </c>
      <c r="W400" s="1188" t="s">
        <v>503</v>
      </c>
      <c r="X400" s="1203" t="s">
        <v>503</v>
      </c>
      <c r="Y400" s="1203" t="s">
        <v>503</v>
      </c>
      <c r="Z400" s="1203" t="s">
        <v>503</v>
      </c>
      <c r="AA400" s="1203" t="s">
        <v>503</v>
      </c>
      <c r="AB400" s="1211">
        <v>9.0999999999999998E-2</v>
      </c>
      <c r="AC400" s="1212">
        <v>0.08</v>
      </c>
      <c r="AD400" s="1212">
        <v>8.3000000000000004E-2</v>
      </c>
      <c r="AE400" s="1212">
        <v>8.5999999999999993E-2</v>
      </c>
      <c r="AF400" s="1203" t="s">
        <v>503</v>
      </c>
      <c r="AG400" s="1211">
        <v>8.3000000000000004E-2</v>
      </c>
      <c r="AH400" s="1212">
        <v>0.08</v>
      </c>
      <c r="AI400" s="1212">
        <v>8.6999999999999994E-2</v>
      </c>
      <c r="AJ400" s="1212">
        <v>8.2000000000000003E-2</v>
      </c>
      <c r="AK400" s="1203" t="s">
        <v>503</v>
      </c>
      <c r="AL400" s="1211">
        <v>8.2000000000000003E-2</v>
      </c>
      <c r="AM400" s="1212">
        <v>7.9000000000000001E-2</v>
      </c>
      <c r="AN400" s="1212">
        <v>8.3000000000000004E-2</v>
      </c>
      <c r="AO400" s="1212">
        <v>8.6999999999999994E-2</v>
      </c>
      <c r="AP400" s="1203" t="s">
        <v>503</v>
      </c>
      <c r="AQ400" s="1211">
        <v>8.5999999999999993E-2</v>
      </c>
      <c r="AR400" s="1212">
        <v>8.1000000000000003E-2</v>
      </c>
      <c r="AS400" s="1212">
        <v>0.08</v>
      </c>
      <c r="AT400" s="1212">
        <v>0.09</v>
      </c>
      <c r="AU400" s="802"/>
      <c r="AV400" s="708" t="s">
        <v>503</v>
      </c>
      <c r="AW400" s="708" t="s">
        <v>503</v>
      </c>
      <c r="AX400" s="708" t="s">
        <v>503</v>
      </c>
      <c r="AY400" s="708" t="s">
        <v>503</v>
      </c>
      <c r="AZ400" s="1188" t="s">
        <v>503</v>
      </c>
      <c r="BA400" s="1205">
        <v>8.7999999999999995E-2</v>
      </c>
      <c r="BB400" s="1212">
        <v>9.4E-2</v>
      </c>
      <c r="BC400" s="1212">
        <v>8.8999999999999996E-2</v>
      </c>
      <c r="BD400" s="1203" t="s">
        <v>503</v>
      </c>
      <c r="BE400" s="1211">
        <v>9.1999999999999998E-2</v>
      </c>
      <c r="BF400" s="1205">
        <v>7.5999999999999998E-2</v>
      </c>
      <c r="BG400" s="1205">
        <v>7.1999999999999995E-2</v>
      </c>
      <c r="BH400" s="1205">
        <v>7.9000000000000001E-2</v>
      </c>
      <c r="BI400" s="1205">
        <v>7.3999999999999996E-2</v>
      </c>
      <c r="BJ400" s="1206">
        <v>7.3999999999999996E-2</v>
      </c>
      <c r="BK400" s="950">
        <v>8.1000000000000003E-2</v>
      </c>
      <c r="BL400" s="558">
        <v>8.3000000000000004E-2</v>
      </c>
      <c r="BM400" s="1207">
        <v>8.7999999999999995E-2</v>
      </c>
      <c r="BN400" s="1207">
        <v>0.08</v>
      </c>
      <c r="BO400" s="949">
        <v>8.3000000000000004E-2</v>
      </c>
      <c r="BP400" s="950">
        <v>8.5000000000000006E-2</v>
      </c>
      <c r="BQ400" s="558">
        <v>9.5000000000000001E-2</v>
      </c>
      <c r="BR400" s="1207">
        <v>8.7999999999999995E-2</v>
      </c>
      <c r="BS400" s="1207">
        <v>9.2999999999999999E-2</v>
      </c>
      <c r="BT400" s="949">
        <v>0.09</v>
      </c>
      <c r="BU400" s="950">
        <v>6.9000000000000006E-2</v>
      </c>
      <c r="BV400" s="558">
        <v>8.8999999999999996E-2</v>
      </c>
      <c r="BW400" s="1207">
        <v>9.0999999999999998E-2</v>
      </c>
      <c r="BX400" s="1207">
        <v>8.5000000000000006E-2</v>
      </c>
      <c r="BY400" s="949">
        <v>8.4000000000000005E-2</v>
      </c>
      <c r="BZ400" s="950">
        <v>8.1000000000000003E-2</v>
      </c>
      <c r="CA400" s="558">
        <v>8.2000000000000003E-2</v>
      </c>
      <c r="CB400" s="1207">
        <v>8.5999999999999993E-2</v>
      </c>
      <c r="CC400" s="1207">
        <v>8.2000000000000003E-2</v>
      </c>
      <c r="CD400" s="949">
        <v>8.4000000000000005E-2</v>
      </c>
      <c r="CE400" s="950">
        <v>0.08</v>
      </c>
      <c r="CF400" s="558">
        <v>8.3000000000000004E-2</v>
      </c>
      <c r="CG400" s="1207">
        <v>8.5000000000000006E-2</v>
      </c>
      <c r="CH400" s="1207">
        <v>7.4999999999999997E-2</v>
      </c>
      <c r="CI400" s="949">
        <v>8.1000000000000003E-2</v>
      </c>
      <c r="CJ400" s="950">
        <v>8.6999999999999994E-2</v>
      </c>
      <c r="CK400" s="558">
        <v>9.2999999999999999E-2</v>
      </c>
      <c r="CL400" s="1207">
        <v>0.08</v>
      </c>
      <c r="CM400" s="1207">
        <v>8.5999999999999993E-2</v>
      </c>
      <c r="CN400" s="949">
        <v>8.6999999999999994E-2</v>
      </c>
      <c r="CO400" s="950">
        <v>0.115</v>
      </c>
      <c r="CP400" s="558">
        <v>7.4999999999999997E-2</v>
      </c>
      <c r="CQ400" s="1207">
        <v>0.08</v>
      </c>
      <c r="CR400" s="1207">
        <v>8.5999999999999993E-2</v>
      </c>
      <c r="CS400" s="949">
        <v>0.09</v>
      </c>
      <c r="CT400" s="950">
        <v>7.4999999999999997E-2</v>
      </c>
      <c r="CU400" s="558">
        <v>0.1</v>
      </c>
      <c r="CV400" s="1207">
        <v>7.6999999999999999E-2</v>
      </c>
      <c r="CW400" s="1207">
        <v>8.3000000000000004E-2</v>
      </c>
      <c r="CX400" s="949">
        <v>8.4000000000000005E-2</v>
      </c>
      <c r="CY400" s="950">
        <v>0.08</v>
      </c>
      <c r="CZ400" s="558">
        <v>9.9000000000000005E-2</v>
      </c>
      <c r="DA400" s="1207">
        <v>8.7999999999999995E-2</v>
      </c>
      <c r="DB400" s="1207">
        <v>9.2999999999999999E-2</v>
      </c>
      <c r="DC400" s="949">
        <v>0.09</v>
      </c>
      <c r="DD400" s="950">
        <v>7.6999999999999999E-2</v>
      </c>
      <c r="DE400" s="558">
        <v>9.9000000000000005E-2</v>
      </c>
      <c r="DF400" s="1207">
        <v>8.6999999999999994E-2</v>
      </c>
      <c r="DG400" s="1207">
        <v>0.111</v>
      </c>
      <c r="DH400" s="949"/>
      <c r="DI400" s="1287">
        <v>0.09</v>
      </c>
      <c r="DJ400" s="1284">
        <v>8.3000000000000004E-2</v>
      </c>
      <c r="DK400" s="1285">
        <v>8.7999999999999995E-2</v>
      </c>
      <c r="DL400" s="1285">
        <v>8.3000000000000004E-2</v>
      </c>
      <c r="DM400" s="1286">
        <v>8.6999999999999994E-2</v>
      </c>
      <c r="DN400" s="1287">
        <v>8.5999999999999993E-2</v>
      </c>
      <c r="DO400" s="1287">
        <v>7.5999999999999998E-2</v>
      </c>
      <c r="DP400" s="1287">
        <v>8.4000000000000005E-2</v>
      </c>
      <c r="DQ400" s="1285">
        <v>8.2000000000000003E-2</v>
      </c>
      <c r="DR400" s="1286">
        <v>8.2000000000000003E-2</v>
      </c>
      <c r="DS400" s="1284"/>
      <c r="DT400" s="558"/>
      <c r="DU400" s="558"/>
      <c r="DV400" s="1284"/>
      <c r="DW400" s="78"/>
      <c r="DX400" s="558"/>
      <c r="DY400" s="558"/>
      <c r="DZ400" s="558"/>
      <c r="EA400" s="558"/>
      <c r="EB400" s="78"/>
      <c r="EC400" s="558"/>
      <c r="ED400" s="558"/>
      <c r="EE400" s="558"/>
      <c r="EF400" s="558"/>
      <c r="EG400" s="78"/>
      <c r="EH400" s="558"/>
      <c r="EI400" s="558"/>
      <c r="EJ400" s="558"/>
      <c r="EK400" s="558"/>
      <c r="EL400" s="78"/>
    </row>
    <row r="401" spans="1:142" hidden="1" outlineLevel="1">
      <c r="A401" s="561"/>
      <c r="B401" s="557" t="s">
        <v>110</v>
      </c>
      <c r="C401" s="1203"/>
      <c r="D401" s="1203" t="s">
        <v>503</v>
      </c>
      <c r="E401" s="1203" t="s">
        <v>503</v>
      </c>
      <c r="F401" s="1203" t="s">
        <v>503</v>
      </c>
      <c r="G401" s="1203" t="s">
        <v>503</v>
      </c>
      <c r="H401" s="1188" t="s">
        <v>503</v>
      </c>
      <c r="I401" s="1203" t="s">
        <v>503</v>
      </c>
      <c r="J401" s="1203" t="s">
        <v>503</v>
      </c>
      <c r="K401" s="1203" t="s">
        <v>503</v>
      </c>
      <c r="L401" s="1203" t="s">
        <v>503</v>
      </c>
      <c r="M401" s="1188" t="s">
        <v>503</v>
      </c>
      <c r="N401" s="1203" t="s">
        <v>503</v>
      </c>
      <c r="O401" s="1203" t="s">
        <v>503</v>
      </c>
      <c r="P401" s="1203" t="s">
        <v>503</v>
      </c>
      <c r="Q401" s="1203" t="s">
        <v>503</v>
      </c>
      <c r="R401" s="1188" t="s">
        <v>503</v>
      </c>
      <c r="S401" s="1203" t="s">
        <v>503</v>
      </c>
      <c r="T401" s="1203" t="s">
        <v>503</v>
      </c>
      <c r="U401" s="1203" t="s">
        <v>503</v>
      </c>
      <c r="V401" s="1203" t="s">
        <v>503</v>
      </c>
      <c r="W401" s="1188" t="s">
        <v>503</v>
      </c>
      <c r="X401" s="1203" t="s">
        <v>503</v>
      </c>
      <c r="Y401" s="1203" t="s">
        <v>503</v>
      </c>
      <c r="Z401" s="1203" t="s">
        <v>503</v>
      </c>
      <c r="AA401" s="1203" t="s">
        <v>503</v>
      </c>
      <c r="AB401" s="1188" t="s">
        <v>503</v>
      </c>
      <c r="AC401" s="1212" t="s">
        <v>503</v>
      </c>
      <c r="AD401" s="1212" t="s">
        <v>503</v>
      </c>
      <c r="AE401" s="1212" t="s">
        <v>503</v>
      </c>
      <c r="AF401" s="1203" t="s">
        <v>503</v>
      </c>
      <c r="AG401" s="1188" t="s">
        <v>503</v>
      </c>
      <c r="AH401" s="1212" t="s">
        <v>503</v>
      </c>
      <c r="AI401" s="1212" t="s">
        <v>503</v>
      </c>
      <c r="AJ401" s="1212" t="s">
        <v>503</v>
      </c>
      <c r="AK401" s="1203" t="s">
        <v>503</v>
      </c>
      <c r="AL401" s="1188" t="s">
        <v>503</v>
      </c>
      <c r="AM401" s="1212" t="s">
        <v>503</v>
      </c>
      <c r="AN401" s="1212" t="s">
        <v>503</v>
      </c>
      <c r="AO401" s="1212" t="s">
        <v>503</v>
      </c>
      <c r="AP401" s="1203" t="s">
        <v>503</v>
      </c>
      <c r="AQ401" s="1188" t="s">
        <v>503</v>
      </c>
      <c r="AR401" s="1212" t="s">
        <v>503</v>
      </c>
      <c r="AS401" s="1212" t="s">
        <v>503</v>
      </c>
      <c r="AT401" s="1212" t="s">
        <v>503</v>
      </c>
      <c r="AU401" s="802"/>
      <c r="AV401" s="708" t="s">
        <v>503</v>
      </c>
      <c r="AW401" s="708" t="s">
        <v>503</v>
      </c>
      <c r="AX401" s="708" t="s">
        <v>503</v>
      </c>
      <c r="AY401" s="708" t="s">
        <v>503</v>
      </c>
      <c r="AZ401" s="1188" t="s">
        <v>503</v>
      </c>
      <c r="BA401" s="1212">
        <v>0.49199999999999999</v>
      </c>
      <c r="BB401" s="1205">
        <v>0.48099999999999998</v>
      </c>
      <c r="BC401" s="1205">
        <v>0.48399999999999999</v>
      </c>
      <c r="BD401" s="1203" t="s">
        <v>503</v>
      </c>
      <c r="BE401" s="1206">
        <v>0.48899999999999999</v>
      </c>
      <c r="BF401" s="1205">
        <v>0.49099999999999999</v>
      </c>
      <c r="BG401" s="1205">
        <v>0.49099999999999999</v>
      </c>
      <c r="BH401" s="1205">
        <v>0.495</v>
      </c>
      <c r="BI401" s="1205">
        <v>0.501</v>
      </c>
      <c r="BJ401" s="1206">
        <v>0.497</v>
      </c>
      <c r="BK401" s="950">
        <v>0.505</v>
      </c>
      <c r="BL401" s="558">
        <v>0.502</v>
      </c>
      <c r="BM401" s="1207">
        <v>0.50900000000000001</v>
      </c>
      <c r="BN401" s="1207">
        <v>0.51300000000000001</v>
      </c>
      <c r="BO401" s="949">
        <v>0.50800000000000001</v>
      </c>
      <c r="BP401" s="950">
        <v>0.51100000000000001</v>
      </c>
      <c r="BQ401" s="558">
        <v>0.52200000000000002</v>
      </c>
      <c r="BR401" s="1207">
        <v>0.53900000000000003</v>
      </c>
      <c r="BS401" s="1207">
        <v>0.52</v>
      </c>
      <c r="BT401" s="949">
        <v>0.52300000000000002</v>
      </c>
      <c r="BU401" s="950">
        <f t="shared" ref="BU401:CL401" si="570">BU403+BU404</f>
        <v>0.54400000000000004</v>
      </c>
      <c r="BV401" s="558">
        <f t="shared" si="570"/>
        <v>0.53100000000000003</v>
      </c>
      <c r="BW401" s="1207">
        <f t="shared" si="570"/>
        <v>0.53500000000000003</v>
      </c>
      <c r="BX401" s="1207">
        <f t="shared" si="570"/>
        <v>0.54400000000000004</v>
      </c>
      <c r="BY401" s="949">
        <f t="shared" si="570"/>
        <v>0.53800000000000003</v>
      </c>
      <c r="BZ401" s="950">
        <f t="shared" si="570"/>
        <v>0.54400000000000004</v>
      </c>
      <c r="CA401" s="558">
        <f t="shared" si="570"/>
        <v>0.55299999999999994</v>
      </c>
      <c r="CB401" s="1207">
        <f t="shared" si="570"/>
        <v>0.54800000000000004</v>
      </c>
      <c r="CC401" s="1207">
        <f t="shared" si="570"/>
        <v>0.55899999999999994</v>
      </c>
      <c r="CD401" s="949">
        <f t="shared" si="570"/>
        <v>0.54800000000000004</v>
      </c>
      <c r="CE401" s="950">
        <f t="shared" si="570"/>
        <v>0.55300000000000005</v>
      </c>
      <c r="CF401" s="558">
        <f t="shared" si="570"/>
        <v>0.56799999999999995</v>
      </c>
      <c r="CG401" s="1207">
        <f t="shared" si="570"/>
        <v>0.55999999999999994</v>
      </c>
      <c r="CH401" s="1207">
        <f t="shared" si="570"/>
        <v>0.56199999999999994</v>
      </c>
      <c r="CI401" s="949">
        <f t="shared" si="570"/>
        <v>0.56099999999999994</v>
      </c>
      <c r="CJ401" s="950">
        <f t="shared" si="570"/>
        <v>0.55300000000000005</v>
      </c>
      <c r="CK401" s="558">
        <f t="shared" si="570"/>
        <v>0.56499999999999995</v>
      </c>
      <c r="CL401" s="1207">
        <f t="shared" si="570"/>
        <v>0.56999999999999995</v>
      </c>
      <c r="CM401" s="1207">
        <v>0.56899999999999995</v>
      </c>
      <c r="CN401" s="949">
        <v>0.56499999999999995</v>
      </c>
      <c r="CO401" s="950">
        <v>0.54600000000000004</v>
      </c>
      <c r="CP401" s="558">
        <v>0.58199999999999996</v>
      </c>
      <c r="CQ401" s="1207">
        <v>0.58199999999999996</v>
      </c>
      <c r="CR401" s="1207">
        <v>0.58099999999999996</v>
      </c>
      <c r="CS401" s="949">
        <v>0.57199999999999995</v>
      </c>
      <c r="CT401" s="950">
        <v>0.55900000000000005</v>
      </c>
      <c r="CU401" s="558">
        <v>0.56799999999999995</v>
      </c>
      <c r="CV401" s="1207">
        <v>0.58899999999999997</v>
      </c>
      <c r="CW401" s="1207">
        <v>0.58299999999999996</v>
      </c>
      <c r="CX401" s="949">
        <v>0.57399999999999995</v>
      </c>
      <c r="CY401" s="950">
        <v>0.57899999999999996</v>
      </c>
      <c r="CZ401" s="558">
        <v>0.58099999999999996</v>
      </c>
      <c r="DA401" s="1207">
        <v>0.58799999999999997</v>
      </c>
      <c r="DB401" s="1207">
        <v>0.57699999999999996</v>
      </c>
      <c r="DC401" s="949">
        <v>0.58099999999999996</v>
      </c>
      <c r="DD401" s="950">
        <v>0.57799999999999996</v>
      </c>
      <c r="DE401" s="558">
        <v>0.57999999999999996</v>
      </c>
      <c r="DF401" s="1207">
        <v>0.60699999999999998</v>
      </c>
      <c r="DG401" s="1207">
        <v>0.57899999999999996</v>
      </c>
      <c r="DH401" s="949"/>
      <c r="DI401" s="1287">
        <v>0.59099999999999997</v>
      </c>
      <c r="DJ401" s="1284">
        <v>0.61599999999999999</v>
      </c>
      <c r="DK401" s="1285">
        <v>0.61599999999999999</v>
      </c>
      <c r="DL401" s="1285">
        <v>0.61799999999999999</v>
      </c>
      <c r="DM401" s="1286">
        <v>0.61099999999999999</v>
      </c>
      <c r="DN401" s="1287">
        <v>0.61599999999999999</v>
      </c>
      <c r="DO401" s="1287">
        <v>0.59599999999999997</v>
      </c>
      <c r="DP401" s="1287">
        <v>0.64300000000000002</v>
      </c>
      <c r="DQ401" s="1285">
        <v>0.61199999999999999</v>
      </c>
      <c r="DR401" s="1286">
        <v>0.61599999999999999</v>
      </c>
      <c r="DS401" s="1290"/>
      <c r="DT401" s="561"/>
      <c r="DU401" s="561"/>
      <c r="DV401" s="1290"/>
      <c r="DW401" s="844"/>
      <c r="DX401" s="561"/>
      <c r="DY401" s="561"/>
      <c r="DZ401" s="561"/>
      <c r="EA401" s="561"/>
      <c r="EB401" s="844"/>
      <c r="EC401" s="561"/>
      <c r="ED401" s="561"/>
      <c r="EE401" s="561"/>
      <c r="EF401" s="561"/>
      <c r="EG401" s="844"/>
      <c r="EH401" s="561"/>
      <c r="EI401" s="561"/>
      <c r="EJ401" s="561"/>
      <c r="EK401" s="561"/>
      <c r="EL401" s="844"/>
    </row>
    <row r="402" spans="1:142" hidden="1" outlineLevel="1">
      <c r="A402" s="923"/>
      <c r="B402" s="557" t="s">
        <v>200</v>
      </c>
      <c r="C402" s="1203"/>
      <c r="D402" s="1203" t="s">
        <v>503</v>
      </c>
      <c r="E402" s="1203" t="s">
        <v>503</v>
      </c>
      <c r="F402" s="1203" t="s">
        <v>503</v>
      </c>
      <c r="G402" s="1203" t="s">
        <v>503</v>
      </c>
      <c r="H402" s="1188" t="s">
        <v>503</v>
      </c>
      <c r="I402" s="1203" t="s">
        <v>503</v>
      </c>
      <c r="J402" s="1203" t="s">
        <v>503</v>
      </c>
      <c r="K402" s="1203" t="s">
        <v>503</v>
      </c>
      <c r="L402" s="1203" t="s">
        <v>503</v>
      </c>
      <c r="M402" s="1188">
        <v>0.53600000000000003</v>
      </c>
      <c r="N402" s="1203" t="s">
        <v>503</v>
      </c>
      <c r="O402" s="1203" t="s">
        <v>503</v>
      </c>
      <c r="P402" s="1203" t="s">
        <v>503</v>
      </c>
      <c r="Q402" s="1203" t="s">
        <v>503</v>
      </c>
      <c r="R402" s="974">
        <f>1-(SUM(R399:R401))</f>
        <v>0.49199999999999999</v>
      </c>
      <c r="S402" s="1203" t="s">
        <v>503</v>
      </c>
      <c r="T402" s="1203" t="s">
        <v>503</v>
      </c>
      <c r="U402" s="1203" t="s">
        <v>503</v>
      </c>
      <c r="V402" s="1203" t="s">
        <v>503</v>
      </c>
      <c r="W402" s="1188" t="s">
        <v>503</v>
      </c>
      <c r="X402" s="1203" t="s">
        <v>503</v>
      </c>
      <c r="Y402" s="1203" t="s">
        <v>503</v>
      </c>
      <c r="Z402" s="1203" t="s">
        <v>503</v>
      </c>
      <c r="AA402" s="1203" t="s">
        <v>503</v>
      </c>
      <c r="AB402" s="1206">
        <v>0.191</v>
      </c>
      <c r="AC402" s="1212">
        <v>0.222</v>
      </c>
      <c r="AD402" s="1212">
        <v>0.182</v>
      </c>
      <c r="AE402" s="1212">
        <v>0.17799999999999999</v>
      </c>
      <c r="AF402" s="1203" t="s">
        <v>503</v>
      </c>
      <c r="AG402" s="1206">
        <v>0.184</v>
      </c>
      <c r="AH402" s="1212">
        <v>0.19700000000000001</v>
      </c>
      <c r="AI402" s="1212">
        <v>0.17699999999999999</v>
      </c>
      <c r="AJ402" s="1212">
        <v>0.17899999999999999</v>
      </c>
      <c r="AK402" s="1203" t="s">
        <v>503</v>
      </c>
      <c r="AL402" s="1206">
        <v>0.17699999999999999</v>
      </c>
      <c r="AM402" s="1212">
        <v>0.182</v>
      </c>
      <c r="AN402" s="1212">
        <v>0.16400000000000001</v>
      </c>
      <c r="AO402" s="1212">
        <v>0.151</v>
      </c>
      <c r="AP402" s="1203" t="s">
        <v>503</v>
      </c>
      <c r="AQ402" s="1206">
        <v>0.157</v>
      </c>
      <c r="AR402" s="1205">
        <v>0.152</v>
      </c>
      <c r="AS402" s="1205">
        <v>0.15</v>
      </c>
      <c r="AT402" s="1212">
        <v>0.14299999999999999</v>
      </c>
      <c r="AU402" s="802"/>
      <c r="AV402" s="708" t="s">
        <v>503</v>
      </c>
      <c r="AW402" s="708" t="s">
        <v>503</v>
      </c>
      <c r="AX402" s="708" t="s">
        <v>503</v>
      </c>
      <c r="AY402" s="708" t="s">
        <v>503</v>
      </c>
      <c r="AZ402" s="1188" t="s">
        <v>503</v>
      </c>
      <c r="BA402" s="1205">
        <v>0.14699999999999999</v>
      </c>
      <c r="BB402" s="1205">
        <v>0.156</v>
      </c>
      <c r="BC402" s="1205">
        <v>0.16300000000000001</v>
      </c>
      <c r="BD402" s="1203" t="s">
        <v>503</v>
      </c>
      <c r="BE402" s="1206">
        <v>0.157</v>
      </c>
      <c r="BF402" s="1205">
        <v>0.17299999999999999</v>
      </c>
      <c r="BG402" s="1205">
        <v>0.17799999999999999</v>
      </c>
      <c r="BH402" s="1205">
        <v>0.17499999999999999</v>
      </c>
      <c r="BI402" s="1205">
        <v>0.153</v>
      </c>
      <c r="BJ402" s="1206">
        <v>0.16800000000000001</v>
      </c>
      <c r="BK402" s="950">
        <v>0.13200000000000001</v>
      </c>
      <c r="BL402" s="558">
        <v>0.14299999999999999</v>
      </c>
      <c r="BM402" s="1207">
        <v>0.13700000000000001</v>
      </c>
      <c r="BN402" s="1207">
        <v>0.125</v>
      </c>
      <c r="BO402" s="949">
        <v>0.13400000000000001</v>
      </c>
      <c r="BP402" s="950">
        <v>0.121</v>
      </c>
      <c r="BQ402" s="558">
        <v>0.115</v>
      </c>
      <c r="BR402" s="1207">
        <v>0.126</v>
      </c>
      <c r="BS402" s="1207">
        <v>0.124</v>
      </c>
      <c r="BT402" s="949">
        <v>0.122</v>
      </c>
      <c r="BU402" s="950">
        <v>0.115</v>
      </c>
      <c r="BV402" s="558">
        <v>0.129</v>
      </c>
      <c r="BW402" s="1207">
        <v>0.123</v>
      </c>
      <c r="BX402" s="1207">
        <v>0.115</v>
      </c>
      <c r="BY402" s="949">
        <v>0.12</v>
      </c>
      <c r="BZ402" s="950">
        <v>0.114</v>
      </c>
      <c r="CA402" s="558">
        <v>0.11700000000000001</v>
      </c>
      <c r="CB402" s="1207">
        <v>0.11600000000000001</v>
      </c>
      <c r="CC402" s="1207">
        <v>0.104</v>
      </c>
      <c r="CD402" s="949">
        <v>0.114</v>
      </c>
      <c r="CE402" s="950">
        <v>9.8000000000000004E-2</v>
      </c>
      <c r="CF402" s="558">
        <v>0.109</v>
      </c>
      <c r="CG402" s="1207">
        <v>0.111</v>
      </c>
      <c r="CH402" s="1207">
        <v>0.11600000000000001</v>
      </c>
      <c r="CI402" s="949">
        <v>0.108</v>
      </c>
      <c r="CJ402" s="950">
        <v>0.109</v>
      </c>
      <c r="CK402" s="558">
        <v>0.11</v>
      </c>
      <c r="CL402" s="1207">
        <v>0.113</v>
      </c>
      <c r="CM402" s="1207">
        <v>0.11</v>
      </c>
      <c r="CN402" s="949">
        <v>0.109</v>
      </c>
      <c r="CO402" s="950">
        <v>0.107</v>
      </c>
      <c r="CP402" s="558">
        <v>0.108</v>
      </c>
      <c r="CQ402" s="1207">
        <v>0.113</v>
      </c>
      <c r="CR402" s="1207">
        <v>0.10199999999999999</v>
      </c>
      <c r="CS402" s="949">
        <v>0.107</v>
      </c>
      <c r="CT402" s="950">
        <v>0.10100000000000001</v>
      </c>
      <c r="CU402" s="558">
        <v>0.105</v>
      </c>
      <c r="CV402" s="1207">
        <v>0.113</v>
      </c>
      <c r="CW402" s="1207">
        <v>0.11</v>
      </c>
      <c r="CX402" s="949">
        <v>0.108</v>
      </c>
      <c r="CY402" s="950">
        <v>0.111</v>
      </c>
      <c r="CZ402" s="558">
        <v>0.11</v>
      </c>
      <c r="DA402" s="1207">
        <v>0.111</v>
      </c>
      <c r="DB402" s="1207">
        <v>0.112</v>
      </c>
      <c r="DC402" s="949">
        <v>0.111</v>
      </c>
      <c r="DD402" s="950">
        <v>0.11899999999999999</v>
      </c>
      <c r="DE402" s="558">
        <v>9.6000000000000002E-2</v>
      </c>
      <c r="DF402" s="1207">
        <v>9.0999999999999998E-2</v>
      </c>
      <c r="DG402" s="1207">
        <v>0.10100000000000001</v>
      </c>
      <c r="DH402" s="949"/>
      <c r="DI402" s="1287">
        <v>0.10100000000000001</v>
      </c>
      <c r="DJ402" s="1284">
        <v>9.4E-2</v>
      </c>
      <c r="DK402" s="1285">
        <v>9.2999999999999999E-2</v>
      </c>
      <c r="DL402" s="1285">
        <v>0.1</v>
      </c>
      <c r="DM402" s="1286">
        <v>9.5000000000000001E-2</v>
      </c>
      <c r="DN402" s="1287">
        <v>9.8000000000000004E-2</v>
      </c>
      <c r="DO402" s="1287">
        <v>0.11</v>
      </c>
      <c r="DP402" s="1287">
        <v>6.8000000000000005E-2</v>
      </c>
      <c r="DQ402" s="1285">
        <v>9.8000000000000004E-2</v>
      </c>
      <c r="DR402" s="1286">
        <v>9.1999999999999998E-2</v>
      </c>
      <c r="DS402" s="1290"/>
      <c r="DT402" s="561"/>
      <c r="DU402" s="561"/>
      <c r="DV402" s="1290"/>
      <c r="DW402" s="844"/>
      <c r="DX402" s="561"/>
      <c r="DY402" s="561"/>
      <c r="DZ402" s="561"/>
      <c r="EA402" s="561"/>
      <c r="EB402" s="844"/>
      <c r="EC402" s="561"/>
      <c r="ED402" s="561"/>
      <c r="EE402" s="561"/>
      <c r="EF402" s="561"/>
      <c r="EG402" s="844"/>
      <c r="EH402" s="561"/>
      <c r="EI402" s="561"/>
      <c r="EJ402" s="561"/>
      <c r="EK402" s="561"/>
      <c r="EL402" s="844"/>
    </row>
    <row r="403" spans="1:142" hidden="1" outlineLevel="1">
      <c r="A403" s="557"/>
      <c r="B403" s="557" t="s">
        <v>201</v>
      </c>
      <c r="C403" s="1203"/>
      <c r="D403" s="1203" t="s">
        <v>503</v>
      </c>
      <c r="E403" s="1203" t="s">
        <v>503</v>
      </c>
      <c r="F403" s="1203" t="s">
        <v>503</v>
      </c>
      <c r="G403" s="1203" t="s">
        <v>503</v>
      </c>
      <c r="H403" s="1188" t="s">
        <v>503</v>
      </c>
      <c r="I403" s="1203" t="s">
        <v>503</v>
      </c>
      <c r="J403" s="1203" t="s">
        <v>503</v>
      </c>
      <c r="K403" s="1203" t="s">
        <v>503</v>
      </c>
      <c r="L403" s="1203" t="s">
        <v>503</v>
      </c>
      <c r="M403" s="1188" t="s">
        <v>503</v>
      </c>
      <c r="N403" s="1203" t="s">
        <v>503</v>
      </c>
      <c r="O403" s="1203" t="s">
        <v>503</v>
      </c>
      <c r="P403" s="1203" t="s">
        <v>503</v>
      </c>
      <c r="Q403" s="1203" t="s">
        <v>503</v>
      </c>
      <c r="R403" s="1188" t="s">
        <v>503</v>
      </c>
      <c r="S403" s="1203" t="s">
        <v>503</v>
      </c>
      <c r="T403" s="1203" t="s">
        <v>503</v>
      </c>
      <c r="U403" s="1203" t="s">
        <v>503</v>
      </c>
      <c r="V403" s="1203" t="s">
        <v>503</v>
      </c>
      <c r="W403" s="1188" t="s">
        <v>503</v>
      </c>
      <c r="X403" s="1203" t="s">
        <v>503</v>
      </c>
      <c r="Y403" s="1203" t="s">
        <v>503</v>
      </c>
      <c r="Z403" s="1203" t="s">
        <v>503</v>
      </c>
      <c r="AA403" s="1203" t="s">
        <v>503</v>
      </c>
      <c r="AB403" s="1188" t="s">
        <v>503</v>
      </c>
      <c r="AC403" s="1212" t="s">
        <v>503</v>
      </c>
      <c r="AD403" s="1212" t="s">
        <v>503</v>
      </c>
      <c r="AE403" s="1212" t="s">
        <v>503</v>
      </c>
      <c r="AF403" s="1203" t="s">
        <v>503</v>
      </c>
      <c r="AG403" s="1188" t="s">
        <v>503</v>
      </c>
      <c r="AH403" s="1212" t="s">
        <v>503</v>
      </c>
      <c r="AI403" s="1212" t="s">
        <v>503</v>
      </c>
      <c r="AJ403" s="1212" t="s">
        <v>503</v>
      </c>
      <c r="AK403" s="1203" t="s">
        <v>503</v>
      </c>
      <c r="AL403" s="1188" t="s">
        <v>503</v>
      </c>
      <c r="AM403" s="1212" t="s">
        <v>503</v>
      </c>
      <c r="AN403" s="1212" t="s">
        <v>503</v>
      </c>
      <c r="AO403" s="1212" t="s">
        <v>503</v>
      </c>
      <c r="AP403" s="1203" t="s">
        <v>503</v>
      </c>
      <c r="AQ403" s="1188" t="s">
        <v>503</v>
      </c>
      <c r="AR403" s="1212" t="s">
        <v>503</v>
      </c>
      <c r="AS403" s="1212" t="s">
        <v>503</v>
      </c>
      <c r="AT403" s="1212" t="s">
        <v>503</v>
      </c>
      <c r="AU403" s="802"/>
      <c r="AV403" s="708" t="s">
        <v>503</v>
      </c>
      <c r="AW403" s="708" t="s">
        <v>503</v>
      </c>
      <c r="AX403" s="708" t="s">
        <v>503</v>
      </c>
      <c r="AY403" s="708" t="s">
        <v>503</v>
      </c>
      <c r="AZ403" s="1188" t="s">
        <v>503</v>
      </c>
      <c r="BA403" s="1212" t="s">
        <v>503</v>
      </c>
      <c r="BB403" s="1212" t="s">
        <v>503</v>
      </c>
      <c r="BC403" s="1212" t="s">
        <v>503</v>
      </c>
      <c r="BD403" s="1203" t="s">
        <v>503</v>
      </c>
      <c r="BE403" s="1211" t="s">
        <v>503</v>
      </c>
      <c r="BF403" s="1212" t="s">
        <v>503</v>
      </c>
      <c r="BG403" s="1212" t="s">
        <v>503</v>
      </c>
      <c r="BH403" s="1212" t="s">
        <v>503</v>
      </c>
      <c r="BI403" s="1212" t="s">
        <v>503</v>
      </c>
      <c r="BJ403" s="1211" t="s">
        <v>503</v>
      </c>
      <c r="BK403" s="1200" t="s">
        <v>503</v>
      </c>
      <c r="BL403" s="1200" t="s">
        <v>503</v>
      </c>
      <c r="BM403" s="1200" t="s">
        <v>503</v>
      </c>
      <c r="BN403" s="1200" t="s">
        <v>503</v>
      </c>
      <c r="BO403" s="1211" t="s">
        <v>503</v>
      </c>
      <c r="BP403" s="1200" t="s">
        <v>503</v>
      </c>
      <c r="BQ403" s="1200" t="s">
        <v>503</v>
      </c>
      <c r="BR403" s="1200" t="s">
        <v>503</v>
      </c>
      <c r="BS403" s="1200" t="s">
        <v>503</v>
      </c>
      <c r="BT403" s="1211" t="s">
        <v>503</v>
      </c>
      <c r="BU403" s="1200">
        <v>0.128</v>
      </c>
      <c r="BV403" s="1200">
        <v>0.114</v>
      </c>
      <c r="BW403" s="1200">
        <v>0.115</v>
      </c>
      <c r="BX403" s="1200">
        <v>0.125</v>
      </c>
      <c r="BY403" s="1211">
        <v>0.12</v>
      </c>
      <c r="BZ403" s="1200">
        <v>0.13400000000000001</v>
      </c>
      <c r="CA403" s="1200">
        <v>0.13200000000000001</v>
      </c>
      <c r="CB403" s="1200">
        <v>0.13300000000000001</v>
      </c>
      <c r="CC403" s="1200">
        <v>0.14099999999999999</v>
      </c>
      <c r="CD403" s="1211">
        <v>0.13500000000000001</v>
      </c>
      <c r="CE403" s="1200">
        <v>0.14799999999999999</v>
      </c>
      <c r="CF403" s="1200">
        <v>0.14899999999999999</v>
      </c>
      <c r="CG403" s="1200">
        <v>0.14799999999999999</v>
      </c>
      <c r="CH403" s="1200">
        <v>0.14599999999999999</v>
      </c>
      <c r="CI403" s="1211">
        <v>0.14799999999999999</v>
      </c>
      <c r="CJ403" s="1200">
        <v>0.14799999999999999</v>
      </c>
      <c r="CK403" s="1200">
        <v>0.151</v>
      </c>
      <c r="CL403" s="1200">
        <v>0.152</v>
      </c>
      <c r="CM403" s="1200" t="s">
        <v>503</v>
      </c>
      <c r="CN403" s="1211" t="s">
        <v>503</v>
      </c>
      <c r="CO403" s="1200" t="s">
        <v>503</v>
      </c>
      <c r="CP403" s="1200" t="s">
        <v>503</v>
      </c>
      <c r="CQ403" s="1200" t="s">
        <v>503</v>
      </c>
      <c r="CR403" s="1200" t="s">
        <v>503</v>
      </c>
      <c r="CS403" s="1211" t="s">
        <v>503</v>
      </c>
      <c r="CT403" s="1200" t="s">
        <v>503</v>
      </c>
      <c r="CU403" s="1200" t="s">
        <v>503</v>
      </c>
      <c r="CV403" s="1200" t="s">
        <v>503</v>
      </c>
      <c r="CW403" s="1200" t="s">
        <v>503</v>
      </c>
      <c r="CX403" s="1211" t="s">
        <v>503</v>
      </c>
      <c r="CY403" s="1200" t="s">
        <v>503</v>
      </c>
      <c r="CZ403" s="1200" t="s">
        <v>503</v>
      </c>
      <c r="DA403" s="1200" t="s">
        <v>503</v>
      </c>
      <c r="DB403" s="1200" t="s">
        <v>503</v>
      </c>
      <c r="DC403" s="1211" t="s">
        <v>503</v>
      </c>
      <c r="DD403" s="1200" t="s">
        <v>503</v>
      </c>
      <c r="DE403" s="1200" t="s">
        <v>503</v>
      </c>
      <c r="DF403" s="1200" t="s">
        <v>503</v>
      </c>
      <c r="DG403" s="1200" t="s">
        <v>503</v>
      </c>
      <c r="DH403" s="1211" t="s">
        <v>503</v>
      </c>
      <c r="DI403" s="1289" t="s">
        <v>503</v>
      </c>
      <c r="DJ403" s="1289" t="s">
        <v>503</v>
      </c>
      <c r="DK403" s="1289" t="s">
        <v>503</v>
      </c>
      <c r="DL403" s="1289" t="s">
        <v>503</v>
      </c>
      <c r="DM403" s="1288" t="s">
        <v>503</v>
      </c>
      <c r="DN403" s="1289" t="s">
        <v>503</v>
      </c>
      <c r="DO403" s="1289" t="s">
        <v>503</v>
      </c>
      <c r="DP403" s="1289" t="s">
        <v>503</v>
      </c>
      <c r="DQ403" s="1289" t="s">
        <v>503</v>
      </c>
      <c r="DR403" s="1288" t="s">
        <v>503</v>
      </c>
      <c r="DS403" s="1290"/>
      <c r="DT403" s="561"/>
      <c r="DU403" s="561"/>
      <c r="DV403" s="1290"/>
      <c r="DW403" s="844"/>
      <c r="DX403" s="561"/>
      <c r="DY403" s="561"/>
      <c r="DZ403" s="561"/>
      <c r="EA403" s="561"/>
      <c r="EB403" s="844"/>
      <c r="EC403" s="561"/>
      <c r="ED403" s="561"/>
      <c r="EE403" s="561"/>
      <c r="EF403" s="561"/>
      <c r="EG403" s="844"/>
      <c r="EH403" s="561"/>
      <c r="EI403" s="561"/>
      <c r="EJ403" s="561"/>
      <c r="EK403" s="561"/>
      <c r="EL403" s="844"/>
    </row>
    <row r="404" spans="1:142" hidden="1" outlineLevel="1">
      <c r="A404" s="557"/>
      <c r="B404" s="557" t="s">
        <v>202</v>
      </c>
      <c r="C404" s="1203"/>
      <c r="D404" s="1203" t="s">
        <v>503</v>
      </c>
      <c r="E404" s="1203" t="s">
        <v>503</v>
      </c>
      <c r="F404" s="1203" t="s">
        <v>503</v>
      </c>
      <c r="G404" s="1203" t="s">
        <v>503</v>
      </c>
      <c r="H404" s="1188" t="s">
        <v>503</v>
      </c>
      <c r="I404" s="1203" t="s">
        <v>503</v>
      </c>
      <c r="J404" s="1203" t="s">
        <v>503</v>
      </c>
      <c r="K404" s="1203" t="s">
        <v>503</v>
      </c>
      <c r="L404" s="1203" t="s">
        <v>503</v>
      </c>
      <c r="M404" s="1188" t="s">
        <v>503</v>
      </c>
      <c r="N404" s="1203" t="s">
        <v>503</v>
      </c>
      <c r="O404" s="1203" t="s">
        <v>503</v>
      </c>
      <c r="P404" s="1203" t="s">
        <v>503</v>
      </c>
      <c r="Q404" s="1203" t="s">
        <v>503</v>
      </c>
      <c r="R404" s="1188" t="s">
        <v>503</v>
      </c>
      <c r="S404" s="1205">
        <v>0.32300000000000001</v>
      </c>
      <c r="T404" s="1205">
        <v>0.32800000000000001</v>
      </c>
      <c r="U404" s="1205">
        <v>0.33700000000000002</v>
      </c>
      <c r="V404" s="1203" t="s">
        <v>503</v>
      </c>
      <c r="W404" s="1211">
        <v>0.33700000000000002</v>
      </c>
      <c r="X404" s="1205">
        <v>0.35799999999999998</v>
      </c>
      <c r="Y404" s="1205">
        <v>0.37</v>
      </c>
      <c r="Z404" s="1205">
        <v>0.38400000000000001</v>
      </c>
      <c r="AA404" s="1203" t="s">
        <v>503</v>
      </c>
      <c r="AB404" s="1211">
        <v>0.376</v>
      </c>
      <c r="AC404" s="1212">
        <v>0.372</v>
      </c>
      <c r="AD404" s="1212">
        <v>0.41899999999999998</v>
      </c>
      <c r="AE404" s="1212">
        <v>0.40600000000000003</v>
      </c>
      <c r="AF404" s="1203" t="s">
        <v>503</v>
      </c>
      <c r="AG404" s="1211">
        <v>0.40699999999999997</v>
      </c>
      <c r="AH404" s="1212">
        <v>0.41099999999999998</v>
      </c>
      <c r="AI404" s="1212">
        <v>0.439</v>
      </c>
      <c r="AJ404" s="1212">
        <v>0.438</v>
      </c>
      <c r="AK404" s="1203" t="s">
        <v>503</v>
      </c>
      <c r="AL404" s="1211">
        <v>0.433</v>
      </c>
      <c r="AM404" s="1212">
        <v>0.42899999999999999</v>
      </c>
      <c r="AN404" s="1212">
        <v>0.44500000000000001</v>
      </c>
      <c r="AO404" s="1212">
        <v>0.442</v>
      </c>
      <c r="AP404" s="1203" t="s">
        <v>503</v>
      </c>
      <c r="AQ404" s="1211">
        <v>0.439</v>
      </c>
      <c r="AR404" s="1212">
        <v>0.45400000000000001</v>
      </c>
      <c r="AS404" s="1212">
        <v>0.46200000000000002</v>
      </c>
      <c r="AT404" s="1212">
        <v>0.48599999999999999</v>
      </c>
      <c r="AU404" s="802"/>
      <c r="AV404" s="708" t="s">
        <v>503</v>
      </c>
      <c r="AW404" s="708" t="s">
        <v>503</v>
      </c>
      <c r="AX404" s="708" t="s">
        <v>503</v>
      </c>
      <c r="AY404" s="708" t="s">
        <v>503</v>
      </c>
      <c r="AZ404" s="1188" t="s">
        <v>503</v>
      </c>
      <c r="BA404" s="1212" t="s">
        <v>503</v>
      </c>
      <c r="BB404" s="1212" t="s">
        <v>503</v>
      </c>
      <c r="BC404" s="1212" t="s">
        <v>503</v>
      </c>
      <c r="BD404" s="1203" t="s">
        <v>503</v>
      </c>
      <c r="BE404" s="1211" t="s">
        <v>503</v>
      </c>
      <c r="BF404" s="1212" t="s">
        <v>503</v>
      </c>
      <c r="BG404" s="1212" t="s">
        <v>503</v>
      </c>
      <c r="BH404" s="1212" t="s">
        <v>503</v>
      </c>
      <c r="BI404" s="1212" t="s">
        <v>503</v>
      </c>
      <c r="BJ404" s="1211" t="s">
        <v>503</v>
      </c>
      <c r="BK404" s="1200" t="s">
        <v>503</v>
      </c>
      <c r="BL404" s="1200" t="s">
        <v>503</v>
      </c>
      <c r="BM404" s="1200" t="s">
        <v>503</v>
      </c>
      <c r="BN404" s="1200" t="s">
        <v>503</v>
      </c>
      <c r="BO404" s="1211" t="s">
        <v>503</v>
      </c>
      <c r="BP404" s="1200" t="s">
        <v>503</v>
      </c>
      <c r="BQ404" s="1200" t="s">
        <v>503</v>
      </c>
      <c r="BR404" s="1200" t="s">
        <v>503</v>
      </c>
      <c r="BS404" s="1200" t="s">
        <v>503</v>
      </c>
      <c r="BT404" s="1211" t="s">
        <v>503</v>
      </c>
      <c r="BU404" s="1200">
        <v>0.41599999999999998</v>
      </c>
      <c r="BV404" s="1200">
        <v>0.41699999999999998</v>
      </c>
      <c r="BW404" s="1200">
        <v>0.42</v>
      </c>
      <c r="BX404" s="1200">
        <v>0.41899999999999998</v>
      </c>
      <c r="BY404" s="1211">
        <v>0.41799999999999998</v>
      </c>
      <c r="BZ404" s="1200">
        <v>0.41</v>
      </c>
      <c r="CA404" s="1200">
        <v>0.42099999999999999</v>
      </c>
      <c r="CB404" s="1200">
        <v>0.41499999999999998</v>
      </c>
      <c r="CC404" s="1200">
        <v>0.41799999999999998</v>
      </c>
      <c r="CD404" s="1211">
        <v>0.41299999999999998</v>
      </c>
      <c r="CE404" s="1200">
        <v>0.40500000000000003</v>
      </c>
      <c r="CF404" s="1200">
        <v>0.41899999999999998</v>
      </c>
      <c r="CG404" s="1200">
        <v>0.41199999999999998</v>
      </c>
      <c r="CH404" s="1200">
        <v>0.41599999999999998</v>
      </c>
      <c r="CI404" s="1211">
        <v>0.41299999999999998</v>
      </c>
      <c r="CJ404" s="1200">
        <v>0.40500000000000003</v>
      </c>
      <c r="CK404" s="1200">
        <v>0.41399999999999998</v>
      </c>
      <c r="CL404" s="1200">
        <v>0.41799999999999998</v>
      </c>
      <c r="CM404" s="1200" t="s">
        <v>503</v>
      </c>
      <c r="CN404" s="1211" t="s">
        <v>503</v>
      </c>
      <c r="CO404" s="1200" t="s">
        <v>503</v>
      </c>
      <c r="CP404" s="1200" t="s">
        <v>503</v>
      </c>
      <c r="CQ404" s="1200" t="s">
        <v>503</v>
      </c>
      <c r="CR404" s="1200" t="s">
        <v>503</v>
      </c>
      <c r="CS404" s="1211" t="s">
        <v>503</v>
      </c>
      <c r="CT404" s="1200" t="s">
        <v>503</v>
      </c>
      <c r="CU404" s="1200" t="s">
        <v>503</v>
      </c>
      <c r="CV404" s="1200" t="s">
        <v>503</v>
      </c>
      <c r="CW404" s="1200" t="s">
        <v>503</v>
      </c>
      <c r="CX404" s="1211" t="s">
        <v>503</v>
      </c>
      <c r="CY404" s="1200" t="s">
        <v>503</v>
      </c>
      <c r="CZ404" s="1200" t="s">
        <v>503</v>
      </c>
      <c r="DA404" s="1200" t="s">
        <v>503</v>
      </c>
      <c r="DB404" s="1200" t="s">
        <v>503</v>
      </c>
      <c r="DC404" s="1211" t="s">
        <v>503</v>
      </c>
      <c r="DD404" s="1200" t="s">
        <v>503</v>
      </c>
      <c r="DE404" s="1200" t="s">
        <v>503</v>
      </c>
      <c r="DF404" s="1200" t="s">
        <v>503</v>
      </c>
      <c r="DG404" s="1200" t="s">
        <v>503</v>
      </c>
      <c r="DH404" s="1211" t="s">
        <v>503</v>
      </c>
      <c r="DI404" s="1289" t="s">
        <v>503</v>
      </c>
      <c r="DJ404" s="1289" t="s">
        <v>503</v>
      </c>
      <c r="DK404" s="1289" t="s">
        <v>503</v>
      </c>
      <c r="DL404" s="1289" t="s">
        <v>503</v>
      </c>
      <c r="DM404" s="1288" t="s">
        <v>503</v>
      </c>
      <c r="DN404" s="1289" t="s">
        <v>503</v>
      </c>
      <c r="DO404" s="1289" t="s">
        <v>503</v>
      </c>
      <c r="DP404" s="1289" t="s">
        <v>503</v>
      </c>
      <c r="DQ404" s="1289" t="s">
        <v>503</v>
      </c>
      <c r="DR404" s="1288" t="s">
        <v>503</v>
      </c>
      <c r="DS404" s="1290"/>
      <c r="DT404" s="561"/>
      <c r="DU404" s="561"/>
      <c r="DV404" s="1290"/>
      <c r="DW404" s="844"/>
      <c r="DX404" s="561"/>
      <c r="DY404" s="561"/>
      <c r="DZ404" s="561"/>
      <c r="EA404" s="561"/>
      <c r="EB404" s="844"/>
      <c r="EC404" s="561"/>
      <c r="ED404" s="561"/>
      <c r="EE404" s="561"/>
      <c r="EF404" s="561"/>
      <c r="EG404" s="844"/>
      <c r="EH404" s="561"/>
      <c r="EI404" s="561"/>
      <c r="EJ404" s="561"/>
      <c r="EK404" s="561"/>
      <c r="EL404" s="844"/>
    </row>
    <row r="405" spans="1:142" hidden="1" outlineLevel="1">
      <c r="A405" s="557"/>
      <c r="B405" s="557"/>
      <c r="C405" s="1203"/>
      <c r="D405" s="1203"/>
      <c r="E405" s="1203"/>
      <c r="F405" s="1203"/>
      <c r="G405" s="1203"/>
      <c r="H405" s="1216"/>
      <c r="I405" s="1203"/>
      <c r="J405" s="1203"/>
      <c r="K405" s="1203"/>
      <c r="L405" s="1203"/>
      <c r="M405" s="1216"/>
      <c r="N405" s="1203"/>
      <c r="O405" s="1203"/>
      <c r="P405" s="1203"/>
      <c r="Q405" s="1203"/>
      <c r="R405" s="1216"/>
      <c r="S405" s="1205"/>
      <c r="T405" s="1205"/>
      <c r="U405" s="1205"/>
      <c r="V405" s="1203"/>
      <c r="W405" s="1295"/>
      <c r="X405" s="1205"/>
      <c r="Y405" s="1205"/>
      <c r="Z405" s="1205"/>
      <c r="AA405" s="1203"/>
      <c r="AB405" s="1295"/>
      <c r="AC405" s="1212"/>
      <c r="AD405" s="1212"/>
      <c r="AE405" s="1212"/>
      <c r="AF405" s="1203"/>
      <c r="AG405" s="1295"/>
      <c r="AH405" s="1212"/>
      <c r="AI405" s="1212"/>
      <c r="AJ405" s="1212"/>
      <c r="AK405" s="1203"/>
      <c r="AL405" s="1295"/>
      <c r="AM405" s="1212"/>
      <c r="AN405" s="1212"/>
      <c r="AO405" s="1212"/>
      <c r="AP405" s="1203"/>
      <c r="AQ405" s="1295"/>
      <c r="AR405" s="1212"/>
      <c r="AS405" s="1212"/>
      <c r="AT405" s="1212"/>
      <c r="AU405" s="555"/>
      <c r="AV405" s="708"/>
      <c r="AW405" s="708"/>
      <c r="AX405" s="708"/>
      <c r="AY405" s="708"/>
      <c r="AZ405" s="1216"/>
      <c r="BA405" s="1212"/>
      <c r="BB405" s="1212"/>
      <c r="BC405" s="1212"/>
      <c r="BD405" s="1203"/>
      <c r="BE405" s="1295"/>
      <c r="BF405" s="1212"/>
      <c r="BG405" s="1212"/>
      <c r="BH405" s="1212"/>
      <c r="BI405" s="1212"/>
      <c r="BJ405" s="1295"/>
      <c r="BK405" s="1200"/>
      <c r="BL405" s="1200"/>
      <c r="BM405" s="1200"/>
      <c r="BN405" s="1200"/>
      <c r="BO405" s="1211"/>
      <c r="BP405" s="1200"/>
      <c r="BQ405" s="1200"/>
      <c r="BR405" s="1200"/>
      <c r="BS405" s="1200"/>
      <c r="BT405" s="1211"/>
      <c r="BU405" s="1200"/>
      <c r="BV405" s="1200"/>
      <c r="BW405" s="1200"/>
      <c r="BX405" s="1200"/>
      <c r="BY405" s="1211"/>
      <c r="BZ405" s="1200"/>
      <c r="CA405" s="1200"/>
      <c r="CB405" s="1200"/>
      <c r="CC405" s="1200"/>
      <c r="CD405" s="1211"/>
      <c r="CE405" s="1200"/>
      <c r="CF405" s="1200"/>
      <c r="CG405" s="1200"/>
      <c r="CH405" s="1200"/>
      <c r="CI405" s="1211"/>
      <c r="CJ405" s="1200"/>
      <c r="CK405" s="1200"/>
      <c r="CL405" s="1200"/>
      <c r="CM405" s="1200"/>
      <c r="CN405" s="1211"/>
      <c r="CO405" s="1200"/>
      <c r="CP405" s="1200"/>
      <c r="CQ405" s="1200"/>
      <c r="CR405" s="1200"/>
      <c r="CS405" s="1211"/>
      <c r="CT405" s="1200"/>
      <c r="CU405" s="1200"/>
      <c r="CV405" s="1200"/>
      <c r="CW405" s="1200"/>
      <c r="CX405" s="1211"/>
      <c r="CY405" s="1200"/>
      <c r="CZ405" s="1200"/>
      <c r="DA405" s="1200"/>
      <c r="DB405" s="1200"/>
      <c r="DC405" s="1211"/>
      <c r="DD405" s="1200"/>
      <c r="DE405" s="1200"/>
      <c r="DF405" s="1200"/>
      <c r="DG405" s="1200"/>
      <c r="DH405" s="1211"/>
      <c r="DI405" s="1200"/>
      <c r="DJ405" s="1200"/>
      <c r="DK405" s="1200"/>
      <c r="DL405" s="1200"/>
      <c r="DM405" s="1288"/>
      <c r="DN405" s="1289"/>
      <c r="DO405" s="1290"/>
      <c r="DP405" s="1290"/>
      <c r="DQ405" s="1290"/>
      <c r="DR405" s="1292"/>
      <c r="DS405" s="1290"/>
      <c r="DT405" s="561"/>
      <c r="DU405" s="561"/>
      <c r="DV405" s="1290"/>
      <c r="DW405" s="844"/>
      <c r="DX405" s="561"/>
      <c r="DY405" s="561"/>
      <c r="DZ405" s="561"/>
      <c r="EA405" s="561"/>
      <c r="EB405" s="844"/>
      <c r="EC405" s="561"/>
      <c r="ED405" s="561"/>
      <c r="EE405" s="561"/>
      <c r="EF405" s="561"/>
      <c r="EG405" s="844"/>
      <c r="EH405" s="561"/>
      <c r="EI405" s="561"/>
      <c r="EJ405" s="561"/>
      <c r="EK405" s="561"/>
      <c r="EL405" s="844"/>
    </row>
    <row r="406" spans="1:142" hidden="1" outlineLevel="1">
      <c r="A406" s="141"/>
      <c r="B406" s="1296" t="s">
        <v>212</v>
      </c>
      <c r="C406" s="1297"/>
      <c r="D406" s="1297"/>
      <c r="E406" s="1297"/>
      <c r="F406" s="1297"/>
      <c r="G406" s="1297"/>
      <c r="H406" s="1297"/>
      <c r="I406" s="1297"/>
      <c r="J406" s="1297"/>
      <c r="K406" s="1297"/>
      <c r="L406" s="1297"/>
      <c r="M406" s="1297"/>
      <c r="N406" s="1297"/>
      <c r="O406" s="1297"/>
      <c r="P406" s="1297"/>
      <c r="Q406" s="1297"/>
      <c r="R406" s="1297"/>
      <c r="S406" s="1297"/>
      <c r="T406" s="1297"/>
      <c r="U406" s="1297"/>
      <c r="V406" s="1297"/>
      <c r="W406" s="1297"/>
      <c r="X406" s="1297"/>
      <c r="Y406" s="1297"/>
      <c r="Z406" s="1297"/>
      <c r="AA406" s="1297"/>
      <c r="AB406" s="1297"/>
      <c r="AC406" s="1297"/>
      <c r="AD406" s="1297"/>
      <c r="AE406" s="1297"/>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8"/>
      <c r="BL406" s="1298"/>
      <c r="BM406" s="1298"/>
      <c r="BN406" s="1298"/>
      <c r="BO406" s="1299"/>
      <c r="BP406" s="1298"/>
      <c r="BQ406" s="1298"/>
      <c r="BR406" s="1298"/>
      <c r="BS406" s="1298"/>
      <c r="BT406" s="1299"/>
      <c r="BU406" s="1298"/>
      <c r="BV406" s="1298"/>
      <c r="BW406" s="1298"/>
      <c r="BX406" s="1298"/>
      <c r="BY406" s="1299"/>
      <c r="BZ406" s="1298"/>
      <c r="CA406" s="1298"/>
      <c r="CB406" s="1298"/>
      <c r="CC406" s="1298"/>
      <c r="CD406" s="1299"/>
      <c r="CE406" s="1298"/>
      <c r="CF406" s="1298"/>
      <c r="CG406" s="1298"/>
      <c r="CH406" s="1298"/>
      <c r="CI406" s="1299"/>
      <c r="CJ406" s="1298"/>
      <c r="CK406" s="1298"/>
      <c r="CL406" s="1298"/>
      <c r="CM406" s="1298"/>
      <c r="CN406" s="1299"/>
      <c r="CO406" s="1298">
        <v>213.9</v>
      </c>
      <c r="CP406" s="1298">
        <v>223.1</v>
      </c>
      <c r="CQ406" s="1298">
        <v>211</v>
      </c>
      <c r="CR406" s="1298">
        <v>188.8</v>
      </c>
      <c r="CS406" s="1299">
        <v>836.8</v>
      </c>
      <c r="CT406" s="1298">
        <v>190.8</v>
      </c>
      <c r="CU406" s="1298">
        <v>166.8</v>
      </c>
      <c r="CV406" s="1298">
        <v>176.4</v>
      </c>
      <c r="CW406" s="1298">
        <v>193.3</v>
      </c>
      <c r="CX406" s="1299">
        <v>727.3</v>
      </c>
      <c r="CY406" s="1298">
        <v>182.1</v>
      </c>
      <c r="CZ406" s="1298">
        <v>185.3</v>
      </c>
      <c r="DA406" s="1298">
        <f>DA408*DA411/1000000/4</f>
        <v>181.09614503816792</v>
      </c>
      <c r="DB406" s="1298">
        <f>DB408*DB411/1000000/4</f>
        <v>114.20806149152541</v>
      </c>
      <c r="DC406" s="1299">
        <f>SUM(DB406)</f>
        <v>114.20806149152541</v>
      </c>
      <c r="DD406" s="1298">
        <f>DD408*DD411/1000000/4</f>
        <v>121.99900954420254</v>
      </c>
      <c r="DE406" s="1298">
        <f>DE408*DE411/1000000/4</f>
        <v>122.74528588616</v>
      </c>
      <c r="DF406" s="1298">
        <f>DF408*DF411/1000000/4</f>
        <v>119.88027235729786</v>
      </c>
      <c r="DG406" s="1298">
        <f>DG408*DG411/1000000/4</f>
        <v>111.94097443826792</v>
      </c>
      <c r="DH406" s="1299">
        <f>SUM(DD406:DG406)</f>
        <v>476.56554222592831</v>
      </c>
      <c r="DI406" s="1298">
        <f>DI408*DI411/1000000/4</f>
        <v>123.16458632993954</v>
      </c>
      <c r="DJ406" s="1298">
        <f>DJ408*DJ411/1000000/4</f>
        <v>123.91799258535434</v>
      </c>
      <c r="DK406" s="1298">
        <f>DK408*DK411/1000000/4</f>
        <v>121.0256067583683</v>
      </c>
      <c r="DL406" s="1298">
        <f>DL408*DL411/1000000/4</f>
        <v>113.01045690099851</v>
      </c>
      <c r="DM406" s="1299">
        <f>SUM(DI406:DL406)</f>
        <v>481.11864257466073</v>
      </c>
      <c r="DN406" s="1298">
        <f>DN408*DN411/1000000/4</f>
        <v>124.34129901955417</v>
      </c>
      <c r="DO406" s="1298">
        <f>DO408*DO411/1000000/4</f>
        <v>125.10190330751712</v>
      </c>
      <c r="DP406" s="1298">
        <f>DP408*DP411/1000000/4</f>
        <v>122.18188366786387</v>
      </c>
      <c r="DQ406" s="1298">
        <f>DQ408*DQ411/1000000/4</f>
        <v>114.09015718382425</v>
      </c>
      <c r="DR406" s="1299">
        <f>SUM(DN406:DQ406)</f>
        <v>485.71524317875941</v>
      </c>
      <c r="DS406" s="1298">
        <f>DS408*DS411/1000000/4</f>
        <v>125.52925400531221</v>
      </c>
      <c r="DT406" s="1298">
        <f>DT408*DT411/1000000/4</f>
        <v>126.29712509572293</v>
      </c>
      <c r="DU406" s="1298">
        <f>DU408*DU411/1000000/4</f>
        <v>123.34920763035299</v>
      </c>
      <c r="DV406" s="1298">
        <f>DV408*DV411/1000000/4</f>
        <v>115.18017290765171</v>
      </c>
      <c r="DW406" s="1299">
        <f>SUM(DS406:DV406)</f>
        <v>490.35575963903983</v>
      </c>
      <c r="DX406" s="1298">
        <f>DX408*DX411/1000000/4</f>
        <v>126.72855869594963</v>
      </c>
      <c r="DY406" s="1298">
        <f>DY408*DY411/1000000/4</f>
        <v>127.5037660157344</v>
      </c>
      <c r="DZ406" s="1298">
        <f>DZ408*DZ411/1000000/4</f>
        <v>124.52768418922133</v>
      </c>
      <c r="EA406" s="1298">
        <f>EA408*EA411/1000000/4</f>
        <v>116.28060262605607</v>
      </c>
      <c r="EB406" s="1299">
        <f>SUM(DX406:EA406)</f>
        <v>495.04061152696147</v>
      </c>
      <c r="EC406" s="1298">
        <f>EC408*EC411/1000000/4</f>
        <v>127.93932152638388</v>
      </c>
      <c r="ED406" s="1298">
        <f>ED408*ED411/1000000/4</f>
        <v>128.72193516577281</v>
      </c>
      <c r="EE406" s="1298">
        <f>EE408*EE411/1000000/4</f>
        <v>125.71741989621461</v>
      </c>
      <c r="EF406" s="1298">
        <f>EF408*EF411/1000000/4</f>
        <v>117.391545834192</v>
      </c>
      <c r="EG406" s="1299">
        <f>SUM(EC406:EF406)</f>
        <v>499.77022242256334</v>
      </c>
      <c r="EH406" s="1298">
        <f>EH408*EH411/1000000/4</f>
        <v>129.16165196751805</v>
      </c>
      <c r="EI406" s="1298">
        <f>EI408*EI411/1000000/4</f>
        <v>129.95174268638232</v>
      </c>
      <c r="EJ406" s="1298">
        <f>EJ408*EJ411/1000000/4</f>
        <v>126.91852232107234</v>
      </c>
      <c r="EK406" s="1298">
        <f>EK408*EK411/1000000/4</f>
        <v>118.5131029777895</v>
      </c>
      <c r="EL406" s="1299">
        <f>SUM(EH406:EK406)</f>
        <v>504.54501995276229</v>
      </c>
    </row>
    <row r="407" spans="1:142" hidden="1" outlineLevel="1">
      <c r="A407" s="152"/>
      <c r="B407" s="152"/>
      <c r="C407" s="152"/>
      <c r="D407" s="152"/>
      <c r="E407" s="152"/>
      <c r="F407" s="152"/>
      <c r="G407" s="152"/>
      <c r="H407" s="152"/>
      <c r="I407" s="152"/>
      <c r="J407" s="152"/>
      <c r="K407" s="152"/>
      <c r="L407" s="152"/>
      <c r="M407" s="152"/>
      <c r="N407" s="152"/>
      <c r="O407" s="152"/>
      <c r="P407" s="152"/>
      <c r="Q407" s="152"/>
      <c r="R407" s="152"/>
      <c r="S407" s="152"/>
      <c r="T407" s="152"/>
      <c r="U407" s="152"/>
      <c r="V407" s="152"/>
      <c r="W407" s="152"/>
      <c r="X407" s="152"/>
      <c r="Y407" s="152"/>
      <c r="Z407" s="152"/>
      <c r="AA407" s="152"/>
      <c r="AB407" s="152"/>
      <c r="AC407" s="152"/>
      <c r="AD407" s="152"/>
      <c r="AE407" s="152"/>
      <c r="AF407" s="152"/>
      <c r="AG407" s="152"/>
      <c r="AH407" s="152"/>
      <c r="AI407" s="152"/>
      <c r="AJ407" s="152"/>
      <c r="AK407" s="152"/>
      <c r="AL407" s="152"/>
      <c r="AM407" s="152"/>
      <c r="AN407" s="152"/>
      <c r="AO407" s="152"/>
      <c r="AP407" s="152"/>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219"/>
      <c r="BP407" s="152"/>
      <c r="BQ407" s="152"/>
      <c r="BR407" s="152"/>
      <c r="BS407" s="152"/>
      <c r="BT407" s="1219"/>
      <c r="BU407" s="152"/>
      <c r="BV407" s="152"/>
      <c r="BW407" s="152"/>
      <c r="BX407" s="152"/>
      <c r="BY407" s="1219"/>
      <c r="BZ407" s="152"/>
      <c r="CA407" s="152"/>
      <c r="CB407" s="152"/>
      <c r="CC407" s="152"/>
      <c r="CD407" s="1219"/>
      <c r="CE407" s="152"/>
      <c r="CF407" s="152"/>
      <c r="CG407" s="152"/>
      <c r="CH407" s="152"/>
      <c r="CI407" s="1219"/>
      <c r="CJ407" s="152"/>
      <c r="CK407" s="152"/>
      <c r="CL407" s="152"/>
      <c r="CM407" s="152"/>
      <c r="CN407" s="1219"/>
      <c r="CO407" s="152"/>
      <c r="CP407" s="152"/>
      <c r="CQ407" s="152"/>
      <c r="CR407" s="152"/>
      <c r="CS407" s="1219"/>
      <c r="CT407" s="152"/>
      <c r="CU407" s="152"/>
      <c r="CV407" s="152"/>
      <c r="CW407" s="152"/>
      <c r="CX407" s="1219"/>
      <c r="CY407" s="152"/>
      <c r="CZ407" s="152"/>
      <c r="DA407" s="152"/>
      <c r="DB407" s="152"/>
      <c r="DC407" s="1219"/>
      <c r="DD407" s="152"/>
      <c r="DE407" s="152"/>
      <c r="DF407" s="152"/>
      <c r="DG407" s="152"/>
      <c r="DH407" s="1219"/>
      <c r="DI407" s="152"/>
      <c r="DJ407" s="152"/>
      <c r="DK407" s="152"/>
      <c r="DL407" s="152"/>
      <c r="DM407" s="1219"/>
      <c r="DN407" s="152"/>
      <c r="DO407" s="152"/>
      <c r="DP407" s="152"/>
      <c r="DQ407" s="152"/>
      <c r="DR407" s="1219"/>
      <c r="DS407" s="152"/>
      <c r="DT407" s="152"/>
      <c r="DU407" s="152"/>
      <c r="DV407" s="152"/>
      <c r="DW407" s="1219"/>
      <c r="DX407" s="152"/>
      <c r="DY407" s="152"/>
      <c r="DZ407" s="152"/>
      <c r="EA407" s="152"/>
      <c r="EB407" s="1219"/>
      <c r="EC407" s="152"/>
      <c r="ED407" s="152"/>
      <c r="EE407" s="152"/>
      <c r="EF407" s="152"/>
      <c r="EG407" s="1219"/>
      <c r="EH407" s="152"/>
      <c r="EI407" s="152"/>
      <c r="EJ407" s="152"/>
      <c r="EK407" s="152"/>
      <c r="EL407" s="1219"/>
    </row>
    <row r="408" spans="1:142" hidden="1" outlineLevel="1">
      <c r="A408" s="141"/>
      <c r="B408" s="873" t="s">
        <v>213</v>
      </c>
      <c r="C408" s="152"/>
      <c r="D408" s="152"/>
      <c r="E408" s="152"/>
      <c r="F408" s="152"/>
      <c r="G408" s="152"/>
      <c r="H408" s="152"/>
      <c r="I408" s="152"/>
      <c r="J408" s="152"/>
      <c r="K408" s="152"/>
      <c r="L408" s="152"/>
      <c r="M408" s="152"/>
      <c r="N408" s="152"/>
      <c r="O408" s="152"/>
      <c r="P408" s="152"/>
      <c r="Q408" s="152"/>
      <c r="R408" s="152"/>
      <c r="S408" s="152"/>
      <c r="T408" s="152"/>
      <c r="U408" s="152"/>
      <c r="V408" s="152"/>
      <c r="W408" s="152"/>
      <c r="X408" s="152"/>
      <c r="Y408" s="152"/>
      <c r="Z408" s="152"/>
      <c r="AA408" s="152"/>
      <c r="AB408" s="152"/>
      <c r="AC408" s="152"/>
      <c r="AD408" s="152"/>
      <c r="AE408" s="152"/>
      <c r="AF408" s="152"/>
      <c r="AG408" s="152"/>
      <c r="AH408" s="152"/>
      <c r="AI408" s="152"/>
      <c r="AJ408" s="152"/>
      <c r="AK408" s="152"/>
      <c r="AL408" s="152"/>
      <c r="AM408" s="152"/>
      <c r="AN408" s="152"/>
      <c r="AO408" s="152"/>
      <c r="AP408" s="152"/>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220"/>
      <c r="BL408" s="1220"/>
      <c r="BM408" s="1220"/>
      <c r="BN408" s="1220"/>
      <c r="BO408" s="1221"/>
      <c r="BP408" s="1220"/>
      <c r="BQ408" s="1220"/>
      <c r="BR408" s="1220"/>
      <c r="BS408" s="1220"/>
      <c r="BT408" s="1221"/>
      <c r="BU408" s="1220"/>
      <c r="BV408" s="1220"/>
      <c r="BW408" s="1220"/>
      <c r="BX408" s="1220"/>
      <c r="BY408" s="1221"/>
      <c r="BZ408" s="1220"/>
      <c r="CA408" s="1220"/>
      <c r="CB408" s="1220"/>
      <c r="CC408" s="1220"/>
      <c r="CD408" s="1221"/>
      <c r="CE408" s="1220"/>
      <c r="CF408" s="1220"/>
      <c r="CG408" s="1220"/>
      <c r="CH408" s="1220"/>
      <c r="CI408" s="1221"/>
      <c r="CJ408" s="1220"/>
      <c r="CK408" s="1220"/>
      <c r="CL408" s="1220"/>
      <c r="CM408" s="1220"/>
      <c r="CN408" s="1221"/>
      <c r="CO408" s="1220">
        <f>(CO406*1000000)*4/CO411</f>
        <v>3531.1597193561702</v>
      </c>
      <c r="CP408" s="1220">
        <f>(CP406*1000000)*4/CP411</f>
        <v>3640.9628722970215</v>
      </c>
      <c r="CQ408" s="1220">
        <f>(CQ406*1000000)*4/CQ411</f>
        <v>3444.8979591836733</v>
      </c>
      <c r="CR408" s="1220">
        <f>(CR406*1000000)*4/CR411</f>
        <v>3026.8537074148298</v>
      </c>
      <c r="CS408" s="1221">
        <f>(CS406*1000000)/CS411</f>
        <v>3353.9078156312626</v>
      </c>
      <c r="CT408" s="1220">
        <f>(CT406*1000000)*4/CT411</f>
        <v>3173.3887733887732</v>
      </c>
      <c r="CU408" s="1220">
        <f>(CU406*1000000)*4/CU411</f>
        <v>2845.2025586353943</v>
      </c>
      <c r="CV408" s="1220">
        <f>(CV406*1000000)*4/CV411</f>
        <v>2992.3664122137407</v>
      </c>
      <c r="CW408" s="1220">
        <f>(CW406*1000000)*4/CW411</f>
        <v>3276.2711864406779</v>
      </c>
      <c r="CX408" s="1221">
        <f>(CX406*1000000)/CX411</f>
        <v>3081.7796610169494</v>
      </c>
      <c r="CY408" s="1220">
        <f>(CY406*1000000)*4/CY411</f>
        <v>3073.4177215189875</v>
      </c>
      <c r="CZ408" s="1220">
        <f>(CZ406*1000000)*4/CZ411</f>
        <v>3107.7568134171906</v>
      </c>
      <c r="DA408" s="1220">
        <f>CV408*(1+DA409)</f>
        <v>2992.3664122137407</v>
      </c>
      <c r="DB408" s="1220">
        <f>CW408*(1+DB409)</f>
        <v>2948.6440677966102</v>
      </c>
      <c r="DC408" s="1221">
        <f>(DC406*1000000)/DC411</f>
        <v>737.16101694915255</v>
      </c>
      <c r="DD408" s="1220">
        <f>CY408*(1+DD409)</f>
        <v>3165.6202531645572</v>
      </c>
      <c r="DE408" s="1220">
        <f>CZ408*(1+DE409)</f>
        <v>3200.9895178197066</v>
      </c>
      <c r="DF408" s="1220">
        <f>DA408*(1+DF409)</f>
        <v>3141.9847328244277</v>
      </c>
      <c r="DG408" s="1220">
        <f>DB408*(1+DG409)</f>
        <v>2948.6440677966102</v>
      </c>
      <c r="DH408" s="1221">
        <f>(DH406*1000000)/DH411</f>
        <v>3138.3105383268221</v>
      </c>
      <c r="DI408" s="1220">
        <f>DD408*(1+DI409)</f>
        <v>3260.5888607594939</v>
      </c>
      <c r="DJ408" s="1220">
        <f>DE408*(1+DJ409)</f>
        <v>3297.019203354298</v>
      </c>
      <c r="DK408" s="1220">
        <f>DF408*(1+DK409)</f>
        <v>3236.2442748091607</v>
      </c>
      <c r="DL408" s="1220">
        <f>DG408*(1+DL409)</f>
        <v>3037.1033898305086</v>
      </c>
      <c r="DM408" s="1221">
        <f>(DM406*1000000)/DM411</f>
        <v>3232.4598544766272</v>
      </c>
      <c r="DN408" s="1220">
        <f>DI408*(1+DN409)</f>
        <v>3358.4065265822787</v>
      </c>
      <c r="DO408" s="1220">
        <f>DJ408*(1+DO409)</f>
        <v>3395.929779454927</v>
      </c>
      <c r="DP408" s="1220">
        <f>DK408*(1+DP409)</f>
        <v>3333.3316030534356</v>
      </c>
      <c r="DQ408" s="1220">
        <f>DL408*(1+DQ409)</f>
        <v>3128.2164915254239</v>
      </c>
      <c r="DR408" s="1221">
        <f>(DR406*1000000)/DR411</f>
        <v>3329.4336501109256</v>
      </c>
      <c r="DS408" s="1220">
        <f>DN408*(1+DS409)</f>
        <v>3459.1587223797474</v>
      </c>
      <c r="DT408" s="1220">
        <f>DO408*(1+DT409)</f>
        <v>3497.8076728385749</v>
      </c>
      <c r="DU408" s="1220">
        <f>DP408*(1+DU409)</f>
        <v>3433.3315511450387</v>
      </c>
      <c r="DV408" s="1220">
        <f>DQ408*(1+DV409)</f>
        <v>3222.0629862711867</v>
      </c>
      <c r="DW408" s="1221">
        <f>(DW406*1000000)/DW411</f>
        <v>3429.3166596142528</v>
      </c>
      <c r="DX408" s="1220">
        <f>DS408*(1+DX409)</f>
        <v>3562.9334840511397</v>
      </c>
      <c r="DY408" s="1220">
        <f>DT408*(1+DY409)</f>
        <v>3602.7419030237324</v>
      </c>
      <c r="DZ408" s="1220">
        <f>DU408*(1+DZ409)</f>
        <v>3536.3314976793899</v>
      </c>
      <c r="EA408" s="1220">
        <f>DV408*(1+EA409)</f>
        <v>3318.7248758593223</v>
      </c>
      <c r="EB408" s="1221">
        <f>(EB406*1000000)/EB411</f>
        <v>3532.1961594026811</v>
      </c>
      <c r="EC408" s="1220">
        <f>DX408*(1+EC409)</f>
        <v>3669.8214885726738</v>
      </c>
      <c r="ED408" s="1220">
        <f>DY408*(1+ED409)</f>
        <v>3710.8241601144446</v>
      </c>
      <c r="EE408" s="1220">
        <f>DZ408*(1+EE409)</f>
        <v>3642.4214426097719</v>
      </c>
      <c r="EF408" s="1220">
        <f>EA408*(1+EF409)</f>
        <v>3418.2866221351019</v>
      </c>
      <c r="EG408" s="1221">
        <f>(EG406*1000000)/EG411</f>
        <v>3638.1620441847617</v>
      </c>
      <c r="EH408" s="1220">
        <f>EC408*(1+EH409)</f>
        <v>3779.916133229854</v>
      </c>
      <c r="EI408" s="1220">
        <f>ED408*(1+EI409)</f>
        <v>3822.1488849178781</v>
      </c>
      <c r="EJ408" s="1220">
        <f>EE408*(1+EJ409)</f>
        <v>3751.6940858880653</v>
      </c>
      <c r="EK408" s="1220">
        <f>EF408*(1+EK409)</f>
        <v>3520.8352207991552</v>
      </c>
      <c r="EL408" s="1221">
        <f>(EL406*1000000)/EL411</f>
        <v>3747.3069055103047</v>
      </c>
    </row>
    <row r="409" spans="1:142" hidden="1" outlineLevel="1">
      <c r="A409" s="141"/>
      <c r="B409" s="848" t="s">
        <v>133</v>
      </c>
      <c r="C409" s="152"/>
      <c r="D409" s="152"/>
      <c r="E409" s="152"/>
      <c r="F409" s="152"/>
      <c r="G409" s="152"/>
      <c r="H409" s="152"/>
      <c r="I409" s="152"/>
      <c r="J409" s="152"/>
      <c r="K409" s="152"/>
      <c r="L409" s="152"/>
      <c r="M409" s="152"/>
      <c r="N409" s="152"/>
      <c r="O409" s="152"/>
      <c r="P409" s="152"/>
      <c r="Q409" s="152"/>
      <c r="R409" s="152"/>
      <c r="S409" s="152"/>
      <c r="T409" s="152"/>
      <c r="U409" s="152"/>
      <c r="V409" s="152"/>
      <c r="W409" s="152"/>
      <c r="X409" s="152"/>
      <c r="Y409" s="152"/>
      <c r="Z409" s="152"/>
      <c r="AA409" s="152"/>
      <c r="AB409" s="152"/>
      <c r="AC409" s="152"/>
      <c r="AD409" s="152"/>
      <c r="AE409" s="152"/>
      <c r="AF409" s="152"/>
      <c r="AG409" s="152"/>
      <c r="AH409" s="152"/>
      <c r="AI409" s="152"/>
      <c r="AJ409" s="152"/>
      <c r="AK409" s="152"/>
      <c r="AL409" s="152"/>
      <c r="AM409" s="152"/>
      <c r="AN409" s="152"/>
      <c r="AO409" s="152"/>
      <c r="AP409" s="152"/>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164"/>
      <c r="BL409" s="1164"/>
      <c r="BM409" s="1164"/>
      <c r="BN409" s="1164"/>
      <c r="BO409" s="985"/>
      <c r="BP409" s="1164"/>
      <c r="BQ409" s="1164"/>
      <c r="BR409" s="1164"/>
      <c r="BS409" s="1164"/>
      <c r="BT409" s="985"/>
      <c r="BU409" s="1164"/>
      <c r="BV409" s="1164"/>
      <c r="BW409" s="1164"/>
      <c r="BX409" s="1164"/>
      <c r="BY409" s="985"/>
      <c r="BZ409" s="1164"/>
      <c r="CA409" s="1164"/>
      <c r="CB409" s="1164"/>
      <c r="CC409" s="1164"/>
      <c r="CD409" s="985"/>
      <c r="CE409" s="1164"/>
      <c r="CF409" s="1164"/>
      <c r="CG409" s="1164"/>
      <c r="CH409" s="1164"/>
      <c r="CI409" s="985"/>
      <c r="CJ409" s="1164"/>
      <c r="CK409" s="1164"/>
      <c r="CL409" s="1164"/>
      <c r="CM409" s="1164"/>
      <c r="CN409" s="985"/>
      <c r="CO409" s="1164"/>
      <c r="CP409" s="1164"/>
      <c r="CQ409" s="1164"/>
      <c r="CR409" s="1164"/>
      <c r="CS409" s="985"/>
      <c r="CT409" s="1164">
        <f t="shared" ref="CT409:CZ409" si="571">CT408/CO408-1</f>
        <v>-0.10131825643747117</v>
      </c>
      <c r="CU409" s="1164">
        <f t="shared" si="571"/>
        <v>-0.21855765674413363</v>
      </c>
      <c r="CV409" s="1164">
        <f t="shared" si="571"/>
        <v>-0.13136283057776477</v>
      </c>
      <c r="CW409" s="1164">
        <f t="shared" si="571"/>
        <v>8.2401563846595804E-2</v>
      </c>
      <c r="CX409" s="985">
        <f t="shared" si="571"/>
        <v>-8.1137636921930101E-2</v>
      </c>
      <c r="CY409" s="1164">
        <f t="shared" si="571"/>
        <v>-3.150293235676549E-2</v>
      </c>
      <c r="CZ409" s="1164">
        <f t="shared" si="571"/>
        <v>9.2279635411167904E-2</v>
      </c>
      <c r="DA409" s="1164">
        <v>0</v>
      </c>
      <c r="DB409" s="1164">
        <v>-0.1</v>
      </c>
      <c r="DC409" s="985">
        <f>DC408/CX408-1</f>
        <v>-0.76080021999175029</v>
      </c>
      <c r="DD409" s="1164">
        <v>0.03</v>
      </c>
      <c r="DE409" s="1164">
        <v>0.03</v>
      </c>
      <c r="DF409" s="1164">
        <v>0.05</v>
      </c>
      <c r="DG409" s="1164">
        <v>0</v>
      </c>
      <c r="DH409" s="985">
        <f>DH408/DC408-1</f>
        <v>3.2572931370071281</v>
      </c>
      <c r="DI409" s="1164">
        <v>0.03</v>
      </c>
      <c r="DJ409" s="1164">
        <v>0.03</v>
      </c>
      <c r="DK409" s="1164">
        <v>0.03</v>
      </c>
      <c r="DL409" s="1164">
        <v>0.03</v>
      </c>
      <c r="DM409" s="985">
        <f>DM408/DH408-1</f>
        <v>3.0000000000000249E-2</v>
      </c>
      <c r="DN409" s="1164">
        <v>0.03</v>
      </c>
      <c r="DO409" s="1164">
        <v>0.03</v>
      </c>
      <c r="DP409" s="1164">
        <v>0.03</v>
      </c>
      <c r="DQ409" s="1164">
        <v>0.03</v>
      </c>
      <c r="DR409" s="985">
        <f>DR408/DM408-1</f>
        <v>2.9999999999999805E-2</v>
      </c>
      <c r="DS409" s="1164">
        <f t="shared" ref="DS409:EG409" si="572">DN409</f>
        <v>0.03</v>
      </c>
      <c r="DT409" s="1164">
        <f t="shared" si="572"/>
        <v>0.03</v>
      </c>
      <c r="DU409" s="1164">
        <f t="shared" si="572"/>
        <v>0.03</v>
      </c>
      <c r="DV409" s="1164">
        <v>0.03</v>
      </c>
      <c r="DW409" s="985">
        <f t="shared" si="572"/>
        <v>2.9999999999999805E-2</v>
      </c>
      <c r="DX409" s="1164">
        <f t="shared" si="572"/>
        <v>0.03</v>
      </c>
      <c r="DY409" s="1164">
        <f t="shared" si="572"/>
        <v>0.03</v>
      </c>
      <c r="DZ409" s="1164">
        <f t="shared" si="572"/>
        <v>0.03</v>
      </c>
      <c r="EA409" s="1164">
        <f t="shared" si="572"/>
        <v>0.03</v>
      </c>
      <c r="EB409" s="985">
        <f t="shared" si="572"/>
        <v>2.9999999999999805E-2</v>
      </c>
      <c r="EC409" s="1164">
        <f t="shared" si="572"/>
        <v>0.03</v>
      </c>
      <c r="ED409" s="1164">
        <f t="shared" si="572"/>
        <v>0.03</v>
      </c>
      <c r="EE409" s="1164">
        <f t="shared" si="572"/>
        <v>0.03</v>
      </c>
      <c r="EF409" s="1164">
        <f t="shared" si="572"/>
        <v>0.03</v>
      </c>
      <c r="EG409" s="985">
        <f t="shared" si="572"/>
        <v>2.9999999999999805E-2</v>
      </c>
      <c r="EH409" s="1164">
        <f t="shared" ref="EH409" si="573">EC409</f>
        <v>0.03</v>
      </c>
      <c r="EI409" s="1164">
        <f t="shared" ref="EI409" si="574">ED409</f>
        <v>0.03</v>
      </c>
      <c r="EJ409" s="1164">
        <f t="shared" ref="EJ409" si="575">EE409</f>
        <v>0.03</v>
      </c>
      <c r="EK409" s="1164">
        <f t="shared" ref="EK409" si="576">EF409</f>
        <v>0.03</v>
      </c>
      <c r="EL409" s="985">
        <f t="shared" ref="EL409" si="577">EG409</f>
        <v>2.9999999999999805E-2</v>
      </c>
    </row>
    <row r="410" spans="1:142" hidden="1" outlineLevel="1">
      <c r="A410" s="152"/>
      <c r="B410" s="152"/>
      <c r="C410" s="152"/>
      <c r="D410" s="152"/>
      <c r="E410" s="152"/>
      <c r="F410" s="152"/>
      <c r="G410" s="152"/>
      <c r="H410" s="152"/>
      <c r="I410" s="152"/>
      <c r="J410" s="152"/>
      <c r="K410" s="152"/>
      <c r="L410" s="152"/>
      <c r="M410" s="152"/>
      <c r="N410" s="152"/>
      <c r="O410" s="152"/>
      <c r="P410" s="152"/>
      <c r="Q410" s="152"/>
      <c r="R410" s="152"/>
      <c r="S410" s="152"/>
      <c r="T410" s="152"/>
      <c r="U410" s="152"/>
      <c r="V410" s="152"/>
      <c r="W410" s="152"/>
      <c r="X410" s="152"/>
      <c r="Y410" s="152"/>
      <c r="Z410" s="152"/>
      <c r="AA410" s="152"/>
      <c r="AB410" s="152"/>
      <c r="AC410" s="152"/>
      <c r="AD410" s="152"/>
      <c r="AE410" s="152"/>
      <c r="AF410" s="152"/>
      <c r="AG410" s="152"/>
      <c r="AH410" s="152"/>
      <c r="AI410" s="152"/>
      <c r="AJ410" s="152"/>
      <c r="AK410" s="152"/>
      <c r="AL410" s="152"/>
      <c r="AM410" s="152"/>
      <c r="AN410" s="152"/>
      <c r="AO410" s="152"/>
      <c r="AP410" s="152"/>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219"/>
      <c r="BP410" s="152"/>
      <c r="BQ410" s="152"/>
      <c r="BR410" s="152"/>
      <c r="BS410" s="152"/>
      <c r="BT410" s="1219"/>
      <c r="BU410" s="152"/>
      <c r="BV410" s="152"/>
      <c r="BW410" s="152"/>
      <c r="BX410" s="152"/>
      <c r="BY410" s="1219"/>
      <c r="BZ410" s="152"/>
      <c r="CA410" s="152"/>
      <c r="CB410" s="152"/>
      <c r="CC410" s="152"/>
      <c r="CD410" s="1219"/>
      <c r="CE410" s="152"/>
      <c r="CF410" s="152"/>
      <c r="CG410" s="152"/>
      <c r="CH410" s="152"/>
      <c r="CI410" s="1219"/>
      <c r="CJ410" s="152"/>
      <c r="CK410" s="152"/>
      <c r="CL410" s="152"/>
      <c r="CM410" s="152"/>
      <c r="CN410" s="1219"/>
      <c r="CO410" s="152"/>
      <c r="CP410" s="152"/>
      <c r="CQ410" s="152"/>
      <c r="CR410" s="152"/>
      <c r="CS410" s="1219"/>
      <c r="CT410" s="152"/>
      <c r="CU410" s="152"/>
      <c r="CV410" s="152"/>
      <c r="CW410" s="152"/>
      <c r="CX410" s="1219"/>
      <c r="CY410" s="152"/>
      <c r="CZ410" s="152"/>
      <c r="DA410" s="152"/>
      <c r="DB410" s="152"/>
      <c r="DC410" s="1219"/>
      <c r="DD410" s="152"/>
      <c r="DE410" s="152"/>
      <c r="DF410" s="152"/>
      <c r="DG410" s="152"/>
      <c r="DH410" s="1219"/>
      <c r="DI410" s="152"/>
      <c r="DJ410" s="152"/>
      <c r="DK410" s="152"/>
      <c r="DL410" s="152"/>
      <c r="DM410" s="1219"/>
      <c r="DN410" s="152"/>
      <c r="DO410" s="152"/>
      <c r="DP410" s="152"/>
      <c r="DQ410" s="152"/>
      <c r="DR410" s="1219"/>
      <c r="DS410" s="152"/>
      <c r="DT410" s="152"/>
      <c r="DU410" s="152"/>
      <c r="DV410" s="152"/>
      <c r="DW410" s="1219"/>
      <c r="DX410" s="152"/>
      <c r="DY410" s="152"/>
      <c r="DZ410" s="152"/>
      <c r="EA410" s="152"/>
      <c r="EB410" s="1219"/>
      <c r="EC410" s="152"/>
      <c r="ED410" s="152"/>
      <c r="EE410" s="152"/>
      <c r="EF410" s="152"/>
      <c r="EG410" s="1219"/>
      <c r="EH410" s="152"/>
      <c r="EI410" s="152"/>
      <c r="EJ410" s="152"/>
      <c r="EK410" s="152"/>
      <c r="EL410" s="1219"/>
    </row>
    <row r="411" spans="1:142" hidden="1" outlineLevel="1">
      <c r="A411" s="141"/>
      <c r="B411" s="557" t="s">
        <v>214</v>
      </c>
      <c r="C411" s="152"/>
      <c r="D411" s="152"/>
      <c r="E411" s="152"/>
      <c r="F411" s="152"/>
      <c r="G411" s="152"/>
      <c r="H411" s="152"/>
      <c r="I411" s="152"/>
      <c r="J411" s="152"/>
      <c r="K411" s="152"/>
      <c r="L411" s="152"/>
      <c r="M411" s="152"/>
      <c r="N411" s="152"/>
      <c r="O411" s="152"/>
      <c r="P411" s="152"/>
      <c r="Q411" s="152"/>
      <c r="R411" s="152"/>
      <c r="S411" s="152"/>
      <c r="T411" s="152"/>
      <c r="U411" s="152"/>
      <c r="V411" s="152"/>
      <c r="W411" s="152"/>
      <c r="X411" s="152"/>
      <c r="Y411" s="152"/>
      <c r="Z411" s="152"/>
      <c r="AA411" s="152"/>
      <c r="AB411" s="152"/>
      <c r="AC411" s="152"/>
      <c r="AD411" s="152"/>
      <c r="AE411" s="152"/>
      <c r="AF411" s="152"/>
      <c r="AG411" s="152"/>
      <c r="AH411" s="152"/>
      <c r="AI411" s="152"/>
      <c r="AJ411" s="152"/>
      <c r="AK411" s="152"/>
      <c r="AL411" s="152"/>
      <c r="AM411" s="152"/>
      <c r="AN411" s="152"/>
      <c r="AO411" s="152"/>
      <c r="AP411" s="152"/>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843"/>
      <c r="BL411" s="843"/>
      <c r="BM411" s="843"/>
      <c r="BN411" s="843"/>
      <c r="BO411" s="844"/>
      <c r="BP411" s="843"/>
      <c r="BQ411" s="843"/>
      <c r="BR411" s="843"/>
      <c r="BS411" s="843"/>
      <c r="BT411" s="844"/>
      <c r="BU411" s="843"/>
      <c r="BV411" s="843"/>
      <c r="BW411" s="843"/>
      <c r="BX411" s="843"/>
      <c r="BY411" s="844"/>
      <c r="BZ411" s="843"/>
      <c r="CA411" s="843"/>
      <c r="CB411" s="843"/>
      <c r="CC411" s="843"/>
      <c r="CD411" s="844"/>
      <c r="CE411" s="843"/>
      <c r="CF411" s="843"/>
      <c r="CG411" s="843"/>
      <c r="CH411" s="843"/>
      <c r="CI411" s="844"/>
      <c r="CJ411" s="843"/>
      <c r="CK411" s="843"/>
      <c r="CL411" s="843"/>
      <c r="CM411" s="843"/>
      <c r="CN411" s="844"/>
      <c r="CO411" s="843">
        <v>242300</v>
      </c>
      <c r="CP411" s="843">
        <v>245100</v>
      </c>
      <c r="CQ411" s="843">
        <v>245000</v>
      </c>
      <c r="CR411" s="843">
        <v>249500</v>
      </c>
      <c r="CS411" s="844">
        <f>CR411</f>
        <v>249500</v>
      </c>
      <c r="CT411" s="843">
        <v>240500</v>
      </c>
      <c r="CU411" s="843">
        <v>234500</v>
      </c>
      <c r="CV411" s="843">
        <v>235800</v>
      </c>
      <c r="CW411" s="843">
        <v>236000</v>
      </c>
      <c r="CX411" s="844">
        <f>CW411</f>
        <v>236000</v>
      </c>
      <c r="CY411" s="843">
        <v>237000</v>
      </c>
      <c r="CZ411" s="843">
        <v>238500</v>
      </c>
      <c r="DA411" s="843">
        <f>CZ411*(1+DA412)</f>
        <v>242077.49999999997</v>
      </c>
      <c r="DB411" s="843">
        <f>DA411*(1+DB412)</f>
        <v>154929.59999999998</v>
      </c>
      <c r="DC411" s="844">
        <f>DB411</f>
        <v>154929.59999999998</v>
      </c>
      <c r="DD411" s="843">
        <f>DC411*(1+DD412)</f>
        <v>154154.95199999999</v>
      </c>
      <c r="DE411" s="843">
        <f>DD411*(1+DE412)</f>
        <v>153384.17723999999</v>
      </c>
      <c r="DF411" s="843">
        <f>DE411*(1+DF412)</f>
        <v>152617.25635379998</v>
      </c>
      <c r="DG411" s="843">
        <f>DF411*(1+DG412)</f>
        <v>151854.17007203097</v>
      </c>
      <c r="DH411" s="844">
        <f>DG411</f>
        <v>151854.17007203097</v>
      </c>
      <c r="DI411" s="843">
        <f>DH411*(1+DI412)</f>
        <v>151094.89922167081</v>
      </c>
      <c r="DJ411" s="843">
        <f>DI411*(1+DJ412)</f>
        <v>150339.42472556245</v>
      </c>
      <c r="DK411" s="843">
        <f>DJ411*(1+DK412)</f>
        <v>149587.72760193463</v>
      </c>
      <c r="DL411" s="843">
        <f>DK411*(1+DL412)</f>
        <v>148839.78896392495</v>
      </c>
      <c r="DM411" s="844">
        <f>DL411</f>
        <v>148839.78896392495</v>
      </c>
      <c r="DN411" s="843">
        <f>DM411*(1+DN412)</f>
        <v>148095.59001910532</v>
      </c>
      <c r="DO411" s="843">
        <f>DN411*(1+DO412)</f>
        <v>147355.1120690098</v>
      </c>
      <c r="DP411" s="843">
        <f>DO411*(1+DP412)</f>
        <v>146618.33650866474</v>
      </c>
      <c r="DQ411" s="843">
        <f>DP411*(1+DQ412)</f>
        <v>145885.2448261214</v>
      </c>
      <c r="DR411" s="844">
        <f>DQ411</f>
        <v>145885.2448261214</v>
      </c>
      <c r="DS411" s="843">
        <f>DR411*(1+DS412)</f>
        <v>145155.81860199079</v>
      </c>
      <c r="DT411" s="843">
        <f>DS411*(1+DT412)</f>
        <v>144430.03950898084</v>
      </c>
      <c r="DU411" s="843">
        <f>DT411*(1+DU412)</f>
        <v>143707.88931143595</v>
      </c>
      <c r="DV411" s="843">
        <f>DU411*(1+DV412)</f>
        <v>142989.34986487878</v>
      </c>
      <c r="DW411" s="844">
        <f>DV411</f>
        <v>142989.34986487878</v>
      </c>
      <c r="DX411" s="843">
        <f>DW411*(1+DX412)</f>
        <v>142274.40311555439</v>
      </c>
      <c r="DY411" s="843">
        <f>DX411*(1+DY412)</f>
        <v>141563.03109997662</v>
      </c>
      <c r="DZ411" s="843">
        <f>DY411*(1+DZ412)</f>
        <v>140855.21594447675</v>
      </c>
      <c r="EA411" s="843">
        <f>DZ411*(1+EA412)</f>
        <v>140150.93986475436</v>
      </c>
      <c r="EB411" s="844">
        <f>EA411</f>
        <v>140150.93986475436</v>
      </c>
      <c r="EC411" s="843">
        <f>EB411*(1+EC412)</f>
        <v>139450.18516543059</v>
      </c>
      <c r="ED411" s="843">
        <f>EC411*(1+ED412)</f>
        <v>138752.93423960343</v>
      </c>
      <c r="EE411" s="843">
        <f>ED411*(1+EE412)</f>
        <v>138059.16956840543</v>
      </c>
      <c r="EF411" s="843">
        <f>EE411*(1+EF412)</f>
        <v>137368.8737205634</v>
      </c>
      <c r="EG411" s="844">
        <f>EF411</f>
        <v>137368.8737205634</v>
      </c>
      <c r="EH411" s="843">
        <f>EG411*(1+EH412)</f>
        <v>136682.02935196058</v>
      </c>
      <c r="EI411" s="843">
        <f>EH411*(1+EI412)</f>
        <v>135998.61920520078</v>
      </c>
      <c r="EJ411" s="843">
        <f>EI411*(1+EJ412)</f>
        <v>135318.62610917477</v>
      </c>
      <c r="EK411" s="843">
        <f>EJ411*(1+EK412)</f>
        <v>134642.03297862891</v>
      </c>
      <c r="EL411" s="844">
        <f>EK411</f>
        <v>134642.03297862891</v>
      </c>
    </row>
    <row r="412" spans="1:142" hidden="1" outlineLevel="1">
      <c r="A412" s="1222"/>
      <c r="B412" s="1199" t="s">
        <v>133</v>
      </c>
      <c r="C412" s="1222"/>
      <c r="D412" s="1222"/>
      <c r="E412" s="1222"/>
      <c r="F412" s="1222"/>
      <c r="G412" s="1222"/>
      <c r="H412" s="1222"/>
      <c r="I412" s="1222"/>
      <c r="J412" s="1222"/>
      <c r="K412" s="1222"/>
      <c r="L412" s="1222"/>
      <c r="M412" s="1222"/>
      <c r="N412" s="1222"/>
      <c r="O412" s="1222"/>
      <c r="P412" s="1222"/>
      <c r="Q412" s="1222"/>
      <c r="R412" s="1222"/>
      <c r="S412" s="1222"/>
      <c r="T412" s="1222"/>
      <c r="U412" s="1222"/>
      <c r="V412" s="1222"/>
      <c r="W412" s="1222"/>
      <c r="X412" s="1222"/>
      <c r="Y412" s="1222"/>
      <c r="Z412" s="1222"/>
      <c r="AA412" s="1222"/>
      <c r="AB412" s="1222"/>
      <c r="AC412" s="1222"/>
      <c r="AD412" s="1222"/>
      <c r="AE412" s="1222"/>
      <c r="AF412" s="1222"/>
      <c r="AG412" s="1222"/>
      <c r="AH412" s="1222"/>
      <c r="AI412" s="1222"/>
      <c r="AJ412" s="1222"/>
      <c r="AK412" s="1222"/>
      <c r="AL412" s="1222"/>
      <c r="AM412" s="1222"/>
      <c r="AN412" s="1222"/>
      <c r="AO412" s="1222"/>
      <c r="AP412" s="1222"/>
      <c r="AQ412" s="1222"/>
      <c r="AR412" s="1222"/>
      <c r="AS412" s="1222"/>
      <c r="AT412" s="1222"/>
      <c r="AU412" s="1222"/>
      <c r="AV412" s="1222"/>
      <c r="AW412" s="1222"/>
      <c r="AX412" s="1222"/>
      <c r="AY412" s="1222"/>
      <c r="AZ412" s="1222"/>
      <c r="BA412" s="1222"/>
      <c r="BB412" s="1222"/>
      <c r="BC412" s="1222"/>
      <c r="BD412" s="1222"/>
      <c r="BE412" s="1222"/>
      <c r="BF412" s="1222"/>
      <c r="BG412" s="1222"/>
      <c r="BH412" s="1222"/>
      <c r="BI412" s="1222"/>
      <c r="BJ412" s="1222"/>
      <c r="BK412" s="1223"/>
      <c r="BL412" s="1223"/>
      <c r="BM412" s="1223"/>
      <c r="BN412" s="1223"/>
      <c r="BO412" s="1224"/>
      <c r="BP412" s="1223"/>
      <c r="BQ412" s="1223"/>
      <c r="BR412" s="1223"/>
      <c r="BS412" s="1223"/>
      <c r="BT412" s="1224"/>
      <c r="BU412" s="1223"/>
      <c r="BV412" s="1223"/>
      <c r="BW412" s="1223"/>
      <c r="BX412" s="1223"/>
      <c r="BY412" s="1224"/>
      <c r="BZ412" s="1223"/>
      <c r="CA412" s="1223"/>
      <c r="CB412" s="1223"/>
      <c r="CC412" s="1223"/>
      <c r="CD412" s="1224"/>
      <c r="CE412" s="1223"/>
      <c r="CF412" s="1223"/>
      <c r="CG412" s="1223"/>
      <c r="CH412" s="1223"/>
      <c r="CI412" s="1224"/>
      <c r="CJ412" s="1223"/>
      <c r="CK412" s="1223"/>
      <c r="CL412" s="1223"/>
      <c r="CM412" s="1223"/>
      <c r="CN412" s="1224"/>
      <c r="CO412" s="1223"/>
      <c r="CP412" s="1223"/>
      <c r="CQ412" s="1223"/>
      <c r="CR412" s="1223"/>
      <c r="CS412" s="1224"/>
      <c r="CT412" s="1223">
        <f t="shared" ref="CT412:CZ412" si="578">CT411/CO411-1</f>
        <v>-7.4288072637226366E-3</v>
      </c>
      <c r="CU412" s="1223">
        <f t="shared" si="578"/>
        <v>-4.3247654018767845E-2</v>
      </c>
      <c r="CV412" s="1223">
        <f t="shared" si="578"/>
        <v>-3.7551020408163271E-2</v>
      </c>
      <c r="CW412" s="1223">
        <f t="shared" si="578"/>
        <v>-5.4108216432865786E-2</v>
      </c>
      <c r="CX412" s="1224">
        <f t="shared" si="578"/>
        <v>-5.4108216432865786E-2</v>
      </c>
      <c r="CY412" s="1223">
        <f t="shared" si="578"/>
        <v>-1.4553014553014498E-2</v>
      </c>
      <c r="CZ412" s="1223">
        <f t="shared" si="578"/>
        <v>1.7057569296375252E-2</v>
      </c>
      <c r="DA412" s="1223">
        <v>1.4999999999999999E-2</v>
      </c>
      <c r="DB412" s="1223">
        <v>-0.36</v>
      </c>
      <c r="DC412" s="1224">
        <f>DC411/CX411-1</f>
        <v>-0.34351864406779675</v>
      </c>
      <c r="DD412" s="1223">
        <v>-5.0000000000000001E-3</v>
      </c>
      <c r="DE412" s="1223">
        <v>-5.0000000000000001E-3</v>
      </c>
      <c r="DF412" s="1223">
        <v>-5.0000000000000001E-3</v>
      </c>
      <c r="DG412" s="1223">
        <v>-5.0000000000000001E-3</v>
      </c>
      <c r="DH412" s="1224">
        <f>DH411/DC411-1</f>
        <v>-1.9850499375000052E-2</v>
      </c>
      <c r="DI412" s="1223">
        <v>-5.0000000000000001E-3</v>
      </c>
      <c r="DJ412" s="1223">
        <v>-5.0000000000000001E-3</v>
      </c>
      <c r="DK412" s="1223">
        <v>-5.0000000000000001E-3</v>
      </c>
      <c r="DL412" s="1223">
        <v>-5.0000000000000001E-3</v>
      </c>
      <c r="DM412" s="1224">
        <f>DM411/DH411-1</f>
        <v>-1.9850499375000163E-2</v>
      </c>
      <c r="DN412" s="1223">
        <v>-5.0000000000000001E-3</v>
      </c>
      <c r="DO412" s="1223">
        <v>-5.0000000000000001E-3</v>
      </c>
      <c r="DP412" s="1223">
        <v>-5.0000000000000001E-3</v>
      </c>
      <c r="DQ412" s="1223">
        <v>-5.0000000000000001E-3</v>
      </c>
      <c r="DR412" s="1224">
        <f>DR411/DM411-1</f>
        <v>-1.9850499375000163E-2</v>
      </c>
      <c r="DS412" s="1223">
        <f t="shared" ref="DS412:EG412" si="579">DN412</f>
        <v>-5.0000000000000001E-3</v>
      </c>
      <c r="DT412" s="1223">
        <f t="shared" si="579"/>
        <v>-5.0000000000000001E-3</v>
      </c>
      <c r="DU412" s="1223">
        <f t="shared" si="579"/>
        <v>-5.0000000000000001E-3</v>
      </c>
      <c r="DV412" s="1223">
        <v>-5.0000000000000001E-3</v>
      </c>
      <c r="DW412" s="1224">
        <f t="shared" si="579"/>
        <v>-1.9850499375000163E-2</v>
      </c>
      <c r="DX412" s="1223">
        <f t="shared" si="579"/>
        <v>-5.0000000000000001E-3</v>
      </c>
      <c r="DY412" s="1223">
        <f t="shared" si="579"/>
        <v>-5.0000000000000001E-3</v>
      </c>
      <c r="DZ412" s="1223">
        <f t="shared" si="579"/>
        <v>-5.0000000000000001E-3</v>
      </c>
      <c r="EA412" s="1223">
        <f t="shared" si="579"/>
        <v>-5.0000000000000001E-3</v>
      </c>
      <c r="EB412" s="1224">
        <f t="shared" si="579"/>
        <v>-1.9850499375000163E-2</v>
      </c>
      <c r="EC412" s="1223">
        <f t="shared" si="579"/>
        <v>-5.0000000000000001E-3</v>
      </c>
      <c r="ED412" s="1223">
        <f t="shared" si="579"/>
        <v>-5.0000000000000001E-3</v>
      </c>
      <c r="EE412" s="1223">
        <f t="shared" si="579"/>
        <v>-5.0000000000000001E-3</v>
      </c>
      <c r="EF412" s="1223">
        <f t="shared" si="579"/>
        <v>-5.0000000000000001E-3</v>
      </c>
      <c r="EG412" s="1224">
        <f t="shared" si="579"/>
        <v>-1.9850499375000163E-2</v>
      </c>
      <c r="EH412" s="1223">
        <f t="shared" ref="EH412" si="580">EC412</f>
        <v>-5.0000000000000001E-3</v>
      </c>
      <c r="EI412" s="1223">
        <f t="shared" ref="EI412" si="581">ED412</f>
        <v>-5.0000000000000001E-3</v>
      </c>
      <c r="EJ412" s="1223">
        <f t="shared" ref="EJ412" si="582">EE412</f>
        <v>-5.0000000000000001E-3</v>
      </c>
      <c r="EK412" s="1223">
        <f t="shared" ref="EK412" si="583">EF412</f>
        <v>-5.0000000000000001E-3</v>
      </c>
      <c r="EL412" s="1224">
        <f t="shared" ref="EL412" si="584">EG412</f>
        <v>-1.9850499375000163E-2</v>
      </c>
    </row>
    <row r="413" spans="1:142" collapsed="1"/>
    <row r="462" spans="1:142">
      <c r="A462" s="680"/>
      <c r="B462" s="680"/>
      <c r="C462" s="680"/>
      <c r="D462" s="680"/>
      <c r="E462" s="680"/>
      <c r="F462" s="680"/>
      <c r="G462" s="680"/>
      <c r="H462" s="680"/>
      <c r="I462" s="680"/>
      <c r="J462" s="680"/>
      <c r="K462" s="680"/>
      <c r="L462" s="680"/>
      <c r="M462" s="680"/>
      <c r="N462" s="680"/>
      <c r="O462" s="680"/>
      <c r="P462" s="680"/>
      <c r="Q462" s="680"/>
      <c r="R462" s="680"/>
      <c r="S462" s="680"/>
      <c r="T462" s="680"/>
      <c r="U462" s="680"/>
      <c r="V462" s="680"/>
      <c r="W462" s="680"/>
      <c r="X462" s="680"/>
      <c r="Y462" s="680"/>
      <c r="Z462" s="680"/>
      <c r="AA462" s="680"/>
      <c r="AB462" s="680"/>
      <c r="AC462" s="680"/>
      <c r="AD462" s="680"/>
      <c r="AE462" s="680"/>
      <c r="AF462" s="680"/>
      <c r="AG462" s="680"/>
      <c r="AH462" s="680"/>
      <c r="AI462" s="680"/>
      <c r="AJ462" s="680"/>
      <c r="AK462" s="680"/>
      <c r="AL462" s="680"/>
      <c r="AM462" s="680"/>
      <c r="AN462" s="680"/>
      <c r="AO462" s="680"/>
      <c r="AP462" s="680"/>
      <c r="AQ462" s="680"/>
      <c r="AR462" s="680"/>
      <c r="AS462" s="680"/>
      <c r="AT462" s="680"/>
      <c r="AU462" s="680"/>
      <c r="AV462" s="680"/>
      <c r="AW462" s="680"/>
      <c r="AX462" s="680"/>
      <c r="AY462" s="680"/>
      <c r="AZ462" s="680"/>
      <c r="BA462" s="680"/>
      <c r="BB462" s="680"/>
      <c r="BC462" s="680"/>
      <c r="BD462" s="680"/>
      <c r="BE462" s="680"/>
      <c r="BF462" s="680"/>
      <c r="BG462" s="680"/>
      <c r="BH462" s="680"/>
      <c r="BI462" s="680"/>
      <c r="BJ462" s="680"/>
      <c r="BK462" s="680"/>
      <c r="BL462" s="680"/>
      <c r="BM462" s="680"/>
      <c r="BN462" s="680"/>
      <c r="BO462" s="680"/>
      <c r="BP462" s="680"/>
      <c r="BQ462" s="680"/>
      <c r="BR462" s="680"/>
      <c r="BS462" s="680"/>
      <c r="BT462" s="680"/>
      <c r="BU462" s="680"/>
      <c r="BV462" s="680"/>
      <c r="BW462" s="680"/>
      <c r="BX462" s="680"/>
      <c r="BY462" s="680"/>
      <c r="BZ462" s="680"/>
      <c r="CA462" s="680"/>
      <c r="CB462" s="680"/>
      <c r="CC462" s="680"/>
      <c r="CD462" s="680"/>
      <c r="CE462" s="680"/>
      <c r="CF462" s="680"/>
      <c r="CG462" s="680"/>
      <c r="CH462" s="680"/>
      <c r="CI462" s="680"/>
      <c r="CJ462" s="680"/>
      <c r="CK462" s="680"/>
      <c r="CL462" s="680"/>
      <c r="CM462" s="680"/>
      <c r="CN462" s="680"/>
      <c r="CO462" s="680"/>
      <c r="CP462" s="680"/>
      <c r="CQ462" s="680"/>
      <c r="CR462" s="680"/>
      <c r="CS462" s="680"/>
      <c r="CT462" s="680"/>
      <c r="CU462" s="680"/>
      <c r="CV462" s="680"/>
      <c r="CW462" s="680"/>
      <c r="CX462" s="680"/>
      <c r="CY462" s="680"/>
      <c r="CZ462" s="680"/>
      <c r="DA462" s="680"/>
      <c r="DB462" s="680"/>
      <c r="DC462" s="680"/>
      <c r="DD462" s="680"/>
      <c r="DE462" s="680"/>
      <c r="DF462" s="680"/>
      <c r="DG462" s="680"/>
      <c r="DH462" s="680"/>
      <c r="DI462" s="680"/>
      <c r="DJ462" s="680"/>
      <c r="DK462" s="680"/>
      <c r="DL462" s="680"/>
      <c r="DM462" s="680"/>
      <c r="DN462" s="680"/>
      <c r="DO462" s="680"/>
      <c r="DP462" s="680"/>
      <c r="DQ462" s="680"/>
      <c r="DR462" s="680"/>
      <c r="DS462" s="680"/>
      <c r="DT462" s="680"/>
      <c r="DU462" s="680"/>
      <c r="DV462" s="680"/>
      <c r="DW462" s="680"/>
      <c r="DX462" s="680"/>
      <c r="DY462" s="680"/>
      <c r="DZ462" s="680"/>
      <c r="EA462" s="680"/>
      <c r="EB462" s="680"/>
      <c r="EC462" s="680"/>
      <c r="ED462" s="680"/>
      <c r="EE462" s="680"/>
      <c r="EF462" s="680"/>
      <c r="EG462" s="680"/>
      <c r="EH462" s="680"/>
      <c r="EI462" s="680"/>
      <c r="EJ462" s="680"/>
      <c r="EK462" s="680"/>
      <c r="EL462" s="680"/>
    </row>
    <row r="463" spans="1:142">
      <c r="A463" s="680"/>
      <c r="B463" s="680"/>
      <c r="C463" s="680"/>
      <c r="D463" s="680"/>
      <c r="E463" s="680"/>
      <c r="F463" s="680"/>
      <c r="G463" s="680"/>
      <c r="H463" s="680"/>
      <c r="I463" s="680"/>
      <c r="J463" s="680"/>
      <c r="K463" s="680"/>
      <c r="L463" s="680"/>
      <c r="M463" s="680"/>
      <c r="N463" s="680"/>
      <c r="O463" s="680"/>
      <c r="P463" s="680"/>
      <c r="Q463" s="680"/>
      <c r="R463" s="680"/>
      <c r="S463" s="680"/>
      <c r="T463" s="680"/>
      <c r="U463" s="680"/>
      <c r="V463" s="680"/>
      <c r="W463" s="680"/>
      <c r="X463" s="680"/>
      <c r="Y463" s="680"/>
      <c r="Z463" s="680"/>
      <c r="AA463" s="680"/>
      <c r="AB463" s="680"/>
      <c r="AC463" s="680"/>
      <c r="AD463" s="680"/>
      <c r="AE463" s="680"/>
      <c r="AF463" s="680"/>
      <c r="AG463" s="680"/>
      <c r="AH463" s="680"/>
      <c r="AI463" s="680"/>
      <c r="AJ463" s="680"/>
      <c r="AK463" s="680"/>
      <c r="AL463" s="680"/>
      <c r="AM463" s="680"/>
      <c r="AN463" s="680"/>
      <c r="AO463" s="680"/>
      <c r="AP463" s="680"/>
      <c r="AQ463" s="680"/>
      <c r="AR463" s="680"/>
      <c r="AS463" s="680"/>
      <c r="AT463" s="680"/>
      <c r="AU463" s="680"/>
      <c r="AV463" s="680"/>
      <c r="AW463" s="680"/>
      <c r="AX463" s="680"/>
      <c r="AY463" s="680"/>
      <c r="AZ463" s="680"/>
      <c r="BA463" s="680"/>
      <c r="BB463" s="680"/>
      <c r="BC463" s="680"/>
      <c r="BD463" s="680"/>
      <c r="BE463" s="680"/>
      <c r="BF463" s="680"/>
      <c r="BG463" s="680"/>
      <c r="BH463" s="680"/>
      <c r="BI463" s="680"/>
      <c r="BJ463" s="680"/>
      <c r="BK463" s="680"/>
      <c r="BL463" s="680"/>
      <c r="BM463" s="680"/>
      <c r="BN463" s="680"/>
      <c r="BO463" s="680"/>
      <c r="BP463" s="680"/>
      <c r="BQ463" s="680"/>
      <c r="BR463" s="680"/>
      <c r="BS463" s="680"/>
      <c r="BT463" s="680"/>
      <c r="BU463" s="680"/>
      <c r="BV463" s="680"/>
      <c r="BW463" s="680"/>
      <c r="BX463" s="680"/>
      <c r="BY463" s="680"/>
      <c r="BZ463" s="680"/>
      <c r="CA463" s="680"/>
      <c r="CB463" s="680"/>
      <c r="CC463" s="680"/>
      <c r="CD463" s="680"/>
      <c r="CE463" s="680"/>
      <c r="CF463" s="680"/>
      <c r="CG463" s="680"/>
      <c r="CH463" s="680"/>
      <c r="CI463" s="680"/>
      <c r="CJ463" s="680"/>
      <c r="CK463" s="680"/>
      <c r="CL463" s="680"/>
      <c r="CM463" s="680"/>
      <c r="CN463" s="680"/>
      <c r="CO463" s="680"/>
      <c r="CP463" s="680"/>
      <c r="CQ463" s="680"/>
      <c r="CR463" s="680"/>
      <c r="CS463" s="680"/>
      <c r="CT463" s="680"/>
      <c r="CU463" s="680"/>
      <c r="CV463" s="680"/>
      <c r="CW463" s="680"/>
      <c r="CX463" s="680"/>
      <c r="CY463" s="680"/>
      <c r="CZ463" s="680"/>
      <c r="DA463" s="680"/>
      <c r="DB463" s="680"/>
      <c r="DC463" s="680"/>
      <c r="DD463" s="680"/>
      <c r="DE463" s="680"/>
      <c r="DF463" s="680"/>
      <c r="DG463" s="680"/>
      <c r="DH463" s="680"/>
      <c r="DI463" s="680"/>
      <c r="DJ463" s="680"/>
      <c r="DK463" s="680"/>
      <c r="DL463" s="680"/>
      <c r="DM463" s="680"/>
      <c r="DN463" s="680"/>
      <c r="DO463" s="680"/>
      <c r="DP463" s="680"/>
      <c r="DQ463" s="680"/>
      <c r="DR463" s="680"/>
      <c r="DS463" s="680"/>
      <c r="DT463" s="680"/>
      <c r="DU463" s="680"/>
      <c r="DV463" s="680"/>
      <c r="DW463" s="680"/>
      <c r="DX463" s="680"/>
      <c r="DY463" s="680"/>
      <c r="DZ463" s="680"/>
      <c r="EA463" s="680"/>
      <c r="EB463" s="680"/>
      <c r="EC463" s="680"/>
      <c r="ED463" s="680"/>
      <c r="EE463" s="680"/>
      <c r="EF463" s="680"/>
      <c r="EG463" s="680"/>
      <c r="EH463" s="680"/>
      <c r="EI463" s="680"/>
      <c r="EJ463" s="680"/>
      <c r="EK463" s="680"/>
      <c r="EL463" s="680"/>
    </row>
    <row r="464" spans="1:142">
      <c r="A464" s="680"/>
      <c r="B464" s="680"/>
      <c r="C464" s="680"/>
      <c r="D464" s="680"/>
      <c r="E464" s="680"/>
      <c r="F464" s="680"/>
      <c r="G464" s="680"/>
      <c r="H464" s="680"/>
      <c r="I464" s="680"/>
      <c r="J464" s="680"/>
      <c r="K464" s="680"/>
      <c r="L464" s="680"/>
      <c r="M464" s="680"/>
      <c r="N464" s="680"/>
      <c r="O464" s="680"/>
      <c r="P464" s="680"/>
      <c r="Q464" s="680"/>
      <c r="R464" s="680"/>
      <c r="S464" s="680"/>
      <c r="T464" s="680"/>
      <c r="U464" s="680"/>
      <c r="V464" s="680"/>
      <c r="W464" s="680"/>
      <c r="X464" s="680"/>
      <c r="Y464" s="680"/>
      <c r="Z464" s="680"/>
      <c r="AA464" s="680"/>
      <c r="AB464" s="680"/>
      <c r="AC464" s="680"/>
      <c r="AD464" s="680"/>
      <c r="AE464" s="680"/>
      <c r="AF464" s="680"/>
      <c r="AG464" s="680"/>
      <c r="AH464" s="680"/>
      <c r="AI464" s="680"/>
      <c r="AJ464" s="680"/>
      <c r="AK464" s="680"/>
      <c r="AL464" s="680"/>
      <c r="AM464" s="680"/>
      <c r="AN464" s="680"/>
      <c r="AO464" s="680"/>
      <c r="AP464" s="680"/>
      <c r="AQ464" s="680"/>
      <c r="AR464" s="680"/>
      <c r="AS464" s="680"/>
      <c r="AT464" s="680"/>
      <c r="AU464" s="680"/>
      <c r="AV464" s="680"/>
      <c r="AW464" s="680"/>
      <c r="AX464" s="680"/>
      <c r="AY464" s="680"/>
      <c r="AZ464" s="680"/>
      <c r="BA464" s="680"/>
      <c r="BB464" s="680"/>
      <c r="BC464" s="680"/>
      <c r="BD464" s="680"/>
      <c r="BE464" s="680"/>
      <c r="BF464" s="680"/>
      <c r="BG464" s="680"/>
      <c r="BH464" s="680"/>
      <c r="BI464" s="680"/>
      <c r="BJ464" s="680"/>
      <c r="BK464" s="680"/>
      <c r="BL464" s="680"/>
      <c r="BM464" s="680"/>
      <c r="BN464" s="680"/>
      <c r="BO464" s="680"/>
      <c r="BP464" s="680"/>
      <c r="BQ464" s="680"/>
      <c r="BR464" s="680"/>
      <c r="BS464" s="680"/>
      <c r="BT464" s="680"/>
      <c r="BU464" s="680"/>
      <c r="BV464" s="680"/>
      <c r="BW464" s="680"/>
      <c r="BX464" s="680"/>
      <c r="BY464" s="680"/>
      <c r="BZ464" s="680"/>
      <c r="CA464" s="680"/>
      <c r="CB464" s="680"/>
      <c r="CC464" s="680"/>
      <c r="CD464" s="680"/>
      <c r="CE464" s="680"/>
      <c r="CF464" s="680"/>
      <c r="CG464" s="680"/>
      <c r="CH464" s="680"/>
      <c r="CI464" s="680"/>
      <c r="CJ464" s="680"/>
      <c r="CK464" s="680"/>
      <c r="CL464" s="680"/>
      <c r="CM464" s="680"/>
      <c r="CN464" s="680"/>
      <c r="CO464" s="680"/>
      <c r="CP464" s="680"/>
      <c r="CQ464" s="680"/>
      <c r="CR464" s="680"/>
      <c r="CS464" s="680"/>
      <c r="CT464" s="680"/>
      <c r="CU464" s="680"/>
      <c r="CV464" s="680"/>
      <c r="CW464" s="680"/>
      <c r="CX464" s="680"/>
      <c r="CY464" s="680"/>
      <c r="CZ464" s="680"/>
      <c r="DA464" s="680"/>
      <c r="DB464" s="680"/>
      <c r="DC464" s="680"/>
      <c r="DD464" s="680"/>
      <c r="DE464" s="680"/>
      <c r="DF464" s="680"/>
      <c r="DG464" s="680"/>
      <c r="DH464" s="680"/>
      <c r="DI464" s="680"/>
      <c r="DJ464" s="680"/>
      <c r="DK464" s="680"/>
      <c r="DL464" s="680"/>
      <c r="DM464" s="680"/>
      <c r="DN464" s="680"/>
      <c r="DO464" s="680"/>
      <c r="DP464" s="680"/>
      <c r="DQ464" s="680"/>
      <c r="DR464" s="680"/>
      <c r="DS464" s="680"/>
      <c r="DT464" s="680"/>
      <c r="DU464" s="680"/>
      <c r="DV464" s="680"/>
      <c r="DW464" s="680"/>
      <c r="DX464" s="680"/>
      <c r="DY464" s="680"/>
      <c r="DZ464" s="680"/>
      <c r="EA464" s="680"/>
      <c r="EB464" s="680"/>
      <c r="EC464" s="680"/>
      <c r="ED464" s="680"/>
      <c r="EE464" s="680"/>
      <c r="EF464" s="680"/>
      <c r="EG464" s="680"/>
      <c r="EH464" s="680"/>
      <c r="EI464" s="680"/>
      <c r="EJ464" s="680"/>
      <c r="EK464" s="680"/>
      <c r="EL464" s="680"/>
    </row>
    <row r="465" spans="1:142">
      <c r="A465" s="680"/>
      <c r="B465" s="680"/>
      <c r="C465" s="680"/>
      <c r="D465" s="680"/>
      <c r="E465" s="680"/>
      <c r="F465" s="680"/>
      <c r="G465" s="680"/>
      <c r="H465" s="680"/>
      <c r="I465" s="680"/>
      <c r="J465" s="680"/>
      <c r="K465" s="680"/>
      <c r="L465" s="680"/>
      <c r="M465" s="680"/>
      <c r="N465" s="680"/>
      <c r="O465" s="680"/>
      <c r="P465" s="680"/>
      <c r="Q465" s="680"/>
      <c r="R465" s="680"/>
      <c r="S465" s="680"/>
      <c r="T465" s="680"/>
      <c r="U465" s="680"/>
      <c r="V465" s="680"/>
      <c r="W465" s="680"/>
      <c r="X465" s="680"/>
      <c r="Y465" s="680"/>
      <c r="Z465" s="680"/>
      <c r="AA465" s="680"/>
      <c r="AB465" s="680"/>
      <c r="AC465" s="680"/>
      <c r="AD465" s="680"/>
      <c r="AE465" s="680"/>
      <c r="AF465" s="680"/>
      <c r="AG465" s="680"/>
      <c r="AH465" s="680"/>
      <c r="AI465" s="680"/>
      <c r="AJ465" s="680"/>
      <c r="AK465" s="680"/>
      <c r="AL465" s="680"/>
      <c r="AM465" s="680"/>
      <c r="AN465" s="680"/>
      <c r="AO465" s="680"/>
      <c r="AP465" s="680"/>
      <c r="AQ465" s="680"/>
      <c r="AR465" s="680"/>
      <c r="AS465" s="680"/>
      <c r="AT465" s="680"/>
      <c r="AU465" s="680"/>
      <c r="AV465" s="680"/>
      <c r="AW465" s="680"/>
      <c r="AX465" s="680"/>
      <c r="AY465" s="680"/>
      <c r="AZ465" s="680"/>
      <c r="BA465" s="680"/>
      <c r="BB465" s="680"/>
      <c r="BC465" s="680"/>
      <c r="BD465" s="680"/>
      <c r="BE465" s="680"/>
      <c r="BF465" s="680"/>
      <c r="BG465" s="680"/>
      <c r="BH465" s="680"/>
      <c r="BI465" s="680"/>
      <c r="BJ465" s="680"/>
      <c r="BK465" s="680"/>
      <c r="BL465" s="680"/>
      <c r="BM465" s="680"/>
      <c r="BN465" s="680"/>
      <c r="BO465" s="680"/>
      <c r="BP465" s="680"/>
      <c r="BQ465" s="680"/>
      <c r="BR465" s="680"/>
      <c r="BS465" s="680"/>
      <c r="BT465" s="680"/>
      <c r="BU465" s="680"/>
      <c r="BV465" s="680"/>
      <c r="BW465" s="680"/>
      <c r="BX465" s="680"/>
      <c r="BY465" s="680"/>
      <c r="BZ465" s="680"/>
      <c r="CA465" s="680"/>
      <c r="CB465" s="680"/>
      <c r="CC465" s="680"/>
      <c r="CD465" s="680"/>
      <c r="CE465" s="680"/>
      <c r="CF465" s="680"/>
      <c r="CG465" s="680"/>
      <c r="CH465" s="680"/>
      <c r="CI465" s="680"/>
      <c r="CJ465" s="680"/>
      <c r="CK465" s="680"/>
      <c r="CL465" s="680"/>
      <c r="CM465" s="680"/>
      <c r="CN465" s="680"/>
      <c r="CO465" s="680"/>
      <c r="CP465" s="680"/>
      <c r="CQ465" s="680"/>
      <c r="CR465" s="680"/>
      <c r="CS465" s="680"/>
      <c r="CT465" s="680"/>
      <c r="CU465" s="680"/>
      <c r="CV465" s="680"/>
      <c r="CW465" s="680"/>
      <c r="CX465" s="680"/>
      <c r="CY465" s="680"/>
      <c r="CZ465" s="680"/>
      <c r="DA465" s="680"/>
      <c r="DB465" s="680"/>
      <c r="DC465" s="680"/>
      <c r="DD465" s="680"/>
      <c r="DE465" s="680"/>
      <c r="DF465" s="680"/>
      <c r="DG465" s="680"/>
      <c r="DH465" s="680"/>
      <c r="DI465" s="680"/>
      <c r="DJ465" s="680"/>
      <c r="DK465" s="680"/>
      <c r="DL465" s="680"/>
      <c r="DM465" s="680"/>
      <c r="DN465" s="680"/>
      <c r="DO465" s="680"/>
      <c r="DP465" s="680"/>
      <c r="DQ465" s="680"/>
      <c r="DR465" s="680"/>
      <c r="DS465" s="680"/>
      <c r="DT465" s="680"/>
      <c r="DU465" s="680"/>
      <c r="DV465" s="680"/>
      <c r="DW465" s="680"/>
      <c r="DX465" s="680"/>
      <c r="DY465" s="680"/>
      <c r="DZ465" s="680"/>
      <c r="EA465" s="680"/>
      <c r="EB465" s="680"/>
      <c r="EC465" s="680"/>
      <c r="ED465" s="680"/>
      <c r="EE465" s="680"/>
      <c r="EF465" s="680"/>
      <c r="EG465" s="680"/>
      <c r="EH465" s="680"/>
      <c r="EI465" s="680"/>
      <c r="EJ465" s="680"/>
      <c r="EK465" s="680"/>
      <c r="EL465" s="680"/>
    </row>
    <row r="466" spans="1:142">
      <c r="A466" s="680"/>
      <c r="B466" s="680"/>
      <c r="C466" s="680"/>
      <c r="D466" s="680"/>
      <c r="E466" s="680"/>
      <c r="F466" s="680"/>
      <c r="G466" s="680"/>
      <c r="H466" s="680"/>
      <c r="I466" s="680"/>
      <c r="J466" s="680"/>
      <c r="K466" s="680"/>
      <c r="L466" s="680"/>
      <c r="M466" s="680"/>
      <c r="N466" s="680"/>
      <c r="O466" s="680"/>
      <c r="P466" s="680"/>
      <c r="Q466" s="680"/>
      <c r="R466" s="680"/>
      <c r="S466" s="680"/>
      <c r="T466" s="680"/>
      <c r="U466" s="680"/>
      <c r="V466" s="680"/>
      <c r="W466" s="680"/>
      <c r="X466" s="680"/>
      <c r="Y466" s="680"/>
      <c r="Z466" s="680"/>
      <c r="AA466" s="680"/>
      <c r="AB466" s="680"/>
      <c r="AC466" s="680"/>
      <c r="AD466" s="680"/>
      <c r="AE466" s="680"/>
      <c r="AF466" s="680"/>
      <c r="AG466" s="680"/>
      <c r="AH466" s="680"/>
      <c r="AI466" s="680"/>
      <c r="AJ466" s="680"/>
      <c r="AK466" s="680"/>
      <c r="AL466" s="680"/>
      <c r="AM466" s="680"/>
      <c r="AN466" s="680"/>
      <c r="AO466" s="680"/>
      <c r="AP466" s="680"/>
      <c r="AQ466" s="680"/>
      <c r="AR466" s="680"/>
      <c r="AS466" s="680"/>
      <c r="AT466" s="680"/>
      <c r="AU466" s="680"/>
      <c r="AV466" s="680"/>
      <c r="AW466" s="680"/>
      <c r="AX466" s="680"/>
      <c r="AY466" s="680"/>
      <c r="AZ466" s="680"/>
      <c r="BA466" s="680"/>
      <c r="BB466" s="680"/>
      <c r="BC466" s="680"/>
      <c r="BD466" s="680"/>
      <c r="BE466" s="680"/>
      <c r="BF466" s="680"/>
      <c r="BG466" s="680"/>
      <c r="BH466" s="680"/>
      <c r="BI466" s="680"/>
      <c r="BJ466" s="680"/>
      <c r="BK466" s="680"/>
      <c r="BL466" s="680"/>
      <c r="BM466" s="680"/>
      <c r="BN466" s="680"/>
      <c r="BO466" s="680"/>
      <c r="BP466" s="680"/>
      <c r="BQ466" s="680"/>
      <c r="BR466" s="680"/>
      <c r="BS466" s="680"/>
      <c r="BT466" s="680"/>
      <c r="BU466" s="680"/>
      <c r="BV466" s="680"/>
      <c r="BW466" s="680"/>
      <c r="BX466" s="680"/>
      <c r="BY466" s="680"/>
      <c r="BZ466" s="680"/>
      <c r="CA466" s="680"/>
      <c r="CB466" s="680"/>
      <c r="CC466" s="680"/>
      <c r="CD466" s="680"/>
      <c r="CE466" s="680"/>
      <c r="CF466" s="680"/>
      <c r="CG466" s="680"/>
      <c r="CH466" s="680"/>
      <c r="CI466" s="680"/>
      <c r="CJ466" s="680"/>
      <c r="CK466" s="680"/>
      <c r="CL466" s="680"/>
      <c r="CM466" s="680"/>
      <c r="CN466" s="680"/>
      <c r="CO466" s="680"/>
      <c r="CP466" s="680"/>
      <c r="CQ466" s="680"/>
      <c r="CR466" s="680"/>
      <c r="CS466" s="680"/>
      <c r="CT466" s="680"/>
      <c r="CU466" s="680"/>
      <c r="CV466" s="680"/>
      <c r="CW466" s="680"/>
      <c r="CX466" s="680"/>
      <c r="CY466" s="680"/>
      <c r="CZ466" s="680"/>
      <c r="DA466" s="680"/>
      <c r="DB466" s="680"/>
      <c r="DC466" s="680"/>
      <c r="DD466" s="680"/>
      <c r="DE466" s="680"/>
      <c r="DF466" s="680"/>
      <c r="DG466" s="680"/>
      <c r="DH466" s="680"/>
      <c r="DI466" s="680"/>
      <c r="DJ466" s="680"/>
      <c r="DK466" s="680"/>
      <c r="DL466" s="680"/>
      <c r="DM466" s="680"/>
      <c r="DN466" s="680"/>
      <c r="DO466" s="680"/>
      <c r="DP466" s="680"/>
      <c r="DQ466" s="680"/>
      <c r="DR466" s="680"/>
      <c r="DS466" s="680"/>
      <c r="DT466" s="680"/>
      <c r="DU466" s="680"/>
      <c r="DV466" s="680"/>
      <c r="DW466" s="680"/>
      <c r="DX466" s="680"/>
      <c r="DY466" s="680"/>
      <c r="DZ466" s="680"/>
      <c r="EA466" s="680"/>
      <c r="EB466" s="680"/>
      <c r="EC466" s="680"/>
      <c r="ED466" s="680"/>
      <c r="EE466" s="680"/>
      <c r="EF466" s="680"/>
      <c r="EG466" s="680"/>
      <c r="EH466" s="680"/>
      <c r="EI466" s="680"/>
      <c r="EJ466" s="680"/>
      <c r="EK466" s="680"/>
      <c r="EL466" s="680"/>
    </row>
    <row r="467" spans="1:142">
      <c r="A467" s="680"/>
      <c r="B467" s="680"/>
      <c r="C467" s="680"/>
      <c r="D467" s="680"/>
      <c r="E467" s="680"/>
      <c r="F467" s="680"/>
      <c r="G467" s="680"/>
      <c r="H467" s="680"/>
      <c r="I467" s="680"/>
      <c r="J467" s="680"/>
      <c r="K467" s="680"/>
      <c r="L467" s="680"/>
      <c r="M467" s="680"/>
      <c r="N467" s="680"/>
      <c r="O467" s="680"/>
      <c r="P467" s="680"/>
      <c r="Q467" s="680"/>
      <c r="R467" s="680"/>
      <c r="S467" s="680"/>
      <c r="T467" s="680"/>
      <c r="U467" s="680"/>
      <c r="V467" s="680"/>
      <c r="W467" s="680"/>
      <c r="X467" s="680"/>
      <c r="Y467" s="680"/>
      <c r="Z467" s="680"/>
      <c r="AA467" s="680"/>
      <c r="AB467" s="680"/>
      <c r="AC467" s="680"/>
      <c r="AD467" s="680"/>
      <c r="AE467" s="680"/>
      <c r="AF467" s="680"/>
      <c r="AG467" s="680"/>
      <c r="AH467" s="680"/>
      <c r="AI467" s="680"/>
      <c r="AJ467" s="680"/>
      <c r="AK467" s="680"/>
      <c r="AL467" s="680"/>
      <c r="AM467" s="680"/>
      <c r="AN467" s="680"/>
      <c r="AO467" s="680"/>
      <c r="AP467" s="680"/>
      <c r="AQ467" s="680"/>
      <c r="AR467" s="680"/>
      <c r="AS467" s="680"/>
      <c r="AT467" s="680"/>
      <c r="AU467" s="680"/>
      <c r="AV467" s="680"/>
      <c r="AW467" s="680"/>
      <c r="AX467" s="680"/>
      <c r="AY467" s="680"/>
      <c r="AZ467" s="680"/>
      <c r="BA467" s="680"/>
      <c r="BB467" s="680"/>
      <c r="BC467" s="680"/>
      <c r="BD467" s="680"/>
      <c r="BE467" s="680"/>
      <c r="BF467" s="680"/>
      <c r="BG467" s="680"/>
      <c r="BH467" s="680"/>
      <c r="BI467" s="680"/>
      <c r="BJ467" s="680"/>
      <c r="BK467" s="680"/>
      <c r="BL467" s="680"/>
      <c r="BM467" s="680"/>
      <c r="BN467" s="680"/>
      <c r="BO467" s="680"/>
      <c r="BP467" s="680"/>
      <c r="BQ467" s="680"/>
      <c r="BR467" s="680"/>
      <c r="BS467" s="680"/>
      <c r="BT467" s="680"/>
      <c r="BU467" s="680"/>
      <c r="BV467" s="680"/>
      <c r="BW467" s="680"/>
      <c r="BX467" s="680"/>
      <c r="BY467" s="680"/>
      <c r="BZ467" s="680"/>
      <c r="CA467" s="680"/>
      <c r="CB467" s="680"/>
      <c r="CC467" s="680"/>
      <c r="CD467" s="680"/>
      <c r="CE467" s="680"/>
      <c r="CF467" s="680"/>
      <c r="CG467" s="680"/>
      <c r="CH467" s="680"/>
      <c r="CI467" s="680"/>
      <c r="CJ467" s="680"/>
      <c r="CK467" s="680"/>
      <c r="CL467" s="680"/>
      <c r="CM467" s="680"/>
      <c r="CN467" s="680"/>
      <c r="CO467" s="680"/>
      <c r="CP467" s="680"/>
      <c r="CQ467" s="680"/>
      <c r="CR467" s="680"/>
      <c r="CS467" s="680"/>
      <c r="CT467" s="680"/>
      <c r="CU467" s="680"/>
      <c r="CV467" s="680"/>
      <c r="CW467" s="680"/>
      <c r="CX467" s="680"/>
      <c r="CY467" s="680"/>
      <c r="CZ467" s="680"/>
      <c r="DA467" s="680"/>
      <c r="DB467" s="680"/>
      <c r="DC467" s="680"/>
      <c r="DD467" s="680"/>
      <c r="DE467" s="680"/>
      <c r="DF467" s="680"/>
      <c r="DG467" s="680"/>
      <c r="DH467" s="680"/>
      <c r="DI467" s="680"/>
      <c r="DJ467" s="680"/>
      <c r="DK467" s="680"/>
      <c r="DL467" s="680"/>
      <c r="DM467" s="680"/>
      <c r="DN467" s="680"/>
      <c r="DO467" s="680"/>
      <c r="DP467" s="680"/>
      <c r="DQ467" s="680"/>
      <c r="DR467" s="680"/>
      <c r="DS467" s="680"/>
      <c r="DT467" s="680"/>
      <c r="DU467" s="680"/>
      <c r="DV467" s="680"/>
      <c r="DW467" s="680"/>
      <c r="DX467" s="680"/>
      <c r="DY467" s="680"/>
      <c r="DZ467" s="680"/>
      <c r="EA467" s="680"/>
      <c r="EB467" s="680"/>
      <c r="EC467" s="680"/>
      <c r="ED467" s="680"/>
      <c r="EE467" s="680"/>
      <c r="EF467" s="680"/>
      <c r="EG467" s="680"/>
      <c r="EH467" s="680"/>
      <c r="EI467" s="680"/>
      <c r="EJ467" s="680"/>
      <c r="EK467" s="680"/>
      <c r="EL467" s="680"/>
    </row>
    <row r="468" spans="1:142">
      <c r="A468" s="680"/>
      <c r="B468" s="680"/>
      <c r="C468" s="680"/>
      <c r="D468" s="680"/>
      <c r="E468" s="680"/>
      <c r="F468" s="680"/>
      <c r="G468" s="680"/>
      <c r="H468" s="680"/>
      <c r="I468" s="680"/>
      <c r="J468" s="680"/>
      <c r="K468" s="680"/>
      <c r="L468" s="680"/>
      <c r="M468" s="680"/>
      <c r="N468" s="680"/>
      <c r="O468" s="680"/>
      <c r="P468" s="680"/>
      <c r="Q468" s="680"/>
      <c r="R468" s="680"/>
      <c r="S468" s="680"/>
      <c r="T468" s="680"/>
      <c r="U468" s="680"/>
      <c r="V468" s="680"/>
      <c r="W468" s="680"/>
      <c r="X468" s="680"/>
      <c r="Y468" s="680"/>
      <c r="Z468" s="680"/>
      <c r="AA468" s="680"/>
      <c r="AB468" s="680"/>
      <c r="AC468" s="680"/>
      <c r="AD468" s="680"/>
      <c r="AE468" s="680"/>
      <c r="AF468" s="680"/>
      <c r="AG468" s="680"/>
      <c r="AH468" s="680"/>
      <c r="AI468" s="680"/>
      <c r="AJ468" s="680"/>
      <c r="AK468" s="680"/>
      <c r="AL468" s="680"/>
      <c r="AM468" s="680"/>
      <c r="AN468" s="680"/>
      <c r="AO468" s="680"/>
      <c r="AP468" s="680"/>
      <c r="AQ468" s="680"/>
      <c r="AR468" s="680"/>
      <c r="AS468" s="680"/>
      <c r="AT468" s="680"/>
      <c r="AU468" s="680"/>
      <c r="AV468" s="680"/>
      <c r="AW468" s="680"/>
      <c r="AX468" s="680"/>
      <c r="AY468" s="680"/>
      <c r="AZ468" s="680"/>
      <c r="BA468" s="680"/>
      <c r="BB468" s="680"/>
      <c r="BC468" s="680"/>
      <c r="BD468" s="680"/>
      <c r="BE468" s="680"/>
      <c r="BF468" s="680"/>
      <c r="BG468" s="680"/>
      <c r="BH468" s="680"/>
      <c r="BI468" s="680"/>
      <c r="BJ468" s="680"/>
      <c r="BK468" s="680"/>
      <c r="BL468" s="680"/>
      <c r="BM468" s="680"/>
      <c r="BN468" s="680"/>
      <c r="BO468" s="680"/>
      <c r="BP468" s="680"/>
      <c r="BQ468" s="680"/>
      <c r="BR468" s="680"/>
      <c r="BS468" s="680"/>
      <c r="BT468" s="680"/>
      <c r="BU468" s="680"/>
      <c r="BV468" s="680"/>
      <c r="BW468" s="680"/>
      <c r="BX468" s="680"/>
      <c r="BY468" s="680"/>
      <c r="BZ468" s="680"/>
      <c r="CA468" s="680"/>
      <c r="CB468" s="680"/>
      <c r="CC468" s="680"/>
      <c r="CD468" s="680"/>
      <c r="CE468" s="680"/>
      <c r="CF468" s="680"/>
      <c r="CG468" s="680"/>
      <c r="CH468" s="680"/>
      <c r="CI468" s="680"/>
      <c r="CJ468" s="680"/>
      <c r="CK468" s="680"/>
      <c r="CL468" s="680"/>
      <c r="CM468" s="680"/>
      <c r="CN468" s="680"/>
      <c r="CO468" s="680"/>
      <c r="CP468" s="680"/>
      <c r="CQ468" s="680"/>
      <c r="CR468" s="680"/>
      <c r="CS468" s="680"/>
      <c r="CT468" s="680"/>
      <c r="CU468" s="680"/>
      <c r="CV468" s="680"/>
      <c r="CW468" s="680"/>
      <c r="CX468" s="680"/>
      <c r="CY468" s="680"/>
      <c r="CZ468" s="680"/>
      <c r="DA468" s="680"/>
      <c r="DB468" s="680"/>
      <c r="DC468" s="680"/>
      <c r="DD468" s="680"/>
      <c r="DE468" s="680"/>
      <c r="DF468" s="680"/>
      <c r="DG468" s="680"/>
      <c r="DH468" s="680"/>
      <c r="DI468" s="680"/>
      <c r="DJ468" s="680"/>
      <c r="DK468" s="680"/>
      <c r="DL468" s="680"/>
      <c r="DM468" s="680"/>
      <c r="DN468" s="680"/>
      <c r="DO468" s="680"/>
      <c r="DP468" s="680"/>
      <c r="DQ468" s="680"/>
      <c r="DR468" s="680"/>
      <c r="DS468" s="680"/>
      <c r="DT468" s="680"/>
      <c r="DU468" s="680"/>
      <c r="DV468" s="680"/>
      <c r="DW468" s="680"/>
      <c r="DX468" s="680"/>
      <c r="DY468" s="680"/>
      <c r="DZ468" s="680"/>
      <c r="EA468" s="680"/>
      <c r="EB468" s="680"/>
      <c r="EC468" s="680"/>
      <c r="ED468" s="680"/>
      <c r="EE468" s="680"/>
      <c r="EF468" s="680"/>
      <c r="EG468" s="680"/>
      <c r="EH468" s="680"/>
      <c r="EI468" s="680"/>
      <c r="EJ468" s="680"/>
      <c r="EK468" s="680"/>
      <c r="EL468" s="680"/>
    </row>
    <row r="469" spans="1:142">
      <c r="A469" s="680"/>
      <c r="B469" s="680"/>
      <c r="C469" s="680"/>
      <c r="D469" s="680"/>
      <c r="E469" s="680"/>
      <c r="F469" s="680"/>
      <c r="G469" s="680"/>
      <c r="H469" s="680"/>
      <c r="I469" s="680"/>
      <c r="J469" s="680"/>
      <c r="K469" s="680"/>
      <c r="L469" s="680"/>
      <c r="M469" s="680"/>
      <c r="N469" s="680"/>
      <c r="O469" s="680"/>
      <c r="P469" s="680"/>
      <c r="Q469" s="680"/>
      <c r="R469" s="680"/>
      <c r="S469" s="680"/>
      <c r="T469" s="680"/>
      <c r="U469" s="680"/>
      <c r="V469" s="680"/>
      <c r="W469" s="680"/>
      <c r="X469" s="680"/>
      <c r="Y469" s="680"/>
      <c r="Z469" s="680"/>
      <c r="AA469" s="680"/>
      <c r="AB469" s="680"/>
      <c r="AC469" s="680"/>
      <c r="AD469" s="680"/>
      <c r="AE469" s="680"/>
      <c r="AF469" s="680"/>
      <c r="AG469" s="680"/>
      <c r="AH469" s="680"/>
      <c r="AI469" s="680"/>
      <c r="AJ469" s="680"/>
      <c r="AK469" s="680"/>
      <c r="AL469" s="680"/>
      <c r="AM469" s="680"/>
      <c r="AN469" s="680"/>
      <c r="AO469" s="680"/>
      <c r="AP469" s="680"/>
      <c r="AQ469" s="680"/>
      <c r="AR469" s="680"/>
      <c r="AS469" s="680"/>
      <c r="AT469" s="680"/>
      <c r="AU469" s="680"/>
      <c r="AV469" s="680"/>
      <c r="AW469" s="680"/>
      <c r="AX469" s="680"/>
      <c r="AY469" s="680"/>
      <c r="AZ469" s="680"/>
      <c r="BA469" s="680"/>
      <c r="BB469" s="680"/>
      <c r="BC469" s="680"/>
      <c r="BD469" s="680"/>
      <c r="BE469" s="680"/>
      <c r="BF469" s="680"/>
      <c r="BG469" s="680"/>
      <c r="BH469" s="680"/>
      <c r="BI469" s="680"/>
      <c r="BJ469" s="680"/>
      <c r="BK469" s="680"/>
      <c r="BL469" s="680"/>
      <c r="BM469" s="680"/>
      <c r="BN469" s="680"/>
      <c r="BO469" s="680"/>
      <c r="BP469" s="680"/>
      <c r="BQ469" s="680"/>
      <c r="BR469" s="680"/>
      <c r="BS469" s="680"/>
      <c r="BT469" s="680"/>
      <c r="BU469" s="680"/>
      <c r="BV469" s="680"/>
      <c r="BW469" s="680"/>
      <c r="BX469" s="680"/>
      <c r="BY469" s="680"/>
      <c r="BZ469" s="680"/>
      <c r="CA469" s="680"/>
      <c r="CB469" s="680"/>
      <c r="CC469" s="680"/>
      <c r="CD469" s="680"/>
      <c r="CE469" s="680"/>
      <c r="CF469" s="680"/>
      <c r="CG469" s="680"/>
      <c r="CH469" s="680"/>
      <c r="CI469" s="680"/>
      <c r="CJ469" s="680"/>
      <c r="CK469" s="680"/>
      <c r="CL469" s="680"/>
      <c r="CM469" s="680"/>
      <c r="CN469" s="680"/>
      <c r="CO469" s="680"/>
      <c r="CP469" s="680"/>
      <c r="CQ469" s="680"/>
      <c r="CR469" s="680"/>
      <c r="CS469" s="680"/>
      <c r="CT469" s="680"/>
      <c r="CU469" s="680"/>
      <c r="CV469" s="680"/>
      <c r="CW469" s="680"/>
      <c r="CX469" s="680"/>
      <c r="CY469" s="680"/>
      <c r="CZ469" s="680"/>
      <c r="DA469" s="680"/>
      <c r="DB469" s="680"/>
      <c r="DC469" s="680"/>
      <c r="DD469" s="680"/>
      <c r="DE469" s="680"/>
      <c r="DF469" s="680"/>
      <c r="DG469" s="680"/>
      <c r="DH469" s="680"/>
      <c r="DI469" s="680"/>
      <c r="DJ469" s="680"/>
      <c r="DK469" s="680"/>
      <c r="DL469" s="680"/>
      <c r="DM469" s="680"/>
      <c r="DN469" s="680"/>
      <c r="DO469" s="680"/>
      <c r="DP469" s="680"/>
      <c r="DQ469" s="680"/>
      <c r="DR469" s="680"/>
      <c r="DS469" s="680"/>
      <c r="DT469" s="680"/>
      <c r="DU469" s="680"/>
      <c r="DV469" s="680"/>
      <c r="DW469" s="680"/>
      <c r="DX469" s="680"/>
      <c r="DY469" s="680"/>
      <c r="DZ469" s="680"/>
      <c r="EA469" s="680"/>
      <c r="EB469" s="680"/>
      <c r="EC469" s="680"/>
      <c r="ED469" s="680"/>
      <c r="EE469" s="680"/>
      <c r="EF469" s="680"/>
      <c r="EG469" s="680"/>
      <c r="EH469" s="680"/>
      <c r="EI469" s="680"/>
      <c r="EJ469" s="680"/>
      <c r="EK469" s="680"/>
      <c r="EL469" s="680"/>
    </row>
    <row r="470" spans="1:142">
      <c r="A470" s="680"/>
      <c r="B470" s="680"/>
      <c r="C470" s="680"/>
      <c r="D470" s="680"/>
      <c r="E470" s="680"/>
      <c r="F470" s="680"/>
      <c r="G470" s="680"/>
      <c r="H470" s="680"/>
      <c r="I470" s="680"/>
      <c r="J470" s="680"/>
      <c r="K470" s="680"/>
      <c r="L470" s="680"/>
      <c r="M470" s="680"/>
      <c r="N470" s="680"/>
      <c r="O470" s="680"/>
      <c r="P470" s="680"/>
      <c r="Q470" s="680"/>
      <c r="R470" s="680"/>
      <c r="S470" s="680"/>
      <c r="T470" s="680"/>
      <c r="U470" s="680"/>
      <c r="V470" s="680"/>
      <c r="W470" s="680"/>
      <c r="X470" s="680"/>
      <c r="Y470" s="680"/>
      <c r="Z470" s="680"/>
      <c r="AA470" s="680"/>
      <c r="AB470" s="680"/>
      <c r="AC470" s="680"/>
      <c r="AD470" s="680"/>
      <c r="AE470" s="680"/>
      <c r="AF470" s="680"/>
      <c r="AG470" s="680"/>
      <c r="AH470" s="680"/>
      <c r="AI470" s="680"/>
      <c r="AJ470" s="680"/>
      <c r="AK470" s="680"/>
      <c r="AL470" s="680"/>
      <c r="AM470" s="680"/>
      <c r="AN470" s="680"/>
      <c r="AO470" s="680"/>
      <c r="AP470" s="680"/>
      <c r="AQ470" s="680"/>
      <c r="AR470" s="680"/>
      <c r="AS470" s="680"/>
      <c r="AT470" s="680"/>
      <c r="AU470" s="680"/>
      <c r="AV470" s="680"/>
      <c r="AW470" s="680"/>
      <c r="AX470" s="680"/>
      <c r="AY470" s="680"/>
      <c r="AZ470" s="680"/>
      <c r="BA470" s="680"/>
      <c r="BB470" s="680"/>
      <c r="BC470" s="680"/>
      <c r="BD470" s="680"/>
      <c r="BE470" s="680"/>
      <c r="BF470" s="680"/>
      <c r="BG470" s="680"/>
      <c r="BH470" s="680"/>
      <c r="BI470" s="680"/>
      <c r="BJ470" s="680"/>
      <c r="BK470" s="680"/>
      <c r="BL470" s="680"/>
      <c r="BM470" s="680"/>
      <c r="BN470" s="680"/>
      <c r="BO470" s="680"/>
      <c r="BP470" s="680"/>
      <c r="BQ470" s="680"/>
      <c r="BR470" s="680"/>
      <c r="BS470" s="680"/>
      <c r="BT470" s="680"/>
      <c r="BU470" s="680"/>
      <c r="BV470" s="680"/>
      <c r="BW470" s="680"/>
      <c r="BX470" s="680"/>
      <c r="BY470" s="680"/>
      <c r="BZ470" s="680"/>
      <c r="CA470" s="680"/>
      <c r="CB470" s="680"/>
      <c r="CC470" s="680"/>
      <c r="CD470" s="680"/>
      <c r="CE470" s="680"/>
      <c r="CF470" s="680"/>
      <c r="CG470" s="680"/>
      <c r="CH470" s="680"/>
      <c r="CI470" s="680"/>
      <c r="CJ470" s="680"/>
      <c r="CK470" s="680"/>
      <c r="CL470" s="680"/>
      <c r="CM470" s="680"/>
      <c r="CN470" s="680"/>
      <c r="CO470" s="680"/>
      <c r="CP470" s="680"/>
      <c r="CQ470" s="680"/>
      <c r="CR470" s="680"/>
      <c r="CS470" s="680"/>
      <c r="CT470" s="680"/>
      <c r="CU470" s="680"/>
      <c r="CV470" s="680"/>
      <c r="CW470" s="680"/>
      <c r="CX470" s="680"/>
      <c r="CY470" s="680"/>
      <c r="CZ470" s="680"/>
      <c r="DA470" s="680"/>
      <c r="DB470" s="680"/>
      <c r="DC470" s="680"/>
      <c r="DD470" s="680"/>
      <c r="DE470" s="680"/>
      <c r="DF470" s="680"/>
      <c r="DG470" s="680"/>
      <c r="DH470" s="680"/>
      <c r="DI470" s="680"/>
      <c r="DJ470" s="680"/>
      <c r="DK470" s="680"/>
      <c r="DL470" s="680"/>
      <c r="DM470" s="680"/>
      <c r="DN470" s="680"/>
      <c r="DO470" s="680"/>
      <c r="DP470" s="680"/>
      <c r="DQ470" s="680"/>
      <c r="DR470" s="680"/>
      <c r="DS470" s="680"/>
      <c r="DT470" s="680"/>
      <c r="DU470" s="680"/>
      <c r="DV470" s="680"/>
      <c r="DW470" s="680"/>
      <c r="DX470" s="680"/>
      <c r="DY470" s="680"/>
      <c r="DZ470" s="680"/>
      <c r="EA470" s="680"/>
      <c r="EB470" s="680"/>
      <c r="EC470" s="680"/>
      <c r="ED470" s="680"/>
      <c r="EE470" s="680"/>
      <c r="EF470" s="680"/>
      <c r="EG470" s="680"/>
      <c r="EH470" s="680"/>
      <c r="EI470" s="680"/>
      <c r="EJ470" s="680"/>
      <c r="EK470" s="680"/>
      <c r="EL470" s="680"/>
    </row>
    <row r="471" spans="1:142">
      <c r="A471" s="680"/>
      <c r="B471" s="680"/>
      <c r="C471" s="680"/>
      <c r="D471" s="680"/>
      <c r="E471" s="680"/>
      <c r="F471" s="680"/>
      <c r="G471" s="680"/>
      <c r="H471" s="680"/>
      <c r="I471" s="680"/>
      <c r="J471" s="680"/>
      <c r="K471" s="680"/>
      <c r="L471" s="680"/>
      <c r="M471" s="680"/>
      <c r="N471" s="680"/>
      <c r="O471" s="680"/>
      <c r="P471" s="680"/>
      <c r="Q471" s="680"/>
      <c r="R471" s="680"/>
      <c r="S471" s="680"/>
      <c r="T471" s="680"/>
      <c r="U471" s="680"/>
      <c r="V471" s="680"/>
      <c r="W471" s="680"/>
      <c r="X471" s="680"/>
      <c r="Y471" s="680"/>
      <c r="Z471" s="680"/>
      <c r="AA471" s="680"/>
      <c r="AB471" s="680"/>
      <c r="AC471" s="680"/>
      <c r="AD471" s="680"/>
      <c r="AE471" s="680"/>
      <c r="AF471" s="680"/>
      <c r="AG471" s="680"/>
      <c r="AH471" s="680"/>
      <c r="AI471" s="680"/>
      <c r="AJ471" s="680"/>
      <c r="AK471" s="680"/>
      <c r="AL471" s="680"/>
      <c r="AM471" s="680"/>
      <c r="AN471" s="680"/>
      <c r="AO471" s="680"/>
      <c r="AP471" s="680"/>
      <c r="AQ471" s="680"/>
      <c r="AR471" s="680"/>
      <c r="AS471" s="680"/>
      <c r="AT471" s="680"/>
      <c r="AU471" s="680"/>
      <c r="AV471" s="680"/>
      <c r="AW471" s="680"/>
      <c r="AX471" s="680"/>
      <c r="AY471" s="680"/>
      <c r="AZ471" s="680"/>
      <c r="BA471" s="680"/>
      <c r="BB471" s="680"/>
      <c r="BC471" s="680"/>
      <c r="BD471" s="680"/>
      <c r="BE471" s="680"/>
      <c r="BF471" s="680"/>
      <c r="BG471" s="680"/>
      <c r="BH471" s="680"/>
      <c r="BI471" s="680"/>
      <c r="BJ471" s="680"/>
      <c r="BK471" s="680"/>
      <c r="BL471" s="680"/>
      <c r="BM471" s="680"/>
      <c r="BN471" s="680"/>
      <c r="BO471" s="680"/>
      <c r="BP471" s="680"/>
      <c r="BQ471" s="680"/>
      <c r="BR471" s="680"/>
      <c r="BS471" s="680"/>
      <c r="BT471" s="680"/>
      <c r="BU471" s="680"/>
      <c r="BV471" s="680"/>
      <c r="BW471" s="680"/>
      <c r="BX471" s="680"/>
      <c r="BY471" s="680"/>
      <c r="BZ471" s="680"/>
      <c r="CA471" s="680"/>
      <c r="CB471" s="680"/>
      <c r="CC471" s="680"/>
      <c r="CD471" s="680"/>
      <c r="CE471" s="680"/>
      <c r="CF471" s="680"/>
      <c r="CG471" s="680"/>
      <c r="CH471" s="680"/>
      <c r="CI471" s="680"/>
      <c r="CJ471" s="680"/>
      <c r="CK471" s="680"/>
      <c r="CL471" s="680"/>
      <c r="CM471" s="680"/>
      <c r="CN471" s="680"/>
      <c r="CO471" s="680"/>
      <c r="CP471" s="680"/>
      <c r="CQ471" s="680"/>
      <c r="CR471" s="680"/>
      <c r="CS471" s="680"/>
      <c r="CT471" s="680"/>
      <c r="CU471" s="680"/>
      <c r="CV471" s="680"/>
      <c r="CW471" s="680"/>
      <c r="CX471" s="680"/>
      <c r="CY471" s="680"/>
      <c r="CZ471" s="680"/>
      <c r="DA471" s="680"/>
      <c r="DB471" s="680"/>
      <c r="DC471" s="680"/>
      <c r="DD471" s="680"/>
      <c r="DE471" s="680"/>
      <c r="DF471" s="680"/>
      <c r="DG471" s="680"/>
      <c r="DH471" s="680"/>
      <c r="DI471" s="680"/>
      <c r="DJ471" s="680"/>
      <c r="DK471" s="680"/>
      <c r="DL471" s="680"/>
      <c r="DM471" s="680"/>
      <c r="DN471" s="680"/>
      <c r="DO471" s="680"/>
      <c r="DP471" s="680"/>
      <c r="DQ471" s="680"/>
      <c r="DR471" s="680"/>
      <c r="DS471" s="680"/>
      <c r="DT471" s="680"/>
      <c r="DU471" s="680"/>
      <c r="DV471" s="680"/>
      <c r="DW471" s="680"/>
      <c r="DX471" s="680"/>
      <c r="DY471" s="680"/>
      <c r="DZ471" s="680"/>
      <c r="EA471" s="680"/>
      <c r="EB471" s="680"/>
      <c r="EC471" s="680"/>
      <c r="ED471" s="680"/>
      <c r="EE471" s="680"/>
      <c r="EF471" s="680"/>
      <c r="EG471" s="680"/>
      <c r="EH471" s="680"/>
      <c r="EI471" s="680"/>
      <c r="EJ471" s="680"/>
      <c r="EK471" s="680"/>
      <c r="EL471" s="680"/>
    </row>
    <row r="472" spans="1:142">
      <c r="A472" s="680"/>
      <c r="B472" s="680"/>
      <c r="C472" s="680"/>
      <c r="D472" s="680"/>
      <c r="E472" s="680"/>
      <c r="F472" s="680"/>
      <c r="G472" s="680"/>
      <c r="H472" s="680"/>
      <c r="I472" s="680"/>
      <c r="J472" s="680"/>
      <c r="K472" s="680"/>
      <c r="L472" s="680"/>
      <c r="M472" s="680"/>
      <c r="N472" s="680"/>
      <c r="O472" s="680"/>
      <c r="P472" s="680"/>
      <c r="Q472" s="680"/>
      <c r="R472" s="680"/>
      <c r="S472" s="680"/>
      <c r="T472" s="680"/>
      <c r="U472" s="680"/>
      <c r="V472" s="680"/>
      <c r="W472" s="680"/>
      <c r="X472" s="680"/>
      <c r="Y472" s="680"/>
      <c r="Z472" s="680"/>
      <c r="AA472" s="680"/>
      <c r="AB472" s="680"/>
      <c r="AC472" s="680"/>
      <c r="AD472" s="680"/>
      <c r="AE472" s="680"/>
      <c r="AF472" s="680"/>
      <c r="AG472" s="680"/>
      <c r="AH472" s="680"/>
      <c r="AI472" s="680"/>
      <c r="AJ472" s="680"/>
      <c r="AK472" s="680"/>
      <c r="AL472" s="680"/>
      <c r="AM472" s="680"/>
      <c r="AN472" s="680"/>
      <c r="AO472" s="680"/>
      <c r="AP472" s="680"/>
      <c r="AQ472" s="680"/>
      <c r="AR472" s="680"/>
      <c r="AS472" s="680"/>
      <c r="AT472" s="680"/>
      <c r="AU472" s="680"/>
      <c r="AV472" s="680"/>
      <c r="AW472" s="680"/>
      <c r="AX472" s="680"/>
      <c r="AY472" s="680"/>
      <c r="AZ472" s="680"/>
      <c r="BA472" s="680"/>
      <c r="BB472" s="680"/>
      <c r="BC472" s="680"/>
      <c r="BD472" s="680"/>
      <c r="BE472" s="680"/>
      <c r="BF472" s="680"/>
      <c r="BG472" s="680"/>
      <c r="BH472" s="680"/>
      <c r="BI472" s="680"/>
      <c r="BJ472" s="680"/>
      <c r="BK472" s="680"/>
      <c r="BL472" s="680"/>
      <c r="BM472" s="680"/>
      <c r="BN472" s="680"/>
      <c r="BO472" s="680"/>
      <c r="BP472" s="680"/>
      <c r="BQ472" s="680"/>
      <c r="BR472" s="680"/>
      <c r="BS472" s="680"/>
      <c r="BT472" s="680"/>
      <c r="BU472" s="680"/>
      <c r="BV472" s="680"/>
      <c r="BW472" s="680"/>
      <c r="BX472" s="680"/>
      <c r="BY472" s="680"/>
      <c r="BZ472" s="680"/>
      <c r="CA472" s="680"/>
      <c r="CB472" s="680"/>
      <c r="CC472" s="680"/>
      <c r="CD472" s="680"/>
      <c r="CE472" s="680"/>
      <c r="CF472" s="680"/>
      <c r="CG472" s="680"/>
      <c r="CH472" s="680"/>
      <c r="CI472" s="680"/>
      <c r="CJ472" s="680"/>
      <c r="CK472" s="680"/>
      <c r="CL472" s="680"/>
      <c r="CM472" s="680"/>
      <c r="CN472" s="680"/>
      <c r="CO472" s="680"/>
      <c r="CP472" s="680"/>
      <c r="CQ472" s="680"/>
      <c r="CR472" s="680"/>
      <c r="CS472" s="680"/>
      <c r="CT472" s="680"/>
      <c r="CU472" s="680"/>
      <c r="CV472" s="680"/>
      <c r="CW472" s="680"/>
      <c r="CX472" s="680"/>
      <c r="CY472" s="680"/>
      <c r="CZ472" s="680"/>
      <c r="DA472" s="680"/>
      <c r="DB472" s="680"/>
      <c r="DC472" s="680"/>
      <c r="DD472" s="680"/>
      <c r="DE472" s="680"/>
      <c r="DF472" s="680"/>
      <c r="DG472" s="680"/>
      <c r="DH472" s="680"/>
      <c r="DI472" s="680"/>
      <c r="DJ472" s="680"/>
      <c r="DK472" s="680"/>
      <c r="DL472" s="680"/>
      <c r="DM472" s="680"/>
      <c r="DN472" s="680"/>
      <c r="DO472" s="680"/>
      <c r="DP472" s="680"/>
      <c r="DQ472" s="680"/>
      <c r="DR472" s="680"/>
      <c r="DS472" s="680"/>
      <c r="DT472" s="680"/>
      <c r="DU472" s="680"/>
      <c r="DV472" s="680"/>
      <c r="DW472" s="680"/>
      <c r="DX472" s="680"/>
      <c r="DY472" s="680"/>
      <c r="DZ472" s="680"/>
      <c r="EA472" s="680"/>
      <c r="EB472" s="680"/>
      <c r="EC472" s="680"/>
      <c r="ED472" s="680"/>
      <c r="EE472" s="680"/>
      <c r="EF472" s="680"/>
      <c r="EG472" s="680"/>
      <c r="EH472" s="680"/>
      <c r="EI472" s="680"/>
      <c r="EJ472" s="680"/>
      <c r="EK472" s="680"/>
      <c r="EL472" s="680"/>
    </row>
    <row r="473" spans="1:142">
      <c r="A473" s="680"/>
      <c r="B473" s="680"/>
      <c r="C473" s="680"/>
      <c r="D473" s="680"/>
      <c r="E473" s="680"/>
      <c r="F473" s="680"/>
      <c r="G473" s="680"/>
      <c r="H473" s="680"/>
      <c r="I473" s="680"/>
      <c r="J473" s="680"/>
      <c r="K473" s="680"/>
      <c r="L473" s="680"/>
      <c r="M473" s="680"/>
      <c r="N473" s="680"/>
      <c r="O473" s="680"/>
      <c r="P473" s="680"/>
      <c r="Q473" s="680"/>
      <c r="R473" s="680"/>
      <c r="S473" s="680"/>
      <c r="T473" s="680"/>
      <c r="U473" s="680"/>
      <c r="V473" s="680"/>
      <c r="W473" s="680"/>
      <c r="X473" s="680"/>
      <c r="Y473" s="680"/>
      <c r="Z473" s="680"/>
      <c r="AA473" s="680"/>
      <c r="AB473" s="680"/>
      <c r="AC473" s="680"/>
      <c r="AD473" s="680"/>
      <c r="AE473" s="680"/>
      <c r="AF473" s="680"/>
      <c r="AG473" s="680"/>
      <c r="AH473" s="680"/>
      <c r="AI473" s="680"/>
      <c r="AJ473" s="680"/>
      <c r="AK473" s="680"/>
      <c r="AL473" s="680"/>
      <c r="AM473" s="680"/>
      <c r="AN473" s="680"/>
      <c r="AO473" s="680"/>
      <c r="AP473" s="680"/>
      <c r="AQ473" s="680"/>
      <c r="AR473" s="680"/>
      <c r="AS473" s="680"/>
      <c r="AT473" s="680"/>
      <c r="AU473" s="680"/>
      <c r="AV473" s="680"/>
      <c r="AW473" s="680"/>
      <c r="AX473" s="680"/>
      <c r="AY473" s="680"/>
      <c r="AZ473" s="680"/>
      <c r="BA473" s="680"/>
      <c r="BB473" s="680"/>
      <c r="BC473" s="680"/>
      <c r="BD473" s="680"/>
      <c r="BE473" s="680"/>
      <c r="BF473" s="680"/>
      <c r="BG473" s="680"/>
      <c r="BH473" s="680"/>
      <c r="BI473" s="680"/>
      <c r="BJ473" s="680"/>
      <c r="BK473" s="680"/>
      <c r="BL473" s="680"/>
      <c r="BM473" s="680"/>
      <c r="BN473" s="680"/>
      <c r="BO473" s="680"/>
      <c r="BP473" s="680"/>
      <c r="BQ473" s="680"/>
      <c r="BR473" s="680"/>
      <c r="BS473" s="680"/>
      <c r="BT473" s="680"/>
      <c r="BU473" s="680"/>
      <c r="BV473" s="680"/>
      <c r="BW473" s="680"/>
      <c r="BX473" s="680"/>
      <c r="BY473" s="680"/>
      <c r="BZ473" s="680"/>
      <c r="CA473" s="680"/>
      <c r="CB473" s="680"/>
      <c r="CC473" s="680"/>
      <c r="CD473" s="680"/>
      <c r="CE473" s="680"/>
      <c r="CF473" s="680"/>
      <c r="CG473" s="680"/>
      <c r="CH473" s="680"/>
      <c r="CI473" s="680"/>
      <c r="CJ473" s="680"/>
      <c r="CK473" s="680"/>
      <c r="CL473" s="680"/>
      <c r="CM473" s="680"/>
      <c r="CN473" s="680"/>
      <c r="CO473" s="680"/>
      <c r="CP473" s="680"/>
      <c r="CQ473" s="680"/>
      <c r="CR473" s="680"/>
      <c r="CS473" s="680"/>
      <c r="CT473" s="680"/>
      <c r="CU473" s="680"/>
      <c r="CV473" s="680"/>
      <c r="CW473" s="680"/>
      <c r="CX473" s="680"/>
      <c r="CY473" s="680"/>
      <c r="CZ473" s="680"/>
      <c r="DA473" s="680"/>
      <c r="DB473" s="680"/>
      <c r="DC473" s="680"/>
      <c r="DD473" s="680"/>
      <c r="DE473" s="680"/>
      <c r="DF473" s="680"/>
      <c r="DG473" s="680"/>
      <c r="DH473" s="680"/>
      <c r="DI473" s="680"/>
      <c r="DJ473" s="680"/>
      <c r="DK473" s="680"/>
      <c r="DL473" s="680"/>
      <c r="DM473" s="680"/>
      <c r="DN473" s="680"/>
      <c r="DO473" s="680"/>
      <c r="DP473" s="680"/>
      <c r="DQ473" s="680"/>
      <c r="DR473" s="680"/>
      <c r="DS473" s="680"/>
      <c r="DT473" s="680"/>
      <c r="DU473" s="680"/>
      <c r="DV473" s="680"/>
      <c r="DW473" s="680"/>
      <c r="DX473" s="680"/>
      <c r="DY473" s="680"/>
      <c r="DZ473" s="680"/>
      <c r="EA473" s="680"/>
      <c r="EB473" s="680"/>
      <c r="EC473" s="680"/>
      <c r="ED473" s="680"/>
      <c r="EE473" s="680"/>
      <c r="EF473" s="680"/>
      <c r="EG473" s="680"/>
      <c r="EH473" s="680"/>
      <c r="EI473" s="680"/>
      <c r="EJ473" s="680"/>
      <c r="EK473" s="680"/>
      <c r="EL473" s="680"/>
    </row>
    <row r="474" spans="1:142">
      <c r="A474" s="680"/>
      <c r="B474" s="680"/>
      <c r="C474" s="680"/>
      <c r="D474" s="680"/>
      <c r="E474" s="680"/>
      <c r="F474" s="680"/>
      <c r="G474" s="680"/>
      <c r="H474" s="680"/>
      <c r="I474" s="680"/>
      <c r="J474" s="680"/>
      <c r="K474" s="680"/>
      <c r="L474" s="680"/>
      <c r="M474" s="680"/>
      <c r="N474" s="680"/>
      <c r="O474" s="680"/>
      <c r="P474" s="680"/>
      <c r="Q474" s="680"/>
      <c r="R474" s="680"/>
      <c r="S474" s="680"/>
      <c r="T474" s="680"/>
      <c r="U474" s="680"/>
      <c r="V474" s="680"/>
      <c r="W474" s="680"/>
      <c r="X474" s="680"/>
      <c r="Y474" s="680"/>
      <c r="Z474" s="680"/>
      <c r="AA474" s="680"/>
      <c r="AB474" s="680"/>
      <c r="AC474" s="680"/>
      <c r="AD474" s="680"/>
      <c r="AE474" s="680"/>
      <c r="AF474" s="680"/>
      <c r="AG474" s="680"/>
      <c r="AH474" s="680"/>
      <c r="AI474" s="680"/>
      <c r="AJ474" s="680"/>
      <c r="AK474" s="680"/>
      <c r="AL474" s="680"/>
      <c r="AM474" s="680"/>
      <c r="AN474" s="680"/>
      <c r="AO474" s="680"/>
      <c r="AP474" s="680"/>
      <c r="AQ474" s="680"/>
      <c r="AR474" s="680"/>
      <c r="AS474" s="680"/>
      <c r="AT474" s="680"/>
      <c r="AU474" s="680"/>
      <c r="AV474" s="680"/>
      <c r="AW474" s="680"/>
      <c r="AX474" s="680"/>
      <c r="AY474" s="680"/>
      <c r="AZ474" s="680"/>
      <c r="BA474" s="680"/>
      <c r="BB474" s="680"/>
      <c r="BC474" s="680"/>
      <c r="BD474" s="680"/>
      <c r="BE474" s="680"/>
      <c r="BF474" s="680"/>
      <c r="BG474" s="680"/>
      <c r="BH474" s="680"/>
      <c r="BI474" s="680"/>
      <c r="BJ474" s="680"/>
      <c r="BK474" s="680"/>
      <c r="BL474" s="680"/>
      <c r="BM474" s="680"/>
      <c r="BN474" s="680"/>
      <c r="BO474" s="680"/>
      <c r="BP474" s="680"/>
      <c r="BQ474" s="680"/>
      <c r="BR474" s="680"/>
      <c r="BS474" s="680"/>
      <c r="BT474" s="680"/>
      <c r="BU474" s="680"/>
      <c r="BV474" s="680"/>
      <c r="BW474" s="680"/>
      <c r="BX474" s="680"/>
      <c r="BY474" s="680"/>
      <c r="BZ474" s="680"/>
      <c r="CA474" s="680"/>
      <c r="CB474" s="680"/>
      <c r="CC474" s="680"/>
      <c r="CD474" s="680"/>
      <c r="CE474" s="680"/>
      <c r="CF474" s="680"/>
      <c r="CG474" s="680"/>
      <c r="CH474" s="680"/>
      <c r="CI474" s="680"/>
      <c r="CJ474" s="680"/>
      <c r="CK474" s="680"/>
      <c r="CL474" s="680"/>
      <c r="CM474" s="680"/>
      <c r="CN474" s="680"/>
      <c r="CO474" s="680"/>
      <c r="CP474" s="680"/>
      <c r="CQ474" s="680"/>
      <c r="CR474" s="680"/>
      <c r="CS474" s="680"/>
      <c r="CT474" s="680"/>
      <c r="CU474" s="680"/>
      <c r="CV474" s="680"/>
      <c r="CW474" s="680"/>
      <c r="CX474" s="680"/>
      <c r="CY474" s="680"/>
      <c r="CZ474" s="680"/>
      <c r="DA474" s="680"/>
      <c r="DB474" s="680"/>
      <c r="DC474" s="680"/>
      <c r="DD474" s="680"/>
      <c r="DE474" s="680"/>
      <c r="DF474" s="680"/>
      <c r="DG474" s="680"/>
      <c r="DH474" s="680"/>
      <c r="DI474" s="680"/>
      <c r="DJ474" s="680"/>
      <c r="DK474" s="680"/>
      <c r="DL474" s="680"/>
      <c r="DM474" s="680"/>
      <c r="DN474" s="680"/>
      <c r="DO474" s="680"/>
      <c r="DP474" s="680"/>
      <c r="DQ474" s="680"/>
      <c r="DR474" s="680"/>
      <c r="DS474" s="680"/>
      <c r="DT474" s="680"/>
      <c r="DU474" s="680"/>
      <c r="DV474" s="680"/>
      <c r="DW474" s="680"/>
      <c r="DX474" s="680"/>
      <c r="DY474" s="680"/>
      <c r="DZ474" s="680"/>
      <c r="EA474" s="680"/>
      <c r="EB474" s="680"/>
      <c r="EC474" s="680"/>
      <c r="ED474" s="680"/>
      <c r="EE474" s="680"/>
      <c r="EF474" s="680"/>
      <c r="EG474" s="680"/>
      <c r="EH474" s="680"/>
      <c r="EI474" s="680"/>
      <c r="EJ474" s="680"/>
      <c r="EK474" s="680"/>
      <c r="EL474" s="680"/>
    </row>
    <row r="475" spans="1:142">
      <c r="A475" s="680"/>
      <c r="B475" s="680"/>
      <c r="C475" s="680"/>
      <c r="D475" s="680"/>
      <c r="E475" s="680"/>
      <c r="F475" s="680"/>
      <c r="G475" s="680"/>
      <c r="H475" s="680"/>
      <c r="I475" s="680"/>
      <c r="J475" s="680"/>
      <c r="K475" s="680"/>
      <c r="L475" s="680"/>
      <c r="M475" s="680"/>
      <c r="N475" s="680"/>
      <c r="O475" s="680"/>
      <c r="P475" s="680"/>
      <c r="Q475" s="680"/>
      <c r="R475" s="680"/>
      <c r="S475" s="680"/>
      <c r="T475" s="680"/>
      <c r="U475" s="680"/>
      <c r="V475" s="680"/>
      <c r="W475" s="680"/>
      <c r="X475" s="680"/>
      <c r="Y475" s="680"/>
      <c r="Z475" s="680"/>
      <c r="AA475" s="680"/>
      <c r="AB475" s="680"/>
      <c r="AC475" s="680"/>
      <c r="AD475" s="680"/>
      <c r="AE475" s="680"/>
      <c r="AF475" s="680"/>
      <c r="AG475" s="680"/>
      <c r="AH475" s="680"/>
      <c r="AI475" s="680"/>
      <c r="AJ475" s="680"/>
      <c r="AK475" s="680"/>
      <c r="AL475" s="680"/>
      <c r="AM475" s="680"/>
      <c r="AN475" s="680"/>
      <c r="AO475" s="680"/>
      <c r="AP475" s="680"/>
      <c r="AQ475" s="680"/>
      <c r="AR475" s="680"/>
      <c r="AS475" s="680"/>
      <c r="AT475" s="680"/>
      <c r="AU475" s="680"/>
      <c r="AV475" s="680"/>
      <c r="AW475" s="680"/>
      <c r="AX475" s="680"/>
      <c r="AY475" s="680"/>
      <c r="AZ475" s="680"/>
      <c r="BA475" s="680"/>
      <c r="BB475" s="680"/>
      <c r="BC475" s="680"/>
      <c r="BD475" s="680"/>
      <c r="BE475" s="680"/>
      <c r="BF475" s="680"/>
      <c r="BG475" s="680"/>
      <c r="BH475" s="680"/>
      <c r="BI475" s="680"/>
      <c r="BJ475" s="680"/>
      <c r="BK475" s="680"/>
      <c r="BL475" s="680"/>
      <c r="BM475" s="680"/>
      <c r="BN475" s="680"/>
      <c r="BO475" s="680"/>
      <c r="BP475" s="680"/>
      <c r="BQ475" s="680"/>
      <c r="BR475" s="680"/>
      <c r="BS475" s="680"/>
      <c r="BT475" s="680"/>
      <c r="BU475" s="680"/>
      <c r="BV475" s="680"/>
      <c r="BW475" s="680"/>
      <c r="BX475" s="680"/>
      <c r="BY475" s="680"/>
      <c r="BZ475" s="680"/>
      <c r="CA475" s="680"/>
      <c r="CB475" s="680"/>
      <c r="CC475" s="680"/>
      <c r="CD475" s="680"/>
      <c r="CE475" s="680"/>
      <c r="CF475" s="680"/>
      <c r="CG475" s="680"/>
      <c r="CH475" s="680"/>
      <c r="CI475" s="680"/>
      <c r="CJ475" s="680"/>
      <c r="CK475" s="680"/>
      <c r="CL475" s="680"/>
      <c r="CM475" s="680"/>
      <c r="CN475" s="680"/>
      <c r="CO475" s="680"/>
      <c r="CP475" s="680"/>
      <c r="CQ475" s="680"/>
      <c r="CR475" s="680"/>
      <c r="CS475" s="680"/>
      <c r="CT475" s="680"/>
      <c r="CU475" s="680"/>
      <c r="CV475" s="680"/>
      <c r="CW475" s="680"/>
      <c r="CX475" s="680"/>
      <c r="CY475" s="680"/>
      <c r="CZ475" s="680"/>
      <c r="DA475" s="680"/>
      <c r="DB475" s="680"/>
      <c r="DC475" s="680"/>
      <c r="DD475" s="680"/>
      <c r="DE475" s="680"/>
      <c r="DF475" s="680"/>
      <c r="DG475" s="680"/>
      <c r="DH475" s="680"/>
      <c r="DI475" s="680"/>
      <c r="DJ475" s="680"/>
      <c r="DK475" s="680"/>
      <c r="DL475" s="680"/>
      <c r="DM475" s="680"/>
      <c r="DN475" s="680"/>
      <c r="DO475" s="680"/>
      <c r="DP475" s="680"/>
      <c r="DQ475" s="680"/>
      <c r="DR475" s="680"/>
      <c r="DS475" s="680"/>
      <c r="DT475" s="680"/>
      <c r="DU475" s="680"/>
      <c r="DV475" s="680"/>
      <c r="DW475" s="680"/>
      <c r="DX475" s="680"/>
      <c r="DY475" s="680"/>
      <c r="DZ475" s="680"/>
      <c r="EA475" s="680"/>
      <c r="EB475" s="680"/>
      <c r="EC475" s="680"/>
      <c r="ED475" s="680"/>
      <c r="EE475" s="680"/>
      <c r="EF475" s="680"/>
      <c r="EG475" s="680"/>
      <c r="EH475" s="680"/>
      <c r="EI475" s="680"/>
      <c r="EJ475" s="680"/>
      <c r="EK475" s="680"/>
      <c r="EL475" s="680"/>
    </row>
    <row r="476" spans="1:142">
      <c r="A476" s="680"/>
      <c r="B476" s="680"/>
      <c r="C476" s="680"/>
      <c r="D476" s="680"/>
      <c r="E476" s="680"/>
      <c r="F476" s="680"/>
      <c r="G476" s="680"/>
      <c r="H476" s="680"/>
      <c r="I476" s="680"/>
      <c r="J476" s="680"/>
      <c r="K476" s="680"/>
      <c r="L476" s="680"/>
      <c r="M476" s="680"/>
      <c r="N476" s="680"/>
      <c r="O476" s="680"/>
      <c r="P476" s="680"/>
      <c r="Q476" s="680"/>
      <c r="R476" s="680"/>
      <c r="S476" s="680"/>
      <c r="T476" s="680"/>
      <c r="U476" s="680"/>
      <c r="V476" s="680"/>
      <c r="W476" s="680"/>
      <c r="X476" s="680"/>
      <c r="Y476" s="680"/>
      <c r="Z476" s="680"/>
      <c r="AA476" s="680"/>
      <c r="AB476" s="680"/>
      <c r="AC476" s="680"/>
      <c r="AD476" s="680"/>
      <c r="AE476" s="680"/>
      <c r="AF476" s="680"/>
      <c r="AG476" s="680"/>
      <c r="AH476" s="680"/>
      <c r="AI476" s="680"/>
      <c r="AJ476" s="680"/>
      <c r="AK476" s="680"/>
      <c r="AL476" s="680"/>
      <c r="AM476" s="680"/>
      <c r="AN476" s="680"/>
      <c r="AO476" s="680"/>
      <c r="AP476" s="680"/>
      <c r="AQ476" s="680"/>
      <c r="AR476" s="680"/>
      <c r="AS476" s="680"/>
      <c r="AT476" s="680"/>
      <c r="AU476" s="680"/>
      <c r="AV476" s="680"/>
      <c r="AW476" s="680"/>
      <c r="AX476" s="680"/>
      <c r="AY476" s="680"/>
      <c r="AZ476" s="680"/>
      <c r="BA476" s="680"/>
      <c r="BB476" s="680"/>
      <c r="BC476" s="680"/>
      <c r="BD476" s="680"/>
      <c r="BE476" s="680"/>
      <c r="BF476" s="680"/>
      <c r="BG476" s="680"/>
      <c r="BH476" s="680"/>
      <c r="BI476" s="680"/>
      <c r="BJ476" s="680"/>
      <c r="BK476" s="680"/>
      <c r="BL476" s="680"/>
      <c r="BM476" s="680"/>
      <c r="BN476" s="680"/>
      <c r="BO476" s="680"/>
      <c r="BP476" s="680"/>
      <c r="BQ476" s="680"/>
      <c r="BR476" s="680"/>
      <c r="BS476" s="680"/>
      <c r="BT476" s="680"/>
      <c r="BU476" s="680"/>
      <c r="BV476" s="680"/>
      <c r="BW476" s="680"/>
      <c r="BX476" s="680"/>
      <c r="BY476" s="680"/>
      <c r="BZ476" s="680"/>
      <c r="CA476" s="680"/>
      <c r="CB476" s="680"/>
      <c r="CC476" s="680"/>
      <c r="CD476" s="680"/>
      <c r="CE476" s="680"/>
      <c r="CF476" s="680"/>
      <c r="CG476" s="680"/>
      <c r="CH476" s="680"/>
      <c r="CI476" s="680"/>
      <c r="CJ476" s="680"/>
      <c r="CK476" s="680"/>
      <c r="CL476" s="680"/>
      <c r="CM476" s="680"/>
      <c r="CN476" s="680"/>
      <c r="CO476" s="680"/>
      <c r="CP476" s="680"/>
      <c r="CQ476" s="680"/>
      <c r="CR476" s="680"/>
      <c r="CS476" s="680"/>
      <c r="CT476" s="680"/>
      <c r="CU476" s="680"/>
      <c r="CV476" s="680"/>
      <c r="CW476" s="680"/>
      <c r="CX476" s="680"/>
      <c r="CY476" s="680"/>
      <c r="CZ476" s="680"/>
      <c r="DA476" s="680"/>
      <c r="DB476" s="680"/>
      <c r="DC476" s="680"/>
      <c r="DD476" s="680"/>
      <c r="DE476" s="680"/>
      <c r="DF476" s="680"/>
      <c r="DG476" s="680"/>
      <c r="DH476" s="680"/>
      <c r="DI476" s="680"/>
      <c r="DJ476" s="680"/>
      <c r="DK476" s="680"/>
      <c r="DL476" s="680"/>
      <c r="DM476" s="680"/>
      <c r="DN476" s="680"/>
      <c r="DO476" s="680"/>
      <c r="DP476" s="680"/>
      <c r="DQ476" s="680"/>
      <c r="DR476" s="680"/>
      <c r="DS476" s="680"/>
      <c r="DT476" s="680"/>
      <c r="DU476" s="680"/>
      <c r="DV476" s="680"/>
      <c r="DW476" s="680"/>
      <c r="DX476" s="680"/>
      <c r="DY476" s="680"/>
      <c r="DZ476" s="680"/>
      <c r="EA476" s="680"/>
      <c r="EB476" s="680"/>
      <c r="EC476" s="680"/>
      <c r="ED476" s="680"/>
      <c r="EE476" s="680"/>
      <c r="EF476" s="680"/>
      <c r="EG476" s="680"/>
      <c r="EH476" s="680"/>
      <c r="EI476" s="680"/>
      <c r="EJ476" s="680"/>
      <c r="EK476" s="680"/>
      <c r="EL476" s="680"/>
    </row>
    <row r="477" spans="1:142">
      <c r="A477" s="680"/>
      <c r="B477" s="680"/>
      <c r="C477" s="680"/>
      <c r="D477" s="680"/>
      <c r="E477" s="680"/>
      <c r="F477" s="680"/>
      <c r="G477" s="680"/>
      <c r="H477" s="680"/>
      <c r="I477" s="680"/>
      <c r="J477" s="680"/>
      <c r="K477" s="680"/>
      <c r="L477" s="680"/>
      <c r="M477" s="680"/>
      <c r="N477" s="680"/>
      <c r="O477" s="680"/>
      <c r="P477" s="680"/>
      <c r="Q477" s="680"/>
      <c r="R477" s="680"/>
      <c r="S477" s="680"/>
      <c r="T477" s="680"/>
      <c r="U477" s="680"/>
      <c r="V477" s="680"/>
      <c r="W477" s="680"/>
      <c r="X477" s="680"/>
      <c r="Y477" s="680"/>
      <c r="Z477" s="680"/>
      <c r="AA477" s="680"/>
      <c r="AB477" s="680"/>
      <c r="AC477" s="680"/>
      <c r="AD477" s="680"/>
      <c r="AE477" s="680"/>
      <c r="AF477" s="680"/>
      <c r="AG477" s="680"/>
      <c r="AH477" s="680"/>
      <c r="AI477" s="680"/>
      <c r="AJ477" s="680"/>
      <c r="AK477" s="680"/>
      <c r="AL477" s="680"/>
      <c r="AM477" s="680"/>
      <c r="AN477" s="680"/>
      <c r="AO477" s="680"/>
      <c r="AP477" s="680"/>
      <c r="AQ477" s="680"/>
      <c r="AR477" s="680"/>
      <c r="AS477" s="680"/>
      <c r="AT477" s="680"/>
      <c r="AU477" s="680"/>
      <c r="AV477" s="680"/>
      <c r="AW477" s="680"/>
      <c r="AX477" s="680"/>
      <c r="AY477" s="680"/>
      <c r="AZ477" s="680"/>
      <c r="BA477" s="680"/>
      <c r="BB477" s="680"/>
      <c r="BC477" s="680"/>
      <c r="BD477" s="680"/>
      <c r="BE477" s="680"/>
      <c r="BF477" s="680"/>
      <c r="BG477" s="680"/>
      <c r="BH477" s="680"/>
      <c r="BI477" s="680"/>
      <c r="BJ477" s="680"/>
      <c r="BK477" s="680"/>
      <c r="BL477" s="680"/>
      <c r="BM477" s="680"/>
      <c r="BN477" s="680"/>
      <c r="BO477" s="680"/>
      <c r="BP477" s="680"/>
      <c r="BQ477" s="680"/>
      <c r="BR477" s="680"/>
      <c r="BS477" s="680"/>
      <c r="BT477" s="680"/>
      <c r="BU477" s="680"/>
      <c r="BV477" s="680"/>
      <c r="BW477" s="680"/>
      <c r="BX477" s="680"/>
      <c r="BY477" s="680"/>
      <c r="BZ477" s="680"/>
      <c r="CA477" s="680"/>
      <c r="CB477" s="680"/>
      <c r="CC477" s="680"/>
      <c r="CD477" s="680"/>
      <c r="CE477" s="680"/>
      <c r="CF477" s="680"/>
      <c r="CG477" s="680"/>
      <c r="CH477" s="680"/>
      <c r="CI477" s="680"/>
      <c r="CJ477" s="680"/>
      <c r="CK477" s="680"/>
      <c r="CL477" s="680"/>
      <c r="CM477" s="680"/>
      <c r="CN477" s="680"/>
      <c r="CO477" s="680"/>
      <c r="CP477" s="680"/>
      <c r="CQ477" s="680"/>
      <c r="CR477" s="680"/>
      <c r="CS477" s="680"/>
      <c r="CT477" s="680"/>
      <c r="CU477" s="680"/>
      <c r="CV477" s="680"/>
      <c r="CW477" s="680"/>
      <c r="CX477" s="680"/>
      <c r="CY477" s="680"/>
      <c r="CZ477" s="680"/>
      <c r="DA477" s="680"/>
      <c r="DB477" s="680"/>
      <c r="DC477" s="680"/>
      <c r="DD477" s="680"/>
      <c r="DE477" s="680"/>
      <c r="DF477" s="680"/>
      <c r="DG477" s="680"/>
      <c r="DH477" s="680"/>
      <c r="DI477" s="680"/>
      <c r="DJ477" s="680"/>
      <c r="DK477" s="680"/>
      <c r="DL477" s="680"/>
      <c r="DM477" s="680"/>
      <c r="DN477" s="680"/>
      <c r="DO477" s="680"/>
      <c r="DP477" s="680"/>
      <c r="DQ477" s="680"/>
      <c r="DR477" s="680"/>
      <c r="DS477" s="680"/>
      <c r="DT477" s="680"/>
      <c r="DU477" s="680"/>
      <c r="DV477" s="680"/>
      <c r="DW477" s="680"/>
      <c r="DX477" s="680"/>
      <c r="DY477" s="680"/>
      <c r="DZ477" s="680"/>
      <c r="EA477" s="680"/>
      <c r="EB477" s="680"/>
      <c r="EC477" s="680"/>
      <c r="ED477" s="680"/>
      <c r="EE477" s="680"/>
      <c r="EF477" s="680"/>
      <c r="EG477" s="680"/>
      <c r="EH477" s="680"/>
      <c r="EI477" s="680"/>
      <c r="EJ477" s="680"/>
      <c r="EK477" s="680"/>
      <c r="EL477" s="680"/>
    </row>
  </sheetData>
  <phoneticPr fontId="35"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L229"/>
  <sheetViews>
    <sheetView showGridLines="0" zoomScaleNormal="100" workbookViewId="0">
      <pane xSplit="2" ySplit="4" topLeftCell="DR5" activePane="bottomRight" state="frozen"/>
      <selection pane="topRight" activeCell="B1" sqref="B1"/>
      <selection pane="bottomLeft" activeCell="A8" sqref="A8"/>
      <selection pane="bottomRight" activeCell="DR6" sqref="DR6"/>
    </sheetView>
  </sheetViews>
  <sheetFormatPr defaultRowHeight="12.75" outlineLevelRow="1" outlineLevelCol="3"/>
  <cols>
    <col min="1" max="1" width="1.28515625" style="89" customWidth="1"/>
    <col min="2" max="2" width="32.85546875" style="89" customWidth="1"/>
    <col min="3" max="3" width="2" style="89" hidden="1" customWidth="1" outlineLevel="2"/>
    <col min="4" max="7" width="9" style="89" hidden="1" customWidth="1" outlineLevel="2"/>
    <col min="8" max="8" width="9" style="89" hidden="1" customWidth="1" outlineLevel="1"/>
    <col min="9" max="12" width="9" style="89" hidden="1" customWidth="1" outlineLevel="2"/>
    <col min="13" max="13" width="9" style="89" hidden="1" customWidth="1" outlineLevel="1"/>
    <col min="14" max="17" width="9" style="89" hidden="1" customWidth="1" outlineLevel="2"/>
    <col min="18" max="18" width="9" style="89" hidden="1" customWidth="1" outlineLevel="1"/>
    <col min="19" max="22" width="9" style="89" hidden="1" customWidth="1" outlineLevel="2"/>
    <col min="23" max="23" width="9" style="89" hidden="1" customWidth="1" outlineLevel="1"/>
    <col min="24" max="27" width="9" style="89" hidden="1" customWidth="1" outlineLevel="2"/>
    <col min="28" max="28" width="9" style="89" hidden="1" customWidth="1" outlineLevel="1"/>
    <col min="29" max="32" width="9" style="89" hidden="1" customWidth="1" outlineLevel="2"/>
    <col min="33" max="33" width="9" style="89" hidden="1" customWidth="1" outlineLevel="1"/>
    <col min="34" max="37" width="9" style="89" hidden="1" customWidth="1" outlineLevel="2"/>
    <col min="38" max="38" width="9" style="89" hidden="1" customWidth="1" outlineLevel="1"/>
    <col min="39" max="42" width="9" style="89" hidden="1" customWidth="1" outlineLevel="3"/>
    <col min="43" max="43" width="9" style="89" hidden="1" customWidth="1" outlineLevel="1"/>
    <col min="44" max="45" width="9" style="89" hidden="1" customWidth="1" outlineLevel="2"/>
    <col min="46" max="46" width="9" style="89" hidden="1" customWidth="1" outlineLevel="1"/>
    <col min="47" max="47" width="3.28515625" style="89" hidden="1" customWidth="1" outlineLevel="1"/>
    <col min="48" max="51" width="9" style="89" hidden="1" customWidth="1" outlineLevel="2"/>
    <col min="52" max="52" width="9" style="89" hidden="1" customWidth="1" outlineLevel="1"/>
    <col min="53" max="56" width="9" style="89" hidden="1" customWidth="1" outlineLevel="2"/>
    <col min="57" max="57" width="9" style="89" hidden="1" customWidth="1" outlineLevel="1"/>
    <col min="58" max="61" width="9" style="89" hidden="1" customWidth="1" outlineLevel="2"/>
    <col min="62" max="62" width="9" style="89" hidden="1" customWidth="1" outlineLevel="1"/>
    <col min="63" max="66" width="9" style="89" hidden="1" customWidth="1" outlineLevel="2"/>
    <col min="67" max="67" width="9" style="89" hidden="1" customWidth="1" outlineLevel="1"/>
    <col min="68" max="71" width="9" style="89" hidden="1" customWidth="1" outlineLevel="2"/>
    <col min="72" max="72" width="9" style="89" hidden="1" customWidth="1" outlineLevel="1"/>
    <col min="73" max="76" width="9" style="89" hidden="1" customWidth="1" outlineLevel="2"/>
    <col min="77" max="77" width="9" style="89" hidden="1" customWidth="1" outlineLevel="1"/>
    <col min="78" max="81" width="9" style="89" hidden="1" customWidth="1" outlineLevel="2"/>
    <col min="82" max="82" width="9" style="89" hidden="1" customWidth="1" outlineLevel="1"/>
    <col min="83" max="86" width="9" style="89" hidden="1" customWidth="1" outlineLevel="2"/>
    <col min="87" max="91" width="9" style="89" hidden="1" customWidth="1" outlineLevel="1"/>
    <col min="92" max="92" width="9" style="89" hidden="1" customWidth="1" collapsed="1"/>
    <col min="93" max="96" width="9" style="89" hidden="1" customWidth="1" outlineLevel="1"/>
    <col min="97" max="97" width="9" style="89" hidden="1" customWidth="1" collapsed="1"/>
    <col min="98" max="101" width="9" style="89" hidden="1" customWidth="1" outlineLevel="1"/>
    <col min="102" max="102" width="9" style="89" hidden="1" customWidth="1" collapsed="1"/>
    <col min="103" max="106" width="9" style="89" hidden="1" customWidth="1" outlineLevel="1"/>
    <col min="107" max="107" width="9" style="89" hidden="1" customWidth="1" collapsed="1"/>
    <col min="108" max="111" width="9" style="89" hidden="1" customWidth="1" outlineLevel="1"/>
    <col min="112" max="112" width="9" style="89" hidden="1" customWidth="1" collapsed="1"/>
    <col min="113" max="116" width="9" style="89" hidden="1" customWidth="1" outlineLevel="1"/>
    <col min="117" max="117" width="9" style="89" hidden="1" customWidth="1"/>
    <col min="118" max="121" width="9" style="89" hidden="1" customWidth="1" outlineLevel="1"/>
    <col min="122" max="122" width="9" style="89" customWidth="1" collapsed="1"/>
    <col min="123" max="126" width="9" style="89" hidden="1" customWidth="1" outlineLevel="1"/>
    <col min="127" max="127" width="9" style="89" customWidth="1" collapsed="1"/>
    <col min="128" max="131" width="9" style="89" customWidth="1" outlineLevel="1"/>
    <col min="132" max="132" width="9" style="89" customWidth="1"/>
    <col min="133" max="136" width="9" style="89" customWidth="1" outlineLevel="1"/>
    <col min="137" max="137" width="9" style="89" customWidth="1"/>
    <col min="138" max="141" width="9" style="89" hidden="1" customWidth="1" outlineLevel="1"/>
    <col min="142" max="142" width="9" style="89" customWidth="1" collapsed="1"/>
    <col min="143" max="16384" width="9.140625" style="89"/>
  </cols>
  <sheetData>
    <row r="1" spans="1:142" ht="15.75">
      <c r="A1" s="627" t="s">
        <v>331</v>
      </c>
      <c r="B1" s="627"/>
      <c r="C1" s="628"/>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8"/>
      <c r="AI1" s="628"/>
      <c r="AJ1" s="628"/>
      <c r="AK1" s="640"/>
      <c r="AL1" s="628"/>
      <c r="AM1" s="628"/>
      <c r="AN1" s="628"/>
      <c r="AO1" s="628"/>
      <c r="AP1" s="628"/>
      <c r="AQ1" s="641"/>
      <c r="AR1" s="640"/>
      <c r="AS1" s="628"/>
      <c r="AT1" s="628"/>
      <c r="AU1" s="628"/>
      <c r="AV1" s="628"/>
      <c r="AW1" s="628"/>
      <c r="AX1" s="628"/>
      <c r="AY1" s="628"/>
      <c r="AZ1" s="628"/>
      <c r="BA1" s="628"/>
      <c r="BB1" s="628"/>
      <c r="BC1" s="628"/>
      <c r="BD1" s="628"/>
      <c r="BE1" s="628"/>
      <c r="BF1" s="628"/>
      <c r="BG1" s="628"/>
      <c r="BH1" s="628"/>
      <c r="BI1" s="628"/>
      <c r="BJ1" s="628"/>
      <c r="BK1" s="628"/>
      <c r="BL1" s="628"/>
      <c r="BM1" s="628"/>
      <c r="BN1" s="642"/>
      <c r="BO1" s="643"/>
      <c r="BP1" s="643"/>
      <c r="BQ1" s="643"/>
      <c r="BR1" s="643"/>
      <c r="BS1" s="642"/>
      <c r="BT1" s="643"/>
      <c r="BU1" s="643"/>
      <c r="BV1" s="643"/>
      <c r="BW1" s="643"/>
      <c r="BX1" s="642"/>
      <c r="BY1" s="644"/>
      <c r="BZ1" s="628"/>
      <c r="CA1" s="643"/>
      <c r="CB1" s="643"/>
      <c r="CC1" s="628"/>
      <c r="CD1" s="628"/>
      <c r="CE1" s="628"/>
      <c r="CF1" s="628"/>
      <c r="CG1" s="628"/>
      <c r="CH1" s="645"/>
      <c r="CI1" s="628"/>
      <c r="CJ1" s="628"/>
      <c r="CK1" s="628"/>
      <c r="CL1" s="628"/>
      <c r="CM1" s="645"/>
      <c r="CN1" s="628"/>
      <c r="CO1" s="628"/>
      <c r="CP1" s="628"/>
      <c r="CQ1" s="628"/>
      <c r="CR1" s="628"/>
      <c r="CS1" s="628"/>
      <c r="CT1" s="628"/>
      <c r="CU1" s="628"/>
      <c r="CV1" s="628"/>
      <c r="CW1" s="628"/>
      <c r="CX1" s="628"/>
      <c r="CY1" s="628"/>
      <c r="CZ1" s="628"/>
      <c r="DA1" s="628"/>
      <c r="DB1" s="629"/>
      <c r="DC1" s="629"/>
      <c r="DD1" s="629"/>
      <c r="DE1" s="629"/>
      <c r="DF1" s="629"/>
      <c r="DG1" s="629"/>
      <c r="DH1" s="629"/>
      <c r="DI1" s="629"/>
      <c r="DJ1" s="629"/>
      <c r="DK1" s="629"/>
      <c r="DL1" s="629"/>
      <c r="DM1" s="629"/>
      <c r="DN1" s="629"/>
      <c r="DO1" s="629"/>
      <c r="DP1" s="629"/>
      <c r="DQ1" s="629"/>
      <c r="DR1" s="629"/>
      <c r="DS1" s="629"/>
      <c r="DT1" s="629"/>
      <c r="DU1" s="629"/>
      <c r="DV1" s="629"/>
      <c r="DW1" s="629"/>
      <c r="DX1" s="629"/>
      <c r="DY1" s="629"/>
      <c r="DZ1" s="629"/>
      <c r="EA1" s="629"/>
      <c r="EB1" s="629"/>
      <c r="EC1" s="629"/>
      <c r="ED1" s="629"/>
      <c r="EE1" s="629"/>
      <c r="EF1" s="629"/>
      <c r="EG1" s="629"/>
      <c r="EH1" s="629"/>
      <c r="EI1" s="629"/>
      <c r="EJ1" s="629"/>
      <c r="EK1" s="629"/>
      <c r="EL1" s="629"/>
    </row>
    <row r="2" spans="1:142" ht="13.5" thickBot="1">
      <c r="A2" s="634" t="s">
        <v>112</v>
      </c>
      <c r="B2" s="634"/>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5"/>
      <c r="AK2" s="635"/>
      <c r="AL2" s="635"/>
      <c r="AM2" s="635"/>
      <c r="AN2" s="635"/>
      <c r="AO2" s="635"/>
      <c r="AP2" s="635"/>
      <c r="AQ2" s="635"/>
      <c r="AR2" s="635"/>
      <c r="AS2" s="635"/>
      <c r="AT2" s="635"/>
      <c r="AU2" s="635"/>
      <c r="AV2" s="646"/>
      <c r="AW2" s="646"/>
      <c r="AX2" s="646"/>
      <c r="AY2" s="646"/>
      <c r="AZ2" s="646"/>
      <c r="BA2" s="646"/>
      <c r="BB2" s="646"/>
      <c r="BC2" s="646"/>
      <c r="BD2" s="646"/>
      <c r="BE2" s="646"/>
      <c r="BF2" s="646"/>
      <c r="BG2" s="646"/>
      <c r="BH2" s="646"/>
      <c r="BI2" s="646"/>
      <c r="BJ2" s="646"/>
      <c r="BK2" s="646"/>
      <c r="BL2" s="646"/>
      <c r="BM2" s="646"/>
      <c r="BN2" s="646"/>
      <c r="BO2" s="646"/>
      <c r="BP2" s="646"/>
      <c r="BQ2" s="646"/>
      <c r="BR2" s="646"/>
      <c r="BS2" s="646"/>
      <c r="BT2" s="646"/>
      <c r="BU2" s="646"/>
      <c r="BV2" s="646"/>
      <c r="BW2" s="646"/>
      <c r="BX2" s="647"/>
      <c r="BY2" s="646"/>
      <c r="BZ2" s="646"/>
      <c r="CA2" s="647"/>
      <c r="CB2" s="624"/>
      <c r="CC2" s="624"/>
      <c r="CD2" s="648"/>
      <c r="CE2" s="646"/>
      <c r="CF2" s="646"/>
      <c r="CG2" s="646"/>
      <c r="CH2" s="646"/>
      <c r="CI2" s="624"/>
      <c r="CJ2" s="646"/>
      <c r="CK2" s="646"/>
      <c r="CL2" s="646"/>
      <c r="CM2" s="646"/>
      <c r="CN2" s="624"/>
      <c r="CO2" s="646"/>
      <c r="CP2" s="646"/>
      <c r="CQ2" s="646"/>
      <c r="CR2" s="646"/>
      <c r="CS2" s="646"/>
      <c r="CT2" s="646"/>
      <c r="CU2" s="646"/>
      <c r="CV2" s="646"/>
      <c r="CW2" s="646"/>
      <c r="CX2" s="646"/>
      <c r="CY2" s="646"/>
      <c r="CZ2" s="646"/>
      <c r="DA2" s="646"/>
      <c r="DB2" s="646"/>
      <c r="DC2" s="646"/>
      <c r="DD2" s="646"/>
      <c r="DE2" s="646"/>
      <c r="DF2" s="646"/>
      <c r="DG2" s="646"/>
      <c r="DH2" s="646"/>
      <c r="DI2" s="646"/>
      <c r="DJ2" s="646"/>
      <c r="DK2" s="646"/>
      <c r="DL2" s="646"/>
      <c r="DM2" s="646"/>
      <c r="DN2" s="646"/>
      <c r="DO2" s="646"/>
      <c r="DP2" s="646"/>
      <c r="DQ2" s="646"/>
      <c r="DR2" s="646"/>
      <c r="DS2" s="646"/>
      <c r="DT2" s="646"/>
      <c r="DU2" s="646"/>
      <c r="DV2" s="646"/>
      <c r="DW2" s="646"/>
      <c r="DX2" s="646"/>
      <c r="DY2" s="646"/>
      <c r="DZ2" s="646"/>
      <c r="EA2" s="646"/>
      <c r="EB2" s="646"/>
      <c r="EC2" s="646"/>
      <c r="ED2" s="646"/>
      <c r="EE2" s="646"/>
      <c r="EF2" s="646"/>
      <c r="EG2" s="649"/>
      <c r="EH2" s="646"/>
      <c r="EI2" s="646"/>
      <c r="EJ2" s="646"/>
      <c r="EK2" s="646"/>
      <c r="EL2" s="649"/>
    </row>
    <row r="3" spans="1:142">
      <c r="A3" s="180"/>
      <c r="B3" s="180" t="s">
        <v>385</v>
      </c>
      <c r="C3" s="181"/>
      <c r="D3" s="181">
        <v>34577</v>
      </c>
      <c r="E3" s="181">
        <v>34668</v>
      </c>
      <c r="F3" s="181">
        <v>34758</v>
      </c>
      <c r="G3" s="181">
        <v>34850</v>
      </c>
      <c r="H3" s="182"/>
      <c r="I3" s="181">
        <v>34942</v>
      </c>
      <c r="J3" s="181">
        <v>35033</v>
      </c>
      <c r="K3" s="181">
        <v>35123</v>
      </c>
      <c r="L3" s="181">
        <v>35216</v>
      </c>
      <c r="M3" s="182"/>
      <c r="N3" s="181">
        <v>35308</v>
      </c>
      <c r="O3" s="181">
        <v>35399</v>
      </c>
      <c r="P3" s="181">
        <v>35489</v>
      </c>
      <c r="Q3" s="181">
        <v>35581</v>
      </c>
      <c r="R3" s="182"/>
      <c r="S3" s="181">
        <v>35673</v>
      </c>
      <c r="T3" s="181">
        <v>35764</v>
      </c>
      <c r="U3" s="181">
        <v>35854</v>
      </c>
      <c r="V3" s="181">
        <v>35946</v>
      </c>
      <c r="W3" s="182"/>
      <c r="X3" s="181">
        <v>36038</v>
      </c>
      <c r="Y3" s="181">
        <v>36129</v>
      </c>
      <c r="Z3" s="181">
        <v>36219</v>
      </c>
      <c r="AA3" s="181">
        <v>36311</v>
      </c>
      <c r="AB3" s="182"/>
      <c r="AC3" s="181">
        <v>36403</v>
      </c>
      <c r="AD3" s="181">
        <v>36494</v>
      </c>
      <c r="AE3" s="181">
        <v>36584</v>
      </c>
      <c r="AF3" s="181">
        <v>36677</v>
      </c>
      <c r="AG3" s="182"/>
      <c r="AH3" s="181">
        <v>36769</v>
      </c>
      <c r="AI3" s="181">
        <v>36860</v>
      </c>
      <c r="AJ3" s="181">
        <v>36950</v>
      </c>
      <c r="AK3" s="181">
        <v>37042</v>
      </c>
      <c r="AL3" s="182"/>
      <c r="AM3" s="181">
        <v>37134</v>
      </c>
      <c r="AN3" s="181">
        <v>37225</v>
      </c>
      <c r="AO3" s="181">
        <v>37315</v>
      </c>
      <c r="AP3" s="181">
        <v>37407</v>
      </c>
      <c r="AQ3" s="182"/>
      <c r="AR3" s="181">
        <v>37499</v>
      </c>
      <c r="AS3" s="181">
        <v>37590</v>
      </c>
      <c r="AT3" s="181">
        <v>37680</v>
      </c>
      <c r="AU3" s="597"/>
      <c r="AV3" s="596" t="str">
        <f>+AZ4</f>
        <v>2002A</v>
      </c>
      <c r="AW3" s="595"/>
      <c r="AX3" s="595"/>
      <c r="AY3" s="595"/>
      <c r="AZ3" s="602"/>
      <c r="BA3" s="596" t="str">
        <f>+BE4</f>
        <v>2003A</v>
      </c>
      <c r="BB3" s="595"/>
      <c r="BC3" s="595"/>
      <c r="BD3" s="595"/>
      <c r="BE3" s="602"/>
      <c r="BF3" s="596" t="str">
        <f>+BJ4</f>
        <v>2004A</v>
      </c>
      <c r="BG3" s="595"/>
      <c r="BH3" s="595"/>
      <c r="BI3" s="595"/>
      <c r="BJ3" s="602"/>
      <c r="BK3" s="596" t="str">
        <f>+BO4</f>
        <v>2005A</v>
      </c>
      <c r="BL3" s="595"/>
      <c r="BM3" s="595"/>
      <c r="BN3" s="595"/>
      <c r="BO3" s="602"/>
      <c r="BP3" s="596" t="str">
        <f>+BT4</f>
        <v>2006A</v>
      </c>
      <c r="BQ3" s="595"/>
      <c r="BR3" s="595"/>
      <c r="BS3" s="595"/>
      <c r="BT3" s="602"/>
      <c r="BU3" s="596" t="str">
        <f>+BY4</f>
        <v>2007A</v>
      </c>
      <c r="BV3" s="595"/>
      <c r="BW3" s="595"/>
      <c r="BX3" s="595"/>
      <c r="BY3" s="602"/>
      <c r="BZ3" s="596" t="str">
        <f>+CD4</f>
        <v>2008A</v>
      </c>
      <c r="CA3" s="595"/>
      <c r="CB3" s="595"/>
      <c r="CC3" s="595"/>
      <c r="CD3" s="602"/>
      <c r="CE3" s="596" t="str">
        <f>+CI4</f>
        <v>2009A</v>
      </c>
      <c r="CF3" s="595"/>
      <c r="CG3" s="595"/>
      <c r="CH3" s="595"/>
      <c r="CI3" s="602"/>
      <c r="CJ3" s="596" t="str">
        <f>+CN4</f>
        <v>2010A</v>
      </c>
      <c r="CK3" s="595"/>
      <c r="CL3" s="595"/>
      <c r="CM3" s="595"/>
      <c r="CN3" s="602"/>
      <c r="CO3" s="596" t="str">
        <f>+CS4</f>
        <v>2011A</v>
      </c>
      <c r="CP3" s="595"/>
      <c r="CQ3" s="595"/>
      <c r="CR3" s="595"/>
      <c r="CS3" s="602"/>
      <c r="CT3" s="596" t="str">
        <f>+CX4</f>
        <v>2012A</v>
      </c>
      <c r="CU3" s="595"/>
      <c r="CV3" s="595"/>
      <c r="CW3" s="595"/>
      <c r="CX3" s="602"/>
      <c r="CY3" s="596" t="str">
        <f>+DC4</f>
        <v>2013A</v>
      </c>
      <c r="CZ3" s="595"/>
      <c r="DA3" s="595"/>
      <c r="DB3" s="595"/>
      <c r="DC3" s="602"/>
      <c r="DD3" s="596" t="s">
        <v>582</v>
      </c>
      <c r="DE3" s="595"/>
      <c r="DF3" s="595"/>
      <c r="DG3" s="595"/>
      <c r="DH3" s="602"/>
      <c r="DI3" s="596" t="str">
        <f>+DM4</f>
        <v>2015A</v>
      </c>
      <c r="DJ3" s="595"/>
      <c r="DK3" s="595"/>
      <c r="DL3" s="595"/>
      <c r="DM3" s="602"/>
      <c r="DN3" s="596"/>
      <c r="DO3" s="595"/>
      <c r="DP3" s="595"/>
      <c r="DQ3" s="595"/>
      <c r="DR3" s="602"/>
      <c r="DS3" s="596"/>
      <c r="DT3" s="595"/>
      <c r="DU3" s="595"/>
      <c r="DV3" s="595"/>
      <c r="DW3" s="602"/>
      <c r="DX3" s="596"/>
      <c r="DY3" s="595"/>
      <c r="DZ3" s="595"/>
      <c r="EA3" s="595"/>
      <c r="EB3" s="602"/>
      <c r="EC3" s="596"/>
      <c r="ED3" s="595"/>
      <c r="EE3" s="595"/>
      <c r="EF3" s="595"/>
      <c r="EG3" s="602"/>
      <c r="EH3" s="596"/>
      <c r="EI3" s="595"/>
      <c r="EJ3" s="595"/>
      <c r="EK3" s="595"/>
      <c r="EL3" s="602"/>
    </row>
    <row r="4" spans="1:142" ht="13.5" thickBot="1">
      <c r="A4" s="183"/>
      <c r="B4" s="183" t="s">
        <v>386</v>
      </c>
      <c r="C4" s="184"/>
      <c r="D4" s="184" t="s">
        <v>388</v>
      </c>
      <c r="E4" s="184" t="s">
        <v>389</v>
      </c>
      <c r="F4" s="184" t="s">
        <v>390</v>
      </c>
      <c r="G4" s="184" t="s">
        <v>391</v>
      </c>
      <c r="H4" s="185" t="s">
        <v>392</v>
      </c>
      <c r="I4" s="184" t="s">
        <v>393</v>
      </c>
      <c r="J4" s="184" t="s">
        <v>394</v>
      </c>
      <c r="K4" s="184" t="s">
        <v>395</v>
      </c>
      <c r="L4" s="184" t="s">
        <v>396</v>
      </c>
      <c r="M4" s="185" t="s">
        <v>397</v>
      </c>
      <c r="N4" s="184" t="s">
        <v>398</v>
      </c>
      <c r="O4" s="184" t="s">
        <v>399</v>
      </c>
      <c r="P4" s="184" t="s">
        <v>400</v>
      </c>
      <c r="Q4" s="184" t="s">
        <v>401</v>
      </c>
      <c r="R4" s="185" t="s">
        <v>402</v>
      </c>
      <c r="S4" s="184" t="s">
        <v>403</v>
      </c>
      <c r="T4" s="184" t="s">
        <v>404</v>
      </c>
      <c r="U4" s="184" t="s">
        <v>405</v>
      </c>
      <c r="V4" s="184" t="s">
        <v>406</v>
      </c>
      <c r="W4" s="185" t="s">
        <v>407</v>
      </c>
      <c r="X4" s="184" t="s">
        <v>408</v>
      </c>
      <c r="Y4" s="184" t="s">
        <v>409</v>
      </c>
      <c r="Z4" s="184" t="s">
        <v>410</v>
      </c>
      <c r="AA4" s="184" t="s">
        <v>411</v>
      </c>
      <c r="AB4" s="185" t="s">
        <v>412</v>
      </c>
      <c r="AC4" s="184" t="s">
        <v>413</v>
      </c>
      <c r="AD4" s="184" t="s">
        <v>414</v>
      </c>
      <c r="AE4" s="184" t="s">
        <v>415</v>
      </c>
      <c r="AF4" s="184" t="s">
        <v>416</v>
      </c>
      <c r="AG4" s="185" t="s">
        <v>417</v>
      </c>
      <c r="AH4" s="184" t="s">
        <v>418</v>
      </c>
      <c r="AI4" s="184" t="s">
        <v>419</v>
      </c>
      <c r="AJ4" s="184" t="s">
        <v>420</v>
      </c>
      <c r="AK4" s="184" t="s">
        <v>421</v>
      </c>
      <c r="AL4" s="185" t="s">
        <v>422</v>
      </c>
      <c r="AM4" s="184" t="s">
        <v>423</v>
      </c>
      <c r="AN4" s="184" t="s">
        <v>424</v>
      </c>
      <c r="AO4" s="184" t="s">
        <v>425</v>
      </c>
      <c r="AP4" s="184" t="s">
        <v>426</v>
      </c>
      <c r="AQ4" s="185" t="s">
        <v>427</v>
      </c>
      <c r="AR4" s="184" t="s">
        <v>428</v>
      </c>
      <c r="AS4" s="184" t="s">
        <v>429</v>
      </c>
      <c r="AT4" s="184" t="s">
        <v>430</v>
      </c>
      <c r="AU4" s="597"/>
      <c r="AV4" s="584" t="s">
        <v>431</v>
      </c>
      <c r="AW4" s="584" t="s">
        <v>432</v>
      </c>
      <c r="AX4" s="584" t="s">
        <v>433</v>
      </c>
      <c r="AY4" s="584" t="s">
        <v>434</v>
      </c>
      <c r="AZ4" s="584" t="s">
        <v>435</v>
      </c>
      <c r="BA4" s="584" t="s">
        <v>436</v>
      </c>
      <c r="BB4" s="584" t="s">
        <v>437</v>
      </c>
      <c r="BC4" s="584" t="s">
        <v>438</v>
      </c>
      <c r="BD4" s="584" t="s">
        <v>439</v>
      </c>
      <c r="BE4" s="584" t="s">
        <v>440</v>
      </c>
      <c r="BF4" s="584" t="s">
        <v>441</v>
      </c>
      <c r="BG4" s="584" t="s">
        <v>442</v>
      </c>
      <c r="BH4" s="584" t="s">
        <v>443</v>
      </c>
      <c r="BI4" s="584" t="s">
        <v>444</v>
      </c>
      <c r="BJ4" s="584" t="s">
        <v>445</v>
      </c>
      <c r="BK4" s="584" t="s">
        <v>446</v>
      </c>
      <c r="BL4" s="584" t="s">
        <v>447</v>
      </c>
      <c r="BM4" s="584" t="s">
        <v>448</v>
      </c>
      <c r="BN4" s="584" t="s">
        <v>449</v>
      </c>
      <c r="BO4" s="584" t="s">
        <v>450</v>
      </c>
      <c r="BP4" s="584" t="s">
        <v>451</v>
      </c>
      <c r="BQ4" s="584" t="s">
        <v>452</v>
      </c>
      <c r="BR4" s="584" t="s">
        <v>453</v>
      </c>
      <c r="BS4" s="584" t="s">
        <v>454</v>
      </c>
      <c r="BT4" s="584" t="s">
        <v>455</v>
      </c>
      <c r="BU4" s="584" t="s">
        <v>456</v>
      </c>
      <c r="BV4" s="584" t="s">
        <v>457</v>
      </c>
      <c r="BW4" s="584" t="s">
        <v>458</v>
      </c>
      <c r="BX4" s="584" t="s">
        <v>459</v>
      </c>
      <c r="BY4" s="584" t="s">
        <v>460</v>
      </c>
      <c r="BZ4" s="584" t="s">
        <v>461</v>
      </c>
      <c r="CA4" s="584" t="s">
        <v>462</v>
      </c>
      <c r="CB4" s="584" t="s">
        <v>463</v>
      </c>
      <c r="CC4" s="584" t="s">
        <v>464</v>
      </c>
      <c r="CD4" s="584" t="s">
        <v>465</v>
      </c>
      <c r="CE4" s="584" t="s">
        <v>466</v>
      </c>
      <c r="CF4" s="584" t="s">
        <v>467</v>
      </c>
      <c r="CG4" s="584" t="s">
        <v>468</v>
      </c>
      <c r="CH4" s="584" t="s">
        <v>469</v>
      </c>
      <c r="CI4" s="584" t="s">
        <v>470</v>
      </c>
      <c r="CJ4" s="584" t="s">
        <v>471</v>
      </c>
      <c r="CK4" s="584" t="s">
        <v>472</v>
      </c>
      <c r="CL4" s="584" t="s">
        <v>473</v>
      </c>
      <c r="CM4" s="584" t="s">
        <v>474</v>
      </c>
      <c r="CN4" s="584" t="s">
        <v>475</v>
      </c>
      <c r="CO4" s="584" t="s">
        <v>476</v>
      </c>
      <c r="CP4" s="584" t="s">
        <v>477</v>
      </c>
      <c r="CQ4" s="584" t="s">
        <v>478</v>
      </c>
      <c r="CR4" s="584" t="s">
        <v>479</v>
      </c>
      <c r="CS4" s="584" t="s">
        <v>480</v>
      </c>
      <c r="CT4" s="594" t="str">
        <f>IS!CT5</f>
        <v>1Q12A</v>
      </c>
      <c r="CU4" s="594" t="str">
        <f>IS!CU5</f>
        <v>2Q12A</v>
      </c>
      <c r="CV4" s="594" t="str">
        <f>IS!CV5</f>
        <v>3Q12A</v>
      </c>
      <c r="CW4" s="594" t="str">
        <f>IS!CW5</f>
        <v>4Q12A</v>
      </c>
      <c r="CX4" s="594" t="str">
        <f>IS!CX5</f>
        <v>2012A</v>
      </c>
      <c r="CY4" s="594" t="str">
        <f>IS!CY5</f>
        <v>1Q13A</v>
      </c>
      <c r="CZ4" s="594" t="str">
        <f>IS!CZ5</f>
        <v>2Q13A</v>
      </c>
      <c r="DA4" s="594" t="str">
        <f>IS!DA5</f>
        <v>3Q13A</v>
      </c>
      <c r="DB4" s="594" t="str">
        <f>IS!DB5</f>
        <v>4Q13A</v>
      </c>
      <c r="DC4" s="594" t="str">
        <f>IS!DC5</f>
        <v>2013A</v>
      </c>
      <c r="DD4" s="594" t="s">
        <v>253</v>
      </c>
      <c r="DE4" s="594" t="s">
        <v>111</v>
      </c>
      <c r="DF4" s="594" t="s">
        <v>580</v>
      </c>
      <c r="DG4" s="594" t="s">
        <v>581</v>
      </c>
      <c r="DH4" s="594" t="s">
        <v>582</v>
      </c>
      <c r="DI4" s="594" t="str">
        <f>IS!DI5</f>
        <v>1Q15A</v>
      </c>
      <c r="DJ4" s="594" t="str">
        <f>IS!DJ5</f>
        <v>2Q15A</v>
      </c>
      <c r="DK4" s="594" t="str">
        <f>IS!DK5</f>
        <v>3Q15A</v>
      </c>
      <c r="DL4" s="594" t="str">
        <f>IS!DL5</f>
        <v>4Q15A</v>
      </c>
      <c r="DM4" s="594" t="str">
        <f>IS!DM5</f>
        <v>2015A</v>
      </c>
      <c r="DN4" s="594" t="str">
        <f>IS!DN5</f>
        <v>1Q16A</v>
      </c>
      <c r="DO4" s="594" t="str">
        <f>IS!DO5</f>
        <v>2Q16A</v>
      </c>
      <c r="DP4" s="594" t="str">
        <f>IS!DP5</f>
        <v>3Q16A</v>
      </c>
      <c r="DQ4" s="594" t="str">
        <f>IS!DQ5</f>
        <v>4Q16A</v>
      </c>
      <c r="DR4" s="594" t="str">
        <f>IS!DR5</f>
        <v>2016A</v>
      </c>
      <c r="DS4" s="594" t="str">
        <f>IS!DS5</f>
        <v>1Q17A</v>
      </c>
      <c r="DT4" s="594" t="str">
        <f>IS!DT5</f>
        <v>2Q17A</v>
      </c>
      <c r="DU4" s="594" t="str">
        <f>IS!DU5</f>
        <v>3Q17A</v>
      </c>
      <c r="DV4" s="594" t="str">
        <f>IS!DV5</f>
        <v>4Q17A</v>
      </c>
      <c r="DW4" s="594" t="str">
        <f>IS!DW5</f>
        <v>2017A</v>
      </c>
      <c r="DX4" s="594" t="str">
        <f>IS!DX5</f>
        <v>1Q18E</v>
      </c>
      <c r="DY4" s="594" t="str">
        <f>IS!DY5</f>
        <v>2Q18E</v>
      </c>
      <c r="DZ4" s="594" t="str">
        <f>IS!DZ5</f>
        <v>3Q18E</v>
      </c>
      <c r="EA4" s="594" t="str">
        <f>IS!EA5</f>
        <v>4Q18E</v>
      </c>
      <c r="EB4" s="594" t="str">
        <f>IS!EB5</f>
        <v>2018E</v>
      </c>
      <c r="EC4" s="594" t="str">
        <f>IS!EC5</f>
        <v>1Q19E</v>
      </c>
      <c r="ED4" s="594" t="str">
        <f>IS!ED5</f>
        <v>2Q19E</v>
      </c>
      <c r="EE4" s="594" t="str">
        <f>IS!EE5</f>
        <v>3Q19E</v>
      </c>
      <c r="EF4" s="594" t="str">
        <f>IS!EF5</f>
        <v>4Q19E</v>
      </c>
      <c r="EG4" s="594" t="str">
        <f>IS!EG5</f>
        <v>2019E</v>
      </c>
      <c r="EH4" s="594" t="str">
        <f>IS!EH5</f>
        <v>1Q20E</v>
      </c>
      <c r="EI4" s="594" t="str">
        <f>IS!EI5</f>
        <v>2Q20E</v>
      </c>
      <c r="EJ4" s="594" t="str">
        <f>IS!EJ5</f>
        <v>3Q20E</v>
      </c>
      <c r="EK4" s="594" t="str">
        <f>IS!EK5</f>
        <v>4Q20E</v>
      </c>
      <c r="EL4" s="594" t="str">
        <f>IS!EL5</f>
        <v>2020E</v>
      </c>
    </row>
    <row r="5" spans="1:142" s="680" customFormat="1" hidden="1" outlineLevel="1">
      <c r="A5" s="557"/>
      <c r="B5" s="557" t="s">
        <v>491</v>
      </c>
      <c r="C5" s="1236"/>
      <c r="D5" s="1236">
        <v>92</v>
      </c>
      <c r="E5" s="1236">
        <f>E3-D3</f>
        <v>91</v>
      </c>
      <c r="F5" s="1236">
        <f>F3-E3</f>
        <v>90</v>
      </c>
      <c r="G5" s="1236">
        <f>G3-F3</f>
        <v>92</v>
      </c>
      <c r="H5" s="1238">
        <f>SUM(D5:G5)</f>
        <v>365</v>
      </c>
      <c r="I5" s="1236">
        <f>I3-G3</f>
        <v>92</v>
      </c>
      <c r="J5" s="1236">
        <f>J3-I3</f>
        <v>91</v>
      </c>
      <c r="K5" s="1236">
        <f>K3-J3</f>
        <v>90</v>
      </c>
      <c r="L5" s="1236">
        <f>L3-K3</f>
        <v>93</v>
      </c>
      <c r="M5" s="1238">
        <f>SUM(I5:L5)</f>
        <v>366</v>
      </c>
      <c r="N5" s="1236">
        <f>N3-L3</f>
        <v>92</v>
      </c>
      <c r="O5" s="1236">
        <f>O3-N3</f>
        <v>91</v>
      </c>
      <c r="P5" s="1236">
        <f>P3-O3</f>
        <v>90</v>
      </c>
      <c r="Q5" s="1236">
        <f>Q3-P3</f>
        <v>92</v>
      </c>
      <c r="R5" s="1238">
        <f>SUM(N5:Q5)</f>
        <v>365</v>
      </c>
      <c r="S5" s="1236">
        <f>S3-Q3</f>
        <v>92</v>
      </c>
      <c r="T5" s="1236">
        <f>T3-S3</f>
        <v>91</v>
      </c>
      <c r="U5" s="1236">
        <f>U3-T3</f>
        <v>90</v>
      </c>
      <c r="V5" s="1236">
        <f>V3-U3</f>
        <v>92</v>
      </c>
      <c r="W5" s="1238">
        <f>SUM(S5:V5)</f>
        <v>365</v>
      </c>
      <c r="X5" s="1236">
        <f>X3-V3</f>
        <v>92</v>
      </c>
      <c r="Y5" s="1236">
        <f>Y3-X3</f>
        <v>91</v>
      </c>
      <c r="Z5" s="1236">
        <f>Z3-Y3</f>
        <v>90</v>
      </c>
      <c r="AA5" s="1236">
        <f>AA3-Z3</f>
        <v>92</v>
      </c>
      <c r="AB5" s="1238">
        <f>SUM(X5:AA5)</f>
        <v>365</v>
      </c>
      <c r="AC5" s="1236">
        <f>AC3-AA3</f>
        <v>92</v>
      </c>
      <c r="AD5" s="1236">
        <f>AD3-AC3</f>
        <v>91</v>
      </c>
      <c r="AE5" s="1236">
        <f>AE3-AD3</f>
        <v>90</v>
      </c>
      <c r="AF5" s="1236">
        <f>AF3-AE3</f>
        <v>93</v>
      </c>
      <c r="AG5" s="1238">
        <f>SUM(AC5:AF5)</f>
        <v>366</v>
      </c>
      <c r="AH5" s="1236">
        <f>AH3-AF3</f>
        <v>92</v>
      </c>
      <c r="AI5" s="1236">
        <f>AI3-AH3</f>
        <v>91</v>
      </c>
      <c r="AJ5" s="1236">
        <f>AJ3-AI3</f>
        <v>90</v>
      </c>
      <c r="AK5" s="1236">
        <f>AK3-AJ3</f>
        <v>92</v>
      </c>
      <c r="AL5" s="1238">
        <f>SUM(AH5:AK5)</f>
        <v>365</v>
      </c>
      <c r="AM5" s="1236">
        <f>AM3-AK3</f>
        <v>92</v>
      </c>
      <c r="AN5" s="1236">
        <f>AN3-AM3</f>
        <v>91</v>
      </c>
      <c r="AO5" s="1236">
        <f>AO3-AN3</f>
        <v>90</v>
      </c>
      <c r="AP5" s="1236">
        <f>AP3-AO3</f>
        <v>92</v>
      </c>
      <c r="AQ5" s="1238">
        <f>SUM(AM5:AP5)</f>
        <v>365</v>
      </c>
      <c r="AR5" s="1236">
        <f>AR3-AP3</f>
        <v>92</v>
      </c>
      <c r="AS5" s="1236">
        <f>AS3-AR3</f>
        <v>91</v>
      </c>
      <c r="AT5" s="1236">
        <f>AT3-AS3</f>
        <v>90</v>
      </c>
      <c r="AU5" s="557"/>
      <c r="AV5" s="1236">
        <v>91</v>
      </c>
      <c r="AW5" s="1236" t="e">
        <f>AW3-AV3</f>
        <v>#VALUE!</v>
      </c>
      <c r="AX5" s="1236">
        <f>AX3-AW3</f>
        <v>0</v>
      </c>
      <c r="AY5" s="1236">
        <f>AY3-AX3</f>
        <v>0</v>
      </c>
      <c r="AZ5" s="1238" t="e">
        <f>SUM(AV5:AY5)</f>
        <v>#VALUE!</v>
      </c>
      <c r="BA5" s="1236" t="e">
        <f>BA3-AY3</f>
        <v>#VALUE!</v>
      </c>
      <c r="BB5" s="1236" t="e">
        <f>BB3-BA3</f>
        <v>#VALUE!</v>
      </c>
      <c r="BC5" s="1236">
        <f>BC3-BB3</f>
        <v>0</v>
      </c>
      <c r="BD5" s="1236">
        <f>BD3-BC3</f>
        <v>0</v>
      </c>
      <c r="BE5" s="1238" t="e">
        <f>SUM(BA5:BD5)</f>
        <v>#VALUE!</v>
      </c>
      <c r="BF5" s="1236" t="e">
        <f>BF3-BD3</f>
        <v>#VALUE!</v>
      </c>
      <c r="BG5" s="1236" t="e">
        <f>BG3-BF3</f>
        <v>#VALUE!</v>
      </c>
      <c r="BH5" s="1236">
        <f>BH3-BG3</f>
        <v>0</v>
      </c>
      <c r="BI5" s="1236">
        <f>BI3-BH3</f>
        <v>0</v>
      </c>
      <c r="BJ5" s="1238" t="e">
        <f>SUM(BF5:BI5)</f>
        <v>#VALUE!</v>
      </c>
      <c r="BK5" s="1236" t="e">
        <f>BK3-BI3</f>
        <v>#VALUE!</v>
      </c>
      <c r="BL5" s="1236" t="e">
        <f>BL3-BK3</f>
        <v>#VALUE!</v>
      </c>
      <c r="BM5" s="1236">
        <f>BM3-BL3</f>
        <v>0</v>
      </c>
      <c r="BN5" s="1236">
        <f>BN3-BM3</f>
        <v>0</v>
      </c>
      <c r="BO5" s="1238" t="e">
        <f>SUM(BK5:BN5)</f>
        <v>#VALUE!</v>
      </c>
      <c r="BP5" s="1236" t="e">
        <f>BP3-BN3</f>
        <v>#VALUE!</v>
      </c>
      <c r="BQ5" s="1236" t="e">
        <f>BQ3-BP3</f>
        <v>#VALUE!</v>
      </c>
      <c r="BR5" s="1236">
        <f>BR3-BQ3</f>
        <v>0</v>
      </c>
      <c r="BS5" s="1236">
        <f>BS3-BR3</f>
        <v>0</v>
      </c>
      <c r="BT5" s="1238" t="e">
        <f>SUM(BP5:BS5)</f>
        <v>#VALUE!</v>
      </c>
      <c r="BU5" s="1236" t="e">
        <f>BU3-BS3</f>
        <v>#VALUE!</v>
      </c>
      <c r="BV5" s="1236" t="e">
        <f>BV3-BU3</f>
        <v>#VALUE!</v>
      </c>
      <c r="BW5" s="1236">
        <f>BW3-BV3</f>
        <v>0</v>
      </c>
      <c r="BX5" s="1236">
        <f>BX3-BW3</f>
        <v>0</v>
      </c>
      <c r="BY5" s="1238" t="e">
        <f>SUM(BU5:BX5)</f>
        <v>#VALUE!</v>
      </c>
      <c r="BZ5" s="1236" t="e">
        <f>BZ3-BX3</f>
        <v>#VALUE!</v>
      </c>
      <c r="CA5" s="1236" t="e">
        <f>CA3-BZ3</f>
        <v>#VALUE!</v>
      </c>
      <c r="CB5" s="1236">
        <f>CB3-CA3</f>
        <v>0</v>
      </c>
      <c r="CC5" s="1236">
        <f>CC3-CB3</f>
        <v>0</v>
      </c>
      <c r="CD5" s="1238" t="e">
        <f>SUM(BZ5:CC5)</f>
        <v>#VALUE!</v>
      </c>
      <c r="CE5" s="1236" t="e">
        <f>CE3-CC3</f>
        <v>#VALUE!</v>
      </c>
      <c r="CF5" s="1236" t="e">
        <f>CF3-CE3</f>
        <v>#VALUE!</v>
      </c>
      <c r="CG5" s="1236">
        <f>CG3-CF3</f>
        <v>0</v>
      </c>
      <c r="CH5" s="1236">
        <f>CH3-CG3</f>
        <v>0</v>
      </c>
      <c r="CI5" s="1238" t="e">
        <f>SUM(CE5:CH5)</f>
        <v>#VALUE!</v>
      </c>
      <c r="CJ5" s="1236" t="e">
        <f>CJ3-CH3</f>
        <v>#VALUE!</v>
      </c>
      <c r="CK5" s="1236" t="e">
        <f>CK3-CJ3</f>
        <v>#VALUE!</v>
      </c>
      <c r="CL5" s="1236">
        <f>CL3-CK3</f>
        <v>0</v>
      </c>
      <c r="CM5" s="1236">
        <f>CM3-CL3</f>
        <v>0</v>
      </c>
      <c r="CN5" s="1238" t="e">
        <f>SUM(CJ5:CM5)</f>
        <v>#VALUE!</v>
      </c>
      <c r="CO5" s="1236" t="e">
        <f>CO3-CM3</f>
        <v>#VALUE!</v>
      </c>
      <c r="CP5" s="1236" t="e">
        <f>CP3-CO3</f>
        <v>#VALUE!</v>
      </c>
      <c r="CQ5" s="1236">
        <f>CQ3-CP3</f>
        <v>0</v>
      </c>
      <c r="CR5" s="1236">
        <f>CR3-CQ3</f>
        <v>0</v>
      </c>
      <c r="CS5" s="1238" t="e">
        <f>SUM(CO5:CR5)</f>
        <v>#VALUE!</v>
      </c>
      <c r="CT5" s="1236" t="e">
        <f>CT3-CR3</f>
        <v>#VALUE!</v>
      </c>
      <c r="CU5" s="1236" t="e">
        <f>CU3-CT3</f>
        <v>#VALUE!</v>
      </c>
      <c r="CV5" s="1236">
        <f>CV3-CU3</f>
        <v>0</v>
      </c>
      <c r="CW5" s="1236">
        <f>CW3-CV3</f>
        <v>0</v>
      </c>
      <c r="CX5" s="1238" t="e">
        <f>SUM(CT5:CW5)</f>
        <v>#VALUE!</v>
      </c>
      <c r="CY5" s="1236" t="e">
        <f>CY3-CW3</f>
        <v>#VALUE!</v>
      </c>
      <c r="CZ5" s="1236" t="e">
        <f>CZ3-CY3</f>
        <v>#VALUE!</v>
      </c>
      <c r="DA5" s="1236">
        <f>DA3-CZ3</f>
        <v>0</v>
      </c>
      <c r="DB5" s="1236">
        <f>DB3-DA3</f>
        <v>0</v>
      </c>
      <c r="DC5" s="1238" t="e">
        <f>SUM(CY5:DB5)</f>
        <v>#VALUE!</v>
      </c>
      <c r="DD5" s="1236" t="e">
        <v>#VALUE!</v>
      </c>
      <c r="DE5" s="1236" t="e">
        <v>#VALUE!</v>
      </c>
      <c r="DF5" s="1236">
        <v>0</v>
      </c>
      <c r="DG5" s="1236">
        <v>0</v>
      </c>
      <c r="DH5" s="1238" t="e">
        <v>#VALUE!</v>
      </c>
      <c r="DI5" s="1236"/>
      <c r="DJ5" s="1236"/>
      <c r="DK5" s="1236"/>
      <c r="DL5" s="1236"/>
      <c r="DM5" s="1238"/>
      <c r="DN5" s="1236"/>
      <c r="DO5" s="1236"/>
      <c r="DP5" s="1236"/>
      <c r="DQ5" s="1236"/>
      <c r="DR5" s="1238"/>
      <c r="DS5" s="1236"/>
      <c r="DT5" s="1236"/>
      <c r="DU5" s="1236"/>
      <c r="DV5" s="1236"/>
      <c r="DW5" s="1238"/>
      <c r="DX5" s="1236"/>
      <c r="DY5" s="1236"/>
      <c r="DZ5" s="1236"/>
      <c r="EA5" s="1236"/>
      <c r="EB5" s="1238"/>
      <c r="EC5" s="1236"/>
      <c r="ED5" s="1236"/>
      <c r="EE5" s="1236"/>
      <c r="EF5" s="1236"/>
      <c r="EG5" s="1238"/>
      <c r="EH5" s="1236"/>
      <c r="EI5" s="1236"/>
      <c r="EJ5" s="1236"/>
      <c r="EK5" s="1236"/>
      <c r="EL5" s="1238"/>
    </row>
    <row r="6" spans="1:142" ht="3.75" customHeight="1" collapsed="1">
      <c r="A6" s="555"/>
      <c r="B6" s="555"/>
      <c r="C6" s="555"/>
      <c r="D6" s="555"/>
      <c r="E6" s="555"/>
      <c r="F6" s="555"/>
      <c r="G6" s="555"/>
      <c r="H6" s="802"/>
      <c r="I6" s="555"/>
      <c r="J6" s="555"/>
      <c r="K6" s="555"/>
      <c r="L6" s="555"/>
      <c r="M6" s="802"/>
      <c r="N6" s="555"/>
      <c r="O6" s="555"/>
      <c r="P6" s="555"/>
      <c r="Q6" s="555"/>
      <c r="R6" s="802"/>
      <c r="S6" s="555"/>
      <c r="T6" s="555"/>
      <c r="U6" s="555"/>
      <c r="V6" s="555"/>
      <c r="W6" s="802"/>
      <c r="X6" s="555"/>
      <c r="Y6" s="555"/>
      <c r="Z6" s="555"/>
      <c r="AA6" s="555"/>
      <c r="AB6" s="802"/>
      <c r="AC6" s="555"/>
      <c r="AD6" s="555"/>
      <c r="AE6" s="555"/>
      <c r="AF6" s="555"/>
      <c r="AG6" s="802"/>
      <c r="AH6" s="555"/>
      <c r="AI6" s="555"/>
      <c r="AJ6" s="555"/>
      <c r="AK6" s="555"/>
      <c r="AL6" s="802"/>
      <c r="AM6" s="555"/>
      <c r="AN6" s="555"/>
      <c r="AO6" s="555"/>
      <c r="AP6" s="555"/>
      <c r="AQ6" s="802"/>
      <c r="AR6" s="555"/>
      <c r="AS6" s="555"/>
      <c r="AT6" s="555"/>
      <c r="AU6" s="557"/>
      <c r="AV6" s="555"/>
      <c r="AW6" s="555"/>
      <c r="AX6" s="555"/>
      <c r="AY6" s="555"/>
      <c r="AZ6" s="802"/>
      <c r="BA6" s="555"/>
      <c r="BB6" s="555"/>
      <c r="BC6" s="555"/>
      <c r="BD6" s="555"/>
      <c r="BE6" s="802"/>
      <c r="BF6" s="555"/>
      <c r="BG6" s="555"/>
      <c r="BH6" s="555"/>
      <c r="BI6" s="555"/>
      <c r="BJ6" s="802"/>
      <c r="BK6" s="555"/>
      <c r="BL6" s="555"/>
      <c r="BM6" s="555"/>
      <c r="BN6" s="555"/>
      <c r="BO6" s="802"/>
      <c r="BP6" s="555"/>
      <c r="BQ6" s="555"/>
      <c r="BR6" s="555"/>
      <c r="BS6" s="555"/>
      <c r="BT6" s="802"/>
      <c r="BU6" s="555"/>
      <c r="BV6" s="555"/>
      <c r="BW6" s="555"/>
      <c r="BX6" s="555"/>
      <c r="BY6" s="802"/>
      <c r="BZ6" s="555"/>
      <c r="CA6" s="555"/>
      <c r="CB6" s="555"/>
      <c r="CC6" s="555"/>
      <c r="CD6" s="802"/>
      <c r="CE6" s="555"/>
      <c r="CF6" s="555"/>
      <c r="CG6" s="555"/>
      <c r="CH6" s="555"/>
      <c r="CI6" s="802"/>
      <c r="CJ6" s="555"/>
      <c r="CK6" s="555"/>
      <c r="CL6" s="555"/>
      <c r="CM6" s="555"/>
      <c r="CN6" s="802"/>
      <c r="CO6" s="555"/>
      <c r="CP6" s="555"/>
      <c r="CQ6" s="555"/>
      <c r="CR6" s="555"/>
      <c r="CS6" s="802"/>
      <c r="CT6" s="555"/>
      <c r="CU6" s="555"/>
      <c r="CV6" s="555"/>
      <c r="CW6" s="555"/>
      <c r="CX6" s="802"/>
      <c r="CY6" s="555"/>
      <c r="CZ6" s="555"/>
      <c r="DA6" s="555"/>
      <c r="DB6" s="555"/>
      <c r="DC6" s="802"/>
      <c r="DD6" s="555"/>
      <c r="DE6" s="555"/>
      <c r="DF6" s="555"/>
      <c r="DG6" s="555"/>
      <c r="DH6" s="802"/>
      <c r="DI6" s="555"/>
      <c r="DJ6" s="555"/>
      <c r="DK6" s="555"/>
      <c r="DL6" s="555"/>
      <c r="DM6" s="802"/>
      <c r="DN6" s="555"/>
      <c r="DO6" s="555"/>
      <c r="DP6" s="555"/>
      <c r="DQ6" s="555"/>
      <c r="DR6" s="802"/>
      <c r="DS6" s="555"/>
      <c r="DT6" s="555"/>
      <c r="DU6" s="555"/>
      <c r="DV6" s="555"/>
      <c r="DW6" s="802"/>
      <c r="DX6" s="555"/>
      <c r="DY6" s="555"/>
      <c r="DZ6" s="555"/>
      <c r="EA6" s="555"/>
      <c r="EB6" s="802"/>
      <c r="EC6" s="555"/>
      <c r="ED6" s="555"/>
      <c r="EE6" s="555"/>
      <c r="EF6" s="555"/>
      <c r="EG6" s="802"/>
      <c r="EH6" s="555"/>
      <c r="EI6" s="555"/>
      <c r="EJ6" s="555"/>
      <c r="EK6" s="555"/>
      <c r="EL6" s="802"/>
    </row>
    <row r="7" spans="1:142" ht="12" customHeight="1">
      <c r="A7" s="192"/>
      <c r="B7" s="192"/>
      <c r="C7" s="171"/>
      <c r="D7" s="171"/>
      <c r="E7" s="171"/>
      <c r="F7" s="171"/>
      <c r="G7" s="171"/>
      <c r="H7" s="193"/>
      <c r="I7" s="171"/>
      <c r="J7" s="171"/>
      <c r="K7" s="171"/>
      <c r="L7" s="171"/>
      <c r="M7" s="193"/>
      <c r="N7" s="171"/>
      <c r="O7" s="171"/>
      <c r="P7" s="171"/>
      <c r="Q7" s="171"/>
      <c r="R7" s="193"/>
      <c r="S7" s="171"/>
      <c r="T7" s="171"/>
      <c r="U7" s="171"/>
      <c r="V7" s="171"/>
      <c r="W7" s="193"/>
      <c r="X7" s="171"/>
      <c r="Y7" s="171"/>
      <c r="Z7" s="171"/>
      <c r="AA7" s="171"/>
      <c r="AB7" s="193"/>
      <c r="AC7" s="171"/>
      <c r="AD7" s="171"/>
      <c r="AE7" s="171"/>
      <c r="AF7" s="171"/>
      <c r="AG7" s="193"/>
      <c r="AH7" s="171"/>
      <c r="AI7" s="171"/>
      <c r="AJ7" s="171"/>
      <c r="AK7" s="171"/>
      <c r="AL7" s="193"/>
      <c r="AM7" s="171"/>
      <c r="AN7" s="171"/>
      <c r="AO7" s="171"/>
      <c r="AP7" s="171"/>
      <c r="AQ7" s="193"/>
      <c r="AR7" s="171"/>
      <c r="AS7" s="171"/>
      <c r="AT7" s="171"/>
      <c r="AU7" s="395"/>
      <c r="AV7" s="171"/>
      <c r="AW7" s="171"/>
      <c r="AX7" s="171"/>
      <c r="AY7" s="171"/>
      <c r="AZ7" s="193"/>
      <c r="BA7" s="171"/>
      <c r="BB7" s="171"/>
      <c r="BC7" s="171"/>
      <c r="BD7" s="171"/>
      <c r="BE7" s="193"/>
      <c r="BF7" s="171"/>
      <c r="BG7" s="171"/>
      <c r="BH7" s="171"/>
      <c r="BI7" s="171"/>
      <c r="BJ7" s="193"/>
      <c r="BK7" s="171"/>
      <c r="BL7" s="171"/>
      <c r="BM7" s="171"/>
      <c r="BN7" s="171"/>
      <c r="BO7" s="193"/>
      <c r="BP7" s="171"/>
      <c r="BQ7" s="171"/>
      <c r="BR7" s="171"/>
      <c r="BS7" s="171"/>
      <c r="BT7" s="193"/>
      <c r="BU7" s="171"/>
      <c r="BV7" s="171"/>
      <c r="BW7" s="171"/>
      <c r="BX7" s="171"/>
      <c r="BY7" s="193"/>
      <c r="BZ7" s="171"/>
      <c r="CA7" s="171"/>
      <c r="CB7" s="171"/>
      <c r="CC7" s="171"/>
      <c r="CD7" s="193"/>
      <c r="CE7" s="171"/>
      <c r="CF7" s="171"/>
      <c r="CG7" s="171"/>
      <c r="CH7" s="171"/>
      <c r="CI7" s="193"/>
      <c r="CJ7" s="171"/>
      <c r="CK7" s="171"/>
      <c r="CL7" s="171"/>
      <c r="CM7" s="171"/>
      <c r="CN7" s="193"/>
      <c r="CO7" s="171"/>
      <c r="CP7" s="171"/>
      <c r="CQ7" s="171"/>
      <c r="CR7" s="171"/>
      <c r="CS7" s="193"/>
      <c r="CT7" s="171"/>
      <c r="CU7" s="171"/>
      <c r="CV7" s="171"/>
      <c r="CW7" s="171"/>
      <c r="CX7" s="193"/>
      <c r="CY7" s="171"/>
      <c r="CZ7" s="171"/>
      <c r="DA7" s="171"/>
      <c r="DB7" s="171"/>
      <c r="DC7" s="193"/>
      <c r="DD7" s="171"/>
      <c r="DE7" s="171"/>
      <c r="DF7" s="171"/>
      <c r="DG7" s="171"/>
      <c r="DH7" s="193"/>
      <c r="DI7" s="171"/>
      <c r="DJ7" s="171"/>
      <c r="DK7" s="171"/>
      <c r="DL7" s="171"/>
      <c r="DM7" s="193"/>
      <c r="DN7" s="171"/>
      <c r="DO7" s="171"/>
      <c r="DP7" s="171"/>
      <c r="DQ7" s="171"/>
      <c r="DR7" s="193"/>
      <c r="DS7" s="171"/>
      <c r="DT7" s="171"/>
      <c r="DU7" s="171"/>
      <c r="DV7" s="171"/>
      <c r="DW7" s="193"/>
      <c r="DX7" s="171"/>
      <c r="DY7" s="171"/>
      <c r="DZ7" s="171"/>
      <c r="EA7" s="171"/>
      <c r="EB7" s="193"/>
      <c r="EC7" s="171"/>
      <c r="ED7" s="171"/>
      <c r="EE7" s="171"/>
      <c r="EF7" s="171"/>
      <c r="EG7" s="193"/>
      <c r="EH7" s="171"/>
      <c r="EI7" s="171"/>
      <c r="EJ7" s="171"/>
      <c r="EK7" s="171"/>
      <c r="EL7" s="193"/>
    </row>
    <row r="8" spans="1:142" ht="12" customHeight="1">
      <c r="A8" s="156"/>
      <c r="B8" s="156" t="s">
        <v>383</v>
      </c>
      <c r="C8" s="156"/>
      <c r="D8" s="156">
        <f>'Revenue Model'!D86</f>
        <v>49078</v>
      </c>
      <c r="E8" s="156">
        <f>'Revenue Model'!E86</f>
        <v>48663</v>
      </c>
      <c r="F8" s="156">
        <f>'Revenue Model'!F86</f>
        <v>51882</v>
      </c>
      <c r="G8" s="156">
        <f>'Revenue Model'!G86</f>
        <v>118245</v>
      </c>
      <c r="H8" s="396">
        <f>'Revenue Model'!H86</f>
        <v>267868</v>
      </c>
      <c r="I8" s="156">
        <f>'Revenue Model'!I86</f>
        <v>111503</v>
      </c>
      <c r="J8" s="156">
        <f>'Revenue Model'!J86</f>
        <v>120363</v>
      </c>
      <c r="K8" s="156">
        <f>'Revenue Model'!K86</f>
        <v>130536</v>
      </c>
      <c r="L8" s="156">
        <f>'Revenue Model'!L86</f>
        <v>125199</v>
      </c>
      <c r="M8" s="396">
        <f>'Revenue Model'!M86</f>
        <v>487601</v>
      </c>
      <c r="N8" s="156">
        <f>'Revenue Model'!N86</f>
        <v>122210</v>
      </c>
      <c r="O8" s="156">
        <f>'Revenue Model'!O86</f>
        <v>124564</v>
      </c>
      <c r="P8" s="156">
        <f>'Revenue Model'!P86</f>
        <v>212850</v>
      </c>
      <c r="Q8" s="156">
        <f>'Revenue Model'!Q86</f>
        <v>327263</v>
      </c>
      <c r="R8" s="396">
        <f>'Revenue Model'!R86</f>
        <v>786887</v>
      </c>
      <c r="S8" s="156">
        <f>'Revenue Model'!S86</f>
        <v>205572</v>
      </c>
      <c r="T8" s="156">
        <f>'Revenue Model'!T86</f>
        <v>213270</v>
      </c>
      <c r="U8" s="156">
        <f>'Revenue Model'!U86</f>
        <v>230955</v>
      </c>
      <c r="V8" s="156">
        <f>'Revenue Model'!V86</f>
        <v>222636</v>
      </c>
      <c r="W8" s="396">
        <f>'Revenue Model'!W86</f>
        <v>872433</v>
      </c>
      <c r="X8" s="156">
        <f>'Revenue Model'!X86</f>
        <v>219167</v>
      </c>
      <c r="Y8" s="156">
        <f>'Revenue Model'!Y86</f>
        <v>221499</v>
      </c>
      <c r="Z8" s="156">
        <f>'Revenue Model'!Z86</f>
        <v>248646</v>
      </c>
      <c r="AA8" s="156">
        <f>'Revenue Model'!AA86</f>
        <v>250935</v>
      </c>
      <c r="AB8" s="396">
        <f>'Revenue Model'!AB86</f>
        <v>940247</v>
      </c>
      <c r="AC8" s="156">
        <f>'Revenue Model'!AC86</f>
        <v>239378</v>
      </c>
      <c r="AD8" s="156">
        <f>'Revenue Model'!AD86</f>
        <v>227647</v>
      </c>
      <c r="AE8" s="156">
        <f>'Revenue Model'!AE86</f>
        <v>239792</v>
      </c>
      <c r="AF8" s="156">
        <f>'Revenue Model'!AF86</f>
        <v>229325</v>
      </c>
      <c r="AG8" s="396">
        <f>'Revenue Model'!AG86</f>
        <v>936142</v>
      </c>
      <c r="AH8" s="156">
        <f>'Revenue Model'!AH86</f>
        <v>228680</v>
      </c>
      <c r="AI8" s="156">
        <f>'Revenue Model'!AI86</f>
        <v>229281</v>
      </c>
      <c r="AJ8" s="156">
        <f>'Revenue Model'!AJ86</f>
        <v>239074</v>
      </c>
      <c r="AK8" s="156">
        <f>'Revenue Model'!AK86</f>
        <v>242566</v>
      </c>
      <c r="AL8" s="396">
        <f>'Revenue Model'!AL86</f>
        <v>939601</v>
      </c>
      <c r="AM8" s="156">
        <f>'Revenue Model'!AM86</f>
        <v>242172</v>
      </c>
      <c r="AN8" s="156">
        <f>'Revenue Model'!AN86</f>
        <v>242861</v>
      </c>
      <c r="AO8" s="156">
        <f>'Revenue Model'!AO86</f>
        <v>256840</v>
      </c>
      <c r="AP8" s="156">
        <f>'Revenue Model'!AP86</f>
        <v>259163</v>
      </c>
      <c r="AQ8" s="396">
        <f>'Revenue Model'!AQ86</f>
        <v>1001036</v>
      </c>
      <c r="AR8" s="156">
        <f>'Revenue Model'!AR86</f>
        <v>252114</v>
      </c>
      <c r="AS8" s="156">
        <f>'Revenue Model'!AS86</f>
        <v>254232</v>
      </c>
      <c r="AT8" s="156">
        <f>'Revenue Model'!AT86</f>
        <v>261601</v>
      </c>
      <c r="AU8" s="397"/>
      <c r="AV8" s="398" t="str">
        <f>'Revenue Model'!AV86</f>
        <v>ND</v>
      </c>
      <c r="AW8" s="398" t="str">
        <f>'Revenue Model'!AW86</f>
        <v>ND</v>
      </c>
      <c r="AX8" s="398" t="str">
        <f>'Revenue Model'!AX86</f>
        <v>ND</v>
      </c>
      <c r="AY8" s="398" t="str">
        <f>'Revenue Model'!AY86</f>
        <v>ND</v>
      </c>
      <c r="AZ8" s="157">
        <f>'Revenue Model'!AZ86</f>
        <v>0</v>
      </c>
      <c r="BA8" s="156">
        <f>'Revenue Model'!BA86</f>
        <v>243226</v>
      </c>
      <c r="BB8" s="156">
        <f>'Revenue Model'!BB86</f>
        <v>236059</v>
      </c>
      <c r="BC8" s="156">
        <f>'Revenue Model'!BC86</f>
        <v>237374</v>
      </c>
      <c r="BD8" s="156">
        <f>'Revenue Model'!BD86</f>
        <v>229981</v>
      </c>
      <c r="BE8" s="396">
        <f>'Revenue Model'!BE86</f>
        <v>946640</v>
      </c>
      <c r="BF8" s="399">
        <f>'Revenue Model'!BF86</f>
        <v>185253</v>
      </c>
      <c r="BG8" s="399">
        <f>'Revenue Model'!BG86</f>
        <v>174079</v>
      </c>
      <c r="BH8" s="399">
        <f>'Revenue Model'!BH86</f>
        <v>170713</v>
      </c>
      <c r="BI8" s="399">
        <f>'Revenue Model'!BI86</f>
        <v>169343</v>
      </c>
      <c r="BJ8" s="396">
        <f>'Revenue Model'!BJ86</f>
        <v>699388</v>
      </c>
      <c r="BK8" s="399">
        <f>'Revenue Model'!BK86</f>
        <v>178458</v>
      </c>
      <c r="BL8" s="399">
        <f>'Revenue Model'!BL86</f>
        <v>168526</v>
      </c>
      <c r="BM8" s="399">
        <f>'Revenue Model'!BM86</f>
        <v>163707</v>
      </c>
      <c r="BN8" s="399">
        <f>'Revenue Model'!BN86</f>
        <v>157896</v>
      </c>
      <c r="BO8" s="396">
        <f>'Revenue Model'!BO86</f>
        <v>668587</v>
      </c>
      <c r="BP8" s="399">
        <f>'Revenue Model'!BP86</f>
        <v>166426</v>
      </c>
      <c r="BQ8" s="399">
        <f>'Revenue Model'!BQ86</f>
        <v>142976</v>
      </c>
      <c r="BR8" s="399">
        <f>'Revenue Model'!BR86</f>
        <v>141203</v>
      </c>
      <c r="BS8" s="399">
        <f>'Revenue Model'!BS86</f>
        <v>143110</v>
      </c>
      <c r="BT8" s="396">
        <f>'Revenue Model'!BT86</f>
        <v>593715</v>
      </c>
      <c r="BU8" s="399">
        <f>'Revenue Model'!BU86</f>
        <v>148368</v>
      </c>
      <c r="BV8" s="399">
        <f>'Revenue Model'!BV86</f>
        <v>139832</v>
      </c>
      <c r="BW8" s="399">
        <f>'Revenue Model'!BW86</f>
        <v>136373</v>
      </c>
      <c r="BX8" s="399">
        <f>'Revenue Model'!BX86</f>
        <v>139449</v>
      </c>
      <c r="BY8" s="396">
        <f>'Revenue Model'!BY86</f>
        <v>564022</v>
      </c>
      <c r="BZ8" s="399">
        <f>'Revenue Model'!BZ86</f>
        <v>146057</v>
      </c>
      <c r="CA8" s="399">
        <f>'Revenue Model'!CA86</f>
        <v>133983</v>
      </c>
      <c r="CB8" s="399">
        <f>'Revenue Model'!CB86</f>
        <v>130545</v>
      </c>
      <c r="CC8" s="399">
        <f>'Revenue Model'!CC86</f>
        <v>131693</v>
      </c>
      <c r="CD8" s="396">
        <f>'Revenue Model'!CD86</f>
        <v>542278</v>
      </c>
      <c r="CE8" s="399">
        <f>'Revenue Model'!CE86</f>
        <v>136766</v>
      </c>
      <c r="CF8" s="399">
        <f>'Revenue Model'!CF86</f>
        <v>130308</v>
      </c>
      <c r="CG8" s="399">
        <f>'Revenue Model'!CG86</f>
        <v>130258</v>
      </c>
      <c r="CH8" s="399">
        <f>'Revenue Model'!CH86</f>
        <v>129631</v>
      </c>
      <c r="CI8" s="396">
        <f>'Revenue Model'!CI86</f>
        <v>526963</v>
      </c>
      <c r="CJ8" s="399">
        <f>'Revenue Model'!CJ86</f>
        <v>132599</v>
      </c>
      <c r="CK8" s="399">
        <f>'Revenue Model'!CK86</f>
        <v>127751</v>
      </c>
      <c r="CL8" s="399">
        <f>'Revenue Model'!CL86</f>
        <v>125645</v>
      </c>
      <c r="CM8" s="399">
        <f>'Revenue Model'!CM86</f>
        <v>126977</v>
      </c>
      <c r="CN8" s="396">
        <f>'Revenue Model'!CN86</f>
        <v>512972</v>
      </c>
      <c r="CO8" s="399">
        <f>'Revenue Model'!CO86</f>
        <v>131437</v>
      </c>
      <c r="CP8" s="399">
        <f>'Revenue Model'!CP86</f>
        <v>125592</v>
      </c>
      <c r="CQ8" s="399">
        <f>'Revenue Model'!CQ86</f>
        <v>125458</v>
      </c>
      <c r="CR8" s="399">
        <f>'Revenue Model'!CR86</f>
        <v>125347</v>
      </c>
      <c r="CS8" s="396">
        <f>'Revenue Model'!CS86</f>
        <v>507834</v>
      </c>
      <c r="CT8" s="399">
        <f>'Revenue Model'!CT86</f>
        <v>131190</v>
      </c>
      <c r="CU8" s="399">
        <f>'Revenue Model'!CU86</f>
        <v>125136</v>
      </c>
      <c r="CV8" s="399">
        <f>'Revenue Model'!CV86</f>
        <v>124869</v>
      </c>
      <c r="CW8" s="399">
        <f>'Revenue Model'!CW86</f>
        <v>125290</v>
      </c>
      <c r="CX8" s="396">
        <f>'Revenue Model'!CX86</f>
        <v>506485</v>
      </c>
      <c r="CY8" s="399">
        <f>'Revenue Model'!CY86</f>
        <v>125929</v>
      </c>
      <c r="CZ8" s="399">
        <f>'Revenue Model'!CZ86</f>
        <v>120722</v>
      </c>
      <c r="DA8" s="399">
        <f>'Revenue Model'!DA86</f>
        <v>121569</v>
      </c>
      <c r="DB8" s="399">
        <f>'Revenue Model'!DB86</f>
        <v>190506</v>
      </c>
      <c r="DC8" s="396">
        <f>'Revenue Model'!DC86</f>
        <v>558726</v>
      </c>
      <c r="DD8" s="399">
        <v>194273</v>
      </c>
      <c r="DE8" s="399">
        <v>194641</v>
      </c>
      <c r="DF8" s="399">
        <v>199914</v>
      </c>
      <c r="DG8" s="399">
        <v>202337</v>
      </c>
      <c r="DH8" s="396">
        <v>791165</v>
      </c>
      <c r="DI8" s="399">
        <f>'Revenue Model'!DI86</f>
        <v>208333</v>
      </c>
      <c r="DJ8" s="399">
        <f>'Revenue Model'!DJ86</f>
        <v>201908</v>
      </c>
      <c r="DK8" s="399">
        <f>'Revenue Model'!DK86</f>
        <v>201870</v>
      </c>
      <c r="DL8" s="399">
        <f>'Revenue Model'!DL86</f>
        <v>211991</v>
      </c>
      <c r="DM8" s="396">
        <f>'Revenue Model'!DM86</f>
        <v>824102</v>
      </c>
      <c r="DN8" s="399">
        <f>'Revenue Model'!DN86</f>
        <v>211799</v>
      </c>
      <c r="DO8" s="399">
        <f>'Revenue Model'!DO86</f>
        <v>193898</v>
      </c>
      <c r="DP8" s="399">
        <f>'Revenue Model'!DP86</f>
        <v>194342</v>
      </c>
      <c r="DQ8" s="399">
        <f>'Revenue Model'!DQ86</f>
        <v>192101</v>
      </c>
      <c r="DR8" s="396">
        <f>'Revenue Model'!DR86</f>
        <v>792140</v>
      </c>
      <c r="DS8" s="399">
        <f>'Revenue Model'!DS86</f>
        <v>196182</v>
      </c>
      <c r="DT8" s="399">
        <f>'Revenue Model'!DT86</f>
        <v>189473</v>
      </c>
      <c r="DU8" s="399">
        <f>'Revenue Model'!DU86</f>
        <v>181970</v>
      </c>
      <c r="DV8" s="399">
        <f>'Revenue Model'!DV86</f>
        <v>184877</v>
      </c>
      <c r="DW8" s="396">
        <f>'Revenue Model'!DW86</f>
        <v>752502</v>
      </c>
      <c r="DX8" s="399">
        <f>'Revenue Model'!DX86</f>
        <v>173116.78680988014</v>
      </c>
      <c r="DY8" s="399">
        <f>'Revenue Model'!DY86</f>
        <v>168337.61108139242</v>
      </c>
      <c r="DZ8" s="399">
        <f>'Revenue Model'!DZ86</f>
        <v>162859.01787755243</v>
      </c>
      <c r="EA8" s="399">
        <f>'Revenue Model'!EA86</f>
        <v>158618.68527636607</v>
      </c>
      <c r="EB8" s="396">
        <f>'Revenue Model'!EB86</f>
        <v>662932.10104519106</v>
      </c>
      <c r="EC8" s="399">
        <f>'Revenue Model'!EC86</f>
        <v>164986.73450684792</v>
      </c>
      <c r="ED8" s="399">
        <f>'Revenue Model'!ED86</f>
        <v>166224.13501564928</v>
      </c>
      <c r="EE8" s="399">
        <f>'Revenue Model'!EE86</f>
        <v>167470.81602826665</v>
      </c>
      <c r="EF8" s="399">
        <f>'Revenue Model'!EF86</f>
        <v>168726.84714847867</v>
      </c>
      <c r="EG8" s="396">
        <f>'Revenue Model'!EG86</f>
        <v>667408.53269924247</v>
      </c>
      <c r="EH8" s="399">
        <f>'Revenue Model'!EH86</f>
        <v>169570.48138422106</v>
      </c>
      <c r="EI8" s="399">
        <f>'Revenue Model'!EI86</f>
        <v>170418.33379114215</v>
      </c>
      <c r="EJ8" s="399">
        <f>'Revenue Model'!EJ86</f>
        <v>171270.42546009785</v>
      </c>
      <c r="EK8" s="399">
        <f>'Revenue Model'!EK86</f>
        <v>172126.7775873983</v>
      </c>
      <c r="EL8" s="396">
        <f>'Revenue Model'!EL86</f>
        <v>683386.01822285936</v>
      </c>
    </row>
    <row r="9" spans="1:142">
      <c r="A9" s="400"/>
      <c r="B9" s="400" t="s">
        <v>109</v>
      </c>
      <c r="C9" s="401"/>
      <c r="D9" s="401"/>
      <c r="E9" s="401"/>
      <c r="F9" s="401"/>
      <c r="G9" s="401"/>
      <c r="H9" s="402"/>
      <c r="I9" s="403">
        <f t="shared" ref="I9:AT9" si="0">IF(ISERROR(I8/D8-1),"nm",I8/D8-1)</f>
        <v>1.271954847385794</v>
      </c>
      <c r="J9" s="403">
        <f t="shared" si="0"/>
        <v>1.4733986807225201</v>
      </c>
      <c r="K9" s="403">
        <f t="shared" si="0"/>
        <v>1.516017115762692</v>
      </c>
      <c r="L9" s="403">
        <f t="shared" si="0"/>
        <v>5.8810097678548834E-2</v>
      </c>
      <c r="M9" s="402">
        <f t="shared" si="0"/>
        <v>0.82030328370690042</v>
      </c>
      <c r="N9" s="403">
        <f t="shared" si="0"/>
        <v>9.6024322215545688E-2</v>
      </c>
      <c r="O9" s="403">
        <f t="shared" si="0"/>
        <v>3.490275250699959E-2</v>
      </c>
      <c r="P9" s="403">
        <f t="shared" si="0"/>
        <v>0.63058466629895205</v>
      </c>
      <c r="Q9" s="403">
        <f t="shared" si="0"/>
        <v>1.6139426033754263</v>
      </c>
      <c r="R9" s="402">
        <f t="shared" si="0"/>
        <v>0.61379283471526924</v>
      </c>
      <c r="S9" s="403">
        <f t="shared" si="0"/>
        <v>0.68212093936666385</v>
      </c>
      <c r="T9" s="403">
        <f t="shared" si="0"/>
        <v>0.71213191612343851</v>
      </c>
      <c r="U9" s="403">
        <f t="shared" si="0"/>
        <v>8.5059901338971011E-2</v>
      </c>
      <c r="V9" s="403">
        <f t="shared" si="0"/>
        <v>-0.31970311339809265</v>
      </c>
      <c r="W9" s="402">
        <f t="shared" si="0"/>
        <v>0.10871446599066958</v>
      </c>
      <c r="X9" s="403">
        <f t="shared" si="0"/>
        <v>6.6132547234059036E-2</v>
      </c>
      <c r="Y9" s="403">
        <f t="shared" si="0"/>
        <v>3.8584892389928349E-2</v>
      </c>
      <c r="Z9" s="403">
        <f t="shared" si="0"/>
        <v>7.6599337533285627E-2</v>
      </c>
      <c r="AA9" s="403">
        <f t="shared" si="0"/>
        <v>0.12710882337088347</v>
      </c>
      <c r="AB9" s="402">
        <f t="shared" si="0"/>
        <v>7.7729751167138428E-2</v>
      </c>
      <c r="AC9" s="403">
        <f t="shared" si="0"/>
        <v>9.2217350239771401E-2</v>
      </c>
      <c r="AD9" s="403">
        <f t="shared" si="0"/>
        <v>2.7756332985702015E-2</v>
      </c>
      <c r="AE9" s="403">
        <f t="shared" si="0"/>
        <v>-3.5608857572613228E-2</v>
      </c>
      <c r="AF9" s="403">
        <f t="shared" si="0"/>
        <v>-8.6117918983003583E-2</v>
      </c>
      <c r="AG9" s="402">
        <f t="shared" si="0"/>
        <v>-4.3658740735147417E-3</v>
      </c>
      <c r="AH9" s="403">
        <f t="shared" si="0"/>
        <v>-4.4690823718136152E-2</v>
      </c>
      <c r="AI9" s="403">
        <f t="shared" si="0"/>
        <v>7.1777796325012133E-3</v>
      </c>
      <c r="AJ9" s="403">
        <f t="shared" si="0"/>
        <v>-2.9942616934677257E-3</v>
      </c>
      <c r="AK9" s="403">
        <f t="shared" si="0"/>
        <v>5.7739016679385191E-2</v>
      </c>
      <c r="AL9" s="402">
        <f t="shared" si="0"/>
        <v>3.6949522615159491E-3</v>
      </c>
      <c r="AM9" s="403">
        <f t="shared" si="0"/>
        <v>5.8999475249256639E-2</v>
      </c>
      <c r="AN9" s="403">
        <f t="shared" si="0"/>
        <v>5.9228632115177371E-2</v>
      </c>
      <c r="AO9" s="403">
        <f t="shared" si="0"/>
        <v>7.4311719383956421E-2</v>
      </c>
      <c r="AP9" s="403">
        <f t="shared" si="0"/>
        <v>6.8422614875951249E-2</v>
      </c>
      <c r="AQ9" s="402">
        <f t="shared" si="0"/>
        <v>6.538413645792196E-2</v>
      </c>
      <c r="AR9" s="403">
        <f t="shared" si="0"/>
        <v>4.1053466131509841E-2</v>
      </c>
      <c r="AS9" s="403">
        <f t="shared" si="0"/>
        <v>4.6821021077900538E-2</v>
      </c>
      <c r="AT9" s="403">
        <f t="shared" si="0"/>
        <v>1.8536832269117065E-2</v>
      </c>
      <c r="AU9" s="404"/>
      <c r="AV9" s="405"/>
      <c r="AW9" s="405"/>
      <c r="AX9" s="405"/>
      <c r="AY9" s="405"/>
      <c r="AZ9" s="406"/>
      <c r="BA9" s="403" t="str">
        <f>IF(ISERROR(BA8/AV8-1),"nm",BA8/AV8-1)</f>
        <v>nm</v>
      </c>
      <c r="BB9" s="403" t="str">
        <f>IF(ISERROR(BB8/AW8-1),"nm",BB8/AW8-1)</f>
        <v>nm</v>
      </c>
      <c r="BC9" s="403" t="str">
        <f>IF(ISERROR(BC8/AX8-1),"nm",BC8/AX8-1)</f>
        <v>nm</v>
      </c>
      <c r="BD9" s="403" t="str">
        <f>IF(ISERROR(BD8/AY8-1),"nm",BD8/AY8-1)</f>
        <v>nm</v>
      </c>
      <c r="BE9" s="402" t="str">
        <f>IF(ISERROR(BE8/AZ8-1),"nm",BE8/AZ8-1)</f>
        <v>nm</v>
      </c>
      <c r="BF9" s="407">
        <f t="shared" ref="BF9:CK9" si="1">BF8/BA8-1</f>
        <v>-0.23835034083527251</v>
      </c>
      <c r="BG9" s="407">
        <f t="shared" si="1"/>
        <v>-0.26256147827449916</v>
      </c>
      <c r="BH9" s="407">
        <f t="shared" si="1"/>
        <v>-0.2808268807872808</v>
      </c>
      <c r="BI9" s="408">
        <f t="shared" si="1"/>
        <v>-0.26366525930402951</v>
      </c>
      <c r="BJ9" s="408">
        <f t="shared" si="1"/>
        <v>-0.26118904757880501</v>
      </c>
      <c r="BK9" s="407">
        <f t="shared" si="1"/>
        <v>-3.6679567942219604E-2</v>
      </c>
      <c r="BL9" s="407">
        <f t="shared" si="1"/>
        <v>-3.1899310083353005E-2</v>
      </c>
      <c r="BM9" s="407">
        <f t="shared" si="1"/>
        <v>-4.1039639629085078E-2</v>
      </c>
      <c r="BN9" s="407">
        <f t="shared" si="1"/>
        <v>-6.759653484348338E-2</v>
      </c>
      <c r="BO9" s="406">
        <f t="shared" si="1"/>
        <v>-4.4039932054882214E-2</v>
      </c>
      <c r="BP9" s="407">
        <f t="shared" si="1"/>
        <v>-6.7422026471214536E-2</v>
      </c>
      <c r="BQ9" s="407">
        <f t="shared" si="1"/>
        <v>-0.15160865385756506</v>
      </c>
      <c r="BR9" s="407">
        <f t="shared" si="1"/>
        <v>-0.13746510534063905</v>
      </c>
      <c r="BS9" s="407">
        <f t="shared" si="1"/>
        <v>-9.3643917515326525E-2</v>
      </c>
      <c r="BT9" s="406">
        <f t="shared" si="1"/>
        <v>-0.11198542598046324</v>
      </c>
      <c r="BU9" s="407">
        <f t="shared" si="1"/>
        <v>-0.10850468075901598</v>
      </c>
      <c r="BV9" s="407">
        <f t="shared" si="1"/>
        <v>-2.1989704565801294E-2</v>
      </c>
      <c r="BW9" s="407">
        <f t="shared" si="1"/>
        <v>-3.4206072108949548E-2</v>
      </c>
      <c r="BX9" s="407">
        <f t="shared" si="1"/>
        <v>-2.5581720354971749E-2</v>
      </c>
      <c r="BY9" s="406">
        <f t="shared" si="1"/>
        <v>-5.001221124613664E-2</v>
      </c>
      <c r="BZ9" s="407">
        <f t="shared" si="1"/>
        <v>-1.5576135015636816E-2</v>
      </c>
      <c r="CA9" s="407">
        <f t="shared" si="1"/>
        <v>-4.1828765947708679E-2</v>
      </c>
      <c r="CB9" s="407">
        <f t="shared" si="1"/>
        <v>-4.2735732146392591E-2</v>
      </c>
      <c r="CC9" s="407">
        <f t="shared" si="1"/>
        <v>-5.561890009967807E-2</v>
      </c>
      <c r="CD9" s="406">
        <f t="shared" si="1"/>
        <v>-3.8551687700125181E-2</v>
      </c>
      <c r="CE9" s="407">
        <f t="shared" si="1"/>
        <v>-6.3612151420335938E-2</v>
      </c>
      <c r="CF9" s="407">
        <f t="shared" si="1"/>
        <v>-2.7428852914175628E-2</v>
      </c>
      <c r="CG9" s="407">
        <f t="shared" si="1"/>
        <v>-2.1984756214332712E-3</v>
      </c>
      <c r="CH9" s="407">
        <f t="shared" si="1"/>
        <v>-1.5657627968077237E-2</v>
      </c>
      <c r="CI9" s="406">
        <f t="shared" si="1"/>
        <v>-2.8241971829947032E-2</v>
      </c>
      <c r="CJ9" s="407">
        <f t="shared" si="1"/>
        <v>-3.0468098796484488E-2</v>
      </c>
      <c r="CK9" s="407">
        <f t="shared" si="1"/>
        <v>-1.962273996991748E-2</v>
      </c>
      <c r="CL9" s="407">
        <f t="shared" ref="CL9:DS9" si="2">CL8/CG8-1</f>
        <v>-3.5414331557370726E-2</v>
      </c>
      <c r="CM9" s="407">
        <f t="shared" si="2"/>
        <v>-2.0473497851594136E-2</v>
      </c>
      <c r="CN9" s="406">
        <f t="shared" si="2"/>
        <v>-2.6550251156153282E-2</v>
      </c>
      <c r="CO9" s="407">
        <f t="shared" si="2"/>
        <v>-8.7632636746883819E-3</v>
      </c>
      <c r="CP9" s="407">
        <f t="shared" si="2"/>
        <v>-1.6900063404591714E-2</v>
      </c>
      <c r="CQ9" s="407">
        <f t="shared" si="2"/>
        <v>-1.4883202674200735E-3</v>
      </c>
      <c r="CR9" s="407">
        <f t="shared" si="2"/>
        <v>-1.2836970474967901E-2</v>
      </c>
      <c r="CS9" s="406">
        <f t="shared" si="2"/>
        <v>-1.0016141231880105E-2</v>
      </c>
      <c r="CT9" s="407">
        <f t="shared" si="2"/>
        <v>-1.8792273104224488E-3</v>
      </c>
      <c r="CU9" s="407">
        <f t="shared" si="2"/>
        <v>-3.6308045098414343E-3</v>
      </c>
      <c r="CV9" s="407">
        <f t="shared" si="2"/>
        <v>-4.694798259178401E-3</v>
      </c>
      <c r="CW9" s="407">
        <f t="shared" si="2"/>
        <v>-4.5473764828840579E-4</v>
      </c>
      <c r="CX9" s="406">
        <f t="shared" si="2"/>
        <v>-2.6563798406565864E-3</v>
      </c>
      <c r="CY9" s="407">
        <f t="shared" si="2"/>
        <v>-4.0102141931549706E-2</v>
      </c>
      <c r="CZ9" s="407">
        <f t="shared" si="2"/>
        <v>-3.5273622298938712E-2</v>
      </c>
      <c r="DA9" s="407">
        <f t="shared" si="2"/>
        <v>-2.6427696225644448E-2</v>
      </c>
      <c r="DB9" s="407">
        <f t="shared" si="2"/>
        <v>0.52052039268896166</v>
      </c>
      <c r="DC9" s="406">
        <f t="shared" si="2"/>
        <v>0.10314421947342955</v>
      </c>
      <c r="DD9" s="407">
        <v>0.54271851598916854</v>
      </c>
      <c r="DE9" s="407">
        <v>0.61230761584466786</v>
      </c>
      <c r="DF9" s="407">
        <v>0.64444883152777432</v>
      </c>
      <c r="DG9" s="407">
        <v>6.2103030875668042E-2</v>
      </c>
      <c r="DH9" s="406">
        <v>0.41601607943786401</v>
      </c>
      <c r="DI9" s="407">
        <f t="shared" si="2"/>
        <v>7.2372383192723655E-2</v>
      </c>
      <c r="DJ9" s="407">
        <f t="shared" si="2"/>
        <v>3.7335402099249348E-2</v>
      </c>
      <c r="DK9" s="407">
        <f t="shared" si="2"/>
        <v>9.7842072090998933E-3</v>
      </c>
      <c r="DL9" s="407">
        <f t="shared" si="2"/>
        <v>4.7712479674997699E-2</v>
      </c>
      <c r="DM9" s="406">
        <f t="shared" si="2"/>
        <v>4.1631012494233177E-2</v>
      </c>
      <c r="DN9" s="407">
        <f t="shared" si="2"/>
        <v>1.6636826618922518E-2</v>
      </c>
      <c r="DO9" s="407">
        <f t="shared" si="2"/>
        <v>-3.9671533569744621E-2</v>
      </c>
      <c r="DP9" s="407">
        <f t="shared" si="2"/>
        <v>-3.729132610095609E-2</v>
      </c>
      <c r="DQ9" s="407">
        <f t="shared" si="2"/>
        <v>-9.3824737842644224E-2</v>
      </c>
      <c r="DR9" s="406">
        <f t="shared" ref="DR9:DW9" si="3">DR8/DM8-1</f>
        <v>-3.8784034015206803E-2</v>
      </c>
      <c r="DS9" s="407">
        <f t="shared" si="2"/>
        <v>-7.3735003470271288E-2</v>
      </c>
      <c r="DT9" s="407">
        <f t="shared" si="3"/>
        <v>-2.2821277166345189E-2</v>
      </c>
      <c r="DU9" s="407">
        <f t="shared" si="3"/>
        <v>-6.3660968807565999E-2</v>
      </c>
      <c r="DV9" s="407">
        <f t="shared" si="3"/>
        <v>-3.7605218088401449E-2</v>
      </c>
      <c r="DW9" s="406">
        <f t="shared" si="3"/>
        <v>-5.0039134496427384E-2</v>
      </c>
      <c r="DX9" s="407">
        <f t="shared" ref="DX9:EG9" si="4">DX8/DS8-1</f>
        <v>-0.11757048653862157</v>
      </c>
      <c r="DY9" s="407">
        <f t="shared" si="4"/>
        <v>-0.11154828877258283</v>
      </c>
      <c r="DZ9" s="407">
        <f t="shared" si="4"/>
        <v>-0.10502270771252176</v>
      </c>
      <c r="EA9" s="407">
        <f t="shared" si="4"/>
        <v>-0.14203126794373522</v>
      </c>
      <c r="EB9" s="406">
        <f t="shared" si="4"/>
        <v>-0.11902944969556084</v>
      </c>
      <c r="EC9" s="407">
        <f t="shared" si="4"/>
        <v>-4.6962818874178747E-2</v>
      </c>
      <c r="ED9" s="407">
        <f t="shared" si="4"/>
        <v>-1.2554984309010142E-2</v>
      </c>
      <c r="EE9" s="407">
        <f t="shared" si="4"/>
        <v>2.8317732790097416E-2</v>
      </c>
      <c r="EF9" s="407">
        <f t="shared" si="4"/>
        <v>6.3726173587310031E-2</v>
      </c>
      <c r="EG9" s="406">
        <f t="shared" si="4"/>
        <v>6.7524738159365771E-3</v>
      </c>
      <c r="EH9" s="407">
        <f t="shared" ref="EH9" si="5">EH8/EC8-1</f>
        <v>2.7782517734375123E-2</v>
      </c>
      <c r="EI9" s="407">
        <f t="shared" ref="EI9" si="6">EI8/ED8-1</f>
        <v>2.5232188906250119E-2</v>
      </c>
      <c r="EJ9" s="407">
        <f t="shared" ref="EJ9" si="7">EJ8/EE8-1</f>
        <v>2.2688188437499868E-2</v>
      </c>
      <c r="EK9" s="407">
        <f t="shared" ref="EK9" si="8">EK8/EF8-1</f>
        <v>2.0150500624999568E-2</v>
      </c>
      <c r="EL9" s="406">
        <f t="shared" ref="EL9" si="9">EL8/EG8-1</f>
        <v>2.3939588334296769E-2</v>
      </c>
    </row>
    <row r="10" spans="1:142">
      <c r="A10" s="156"/>
      <c r="B10" s="156" t="s">
        <v>384</v>
      </c>
      <c r="C10" s="398"/>
      <c r="D10" s="398" t="str">
        <f>'Revenue Model'!D91</f>
        <v>ND</v>
      </c>
      <c r="E10" s="156">
        <f>'Revenue Model'!E91</f>
        <v>64496</v>
      </c>
      <c r="F10" s="156">
        <f>'Revenue Model'!F91</f>
        <v>67637</v>
      </c>
      <c r="G10" s="156">
        <f>'Revenue Model'!G91</f>
        <v>226531</v>
      </c>
      <c r="H10" s="409">
        <f>'Revenue Model'!H91</f>
        <v>358664</v>
      </c>
      <c r="I10" s="156">
        <f>'Revenue Model'!I91</f>
        <v>156687</v>
      </c>
      <c r="J10" s="156">
        <f>'Revenue Model'!J91</f>
        <v>166564</v>
      </c>
      <c r="K10" s="156">
        <f>'Revenue Model'!K91</f>
        <v>187675</v>
      </c>
      <c r="L10" s="156">
        <f>'Revenue Model'!L91</f>
        <v>178693</v>
      </c>
      <c r="M10" s="409">
        <f>'Revenue Model'!M91</f>
        <v>689619</v>
      </c>
      <c r="N10" s="156">
        <f>'Revenue Model'!N91</f>
        <v>177597</v>
      </c>
      <c r="O10" s="156">
        <f>'Revenue Model'!O91</f>
        <v>179602</v>
      </c>
      <c r="P10" s="156">
        <f>'Revenue Model'!P91</f>
        <v>301703</v>
      </c>
      <c r="Q10" s="156">
        <f>'Revenue Model'!Q91</f>
        <v>465495</v>
      </c>
      <c r="R10" s="409">
        <f>'Revenue Model'!R91</f>
        <v>1124397</v>
      </c>
      <c r="S10" s="156">
        <f>'Revenue Model'!S91</f>
        <v>289833</v>
      </c>
      <c r="T10" s="156">
        <f>'Revenue Model'!T91</f>
        <v>327578</v>
      </c>
      <c r="U10" s="156">
        <f>'Revenue Model'!U91</f>
        <v>326322</v>
      </c>
      <c r="V10" s="156">
        <f>'Revenue Model'!V91</f>
        <v>324531</v>
      </c>
      <c r="W10" s="409">
        <f>'Revenue Model'!W91</f>
        <v>1268264</v>
      </c>
      <c r="X10" s="156">
        <f>'Revenue Model'!X91</f>
        <v>322799</v>
      </c>
      <c r="Y10" s="156">
        <f>'Revenue Model'!Y91</f>
        <v>322035</v>
      </c>
      <c r="Z10" s="156">
        <f>'Revenue Model'!Z91</f>
        <v>351849</v>
      </c>
      <c r="AA10" s="156">
        <f>'Revenue Model'!AA91</f>
        <v>363341</v>
      </c>
      <c r="AB10" s="409">
        <f>'Revenue Model'!AB91</f>
        <v>1360024</v>
      </c>
      <c r="AC10" s="156">
        <f>'Revenue Model'!AC91</f>
        <v>353711</v>
      </c>
      <c r="AD10" s="156">
        <f>'Revenue Model'!AD91</f>
        <v>329667</v>
      </c>
      <c r="AE10" s="156">
        <f>'Revenue Model'!AE91</f>
        <v>335658</v>
      </c>
      <c r="AF10" s="156">
        <f>'Revenue Model'!AF91</f>
        <v>332259</v>
      </c>
      <c r="AG10" s="409">
        <f>'Revenue Model'!AG91</f>
        <v>1351295</v>
      </c>
      <c r="AH10" s="156">
        <f>'Revenue Model'!AH91</f>
        <v>322799</v>
      </c>
      <c r="AI10" s="156">
        <f>'Revenue Model'!AI91</f>
        <v>329224</v>
      </c>
      <c r="AJ10" s="156">
        <f>'Revenue Model'!AJ91</f>
        <v>334340</v>
      </c>
      <c r="AK10" s="156">
        <f>'Revenue Model'!AK91</f>
        <v>354775</v>
      </c>
      <c r="AL10" s="409">
        <f>'Revenue Model'!AL91</f>
        <v>1341138</v>
      </c>
      <c r="AM10" s="156">
        <f>'Revenue Model'!AM91</f>
        <v>350065</v>
      </c>
      <c r="AN10" s="156">
        <f>'Revenue Model'!AN91</f>
        <v>348787</v>
      </c>
      <c r="AO10" s="156">
        <f>'Revenue Model'!AO91</f>
        <v>360536</v>
      </c>
      <c r="AP10" s="156">
        <f>'Revenue Model'!AP91</f>
        <v>370164</v>
      </c>
      <c r="AQ10" s="409">
        <f>'Revenue Model'!AQ91</f>
        <v>1429552</v>
      </c>
      <c r="AR10" s="156">
        <f>'Revenue Model'!AR91</f>
        <v>360963</v>
      </c>
      <c r="AS10" s="156">
        <f>'Revenue Model'!AS91</f>
        <v>361197</v>
      </c>
      <c r="AT10" s="156">
        <f>'Revenue Model'!AT91</f>
        <v>365527</v>
      </c>
      <c r="AU10" s="410"/>
      <c r="AV10" s="398" t="str">
        <f>'Revenue Model'!AV91</f>
        <v>ND</v>
      </c>
      <c r="AW10" s="398" t="str">
        <f>'Revenue Model'!AW91</f>
        <v>ND</v>
      </c>
      <c r="AX10" s="398" t="str">
        <f>'Revenue Model'!AX91</f>
        <v>ND</v>
      </c>
      <c r="AY10" s="398" t="str">
        <f>'Revenue Model'!AY91</f>
        <v>ND</v>
      </c>
      <c r="AZ10" s="157">
        <f>'Revenue Model'!AZ91</f>
        <v>0</v>
      </c>
      <c r="BA10" s="156">
        <f>'Revenue Model'!BA91</f>
        <v>336245</v>
      </c>
      <c r="BB10" s="156">
        <f>'Revenue Model'!BB91</f>
        <v>330709</v>
      </c>
      <c r="BC10" s="156">
        <f>'Revenue Model'!BC91</f>
        <v>333203</v>
      </c>
      <c r="BD10" s="156">
        <f>'Revenue Model'!BD91</f>
        <v>319844</v>
      </c>
      <c r="BE10" s="409">
        <f>'Revenue Model'!BE91</f>
        <v>1320001</v>
      </c>
      <c r="BF10" s="411">
        <f>'Revenue Model'!BF91</f>
        <v>256158</v>
      </c>
      <c r="BG10" s="411">
        <f>'Revenue Model'!BG91</f>
        <v>246174</v>
      </c>
      <c r="BH10" s="411">
        <f>'Revenue Model'!BH91</f>
        <v>241830</v>
      </c>
      <c r="BI10" s="411">
        <f>'Revenue Model'!BI91</f>
        <v>238917</v>
      </c>
      <c r="BJ10" s="409">
        <f>'Revenue Model'!BJ91</f>
        <v>983079</v>
      </c>
      <c r="BK10" s="411">
        <f>'Revenue Model'!BK91</f>
        <v>248225</v>
      </c>
      <c r="BL10" s="411">
        <f>'Revenue Model'!BL91</f>
        <v>239747</v>
      </c>
      <c r="BM10" s="411">
        <f>'Revenue Model'!BM91</f>
        <v>233272</v>
      </c>
      <c r="BN10" s="411">
        <f>'Revenue Model'!BN91</f>
        <v>223084</v>
      </c>
      <c r="BO10" s="409">
        <f>'Revenue Model'!BO91</f>
        <v>944328</v>
      </c>
      <c r="BP10" s="411">
        <f>'Revenue Model'!BP91</f>
        <v>233356</v>
      </c>
      <c r="BQ10" s="411">
        <f>'Revenue Model'!BQ91</f>
        <v>204640</v>
      </c>
      <c r="BR10" s="411">
        <f>'Revenue Model'!BR91</f>
        <v>202489</v>
      </c>
      <c r="BS10" s="411">
        <f>'Revenue Model'!BS91</f>
        <v>203830</v>
      </c>
      <c r="BT10" s="409">
        <f>'Revenue Model'!BT91</f>
        <v>844315</v>
      </c>
      <c r="BU10" s="411">
        <f>'Revenue Model'!BU91</f>
        <v>209574</v>
      </c>
      <c r="BV10" s="411">
        <f>'Revenue Model'!BV91</f>
        <v>202820</v>
      </c>
      <c r="BW10" s="411">
        <f>'Revenue Model'!BW91</f>
        <v>198046</v>
      </c>
      <c r="BX10" s="411">
        <f>'Revenue Model'!BX91</f>
        <v>201228</v>
      </c>
      <c r="BY10" s="409">
        <f>'Revenue Model'!BY91</f>
        <v>811668</v>
      </c>
      <c r="BZ10" s="411">
        <f>'Revenue Model'!BZ91</f>
        <v>207482</v>
      </c>
      <c r="CA10" s="411">
        <f>'Revenue Model'!CA91</f>
        <v>195522</v>
      </c>
      <c r="CB10" s="411">
        <f>'Revenue Model'!CB91</f>
        <v>192799</v>
      </c>
      <c r="CC10" s="411">
        <f>'Revenue Model'!CC91</f>
        <v>193108</v>
      </c>
      <c r="CD10" s="409">
        <f>'Revenue Model'!CD91</f>
        <v>788911</v>
      </c>
      <c r="CE10" s="411">
        <f>'Revenue Model'!CE91</f>
        <v>200154</v>
      </c>
      <c r="CF10" s="411">
        <f>'Revenue Model'!CF91</f>
        <v>195962</v>
      </c>
      <c r="CG10" s="411">
        <f>'Revenue Model'!CG91</f>
        <v>197164</v>
      </c>
      <c r="CH10" s="411">
        <f>'Revenue Model'!CH91</f>
        <v>193279</v>
      </c>
      <c r="CI10" s="412">
        <f>'Revenue Model'!CI91</f>
        <v>786559</v>
      </c>
      <c r="CJ10" s="413">
        <f>'Revenue Model'!CJ91</f>
        <v>195909</v>
      </c>
      <c r="CK10" s="413">
        <f>'Revenue Model'!CK91</f>
        <v>194828</v>
      </c>
      <c r="CL10" s="413">
        <f>'Revenue Model'!CL91</f>
        <v>193670</v>
      </c>
      <c r="CM10" s="411">
        <f>'Revenue Model'!CM91</f>
        <v>194098</v>
      </c>
      <c r="CN10" s="412">
        <f>'Revenue Model'!CN91</f>
        <v>778505</v>
      </c>
      <c r="CO10" s="413">
        <f>'Revenue Model'!CO91</f>
        <v>197459</v>
      </c>
      <c r="CP10" s="413">
        <f>'Revenue Model'!CP91</f>
        <v>193971</v>
      </c>
      <c r="CQ10" s="413">
        <f>'Revenue Model'!CQ91</f>
        <v>194965</v>
      </c>
      <c r="CR10" s="413">
        <f>'Revenue Model'!CR91</f>
        <v>193631</v>
      </c>
      <c r="CS10" s="412">
        <f>'Revenue Model'!CS91</f>
        <v>780026</v>
      </c>
      <c r="CT10" s="413">
        <f>'Revenue Model'!CT91</f>
        <v>202860</v>
      </c>
      <c r="CU10" s="413">
        <f>'Revenue Model'!CU91</f>
        <v>196932</v>
      </c>
      <c r="CV10" s="413">
        <f>'Revenue Model'!CV91</f>
        <v>197778</v>
      </c>
      <c r="CW10" s="413">
        <f>'Revenue Model'!CW91</f>
        <v>199304</v>
      </c>
      <c r="CX10" s="412">
        <f>'Revenue Model'!CX91</f>
        <v>796874</v>
      </c>
      <c r="CY10" s="413">
        <f>'Revenue Model'!CY91</f>
        <v>197665</v>
      </c>
      <c r="CZ10" s="413">
        <f>'Revenue Model'!CZ91</f>
        <v>195440</v>
      </c>
      <c r="DA10" s="413">
        <f>'Revenue Model'!DA91</f>
        <v>196761</v>
      </c>
      <c r="DB10" s="413">
        <f>'Revenue Model'!DB91</f>
        <v>325410</v>
      </c>
      <c r="DC10" s="412">
        <f>'Revenue Model'!DC91</f>
        <v>915276</v>
      </c>
      <c r="DD10" s="413">
        <v>323810</v>
      </c>
      <c r="DE10" s="413">
        <v>337509</v>
      </c>
      <c r="DF10" s="413">
        <v>345787</v>
      </c>
      <c r="DG10" s="413">
        <v>347790</v>
      </c>
      <c r="DH10" s="412">
        <v>1354896</v>
      </c>
      <c r="DI10" s="413">
        <f>'Revenue Model'!DI91</f>
        <v>351893</v>
      </c>
      <c r="DJ10" s="413">
        <f>'Revenue Model'!DJ91</f>
        <v>349122</v>
      </c>
      <c r="DK10" s="413">
        <f>'Revenue Model'!DK91</f>
        <v>352328</v>
      </c>
      <c r="DL10" s="413">
        <f>'Revenue Model'!DL91</f>
        <v>371994</v>
      </c>
      <c r="DM10" s="412">
        <f>'Revenue Model'!DM91</f>
        <v>1425337</v>
      </c>
      <c r="DN10" s="413">
        <f>'Revenue Model'!DN91</f>
        <v>362819</v>
      </c>
      <c r="DO10" s="413">
        <f>'Revenue Model'!DO91</f>
        <v>342813</v>
      </c>
      <c r="DP10" s="413">
        <f>'Revenue Model'!DP91</f>
        <v>345207</v>
      </c>
      <c r="DQ10" s="413">
        <f>'Revenue Model'!DQ91</f>
        <v>338929</v>
      </c>
      <c r="DR10" s="412">
        <f>'Revenue Model'!DR91</f>
        <v>1389768</v>
      </c>
      <c r="DS10" s="413">
        <f>'Revenue Model'!DS91</f>
        <v>339522</v>
      </c>
      <c r="DT10" s="413">
        <f>'Revenue Model'!DT91</f>
        <v>335915</v>
      </c>
      <c r="DU10" s="413">
        <f>'Revenue Model'!DU91</f>
        <v>320821</v>
      </c>
      <c r="DV10" s="413">
        <f>'Revenue Model'!DV91</f>
        <v>324495</v>
      </c>
      <c r="DW10" s="412">
        <f>'Revenue Model'!DW91</f>
        <v>1320753</v>
      </c>
      <c r="DX10" s="413">
        <f ca="1">'Revenue Model'!DX91</f>
        <v>302558.55275616003</v>
      </c>
      <c r="DY10" s="413">
        <f ca="1">'Revenue Model'!DY91</f>
        <v>298182.96391776699</v>
      </c>
      <c r="DZ10" s="413">
        <f ca="1">'Revenue Model'!DZ91</f>
        <v>288317.803865275</v>
      </c>
      <c r="EA10" s="413">
        <f ca="1">'Revenue Model'!EA91</f>
        <v>277955.36472858646</v>
      </c>
      <c r="EB10" s="412">
        <f ca="1">'Revenue Model'!EB91</f>
        <v>1167014.6852677884</v>
      </c>
      <c r="EC10" s="413">
        <f>'Revenue Model'!EC91</f>
        <v>294608.24432634114</v>
      </c>
      <c r="ED10" s="413">
        <f>'Revenue Model'!ED91</f>
        <v>297190.6556437547</v>
      </c>
      <c r="EE10" s="413">
        <f>'Revenue Model'!EE91</f>
        <v>298607.72631124803</v>
      </c>
      <c r="EF10" s="413">
        <f>'Revenue Model'!EF91</f>
        <v>298679.25142256543</v>
      </c>
      <c r="EG10" s="412">
        <f>'Revenue Model'!EG91</f>
        <v>1189085.8777039093</v>
      </c>
      <c r="EH10" s="413">
        <f>'Revenue Model'!EH91</f>
        <v>302793.20309903083</v>
      </c>
      <c r="EI10" s="413">
        <f>'Revenue Model'!EI91</f>
        <v>304689.42640813021</v>
      </c>
      <c r="EJ10" s="413">
        <f>'Revenue Model'!EJ91</f>
        <v>305382.59467469103</v>
      </c>
      <c r="EK10" s="413">
        <f>'Revenue Model'!EK91</f>
        <v>304697.78786503023</v>
      </c>
      <c r="EL10" s="412">
        <f>'Revenue Model'!EL91</f>
        <v>1217563.0120468824</v>
      </c>
    </row>
    <row r="11" spans="1:142" ht="12" customHeight="1">
      <c r="A11" s="400"/>
      <c r="B11" s="400" t="s">
        <v>109</v>
      </c>
      <c r="C11" s="401"/>
      <c r="D11" s="401"/>
      <c r="E11" s="401"/>
      <c r="F11" s="401"/>
      <c r="G11" s="401"/>
      <c r="H11" s="402"/>
      <c r="I11" s="403" t="str">
        <f t="shared" ref="I11:AT11" si="10">IF(ISERROR(I10/D10-1),"nm",I10/D10-1)</f>
        <v>nm</v>
      </c>
      <c r="J11" s="403">
        <f t="shared" si="10"/>
        <v>1.5825477548995286</v>
      </c>
      <c r="K11" s="403">
        <f t="shared" si="10"/>
        <v>1.7747386785339385</v>
      </c>
      <c r="L11" s="403">
        <f t="shared" si="10"/>
        <v>-0.21117639528364773</v>
      </c>
      <c r="M11" s="402">
        <f t="shared" si="10"/>
        <v>0.92274384939664977</v>
      </c>
      <c r="N11" s="403">
        <f t="shared" si="10"/>
        <v>0.13345076490072572</v>
      </c>
      <c r="O11" s="403">
        <f t="shared" si="10"/>
        <v>7.8276218150380661E-2</v>
      </c>
      <c r="P11" s="403">
        <f t="shared" si="10"/>
        <v>0.60758225656054354</v>
      </c>
      <c r="Q11" s="403">
        <f t="shared" si="10"/>
        <v>1.6049985170096197</v>
      </c>
      <c r="R11" s="402">
        <f t="shared" si="10"/>
        <v>0.63046116768824523</v>
      </c>
      <c r="S11" s="403">
        <f t="shared" si="10"/>
        <v>0.63197013463065255</v>
      </c>
      <c r="T11" s="403">
        <f t="shared" si="10"/>
        <v>0.82391064687475635</v>
      </c>
      <c r="U11" s="403">
        <f t="shared" si="10"/>
        <v>8.1600116671030731E-2</v>
      </c>
      <c r="V11" s="403">
        <f t="shared" si="10"/>
        <v>-0.30282602391003122</v>
      </c>
      <c r="W11" s="402">
        <f t="shared" si="10"/>
        <v>0.12795035917029307</v>
      </c>
      <c r="X11" s="403">
        <f t="shared" si="10"/>
        <v>0.11374136140467095</v>
      </c>
      <c r="Y11" s="403">
        <f t="shared" si="10"/>
        <v>-1.6921160761711684E-2</v>
      </c>
      <c r="Z11" s="403">
        <f t="shared" si="10"/>
        <v>7.8226414400500044E-2</v>
      </c>
      <c r="AA11" s="403">
        <f t="shared" si="10"/>
        <v>0.11958795923964116</v>
      </c>
      <c r="AB11" s="402">
        <f t="shared" si="10"/>
        <v>7.235086701191551E-2</v>
      </c>
      <c r="AC11" s="403">
        <f t="shared" si="10"/>
        <v>9.5762378446029972E-2</v>
      </c>
      <c r="AD11" s="403">
        <f t="shared" si="10"/>
        <v>2.3699287344543185E-2</v>
      </c>
      <c r="AE11" s="403">
        <f t="shared" si="10"/>
        <v>-4.6016899294867963E-2</v>
      </c>
      <c r="AF11" s="403">
        <f t="shared" si="10"/>
        <v>-8.5544983913183437E-2</v>
      </c>
      <c r="AG11" s="402">
        <f t="shared" si="10"/>
        <v>-6.4182690893690442E-3</v>
      </c>
      <c r="AH11" s="403">
        <f t="shared" si="10"/>
        <v>-8.7393380471627924E-2</v>
      </c>
      <c r="AI11" s="403">
        <f t="shared" si="10"/>
        <v>-1.3437802388470699E-3</v>
      </c>
      <c r="AJ11" s="403">
        <f t="shared" si="10"/>
        <v>-3.926615781539522E-3</v>
      </c>
      <c r="AK11" s="403">
        <f t="shared" si="10"/>
        <v>6.7766411143114214E-2</v>
      </c>
      <c r="AL11" s="402">
        <f t="shared" si="10"/>
        <v>-7.5164934377763837E-3</v>
      </c>
      <c r="AM11" s="403">
        <f t="shared" si="10"/>
        <v>8.4467424000693958E-2</v>
      </c>
      <c r="AN11" s="403">
        <f t="shared" si="10"/>
        <v>5.942154885427553E-2</v>
      </c>
      <c r="AO11" s="403">
        <f t="shared" si="10"/>
        <v>7.8351378835915586E-2</v>
      </c>
      <c r="AP11" s="403">
        <f t="shared" si="10"/>
        <v>4.337678810513701E-2</v>
      </c>
      <c r="AQ11" s="402">
        <f t="shared" si="10"/>
        <v>6.5924610293646158E-2</v>
      </c>
      <c r="AR11" s="403">
        <f t="shared" si="10"/>
        <v>3.1131361318612161E-2</v>
      </c>
      <c r="AS11" s="403">
        <f t="shared" si="10"/>
        <v>3.5580454546757734E-2</v>
      </c>
      <c r="AT11" s="403">
        <f t="shared" si="10"/>
        <v>1.3843277786406816E-2</v>
      </c>
      <c r="AU11" s="404"/>
      <c r="AV11" s="405"/>
      <c r="AW11" s="405"/>
      <c r="AX11" s="405"/>
      <c r="AY11" s="405"/>
      <c r="AZ11" s="406"/>
      <c r="BA11" s="403" t="str">
        <f>IF(ISERROR(BA10/AV10-1),"nm",BA10/AV10-1)</f>
        <v>nm</v>
      </c>
      <c r="BB11" s="403" t="str">
        <f>IF(ISERROR(BB10/AW10-1),"nm",BB10/AW10-1)</f>
        <v>nm</v>
      </c>
      <c r="BC11" s="403" t="str">
        <f>IF(ISERROR(BC10/AX10-1),"nm",BC10/AX10-1)</f>
        <v>nm</v>
      </c>
      <c r="BD11" s="403" t="str">
        <f>IF(ISERROR(BD10/AY10-1),"nm",BD10/AY10-1)</f>
        <v>nm</v>
      </c>
      <c r="BE11" s="402" t="str">
        <f>IF(ISERROR(BE10/AZ10-1),"nm",BE10/AZ10-1)</f>
        <v>nm</v>
      </c>
      <c r="BF11" s="407">
        <f t="shared" ref="BF11:CK11" si="11">BF10/BA10-1</f>
        <v>-0.23818049339023628</v>
      </c>
      <c r="BG11" s="407">
        <f t="shared" si="11"/>
        <v>-0.25561747639163135</v>
      </c>
      <c r="BH11" s="407">
        <f t="shared" si="11"/>
        <v>-0.27422622245297912</v>
      </c>
      <c r="BI11" s="408">
        <f t="shared" si="11"/>
        <v>-0.25302022235839972</v>
      </c>
      <c r="BJ11" s="408">
        <f t="shared" si="11"/>
        <v>-0.25524374602746513</v>
      </c>
      <c r="BK11" s="407">
        <f t="shared" si="11"/>
        <v>-3.0969167466953995E-2</v>
      </c>
      <c r="BL11" s="407">
        <f t="shared" si="11"/>
        <v>-2.6107549944348274E-2</v>
      </c>
      <c r="BM11" s="407">
        <f t="shared" si="11"/>
        <v>-3.5388496050944851E-2</v>
      </c>
      <c r="BN11" s="407">
        <f t="shared" si="11"/>
        <v>-6.6269876149457785E-2</v>
      </c>
      <c r="BO11" s="406">
        <f t="shared" si="11"/>
        <v>-3.9417991839923339E-2</v>
      </c>
      <c r="BP11" s="407">
        <f t="shared" si="11"/>
        <v>-5.9901299224493942E-2</v>
      </c>
      <c r="BQ11" s="407">
        <f t="shared" si="11"/>
        <v>-0.14643353201499909</v>
      </c>
      <c r="BR11" s="407">
        <f t="shared" si="11"/>
        <v>-0.13196182996673411</v>
      </c>
      <c r="BS11" s="407">
        <f t="shared" si="11"/>
        <v>-8.6308296426458209E-2</v>
      </c>
      <c r="BT11" s="406">
        <f t="shared" si="11"/>
        <v>-0.10590917562541824</v>
      </c>
      <c r="BU11" s="407">
        <f t="shared" si="11"/>
        <v>-0.10191295702703163</v>
      </c>
      <c r="BV11" s="407">
        <f t="shared" si="11"/>
        <v>-8.8936669272869917E-3</v>
      </c>
      <c r="BW11" s="407">
        <f t="shared" si="11"/>
        <v>-2.1941932648193219E-2</v>
      </c>
      <c r="BX11" s="407">
        <f t="shared" si="11"/>
        <v>-1.2765539910709944E-2</v>
      </c>
      <c r="BY11" s="406">
        <f t="shared" si="11"/>
        <v>-3.8666848273452459E-2</v>
      </c>
      <c r="BZ11" s="407">
        <f t="shared" si="11"/>
        <v>-9.9821542748623759E-3</v>
      </c>
      <c r="CA11" s="407">
        <f t="shared" si="11"/>
        <v>-3.5982644709594669E-2</v>
      </c>
      <c r="CB11" s="407">
        <f t="shared" si="11"/>
        <v>-2.6493844864324489E-2</v>
      </c>
      <c r="CC11" s="407">
        <f t="shared" si="11"/>
        <v>-4.0352237263203916E-2</v>
      </c>
      <c r="CD11" s="406">
        <f t="shared" si="11"/>
        <v>-2.8037325606036001E-2</v>
      </c>
      <c r="CE11" s="407">
        <f t="shared" si="11"/>
        <v>-3.5318726443739679E-2</v>
      </c>
      <c r="CF11" s="407">
        <f t="shared" si="11"/>
        <v>2.2503861458045282E-3</v>
      </c>
      <c r="CG11" s="407">
        <f t="shared" si="11"/>
        <v>2.2640158921986009E-2</v>
      </c>
      <c r="CH11" s="407">
        <f t="shared" si="11"/>
        <v>8.855148414359526E-4</v>
      </c>
      <c r="CI11" s="406">
        <f t="shared" si="11"/>
        <v>-2.9813248896263245E-3</v>
      </c>
      <c r="CJ11" s="407">
        <f t="shared" si="11"/>
        <v>-2.1208669324620066E-2</v>
      </c>
      <c r="CK11" s="407">
        <f t="shared" si="11"/>
        <v>-5.7868362233494119E-3</v>
      </c>
      <c r="CL11" s="407">
        <f t="shared" ref="CL11:DS11" si="12">CL10/CG10-1</f>
        <v>-1.772128786188143E-2</v>
      </c>
      <c r="CM11" s="407">
        <f t="shared" si="12"/>
        <v>4.2373977514369443E-3</v>
      </c>
      <c r="CN11" s="406">
        <f t="shared" si="12"/>
        <v>-1.0239537021380474E-2</v>
      </c>
      <c r="CO11" s="407">
        <f t="shared" si="12"/>
        <v>7.9118366180215283E-3</v>
      </c>
      <c r="CP11" s="407">
        <f t="shared" si="12"/>
        <v>-4.3987517194653547E-3</v>
      </c>
      <c r="CQ11" s="407">
        <f t="shared" si="12"/>
        <v>6.6866318996230412E-3</v>
      </c>
      <c r="CR11" s="407">
        <f t="shared" si="12"/>
        <v>-2.4060010922317687E-3</v>
      </c>
      <c r="CS11" s="406">
        <f t="shared" si="12"/>
        <v>1.9537446772981415E-3</v>
      </c>
      <c r="CT11" s="407">
        <f t="shared" si="12"/>
        <v>2.7352513686385471E-2</v>
      </c>
      <c r="CU11" s="407">
        <f t="shared" si="12"/>
        <v>1.5265168504570381E-2</v>
      </c>
      <c r="CV11" s="407">
        <f t="shared" si="12"/>
        <v>1.4428230708075862E-2</v>
      </c>
      <c r="CW11" s="407">
        <f t="shared" si="12"/>
        <v>2.9297994639288172E-2</v>
      </c>
      <c r="CX11" s="406">
        <f t="shared" si="12"/>
        <v>2.1599280023999246E-2</v>
      </c>
      <c r="CY11" s="407">
        <f t="shared" si="12"/>
        <v>-2.5608794242334643E-2</v>
      </c>
      <c r="CZ11" s="407">
        <f t="shared" si="12"/>
        <v>-7.5762192025673469E-3</v>
      </c>
      <c r="DA11" s="407">
        <f t="shared" si="12"/>
        <v>-5.1421290537875253E-3</v>
      </c>
      <c r="DB11" s="407">
        <f t="shared" si="12"/>
        <v>0.63273190703648696</v>
      </c>
      <c r="DC11" s="406">
        <f t="shared" si="12"/>
        <v>0.14858308841799328</v>
      </c>
      <c r="DD11" s="407">
        <v>0.6381757013128273</v>
      </c>
      <c r="DE11" s="407">
        <v>0.72691874744167007</v>
      </c>
      <c r="DF11" s="407">
        <v>0.75739602868454625</v>
      </c>
      <c r="DG11" s="407">
        <v>6.8774776435880813E-2</v>
      </c>
      <c r="DH11" s="406">
        <v>0.48031413475279594</v>
      </c>
      <c r="DI11" s="407">
        <f t="shared" si="12"/>
        <v>8.6726784225317211E-2</v>
      </c>
      <c r="DJ11" s="407">
        <f t="shared" si="12"/>
        <v>3.4407971342986343E-2</v>
      </c>
      <c r="DK11" s="407">
        <f t="shared" si="12"/>
        <v>1.8916269264026786E-2</v>
      </c>
      <c r="DL11" s="407">
        <f t="shared" si="12"/>
        <v>6.959372034848621E-2</v>
      </c>
      <c r="DM11" s="406">
        <f t="shared" si="12"/>
        <v>5.1989968233724149E-2</v>
      </c>
      <c r="DN11" s="407">
        <f t="shared" si="12"/>
        <v>3.1049210981747288E-2</v>
      </c>
      <c r="DO11" s="407">
        <f t="shared" si="12"/>
        <v>-1.8071046797394574E-2</v>
      </c>
      <c r="DP11" s="407">
        <f t="shared" si="12"/>
        <v>-2.0211280397811171E-2</v>
      </c>
      <c r="DQ11" s="407">
        <f t="shared" si="12"/>
        <v>-8.8885842244767366E-2</v>
      </c>
      <c r="DR11" s="406">
        <f t="shared" ref="DR11:DW11" si="13">DR10/DM10-1</f>
        <v>-2.4954800163049184E-2</v>
      </c>
      <c r="DS11" s="407">
        <f t="shared" si="12"/>
        <v>-6.4211080456095138E-2</v>
      </c>
      <c r="DT11" s="407">
        <f t="shared" si="13"/>
        <v>-2.012175734292454E-2</v>
      </c>
      <c r="DU11" s="407">
        <f t="shared" si="13"/>
        <v>-7.0641672967234115E-2</v>
      </c>
      <c r="DV11" s="407">
        <f t="shared" si="13"/>
        <v>-4.2587090511582049E-2</v>
      </c>
      <c r="DW11" s="406">
        <f t="shared" si="13"/>
        <v>-4.9659367606679661E-2</v>
      </c>
      <c r="DX11" s="407">
        <f t="shared" ref="DX11:EG11" ca="1" si="14">DX10/DS10-1</f>
        <v>-0.10886907842154547</v>
      </c>
      <c r="DY11" s="407">
        <f t="shared" ca="1" si="14"/>
        <v>-0.11232614227478088</v>
      </c>
      <c r="DZ11" s="407">
        <f t="shared" ca="1" si="14"/>
        <v>-0.10131255788967997</v>
      </c>
      <c r="EA11" s="407">
        <f t="shared" ca="1" si="14"/>
        <v>-0.14342173306649886</v>
      </c>
      <c r="EB11" s="406">
        <f t="shared" ca="1" si="14"/>
        <v>-0.11640201819129814</v>
      </c>
      <c r="EC11" s="407">
        <f t="shared" ca="1" si="14"/>
        <v>-2.6276925102250437E-2</v>
      </c>
      <c r="ED11" s="407">
        <f t="shared" ca="1" si="14"/>
        <v>-3.3278503271096938E-3</v>
      </c>
      <c r="EE11" s="407">
        <f t="shared" ca="1" si="14"/>
        <v>3.5689514514966714E-2</v>
      </c>
      <c r="EF11" s="407">
        <f t="shared" ca="1" si="14"/>
        <v>7.4558325989552809E-2</v>
      </c>
      <c r="EG11" s="406">
        <f t="shared" ca="1" si="14"/>
        <v>1.8912523308184825E-2</v>
      </c>
      <c r="EH11" s="407">
        <f t="shared" ref="EH11" si="15">EH10/EC10-1</f>
        <v>2.7782517734375123E-2</v>
      </c>
      <c r="EI11" s="407">
        <f t="shared" ref="EI11" si="16">EI10/ED10-1</f>
        <v>2.5232188906249897E-2</v>
      </c>
      <c r="EJ11" s="407">
        <f t="shared" ref="EJ11" si="17">EJ10/EE10-1</f>
        <v>2.2688188437499868E-2</v>
      </c>
      <c r="EK11" s="407">
        <f t="shared" ref="EK11" si="18">EK10/EF10-1</f>
        <v>2.0150500624999568E-2</v>
      </c>
      <c r="EL11" s="406">
        <f t="shared" ref="EL11" si="19">EL10/EG10-1</f>
        <v>2.394876171430238E-2</v>
      </c>
    </row>
    <row r="12" spans="1:142" ht="12" customHeight="1">
      <c r="A12" s="45"/>
      <c r="B12" s="45"/>
      <c r="C12" s="255"/>
      <c r="D12" s="255"/>
      <c r="E12" s="255"/>
      <c r="F12" s="255"/>
      <c r="G12" s="255"/>
      <c r="H12" s="256"/>
      <c r="I12" s="255"/>
      <c r="J12" s="255"/>
      <c r="K12" s="255"/>
      <c r="L12" s="255"/>
      <c r="M12" s="256"/>
      <c r="N12" s="255"/>
      <c r="O12" s="255"/>
      <c r="P12" s="255"/>
      <c r="Q12" s="255"/>
      <c r="R12" s="256"/>
      <c r="S12" s="255"/>
      <c r="T12" s="255"/>
      <c r="U12" s="255"/>
      <c r="V12" s="255"/>
      <c r="W12" s="256"/>
      <c r="X12" s="255"/>
      <c r="Y12" s="255"/>
      <c r="Z12" s="255"/>
      <c r="AA12" s="255"/>
      <c r="AB12" s="256"/>
      <c r="AC12" s="255"/>
      <c r="AD12" s="255"/>
      <c r="AE12" s="255"/>
      <c r="AF12" s="255"/>
      <c r="AG12" s="256"/>
      <c r="AH12" s="255"/>
      <c r="AI12" s="255"/>
      <c r="AJ12" s="255"/>
      <c r="AK12" s="255"/>
      <c r="AL12" s="256"/>
      <c r="AM12" s="255"/>
      <c r="AN12" s="255"/>
      <c r="AO12" s="255"/>
      <c r="AP12" s="255"/>
      <c r="AQ12" s="256"/>
      <c r="AR12" s="255"/>
      <c r="AS12" s="255"/>
      <c r="AT12" s="255"/>
      <c r="AU12" s="414"/>
      <c r="AV12" s="255"/>
      <c r="AW12" s="255"/>
      <c r="AX12" s="255"/>
      <c r="AY12" s="255"/>
      <c r="AZ12" s="256"/>
      <c r="BA12" s="255"/>
      <c r="BB12" s="255"/>
      <c r="BC12" s="255"/>
      <c r="BD12" s="255"/>
      <c r="BE12" s="256"/>
      <c r="BF12" s="255"/>
      <c r="BG12" s="255"/>
      <c r="BH12" s="255"/>
      <c r="BI12" s="255"/>
      <c r="BJ12" s="256"/>
      <c r="BK12" s="255"/>
      <c r="BL12" s="255"/>
      <c r="BM12" s="255"/>
      <c r="BN12" s="255"/>
      <c r="BO12" s="256"/>
      <c r="BP12" s="255"/>
      <c r="BQ12" s="255"/>
      <c r="BR12" s="255"/>
      <c r="BS12" s="255"/>
      <c r="BT12" s="256"/>
      <c r="BU12" s="255"/>
      <c r="BV12" s="255"/>
      <c r="BW12" s="255"/>
      <c r="BX12" s="255"/>
      <c r="BY12" s="256"/>
      <c r="BZ12" s="255"/>
      <c r="CA12" s="255"/>
      <c r="CB12" s="255"/>
      <c r="CC12" s="255"/>
      <c r="CD12" s="256"/>
      <c r="CE12" s="255"/>
      <c r="CF12" s="255"/>
      <c r="CG12" s="255"/>
      <c r="CH12" s="255"/>
      <c r="CI12" s="256"/>
      <c r="CJ12" s="255"/>
      <c r="CK12" s="255"/>
      <c r="CL12" s="255"/>
      <c r="CM12" s="255"/>
      <c r="CN12" s="256"/>
      <c r="CO12" s="255"/>
      <c r="CP12" s="255"/>
      <c r="CQ12" s="255"/>
      <c r="CR12" s="255"/>
      <c r="CS12" s="256"/>
      <c r="CT12" s="255"/>
      <c r="CU12" s="255"/>
      <c r="CV12" s="255"/>
      <c r="CW12" s="255"/>
      <c r="CX12" s="256"/>
      <c r="CY12" s="255"/>
      <c r="CZ12" s="255"/>
      <c r="DA12" s="255"/>
      <c r="DB12" s="255"/>
      <c r="DC12" s="256"/>
      <c r="DD12" s="255"/>
      <c r="DE12" s="255"/>
      <c r="DF12" s="255"/>
      <c r="DG12" s="255"/>
      <c r="DH12" s="256"/>
      <c r="DI12" s="255"/>
      <c r="DJ12" s="255"/>
      <c r="DK12" s="255"/>
      <c r="DL12" s="255"/>
      <c r="DM12" s="256"/>
      <c r="DN12" s="255"/>
      <c r="DO12" s="255"/>
      <c r="DP12" s="255"/>
      <c r="DQ12" s="255"/>
      <c r="DR12" s="256"/>
      <c r="DS12" s="255"/>
      <c r="DT12" s="255"/>
      <c r="DU12" s="255"/>
      <c r="DV12" s="255"/>
      <c r="DW12" s="256"/>
      <c r="DX12" s="255"/>
      <c r="DY12" s="255"/>
      <c r="DZ12" s="255"/>
      <c r="EA12" s="255"/>
      <c r="EB12" s="256"/>
      <c r="EC12" s="255"/>
      <c r="ED12" s="255"/>
      <c r="EE12" s="255"/>
      <c r="EF12" s="255"/>
      <c r="EG12" s="256"/>
      <c r="EH12" s="255"/>
      <c r="EI12" s="255"/>
      <c r="EJ12" s="255"/>
      <c r="EK12" s="255"/>
      <c r="EL12" s="256"/>
    </row>
    <row r="13" spans="1:142">
      <c r="A13" s="4"/>
      <c r="B13" s="4" t="s">
        <v>215</v>
      </c>
      <c r="C13" s="156"/>
      <c r="D13" s="156">
        <f>'Revenue Model'!D55</f>
        <v>268939</v>
      </c>
      <c r="E13" s="156">
        <f>'Revenue Model'!E55</f>
        <v>266541</v>
      </c>
      <c r="F13" s="156">
        <f>'Revenue Model'!F55</f>
        <v>289897</v>
      </c>
      <c r="G13" s="156">
        <f>'Revenue Model'!G55</f>
        <v>682488</v>
      </c>
      <c r="H13" s="396">
        <f>'Revenue Model'!H55</f>
        <v>1507865</v>
      </c>
      <c r="I13" s="156">
        <f>'Revenue Model'!I55</f>
        <v>619226</v>
      </c>
      <c r="J13" s="156">
        <f>'Revenue Model'!J55</f>
        <v>661141</v>
      </c>
      <c r="K13" s="156">
        <f>'Revenue Model'!K55</f>
        <v>734293</v>
      </c>
      <c r="L13" s="156">
        <f>'Revenue Model'!L55</f>
        <v>695402</v>
      </c>
      <c r="M13" s="396">
        <f>'Revenue Model'!M55</f>
        <v>2710062</v>
      </c>
      <c r="N13" s="156">
        <f>'Revenue Model'!N55</f>
        <v>665006</v>
      </c>
      <c r="O13" s="156">
        <f>'Revenue Model'!O55</f>
        <v>677525</v>
      </c>
      <c r="P13" s="156">
        <f>'Revenue Model'!P55</f>
        <v>1119362</v>
      </c>
      <c r="Q13" s="156">
        <f>'Revenue Model'!Q55</f>
        <v>1637816</v>
      </c>
      <c r="R13" s="396">
        <f>'Revenue Model'!R55</f>
        <v>4099709</v>
      </c>
      <c r="S13" s="156">
        <f>'Revenue Model'!S55</f>
        <v>1054439</v>
      </c>
      <c r="T13" s="156">
        <f>'Revenue Model'!T55</f>
        <v>1099812</v>
      </c>
      <c r="U13" s="156">
        <f>'Revenue Model'!U55</f>
        <v>1230830</v>
      </c>
      <c r="V13" s="156">
        <f>'Revenue Model'!V55</f>
        <v>1162231</v>
      </c>
      <c r="W13" s="396">
        <f>'Revenue Model'!W55</f>
        <v>4547312</v>
      </c>
      <c r="X13" s="156">
        <f>'Revenue Model'!X55</f>
        <v>1113315</v>
      </c>
      <c r="Y13" s="156">
        <f>'Revenue Model'!Y55</f>
        <v>1136595</v>
      </c>
      <c r="Z13" s="156">
        <f>'Revenue Model'!Z55</f>
        <v>1304313</v>
      </c>
      <c r="AA13" s="156">
        <f>'Revenue Model'!AA55</f>
        <v>1327216</v>
      </c>
      <c r="AB13" s="396">
        <f>'Revenue Model'!AB55</f>
        <v>4881439</v>
      </c>
      <c r="AC13" s="156">
        <f>'Revenue Model'!AC55</f>
        <v>1223438</v>
      </c>
      <c r="AD13" s="156">
        <f>'Revenue Model'!AD55</f>
        <v>1184765</v>
      </c>
      <c r="AE13" s="156">
        <f>'Revenue Model'!AE55</f>
        <v>1274739</v>
      </c>
      <c r="AF13" s="156">
        <f>'Revenue Model'!AF55</f>
        <v>1205707</v>
      </c>
      <c r="AG13" s="396">
        <f>'Revenue Model'!AG55</f>
        <v>4888649</v>
      </c>
      <c r="AH13" s="156">
        <f>'Revenue Model'!AH55</f>
        <v>1183421</v>
      </c>
      <c r="AI13" s="156">
        <f>'Revenue Model'!AI55</f>
        <v>1192364</v>
      </c>
      <c r="AJ13" s="156">
        <f>'Revenue Model'!AJ55</f>
        <v>1269277</v>
      </c>
      <c r="AK13" s="156">
        <f>'Revenue Model'!AK55</f>
        <v>1291691</v>
      </c>
      <c r="AL13" s="396">
        <f>'Revenue Model'!AL55</f>
        <v>4936753</v>
      </c>
      <c r="AM13" s="156">
        <f>'Revenue Model'!AM55</f>
        <v>1275551</v>
      </c>
      <c r="AN13" s="156">
        <f>'Revenue Model'!AN55</f>
        <v>1281472</v>
      </c>
      <c r="AO13" s="156">
        <f>'Revenue Model'!AO55</f>
        <v>1375943</v>
      </c>
      <c r="AP13" s="156">
        <f>'Revenue Model'!AP55</f>
        <v>1402953</v>
      </c>
      <c r="AQ13" s="396">
        <f>'Revenue Model'!AQ55</f>
        <v>5335919</v>
      </c>
      <c r="AR13" s="156">
        <f>'Revenue Model'!AR55</f>
        <v>1343673</v>
      </c>
      <c r="AS13" s="156">
        <f>'Revenue Model'!AS55</f>
        <v>1349050</v>
      </c>
      <c r="AT13" s="156">
        <f>'Revenue Model'!AT55</f>
        <v>1388530</v>
      </c>
      <c r="AU13" s="397"/>
      <c r="AV13" s="398" t="str">
        <f>'Revenue Model'!AV55</f>
        <v>ND</v>
      </c>
      <c r="AW13" s="398" t="str">
        <f>'Revenue Model'!AW55</f>
        <v>ND</v>
      </c>
      <c r="AX13" s="398" t="str">
        <f>'Revenue Model'!AX55</f>
        <v>ND</v>
      </c>
      <c r="AY13" s="398" t="str">
        <f>'Revenue Model'!AY55</f>
        <v>ND</v>
      </c>
      <c r="AZ13" s="157">
        <f>'Revenue Model'!AZ55</f>
        <v>0</v>
      </c>
      <c r="BA13" s="156">
        <f>'Revenue Model'!BA55</f>
        <v>1313502</v>
      </c>
      <c r="BB13" s="156">
        <f>'Revenue Model'!BB55</f>
        <v>1256929</v>
      </c>
      <c r="BC13" s="156">
        <f>'Revenue Model'!BC55</f>
        <v>1235744</v>
      </c>
      <c r="BD13" s="156">
        <f>'Revenue Model'!BD55</f>
        <v>1213134</v>
      </c>
      <c r="BE13" s="396">
        <f>'Revenue Model'!BE55</f>
        <v>5019309</v>
      </c>
      <c r="BF13" s="399">
        <f>'Revenue Model'!BF55</f>
        <v>979258</v>
      </c>
      <c r="BG13" s="399">
        <f>'Revenue Model'!BG55</f>
        <v>897777</v>
      </c>
      <c r="BH13" s="399">
        <f>'Revenue Model'!BH55</f>
        <v>877620</v>
      </c>
      <c r="BI13" s="399">
        <f>'Revenue Model'!BI55</f>
        <v>877259</v>
      </c>
      <c r="BJ13" s="396">
        <f>'Revenue Model'!BJ55</f>
        <v>3631914</v>
      </c>
      <c r="BK13" s="399">
        <f>'Revenue Model'!BK55</f>
        <v>934203</v>
      </c>
      <c r="BL13" s="399">
        <f>'Revenue Model'!BL55</f>
        <v>865396</v>
      </c>
      <c r="BM13" s="399">
        <f>'Revenue Model'!BM55</f>
        <v>834601</v>
      </c>
      <c r="BN13" s="399">
        <f>'Revenue Model'!BN55</f>
        <v>809577</v>
      </c>
      <c r="BO13" s="396">
        <f>'Revenue Model'!BO55</f>
        <v>3443777</v>
      </c>
      <c r="BP13" s="399">
        <f>'Revenue Model'!BP55</f>
        <v>855620</v>
      </c>
      <c r="BQ13" s="399">
        <f>'Revenue Model'!BQ55</f>
        <v>710339</v>
      </c>
      <c r="BR13" s="399">
        <f>'Revenue Model'!BR55</f>
        <v>695656</v>
      </c>
      <c r="BS13" s="399">
        <f>'Revenue Model'!BS55</f>
        <v>705249</v>
      </c>
      <c r="BT13" s="396">
        <f>'Revenue Model'!BT55</f>
        <v>2966864</v>
      </c>
      <c r="BU13" s="399">
        <f>'Revenue Model'!BU55</f>
        <v>745651</v>
      </c>
      <c r="BV13" s="399">
        <f>'Revenue Model'!BV55</f>
        <v>693016</v>
      </c>
      <c r="BW13" s="399">
        <f>'Revenue Model'!BW55</f>
        <v>671502</v>
      </c>
      <c r="BX13" s="399">
        <f>'Revenue Model'!BX55</f>
        <v>682853</v>
      </c>
      <c r="BY13" s="396">
        <f>'Revenue Model'!BY55</f>
        <v>2793022</v>
      </c>
      <c r="BZ13" s="399">
        <f>'Revenue Model'!BZ55</f>
        <v>739709</v>
      </c>
      <c r="CA13" s="399">
        <f>'Revenue Model'!CA55</f>
        <v>659534</v>
      </c>
      <c r="CB13" s="399">
        <f>'Revenue Model'!CB55</f>
        <v>634755</v>
      </c>
      <c r="CC13" s="399">
        <f>'Revenue Model'!CC55</f>
        <v>641594</v>
      </c>
      <c r="CD13" s="396">
        <f>'Revenue Model'!CD55</f>
        <v>2675592</v>
      </c>
      <c r="CE13" s="399">
        <f>'Revenue Model'!CE55</f>
        <v>679657</v>
      </c>
      <c r="CF13" s="399">
        <f>'Revenue Model'!CF55</f>
        <v>629714</v>
      </c>
      <c r="CG13" s="399">
        <f>'Revenue Model'!CG55</f>
        <v>622427</v>
      </c>
      <c r="CH13" s="399">
        <f>'Revenue Model'!CH55</f>
        <v>628438</v>
      </c>
      <c r="CI13" s="396">
        <f>'Revenue Model'!CI55</f>
        <v>2560236</v>
      </c>
      <c r="CJ13" s="399">
        <f>'Revenue Model'!CJ55</f>
        <v>652952</v>
      </c>
      <c r="CK13" s="399">
        <f>'Revenue Model'!CK55</f>
        <v>614365</v>
      </c>
      <c r="CL13" s="399">
        <f>'Revenue Model'!CL55</f>
        <v>596810</v>
      </c>
      <c r="CM13" s="399">
        <f>'Revenue Model'!CM55</f>
        <v>608890</v>
      </c>
      <c r="CN13" s="396">
        <f>'Revenue Model'!CN55</f>
        <v>2473017</v>
      </c>
      <c r="CO13" s="399">
        <f>'Revenue Model'!CO55</f>
        <v>635463</v>
      </c>
      <c r="CP13" s="399">
        <f>'Revenue Model'!CP55</f>
        <v>595986</v>
      </c>
      <c r="CQ13" s="399">
        <f>'Revenue Model'!CQ55</f>
        <v>591948</v>
      </c>
      <c r="CR13" s="399">
        <f>'Revenue Model'!CR55</f>
        <v>589848</v>
      </c>
      <c r="CS13" s="396">
        <f>'Revenue Model'!CS55</f>
        <v>2413245</v>
      </c>
      <c r="CT13" s="399">
        <f>'Revenue Model'!CT55</f>
        <v>617459</v>
      </c>
      <c r="CU13" s="399">
        <f>'Revenue Model'!CU55</f>
        <v>590437</v>
      </c>
      <c r="CV13" s="399">
        <f>'Revenue Model'!CV55</f>
        <v>580594</v>
      </c>
      <c r="CW13" s="399">
        <f>'Revenue Model'!CW55</f>
        <v>580426</v>
      </c>
      <c r="CX13" s="396">
        <f>'Revenue Model'!CX55</f>
        <v>2368916</v>
      </c>
      <c r="CY13" s="399">
        <f>'Revenue Model'!CY55</f>
        <v>603285</v>
      </c>
      <c r="CZ13" s="399">
        <f>'Revenue Model'!CZ55</f>
        <v>567390</v>
      </c>
      <c r="DA13" s="399">
        <f>'Revenue Model'!DA55</f>
        <v>569833</v>
      </c>
      <c r="DB13" s="399">
        <f>'Revenue Model'!DB55</f>
        <v>880737</v>
      </c>
      <c r="DC13" s="396">
        <f>'Revenue Model'!DC55</f>
        <v>2621245</v>
      </c>
      <c r="DD13" s="399">
        <v>929164</v>
      </c>
      <c r="DE13" s="399">
        <v>907093</v>
      </c>
      <c r="DF13" s="399">
        <v>921228</v>
      </c>
      <c r="DG13" s="399">
        <v>937803</v>
      </c>
      <c r="DH13" s="396">
        <v>3695288</v>
      </c>
      <c r="DI13" s="399">
        <f>'Revenue Model'!DI55</f>
        <v>975912</v>
      </c>
      <c r="DJ13" s="399">
        <f>'Revenue Model'!DJ55</f>
        <v>929840</v>
      </c>
      <c r="DK13" s="399">
        <f>'Revenue Model'!DK55</f>
        <v>927964</v>
      </c>
      <c r="DL13" s="399">
        <f>'Revenue Model'!DL55</f>
        <v>983856</v>
      </c>
      <c r="DM13" s="396">
        <f>'Revenue Model'!DM55</f>
        <v>3817572</v>
      </c>
      <c r="DN13" s="399">
        <f>'Revenue Model'!DN55</f>
        <v>1010514</v>
      </c>
      <c r="DO13" s="399">
        <f>'Revenue Model'!DO55</f>
        <v>897313</v>
      </c>
      <c r="DP13" s="399">
        <f>'Revenue Model'!DP55</f>
        <v>894323</v>
      </c>
      <c r="DQ13" s="399">
        <f>'Revenue Model'!DQ55</f>
        <v>888165</v>
      </c>
      <c r="DR13" s="396">
        <f>'Revenue Model'!DR55</f>
        <v>3690315</v>
      </c>
      <c r="DS13" s="399">
        <f>'Revenue Model'!DS55</f>
        <v>921014</v>
      </c>
      <c r="DT13" s="399">
        <f>'Revenue Model'!DT55</f>
        <v>871816</v>
      </c>
      <c r="DU13" s="399">
        <f>'Revenue Model'!DU55</f>
        <v>838215</v>
      </c>
      <c r="DV13" s="399">
        <f>'Revenue Model'!DV55</f>
        <v>853217</v>
      </c>
      <c r="DW13" s="396">
        <f>'Revenue Model'!DW55</f>
        <v>3484262</v>
      </c>
      <c r="DX13" s="399">
        <f>'Revenue Model'!DX55</f>
        <v>816192.27164731547</v>
      </c>
      <c r="DY13" s="399">
        <f>'Revenue Model'!DY55</f>
        <v>777933.16929706978</v>
      </c>
      <c r="DZ13" s="399">
        <f>'Revenue Model'!DZ55</f>
        <v>753440.57141229964</v>
      </c>
      <c r="EA13" s="399">
        <f>'Revenue Model'!EA55</f>
        <v>735205.88136437733</v>
      </c>
      <c r="EB13" s="396">
        <f>'Revenue Model'!EB55</f>
        <v>3082771.8937210622</v>
      </c>
      <c r="EC13" s="399">
        <f>'Revenue Model'!EC55</f>
        <v>786110.91855278041</v>
      </c>
      <c r="ED13" s="399">
        <f>'Revenue Model'!ED55</f>
        <v>776477.43731386901</v>
      </c>
      <c r="EE13" s="399">
        <f>'Revenue Model'!EE55</f>
        <v>783149.84098818467</v>
      </c>
      <c r="EF13" s="399">
        <f>'Revenue Model'!EF55</f>
        <v>790494.0813400388</v>
      </c>
      <c r="EG13" s="396">
        <f>'Revenue Model'!EG55</f>
        <v>3136232.2781948727</v>
      </c>
      <c r="EH13" s="399">
        <f>'Revenue Model'!EH55</f>
        <v>816429.58315786999</v>
      </c>
      <c r="EI13" s="399">
        <f>'Revenue Model'!EI55</f>
        <v>804590.57938317047</v>
      </c>
      <c r="EJ13" s="399">
        <f>'Revenue Model'!EJ55</f>
        <v>809481.6134283276</v>
      </c>
      <c r="EK13" s="399">
        <f>'Revenue Model'!EK55</f>
        <v>815029.2716995097</v>
      </c>
      <c r="EL13" s="396">
        <f>'Revenue Model'!EL55</f>
        <v>3245531.0476688775</v>
      </c>
    </row>
    <row r="14" spans="1:142" ht="12" customHeight="1">
      <c r="A14" s="400"/>
      <c r="B14" s="400" t="s">
        <v>109</v>
      </c>
      <c r="C14" s="401"/>
      <c r="D14" s="401"/>
      <c r="E14" s="401"/>
      <c r="F14" s="401"/>
      <c r="G14" s="401"/>
      <c r="H14" s="402"/>
      <c r="I14" s="403">
        <f t="shared" ref="I14:AT14" si="20">IF(ISERROR(I13/D13-1),"nm",I13/D13-1)</f>
        <v>1.302477513488189</v>
      </c>
      <c r="J14" s="403">
        <f t="shared" si="20"/>
        <v>1.4804476609602277</v>
      </c>
      <c r="K14" s="403">
        <f t="shared" si="20"/>
        <v>1.5329444595839212</v>
      </c>
      <c r="L14" s="403">
        <f t="shared" si="20"/>
        <v>1.8921944415139835E-2</v>
      </c>
      <c r="M14" s="402">
        <f t="shared" si="20"/>
        <v>0.79728423963683759</v>
      </c>
      <c r="N14" s="403">
        <f t="shared" si="20"/>
        <v>7.3931004189100591E-2</v>
      </c>
      <c r="O14" s="403">
        <f t="shared" si="20"/>
        <v>2.4781400639197981E-2</v>
      </c>
      <c r="P14" s="403">
        <f t="shared" si="20"/>
        <v>0.52440783175108563</v>
      </c>
      <c r="Q14" s="403">
        <f t="shared" si="20"/>
        <v>1.3552074914941286</v>
      </c>
      <c r="R14" s="402">
        <f t="shared" si="20"/>
        <v>0.51277313950750947</v>
      </c>
      <c r="S14" s="403">
        <f t="shared" si="20"/>
        <v>0.58560825015112639</v>
      </c>
      <c r="T14" s="403">
        <f t="shared" si="20"/>
        <v>0.62327884579904791</v>
      </c>
      <c r="U14" s="403">
        <f t="shared" si="20"/>
        <v>9.9581726018928673E-2</v>
      </c>
      <c r="V14" s="403">
        <f t="shared" si="20"/>
        <v>-0.2903775515686744</v>
      </c>
      <c r="W14" s="402">
        <f t="shared" si="20"/>
        <v>0.10917921247581241</v>
      </c>
      <c r="X14" s="403">
        <f t="shared" si="20"/>
        <v>5.5836326236036404E-2</v>
      </c>
      <c r="Y14" s="403">
        <f t="shared" si="20"/>
        <v>3.3444806930639004E-2</v>
      </c>
      <c r="Z14" s="403">
        <f t="shared" si="20"/>
        <v>5.9701989714257886E-2</v>
      </c>
      <c r="AA14" s="403">
        <f t="shared" si="20"/>
        <v>0.14195542882611112</v>
      </c>
      <c r="AB14" s="402">
        <f t="shared" si="20"/>
        <v>7.3477913985229071E-2</v>
      </c>
      <c r="AC14" s="403">
        <f t="shared" si="20"/>
        <v>9.8914503083134653E-2</v>
      </c>
      <c r="AD14" s="403">
        <f t="shared" si="20"/>
        <v>4.2380971234256659E-2</v>
      </c>
      <c r="AE14" s="403">
        <f t="shared" si="20"/>
        <v>-2.2674005395944108E-2</v>
      </c>
      <c r="AF14" s="403">
        <f t="shared" si="20"/>
        <v>-9.1551789610734069E-2</v>
      </c>
      <c r="AG14" s="402">
        <f t="shared" si="20"/>
        <v>1.4770234760692613E-3</v>
      </c>
      <c r="AH14" s="403">
        <f t="shared" si="20"/>
        <v>-3.2708645636313372E-2</v>
      </c>
      <c r="AI14" s="403">
        <f t="shared" si="20"/>
        <v>6.4139301886871891E-3</v>
      </c>
      <c r="AJ14" s="403">
        <f t="shared" si="20"/>
        <v>-4.2847986921243919E-3</v>
      </c>
      <c r="AK14" s="403">
        <f t="shared" si="20"/>
        <v>7.1314175002716196E-2</v>
      </c>
      <c r="AL14" s="402">
        <f t="shared" si="20"/>
        <v>9.839937373290697E-3</v>
      </c>
      <c r="AM14" s="403">
        <f t="shared" si="20"/>
        <v>7.7850570507030037E-2</v>
      </c>
      <c r="AN14" s="403">
        <f t="shared" si="20"/>
        <v>7.4732212646473783E-2</v>
      </c>
      <c r="AO14" s="403">
        <f t="shared" si="20"/>
        <v>8.4036817810454245E-2</v>
      </c>
      <c r="AP14" s="403">
        <f t="shared" si="20"/>
        <v>8.6136699876363521E-2</v>
      </c>
      <c r="AQ14" s="402">
        <f t="shared" si="20"/>
        <v>8.085597962871538E-2</v>
      </c>
      <c r="AR14" s="403">
        <f t="shared" si="20"/>
        <v>5.3405939864419327E-2</v>
      </c>
      <c r="AS14" s="403">
        <f t="shared" si="20"/>
        <v>5.2734667632222898E-2</v>
      </c>
      <c r="AT14" s="403">
        <f t="shared" si="20"/>
        <v>9.1479080165384197E-3</v>
      </c>
      <c r="AU14" s="404"/>
      <c r="AV14" s="405"/>
      <c r="AW14" s="405"/>
      <c r="AX14" s="405"/>
      <c r="AY14" s="405"/>
      <c r="AZ14" s="406"/>
      <c r="BA14" s="403" t="str">
        <f>IF(ISERROR(BA13/AV13-1),"nm",BA13/AV13-1)</f>
        <v>nm</v>
      </c>
      <c r="BB14" s="403" t="str">
        <f>IF(ISERROR(BB13/AW13-1),"nm",BB13/AW13-1)</f>
        <v>nm</v>
      </c>
      <c r="BC14" s="403" t="str">
        <f>IF(ISERROR(BC13/AX13-1),"nm",BC13/AX13-1)</f>
        <v>nm</v>
      </c>
      <c r="BD14" s="403" t="str">
        <f>IF(ISERROR(BD13/AY13-1),"nm",BD13/AY13-1)</f>
        <v>nm</v>
      </c>
      <c r="BE14" s="402" t="str">
        <f>IF(ISERROR(BE13/AZ13-1),"nm",BE13/AZ13-1)</f>
        <v>nm</v>
      </c>
      <c r="BF14" s="407">
        <f t="shared" ref="BF14:CK14" si="21">BF13/BA13-1</f>
        <v>-0.25446782722827987</v>
      </c>
      <c r="BG14" s="407">
        <f t="shared" si="21"/>
        <v>-0.28573769878807798</v>
      </c>
      <c r="BH14" s="407">
        <f t="shared" si="21"/>
        <v>-0.28980436077375249</v>
      </c>
      <c r="BI14" s="408">
        <f t="shared" si="21"/>
        <v>-0.27686553999805463</v>
      </c>
      <c r="BJ14" s="408">
        <f t="shared" si="21"/>
        <v>-0.27641155386129845</v>
      </c>
      <c r="BK14" s="407">
        <f t="shared" si="21"/>
        <v>-4.6009325428028158E-2</v>
      </c>
      <c r="BL14" s="407">
        <f t="shared" si="21"/>
        <v>-3.6067976791564038E-2</v>
      </c>
      <c r="BM14" s="407">
        <f t="shared" si="21"/>
        <v>-4.9017798135867485E-2</v>
      </c>
      <c r="BN14" s="407">
        <f t="shared" si="21"/>
        <v>-7.7151673565047485E-2</v>
      </c>
      <c r="BO14" s="406">
        <f t="shared" si="21"/>
        <v>-5.180106136874385E-2</v>
      </c>
      <c r="BP14" s="407">
        <f t="shared" si="21"/>
        <v>-8.4117691765066005E-2</v>
      </c>
      <c r="BQ14" s="407">
        <f t="shared" si="21"/>
        <v>-0.1791746206361019</v>
      </c>
      <c r="BR14" s="407">
        <f t="shared" si="21"/>
        <v>-0.16648074948388514</v>
      </c>
      <c r="BS14" s="407">
        <f t="shared" si="21"/>
        <v>-0.12886729736640246</v>
      </c>
      <c r="BT14" s="406">
        <f t="shared" si="21"/>
        <v>-0.13848544780919325</v>
      </c>
      <c r="BU14" s="407">
        <f t="shared" si="21"/>
        <v>-0.12852551366260723</v>
      </c>
      <c r="BV14" s="407">
        <f t="shared" si="21"/>
        <v>-2.4386947640492762E-2</v>
      </c>
      <c r="BW14" s="407">
        <f t="shared" si="21"/>
        <v>-3.4721184033487784E-2</v>
      </c>
      <c r="BX14" s="407">
        <f t="shared" si="21"/>
        <v>-3.1756159881120016E-2</v>
      </c>
      <c r="BY14" s="406">
        <f t="shared" si="21"/>
        <v>-5.8594529442535959E-2</v>
      </c>
      <c r="BZ14" s="407">
        <f t="shared" si="21"/>
        <v>-7.9688755195125305E-3</v>
      </c>
      <c r="CA14" s="407">
        <f t="shared" si="21"/>
        <v>-4.8313458852320856E-2</v>
      </c>
      <c r="CB14" s="407">
        <f t="shared" si="21"/>
        <v>-5.4723589803157724E-2</v>
      </c>
      <c r="CC14" s="407">
        <f t="shared" si="21"/>
        <v>-6.0421496281044429E-2</v>
      </c>
      <c r="CD14" s="406">
        <f t="shared" si="21"/>
        <v>-4.2044065531886221E-2</v>
      </c>
      <c r="CE14" s="407">
        <f t="shared" si="21"/>
        <v>-8.1183276126152282E-2</v>
      </c>
      <c r="CF14" s="407">
        <f t="shared" si="21"/>
        <v>-4.521374182377258E-2</v>
      </c>
      <c r="CG14" s="407">
        <f t="shared" si="21"/>
        <v>-1.9421666627281398E-2</v>
      </c>
      <c r="CH14" s="407">
        <f t="shared" si="21"/>
        <v>-2.0505179287836239E-2</v>
      </c>
      <c r="CI14" s="406">
        <f t="shared" si="21"/>
        <v>-4.3114196783366032E-2</v>
      </c>
      <c r="CJ14" s="407">
        <f t="shared" si="21"/>
        <v>-3.9291878109105061E-2</v>
      </c>
      <c r="CK14" s="407">
        <f t="shared" si="21"/>
        <v>-2.4374557338728398E-2</v>
      </c>
      <c r="CL14" s="407">
        <f t="shared" ref="CL14:DS14" si="22">CL13/CG13-1</f>
        <v>-4.1156633629325201E-2</v>
      </c>
      <c r="CM14" s="407">
        <f t="shared" si="22"/>
        <v>-3.1105693799547418E-2</v>
      </c>
      <c r="CN14" s="406">
        <f t="shared" si="22"/>
        <v>-3.4066781343594865E-2</v>
      </c>
      <c r="CO14" s="407">
        <f t="shared" si="22"/>
        <v>-2.6784510959457997E-2</v>
      </c>
      <c r="CP14" s="407">
        <f t="shared" si="22"/>
        <v>-2.9915441146549648E-2</v>
      </c>
      <c r="CQ14" s="407">
        <f t="shared" si="22"/>
        <v>-8.146646336354979E-3</v>
      </c>
      <c r="CR14" s="407">
        <f t="shared" si="22"/>
        <v>-3.1273300596166842E-2</v>
      </c>
      <c r="CS14" s="406">
        <f t="shared" si="22"/>
        <v>-2.4169668061319483E-2</v>
      </c>
      <c r="CT14" s="407">
        <f t="shared" si="22"/>
        <v>-2.8332098013574392E-2</v>
      </c>
      <c r="CU14" s="407">
        <f t="shared" si="22"/>
        <v>-9.3106213904353696E-3</v>
      </c>
      <c r="CV14" s="407">
        <f t="shared" si="22"/>
        <v>-1.9180738848682655E-2</v>
      </c>
      <c r="CW14" s="407">
        <f t="shared" si="22"/>
        <v>-1.5973606759707604E-2</v>
      </c>
      <c r="CX14" s="406">
        <f t="shared" si="22"/>
        <v>-1.8369042513296407E-2</v>
      </c>
      <c r="CY14" s="407">
        <f t="shared" si="22"/>
        <v>-2.2955370316085744E-2</v>
      </c>
      <c r="CZ14" s="407">
        <f t="shared" si="22"/>
        <v>-3.9033800388525774E-2</v>
      </c>
      <c r="DA14" s="407">
        <f t="shared" si="22"/>
        <v>-1.8534466425763951E-2</v>
      </c>
      <c r="DB14" s="407">
        <f t="shared" si="22"/>
        <v>0.51739756661486558</v>
      </c>
      <c r="DC14" s="406">
        <f t="shared" si="22"/>
        <v>0.10651665149798473</v>
      </c>
      <c r="DD14" s="407">
        <v>0.54017421285130585</v>
      </c>
      <c r="DE14" s="407">
        <v>0.59871164454784198</v>
      </c>
      <c r="DF14" s="407">
        <v>0.61666312761809161</v>
      </c>
      <c r="DG14" s="407">
        <v>6.4793462747676056E-2</v>
      </c>
      <c r="DH14" s="406">
        <v>0.40974536908987913</v>
      </c>
      <c r="DI14" s="407">
        <f t="shared" si="22"/>
        <v>5.0311893271801411E-2</v>
      </c>
      <c r="DJ14" s="407">
        <f t="shared" si="22"/>
        <v>2.5076811308212044E-2</v>
      </c>
      <c r="DK14" s="407">
        <f t="shared" si="22"/>
        <v>7.3119792277265283E-3</v>
      </c>
      <c r="DL14" s="407">
        <f t="shared" si="22"/>
        <v>4.9107328511425186E-2</v>
      </c>
      <c r="DM14" s="406">
        <f t="shared" si="22"/>
        <v>3.309187267677105E-2</v>
      </c>
      <c r="DN14" s="407">
        <f t="shared" si="22"/>
        <v>3.5456065710842699E-2</v>
      </c>
      <c r="DO14" s="407">
        <f t="shared" si="22"/>
        <v>-3.498128710315751E-2</v>
      </c>
      <c r="DP14" s="407">
        <f t="shared" si="22"/>
        <v>-3.6252483932566304E-2</v>
      </c>
      <c r="DQ14" s="407">
        <f t="shared" si="22"/>
        <v>-9.7261184563594671E-2</v>
      </c>
      <c r="DR14" s="406">
        <f t="shared" ref="DR14:DW14" si="23">DR13/DM13-1</f>
        <v>-3.333453828768651E-2</v>
      </c>
      <c r="DS14" s="407">
        <f t="shared" si="22"/>
        <v>-8.8568787765434198E-2</v>
      </c>
      <c r="DT14" s="407">
        <f t="shared" si="23"/>
        <v>-2.8414834065705108E-2</v>
      </c>
      <c r="DU14" s="407">
        <f t="shared" si="23"/>
        <v>-6.2737959327893833E-2</v>
      </c>
      <c r="DV14" s="407">
        <f t="shared" si="23"/>
        <v>-3.9348544470903524E-2</v>
      </c>
      <c r="DW14" s="406">
        <f t="shared" si="23"/>
        <v>-5.5836154908185387E-2</v>
      </c>
      <c r="DX14" s="407">
        <f t="shared" ref="DX14:EG14" si="24">DX13/DS13-1</f>
        <v>-0.11381122149357614</v>
      </c>
      <c r="DY14" s="407">
        <f t="shared" si="24"/>
        <v>-0.10768651952124098</v>
      </c>
      <c r="DZ14" s="407">
        <f t="shared" si="24"/>
        <v>-0.10113685461092958</v>
      </c>
      <c r="EA14" s="407">
        <f t="shared" si="24"/>
        <v>-0.13831313562156244</v>
      </c>
      <c r="EB14" s="406">
        <f t="shared" si="24"/>
        <v>-0.11522959705066316</v>
      </c>
      <c r="EC14" s="407">
        <f t="shared" si="24"/>
        <v>-3.6855719098910389E-2</v>
      </c>
      <c r="ED14" s="407">
        <f t="shared" si="24"/>
        <v>-1.8712815453236775E-3</v>
      </c>
      <c r="EE14" s="407">
        <f t="shared" si="24"/>
        <v>3.9431470381527278E-2</v>
      </c>
      <c r="EF14" s="407">
        <f t="shared" si="24"/>
        <v>7.520097618514554E-2</v>
      </c>
      <c r="EG14" s="406">
        <f t="shared" si="24"/>
        <v>1.7341660789985003E-2</v>
      </c>
      <c r="EH14" s="407">
        <f t="shared" ref="EH14" si="25">EH13/EC13-1</f>
        <v>3.8567922019078216E-2</v>
      </c>
      <c r="EI14" s="407">
        <f t="shared" ref="EI14" si="26">EI13/ED13-1</f>
        <v>3.620599996640661E-2</v>
      </c>
      <c r="EJ14" s="407">
        <f t="shared" ref="EJ14" si="27">EJ13/EE13-1</f>
        <v>3.3622904662685249E-2</v>
      </c>
      <c r="EK14" s="407">
        <f t="shared" ref="EK14" si="28">EK13/EF13-1</f>
        <v>3.1037791349277422E-2</v>
      </c>
      <c r="EL14" s="406">
        <f t="shared" ref="EL14" si="29">EL13/EG13-1</f>
        <v>3.4850342633714115E-2</v>
      </c>
    </row>
    <row r="15" spans="1:142">
      <c r="A15" s="4"/>
      <c r="B15" s="4" t="s">
        <v>216</v>
      </c>
      <c r="C15" s="398"/>
      <c r="D15" s="398" t="str">
        <f>'Revenue Model'!D57</f>
        <v>ND</v>
      </c>
      <c r="E15" s="156">
        <f>'Revenue Model'!E57</f>
        <v>350812</v>
      </c>
      <c r="F15" s="156">
        <f>'Revenue Model'!F57</f>
        <v>375131</v>
      </c>
      <c r="G15" s="156">
        <f>'Revenue Model'!G57</f>
        <v>1271565</v>
      </c>
      <c r="H15" s="409">
        <f>'Revenue Model'!H57</f>
        <v>1997508</v>
      </c>
      <c r="I15" s="156">
        <f>'Revenue Model'!I57</f>
        <v>860955</v>
      </c>
      <c r="J15" s="156">
        <f>'Revenue Model'!J57</f>
        <v>894989</v>
      </c>
      <c r="K15" s="156">
        <f>'Revenue Model'!K57</f>
        <v>1058125</v>
      </c>
      <c r="L15" s="156">
        <f>'Revenue Model'!L57</f>
        <v>982115</v>
      </c>
      <c r="M15" s="409">
        <f>'Revenue Model'!M57</f>
        <v>3796184</v>
      </c>
      <c r="N15" s="156">
        <f>'Revenue Model'!N57</f>
        <v>955578</v>
      </c>
      <c r="O15" s="156">
        <f>'Revenue Model'!O57</f>
        <v>968680</v>
      </c>
      <c r="P15" s="156">
        <f>'Revenue Model'!P57</f>
        <v>1571915</v>
      </c>
      <c r="Q15" s="156">
        <f>'Revenue Model'!Q57</f>
        <v>2321078</v>
      </c>
      <c r="R15" s="409">
        <f>'Revenue Model'!R57</f>
        <v>5817251</v>
      </c>
      <c r="S15" s="156">
        <f>'Revenue Model'!S57</f>
        <v>1486640</v>
      </c>
      <c r="T15" s="156">
        <f>'Revenue Model'!T57</f>
        <v>1661469</v>
      </c>
      <c r="U15" s="156">
        <f>'Revenue Model'!U57</f>
        <v>1728411</v>
      </c>
      <c r="V15" s="156">
        <f>'Revenue Model'!V57</f>
        <v>1681005</v>
      </c>
      <c r="W15" s="409">
        <f>'Revenue Model'!W57</f>
        <v>6557525</v>
      </c>
      <c r="X15" s="156">
        <f>'Revenue Model'!X57</f>
        <v>1624041</v>
      </c>
      <c r="Y15" s="156">
        <f>'Revenue Model'!Y57</f>
        <v>1638011</v>
      </c>
      <c r="Z15" s="156">
        <f>'Revenue Model'!Z57</f>
        <v>1832782</v>
      </c>
      <c r="AA15" s="156">
        <f>'Revenue Model'!AA57</f>
        <v>1902245</v>
      </c>
      <c r="AB15" s="409">
        <f>'Revenue Model'!AB57</f>
        <v>6997079</v>
      </c>
      <c r="AC15" s="156">
        <f>'Revenue Model'!AC57</f>
        <v>1787716</v>
      </c>
      <c r="AD15" s="156">
        <f>'Revenue Model'!AD57</f>
        <v>1695214</v>
      </c>
      <c r="AE15" s="156">
        <f>'Revenue Model'!AE57</f>
        <v>1770750</v>
      </c>
      <c r="AF15" s="156">
        <f>'Revenue Model'!AF57</f>
        <v>1721626</v>
      </c>
      <c r="AG15" s="409">
        <f>'Revenue Model'!AG57</f>
        <v>6975306</v>
      </c>
      <c r="AH15" s="156">
        <f>'Revenue Model'!AH57</f>
        <v>1624041</v>
      </c>
      <c r="AI15" s="156">
        <f>'Revenue Model'!AI57</f>
        <v>1690618</v>
      </c>
      <c r="AJ15" s="156">
        <f>'Revenue Model'!AJ57</f>
        <v>1755163</v>
      </c>
      <c r="AK15" s="156">
        <f>'Revenue Model'!AK57</f>
        <v>1886717</v>
      </c>
      <c r="AL15" s="409">
        <f>'Revenue Model'!AL57</f>
        <v>6956539</v>
      </c>
      <c r="AM15" s="156">
        <f>'Revenue Model'!AM57</f>
        <v>1816959</v>
      </c>
      <c r="AN15" s="156">
        <f>'Revenue Model'!AN57</f>
        <v>1816168</v>
      </c>
      <c r="AO15" s="156">
        <f>'Revenue Model'!AO57</f>
        <v>1907956</v>
      </c>
      <c r="AP15" s="156">
        <f>'Revenue Model'!AP57</f>
        <v>1975223</v>
      </c>
      <c r="AQ15" s="409">
        <f>'Revenue Model'!AQ57</f>
        <v>7516306</v>
      </c>
      <c r="AR15" s="156">
        <f>'Revenue Model'!AR57</f>
        <v>1895385</v>
      </c>
      <c r="AS15" s="156">
        <f>'Revenue Model'!AS57</f>
        <v>1891584</v>
      </c>
      <c r="AT15" s="156">
        <f>'Revenue Model'!AT57</f>
        <v>1917816</v>
      </c>
      <c r="AU15" s="410"/>
      <c r="AV15" s="398" t="str">
        <f>'Revenue Model'!AV57</f>
        <v>ND</v>
      </c>
      <c r="AW15" s="398" t="str">
        <f>'Revenue Model'!AW57</f>
        <v>ND</v>
      </c>
      <c r="AX15" s="398" t="str">
        <f>'Revenue Model'!AX57</f>
        <v>ND</v>
      </c>
      <c r="AY15" s="398" t="str">
        <f>'Revenue Model'!AY57</f>
        <v>ND</v>
      </c>
      <c r="AZ15" s="157">
        <f>'Revenue Model'!AZ57</f>
        <v>0</v>
      </c>
      <c r="BA15" s="156">
        <f>'Revenue Model'!BA57</f>
        <v>1795249</v>
      </c>
      <c r="BB15" s="156">
        <f>'Revenue Model'!BB57</f>
        <v>1738964</v>
      </c>
      <c r="BC15" s="156">
        <f>'Revenue Model'!BC57</f>
        <v>1716357</v>
      </c>
      <c r="BD15" s="156">
        <f>'Revenue Model'!BD57</f>
        <v>1670246</v>
      </c>
      <c r="BE15" s="409">
        <f>'Revenue Model'!BE57</f>
        <v>6920816</v>
      </c>
      <c r="BF15" s="411">
        <f>'Revenue Model'!BF57</f>
        <v>1345076</v>
      </c>
      <c r="BG15" s="411">
        <f>'Revenue Model'!BG57</f>
        <v>1259222</v>
      </c>
      <c r="BH15" s="411">
        <f>'Revenue Model'!BH57</f>
        <v>1231594</v>
      </c>
      <c r="BI15" s="411">
        <f>'Revenue Model'!BI57</f>
        <v>1226873</v>
      </c>
      <c r="BJ15" s="409">
        <f>'Revenue Model'!BJ57</f>
        <v>5062765</v>
      </c>
      <c r="BK15" s="411">
        <f>'Revenue Model'!BK57</f>
        <v>1291165</v>
      </c>
      <c r="BL15" s="411">
        <f>'Revenue Model'!BL57</f>
        <v>1222322</v>
      </c>
      <c r="BM15" s="411">
        <f>'Revenue Model'!BM57</f>
        <v>1179032</v>
      </c>
      <c r="BN15" s="411">
        <f>'Revenue Model'!BN57</f>
        <v>1134196</v>
      </c>
      <c r="BO15" s="409">
        <f>'Revenue Model'!BO57</f>
        <v>4826715</v>
      </c>
      <c r="BP15" s="411">
        <f>'Revenue Model'!BP57</f>
        <v>1191546</v>
      </c>
      <c r="BQ15" s="411">
        <f>'Revenue Model'!BQ57</f>
        <v>1008689</v>
      </c>
      <c r="BR15" s="411">
        <f>'Revenue Model'!BR57</f>
        <v>990535</v>
      </c>
      <c r="BS15" s="411">
        <f>'Revenue Model'!BS57</f>
        <v>997836</v>
      </c>
      <c r="BT15" s="409">
        <f>'Revenue Model'!BT57</f>
        <v>4188606</v>
      </c>
      <c r="BU15" s="411">
        <f>'Revenue Model'!BU57</f>
        <v>1047936</v>
      </c>
      <c r="BV15" s="411">
        <f>'Revenue Model'!BV57</f>
        <v>998019</v>
      </c>
      <c r="BW15" s="411">
        <f>'Revenue Model'!BW57</f>
        <v>968418</v>
      </c>
      <c r="BX15" s="411">
        <f>'Revenue Model'!BX57</f>
        <v>978344</v>
      </c>
      <c r="BY15" s="409">
        <f>'Revenue Model'!BY57</f>
        <v>3992717</v>
      </c>
      <c r="BZ15" s="411">
        <f>'Revenue Model'!BZ57</f>
        <v>1044642</v>
      </c>
      <c r="CA15" s="411">
        <f>'Revenue Model'!CA57</f>
        <v>955538</v>
      </c>
      <c r="CB15" s="411">
        <f>'Revenue Model'!CB57</f>
        <v>930381</v>
      </c>
      <c r="CC15" s="411">
        <f>'Revenue Model'!CC57</f>
        <v>934829</v>
      </c>
      <c r="CD15" s="409">
        <f>'Revenue Model'!CD57</f>
        <v>3865390</v>
      </c>
      <c r="CE15" s="411">
        <f>'Revenue Model'!CE57</f>
        <v>988935</v>
      </c>
      <c r="CF15" s="411">
        <f>'Revenue Model'!CF57</f>
        <v>940472</v>
      </c>
      <c r="CG15" s="411">
        <f>'Revenue Model'!CG57</f>
        <v>935375</v>
      </c>
      <c r="CH15" s="411">
        <f>'Revenue Model'!CH57</f>
        <v>930542</v>
      </c>
      <c r="CI15" s="412">
        <f>'Revenue Model'!CI57</f>
        <v>3795324</v>
      </c>
      <c r="CJ15" s="413">
        <f>'Revenue Model'!CJ57</f>
        <v>958248</v>
      </c>
      <c r="CK15" s="413">
        <f>'Revenue Model'!CK57</f>
        <v>929186</v>
      </c>
      <c r="CL15" s="413">
        <f>'Revenue Model'!CL57</f>
        <v>913049</v>
      </c>
      <c r="CM15" s="411">
        <f>'Revenue Model'!CM57</f>
        <v>923219</v>
      </c>
      <c r="CN15" s="412">
        <f>'Revenue Model'!CN57</f>
        <v>3723702</v>
      </c>
      <c r="CO15" s="413">
        <f>'Revenue Model'!CO57</f>
        <v>948356</v>
      </c>
      <c r="CP15" s="413">
        <f>'Revenue Model'!CP57</f>
        <v>912369</v>
      </c>
      <c r="CQ15" s="413">
        <f>'Revenue Model'!CQ57</f>
        <v>909960</v>
      </c>
      <c r="CR15" s="413">
        <f>'Revenue Model'!CR57</f>
        <v>902762</v>
      </c>
      <c r="CS15" s="412">
        <f>'Revenue Model'!CS57</f>
        <v>3673447</v>
      </c>
      <c r="CT15" s="413">
        <f>'Revenue Model'!CT57</f>
        <v>947116</v>
      </c>
      <c r="CU15" s="413">
        <f>'Revenue Model'!CU57</f>
        <v>919895</v>
      </c>
      <c r="CV15" s="413">
        <f>'Revenue Model'!CV57</f>
        <v>911233</v>
      </c>
      <c r="CW15" s="413">
        <f>'Revenue Model'!CW57</f>
        <v>915584</v>
      </c>
      <c r="CX15" s="412">
        <f>'Revenue Model'!CX57</f>
        <v>3693828</v>
      </c>
      <c r="CY15" s="413">
        <f>'Revenue Model'!CY57</f>
        <v>939840</v>
      </c>
      <c r="CZ15" s="413">
        <f>'Revenue Model'!CZ57</f>
        <v>909720</v>
      </c>
      <c r="DA15" s="413">
        <f>'Revenue Model'!DA57</f>
        <v>912483</v>
      </c>
      <c r="DB15" s="413">
        <f>'Revenue Model'!DB57</f>
        <v>1481291</v>
      </c>
      <c r="DC15" s="412">
        <f>'Revenue Model'!DC57</f>
        <v>4243334</v>
      </c>
      <c r="DD15" s="413">
        <v>1525379</v>
      </c>
      <c r="DE15" s="413">
        <v>1563681</v>
      </c>
      <c r="DF15" s="413">
        <v>1574346</v>
      </c>
      <c r="DG15" s="413">
        <v>1592166</v>
      </c>
      <c r="DH15" s="412">
        <v>6255572</v>
      </c>
      <c r="DI15" s="413">
        <f>'Revenue Model'!DI57</f>
        <v>1631597</v>
      </c>
      <c r="DJ15" s="413">
        <f>'Revenue Model'!DJ57</f>
        <v>1589567</v>
      </c>
      <c r="DK15" s="413">
        <f>'Revenue Model'!DK57</f>
        <v>1601405</v>
      </c>
      <c r="DL15" s="413">
        <f>'Revenue Model'!DL57</f>
        <v>1710620</v>
      </c>
      <c r="DM15" s="412">
        <f>'Revenue Model'!DM57</f>
        <v>6533189</v>
      </c>
      <c r="DN15" s="413">
        <f>'Revenue Model'!DN57</f>
        <v>1714369</v>
      </c>
      <c r="DO15" s="413">
        <f>'Revenue Model'!DO57</f>
        <v>1569272</v>
      </c>
      <c r="DP15" s="413">
        <f>'Revenue Model'!DP57</f>
        <v>1567894</v>
      </c>
      <c r="DQ15" s="413">
        <f>'Revenue Model'!DQ57</f>
        <v>1543490</v>
      </c>
      <c r="DR15" s="412">
        <f>'Revenue Model'!DR57</f>
        <v>6395025</v>
      </c>
      <c r="DS15" s="413">
        <f>'Revenue Model'!DS57</f>
        <v>1583962</v>
      </c>
      <c r="DT15" s="413">
        <f>'Revenue Model'!DT57</f>
        <v>1538940</v>
      </c>
      <c r="DU15" s="413">
        <f>'Revenue Model'!DU57</f>
        <v>1466266</v>
      </c>
      <c r="DV15" s="413">
        <f>'Revenue Model'!DV57</f>
        <v>1485209</v>
      </c>
      <c r="DW15" s="412">
        <f>'Revenue Model'!DW57</f>
        <v>6074377</v>
      </c>
      <c r="DX15" s="413">
        <f>'Revenue Model'!DX57</f>
        <v>1437027.3492029302</v>
      </c>
      <c r="DY15" s="413">
        <f>'Revenue Model'!DY57</f>
        <v>1386970.1428609218</v>
      </c>
      <c r="DZ15" s="413">
        <f>'Revenue Model'!DZ57</f>
        <v>1343417.2071037164</v>
      </c>
      <c r="EA15" s="413">
        <f>'Revenue Model'!EA57</f>
        <v>1297781.0060235923</v>
      </c>
      <c r="EB15" s="412">
        <f>'Revenue Model'!EB57</f>
        <v>5465195.7051911606</v>
      </c>
      <c r="EC15" s="413">
        <f>'Revenue Model'!EC57</f>
        <v>1403717.4458470747</v>
      </c>
      <c r="ED15" s="413">
        <f>'Revenue Model'!ED57</f>
        <v>1388257.1184152404</v>
      </c>
      <c r="EE15" s="413">
        <f>'Revenue Model'!EE57</f>
        <v>1396390.1229156607</v>
      </c>
      <c r="EF15" s="413">
        <f>'Revenue Model'!EF57</f>
        <v>1399327.8749578067</v>
      </c>
      <c r="EG15" s="412">
        <f>'Revenue Model'!EG57</f>
        <v>5587692.5621357821</v>
      </c>
      <c r="EH15" s="413">
        <f>'Revenue Model'!EH57</f>
        <v>1457855.9108353243</v>
      </c>
      <c r="EI15" s="413">
        <f>'Revenue Model'!EI57</f>
        <v>1438520.3555979466</v>
      </c>
      <c r="EJ15" s="413">
        <f>'Revenue Model'!EJ57</f>
        <v>1443340.8148903695</v>
      </c>
      <c r="EK15" s="413">
        <f>'Revenue Model'!EK57</f>
        <v>1442759.9215699749</v>
      </c>
      <c r="EL15" s="412">
        <f>'Revenue Model'!EL57</f>
        <v>5782477.0028936155</v>
      </c>
    </row>
    <row r="16" spans="1:142">
      <c r="A16" s="415"/>
      <c r="B16" s="415" t="s">
        <v>109</v>
      </c>
      <c r="C16" s="401"/>
      <c r="D16" s="401"/>
      <c r="E16" s="401"/>
      <c r="F16" s="401"/>
      <c r="G16" s="401"/>
      <c r="H16" s="402"/>
      <c r="I16" s="403" t="str">
        <f t="shared" ref="I16:AT16" si="30">IF(ISERROR(I15/D15-1),"nm",I15/D15-1)</f>
        <v>nm</v>
      </c>
      <c r="J16" s="403">
        <f t="shared" si="30"/>
        <v>1.5511926615965246</v>
      </c>
      <c r="K16" s="403">
        <f t="shared" si="30"/>
        <v>1.8206813086628406</v>
      </c>
      <c r="L16" s="403">
        <f t="shared" si="30"/>
        <v>-0.22763287759571871</v>
      </c>
      <c r="M16" s="402">
        <f t="shared" si="30"/>
        <v>0.90045997312651571</v>
      </c>
      <c r="N16" s="403">
        <f t="shared" si="30"/>
        <v>0.10990469885185639</v>
      </c>
      <c r="O16" s="403">
        <f t="shared" si="30"/>
        <v>8.2337324816282642E-2</v>
      </c>
      <c r="P16" s="403">
        <f t="shared" si="30"/>
        <v>0.48556645008860011</v>
      </c>
      <c r="Q16" s="403">
        <f t="shared" si="30"/>
        <v>1.3633464512811635</v>
      </c>
      <c r="R16" s="402">
        <f t="shared" si="30"/>
        <v>0.53239437287549807</v>
      </c>
      <c r="S16" s="403">
        <f t="shared" si="30"/>
        <v>0.55574950448838289</v>
      </c>
      <c r="T16" s="403">
        <f t="shared" si="30"/>
        <v>0.71518871041004251</v>
      </c>
      <c r="U16" s="403">
        <f t="shared" si="30"/>
        <v>9.9557546050518031E-2</v>
      </c>
      <c r="V16" s="403">
        <f t="shared" si="30"/>
        <v>-0.27576539866389671</v>
      </c>
      <c r="W16" s="402">
        <f t="shared" si="30"/>
        <v>0.12725495255405006</v>
      </c>
      <c r="X16" s="403">
        <f t="shared" si="30"/>
        <v>9.2423855136414934E-2</v>
      </c>
      <c r="Y16" s="403">
        <f t="shared" si="30"/>
        <v>-1.4118830986313946E-2</v>
      </c>
      <c r="Z16" s="403">
        <f t="shared" si="30"/>
        <v>6.0385521730653258E-2</v>
      </c>
      <c r="AA16" s="403">
        <f t="shared" si="30"/>
        <v>0.13161174416494892</v>
      </c>
      <c r="AB16" s="402">
        <f t="shared" si="30"/>
        <v>6.7030472624961313E-2</v>
      </c>
      <c r="AC16" s="403">
        <f t="shared" si="30"/>
        <v>0.1007825541350249</v>
      </c>
      <c r="AD16" s="403">
        <f t="shared" si="30"/>
        <v>3.4922231901983514E-2</v>
      </c>
      <c r="AE16" s="403">
        <f t="shared" si="30"/>
        <v>-3.3845814723191259E-2</v>
      </c>
      <c r="AF16" s="403">
        <f t="shared" si="30"/>
        <v>-9.4950440137837155E-2</v>
      </c>
      <c r="AG16" s="402">
        <f t="shared" si="30"/>
        <v>-3.1117270506735295E-3</v>
      </c>
      <c r="AH16" s="403">
        <f t="shared" si="30"/>
        <v>-9.1555370092341271E-2</v>
      </c>
      <c r="AI16" s="403">
        <f t="shared" si="30"/>
        <v>-2.711162130562883E-3</v>
      </c>
      <c r="AJ16" s="403">
        <f t="shared" si="30"/>
        <v>-8.8024848228152042E-3</v>
      </c>
      <c r="AK16" s="403">
        <f t="shared" si="30"/>
        <v>9.5892487683155281E-2</v>
      </c>
      <c r="AL16" s="402">
        <f t="shared" si="30"/>
        <v>-2.6904912845400197E-3</v>
      </c>
      <c r="AM16" s="403">
        <f t="shared" si="30"/>
        <v>0.11878887294101559</v>
      </c>
      <c r="AN16" s="403">
        <f t="shared" si="30"/>
        <v>7.4262784378256841E-2</v>
      </c>
      <c r="AO16" s="403">
        <f t="shared" si="30"/>
        <v>8.7053453155063076E-2</v>
      </c>
      <c r="AP16" s="403">
        <f t="shared" si="30"/>
        <v>4.6910055933136796E-2</v>
      </c>
      <c r="AQ16" s="402">
        <f t="shared" si="30"/>
        <v>8.0466306592976711E-2</v>
      </c>
      <c r="AR16" s="403">
        <f t="shared" si="30"/>
        <v>4.3163329497253322E-2</v>
      </c>
      <c r="AS16" s="403">
        <f t="shared" si="30"/>
        <v>4.1524792860572424E-2</v>
      </c>
      <c r="AT16" s="403">
        <f t="shared" si="30"/>
        <v>5.1678340590664007E-3</v>
      </c>
      <c r="AU16" s="404"/>
      <c r="AV16" s="405"/>
      <c r="AW16" s="405"/>
      <c r="AX16" s="405"/>
      <c r="AY16" s="405"/>
      <c r="AZ16" s="406"/>
      <c r="BA16" s="403" t="str">
        <f>IF(ISERROR(BA15/AV15-1),"nm",BA15/AV15-1)</f>
        <v>nm</v>
      </c>
      <c r="BB16" s="403" t="str">
        <f>IF(ISERROR(BB15/AW15-1),"nm",BB15/AW15-1)</f>
        <v>nm</v>
      </c>
      <c r="BC16" s="403" t="str">
        <f>IF(ISERROR(BC15/AX15-1),"nm",BC15/AX15-1)</f>
        <v>nm</v>
      </c>
      <c r="BD16" s="403" t="str">
        <f>IF(ISERROR(BD15/AY15-1),"nm",BD15/AY15-1)</f>
        <v>nm</v>
      </c>
      <c r="BE16" s="402" t="str">
        <f>IF(ISERROR(BE15/AZ15-1),"nm",BE15/AZ15-1)</f>
        <v>nm</v>
      </c>
      <c r="BF16" s="407">
        <f t="shared" ref="BF16:CK16" si="31">BF15/BA15-1</f>
        <v>-0.25075797284944878</v>
      </c>
      <c r="BG16" s="407">
        <f t="shared" si="31"/>
        <v>-0.27587805152953138</v>
      </c>
      <c r="BH16" s="407">
        <f t="shared" si="31"/>
        <v>-0.28243716196572155</v>
      </c>
      <c r="BI16" s="408">
        <f t="shared" si="31"/>
        <v>-0.26545371160894859</v>
      </c>
      <c r="BJ16" s="408">
        <f t="shared" si="31"/>
        <v>-0.26847282170194964</v>
      </c>
      <c r="BK16" s="407">
        <f t="shared" si="31"/>
        <v>-4.0080263122678539E-2</v>
      </c>
      <c r="BL16" s="407">
        <f t="shared" si="31"/>
        <v>-2.930380822444334E-2</v>
      </c>
      <c r="BM16" s="407">
        <f t="shared" si="31"/>
        <v>-4.2678025388236729E-2</v>
      </c>
      <c r="BN16" s="407">
        <f t="shared" si="31"/>
        <v>-7.5539195988500896E-2</v>
      </c>
      <c r="BO16" s="406">
        <f t="shared" si="31"/>
        <v>-4.6624719891205646E-2</v>
      </c>
      <c r="BP16" s="407">
        <f t="shared" si="31"/>
        <v>-7.715435285188188E-2</v>
      </c>
      <c r="BQ16" s="407">
        <f t="shared" si="31"/>
        <v>-0.17477636825648235</v>
      </c>
      <c r="BR16" s="407">
        <f t="shared" si="31"/>
        <v>-0.15987437151833028</v>
      </c>
      <c r="BS16" s="407">
        <f t="shared" si="31"/>
        <v>-0.12022613375465974</v>
      </c>
      <c r="BT16" s="406">
        <f t="shared" si="31"/>
        <v>-0.13220357945310635</v>
      </c>
      <c r="BU16" s="407">
        <f t="shared" si="31"/>
        <v>-0.12052409222975868</v>
      </c>
      <c r="BV16" s="407">
        <f t="shared" si="31"/>
        <v>-1.0578087002039327E-2</v>
      </c>
      <c r="BW16" s="407">
        <f t="shared" si="31"/>
        <v>-2.2328337716486568E-2</v>
      </c>
      <c r="BX16" s="407">
        <f t="shared" si="31"/>
        <v>-1.953427216496495E-2</v>
      </c>
      <c r="BY16" s="406">
        <f t="shared" si="31"/>
        <v>-4.6767110585240079E-2</v>
      </c>
      <c r="BZ16" s="407">
        <f t="shared" si="31"/>
        <v>-3.1433217295713245E-3</v>
      </c>
      <c r="CA16" s="407">
        <f t="shared" si="31"/>
        <v>-4.2565321902689246E-2</v>
      </c>
      <c r="CB16" s="407">
        <f t="shared" si="31"/>
        <v>-3.9277460765908989E-2</v>
      </c>
      <c r="CC16" s="407">
        <f t="shared" si="31"/>
        <v>-4.4478220339676078E-2</v>
      </c>
      <c r="CD16" s="406">
        <f t="shared" si="31"/>
        <v>-3.1889813377707465E-2</v>
      </c>
      <c r="CE16" s="407">
        <f t="shared" si="31"/>
        <v>-5.3326402729356071E-2</v>
      </c>
      <c r="CF16" s="407">
        <f t="shared" si="31"/>
        <v>-1.5767033859459323E-2</v>
      </c>
      <c r="CG16" s="407">
        <f t="shared" si="31"/>
        <v>5.3676934503177343E-3</v>
      </c>
      <c r="CH16" s="407">
        <f t="shared" si="31"/>
        <v>-4.585865436352532E-3</v>
      </c>
      <c r="CI16" s="406">
        <f t="shared" si="31"/>
        <v>-1.8126502112335352E-2</v>
      </c>
      <c r="CJ16" s="407">
        <f t="shared" si="31"/>
        <v>-3.10303508319556E-2</v>
      </c>
      <c r="CK16" s="407">
        <f t="shared" si="31"/>
        <v>-1.2000357267414663E-2</v>
      </c>
      <c r="CL16" s="407">
        <f t="shared" ref="CL16:DS16" si="32">CL15/CG15-1</f>
        <v>-2.3868501937725495E-2</v>
      </c>
      <c r="CM16" s="407">
        <f t="shared" si="32"/>
        <v>-7.8696071751731544E-3</v>
      </c>
      <c r="CN16" s="406">
        <f t="shared" si="32"/>
        <v>-1.8871116141862987E-2</v>
      </c>
      <c r="CO16" s="407">
        <f t="shared" si="32"/>
        <v>-1.032300615289572E-2</v>
      </c>
      <c r="CP16" s="407">
        <f t="shared" si="32"/>
        <v>-1.8098636871412221E-2</v>
      </c>
      <c r="CQ16" s="407">
        <f t="shared" si="32"/>
        <v>-3.3831700160670275E-3</v>
      </c>
      <c r="CR16" s="407">
        <f t="shared" si="32"/>
        <v>-2.2158339462251098E-2</v>
      </c>
      <c r="CS16" s="406">
        <f t="shared" si="32"/>
        <v>-1.3495977927342251E-2</v>
      </c>
      <c r="CT16" s="407">
        <f t="shared" si="32"/>
        <v>-1.3075258658140632E-3</v>
      </c>
      <c r="CU16" s="407">
        <f t="shared" si="32"/>
        <v>8.24885545212517E-3</v>
      </c>
      <c r="CV16" s="407">
        <f t="shared" si="32"/>
        <v>1.3989625917623094E-3</v>
      </c>
      <c r="CW16" s="407">
        <f t="shared" si="32"/>
        <v>1.4203078995349783E-2</v>
      </c>
      <c r="CX16" s="406">
        <f t="shared" si="32"/>
        <v>5.548194924276828E-3</v>
      </c>
      <c r="CY16" s="407">
        <f t="shared" si="32"/>
        <v>-7.6822691201500204E-3</v>
      </c>
      <c r="CZ16" s="407">
        <f t="shared" si="32"/>
        <v>-1.1061045010571813E-2</v>
      </c>
      <c r="DA16" s="407">
        <f t="shared" si="32"/>
        <v>1.3717677037596854E-3</v>
      </c>
      <c r="DB16" s="407">
        <f t="shared" si="32"/>
        <v>0.61786466342793234</v>
      </c>
      <c r="DC16" s="406">
        <f t="shared" si="32"/>
        <v>0.14876328838267505</v>
      </c>
      <c r="DD16" s="407">
        <v>0.62301987572352746</v>
      </c>
      <c r="DE16" s="407">
        <v>0.71885964912280698</v>
      </c>
      <c r="DF16" s="407">
        <v>0.7253428283047465</v>
      </c>
      <c r="DG16" s="407">
        <v>7.4850248870748537E-2</v>
      </c>
      <c r="DH16" s="406">
        <v>0.47421155157713257</v>
      </c>
      <c r="DI16" s="407">
        <f t="shared" si="32"/>
        <v>6.963384181898391E-2</v>
      </c>
      <c r="DJ16" s="407">
        <f t="shared" si="32"/>
        <v>1.6554527425990395E-2</v>
      </c>
      <c r="DK16" s="407">
        <f t="shared" si="32"/>
        <v>1.7187454346122122E-2</v>
      </c>
      <c r="DL16" s="407">
        <f t="shared" si="32"/>
        <v>7.4398021311848028E-2</v>
      </c>
      <c r="DM16" s="406">
        <f t="shared" si="32"/>
        <v>4.4379155095649159E-2</v>
      </c>
      <c r="DN16" s="407">
        <f t="shared" si="32"/>
        <v>5.073066449619601E-2</v>
      </c>
      <c r="DO16" s="407">
        <f t="shared" si="32"/>
        <v>-1.2767627913765178E-2</v>
      </c>
      <c r="DP16" s="407">
        <f t="shared" si="32"/>
        <v>-2.0925999356814828E-2</v>
      </c>
      <c r="DQ16" s="407">
        <f t="shared" si="32"/>
        <v>-9.7701418199249379E-2</v>
      </c>
      <c r="DR16" s="406">
        <f t="shared" ref="DR16:DW16" si="33">DR15/DM15-1</f>
        <v>-2.1148018218973941E-2</v>
      </c>
      <c r="DS16" s="407">
        <f t="shared" si="32"/>
        <v>-7.6067054408940016E-2</v>
      </c>
      <c r="DT16" s="407">
        <f t="shared" si="33"/>
        <v>-1.932870783395102E-2</v>
      </c>
      <c r="DU16" s="407">
        <f t="shared" si="33"/>
        <v>-6.4818157349922911E-2</v>
      </c>
      <c r="DV16" s="407">
        <f t="shared" si="33"/>
        <v>-3.7759233943854498E-2</v>
      </c>
      <c r="DW16" s="406">
        <f t="shared" si="33"/>
        <v>-5.014022619145353E-2</v>
      </c>
      <c r="DX16" s="407">
        <f t="shared" ref="DX16:EG16" si="34">DX15/DS15-1</f>
        <v>-9.2763999892086946E-2</v>
      </c>
      <c r="DY16" s="407">
        <f t="shared" si="34"/>
        <v>-9.8749695984949537E-2</v>
      </c>
      <c r="DZ16" s="407">
        <f t="shared" si="34"/>
        <v>-8.3783428720493824E-2</v>
      </c>
      <c r="EA16" s="407">
        <f t="shared" si="34"/>
        <v>-0.12619637638635883</v>
      </c>
      <c r="EB16" s="406">
        <f t="shared" si="34"/>
        <v>-0.10028704092762752</v>
      </c>
      <c r="EC16" s="407">
        <f t="shared" si="34"/>
        <v>-2.317972818981584E-2</v>
      </c>
      <c r="ED16" s="407">
        <f t="shared" si="34"/>
        <v>9.2790429624090009E-4</v>
      </c>
      <c r="EE16" s="407">
        <f t="shared" si="34"/>
        <v>3.9431470381527278E-2</v>
      </c>
      <c r="EF16" s="407">
        <f t="shared" si="34"/>
        <v>7.8246536559626767E-2</v>
      </c>
      <c r="EG16" s="406">
        <f t="shared" si="34"/>
        <v>2.2413992755696999E-2</v>
      </c>
      <c r="EH16" s="407">
        <f t="shared" ref="EH16" si="35">EH15/EC15-1</f>
        <v>3.8567922019078216E-2</v>
      </c>
      <c r="EI16" s="407">
        <f t="shared" ref="EI16" si="36">EI15/ED15-1</f>
        <v>3.6205999966406832E-2</v>
      </c>
      <c r="EJ16" s="407">
        <f t="shared" ref="EJ16" si="37">EJ15/EE15-1</f>
        <v>3.3622904662685471E-2</v>
      </c>
      <c r="EK16" s="407">
        <f t="shared" ref="EK16" si="38">EK15/EF15-1</f>
        <v>3.1037791349277422E-2</v>
      </c>
      <c r="EL16" s="406">
        <f t="shared" ref="EL16" si="39">EL15/EG15-1</f>
        <v>3.4859548658378703E-2</v>
      </c>
    </row>
    <row r="17" spans="1:142">
      <c r="A17" s="45"/>
      <c r="B17" s="45"/>
      <c r="C17" s="9"/>
      <c r="D17" s="9"/>
      <c r="E17" s="9"/>
      <c r="F17" s="9"/>
      <c r="G17" s="9"/>
      <c r="H17" s="63"/>
      <c r="I17" s="9"/>
      <c r="J17" s="9"/>
      <c r="K17" s="9"/>
      <c r="L17" s="9"/>
      <c r="M17" s="63"/>
      <c r="N17" s="9"/>
      <c r="O17" s="9"/>
      <c r="P17" s="9"/>
      <c r="Q17" s="9"/>
      <c r="R17" s="63"/>
      <c r="S17" s="9"/>
      <c r="T17" s="9"/>
      <c r="U17" s="9"/>
      <c r="V17" s="9"/>
      <c r="W17" s="63"/>
      <c r="X17" s="9"/>
      <c r="Y17" s="9"/>
      <c r="Z17" s="9"/>
      <c r="AA17" s="9"/>
      <c r="AB17" s="63"/>
      <c r="AC17" s="9"/>
      <c r="AD17" s="9"/>
      <c r="AE17" s="9"/>
      <c r="AF17" s="9"/>
      <c r="AG17" s="63"/>
      <c r="AH17" s="9"/>
      <c r="AI17" s="9"/>
      <c r="AJ17" s="9"/>
      <c r="AK17" s="9"/>
      <c r="AL17" s="63"/>
      <c r="AM17" s="9"/>
      <c r="AN17" s="9"/>
      <c r="AO17" s="9"/>
      <c r="AP17" s="9"/>
      <c r="AQ17" s="63"/>
      <c r="AR17" s="9"/>
      <c r="AS17" s="9"/>
      <c r="AT17" s="9"/>
      <c r="AU17" s="395"/>
      <c r="AV17" s="9"/>
      <c r="AW17" s="9"/>
      <c r="AX17" s="9"/>
      <c r="AY17" s="9"/>
      <c r="AZ17" s="63"/>
      <c r="BA17" s="9"/>
      <c r="BB17" s="9"/>
      <c r="BC17" s="9"/>
      <c r="BD17" s="9"/>
      <c r="BE17" s="63"/>
      <c r="BF17" s="9"/>
      <c r="BG17" s="9"/>
      <c r="BH17" s="9"/>
      <c r="BI17" s="9"/>
      <c r="BJ17" s="63"/>
      <c r="BK17" s="9"/>
      <c r="BL17" s="9"/>
      <c r="BM17" s="9"/>
      <c r="BN17" s="9"/>
      <c r="BO17" s="63"/>
      <c r="BP17" s="9"/>
      <c r="BQ17" s="9"/>
      <c r="BR17" s="9"/>
      <c r="BS17" s="9"/>
      <c r="BT17" s="63"/>
      <c r="BU17" s="9"/>
      <c r="BV17" s="9"/>
      <c r="BW17" s="9"/>
      <c r="BX17" s="9"/>
      <c r="BY17" s="63"/>
      <c r="BZ17" s="9"/>
      <c r="CA17" s="9"/>
      <c r="CB17" s="9"/>
      <c r="CC17" s="9"/>
      <c r="CD17" s="63"/>
      <c r="CE17" s="9"/>
      <c r="CF17" s="9"/>
      <c r="CG17" s="9"/>
      <c r="CH17" s="9"/>
      <c r="CI17" s="63"/>
      <c r="CJ17" s="155"/>
      <c r="CK17" s="155"/>
      <c r="CL17" s="155"/>
      <c r="CM17" s="155"/>
      <c r="CN17" s="63"/>
      <c r="CO17" s="155"/>
      <c r="CP17" s="155"/>
      <c r="CQ17" s="155"/>
      <c r="CR17" s="155"/>
      <c r="CS17" s="63"/>
      <c r="CT17" s="155"/>
      <c r="CU17" s="155"/>
      <c r="CV17" s="155"/>
      <c r="CW17" s="155"/>
      <c r="CX17" s="63"/>
      <c r="CY17" s="155"/>
      <c r="CZ17" s="155"/>
      <c r="DA17" s="9"/>
      <c r="DB17" s="9"/>
      <c r="DC17" s="63"/>
      <c r="DD17" s="9"/>
      <c r="DE17" s="9"/>
      <c r="DF17" s="9"/>
      <c r="DG17" s="9"/>
      <c r="DH17" s="63"/>
      <c r="DI17" s="9"/>
      <c r="DJ17" s="9"/>
      <c r="DK17" s="9"/>
      <c r="DL17" s="9"/>
      <c r="DM17" s="63"/>
      <c r="DN17" s="9"/>
      <c r="DO17" s="9"/>
      <c r="DP17" s="9"/>
      <c r="DQ17" s="9"/>
      <c r="DR17" s="63"/>
      <c r="DS17" s="9"/>
      <c r="DT17" s="9"/>
      <c r="DU17" s="9"/>
      <c r="DV17" s="9"/>
      <c r="DW17" s="63"/>
      <c r="DX17" s="9"/>
      <c r="DY17" s="9"/>
      <c r="DZ17" s="9"/>
      <c r="EA17" s="9"/>
      <c r="EB17" s="63"/>
      <c r="EC17" s="9"/>
      <c r="ED17" s="9"/>
      <c r="EE17" s="9"/>
      <c r="EF17" s="9"/>
      <c r="EG17" s="63"/>
      <c r="EH17" s="9"/>
      <c r="EI17" s="9"/>
      <c r="EJ17" s="9"/>
      <c r="EK17" s="9"/>
      <c r="EL17" s="63"/>
    </row>
    <row r="18" spans="1:142">
      <c r="A18" s="416"/>
      <c r="B18" s="416" t="str">
        <f>'Revenue Model'!B8</f>
        <v>Inpatient revenue</v>
      </c>
      <c r="C18" s="417">
        <f>'Revenue Model'!C8</f>
        <v>0</v>
      </c>
      <c r="D18" s="417">
        <f>'Revenue Model'!D8</f>
        <v>373.37799999999999</v>
      </c>
      <c r="E18" s="417">
        <f>'Revenue Model'!E8</f>
        <v>366.77499999999998</v>
      </c>
      <c r="F18" s="417">
        <f>'Revenue Model'!F8</f>
        <v>385.7</v>
      </c>
      <c r="G18" s="417">
        <f>'Revenue Model'!G8</f>
        <v>812.04700000000003</v>
      </c>
      <c r="H18" s="418">
        <f>'Revenue Model'!H8</f>
        <v>1937.9</v>
      </c>
      <c r="I18" s="417">
        <f>'Revenue Model'!I8</f>
        <v>787.3</v>
      </c>
      <c r="J18" s="417">
        <f>'Revenue Model'!J8</f>
        <v>839.4</v>
      </c>
      <c r="K18" s="417">
        <f>'Revenue Model'!K8</f>
        <v>906.7</v>
      </c>
      <c r="L18" s="417">
        <f>'Revenue Model'!L8</f>
        <v>906.60000000000036</v>
      </c>
      <c r="M18" s="418">
        <f>'Revenue Model'!M8</f>
        <v>3440</v>
      </c>
      <c r="N18" s="417">
        <f>'Revenue Model'!N8</f>
        <v>858.2</v>
      </c>
      <c r="O18" s="417">
        <f>'Revenue Model'!O8</f>
        <v>884.5</v>
      </c>
      <c r="P18" s="417">
        <f>'Revenue Model'!P8</f>
        <v>1377</v>
      </c>
      <c r="Q18" s="417">
        <f>'Revenue Model'!Q8</f>
        <v>2107.3000000000002</v>
      </c>
      <c r="R18" s="418">
        <f>'Revenue Model'!R8</f>
        <v>5227</v>
      </c>
      <c r="S18" s="417">
        <f>'Revenue Model'!S8</f>
        <v>1341</v>
      </c>
      <c r="T18" s="417">
        <f>'Revenue Model'!T8</f>
        <v>1390</v>
      </c>
      <c r="U18" s="417">
        <f>'Revenue Model'!U8</f>
        <v>1564</v>
      </c>
      <c r="V18" s="417">
        <f>'Revenue Model'!V8</f>
        <v>1548</v>
      </c>
      <c r="W18" s="418">
        <f>'Revenue Model'!W8</f>
        <v>5843</v>
      </c>
      <c r="X18" s="417">
        <f>'Revenue Model'!X8</f>
        <v>1474</v>
      </c>
      <c r="Y18" s="417">
        <f>'Revenue Model'!Y8</f>
        <v>1538</v>
      </c>
      <c r="Z18" s="417">
        <f>'Revenue Model'!Z8</f>
        <v>1725</v>
      </c>
      <c r="AA18" s="417">
        <f>'Revenue Model'!AA8</f>
        <v>1779</v>
      </c>
      <c r="AB18" s="418">
        <f>'Revenue Model'!AB8</f>
        <v>6516</v>
      </c>
      <c r="AC18" s="417">
        <f>'Revenue Model'!AC8</f>
        <v>1703</v>
      </c>
      <c r="AD18" s="417">
        <f>'Revenue Model'!AD8</f>
        <v>1700</v>
      </c>
      <c r="AE18" s="417">
        <f>'Revenue Model'!AE8</f>
        <v>1831</v>
      </c>
      <c r="AF18" s="417">
        <f>'Revenue Model'!AF8</f>
        <v>1795</v>
      </c>
      <c r="AG18" s="418">
        <f>'Revenue Model'!AG8</f>
        <v>7029</v>
      </c>
      <c r="AH18" s="417">
        <f>'Revenue Model'!AH8</f>
        <v>1777</v>
      </c>
      <c r="AI18" s="417">
        <f>'Revenue Model'!AI8</f>
        <v>1842</v>
      </c>
      <c r="AJ18" s="417">
        <f>'Revenue Model'!AJ8</f>
        <v>1987</v>
      </c>
      <c r="AK18" s="417">
        <f>'Revenue Model'!AK8</f>
        <v>2071</v>
      </c>
      <c r="AL18" s="418">
        <f>'Revenue Model'!AL8</f>
        <v>7677</v>
      </c>
      <c r="AM18" s="417">
        <f>'Revenue Model'!AM8</f>
        <v>2121</v>
      </c>
      <c r="AN18" s="417">
        <f>'Revenue Model'!AN8</f>
        <v>2210</v>
      </c>
      <c r="AO18" s="417">
        <f>'Revenue Model'!AO8</f>
        <v>2335</v>
      </c>
      <c r="AP18" s="417">
        <f>'Revenue Model'!AP8</f>
        <v>2474</v>
      </c>
      <c r="AQ18" s="418">
        <f>'Revenue Model'!AQ8</f>
        <v>9140</v>
      </c>
      <c r="AR18" s="417">
        <f>'Revenue Model'!AR8</f>
        <v>2424</v>
      </c>
      <c r="AS18" s="417">
        <f>'Revenue Model'!AS8</f>
        <v>2470</v>
      </c>
      <c r="AT18" s="417">
        <f>'Revenue Model'!AT8</f>
        <v>2390</v>
      </c>
      <c r="AU18" s="419"/>
      <c r="AV18" s="420" t="str">
        <f>'Revenue Model'!AV8</f>
        <v>ND</v>
      </c>
      <c r="AW18" s="420" t="str">
        <f>'Revenue Model'!AW8</f>
        <v>ND</v>
      </c>
      <c r="AX18" s="420" t="str">
        <f>'Revenue Model'!AX8</f>
        <v>ND</v>
      </c>
      <c r="AY18" s="420" t="str">
        <f>'Revenue Model'!AY8</f>
        <v>ND</v>
      </c>
      <c r="AZ18" s="418">
        <f>'Revenue Model'!AZ8</f>
        <v>0</v>
      </c>
      <c r="BA18" s="417">
        <f>'Revenue Model'!BA8</f>
        <v>2266</v>
      </c>
      <c r="BB18" s="417">
        <f>'Revenue Model'!BB8</f>
        <v>2181</v>
      </c>
      <c r="BC18" s="417">
        <f>'Revenue Model'!BC8</f>
        <v>2139</v>
      </c>
      <c r="BD18" s="417">
        <f>'Revenue Model'!BD8</f>
        <v>1985</v>
      </c>
      <c r="BE18" s="418">
        <f>'Revenue Model'!BE8</f>
        <v>8571</v>
      </c>
      <c r="BF18" s="417">
        <f>'Revenue Model'!BF8</f>
        <v>1765</v>
      </c>
      <c r="BG18" s="417">
        <f>'Revenue Model'!BG8</f>
        <v>1690</v>
      </c>
      <c r="BH18" s="417">
        <f>'Revenue Model'!BH8</f>
        <v>1597</v>
      </c>
      <c r="BI18" s="417">
        <f>'Revenue Model'!BI8</f>
        <v>1605</v>
      </c>
      <c r="BJ18" s="418">
        <f>'Revenue Model'!BJ8</f>
        <v>6657</v>
      </c>
      <c r="BK18" s="417">
        <f>'Revenue Model'!BK8</f>
        <v>1701</v>
      </c>
      <c r="BL18" s="417">
        <f>'Revenue Model'!BL8</f>
        <v>1598</v>
      </c>
      <c r="BM18" s="417">
        <f>'Revenue Model'!BM8</f>
        <v>1603</v>
      </c>
      <c r="BN18" s="417">
        <f>'Revenue Model'!BN8</f>
        <v>1590</v>
      </c>
      <c r="BO18" s="418">
        <f>'Revenue Model'!BO8</f>
        <v>6492</v>
      </c>
      <c r="BP18" s="417">
        <f>'Revenue Model'!BP8</f>
        <v>1677</v>
      </c>
      <c r="BQ18" s="417">
        <f>'Revenue Model'!BQ8</f>
        <v>1480</v>
      </c>
      <c r="BR18" s="417">
        <f>'Revenue Model'!BR8</f>
        <v>1418</v>
      </c>
      <c r="BS18" s="417">
        <f>'Revenue Model'!BS8</f>
        <v>1494</v>
      </c>
      <c r="BT18" s="418">
        <f>'Revenue Model'!BT8</f>
        <v>6069</v>
      </c>
      <c r="BU18" s="417">
        <f>'Revenue Model'!BU8</f>
        <v>1540</v>
      </c>
      <c r="BV18" s="417">
        <f>'Revenue Model'!BV8</f>
        <v>1491</v>
      </c>
      <c r="BW18" s="417">
        <f>'Revenue Model'!BW8</f>
        <v>1484</v>
      </c>
      <c r="BX18" s="417">
        <f>'Revenue Model'!BX8</f>
        <v>1517</v>
      </c>
      <c r="BY18" s="418">
        <f>'Revenue Model'!BY8</f>
        <v>6032</v>
      </c>
      <c r="BZ18" s="417">
        <f>'Revenue Model'!BZ8</f>
        <v>1614</v>
      </c>
      <c r="CA18" s="417">
        <f>'Revenue Model'!CA8</f>
        <v>1439</v>
      </c>
      <c r="CB18" s="417">
        <f>'Revenue Model'!CB8</f>
        <v>1414</v>
      </c>
      <c r="CC18" s="417">
        <f>'Revenue Model'!CC8</f>
        <v>1452</v>
      </c>
      <c r="CD18" s="418">
        <f>'Revenue Model'!CD8</f>
        <v>5919</v>
      </c>
      <c r="CE18" s="417">
        <f>'Revenue Model'!CE8</f>
        <v>1524</v>
      </c>
      <c r="CF18" s="417">
        <f>'Revenue Model'!CF8</f>
        <v>1441</v>
      </c>
      <c r="CG18" s="417">
        <f>'Revenue Model'!CG8</f>
        <v>1466</v>
      </c>
      <c r="CH18" s="417">
        <f>'Revenue Model'!CH8</f>
        <v>1481</v>
      </c>
      <c r="CI18" s="418">
        <f>'Revenue Model'!CI8</f>
        <v>5912</v>
      </c>
      <c r="CJ18" s="417">
        <f>'Revenue Model'!CJ8</f>
        <v>1544</v>
      </c>
      <c r="CK18" s="417">
        <f>'Revenue Model'!CK8</f>
        <v>1478</v>
      </c>
      <c r="CL18" s="417">
        <f>'Revenue Model'!CL8</f>
        <v>1430</v>
      </c>
      <c r="CM18" s="417">
        <f>'Revenue Model'!CM8</f>
        <v>1477</v>
      </c>
      <c r="CN18" s="418">
        <f>'Revenue Model'!CN8</f>
        <v>5929</v>
      </c>
      <c r="CO18" s="417">
        <f>'Revenue Model'!CO8</f>
        <v>1619</v>
      </c>
      <c r="CP18" s="417">
        <f>'Revenue Model'!CP8</f>
        <v>1466</v>
      </c>
      <c r="CQ18" s="417">
        <f>'Revenue Model'!CQ8</f>
        <v>1444</v>
      </c>
      <c r="CR18" s="417">
        <f>'Revenue Model'!CR8</f>
        <v>1499</v>
      </c>
      <c r="CS18" s="418">
        <f>'Revenue Model'!CS8</f>
        <v>6028</v>
      </c>
      <c r="CT18" s="417">
        <f>'Revenue Model'!CT8</f>
        <v>1607</v>
      </c>
      <c r="CU18" s="417">
        <f>'Revenue Model'!CU8</f>
        <v>1548</v>
      </c>
      <c r="CV18" s="417">
        <f>'Revenue Model'!CV8</f>
        <v>1501</v>
      </c>
      <c r="CW18" s="417">
        <f>'Revenue Model'!CW8</f>
        <v>1544</v>
      </c>
      <c r="CX18" s="418">
        <f>'Revenue Model'!CX8</f>
        <v>6200</v>
      </c>
      <c r="CY18" s="417">
        <f>'Revenue Model'!CY8</f>
        <v>1536</v>
      </c>
      <c r="CZ18" s="417">
        <f>'Revenue Model'!CZ8</f>
        <v>1542</v>
      </c>
      <c r="DA18" s="417">
        <f>'Revenue Model'!DA8</f>
        <v>1502</v>
      </c>
      <c r="DB18" s="417">
        <f>'Revenue Model'!DB8</f>
        <v>2372</v>
      </c>
      <c r="DC18" s="418">
        <f>'Revenue Model'!DC8</f>
        <v>6952</v>
      </c>
      <c r="DD18" s="417">
        <v>2440</v>
      </c>
      <c r="DE18" s="417">
        <v>2393</v>
      </c>
      <c r="DF18" s="417">
        <v>2463</v>
      </c>
      <c r="DG18" s="417">
        <v>2719</v>
      </c>
      <c r="DH18" s="418">
        <v>10015</v>
      </c>
      <c r="DI18" s="417">
        <f>'Revenue Model'!DI8</f>
        <v>2691</v>
      </c>
      <c r="DJ18" s="417">
        <f>'Revenue Model'!DJ8</f>
        <v>2623</v>
      </c>
      <c r="DK18" s="417">
        <f>'Revenue Model'!DK8</f>
        <v>2603</v>
      </c>
      <c r="DL18" s="417">
        <f>'Revenue Model'!DL8</f>
        <v>2736</v>
      </c>
      <c r="DM18" s="418">
        <f>'Revenue Model'!DM8</f>
        <v>10653</v>
      </c>
      <c r="DN18" s="417">
        <f>'Revenue Model'!DN8</f>
        <v>2781</v>
      </c>
      <c r="DO18" s="417">
        <f>'Revenue Model'!DO8</f>
        <v>2588</v>
      </c>
      <c r="DP18" s="417">
        <f>'Revenue Model'!DP8</f>
        <v>2644</v>
      </c>
      <c r="DQ18" s="417">
        <f>'Revenue Model'!DQ8</f>
        <v>2606</v>
      </c>
      <c r="DR18" s="418">
        <f>'Revenue Model'!DR8</f>
        <v>10619</v>
      </c>
      <c r="DS18" s="417">
        <f>'Revenue Model'!DS8</f>
        <v>2605</v>
      </c>
      <c r="DT18" s="417">
        <f>'Revenue Model'!DT8</f>
        <v>2545</v>
      </c>
      <c r="DU18" s="417">
        <f>'Revenue Model'!DU8</f>
        <v>2391</v>
      </c>
      <c r="DV18" s="417">
        <f>'Revenue Model'!DV8</f>
        <v>2695</v>
      </c>
      <c r="DW18" s="418">
        <f>'Revenue Model'!DW8</f>
        <v>10236</v>
      </c>
      <c r="DX18" s="417">
        <f>'Revenue Model'!DX8</f>
        <v>2381.0276114494573</v>
      </c>
      <c r="DY18" s="417">
        <f>'Revenue Model'!DY8</f>
        <v>2338.3707146788502</v>
      </c>
      <c r="DZ18" s="417">
        <f>'Revenue Model'!DZ8</f>
        <v>2217.0305965652201</v>
      </c>
      <c r="EA18" s="417">
        <f>'Revenue Model'!EA8</f>
        <v>2389.5379586245249</v>
      </c>
      <c r="EB18" s="418">
        <f>'Revenue Model'!EB8</f>
        <v>9325.9668813180524</v>
      </c>
      <c r="EC18" s="417">
        <f>'Revenue Model'!EC8</f>
        <v>2203.9296928510144</v>
      </c>
      <c r="ED18" s="417">
        <f>'Revenue Model'!ED8</f>
        <v>2246.1289015249372</v>
      </c>
      <c r="EE18" s="417">
        <f>'Revenue Model'!EE8</f>
        <v>2213.7014868601013</v>
      </c>
      <c r="EF18" s="417">
        <f>'Revenue Model'!EF8</f>
        <v>2474.3447793820005</v>
      </c>
      <c r="EG18" s="418">
        <f>'Revenue Model'!EG8</f>
        <v>9138.104860618052</v>
      </c>
      <c r="EH18" s="417">
        <f>'Revenue Model'!EH8</f>
        <v>2276.486210671103</v>
      </c>
      <c r="EI18" s="417">
        <f>'Revenue Model'!EI8</f>
        <v>2314.317668527382</v>
      </c>
      <c r="EJ18" s="417">
        <f>'Revenue Model'!EJ8</f>
        <v>2275.2459951550481</v>
      </c>
      <c r="EK18" s="417">
        <f>'Revenue Model'!EK8</f>
        <v>2536.8250857324288</v>
      </c>
      <c r="EL18" s="418">
        <f>'Revenue Model'!EL8</f>
        <v>9402.8749600859628</v>
      </c>
    </row>
    <row r="19" spans="1:142">
      <c r="A19" s="416"/>
      <c r="B19" s="416" t="str">
        <f>'Revenue Model'!B9</f>
        <v>Outpatient revenue</v>
      </c>
      <c r="C19" s="417">
        <f>'Revenue Model'!C9</f>
        <v>0</v>
      </c>
      <c r="D19" s="417">
        <f>'Revenue Model'!D9</f>
        <v>144.14400000000001</v>
      </c>
      <c r="E19" s="417">
        <f>'Revenue Model'!E9</f>
        <v>138.39599999999999</v>
      </c>
      <c r="F19" s="417">
        <f>'Revenue Model'!F9</f>
        <v>144.19999999999999</v>
      </c>
      <c r="G19" s="417">
        <f>'Revenue Model'!G9</f>
        <v>359.56</v>
      </c>
      <c r="H19" s="418">
        <f>'Revenue Model'!H9</f>
        <v>786.3</v>
      </c>
      <c r="I19" s="417">
        <f>'Revenue Model'!I9</f>
        <v>365.3</v>
      </c>
      <c r="J19" s="417">
        <f>'Revenue Model'!J9</f>
        <v>390</v>
      </c>
      <c r="K19" s="417">
        <f>'Revenue Model'!K9</f>
        <v>402.6</v>
      </c>
      <c r="L19" s="417">
        <f>'Revenue Model'!L9</f>
        <v>414.09999999999991</v>
      </c>
      <c r="M19" s="418">
        <f>'Revenue Model'!M9</f>
        <v>1572</v>
      </c>
      <c r="N19" s="417">
        <f>'Revenue Model'!N9</f>
        <v>410.5</v>
      </c>
      <c r="O19" s="417">
        <f>'Revenue Model'!O9</f>
        <v>425.7</v>
      </c>
      <c r="P19" s="417">
        <f>'Revenue Model'!P9</f>
        <v>639.79999999999995</v>
      </c>
      <c r="Q19" s="417">
        <f>'Revenue Model'!Q9</f>
        <v>1039</v>
      </c>
      <c r="R19" s="418">
        <f>'Revenue Model'!R9</f>
        <v>2515</v>
      </c>
      <c r="S19" s="417">
        <f>'Revenue Model'!S9</f>
        <v>735</v>
      </c>
      <c r="T19" s="417">
        <f>'Revenue Model'!T9</f>
        <v>759</v>
      </c>
      <c r="U19" s="417">
        <f>'Revenue Model'!U9</f>
        <v>724</v>
      </c>
      <c r="V19" s="417">
        <f>'Revenue Model'!V9</f>
        <v>760</v>
      </c>
      <c r="W19" s="418">
        <f>'Revenue Model'!W9</f>
        <v>2978</v>
      </c>
      <c r="X19" s="417">
        <f>'Revenue Model'!X9</f>
        <v>786</v>
      </c>
      <c r="Y19" s="417">
        <f>'Revenue Model'!Y9</f>
        <v>755</v>
      </c>
      <c r="Z19" s="417">
        <f>'Revenue Model'!Z9</f>
        <v>807</v>
      </c>
      <c r="AA19" s="417">
        <f>'Revenue Model'!AA9</f>
        <v>837</v>
      </c>
      <c r="AB19" s="418">
        <f>'Revenue Model'!AB9</f>
        <v>3185</v>
      </c>
      <c r="AC19" s="417">
        <f>'Revenue Model'!AC9</f>
        <v>902</v>
      </c>
      <c r="AD19" s="417">
        <f>'Revenue Model'!AD9</f>
        <v>823</v>
      </c>
      <c r="AE19" s="417">
        <f>'Revenue Model'!AE9</f>
        <v>795</v>
      </c>
      <c r="AF19" s="417">
        <f>'Revenue Model'!AF9</f>
        <v>874</v>
      </c>
      <c r="AG19" s="418">
        <f>'Revenue Model'!AG9</f>
        <v>3394</v>
      </c>
      <c r="AH19" s="417">
        <f>'Revenue Model'!AH9</f>
        <v>912</v>
      </c>
      <c r="AI19" s="417">
        <f>'Revenue Model'!AI9</f>
        <v>879</v>
      </c>
      <c r="AJ19" s="417">
        <f>'Revenue Model'!AJ9</f>
        <v>864</v>
      </c>
      <c r="AK19" s="417">
        <f>'Revenue Model'!AK9</f>
        <v>948</v>
      </c>
      <c r="AL19" s="418">
        <f>'Revenue Model'!AL9</f>
        <v>3603</v>
      </c>
      <c r="AM19" s="417">
        <f>'Revenue Model'!AM9</f>
        <v>997</v>
      </c>
      <c r="AN19" s="417">
        <f>'Revenue Model'!AN9</f>
        <v>1014</v>
      </c>
      <c r="AO19" s="417">
        <f>'Revenue Model'!AO9</f>
        <v>982</v>
      </c>
      <c r="AP19" s="417">
        <f>'Revenue Model'!AP9</f>
        <v>1115</v>
      </c>
      <c r="AQ19" s="418">
        <f>'Revenue Model'!AQ9</f>
        <v>4108</v>
      </c>
      <c r="AR19" s="417">
        <f>'Revenue Model'!AR9</f>
        <v>1122</v>
      </c>
      <c r="AS19" s="417">
        <f>'Revenue Model'!AS9</f>
        <v>1138</v>
      </c>
      <c r="AT19" s="417">
        <f>'Revenue Model'!AT9</f>
        <v>1103</v>
      </c>
      <c r="AU19" s="419"/>
      <c r="AV19" s="420" t="str">
        <f>'Revenue Model'!AV9</f>
        <v>ND</v>
      </c>
      <c r="AW19" s="420" t="str">
        <f>'Revenue Model'!AW9</f>
        <v>ND</v>
      </c>
      <c r="AX19" s="420" t="str">
        <f>'Revenue Model'!AX9</f>
        <v>ND</v>
      </c>
      <c r="AY19" s="420" t="str">
        <f>'Revenue Model'!AY9</f>
        <v>ND</v>
      </c>
      <c r="AZ19" s="418">
        <f>'Revenue Model'!AZ9</f>
        <v>0</v>
      </c>
      <c r="BA19" s="417">
        <f>'Revenue Model'!BA9</f>
        <v>1012</v>
      </c>
      <c r="BB19" s="417">
        <f>'Revenue Model'!BB9</f>
        <v>1014</v>
      </c>
      <c r="BC19" s="417">
        <f>'Revenue Model'!BC9</f>
        <v>1006</v>
      </c>
      <c r="BD19" s="417">
        <f>'Revenue Model'!BD9</f>
        <v>929</v>
      </c>
      <c r="BE19" s="418">
        <f>'Revenue Model'!BE9</f>
        <v>3961</v>
      </c>
      <c r="BF19" s="417">
        <f>'Revenue Model'!BF9</f>
        <v>808</v>
      </c>
      <c r="BG19" s="417">
        <f>'Revenue Model'!BG9</f>
        <v>781</v>
      </c>
      <c r="BH19" s="417">
        <f>'Revenue Model'!BH9</f>
        <v>751</v>
      </c>
      <c r="BI19" s="417">
        <f>'Revenue Model'!BI9</f>
        <v>714</v>
      </c>
      <c r="BJ19" s="418">
        <f>'Revenue Model'!BJ9</f>
        <v>3054</v>
      </c>
      <c r="BK19" s="417">
        <f>'Revenue Model'!BK9</f>
        <v>709</v>
      </c>
      <c r="BL19" s="417">
        <f>'Revenue Model'!BL9</f>
        <v>727</v>
      </c>
      <c r="BM19" s="417">
        <f>'Revenue Model'!BM9</f>
        <v>708</v>
      </c>
      <c r="BN19" s="417">
        <f>'Revenue Model'!BN9</f>
        <v>641</v>
      </c>
      <c r="BO19" s="418">
        <f>'Revenue Model'!BO9</f>
        <v>2785</v>
      </c>
      <c r="BP19" s="417">
        <f>'Revenue Model'!BP9</f>
        <v>664</v>
      </c>
      <c r="BQ19" s="417">
        <f>'Revenue Model'!BQ9</f>
        <v>632</v>
      </c>
      <c r="BR19" s="417">
        <f>'Revenue Model'!BR9</f>
        <v>623</v>
      </c>
      <c r="BS19" s="417">
        <f>'Revenue Model'!BS9</f>
        <v>622</v>
      </c>
      <c r="BT19" s="418">
        <f>'Revenue Model'!BT9</f>
        <v>2541</v>
      </c>
      <c r="BU19" s="417">
        <f>'Revenue Model'!BU9</f>
        <v>657</v>
      </c>
      <c r="BV19" s="417">
        <f>'Revenue Model'!BV9</f>
        <v>667</v>
      </c>
      <c r="BW19" s="417">
        <f>'Revenue Model'!BW9</f>
        <v>654</v>
      </c>
      <c r="BX19" s="417">
        <f>'Revenue Model'!BX9</f>
        <v>660</v>
      </c>
      <c r="BY19" s="418">
        <f>'Revenue Model'!BY9</f>
        <v>2638</v>
      </c>
      <c r="BZ19" s="417">
        <f>'Revenue Model'!BZ9</f>
        <v>683</v>
      </c>
      <c r="CA19" s="417">
        <f>'Revenue Model'!CA9</f>
        <v>670</v>
      </c>
      <c r="CB19" s="417">
        <f>'Revenue Model'!CB9</f>
        <v>664</v>
      </c>
      <c r="CC19" s="417">
        <f>'Revenue Model'!CC9</f>
        <v>654</v>
      </c>
      <c r="CD19" s="418">
        <f>'Revenue Model'!CD9</f>
        <v>2671</v>
      </c>
      <c r="CE19" s="417">
        <f>'Revenue Model'!CE9</f>
        <v>674</v>
      </c>
      <c r="CF19" s="417">
        <f>'Revenue Model'!CF9</f>
        <v>702</v>
      </c>
      <c r="CG19" s="417">
        <f>'Revenue Model'!CG9</f>
        <v>709</v>
      </c>
      <c r="CH19" s="417">
        <f>'Revenue Model'!CH9</f>
        <v>691</v>
      </c>
      <c r="CI19" s="418">
        <f>'Revenue Model'!CI9</f>
        <v>2776</v>
      </c>
      <c r="CJ19" s="417">
        <f>'Revenue Model'!CJ9</f>
        <v>706</v>
      </c>
      <c r="CK19" s="417">
        <f>'Revenue Model'!CK9</f>
        <v>733</v>
      </c>
      <c r="CL19" s="417">
        <f>'Revenue Model'!CL9</f>
        <v>734</v>
      </c>
      <c r="CM19" s="417">
        <f>'Revenue Model'!CM9</f>
        <v>730</v>
      </c>
      <c r="CN19" s="418">
        <f>'Revenue Model'!CN9</f>
        <v>2903</v>
      </c>
      <c r="CO19" s="417">
        <f>'Revenue Model'!CO9</f>
        <v>720</v>
      </c>
      <c r="CP19" s="417">
        <f>'Revenue Model'!CP9</f>
        <v>738</v>
      </c>
      <c r="CQ19" s="417">
        <f>'Revenue Model'!CQ9</f>
        <v>734</v>
      </c>
      <c r="CR19" s="417">
        <f>'Revenue Model'!CR9</f>
        <v>736</v>
      </c>
      <c r="CS19" s="418">
        <f>'Revenue Model'!CS9</f>
        <v>2928</v>
      </c>
      <c r="CT19" s="417">
        <f>'Revenue Model'!CT9</f>
        <v>766</v>
      </c>
      <c r="CU19" s="417">
        <f>'Revenue Model'!CU9</f>
        <v>791</v>
      </c>
      <c r="CV19" s="417">
        <f>'Revenue Model'!CV9</f>
        <v>789</v>
      </c>
      <c r="CW19" s="417">
        <f>'Revenue Model'!CW9</f>
        <v>821</v>
      </c>
      <c r="CX19" s="418">
        <f>'Revenue Model'!CX9</f>
        <v>3167</v>
      </c>
      <c r="CY19" s="417">
        <f>'Revenue Model'!CY9</f>
        <v>813</v>
      </c>
      <c r="CZ19" s="417">
        <f>'Revenue Model'!CZ9</f>
        <v>844</v>
      </c>
      <c r="DA19" s="417">
        <f>'Revenue Model'!DA9</f>
        <v>845</v>
      </c>
      <c r="DB19" s="417">
        <f>'Revenue Model'!DB9</f>
        <v>1357</v>
      </c>
      <c r="DC19" s="418">
        <f>'Revenue Model'!DC9</f>
        <v>3859</v>
      </c>
      <c r="DD19" s="417">
        <v>1346</v>
      </c>
      <c r="DE19" s="417">
        <v>1448</v>
      </c>
      <c r="DF19" s="417">
        <v>1441</v>
      </c>
      <c r="DG19" s="417">
        <v>1539</v>
      </c>
      <c r="DH19" s="418">
        <v>5774</v>
      </c>
      <c r="DI19" s="417">
        <f>'Revenue Model'!DI9</f>
        <v>1412</v>
      </c>
      <c r="DJ19" s="417">
        <f>'Revenue Model'!DJ9</f>
        <v>1484</v>
      </c>
      <c r="DK19" s="417">
        <f>'Revenue Model'!DK9</f>
        <v>1515</v>
      </c>
      <c r="DL19" s="417">
        <f>'Revenue Model'!DL9</f>
        <v>1616</v>
      </c>
      <c r="DM19" s="418">
        <f>'Revenue Model'!DM9</f>
        <v>6027</v>
      </c>
      <c r="DN19" s="417">
        <f>'Revenue Model'!DN9</f>
        <v>1514</v>
      </c>
      <c r="DO19" s="417">
        <f>'Revenue Model'!DO9</f>
        <v>1460</v>
      </c>
      <c r="DP19" s="417">
        <f>'Revenue Model'!DP9</f>
        <v>1417</v>
      </c>
      <c r="DQ19" s="417">
        <f>'Revenue Model'!DQ9</f>
        <v>1457</v>
      </c>
      <c r="DR19" s="418">
        <f>'Revenue Model'!DR9</f>
        <v>5848</v>
      </c>
      <c r="DS19" s="417">
        <f>'Revenue Model'!DS9</f>
        <v>1463</v>
      </c>
      <c r="DT19" s="417">
        <f>'Revenue Model'!DT9</f>
        <v>1491</v>
      </c>
      <c r="DU19" s="417">
        <f>'Revenue Model'!DU9</f>
        <v>1386</v>
      </c>
      <c r="DV19" s="417">
        <f>'Revenue Model'!DV9</f>
        <v>1431</v>
      </c>
      <c r="DW19" s="418">
        <f>'Revenue Model'!DW9</f>
        <v>5771</v>
      </c>
      <c r="DX19" s="417">
        <f>'Revenue Model'!DX9</f>
        <v>1470.3149999999998</v>
      </c>
      <c r="DY19" s="417">
        <f>'Revenue Model'!DY9</f>
        <v>1498.4549999999999</v>
      </c>
      <c r="DZ19" s="417">
        <f>'Revenue Model'!DZ9</f>
        <v>1392.9299999999998</v>
      </c>
      <c r="EA19" s="417">
        <f>'Revenue Model'!EA9</f>
        <v>1438.1549999999997</v>
      </c>
      <c r="EB19" s="418">
        <f>'Revenue Model'!EB9</f>
        <v>5799.8549999999987</v>
      </c>
      <c r="EC19" s="417">
        <f>'Revenue Model'!EC9</f>
        <v>1492.3697249999998</v>
      </c>
      <c r="ED19" s="417">
        <f>'Revenue Model'!ED9</f>
        <v>1520.9318249999999</v>
      </c>
      <c r="EE19" s="417">
        <f>'Revenue Model'!EE9</f>
        <v>1413.8239499999997</v>
      </c>
      <c r="EF19" s="417">
        <f>'Revenue Model'!EF9</f>
        <v>1459.7273249999996</v>
      </c>
      <c r="EG19" s="418">
        <f>'Revenue Model'!EG9</f>
        <v>5886.852824999999</v>
      </c>
      <c r="EH19" s="417">
        <f>'Revenue Model'!EH9</f>
        <v>1514.7552708749997</v>
      </c>
      <c r="EI19" s="417">
        <f>'Revenue Model'!EI9</f>
        <v>1543.7458023749998</v>
      </c>
      <c r="EJ19" s="417">
        <f>'Revenue Model'!EJ9</f>
        <v>1435.0313092499996</v>
      </c>
      <c r="EK19" s="417">
        <f>'Revenue Model'!EK9</f>
        <v>1481.6232348749995</v>
      </c>
      <c r="EL19" s="418">
        <f>'Revenue Model'!EL9</f>
        <v>5975.1556173749996</v>
      </c>
    </row>
    <row r="20" spans="1:142">
      <c r="A20" s="416"/>
      <c r="B20" s="416" t="s">
        <v>170</v>
      </c>
      <c r="C20" s="421"/>
      <c r="D20" s="421"/>
      <c r="E20" s="421"/>
      <c r="F20" s="421"/>
      <c r="G20" s="421"/>
      <c r="H20" s="418"/>
      <c r="I20" s="421"/>
      <c r="J20" s="421"/>
      <c r="K20" s="421"/>
      <c r="L20" s="421"/>
      <c r="M20" s="418"/>
      <c r="N20" s="421"/>
      <c r="O20" s="421"/>
      <c r="P20" s="421"/>
      <c r="Q20" s="421"/>
      <c r="R20" s="418"/>
      <c r="S20" s="421"/>
      <c r="T20" s="421"/>
      <c r="U20" s="421"/>
      <c r="V20" s="421"/>
      <c r="W20" s="418"/>
      <c r="X20" s="421"/>
      <c r="Y20" s="421"/>
      <c r="Z20" s="421"/>
      <c r="AA20" s="421"/>
      <c r="AB20" s="418"/>
      <c r="AC20" s="421"/>
      <c r="AD20" s="421"/>
      <c r="AE20" s="421"/>
      <c r="AF20" s="421"/>
      <c r="AG20" s="418"/>
      <c r="AH20" s="421"/>
      <c r="AI20" s="421"/>
      <c r="AJ20" s="421"/>
      <c r="AK20" s="421"/>
      <c r="AL20" s="418"/>
      <c r="AM20" s="421"/>
      <c r="AN20" s="421"/>
      <c r="AO20" s="421"/>
      <c r="AP20" s="421"/>
      <c r="AQ20" s="418"/>
      <c r="AR20" s="421"/>
      <c r="AS20" s="421"/>
      <c r="AT20" s="421"/>
      <c r="AU20" s="419"/>
      <c r="AV20" s="422"/>
      <c r="AW20" s="422"/>
      <c r="AX20" s="422"/>
      <c r="AY20" s="422"/>
      <c r="AZ20" s="418"/>
      <c r="BA20" s="421"/>
      <c r="BB20" s="421"/>
      <c r="BC20" s="421"/>
      <c r="BD20" s="421"/>
      <c r="BE20" s="418"/>
      <c r="BF20" s="421"/>
      <c r="BG20" s="421"/>
      <c r="BH20" s="421"/>
      <c r="BI20" s="421"/>
      <c r="BJ20" s="418"/>
      <c r="BK20" s="421"/>
      <c r="BL20" s="421"/>
      <c r="BM20" s="421"/>
      <c r="BN20" s="421"/>
      <c r="BO20" s="418"/>
      <c r="BP20" s="421"/>
      <c r="BQ20" s="421"/>
      <c r="BR20" s="421"/>
      <c r="BS20" s="421"/>
      <c r="BT20" s="418"/>
      <c r="BU20" s="421"/>
      <c r="BV20" s="421"/>
      <c r="BW20" s="421"/>
      <c r="BX20" s="421"/>
      <c r="BY20" s="418"/>
      <c r="BZ20" s="421"/>
      <c r="CA20" s="421"/>
      <c r="CB20" s="421"/>
      <c r="CC20" s="421"/>
      <c r="CD20" s="418"/>
      <c r="CE20" s="421"/>
      <c r="CF20" s="421"/>
      <c r="CG20" s="421"/>
      <c r="CH20" s="421"/>
      <c r="CI20" s="418"/>
      <c r="CJ20" s="421"/>
      <c r="CK20" s="421"/>
      <c r="CL20" s="421"/>
      <c r="CM20" s="421"/>
      <c r="CN20" s="418"/>
      <c r="CO20" s="421"/>
      <c r="CP20" s="421"/>
      <c r="CQ20" s="421"/>
      <c r="CR20" s="421"/>
      <c r="CS20" s="418"/>
      <c r="CT20" s="421"/>
      <c r="CU20" s="421"/>
      <c r="CV20" s="421"/>
      <c r="CW20" s="421"/>
      <c r="CX20" s="418"/>
      <c r="CY20" s="421"/>
      <c r="CZ20" s="421"/>
      <c r="DA20" s="421"/>
      <c r="DB20" s="421"/>
      <c r="DC20" s="418"/>
      <c r="DD20" s="421"/>
      <c r="DE20" s="421"/>
      <c r="DF20" s="421"/>
      <c r="DG20" s="421"/>
      <c r="DH20" s="418"/>
      <c r="DI20" s="421"/>
      <c r="DJ20" s="421"/>
      <c r="DK20" s="421"/>
      <c r="DL20" s="421"/>
      <c r="DM20" s="418"/>
      <c r="DN20" s="421"/>
      <c r="DO20" s="421"/>
      <c r="DP20" s="421"/>
      <c r="DQ20" s="421"/>
      <c r="DR20" s="418"/>
      <c r="DS20" s="421"/>
      <c r="DT20" s="421"/>
      <c r="DU20" s="421"/>
      <c r="DV20" s="421"/>
      <c r="DW20" s="418"/>
      <c r="DX20" s="421"/>
      <c r="DY20" s="421"/>
      <c r="DZ20" s="421"/>
      <c r="EA20" s="421"/>
      <c r="EB20" s="418"/>
      <c r="EC20" s="421"/>
      <c r="ED20" s="421"/>
      <c r="EE20" s="421"/>
      <c r="EF20" s="421"/>
      <c r="EG20" s="418"/>
      <c r="EH20" s="421"/>
      <c r="EI20" s="421"/>
      <c r="EJ20" s="421"/>
      <c r="EK20" s="421"/>
      <c r="EL20" s="418"/>
    </row>
    <row r="21" spans="1:142">
      <c r="A21" s="416"/>
      <c r="B21" s="416" t="s">
        <v>217</v>
      </c>
      <c r="C21" s="421"/>
      <c r="D21" s="421"/>
      <c r="E21" s="421"/>
      <c r="F21" s="421"/>
      <c r="G21" s="421"/>
      <c r="H21" s="418"/>
      <c r="I21" s="421"/>
      <c r="J21" s="421"/>
      <c r="K21" s="421"/>
      <c r="L21" s="421"/>
      <c r="M21" s="418"/>
      <c r="N21" s="421"/>
      <c r="O21" s="421"/>
      <c r="P21" s="421"/>
      <c r="Q21" s="421"/>
      <c r="R21" s="418"/>
      <c r="S21" s="421"/>
      <c r="T21" s="421"/>
      <c r="U21" s="421"/>
      <c r="V21" s="421"/>
      <c r="W21" s="418"/>
      <c r="X21" s="421"/>
      <c r="Y21" s="421"/>
      <c r="Z21" s="421"/>
      <c r="AA21" s="421"/>
      <c r="AB21" s="418"/>
      <c r="AC21" s="421"/>
      <c r="AD21" s="421"/>
      <c r="AE21" s="421"/>
      <c r="AF21" s="421"/>
      <c r="AG21" s="418"/>
      <c r="AH21" s="421"/>
      <c r="AI21" s="421"/>
      <c r="AJ21" s="421"/>
      <c r="AK21" s="421"/>
      <c r="AL21" s="418"/>
      <c r="AM21" s="421"/>
      <c r="AN21" s="421"/>
      <c r="AO21" s="421"/>
      <c r="AP21" s="421"/>
      <c r="AQ21" s="418"/>
      <c r="AR21" s="421"/>
      <c r="AS21" s="421"/>
      <c r="AT21" s="421"/>
      <c r="AU21" s="419"/>
      <c r="AV21" s="422"/>
      <c r="AW21" s="422"/>
      <c r="AX21" s="422"/>
      <c r="AY21" s="422"/>
      <c r="AZ21" s="418"/>
      <c r="BA21" s="421"/>
      <c r="BB21" s="421"/>
      <c r="BC21" s="421"/>
      <c r="BD21" s="421"/>
      <c r="BE21" s="418"/>
      <c r="BF21" s="421"/>
      <c r="BG21" s="421"/>
      <c r="BH21" s="421"/>
      <c r="BI21" s="421"/>
      <c r="BJ21" s="418"/>
      <c r="BK21" s="421"/>
      <c r="BL21" s="421"/>
      <c r="BM21" s="421"/>
      <c r="BN21" s="421"/>
      <c r="BO21" s="418"/>
      <c r="BP21" s="421"/>
      <c r="BQ21" s="421"/>
      <c r="BR21" s="421"/>
      <c r="BS21" s="421"/>
      <c r="BT21" s="418"/>
      <c r="BU21" s="421"/>
      <c r="BV21" s="421"/>
      <c r="BW21" s="421"/>
      <c r="BX21" s="421"/>
      <c r="BY21" s="418"/>
      <c r="BZ21" s="421"/>
      <c r="CA21" s="421"/>
      <c r="CB21" s="421"/>
      <c r="CC21" s="421"/>
      <c r="CD21" s="418"/>
      <c r="CE21" s="421"/>
      <c r="CF21" s="421"/>
      <c r="CG21" s="421"/>
      <c r="CH21" s="421"/>
      <c r="CI21" s="418"/>
      <c r="CJ21" s="421"/>
      <c r="CK21" s="421"/>
      <c r="CL21" s="421"/>
      <c r="CM21" s="421"/>
      <c r="CN21" s="418"/>
      <c r="CO21" s="421"/>
      <c r="CP21" s="421"/>
      <c r="CQ21" s="421"/>
      <c r="CR21" s="421"/>
      <c r="CS21" s="418"/>
      <c r="CT21" s="421"/>
      <c r="CU21" s="421"/>
      <c r="CV21" s="421"/>
      <c r="CW21" s="421"/>
      <c r="CX21" s="418"/>
      <c r="CY21" s="421"/>
      <c r="CZ21" s="421"/>
      <c r="DA21" s="421"/>
      <c r="DB21" s="417"/>
      <c r="DC21" s="418">
        <f>'Revenue Model'!DC406</f>
        <v>114.20806149152541</v>
      </c>
      <c r="DD21" s="417">
        <v>121.99900954420254</v>
      </c>
      <c r="DE21" s="417">
        <v>122.74528588616</v>
      </c>
      <c r="DF21" s="417">
        <v>119.88027235729786</v>
      </c>
      <c r="DG21" s="417">
        <v>111.94097443826792</v>
      </c>
      <c r="DH21" s="418">
        <v>476.56554222592831</v>
      </c>
      <c r="DI21" s="417">
        <f>'Revenue Model'!DI406</f>
        <v>123.16458632993954</v>
      </c>
      <c r="DJ21" s="417">
        <f>'Revenue Model'!DJ406</f>
        <v>123.91799258535434</v>
      </c>
      <c r="DK21" s="417">
        <f>'Revenue Model'!DK406</f>
        <v>121.0256067583683</v>
      </c>
      <c r="DL21" s="417">
        <f>'Revenue Model'!DL406</f>
        <v>113.01045690099851</v>
      </c>
      <c r="DM21" s="418">
        <f>'Revenue Model'!DM406</f>
        <v>481.11864257466073</v>
      </c>
      <c r="DN21" s="417">
        <f>'Revenue Model'!DN406</f>
        <v>124.34129901955417</v>
      </c>
      <c r="DO21" s="417">
        <f>'Revenue Model'!DO406</f>
        <v>125.10190330751712</v>
      </c>
      <c r="DP21" s="417">
        <f>'Revenue Model'!DP406</f>
        <v>122.18188366786387</v>
      </c>
      <c r="DQ21" s="417">
        <f>'Revenue Model'!DQ406</f>
        <v>114.09015718382425</v>
      </c>
      <c r="DR21" s="418">
        <f>'Revenue Model'!DR406</f>
        <v>485.71524317875941</v>
      </c>
      <c r="DS21" s="417">
        <f>'Revenue Model'!DS406</f>
        <v>125.52925400531221</v>
      </c>
      <c r="DT21" s="417">
        <f>'Revenue Model'!DT406</f>
        <v>126.29712509572293</v>
      </c>
      <c r="DU21" s="417">
        <f>'Revenue Model'!DU406</f>
        <v>123.34920763035299</v>
      </c>
      <c r="DV21" s="417">
        <f>'Revenue Model'!DV406</f>
        <v>115.18017290765171</v>
      </c>
      <c r="DW21" s="418">
        <f>'Revenue Model'!DW406</f>
        <v>490.35575963903983</v>
      </c>
      <c r="DX21" s="417">
        <f>'Revenue Model'!DX406</f>
        <v>126.72855869594963</v>
      </c>
      <c r="DY21" s="417">
        <f>'Revenue Model'!DY406</f>
        <v>127.5037660157344</v>
      </c>
      <c r="DZ21" s="417">
        <f>'Revenue Model'!DZ406</f>
        <v>124.52768418922133</v>
      </c>
      <c r="EA21" s="417">
        <f>'Revenue Model'!EA406</f>
        <v>116.28060262605607</v>
      </c>
      <c r="EB21" s="418">
        <f>'Revenue Model'!EB406</f>
        <v>495.04061152696147</v>
      </c>
      <c r="EC21" s="417">
        <f>'Revenue Model'!EC406</f>
        <v>127.93932152638388</v>
      </c>
      <c r="ED21" s="417">
        <f>'Revenue Model'!ED406</f>
        <v>128.72193516577281</v>
      </c>
      <c r="EE21" s="417">
        <f>'Revenue Model'!EE406</f>
        <v>125.71741989621461</v>
      </c>
      <c r="EF21" s="417">
        <f>'Revenue Model'!EF406</f>
        <v>117.391545834192</v>
      </c>
      <c r="EG21" s="418">
        <f>'Revenue Model'!EG406</f>
        <v>499.77022242256334</v>
      </c>
      <c r="EH21" s="417">
        <f>'Revenue Model'!EH406</f>
        <v>129.16165196751805</v>
      </c>
      <c r="EI21" s="417">
        <f>'Revenue Model'!EI406</f>
        <v>129.95174268638232</v>
      </c>
      <c r="EJ21" s="417">
        <f>'Revenue Model'!EJ406</f>
        <v>126.91852232107234</v>
      </c>
      <c r="EK21" s="417">
        <f>'Revenue Model'!EK406</f>
        <v>118.5131029777895</v>
      </c>
      <c r="EL21" s="418">
        <f>'Revenue Model'!EL406</f>
        <v>504.54501995276229</v>
      </c>
    </row>
    <row r="22" spans="1:142">
      <c r="A22" s="423"/>
      <c r="B22" s="423" t="s">
        <v>494</v>
      </c>
      <c r="C22" s="424">
        <f>'Revenue Model'!C11</f>
        <v>0</v>
      </c>
      <c r="D22" s="424">
        <f>'Revenue Model'!D11</f>
        <v>145.3130000000001</v>
      </c>
      <c r="E22" s="424">
        <f>'Revenue Model'!E11</f>
        <v>133.62900000000002</v>
      </c>
      <c r="F22" s="424">
        <f>'Revenue Model'!F11</f>
        <v>130.60000000000002</v>
      </c>
      <c r="G22" s="424">
        <f>'Revenue Model'!G11</f>
        <v>184.25800000000004</v>
      </c>
      <c r="H22" s="425">
        <f>'Revenue Model'!H11</f>
        <v>593.80000000000018</v>
      </c>
      <c r="I22" s="424">
        <f>'Revenue Model'!I11</f>
        <v>131.30000000000018</v>
      </c>
      <c r="J22" s="424">
        <f>'Revenue Model'!J11</f>
        <v>141.5</v>
      </c>
      <c r="K22" s="424">
        <f>'Revenue Model'!K11</f>
        <v>122.59999999999991</v>
      </c>
      <c r="L22" s="424">
        <f>'Revenue Model'!L11</f>
        <v>151.59999999999945</v>
      </c>
      <c r="M22" s="425">
        <f>'Revenue Model'!M11</f>
        <v>546.99999999999955</v>
      </c>
      <c r="N22" s="424">
        <f>'Revenue Model'!N11</f>
        <v>169.89999999999986</v>
      </c>
      <c r="O22" s="424">
        <f>'Revenue Model'!O11</f>
        <v>165.89999999999986</v>
      </c>
      <c r="P22" s="424">
        <f>'Revenue Model'!P11</f>
        <v>220.10000000000014</v>
      </c>
      <c r="Q22" s="424">
        <f>'Revenue Model'!Q11</f>
        <v>393.09999999999945</v>
      </c>
      <c r="R22" s="425">
        <f>'Revenue Model'!R11</f>
        <v>948.99999999999932</v>
      </c>
      <c r="S22" s="424">
        <f>'Revenue Model'!S11</f>
        <v>255</v>
      </c>
      <c r="T22" s="424">
        <f>'Revenue Model'!T11</f>
        <v>280</v>
      </c>
      <c r="U22" s="424">
        <f>'Revenue Model'!U11</f>
        <v>276</v>
      </c>
      <c r="V22" s="424">
        <f>'Revenue Model'!V11</f>
        <v>263</v>
      </c>
      <c r="W22" s="425">
        <f>'Revenue Model'!W11</f>
        <v>1074</v>
      </c>
      <c r="X22" s="424">
        <f>'Revenue Model'!X11</f>
        <v>293</v>
      </c>
      <c r="Y22" s="424">
        <f>'Revenue Model'!Y11</f>
        <v>270</v>
      </c>
      <c r="Z22" s="424">
        <f>'Revenue Model'!Z11</f>
        <v>290</v>
      </c>
      <c r="AA22" s="424">
        <f>'Revenue Model'!AA11</f>
        <v>326</v>
      </c>
      <c r="AB22" s="425">
        <f>'Revenue Model'!AB11</f>
        <v>1179</v>
      </c>
      <c r="AC22" s="424">
        <f>'Revenue Model'!AC11</f>
        <v>268</v>
      </c>
      <c r="AD22" s="424">
        <f>'Revenue Model'!AD11</f>
        <v>257</v>
      </c>
      <c r="AE22" s="424">
        <f>'Revenue Model'!AE11</f>
        <v>224</v>
      </c>
      <c r="AF22" s="424">
        <f>'Revenue Model'!AF11</f>
        <v>242</v>
      </c>
      <c r="AG22" s="425">
        <f>'Revenue Model'!AG11</f>
        <v>991</v>
      </c>
      <c r="AH22" s="424">
        <f>'Revenue Model'!AH11</f>
        <v>204</v>
      </c>
      <c r="AI22" s="424">
        <f>'Revenue Model'!AI11</f>
        <v>194</v>
      </c>
      <c r="AJ22" s="424">
        <f>'Revenue Model'!AJ11</f>
        <v>185</v>
      </c>
      <c r="AK22" s="424">
        <f>'Revenue Model'!AK11</f>
        <v>190</v>
      </c>
      <c r="AL22" s="425">
        <f>'Revenue Model'!AL11</f>
        <v>773</v>
      </c>
      <c r="AM22" s="424">
        <f>'Revenue Model'!AM11</f>
        <v>179</v>
      </c>
      <c r="AN22" s="424">
        <f>'Revenue Model'!AN11</f>
        <v>170</v>
      </c>
      <c r="AO22" s="424">
        <f>'Revenue Model'!AO11</f>
        <v>167</v>
      </c>
      <c r="AP22" s="424">
        <f>'Revenue Model'!AP11</f>
        <v>149</v>
      </c>
      <c r="AQ22" s="425">
        <f>'Revenue Model'!AQ11</f>
        <v>665</v>
      </c>
      <c r="AR22" s="424">
        <f>'Revenue Model'!AR11</f>
        <v>157</v>
      </c>
      <c r="AS22" s="424">
        <f>'Revenue Model'!AS11</f>
        <v>170</v>
      </c>
      <c r="AT22" s="424">
        <f>'Revenue Model'!AT11</f>
        <v>193</v>
      </c>
      <c r="AU22" s="426"/>
      <c r="AV22" s="424">
        <f>'Revenue Model'!AV11</f>
        <v>146</v>
      </c>
      <c r="AW22" s="424">
        <f>'Revenue Model'!AW11</f>
        <v>135</v>
      </c>
      <c r="AX22" s="424">
        <f>'Revenue Model'!AX11</f>
        <v>149</v>
      </c>
      <c r="AY22" s="424">
        <f>'Revenue Model'!AY11</f>
        <v>123</v>
      </c>
      <c r="AZ22" s="425">
        <f>'Revenue Model'!AZ11</f>
        <v>553</v>
      </c>
      <c r="BA22" s="424">
        <f>'Revenue Model'!BA11</f>
        <v>174</v>
      </c>
      <c r="BB22" s="424">
        <f>'Revenue Model'!BB11</f>
        <v>184</v>
      </c>
      <c r="BC22" s="424">
        <f>'Revenue Model'!BC11</f>
        <v>152</v>
      </c>
      <c r="BD22" s="424">
        <f>'Revenue Model'!BD11</f>
        <v>169</v>
      </c>
      <c r="BE22" s="425">
        <f>'Revenue Model'!BE11</f>
        <v>679</v>
      </c>
      <c r="BF22" s="424">
        <f>'Revenue Model'!BF11</f>
        <v>96</v>
      </c>
      <c r="BG22" s="424">
        <f>'Revenue Model'!BG11</f>
        <v>99</v>
      </c>
      <c r="BH22" s="424">
        <f>'Revenue Model'!BH11</f>
        <v>92</v>
      </c>
      <c r="BI22" s="424">
        <f>'Revenue Model'!BI11</f>
        <v>93</v>
      </c>
      <c r="BJ22" s="425">
        <f>'Revenue Model'!BJ11</f>
        <v>380</v>
      </c>
      <c r="BK22" s="424">
        <f>'Revenue Model'!BK11</f>
        <v>91</v>
      </c>
      <c r="BL22" s="424">
        <f>'Revenue Model'!BL11</f>
        <v>95</v>
      </c>
      <c r="BM22" s="424">
        <f>'Revenue Model'!BM11</f>
        <v>83</v>
      </c>
      <c r="BN22" s="424">
        <f>'Revenue Model'!BN11</f>
        <v>68</v>
      </c>
      <c r="BO22" s="425">
        <f>'Revenue Model'!BO11</f>
        <v>337</v>
      </c>
      <c r="BP22" s="424">
        <f>'Revenue Model'!BP11</f>
        <v>73</v>
      </c>
      <c r="BQ22" s="424">
        <f>'Revenue Model'!BQ11</f>
        <v>83</v>
      </c>
      <c r="BR22" s="424">
        <f>'Revenue Model'!BR11</f>
        <v>76</v>
      </c>
      <c r="BS22" s="424">
        <f>'Revenue Model'!BS11</f>
        <v>63</v>
      </c>
      <c r="BT22" s="425">
        <f>'Revenue Model'!BT11</f>
        <v>295</v>
      </c>
      <c r="BU22" s="424">
        <f>'Revenue Model'!BU11</f>
        <v>82</v>
      </c>
      <c r="BV22" s="424">
        <f>'Revenue Model'!BV11</f>
        <v>70</v>
      </c>
      <c r="BW22" s="424">
        <f>'Revenue Model'!BW11</f>
        <v>74</v>
      </c>
      <c r="BX22" s="424">
        <f>'Revenue Model'!BX11</f>
        <v>74</v>
      </c>
      <c r="BY22" s="425">
        <f>'Revenue Model'!BY11</f>
        <v>300</v>
      </c>
      <c r="BZ22" s="424">
        <f>'Revenue Model'!BZ11</f>
        <v>74</v>
      </c>
      <c r="CA22" s="424">
        <f>'Revenue Model'!CA11</f>
        <v>75</v>
      </c>
      <c r="CB22" s="424">
        <f>'Revenue Model'!CB11</f>
        <v>80</v>
      </c>
      <c r="CC22" s="424">
        <f>'Revenue Model'!CC11</f>
        <v>89</v>
      </c>
      <c r="CD22" s="425">
        <f>'Revenue Model'!CD11</f>
        <v>318</v>
      </c>
      <c r="CE22" s="424">
        <f>'Revenue Model'!CE11</f>
        <v>81</v>
      </c>
      <c r="CF22" s="424">
        <f>'Revenue Model'!CF11</f>
        <v>86</v>
      </c>
      <c r="CG22" s="424">
        <f>'Revenue Model'!CG11</f>
        <v>87</v>
      </c>
      <c r="CH22" s="424">
        <f>'Revenue Model'!CH11</f>
        <v>89</v>
      </c>
      <c r="CI22" s="425">
        <f>'Revenue Model'!CI11</f>
        <v>343</v>
      </c>
      <c r="CJ22" s="424">
        <f>'Revenue Model'!CJ11</f>
        <v>89</v>
      </c>
      <c r="CK22" s="424">
        <f>'Revenue Model'!CK11</f>
        <v>92</v>
      </c>
      <c r="CL22" s="424">
        <f>'Revenue Model'!CL11</f>
        <v>98</v>
      </c>
      <c r="CM22" s="424">
        <f>'Revenue Model'!CM11</f>
        <v>94</v>
      </c>
      <c r="CN22" s="425">
        <f>'Revenue Model'!CN11</f>
        <v>373</v>
      </c>
      <c r="CO22" s="424">
        <f>'Revenue Model'!CO11</f>
        <v>90</v>
      </c>
      <c r="CP22" s="424">
        <f>'Revenue Model'!CP11</f>
        <v>96</v>
      </c>
      <c r="CQ22" s="424">
        <f>'Revenue Model'!CQ11</f>
        <v>111</v>
      </c>
      <c r="CR22" s="424">
        <f>'Revenue Model'!CR11</f>
        <v>118</v>
      </c>
      <c r="CS22" s="425">
        <f>'Revenue Model'!CS11</f>
        <v>415</v>
      </c>
      <c r="CT22" s="424">
        <f>'Revenue Model'!CT11</f>
        <v>118</v>
      </c>
      <c r="CU22" s="424">
        <f>'Revenue Model'!CU11</f>
        <v>116</v>
      </c>
      <c r="CV22" s="424">
        <f>'Revenue Model'!CV11</f>
        <v>137</v>
      </c>
      <c r="CW22" s="424">
        <f>'Revenue Model'!CW11</f>
        <v>166</v>
      </c>
      <c r="CX22" s="425">
        <f>'Revenue Model'!CX11</f>
        <v>537</v>
      </c>
      <c r="CY22" s="424">
        <f>'Revenue Model'!CY11</f>
        <v>245</v>
      </c>
      <c r="CZ22" s="424">
        <f>'Revenue Model'!CZ11</f>
        <v>243</v>
      </c>
      <c r="DA22" s="424">
        <f>'Revenue Model'!DA11</f>
        <v>271</v>
      </c>
      <c r="DB22" s="424">
        <f>'Revenue Model'!DB11</f>
        <v>504</v>
      </c>
      <c r="DC22" s="425">
        <f>'Revenue Model'!DC11</f>
        <v>1263</v>
      </c>
      <c r="DD22" s="424">
        <v>520</v>
      </c>
      <c r="DE22" s="424">
        <v>521</v>
      </c>
      <c r="DF22" s="424">
        <v>524</v>
      </c>
      <c r="DG22" s="424">
        <v>566</v>
      </c>
      <c r="DH22" s="425">
        <v>2131</v>
      </c>
      <c r="DI22" s="424">
        <f>'Revenue Model'!DI11</f>
        <v>688</v>
      </c>
      <c r="DJ22" s="424">
        <f>'Revenue Model'!DJ11</f>
        <v>675</v>
      </c>
      <c r="DK22" s="424">
        <f>'Revenue Model'!DK11</f>
        <v>604</v>
      </c>
      <c r="DL22" s="424">
        <f>'Revenue Model'!DL11</f>
        <v>654</v>
      </c>
      <c r="DM22" s="425">
        <f>'Revenue Model'!DM11</f>
        <v>2621</v>
      </c>
      <c r="DN22" s="424">
        <f>'Revenue Model'!DN11</f>
        <v>688</v>
      </c>
      <c r="DO22" s="424">
        <f>'Revenue Model'!DO11</f>
        <v>720</v>
      </c>
      <c r="DP22" s="424">
        <f>'Revenue Model'!DP11</f>
        <v>698</v>
      </c>
      <c r="DQ22" s="424">
        <f>'Revenue Model'!DQ11</f>
        <v>664</v>
      </c>
      <c r="DR22" s="425">
        <f>'Revenue Model'!DR11</f>
        <v>2770</v>
      </c>
      <c r="DS22" s="424">
        <f>'Revenue Model'!DS11</f>
        <v>666</v>
      </c>
      <c r="DT22" s="424">
        <f>'Revenue Model'!DT11</f>
        <v>654</v>
      </c>
      <c r="DU22" s="424">
        <f>'Revenue Model'!DU11</f>
        <v>687</v>
      </c>
      <c r="DV22" s="424">
        <f>'Revenue Model'!DV11</f>
        <v>621</v>
      </c>
      <c r="DW22" s="425">
        <f>'Revenue Model'!DW11</f>
        <v>2628</v>
      </c>
      <c r="DX22" s="424">
        <f>'Revenue Model'!DX11</f>
        <v>644.76</v>
      </c>
      <c r="DY22" s="424">
        <f>'Revenue Model'!DY11</f>
        <v>629.29999999999995</v>
      </c>
      <c r="DZ22" s="424">
        <f>'Revenue Model'!DZ11</f>
        <v>660.67</v>
      </c>
      <c r="EA22" s="424">
        <f>'Revenue Model'!EA11</f>
        <v>597.82999999999993</v>
      </c>
      <c r="EB22" s="425">
        <f>'Revenue Model'!EB11</f>
        <v>2532.56</v>
      </c>
      <c r="EC22" s="424">
        <f>'Revenue Model'!EC11</f>
        <v>653.71559999999999</v>
      </c>
      <c r="ED22" s="424">
        <f>'Revenue Model'!ED11</f>
        <v>638.00599999999997</v>
      </c>
      <c r="EE22" s="424">
        <f>'Revenue Model'!EE11</f>
        <v>669.99369999999999</v>
      </c>
      <c r="EF22" s="424">
        <f>'Revenue Model'!EF11</f>
        <v>605.96479999999997</v>
      </c>
      <c r="EG22" s="425">
        <f>'Revenue Model'!EG11</f>
        <v>2567.6800999999996</v>
      </c>
      <c r="EH22" s="424">
        <f>'Revenue Model'!EH11</f>
        <v>662.81091599999991</v>
      </c>
      <c r="EI22" s="424">
        <f>'Revenue Model'!EI11</f>
        <v>646.84731999999997</v>
      </c>
      <c r="EJ22" s="424">
        <f>'Revenue Model'!EJ11</f>
        <v>679.46497700000009</v>
      </c>
      <c r="EK22" s="424">
        <f>'Revenue Model'!EK11</f>
        <v>614.22407799999996</v>
      </c>
      <c r="EL22" s="425">
        <f>'Revenue Model'!EL11</f>
        <v>2603.347291</v>
      </c>
    </row>
    <row r="23" spans="1:142">
      <c r="A23" s="156"/>
      <c r="B23" s="156" t="s">
        <v>335</v>
      </c>
      <c r="C23" s="156"/>
      <c r="D23" s="156">
        <f>IS!D12</f>
        <v>662.83500000000004</v>
      </c>
      <c r="E23" s="156">
        <f>IS!E12</f>
        <v>638.79999999999995</v>
      </c>
      <c r="F23" s="156">
        <f>IS!F12</f>
        <v>660.5</v>
      </c>
      <c r="G23" s="156">
        <f>IS!G12</f>
        <v>1355.865</v>
      </c>
      <c r="H23" s="157">
        <f>IS!H12</f>
        <v>3318</v>
      </c>
      <c r="I23" s="156">
        <f>IS!I12</f>
        <v>1283.9000000000001</v>
      </c>
      <c r="J23" s="156">
        <f>IS!J12</f>
        <v>1370.9</v>
      </c>
      <c r="K23" s="156">
        <f>IS!K12</f>
        <v>1431.9</v>
      </c>
      <c r="L23" s="156">
        <f>IS!L12</f>
        <v>1472.2999999999997</v>
      </c>
      <c r="M23" s="157">
        <f>IS!M12</f>
        <v>5559</v>
      </c>
      <c r="N23" s="156">
        <f>IS!N12</f>
        <v>1438.6</v>
      </c>
      <c r="O23" s="156">
        <f>IS!O12</f>
        <v>1476.1</v>
      </c>
      <c r="P23" s="156">
        <f>IS!P12</f>
        <v>2236.9</v>
      </c>
      <c r="Q23" s="156">
        <f>IS!Q12</f>
        <v>3539.3999999999996</v>
      </c>
      <c r="R23" s="157">
        <f>IS!R12</f>
        <v>8691</v>
      </c>
      <c r="S23" s="156">
        <f>IS!S12</f>
        <v>2331</v>
      </c>
      <c r="T23" s="156">
        <f>IS!T12</f>
        <v>2429</v>
      </c>
      <c r="U23" s="156">
        <f>IS!U12</f>
        <v>2564</v>
      </c>
      <c r="V23" s="156">
        <f>IS!V12</f>
        <v>2571</v>
      </c>
      <c r="W23" s="157">
        <f>IS!W12</f>
        <v>9895</v>
      </c>
      <c r="X23" s="156">
        <f>IS!X12</f>
        <v>2553</v>
      </c>
      <c r="Y23" s="156">
        <f>IS!Y12</f>
        <v>2563</v>
      </c>
      <c r="Z23" s="156">
        <f>IS!Z12</f>
        <v>2822</v>
      </c>
      <c r="AA23" s="156">
        <f>IS!AA12</f>
        <v>2942</v>
      </c>
      <c r="AB23" s="157">
        <f>IS!AB12</f>
        <v>10880</v>
      </c>
      <c r="AC23" s="156">
        <f>IS!AC12</f>
        <v>2873</v>
      </c>
      <c r="AD23" s="156">
        <f>IS!AD12</f>
        <v>2780</v>
      </c>
      <c r="AE23" s="156">
        <f>IS!AE12</f>
        <v>2850</v>
      </c>
      <c r="AF23" s="156">
        <f>IS!AF12</f>
        <v>2911</v>
      </c>
      <c r="AG23" s="157">
        <f>IS!AG12</f>
        <v>11414</v>
      </c>
      <c r="AH23" s="156">
        <f>IS!AH12</f>
        <v>2893</v>
      </c>
      <c r="AI23" s="156">
        <f>IS!AI12</f>
        <v>2915</v>
      </c>
      <c r="AJ23" s="156">
        <f>IS!AJ12</f>
        <v>3036</v>
      </c>
      <c r="AK23" s="156">
        <f>IS!AK12</f>
        <v>3209</v>
      </c>
      <c r="AL23" s="157">
        <f>IS!AL12</f>
        <v>12053</v>
      </c>
      <c r="AM23" s="156">
        <f>IS!AM12</f>
        <v>3297</v>
      </c>
      <c r="AN23" s="156">
        <f>IS!AN12</f>
        <v>3394</v>
      </c>
      <c r="AO23" s="156">
        <f>IS!AO12</f>
        <v>3484</v>
      </c>
      <c r="AP23" s="156">
        <f>IS!AP12</f>
        <v>3738</v>
      </c>
      <c r="AQ23" s="157">
        <f>IS!AQ12</f>
        <v>13913</v>
      </c>
      <c r="AR23" s="156">
        <f>IS!AR12</f>
        <v>3703</v>
      </c>
      <c r="AS23" s="156">
        <f>IS!AS12</f>
        <v>3778</v>
      </c>
      <c r="AT23" s="156">
        <f>IS!AT12</f>
        <v>3686</v>
      </c>
      <c r="AU23" s="397"/>
      <c r="AV23" s="156">
        <f>IS!AV12</f>
        <v>3375</v>
      </c>
      <c r="AW23" s="156">
        <f>IS!AW12</f>
        <v>3430</v>
      </c>
      <c r="AX23" s="156">
        <f>IS!AX12</f>
        <v>3521</v>
      </c>
      <c r="AY23" s="156">
        <f>IS!AY12</f>
        <v>3493</v>
      </c>
      <c r="AZ23" s="157">
        <f>IS!AZ12</f>
        <v>13819</v>
      </c>
      <c r="BA23" s="156">
        <f>IS!BA12</f>
        <v>3452</v>
      </c>
      <c r="BB23" s="156">
        <f>IS!BB12</f>
        <v>3379</v>
      </c>
      <c r="BC23" s="156">
        <f>IS!BC12</f>
        <v>3297</v>
      </c>
      <c r="BD23" s="156">
        <f>IS!BD12</f>
        <v>3181</v>
      </c>
      <c r="BE23" s="157">
        <f>IS!BE12</f>
        <v>13309</v>
      </c>
      <c r="BF23" s="156">
        <f>IS!BF12</f>
        <v>2669</v>
      </c>
      <c r="BG23" s="156">
        <f>IS!BG12</f>
        <v>2570</v>
      </c>
      <c r="BH23" s="156">
        <f>IS!BH12</f>
        <v>2440</v>
      </c>
      <c r="BI23" s="156">
        <f>IS!BI12</f>
        <v>2412</v>
      </c>
      <c r="BJ23" s="157">
        <f>IS!BJ12</f>
        <v>10091</v>
      </c>
      <c r="BK23" s="156">
        <f>IS!BK12</f>
        <v>2501</v>
      </c>
      <c r="BL23" s="156">
        <f>IS!BL12</f>
        <v>2420</v>
      </c>
      <c r="BM23" s="156">
        <f>IS!BM12</f>
        <v>2394</v>
      </c>
      <c r="BN23" s="156">
        <f>IS!BN12</f>
        <v>2299</v>
      </c>
      <c r="BO23" s="157">
        <f>IS!BO12</f>
        <v>9614</v>
      </c>
      <c r="BP23" s="156">
        <f>IS!BP12</f>
        <v>2414</v>
      </c>
      <c r="BQ23" s="156">
        <f>IS!BQ12</f>
        <v>2195</v>
      </c>
      <c r="BR23" s="156">
        <f>IS!BR12</f>
        <v>2117</v>
      </c>
      <c r="BS23" s="156">
        <f>IS!BS12</f>
        <v>2179</v>
      </c>
      <c r="BT23" s="157">
        <f>IS!BT12</f>
        <v>8905</v>
      </c>
      <c r="BU23" s="156">
        <f>IS!BU12</f>
        <v>2279</v>
      </c>
      <c r="BV23" s="156">
        <f>IS!BV12</f>
        <v>2228</v>
      </c>
      <c r="BW23" s="156">
        <f>IS!BW12</f>
        <v>2212</v>
      </c>
      <c r="BX23" s="156">
        <f>IS!BX12</f>
        <v>2251</v>
      </c>
      <c r="BY23" s="157">
        <f>IS!BY12</f>
        <v>8970</v>
      </c>
      <c r="BZ23" s="156">
        <f>IS!BZ12</f>
        <v>2371</v>
      </c>
      <c r="CA23" s="156">
        <f>IS!CA12</f>
        <v>2184</v>
      </c>
      <c r="CB23" s="156">
        <f>IS!CB12</f>
        <v>2158</v>
      </c>
      <c r="CC23" s="156">
        <f>IS!CC12</f>
        <v>2195</v>
      </c>
      <c r="CD23" s="157">
        <f>IS!CD12</f>
        <v>8908</v>
      </c>
      <c r="CE23" s="156">
        <f>IS!CE12</f>
        <v>2279</v>
      </c>
      <c r="CF23" s="156">
        <f>IS!CF12</f>
        <v>2229</v>
      </c>
      <c r="CG23" s="156">
        <f>IS!CG12</f>
        <v>2262</v>
      </c>
      <c r="CH23" s="156">
        <f>IS!CH12</f>
        <v>2261</v>
      </c>
      <c r="CI23" s="157">
        <f>IS!CI12</f>
        <v>9031</v>
      </c>
      <c r="CJ23" s="156">
        <f>IS!CJ12</f>
        <v>2339</v>
      </c>
      <c r="CK23" s="156">
        <f>IS!CK12</f>
        <v>2303</v>
      </c>
      <c r="CL23" s="156">
        <f>IS!CL12</f>
        <v>2262</v>
      </c>
      <c r="CM23" s="156">
        <f>IS!CM12</f>
        <v>2301</v>
      </c>
      <c r="CN23" s="157">
        <f>IS!CN12</f>
        <v>9205</v>
      </c>
      <c r="CO23" s="156">
        <f>IS!CO12</f>
        <v>2429</v>
      </c>
      <c r="CP23" s="156">
        <f>IS!CP12</f>
        <v>2300</v>
      </c>
      <c r="CQ23" s="156">
        <f>IS!CQ12</f>
        <v>2289</v>
      </c>
      <c r="CR23" s="156">
        <f>IS!CR12</f>
        <v>2353</v>
      </c>
      <c r="CS23" s="157">
        <f>IS!CS12</f>
        <v>9371</v>
      </c>
      <c r="CT23" s="156">
        <f>IS!CT12</f>
        <v>2491</v>
      </c>
      <c r="CU23" s="156">
        <f>IS!CU12</f>
        <v>2455</v>
      </c>
      <c r="CV23" s="156">
        <f>IS!CV12</f>
        <v>2427</v>
      </c>
      <c r="CW23" s="156">
        <f>IS!CW12</f>
        <v>2531</v>
      </c>
      <c r="CX23" s="157">
        <f>IS!CX12</f>
        <v>9904</v>
      </c>
      <c r="CY23" s="156">
        <f>IS!CY12</f>
        <v>2594</v>
      </c>
      <c r="CZ23" s="156">
        <f>IS!CZ12</f>
        <v>2629</v>
      </c>
      <c r="DA23" s="156">
        <f>IS!DA12</f>
        <v>2618</v>
      </c>
      <c r="DB23" s="156">
        <f>IS!DB12</f>
        <v>4233</v>
      </c>
      <c r="DC23" s="157">
        <f>IS!DC12</f>
        <v>12074</v>
      </c>
      <c r="DD23" s="156">
        <v>4306</v>
      </c>
      <c r="DE23" s="156">
        <v>4362</v>
      </c>
      <c r="DF23" s="156">
        <v>4428</v>
      </c>
      <c r="DG23" s="156">
        <v>4824</v>
      </c>
      <c r="DH23" s="157">
        <v>17920</v>
      </c>
      <c r="DI23" s="156">
        <f>IS!DI12</f>
        <v>4791</v>
      </c>
      <c r="DJ23" s="156">
        <f>IS!DJ12</f>
        <v>4844</v>
      </c>
      <c r="DK23" s="156">
        <f>IS!DK12</f>
        <v>5063</v>
      </c>
      <c r="DL23" s="156">
        <f>IS!DL12</f>
        <v>5417</v>
      </c>
      <c r="DM23" s="157">
        <f>IS!DM12</f>
        <v>20111</v>
      </c>
      <c r="DN23" s="156">
        <f>IS!DN12</f>
        <v>5420</v>
      </c>
      <c r="DO23" s="156">
        <f>IS!DO12</f>
        <v>5220</v>
      </c>
      <c r="DP23" s="156">
        <f>IS!DP12</f>
        <v>5216</v>
      </c>
      <c r="DQ23" s="156">
        <f>IS!DQ12</f>
        <v>5214</v>
      </c>
      <c r="DR23" s="157">
        <f>IS!DR12</f>
        <v>21070</v>
      </c>
      <c r="DS23" s="156">
        <f>IS!DS12</f>
        <v>5196</v>
      </c>
      <c r="DT23" s="156">
        <f>IS!DT12</f>
        <v>5173</v>
      </c>
      <c r="DU23" s="156">
        <f>IS!DU12</f>
        <v>4941</v>
      </c>
      <c r="DV23" s="156">
        <f>IS!DV12</f>
        <v>5303</v>
      </c>
      <c r="DW23" s="157">
        <f>IS!DW12</f>
        <v>20613</v>
      </c>
      <c r="DX23" s="156">
        <f>IS!DX12</f>
        <v>4964.3152019994568</v>
      </c>
      <c r="DY23" s="156">
        <f>IS!DY12</f>
        <v>4950.4084405288504</v>
      </c>
      <c r="DZ23" s="156">
        <f>IS!DZ12</f>
        <v>4745.1307780402203</v>
      </c>
      <c r="EA23" s="156">
        <f>IS!EA12</f>
        <v>4980.8142911245241</v>
      </c>
      <c r="EB23" s="157">
        <f>IS!EB12</f>
        <v>19640.668711693052</v>
      </c>
      <c r="EC23" s="156">
        <f>IS!EC12</f>
        <v>4892.339839392569</v>
      </c>
      <c r="ED23" s="156">
        <f>IS!ED12</f>
        <v>4959.7519629863846</v>
      </c>
      <c r="EE23" s="156">
        <f>IS!EE12</f>
        <v>4841.2816244869191</v>
      </c>
      <c r="EF23" s="156">
        <f>IS!EF12</f>
        <v>5174.0071556415378</v>
      </c>
      <c r="EG23" s="157">
        <f>IS!EG12</f>
        <v>19867.380582507409</v>
      </c>
      <c r="EH23" s="156">
        <f>IS!EH12</f>
        <v>5111.1011048591226</v>
      </c>
      <c r="EI23" s="156">
        <f>IS!EI12</f>
        <v>5176.9346465441886</v>
      </c>
      <c r="EJ23" s="156">
        <f>IS!EJ12</f>
        <v>5048.5327799939778</v>
      </c>
      <c r="EK23" s="156">
        <f>IS!EK12</f>
        <v>5400.7532931550004</v>
      </c>
      <c r="EL23" s="157">
        <f>IS!EL12</f>
        <v>20737.321824552291</v>
      </c>
    </row>
    <row r="24" spans="1:142">
      <c r="A24" s="427"/>
      <c r="B24" s="427" t="s">
        <v>218</v>
      </c>
      <c r="C24" s="427"/>
      <c r="D24" s="427">
        <f>IS!D13</f>
        <v>26.117000000000001</v>
      </c>
      <c r="E24" s="427">
        <f>IS!E13</f>
        <v>20.7</v>
      </c>
      <c r="F24" s="427">
        <f>IS!F13</f>
        <v>22.1</v>
      </c>
      <c r="G24" s="427">
        <f>IS!G13</f>
        <v>68.082999999999998</v>
      </c>
      <c r="H24" s="428">
        <f>IS!H13</f>
        <v>137</v>
      </c>
      <c r="I24" s="427">
        <f>IS!I13</f>
        <v>67.3</v>
      </c>
      <c r="J24" s="427">
        <f>IS!J13</f>
        <v>69.7</v>
      </c>
      <c r="K24" s="427">
        <f>IS!K13</f>
        <v>71.900000000000006</v>
      </c>
      <c r="L24" s="427">
        <f>IS!L13</f>
        <v>81.099999999999994</v>
      </c>
      <c r="M24" s="428">
        <f>IS!M13</f>
        <v>290</v>
      </c>
      <c r="N24" s="427">
        <f>IS!N13</f>
        <v>74.5</v>
      </c>
      <c r="O24" s="427">
        <f>IS!O13</f>
        <v>78.7</v>
      </c>
      <c r="P24" s="427">
        <f>IS!P13</f>
        <v>128.1</v>
      </c>
      <c r="Q24" s="427">
        <f>IS!Q13</f>
        <v>212.70000000000005</v>
      </c>
      <c r="R24" s="428">
        <f>IS!R13</f>
        <v>494</v>
      </c>
      <c r="S24" s="427">
        <f>IS!S13</f>
        <v>148</v>
      </c>
      <c r="T24" s="427">
        <f>IS!T13</f>
        <v>136</v>
      </c>
      <c r="U24" s="427">
        <f>IS!U13</f>
        <v>163</v>
      </c>
      <c r="V24" s="427">
        <f>IS!V13</f>
        <v>141</v>
      </c>
      <c r="W24" s="428">
        <f>IS!W13</f>
        <v>588</v>
      </c>
      <c r="X24" s="427">
        <f>IS!X13</f>
        <v>159</v>
      </c>
      <c r="Y24" s="427">
        <f>IS!Y13</f>
        <v>184</v>
      </c>
      <c r="Z24" s="427">
        <f>IS!Z13</f>
        <v>190</v>
      </c>
      <c r="AA24" s="427">
        <f>IS!AA13</f>
        <v>210</v>
      </c>
      <c r="AB24" s="428">
        <f>IS!AB13</f>
        <v>743</v>
      </c>
      <c r="AC24" s="427">
        <f>IS!AC13</f>
        <v>223</v>
      </c>
      <c r="AD24" s="427">
        <f>IS!AD13</f>
        <v>210</v>
      </c>
      <c r="AE24" s="427">
        <f>IS!AE13</f>
        <v>214</v>
      </c>
      <c r="AF24" s="427">
        <f>IS!AF13</f>
        <v>204</v>
      </c>
      <c r="AG24" s="428">
        <f>IS!AG13</f>
        <v>851</v>
      </c>
      <c r="AH24" s="427">
        <f>IS!AH13</f>
        <v>213</v>
      </c>
      <c r="AI24" s="427">
        <f>IS!AI13</f>
        <v>206</v>
      </c>
      <c r="AJ24" s="427">
        <f>IS!AJ13</f>
        <v>219</v>
      </c>
      <c r="AK24" s="427">
        <f>IS!AK13</f>
        <v>211</v>
      </c>
      <c r="AL24" s="428">
        <f>IS!AL13</f>
        <v>849</v>
      </c>
      <c r="AM24" s="427">
        <f>IS!AM13</f>
        <v>246</v>
      </c>
      <c r="AN24" s="427">
        <f>IS!AN13</f>
        <v>258</v>
      </c>
      <c r="AO24" s="427">
        <f>IS!AO13</f>
        <v>236</v>
      </c>
      <c r="AP24" s="427">
        <f>IS!AP13</f>
        <v>246</v>
      </c>
      <c r="AQ24" s="428">
        <f>IS!AQ13</f>
        <v>986</v>
      </c>
      <c r="AR24" s="427">
        <f>IS!AR13</f>
        <v>277</v>
      </c>
      <c r="AS24" s="427">
        <f>IS!AS13</f>
        <v>291</v>
      </c>
      <c r="AT24" s="427">
        <f>IS!AT13</f>
        <v>304</v>
      </c>
      <c r="AU24" s="429"/>
      <c r="AV24" s="427">
        <f>IS!AV13</f>
        <v>225</v>
      </c>
      <c r="AW24" s="427">
        <f>IS!AW13</f>
        <v>219</v>
      </c>
      <c r="AX24" s="427">
        <f>IS!AX13</f>
        <v>260</v>
      </c>
      <c r="AY24" s="427">
        <f>IS!AY13</f>
        <v>271</v>
      </c>
      <c r="AZ24" s="428">
        <f>IS!AZ13</f>
        <v>975</v>
      </c>
      <c r="BA24" s="427">
        <f>IS!BA13</f>
        <v>274</v>
      </c>
      <c r="BB24" s="427">
        <f>IS!BB13</f>
        <v>288</v>
      </c>
      <c r="BC24" s="427">
        <f>IS!BC13</f>
        <v>522</v>
      </c>
      <c r="BD24" s="427">
        <f>IS!BD13</f>
        <v>364</v>
      </c>
      <c r="BE24" s="428">
        <f>IS!BE13</f>
        <v>1448</v>
      </c>
      <c r="BF24" s="427">
        <f>IS!BF13</f>
        <v>293</v>
      </c>
      <c r="BG24" s="427">
        <f>IS!BG13</f>
        <v>499</v>
      </c>
      <c r="BH24" s="427">
        <f>IS!BH13</f>
        <v>253</v>
      </c>
      <c r="BI24" s="427">
        <f>IS!BI13</f>
        <v>195</v>
      </c>
      <c r="BJ24" s="428">
        <f>IS!BJ13</f>
        <v>1240</v>
      </c>
      <c r="BK24" s="427">
        <f>IS!BK13</f>
        <v>167</v>
      </c>
      <c r="BL24" s="427">
        <f>IS!BL13</f>
        <v>153</v>
      </c>
      <c r="BM24" s="427">
        <f>IS!BM13</f>
        <v>206</v>
      </c>
      <c r="BN24" s="427">
        <f>IS!BN13</f>
        <v>172</v>
      </c>
      <c r="BO24" s="428">
        <f>IS!BO13</f>
        <v>698</v>
      </c>
      <c r="BP24" s="427">
        <f>IS!BP13</f>
        <v>138</v>
      </c>
      <c r="BQ24" s="427">
        <f>IS!BQ13</f>
        <v>128</v>
      </c>
      <c r="BR24" s="427">
        <f>IS!BR13</f>
        <v>157</v>
      </c>
      <c r="BS24" s="427">
        <f>IS!BS13</f>
        <v>124</v>
      </c>
      <c r="BT24" s="428">
        <f>IS!BT13</f>
        <v>547</v>
      </c>
      <c r="BU24" s="427">
        <f>IS!BU13</f>
        <v>141</v>
      </c>
      <c r="BV24" s="427">
        <f>IS!BV13</f>
        <v>151</v>
      </c>
      <c r="BW24" s="427">
        <f>IS!BW13</f>
        <v>159</v>
      </c>
      <c r="BX24" s="427">
        <f>IS!BX13</f>
        <v>134</v>
      </c>
      <c r="BY24" s="428">
        <f>IS!BY13</f>
        <v>585</v>
      </c>
      <c r="BZ24" s="427">
        <f>IS!BZ13</f>
        <v>149</v>
      </c>
      <c r="CA24" s="427">
        <f>IS!CA13</f>
        <v>154</v>
      </c>
      <c r="CB24" s="427">
        <f>IS!CB13</f>
        <v>166</v>
      </c>
      <c r="CC24" s="427">
        <f>IS!CC13</f>
        <v>166</v>
      </c>
      <c r="CD24" s="428">
        <f>IS!CD13</f>
        <v>635</v>
      </c>
      <c r="CE24" s="427">
        <f>IS!CE13</f>
        <v>156</v>
      </c>
      <c r="CF24" s="427">
        <f>IS!CF13</f>
        <v>167</v>
      </c>
      <c r="CG24" s="427">
        <f>IS!CG13</f>
        <v>193</v>
      </c>
      <c r="CH24" s="427">
        <f>IS!CH13</f>
        <v>181</v>
      </c>
      <c r="CI24" s="428">
        <f>IS!CI13</f>
        <v>697</v>
      </c>
      <c r="CJ24" s="427">
        <f>IS!CJ13</f>
        <v>189</v>
      </c>
      <c r="CK24" s="427">
        <f>IS!CK13</f>
        <v>173</v>
      </c>
      <c r="CL24" s="427">
        <f>IS!CL13</f>
        <v>187</v>
      </c>
      <c r="CM24" s="427">
        <f>IS!CM13</f>
        <v>191</v>
      </c>
      <c r="CN24" s="428">
        <f>IS!CN13</f>
        <v>740</v>
      </c>
      <c r="CO24" s="427">
        <f>IS!CO13</f>
        <v>179</v>
      </c>
      <c r="CP24" s="427">
        <f>IS!CP13</f>
        <v>168</v>
      </c>
      <c r="CQ24" s="427">
        <f>IS!CQ13</f>
        <v>189</v>
      </c>
      <c r="CR24" s="427">
        <f>IS!CR13</f>
        <v>181</v>
      </c>
      <c r="CS24" s="428">
        <f>IS!CS13</f>
        <v>717</v>
      </c>
      <c r="CT24" s="427">
        <f>IS!CT13</f>
        <v>189</v>
      </c>
      <c r="CU24" s="427">
        <f>IS!CU13</f>
        <v>190</v>
      </c>
      <c r="CV24" s="427">
        <f>IS!CV13</f>
        <v>206</v>
      </c>
      <c r="CW24" s="427">
        <f>IS!CW13</f>
        <v>200</v>
      </c>
      <c r="CX24" s="428">
        <f>IS!CX13</f>
        <v>785</v>
      </c>
      <c r="CY24" s="427">
        <f>IS!CY13</f>
        <v>207</v>
      </c>
      <c r="CZ24" s="427">
        <f>IS!CZ13</f>
        <v>207</v>
      </c>
      <c r="DA24" s="427">
        <f>IS!DA13</f>
        <v>210</v>
      </c>
      <c r="DB24" s="427">
        <f>IS!DB13</f>
        <v>348</v>
      </c>
      <c r="DC24" s="428">
        <f>IS!DC13</f>
        <v>972</v>
      </c>
      <c r="DD24" s="427">
        <v>380</v>
      </c>
      <c r="DE24" s="427">
        <v>320</v>
      </c>
      <c r="DF24" s="427">
        <v>249</v>
      </c>
      <c r="DG24" s="427">
        <v>356</v>
      </c>
      <c r="DH24" s="428">
        <v>1305</v>
      </c>
      <c r="DI24" s="427">
        <f>IS!DI13</f>
        <v>363</v>
      </c>
      <c r="DJ24" s="427">
        <f>IS!DJ13</f>
        <v>352</v>
      </c>
      <c r="DK24" s="427">
        <f>IS!DK13</f>
        <v>371</v>
      </c>
      <c r="DL24" s="427">
        <f>IS!DL13</f>
        <v>391</v>
      </c>
      <c r="DM24" s="428">
        <f>IS!DM13</f>
        <v>1477</v>
      </c>
      <c r="DN24" s="427">
        <f>IS!DN13</f>
        <v>376</v>
      </c>
      <c r="DO24" s="427">
        <f>IS!DO13</f>
        <v>352</v>
      </c>
      <c r="DP24" s="427">
        <f>IS!DP13</f>
        <v>367</v>
      </c>
      <c r="DQ24" s="427">
        <f>IS!DQ13</f>
        <v>354</v>
      </c>
      <c r="DR24" s="428">
        <f>IS!DR13</f>
        <v>1449</v>
      </c>
      <c r="DS24" s="427">
        <f>IS!DS13</f>
        <v>383</v>
      </c>
      <c r="DT24" s="427">
        <f>IS!DT13</f>
        <v>371</v>
      </c>
      <c r="DU24" s="427">
        <f>IS!DU13</f>
        <v>355</v>
      </c>
      <c r="DV24" s="427">
        <f>IS!DV13</f>
        <v>325</v>
      </c>
      <c r="DW24" s="428">
        <f>IS!DW13</f>
        <v>1434</v>
      </c>
      <c r="DX24" s="427">
        <f>IS!DX13</f>
        <v>379.2288165338615</v>
      </c>
      <c r="DY24" s="427">
        <f>IS!DY13</f>
        <v>378.48077233031057</v>
      </c>
      <c r="DZ24" s="427">
        <f>IS!DZ13</f>
        <v>363.00784110143934</v>
      </c>
      <c r="EA24" s="427">
        <f>IS!EA13</f>
        <v>379.77080284616454</v>
      </c>
      <c r="EB24" s="428">
        <f>IS!EB13</f>
        <v>1500.4882328117758</v>
      </c>
      <c r="EC24" s="427">
        <f>IS!EC13</f>
        <v>368.0435585811594</v>
      </c>
      <c r="ED24" s="427">
        <f>IS!ED13</f>
        <v>373.26918243588312</v>
      </c>
      <c r="EE24" s="427">
        <f>IS!EE13</f>
        <v>364.40015606766138</v>
      </c>
      <c r="EF24" s="427">
        <f>IS!EF13</f>
        <v>390.53638559369347</v>
      </c>
      <c r="EG24" s="428">
        <f>IS!EG13</f>
        <v>1496.2492826783973</v>
      </c>
      <c r="EH24" s="427">
        <f>IS!EH13</f>
        <v>378.40492450892515</v>
      </c>
      <c r="EI24" s="427">
        <f>IS!EI13</f>
        <v>383.45211786141363</v>
      </c>
      <c r="EJ24" s="427">
        <f>IS!EJ13</f>
        <v>374.00945809385172</v>
      </c>
      <c r="EK24" s="427">
        <f>IS!EK13</f>
        <v>401.37604212760067</v>
      </c>
      <c r="EL24" s="428">
        <f>IS!EL13</f>
        <v>1537.2425425917911</v>
      </c>
    </row>
    <row r="25" spans="1:142">
      <c r="A25" s="427"/>
      <c r="B25" s="427" t="s">
        <v>337</v>
      </c>
      <c r="C25" s="427"/>
      <c r="D25" s="427">
        <f>IS!D14</f>
        <v>636.71800000000007</v>
      </c>
      <c r="E25" s="427">
        <f>IS!E14</f>
        <v>618.09999999999991</v>
      </c>
      <c r="F25" s="427">
        <f>IS!F14</f>
        <v>638.4</v>
      </c>
      <c r="G25" s="427">
        <f>IS!G14</f>
        <v>1287.7819999999999</v>
      </c>
      <c r="H25" s="428">
        <f>IS!H14</f>
        <v>3181</v>
      </c>
      <c r="I25" s="427">
        <f>IS!I14</f>
        <v>1216.6000000000001</v>
      </c>
      <c r="J25" s="427">
        <f>IS!J14</f>
        <v>1301.2</v>
      </c>
      <c r="K25" s="427">
        <f>IS!K14</f>
        <v>1360</v>
      </c>
      <c r="L25" s="427">
        <f>IS!L14</f>
        <v>1391.1999999999998</v>
      </c>
      <c r="M25" s="428">
        <f>IS!M14</f>
        <v>5269</v>
      </c>
      <c r="N25" s="427">
        <f>IS!N14</f>
        <v>1364.1</v>
      </c>
      <c r="O25" s="427">
        <f>IS!O14</f>
        <v>1397.3999999999999</v>
      </c>
      <c r="P25" s="427">
        <f>IS!P14</f>
        <v>2108.8000000000002</v>
      </c>
      <c r="Q25" s="427">
        <f>IS!Q14</f>
        <v>3326.7</v>
      </c>
      <c r="R25" s="428">
        <f>IS!R14</f>
        <v>8197</v>
      </c>
      <c r="S25" s="427">
        <f>IS!S14</f>
        <v>2183</v>
      </c>
      <c r="T25" s="427">
        <f>IS!T14</f>
        <v>2293</v>
      </c>
      <c r="U25" s="427">
        <f>IS!U14</f>
        <v>2401</v>
      </c>
      <c r="V25" s="427">
        <f>IS!V14</f>
        <v>2430</v>
      </c>
      <c r="W25" s="428">
        <f>IS!W14</f>
        <v>9307</v>
      </c>
      <c r="X25" s="427">
        <f>IS!X14</f>
        <v>2394</v>
      </c>
      <c r="Y25" s="427">
        <f>IS!Y14</f>
        <v>2379</v>
      </c>
      <c r="Z25" s="427">
        <f>IS!Z14</f>
        <v>2632</v>
      </c>
      <c r="AA25" s="427">
        <f>IS!AA14</f>
        <v>2732</v>
      </c>
      <c r="AB25" s="428">
        <f>IS!AB14</f>
        <v>10137</v>
      </c>
      <c r="AC25" s="427">
        <f>IS!AC14</f>
        <v>2650</v>
      </c>
      <c r="AD25" s="427">
        <f>IS!AD14</f>
        <v>2570</v>
      </c>
      <c r="AE25" s="427">
        <f>IS!AE14</f>
        <v>2636</v>
      </c>
      <c r="AF25" s="427">
        <f>IS!AF14</f>
        <v>2707</v>
      </c>
      <c r="AG25" s="428">
        <f>IS!AG14</f>
        <v>10563</v>
      </c>
      <c r="AH25" s="427">
        <f>IS!AH14</f>
        <v>2680</v>
      </c>
      <c r="AI25" s="427">
        <f>IS!AI14</f>
        <v>2709</v>
      </c>
      <c r="AJ25" s="427">
        <f>IS!AJ14</f>
        <v>2817</v>
      </c>
      <c r="AK25" s="427">
        <f>IS!AK14</f>
        <v>2998</v>
      </c>
      <c r="AL25" s="428">
        <f>IS!AL14</f>
        <v>11204</v>
      </c>
      <c r="AM25" s="427">
        <f>IS!AM14</f>
        <v>3051</v>
      </c>
      <c r="AN25" s="427">
        <f>IS!AN14</f>
        <v>3136</v>
      </c>
      <c r="AO25" s="427">
        <f>IS!AO14</f>
        <v>3248</v>
      </c>
      <c r="AP25" s="427">
        <f>IS!AP14</f>
        <v>3492</v>
      </c>
      <c r="AQ25" s="428">
        <f>IS!AQ14</f>
        <v>12927</v>
      </c>
      <c r="AR25" s="427">
        <f>IS!AR14</f>
        <v>3426</v>
      </c>
      <c r="AS25" s="427">
        <f>IS!AS14</f>
        <v>3487</v>
      </c>
      <c r="AT25" s="427">
        <f>IS!AT14</f>
        <v>3382</v>
      </c>
      <c r="AU25" s="429"/>
      <c r="AV25" s="427">
        <f>IS!AV14</f>
        <v>3150</v>
      </c>
      <c r="AW25" s="427">
        <f>IS!AW14</f>
        <v>3211</v>
      </c>
      <c r="AX25" s="427">
        <f>IS!AX14</f>
        <v>3261</v>
      </c>
      <c r="AY25" s="427">
        <f>IS!AY14</f>
        <v>3222</v>
      </c>
      <c r="AZ25" s="428">
        <f>IS!AZ14</f>
        <v>12844</v>
      </c>
      <c r="BA25" s="427">
        <f>IS!BA14</f>
        <v>3178</v>
      </c>
      <c r="BB25" s="427">
        <f>IS!BB14</f>
        <v>3091</v>
      </c>
      <c r="BC25" s="427">
        <f>IS!BC14</f>
        <v>2775</v>
      </c>
      <c r="BD25" s="427">
        <f>IS!BD14</f>
        <v>2817</v>
      </c>
      <c r="BE25" s="428">
        <f>IS!BE14</f>
        <v>11861</v>
      </c>
      <c r="BF25" s="427">
        <f>IS!BF14</f>
        <v>2376</v>
      </c>
      <c r="BG25" s="427">
        <f>IS!BG14</f>
        <v>2071</v>
      </c>
      <c r="BH25" s="427">
        <f>IS!BH14</f>
        <v>2187</v>
      </c>
      <c r="BI25" s="427">
        <f>IS!BI14</f>
        <v>2217</v>
      </c>
      <c r="BJ25" s="428">
        <f>IS!BJ14</f>
        <v>8851</v>
      </c>
      <c r="BK25" s="427">
        <f>IS!BK14</f>
        <v>2334</v>
      </c>
      <c r="BL25" s="427">
        <f>IS!BL14</f>
        <v>2267</v>
      </c>
      <c r="BM25" s="427">
        <f>IS!BM14</f>
        <v>2188</v>
      </c>
      <c r="BN25" s="427">
        <f>IS!BN14</f>
        <v>2127</v>
      </c>
      <c r="BO25" s="428">
        <f>IS!BO14</f>
        <v>8916</v>
      </c>
      <c r="BP25" s="427">
        <f>IS!BP14</f>
        <v>2276</v>
      </c>
      <c r="BQ25" s="427">
        <f>IS!BQ14</f>
        <v>2067</v>
      </c>
      <c r="BR25" s="427">
        <f>IS!BR14</f>
        <v>1960</v>
      </c>
      <c r="BS25" s="427">
        <f>IS!BS14</f>
        <v>2055</v>
      </c>
      <c r="BT25" s="428">
        <f>IS!BT14</f>
        <v>8358</v>
      </c>
      <c r="BU25" s="427">
        <f>IS!BU14</f>
        <v>2138</v>
      </c>
      <c r="BV25" s="427">
        <f>IS!BV14</f>
        <v>2077</v>
      </c>
      <c r="BW25" s="427">
        <f>IS!BW14</f>
        <v>2053</v>
      </c>
      <c r="BX25" s="427">
        <f>IS!BX14</f>
        <v>2117</v>
      </c>
      <c r="BY25" s="428">
        <f>IS!BY14</f>
        <v>8385</v>
      </c>
      <c r="BZ25" s="427">
        <f>IS!BZ14</f>
        <v>2222</v>
      </c>
      <c r="CA25" s="427">
        <f>IS!CA14</f>
        <v>2030</v>
      </c>
      <c r="CB25" s="427">
        <f>IS!CB14</f>
        <v>1992</v>
      </c>
      <c r="CC25" s="427">
        <f>IS!CC14</f>
        <v>2029</v>
      </c>
      <c r="CD25" s="428">
        <f>IS!CD14</f>
        <v>8273</v>
      </c>
      <c r="CE25" s="427">
        <f>IS!CE14</f>
        <v>2123</v>
      </c>
      <c r="CF25" s="427">
        <f>IS!CF14</f>
        <v>2062</v>
      </c>
      <c r="CG25" s="427">
        <f>IS!CG14</f>
        <v>2069</v>
      </c>
      <c r="CH25" s="427">
        <f>IS!CH14</f>
        <v>2080</v>
      </c>
      <c r="CI25" s="428">
        <f>IS!CI14</f>
        <v>8334</v>
      </c>
      <c r="CJ25" s="427">
        <f>IS!CJ14</f>
        <v>2150</v>
      </c>
      <c r="CK25" s="427">
        <f>IS!CK14</f>
        <v>2130</v>
      </c>
      <c r="CL25" s="427">
        <f>IS!CL14</f>
        <v>2075</v>
      </c>
      <c r="CM25" s="427">
        <f>IS!CM14</f>
        <v>2110</v>
      </c>
      <c r="CN25" s="428">
        <f>IS!CN14</f>
        <v>8465</v>
      </c>
      <c r="CO25" s="427">
        <f>IS!CO14</f>
        <v>2250</v>
      </c>
      <c r="CP25" s="427">
        <f>IS!CP14</f>
        <v>2132</v>
      </c>
      <c r="CQ25" s="427">
        <f>IS!CQ14</f>
        <v>2100</v>
      </c>
      <c r="CR25" s="427">
        <f>IS!CR14</f>
        <v>2172</v>
      </c>
      <c r="CS25" s="428">
        <f>IS!CS14</f>
        <v>8654</v>
      </c>
      <c r="CT25" s="430">
        <f>IS!CT14</f>
        <v>2302</v>
      </c>
      <c r="CU25" s="430">
        <f>IS!CU14</f>
        <v>2265</v>
      </c>
      <c r="CV25" s="430">
        <f>IS!CV14</f>
        <v>2221</v>
      </c>
      <c r="CW25" s="430">
        <f>IS!CW14</f>
        <v>2331</v>
      </c>
      <c r="CX25" s="428">
        <f>IS!CX14</f>
        <v>9119</v>
      </c>
      <c r="CY25" s="430">
        <f>IS!CY14</f>
        <v>2387</v>
      </c>
      <c r="CZ25" s="430">
        <f>IS!CZ14</f>
        <v>2422</v>
      </c>
      <c r="DA25" s="427">
        <f>IS!DA14</f>
        <v>2408</v>
      </c>
      <c r="DB25" s="427">
        <f>IS!DB14</f>
        <v>3885</v>
      </c>
      <c r="DC25" s="428">
        <f>IS!DC14</f>
        <v>11102</v>
      </c>
      <c r="DD25" s="427">
        <v>3926</v>
      </c>
      <c r="DE25" s="427">
        <v>4042</v>
      </c>
      <c r="DF25" s="427">
        <v>4179</v>
      </c>
      <c r="DG25" s="427">
        <v>4468</v>
      </c>
      <c r="DH25" s="428">
        <v>16615</v>
      </c>
      <c r="DI25" s="427">
        <f>IS!DI14</f>
        <v>4424</v>
      </c>
      <c r="DJ25" s="427">
        <f>IS!DJ14</f>
        <v>4492</v>
      </c>
      <c r="DK25" s="427">
        <f>IS!DK14</f>
        <v>4692</v>
      </c>
      <c r="DL25" s="427">
        <f>IS!DL14</f>
        <v>5026</v>
      </c>
      <c r="DM25" s="428">
        <f>IS!DM14</f>
        <v>18634</v>
      </c>
      <c r="DN25" s="427">
        <f>IS!DN14</f>
        <v>5044</v>
      </c>
      <c r="DO25" s="427">
        <f>IS!DO14</f>
        <v>4868</v>
      </c>
      <c r="DP25" s="427">
        <f>IS!DP14</f>
        <v>4849</v>
      </c>
      <c r="DQ25" s="427">
        <f>IS!DQ14</f>
        <v>4860</v>
      </c>
      <c r="DR25" s="428">
        <f>IS!DR14</f>
        <v>19621</v>
      </c>
      <c r="DS25" s="427">
        <f>IS!DS14</f>
        <v>4813</v>
      </c>
      <c r="DT25" s="427">
        <f>IS!DT14</f>
        <v>4802</v>
      </c>
      <c r="DU25" s="427">
        <f>IS!DU14</f>
        <v>4586</v>
      </c>
      <c r="DV25" s="427">
        <f>IS!DV14</f>
        <v>4978</v>
      </c>
      <c r="DW25" s="428">
        <f>IS!DW14</f>
        <v>19179</v>
      </c>
      <c r="DX25" s="427">
        <f>IS!DX14</f>
        <v>4585.0863854655954</v>
      </c>
      <c r="DY25" s="427">
        <f>IS!DY14</f>
        <v>4571.9276681985402</v>
      </c>
      <c r="DZ25" s="427">
        <f>IS!DZ14</f>
        <v>4382.1229369387811</v>
      </c>
      <c r="EA25" s="427">
        <f>IS!EA14</f>
        <v>4601.0434882783593</v>
      </c>
      <c r="EB25" s="428">
        <f>IS!EB14</f>
        <v>18140.180478881277</v>
      </c>
      <c r="EC25" s="427">
        <f>IS!EC14</f>
        <v>4524.2962808114098</v>
      </c>
      <c r="ED25" s="427">
        <f>IS!ED14</f>
        <v>4586.482780550501</v>
      </c>
      <c r="EE25" s="427">
        <f>IS!EE14</f>
        <v>4476.8814684192575</v>
      </c>
      <c r="EF25" s="427">
        <f>IS!EF14</f>
        <v>4783.4707700478448</v>
      </c>
      <c r="EG25" s="428">
        <f>IS!EG14</f>
        <v>18371.131299829012</v>
      </c>
      <c r="EH25" s="427">
        <f>IS!EH14</f>
        <v>4732.6961803501972</v>
      </c>
      <c r="EI25" s="427">
        <f>IS!EI14</f>
        <v>4793.4825286827745</v>
      </c>
      <c r="EJ25" s="427">
        <f>IS!EJ14</f>
        <v>4674.5233219001257</v>
      </c>
      <c r="EK25" s="427">
        <f>IS!EK14</f>
        <v>4999.3772510273993</v>
      </c>
      <c r="EL25" s="428">
        <f>IS!EL14</f>
        <v>19200.079281960501</v>
      </c>
    </row>
    <row r="26" spans="1:14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395"/>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431"/>
      <c r="CP26" s="431"/>
      <c r="CQ26" s="431"/>
      <c r="CR26" s="431"/>
      <c r="CS26" s="4"/>
      <c r="CT26" s="431"/>
      <c r="CU26" s="431"/>
      <c r="CV26" s="431"/>
      <c r="CW26" s="431"/>
      <c r="CX26" s="4"/>
      <c r="CY26" s="431"/>
      <c r="CZ26" s="431"/>
      <c r="DA26" s="431"/>
      <c r="DB26" s="431"/>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row>
    <row r="27" spans="1:142">
      <c r="A27" s="1225"/>
      <c r="B27" s="1225" t="s">
        <v>338</v>
      </c>
      <c r="C27" s="1225"/>
      <c r="D27" s="1225">
        <f>IS!D16</f>
        <v>514.02800000000002</v>
      </c>
      <c r="E27" s="1225">
        <f>IS!E16</f>
        <v>273</v>
      </c>
      <c r="F27" s="1225">
        <f>IS!F16</f>
        <v>275.3</v>
      </c>
      <c r="G27" s="1225">
        <f>IS!G16</f>
        <v>304.67200000000003</v>
      </c>
      <c r="H27" s="1226">
        <f>IS!H16</f>
        <v>1367</v>
      </c>
      <c r="I27" s="1225">
        <f>IS!I16</f>
        <v>502.2</v>
      </c>
      <c r="J27" s="1225">
        <f>IS!J16</f>
        <v>544.70000000000005</v>
      </c>
      <c r="K27" s="1225">
        <f>IS!K16</f>
        <v>569.79999999999995</v>
      </c>
      <c r="L27" s="1225">
        <f>IS!L16</f>
        <v>577.29999999999995</v>
      </c>
      <c r="M27" s="1226">
        <f>IS!M16</f>
        <v>2194</v>
      </c>
      <c r="N27" s="1225">
        <f>IS!N16</f>
        <v>568.70000000000005</v>
      </c>
      <c r="O27" s="1225">
        <f>IS!O16</f>
        <v>581.4</v>
      </c>
      <c r="P27" s="1225">
        <f>IS!P16</f>
        <v>911</v>
      </c>
      <c r="Q27" s="1225">
        <f>IS!Q16</f>
        <v>1512.9</v>
      </c>
      <c r="R27" s="1226">
        <f>IS!R16</f>
        <v>3574</v>
      </c>
      <c r="S27" s="1225">
        <f>IS!S16</f>
        <v>966</v>
      </c>
      <c r="T27" s="1225">
        <f>IS!T16</f>
        <v>1007</v>
      </c>
      <c r="U27" s="1225">
        <f>IS!U16</f>
        <v>1040</v>
      </c>
      <c r="V27" s="1225">
        <f>IS!V16</f>
        <v>1039</v>
      </c>
      <c r="W27" s="1226">
        <f>IS!W16</f>
        <v>4052</v>
      </c>
      <c r="X27" s="1225">
        <f>IS!X16</f>
        <v>1018</v>
      </c>
      <c r="Y27" s="1225">
        <f>IS!Y16</f>
        <v>1039</v>
      </c>
      <c r="Z27" s="1225">
        <f>IS!Z16</f>
        <v>1160</v>
      </c>
      <c r="AA27" s="1225">
        <f>IS!AA16</f>
        <v>1195</v>
      </c>
      <c r="AB27" s="1226">
        <f>IS!AB16</f>
        <v>4412</v>
      </c>
      <c r="AC27" s="1225">
        <f>IS!AC16</f>
        <v>1161</v>
      </c>
      <c r="AD27" s="1225">
        <f>IS!AD16</f>
        <v>1110</v>
      </c>
      <c r="AE27" s="1225">
        <f>IS!AE16</f>
        <v>1121</v>
      </c>
      <c r="AF27" s="1225">
        <f>IS!AF16</f>
        <v>1116</v>
      </c>
      <c r="AG27" s="1226">
        <f>IS!AG16</f>
        <v>4508</v>
      </c>
      <c r="AH27" s="1225">
        <f>IS!AH16</f>
        <v>1123</v>
      </c>
      <c r="AI27" s="1225">
        <f>IS!AI16</f>
        <v>1130</v>
      </c>
      <c r="AJ27" s="1225">
        <f>IS!AJ16</f>
        <v>1178</v>
      </c>
      <c r="AK27" s="1225">
        <f>IS!AK16</f>
        <v>1249</v>
      </c>
      <c r="AL27" s="1226">
        <f>IS!AL16</f>
        <v>4680</v>
      </c>
      <c r="AM27" s="1225">
        <f>IS!AM16</f>
        <v>1270</v>
      </c>
      <c r="AN27" s="1225">
        <f>IS!AN16</f>
        <v>1300</v>
      </c>
      <c r="AO27" s="1225">
        <f>IS!AO16</f>
        <v>1351</v>
      </c>
      <c r="AP27" s="1225">
        <f>IS!AP16</f>
        <v>1425</v>
      </c>
      <c r="AQ27" s="1226">
        <f>IS!AQ16</f>
        <v>5346</v>
      </c>
      <c r="AR27" s="1225">
        <f>IS!AR16</f>
        <v>1423</v>
      </c>
      <c r="AS27" s="1225">
        <f>IS!AS16</f>
        <v>1447</v>
      </c>
      <c r="AT27" s="1225">
        <f>IS!AT16</f>
        <v>1451</v>
      </c>
      <c r="AU27" s="1225"/>
      <c r="AV27" s="1225">
        <f>IS!AV16</f>
        <v>1339</v>
      </c>
      <c r="AW27" s="1225">
        <f>IS!AW16</f>
        <v>1353</v>
      </c>
      <c r="AX27" s="1225">
        <f>IS!AX16</f>
        <v>1376</v>
      </c>
      <c r="AY27" s="1225">
        <f>IS!AY16</f>
        <v>1354</v>
      </c>
      <c r="AZ27" s="1226">
        <f>IS!AZ16</f>
        <v>5422</v>
      </c>
      <c r="BA27" s="1225">
        <f>IS!BA16</f>
        <v>1462</v>
      </c>
      <c r="BB27" s="1225">
        <f>IS!BB16</f>
        <v>1474</v>
      </c>
      <c r="BC27" s="1225">
        <f>IS!BC16</f>
        <v>1420</v>
      </c>
      <c r="BD27" s="1225">
        <f>IS!BD16</f>
        <v>1407</v>
      </c>
      <c r="BE27" s="1226">
        <f>IS!BE16</f>
        <v>5763</v>
      </c>
      <c r="BF27" s="1225">
        <f>IS!BF16</f>
        <v>1146</v>
      </c>
      <c r="BG27" s="1225">
        <f>IS!BG16</f>
        <v>1131</v>
      </c>
      <c r="BH27" s="1225">
        <f>IS!BH16</f>
        <v>1078</v>
      </c>
      <c r="BI27" s="1225">
        <f>IS!BI16</f>
        <v>1076</v>
      </c>
      <c r="BJ27" s="1226">
        <f>IS!BJ16</f>
        <v>4431</v>
      </c>
      <c r="BK27" s="1225">
        <f>IS!BK16</f>
        <v>1124</v>
      </c>
      <c r="BL27" s="1225">
        <f>IS!BL16</f>
        <v>1114</v>
      </c>
      <c r="BM27" s="1225">
        <f>IS!BM16</f>
        <v>1099</v>
      </c>
      <c r="BN27" s="1225">
        <f>IS!BN16</f>
        <v>1051</v>
      </c>
      <c r="BO27" s="1226">
        <f>IS!BO16</f>
        <v>4388</v>
      </c>
      <c r="BP27" s="1225">
        <f>IS!BP16</f>
        <v>1075</v>
      </c>
      <c r="BQ27" s="1225">
        <f>IS!BQ16</f>
        <v>963</v>
      </c>
      <c r="BR27" s="1225">
        <f>IS!BR16</f>
        <v>953</v>
      </c>
      <c r="BS27" s="1225">
        <f>IS!BS16</f>
        <v>986</v>
      </c>
      <c r="BT27" s="1226">
        <f>IS!BT16</f>
        <v>3977</v>
      </c>
      <c r="BU27" s="1225">
        <f>IS!BU16</f>
        <v>1019</v>
      </c>
      <c r="BV27" s="1225">
        <f>IS!BV16</f>
        <v>993</v>
      </c>
      <c r="BW27" s="1225">
        <f>IS!BW16</f>
        <v>983</v>
      </c>
      <c r="BX27" s="1225">
        <f>IS!BX16</f>
        <v>1023</v>
      </c>
      <c r="BY27" s="1226">
        <f>IS!BY16</f>
        <v>4018</v>
      </c>
      <c r="BZ27" s="1225">
        <f>IS!BZ16</f>
        <v>1036</v>
      </c>
      <c r="CA27" s="1225">
        <f>IS!CA16</f>
        <v>967</v>
      </c>
      <c r="CB27" s="1225">
        <f>IS!CB16</f>
        <v>952</v>
      </c>
      <c r="CC27" s="1225">
        <f>IS!CC16</f>
        <v>967</v>
      </c>
      <c r="CD27" s="1226">
        <f>IS!CD16</f>
        <v>3922</v>
      </c>
      <c r="CE27" s="1225">
        <f>IS!CE16</f>
        <v>975</v>
      </c>
      <c r="CF27" s="1225">
        <f>IS!CF16</f>
        <v>949</v>
      </c>
      <c r="CG27" s="1225">
        <f>IS!CG16</f>
        <v>954</v>
      </c>
      <c r="CH27" s="1225">
        <f>IS!CH16</f>
        <v>989</v>
      </c>
      <c r="CI27" s="1226">
        <f>IS!CI16</f>
        <v>3867</v>
      </c>
      <c r="CJ27" s="1225">
        <f>IS!CJ16</f>
        <v>987</v>
      </c>
      <c r="CK27" s="1225">
        <f>IS!CK16</f>
        <v>969</v>
      </c>
      <c r="CL27" s="1225">
        <f>IS!CL16</f>
        <v>977</v>
      </c>
      <c r="CM27" s="1225">
        <f>IS!CM16</f>
        <v>967</v>
      </c>
      <c r="CN27" s="1226">
        <f>IS!CN16</f>
        <v>3900</v>
      </c>
      <c r="CO27" s="1225">
        <f>IS!CO16</f>
        <v>1017</v>
      </c>
      <c r="CP27" s="1225">
        <f>IS!CP16</f>
        <v>982</v>
      </c>
      <c r="CQ27" s="1225">
        <f>IS!CQ16</f>
        <v>1002</v>
      </c>
      <c r="CR27" s="1225">
        <f>IS!CR16</f>
        <v>1014</v>
      </c>
      <c r="CS27" s="1226">
        <f>IS!CS16</f>
        <v>4015</v>
      </c>
      <c r="CT27" s="1227">
        <f>IS!CT16</f>
        <v>1062</v>
      </c>
      <c r="CU27" s="1227">
        <f>IS!CU16</f>
        <v>1054</v>
      </c>
      <c r="CV27" s="1227">
        <f>IS!CV16</f>
        <v>1050</v>
      </c>
      <c r="CW27" s="1227">
        <f>IS!CW16</f>
        <v>1091</v>
      </c>
      <c r="CX27" s="1226">
        <f>IS!CX16</f>
        <v>4257</v>
      </c>
      <c r="CY27" s="1227">
        <f>IS!CY16</f>
        <v>1161</v>
      </c>
      <c r="CZ27" s="1227">
        <f>IS!CZ16</f>
        <v>1166</v>
      </c>
      <c r="DA27" s="1227">
        <f>IS!DA16</f>
        <v>1172</v>
      </c>
      <c r="DB27" s="1227">
        <f>IS!DB16</f>
        <v>1872</v>
      </c>
      <c r="DC27" s="1226">
        <f>IS!DC16</f>
        <v>5371</v>
      </c>
      <c r="DD27" s="1227">
        <v>1921</v>
      </c>
      <c r="DE27" s="1227">
        <v>1956</v>
      </c>
      <c r="DF27" s="1227">
        <v>2028</v>
      </c>
      <c r="DG27" s="1227">
        <v>2118</v>
      </c>
      <c r="DH27" s="1226">
        <v>8023</v>
      </c>
      <c r="DI27" s="1227">
        <f>IS!DI16</f>
        <v>2125</v>
      </c>
      <c r="DJ27" s="1227">
        <v>2081</v>
      </c>
      <c r="DK27" s="1227">
        <v>2152</v>
      </c>
      <c r="DL27" s="1227">
        <v>2313</v>
      </c>
      <c r="DM27" s="1226">
        <f>IS!DM16</f>
        <v>9011</v>
      </c>
      <c r="DN27" s="434">
        <v>2256</v>
      </c>
      <c r="DO27" s="434">
        <v>2169</v>
      </c>
      <c r="DP27" s="434">
        <v>2170</v>
      </c>
      <c r="DQ27" s="434">
        <v>2167</v>
      </c>
      <c r="DR27" s="433">
        <f>IS!DR16</f>
        <v>9356</v>
      </c>
      <c r="DS27" s="434">
        <v>2230</v>
      </c>
      <c r="DT27" s="434">
        <v>2193</v>
      </c>
      <c r="DU27" s="434">
        <v>2109</v>
      </c>
      <c r="DV27" s="434">
        <v>2119</v>
      </c>
      <c r="DW27" s="433">
        <f>IS!DW16</f>
        <v>9274</v>
      </c>
      <c r="DX27" s="432">
        <f>DX$23*DX29</f>
        <v>2062.1765349105744</v>
      </c>
      <c r="DY27" s="432">
        <f>DY$23*DY29</f>
        <v>2046.9938901586795</v>
      </c>
      <c r="DZ27" s="432">
        <f>DZ$23*DZ29</f>
        <v>1950.2487497745306</v>
      </c>
      <c r="EA27" s="432">
        <f>EA$23*EA29</f>
        <v>2067.0379308166775</v>
      </c>
      <c r="EB27" s="433">
        <f>IS!EB16</f>
        <v>8759.685587241087</v>
      </c>
      <c r="EC27" s="432">
        <f>EC$23*EC29</f>
        <v>1981.3976349539905</v>
      </c>
      <c r="ED27" s="432">
        <f>ED$23*ED29</f>
        <v>2008.699545009486</v>
      </c>
      <c r="EE27" s="432">
        <f>EE$23*EE29</f>
        <v>1946.1952130437417</v>
      </c>
      <c r="EF27" s="432">
        <f>EF$23*EF29</f>
        <v>2069.602862256615</v>
      </c>
      <c r="EG27" s="433">
        <f>IS!EG16</f>
        <v>8721.3422262259774</v>
      </c>
      <c r="EH27" s="432">
        <f>EH$23*EH29</f>
        <v>2044.4404419436491</v>
      </c>
      <c r="EI27" s="432">
        <f>EI$23*EI29</f>
        <v>2070.7738586176756</v>
      </c>
      <c r="EJ27" s="432">
        <f>EJ$23*EJ29</f>
        <v>2019.4131119975912</v>
      </c>
      <c r="EK27" s="432">
        <f>EK$23*EK29</f>
        <v>2160.3013172620003</v>
      </c>
      <c r="EL27" s="433">
        <f>IS!EL16</f>
        <v>9161.7220034267302</v>
      </c>
    </row>
    <row r="28" spans="1:142">
      <c r="A28" s="400"/>
      <c r="B28" s="400" t="s">
        <v>109</v>
      </c>
      <c r="C28" s="435"/>
      <c r="D28" s="435"/>
      <c r="E28" s="435"/>
      <c r="F28" s="435"/>
      <c r="G28" s="435"/>
      <c r="H28" s="55"/>
      <c r="I28" s="177">
        <f t="shared" ref="I28:AT28" si="40">I27/D27-1</f>
        <v>-2.301041966585482E-2</v>
      </c>
      <c r="J28" s="177">
        <f t="shared" si="40"/>
        <v>0.99523809523809548</v>
      </c>
      <c r="K28" s="177">
        <f t="shared" si="40"/>
        <v>1.0697420995277875</v>
      </c>
      <c r="L28" s="177">
        <f t="shared" si="40"/>
        <v>0.8948245982564853</v>
      </c>
      <c r="M28" s="55">
        <f t="shared" si="40"/>
        <v>0.60497439648866136</v>
      </c>
      <c r="N28" s="177">
        <f t="shared" si="40"/>
        <v>0.13241736360015932</v>
      </c>
      <c r="O28" s="177">
        <f t="shared" si="40"/>
        <v>6.7376537543601955E-2</v>
      </c>
      <c r="P28" s="177">
        <f t="shared" si="40"/>
        <v>0.59880659880659892</v>
      </c>
      <c r="Q28" s="177">
        <f t="shared" si="40"/>
        <v>1.6206478434089733</v>
      </c>
      <c r="R28" s="55">
        <f t="shared" si="40"/>
        <v>0.62898814949863269</v>
      </c>
      <c r="S28" s="177">
        <f t="shared" si="40"/>
        <v>0.69861086688939666</v>
      </c>
      <c r="T28" s="177">
        <f t="shared" si="40"/>
        <v>0.73202614379084974</v>
      </c>
      <c r="U28" s="177">
        <f t="shared" si="40"/>
        <v>0.141602634467618</v>
      </c>
      <c r="V28" s="177">
        <f t="shared" si="40"/>
        <v>-0.31323947385815321</v>
      </c>
      <c r="W28" s="55">
        <f t="shared" si="40"/>
        <v>0.13374370453273654</v>
      </c>
      <c r="X28" s="177">
        <f t="shared" si="40"/>
        <v>5.3830227743271175E-2</v>
      </c>
      <c r="Y28" s="177">
        <f t="shared" si="40"/>
        <v>3.1777557100297837E-2</v>
      </c>
      <c r="Z28" s="177">
        <f t="shared" si="40"/>
        <v>0.11538461538461542</v>
      </c>
      <c r="AA28" s="177">
        <f t="shared" si="40"/>
        <v>0.15014436958614041</v>
      </c>
      <c r="AB28" s="55">
        <f t="shared" si="40"/>
        <v>8.8845014807502398E-2</v>
      </c>
      <c r="AC28" s="177">
        <f t="shared" si="40"/>
        <v>0.14047151277013747</v>
      </c>
      <c r="AD28" s="177">
        <f t="shared" si="40"/>
        <v>6.8334937439846088E-2</v>
      </c>
      <c r="AE28" s="177">
        <f t="shared" si="40"/>
        <v>-3.3620689655172398E-2</v>
      </c>
      <c r="AF28" s="177">
        <f t="shared" si="40"/>
        <v>-6.6108786610878711E-2</v>
      </c>
      <c r="AG28" s="55">
        <f t="shared" si="40"/>
        <v>2.1758839528558394E-2</v>
      </c>
      <c r="AH28" s="177">
        <f t="shared" si="40"/>
        <v>-3.2730404823428039E-2</v>
      </c>
      <c r="AI28" s="177">
        <f t="shared" si="40"/>
        <v>1.8018018018018056E-2</v>
      </c>
      <c r="AJ28" s="177">
        <f t="shared" si="40"/>
        <v>5.0847457627118731E-2</v>
      </c>
      <c r="AK28" s="177">
        <f t="shared" si="40"/>
        <v>0.11917562724014341</v>
      </c>
      <c r="AL28" s="55">
        <f t="shared" si="40"/>
        <v>3.815439219165917E-2</v>
      </c>
      <c r="AM28" s="177">
        <f t="shared" si="40"/>
        <v>0.13089937666963491</v>
      </c>
      <c r="AN28" s="177">
        <f t="shared" si="40"/>
        <v>0.15044247787610621</v>
      </c>
      <c r="AO28" s="177">
        <f t="shared" si="40"/>
        <v>0.14685908319185059</v>
      </c>
      <c r="AP28" s="177">
        <f t="shared" si="40"/>
        <v>0.14091273018414729</v>
      </c>
      <c r="AQ28" s="55">
        <f t="shared" si="40"/>
        <v>0.14230769230769225</v>
      </c>
      <c r="AR28" s="177">
        <f t="shared" si="40"/>
        <v>0.12047244094488185</v>
      </c>
      <c r="AS28" s="177">
        <f t="shared" si="40"/>
        <v>0.11307692307692307</v>
      </c>
      <c r="AT28" s="177">
        <f t="shared" si="40"/>
        <v>7.401924500370094E-2</v>
      </c>
      <c r="AU28" s="436"/>
      <c r="AV28" s="435"/>
      <c r="AW28" s="435"/>
      <c r="AX28" s="435"/>
      <c r="AY28" s="435"/>
      <c r="AZ28" s="55"/>
      <c r="BA28" s="177">
        <f t="shared" ref="BA28:CF28" si="41">BA27/AV27-1</f>
        <v>9.1859596713965708E-2</v>
      </c>
      <c r="BB28" s="177">
        <f t="shared" si="41"/>
        <v>8.9430894308943021E-2</v>
      </c>
      <c r="BC28" s="177">
        <f t="shared" si="41"/>
        <v>3.1976744186046568E-2</v>
      </c>
      <c r="BD28" s="177">
        <f t="shared" si="41"/>
        <v>3.9143279172821233E-2</v>
      </c>
      <c r="BE28" s="55">
        <f t="shared" si="41"/>
        <v>6.2891921800073858E-2</v>
      </c>
      <c r="BF28" s="177">
        <f t="shared" si="41"/>
        <v>-0.21614227086183313</v>
      </c>
      <c r="BG28" s="177">
        <f t="shared" si="41"/>
        <v>-0.23270013568521031</v>
      </c>
      <c r="BH28" s="177">
        <f t="shared" si="41"/>
        <v>-0.24084507042253522</v>
      </c>
      <c r="BI28" s="177">
        <f t="shared" si="41"/>
        <v>-0.23525230987917556</v>
      </c>
      <c r="BJ28" s="55">
        <f t="shared" si="41"/>
        <v>-0.23112961998958881</v>
      </c>
      <c r="BK28" s="177">
        <f t="shared" si="41"/>
        <v>-1.919720767888311E-2</v>
      </c>
      <c r="BL28" s="177">
        <f t="shared" si="41"/>
        <v>-1.5030946065428874E-2</v>
      </c>
      <c r="BM28" s="177">
        <f t="shared" si="41"/>
        <v>1.9480519480519431E-2</v>
      </c>
      <c r="BN28" s="177">
        <f t="shared" si="41"/>
        <v>-2.3234200743494471E-2</v>
      </c>
      <c r="BO28" s="55">
        <f t="shared" si="41"/>
        <v>-9.7043556759196514E-3</v>
      </c>
      <c r="BP28" s="177">
        <f t="shared" si="41"/>
        <v>-4.3594306049822062E-2</v>
      </c>
      <c r="BQ28" s="177">
        <f t="shared" si="41"/>
        <v>-0.13554757630161585</v>
      </c>
      <c r="BR28" s="177">
        <f t="shared" si="41"/>
        <v>-0.13284804367606917</v>
      </c>
      <c r="BS28" s="177">
        <f t="shared" si="41"/>
        <v>-6.1845861084681264E-2</v>
      </c>
      <c r="BT28" s="55">
        <f t="shared" si="41"/>
        <v>-9.3664539653600776E-2</v>
      </c>
      <c r="BU28" s="177">
        <f t="shared" si="41"/>
        <v>-5.2093023255813997E-2</v>
      </c>
      <c r="BV28" s="177">
        <f t="shared" si="41"/>
        <v>3.1152647975077885E-2</v>
      </c>
      <c r="BW28" s="177">
        <f t="shared" si="41"/>
        <v>3.147953830010497E-2</v>
      </c>
      <c r="BX28" s="177">
        <f t="shared" si="41"/>
        <v>3.7525354969573987E-2</v>
      </c>
      <c r="BY28" s="55">
        <f t="shared" si="41"/>
        <v>1.0309278350515427E-2</v>
      </c>
      <c r="BZ28" s="177">
        <f t="shared" si="41"/>
        <v>1.6683022571148287E-2</v>
      </c>
      <c r="CA28" s="177">
        <f t="shared" si="41"/>
        <v>-2.6183282980866029E-2</v>
      </c>
      <c r="CB28" s="177">
        <f t="shared" si="41"/>
        <v>-3.153611393692779E-2</v>
      </c>
      <c r="CC28" s="177">
        <f t="shared" si="41"/>
        <v>-5.474095796676437E-2</v>
      </c>
      <c r="CD28" s="55">
        <f t="shared" si="41"/>
        <v>-2.3892483822797406E-2</v>
      </c>
      <c r="CE28" s="177">
        <f t="shared" si="41"/>
        <v>-5.8880308880308929E-2</v>
      </c>
      <c r="CF28" s="177">
        <f t="shared" si="41"/>
        <v>-1.8614270941054833E-2</v>
      </c>
      <c r="CG28" s="177">
        <f t="shared" ref="CG28:DS28" si="42">CG27/CB27-1</f>
        <v>2.1008403361344463E-3</v>
      </c>
      <c r="CH28" s="177">
        <f t="shared" si="42"/>
        <v>2.2750775594622574E-2</v>
      </c>
      <c r="CI28" s="55">
        <f t="shared" si="42"/>
        <v>-1.4023457419683805E-2</v>
      </c>
      <c r="CJ28" s="177">
        <f t="shared" si="42"/>
        <v>1.2307692307692353E-2</v>
      </c>
      <c r="CK28" s="177">
        <f t="shared" si="42"/>
        <v>2.1074815595363505E-2</v>
      </c>
      <c r="CL28" s="177">
        <f t="shared" si="42"/>
        <v>2.4109014675052443E-2</v>
      </c>
      <c r="CM28" s="177">
        <f t="shared" si="42"/>
        <v>-2.2244691607684497E-2</v>
      </c>
      <c r="CN28" s="55">
        <f t="shared" si="42"/>
        <v>8.5337470907680402E-3</v>
      </c>
      <c r="CO28" s="177">
        <f t="shared" si="42"/>
        <v>3.039513677811545E-2</v>
      </c>
      <c r="CP28" s="177">
        <f t="shared" si="42"/>
        <v>1.3415892672858698E-2</v>
      </c>
      <c r="CQ28" s="177">
        <f t="shared" si="42"/>
        <v>2.5588536335721557E-2</v>
      </c>
      <c r="CR28" s="177">
        <f t="shared" si="42"/>
        <v>4.8603929679420954E-2</v>
      </c>
      <c r="CS28" s="55">
        <f t="shared" si="42"/>
        <v>2.9487179487179382E-2</v>
      </c>
      <c r="CT28" s="177">
        <f t="shared" si="42"/>
        <v>4.4247787610619538E-2</v>
      </c>
      <c r="CU28" s="177">
        <f t="shared" si="42"/>
        <v>7.3319755600814718E-2</v>
      </c>
      <c r="CV28" s="177">
        <f t="shared" si="42"/>
        <v>4.7904191616766401E-2</v>
      </c>
      <c r="CW28" s="177">
        <f t="shared" si="42"/>
        <v>7.5936883629191376E-2</v>
      </c>
      <c r="CX28" s="55">
        <f t="shared" si="42"/>
        <v>6.02739726027397E-2</v>
      </c>
      <c r="CY28" s="177">
        <f t="shared" si="42"/>
        <v>9.3220338983050821E-2</v>
      </c>
      <c r="CZ28" s="177">
        <f t="shared" si="42"/>
        <v>0.10626185958254264</v>
      </c>
      <c r="DA28" s="177">
        <f t="shared" si="42"/>
        <v>0.11619047619047618</v>
      </c>
      <c r="DB28" s="177">
        <f t="shared" si="42"/>
        <v>0.71585701191567375</v>
      </c>
      <c r="DC28" s="55">
        <f t="shared" si="42"/>
        <v>0.26168663377965706</v>
      </c>
      <c r="DD28" s="177">
        <v>0.65460809646856166</v>
      </c>
      <c r="DE28" s="177">
        <v>0.67753001715265859</v>
      </c>
      <c r="DF28" s="177">
        <v>0.7303754266211604</v>
      </c>
      <c r="DG28" s="177">
        <v>0.13141025641025639</v>
      </c>
      <c r="DH28" s="55">
        <v>0.493762800223422</v>
      </c>
      <c r="DI28" s="177">
        <f t="shared" si="42"/>
        <v>0.10619469026548667</v>
      </c>
      <c r="DJ28" s="177">
        <f t="shared" si="42"/>
        <v>6.3905930470347538E-2</v>
      </c>
      <c r="DK28" s="177">
        <f t="shared" si="42"/>
        <v>6.1143984220907388E-2</v>
      </c>
      <c r="DL28" s="177">
        <f t="shared" si="42"/>
        <v>9.2067988668555145E-2</v>
      </c>
      <c r="DM28" s="55">
        <f>DM27/DH27-1</f>
        <v>0.12314595537828743</v>
      </c>
      <c r="DN28" s="177">
        <f t="shared" si="42"/>
        <v>6.1647058823529388E-2</v>
      </c>
      <c r="DO28" s="177">
        <f t="shared" si="42"/>
        <v>4.2287361845266602E-2</v>
      </c>
      <c r="DP28" s="177">
        <f t="shared" si="42"/>
        <v>8.3643122676579917E-3</v>
      </c>
      <c r="DQ28" s="177">
        <f t="shared" si="42"/>
        <v>-6.3121487246000862E-2</v>
      </c>
      <c r="DR28" s="55">
        <f>DR27/DM27-1</f>
        <v>3.8286538674952908E-2</v>
      </c>
      <c r="DS28" s="177">
        <f t="shared" si="42"/>
        <v>-1.1524822695035408E-2</v>
      </c>
      <c r="DT28" s="177">
        <f t="shared" ref="DT28:EG28" si="43">DT27/DO27-1</f>
        <v>1.1065006915629283E-2</v>
      </c>
      <c r="DU28" s="177">
        <f t="shared" si="43"/>
        <v>-2.8110599078341014E-2</v>
      </c>
      <c r="DV28" s="177">
        <f t="shared" si="43"/>
        <v>-2.2150438394093253E-2</v>
      </c>
      <c r="DW28" s="55">
        <f t="shared" si="43"/>
        <v>-8.7644292432663695E-3</v>
      </c>
      <c r="DX28" s="177">
        <f t="shared" si="43"/>
        <v>-7.5257159232926307E-2</v>
      </c>
      <c r="DY28" s="177">
        <f t="shared" si="43"/>
        <v>-6.6578253461614501E-2</v>
      </c>
      <c r="DZ28" s="177">
        <f t="shared" si="43"/>
        <v>-7.5273233866984146E-2</v>
      </c>
      <c r="EA28" s="177">
        <f t="shared" si="43"/>
        <v>-2.4521976962398551E-2</v>
      </c>
      <c r="EB28" s="55">
        <f t="shared" si="43"/>
        <v>-5.5457667970553515E-2</v>
      </c>
      <c r="EC28" s="177">
        <f t="shared" si="43"/>
        <v>-3.9171670605827602E-2</v>
      </c>
      <c r="ED28" s="177">
        <f t="shared" si="43"/>
        <v>-1.8707601099007154E-2</v>
      </c>
      <c r="EE28" s="177">
        <f t="shared" si="43"/>
        <v>-2.0784716468899012E-3</v>
      </c>
      <c r="EF28" s="177">
        <f t="shared" si="43"/>
        <v>1.2408729427253462E-3</v>
      </c>
      <c r="EG28" s="55">
        <f t="shared" si="43"/>
        <v>-4.37725311407966E-3</v>
      </c>
      <c r="EH28" s="177">
        <f t="shared" ref="EH28" si="44">EH27/EC27-1</f>
        <v>3.1817342403925197E-2</v>
      </c>
      <c r="EI28" s="177">
        <f t="shared" ref="EI28" si="45">EI27/ED27-1</f>
        <v>3.0902736928681174E-2</v>
      </c>
      <c r="EJ28" s="177">
        <f t="shared" ref="EJ28" si="46">EJ27/EE27-1</f>
        <v>3.7621045650061413E-2</v>
      </c>
      <c r="EK28" s="177">
        <f t="shared" ref="EK28" si="47">EK27/EF27-1</f>
        <v>4.3824086572092913E-2</v>
      </c>
      <c r="EL28" s="55">
        <f t="shared" ref="EL28" si="48">EL27/EG27-1</f>
        <v>5.0494495661056016E-2</v>
      </c>
    </row>
    <row r="29" spans="1:142" ht="11.25" customHeight="1">
      <c r="A29" s="415"/>
      <c r="B29" s="1459" t="s">
        <v>219</v>
      </c>
      <c r="C29" s="1464"/>
      <c r="D29" s="1464">
        <f t="shared" ref="D29:AT29" si="49">D27/D$23</f>
        <v>0.77549918154593522</v>
      </c>
      <c r="E29" s="1464">
        <f t="shared" si="49"/>
        <v>0.42736380713838451</v>
      </c>
      <c r="F29" s="1464">
        <f t="shared" si="49"/>
        <v>0.41680545041635125</v>
      </c>
      <c r="G29" s="1464">
        <f t="shared" si="49"/>
        <v>0.22470673702765395</v>
      </c>
      <c r="H29" s="1465">
        <f t="shared" si="49"/>
        <v>0.41199517781796263</v>
      </c>
      <c r="I29" s="1464">
        <f t="shared" si="49"/>
        <v>0.3911519588753018</v>
      </c>
      <c r="J29" s="1464">
        <f t="shared" si="49"/>
        <v>0.39733022102268584</v>
      </c>
      <c r="K29" s="1464">
        <f t="shared" si="49"/>
        <v>0.39793281653746765</v>
      </c>
      <c r="L29" s="1464">
        <f t="shared" si="49"/>
        <v>0.39210758676900093</v>
      </c>
      <c r="M29" s="1465">
        <f t="shared" si="49"/>
        <v>0.39467530131318584</v>
      </c>
      <c r="N29" s="1464">
        <f t="shared" si="49"/>
        <v>0.39531488947587939</v>
      </c>
      <c r="O29" s="1464">
        <f t="shared" si="49"/>
        <v>0.39387575367522526</v>
      </c>
      <c r="P29" s="1464">
        <f t="shared" si="49"/>
        <v>0.40726004738700877</v>
      </c>
      <c r="Q29" s="1464">
        <f t="shared" si="49"/>
        <v>0.42744532971690125</v>
      </c>
      <c r="R29" s="1465">
        <f t="shared" si="49"/>
        <v>0.41123000805430904</v>
      </c>
      <c r="S29" s="1464">
        <f t="shared" si="49"/>
        <v>0.4144144144144144</v>
      </c>
      <c r="T29" s="1464">
        <f t="shared" si="49"/>
        <v>0.41457389872375461</v>
      </c>
      <c r="U29" s="1464">
        <f t="shared" si="49"/>
        <v>0.40561622464898595</v>
      </c>
      <c r="V29" s="1464">
        <f t="shared" si="49"/>
        <v>0.40412290937378453</v>
      </c>
      <c r="W29" s="1465">
        <f t="shared" si="49"/>
        <v>0.409499747347145</v>
      </c>
      <c r="X29" s="1464">
        <f t="shared" si="49"/>
        <v>0.39874657265961616</v>
      </c>
      <c r="Y29" s="1464">
        <f t="shared" si="49"/>
        <v>0.4053843152555599</v>
      </c>
      <c r="Z29" s="1464">
        <f t="shared" si="49"/>
        <v>0.41105598866052445</v>
      </c>
      <c r="AA29" s="1464">
        <f t="shared" si="49"/>
        <v>0.40618626784500339</v>
      </c>
      <c r="AB29" s="1465">
        <f t="shared" si="49"/>
        <v>0.40551470588235294</v>
      </c>
      <c r="AC29" s="1464">
        <f t="shared" si="49"/>
        <v>0.40410720501218239</v>
      </c>
      <c r="AD29" s="1464">
        <f t="shared" si="49"/>
        <v>0.39928057553956836</v>
      </c>
      <c r="AE29" s="1464">
        <f t="shared" si="49"/>
        <v>0.39333333333333331</v>
      </c>
      <c r="AF29" s="1464">
        <f t="shared" si="49"/>
        <v>0.38337341119890073</v>
      </c>
      <c r="AG29" s="1465">
        <f t="shared" si="49"/>
        <v>0.3949535657963904</v>
      </c>
      <c r="AH29" s="1464">
        <f t="shared" si="49"/>
        <v>0.38817836156239199</v>
      </c>
      <c r="AI29" s="1464">
        <f t="shared" si="49"/>
        <v>0.3876500857632933</v>
      </c>
      <c r="AJ29" s="1464">
        <f t="shared" si="49"/>
        <v>0.38801054018445325</v>
      </c>
      <c r="AK29" s="1464">
        <f t="shared" si="49"/>
        <v>0.38921782486756001</v>
      </c>
      <c r="AL29" s="1465">
        <f t="shared" si="49"/>
        <v>0.38828507425537212</v>
      </c>
      <c r="AM29" s="1464">
        <f t="shared" si="49"/>
        <v>0.3851986654534425</v>
      </c>
      <c r="AN29" s="1464">
        <f t="shared" si="49"/>
        <v>0.38302887448438422</v>
      </c>
      <c r="AO29" s="1464">
        <f t="shared" si="49"/>
        <v>0.38777267508610791</v>
      </c>
      <c r="AP29" s="1464">
        <f t="shared" si="49"/>
        <v>0.3812199036918138</v>
      </c>
      <c r="AQ29" s="1465">
        <f t="shared" si="49"/>
        <v>0.38424495076547116</v>
      </c>
      <c r="AR29" s="1464">
        <f t="shared" si="49"/>
        <v>0.38428301377261681</v>
      </c>
      <c r="AS29" s="1464">
        <f t="shared" si="49"/>
        <v>0.38300688194812071</v>
      </c>
      <c r="AT29" s="1464">
        <f t="shared" si="49"/>
        <v>0.39365165491047205</v>
      </c>
      <c r="AU29" s="1409"/>
      <c r="AV29" s="1466">
        <f t="shared" ref="AV29:CA29" si="50">AV27/AV$23</f>
        <v>0.39674074074074073</v>
      </c>
      <c r="AW29" s="1466">
        <f t="shared" si="50"/>
        <v>0.39446064139941689</v>
      </c>
      <c r="AX29" s="1466">
        <f t="shared" si="50"/>
        <v>0.39079806873047429</v>
      </c>
      <c r="AY29" s="1466">
        <f t="shared" si="50"/>
        <v>0.38763240767248786</v>
      </c>
      <c r="AZ29" s="1463">
        <f t="shared" si="50"/>
        <v>0.39235834720312612</v>
      </c>
      <c r="BA29" s="1464">
        <f t="shared" si="50"/>
        <v>0.42352259559675548</v>
      </c>
      <c r="BB29" s="1464">
        <f t="shared" si="50"/>
        <v>0.43622373483279075</v>
      </c>
      <c r="BC29" s="1464">
        <f t="shared" si="50"/>
        <v>0.43069457082195933</v>
      </c>
      <c r="BD29" s="1464">
        <f t="shared" si="50"/>
        <v>0.44231373781829614</v>
      </c>
      <c r="BE29" s="1465">
        <f t="shared" si="50"/>
        <v>0.4330152528364265</v>
      </c>
      <c r="BF29" s="1464">
        <f t="shared" si="50"/>
        <v>0.42937429748969652</v>
      </c>
      <c r="BG29" s="1464">
        <f t="shared" si="50"/>
        <v>0.44007782101167314</v>
      </c>
      <c r="BH29" s="1464">
        <f t="shared" si="50"/>
        <v>0.44180327868852459</v>
      </c>
      <c r="BI29" s="1464">
        <f t="shared" si="50"/>
        <v>0.44610281923714762</v>
      </c>
      <c r="BJ29" s="1465">
        <f t="shared" si="50"/>
        <v>0.43910415221484489</v>
      </c>
      <c r="BK29" s="1464">
        <f t="shared" si="50"/>
        <v>0.44942023190723712</v>
      </c>
      <c r="BL29" s="1464">
        <f t="shared" si="50"/>
        <v>0.46033057851239667</v>
      </c>
      <c r="BM29" s="1464">
        <f t="shared" si="50"/>
        <v>0.45906432748538012</v>
      </c>
      <c r="BN29" s="1464">
        <f t="shared" si="50"/>
        <v>0.45715528490648105</v>
      </c>
      <c r="BO29" s="1465">
        <f t="shared" si="50"/>
        <v>0.45641772415227794</v>
      </c>
      <c r="BP29" s="1464">
        <f t="shared" si="50"/>
        <v>0.44531897265948633</v>
      </c>
      <c r="BQ29" s="1464">
        <f t="shared" si="50"/>
        <v>0.43872437357630978</v>
      </c>
      <c r="BR29" s="1464">
        <f t="shared" si="50"/>
        <v>0.45016532829475675</v>
      </c>
      <c r="BS29" s="1464">
        <f t="shared" si="50"/>
        <v>0.45250114731528224</v>
      </c>
      <c r="BT29" s="1465">
        <f t="shared" si="50"/>
        <v>0.44660303200449186</v>
      </c>
      <c r="BU29" s="1464">
        <f t="shared" si="50"/>
        <v>0.44712593242650284</v>
      </c>
      <c r="BV29" s="1464">
        <f t="shared" si="50"/>
        <v>0.44569120287253144</v>
      </c>
      <c r="BW29" s="1464">
        <f t="shared" si="50"/>
        <v>0.44439421338155516</v>
      </c>
      <c r="BX29" s="1464">
        <f t="shared" si="50"/>
        <v>0.45446468236339405</v>
      </c>
      <c r="BY29" s="1465">
        <f t="shared" si="50"/>
        <v>0.44793756967670012</v>
      </c>
      <c r="BZ29" s="1464">
        <f t="shared" si="50"/>
        <v>0.43694643610291017</v>
      </c>
      <c r="CA29" s="1464">
        <f t="shared" si="50"/>
        <v>0.44276556776556775</v>
      </c>
      <c r="CB29" s="1464">
        <f t="shared" ref="CB29:DC29" si="51">CB27/CB$23</f>
        <v>0.44114921223354958</v>
      </c>
      <c r="CC29" s="1464">
        <f t="shared" si="51"/>
        <v>0.4405466970387244</v>
      </c>
      <c r="CD29" s="1465">
        <f t="shared" si="51"/>
        <v>0.44027840143691066</v>
      </c>
      <c r="CE29" s="1464">
        <f t="shared" si="51"/>
        <v>0.42781921895568231</v>
      </c>
      <c r="CF29" s="1464">
        <f t="shared" si="51"/>
        <v>0.42575145805293851</v>
      </c>
      <c r="CG29" s="1464">
        <f t="shared" si="51"/>
        <v>0.4217506631299735</v>
      </c>
      <c r="CH29" s="1464">
        <f t="shared" si="51"/>
        <v>0.43741707209199471</v>
      </c>
      <c r="CI29" s="1465">
        <f t="shared" si="51"/>
        <v>0.42819178385560847</v>
      </c>
      <c r="CJ29" s="1464">
        <f t="shared" si="51"/>
        <v>0.42197520307823855</v>
      </c>
      <c r="CK29" s="1464">
        <f t="shared" si="51"/>
        <v>0.42075553625705603</v>
      </c>
      <c r="CL29" s="1464">
        <f t="shared" si="51"/>
        <v>0.43191865605658708</v>
      </c>
      <c r="CM29" s="1464">
        <f t="shared" si="51"/>
        <v>0.42025206431986095</v>
      </c>
      <c r="CN29" s="1465">
        <f t="shared" si="51"/>
        <v>0.42368278109722979</v>
      </c>
      <c r="CO29" s="1464">
        <f t="shared" si="51"/>
        <v>0.41869081926718815</v>
      </c>
      <c r="CP29" s="1464">
        <f t="shared" si="51"/>
        <v>0.42695652173913046</v>
      </c>
      <c r="CQ29" s="1464">
        <f t="shared" si="51"/>
        <v>0.43774574049803405</v>
      </c>
      <c r="CR29" s="1464">
        <f t="shared" si="51"/>
        <v>0.43093922651933703</v>
      </c>
      <c r="CS29" s="1465">
        <f t="shared" si="51"/>
        <v>0.42844947177462384</v>
      </c>
      <c r="CT29" s="1464">
        <f t="shared" si="51"/>
        <v>0.42633480529907669</v>
      </c>
      <c r="CU29" s="1464">
        <f t="shared" si="51"/>
        <v>0.42932790224032585</v>
      </c>
      <c r="CV29" s="1464">
        <f t="shared" si="51"/>
        <v>0.43263288009888751</v>
      </c>
      <c r="CW29" s="1464">
        <f t="shared" si="51"/>
        <v>0.43105491900434612</v>
      </c>
      <c r="CX29" s="1465">
        <f t="shared" si="51"/>
        <v>0.42982633279483035</v>
      </c>
      <c r="CY29" s="1464">
        <f t="shared" si="51"/>
        <v>0.44757131842713954</v>
      </c>
      <c r="CZ29" s="1464">
        <f t="shared" si="51"/>
        <v>0.44351464435146443</v>
      </c>
      <c r="DA29" s="1464">
        <f t="shared" si="51"/>
        <v>0.44766997708174178</v>
      </c>
      <c r="DB29" s="1464">
        <f t="shared" si="51"/>
        <v>0.44223954642097801</v>
      </c>
      <c r="DC29" s="1465">
        <f t="shared" si="51"/>
        <v>0.44484015239357294</v>
      </c>
      <c r="DD29" s="1464">
        <v>0.4461216906641895</v>
      </c>
      <c r="DE29" s="1464">
        <v>0.44841815680880331</v>
      </c>
      <c r="DF29" s="1464">
        <v>0.45799457994579945</v>
      </c>
      <c r="DG29" s="1464">
        <v>0.43905472636815923</v>
      </c>
      <c r="DH29" s="1465">
        <v>0.44771205357142857</v>
      </c>
      <c r="DI29" s="1464">
        <f t="shared" ref="DI29:DU29" si="52">DI27/DI$23</f>
        <v>0.44353997077854312</v>
      </c>
      <c r="DJ29" s="1464">
        <f t="shared" si="52"/>
        <v>0.42960363336085877</v>
      </c>
      <c r="DK29" s="1464">
        <f t="shared" si="52"/>
        <v>0.42504444005530317</v>
      </c>
      <c r="DL29" s="1464">
        <f t="shared" si="52"/>
        <v>0.42698910836256232</v>
      </c>
      <c r="DM29" s="1465">
        <f t="shared" si="52"/>
        <v>0.44806324896822636</v>
      </c>
      <c r="DN29" s="1464">
        <f t="shared" si="52"/>
        <v>0.41623616236162364</v>
      </c>
      <c r="DO29" s="1464">
        <f t="shared" si="52"/>
        <v>0.41551724137931034</v>
      </c>
      <c r="DP29" s="1464">
        <f t="shared" si="52"/>
        <v>0.4160276073619632</v>
      </c>
      <c r="DQ29" s="1464">
        <f t="shared" si="52"/>
        <v>0.41561181434599154</v>
      </c>
      <c r="DR29" s="1465">
        <f t="shared" si="52"/>
        <v>0.44404366397721878</v>
      </c>
      <c r="DS29" s="1464">
        <f t="shared" si="52"/>
        <v>0.42917628945342573</v>
      </c>
      <c r="DT29" s="1464">
        <f t="shared" si="52"/>
        <v>0.42393195437850378</v>
      </c>
      <c r="DU29" s="1464">
        <f t="shared" si="52"/>
        <v>0.42683667273831211</v>
      </c>
      <c r="DV29" s="1464">
        <f t="shared" ref="DV29" si="53">DV27/DV$23</f>
        <v>0.39958514048651705</v>
      </c>
      <c r="DW29" s="1465">
        <f>DW27/DW$23</f>
        <v>0.449910250812594</v>
      </c>
      <c r="DX29" s="1467">
        <f>CHOOSE(Scenarios!$C$37,Scenarios!AX45,Scenarios!AX46,Scenarios!AX47)</f>
        <v>0.41539999999999999</v>
      </c>
      <c r="DY29" s="1467">
        <f>CHOOSE(Scenarios!$C$37,Scenarios!AY45,Scenarios!AY46,Scenarios!AY47)</f>
        <v>0.41349999999999998</v>
      </c>
      <c r="DZ29" s="1467">
        <f>CHOOSE(Scenarios!$C$37,Scenarios!AZ45,Scenarios!AZ46,Scenarios!AZ47)</f>
        <v>0.41099999999999998</v>
      </c>
      <c r="EA29" s="1467">
        <f>CHOOSE(Scenarios!$C$37,Scenarios!BA45,Scenarios!BA46,Scenarios!BA47)</f>
        <v>0.41499999999999998</v>
      </c>
      <c r="EB29" s="1465">
        <f>EB27/EB$23</f>
        <v>0.44599731892153027</v>
      </c>
      <c r="EC29" s="1467">
        <f>CHOOSE(Scenarios!$C$37,Scenarios!BC45,Scenarios!BC46,Scenarios!BC47)</f>
        <v>0.40500000000000003</v>
      </c>
      <c r="ED29" s="1467">
        <f>CHOOSE(Scenarios!$C$37,Scenarios!BD45,Scenarios!BD46,Scenarios!BD47)</f>
        <v>0.40500000000000003</v>
      </c>
      <c r="EE29" s="1467">
        <f>CHOOSE(Scenarios!$C$37,Scenarios!BE45,Scenarios!BE46,Scenarios!BE47)</f>
        <v>0.40200000000000002</v>
      </c>
      <c r="EF29" s="1467">
        <f>CHOOSE(Scenarios!$C$37,Scenarios!BF45,Scenarios!BF46,Scenarios!BF47)</f>
        <v>0.4</v>
      </c>
      <c r="EG29" s="1465">
        <f>EG27/EG$23</f>
        <v>0.43897796138786604</v>
      </c>
      <c r="EH29" s="1467">
        <f>CHOOSE(Scenarios!$C$37,Scenarios!BH45,Scenarios!BH46,Scenarios!BH47)</f>
        <v>0.4</v>
      </c>
      <c r="EI29" s="1467">
        <f>CHOOSE(Scenarios!$C$37,Scenarios!BI45,Scenarios!BI46,Scenarios!BI47)</f>
        <v>0.4</v>
      </c>
      <c r="EJ29" s="1467">
        <f>CHOOSE(Scenarios!$C$37,Scenarios!BJ45,Scenarios!BJ46,Scenarios!BJ47)</f>
        <v>0.4</v>
      </c>
      <c r="EK29" s="1467">
        <f>CHOOSE(Scenarios!$C$37,Scenarios!BK45,Scenarios!BK46,Scenarios!BK47)</f>
        <v>0.4</v>
      </c>
      <c r="EL29" s="1465">
        <f>EL27/EL$23</f>
        <v>0.44179870867314985</v>
      </c>
    </row>
    <row r="30" spans="1:142">
      <c r="A30" s="400"/>
      <c r="B30" s="400" t="s">
        <v>220</v>
      </c>
      <c r="C30" s="177"/>
      <c r="D30" s="177">
        <f t="shared" ref="D30:AT30" si="54">D27/D$25</f>
        <v>0.80730873008144888</v>
      </c>
      <c r="E30" s="177">
        <f t="shared" si="54"/>
        <v>0.44167610419026054</v>
      </c>
      <c r="F30" s="177">
        <f t="shared" si="54"/>
        <v>0.43123433583959903</v>
      </c>
      <c r="G30" s="177">
        <f t="shared" si="54"/>
        <v>0.23658662723970364</v>
      </c>
      <c r="H30" s="55">
        <f t="shared" si="54"/>
        <v>0.42973907576233888</v>
      </c>
      <c r="I30" s="177">
        <f t="shared" si="54"/>
        <v>0.41278974190366591</v>
      </c>
      <c r="J30" s="177">
        <f t="shared" si="54"/>
        <v>0.41861358745773136</v>
      </c>
      <c r="K30" s="177">
        <f t="shared" si="54"/>
        <v>0.41897058823529409</v>
      </c>
      <c r="L30" s="177">
        <f t="shared" si="54"/>
        <v>0.41496549741230593</v>
      </c>
      <c r="M30" s="55">
        <f t="shared" si="54"/>
        <v>0.41639779844372748</v>
      </c>
      <c r="N30" s="177">
        <f t="shared" si="54"/>
        <v>0.41690491899420867</v>
      </c>
      <c r="O30" s="177">
        <f t="shared" si="54"/>
        <v>0.41605839416058399</v>
      </c>
      <c r="P30" s="177">
        <f t="shared" si="54"/>
        <v>0.43199924127465855</v>
      </c>
      <c r="Q30" s="177">
        <f t="shared" si="54"/>
        <v>0.45477500225448647</v>
      </c>
      <c r="R30" s="55">
        <f t="shared" si="54"/>
        <v>0.43601317555203123</v>
      </c>
      <c r="S30" s="177">
        <f t="shared" si="54"/>
        <v>0.44251030691708659</v>
      </c>
      <c r="T30" s="177">
        <f t="shared" si="54"/>
        <v>0.43916266899258616</v>
      </c>
      <c r="U30" s="177">
        <f t="shared" si="54"/>
        <v>0.43315285297792588</v>
      </c>
      <c r="V30" s="177">
        <f t="shared" si="54"/>
        <v>0.42757201646090537</v>
      </c>
      <c r="W30" s="55">
        <f t="shared" si="54"/>
        <v>0.43537122595895561</v>
      </c>
      <c r="X30" s="177">
        <f t="shared" si="54"/>
        <v>0.42522974101921468</v>
      </c>
      <c r="Y30" s="177">
        <f t="shared" si="54"/>
        <v>0.43673812526271544</v>
      </c>
      <c r="Z30" s="177">
        <f t="shared" si="54"/>
        <v>0.44072948328267475</v>
      </c>
      <c r="AA30" s="177">
        <f t="shared" si="54"/>
        <v>0.43740849194729137</v>
      </c>
      <c r="AB30" s="55">
        <f t="shared" si="54"/>
        <v>0.43523724967939231</v>
      </c>
      <c r="AC30" s="177">
        <f t="shared" si="54"/>
        <v>0.43811320754716981</v>
      </c>
      <c r="AD30" s="177">
        <f t="shared" si="54"/>
        <v>0.43190661478599224</v>
      </c>
      <c r="AE30" s="177">
        <f t="shared" si="54"/>
        <v>0.42526555386949927</v>
      </c>
      <c r="AF30" s="177">
        <f t="shared" si="54"/>
        <v>0.41226449944588106</v>
      </c>
      <c r="AG30" s="55">
        <f t="shared" si="54"/>
        <v>0.42677269715043076</v>
      </c>
      <c r="AH30" s="177">
        <f t="shared" si="54"/>
        <v>0.41902985074626864</v>
      </c>
      <c r="AI30" s="177">
        <f t="shared" si="54"/>
        <v>0.41712809154669622</v>
      </c>
      <c r="AJ30" s="177">
        <f t="shared" si="54"/>
        <v>0.41817536386226484</v>
      </c>
      <c r="AK30" s="177">
        <f t="shared" si="54"/>
        <v>0.41661107404936626</v>
      </c>
      <c r="AL30" s="55">
        <f t="shared" si="54"/>
        <v>0.41770796144234201</v>
      </c>
      <c r="AM30" s="177">
        <f t="shared" si="54"/>
        <v>0.41625696492953129</v>
      </c>
      <c r="AN30" s="177">
        <f t="shared" si="54"/>
        <v>0.41454081632653061</v>
      </c>
      <c r="AO30" s="177">
        <f t="shared" si="54"/>
        <v>0.41594827586206895</v>
      </c>
      <c r="AP30" s="177">
        <f t="shared" si="54"/>
        <v>0.40807560137457044</v>
      </c>
      <c r="AQ30" s="55">
        <f t="shared" si="54"/>
        <v>0.413553028544906</v>
      </c>
      <c r="AR30" s="177">
        <f t="shared" si="54"/>
        <v>0.4153531815528313</v>
      </c>
      <c r="AS30" s="177">
        <f t="shared" si="54"/>
        <v>0.41496988815600805</v>
      </c>
      <c r="AT30" s="177">
        <f t="shared" si="54"/>
        <v>0.42903607332939087</v>
      </c>
      <c r="AU30" s="436"/>
      <c r="AV30" s="177">
        <f t="shared" ref="AV30:CA30" si="55">AV27/AV$25</f>
        <v>0.42507936507936506</v>
      </c>
      <c r="AW30" s="177">
        <f t="shared" si="55"/>
        <v>0.42136406104017438</v>
      </c>
      <c r="AX30" s="177">
        <f t="shared" si="55"/>
        <v>0.42195645507513035</v>
      </c>
      <c r="AY30" s="177">
        <f t="shared" si="55"/>
        <v>0.420235878336437</v>
      </c>
      <c r="AZ30" s="55">
        <f t="shared" si="55"/>
        <v>0.42214263469324198</v>
      </c>
      <c r="BA30" s="177">
        <f t="shared" si="55"/>
        <v>0.46003775959723098</v>
      </c>
      <c r="BB30" s="177">
        <f t="shared" si="55"/>
        <v>0.47686832740213525</v>
      </c>
      <c r="BC30" s="177">
        <f t="shared" si="55"/>
        <v>0.5117117117117117</v>
      </c>
      <c r="BD30" s="177">
        <f t="shared" si="55"/>
        <v>0.49946751863684768</v>
      </c>
      <c r="BE30" s="55">
        <f t="shared" si="55"/>
        <v>0.48587808785094005</v>
      </c>
      <c r="BF30" s="177">
        <f t="shared" si="55"/>
        <v>0.48232323232323232</v>
      </c>
      <c r="BG30" s="177">
        <f t="shared" si="55"/>
        <v>0.54611298889425397</v>
      </c>
      <c r="BH30" s="177">
        <f t="shared" si="55"/>
        <v>0.49291266575217191</v>
      </c>
      <c r="BI30" s="177">
        <f t="shared" si="55"/>
        <v>0.48534055029318901</v>
      </c>
      <c r="BJ30" s="55">
        <f t="shared" si="55"/>
        <v>0.50062139871200995</v>
      </c>
      <c r="BK30" s="177">
        <f t="shared" si="55"/>
        <v>0.48157669237360756</v>
      </c>
      <c r="BL30" s="177">
        <f t="shared" si="55"/>
        <v>0.4913983237759153</v>
      </c>
      <c r="BM30" s="177">
        <f t="shared" si="55"/>
        <v>0.50228519195612431</v>
      </c>
      <c r="BN30" s="177">
        <f t="shared" si="55"/>
        <v>0.49412317818523743</v>
      </c>
      <c r="BO30" s="55">
        <f t="shared" si="55"/>
        <v>0.4921489457155675</v>
      </c>
      <c r="BP30" s="177">
        <f t="shared" si="55"/>
        <v>0.47231985940246046</v>
      </c>
      <c r="BQ30" s="177">
        <f t="shared" si="55"/>
        <v>0.46589259796806964</v>
      </c>
      <c r="BR30" s="177">
        <f t="shared" si="55"/>
        <v>0.48622448979591837</v>
      </c>
      <c r="BS30" s="177">
        <f t="shared" si="55"/>
        <v>0.47980535279805353</v>
      </c>
      <c r="BT30" s="55">
        <f t="shared" si="55"/>
        <v>0.47583153864560901</v>
      </c>
      <c r="BU30" s="177">
        <f t="shared" si="55"/>
        <v>0.47661365762394764</v>
      </c>
      <c r="BV30" s="177">
        <f t="shared" si="55"/>
        <v>0.47809340394800193</v>
      </c>
      <c r="BW30" s="177">
        <f t="shared" si="55"/>
        <v>0.47881149537262541</v>
      </c>
      <c r="BX30" s="177">
        <f t="shared" si="55"/>
        <v>0.48323098724610297</v>
      </c>
      <c r="BY30" s="55">
        <f t="shared" si="55"/>
        <v>0.47918902802623731</v>
      </c>
      <c r="BZ30" s="177">
        <f t="shared" si="55"/>
        <v>0.46624662466246625</v>
      </c>
      <c r="CA30" s="177">
        <f t="shared" si="55"/>
        <v>0.47635467980295565</v>
      </c>
      <c r="CB30" s="177">
        <f t="shared" ref="CB30:DC30" si="56">CB27/CB$25</f>
        <v>0.47791164658634538</v>
      </c>
      <c r="CC30" s="177">
        <f t="shared" si="56"/>
        <v>0.47658945293247906</v>
      </c>
      <c r="CD30" s="55">
        <f t="shared" si="56"/>
        <v>0.47407228333131873</v>
      </c>
      <c r="CE30" s="177">
        <f t="shared" si="56"/>
        <v>0.45925577013659913</v>
      </c>
      <c r="CF30" s="177">
        <f t="shared" si="56"/>
        <v>0.46023278370514065</v>
      </c>
      <c r="CG30" s="177">
        <f t="shared" si="56"/>
        <v>0.46109231512808119</v>
      </c>
      <c r="CH30" s="177">
        <f t="shared" si="56"/>
        <v>0.47548076923076921</v>
      </c>
      <c r="CI30" s="55">
        <f t="shared" si="56"/>
        <v>0.4640028797696184</v>
      </c>
      <c r="CJ30" s="177">
        <f t="shared" si="56"/>
        <v>0.45906976744186045</v>
      </c>
      <c r="CK30" s="177">
        <f t="shared" si="56"/>
        <v>0.45492957746478874</v>
      </c>
      <c r="CL30" s="177">
        <f t="shared" si="56"/>
        <v>0.47084337349397593</v>
      </c>
      <c r="CM30" s="177">
        <f t="shared" si="56"/>
        <v>0.45829383886255926</v>
      </c>
      <c r="CN30" s="55">
        <f t="shared" si="56"/>
        <v>0.4607206142941524</v>
      </c>
      <c r="CO30" s="177">
        <f t="shared" si="56"/>
        <v>0.45200000000000001</v>
      </c>
      <c r="CP30" s="177">
        <f t="shared" si="56"/>
        <v>0.46060037523452158</v>
      </c>
      <c r="CQ30" s="177">
        <f t="shared" si="56"/>
        <v>0.47714285714285715</v>
      </c>
      <c r="CR30" s="177">
        <f t="shared" si="56"/>
        <v>0.46685082872928174</v>
      </c>
      <c r="CS30" s="55">
        <f t="shared" si="56"/>
        <v>0.4639473076034204</v>
      </c>
      <c r="CT30" s="177">
        <f t="shared" si="56"/>
        <v>0.46133796698523022</v>
      </c>
      <c r="CU30" s="177">
        <f t="shared" si="56"/>
        <v>0.4653421633554084</v>
      </c>
      <c r="CV30" s="177">
        <f t="shared" si="56"/>
        <v>0.47276001800990547</v>
      </c>
      <c r="CW30" s="177">
        <f t="shared" si="56"/>
        <v>0.46803946803946805</v>
      </c>
      <c r="CX30" s="55">
        <f t="shared" si="56"/>
        <v>0.46682750301568154</v>
      </c>
      <c r="CY30" s="177">
        <f t="shared" si="56"/>
        <v>0.4863845831587767</v>
      </c>
      <c r="CZ30" s="177">
        <f t="shared" si="56"/>
        <v>0.48142031379025596</v>
      </c>
      <c r="DA30" s="177">
        <f t="shared" si="56"/>
        <v>0.48671096345514953</v>
      </c>
      <c r="DB30" s="177">
        <f t="shared" si="56"/>
        <v>0.48185328185328186</v>
      </c>
      <c r="DC30" s="55">
        <f t="shared" si="56"/>
        <v>0.4837867050981805</v>
      </c>
      <c r="DD30" s="177">
        <v>0.48930208863983699</v>
      </c>
      <c r="DE30" s="177">
        <v>0.48391885205343887</v>
      </c>
      <c r="DF30" s="177">
        <v>0.48528356066044509</v>
      </c>
      <c r="DG30" s="177">
        <v>0.4740376007162041</v>
      </c>
      <c r="DH30" s="55">
        <v>0.48287691844718628</v>
      </c>
      <c r="DI30" s="177">
        <f t="shared" ref="DI30:EG30" si="57">DI27/DI$25</f>
        <v>0.4803345388788427</v>
      </c>
      <c r="DJ30" s="177">
        <f t="shared" si="57"/>
        <v>0.46326803205699019</v>
      </c>
      <c r="DK30" s="177">
        <f t="shared" si="57"/>
        <v>0.45865302642796246</v>
      </c>
      <c r="DL30" s="177">
        <f t="shared" si="57"/>
        <v>0.46020692399522484</v>
      </c>
      <c r="DM30" s="55">
        <f t="shared" si="57"/>
        <v>0.48357840506600835</v>
      </c>
      <c r="DN30" s="177">
        <f t="shared" si="57"/>
        <v>0.44726407613005553</v>
      </c>
      <c r="DO30" s="177">
        <f t="shared" si="57"/>
        <v>0.44556285949055052</v>
      </c>
      <c r="DP30" s="177">
        <f t="shared" si="57"/>
        <v>0.44751495153639925</v>
      </c>
      <c r="DQ30" s="177">
        <f t="shared" si="57"/>
        <v>0.44588477366255141</v>
      </c>
      <c r="DR30" s="55">
        <f t="shared" si="57"/>
        <v>0.47683604301513682</v>
      </c>
      <c r="DS30" s="177">
        <f t="shared" si="57"/>
        <v>0.46332848535217119</v>
      </c>
      <c r="DT30" s="177">
        <f t="shared" si="57"/>
        <v>0.45668471470220739</v>
      </c>
      <c r="DU30" s="177">
        <f t="shared" si="57"/>
        <v>0.45987788922808548</v>
      </c>
      <c r="DV30" s="177">
        <f t="shared" ref="DV30" si="58">DV27/DV$25</f>
        <v>0.42567296102852553</v>
      </c>
      <c r="DW30" s="55">
        <f t="shared" si="57"/>
        <v>0.48354971583502787</v>
      </c>
      <c r="DX30" s="177">
        <f t="shared" si="57"/>
        <v>0.44975740074331655</v>
      </c>
      <c r="DY30" s="177">
        <f t="shared" si="57"/>
        <v>0.44773103135405662</v>
      </c>
      <c r="DZ30" s="177">
        <f t="shared" si="57"/>
        <v>0.44504656255420244</v>
      </c>
      <c r="EA30" s="177">
        <f t="shared" si="57"/>
        <v>0.44925416073172825</v>
      </c>
      <c r="EB30" s="55">
        <f t="shared" si="57"/>
        <v>0.48288855766562394</v>
      </c>
      <c r="EC30" s="177">
        <f t="shared" si="57"/>
        <v>0.4379460388917405</v>
      </c>
      <c r="ED30" s="177">
        <f t="shared" si="57"/>
        <v>0.43796077323730587</v>
      </c>
      <c r="EE30" s="177">
        <f t="shared" si="57"/>
        <v>0.43472118410383642</v>
      </c>
      <c r="EF30" s="177">
        <f t="shared" si="57"/>
        <v>0.432657156643588</v>
      </c>
      <c r="EG30" s="55">
        <f t="shared" si="57"/>
        <v>0.47473081999621602</v>
      </c>
      <c r="EH30" s="177">
        <f t="shared" ref="EH30:EL30" si="59">EH27/EH$25</f>
        <v>0.43198218605961097</v>
      </c>
      <c r="EI30" s="177">
        <f t="shared" si="59"/>
        <v>0.43199778996309685</v>
      </c>
      <c r="EJ30" s="177">
        <f t="shared" si="59"/>
        <v>0.43200407248727324</v>
      </c>
      <c r="EK30" s="177">
        <f t="shared" si="59"/>
        <v>0.43211408317266847</v>
      </c>
      <c r="EL30" s="55">
        <f t="shared" si="59"/>
        <v>0.47717105064428855</v>
      </c>
    </row>
    <row r="31" spans="1:142">
      <c r="A31" s="437"/>
      <c r="B31" s="437" t="s">
        <v>221</v>
      </c>
      <c r="C31" s="438"/>
      <c r="D31" s="438" t="str">
        <f>IF(ISERROR(1000000*D27/D15),"nm",1000000*D27/D15)</f>
        <v>nm</v>
      </c>
      <c r="E31" s="439">
        <f t="shared" ref="E31:AT31" si="60">1000000*E27/E15</f>
        <v>778.19458855455343</v>
      </c>
      <c r="F31" s="439">
        <f t="shared" si="60"/>
        <v>733.87696564666749</v>
      </c>
      <c r="G31" s="439">
        <f t="shared" si="60"/>
        <v>239.60395260957952</v>
      </c>
      <c r="H31" s="440">
        <f t="shared" si="60"/>
        <v>684.35270346852178</v>
      </c>
      <c r="I31" s="439">
        <f t="shared" si="60"/>
        <v>583.30574768716133</v>
      </c>
      <c r="J31" s="439">
        <f t="shared" si="60"/>
        <v>608.61083208843911</v>
      </c>
      <c r="K31" s="439">
        <f t="shared" si="60"/>
        <v>538.49970466627292</v>
      </c>
      <c r="L31" s="439">
        <f t="shared" si="60"/>
        <v>587.81303615157083</v>
      </c>
      <c r="M31" s="440">
        <f t="shared" si="60"/>
        <v>577.94880332460173</v>
      </c>
      <c r="N31" s="439">
        <f t="shared" si="60"/>
        <v>595.13718398707374</v>
      </c>
      <c r="O31" s="439">
        <f t="shared" si="60"/>
        <v>600.19820787050423</v>
      </c>
      <c r="P31" s="439">
        <f t="shared" si="60"/>
        <v>579.54787631646752</v>
      </c>
      <c r="Q31" s="439">
        <f t="shared" si="60"/>
        <v>651.80920244817275</v>
      </c>
      <c r="R31" s="440">
        <f t="shared" si="60"/>
        <v>614.37954112689999</v>
      </c>
      <c r="S31" s="439">
        <f t="shared" si="60"/>
        <v>649.78744013345533</v>
      </c>
      <c r="T31" s="439">
        <f t="shared" si="60"/>
        <v>606.09015275036734</v>
      </c>
      <c r="U31" s="439">
        <f t="shared" si="60"/>
        <v>601.70873710014575</v>
      </c>
      <c r="V31" s="439">
        <f t="shared" si="60"/>
        <v>618.08263509031804</v>
      </c>
      <c r="W31" s="440">
        <f t="shared" si="60"/>
        <v>617.91605826893533</v>
      </c>
      <c r="X31" s="439">
        <f t="shared" si="60"/>
        <v>626.83146546177102</v>
      </c>
      <c r="Y31" s="439">
        <f t="shared" si="60"/>
        <v>634.30587462477354</v>
      </c>
      <c r="Z31" s="439">
        <f t="shared" si="60"/>
        <v>632.91760831348188</v>
      </c>
      <c r="AA31" s="439">
        <f t="shared" si="60"/>
        <v>628.20509450675388</v>
      </c>
      <c r="AB31" s="440">
        <f t="shared" si="60"/>
        <v>630.5488333060124</v>
      </c>
      <c r="AC31" s="439">
        <f t="shared" si="60"/>
        <v>649.43201269105384</v>
      </c>
      <c r="AD31" s="439">
        <f t="shared" si="60"/>
        <v>654.7845876685775</v>
      </c>
      <c r="AE31" s="439">
        <f t="shared" si="60"/>
        <v>633.06508541578432</v>
      </c>
      <c r="AF31" s="439">
        <f t="shared" si="60"/>
        <v>648.22441110903299</v>
      </c>
      <c r="AG31" s="440">
        <f t="shared" si="60"/>
        <v>646.27989080335692</v>
      </c>
      <c r="AH31" s="439">
        <f t="shared" si="60"/>
        <v>691.48500561254298</v>
      </c>
      <c r="AI31" s="439">
        <f t="shared" si="60"/>
        <v>668.39463438813505</v>
      </c>
      <c r="AJ31" s="439">
        <f t="shared" si="60"/>
        <v>671.16273531290256</v>
      </c>
      <c r="AK31" s="439">
        <f t="shared" si="60"/>
        <v>661.99647323896488</v>
      </c>
      <c r="AL31" s="440">
        <f t="shared" si="60"/>
        <v>672.74833074320429</v>
      </c>
      <c r="AM31" s="439">
        <f t="shared" si="60"/>
        <v>698.97009233560027</v>
      </c>
      <c r="AN31" s="439">
        <f t="shared" si="60"/>
        <v>715.79281211870273</v>
      </c>
      <c r="AO31" s="439">
        <f t="shared" si="60"/>
        <v>708.08760789032874</v>
      </c>
      <c r="AP31" s="439">
        <f t="shared" si="60"/>
        <v>721.4375288258592</v>
      </c>
      <c r="AQ31" s="440">
        <f t="shared" si="60"/>
        <v>711.25363975335756</v>
      </c>
      <c r="AR31" s="439">
        <f t="shared" si="60"/>
        <v>750.7709515481024</v>
      </c>
      <c r="AS31" s="439">
        <f t="shared" si="60"/>
        <v>764.96735011503586</v>
      </c>
      <c r="AT31" s="439">
        <f t="shared" si="60"/>
        <v>756.58978755000476</v>
      </c>
      <c r="AU31" s="441"/>
      <c r="AV31" s="438" t="str">
        <f>IF(ISERROR(1000000*AV27/AV15),"nm",1000000*AV27/AV15)</f>
        <v>nm</v>
      </c>
      <c r="AW31" s="438" t="str">
        <f>IF(ISERROR(1000000*AW27/AW15),"nm",1000000*AW27/AW15)</f>
        <v>nm</v>
      </c>
      <c r="AX31" s="438" t="str">
        <f>IF(ISERROR(1000000*AX27/AX15),"nm",1000000*AX27/AX15)</f>
        <v>nm</v>
      </c>
      <c r="AY31" s="438" t="str">
        <f>IF(ISERROR(1000000*AY27/AY15),"nm",1000000*AY27/AY15)</f>
        <v>nm</v>
      </c>
      <c r="AZ31" s="442" t="str">
        <f>IF(ISERROR(1000000*AZ27/AZ15),"nm",1000000*AZ27/AZ15)</f>
        <v>nm</v>
      </c>
      <c r="BA31" s="439">
        <f t="shared" ref="BA31:CF31" si="61">1000000*BA27/BA15</f>
        <v>814.37171111082637</v>
      </c>
      <c r="BB31" s="439">
        <f t="shared" si="61"/>
        <v>847.63111829802108</v>
      </c>
      <c r="BC31" s="439">
        <f t="shared" si="61"/>
        <v>827.33370738138979</v>
      </c>
      <c r="BD31" s="439">
        <f t="shared" si="61"/>
        <v>842.39088134322731</v>
      </c>
      <c r="BE31" s="440">
        <f t="shared" si="61"/>
        <v>832.70527637203475</v>
      </c>
      <c r="BF31" s="439">
        <f t="shared" si="61"/>
        <v>851.99646711412595</v>
      </c>
      <c r="BG31" s="439">
        <f t="shared" si="61"/>
        <v>898.17363419635296</v>
      </c>
      <c r="BH31" s="439">
        <f t="shared" si="61"/>
        <v>875.28844732923346</v>
      </c>
      <c r="BI31" s="439">
        <f t="shared" si="61"/>
        <v>877.02639148469325</v>
      </c>
      <c r="BJ31" s="440">
        <f t="shared" si="61"/>
        <v>875.21344561716774</v>
      </c>
      <c r="BK31" s="439">
        <f t="shared" si="61"/>
        <v>870.5316516479304</v>
      </c>
      <c r="BL31" s="439">
        <f t="shared" si="61"/>
        <v>911.38014369372388</v>
      </c>
      <c r="BM31" s="439">
        <f t="shared" si="61"/>
        <v>932.12058705785762</v>
      </c>
      <c r="BN31" s="439">
        <f t="shared" si="61"/>
        <v>926.6475988277158</v>
      </c>
      <c r="BO31" s="440">
        <f t="shared" si="61"/>
        <v>909.10691847353735</v>
      </c>
      <c r="BP31" s="439">
        <f t="shared" si="61"/>
        <v>902.18925664640722</v>
      </c>
      <c r="BQ31" s="439">
        <f t="shared" si="61"/>
        <v>954.7045719741169</v>
      </c>
      <c r="BR31" s="439">
        <f t="shared" si="61"/>
        <v>962.10633647473333</v>
      </c>
      <c r="BS31" s="439">
        <f t="shared" si="61"/>
        <v>988.13833134903928</v>
      </c>
      <c r="BT31" s="440">
        <f t="shared" si="61"/>
        <v>949.48056704306873</v>
      </c>
      <c r="BU31" s="439">
        <f t="shared" si="61"/>
        <v>972.38762672529617</v>
      </c>
      <c r="BV31" s="439">
        <f t="shared" si="61"/>
        <v>994.97103762553616</v>
      </c>
      <c r="BW31" s="439">
        <f t="shared" si="61"/>
        <v>1015.0575474640083</v>
      </c>
      <c r="BX31" s="439">
        <f t="shared" si="61"/>
        <v>1045.6444767893502</v>
      </c>
      <c r="BY31" s="440">
        <f t="shared" si="61"/>
        <v>1006.3322794978958</v>
      </c>
      <c r="BZ31" s="439">
        <f t="shared" si="61"/>
        <v>991.72730945146759</v>
      </c>
      <c r="CA31" s="439">
        <f t="shared" si="61"/>
        <v>1011.9953366585107</v>
      </c>
      <c r="CB31" s="439">
        <f t="shared" si="61"/>
        <v>1023.2367170008846</v>
      </c>
      <c r="CC31" s="439">
        <f t="shared" si="61"/>
        <v>1034.4137804881962</v>
      </c>
      <c r="CD31" s="440">
        <f t="shared" si="61"/>
        <v>1014.645352732842</v>
      </c>
      <c r="CE31" s="439">
        <f t="shared" si="61"/>
        <v>985.90908401462184</v>
      </c>
      <c r="CF31" s="439">
        <f t="shared" si="61"/>
        <v>1009.0677872387482</v>
      </c>
      <c r="CG31" s="439">
        <f t="shared" ref="CG31:DC31" si="62">1000000*CG27/CG15</f>
        <v>1019.9118000801817</v>
      </c>
      <c r="CH31" s="439">
        <f t="shared" si="62"/>
        <v>1062.8214524438445</v>
      </c>
      <c r="CI31" s="440">
        <f t="shared" si="62"/>
        <v>1018.8853441761494</v>
      </c>
      <c r="CJ31" s="439">
        <f t="shared" si="62"/>
        <v>1030.0047586845994</v>
      </c>
      <c r="CK31" s="439">
        <f t="shared" si="62"/>
        <v>1042.8482564308977</v>
      </c>
      <c r="CL31" s="439">
        <f t="shared" si="62"/>
        <v>1070.0411478463916</v>
      </c>
      <c r="CM31" s="439">
        <f t="shared" si="62"/>
        <v>1047.4221176123974</v>
      </c>
      <c r="CN31" s="440">
        <f t="shared" si="62"/>
        <v>1047.3448197519565</v>
      </c>
      <c r="CO31" s="439">
        <f t="shared" si="62"/>
        <v>1072.3821012362446</v>
      </c>
      <c r="CP31" s="439">
        <f t="shared" si="62"/>
        <v>1076.3189016724593</v>
      </c>
      <c r="CQ31" s="439">
        <f t="shared" si="62"/>
        <v>1101.1473031781616</v>
      </c>
      <c r="CR31" s="439">
        <f t="shared" si="62"/>
        <v>1123.2196304230795</v>
      </c>
      <c r="CS31" s="440">
        <f t="shared" si="62"/>
        <v>1092.9788833213056</v>
      </c>
      <c r="CT31" s="439">
        <f t="shared" si="62"/>
        <v>1121.2987638261839</v>
      </c>
      <c r="CU31" s="439">
        <f t="shared" si="62"/>
        <v>1145.782942618451</v>
      </c>
      <c r="CV31" s="439">
        <f t="shared" si="62"/>
        <v>1152.2848711580903</v>
      </c>
      <c r="CW31" s="439">
        <f t="shared" si="62"/>
        <v>1191.5891933454495</v>
      </c>
      <c r="CX31" s="440">
        <f t="shared" si="62"/>
        <v>1152.4629733707145</v>
      </c>
      <c r="CY31" s="439">
        <f t="shared" si="62"/>
        <v>1235.3166496424924</v>
      </c>
      <c r="CZ31" s="439">
        <f t="shared" si="62"/>
        <v>1281.7130545662401</v>
      </c>
      <c r="DA31" s="439">
        <f t="shared" si="62"/>
        <v>1284.4074903313267</v>
      </c>
      <c r="DB31" s="439">
        <f t="shared" si="62"/>
        <v>1263.7624882619282</v>
      </c>
      <c r="DC31" s="440">
        <f t="shared" si="62"/>
        <v>1265.7499975255307</v>
      </c>
      <c r="DD31" s="439">
        <v>1259.3591494310594</v>
      </c>
      <c r="DE31" s="439">
        <v>1250.8945238830681</v>
      </c>
      <c r="DF31" s="439">
        <v>1288.1539382067219</v>
      </c>
      <c r="DG31" s="439">
        <v>1330.2633016909042</v>
      </c>
      <c r="DH31" s="440">
        <v>1282.5365929766294</v>
      </c>
      <c r="DI31" s="439">
        <f t="shared" ref="DI31:DR31" si="63">1000000*DI27/DI15</f>
        <v>1302.4049443581962</v>
      </c>
      <c r="DJ31" s="439">
        <f t="shared" si="63"/>
        <v>1309.1615515420237</v>
      </c>
      <c r="DK31" s="439">
        <f t="shared" si="63"/>
        <v>1343.8199580992941</v>
      </c>
      <c r="DL31" s="439">
        <f t="shared" si="63"/>
        <v>1352.1413288749109</v>
      </c>
      <c r="DM31" s="440">
        <f t="shared" si="63"/>
        <v>1379.2651643783763</v>
      </c>
      <c r="DN31" s="439">
        <f t="shared" si="63"/>
        <v>1315.9360674393902</v>
      </c>
      <c r="DO31" s="439">
        <f t="shared" si="63"/>
        <v>1382.1695665251148</v>
      </c>
      <c r="DP31" s="439">
        <f t="shared" si="63"/>
        <v>1384.022134149375</v>
      </c>
      <c r="DQ31" s="439">
        <f t="shared" si="63"/>
        <v>1403.9611529715125</v>
      </c>
      <c r="DR31" s="440">
        <f t="shared" si="63"/>
        <v>1463.0122634391578</v>
      </c>
      <c r="DS31" s="439">
        <f t="shared" ref="DS31:EF31" si="64">1000000*DS27/DS15</f>
        <v>1407.8620572968291</v>
      </c>
      <c r="DT31" s="439">
        <f t="shared" si="64"/>
        <v>1425.0068228780849</v>
      </c>
      <c r="DU31" s="439">
        <f>1000000*DU27/DU15</f>
        <v>1438.3474758331708</v>
      </c>
      <c r="DV31" s="439">
        <f>1000000*DV27/DV15</f>
        <v>1426.7352271633151</v>
      </c>
      <c r="DW31" s="440">
        <f>1000000*DW27/DW15</f>
        <v>1526.7409316214651</v>
      </c>
      <c r="DX31" s="439">
        <f t="shared" si="64"/>
        <v>1435.0294279746263</v>
      </c>
      <c r="DY31" s="439">
        <f t="shared" si="64"/>
        <v>1475.8745173391533</v>
      </c>
      <c r="DZ31" s="439">
        <f t="shared" si="64"/>
        <v>1451.7074364255666</v>
      </c>
      <c r="EA31" s="439">
        <f t="shared" si="64"/>
        <v>1592.7478682633</v>
      </c>
      <c r="EB31" s="440">
        <f>1000000*EB27/EB15</f>
        <v>1602.8127920324296</v>
      </c>
      <c r="EC31" s="439">
        <f t="shared" si="64"/>
        <v>1411.5359475056705</v>
      </c>
      <c r="ED31" s="439">
        <f t="shared" si="64"/>
        <v>1446.921840604361</v>
      </c>
      <c r="EE31" s="439">
        <f t="shared" si="64"/>
        <v>1393.7331560180967</v>
      </c>
      <c r="EF31" s="439">
        <f t="shared" si="64"/>
        <v>1478.9978098013796</v>
      </c>
      <c r="EG31" s="440">
        <f>1000000*EG27/EG15</f>
        <v>1560.8128273421723</v>
      </c>
      <c r="EH31" s="439">
        <f t="shared" ref="EH31:EK31" si="65">1000000*EH27/EH15</f>
        <v>1402.3611159022037</v>
      </c>
      <c r="EI31" s="439">
        <f t="shared" si="65"/>
        <v>1439.5165494595462</v>
      </c>
      <c r="EJ31" s="439">
        <f t="shared" si="65"/>
        <v>1399.1242339744808</v>
      </c>
      <c r="EK31" s="439">
        <f t="shared" si="65"/>
        <v>1497.3394290792437</v>
      </c>
      <c r="EL31" s="440">
        <f>1000000*EL27/EL15</f>
        <v>1584.3940233298124</v>
      </c>
    </row>
    <row r="32" spans="1:142" s="680" customFormat="1">
      <c r="A32" s="1548"/>
      <c r="B32" s="1548" t="s">
        <v>109</v>
      </c>
      <c r="C32" s="1549"/>
      <c r="D32" s="1549"/>
      <c r="E32" s="1549"/>
      <c r="F32" s="1549"/>
      <c r="G32" s="1549"/>
      <c r="H32" s="1182"/>
      <c r="I32" s="1549" t="str">
        <f t="shared" ref="I32:AT32" si="66">IF(ISERROR(I31/D31-1),"nm",I31/D31-1)</f>
        <v>nm</v>
      </c>
      <c r="J32" s="1549">
        <f t="shared" si="66"/>
        <v>-0.21791947536040479</v>
      </c>
      <c r="K32" s="1549">
        <f t="shared" si="66"/>
        <v>-0.26622617976329965</v>
      </c>
      <c r="L32" s="1549">
        <f t="shared" si="66"/>
        <v>1.4532693628363362</v>
      </c>
      <c r="M32" s="1182">
        <f t="shared" si="66"/>
        <v>-0.15548108395660676</v>
      </c>
      <c r="N32" s="1549">
        <f t="shared" si="66"/>
        <v>2.0283421424912573E-2</v>
      </c>
      <c r="O32" s="1549">
        <f t="shared" si="66"/>
        <v>-1.3822665937553325E-2</v>
      </c>
      <c r="P32" s="1549">
        <f t="shared" si="66"/>
        <v>7.6226915807936502E-2</v>
      </c>
      <c r="Q32" s="1549">
        <f t="shared" si="66"/>
        <v>0.10887163495996388</v>
      </c>
      <c r="R32" s="1182">
        <f t="shared" si="66"/>
        <v>6.303454145546028E-2</v>
      </c>
      <c r="S32" s="1549">
        <f t="shared" si="66"/>
        <v>9.1827998009226475E-2</v>
      </c>
      <c r="T32" s="1549">
        <f t="shared" si="66"/>
        <v>9.8166652325863968E-3</v>
      </c>
      <c r="U32" s="1549">
        <f t="shared" si="66"/>
        <v>3.8238188231367154E-2</v>
      </c>
      <c r="V32" s="1549">
        <f t="shared" si="66"/>
        <v>-5.1743005823144061E-2</v>
      </c>
      <c r="W32" s="1182">
        <f t="shared" si="66"/>
        <v>5.7562417126530985E-3</v>
      </c>
      <c r="X32" s="1549">
        <f t="shared" si="66"/>
        <v>-3.5328437045458405E-2</v>
      </c>
      <c r="Y32" s="1549">
        <f t="shared" si="66"/>
        <v>4.6553671506402994E-2</v>
      </c>
      <c r="Z32" s="1549">
        <f t="shared" si="66"/>
        <v>5.1867073367993788E-2</v>
      </c>
      <c r="AA32" s="1549">
        <f t="shared" si="66"/>
        <v>1.6377194313114352E-2</v>
      </c>
      <c r="AB32" s="1182">
        <f t="shared" si="66"/>
        <v>2.0444160445461268E-2</v>
      </c>
      <c r="AC32" s="1549">
        <f t="shared" si="66"/>
        <v>3.6055221338695098E-2</v>
      </c>
      <c r="AD32" s="1549">
        <f t="shared" si="66"/>
        <v>3.228523313916698E-2</v>
      </c>
      <c r="AE32" s="1549">
        <f t="shared" si="66"/>
        <v>2.3301153320010037E-4</v>
      </c>
      <c r="AF32" s="1549">
        <f t="shared" si="66"/>
        <v>3.1867485280420382E-2</v>
      </c>
      <c r="AG32" s="1182">
        <f t="shared" si="66"/>
        <v>2.4948198563568003E-2</v>
      </c>
      <c r="AH32" s="1549">
        <f t="shared" si="66"/>
        <v>6.4753495515618376E-2</v>
      </c>
      <c r="AI32" s="1549">
        <f t="shared" si="66"/>
        <v>2.0785533098782061E-2</v>
      </c>
      <c r="AJ32" s="1549">
        <f t="shared" si="66"/>
        <v>6.0179673109118648E-2</v>
      </c>
      <c r="AK32" s="1549">
        <f t="shared" si="66"/>
        <v>2.1245824584682937E-2</v>
      </c>
      <c r="AL32" s="1182">
        <f t="shared" si="66"/>
        <v>4.0955072742470566E-2</v>
      </c>
      <c r="AM32" s="1549">
        <f t="shared" si="66"/>
        <v>1.0824655144078932E-2</v>
      </c>
      <c r="AN32" s="1549">
        <f t="shared" si="66"/>
        <v>7.0913462334952992E-2</v>
      </c>
      <c r="AO32" s="1549">
        <f t="shared" si="66"/>
        <v>5.5016273452982212E-2</v>
      </c>
      <c r="AP32" s="1549">
        <f t="shared" si="66"/>
        <v>8.9790592533017133E-2</v>
      </c>
      <c r="AQ32" s="1182">
        <f t="shared" si="66"/>
        <v>5.7235829879526134E-2</v>
      </c>
      <c r="AR32" s="1549">
        <f t="shared" si="66"/>
        <v>7.4110265632983285E-2</v>
      </c>
      <c r="AS32" s="1549">
        <f t="shared" si="66"/>
        <v>6.8699401787480241E-2</v>
      </c>
      <c r="AT32" s="1549">
        <f t="shared" si="66"/>
        <v>6.8497427605297423E-2</v>
      </c>
      <c r="AU32" s="1181"/>
      <c r="AV32" s="1181"/>
      <c r="AW32" s="1181"/>
      <c r="AX32" s="1181"/>
      <c r="AY32" s="1181"/>
      <c r="AZ32" s="1184"/>
      <c r="BA32" s="1549" t="str">
        <f>IF(ISERROR(BA31/AV31-1),"nm",BA31/AV31-1)</f>
        <v>nm</v>
      </c>
      <c r="BB32" s="1549" t="str">
        <f>IF(ISERROR(BB31/AW31-1),"nm",BB31/AW31-1)</f>
        <v>nm</v>
      </c>
      <c r="BC32" s="1549" t="str">
        <f>IF(ISERROR(BC31/AX31-1),"nm",BC31/AX31-1)</f>
        <v>nm</v>
      </c>
      <c r="BD32" s="1549" t="str">
        <f>IF(ISERROR(BD31/AY31-1),"nm",BD31/AY31-1)</f>
        <v>nm</v>
      </c>
      <c r="BE32" s="1182" t="str">
        <f>IF(ISERROR(BE31/AZ31-1),"nm",BE31/AZ31-1)</f>
        <v>nm</v>
      </c>
      <c r="BF32" s="1181">
        <f t="shared" ref="BF32:CK32" si="67">BF31/BA31-1</f>
        <v>4.6200961415983288E-2</v>
      </c>
      <c r="BG32" s="1181">
        <f t="shared" si="67"/>
        <v>5.9627961748050851E-2</v>
      </c>
      <c r="BH32" s="1181">
        <f t="shared" si="67"/>
        <v>5.7962995487789604E-2</v>
      </c>
      <c r="BI32" s="1181">
        <f t="shared" si="67"/>
        <v>4.111572300763533E-2</v>
      </c>
      <c r="BJ32" s="1184">
        <f t="shared" si="67"/>
        <v>5.1048276564710005E-2</v>
      </c>
      <c r="BK32" s="1181">
        <f t="shared" si="67"/>
        <v>2.1755001633500415E-2</v>
      </c>
      <c r="BL32" s="1181">
        <f t="shared" si="67"/>
        <v>1.4703737667814742E-2</v>
      </c>
      <c r="BM32" s="1181">
        <f t="shared" si="67"/>
        <v>6.4929612520348012E-2</v>
      </c>
      <c r="BN32" s="1181">
        <f t="shared" si="67"/>
        <v>5.657892148378818E-2</v>
      </c>
      <c r="BO32" s="1184">
        <f t="shared" si="67"/>
        <v>3.8725950825023281E-2</v>
      </c>
      <c r="BP32" s="1181">
        <f t="shared" si="67"/>
        <v>3.6365828788130106E-2</v>
      </c>
      <c r="BQ32" s="1181">
        <f t="shared" si="67"/>
        <v>4.7537165013058047E-2</v>
      </c>
      <c r="BR32" s="1181">
        <f t="shared" si="67"/>
        <v>3.2169388631917872E-2</v>
      </c>
      <c r="BS32" s="1181">
        <f t="shared" si="67"/>
        <v>6.63582710397288E-2</v>
      </c>
      <c r="BT32" s="1184">
        <f t="shared" si="67"/>
        <v>4.4410231348059659E-2</v>
      </c>
      <c r="BU32" s="1181">
        <f t="shared" si="67"/>
        <v>7.7808918208390532E-2</v>
      </c>
      <c r="BV32" s="1181">
        <f t="shared" si="67"/>
        <v>4.2176885743992143E-2</v>
      </c>
      <c r="BW32" s="1181">
        <f t="shared" si="67"/>
        <v>5.5036755275195581E-2</v>
      </c>
      <c r="BX32" s="1181">
        <f t="shared" si="67"/>
        <v>5.8196452476245497E-2</v>
      </c>
      <c r="BY32" s="1184">
        <f t="shared" si="67"/>
        <v>5.9876646693126423E-2</v>
      </c>
      <c r="BZ32" s="1181">
        <f t="shared" si="67"/>
        <v>1.9888861390906065E-2</v>
      </c>
      <c r="CA32" s="1181">
        <f t="shared" si="67"/>
        <v>1.7110346320836189E-2</v>
      </c>
      <c r="CB32" s="1181">
        <f t="shared" si="67"/>
        <v>8.0578382548959215E-3</v>
      </c>
      <c r="CC32" s="1181">
        <f t="shared" si="67"/>
        <v>-1.0740453902303271E-2</v>
      </c>
      <c r="CD32" s="1184">
        <f t="shared" si="67"/>
        <v>8.2607637698890457E-3</v>
      </c>
      <c r="CE32" s="1181">
        <f t="shared" si="67"/>
        <v>-5.8667593212330393E-3</v>
      </c>
      <c r="CF32" s="1181">
        <f t="shared" si="67"/>
        <v>-2.8928487253991886E-3</v>
      </c>
      <c r="CG32" s="1181">
        <f t="shared" si="67"/>
        <v>-3.2494112705887535E-3</v>
      </c>
      <c r="CH32" s="1181">
        <f t="shared" si="67"/>
        <v>2.7462580730741148E-2</v>
      </c>
      <c r="CI32" s="1184">
        <f t="shared" si="67"/>
        <v>4.1787915668143327E-3</v>
      </c>
      <c r="CJ32" s="1181">
        <f t="shared" si="67"/>
        <v>4.4725903620260743E-2</v>
      </c>
      <c r="CK32" s="1181">
        <f t="shared" si="67"/>
        <v>3.3476907715573434E-2</v>
      </c>
      <c r="CL32" s="1181">
        <f t="shared" ref="CL32:EF32" si="68">CL31/CG31-1</f>
        <v>4.9150669462074026E-2</v>
      </c>
      <c r="CM32" s="1181">
        <f t="shared" si="68"/>
        <v>-1.4489108020954933E-2</v>
      </c>
      <c r="CN32" s="1184">
        <f t="shared" si="68"/>
        <v>2.7931970695700636E-2</v>
      </c>
      <c r="CO32" s="1181">
        <f t="shared" si="68"/>
        <v>4.1142860937617876E-2</v>
      </c>
      <c r="CP32" s="1181">
        <f t="shared" si="68"/>
        <v>3.2095412765145159E-2</v>
      </c>
      <c r="CQ32" s="1181">
        <f t="shared" si="68"/>
        <v>2.9070055291215091E-2</v>
      </c>
      <c r="CR32" s="1181">
        <f t="shared" si="68"/>
        <v>7.2365774539364214E-2</v>
      </c>
      <c r="CS32" s="1184">
        <f t="shared" si="68"/>
        <v>4.3571193277259557E-2</v>
      </c>
      <c r="CT32" s="1181">
        <f t="shared" si="68"/>
        <v>4.5614956211548208E-2</v>
      </c>
      <c r="CU32" s="1181">
        <f t="shared" si="68"/>
        <v>6.4538531134270327E-2</v>
      </c>
      <c r="CV32" s="1181">
        <f t="shared" si="68"/>
        <v>4.6440260837341318E-2</v>
      </c>
      <c r="CW32" s="1181">
        <f t="shared" si="68"/>
        <v>6.086927353345617E-2</v>
      </c>
      <c r="CX32" s="1184">
        <f t="shared" si="68"/>
        <v>5.4423823696072571E-2</v>
      </c>
      <c r="CY32" s="1181">
        <f t="shared" si="68"/>
        <v>0.10168377019095942</v>
      </c>
      <c r="CZ32" s="1181">
        <f t="shared" si="68"/>
        <v>0.11863513314061813</v>
      </c>
      <c r="DA32" s="1181">
        <f t="shared" si="68"/>
        <v>0.11466141965436738</v>
      </c>
      <c r="DB32" s="1181">
        <f t="shared" si="68"/>
        <v>6.0568940470036026E-2</v>
      </c>
      <c r="DC32" s="1184">
        <f t="shared" si="68"/>
        <v>9.8299925266557731E-2</v>
      </c>
      <c r="DD32" s="1181">
        <v>1.9462621017473536E-2</v>
      </c>
      <c r="DE32" s="1181">
        <v>-2.4044797369721427E-2</v>
      </c>
      <c r="DF32" s="1181">
        <v>2.9168685978535613E-3</v>
      </c>
      <c r="DG32" s="1181">
        <v>5.2621290825331846E-2</v>
      </c>
      <c r="DH32" s="1184">
        <v>1.3262173007241307E-2</v>
      </c>
      <c r="DI32" s="1181">
        <f t="shared" si="68"/>
        <v>3.418071401361833E-2</v>
      </c>
      <c r="DJ32" s="1181">
        <f t="shared" si="68"/>
        <v>4.6580288382813695E-2</v>
      </c>
      <c r="DK32" s="1181">
        <f t="shared" si="68"/>
        <v>4.3213794750390333E-2</v>
      </c>
      <c r="DL32" s="1181">
        <f t="shared" si="68"/>
        <v>1.6446388588031713E-2</v>
      </c>
      <c r="DM32" s="1184">
        <f>DM31/DH31-1</f>
        <v>7.5419736116261848E-2</v>
      </c>
      <c r="DN32" s="1181">
        <f t="shared" si="68"/>
        <v>1.0389336388662018E-2</v>
      </c>
      <c r="DO32" s="1181">
        <f t="shared" si="68"/>
        <v>5.5767002091603679E-2</v>
      </c>
      <c r="DP32" s="1181">
        <f t="shared" si="68"/>
        <v>2.9916340956077869E-2</v>
      </c>
      <c r="DQ32" s="1181">
        <f t="shared" si="68"/>
        <v>3.8324266102952365E-2</v>
      </c>
      <c r="DR32" s="1184">
        <f>DR31/DM31-1</f>
        <v>6.0718635708113089E-2</v>
      </c>
      <c r="DS32" s="1181">
        <f t="shared" si="68"/>
        <v>6.9855969550491004E-2</v>
      </c>
      <c r="DT32" s="1181">
        <f t="shared" si="68"/>
        <v>3.0992764846260012E-2</v>
      </c>
      <c r="DU32" s="1181">
        <f t="shared" si="68"/>
        <v>3.9251786762199758E-2</v>
      </c>
      <c r="DV32" s="1181">
        <f t="shared" si="68"/>
        <v>1.6221299388235133E-2</v>
      </c>
      <c r="DW32" s="1184">
        <f>DW31/DR31-1</f>
        <v>4.3559900196938894E-2</v>
      </c>
      <c r="DX32" s="1181">
        <f t="shared" si="68"/>
        <v>1.9296898113697392E-2</v>
      </c>
      <c r="DY32" s="1181">
        <f t="shared" si="68"/>
        <v>3.5696456777891683E-2</v>
      </c>
      <c r="DZ32" s="1181">
        <f t="shared" si="68"/>
        <v>9.2884096623848666E-3</v>
      </c>
      <c r="EA32" s="1181">
        <f t="shared" si="68"/>
        <v>0.11635840900210837</v>
      </c>
      <c r="EB32" s="1184">
        <f>EB31/DW31-1</f>
        <v>4.9826305717875163E-2</v>
      </c>
      <c r="EC32" s="1181">
        <f t="shared" si="68"/>
        <v>-1.6371427659232052E-2</v>
      </c>
      <c r="ED32" s="1181">
        <f t="shared" si="68"/>
        <v>-1.9617302416055638E-2</v>
      </c>
      <c r="EE32" s="1181">
        <f t="shared" si="68"/>
        <v>-3.9935236916754935E-2</v>
      </c>
      <c r="EF32" s="1181">
        <f t="shared" si="68"/>
        <v>-7.141749220229765E-2</v>
      </c>
      <c r="EG32" s="1184">
        <f>EG31/EB31-1</f>
        <v>-2.6203911585332196E-2</v>
      </c>
      <c r="EH32" s="1181">
        <f t="shared" ref="EH32" si="69">EH31/EC31-1</f>
        <v>-6.49989227669312E-3</v>
      </c>
      <c r="EI32" s="1181">
        <f t="shared" ref="EI32" si="70">EI31/ED31-1</f>
        <v>-5.1179621020315258E-3</v>
      </c>
      <c r="EJ32" s="1181">
        <f t="shared" ref="EJ32" si="71">EJ31/EE31-1</f>
        <v>3.8680847428402831E-3</v>
      </c>
      <c r="EK32" s="1181">
        <f t="shared" ref="EK32" si="72">EK31/EF31-1</f>
        <v>1.2401383664203847E-2</v>
      </c>
      <c r="EL32" s="1184">
        <f>EL31/EG31-1</f>
        <v>1.510827920846558E-2</v>
      </c>
    </row>
    <row r="33" spans="1:142" ht="11.25" customHeight="1">
      <c r="A33" s="445"/>
      <c r="B33" s="446" t="s">
        <v>222</v>
      </c>
      <c r="C33" s="446"/>
      <c r="D33" s="175" t="str">
        <f>IF(ISERROR(1000000*D27/D10),"nm",1000000*D27/D10)</f>
        <v>nm</v>
      </c>
      <c r="E33" s="445">
        <f t="shared" ref="E33:AT33" si="73">1000000*E27/E10</f>
        <v>4232.8206400396921</v>
      </c>
      <c r="F33" s="445">
        <f t="shared" si="73"/>
        <v>4070.2574034921713</v>
      </c>
      <c r="G33" s="445">
        <f t="shared" si="73"/>
        <v>1344.9461663083639</v>
      </c>
      <c r="H33" s="447">
        <f t="shared" si="73"/>
        <v>3811.366627261169</v>
      </c>
      <c r="I33" s="445">
        <f t="shared" si="73"/>
        <v>3205.1159317620477</v>
      </c>
      <c r="J33" s="445">
        <f t="shared" si="73"/>
        <v>3270.2144521024952</v>
      </c>
      <c r="K33" s="445">
        <f t="shared" si="73"/>
        <v>3036.0996403356867</v>
      </c>
      <c r="L33" s="445">
        <f t="shared" si="73"/>
        <v>3230.6805526797357</v>
      </c>
      <c r="M33" s="447">
        <f t="shared" si="73"/>
        <v>3181.4668679372235</v>
      </c>
      <c r="N33" s="445">
        <f t="shared" si="73"/>
        <v>3202.1937307499566</v>
      </c>
      <c r="O33" s="445">
        <f t="shared" si="73"/>
        <v>3237.1577153929243</v>
      </c>
      <c r="P33" s="445">
        <f t="shared" si="73"/>
        <v>3019.5258250663733</v>
      </c>
      <c r="Q33" s="445">
        <f t="shared" si="73"/>
        <v>3250.0886153449555</v>
      </c>
      <c r="R33" s="447">
        <f t="shared" si="73"/>
        <v>3178.5926145302769</v>
      </c>
      <c r="S33" s="445">
        <f t="shared" si="73"/>
        <v>3332.9538044322076</v>
      </c>
      <c r="T33" s="445">
        <f t="shared" si="73"/>
        <v>3074.0770137188701</v>
      </c>
      <c r="U33" s="445">
        <f t="shared" si="73"/>
        <v>3187.0361176996953</v>
      </c>
      <c r="V33" s="445">
        <f t="shared" si="73"/>
        <v>3201.5431499610208</v>
      </c>
      <c r="W33" s="447">
        <f t="shared" si="73"/>
        <v>3194.9184081547692</v>
      </c>
      <c r="X33" s="445">
        <f t="shared" si="73"/>
        <v>3153.6652839692811</v>
      </c>
      <c r="Y33" s="445">
        <f t="shared" si="73"/>
        <v>3226.3573835142142</v>
      </c>
      <c r="Z33" s="445">
        <f t="shared" si="73"/>
        <v>3296.8688272525997</v>
      </c>
      <c r="AA33" s="445">
        <f t="shared" si="73"/>
        <v>3288.9214264286165</v>
      </c>
      <c r="AB33" s="447">
        <f t="shared" si="73"/>
        <v>3244.0603989341366</v>
      </c>
      <c r="AC33" s="445">
        <f t="shared" si="73"/>
        <v>3282.340667946431</v>
      </c>
      <c r="AD33" s="445">
        <f t="shared" si="73"/>
        <v>3367.0340070434713</v>
      </c>
      <c r="AE33" s="445">
        <f t="shared" si="73"/>
        <v>3339.708870338261</v>
      </c>
      <c r="AF33" s="445">
        <f t="shared" si="73"/>
        <v>3358.825494568996</v>
      </c>
      <c r="AG33" s="447">
        <f t="shared" si="73"/>
        <v>3336.0591136650401</v>
      </c>
      <c r="AH33" s="445">
        <f t="shared" si="73"/>
        <v>3478.9451020604151</v>
      </c>
      <c r="AI33" s="445">
        <f t="shared" si="73"/>
        <v>3432.3135615872475</v>
      </c>
      <c r="AJ33" s="445">
        <f t="shared" si="73"/>
        <v>3523.3594544475682</v>
      </c>
      <c r="AK33" s="445">
        <f t="shared" si="73"/>
        <v>3520.5411880769502</v>
      </c>
      <c r="AL33" s="447">
        <f t="shared" si="73"/>
        <v>3489.5737798794753</v>
      </c>
      <c r="AM33" s="445">
        <f t="shared" si="73"/>
        <v>3627.8976761458584</v>
      </c>
      <c r="AN33" s="445">
        <f t="shared" si="73"/>
        <v>3727.2031354379606</v>
      </c>
      <c r="AO33" s="445">
        <f t="shared" si="73"/>
        <v>3747.1986153948565</v>
      </c>
      <c r="AP33" s="445">
        <f t="shared" si="73"/>
        <v>3849.6450222063736</v>
      </c>
      <c r="AQ33" s="447">
        <f t="shared" si="73"/>
        <v>3739.6331158292946</v>
      </c>
      <c r="AR33" s="445">
        <f t="shared" si="73"/>
        <v>3942.2323063582694</v>
      </c>
      <c r="AS33" s="445">
        <f t="shared" si="73"/>
        <v>4006.1240818722194</v>
      </c>
      <c r="AT33" s="445">
        <f t="shared" si="73"/>
        <v>3969.6110000082072</v>
      </c>
      <c r="AU33" s="448"/>
      <c r="AV33" s="175" t="str">
        <f>IF(ISERROR(1000000*AV27/AV10),"nm",1000000*AV27/AV10)</f>
        <v>nm</v>
      </c>
      <c r="AW33" s="175" t="str">
        <f>IF(ISERROR(1000000*AW27/AW10),"nm",1000000*AW27/AW10)</f>
        <v>nm</v>
      </c>
      <c r="AX33" s="175" t="str">
        <f>IF(ISERROR(1000000*AX27/AX10),"nm",1000000*AX27/AX10)</f>
        <v>nm</v>
      </c>
      <c r="AY33" s="175" t="str">
        <f>IF(ISERROR(1000000*AY27/AY10),"nm",1000000*AY27/AY10)</f>
        <v>nm</v>
      </c>
      <c r="AZ33" s="449" t="str">
        <f>IF(ISERROR(1000000*AZ27/AZ10),"nm",1000000*AZ27/AZ10)</f>
        <v>nm</v>
      </c>
      <c r="BA33" s="445">
        <f t="shared" ref="BA33:CF33" si="74">1000000*BA27/BA10</f>
        <v>4348.0200449077311</v>
      </c>
      <c r="BB33" s="445">
        <f t="shared" si="74"/>
        <v>4457.0906748833568</v>
      </c>
      <c r="BC33" s="445">
        <f t="shared" si="74"/>
        <v>4261.666311527807</v>
      </c>
      <c r="BD33" s="445">
        <f t="shared" si="74"/>
        <v>4399.0195220169835</v>
      </c>
      <c r="BE33" s="447">
        <f t="shared" si="74"/>
        <v>4365.9057834047098</v>
      </c>
      <c r="BF33" s="445">
        <f t="shared" si="74"/>
        <v>4473.8013257442672</v>
      </c>
      <c r="BG33" s="445">
        <f t="shared" si="74"/>
        <v>4594.3113407589753</v>
      </c>
      <c r="BH33" s="445">
        <f t="shared" si="74"/>
        <v>4457.6768804532112</v>
      </c>
      <c r="BI33" s="445">
        <f t="shared" si="74"/>
        <v>4503.6560814006534</v>
      </c>
      <c r="BJ33" s="447">
        <f t="shared" si="74"/>
        <v>4507.267472909095</v>
      </c>
      <c r="BK33" s="445">
        <f t="shared" si="74"/>
        <v>4528.1498640346463</v>
      </c>
      <c r="BL33" s="445">
        <f t="shared" si="74"/>
        <v>4646.5649205203817</v>
      </c>
      <c r="BM33" s="445">
        <f t="shared" si="74"/>
        <v>4711.2383826605846</v>
      </c>
      <c r="BN33" s="445">
        <f t="shared" si="74"/>
        <v>4711.2298506392208</v>
      </c>
      <c r="BO33" s="447">
        <f t="shared" si="74"/>
        <v>4646.6905566709875</v>
      </c>
      <c r="BP33" s="445">
        <f t="shared" si="74"/>
        <v>4606.6953495946109</v>
      </c>
      <c r="BQ33" s="445">
        <f t="shared" si="74"/>
        <v>4705.8248631743554</v>
      </c>
      <c r="BR33" s="445">
        <f t="shared" si="74"/>
        <v>4706.4284973504737</v>
      </c>
      <c r="BS33" s="445">
        <f t="shared" si="74"/>
        <v>4837.3644703919936</v>
      </c>
      <c r="BT33" s="447">
        <f t="shared" si="74"/>
        <v>4710.3273067516275</v>
      </c>
      <c r="BU33" s="445">
        <f t="shared" si="74"/>
        <v>4862.2443623731951</v>
      </c>
      <c r="BV33" s="445">
        <f t="shared" si="74"/>
        <v>4895.9668671728623</v>
      </c>
      <c r="BW33" s="445">
        <f t="shared" si="74"/>
        <v>4963.4933298324631</v>
      </c>
      <c r="BX33" s="445">
        <f t="shared" si="74"/>
        <v>5083.7855566819726</v>
      </c>
      <c r="BY33" s="447">
        <f t="shared" si="74"/>
        <v>4950.2998763041051</v>
      </c>
      <c r="BZ33" s="445">
        <f t="shared" si="74"/>
        <v>4993.2042297645094</v>
      </c>
      <c r="CA33" s="445">
        <f t="shared" si="74"/>
        <v>4945.7350068023034</v>
      </c>
      <c r="CB33" s="445">
        <f t="shared" si="74"/>
        <v>4937.7849470173596</v>
      </c>
      <c r="CC33" s="445">
        <f t="shared" si="74"/>
        <v>5007.5605360730779</v>
      </c>
      <c r="CD33" s="447">
        <f t="shared" si="74"/>
        <v>4971.409956256156</v>
      </c>
      <c r="CE33" s="445">
        <f t="shared" si="74"/>
        <v>4871.2491381636137</v>
      </c>
      <c r="CF33" s="445">
        <f t="shared" si="74"/>
        <v>4842.7756401751358</v>
      </c>
      <c r="CG33" s="445">
        <f t="shared" ref="CG33:DC33" si="75">1000000*CG27/CG10</f>
        <v>4838.6115112292309</v>
      </c>
      <c r="CH33" s="445">
        <f t="shared" si="75"/>
        <v>5116.9552822603591</v>
      </c>
      <c r="CI33" s="447">
        <f t="shared" si="75"/>
        <v>4916.3508395428698</v>
      </c>
      <c r="CJ33" s="445">
        <f t="shared" si="75"/>
        <v>5038.0533819273232</v>
      </c>
      <c r="CK33" s="445">
        <f t="shared" si="75"/>
        <v>4973.6177551481305</v>
      </c>
      <c r="CL33" s="445">
        <f t="shared" si="75"/>
        <v>5044.6636030360924</v>
      </c>
      <c r="CM33" s="445">
        <f t="shared" si="75"/>
        <v>4982.0193922657627</v>
      </c>
      <c r="CN33" s="447">
        <f t="shared" si="75"/>
        <v>5009.6017366619353</v>
      </c>
      <c r="CO33" s="445">
        <f t="shared" si="75"/>
        <v>5150.436293103885</v>
      </c>
      <c r="CP33" s="445">
        <f t="shared" si="75"/>
        <v>5062.6124523769013</v>
      </c>
      <c r="CQ33" s="445">
        <f t="shared" si="75"/>
        <v>5139.3839919985639</v>
      </c>
      <c r="CR33" s="445">
        <f t="shared" si="75"/>
        <v>5236.7647742355302</v>
      </c>
      <c r="CS33" s="447">
        <f t="shared" si="75"/>
        <v>5147.2643219584988</v>
      </c>
      <c r="CT33" s="445">
        <f t="shared" si="75"/>
        <v>5235.1375332741791</v>
      </c>
      <c r="CU33" s="445">
        <f t="shared" si="75"/>
        <v>5352.1012329128835</v>
      </c>
      <c r="CV33" s="445">
        <f t="shared" si="75"/>
        <v>5308.9827988957313</v>
      </c>
      <c r="CW33" s="445">
        <f t="shared" si="75"/>
        <v>5474.0496929314013</v>
      </c>
      <c r="CX33" s="447">
        <f t="shared" si="75"/>
        <v>5342.1243509011465</v>
      </c>
      <c r="CY33" s="445">
        <f t="shared" si="75"/>
        <v>5873.573976171806</v>
      </c>
      <c r="CZ33" s="445">
        <f t="shared" si="75"/>
        <v>5966.0253786328285</v>
      </c>
      <c r="DA33" s="445">
        <f t="shared" si="75"/>
        <v>5956.4649498630315</v>
      </c>
      <c r="DB33" s="445">
        <f t="shared" si="75"/>
        <v>5752.7426938323961</v>
      </c>
      <c r="DC33" s="447">
        <f t="shared" si="75"/>
        <v>5868.1752826469829</v>
      </c>
      <c r="DD33" s="445">
        <v>5932.4912757481243</v>
      </c>
      <c r="DE33" s="445">
        <v>5795.4010115285819</v>
      </c>
      <c r="DF33" s="445">
        <v>5864.8821384262565</v>
      </c>
      <c r="DG33" s="445">
        <v>6089.8818252393685</v>
      </c>
      <c r="DH33" s="447">
        <v>5921.4877009010288</v>
      </c>
      <c r="DI33" s="445">
        <f t="shared" ref="DI33:EG33" si="76">1000000*DI27/DI10</f>
        <v>6038.7674662468416</v>
      </c>
      <c r="DJ33" s="445">
        <f t="shared" si="76"/>
        <v>5960.6670447579927</v>
      </c>
      <c r="DK33" s="445">
        <f t="shared" si="76"/>
        <v>6107.9448695533711</v>
      </c>
      <c r="DL33" s="445">
        <f t="shared" si="76"/>
        <v>6217.8422232616658</v>
      </c>
      <c r="DM33" s="447">
        <f t="shared" si="76"/>
        <v>6322.0136711528576</v>
      </c>
      <c r="DN33" s="445">
        <f t="shared" si="76"/>
        <v>6217.976456580278</v>
      </c>
      <c r="DO33" s="445">
        <f t="shared" si="76"/>
        <v>6327.0646095684815</v>
      </c>
      <c r="DP33" s="445">
        <f t="shared" si="76"/>
        <v>6286.0834224103219</v>
      </c>
      <c r="DQ33" s="445">
        <f t="shared" si="76"/>
        <v>6393.6694705970867</v>
      </c>
      <c r="DR33" s="447">
        <f t="shared" si="76"/>
        <v>6732.058876013838</v>
      </c>
      <c r="DS33" s="445">
        <f t="shared" si="76"/>
        <v>6568.0574454674515</v>
      </c>
      <c r="DT33" s="445">
        <f t="shared" si="76"/>
        <v>6528.4372534718605</v>
      </c>
      <c r="DU33" s="445">
        <f t="shared" si="76"/>
        <v>6573.7591990549245</v>
      </c>
      <c r="DV33" s="445">
        <f t="shared" ref="DV33" si="77">1000000*DV27/DV10</f>
        <v>6530.1468435569113</v>
      </c>
      <c r="DW33" s="447">
        <f t="shared" si="76"/>
        <v>7021.7519854204384</v>
      </c>
      <c r="DX33" s="445">
        <f t="shared" ca="1" si="76"/>
        <v>6815.7932278732742</v>
      </c>
      <c r="DY33" s="445">
        <f t="shared" ca="1" si="76"/>
        <v>6864.892156358068</v>
      </c>
      <c r="DZ33" s="445">
        <f t="shared" ca="1" si="76"/>
        <v>6764.2328140299023</v>
      </c>
      <c r="EA33" s="445">
        <f t="shared" ca="1" si="76"/>
        <v>7436.5822470635412</v>
      </c>
      <c r="EB33" s="447">
        <f t="shared" ca="1" si="76"/>
        <v>7506.0628609236828</v>
      </c>
      <c r="EC33" s="445">
        <f t="shared" si="76"/>
        <v>6725.5335623234369</v>
      </c>
      <c r="ED33" s="445">
        <f t="shared" si="76"/>
        <v>6758.9592972173841</v>
      </c>
      <c r="EE33" s="445">
        <f t="shared" si="76"/>
        <v>6517.5648235409772</v>
      </c>
      <c r="EF33" s="445">
        <f t="shared" si="76"/>
        <v>6929.1818979704831</v>
      </c>
      <c r="EG33" s="447">
        <f t="shared" si="76"/>
        <v>7334.4931512151488</v>
      </c>
      <c r="EH33" s="445">
        <f t="shared" ref="EH33:EL33" si="78">1000000*EH27/EH10</f>
        <v>6751.9363744601596</v>
      </c>
      <c r="EI33" s="445">
        <f t="shared" si="78"/>
        <v>6796.3430271580301</v>
      </c>
      <c r="EJ33" s="445">
        <f t="shared" si="78"/>
        <v>6612.7315282941126</v>
      </c>
      <c r="EK33" s="445">
        <f t="shared" si="78"/>
        <v>7089.9803126202332</v>
      </c>
      <c r="EL33" s="447">
        <f t="shared" si="78"/>
        <v>7524.6388998173325</v>
      </c>
    </row>
    <row r="34" spans="1:142" ht="11.25" customHeight="1">
      <c r="A34" s="450"/>
      <c r="B34" s="450" t="s">
        <v>497</v>
      </c>
      <c r="C34" s="451"/>
      <c r="D34" s="451"/>
      <c r="E34" s="451"/>
      <c r="F34" s="451"/>
      <c r="G34" s="451"/>
      <c r="H34" s="452"/>
      <c r="I34" s="451" t="str">
        <f t="shared" ref="I34:AT34" si="79">IF(ISERROR(I33/D33-1),"",(I33/D33-1))</f>
        <v/>
      </c>
      <c r="J34" s="451">
        <f t="shared" si="79"/>
        <v>-0.22741483039266464</v>
      </c>
      <c r="K34" s="451">
        <f t="shared" si="79"/>
        <v>-0.25407674764480626</v>
      </c>
      <c r="L34" s="451">
        <f t="shared" si="79"/>
        <v>1.4020891197060878</v>
      </c>
      <c r="M34" s="452">
        <f t="shared" si="79"/>
        <v>-0.16526873977919798</v>
      </c>
      <c r="N34" s="451">
        <f t="shared" si="79"/>
        <v>-9.1173020705204166E-4</v>
      </c>
      <c r="O34" s="451">
        <f t="shared" si="79"/>
        <v>-1.0108430867069917E-2</v>
      </c>
      <c r="P34" s="451">
        <f t="shared" si="79"/>
        <v>-5.4589167789897974E-3</v>
      </c>
      <c r="Q34" s="451">
        <f t="shared" si="79"/>
        <v>6.0074223832256024E-3</v>
      </c>
      <c r="R34" s="452">
        <f t="shared" si="79"/>
        <v>-9.0343653611901775E-4</v>
      </c>
      <c r="S34" s="451">
        <f t="shared" si="79"/>
        <v>4.0834529287404164E-2</v>
      </c>
      <c r="T34" s="451">
        <f t="shared" si="79"/>
        <v>-5.0377743691199628E-2</v>
      </c>
      <c r="U34" s="451">
        <f t="shared" si="79"/>
        <v>5.5475694641439199E-2</v>
      </c>
      <c r="V34" s="451">
        <f t="shared" si="79"/>
        <v>-1.4936659005152175E-2</v>
      </c>
      <c r="W34" s="452">
        <f t="shared" si="79"/>
        <v>5.1361705019581372E-3</v>
      </c>
      <c r="X34" s="451">
        <f t="shared" si="79"/>
        <v>-5.3792680901999401E-2</v>
      </c>
      <c r="Y34" s="451">
        <f t="shared" si="79"/>
        <v>4.9536940394060869E-2</v>
      </c>
      <c r="Z34" s="451">
        <f t="shared" si="79"/>
        <v>3.44623360064642E-2</v>
      </c>
      <c r="AA34" s="451">
        <f t="shared" si="79"/>
        <v>2.7292549990669102E-2</v>
      </c>
      <c r="AB34" s="452">
        <f t="shared" si="79"/>
        <v>1.5381297579912134E-2</v>
      </c>
      <c r="AC34" s="451">
        <f t="shared" si="79"/>
        <v>4.0801851937563915E-2</v>
      </c>
      <c r="AD34" s="451">
        <f t="shared" si="79"/>
        <v>4.3602306504566313E-2</v>
      </c>
      <c r="AE34" s="451">
        <f t="shared" si="79"/>
        <v>1.2994160620385165E-2</v>
      </c>
      <c r="AF34" s="451">
        <f t="shared" si="79"/>
        <v>2.1254405039492497E-2</v>
      </c>
      <c r="AG34" s="452">
        <f t="shared" si="79"/>
        <v>2.8359125114048478E-2</v>
      </c>
      <c r="AH34" s="451">
        <f t="shared" si="79"/>
        <v>5.9897632209208851E-2</v>
      </c>
      <c r="AI34" s="451">
        <f t="shared" si="79"/>
        <v>1.9387851268273026E-2</v>
      </c>
      <c r="AJ34" s="451">
        <f t="shared" si="79"/>
        <v>5.4989998002642038E-2</v>
      </c>
      <c r="AK34" s="451">
        <f t="shared" si="79"/>
        <v>4.8146500545931392E-2</v>
      </c>
      <c r="AL34" s="452">
        <f t="shared" si="79"/>
        <v>4.6016770382039773E-2</v>
      </c>
      <c r="AM34" s="451">
        <f t="shared" si="79"/>
        <v>4.2815442530905523E-2</v>
      </c>
      <c r="AN34" s="451">
        <f t="shared" si="79"/>
        <v>8.5915685895068261E-2</v>
      </c>
      <c r="AO34" s="451">
        <f t="shared" si="79"/>
        <v>6.353003826071002E-2</v>
      </c>
      <c r="AP34" s="451">
        <f t="shared" si="79"/>
        <v>9.3481035030637427E-2</v>
      </c>
      <c r="AQ34" s="452">
        <f t="shared" si="79"/>
        <v>7.1658990960912217E-2</v>
      </c>
      <c r="AR34" s="451">
        <f t="shared" si="79"/>
        <v>8.6643741988431167E-2</v>
      </c>
      <c r="AS34" s="451">
        <f t="shared" si="79"/>
        <v>7.4833846264589221E-2</v>
      </c>
      <c r="AT34" s="451">
        <f t="shared" si="79"/>
        <v>5.935430902957739E-2</v>
      </c>
      <c r="AU34" s="453"/>
      <c r="AV34" s="454"/>
      <c r="AW34" s="454"/>
      <c r="AX34" s="454"/>
      <c r="AY34" s="454"/>
      <c r="AZ34" s="455"/>
      <c r="BA34" s="451" t="str">
        <f t="shared" ref="BA34:CF34" si="80">IF(ISERROR(BA33/AV33-1),"",(BA33/AV33-1))</f>
        <v/>
      </c>
      <c r="BB34" s="451" t="str">
        <f t="shared" si="80"/>
        <v/>
      </c>
      <c r="BC34" s="451" t="str">
        <f t="shared" si="80"/>
        <v/>
      </c>
      <c r="BD34" s="451" t="str">
        <f t="shared" si="80"/>
        <v/>
      </c>
      <c r="BE34" s="452" t="str">
        <f t="shared" si="80"/>
        <v/>
      </c>
      <c r="BF34" s="451">
        <f t="shared" si="80"/>
        <v>2.8928404086785875E-2</v>
      </c>
      <c r="BG34" s="451">
        <f t="shared" si="80"/>
        <v>3.0787048297869601E-2</v>
      </c>
      <c r="BH34" s="451">
        <f t="shared" si="80"/>
        <v>4.5993879998346143E-2</v>
      </c>
      <c r="BI34" s="451">
        <f t="shared" si="80"/>
        <v>2.3786336673426112E-2</v>
      </c>
      <c r="BJ34" s="452">
        <f t="shared" si="80"/>
        <v>3.2378547893020526E-2</v>
      </c>
      <c r="BK34" s="451">
        <f t="shared" si="80"/>
        <v>1.2148178770843732E-2</v>
      </c>
      <c r="BL34" s="451">
        <f t="shared" si="80"/>
        <v>1.1373539119526432E-2</v>
      </c>
      <c r="BM34" s="451">
        <f t="shared" si="80"/>
        <v>5.6881983375518752E-2</v>
      </c>
      <c r="BN34" s="451">
        <f t="shared" si="80"/>
        <v>4.6090057830084463E-2</v>
      </c>
      <c r="BO34" s="452">
        <f t="shared" si="80"/>
        <v>3.0932950973043827E-2</v>
      </c>
      <c r="BP34" s="451">
        <f t="shared" si="80"/>
        <v>1.7346043730535721E-2</v>
      </c>
      <c r="BQ34" s="451">
        <f t="shared" si="80"/>
        <v>1.2753495037219231E-2</v>
      </c>
      <c r="BR34" s="451">
        <f t="shared" si="80"/>
        <v>-1.0209386406371257E-3</v>
      </c>
      <c r="BS34" s="451">
        <f t="shared" si="80"/>
        <v>2.6773183171196591E-2</v>
      </c>
      <c r="BT34" s="452">
        <f t="shared" si="80"/>
        <v>1.3695069491830081E-2</v>
      </c>
      <c r="BU34" s="451">
        <f t="shared" si="80"/>
        <v>5.5473391093915581E-2</v>
      </c>
      <c r="BV34" s="451">
        <f t="shared" si="80"/>
        <v>4.0405669468592365E-2</v>
      </c>
      <c r="BW34" s="451">
        <f t="shared" si="80"/>
        <v>5.4619937948001684E-2</v>
      </c>
      <c r="BX34" s="451">
        <f t="shared" si="80"/>
        <v>5.0941186631324964E-2</v>
      </c>
      <c r="BY34" s="452">
        <f t="shared" si="80"/>
        <v>5.0946049801785298E-2</v>
      </c>
      <c r="BZ34" s="451">
        <f t="shared" si="80"/>
        <v>2.6934036554138618E-2</v>
      </c>
      <c r="CA34" s="451">
        <f t="shared" si="80"/>
        <v>1.0165129989570199E-2</v>
      </c>
      <c r="CB34" s="451">
        <f t="shared" si="80"/>
        <v>-5.1794937772126071E-3</v>
      </c>
      <c r="CC34" s="451">
        <f t="shared" si="80"/>
        <v>-1.4993752147689832E-2</v>
      </c>
      <c r="CD34" s="452">
        <f t="shared" si="80"/>
        <v>4.2644042743955612E-3</v>
      </c>
      <c r="CE34" s="451">
        <f t="shared" si="80"/>
        <v>-2.4424214590286764E-2</v>
      </c>
      <c r="CF34" s="451">
        <f t="shared" si="80"/>
        <v>-2.0817808977949381E-2</v>
      </c>
      <c r="CG34" s="451">
        <f t="shared" ref="CG34:DS34" si="81">IF(ISERROR(CG33/CB33-1),"",(CG33/CB33-1))</f>
        <v>-2.0084600048860701E-2</v>
      </c>
      <c r="CH34" s="451">
        <f t="shared" si="81"/>
        <v>2.1845915870458699E-2</v>
      </c>
      <c r="CI34" s="452">
        <f t="shared" si="81"/>
        <v>-1.1075151153848828E-2</v>
      </c>
      <c r="CJ34" s="451">
        <f t="shared" si="81"/>
        <v>3.4242601647468174E-2</v>
      </c>
      <c r="CK34" s="451">
        <f t="shared" si="81"/>
        <v>2.7018000563053812E-2</v>
      </c>
      <c r="CL34" s="451">
        <f t="shared" si="81"/>
        <v>4.2584962923488456E-2</v>
      </c>
      <c r="CM34" s="451">
        <f t="shared" si="81"/>
        <v>-2.6370347707043051E-2</v>
      </c>
      <c r="CN34" s="452">
        <f t="shared" si="81"/>
        <v>1.8967502556781701E-2</v>
      </c>
      <c r="CO34" s="451">
        <f t="shared" si="81"/>
        <v>2.2306812305662671E-2</v>
      </c>
      <c r="CP34" s="451">
        <f t="shared" si="81"/>
        <v>1.7893352808758367E-2</v>
      </c>
      <c r="CQ34" s="451">
        <f t="shared" si="81"/>
        <v>1.8776353869357054E-2</v>
      </c>
      <c r="CR34" s="451">
        <f t="shared" si="81"/>
        <v>5.1132956721373191E-2</v>
      </c>
      <c r="CS34" s="452">
        <f t="shared" si="81"/>
        <v>2.7479746401615657E-2</v>
      </c>
      <c r="CT34" s="451">
        <f t="shared" si="81"/>
        <v>1.6445449540595902E-2</v>
      </c>
      <c r="CU34" s="451">
        <f t="shared" si="81"/>
        <v>5.7181698828253635E-2</v>
      </c>
      <c r="CV34" s="451">
        <f t="shared" si="81"/>
        <v>3.299983172325982E-2</v>
      </c>
      <c r="CW34" s="451">
        <f t="shared" si="81"/>
        <v>4.5311357092702398E-2</v>
      </c>
      <c r="CX34" s="452">
        <f t="shared" si="81"/>
        <v>3.7857008452308216E-2</v>
      </c>
      <c r="CY34" s="451">
        <f t="shared" si="81"/>
        <v>0.12195218155010612</v>
      </c>
      <c r="CZ34" s="451">
        <f t="shared" si="81"/>
        <v>0.11470712510903236</v>
      </c>
      <c r="DA34" s="451">
        <f t="shared" si="81"/>
        <v>0.12195973795620074</v>
      </c>
      <c r="DB34" s="451">
        <f t="shared" si="81"/>
        <v>5.0911668058269299E-2</v>
      </c>
      <c r="DC34" s="452">
        <f t="shared" si="81"/>
        <v>9.8472236359885335E-2</v>
      </c>
      <c r="DD34" s="451">
        <v>1.0030911301251555E-2</v>
      </c>
      <c r="DE34" s="451">
        <v>-2.8599336455277791E-2</v>
      </c>
      <c r="DF34" s="451">
        <v>-1.5375363106750251E-2</v>
      </c>
      <c r="DG34" s="451">
        <v>5.860493843543968E-2</v>
      </c>
      <c r="DH34" s="452">
        <v>9.0850078067195028E-3</v>
      </c>
      <c r="DI34" s="451">
        <f t="shared" si="81"/>
        <v>1.7914259888281991E-2</v>
      </c>
      <c r="DJ34" s="451">
        <f t="shared" si="81"/>
        <v>2.8516755423939166E-2</v>
      </c>
      <c r="DK34" s="451">
        <f t="shared" si="81"/>
        <v>4.1443753751603252E-2</v>
      </c>
      <c r="DL34" s="451">
        <f t="shared" si="81"/>
        <v>2.1011967340970106E-2</v>
      </c>
      <c r="DM34" s="452">
        <f>IF(ISERROR(DM33/DH33-1),"",(DM33/DH33-1))</f>
        <v>6.763941605263879E-2</v>
      </c>
      <c r="DN34" s="451">
        <f t="shared" si="81"/>
        <v>2.9676418463719489E-2</v>
      </c>
      <c r="DO34" s="451">
        <f t="shared" si="81"/>
        <v>6.1469221826894405E-2</v>
      </c>
      <c r="DP34" s="451">
        <f t="shared" si="81"/>
        <v>2.916505578577322E-2</v>
      </c>
      <c r="DQ34" s="451">
        <f t="shared" si="81"/>
        <v>2.8277856050710204E-2</v>
      </c>
      <c r="DR34" s="452">
        <f>IF(ISERROR(DR33/DM33-1),"",(DR33/DM33-1))</f>
        <v>6.4859904800902868E-2</v>
      </c>
      <c r="DS34" s="451">
        <f t="shared" si="81"/>
        <v>5.6301433646744448E-2</v>
      </c>
      <c r="DT34" s="451">
        <f t="shared" ref="DT34:EG34" si="82">IF(ISERROR(DT33/DO33-1),"",(DT33/DO33-1))</f>
        <v>3.182718311408439E-2</v>
      </c>
      <c r="DU34" s="451">
        <f t="shared" si="82"/>
        <v>4.5763913284863289E-2</v>
      </c>
      <c r="DV34" s="451">
        <f t="shared" si="82"/>
        <v>2.1345703525565529E-2</v>
      </c>
      <c r="DW34" s="452">
        <f t="shared" si="82"/>
        <v>4.3031874013872651E-2</v>
      </c>
      <c r="DX34" s="451">
        <f t="shared" ca="1" si="82"/>
        <v>3.7718272786542384E-2</v>
      </c>
      <c r="DY34" s="451">
        <f t="shared" ca="1" si="82"/>
        <v>5.1536821114008369E-2</v>
      </c>
      <c r="DZ34" s="451">
        <f t="shared" ca="1" si="82"/>
        <v>2.8974839084821014E-2</v>
      </c>
      <c r="EA34" s="451">
        <f t="shared" ca="1" si="82"/>
        <v>0.13880781324251235</v>
      </c>
      <c r="EB34" s="452">
        <f t="shared" ca="1" si="82"/>
        <v>6.8972939589555304E-2</v>
      </c>
      <c r="EC34" s="451">
        <f t="shared" ca="1" si="82"/>
        <v>-1.3242723558678282E-2</v>
      </c>
      <c r="ED34" s="451">
        <f t="shared" ca="1" si="82"/>
        <v>-1.5431103173641492E-2</v>
      </c>
      <c r="EE34" s="451">
        <f t="shared" ca="1" si="82"/>
        <v>-3.6466513981793125E-2</v>
      </c>
      <c r="EF34" s="451">
        <f t="shared" ca="1" si="82"/>
        <v>-6.8230314980166296E-2</v>
      </c>
      <c r="EG34" s="452">
        <f t="shared" ca="1" si="82"/>
        <v>-2.2857483728483063E-2</v>
      </c>
      <c r="EH34" s="451">
        <f t="shared" ref="EH34" si="83">IF(ISERROR(EH33/EC33-1),"",(EH33/EC33-1))</f>
        <v>3.925757249154449E-3</v>
      </c>
      <c r="EI34" s="451">
        <f t="shared" ref="EI34" si="84">IF(ISERROR(EI33/ED33-1),"",(EI33/ED33-1))</f>
        <v>5.5309890615906632E-3</v>
      </c>
      <c r="EJ34" s="451">
        <f t="shared" ref="EJ34" si="85">IF(ISERROR(EJ33/EE33-1),"",(EJ33/EE33-1))</f>
        <v>1.4601573951270819E-2</v>
      </c>
      <c r="EK34" s="451">
        <f t="shared" ref="EK34" si="86">IF(ISERROR(EK33/EF33-1),"",(EK33/EF33-1))</f>
        <v>2.3205973954421255E-2</v>
      </c>
      <c r="EL34" s="452">
        <f t="shared" ref="EL34" si="87">IF(ISERROR(EL33/EG33-1),"",(EL33/EG33-1))</f>
        <v>2.5924865519941331E-2</v>
      </c>
    </row>
    <row r="35" spans="1:142">
      <c r="A35" s="9"/>
      <c r="B35" s="9"/>
      <c r="C35" s="435"/>
      <c r="D35" s="435"/>
      <c r="E35" s="435"/>
      <c r="F35" s="435"/>
      <c r="G35" s="435"/>
      <c r="H35" s="435"/>
      <c r="I35" s="435"/>
      <c r="J35" s="435"/>
      <c r="K35" s="435"/>
      <c r="L35" s="435"/>
      <c r="M35" s="435"/>
      <c r="N35" s="435"/>
      <c r="O35" s="435"/>
      <c r="P35" s="435"/>
      <c r="Q35" s="435"/>
      <c r="R35" s="435"/>
      <c r="S35" s="435"/>
      <c r="T35" s="435"/>
      <c r="U35" s="435"/>
      <c r="V35" s="435"/>
      <c r="W35" s="435"/>
      <c r="X35" s="435"/>
      <c r="Y35" s="435"/>
      <c r="Z35" s="435"/>
      <c r="AA35" s="435"/>
      <c r="AB35" s="435"/>
      <c r="AC35" s="435"/>
      <c r="AD35" s="435"/>
      <c r="AE35" s="435"/>
      <c r="AF35" s="435"/>
      <c r="AG35" s="435"/>
      <c r="AH35" s="435"/>
      <c r="AI35" s="435"/>
      <c r="AJ35" s="435"/>
      <c r="AK35" s="435"/>
      <c r="AL35" s="435"/>
      <c r="AM35" s="435"/>
      <c r="AN35" s="435"/>
      <c r="AO35" s="435"/>
      <c r="AP35" s="435"/>
      <c r="AQ35" s="435"/>
      <c r="AR35" s="435"/>
      <c r="AS35" s="435"/>
      <c r="AT35" s="435"/>
      <c r="AU35" s="436"/>
      <c r="AV35" s="435"/>
      <c r="AW35" s="435"/>
      <c r="AX35" s="435"/>
      <c r="AY35" s="435"/>
      <c r="AZ35" s="435"/>
      <c r="BA35" s="435"/>
      <c r="BB35" s="435"/>
      <c r="BC35" s="435"/>
      <c r="BD35" s="435"/>
      <c r="BE35" s="435"/>
      <c r="BF35" s="435"/>
      <c r="BG35" s="435"/>
      <c r="BH35" s="435"/>
      <c r="BI35" s="435"/>
      <c r="BJ35" s="435"/>
      <c r="BK35" s="435"/>
      <c r="BL35" s="435"/>
      <c r="BM35" s="435"/>
      <c r="BN35" s="435"/>
      <c r="BO35" s="435"/>
      <c r="BP35" s="435"/>
      <c r="BQ35" s="435"/>
      <c r="BR35" s="435"/>
      <c r="BS35" s="435"/>
      <c r="BT35" s="435"/>
      <c r="BU35" s="435"/>
      <c r="BV35" s="435"/>
      <c r="BW35" s="435"/>
      <c r="BX35" s="435"/>
      <c r="BY35" s="435"/>
      <c r="BZ35" s="435"/>
      <c r="CA35" s="435"/>
      <c r="CB35" s="435"/>
      <c r="CC35" s="435"/>
      <c r="CD35" s="435"/>
      <c r="CE35" s="435"/>
      <c r="CF35" s="435"/>
      <c r="CG35" s="435"/>
      <c r="CH35" s="435"/>
      <c r="CI35" s="435"/>
      <c r="CJ35" s="435"/>
      <c r="CK35" s="435"/>
      <c r="CL35" s="435"/>
      <c r="CM35" s="435"/>
      <c r="CN35" s="435"/>
      <c r="CO35" s="435"/>
      <c r="CP35" s="435"/>
      <c r="CQ35" s="435"/>
      <c r="CR35" s="435"/>
      <c r="CS35" s="435"/>
      <c r="CT35" s="435"/>
      <c r="CU35" s="435"/>
      <c r="CV35" s="435"/>
      <c r="CW35" s="435"/>
      <c r="CX35" s="435"/>
      <c r="CY35" s="435"/>
      <c r="CZ35" s="435"/>
      <c r="DA35" s="435"/>
      <c r="DB35" s="435"/>
      <c r="DC35" s="435"/>
      <c r="DD35" s="435"/>
      <c r="DE35" s="435"/>
      <c r="DF35" s="435"/>
      <c r="DG35" s="435"/>
      <c r="DH35" s="435"/>
      <c r="DI35" s="435"/>
      <c r="DJ35" s="435"/>
      <c r="DK35" s="435"/>
      <c r="DL35" s="435"/>
      <c r="DM35" s="435"/>
      <c r="DN35" s="435"/>
      <c r="DO35" s="435"/>
      <c r="DP35" s="435"/>
      <c r="DQ35" s="435"/>
      <c r="DR35" s="435"/>
      <c r="DS35" s="435"/>
      <c r="DT35" s="435"/>
      <c r="DU35" s="435"/>
      <c r="DV35" s="435"/>
      <c r="DW35" s="435"/>
      <c r="DX35" s="435"/>
      <c r="DY35" s="435"/>
      <c r="DZ35" s="435"/>
      <c r="EA35" s="435"/>
      <c r="EB35" s="435"/>
      <c r="EC35" s="435"/>
      <c r="ED35" s="435"/>
      <c r="EE35" s="435"/>
      <c r="EF35" s="435"/>
      <c r="EG35" s="435"/>
      <c r="EH35" s="435"/>
      <c r="EI35" s="435"/>
      <c r="EJ35" s="435"/>
      <c r="EK35" s="435"/>
      <c r="EL35" s="435"/>
    </row>
    <row r="36" spans="1:142">
      <c r="A36" s="456"/>
      <c r="B36" s="456" t="s">
        <v>339</v>
      </c>
      <c r="C36" s="432"/>
      <c r="D36" s="432">
        <f>IS!D17</f>
        <v>0</v>
      </c>
      <c r="E36" s="432">
        <f>IS!E17</f>
        <v>78.5</v>
      </c>
      <c r="F36" s="432">
        <f>IS!F17</f>
        <v>84</v>
      </c>
      <c r="G36" s="432">
        <f>IS!G17</f>
        <v>269.5</v>
      </c>
      <c r="H36" s="433">
        <f>IS!H17</f>
        <v>432</v>
      </c>
      <c r="I36" s="432">
        <f>IS!I17</f>
        <v>178.7</v>
      </c>
      <c r="J36" s="432">
        <f>IS!J17</f>
        <v>186</v>
      </c>
      <c r="K36" s="432">
        <f>IS!K17</f>
        <v>200</v>
      </c>
      <c r="L36" s="432">
        <f>IS!L17</f>
        <v>199.29999999999995</v>
      </c>
      <c r="M36" s="433">
        <f>IS!M17</f>
        <v>764</v>
      </c>
      <c r="N36" s="432">
        <f>IS!N17</f>
        <v>191</v>
      </c>
      <c r="O36" s="432">
        <f>IS!O17</f>
        <v>204.1</v>
      </c>
      <c r="P36" s="432">
        <f>IS!P17</f>
        <v>315.5</v>
      </c>
      <c r="Q36" s="432">
        <f>IS!Q17</f>
        <v>486.4</v>
      </c>
      <c r="R36" s="433">
        <f>IS!R17</f>
        <v>1197</v>
      </c>
      <c r="S36" s="432">
        <f>IS!S17</f>
        <v>321</v>
      </c>
      <c r="T36" s="432">
        <f>IS!T17</f>
        <v>330</v>
      </c>
      <c r="U36" s="432">
        <f>IS!U17</f>
        <v>365</v>
      </c>
      <c r="V36" s="432">
        <f>IS!V17</f>
        <v>359</v>
      </c>
      <c r="W36" s="433">
        <f>IS!W17</f>
        <v>1375</v>
      </c>
      <c r="X36" s="432">
        <f>IS!X17</f>
        <v>350</v>
      </c>
      <c r="Y36" s="432">
        <f>IS!Y17</f>
        <v>351</v>
      </c>
      <c r="Z36" s="432">
        <f>IS!Z17</f>
        <v>403</v>
      </c>
      <c r="AA36" s="432">
        <f>IS!AA17</f>
        <v>421</v>
      </c>
      <c r="AB36" s="433">
        <f>IS!AB17</f>
        <v>1525</v>
      </c>
      <c r="AC36" s="432">
        <f>IS!AC17</f>
        <v>407</v>
      </c>
      <c r="AD36" s="432">
        <f>IS!AD17</f>
        <v>387</v>
      </c>
      <c r="AE36" s="432">
        <f>IS!AE17</f>
        <v>401</v>
      </c>
      <c r="AF36" s="432">
        <f>IS!AF17</f>
        <v>400</v>
      </c>
      <c r="AG36" s="433">
        <f>IS!AG17</f>
        <v>1595</v>
      </c>
      <c r="AH36" s="432">
        <f>IS!AH17</f>
        <v>404</v>
      </c>
      <c r="AI36" s="432">
        <f>IS!AI17</f>
        <v>405</v>
      </c>
      <c r="AJ36" s="432">
        <f>IS!AJ17</f>
        <v>420</v>
      </c>
      <c r="AK36" s="432">
        <f>IS!AK17</f>
        <v>448</v>
      </c>
      <c r="AL36" s="433">
        <f>IS!AL17</f>
        <v>1677</v>
      </c>
      <c r="AM36" s="432">
        <f>IS!AM17</f>
        <v>466</v>
      </c>
      <c r="AN36" s="432">
        <f>IS!AN17</f>
        <v>473</v>
      </c>
      <c r="AO36" s="432">
        <f>IS!AO17</f>
        <v>496</v>
      </c>
      <c r="AP36" s="432">
        <f>IS!AP17</f>
        <v>525</v>
      </c>
      <c r="AQ36" s="433">
        <f>IS!AQ17</f>
        <v>1960</v>
      </c>
      <c r="AR36" s="432">
        <f>IS!AR17</f>
        <v>529</v>
      </c>
      <c r="AS36" s="432">
        <f>IS!AS17</f>
        <v>536</v>
      </c>
      <c r="AT36" s="432">
        <f>IS!AT17</f>
        <v>558</v>
      </c>
      <c r="AU36" s="457"/>
      <c r="AV36" s="432">
        <f>IS!AV17</f>
        <v>489</v>
      </c>
      <c r="AW36" s="432">
        <f>IS!AW17</f>
        <v>475</v>
      </c>
      <c r="AX36" s="432">
        <f>IS!AX17</f>
        <v>501</v>
      </c>
      <c r="AY36" s="432">
        <f>IS!AY17</f>
        <v>498</v>
      </c>
      <c r="AZ36" s="433">
        <f>IS!AZ17</f>
        <v>1963</v>
      </c>
      <c r="BA36" s="432">
        <f>IS!BA17</f>
        <v>527</v>
      </c>
      <c r="BB36" s="432">
        <f>IS!BB17</f>
        <v>525</v>
      </c>
      <c r="BC36" s="432">
        <f>IS!BC17</f>
        <v>521</v>
      </c>
      <c r="BD36" s="432">
        <f>IS!BD17</f>
        <v>533</v>
      </c>
      <c r="BE36" s="433">
        <f>IS!BE17</f>
        <v>2106</v>
      </c>
      <c r="BF36" s="432">
        <f>IS!BF17</f>
        <v>449</v>
      </c>
      <c r="BG36" s="432">
        <f>IS!BG17</f>
        <v>437</v>
      </c>
      <c r="BH36" s="432">
        <f>IS!BH17</f>
        <v>423</v>
      </c>
      <c r="BI36" s="432">
        <f>IS!BI17</f>
        <v>444</v>
      </c>
      <c r="BJ36" s="433">
        <f>IS!BJ17</f>
        <v>1753</v>
      </c>
      <c r="BK36" s="432">
        <f>IS!BK17</f>
        <v>457</v>
      </c>
      <c r="BL36" s="432">
        <f>IS!BL17</f>
        <v>447</v>
      </c>
      <c r="BM36" s="432">
        <f>IS!BM17</f>
        <v>446</v>
      </c>
      <c r="BN36" s="432">
        <f>IS!BN17</f>
        <v>424</v>
      </c>
      <c r="BO36" s="433">
        <f>IS!BO17</f>
        <v>1774</v>
      </c>
      <c r="BP36" s="432">
        <f>IS!BP17</f>
        <v>449</v>
      </c>
      <c r="BQ36" s="432">
        <f>IS!BQ17</f>
        <v>398</v>
      </c>
      <c r="BR36" s="432">
        <f>IS!BR17</f>
        <v>386</v>
      </c>
      <c r="BS36" s="432">
        <f>IS!BS17</f>
        <v>392</v>
      </c>
      <c r="BT36" s="433">
        <f>IS!BT17</f>
        <v>1625</v>
      </c>
      <c r="BU36" s="432">
        <f>IS!BU17</f>
        <v>408</v>
      </c>
      <c r="BV36" s="432">
        <f>IS!BV17</f>
        <v>399</v>
      </c>
      <c r="BW36" s="432">
        <f>IS!BW17</f>
        <v>383</v>
      </c>
      <c r="BX36" s="432">
        <f>IS!BX17</f>
        <v>406</v>
      </c>
      <c r="BY36" s="433">
        <f>IS!BY17</f>
        <v>1596</v>
      </c>
      <c r="BZ36" s="432">
        <f>IS!BZ17</f>
        <v>420</v>
      </c>
      <c r="CA36" s="432">
        <f>IS!CA17</f>
        <v>392</v>
      </c>
      <c r="CB36" s="432">
        <f>IS!CB17</f>
        <v>380</v>
      </c>
      <c r="CC36" s="432">
        <f>IS!CC17</f>
        <v>388</v>
      </c>
      <c r="CD36" s="433">
        <f>IS!CD17</f>
        <v>1580</v>
      </c>
      <c r="CE36" s="432">
        <f>IS!CE17</f>
        <v>395</v>
      </c>
      <c r="CF36" s="432">
        <f>IS!CF17</f>
        <v>395</v>
      </c>
      <c r="CG36" s="432">
        <f>IS!CG17</f>
        <v>389</v>
      </c>
      <c r="CH36" s="432">
        <f>IS!CH17</f>
        <v>394</v>
      </c>
      <c r="CI36" s="433">
        <f>IS!CI17</f>
        <v>1573</v>
      </c>
      <c r="CJ36" s="432">
        <f>IS!CJ17</f>
        <v>398</v>
      </c>
      <c r="CK36" s="432">
        <f>IS!CK17</f>
        <v>395</v>
      </c>
      <c r="CL36" s="432">
        <f>IS!CL17</f>
        <v>390</v>
      </c>
      <c r="CM36" s="432">
        <f>IS!CM17</f>
        <v>394</v>
      </c>
      <c r="CN36" s="433">
        <f>IS!CN17</f>
        <v>1577</v>
      </c>
      <c r="CO36" s="432">
        <f>IS!CO17</f>
        <v>396</v>
      </c>
      <c r="CP36" s="432">
        <f>IS!CP17</f>
        <v>392</v>
      </c>
      <c r="CQ36" s="432">
        <f>IS!CQ17</f>
        <v>379</v>
      </c>
      <c r="CR36" s="432">
        <f>IS!CR17</f>
        <v>381</v>
      </c>
      <c r="CS36" s="433">
        <f>IS!CS17</f>
        <v>1548</v>
      </c>
      <c r="CT36" s="434">
        <f>IS!CT17</f>
        <v>399</v>
      </c>
      <c r="CU36" s="434">
        <f>IS!CU17</f>
        <v>389</v>
      </c>
      <c r="CV36" s="434">
        <f>IS!CV17</f>
        <v>376</v>
      </c>
      <c r="CW36" s="434">
        <f>IS!CW17</f>
        <v>388</v>
      </c>
      <c r="CX36" s="433">
        <f>IS!CX17</f>
        <v>1552</v>
      </c>
      <c r="CY36" s="434">
        <f>IS!CY17</f>
        <v>384</v>
      </c>
      <c r="CZ36" s="434">
        <f>IS!CZ17</f>
        <v>387</v>
      </c>
      <c r="DA36" s="434">
        <f>IS!DA17</f>
        <v>387</v>
      </c>
      <c r="DB36" s="434">
        <f>IS!DB17</f>
        <v>626</v>
      </c>
      <c r="DC36" s="433">
        <f>IS!DC17</f>
        <v>1784</v>
      </c>
      <c r="DD36" s="434">
        <v>628</v>
      </c>
      <c r="DE36" s="434">
        <v>649</v>
      </c>
      <c r="DF36" s="434">
        <v>665</v>
      </c>
      <c r="DG36" s="434">
        <v>688</v>
      </c>
      <c r="DH36" s="433">
        <v>1530</v>
      </c>
      <c r="DI36" s="434">
        <f>IS!DI17</f>
        <v>687</v>
      </c>
      <c r="DJ36" s="434">
        <v>648</v>
      </c>
      <c r="DK36" s="434">
        <v>688</v>
      </c>
      <c r="DL36" s="434">
        <v>738</v>
      </c>
      <c r="DM36" s="433">
        <f>IS!DM17</f>
        <v>2963</v>
      </c>
      <c r="DN36" s="434">
        <v>725</v>
      </c>
      <c r="DO36" s="434">
        <v>682</v>
      </c>
      <c r="DP36" s="434">
        <v>678</v>
      </c>
      <c r="DQ36" s="434">
        <v>674</v>
      </c>
      <c r="DR36" s="433">
        <f>IS!DR17</f>
        <v>3124</v>
      </c>
      <c r="DS36" s="434">
        <v>671</v>
      </c>
      <c r="DT36" s="434">
        <v>684</v>
      </c>
      <c r="DU36" s="434">
        <v>645</v>
      </c>
      <c r="DV36" s="434">
        <v>687</v>
      </c>
      <c r="DW36" s="433">
        <f>IS!DW17</f>
        <v>3085</v>
      </c>
      <c r="DX36" s="432">
        <f>DX$23*DX38</f>
        <v>620.5394002499321</v>
      </c>
      <c r="DY36" s="432">
        <f>DY$23*DY38</f>
        <v>606.42503396478412</v>
      </c>
      <c r="DZ36" s="432">
        <f>DZ$23*DZ38</f>
        <v>569.41569336482644</v>
      </c>
      <c r="EA36" s="432">
        <f>EA$23*EA38</f>
        <v>597.69771493494284</v>
      </c>
      <c r="EB36" s="433">
        <f>IS!EB17</f>
        <v>2775.4844269607356</v>
      </c>
      <c r="EC36" s="432">
        <f>EC$23*EC38</f>
        <v>587.08078072710828</v>
      </c>
      <c r="ED36" s="432">
        <f>ED$23*ED38</f>
        <v>595.17023555836613</v>
      </c>
      <c r="EE36" s="432">
        <f>EE$23*EE38</f>
        <v>580.95379493843029</v>
      </c>
      <c r="EF36" s="432">
        <f>EF$23*EF38</f>
        <v>620.88085867698453</v>
      </c>
      <c r="EG36" s="433">
        <f>IS!EG17</f>
        <v>2816.2868013098669</v>
      </c>
      <c r="EH36" s="432">
        <f>EH$23*EH38</f>
        <v>613.33213258309468</v>
      </c>
      <c r="EI36" s="432">
        <f>EI$23*EI38</f>
        <v>621.23215758530262</v>
      </c>
      <c r="EJ36" s="432">
        <f>EJ$23*EJ38</f>
        <v>605.82393359927732</v>
      </c>
      <c r="EK36" s="432">
        <f>EK$23*EK38</f>
        <v>648.09039517860003</v>
      </c>
      <c r="EL36" s="433">
        <f>IS!EL17</f>
        <v>3012.1079706036271</v>
      </c>
    </row>
    <row r="37" spans="1:142">
      <c r="A37" s="415"/>
      <c r="B37" s="415" t="s">
        <v>109</v>
      </c>
      <c r="C37" s="435"/>
      <c r="D37" s="435"/>
      <c r="E37" s="435"/>
      <c r="F37" s="435"/>
      <c r="G37" s="435"/>
      <c r="H37" s="55"/>
      <c r="I37" s="458" t="str">
        <f>IF(ISERROR(I36/D36-1),"nm",I36/D36-1)</f>
        <v>nm</v>
      </c>
      <c r="J37" s="177">
        <f t="shared" ref="J37:AT37" si="88">J36/E36-1</f>
        <v>1.3694267515923566</v>
      </c>
      <c r="K37" s="177">
        <f t="shared" si="88"/>
        <v>1.3809523809523809</v>
      </c>
      <c r="L37" s="177">
        <f t="shared" si="88"/>
        <v>-0.26048237476808922</v>
      </c>
      <c r="M37" s="55">
        <f t="shared" si="88"/>
        <v>0.7685185185185186</v>
      </c>
      <c r="N37" s="177">
        <f t="shared" si="88"/>
        <v>6.8830442081701193E-2</v>
      </c>
      <c r="O37" s="177">
        <f t="shared" si="88"/>
        <v>9.7311827956989116E-2</v>
      </c>
      <c r="P37" s="177">
        <f t="shared" si="88"/>
        <v>0.5774999999999999</v>
      </c>
      <c r="Q37" s="177">
        <f t="shared" si="88"/>
        <v>1.4405418966382344</v>
      </c>
      <c r="R37" s="55">
        <f t="shared" si="88"/>
        <v>0.56675392670157065</v>
      </c>
      <c r="S37" s="177">
        <f t="shared" si="88"/>
        <v>0.68062827225130884</v>
      </c>
      <c r="T37" s="177">
        <f t="shared" si="88"/>
        <v>0.61685448309652147</v>
      </c>
      <c r="U37" s="177">
        <f t="shared" si="88"/>
        <v>0.15689381933438984</v>
      </c>
      <c r="V37" s="177">
        <f t="shared" si="88"/>
        <v>-0.26192434210526316</v>
      </c>
      <c r="W37" s="55">
        <f t="shared" si="88"/>
        <v>0.14870509607351723</v>
      </c>
      <c r="X37" s="177">
        <f t="shared" si="88"/>
        <v>9.0342679127725756E-2</v>
      </c>
      <c r="Y37" s="177">
        <f t="shared" si="88"/>
        <v>6.3636363636363713E-2</v>
      </c>
      <c r="Z37" s="177">
        <f t="shared" si="88"/>
        <v>0.10410958904109591</v>
      </c>
      <c r="AA37" s="177">
        <f t="shared" si="88"/>
        <v>0.17270194986072429</v>
      </c>
      <c r="AB37" s="55">
        <f t="shared" si="88"/>
        <v>0.10909090909090913</v>
      </c>
      <c r="AC37" s="177">
        <f t="shared" si="88"/>
        <v>0.16285714285714281</v>
      </c>
      <c r="AD37" s="177">
        <f t="shared" si="88"/>
        <v>0.10256410256410264</v>
      </c>
      <c r="AE37" s="177">
        <f t="shared" si="88"/>
        <v>-4.9627791563275903E-3</v>
      </c>
      <c r="AF37" s="177">
        <f t="shared" si="88"/>
        <v>-4.9881235154394354E-2</v>
      </c>
      <c r="AG37" s="55">
        <f t="shared" si="88"/>
        <v>4.590163934426239E-2</v>
      </c>
      <c r="AH37" s="177">
        <f t="shared" si="88"/>
        <v>-7.3710073710073765E-3</v>
      </c>
      <c r="AI37" s="177">
        <f t="shared" si="88"/>
        <v>4.6511627906976827E-2</v>
      </c>
      <c r="AJ37" s="177">
        <f t="shared" si="88"/>
        <v>4.7381546134663388E-2</v>
      </c>
      <c r="AK37" s="177">
        <f t="shared" si="88"/>
        <v>0.12000000000000011</v>
      </c>
      <c r="AL37" s="55">
        <f t="shared" si="88"/>
        <v>5.1410658307210033E-2</v>
      </c>
      <c r="AM37" s="177">
        <f t="shared" si="88"/>
        <v>0.15346534653465338</v>
      </c>
      <c r="AN37" s="177">
        <f t="shared" si="88"/>
        <v>0.16790123456790118</v>
      </c>
      <c r="AO37" s="177">
        <f t="shared" si="88"/>
        <v>0.18095238095238098</v>
      </c>
      <c r="AP37" s="177">
        <f t="shared" si="88"/>
        <v>0.171875</v>
      </c>
      <c r="AQ37" s="55">
        <f t="shared" si="88"/>
        <v>0.16875372689326174</v>
      </c>
      <c r="AR37" s="177">
        <f t="shared" si="88"/>
        <v>0.13519313304721026</v>
      </c>
      <c r="AS37" s="177">
        <f t="shared" si="88"/>
        <v>0.13319238900634245</v>
      </c>
      <c r="AT37" s="177">
        <f t="shared" si="88"/>
        <v>0.125</v>
      </c>
      <c r="AU37" s="395"/>
      <c r="AV37" s="435"/>
      <c r="AW37" s="435"/>
      <c r="AX37" s="435"/>
      <c r="AY37" s="435"/>
      <c r="AZ37" s="55"/>
      <c r="BA37" s="177">
        <f t="shared" ref="BA37:CF37" si="89">BA36/AV36-1</f>
        <v>7.7709611451942662E-2</v>
      </c>
      <c r="BB37" s="177">
        <f t="shared" si="89"/>
        <v>0.10526315789473695</v>
      </c>
      <c r="BC37" s="177">
        <f t="shared" si="89"/>
        <v>3.9920159680638667E-2</v>
      </c>
      <c r="BD37" s="177">
        <f t="shared" si="89"/>
        <v>7.0281124497991954E-2</v>
      </c>
      <c r="BE37" s="55">
        <f t="shared" si="89"/>
        <v>7.2847682119205226E-2</v>
      </c>
      <c r="BF37" s="177">
        <f t="shared" si="89"/>
        <v>-0.14800759013282727</v>
      </c>
      <c r="BG37" s="177">
        <f t="shared" si="89"/>
        <v>-0.16761904761904767</v>
      </c>
      <c r="BH37" s="177">
        <f t="shared" si="89"/>
        <v>-0.18809980806142035</v>
      </c>
      <c r="BI37" s="177">
        <f t="shared" si="89"/>
        <v>-0.16697936210131337</v>
      </c>
      <c r="BJ37" s="55">
        <f t="shared" si="89"/>
        <v>-0.16761633428300093</v>
      </c>
      <c r="BK37" s="177">
        <f t="shared" si="89"/>
        <v>1.7817371937639104E-2</v>
      </c>
      <c r="BL37" s="177">
        <f t="shared" si="89"/>
        <v>2.2883295194507935E-2</v>
      </c>
      <c r="BM37" s="177">
        <f t="shared" si="89"/>
        <v>5.4373522458628809E-2</v>
      </c>
      <c r="BN37" s="177">
        <f t="shared" si="89"/>
        <v>-4.5045045045045029E-2</v>
      </c>
      <c r="BO37" s="55">
        <f t="shared" si="89"/>
        <v>1.1979463776383259E-2</v>
      </c>
      <c r="BP37" s="177">
        <f t="shared" si="89"/>
        <v>-1.7505470459518557E-2</v>
      </c>
      <c r="BQ37" s="177">
        <f t="shared" si="89"/>
        <v>-0.10961968680089484</v>
      </c>
      <c r="BR37" s="177">
        <f t="shared" si="89"/>
        <v>-0.13452914798206284</v>
      </c>
      <c r="BS37" s="177">
        <f t="shared" si="89"/>
        <v>-7.547169811320753E-2</v>
      </c>
      <c r="BT37" s="55">
        <f t="shared" si="89"/>
        <v>-8.399098083427281E-2</v>
      </c>
      <c r="BU37" s="177">
        <f t="shared" si="89"/>
        <v>-9.1314031180400934E-2</v>
      </c>
      <c r="BV37" s="177">
        <f t="shared" si="89"/>
        <v>2.5125628140703071E-3</v>
      </c>
      <c r="BW37" s="177">
        <f t="shared" si="89"/>
        <v>-7.7720207253886286E-3</v>
      </c>
      <c r="BX37" s="177">
        <f t="shared" si="89"/>
        <v>3.5714285714285809E-2</v>
      </c>
      <c r="BY37" s="55">
        <f t="shared" si="89"/>
        <v>-1.7846153846153845E-2</v>
      </c>
      <c r="BZ37" s="177">
        <f t="shared" si="89"/>
        <v>2.9411764705882248E-2</v>
      </c>
      <c r="CA37" s="177">
        <f t="shared" si="89"/>
        <v>-1.7543859649122862E-2</v>
      </c>
      <c r="CB37" s="177">
        <f t="shared" si="89"/>
        <v>-7.8328981723237989E-3</v>
      </c>
      <c r="CC37" s="177">
        <f t="shared" si="89"/>
        <v>-4.4334975369458074E-2</v>
      </c>
      <c r="CD37" s="55">
        <f t="shared" si="89"/>
        <v>-1.0025062656641603E-2</v>
      </c>
      <c r="CE37" s="177">
        <f t="shared" si="89"/>
        <v>-5.9523809523809534E-2</v>
      </c>
      <c r="CF37" s="177">
        <f t="shared" si="89"/>
        <v>7.6530612244898322E-3</v>
      </c>
      <c r="CG37" s="177">
        <f t="shared" ref="CG37:DS37" si="90">CG36/CB36-1</f>
        <v>2.3684210526315752E-2</v>
      </c>
      <c r="CH37" s="177">
        <f t="shared" si="90"/>
        <v>1.5463917525773141E-2</v>
      </c>
      <c r="CI37" s="55">
        <f t="shared" si="90"/>
        <v>-4.4303797468354666E-3</v>
      </c>
      <c r="CJ37" s="177">
        <f t="shared" si="90"/>
        <v>7.5949367088608E-3</v>
      </c>
      <c r="CK37" s="177">
        <f t="shared" si="90"/>
        <v>0</v>
      </c>
      <c r="CL37" s="177">
        <f t="shared" si="90"/>
        <v>2.5706940874035134E-3</v>
      </c>
      <c r="CM37" s="177">
        <f t="shared" si="90"/>
        <v>0</v>
      </c>
      <c r="CN37" s="55">
        <f t="shared" si="90"/>
        <v>2.5429116338206992E-3</v>
      </c>
      <c r="CO37" s="177">
        <f t="shared" si="90"/>
        <v>-5.0251256281407253E-3</v>
      </c>
      <c r="CP37" s="177">
        <f t="shared" si="90"/>
        <v>-7.5949367088608E-3</v>
      </c>
      <c r="CQ37" s="177">
        <f t="shared" si="90"/>
        <v>-2.8205128205128216E-2</v>
      </c>
      <c r="CR37" s="177">
        <f t="shared" si="90"/>
        <v>-3.2994923857868064E-2</v>
      </c>
      <c r="CS37" s="55">
        <f t="shared" si="90"/>
        <v>-1.8389346861128697E-2</v>
      </c>
      <c r="CT37" s="177">
        <f t="shared" si="90"/>
        <v>7.575757575757569E-3</v>
      </c>
      <c r="CU37" s="177">
        <f t="shared" si="90"/>
        <v>-7.6530612244898322E-3</v>
      </c>
      <c r="CV37" s="177">
        <f t="shared" si="90"/>
        <v>-7.9155672823219003E-3</v>
      </c>
      <c r="CW37" s="177">
        <f t="shared" si="90"/>
        <v>1.8372703412073532E-2</v>
      </c>
      <c r="CX37" s="55">
        <f t="shared" si="90"/>
        <v>2.5839793281654533E-3</v>
      </c>
      <c r="CY37" s="177">
        <f t="shared" si="90"/>
        <v>-3.7593984962406068E-2</v>
      </c>
      <c r="CZ37" s="177">
        <f t="shared" si="90"/>
        <v>-5.1413881748072487E-3</v>
      </c>
      <c r="DA37" s="177">
        <f t="shared" si="90"/>
        <v>2.9255319148936199E-2</v>
      </c>
      <c r="DB37" s="177">
        <f t="shared" si="90"/>
        <v>0.61340206185567014</v>
      </c>
      <c r="DC37" s="55">
        <f t="shared" si="90"/>
        <v>0.14948453608247414</v>
      </c>
      <c r="DD37" s="177">
        <v>0.63541666666666674</v>
      </c>
      <c r="DE37" s="177">
        <v>0.67700258397932811</v>
      </c>
      <c r="DF37" s="177">
        <v>0.71834625322997425</v>
      </c>
      <c r="DG37" s="177">
        <v>9.9041533546325944E-2</v>
      </c>
      <c r="DH37" s="55">
        <v>0.47421524663677128</v>
      </c>
      <c r="DI37" s="177">
        <f t="shared" si="90"/>
        <v>9.3949044585987185E-2</v>
      </c>
      <c r="DJ37" s="177">
        <f t="shared" si="90"/>
        <v>-1.5408320493066618E-3</v>
      </c>
      <c r="DK37" s="177">
        <f t="shared" si="90"/>
        <v>3.458646616541361E-2</v>
      </c>
      <c r="DL37" s="177">
        <f t="shared" si="90"/>
        <v>7.267441860465107E-2</v>
      </c>
      <c r="DM37" s="55">
        <f>DM36/DH36-1</f>
        <v>0.93660130718954249</v>
      </c>
      <c r="DN37" s="177">
        <f t="shared" si="90"/>
        <v>5.5312954876273634E-2</v>
      </c>
      <c r="DO37" s="177">
        <f t="shared" si="90"/>
        <v>5.2469135802469147E-2</v>
      </c>
      <c r="DP37" s="177">
        <f t="shared" si="90"/>
        <v>-1.4534883720930258E-2</v>
      </c>
      <c r="DQ37" s="177">
        <f t="shared" si="90"/>
        <v>-8.6720867208672114E-2</v>
      </c>
      <c r="DR37" s="55">
        <f>DR36/DM36-1</f>
        <v>5.4336820789740115E-2</v>
      </c>
      <c r="DS37" s="177">
        <f t="shared" si="90"/>
        <v>-7.4482758620689649E-2</v>
      </c>
      <c r="DT37" s="177">
        <f t="shared" ref="DT37:EG37" si="91">DT36/DO36-1</f>
        <v>2.9325513196480912E-3</v>
      </c>
      <c r="DU37" s="177">
        <f t="shared" si="91"/>
        <v>-4.8672566371681381E-2</v>
      </c>
      <c r="DV37" s="177">
        <f t="shared" si="91"/>
        <v>1.928783382789323E-2</v>
      </c>
      <c r="DW37" s="55">
        <f t="shared" si="91"/>
        <v>-1.2483994878361049E-2</v>
      </c>
      <c r="DX37" s="177">
        <f t="shared" si="91"/>
        <v>-7.5202086065674911E-2</v>
      </c>
      <c r="DY37" s="177">
        <f t="shared" si="91"/>
        <v>-0.11341369303394133</v>
      </c>
      <c r="DZ37" s="177">
        <f t="shared" si="91"/>
        <v>-0.11718497152740082</v>
      </c>
      <c r="EA37" s="177">
        <f t="shared" si="91"/>
        <v>-0.12998877010925347</v>
      </c>
      <c r="EB37" s="55">
        <f t="shared" si="91"/>
        <v>-0.10032919709538557</v>
      </c>
      <c r="EC37" s="177">
        <f t="shared" si="91"/>
        <v>-5.391860615030708E-2</v>
      </c>
      <c r="ED37" s="177">
        <f t="shared" si="91"/>
        <v>-1.8559257576875599E-2</v>
      </c>
      <c r="EE37" s="177">
        <f t="shared" si="91"/>
        <v>2.0263055107283989E-2</v>
      </c>
      <c r="EF37" s="177">
        <f t="shared" si="91"/>
        <v>3.8787405678077702E-2</v>
      </c>
      <c r="EG37" s="55">
        <f t="shared" si="91"/>
        <v>1.4700991997210089E-2</v>
      </c>
      <c r="EH37" s="177">
        <f t="shared" ref="EH37" si="92">EH36/EC36-1</f>
        <v>4.4715059183974226E-2</v>
      </c>
      <c r="EI37" s="177">
        <f t="shared" ref="EI37" si="93">EI36/ED36-1</f>
        <v>4.3789021140289597E-2</v>
      </c>
      <c r="EJ37" s="177">
        <f t="shared" ref="EJ37" si="94">EJ36/EE36-1</f>
        <v>4.2809150878311719E-2</v>
      </c>
      <c r="EK37" s="177">
        <f t="shared" ref="EK37" si="95">EK36/EF36-1</f>
        <v>4.3824086572092913E-2</v>
      </c>
      <c r="EL37" s="55">
        <f t="shared" ref="EL37" si="96">EL36/EG36-1</f>
        <v>6.9531685907373797E-2</v>
      </c>
    </row>
    <row r="38" spans="1:142" ht="11.25" customHeight="1">
      <c r="A38" s="415"/>
      <c r="B38" s="1459" t="s">
        <v>219</v>
      </c>
      <c r="C38" s="1464"/>
      <c r="D38" s="1464">
        <f t="shared" ref="D38:AT38" si="97">D36/D$23</f>
        <v>0</v>
      </c>
      <c r="E38" s="1464">
        <f t="shared" si="97"/>
        <v>0.12288666249217284</v>
      </c>
      <c r="F38" s="1464">
        <f t="shared" si="97"/>
        <v>0.12717638152914459</v>
      </c>
      <c r="G38" s="1464">
        <f t="shared" si="97"/>
        <v>0.19876610134489792</v>
      </c>
      <c r="H38" s="1465">
        <f t="shared" si="97"/>
        <v>0.1301989150090416</v>
      </c>
      <c r="I38" s="1464">
        <f t="shared" si="97"/>
        <v>0.13918529480489134</v>
      </c>
      <c r="J38" s="1464">
        <f t="shared" si="97"/>
        <v>0.13567729228973666</v>
      </c>
      <c r="K38" s="1464">
        <f t="shared" si="97"/>
        <v>0.13967455827920944</v>
      </c>
      <c r="L38" s="1464">
        <f t="shared" si="97"/>
        <v>0.13536643347143923</v>
      </c>
      <c r="M38" s="1465">
        <f t="shared" si="97"/>
        <v>0.13743479042993345</v>
      </c>
      <c r="N38" s="1464">
        <f t="shared" si="97"/>
        <v>0.13276796885861256</v>
      </c>
      <c r="O38" s="1464">
        <f t="shared" si="97"/>
        <v>0.13826976492107582</v>
      </c>
      <c r="P38" s="1464">
        <f t="shared" si="97"/>
        <v>0.14104340828825607</v>
      </c>
      <c r="Q38" s="1464">
        <f t="shared" si="97"/>
        <v>0.13742442221845511</v>
      </c>
      <c r="R38" s="1465">
        <f t="shared" si="97"/>
        <v>0.13772868484639281</v>
      </c>
      <c r="S38" s="1464">
        <f t="shared" si="97"/>
        <v>0.1377091377091377</v>
      </c>
      <c r="T38" s="1464">
        <f t="shared" si="97"/>
        <v>0.13585837793330588</v>
      </c>
      <c r="U38" s="1464">
        <f t="shared" si="97"/>
        <v>0.14235569422776911</v>
      </c>
      <c r="V38" s="1464">
        <f t="shared" si="97"/>
        <v>0.13963438350836249</v>
      </c>
      <c r="W38" s="1465">
        <f t="shared" si="97"/>
        <v>0.13895907023749368</v>
      </c>
      <c r="X38" s="1464">
        <f t="shared" si="97"/>
        <v>0.13709361535448492</v>
      </c>
      <c r="Y38" s="1464">
        <f t="shared" si="97"/>
        <v>0.1369488880218494</v>
      </c>
      <c r="Z38" s="1464">
        <f t="shared" si="97"/>
        <v>0.14280652019844081</v>
      </c>
      <c r="AA38" s="1464">
        <f t="shared" si="97"/>
        <v>0.14309993201903468</v>
      </c>
      <c r="AB38" s="1465">
        <f t="shared" si="97"/>
        <v>0.14016544117647059</v>
      </c>
      <c r="AC38" s="1464">
        <f t="shared" si="97"/>
        <v>0.14166376609815523</v>
      </c>
      <c r="AD38" s="1464">
        <f t="shared" si="97"/>
        <v>0.13920863309352519</v>
      </c>
      <c r="AE38" s="1464">
        <f t="shared" si="97"/>
        <v>0.14070175438596491</v>
      </c>
      <c r="AF38" s="1464">
        <f t="shared" si="97"/>
        <v>0.13740982480247338</v>
      </c>
      <c r="AG38" s="1465">
        <f t="shared" si="97"/>
        <v>0.13974066935342561</v>
      </c>
      <c r="AH38" s="1464">
        <f t="shared" si="97"/>
        <v>0.13964742481852749</v>
      </c>
      <c r="AI38" s="1464">
        <f t="shared" si="97"/>
        <v>0.13893653516295026</v>
      </c>
      <c r="AJ38" s="1464">
        <f t="shared" si="97"/>
        <v>0.13833992094861661</v>
      </c>
      <c r="AK38" s="1464">
        <f t="shared" si="97"/>
        <v>0.13960735431598628</v>
      </c>
      <c r="AL38" s="1465">
        <f t="shared" si="97"/>
        <v>0.13913548494150835</v>
      </c>
      <c r="AM38" s="1464">
        <f t="shared" si="97"/>
        <v>0.14134061267819228</v>
      </c>
      <c r="AN38" s="1464">
        <f t="shared" si="97"/>
        <v>0.13936358279316441</v>
      </c>
      <c r="AO38" s="1464">
        <f t="shared" si="97"/>
        <v>0.1423650975889782</v>
      </c>
      <c r="AP38" s="1464">
        <f t="shared" si="97"/>
        <v>0.1404494382022472</v>
      </c>
      <c r="AQ38" s="1465">
        <f t="shared" si="97"/>
        <v>0.14087544023575074</v>
      </c>
      <c r="AR38" s="1464">
        <f t="shared" si="97"/>
        <v>0.14285714285714285</v>
      </c>
      <c r="AS38" s="1464">
        <f t="shared" si="97"/>
        <v>0.14187400741132875</v>
      </c>
      <c r="AT38" s="1464">
        <f t="shared" si="97"/>
        <v>0.15138361367335865</v>
      </c>
      <c r="AU38" s="1409"/>
      <c r="AV38" s="1466">
        <f t="shared" ref="AV38:CA38" si="98">AV36/AV$23</f>
        <v>0.1448888888888889</v>
      </c>
      <c r="AW38" s="1466">
        <f t="shared" si="98"/>
        <v>0.13848396501457727</v>
      </c>
      <c r="AX38" s="1466">
        <f t="shared" si="98"/>
        <v>0.14228912240840672</v>
      </c>
      <c r="AY38" s="1466">
        <f t="shared" si="98"/>
        <v>0.14257085599770972</v>
      </c>
      <c r="AZ38" s="1463">
        <f t="shared" si="98"/>
        <v>0.14205079962370648</v>
      </c>
      <c r="BA38" s="1464">
        <f t="shared" si="98"/>
        <v>0.15266512166859791</v>
      </c>
      <c r="BB38" s="1464">
        <f t="shared" si="98"/>
        <v>0.1553714116602545</v>
      </c>
      <c r="BC38" s="1464">
        <f t="shared" si="98"/>
        <v>0.15802244464664847</v>
      </c>
      <c r="BD38" s="1464">
        <f t="shared" si="98"/>
        <v>0.1675573718956303</v>
      </c>
      <c r="BE38" s="1465">
        <f t="shared" si="98"/>
        <v>0.1582387857840559</v>
      </c>
      <c r="BF38" s="1464">
        <f t="shared" si="98"/>
        <v>0.1682278006744099</v>
      </c>
      <c r="BG38" s="1464">
        <f t="shared" si="98"/>
        <v>0.17003891050583658</v>
      </c>
      <c r="BH38" s="1464">
        <f t="shared" si="98"/>
        <v>0.17336065573770493</v>
      </c>
      <c r="BI38" s="1464">
        <f t="shared" si="98"/>
        <v>0.18407960199004975</v>
      </c>
      <c r="BJ38" s="1465">
        <f t="shared" si="98"/>
        <v>0.17371915568328214</v>
      </c>
      <c r="BK38" s="1464">
        <f t="shared" si="98"/>
        <v>0.18272690923630547</v>
      </c>
      <c r="BL38" s="1464">
        <f t="shared" si="98"/>
        <v>0.18471074380165289</v>
      </c>
      <c r="BM38" s="1464">
        <f t="shared" si="98"/>
        <v>0.18629908103592313</v>
      </c>
      <c r="BN38" s="1464">
        <f t="shared" si="98"/>
        <v>0.18442801217920834</v>
      </c>
      <c r="BO38" s="1465">
        <f t="shared" si="98"/>
        <v>0.18452257125026003</v>
      </c>
      <c r="BP38" s="1464">
        <f t="shared" si="98"/>
        <v>0.18599834299917151</v>
      </c>
      <c r="BQ38" s="1464">
        <f t="shared" si="98"/>
        <v>0.18132118451025056</v>
      </c>
      <c r="BR38" s="1464">
        <f t="shared" si="98"/>
        <v>0.18233349078885214</v>
      </c>
      <c r="BS38" s="1464">
        <f t="shared" si="98"/>
        <v>0.17989903625516293</v>
      </c>
      <c r="BT38" s="1465">
        <f t="shared" si="98"/>
        <v>0.18248175182481752</v>
      </c>
      <c r="BU38" s="1464">
        <f t="shared" si="98"/>
        <v>0.17902588854760859</v>
      </c>
      <c r="BV38" s="1464">
        <f t="shared" si="98"/>
        <v>0.17908438061041293</v>
      </c>
      <c r="BW38" s="1464">
        <f t="shared" si="98"/>
        <v>0.17314647377938516</v>
      </c>
      <c r="BX38" s="1464">
        <f t="shared" si="98"/>
        <v>0.18036428254109285</v>
      </c>
      <c r="BY38" s="1465">
        <f t="shared" si="98"/>
        <v>0.17792642140468226</v>
      </c>
      <c r="BZ38" s="1464">
        <f t="shared" si="98"/>
        <v>0.17714044706874738</v>
      </c>
      <c r="CA38" s="1464">
        <f t="shared" si="98"/>
        <v>0.17948717948717949</v>
      </c>
      <c r="CB38" s="1464">
        <f t="shared" ref="CB38:DC38" si="99">CB36/CB$23</f>
        <v>0.17608897126969417</v>
      </c>
      <c r="CC38" s="1464">
        <f t="shared" si="99"/>
        <v>0.17676537585421412</v>
      </c>
      <c r="CD38" s="1465">
        <f t="shared" si="99"/>
        <v>0.17736865738661878</v>
      </c>
      <c r="CE38" s="1464">
        <f t="shared" si="99"/>
        <v>0.17332163229486616</v>
      </c>
      <c r="CF38" s="1464">
        <f t="shared" si="99"/>
        <v>0.177209510991476</v>
      </c>
      <c r="CG38" s="1464">
        <f t="shared" si="99"/>
        <v>0.17197170645446508</v>
      </c>
      <c r="CH38" s="1464">
        <f t="shared" si="99"/>
        <v>0.17425917735515259</v>
      </c>
      <c r="CI38" s="1465">
        <f t="shared" si="99"/>
        <v>0.17417783191230207</v>
      </c>
      <c r="CJ38" s="1464">
        <f t="shared" si="99"/>
        <v>0.17015818725951262</v>
      </c>
      <c r="CK38" s="1464">
        <f t="shared" si="99"/>
        <v>0.17151541467650891</v>
      </c>
      <c r="CL38" s="1464">
        <f t="shared" si="99"/>
        <v>0.17241379310344829</v>
      </c>
      <c r="CM38" s="1464">
        <f t="shared" si="99"/>
        <v>0.17122990004345937</v>
      </c>
      <c r="CN38" s="1465">
        <f t="shared" si="99"/>
        <v>0.17131993481803368</v>
      </c>
      <c r="CO38" s="1464">
        <f t="shared" si="99"/>
        <v>0.16303005351996708</v>
      </c>
      <c r="CP38" s="1464">
        <f t="shared" si="99"/>
        <v>0.17043478260869566</v>
      </c>
      <c r="CQ38" s="1464">
        <f t="shared" si="99"/>
        <v>0.16557448667540411</v>
      </c>
      <c r="CR38" s="1464">
        <f t="shared" si="99"/>
        <v>0.1619209519762006</v>
      </c>
      <c r="CS38" s="1465">
        <f t="shared" si="99"/>
        <v>0.16519048127200939</v>
      </c>
      <c r="CT38" s="1464">
        <f t="shared" si="99"/>
        <v>0.16017663588920111</v>
      </c>
      <c r="CU38" s="1464">
        <f t="shared" si="99"/>
        <v>0.15845213849287168</v>
      </c>
      <c r="CV38" s="1464">
        <f t="shared" si="99"/>
        <v>0.15492377420683973</v>
      </c>
      <c r="CW38" s="1464">
        <f t="shared" si="99"/>
        <v>0.1532990912682734</v>
      </c>
      <c r="CX38" s="1465">
        <f t="shared" si="99"/>
        <v>0.15670436187399031</v>
      </c>
      <c r="CY38" s="1464">
        <f t="shared" si="99"/>
        <v>0.14803392444101773</v>
      </c>
      <c r="CZ38" s="1464">
        <f t="shared" si="99"/>
        <v>0.14720426017497149</v>
      </c>
      <c r="DA38" s="1464">
        <f t="shared" si="99"/>
        <v>0.14782276546982429</v>
      </c>
      <c r="DB38" s="1464">
        <f t="shared" si="99"/>
        <v>0.14788566028821168</v>
      </c>
      <c r="DC38" s="1465">
        <f t="shared" si="99"/>
        <v>0.14775550770250123</v>
      </c>
      <c r="DD38" s="1464">
        <v>0.14584300975383185</v>
      </c>
      <c r="DE38" s="1464">
        <v>0.1487849610270518</v>
      </c>
      <c r="DF38" s="1464">
        <v>0.1501806684733514</v>
      </c>
      <c r="DG38" s="1464">
        <v>0.14262023217247097</v>
      </c>
      <c r="DH38" s="1465">
        <v>0.14676339285714285</v>
      </c>
      <c r="DI38" s="1464">
        <f t="shared" ref="DI38:DU38" si="100">DI36/DI$23</f>
        <v>0.14339386349405134</v>
      </c>
      <c r="DJ38" s="1464">
        <f t="shared" si="100"/>
        <v>0.13377374071015691</v>
      </c>
      <c r="DK38" s="1464">
        <f t="shared" si="100"/>
        <v>0.13588781354927909</v>
      </c>
      <c r="DL38" s="1464">
        <f t="shared" si="100"/>
        <v>0.13623776998338563</v>
      </c>
      <c r="DM38" s="1465">
        <f t="shared" si="100"/>
        <v>0.14733230570334643</v>
      </c>
      <c r="DN38" s="1464">
        <f t="shared" si="100"/>
        <v>0.13376383763837638</v>
      </c>
      <c r="DO38" s="1464">
        <f t="shared" si="100"/>
        <v>0.13065134099616857</v>
      </c>
      <c r="DP38" s="1464">
        <f t="shared" si="100"/>
        <v>0.12998466257668712</v>
      </c>
      <c r="DQ38" s="1464">
        <f t="shared" si="100"/>
        <v>0.12926735711545839</v>
      </c>
      <c r="DR38" s="1465">
        <f t="shared" si="100"/>
        <v>0.14826767916468914</v>
      </c>
      <c r="DS38" s="1464">
        <f t="shared" si="100"/>
        <v>0.12913779830638952</v>
      </c>
      <c r="DT38" s="1464">
        <f t="shared" si="100"/>
        <v>0.13222501449835686</v>
      </c>
      <c r="DU38" s="1464">
        <f t="shared" si="100"/>
        <v>0.1305403764420158</v>
      </c>
      <c r="DV38" s="1464">
        <f t="shared" ref="DV38" si="101">DV36/DV$23</f>
        <v>0.12954931171035264</v>
      </c>
      <c r="DW38" s="1465">
        <f>DW36/DW$23</f>
        <v>0.14966283413379905</v>
      </c>
      <c r="DX38" s="1467">
        <f>CHOOSE(Scenarios!$C$37,Scenarios!AX50,Scenarios!AX51,Scenarios!AX52)</f>
        <v>0.125</v>
      </c>
      <c r="DY38" s="1467">
        <f>CHOOSE(Scenarios!$C$37,Scenarios!AY50,Scenarios!AY51,Scenarios!AY52)</f>
        <v>0.1225</v>
      </c>
      <c r="DZ38" s="1467">
        <f>CHOOSE(Scenarios!$C$37,Scenarios!AZ50,Scenarios!AZ51,Scenarios!AZ52)</f>
        <v>0.12</v>
      </c>
      <c r="EA38" s="1467">
        <f>CHOOSE(Scenarios!$C$37,Scenarios!BA50,Scenarios!BA51,Scenarios!BA52)</f>
        <v>0.12</v>
      </c>
      <c r="EB38" s="1465">
        <f>EB36/EB$23</f>
        <v>0.14131313285215966</v>
      </c>
      <c r="EC38" s="1467">
        <f>CHOOSE(Scenarios!$C$37,Scenarios!BC50,Scenarios!BC51,Scenarios!BC52)</f>
        <v>0.12</v>
      </c>
      <c r="ED38" s="1467">
        <f>CHOOSE(Scenarios!$C$37,Scenarios!BD50,Scenarios!BD51,Scenarios!BD52)</f>
        <v>0.12</v>
      </c>
      <c r="EE38" s="1467">
        <f>CHOOSE(Scenarios!$C$37,Scenarios!BE50,Scenarios!BE51,Scenarios!BE52)</f>
        <v>0.12</v>
      </c>
      <c r="EF38" s="1467">
        <f>CHOOSE(Scenarios!$C$37,Scenarios!BF50,Scenarios!BF51,Scenarios!BF52)</f>
        <v>0.12</v>
      </c>
      <c r="EG38" s="1465">
        <f>EG36/EG$23</f>
        <v>0.14175430875822237</v>
      </c>
      <c r="EH38" s="1467">
        <f>CHOOSE(Scenarios!$C$37,Scenarios!BH50,Scenarios!BH51,Scenarios!BH52)</f>
        <v>0.12</v>
      </c>
      <c r="EI38" s="1467">
        <f>CHOOSE(Scenarios!$C$37,Scenarios!BI50,Scenarios!BI51,Scenarios!BI52)</f>
        <v>0.12</v>
      </c>
      <c r="EJ38" s="1467">
        <f>CHOOSE(Scenarios!$C$37,Scenarios!BJ50,Scenarios!BJ51,Scenarios!BJ52)</f>
        <v>0.12</v>
      </c>
      <c r="EK38" s="1467">
        <f>CHOOSE(Scenarios!$C$37,Scenarios!BK50,Scenarios!BK51,Scenarios!BK52)</f>
        <v>0.12</v>
      </c>
      <c r="EL38" s="1465">
        <f>EL36/EL$23</f>
        <v>0.14525057748958656</v>
      </c>
    </row>
    <row r="39" spans="1:142">
      <c r="A39" s="415"/>
      <c r="B39" s="415" t="s">
        <v>220</v>
      </c>
      <c r="C39" s="177"/>
      <c r="D39" s="177">
        <f t="shared" ref="D39:AT39" si="102">D36/D$25</f>
        <v>0</v>
      </c>
      <c r="E39" s="177">
        <f t="shared" si="102"/>
        <v>0.12700210321954378</v>
      </c>
      <c r="F39" s="177">
        <f t="shared" si="102"/>
        <v>0.13157894736842105</v>
      </c>
      <c r="G39" s="177">
        <f t="shared" si="102"/>
        <v>0.20927455112744239</v>
      </c>
      <c r="H39" s="55">
        <f t="shared" si="102"/>
        <v>0.13580635020433826</v>
      </c>
      <c r="I39" s="177">
        <f t="shared" si="102"/>
        <v>0.14688476080881141</v>
      </c>
      <c r="J39" s="177">
        <f t="shared" si="102"/>
        <v>0.14294497387027358</v>
      </c>
      <c r="K39" s="177">
        <f t="shared" si="102"/>
        <v>0.14705882352941177</v>
      </c>
      <c r="L39" s="177">
        <f t="shared" si="102"/>
        <v>0.14325761932144909</v>
      </c>
      <c r="M39" s="55">
        <f t="shared" si="102"/>
        <v>0.1449990510533308</v>
      </c>
      <c r="N39" s="177">
        <f t="shared" si="102"/>
        <v>0.14001906018620336</v>
      </c>
      <c r="O39" s="177">
        <f t="shared" si="102"/>
        <v>0.14605696293115789</v>
      </c>
      <c r="P39" s="177">
        <f t="shared" si="102"/>
        <v>0.14961115326251895</v>
      </c>
      <c r="Q39" s="177">
        <f t="shared" si="102"/>
        <v>0.14621095981002194</v>
      </c>
      <c r="R39" s="55">
        <f t="shared" si="102"/>
        <v>0.14602903501280956</v>
      </c>
      <c r="S39" s="177">
        <f t="shared" si="102"/>
        <v>0.14704535043518094</v>
      </c>
      <c r="T39" s="177">
        <f t="shared" si="102"/>
        <v>0.14391626689925863</v>
      </c>
      <c r="U39" s="177">
        <f t="shared" si="102"/>
        <v>0.15201999167013744</v>
      </c>
      <c r="V39" s="177">
        <f t="shared" si="102"/>
        <v>0.14773662551440328</v>
      </c>
      <c r="W39" s="55">
        <f t="shared" si="102"/>
        <v>0.14773826152358441</v>
      </c>
      <c r="X39" s="177">
        <f t="shared" si="102"/>
        <v>0.14619883040935672</v>
      </c>
      <c r="Y39" s="177">
        <f t="shared" si="102"/>
        <v>0.14754098360655737</v>
      </c>
      <c r="Z39" s="177">
        <f t="shared" si="102"/>
        <v>0.15311550151975684</v>
      </c>
      <c r="AA39" s="177">
        <f t="shared" si="102"/>
        <v>0.15409956076134701</v>
      </c>
      <c r="AB39" s="55">
        <f t="shared" si="102"/>
        <v>0.15043898589326229</v>
      </c>
      <c r="AC39" s="177">
        <f t="shared" si="102"/>
        <v>0.15358490566037736</v>
      </c>
      <c r="AD39" s="177">
        <f t="shared" si="102"/>
        <v>0.15058365758754863</v>
      </c>
      <c r="AE39" s="177">
        <f t="shared" si="102"/>
        <v>0.15212443095599393</v>
      </c>
      <c r="AF39" s="177">
        <f t="shared" si="102"/>
        <v>0.14776505356483191</v>
      </c>
      <c r="AG39" s="55">
        <f t="shared" si="102"/>
        <v>0.15099876928902775</v>
      </c>
      <c r="AH39" s="177">
        <f t="shared" si="102"/>
        <v>0.15074626865671642</v>
      </c>
      <c r="AI39" s="177">
        <f t="shared" si="102"/>
        <v>0.14950166112956811</v>
      </c>
      <c r="AJ39" s="177">
        <f t="shared" si="102"/>
        <v>0.14909478168264112</v>
      </c>
      <c r="AK39" s="177">
        <f t="shared" si="102"/>
        <v>0.1494329553035357</v>
      </c>
      <c r="AL39" s="55">
        <f t="shared" si="102"/>
        <v>0.14967868618350588</v>
      </c>
      <c r="AM39" s="177">
        <f t="shared" si="102"/>
        <v>0.15273680760406425</v>
      </c>
      <c r="AN39" s="177">
        <f t="shared" si="102"/>
        <v>0.15082908163265307</v>
      </c>
      <c r="AO39" s="177">
        <f t="shared" si="102"/>
        <v>0.15270935960591134</v>
      </c>
      <c r="AP39" s="177">
        <f t="shared" si="102"/>
        <v>0.15034364261168384</v>
      </c>
      <c r="AQ39" s="55">
        <f t="shared" si="102"/>
        <v>0.15162063897269282</v>
      </c>
      <c r="AR39" s="177">
        <f t="shared" si="102"/>
        <v>0.15440747227086982</v>
      </c>
      <c r="AS39" s="177">
        <f t="shared" si="102"/>
        <v>0.15371379409234298</v>
      </c>
      <c r="AT39" s="177">
        <f t="shared" si="102"/>
        <v>0.16499112950916617</v>
      </c>
      <c r="AU39" s="395"/>
      <c r="AV39" s="177">
        <f t="shared" ref="AV39:CA39" si="103">AV36/AV$25</f>
        <v>0.15523809523809523</v>
      </c>
      <c r="AW39" s="177">
        <f t="shared" si="103"/>
        <v>0.14792899408284024</v>
      </c>
      <c r="AX39" s="177">
        <f t="shared" si="103"/>
        <v>0.15363385464581417</v>
      </c>
      <c r="AY39" s="177">
        <f t="shared" si="103"/>
        <v>0.15456238361266295</v>
      </c>
      <c r="AZ39" s="55">
        <f t="shared" si="103"/>
        <v>0.15283400809716599</v>
      </c>
      <c r="BA39" s="177">
        <f t="shared" si="103"/>
        <v>0.1658275645059786</v>
      </c>
      <c r="BB39" s="177">
        <f t="shared" si="103"/>
        <v>0.16984794564865741</v>
      </c>
      <c r="BC39" s="177">
        <f t="shared" si="103"/>
        <v>0.18774774774774775</v>
      </c>
      <c r="BD39" s="177">
        <f t="shared" si="103"/>
        <v>0.18920837770678026</v>
      </c>
      <c r="BE39" s="55">
        <f t="shared" si="103"/>
        <v>0.17755669842340444</v>
      </c>
      <c r="BF39" s="177">
        <f t="shared" si="103"/>
        <v>0.18897306397306396</v>
      </c>
      <c r="BG39" s="177">
        <f t="shared" si="103"/>
        <v>0.21100917431192662</v>
      </c>
      <c r="BH39" s="177">
        <f t="shared" si="103"/>
        <v>0.19341563786008231</v>
      </c>
      <c r="BI39" s="177">
        <f t="shared" si="103"/>
        <v>0.20027063599458728</v>
      </c>
      <c r="BJ39" s="55">
        <f t="shared" si="103"/>
        <v>0.19805671675516892</v>
      </c>
      <c r="BK39" s="177">
        <f t="shared" si="103"/>
        <v>0.1958011996572408</v>
      </c>
      <c r="BL39" s="177">
        <f t="shared" si="103"/>
        <v>0.19717688575209527</v>
      </c>
      <c r="BM39" s="177">
        <f t="shared" si="103"/>
        <v>0.20383912248628885</v>
      </c>
      <c r="BN39" s="177">
        <f t="shared" si="103"/>
        <v>0.19934179595674659</v>
      </c>
      <c r="BO39" s="55">
        <f t="shared" si="103"/>
        <v>0.19896814715118888</v>
      </c>
      <c r="BP39" s="177">
        <f t="shared" si="103"/>
        <v>0.19727592267135324</v>
      </c>
      <c r="BQ39" s="177">
        <f t="shared" si="103"/>
        <v>0.19254958877600387</v>
      </c>
      <c r="BR39" s="177">
        <f t="shared" si="103"/>
        <v>0.19693877551020408</v>
      </c>
      <c r="BS39" s="177">
        <f t="shared" si="103"/>
        <v>0.19075425790754258</v>
      </c>
      <c r="BT39" s="55">
        <f t="shared" si="103"/>
        <v>0.19442450346972959</v>
      </c>
      <c r="BU39" s="177">
        <f t="shared" si="103"/>
        <v>0.19083255378858746</v>
      </c>
      <c r="BV39" s="177">
        <f t="shared" si="103"/>
        <v>0.1921039961482908</v>
      </c>
      <c r="BW39" s="177">
        <f t="shared" si="103"/>
        <v>0.18655625913297613</v>
      </c>
      <c r="BX39" s="177">
        <f t="shared" si="103"/>
        <v>0.19178082191780821</v>
      </c>
      <c r="BY39" s="55">
        <f t="shared" si="103"/>
        <v>0.19033989266547405</v>
      </c>
      <c r="BZ39" s="177">
        <f t="shared" si="103"/>
        <v>0.18901890189018902</v>
      </c>
      <c r="CA39" s="177">
        <f t="shared" si="103"/>
        <v>0.19310344827586207</v>
      </c>
      <c r="CB39" s="177">
        <f t="shared" ref="CB39:DC39" si="104">CB36/CB$25</f>
        <v>0.19076305220883535</v>
      </c>
      <c r="CC39" s="177">
        <f t="shared" si="104"/>
        <v>0.19122720551996056</v>
      </c>
      <c r="CD39" s="55">
        <f t="shared" si="104"/>
        <v>0.19098271485555421</v>
      </c>
      <c r="CE39" s="177">
        <f t="shared" si="104"/>
        <v>0.18605746585021196</v>
      </c>
      <c r="CF39" s="177">
        <f t="shared" si="104"/>
        <v>0.19156159068865181</v>
      </c>
      <c r="CG39" s="177">
        <f t="shared" si="104"/>
        <v>0.18801353310778154</v>
      </c>
      <c r="CH39" s="177">
        <f t="shared" si="104"/>
        <v>0.18942307692307692</v>
      </c>
      <c r="CI39" s="55">
        <f t="shared" si="104"/>
        <v>0.18874490040796738</v>
      </c>
      <c r="CJ39" s="177">
        <f t="shared" si="104"/>
        <v>0.18511627906976744</v>
      </c>
      <c r="CK39" s="177">
        <f t="shared" si="104"/>
        <v>0.18544600938967137</v>
      </c>
      <c r="CL39" s="177">
        <f t="shared" si="104"/>
        <v>0.18795180722891566</v>
      </c>
      <c r="CM39" s="177">
        <f t="shared" si="104"/>
        <v>0.18672985781990523</v>
      </c>
      <c r="CN39" s="55">
        <f t="shared" si="104"/>
        <v>0.18629651506202008</v>
      </c>
      <c r="CO39" s="177">
        <f t="shared" si="104"/>
        <v>0.17599999999999999</v>
      </c>
      <c r="CP39" s="177">
        <f t="shared" si="104"/>
        <v>0.18386491557223264</v>
      </c>
      <c r="CQ39" s="177">
        <f t="shared" si="104"/>
        <v>0.18047619047619048</v>
      </c>
      <c r="CR39" s="177">
        <f t="shared" si="104"/>
        <v>0.17541436464088397</v>
      </c>
      <c r="CS39" s="55">
        <f t="shared" si="104"/>
        <v>0.17887681996764501</v>
      </c>
      <c r="CT39" s="177">
        <f t="shared" si="104"/>
        <v>0.1733275412684622</v>
      </c>
      <c r="CU39" s="177">
        <f t="shared" si="104"/>
        <v>0.17174392935982341</v>
      </c>
      <c r="CV39" s="177">
        <f t="shared" si="104"/>
        <v>0.16929311121116614</v>
      </c>
      <c r="CW39" s="177">
        <f t="shared" si="104"/>
        <v>0.16645216645216646</v>
      </c>
      <c r="CX39" s="55">
        <f t="shared" si="104"/>
        <v>0.17019410023028841</v>
      </c>
      <c r="CY39" s="177">
        <f t="shared" si="104"/>
        <v>0.16087138667783829</v>
      </c>
      <c r="CZ39" s="177">
        <f t="shared" si="104"/>
        <v>0.15978530140379851</v>
      </c>
      <c r="DA39" s="177">
        <f t="shared" si="104"/>
        <v>0.16071428571428573</v>
      </c>
      <c r="DB39" s="177">
        <f t="shared" si="104"/>
        <v>0.16113256113256114</v>
      </c>
      <c r="DC39" s="55">
        <f t="shared" si="104"/>
        <v>0.1606917672491443</v>
      </c>
      <c r="DD39" s="177">
        <v>0.1599592460519613</v>
      </c>
      <c r="DE39" s="177">
        <v>0.16056407718951016</v>
      </c>
      <c r="DF39" s="177">
        <v>0.15912897822445563</v>
      </c>
      <c r="DG39" s="177">
        <v>0.15398388540734109</v>
      </c>
      <c r="DH39" s="55">
        <v>0.15829070117363828</v>
      </c>
      <c r="DI39" s="177">
        <f t="shared" ref="DI39:EG39" si="105">DI36/DI$25</f>
        <v>0.15528933092224231</v>
      </c>
      <c r="DJ39" s="177">
        <f t="shared" si="105"/>
        <v>0.14425645592163847</v>
      </c>
      <c r="DK39" s="177">
        <f t="shared" si="105"/>
        <v>0.14663256606990621</v>
      </c>
      <c r="DL39" s="177">
        <f t="shared" si="105"/>
        <v>0.14683645045762037</v>
      </c>
      <c r="DM39" s="55">
        <f t="shared" si="105"/>
        <v>0.15901041107652678</v>
      </c>
      <c r="DN39" s="177">
        <f t="shared" si="105"/>
        <v>0.1437351308485329</v>
      </c>
      <c r="DO39" s="177">
        <f t="shared" si="105"/>
        <v>0.14009860312243222</v>
      </c>
      <c r="DP39" s="177">
        <f t="shared" si="105"/>
        <v>0.13982264384409157</v>
      </c>
      <c r="DQ39" s="177">
        <f t="shared" si="105"/>
        <v>0.13868312757201645</v>
      </c>
      <c r="DR39" s="55">
        <f t="shared" si="105"/>
        <v>0.1592171652820957</v>
      </c>
      <c r="DS39" s="177">
        <f t="shared" si="105"/>
        <v>0.13941408684811968</v>
      </c>
      <c r="DT39" s="177">
        <f t="shared" si="105"/>
        <v>0.14244064972927947</v>
      </c>
      <c r="DU39" s="177">
        <f t="shared" si="105"/>
        <v>0.14064544265154819</v>
      </c>
      <c r="DV39" s="177">
        <f t="shared" ref="DV39" si="106">DV36/DV$25</f>
        <v>0.13800723182000804</v>
      </c>
      <c r="DW39" s="55">
        <f t="shared" si="105"/>
        <v>0.16085301631993326</v>
      </c>
      <c r="DX39" s="177">
        <f t="shared" si="105"/>
        <v>0.13533864971813808</v>
      </c>
      <c r="DY39" s="177">
        <f t="shared" si="105"/>
        <v>0.13264099477840854</v>
      </c>
      <c r="DZ39" s="177">
        <f t="shared" si="105"/>
        <v>0.12994060220560655</v>
      </c>
      <c r="EA39" s="177">
        <f t="shared" si="105"/>
        <v>0.12990481756098163</v>
      </c>
      <c r="EB39" s="55">
        <f t="shared" si="105"/>
        <v>0.15300202940053123</v>
      </c>
      <c r="EC39" s="177">
        <f t="shared" si="105"/>
        <v>0.12976178930125642</v>
      </c>
      <c r="ED39" s="177">
        <f t="shared" si="105"/>
        <v>0.12976615503327579</v>
      </c>
      <c r="EE39" s="177">
        <f t="shared" si="105"/>
        <v>0.12976751764293623</v>
      </c>
      <c r="EF39" s="177">
        <f t="shared" si="105"/>
        <v>0.1297971469930764</v>
      </c>
      <c r="EG39" s="55">
        <f t="shared" si="105"/>
        <v>0.15329958484026943</v>
      </c>
      <c r="EH39" s="177">
        <f t="shared" ref="EH39:EL39" si="107">EH36/EH$25</f>
        <v>0.12959465581788329</v>
      </c>
      <c r="EI39" s="177">
        <f t="shared" si="107"/>
        <v>0.12959933698892903</v>
      </c>
      <c r="EJ39" s="177">
        <f t="shared" si="107"/>
        <v>0.12960122174618197</v>
      </c>
      <c r="EK39" s="177">
        <f t="shared" si="107"/>
        <v>0.12963422495180052</v>
      </c>
      <c r="EL39" s="55">
        <f t="shared" si="107"/>
        <v>0.15687997566935377</v>
      </c>
    </row>
    <row r="40" spans="1:142">
      <c r="A40" s="4"/>
      <c r="B40" s="4" t="s">
        <v>223</v>
      </c>
      <c r="C40" s="438"/>
      <c r="D40" s="438" t="str">
        <f>IF(ISERROR(1000000*D36/D$15),"nm",1000000*D36/D$15)</f>
        <v>nm</v>
      </c>
      <c r="E40" s="439">
        <f t="shared" ref="E40:AT40" si="108">1000000*E36/E$15</f>
        <v>223.76657582978916</v>
      </c>
      <c r="F40" s="439">
        <f t="shared" si="108"/>
        <v>223.92177665935367</v>
      </c>
      <c r="G40" s="439">
        <f t="shared" si="108"/>
        <v>211.94354987751314</v>
      </c>
      <c r="H40" s="440">
        <f t="shared" si="108"/>
        <v>216.26947176181523</v>
      </c>
      <c r="I40" s="439">
        <f t="shared" si="108"/>
        <v>207.56020930246063</v>
      </c>
      <c r="J40" s="439">
        <f t="shared" si="108"/>
        <v>207.8237833090686</v>
      </c>
      <c r="K40" s="439">
        <f t="shared" si="108"/>
        <v>189.01358535144715</v>
      </c>
      <c r="L40" s="439">
        <f t="shared" si="108"/>
        <v>202.92939217912357</v>
      </c>
      <c r="M40" s="440">
        <f t="shared" si="108"/>
        <v>201.25473370100079</v>
      </c>
      <c r="N40" s="439">
        <f t="shared" si="108"/>
        <v>199.879026097294</v>
      </c>
      <c r="O40" s="439">
        <f t="shared" si="108"/>
        <v>210.69909567659082</v>
      </c>
      <c r="P40" s="439">
        <f t="shared" si="108"/>
        <v>200.71059821936936</v>
      </c>
      <c r="Q40" s="439">
        <f t="shared" si="108"/>
        <v>209.557800297965</v>
      </c>
      <c r="R40" s="440">
        <f t="shared" si="108"/>
        <v>205.76729455201433</v>
      </c>
      <c r="S40" s="439">
        <f t="shared" si="108"/>
        <v>215.92315557229725</v>
      </c>
      <c r="T40" s="439">
        <f t="shared" si="108"/>
        <v>198.61941450607867</v>
      </c>
      <c r="U40" s="439">
        <f t="shared" si="108"/>
        <v>211.17662407841652</v>
      </c>
      <c r="V40" s="439">
        <f t="shared" si="108"/>
        <v>213.56271992052373</v>
      </c>
      <c r="W40" s="440">
        <f t="shared" si="108"/>
        <v>209.68276903252371</v>
      </c>
      <c r="X40" s="439">
        <f t="shared" si="108"/>
        <v>215.51180050257352</v>
      </c>
      <c r="Y40" s="439">
        <f t="shared" si="108"/>
        <v>214.28427525822477</v>
      </c>
      <c r="Z40" s="439">
        <f t="shared" si="108"/>
        <v>219.88430702614932</v>
      </c>
      <c r="AA40" s="439">
        <f t="shared" si="108"/>
        <v>221.31744333668902</v>
      </c>
      <c r="AB40" s="440">
        <f t="shared" si="108"/>
        <v>217.94808948133928</v>
      </c>
      <c r="AC40" s="439">
        <f t="shared" si="108"/>
        <v>227.6647968693014</v>
      </c>
      <c r="AD40" s="439">
        <f t="shared" si="108"/>
        <v>228.28976164661216</v>
      </c>
      <c r="AE40" s="439">
        <f t="shared" si="108"/>
        <v>226.45771565720739</v>
      </c>
      <c r="AF40" s="439">
        <f t="shared" si="108"/>
        <v>232.33849860538817</v>
      </c>
      <c r="AG40" s="440">
        <f t="shared" si="108"/>
        <v>228.6638034231043</v>
      </c>
      <c r="AH40" s="439">
        <f t="shared" si="108"/>
        <v>248.76219258011344</v>
      </c>
      <c r="AI40" s="439">
        <f t="shared" si="108"/>
        <v>239.55736896211917</v>
      </c>
      <c r="AJ40" s="439">
        <f t="shared" si="108"/>
        <v>239.29401428813165</v>
      </c>
      <c r="AK40" s="439">
        <f t="shared" si="108"/>
        <v>237.44949560532925</v>
      </c>
      <c r="AL40" s="440">
        <f t="shared" si="108"/>
        <v>241.06815184964822</v>
      </c>
      <c r="AM40" s="439">
        <f t="shared" si="108"/>
        <v>256.47249057353525</v>
      </c>
      <c r="AN40" s="439">
        <f t="shared" si="108"/>
        <v>260.43846164011256</v>
      </c>
      <c r="AO40" s="439">
        <f t="shared" si="108"/>
        <v>259.96406625729315</v>
      </c>
      <c r="AP40" s="439">
        <f t="shared" si="108"/>
        <v>265.79277377794813</v>
      </c>
      <c r="AQ40" s="440">
        <f t="shared" si="108"/>
        <v>260.76639242734399</v>
      </c>
      <c r="AR40" s="439">
        <f t="shared" si="108"/>
        <v>279.09896933868316</v>
      </c>
      <c r="AS40" s="439">
        <f t="shared" si="108"/>
        <v>283.36040059547975</v>
      </c>
      <c r="AT40" s="439">
        <f t="shared" si="108"/>
        <v>290.95596240723825</v>
      </c>
      <c r="AU40" s="395"/>
      <c r="AV40" s="438" t="str">
        <f>IF(ISERROR(1000000*AV36/AV$15),"nm",1000000*AV36/AV$15)</f>
        <v>nm</v>
      </c>
      <c r="AW40" s="438" t="str">
        <f>IF(ISERROR(1000000*AW36/AW$15),"nm",1000000*AW36/AW$15)</f>
        <v>nm</v>
      </c>
      <c r="AX40" s="438" t="str">
        <f>IF(ISERROR(1000000*AX36/AX$15),"nm",1000000*AX36/AX$15)</f>
        <v>nm</v>
      </c>
      <c r="AY40" s="438" t="str">
        <f>IF(ISERROR(1000000*AY36/AY$15),"nm",1000000*AY36/AY$15)</f>
        <v>nm</v>
      </c>
      <c r="AZ40" s="442" t="str">
        <f>IF(ISERROR(1000000*AZ36/AZ$15),"nm",1000000*AZ36/AZ$15)</f>
        <v>nm</v>
      </c>
      <c r="BA40" s="439">
        <f t="shared" ref="BA40:CF40" si="109">1000000*BA36/BA$15</f>
        <v>293.55259353994904</v>
      </c>
      <c r="BB40" s="439">
        <f t="shared" si="109"/>
        <v>301.9038922024838</v>
      </c>
      <c r="BC40" s="439">
        <f t="shared" si="109"/>
        <v>303.54990249697471</v>
      </c>
      <c r="BD40" s="439">
        <f t="shared" si="109"/>
        <v>319.11466933613372</v>
      </c>
      <c r="BE40" s="440">
        <f t="shared" si="109"/>
        <v>304.29937741445519</v>
      </c>
      <c r="BF40" s="439">
        <f t="shared" si="109"/>
        <v>333.81013414855369</v>
      </c>
      <c r="BG40" s="439">
        <f t="shared" si="109"/>
        <v>347.03968005641576</v>
      </c>
      <c r="BH40" s="439">
        <f t="shared" si="109"/>
        <v>343.4573406495972</v>
      </c>
      <c r="BI40" s="439">
        <f t="shared" si="109"/>
        <v>361.89564853085852</v>
      </c>
      <c r="BJ40" s="440">
        <f t="shared" si="109"/>
        <v>346.25348006474724</v>
      </c>
      <c r="BK40" s="439">
        <f t="shared" si="109"/>
        <v>353.9439188639717</v>
      </c>
      <c r="BL40" s="439">
        <f t="shared" si="109"/>
        <v>365.69741851983355</v>
      </c>
      <c r="BM40" s="439">
        <f t="shared" si="109"/>
        <v>378.27641658580939</v>
      </c>
      <c r="BN40" s="439">
        <f t="shared" si="109"/>
        <v>373.83309410366462</v>
      </c>
      <c r="BO40" s="440">
        <f t="shared" si="109"/>
        <v>367.53775601003997</v>
      </c>
      <c r="BP40" s="439">
        <f t="shared" si="109"/>
        <v>376.82137324115058</v>
      </c>
      <c r="BQ40" s="439">
        <f t="shared" si="109"/>
        <v>394.57156764870047</v>
      </c>
      <c r="BR40" s="439">
        <f t="shared" si="109"/>
        <v>389.68840071274616</v>
      </c>
      <c r="BS40" s="439">
        <f t="shared" si="109"/>
        <v>392.85012767629149</v>
      </c>
      <c r="BT40" s="440">
        <f t="shared" si="109"/>
        <v>387.95723445938813</v>
      </c>
      <c r="BU40" s="439">
        <f t="shared" si="109"/>
        <v>389.33675338951997</v>
      </c>
      <c r="BV40" s="439">
        <f t="shared" si="109"/>
        <v>399.79198792808552</v>
      </c>
      <c r="BW40" s="439">
        <f t="shared" si="109"/>
        <v>395.49037708923214</v>
      </c>
      <c r="BX40" s="439">
        <f t="shared" si="109"/>
        <v>414.98695755276265</v>
      </c>
      <c r="BY40" s="440">
        <f t="shared" si="109"/>
        <v>399.72780439986104</v>
      </c>
      <c r="BZ40" s="439">
        <f t="shared" si="109"/>
        <v>402.05161193978415</v>
      </c>
      <c r="CA40" s="439">
        <f t="shared" si="109"/>
        <v>410.24009510872406</v>
      </c>
      <c r="CB40" s="439">
        <f t="shared" si="109"/>
        <v>408.43482401295813</v>
      </c>
      <c r="CC40" s="439">
        <f t="shared" si="109"/>
        <v>415.04916942028967</v>
      </c>
      <c r="CD40" s="440">
        <f t="shared" si="109"/>
        <v>408.75564949461761</v>
      </c>
      <c r="CE40" s="439">
        <f t="shared" si="109"/>
        <v>399.41957762643653</v>
      </c>
      <c r="CF40" s="439">
        <f t="shared" si="109"/>
        <v>420.00187140074348</v>
      </c>
      <c r="CG40" s="439">
        <f t="shared" ref="CG40:DC40" si="110">1000000*CG36/CG$15</f>
        <v>415.87598556728585</v>
      </c>
      <c r="CH40" s="439">
        <f t="shared" si="110"/>
        <v>423.40915294527275</v>
      </c>
      <c r="CI40" s="440">
        <f t="shared" si="110"/>
        <v>414.45736912052831</v>
      </c>
      <c r="CJ40" s="439">
        <f t="shared" si="110"/>
        <v>415.3413312628881</v>
      </c>
      <c r="CK40" s="439">
        <f t="shared" si="110"/>
        <v>425.10326242539168</v>
      </c>
      <c r="CL40" s="439">
        <f t="shared" si="110"/>
        <v>427.14027396120031</v>
      </c>
      <c r="CM40" s="439">
        <f t="shared" si="110"/>
        <v>426.7676466797152</v>
      </c>
      <c r="CN40" s="440">
        <f t="shared" si="110"/>
        <v>423.50327711508601</v>
      </c>
      <c r="CO40" s="439">
        <f t="shared" si="110"/>
        <v>417.56471198579436</v>
      </c>
      <c r="CP40" s="439">
        <f t="shared" si="110"/>
        <v>429.65072245988193</v>
      </c>
      <c r="CQ40" s="439">
        <f t="shared" si="110"/>
        <v>416.50182425601128</v>
      </c>
      <c r="CR40" s="439">
        <f t="shared" si="110"/>
        <v>422.03814515896772</v>
      </c>
      <c r="CS40" s="440">
        <f t="shared" si="110"/>
        <v>421.40256821454074</v>
      </c>
      <c r="CT40" s="439">
        <f t="shared" si="110"/>
        <v>421.27891409288833</v>
      </c>
      <c r="CU40" s="439">
        <f t="shared" si="110"/>
        <v>422.87434978992167</v>
      </c>
      <c r="CV40" s="439">
        <f t="shared" si="110"/>
        <v>412.62772529089705</v>
      </c>
      <c r="CW40" s="439">
        <f t="shared" si="110"/>
        <v>423.77324199636519</v>
      </c>
      <c r="CX40" s="440">
        <f t="shared" si="110"/>
        <v>420.16033231650204</v>
      </c>
      <c r="CY40" s="439">
        <f t="shared" si="110"/>
        <v>408.58018386108273</v>
      </c>
      <c r="CZ40" s="439">
        <f t="shared" si="110"/>
        <v>425.40561931143651</v>
      </c>
      <c r="DA40" s="439">
        <f t="shared" si="110"/>
        <v>424.11749040804045</v>
      </c>
      <c r="DB40" s="439">
        <f t="shared" si="110"/>
        <v>422.60433635254651</v>
      </c>
      <c r="DC40" s="440">
        <f t="shared" si="110"/>
        <v>420.424128762902</v>
      </c>
      <c r="DD40" s="439">
        <v>411.70096087595277</v>
      </c>
      <c r="DE40" s="439">
        <v>415.04629141109984</v>
      </c>
      <c r="DF40" s="439">
        <v>422.39761780447247</v>
      </c>
      <c r="DG40" s="439">
        <v>432.11574672490178</v>
      </c>
      <c r="DH40" s="440">
        <v>420.42518254126082</v>
      </c>
      <c r="DI40" s="439">
        <f t="shared" ref="DI40:DR40" si="111">1000000*DI36/DI$15</f>
        <v>421.05985730544984</v>
      </c>
      <c r="DJ40" s="439">
        <f t="shared" si="111"/>
        <v>407.65818616013041</v>
      </c>
      <c r="DK40" s="439">
        <f t="shared" si="111"/>
        <v>429.6227375336033</v>
      </c>
      <c r="DL40" s="439">
        <f t="shared" si="111"/>
        <v>431.42252516631396</v>
      </c>
      <c r="DM40" s="440">
        <f t="shared" si="111"/>
        <v>453.53042748342347</v>
      </c>
      <c r="DN40" s="439">
        <f t="shared" si="111"/>
        <v>422.89612096345655</v>
      </c>
      <c r="DO40" s="439">
        <f t="shared" si="111"/>
        <v>434.59642432924312</v>
      </c>
      <c r="DP40" s="439">
        <f t="shared" si="111"/>
        <v>432.42719214436693</v>
      </c>
      <c r="DQ40" s="439">
        <f t="shared" si="111"/>
        <v>436.67273516511284</v>
      </c>
      <c r="DR40" s="440">
        <f t="shared" si="111"/>
        <v>488.5047361034554</v>
      </c>
      <c r="DS40" s="439">
        <f t="shared" ref="DS40:EF40" si="112">1000000*DS36/DS$15</f>
        <v>423.62127374267817</v>
      </c>
      <c r="DT40" s="439">
        <f t="shared" si="112"/>
        <v>444.4617723887871</v>
      </c>
      <c r="DU40" s="439">
        <f>1000000*DU36/DU$15</f>
        <v>439.89289801441214</v>
      </c>
      <c r="DV40" s="439">
        <f>1000000*DV36/DV$15</f>
        <v>462.56116142576565</v>
      </c>
      <c r="DW40" s="440">
        <f>1000000*DW36/DW$15</f>
        <v>507.87101294503123</v>
      </c>
      <c r="DX40" s="439">
        <f t="shared" si="112"/>
        <v>431.82156595288461</v>
      </c>
      <c r="DY40" s="439">
        <f t="shared" si="112"/>
        <v>437.23005652731871</v>
      </c>
      <c r="DZ40" s="439">
        <f t="shared" si="112"/>
        <v>423.85618581768364</v>
      </c>
      <c r="EA40" s="439">
        <f t="shared" si="112"/>
        <v>460.55360046167704</v>
      </c>
      <c r="EB40" s="440">
        <f>1000000*EB36/EB$15</f>
        <v>507.84721658264118</v>
      </c>
      <c r="EC40" s="439">
        <f t="shared" si="112"/>
        <v>418.23287333501349</v>
      </c>
      <c r="ED40" s="439">
        <f t="shared" si="112"/>
        <v>428.71758240129213</v>
      </c>
      <c r="EE40" s="439">
        <f t="shared" si="112"/>
        <v>416.03974806510342</v>
      </c>
      <c r="EF40" s="439">
        <f t="shared" si="112"/>
        <v>443.69934294041394</v>
      </c>
      <c r="EG40" s="440">
        <f>1000000*EG36/EG$15</f>
        <v>504.0160620850977</v>
      </c>
      <c r="EH40" s="439">
        <f t="shared" ref="EH40:EK40" si="113">1000000*EH36/EH$15</f>
        <v>420.70833477066111</v>
      </c>
      <c r="EI40" s="439">
        <f t="shared" si="113"/>
        <v>431.85496483786386</v>
      </c>
      <c r="EJ40" s="439">
        <f t="shared" si="113"/>
        <v>419.73727019234428</v>
      </c>
      <c r="EK40" s="439">
        <f t="shared" si="113"/>
        <v>449.20182872377302</v>
      </c>
      <c r="EL40" s="440">
        <f>1000000*EL36/EL$15</f>
        <v>520.90271506420777</v>
      </c>
    </row>
    <row r="41" spans="1:142" s="680" customFormat="1">
      <c r="A41" s="1199"/>
      <c r="B41" s="1199" t="s">
        <v>109</v>
      </c>
      <c r="C41" s="1549"/>
      <c r="D41" s="1549"/>
      <c r="E41" s="1549"/>
      <c r="F41" s="1549"/>
      <c r="G41" s="1549"/>
      <c r="H41" s="1182"/>
      <c r="I41" s="1549" t="str">
        <f t="shared" ref="I41:AT41" si="114">IF(ISERROR(I40/D40-1),"nm",I40/D40-1)</f>
        <v>nm</v>
      </c>
      <c r="J41" s="1549">
        <f t="shared" si="114"/>
        <v>-7.1247425857057567E-2</v>
      </c>
      <c r="K41" s="1549">
        <f t="shared" si="114"/>
        <v>-0.15589457992293188</v>
      </c>
      <c r="L41" s="1549">
        <f t="shared" si="114"/>
        <v>-4.2530936674407216E-2</v>
      </c>
      <c r="M41" s="1182">
        <f t="shared" si="114"/>
        <v>-6.9426063412919681E-2</v>
      </c>
      <c r="N41" s="1549">
        <f t="shared" si="114"/>
        <v>-3.7007012235054537E-2</v>
      </c>
      <c r="O41" s="1549">
        <f t="shared" si="114"/>
        <v>1.3835338389765361E-2</v>
      </c>
      <c r="P41" s="1549">
        <f t="shared" si="114"/>
        <v>6.1884508704350916E-2</v>
      </c>
      <c r="Q41" s="1549">
        <f t="shared" si="114"/>
        <v>3.2663617860692273E-2</v>
      </c>
      <c r="R41" s="1182">
        <f t="shared" si="114"/>
        <v>2.2422135211575878E-2</v>
      </c>
      <c r="S41" s="1549">
        <f t="shared" si="114"/>
        <v>8.0269199766830557E-2</v>
      </c>
      <c r="T41" s="1549">
        <f t="shared" si="114"/>
        <v>-5.7331433396627607E-2</v>
      </c>
      <c r="U41" s="1549">
        <f t="shared" si="114"/>
        <v>5.2144859075195393E-2</v>
      </c>
      <c r="V41" s="1549">
        <f t="shared" si="114"/>
        <v>1.9111288708242968E-2</v>
      </c>
      <c r="W41" s="1182">
        <f t="shared" si="114"/>
        <v>1.9028653163924547E-2</v>
      </c>
      <c r="X41" s="1549">
        <f t="shared" si="114"/>
        <v>-1.9050993796076998E-3</v>
      </c>
      <c r="Y41" s="1549">
        <f t="shared" si="114"/>
        <v>7.8868728875780114E-2</v>
      </c>
      <c r="Z41" s="1549">
        <f t="shared" si="114"/>
        <v>4.1234123264037859E-2</v>
      </c>
      <c r="AA41" s="1549">
        <f t="shared" si="114"/>
        <v>3.6311222384932895E-2</v>
      </c>
      <c r="AB41" s="1182">
        <f t="shared" si="114"/>
        <v>3.9418214891723258E-2</v>
      </c>
      <c r="AC41" s="1549">
        <f t="shared" si="114"/>
        <v>5.6391326778334694E-2</v>
      </c>
      <c r="AD41" s="1549">
        <f t="shared" si="114"/>
        <v>6.5359375397518127E-2</v>
      </c>
      <c r="AE41" s="1549">
        <f t="shared" si="114"/>
        <v>2.9894851160416458E-2</v>
      </c>
      <c r="AF41" s="1549">
        <f t="shared" si="114"/>
        <v>4.9797499476500251E-2</v>
      </c>
      <c r="AG41" s="1182">
        <f t="shared" si="114"/>
        <v>4.9166358683233602E-2</v>
      </c>
      <c r="AH41" s="1549">
        <f t="shared" si="114"/>
        <v>9.2668677814619294E-2</v>
      </c>
      <c r="AI41" s="1549">
        <f t="shared" si="114"/>
        <v>4.9356603792635401E-2</v>
      </c>
      <c r="AJ41" s="1549">
        <f t="shared" si="114"/>
        <v>5.6682982046656116E-2</v>
      </c>
      <c r="AK41" s="1549">
        <f t="shared" si="114"/>
        <v>2.1998063302551385E-2</v>
      </c>
      <c r="AL41" s="1182">
        <f t="shared" si="114"/>
        <v>5.4247100944051718E-2</v>
      </c>
      <c r="AM41" s="1549">
        <f t="shared" si="114"/>
        <v>3.099465362261089E-2</v>
      </c>
      <c r="AN41" s="1549">
        <f t="shared" si="114"/>
        <v>8.7165311459466155E-2</v>
      </c>
      <c r="AO41" s="1549">
        <f t="shared" si="114"/>
        <v>8.6379310534165255E-2</v>
      </c>
      <c r="AP41" s="1549">
        <f t="shared" si="114"/>
        <v>0.11936550170537719</v>
      </c>
      <c r="AQ41" s="1182">
        <f t="shared" si="114"/>
        <v>8.1712330834897484E-2</v>
      </c>
      <c r="AR41" s="1549">
        <f t="shared" si="114"/>
        <v>8.8221854572198222E-2</v>
      </c>
      <c r="AS41" s="1549">
        <f t="shared" si="114"/>
        <v>8.8012879553258649E-2</v>
      </c>
      <c r="AT41" s="1549">
        <f t="shared" si="114"/>
        <v>0.11921607703763026</v>
      </c>
      <c r="AU41" s="556"/>
      <c r="AV41" s="1181"/>
      <c r="AW41" s="1181"/>
      <c r="AX41" s="1181"/>
      <c r="AY41" s="1181"/>
      <c r="AZ41" s="1184"/>
      <c r="BA41" s="1549" t="str">
        <f>IF(ISERROR(BA40/AV40-1),"nm",BA40/AV40-1)</f>
        <v>nm</v>
      </c>
      <c r="BB41" s="1549" t="str">
        <f>IF(ISERROR(BB40/AW40-1),"nm",BB40/AW40-1)</f>
        <v>nm</v>
      </c>
      <c r="BC41" s="1549" t="str">
        <f>IF(ISERROR(BC40/AX40-1),"nm",BC40/AX40-1)</f>
        <v>nm</v>
      </c>
      <c r="BD41" s="1549" t="str">
        <f>IF(ISERROR(BD40/AY40-1),"nm",BD40/AY40-1)</f>
        <v>nm</v>
      </c>
      <c r="BE41" s="1182" t="str">
        <f>IF(ISERROR(BE40/AZ40-1),"nm",BE40/AZ40-1)</f>
        <v>nm</v>
      </c>
      <c r="BF41" s="1181">
        <f t="shared" ref="BF41:CK41" si="115">BF40/BA40-1</f>
        <v>0.13713910724868472</v>
      </c>
      <c r="BG41" s="1181">
        <f t="shared" si="115"/>
        <v>0.14950382893261893</v>
      </c>
      <c r="BH41" s="1181">
        <f t="shared" si="115"/>
        <v>0.13146911866664235</v>
      </c>
      <c r="BI41" s="1181">
        <f t="shared" si="115"/>
        <v>0.13406146224403814</v>
      </c>
      <c r="BJ41" s="1184">
        <f t="shared" si="115"/>
        <v>0.13787114192202443</v>
      </c>
      <c r="BK41" s="1181">
        <f t="shared" si="115"/>
        <v>6.0315079309299691E-2</v>
      </c>
      <c r="BL41" s="1181">
        <f t="shared" si="115"/>
        <v>5.3762550900187334E-2</v>
      </c>
      <c r="BM41" s="1181">
        <f t="shared" si="115"/>
        <v>0.10137816786899134</v>
      </c>
      <c r="BN41" s="1181">
        <f t="shared" si="115"/>
        <v>3.298587761766969E-2</v>
      </c>
      <c r="BO41" s="1184">
        <f t="shared" si="115"/>
        <v>6.1470215234552095E-2</v>
      </c>
      <c r="BP41" s="1181">
        <f t="shared" si="115"/>
        <v>6.4635817026061693E-2</v>
      </c>
      <c r="BQ41" s="1181">
        <f t="shared" si="115"/>
        <v>7.8956393090592547E-2</v>
      </c>
      <c r="BR41" s="1181">
        <f t="shared" si="115"/>
        <v>3.0168373249216396E-2</v>
      </c>
      <c r="BS41" s="1181">
        <f t="shared" si="115"/>
        <v>5.0870385400799689E-2</v>
      </c>
      <c r="BT41" s="1184">
        <f t="shared" si="115"/>
        <v>5.5557498829563512E-2</v>
      </c>
      <c r="BU41" s="1181">
        <f t="shared" si="115"/>
        <v>3.3213031523984249E-2</v>
      </c>
      <c r="BV41" s="1181">
        <f t="shared" si="115"/>
        <v>1.3230604299478976E-2</v>
      </c>
      <c r="BW41" s="1181">
        <f t="shared" si="115"/>
        <v>1.4888758212649122E-2</v>
      </c>
      <c r="BX41" s="1181">
        <f t="shared" si="115"/>
        <v>5.6349300450557305E-2</v>
      </c>
      <c r="BY41" s="1184">
        <f t="shared" si="115"/>
        <v>3.0339864539128847E-2</v>
      </c>
      <c r="BZ41" s="1181">
        <f t="shared" si="115"/>
        <v>3.2657740219925513E-2</v>
      </c>
      <c r="CA41" s="1181">
        <f t="shared" si="115"/>
        <v>2.6133858346650829E-2</v>
      </c>
      <c r="CB41" s="1181">
        <f t="shared" si="115"/>
        <v>3.2730118540420072E-2</v>
      </c>
      <c r="CC41" s="1181">
        <f t="shared" si="115"/>
        <v>1.4991282592080601E-4</v>
      </c>
      <c r="CD41" s="1184">
        <f t="shared" si="115"/>
        <v>2.2584981568421814E-2</v>
      </c>
      <c r="CE41" s="1181">
        <f t="shared" si="115"/>
        <v>-6.5465085456287708E-3</v>
      </c>
      <c r="CF41" s="1181">
        <f t="shared" si="115"/>
        <v>2.3795276006437938E-2</v>
      </c>
      <c r="CG41" s="1181">
        <f t="shared" si="115"/>
        <v>1.8218724547570897E-2</v>
      </c>
      <c r="CH41" s="1181">
        <f t="shared" si="115"/>
        <v>2.014215216153703E-2</v>
      </c>
      <c r="CI41" s="1184">
        <f t="shared" si="115"/>
        <v>1.3948968370125936E-2</v>
      </c>
      <c r="CJ41" s="1181">
        <f t="shared" si="115"/>
        <v>3.9862226411301771E-2</v>
      </c>
      <c r="CK41" s="1181">
        <f t="shared" si="115"/>
        <v>1.2146114986665735E-2</v>
      </c>
      <c r="CL41" s="1181">
        <f t="shared" ref="CL41:EF41" si="116">CL40/CG40-1</f>
        <v>2.7085690890636949E-2</v>
      </c>
      <c r="CM41" s="1181">
        <f t="shared" si="116"/>
        <v>7.9320291285165379E-3</v>
      </c>
      <c r="CN41" s="1184">
        <f t="shared" si="116"/>
        <v>2.1825907001612688E-2</v>
      </c>
      <c r="CO41" s="1181">
        <f t="shared" si="116"/>
        <v>5.3531410325715623E-3</v>
      </c>
      <c r="CP41" s="1181">
        <f t="shared" si="116"/>
        <v>1.0697306834450249E-2</v>
      </c>
      <c r="CQ41" s="1181">
        <f t="shared" si="116"/>
        <v>-2.4906220166341364E-2</v>
      </c>
      <c r="CR41" s="1181">
        <f t="shared" si="116"/>
        <v>-1.10821463565558E-2</v>
      </c>
      <c r="CS41" s="1184">
        <f t="shared" si="116"/>
        <v>-4.9603132114002246E-3</v>
      </c>
      <c r="CT41" s="1181">
        <f t="shared" si="116"/>
        <v>8.8949137714020576E-3</v>
      </c>
      <c r="CU41" s="1181">
        <f t="shared" si="116"/>
        <v>-1.5771817236017838E-2</v>
      </c>
      <c r="CV41" s="1181">
        <f t="shared" si="116"/>
        <v>-9.3015173991961575E-3</v>
      </c>
      <c r="CW41" s="1181">
        <f t="shared" si="116"/>
        <v>4.1112322601644102E-3</v>
      </c>
      <c r="CX41" s="1184">
        <f t="shared" si="116"/>
        <v>-2.9478602925985253E-3</v>
      </c>
      <c r="CY41" s="1181">
        <f t="shared" si="116"/>
        <v>-3.0143284667235037E-2</v>
      </c>
      <c r="CZ41" s="1181">
        <f t="shared" si="116"/>
        <v>5.9858667776193641E-3</v>
      </c>
      <c r="DA41" s="1181">
        <f t="shared" si="116"/>
        <v>2.7845354087739249E-2</v>
      </c>
      <c r="DB41" s="1181">
        <f t="shared" si="116"/>
        <v>-2.7583281056445808E-3</v>
      </c>
      <c r="DC41" s="1184">
        <f t="shared" si="116"/>
        <v>6.2784710052365966E-4</v>
      </c>
      <c r="DD41" s="1181">
        <v>7.6381017438944543E-3</v>
      </c>
      <c r="DE41" s="1181">
        <v>-2.4351648003861137E-2</v>
      </c>
      <c r="DF41" s="1181">
        <v>-4.055179619952276E-3</v>
      </c>
      <c r="DG41" s="1181">
        <v>2.2506655881591842E-2</v>
      </c>
      <c r="DH41" s="1184">
        <v>2.5064649880057743E-6</v>
      </c>
      <c r="DI41" s="1181">
        <f t="shared" si="116"/>
        <v>2.2732267638104764E-2</v>
      </c>
      <c r="DJ41" s="1181">
        <f t="shared" si="116"/>
        <v>-1.780067766863036E-2</v>
      </c>
      <c r="DK41" s="1181">
        <f t="shared" si="116"/>
        <v>1.7105020067786691E-2</v>
      </c>
      <c r="DL41" s="1181">
        <f t="shared" si="116"/>
        <v>-1.6042497035618775E-3</v>
      </c>
      <c r="DM41" s="1184">
        <f>DM40/DH40-1</f>
        <v>7.8742297837769648E-2</v>
      </c>
      <c r="DN41" s="1181">
        <f t="shared" si="116"/>
        <v>4.3610513473257839E-3</v>
      </c>
      <c r="DO41" s="1181">
        <f t="shared" si="116"/>
        <v>6.6080454370003094E-2</v>
      </c>
      <c r="DP41" s="1181">
        <f t="shared" si="116"/>
        <v>6.5277145871365239E-3</v>
      </c>
      <c r="DQ41" s="1181">
        <f t="shared" si="116"/>
        <v>1.2169531474451656E-2</v>
      </c>
      <c r="DR41" s="1184">
        <f>DR40/DM40-1</f>
        <v>7.7115682875125824E-2</v>
      </c>
      <c r="DS41" s="1181">
        <f t="shared" si="116"/>
        <v>1.7147302689122235E-3</v>
      </c>
      <c r="DT41" s="1181">
        <f t="shared" si="116"/>
        <v>2.2700021231813361E-2</v>
      </c>
      <c r="DU41" s="1181">
        <f t="shared" si="116"/>
        <v>1.7264654040425764E-2</v>
      </c>
      <c r="DV41" s="1181">
        <f t="shared" si="116"/>
        <v>5.9285648440734473E-2</v>
      </c>
      <c r="DW41" s="1184">
        <f>DW40/DR40-1</f>
        <v>3.9643989935594925E-2</v>
      </c>
      <c r="DX41" s="1181">
        <f t="shared" si="116"/>
        <v>1.935760245881224E-2</v>
      </c>
      <c r="DY41" s="1181">
        <f t="shared" si="116"/>
        <v>-1.6270726327263341E-2</v>
      </c>
      <c r="DZ41" s="1181">
        <f t="shared" si="116"/>
        <v>-3.6455947047826842E-2</v>
      </c>
      <c r="EA41" s="1181">
        <f t="shared" si="116"/>
        <v>-4.3400984161762191E-3</v>
      </c>
      <c r="EB41" s="1184">
        <f>EB40/DW40-1</f>
        <v>-4.6855130108824916E-5</v>
      </c>
      <c r="EC41" s="1181">
        <f t="shared" si="116"/>
        <v>-3.1468304710269512E-2</v>
      </c>
      <c r="ED41" s="1181">
        <f t="shared" si="116"/>
        <v>-1.9469096414909237E-2</v>
      </c>
      <c r="EE41" s="1181">
        <f t="shared" si="116"/>
        <v>-1.8441249683547989E-2</v>
      </c>
      <c r="EF41" s="1181">
        <f t="shared" si="116"/>
        <v>-3.6595648159883476E-2</v>
      </c>
      <c r="EG41" s="1184">
        <f>EG40/EB40-1</f>
        <v>-7.5439115790054689E-3</v>
      </c>
      <c r="EH41" s="1181">
        <f t="shared" ref="EH41" si="117">EH40/EC40-1</f>
        <v>5.9188590698482368E-3</v>
      </c>
      <c r="EI41" s="1181">
        <f t="shared" ref="EI41" si="118">EI40/ED40-1</f>
        <v>7.318063371693162E-3</v>
      </c>
      <c r="EJ41" s="1181">
        <f t="shared" ref="EJ41" si="119">EJ40/EE40-1</f>
        <v>8.8874251665547188E-3</v>
      </c>
      <c r="EK41" s="1181">
        <f t="shared" ref="EK41" si="120">EK40/EF40-1</f>
        <v>1.2401383664203403E-2</v>
      </c>
      <c r="EL41" s="1184">
        <f>EL40/EG40-1</f>
        <v>3.3504196094962913E-2</v>
      </c>
    </row>
    <row r="42" spans="1:142" ht="11.25" customHeight="1">
      <c r="A42" s="445"/>
      <c r="B42" s="445" t="s">
        <v>224</v>
      </c>
      <c r="C42" s="175"/>
      <c r="D42" s="175" t="str">
        <f>IF(ISERROR(1000000*D36/D$10),"nm",1000000*D36/D$10)</f>
        <v>nm</v>
      </c>
      <c r="E42" s="445">
        <f t="shared" ref="E42:AT42" si="121">1000000*E36/E$10</f>
        <v>1217.1297444802779</v>
      </c>
      <c r="F42" s="445">
        <f t="shared" si="121"/>
        <v>1241.9237991040407</v>
      </c>
      <c r="G42" s="445">
        <f t="shared" si="121"/>
        <v>1189.6826482909623</v>
      </c>
      <c r="H42" s="447">
        <f t="shared" si="121"/>
        <v>1204.4699217094551</v>
      </c>
      <c r="I42" s="445">
        <f t="shared" si="121"/>
        <v>1140.4902767938629</v>
      </c>
      <c r="J42" s="445">
        <f t="shared" si="121"/>
        <v>1116.6878797339161</v>
      </c>
      <c r="K42" s="445">
        <f t="shared" si="121"/>
        <v>1065.6720394298654</v>
      </c>
      <c r="L42" s="445">
        <f t="shared" si="121"/>
        <v>1115.3206896744693</v>
      </c>
      <c r="M42" s="447">
        <f t="shared" si="121"/>
        <v>1107.8581071577205</v>
      </c>
      <c r="N42" s="445">
        <f t="shared" si="121"/>
        <v>1075.4686171500646</v>
      </c>
      <c r="O42" s="445">
        <f t="shared" si="121"/>
        <v>1136.4015990913242</v>
      </c>
      <c r="P42" s="445">
        <f t="shared" si="121"/>
        <v>1045.7304037414278</v>
      </c>
      <c r="Q42" s="445">
        <f t="shared" si="121"/>
        <v>1044.9091826979882</v>
      </c>
      <c r="R42" s="447">
        <f t="shared" si="121"/>
        <v>1064.5706098468779</v>
      </c>
      <c r="S42" s="445">
        <f t="shared" si="121"/>
        <v>1107.534338739895</v>
      </c>
      <c r="T42" s="445">
        <f t="shared" si="121"/>
        <v>1007.3936589148234</v>
      </c>
      <c r="U42" s="445">
        <f t="shared" si="121"/>
        <v>1118.5270990003739</v>
      </c>
      <c r="V42" s="445">
        <f t="shared" si="121"/>
        <v>1106.2117332396597</v>
      </c>
      <c r="W42" s="447">
        <f t="shared" si="121"/>
        <v>1084.1591340604164</v>
      </c>
      <c r="X42" s="445">
        <f t="shared" si="121"/>
        <v>1084.2660603037805</v>
      </c>
      <c r="Y42" s="445">
        <f t="shared" si="121"/>
        <v>1089.943639666496</v>
      </c>
      <c r="Z42" s="445">
        <f t="shared" si="121"/>
        <v>1145.3777046403429</v>
      </c>
      <c r="AA42" s="445">
        <f t="shared" si="121"/>
        <v>1158.6911468840565</v>
      </c>
      <c r="AB42" s="447">
        <f t="shared" si="121"/>
        <v>1121.3037416986758</v>
      </c>
      <c r="AC42" s="445">
        <f t="shared" si="121"/>
        <v>1150.656892208611</v>
      </c>
      <c r="AD42" s="445">
        <f t="shared" si="121"/>
        <v>1173.9118565097508</v>
      </c>
      <c r="AE42" s="445">
        <f t="shared" si="121"/>
        <v>1194.6683826990568</v>
      </c>
      <c r="AF42" s="445">
        <f t="shared" si="121"/>
        <v>1203.8801055802853</v>
      </c>
      <c r="AG42" s="447">
        <f t="shared" si="121"/>
        <v>1180.3492205624975</v>
      </c>
      <c r="AH42" s="445">
        <f t="shared" si="121"/>
        <v>1251.5528238935065</v>
      </c>
      <c r="AI42" s="445">
        <f t="shared" si="121"/>
        <v>1230.1654800379074</v>
      </c>
      <c r="AJ42" s="445">
        <f t="shared" si="121"/>
        <v>1256.2062571035474</v>
      </c>
      <c r="AK42" s="445">
        <f t="shared" si="121"/>
        <v>1262.7721795504192</v>
      </c>
      <c r="AL42" s="447">
        <f t="shared" si="121"/>
        <v>1250.430604456812</v>
      </c>
      <c r="AM42" s="445">
        <f t="shared" si="121"/>
        <v>1331.1813520346223</v>
      </c>
      <c r="AN42" s="445">
        <f t="shared" si="121"/>
        <v>1356.1285254324273</v>
      </c>
      <c r="AO42" s="445">
        <f t="shared" si="121"/>
        <v>1375.7294694565869</v>
      </c>
      <c r="AP42" s="445">
        <f t="shared" si="121"/>
        <v>1418.2902713391902</v>
      </c>
      <c r="AQ42" s="447">
        <f t="shared" si="121"/>
        <v>1371.0589051674931</v>
      </c>
      <c r="AR42" s="445">
        <f t="shared" si="121"/>
        <v>1465.5241672969253</v>
      </c>
      <c r="AS42" s="445">
        <f t="shared" si="121"/>
        <v>1483.9547393804489</v>
      </c>
      <c r="AT42" s="445">
        <f t="shared" si="121"/>
        <v>1526.5630172326532</v>
      </c>
      <c r="AU42" s="448"/>
      <c r="AV42" s="175" t="str">
        <f>IF(ISERROR(1000000*AV36/AV$10),"nm",1000000*AV36/AV$10)</f>
        <v>nm</v>
      </c>
      <c r="AW42" s="175" t="str">
        <f>IF(ISERROR(1000000*AW36/AW$10),"nm",1000000*AW36/AW$10)</f>
        <v>nm</v>
      </c>
      <c r="AX42" s="175" t="str">
        <f>IF(ISERROR(1000000*AX36/AX$10),"nm",1000000*AX36/AX$10)</f>
        <v>nm</v>
      </c>
      <c r="AY42" s="175" t="str">
        <f>IF(ISERROR(1000000*AY36/AY$10),"nm",1000000*AY36/AY$10)</f>
        <v>nm</v>
      </c>
      <c r="AZ42" s="449" t="str">
        <f>IF(ISERROR(1000000*AZ36/AZ$10),"nm",1000000*AZ36/AZ$10)</f>
        <v>nm</v>
      </c>
      <c r="BA42" s="445">
        <f t="shared" ref="BA42:CF42" si="122">1000000*BA36/BA$10</f>
        <v>1567.3095510713913</v>
      </c>
      <c r="BB42" s="445">
        <f t="shared" si="122"/>
        <v>1587.4983747040449</v>
      </c>
      <c r="BC42" s="445">
        <f t="shared" si="122"/>
        <v>1563.6113720464703</v>
      </c>
      <c r="BD42" s="445">
        <f t="shared" si="122"/>
        <v>1666.4373882267605</v>
      </c>
      <c r="BE42" s="447">
        <f t="shared" si="122"/>
        <v>1595.4533367777751</v>
      </c>
      <c r="BF42" s="445">
        <f t="shared" si="122"/>
        <v>1752.8244286729284</v>
      </c>
      <c r="BG42" s="445">
        <f t="shared" si="122"/>
        <v>1775.1671581889234</v>
      </c>
      <c r="BH42" s="445">
        <f t="shared" si="122"/>
        <v>1749.1626349088203</v>
      </c>
      <c r="BI42" s="445">
        <f t="shared" si="122"/>
        <v>1858.3859666746191</v>
      </c>
      <c r="BJ42" s="447">
        <f t="shared" si="122"/>
        <v>1783.173071543589</v>
      </c>
      <c r="BK42" s="445">
        <f t="shared" si="122"/>
        <v>1841.0716084197804</v>
      </c>
      <c r="BL42" s="445">
        <f t="shared" si="122"/>
        <v>1864.4654573362752</v>
      </c>
      <c r="BM42" s="445">
        <f t="shared" si="122"/>
        <v>1911.9311361843684</v>
      </c>
      <c r="BN42" s="445">
        <f t="shared" si="122"/>
        <v>1900.6293593444623</v>
      </c>
      <c r="BO42" s="447">
        <f t="shared" si="122"/>
        <v>1878.584559602172</v>
      </c>
      <c r="BP42" s="445">
        <f t="shared" si="122"/>
        <v>1924.0988018306793</v>
      </c>
      <c r="BQ42" s="445">
        <f t="shared" si="122"/>
        <v>1944.8788115715402</v>
      </c>
      <c r="BR42" s="445">
        <f t="shared" si="122"/>
        <v>1906.2763903224372</v>
      </c>
      <c r="BS42" s="445">
        <f t="shared" si="122"/>
        <v>1923.1712701761271</v>
      </c>
      <c r="BT42" s="447">
        <f t="shared" si="122"/>
        <v>1924.6371318761362</v>
      </c>
      <c r="BU42" s="445">
        <f t="shared" si="122"/>
        <v>1946.8063786538407</v>
      </c>
      <c r="BV42" s="445">
        <f t="shared" si="122"/>
        <v>1967.2616112809387</v>
      </c>
      <c r="BW42" s="445">
        <f t="shared" si="122"/>
        <v>1933.8941458045101</v>
      </c>
      <c r="BX42" s="445">
        <f t="shared" si="122"/>
        <v>2017.6118631601964</v>
      </c>
      <c r="BY42" s="447">
        <f t="shared" si="122"/>
        <v>1966.3212052218394</v>
      </c>
      <c r="BZ42" s="445">
        <f t="shared" si="122"/>
        <v>2024.2719850396661</v>
      </c>
      <c r="CA42" s="445">
        <f t="shared" si="122"/>
        <v>2004.8894753531572</v>
      </c>
      <c r="CB42" s="445">
        <f t="shared" si="122"/>
        <v>1970.9645796918035</v>
      </c>
      <c r="CC42" s="445">
        <f t="shared" si="122"/>
        <v>2009.2383536673779</v>
      </c>
      <c r="CD42" s="447">
        <f t="shared" si="122"/>
        <v>2002.7607676911591</v>
      </c>
      <c r="CE42" s="445">
        <f t="shared" si="122"/>
        <v>1973.4804200765411</v>
      </c>
      <c r="CF42" s="445">
        <f t="shared" si="122"/>
        <v>2015.6969208315898</v>
      </c>
      <c r="CG42" s="445">
        <f t="shared" ref="CG42:DC42" si="123">1000000*CG36/CG$10</f>
        <v>1972.9768111825688</v>
      </c>
      <c r="CH42" s="445">
        <f t="shared" si="123"/>
        <v>2038.5039243787478</v>
      </c>
      <c r="CI42" s="447">
        <f t="shared" si="123"/>
        <v>1999.8499794675288</v>
      </c>
      <c r="CJ42" s="445">
        <f t="shared" si="123"/>
        <v>2031.555467079103</v>
      </c>
      <c r="CK42" s="445">
        <f t="shared" si="123"/>
        <v>2027.4293222740057</v>
      </c>
      <c r="CL42" s="445">
        <f t="shared" si="123"/>
        <v>2013.734703361388</v>
      </c>
      <c r="CM42" s="445">
        <f t="shared" si="123"/>
        <v>2029.9024204267946</v>
      </c>
      <c r="CN42" s="447">
        <f t="shared" si="123"/>
        <v>2025.6774201835569</v>
      </c>
      <c r="CO42" s="445">
        <f t="shared" si="123"/>
        <v>2005.479618553725</v>
      </c>
      <c r="CP42" s="445">
        <f t="shared" si="123"/>
        <v>2020.9206530873171</v>
      </c>
      <c r="CQ42" s="445">
        <f t="shared" si="123"/>
        <v>1943.9386556561435</v>
      </c>
      <c r="CR42" s="445">
        <f t="shared" si="123"/>
        <v>1967.6601370648295</v>
      </c>
      <c r="CS42" s="447">
        <f t="shared" si="123"/>
        <v>1984.5492329742854</v>
      </c>
      <c r="CT42" s="445">
        <f t="shared" si="123"/>
        <v>1966.8737060041408</v>
      </c>
      <c r="CU42" s="445">
        <f t="shared" si="123"/>
        <v>1975.3011191680378</v>
      </c>
      <c r="CV42" s="445">
        <f t="shared" si="123"/>
        <v>1901.1214594140906</v>
      </c>
      <c r="CW42" s="445">
        <f t="shared" si="123"/>
        <v>1946.77477622125</v>
      </c>
      <c r="CX42" s="447">
        <f t="shared" si="123"/>
        <v>1947.6102871972232</v>
      </c>
      <c r="CY42" s="445">
        <f t="shared" si="123"/>
        <v>1942.6807983203905</v>
      </c>
      <c r="CZ42" s="445">
        <f t="shared" si="123"/>
        <v>1980.1473598035202</v>
      </c>
      <c r="DA42" s="445">
        <f t="shared" si="123"/>
        <v>1966.8531873694483</v>
      </c>
      <c r="DB42" s="445">
        <f t="shared" si="123"/>
        <v>1923.7269905657479</v>
      </c>
      <c r="DC42" s="447">
        <f t="shared" si="123"/>
        <v>1949.1388389950134</v>
      </c>
      <c r="DD42" s="445">
        <v>1939.408912633952</v>
      </c>
      <c r="DE42" s="445">
        <v>1922.9116853180212</v>
      </c>
      <c r="DF42" s="445">
        <v>1923.1492219198524</v>
      </c>
      <c r="DG42" s="445">
        <v>1978.2052387935248</v>
      </c>
      <c r="DH42" s="447">
        <v>1941.1083950354862</v>
      </c>
      <c r="DI42" s="445">
        <f t="shared" ref="DI42:EG42" si="124">1000000*DI36/DI$10</f>
        <v>1952.297999676038</v>
      </c>
      <c r="DJ42" s="445">
        <f t="shared" si="124"/>
        <v>1856.0846924570781</v>
      </c>
      <c r="DK42" s="445">
        <f t="shared" si="124"/>
        <v>1952.7258690765423</v>
      </c>
      <c r="DL42" s="445">
        <f t="shared" si="124"/>
        <v>1983.9029661768739</v>
      </c>
      <c r="DM42" s="447">
        <f t="shared" si="124"/>
        <v>2078.8066260821124</v>
      </c>
      <c r="DN42" s="445">
        <f t="shared" si="124"/>
        <v>1998.2415474382544</v>
      </c>
      <c r="DO42" s="445">
        <f t="shared" si="124"/>
        <v>1989.4228048527914</v>
      </c>
      <c r="DP42" s="445">
        <f t="shared" si="124"/>
        <v>1964.0389679235936</v>
      </c>
      <c r="DQ42" s="445">
        <f t="shared" si="124"/>
        <v>1988.6170849942023</v>
      </c>
      <c r="DR42" s="447">
        <f t="shared" si="124"/>
        <v>2247.8571963090244</v>
      </c>
      <c r="DS42" s="445">
        <f t="shared" si="124"/>
        <v>1976.3078681204752</v>
      </c>
      <c r="DT42" s="445">
        <f t="shared" si="124"/>
        <v>2036.2294032716609</v>
      </c>
      <c r="DU42" s="445">
        <f t="shared" si="124"/>
        <v>2010.4668958702828</v>
      </c>
      <c r="DV42" s="445">
        <f t="shared" ref="DV42" si="125">1000000*DV36/DV$10</f>
        <v>2117.1358572551194</v>
      </c>
      <c r="DW42" s="447">
        <f t="shared" si="124"/>
        <v>2335.7887508110903</v>
      </c>
      <c r="DX42" s="445">
        <f t="shared" ca="1" si="124"/>
        <v>2050.9729260571962</v>
      </c>
      <c r="DY42" s="445">
        <f t="shared" ca="1" si="124"/>
        <v>2033.7346775184121</v>
      </c>
      <c r="DZ42" s="445">
        <f t="shared" ca="1" si="124"/>
        <v>1974.9584858481467</v>
      </c>
      <c r="EA42" s="445">
        <f t="shared" ca="1" si="124"/>
        <v>2150.3370352954817</v>
      </c>
      <c r="EB42" s="447">
        <f t="shared" ca="1" si="124"/>
        <v>2378.2772076461583</v>
      </c>
      <c r="EC42" s="445">
        <f t="shared" si="124"/>
        <v>1992.7506851328699</v>
      </c>
      <c r="ED42" s="445">
        <f t="shared" si="124"/>
        <v>2002.6546065829286</v>
      </c>
      <c r="EE42" s="445">
        <f t="shared" si="124"/>
        <v>1945.5417383704407</v>
      </c>
      <c r="EF42" s="445">
        <f t="shared" si="124"/>
        <v>2078.7545693911452</v>
      </c>
      <c r="EG42" s="447">
        <f t="shared" si="124"/>
        <v>2368.4469339994484</v>
      </c>
      <c r="EH42" s="445">
        <f t="shared" ref="EH42:EL42" si="126">1000000*EH36/EH$10</f>
        <v>2025.5809123380479</v>
      </c>
      <c r="EI42" s="445">
        <f t="shared" si="126"/>
        <v>2038.9029081474089</v>
      </c>
      <c r="EJ42" s="445">
        <f t="shared" si="126"/>
        <v>1983.8194584882337</v>
      </c>
      <c r="EK42" s="445">
        <f t="shared" si="126"/>
        <v>2126.9940937860697</v>
      </c>
      <c r="EL42" s="447">
        <f t="shared" si="126"/>
        <v>2473.8826169989184</v>
      </c>
    </row>
    <row r="43" spans="1:142" ht="11.25" customHeight="1">
      <c r="A43" s="450"/>
      <c r="B43" s="450" t="s">
        <v>497</v>
      </c>
      <c r="C43" s="451"/>
      <c r="D43" s="451"/>
      <c r="E43" s="451"/>
      <c r="F43" s="451"/>
      <c r="G43" s="451"/>
      <c r="H43" s="452"/>
      <c r="I43" s="451" t="str">
        <f t="shared" ref="I43:AT43" si="127">IF(ISERROR(I42/D42-1),"",(I42/D42-1))</f>
        <v/>
      </c>
      <c r="J43" s="451">
        <f t="shared" si="127"/>
        <v>-8.2523547881291015E-2</v>
      </c>
      <c r="K43" s="451">
        <f t="shared" si="127"/>
        <v>-0.14191833653669272</v>
      </c>
      <c r="L43" s="451">
        <f t="shared" si="127"/>
        <v>-6.2505710008730175E-2</v>
      </c>
      <c r="M43" s="452">
        <f t="shared" si="127"/>
        <v>-8.021106447773918E-2</v>
      </c>
      <c r="N43" s="451">
        <f t="shared" si="127"/>
        <v>-5.7012024536137851E-2</v>
      </c>
      <c r="O43" s="451">
        <f t="shared" si="127"/>
        <v>1.7653741672297496E-2</v>
      </c>
      <c r="P43" s="451">
        <f t="shared" si="127"/>
        <v>-1.8712732389137621E-2</v>
      </c>
      <c r="Q43" s="451">
        <f t="shared" si="127"/>
        <v>-6.3131176197432803E-2</v>
      </c>
      <c r="R43" s="452">
        <f t="shared" si="127"/>
        <v>-3.9073142157075802E-2</v>
      </c>
      <c r="S43" s="451">
        <f t="shared" si="127"/>
        <v>2.9815580927691654E-2</v>
      </c>
      <c r="T43" s="451">
        <f t="shared" si="127"/>
        <v>-0.11352319486320384</v>
      </c>
      <c r="U43" s="451">
        <f t="shared" si="127"/>
        <v>6.961325308941313E-2</v>
      </c>
      <c r="V43" s="451">
        <f t="shared" si="127"/>
        <v>5.8667826407062806E-2</v>
      </c>
      <c r="W43" s="452">
        <f t="shared" si="127"/>
        <v>1.8400399214812069E-2</v>
      </c>
      <c r="X43" s="451">
        <f t="shared" si="127"/>
        <v>-2.100908082235009E-2</v>
      </c>
      <c r="Y43" s="451">
        <f t="shared" si="127"/>
        <v>8.1944113923246631E-2</v>
      </c>
      <c r="Z43" s="451">
        <f t="shared" si="127"/>
        <v>2.4005324201769707E-2</v>
      </c>
      <c r="AA43" s="451">
        <f t="shared" si="127"/>
        <v>4.7440659023481269E-2</v>
      </c>
      <c r="AB43" s="452">
        <f t="shared" si="127"/>
        <v>3.4261213572166938E-2</v>
      </c>
      <c r="AC43" s="451">
        <f t="shared" si="127"/>
        <v>6.1231126137278213E-2</v>
      </c>
      <c r="AD43" s="451">
        <f t="shared" si="127"/>
        <v>7.7039044761018749E-2</v>
      </c>
      <c r="AE43" s="451">
        <f t="shared" si="127"/>
        <v>4.3034431226502301E-2</v>
      </c>
      <c r="AF43" s="451">
        <f t="shared" si="127"/>
        <v>3.9000003424338514E-2</v>
      </c>
      <c r="AG43" s="452">
        <f t="shared" si="127"/>
        <v>5.2657880882813313E-2</v>
      </c>
      <c r="AH43" s="451">
        <f t="shared" si="127"/>
        <v>8.7685505877631575E-2</v>
      </c>
      <c r="AI43" s="451">
        <f t="shared" si="127"/>
        <v>4.7919801828570474E-2</v>
      </c>
      <c r="AJ43" s="451">
        <f t="shared" si="127"/>
        <v>5.1510423558260632E-2</v>
      </c>
      <c r="AK43" s="451">
        <f t="shared" si="127"/>
        <v>4.8918554013106741E-2</v>
      </c>
      <c r="AL43" s="452">
        <f t="shared" si="127"/>
        <v>5.9373431755152195E-2</v>
      </c>
      <c r="AM43" s="451">
        <f t="shared" si="127"/>
        <v>6.3623785285703116E-2</v>
      </c>
      <c r="AN43" s="451">
        <f t="shared" si="127"/>
        <v>0.10239520409127256</v>
      </c>
      <c r="AO43" s="451">
        <f t="shared" si="127"/>
        <v>9.5146168614560045E-2</v>
      </c>
      <c r="AP43" s="451">
        <f t="shared" si="127"/>
        <v>0.1231560960141993</v>
      </c>
      <c r="AQ43" s="452">
        <f t="shared" si="127"/>
        <v>9.6469408442767746E-2</v>
      </c>
      <c r="AR43" s="451">
        <f t="shared" si="127"/>
        <v>0.10091999490300019</v>
      </c>
      <c r="AS43" s="451">
        <f t="shared" si="127"/>
        <v>9.4258185379045623E-2</v>
      </c>
      <c r="AT43" s="451">
        <f t="shared" si="127"/>
        <v>0.10963895963909653</v>
      </c>
      <c r="AU43" s="453"/>
      <c r="AV43" s="454"/>
      <c r="AW43" s="454"/>
      <c r="AX43" s="454"/>
      <c r="AY43" s="454"/>
      <c r="AZ43" s="455"/>
      <c r="BA43" s="451" t="str">
        <f t="shared" ref="BA43:CF43" si="128">IF(ISERROR(BA42/AV42-1),"",(BA42/AV42-1))</f>
        <v/>
      </c>
      <c r="BB43" s="451" t="str">
        <f t="shared" si="128"/>
        <v/>
      </c>
      <c r="BC43" s="451" t="str">
        <f t="shared" si="128"/>
        <v/>
      </c>
      <c r="BD43" s="451" t="str">
        <f t="shared" si="128"/>
        <v/>
      </c>
      <c r="BE43" s="452" t="str">
        <f t="shared" si="128"/>
        <v/>
      </c>
      <c r="BF43" s="451">
        <f t="shared" si="128"/>
        <v>0.11836518030195231</v>
      </c>
      <c r="BG43" s="451">
        <f t="shared" si="128"/>
        <v>0.11821667755714427</v>
      </c>
      <c r="BH43" s="451">
        <f t="shared" si="128"/>
        <v>0.11866840199524686</v>
      </c>
      <c r="BI43" s="451">
        <f t="shared" si="128"/>
        <v>0.11518499272997551</v>
      </c>
      <c r="BJ43" s="452">
        <f t="shared" si="128"/>
        <v>0.11765918215128646</v>
      </c>
      <c r="BK43" s="451">
        <f t="shared" si="128"/>
        <v>5.0345703941189646E-2</v>
      </c>
      <c r="BL43" s="451">
        <f t="shared" si="128"/>
        <v>5.030416360251766E-2</v>
      </c>
      <c r="BM43" s="451">
        <f t="shared" si="128"/>
        <v>9.3055098495191002E-2</v>
      </c>
      <c r="BN43" s="451">
        <f t="shared" si="128"/>
        <v>2.2731226681308447E-2</v>
      </c>
      <c r="BO43" s="452">
        <f t="shared" si="128"/>
        <v>5.3506577449597081E-2</v>
      </c>
      <c r="BP43" s="451">
        <f t="shared" si="128"/>
        <v>4.5097210250372832E-2</v>
      </c>
      <c r="BQ43" s="451">
        <f t="shared" si="128"/>
        <v>4.3129441695396009E-2</v>
      </c>
      <c r="BR43" s="451">
        <f t="shared" si="128"/>
        <v>-2.9576095890233578E-3</v>
      </c>
      <c r="BS43" s="451">
        <f t="shared" si="128"/>
        <v>1.1860234990497931E-2</v>
      </c>
      <c r="BT43" s="452">
        <f t="shared" si="128"/>
        <v>2.4514505902101469E-2</v>
      </c>
      <c r="BU43" s="451">
        <f t="shared" si="128"/>
        <v>1.1801668813242072E-2</v>
      </c>
      <c r="BV43" s="451">
        <f t="shared" si="128"/>
        <v>1.1508583247566095E-2</v>
      </c>
      <c r="BW43" s="451">
        <f t="shared" si="128"/>
        <v>1.4487802305205744E-2</v>
      </c>
      <c r="BX43" s="451">
        <f t="shared" si="128"/>
        <v>4.9106699152915434E-2</v>
      </c>
      <c r="BY43" s="452">
        <f t="shared" si="128"/>
        <v>2.1658146699616854E-2</v>
      </c>
      <c r="BZ43" s="451">
        <f t="shared" si="128"/>
        <v>3.9791120080154396E-2</v>
      </c>
      <c r="CA43" s="451">
        <f t="shared" si="128"/>
        <v>1.912702604292571E-2</v>
      </c>
      <c r="CB43" s="451">
        <f t="shared" si="128"/>
        <v>1.9168801957292203E-2</v>
      </c>
      <c r="CC43" s="451">
        <f t="shared" si="128"/>
        <v>-4.1502082961105691E-3</v>
      </c>
      <c r="CD43" s="452">
        <f t="shared" si="128"/>
        <v>1.8531846359867155E-2</v>
      </c>
      <c r="CE43" s="451">
        <f t="shared" si="128"/>
        <v>-2.5091274956378751E-2</v>
      </c>
      <c r="CF43" s="451">
        <f t="shared" si="128"/>
        <v>5.3905442725359354E-3</v>
      </c>
      <c r="CG43" s="451">
        <f t="shared" ref="CG43:DS43" si="129">IF(ISERROR(CG42/CB42-1),"",(CG42/CB42-1))</f>
        <v>1.020937418915846E-3</v>
      </c>
      <c r="CH43" s="451">
        <f t="shared" si="129"/>
        <v>1.4565504713740296E-2</v>
      </c>
      <c r="CI43" s="452">
        <f t="shared" si="129"/>
        <v>-1.4533878786661125E-3</v>
      </c>
      <c r="CJ43" s="451">
        <f t="shared" si="129"/>
        <v>2.9427729006963999E-2</v>
      </c>
      <c r="CK43" s="451">
        <f t="shared" si="129"/>
        <v>5.8205186112878504E-3</v>
      </c>
      <c r="CL43" s="451">
        <f t="shared" si="129"/>
        <v>2.0658069546387381E-2</v>
      </c>
      <c r="CM43" s="451">
        <f t="shared" si="129"/>
        <v>-4.2195179754557222E-3</v>
      </c>
      <c r="CN43" s="452">
        <f t="shared" si="129"/>
        <v>1.2914689092281328E-2</v>
      </c>
      <c r="CO43" s="451">
        <f t="shared" si="129"/>
        <v>-1.2835410574769557E-2</v>
      </c>
      <c r="CP43" s="451">
        <f t="shared" si="129"/>
        <v>-3.2103063298839496E-3</v>
      </c>
      <c r="CQ43" s="451">
        <f t="shared" si="129"/>
        <v>-3.4660001433524879E-2</v>
      </c>
      <c r="CR43" s="451">
        <f t="shared" si="129"/>
        <v>-3.0662697248707405E-2</v>
      </c>
      <c r="CS43" s="452">
        <f t="shared" si="129"/>
        <v>-2.0303423832183864E-2</v>
      </c>
      <c r="CT43" s="451">
        <f t="shared" si="129"/>
        <v>-1.9250214358909945E-2</v>
      </c>
      <c r="CU43" s="451">
        <f t="shared" si="129"/>
        <v>-2.25736393210626E-2</v>
      </c>
      <c r="CV43" s="451">
        <f t="shared" si="129"/>
        <v>-2.2026001755492963E-2</v>
      </c>
      <c r="CW43" s="451">
        <f t="shared" si="129"/>
        <v>-1.0614313137803477E-2</v>
      </c>
      <c r="CX43" s="452">
        <f t="shared" si="129"/>
        <v>-1.86132675185392E-2</v>
      </c>
      <c r="CY43" s="451">
        <f t="shared" si="129"/>
        <v>-1.2300183590790881E-2</v>
      </c>
      <c r="CZ43" s="451">
        <f t="shared" si="129"/>
        <v>2.4534186653646373E-3</v>
      </c>
      <c r="DA43" s="451">
        <f t="shared" si="129"/>
        <v>3.4575238541368902E-2</v>
      </c>
      <c r="DB43" s="451">
        <f t="shared" si="129"/>
        <v>-1.183895843372218E-2</v>
      </c>
      <c r="DC43" s="452">
        <f t="shared" si="129"/>
        <v>7.8483452661881614E-4</v>
      </c>
      <c r="DD43" s="451">
        <v>-1.6842116776298877E-3</v>
      </c>
      <c r="DE43" s="451">
        <v>-2.8904755094175449E-2</v>
      </c>
      <c r="DF43" s="451">
        <v>-2.2220247922036029E-2</v>
      </c>
      <c r="DG43" s="451">
        <v>2.8319116223324059E-2</v>
      </c>
      <c r="DH43" s="452">
        <v>-4.119995866311843E-3</v>
      </c>
      <c r="DI43" s="451">
        <f t="shared" si="129"/>
        <v>6.64588419601575E-3</v>
      </c>
      <c r="DJ43" s="451">
        <f t="shared" si="129"/>
        <v>-3.4753022393688826E-2</v>
      </c>
      <c r="DK43" s="451">
        <f t="shared" si="129"/>
        <v>1.5379278331383972E-2</v>
      </c>
      <c r="DL43" s="451">
        <f t="shared" si="129"/>
        <v>2.8802508817660222E-3</v>
      </c>
      <c r="DM43" s="452">
        <f>IF(ISERROR(DM42/DH42-1),"",(DM42/DH42-1))</f>
        <v>7.0937940095874508E-2</v>
      </c>
      <c r="DN43" s="451">
        <f t="shared" si="129"/>
        <v>2.3533060920945648E-2</v>
      </c>
      <c r="DO43" s="451">
        <f t="shared" si="129"/>
        <v>7.1838377277494203E-2</v>
      </c>
      <c r="DP43" s="451">
        <f t="shared" si="129"/>
        <v>5.7934905386394231E-3</v>
      </c>
      <c r="DQ43" s="451">
        <f t="shared" si="129"/>
        <v>2.3761841671181561E-3</v>
      </c>
      <c r="DR43" s="452">
        <f>IF(ISERROR(DR42/DM42-1),"",(DR42/DM42-1))</f>
        <v>8.1320969495618067E-2</v>
      </c>
      <c r="DS43" s="451">
        <f t="shared" si="129"/>
        <v>-1.097649047778948E-2</v>
      </c>
      <c r="DT43" s="451">
        <f t="shared" ref="DT43:EG43" si="130">IF(ISERROR(DT42/DO42-1),"",(DT42/DO42-1))</f>
        <v>2.3527727894087747E-2</v>
      </c>
      <c r="DU43" s="451">
        <f t="shared" si="130"/>
        <v>2.3639005490697196E-2</v>
      </c>
      <c r="DV43" s="451">
        <f t="shared" si="130"/>
        <v>6.4627209144837439E-2</v>
      </c>
      <c r="DW43" s="452">
        <f t="shared" si="130"/>
        <v>3.9117945146359467E-2</v>
      </c>
      <c r="DX43" s="451">
        <f t="shared" ca="1" si="130"/>
        <v>3.7780074218765058E-2</v>
      </c>
      <c r="DY43" s="451">
        <f t="shared" ca="1" si="130"/>
        <v>-1.2251693002961472E-3</v>
      </c>
      <c r="DZ43" s="451">
        <f t="shared" ca="1" si="130"/>
        <v>-1.7661773041413475E-2</v>
      </c>
      <c r="EA43" s="451">
        <f t="shared" ca="1" si="130"/>
        <v>1.5682119749937939E-2</v>
      </c>
      <c r="EB43" s="452">
        <f t="shared" ca="1" si="130"/>
        <v>1.8190196703496531E-2</v>
      </c>
      <c r="EC43" s="451">
        <f t="shared" ca="1" si="130"/>
        <v>-2.8387620423763082E-2</v>
      </c>
      <c r="ED43" s="451">
        <f t="shared" ca="1" si="130"/>
        <v>-1.5282264338142615E-2</v>
      </c>
      <c r="EE43" s="451">
        <f t="shared" ca="1" si="130"/>
        <v>-1.4894868772430403E-2</v>
      </c>
      <c r="EF43" s="451">
        <f t="shared" ca="1" si="130"/>
        <v>-3.3288951791922372E-2</v>
      </c>
      <c r="EG43" s="452">
        <f t="shared" ca="1" si="130"/>
        <v>-4.1333590613851223E-3</v>
      </c>
      <c r="EH43" s="451">
        <f t="shared" ref="EH43" si="131">IF(ISERROR(EH42/EC42-1),"",(EH42/EC42-1))</f>
        <v>1.6474829214768949E-2</v>
      </c>
      <c r="EI43" s="451">
        <f t="shared" ref="EI43" si="132">IF(ISERROR(EI42/ED42-1),"",(EI42/ED42-1))</f>
        <v>1.8100126424860585E-2</v>
      </c>
      <c r="EJ43" s="451">
        <f t="shared" ref="EJ43" si="133">IF(ISERROR(EJ42/EE42-1),"",(EJ42/EE42-1))</f>
        <v>1.9674581821027326E-2</v>
      </c>
      <c r="EK43" s="451">
        <f t="shared" ref="EK43" si="134">IF(ISERROR(EK42/EF42-1),"",(EK42/EF42-1))</f>
        <v>2.3205973954421033E-2</v>
      </c>
      <c r="EL43" s="452">
        <f t="shared" ref="EL43" si="135">IF(ISERROR(EL42/EG42-1),"",(EL42/EG42-1))</f>
        <v>4.4516801911802739E-2</v>
      </c>
    </row>
    <row r="44" spans="1:142" ht="11.25" customHeight="1">
      <c r="A44" s="465"/>
      <c r="B44" s="465"/>
      <c r="C44" s="66"/>
      <c r="D44" s="66"/>
      <c r="E44" s="66"/>
      <c r="F44" s="66"/>
      <c r="G44" s="66"/>
      <c r="H44" s="67"/>
      <c r="I44" s="66"/>
      <c r="J44" s="66"/>
      <c r="K44" s="66"/>
      <c r="L44" s="66"/>
      <c r="M44" s="67"/>
      <c r="N44" s="66"/>
      <c r="O44" s="66"/>
      <c r="P44" s="66"/>
      <c r="Q44" s="66"/>
      <c r="R44" s="67"/>
      <c r="S44" s="66"/>
      <c r="T44" s="66"/>
      <c r="U44" s="66"/>
      <c r="V44" s="66"/>
      <c r="W44" s="67"/>
      <c r="X44" s="66"/>
      <c r="Y44" s="66"/>
      <c r="Z44" s="66"/>
      <c r="AA44" s="66"/>
      <c r="AB44" s="67"/>
      <c r="AC44" s="66"/>
      <c r="AD44" s="66"/>
      <c r="AE44" s="66"/>
      <c r="AF44" s="66"/>
      <c r="AG44" s="67"/>
      <c r="AH44" s="66"/>
      <c r="AI44" s="66"/>
      <c r="AJ44" s="66"/>
      <c r="AK44" s="66"/>
      <c r="AL44" s="67"/>
      <c r="AM44" s="66"/>
      <c r="AN44" s="66"/>
      <c r="AO44" s="66"/>
      <c r="AP44" s="66"/>
      <c r="AQ44" s="67"/>
      <c r="AR44" s="66"/>
      <c r="AS44" s="66"/>
      <c r="AT44" s="66"/>
      <c r="AU44" s="466"/>
      <c r="AV44" s="44"/>
      <c r="AW44" s="44"/>
      <c r="AX44" s="44"/>
      <c r="AY44" s="44"/>
      <c r="AZ44" s="65"/>
      <c r="BA44" s="66"/>
      <c r="BB44" s="66"/>
      <c r="BC44" s="66"/>
      <c r="BD44" s="66"/>
      <c r="BE44" s="67"/>
      <c r="BF44" s="66"/>
      <c r="BG44" s="66"/>
      <c r="BH44" s="66"/>
      <c r="BI44" s="66"/>
      <c r="BJ44" s="67"/>
      <c r="BK44" s="66"/>
      <c r="BL44" s="66"/>
      <c r="BM44" s="66"/>
      <c r="BN44" s="66"/>
      <c r="BO44" s="67"/>
      <c r="BP44" s="66"/>
      <c r="BQ44" s="66"/>
      <c r="BR44" s="66"/>
      <c r="BS44" s="66"/>
      <c r="BT44" s="67"/>
      <c r="BU44" s="66"/>
      <c r="BV44" s="66"/>
      <c r="BW44" s="66"/>
      <c r="BX44" s="66"/>
      <c r="BY44" s="67"/>
      <c r="BZ44" s="66"/>
      <c r="CA44" s="66"/>
      <c r="CB44" s="66"/>
      <c r="CC44" s="66"/>
      <c r="CD44" s="67"/>
      <c r="CE44" s="66"/>
      <c r="CF44" s="66"/>
      <c r="CG44" s="66"/>
      <c r="CH44" s="66"/>
      <c r="CI44" s="67"/>
      <c r="CJ44" s="66"/>
      <c r="CK44" s="66"/>
      <c r="CL44" s="66"/>
      <c r="CM44" s="66"/>
      <c r="CN44" s="67"/>
      <c r="CO44" s="66"/>
      <c r="CP44" s="66"/>
      <c r="CQ44" s="66"/>
      <c r="CR44" s="66"/>
      <c r="CS44" s="67"/>
      <c r="CT44" s="66"/>
      <c r="CU44" s="66"/>
      <c r="CV44" s="66"/>
      <c r="CW44" s="66"/>
      <c r="CX44" s="67"/>
      <c r="CY44" s="66"/>
      <c r="CZ44" s="66"/>
      <c r="DA44" s="66"/>
      <c r="DB44" s="66"/>
      <c r="DC44" s="67"/>
      <c r="DD44" s="66"/>
      <c r="DE44" s="66"/>
      <c r="DF44" s="66"/>
      <c r="DG44" s="66"/>
      <c r="DH44" s="67"/>
      <c r="DI44" s="66"/>
      <c r="DJ44" s="66"/>
      <c r="DK44" s="66"/>
      <c r="DL44" s="66"/>
      <c r="DM44" s="67"/>
      <c r="DN44" s="66"/>
      <c r="DO44" s="66"/>
      <c r="DP44" s="66"/>
      <c r="DQ44" s="66"/>
      <c r="DR44" s="67"/>
      <c r="DS44" s="66"/>
      <c r="DT44" s="66"/>
      <c r="DU44" s="66"/>
      <c r="DV44" s="66"/>
      <c r="DW44" s="67"/>
      <c r="DX44" s="66"/>
      <c r="DY44" s="66"/>
      <c r="DZ44" s="66"/>
      <c r="EA44" s="66"/>
      <c r="EB44" s="67"/>
      <c r="EC44" s="66"/>
      <c r="ED44" s="66"/>
      <c r="EE44" s="66"/>
      <c r="EF44" s="66"/>
      <c r="EG44" s="67"/>
      <c r="EH44" s="66"/>
      <c r="EI44" s="66"/>
      <c r="EJ44" s="66"/>
      <c r="EK44" s="66"/>
      <c r="EL44" s="67"/>
    </row>
    <row r="45" spans="1:142">
      <c r="A45" s="456"/>
      <c r="B45" s="456" t="s">
        <v>225</v>
      </c>
      <c r="C45" s="467"/>
      <c r="D45" s="467"/>
      <c r="E45" s="467"/>
      <c r="F45" s="467"/>
      <c r="G45" s="467"/>
      <c r="H45" s="433"/>
      <c r="I45" s="467"/>
      <c r="J45" s="467"/>
      <c r="K45" s="467"/>
      <c r="L45" s="467"/>
      <c r="M45" s="433"/>
      <c r="N45" s="467"/>
      <c r="O45" s="467"/>
      <c r="P45" s="467"/>
      <c r="Q45" s="467"/>
      <c r="R45" s="433"/>
      <c r="S45" s="467"/>
      <c r="T45" s="467"/>
      <c r="U45" s="467"/>
      <c r="V45" s="467"/>
      <c r="W45" s="433"/>
      <c r="X45" s="467"/>
      <c r="Y45" s="467"/>
      <c r="Z45" s="467"/>
      <c r="AA45" s="467"/>
      <c r="AB45" s="433"/>
      <c r="AC45" s="467"/>
      <c r="AD45" s="467"/>
      <c r="AE45" s="467"/>
      <c r="AF45" s="467"/>
      <c r="AG45" s="433"/>
      <c r="AH45" s="467"/>
      <c r="AI45" s="467"/>
      <c r="AJ45" s="467"/>
      <c r="AK45" s="467"/>
      <c r="AL45" s="433"/>
      <c r="AM45" s="467"/>
      <c r="AN45" s="467"/>
      <c r="AO45" s="467"/>
      <c r="AP45" s="467"/>
      <c r="AQ45" s="433"/>
      <c r="AR45" s="467"/>
      <c r="AS45" s="467"/>
      <c r="AT45" s="467"/>
      <c r="AU45" s="468"/>
      <c r="AV45" s="467"/>
      <c r="AW45" s="467"/>
      <c r="AX45" s="467"/>
      <c r="AY45" s="467"/>
      <c r="AZ45" s="433"/>
      <c r="BA45" s="467"/>
      <c r="BB45" s="467"/>
      <c r="BC45" s="467"/>
      <c r="BD45" s="467"/>
      <c r="BE45" s="433"/>
      <c r="BF45" s="467"/>
      <c r="BG45" s="467"/>
      <c r="BH45" s="467"/>
      <c r="BI45" s="467"/>
      <c r="BJ45" s="433"/>
      <c r="BK45" s="434"/>
      <c r="BL45" s="434"/>
      <c r="BM45" s="434"/>
      <c r="BN45" s="434"/>
      <c r="BO45" s="433"/>
      <c r="BP45" s="434"/>
      <c r="BQ45" s="434"/>
      <c r="BR45" s="434"/>
      <c r="BS45" s="434"/>
      <c r="BT45" s="433"/>
      <c r="BU45" s="434"/>
      <c r="BV45" s="434"/>
      <c r="BW45" s="434"/>
      <c r="BX45" s="434"/>
      <c r="BY45" s="433"/>
      <c r="BZ45" s="434"/>
      <c r="CA45" s="434"/>
      <c r="CB45" s="434"/>
      <c r="CC45" s="434"/>
      <c r="CD45" s="433"/>
      <c r="CE45" s="434"/>
      <c r="CF45" s="434"/>
      <c r="CG45" s="434"/>
      <c r="CH45" s="434"/>
      <c r="CI45" s="433"/>
      <c r="CJ45" s="434"/>
      <c r="CK45" s="434"/>
      <c r="CL45" s="434"/>
      <c r="CM45" s="434"/>
      <c r="CN45" s="433"/>
      <c r="CO45" s="434"/>
      <c r="CP45" s="434"/>
      <c r="CQ45" s="434"/>
      <c r="CR45" s="434"/>
      <c r="CS45" s="433"/>
      <c r="CT45" s="434"/>
      <c r="CU45" s="434"/>
      <c r="CV45" s="434"/>
      <c r="CW45" s="434"/>
      <c r="CX45" s="433"/>
      <c r="CY45" s="434"/>
      <c r="CZ45" s="434"/>
      <c r="DA45" s="434"/>
      <c r="DB45" s="434"/>
      <c r="DC45" s="433"/>
      <c r="DD45" s="434">
        <v>102.47916801713012</v>
      </c>
      <c r="DE45" s="434">
        <v>104.333493003236</v>
      </c>
      <c r="DF45" s="434">
        <v>101.89823150370317</v>
      </c>
      <c r="DG45" s="434">
        <v>95.149828272527728</v>
      </c>
      <c r="DH45" s="433">
        <v>403.86072079659704</v>
      </c>
      <c r="DI45" s="434">
        <f>DI51*DI21</f>
        <v>103.45825251714921</v>
      </c>
      <c r="DJ45" s="434">
        <f>DJ51*DJ21</f>
        <v>105.33029369755118</v>
      </c>
      <c r="DK45" s="434">
        <f>DK51*DK21</f>
        <v>102.87176574461306</v>
      </c>
      <c r="DL45" s="434">
        <f>DL51*DL21</f>
        <v>96.05888836584873</v>
      </c>
      <c r="DM45" s="433">
        <f>SUM(DI45:DL45)</f>
        <v>407.71920032516221</v>
      </c>
      <c r="DN45" s="434">
        <f>DN51*DN21</f>
        <v>104.4466911764255</v>
      </c>
      <c r="DO45" s="434">
        <f>DO51*DO21</f>
        <v>105.08559877831438</v>
      </c>
      <c r="DP45" s="434">
        <f>DP51*DP21</f>
        <v>224.81466594886953</v>
      </c>
      <c r="DQ45" s="434">
        <f>DQ51*DQ21</f>
        <v>209.92588921823662</v>
      </c>
      <c r="DR45" s="433">
        <f>SUM(DN45:DQ45)</f>
        <v>644.2728451218461</v>
      </c>
      <c r="DS45" s="434">
        <f>DS51*DS21</f>
        <v>105.44457336446226</v>
      </c>
      <c r="DT45" s="434">
        <f>DT51*DT21</f>
        <v>106.08958508040726</v>
      </c>
      <c r="DU45" s="434">
        <f>DU51*DU21</f>
        <v>103.61333440949652</v>
      </c>
      <c r="DV45" s="434">
        <f>DV51*DV21</f>
        <v>96.751345242427433</v>
      </c>
      <c r="DW45" s="433">
        <f>SUM(DS45:DV45)</f>
        <v>411.89883809679344</v>
      </c>
      <c r="DX45" s="434">
        <f>DX51*DX21</f>
        <v>106.45198930459769</v>
      </c>
      <c r="DY45" s="434">
        <f>DY51*DY21</f>
        <v>107.10316345321689</v>
      </c>
      <c r="DZ45" s="434">
        <f>DZ51*DZ21</f>
        <v>104.60325471894592</v>
      </c>
      <c r="EA45" s="434">
        <f>EA51*EA21</f>
        <v>97.675706205887096</v>
      </c>
      <c r="EB45" s="433">
        <f>SUM(DX45:EA45)</f>
        <v>415.83411368264763</v>
      </c>
      <c r="EC45" s="434">
        <f>EC51*EC21</f>
        <v>107.46903008216245</v>
      </c>
      <c r="ED45" s="434">
        <f>ED51*ED21</f>
        <v>108.12642553924915</v>
      </c>
      <c r="EE45" s="434">
        <f>EE51*EE21</f>
        <v>105.60263271282027</v>
      </c>
      <c r="EF45" s="434">
        <f>EF51*EF21</f>
        <v>98.608898500721281</v>
      </c>
      <c r="EG45" s="433">
        <f>SUM(EC45:EF45)</f>
        <v>419.80698683495314</v>
      </c>
      <c r="EH45" s="434">
        <f>EH51*EH21</f>
        <v>108.49578765271517</v>
      </c>
      <c r="EI45" s="434">
        <f>EI51*EI21</f>
        <v>109.15946385656115</v>
      </c>
      <c r="EJ45" s="434">
        <f>EJ51*EJ21</f>
        <v>106.61155874970076</v>
      </c>
      <c r="EK45" s="434">
        <f>EK51*EK21</f>
        <v>99.551006501343181</v>
      </c>
      <c r="EL45" s="433">
        <f>SUM(EH45:EK45)</f>
        <v>423.81781676032023</v>
      </c>
    </row>
    <row r="46" spans="1:142" ht="11.25" customHeight="1">
      <c r="A46" s="415"/>
      <c r="B46" s="415" t="s">
        <v>109</v>
      </c>
      <c r="C46" s="461"/>
      <c r="D46" s="461"/>
      <c r="E46" s="461"/>
      <c r="F46" s="461"/>
      <c r="G46" s="461"/>
      <c r="H46" s="55"/>
      <c r="I46" s="461"/>
      <c r="J46" s="461"/>
      <c r="K46" s="461"/>
      <c r="L46" s="461"/>
      <c r="M46" s="55"/>
      <c r="N46" s="461"/>
      <c r="O46" s="461"/>
      <c r="P46" s="461"/>
      <c r="Q46" s="461"/>
      <c r="R46" s="55"/>
      <c r="S46" s="461"/>
      <c r="T46" s="461"/>
      <c r="U46" s="461"/>
      <c r="V46" s="461"/>
      <c r="W46" s="55"/>
      <c r="X46" s="461"/>
      <c r="Y46" s="461"/>
      <c r="Z46" s="461"/>
      <c r="AA46" s="461"/>
      <c r="AB46" s="55"/>
      <c r="AC46" s="461"/>
      <c r="AD46" s="461"/>
      <c r="AE46" s="461"/>
      <c r="AF46" s="461"/>
      <c r="AG46" s="55"/>
      <c r="AH46" s="461"/>
      <c r="AI46" s="461"/>
      <c r="AJ46" s="461"/>
      <c r="AK46" s="461"/>
      <c r="AL46" s="55"/>
      <c r="AM46" s="461"/>
      <c r="AN46" s="461"/>
      <c r="AO46" s="461"/>
      <c r="AP46" s="461"/>
      <c r="AQ46" s="55"/>
      <c r="AR46" s="461"/>
      <c r="AS46" s="461"/>
      <c r="AT46" s="461"/>
      <c r="AU46" s="395"/>
      <c r="AV46" s="435"/>
      <c r="AW46" s="435"/>
      <c r="AX46" s="435"/>
      <c r="AY46" s="435"/>
      <c r="AZ46" s="55"/>
      <c r="BA46" s="461"/>
      <c r="BB46" s="461"/>
      <c r="BC46" s="461"/>
      <c r="BD46" s="461"/>
      <c r="BE46" s="55"/>
      <c r="BF46" s="461"/>
      <c r="BG46" s="461"/>
      <c r="BH46" s="461"/>
      <c r="BI46" s="461"/>
      <c r="BJ46" s="55"/>
      <c r="BK46" s="461"/>
      <c r="BL46" s="461"/>
      <c r="BM46" s="461"/>
      <c r="BN46" s="461"/>
      <c r="BO46" s="55"/>
      <c r="BP46" s="435"/>
      <c r="BQ46" s="435"/>
      <c r="BR46" s="435"/>
      <c r="BS46" s="435"/>
      <c r="BT46" s="55"/>
      <c r="BU46" s="435"/>
      <c r="BV46" s="435"/>
      <c r="BW46" s="435"/>
      <c r="BX46" s="435"/>
      <c r="BY46" s="55"/>
      <c r="BZ46" s="435"/>
      <c r="CA46" s="435"/>
      <c r="CB46" s="435"/>
      <c r="CC46" s="435"/>
      <c r="CD46" s="55"/>
      <c r="CE46" s="435"/>
      <c r="CF46" s="435"/>
      <c r="CG46" s="435"/>
      <c r="CH46" s="435"/>
      <c r="CI46" s="55"/>
      <c r="CJ46" s="435"/>
      <c r="CK46" s="435"/>
      <c r="CL46" s="435"/>
      <c r="CM46" s="435"/>
      <c r="CN46" s="55"/>
      <c r="CO46" s="435"/>
      <c r="CP46" s="435"/>
      <c r="CQ46" s="435"/>
      <c r="CR46" s="435"/>
      <c r="CS46" s="55"/>
      <c r="CT46" s="435"/>
      <c r="CU46" s="435"/>
      <c r="CV46" s="435"/>
      <c r="CW46" s="435"/>
      <c r="CX46" s="55"/>
      <c r="CY46" s="435"/>
      <c r="CZ46" s="435"/>
      <c r="DA46" s="435"/>
      <c r="DB46" s="435"/>
      <c r="DC46" s="55"/>
      <c r="DD46" s="435"/>
      <c r="DE46" s="435"/>
      <c r="DF46" s="435"/>
      <c r="DG46" s="435"/>
      <c r="DH46" s="55"/>
      <c r="DI46" s="435"/>
      <c r="DJ46" s="435"/>
      <c r="DK46" s="435"/>
      <c r="DL46" s="435"/>
      <c r="DM46" s="55"/>
      <c r="DN46" s="435"/>
      <c r="DO46" s="435"/>
      <c r="DP46" s="435"/>
      <c r="DQ46" s="435"/>
      <c r="DR46" s="55"/>
      <c r="DS46" s="435"/>
      <c r="DT46" s="435"/>
      <c r="DU46" s="435"/>
      <c r="DV46" s="435"/>
      <c r="DW46" s="55"/>
      <c r="DX46" s="435"/>
      <c r="DY46" s="435"/>
      <c r="DZ46" s="435"/>
      <c r="EA46" s="435"/>
      <c r="EB46" s="55"/>
      <c r="EC46" s="435"/>
      <c r="ED46" s="435"/>
      <c r="EE46" s="435"/>
      <c r="EF46" s="435"/>
      <c r="EG46" s="55"/>
      <c r="EH46" s="435"/>
      <c r="EI46" s="435"/>
      <c r="EJ46" s="435"/>
      <c r="EK46" s="435"/>
      <c r="EL46" s="55"/>
    </row>
    <row r="47" spans="1:142" ht="11.25" customHeight="1">
      <c r="A47" s="415"/>
      <c r="B47" s="415" t="s">
        <v>219</v>
      </c>
      <c r="C47" s="461"/>
      <c r="D47" s="461"/>
      <c r="E47" s="461"/>
      <c r="F47" s="461"/>
      <c r="G47" s="461"/>
      <c r="H47" s="55"/>
      <c r="I47" s="461"/>
      <c r="J47" s="461"/>
      <c r="K47" s="461"/>
      <c r="L47" s="461"/>
      <c r="M47" s="55"/>
      <c r="N47" s="461"/>
      <c r="O47" s="461"/>
      <c r="P47" s="461"/>
      <c r="Q47" s="461"/>
      <c r="R47" s="55"/>
      <c r="S47" s="461"/>
      <c r="T47" s="461"/>
      <c r="U47" s="461"/>
      <c r="V47" s="461"/>
      <c r="W47" s="55"/>
      <c r="X47" s="461"/>
      <c r="Y47" s="461"/>
      <c r="Z47" s="461"/>
      <c r="AA47" s="461"/>
      <c r="AB47" s="55"/>
      <c r="AC47" s="461"/>
      <c r="AD47" s="461"/>
      <c r="AE47" s="461"/>
      <c r="AF47" s="461"/>
      <c r="AG47" s="55"/>
      <c r="AH47" s="461"/>
      <c r="AI47" s="461"/>
      <c r="AJ47" s="461"/>
      <c r="AK47" s="461"/>
      <c r="AL47" s="55"/>
      <c r="AM47" s="461"/>
      <c r="AN47" s="461"/>
      <c r="AO47" s="461"/>
      <c r="AP47" s="461"/>
      <c r="AQ47" s="55"/>
      <c r="AR47" s="461"/>
      <c r="AS47" s="461"/>
      <c r="AT47" s="461"/>
      <c r="AU47" s="395"/>
      <c r="AV47" s="461"/>
      <c r="AW47" s="461"/>
      <c r="AX47" s="461"/>
      <c r="AY47" s="461"/>
      <c r="AZ47" s="55"/>
      <c r="BA47" s="461"/>
      <c r="BB47" s="461"/>
      <c r="BC47" s="461"/>
      <c r="BD47" s="461"/>
      <c r="BE47" s="55"/>
      <c r="BF47" s="461"/>
      <c r="BG47" s="461"/>
      <c r="BH47" s="461"/>
      <c r="BI47" s="461"/>
      <c r="BJ47" s="55"/>
      <c r="BK47" s="435"/>
      <c r="BL47" s="435"/>
      <c r="BM47" s="435"/>
      <c r="BN47" s="435"/>
      <c r="BO47" s="55"/>
      <c r="BP47" s="435"/>
      <c r="BQ47" s="435"/>
      <c r="BR47" s="435"/>
      <c r="BS47" s="435"/>
      <c r="BT47" s="55"/>
      <c r="BU47" s="435"/>
      <c r="BV47" s="435"/>
      <c r="BW47" s="435"/>
      <c r="BX47" s="435"/>
      <c r="BY47" s="55"/>
      <c r="BZ47" s="435"/>
      <c r="CA47" s="435"/>
      <c r="CB47" s="435"/>
      <c r="CC47" s="435"/>
      <c r="CD47" s="55"/>
      <c r="CE47" s="435"/>
      <c r="CF47" s="435"/>
      <c r="CG47" s="435"/>
      <c r="CH47" s="435"/>
      <c r="CI47" s="55"/>
      <c r="CJ47" s="435"/>
      <c r="CK47" s="435"/>
      <c r="CL47" s="435"/>
      <c r="CM47" s="435"/>
      <c r="CN47" s="55"/>
      <c r="CO47" s="435"/>
      <c r="CP47" s="435"/>
      <c r="CQ47" s="435"/>
      <c r="CR47" s="435"/>
      <c r="CS47" s="55"/>
      <c r="CT47" s="435"/>
      <c r="CU47" s="435"/>
      <c r="CV47" s="435"/>
      <c r="CW47" s="435"/>
      <c r="CX47" s="55"/>
      <c r="CY47" s="435"/>
      <c r="CZ47" s="435"/>
      <c r="DA47" s="435"/>
      <c r="DB47" s="435"/>
      <c r="DC47" s="55"/>
      <c r="DD47" s="177">
        <v>2.3799156529756182E-2</v>
      </c>
      <c r="DE47" s="177">
        <v>2.3918728336367722E-2</v>
      </c>
      <c r="DF47" s="177">
        <v>2.3012247403727003E-2</v>
      </c>
      <c r="DG47" s="177">
        <v>1.9724259592149199E-2</v>
      </c>
      <c r="DH47" s="55">
        <v>2.2536870580167245E-2</v>
      </c>
      <c r="DI47" s="177">
        <f>DI45/DI$23</f>
        <v>2.1594291905061409E-2</v>
      </c>
      <c r="DJ47" s="177">
        <f t="shared" ref="DJ47:DR47" si="136">DJ45/DJ$23</f>
        <v>2.1744486725340871E-2</v>
      </c>
      <c r="DK47" s="177">
        <f>DK45/DK$23</f>
        <v>2.0318342039228336E-2</v>
      </c>
      <c r="DL47" s="177">
        <f t="shared" si="136"/>
        <v>1.7732857368626311E-2</v>
      </c>
      <c r="DM47" s="55">
        <f t="shared" si="136"/>
        <v>2.0273442410877737E-2</v>
      </c>
      <c r="DN47" s="177">
        <f>DN45/DN$23</f>
        <v>1.9270607228122787E-2</v>
      </c>
      <c r="DO47" s="177">
        <f>DO45/DO$23</f>
        <v>2.0131340762129191E-2</v>
      </c>
      <c r="DP47" s="177">
        <f>DP45/DP$23</f>
        <v>4.3100971232528665E-2</v>
      </c>
      <c r="DQ47" s="177">
        <f>DQ45/DQ$23</f>
        <v>4.0261965711207638E-2</v>
      </c>
      <c r="DR47" s="55">
        <f t="shared" si="136"/>
        <v>3.057773351313935E-2</v>
      </c>
      <c r="DS47" s="177">
        <f t="shared" ref="DS47:EG47" si="137">DS45/DS$23</f>
        <v>2.0293412887694814E-2</v>
      </c>
      <c r="DT47" s="177">
        <f t="shared" si="137"/>
        <v>2.0508328838277065E-2</v>
      </c>
      <c r="DU47" s="177">
        <f t="shared" si="137"/>
        <v>2.0970114229811074E-2</v>
      </c>
      <c r="DV47" s="177">
        <f t="shared" ref="DV47" si="138">DV45/DV$23</f>
        <v>1.8244643643678567E-2</v>
      </c>
      <c r="DW47" s="55">
        <f t="shared" si="137"/>
        <v>1.9982478925764977E-2</v>
      </c>
      <c r="DX47" s="177">
        <f t="shared" si="137"/>
        <v>2.144343881744706E-2</v>
      </c>
      <c r="DY47" s="177">
        <f t="shared" si="137"/>
        <v>2.1635217525965412E-2</v>
      </c>
      <c r="DZ47" s="177">
        <f t="shared" si="137"/>
        <v>2.2044335469748204E-2</v>
      </c>
      <c r="EA47" s="177">
        <f t="shared" si="137"/>
        <v>1.9610389084358883E-2</v>
      </c>
      <c r="EB47" s="55">
        <f t="shared" si="137"/>
        <v>2.1172095501772872E-2</v>
      </c>
      <c r="EC47" s="177">
        <f t="shared" si="137"/>
        <v>2.1966795768526531E-2</v>
      </c>
      <c r="ED47" s="177">
        <f t="shared" si="137"/>
        <v>2.180077276972207E-2</v>
      </c>
      <c r="EE47" s="177">
        <f t="shared" si="137"/>
        <v>2.1812949731882636E-2</v>
      </c>
      <c r="EF47" s="177">
        <f t="shared" si="137"/>
        <v>1.9058516065870133E-2</v>
      </c>
      <c r="EG47" s="55">
        <f t="shared" si="137"/>
        <v>2.1130464838660198E-2</v>
      </c>
      <c r="EH47" s="177">
        <f t="shared" ref="EH47:EL47" si="139">EH45/EH$23</f>
        <v>2.1227478272650143E-2</v>
      </c>
      <c r="EI47" s="177">
        <f t="shared" si="139"/>
        <v>2.1085733413580846E-2</v>
      </c>
      <c r="EJ47" s="177">
        <f t="shared" si="139"/>
        <v>2.1117335153725186E-2</v>
      </c>
      <c r="EK47" s="177">
        <f t="shared" si="139"/>
        <v>1.8432800222057115E-2</v>
      </c>
      <c r="EL47" s="55">
        <f t="shared" si="139"/>
        <v>2.0437442228365969E-2</v>
      </c>
    </row>
    <row r="48" spans="1:142" ht="11.25" customHeight="1">
      <c r="A48" s="415"/>
      <c r="B48" s="415" t="s">
        <v>220</v>
      </c>
      <c r="C48" s="461"/>
      <c r="D48" s="461"/>
      <c r="E48" s="461"/>
      <c r="F48" s="461"/>
      <c r="G48" s="461"/>
      <c r="H48" s="55"/>
      <c r="I48" s="461"/>
      <c r="J48" s="461"/>
      <c r="K48" s="461"/>
      <c r="L48" s="461"/>
      <c r="M48" s="55"/>
      <c r="N48" s="461"/>
      <c r="O48" s="461"/>
      <c r="P48" s="461"/>
      <c r="Q48" s="461"/>
      <c r="R48" s="55"/>
      <c r="S48" s="461"/>
      <c r="T48" s="461"/>
      <c r="U48" s="461"/>
      <c r="V48" s="461"/>
      <c r="W48" s="55"/>
      <c r="X48" s="461"/>
      <c r="Y48" s="461"/>
      <c r="Z48" s="461"/>
      <c r="AA48" s="461"/>
      <c r="AB48" s="55"/>
      <c r="AC48" s="461"/>
      <c r="AD48" s="461"/>
      <c r="AE48" s="461"/>
      <c r="AF48" s="461"/>
      <c r="AG48" s="55"/>
      <c r="AH48" s="461"/>
      <c r="AI48" s="461"/>
      <c r="AJ48" s="461"/>
      <c r="AK48" s="461"/>
      <c r="AL48" s="55"/>
      <c r="AM48" s="461"/>
      <c r="AN48" s="461"/>
      <c r="AO48" s="461"/>
      <c r="AP48" s="461"/>
      <c r="AQ48" s="55"/>
      <c r="AR48" s="461"/>
      <c r="AS48" s="461"/>
      <c r="AT48" s="461"/>
      <c r="AU48" s="395"/>
      <c r="AV48" s="461"/>
      <c r="AW48" s="461"/>
      <c r="AX48" s="461"/>
      <c r="AY48" s="461"/>
      <c r="AZ48" s="55"/>
      <c r="BA48" s="461"/>
      <c r="BB48" s="461"/>
      <c r="BC48" s="461"/>
      <c r="BD48" s="461"/>
      <c r="BE48" s="55"/>
      <c r="BF48" s="461"/>
      <c r="BG48" s="461"/>
      <c r="BH48" s="461"/>
      <c r="BI48" s="461"/>
      <c r="BJ48" s="55"/>
      <c r="BK48" s="435"/>
      <c r="BL48" s="435"/>
      <c r="BM48" s="435"/>
      <c r="BN48" s="435"/>
      <c r="BO48" s="55"/>
      <c r="BP48" s="435"/>
      <c r="BQ48" s="435"/>
      <c r="BR48" s="435"/>
      <c r="BS48" s="435"/>
      <c r="BT48" s="55"/>
      <c r="BU48" s="435"/>
      <c r="BV48" s="435"/>
      <c r="BW48" s="435"/>
      <c r="BX48" s="435"/>
      <c r="BY48" s="55"/>
      <c r="BZ48" s="435"/>
      <c r="CA48" s="435"/>
      <c r="CB48" s="435"/>
      <c r="CC48" s="435"/>
      <c r="CD48" s="55"/>
      <c r="CE48" s="435"/>
      <c r="CF48" s="435"/>
      <c r="CG48" s="435"/>
      <c r="CH48" s="435"/>
      <c r="CI48" s="55"/>
      <c r="CJ48" s="435"/>
      <c r="CK48" s="435"/>
      <c r="CL48" s="435"/>
      <c r="CM48" s="435"/>
      <c r="CN48" s="55"/>
      <c r="CO48" s="435"/>
      <c r="CP48" s="435"/>
      <c r="CQ48" s="435"/>
      <c r="CR48" s="435"/>
      <c r="CS48" s="55"/>
      <c r="CT48" s="435"/>
      <c r="CU48" s="435"/>
      <c r="CV48" s="435"/>
      <c r="CW48" s="435"/>
      <c r="CX48" s="55"/>
      <c r="CY48" s="435"/>
      <c r="CZ48" s="435"/>
      <c r="DA48" s="435"/>
      <c r="DB48" s="435"/>
      <c r="DC48" s="55"/>
      <c r="DD48" s="177">
        <v>2.6102691802631209E-2</v>
      </c>
      <c r="DE48" s="177">
        <v>2.5812343642562099E-2</v>
      </c>
      <c r="DF48" s="177">
        <v>2.4383400694832059E-2</v>
      </c>
      <c r="DG48" s="177">
        <v>2.1295843391344611E-2</v>
      </c>
      <c r="DH48" s="55">
        <v>2.4306994932085286E-2</v>
      </c>
      <c r="DI48" s="177">
        <f>DI45/DI$25</f>
        <v>2.3385680948722697E-2</v>
      </c>
      <c r="DJ48" s="177">
        <f t="shared" ref="DJ48:DR48" si="140">DJ45/DJ$25</f>
        <v>2.344841800925004E-2</v>
      </c>
      <c r="DK48" s="177">
        <f>DK45/DK$25</f>
        <v>2.1924928760573968E-2</v>
      </c>
      <c r="DL48" s="177">
        <f t="shared" si="140"/>
        <v>1.9112393228382159E-2</v>
      </c>
      <c r="DM48" s="55">
        <f t="shared" si="140"/>
        <v>2.1880390701146411E-2</v>
      </c>
      <c r="DN48" s="177">
        <f>DN45/DN$25</f>
        <v>2.0707115617848038E-2</v>
      </c>
      <c r="DO48" s="177">
        <f>DO45/DO$25</f>
        <v>2.1587017004583889E-2</v>
      </c>
      <c r="DP48" s="177">
        <f>DP45/DP$25</f>
        <v>4.6363098772709742E-2</v>
      </c>
      <c r="DQ48" s="177">
        <f>DQ45/DQ$25</f>
        <v>4.31946274111598E-2</v>
      </c>
      <c r="DR48" s="55">
        <f t="shared" si="140"/>
        <v>3.2835882224241685E-2</v>
      </c>
      <c r="DS48" s="177">
        <f t="shared" ref="DS48:EG48" si="141">DS45/DS$25</f>
        <v>2.190828451370502E-2</v>
      </c>
      <c r="DT48" s="177">
        <f t="shared" si="141"/>
        <v>2.2092791561934041E-2</v>
      </c>
      <c r="DU48" s="177">
        <f t="shared" si="141"/>
        <v>2.2593400438180661E-2</v>
      </c>
      <c r="DV48" s="177">
        <f t="shared" ref="DV48" si="142">DV45/DV$25</f>
        <v>1.9435786509125641E-2</v>
      </c>
      <c r="DW48" s="55">
        <f t="shared" si="141"/>
        <v>2.1476554465654801E-2</v>
      </c>
      <c r="DX48" s="177">
        <f t="shared" si="141"/>
        <v>2.3217008438934341E-2</v>
      </c>
      <c r="DY48" s="177">
        <f t="shared" si="141"/>
        <v>2.3426259386867848E-2</v>
      </c>
      <c r="DZ48" s="177">
        <f t="shared" si="141"/>
        <v>2.3870451884679119E-2</v>
      </c>
      <c r="EA48" s="177">
        <f t="shared" si="141"/>
        <v>2.1229033469195888E-2</v>
      </c>
      <c r="EB48" s="55">
        <f t="shared" si="141"/>
        <v>2.2923372464058997E-2</v>
      </c>
      <c r="EC48" s="177">
        <f t="shared" si="141"/>
        <v>2.3753756034493926E-2</v>
      </c>
      <c r="ED48" s="177">
        <f t="shared" si="141"/>
        <v>2.3575020492341427E-2</v>
      </c>
      <c r="EE48" s="177">
        <f t="shared" si="141"/>
        <v>2.3588436159804674E-2</v>
      </c>
      <c r="EF48" s="177">
        <f t="shared" si="141"/>
        <v>2.0614508427263784E-2</v>
      </c>
      <c r="EG48" s="55">
        <f t="shared" si="141"/>
        <v>2.2851449917995006E-2</v>
      </c>
      <c r="EH48" s="177">
        <f t="shared" ref="EH48:EL48" si="143">EH45/EH$25</f>
        <v>2.292473117188076E-2</v>
      </c>
      <c r="EI48" s="177">
        <f t="shared" si="143"/>
        <v>2.2772475586044876E-2</v>
      </c>
      <c r="EJ48" s="177">
        <f t="shared" si="143"/>
        <v>2.2806936966219844E-2</v>
      </c>
      <c r="EK48" s="177">
        <f t="shared" si="143"/>
        <v>1.9912681420647924E-2</v>
      </c>
      <c r="EL48" s="55">
        <f t="shared" si="143"/>
        <v>2.2073753474472352E-2</v>
      </c>
    </row>
    <row r="49" spans="1:142" ht="11.25" customHeight="1">
      <c r="A49" s="4"/>
      <c r="B49" s="4" t="s">
        <v>226</v>
      </c>
      <c r="C49" s="469"/>
      <c r="D49" s="469"/>
      <c r="E49" s="469"/>
      <c r="F49" s="469"/>
      <c r="G49" s="469"/>
      <c r="H49" s="440"/>
      <c r="I49" s="469"/>
      <c r="J49" s="469"/>
      <c r="K49" s="469"/>
      <c r="L49" s="469"/>
      <c r="M49" s="440"/>
      <c r="N49" s="469"/>
      <c r="O49" s="469"/>
      <c r="P49" s="469"/>
      <c r="Q49" s="469"/>
      <c r="R49" s="440"/>
      <c r="S49" s="469"/>
      <c r="T49" s="469"/>
      <c r="U49" s="469"/>
      <c r="V49" s="469"/>
      <c r="W49" s="440"/>
      <c r="X49" s="469"/>
      <c r="Y49" s="469"/>
      <c r="Z49" s="469"/>
      <c r="AA49" s="469"/>
      <c r="AB49" s="440"/>
      <c r="AC49" s="469"/>
      <c r="AD49" s="469"/>
      <c r="AE49" s="469"/>
      <c r="AF49" s="469"/>
      <c r="AG49" s="440"/>
      <c r="AH49" s="469"/>
      <c r="AI49" s="469"/>
      <c r="AJ49" s="469"/>
      <c r="AK49" s="469"/>
      <c r="AL49" s="440"/>
      <c r="AM49" s="469"/>
      <c r="AN49" s="469"/>
      <c r="AO49" s="469"/>
      <c r="AP49" s="469"/>
      <c r="AQ49" s="440"/>
      <c r="AR49" s="469"/>
      <c r="AS49" s="469"/>
      <c r="AT49" s="469"/>
      <c r="AU49" s="395"/>
      <c r="AV49" s="469"/>
      <c r="AW49" s="469"/>
      <c r="AX49" s="469"/>
      <c r="AY49" s="469"/>
      <c r="AZ49" s="442"/>
      <c r="BA49" s="469"/>
      <c r="BB49" s="469"/>
      <c r="BC49" s="469"/>
      <c r="BD49" s="469"/>
      <c r="BE49" s="440"/>
      <c r="BF49" s="469"/>
      <c r="BG49" s="469"/>
      <c r="BH49" s="469"/>
      <c r="BI49" s="469"/>
      <c r="BJ49" s="440"/>
      <c r="BK49" s="470"/>
      <c r="BL49" s="470"/>
      <c r="BM49" s="470"/>
      <c r="BN49" s="470"/>
      <c r="BO49" s="440"/>
      <c r="BP49" s="470"/>
      <c r="BQ49" s="470"/>
      <c r="BR49" s="470"/>
      <c r="BS49" s="470"/>
      <c r="BT49" s="440"/>
      <c r="BU49" s="470"/>
      <c r="BV49" s="470"/>
      <c r="BW49" s="470"/>
      <c r="BX49" s="470"/>
      <c r="BY49" s="440"/>
      <c r="BZ49" s="470"/>
      <c r="CA49" s="470"/>
      <c r="CB49" s="470"/>
      <c r="CC49" s="470"/>
      <c r="CD49" s="440"/>
      <c r="CE49" s="470"/>
      <c r="CF49" s="470"/>
      <c r="CG49" s="470"/>
      <c r="CH49" s="470"/>
      <c r="CI49" s="440"/>
      <c r="CJ49" s="470"/>
      <c r="CK49" s="470"/>
      <c r="CL49" s="470"/>
      <c r="CM49" s="470"/>
      <c r="CN49" s="440"/>
      <c r="CO49" s="470"/>
      <c r="CP49" s="470"/>
      <c r="CQ49" s="470"/>
      <c r="CR49" s="470"/>
      <c r="CS49" s="440"/>
      <c r="CT49" s="470"/>
      <c r="CU49" s="470"/>
      <c r="CV49" s="470"/>
      <c r="CW49" s="470"/>
      <c r="CX49" s="440"/>
      <c r="CY49" s="470"/>
      <c r="CZ49" s="470"/>
      <c r="DA49" s="470"/>
      <c r="DB49" s="470"/>
      <c r="DC49" s="440"/>
      <c r="DD49" s="439">
        <v>664.78025316455694</v>
      </c>
      <c r="DE49" s="439">
        <v>672.20779874213838</v>
      </c>
      <c r="DF49" s="439">
        <v>659.81679389312978</v>
      </c>
      <c r="DG49" s="439">
        <v>619.21525423728815</v>
      </c>
      <c r="DH49" s="440">
        <v>697.89517127527859</v>
      </c>
      <c r="DI49" s="439">
        <v>676.57218860759485</v>
      </c>
      <c r="DJ49" s="439">
        <v>684.13148469601686</v>
      </c>
      <c r="DK49" s="439">
        <v>671.5206870229008</v>
      </c>
      <c r="DL49" s="439">
        <v>630.19895338983054</v>
      </c>
      <c r="DM49" s="440">
        <v>697.89517127527859</v>
      </c>
      <c r="DN49" s="439">
        <v>688.47333794936708</v>
      </c>
      <c r="DO49" s="439">
        <v>696.16560478825988</v>
      </c>
      <c r="DP49" s="439">
        <v>683.3329786259543</v>
      </c>
      <c r="DQ49" s="439">
        <v>641.28438076271186</v>
      </c>
      <c r="DR49" s="440">
        <v>697.89517127527859</v>
      </c>
      <c r="DS49" s="439">
        <f>DN49*1.018</f>
        <v>700.86585803245566</v>
      </c>
      <c r="DT49" s="439">
        <f>DO49*1.018</f>
        <v>708.69658567444856</v>
      </c>
      <c r="DU49" s="439">
        <f>DP49*1.018</f>
        <v>695.63297224122152</v>
      </c>
      <c r="DV49" s="439">
        <f>DQ49*1.018</f>
        <v>652.82749961644072</v>
      </c>
      <c r="DW49" s="440">
        <v>697.89517127527859</v>
      </c>
      <c r="DX49" s="439">
        <f>DS49</f>
        <v>700.86585803245566</v>
      </c>
      <c r="DY49" s="439">
        <f>DT49</f>
        <v>708.69658567444856</v>
      </c>
      <c r="DZ49" s="439">
        <f>DU49</f>
        <v>695.63297224122152</v>
      </c>
      <c r="EA49" s="439">
        <f>DV49</f>
        <v>652.82749961644072</v>
      </c>
      <c r="EB49" s="440">
        <v>697.89517127527859</v>
      </c>
      <c r="EC49" s="439">
        <f>DX49</f>
        <v>700.86585803245566</v>
      </c>
      <c r="ED49" s="439">
        <f>DY49</f>
        <v>708.69658567444856</v>
      </c>
      <c r="EE49" s="439">
        <f>DZ49</f>
        <v>695.63297224122152</v>
      </c>
      <c r="EF49" s="439">
        <f>EA49</f>
        <v>652.82749961644072</v>
      </c>
      <c r="EG49" s="440">
        <v>697.89517127527859</v>
      </c>
      <c r="EH49" s="439">
        <f>EC49</f>
        <v>700.86585803245566</v>
      </c>
      <c r="EI49" s="439">
        <f>ED49</f>
        <v>708.69658567444856</v>
      </c>
      <c r="EJ49" s="439">
        <f>EE49</f>
        <v>695.63297224122152</v>
      </c>
      <c r="EK49" s="439">
        <f>EF49</f>
        <v>652.82749961644072</v>
      </c>
      <c r="EL49" s="440">
        <v>697.89517127527859</v>
      </c>
    </row>
    <row r="50" spans="1:142" ht="11.25" customHeight="1">
      <c r="A50" s="459"/>
      <c r="B50" s="459" t="s">
        <v>109</v>
      </c>
      <c r="C50" s="443"/>
      <c r="D50" s="443"/>
      <c r="E50" s="443"/>
      <c r="F50" s="443"/>
      <c r="G50" s="443"/>
      <c r="H50" s="462"/>
      <c r="I50" s="443"/>
      <c r="J50" s="443"/>
      <c r="K50" s="443"/>
      <c r="L50" s="443"/>
      <c r="M50" s="462"/>
      <c r="N50" s="443"/>
      <c r="O50" s="443"/>
      <c r="P50" s="443"/>
      <c r="Q50" s="443"/>
      <c r="R50" s="462"/>
      <c r="S50" s="443"/>
      <c r="T50" s="443"/>
      <c r="U50" s="443"/>
      <c r="V50" s="443"/>
      <c r="W50" s="462"/>
      <c r="X50" s="443"/>
      <c r="Y50" s="443"/>
      <c r="Z50" s="443"/>
      <c r="AA50" s="443"/>
      <c r="AB50" s="462"/>
      <c r="AC50" s="443"/>
      <c r="AD50" s="443"/>
      <c r="AE50" s="443"/>
      <c r="AF50" s="443"/>
      <c r="AG50" s="462"/>
      <c r="AH50" s="443"/>
      <c r="AI50" s="443"/>
      <c r="AJ50" s="443"/>
      <c r="AK50" s="443"/>
      <c r="AL50" s="462"/>
      <c r="AM50" s="443"/>
      <c r="AN50" s="443"/>
      <c r="AO50" s="443"/>
      <c r="AP50" s="443"/>
      <c r="AQ50" s="462"/>
      <c r="AR50" s="443"/>
      <c r="AS50" s="443"/>
      <c r="AT50" s="443"/>
      <c r="AU50" s="460"/>
      <c r="AV50" s="71"/>
      <c r="AW50" s="71"/>
      <c r="AX50" s="71"/>
      <c r="AY50" s="71"/>
      <c r="AZ50" s="444"/>
      <c r="BA50" s="443"/>
      <c r="BB50" s="443"/>
      <c r="BC50" s="443"/>
      <c r="BD50" s="443"/>
      <c r="BE50" s="462"/>
      <c r="BF50" s="443"/>
      <c r="BG50" s="443"/>
      <c r="BH50" s="443"/>
      <c r="BI50" s="443"/>
      <c r="BJ50" s="444"/>
      <c r="BK50" s="443"/>
      <c r="BL50" s="443"/>
      <c r="BM50" s="443"/>
      <c r="BN50" s="443"/>
      <c r="BO50" s="444"/>
      <c r="BP50" s="71"/>
      <c r="BQ50" s="71"/>
      <c r="BR50" s="71"/>
      <c r="BS50" s="71"/>
      <c r="BT50" s="444"/>
      <c r="BU50" s="71"/>
      <c r="BV50" s="71"/>
      <c r="BW50" s="71"/>
      <c r="BX50" s="71"/>
      <c r="BY50" s="444"/>
      <c r="BZ50" s="71"/>
      <c r="CA50" s="71"/>
      <c r="CB50" s="71"/>
      <c r="CC50" s="71"/>
      <c r="CD50" s="444"/>
      <c r="CE50" s="71"/>
      <c r="CF50" s="71"/>
      <c r="CG50" s="71"/>
      <c r="CH50" s="71"/>
      <c r="CI50" s="444"/>
      <c r="CJ50" s="71"/>
      <c r="CK50" s="71"/>
      <c r="CL50" s="71"/>
      <c r="CM50" s="71"/>
      <c r="CN50" s="444"/>
      <c r="CO50" s="71"/>
      <c r="CP50" s="71"/>
      <c r="CQ50" s="71"/>
      <c r="CR50" s="71"/>
      <c r="CS50" s="444"/>
      <c r="CT50" s="71"/>
      <c r="CU50" s="71"/>
      <c r="CV50" s="71"/>
      <c r="CW50" s="71"/>
      <c r="CX50" s="444"/>
      <c r="CY50" s="71"/>
      <c r="CZ50" s="71"/>
      <c r="DA50" s="71"/>
      <c r="DB50" s="71"/>
      <c r="DC50" s="444"/>
      <c r="DD50" s="71"/>
      <c r="DE50" s="71"/>
      <c r="DF50" s="71"/>
      <c r="DG50" s="71"/>
      <c r="DH50" s="444"/>
      <c r="DI50" s="71">
        <f t="shared" ref="DI50:DR50" si="144">DI49/DD49-1</f>
        <v>1.7738095238095219E-2</v>
      </c>
      <c r="DJ50" s="71">
        <f t="shared" si="144"/>
        <v>1.7738095238095442E-2</v>
      </c>
      <c r="DK50" s="71">
        <f t="shared" si="144"/>
        <v>1.7738095238095219E-2</v>
      </c>
      <c r="DL50" s="71">
        <f t="shared" si="144"/>
        <v>1.7738095238095219E-2</v>
      </c>
      <c r="DM50" s="444">
        <f t="shared" si="144"/>
        <v>0</v>
      </c>
      <c r="DN50" s="71">
        <f>DN49/DI49-1</f>
        <v>1.7590361445783298E-2</v>
      </c>
      <c r="DO50" s="71">
        <f>DO49/DJ49-1</f>
        <v>1.7590361445782854E-2</v>
      </c>
      <c r="DP50" s="71">
        <f>DP49/DK49-1</f>
        <v>1.7590361445783298E-2</v>
      </c>
      <c r="DQ50" s="71">
        <f>DQ49/DL49-1</f>
        <v>1.7590361445783076E-2</v>
      </c>
      <c r="DR50" s="444">
        <f t="shared" si="144"/>
        <v>0</v>
      </c>
      <c r="DS50" s="71">
        <f t="shared" ref="DS50:EG50" si="145">DS49/DN49-1</f>
        <v>1.8000000000000016E-2</v>
      </c>
      <c r="DT50" s="71">
        <f t="shared" si="145"/>
        <v>1.8000000000000016E-2</v>
      </c>
      <c r="DU50" s="71">
        <f t="shared" si="145"/>
        <v>1.8000000000000016E-2</v>
      </c>
      <c r="DV50" s="71">
        <f t="shared" si="145"/>
        <v>1.8000000000000016E-2</v>
      </c>
      <c r="DW50" s="444">
        <f t="shared" si="145"/>
        <v>0</v>
      </c>
      <c r="DX50" s="71">
        <f t="shared" si="145"/>
        <v>0</v>
      </c>
      <c r="DY50" s="71">
        <f t="shared" si="145"/>
        <v>0</v>
      </c>
      <c r="DZ50" s="71">
        <f t="shared" si="145"/>
        <v>0</v>
      </c>
      <c r="EA50" s="71">
        <f t="shared" si="145"/>
        <v>0</v>
      </c>
      <c r="EB50" s="444">
        <f t="shared" si="145"/>
        <v>0</v>
      </c>
      <c r="EC50" s="71">
        <f t="shared" si="145"/>
        <v>0</v>
      </c>
      <c r="ED50" s="71">
        <f t="shared" si="145"/>
        <v>0</v>
      </c>
      <c r="EE50" s="71">
        <f t="shared" si="145"/>
        <v>0</v>
      </c>
      <c r="EF50" s="71">
        <f t="shared" si="145"/>
        <v>0</v>
      </c>
      <c r="EG50" s="444">
        <f t="shared" si="145"/>
        <v>0</v>
      </c>
      <c r="EH50" s="71">
        <f t="shared" ref="EH50" si="146">EH49/EC49-1</f>
        <v>0</v>
      </c>
      <c r="EI50" s="71">
        <f t="shared" ref="EI50" si="147">EI49/ED49-1</f>
        <v>0</v>
      </c>
      <c r="EJ50" s="71">
        <f t="shared" ref="EJ50" si="148">EJ49/EE49-1</f>
        <v>0</v>
      </c>
      <c r="EK50" s="71">
        <f t="shared" ref="EK50" si="149">EK49/EF49-1</f>
        <v>0</v>
      </c>
      <c r="EL50" s="444">
        <f t="shared" ref="EL50" si="150">EL49/EG49-1</f>
        <v>0</v>
      </c>
    </row>
    <row r="51" spans="1:142" ht="11.25" customHeight="1">
      <c r="A51" s="445"/>
      <c r="B51" s="4" t="s">
        <v>227</v>
      </c>
      <c r="C51" s="175"/>
      <c r="D51" s="175"/>
      <c r="E51" s="175"/>
      <c r="F51" s="175"/>
      <c r="G51" s="175"/>
      <c r="H51" s="464"/>
      <c r="I51" s="175"/>
      <c r="J51" s="175"/>
      <c r="K51" s="175"/>
      <c r="L51" s="175"/>
      <c r="M51" s="464"/>
      <c r="N51" s="175"/>
      <c r="O51" s="175"/>
      <c r="P51" s="175"/>
      <c r="Q51" s="175"/>
      <c r="R51" s="464"/>
      <c r="S51" s="175"/>
      <c r="T51" s="175"/>
      <c r="U51" s="175"/>
      <c r="V51" s="175"/>
      <c r="W51" s="464"/>
      <c r="X51" s="175"/>
      <c r="Y51" s="175"/>
      <c r="Z51" s="175"/>
      <c r="AA51" s="175"/>
      <c r="AB51" s="464"/>
      <c r="AC51" s="175"/>
      <c r="AD51" s="175"/>
      <c r="AE51" s="175"/>
      <c r="AF51" s="175"/>
      <c r="AG51" s="464"/>
      <c r="AH51" s="175"/>
      <c r="AI51" s="175"/>
      <c r="AJ51" s="175"/>
      <c r="AK51" s="175"/>
      <c r="AL51" s="464"/>
      <c r="AM51" s="175"/>
      <c r="AN51" s="175"/>
      <c r="AO51" s="175"/>
      <c r="AP51" s="175"/>
      <c r="AQ51" s="464"/>
      <c r="AR51" s="175"/>
      <c r="AS51" s="175"/>
      <c r="AT51" s="175"/>
      <c r="AU51" s="448"/>
      <c r="AV51" s="175"/>
      <c r="AW51" s="175"/>
      <c r="AX51" s="175"/>
      <c r="AY51" s="175"/>
      <c r="AZ51" s="449"/>
      <c r="BA51" s="175"/>
      <c r="BB51" s="175"/>
      <c r="BC51" s="175"/>
      <c r="BD51" s="175"/>
      <c r="BE51" s="464"/>
      <c r="BF51" s="175"/>
      <c r="BG51" s="175"/>
      <c r="BH51" s="175"/>
      <c r="BI51" s="175"/>
      <c r="BJ51" s="447"/>
      <c r="BK51" s="445"/>
      <c r="BL51" s="445"/>
      <c r="BM51" s="445"/>
      <c r="BN51" s="445"/>
      <c r="BO51" s="447"/>
      <c r="BP51" s="445"/>
      <c r="BQ51" s="445"/>
      <c r="BR51" s="445"/>
      <c r="BS51" s="445"/>
      <c r="BT51" s="447"/>
      <c r="BU51" s="445"/>
      <c r="BV51" s="445"/>
      <c r="BW51" s="445"/>
      <c r="BX51" s="445"/>
      <c r="BY51" s="447"/>
      <c r="BZ51" s="445"/>
      <c r="CA51" s="445"/>
      <c r="CB51" s="445"/>
      <c r="CC51" s="445"/>
      <c r="CD51" s="447"/>
      <c r="CE51" s="445"/>
      <c r="CF51" s="445"/>
      <c r="CG51" s="445"/>
      <c r="CH51" s="445"/>
      <c r="CI51" s="447"/>
      <c r="CJ51" s="445"/>
      <c r="CK51" s="445"/>
      <c r="CL51" s="445"/>
      <c r="CM51" s="445"/>
      <c r="CN51" s="447"/>
      <c r="CO51" s="177"/>
      <c r="CP51" s="177"/>
      <c r="CQ51" s="177"/>
      <c r="CR51" s="177"/>
      <c r="CS51" s="55"/>
      <c r="CT51" s="177"/>
      <c r="CU51" s="177"/>
      <c r="CV51" s="177"/>
      <c r="CW51" s="177"/>
      <c r="CX51" s="55"/>
      <c r="CY51" s="177"/>
      <c r="CZ51" s="177"/>
      <c r="DA51" s="471"/>
      <c r="DB51" s="471"/>
      <c r="DC51" s="55"/>
      <c r="DD51" s="471">
        <v>0.84</v>
      </c>
      <c r="DE51" s="471">
        <v>0.85</v>
      </c>
      <c r="DF51" s="471">
        <v>0.85</v>
      </c>
      <c r="DG51" s="471">
        <v>0.85</v>
      </c>
      <c r="DH51" s="55">
        <v>0.82378208945342291</v>
      </c>
      <c r="DI51" s="471">
        <v>0.84</v>
      </c>
      <c r="DJ51" s="471">
        <v>0.85</v>
      </c>
      <c r="DK51" s="471">
        <v>0.85</v>
      </c>
      <c r="DL51" s="471">
        <v>0.85</v>
      </c>
      <c r="DM51" s="55">
        <v>0.82378208945342291</v>
      </c>
      <c r="DN51" s="471">
        <v>0.84</v>
      </c>
      <c r="DO51" s="471">
        <v>0.84</v>
      </c>
      <c r="DP51" s="471">
        <v>1.84</v>
      </c>
      <c r="DQ51" s="471">
        <v>1.84</v>
      </c>
      <c r="DR51" s="55">
        <v>0.82378208945342291</v>
      </c>
      <c r="DS51" s="471">
        <v>0.84</v>
      </c>
      <c r="DT51" s="471">
        <v>0.84</v>
      </c>
      <c r="DU51" s="471">
        <v>0.84</v>
      </c>
      <c r="DV51" s="471">
        <v>0.84</v>
      </c>
      <c r="DW51" s="55"/>
      <c r="DX51" s="471">
        <v>0.84</v>
      </c>
      <c r="DY51" s="471">
        <v>0.84</v>
      </c>
      <c r="DZ51" s="471">
        <v>0.84</v>
      </c>
      <c r="EA51" s="471">
        <v>0.84</v>
      </c>
      <c r="EB51" s="55"/>
      <c r="EC51" s="471">
        <v>0.84</v>
      </c>
      <c r="ED51" s="471">
        <v>0.84</v>
      </c>
      <c r="EE51" s="471">
        <v>0.84</v>
      </c>
      <c r="EF51" s="471">
        <v>0.84</v>
      </c>
      <c r="EG51" s="55"/>
      <c r="EH51" s="471">
        <v>0.84</v>
      </c>
      <c r="EI51" s="471">
        <v>0.84</v>
      </c>
      <c r="EJ51" s="471">
        <v>0.84</v>
      </c>
      <c r="EK51" s="471">
        <v>0.84</v>
      </c>
      <c r="EL51" s="55"/>
    </row>
    <row r="52" spans="1:142" ht="11.25" customHeight="1">
      <c r="A52" s="450"/>
      <c r="B52" s="450" t="s">
        <v>109</v>
      </c>
      <c r="C52" s="451"/>
      <c r="D52" s="451"/>
      <c r="E52" s="451"/>
      <c r="F52" s="451"/>
      <c r="G52" s="451"/>
      <c r="H52" s="452"/>
      <c r="I52" s="451"/>
      <c r="J52" s="451"/>
      <c r="K52" s="451"/>
      <c r="L52" s="451"/>
      <c r="M52" s="452"/>
      <c r="N52" s="451"/>
      <c r="O52" s="451"/>
      <c r="P52" s="451"/>
      <c r="Q52" s="451"/>
      <c r="R52" s="452"/>
      <c r="S52" s="451"/>
      <c r="T52" s="451"/>
      <c r="U52" s="451"/>
      <c r="V52" s="451"/>
      <c r="W52" s="452"/>
      <c r="X52" s="451"/>
      <c r="Y52" s="451"/>
      <c r="Z52" s="451"/>
      <c r="AA52" s="451"/>
      <c r="AB52" s="452"/>
      <c r="AC52" s="451"/>
      <c r="AD52" s="451"/>
      <c r="AE52" s="451"/>
      <c r="AF52" s="451"/>
      <c r="AG52" s="452"/>
      <c r="AH52" s="451"/>
      <c r="AI52" s="451"/>
      <c r="AJ52" s="451"/>
      <c r="AK52" s="451"/>
      <c r="AL52" s="452"/>
      <c r="AM52" s="451"/>
      <c r="AN52" s="451"/>
      <c r="AO52" s="451"/>
      <c r="AP52" s="451"/>
      <c r="AQ52" s="452"/>
      <c r="AR52" s="451"/>
      <c r="AS52" s="451"/>
      <c r="AT52" s="451"/>
      <c r="AU52" s="453"/>
      <c r="AV52" s="454"/>
      <c r="AW52" s="454"/>
      <c r="AX52" s="454"/>
      <c r="AY52" s="454"/>
      <c r="AZ52" s="455"/>
      <c r="BA52" s="451"/>
      <c r="BB52" s="451"/>
      <c r="BC52" s="451"/>
      <c r="BD52" s="451"/>
      <c r="BE52" s="452"/>
      <c r="BF52" s="451"/>
      <c r="BG52" s="451"/>
      <c r="BH52" s="451"/>
      <c r="BI52" s="451"/>
      <c r="BJ52" s="452"/>
      <c r="BK52" s="451"/>
      <c r="BL52" s="451"/>
      <c r="BM52" s="451"/>
      <c r="BN52" s="451"/>
      <c r="BO52" s="452"/>
      <c r="BP52" s="451"/>
      <c r="BQ52" s="451"/>
      <c r="BR52" s="451"/>
      <c r="BS52" s="451"/>
      <c r="BT52" s="452"/>
      <c r="BU52" s="451"/>
      <c r="BV52" s="451"/>
      <c r="BW52" s="451"/>
      <c r="BX52" s="451"/>
      <c r="BY52" s="452"/>
      <c r="BZ52" s="451"/>
      <c r="CA52" s="451"/>
      <c r="CB52" s="451"/>
      <c r="CC52" s="451"/>
      <c r="CD52" s="452"/>
      <c r="CE52" s="451"/>
      <c r="CF52" s="451"/>
      <c r="CG52" s="451"/>
      <c r="CH52" s="451"/>
      <c r="CI52" s="452"/>
      <c r="CJ52" s="451"/>
      <c r="CK52" s="451"/>
      <c r="CL52" s="451"/>
      <c r="CM52" s="451"/>
      <c r="CN52" s="452"/>
      <c r="CO52" s="451"/>
      <c r="CP52" s="451"/>
      <c r="CQ52" s="451"/>
      <c r="CR52" s="451"/>
      <c r="CS52" s="452"/>
      <c r="CT52" s="451"/>
      <c r="CU52" s="451"/>
      <c r="CV52" s="451"/>
      <c r="CW52" s="451"/>
      <c r="CX52" s="452"/>
      <c r="CY52" s="451"/>
      <c r="CZ52" s="451"/>
      <c r="DA52" s="451"/>
      <c r="DB52" s="451"/>
      <c r="DC52" s="452" t="str">
        <f t="shared" ref="DC52:DS52" si="151">IF(ISERROR(DC51/CX51-1),"",(DC51/CX51-1))</f>
        <v/>
      </c>
      <c r="DD52" s="451" t="s">
        <v>329</v>
      </c>
      <c r="DE52" s="451" t="s">
        <v>329</v>
      </c>
      <c r="DF52" s="451" t="s">
        <v>329</v>
      </c>
      <c r="DG52" s="451" t="s">
        <v>329</v>
      </c>
      <c r="DH52" s="452" t="s">
        <v>329</v>
      </c>
      <c r="DI52" s="451">
        <f t="shared" si="151"/>
        <v>0</v>
      </c>
      <c r="DJ52" s="451">
        <f t="shared" si="151"/>
        <v>0</v>
      </c>
      <c r="DK52" s="451">
        <f t="shared" si="151"/>
        <v>0</v>
      </c>
      <c r="DL52" s="451">
        <f t="shared" si="151"/>
        <v>0</v>
      </c>
      <c r="DM52" s="452">
        <f t="shared" si="151"/>
        <v>0</v>
      </c>
      <c r="DN52" s="451">
        <f t="shared" si="151"/>
        <v>0</v>
      </c>
      <c r="DO52" s="451">
        <f t="shared" si="151"/>
        <v>-1.1764705882352899E-2</v>
      </c>
      <c r="DP52" s="451">
        <f t="shared" si="151"/>
        <v>1.1647058823529415</v>
      </c>
      <c r="DQ52" s="451">
        <f t="shared" si="151"/>
        <v>1.1647058823529415</v>
      </c>
      <c r="DR52" s="452">
        <f t="shared" si="151"/>
        <v>0</v>
      </c>
      <c r="DS52" s="451">
        <f t="shared" si="151"/>
        <v>0</v>
      </c>
      <c r="DT52" s="451">
        <f t="shared" ref="DT52:EG52" si="152">IF(ISERROR(DT51/DO51-1),"",(DT51/DO51-1))</f>
        <v>0</v>
      </c>
      <c r="DU52" s="451">
        <f t="shared" si="152"/>
        <v>-0.54347826086956519</v>
      </c>
      <c r="DV52" s="451">
        <f t="shared" si="152"/>
        <v>-0.54347826086956519</v>
      </c>
      <c r="DW52" s="452">
        <f t="shared" si="152"/>
        <v>-1</v>
      </c>
      <c r="DX52" s="451">
        <f t="shared" si="152"/>
        <v>0</v>
      </c>
      <c r="DY52" s="451">
        <f t="shared" si="152"/>
        <v>0</v>
      </c>
      <c r="DZ52" s="451">
        <f t="shared" si="152"/>
        <v>0</v>
      </c>
      <c r="EA52" s="451">
        <f t="shared" si="152"/>
        <v>0</v>
      </c>
      <c r="EB52" s="452" t="str">
        <f t="shared" si="152"/>
        <v/>
      </c>
      <c r="EC52" s="451">
        <f t="shared" si="152"/>
        <v>0</v>
      </c>
      <c r="ED52" s="451">
        <f t="shared" si="152"/>
        <v>0</v>
      </c>
      <c r="EE52" s="451">
        <f t="shared" si="152"/>
        <v>0</v>
      </c>
      <c r="EF52" s="451">
        <f t="shared" si="152"/>
        <v>0</v>
      </c>
      <c r="EG52" s="452" t="str">
        <f t="shared" si="152"/>
        <v/>
      </c>
      <c r="EH52" s="451">
        <f t="shared" ref="EH52" si="153">IF(ISERROR(EH51/EC51-1),"",(EH51/EC51-1))</f>
        <v>0</v>
      </c>
      <c r="EI52" s="451">
        <f t="shared" ref="EI52" si="154">IF(ISERROR(EI51/ED51-1),"",(EI51/ED51-1))</f>
        <v>0</v>
      </c>
      <c r="EJ52" s="451">
        <f t="shared" ref="EJ52" si="155">IF(ISERROR(EJ51/EE51-1),"",(EJ51/EE51-1))</f>
        <v>0</v>
      </c>
      <c r="EK52" s="451">
        <f t="shared" ref="EK52" si="156">IF(ISERROR(EK51/EF51-1),"",(EK51/EF51-1))</f>
        <v>0</v>
      </c>
      <c r="EL52" s="452" t="str">
        <f t="shared" ref="EL52" si="157">IF(ISERROR(EL51/EG51-1),"",(EL51/EG51-1))</f>
        <v/>
      </c>
    </row>
    <row r="53" spans="1:142" ht="12.75" customHeight="1">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395"/>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394"/>
      <c r="CA53" s="9"/>
      <c r="CB53" s="9"/>
      <c r="CC53" s="9"/>
      <c r="CD53" s="9"/>
      <c r="CE53" s="394"/>
      <c r="CF53" s="9"/>
      <c r="CG53" s="9"/>
      <c r="CH53" s="9"/>
      <c r="CI53" s="9"/>
      <c r="CJ53" s="394"/>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row>
    <row r="54" spans="1:142">
      <c r="A54" s="456"/>
      <c r="B54" s="456" t="s">
        <v>379</v>
      </c>
      <c r="C54" s="467"/>
      <c r="D54" s="467" t="str">
        <f>IF(ISERROR(IS!D18-#REF!),"nm",IS!D18-#REF!)</f>
        <v>nm</v>
      </c>
      <c r="E54" s="467" t="str">
        <f>IF(ISERROR(IS!E18-#REF!),"nm",IS!E18-#REF!)</f>
        <v>nm</v>
      </c>
      <c r="F54" s="467" t="str">
        <f>IF(ISERROR(IS!F18-#REF!),"nm",IS!F18-#REF!)</f>
        <v>nm</v>
      </c>
      <c r="G54" s="467" t="str">
        <f>IF(ISERROR(IS!G18-#REF!),"nm",IS!G18-#REF!)</f>
        <v>nm</v>
      </c>
      <c r="H54" s="433">
        <f>IS!H18</f>
        <v>759</v>
      </c>
      <c r="I54" s="467" t="str">
        <f>IF(ISERROR(IS!I18-#REF!),"nm",IS!I18-#REF!)</f>
        <v>nm</v>
      </c>
      <c r="J54" s="467" t="str">
        <f>IF(ISERROR(IS!J18-#REF!),"nm",IS!J18-#REF!)</f>
        <v>nm</v>
      </c>
      <c r="K54" s="467" t="str">
        <f>IF(ISERROR(IS!K18-#REF!),"nm",IS!K18-#REF!)</f>
        <v>nm</v>
      </c>
      <c r="L54" s="467" t="str">
        <f>IF(ISERROR(IS!L18-#REF!),"nm",IS!L18-#REF!)</f>
        <v>nm</v>
      </c>
      <c r="M54" s="433">
        <f>IS!M18</f>
        <v>1212</v>
      </c>
      <c r="N54" s="467" t="str">
        <f>IF(ISERROR(IS!N18-#REF!),"nm",IS!N18-#REF!)</f>
        <v>nm</v>
      </c>
      <c r="O54" s="467" t="str">
        <f>IF(ISERROR(IS!O18-#REF!),"nm",IS!O18-#REF!)</f>
        <v>nm</v>
      </c>
      <c r="P54" s="467" t="str">
        <f>IF(ISERROR(IS!P18-#REF!),"nm",IS!P18-#REF!)</f>
        <v>nm</v>
      </c>
      <c r="Q54" s="467" t="str">
        <f>IF(ISERROR(IS!Q18-#REF!),"nm",IS!Q18-#REF!)</f>
        <v>nm</v>
      </c>
      <c r="R54" s="433">
        <f>IS!R18</f>
        <v>1829</v>
      </c>
      <c r="S54" s="467" t="str">
        <f>IF(ISERROR(IS!S18-#REF!),"nm",IS!S18-#REF!)</f>
        <v>nm</v>
      </c>
      <c r="T54" s="467" t="str">
        <f>IF(ISERROR(IS!T18-#REF!),"nm",IS!T18-#REF!)</f>
        <v>nm</v>
      </c>
      <c r="U54" s="467" t="str">
        <f>IF(ISERROR(IS!U18-#REF!),"nm",IS!U18-#REF!)</f>
        <v>nm</v>
      </c>
      <c r="V54" s="467" t="str">
        <f>IF(ISERROR(IS!V18-#REF!),"nm",IS!V18-#REF!)</f>
        <v>nm</v>
      </c>
      <c r="W54" s="433">
        <f>IS!W18</f>
        <v>2071</v>
      </c>
      <c r="X54" s="467" t="str">
        <f>IF(ISERROR(IS!X18-#REF!),"nm",IS!X18-#REF!)</f>
        <v>nm</v>
      </c>
      <c r="Y54" s="467" t="str">
        <f>IF(ISERROR(IS!Y18-#REF!),"nm",IS!Y18-#REF!)</f>
        <v>nm</v>
      </c>
      <c r="Z54" s="467" t="str">
        <f>IF(ISERROR(IS!Z18-#REF!),"nm",IS!Z18-#REF!)</f>
        <v>nm</v>
      </c>
      <c r="AA54" s="467" t="str">
        <f>IF(ISERROR(IS!AA18-#REF!),"nm",IS!AA18-#REF!)</f>
        <v>nm</v>
      </c>
      <c r="AB54" s="433">
        <f>IS!AB18</f>
        <v>2342</v>
      </c>
      <c r="AC54" s="467" t="str">
        <f>IF(ISERROR(IS!AC18-#REF!),"nm",IS!AC18-#REF!)</f>
        <v>nm</v>
      </c>
      <c r="AD54" s="467" t="str">
        <f>IF(ISERROR(IS!AD18-#REF!),"nm",IS!AD18-#REF!)</f>
        <v>nm</v>
      </c>
      <c r="AE54" s="467" t="str">
        <f>IF(ISERROR(IS!AE18-#REF!),"nm",IS!AE18-#REF!)</f>
        <v>nm</v>
      </c>
      <c r="AF54" s="467" t="str">
        <f>IF(ISERROR(IS!AF18-#REF!),"nm",IS!AF18-#REF!)</f>
        <v>nm</v>
      </c>
      <c r="AG54" s="433">
        <f>IS!AG18</f>
        <v>2525</v>
      </c>
      <c r="AH54" s="467" t="str">
        <f>IF(ISERROR(IS!AH18-#REF!),"nm",IS!AH18-#REF!)</f>
        <v>nm</v>
      </c>
      <c r="AI54" s="467" t="str">
        <f>IF(ISERROR(IS!AI18-#REF!),"nm",IS!AI18-#REF!)</f>
        <v>nm</v>
      </c>
      <c r="AJ54" s="467" t="str">
        <f>IF(ISERROR(IS!AJ18-#REF!),"nm",IS!AJ18-#REF!)</f>
        <v>nm</v>
      </c>
      <c r="AK54" s="467" t="str">
        <f>IF(ISERROR(IS!AK18-#REF!),"nm",IS!AK18-#REF!)</f>
        <v>nm</v>
      </c>
      <c r="AL54" s="433">
        <f>IS!AL18</f>
        <v>2603</v>
      </c>
      <c r="AM54" s="467" t="str">
        <f>IF(ISERROR(IS!AM18-#REF!),"nm",IS!AM18-#REF!)</f>
        <v>nm</v>
      </c>
      <c r="AN54" s="467" t="str">
        <f>IF(ISERROR(IS!AN18-#REF!),"nm",IS!AN18-#REF!)</f>
        <v>nm</v>
      </c>
      <c r="AO54" s="467" t="str">
        <f>IF(ISERROR(IS!AO18-#REF!),"nm",IS!AO18-#REF!)</f>
        <v>nm</v>
      </c>
      <c r="AP54" s="467" t="str">
        <f>IF(ISERROR(IS!AP18-#REF!),"nm",IS!AP18-#REF!)</f>
        <v>nm</v>
      </c>
      <c r="AQ54" s="433">
        <f>IS!AQ18</f>
        <v>2824</v>
      </c>
      <c r="AR54" s="467" t="str">
        <f>IF(ISERROR(IS!AR18-#REF!),"nm",IS!AR18-#REF!)</f>
        <v>nm</v>
      </c>
      <c r="AS54" s="467" t="str">
        <f>IF(ISERROR(IS!AS18-#REF!),"nm",IS!AS18-#REF!)</f>
        <v>nm</v>
      </c>
      <c r="AT54" s="467" t="str">
        <f>IF(ISERROR(IS!AT18-#REF!),"nm",IS!AT18-#REF!)</f>
        <v>nm</v>
      </c>
      <c r="AU54" s="468"/>
      <c r="AV54" s="467" t="str">
        <f>IF(ISERROR(IS!AV18-#REF!),"nm",IS!AV18-#REF!)</f>
        <v>nm</v>
      </c>
      <c r="AW54" s="467" t="str">
        <f>IF(ISERROR(IS!AW18-#REF!),"nm",IS!AW18-#REF!)</f>
        <v>nm</v>
      </c>
      <c r="AX54" s="467" t="str">
        <f>IF(ISERROR(IS!AX18-#REF!),"nm",IS!AX18-#REF!)</f>
        <v>nm</v>
      </c>
      <c r="AY54" s="467" t="str">
        <f>IF(ISERROR(IS!AY18-#REF!),"nm",IS!AY18-#REF!)</f>
        <v>nm</v>
      </c>
      <c r="AZ54" s="433">
        <f>IS!AZ18</f>
        <v>2820</v>
      </c>
      <c r="BA54" s="467" t="str">
        <f>IF(ISERROR(IS!BA18-#REF!),"nm",IS!BA18-#REF!)</f>
        <v>nm</v>
      </c>
      <c r="BB54" s="467" t="str">
        <f>IF(ISERROR(IS!BB18-#REF!),"nm",IS!BB18-#REF!)</f>
        <v>nm</v>
      </c>
      <c r="BC54" s="467" t="str">
        <f>IF(ISERROR(IS!BC18-#REF!),"nm",IS!BC18-#REF!)</f>
        <v>nm</v>
      </c>
      <c r="BD54" s="467" t="str">
        <f>IF(ISERROR(IS!BD18-#REF!),"nm",IS!BD18-#REF!)</f>
        <v>nm</v>
      </c>
      <c r="BE54" s="433">
        <f>IS!BE18</f>
        <v>2935</v>
      </c>
      <c r="BF54" s="467" t="str">
        <f>IF(ISERROR(IS!BF18-#REF!),"nm",IS!BF18-#REF!)</f>
        <v>nm</v>
      </c>
      <c r="BG54" s="467" t="str">
        <f>IF(ISERROR(IS!BG18-#REF!),"nm",IS!BG18-#REF!)</f>
        <v>nm</v>
      </c>
      <c r="BH54" s="467" t="str">
        <f>IF(ISERROR(IS!BH18-#REF!),"nm",IS!BH18-#REF!)</f>
        <v>nm</v>
      </c>
      <c r="BI54" s="467" t="str">
        <f>IF(ISERROR(IS!BI18-#REF!),"nm",IS!BI18-#REF!)</f>
        <v>nm</v>
      </c>
      <c r="BJ54" s="433">
        <f>IS!BJ18</f>
        <v>2282</v>
      </c>
      <c r="BK54" s="434" t="e">
        <f>IF(#REF!="ND",IS!BK18, IS!BK18-#REF!)</f>
        <v>#REF!</v>
      </c>
      <c r="BL54" s="434" t="e">
        <f>IF(#REF!="ND",IS!BL18, IS!BL18-#REF!)</f>
        <v>#REF!</v>
      </c>
      <c r="BM54" s="434" t="e">
        <f>IF(#REF!="ND",IS!BM18, IS!BM18-#REF!)</f>
        <v>#REF!</v>
      </c>
      <c r="BN54" s="434" t="e">
        <f>IS!BN18-#REF!</f>
        <v>#REF!</v>
      </c>
      <c r="BO54" s="433">
        <f>IS!BO18</f>
        <v>2183</v>
      </c>
      <c r="BP54" s="434" t="e">
        <f>IF(#REF!="ND",IS!BP18, IS!BP18-#REF!)</f>
        <v>#REF!</v>
      </c>
      <c r="BQ54" s="434" t="e">
        <f>IF(#REF!="ND",IS!BQ18, IS!BQ18-#REF!)</f>
        <v>#REF!</v>
      </c>
      <c r="BR54" s="434" t="e">
        <f>IF(#REF!="ND",IS!BR18, IS!BR18-#REF!)</f>
        <v>#REF!</v>
      </c>
      <c r="BS54" s="434" t="e">
        <f>IS!BS18-#REF!</f>
        <v>#REF!</v>
      </c>
      <c r="BT54" s="433">
        <f>IS!BT18</f>
        <v>2070</v>
      </c>
      <c r="BU54" s="434" t="e">
        <f>IS!BU18-#REF!</f>
        <v>#REF!</v>
      </c>
      <c r="BV54" s="434" t="e">
        <f>IS!BV18-#REF!</f>
        <v>#REF!</v>
      </c>
      <c r="BW54" s="434" t="e">
        <f>IS!BW18-#REF!</f>
        <v>#REF!</v>
      </c>
      <c r="BX54" s="434" t="e">
        <f>IS!BX18-#REF!</f>
        <v>#REF!</v>
      </c>
      <c r="BY54" s="433">
        <f>IS!BY18</f>
        <v>2083</v>
      </c>
      <c r="BZ54" s="434" t="e">
        <f>IS!BZ18-#REF!</f>
        <v>#REF!</v>
      </c>
      <c r="CA54" s="434" t="e">
        <f>IS!CA18-#REF!</f>
        <v>#REF!</v>
      </c>
      <c r="CB54" s="434" t="e">
        <f>IS!CB18-#REF!</f>
        <v>#REF!</v>
      </c>
      <c r="CC54" s="434" t="e">
        <f>IS!CC18-#REF!</f>
        <v>#REF!</v>
      </c>
      <c r="CD54" s="433">
        <f>IS!CD18</f>
        <v>2019</v>
      </c>
      <c r="CE54" s="434" t="e">
        <f>IS!CE18-#REF!</f>
        <v>#REF!</v>
      </c>
      <c r="CF54" s="434" t="e">
        <f>IS!CF18-#REF!</f>
        <v>#REF!</v>
      </c>
      <c r="CG54" s="434" t="e">
        <f>IS!CG18-#REF!</f>
        <v>#REF!</v>
      </c>
      <c r="CH54" s="434" t="e">
        <f>IS!CH18-#REF!</f>
        <v>#REF!</v>
      </c>
      <c r="CI54" s="433">
        <f>IS!CI18</f>
        <v>1914</v>
      </c>
      <c r="CJ54" s="434">
        <f>IS!CJ18</f>
        <v>467</v>
      </c>
      <c r="CK54" s="434">
        <f>IS!CK18</f>
        <v>498</v>
      </c>
      <c r="CL54" s="434">
        <f>IS!CL18</f>
        <v>505</v>
      </c>
      <c r="CM54" s="434">
        <f>IS!CM18</f>
        <v>468</v>
      </c>
      <c r="CN54" s="433">
        <f>IS!CN18</f>
        <v>1938</v>
      </c>
      <c r="CO54" s="434">
        <f>IS!CO18</f>
        <v>491</v>
      </c>
      <c r="CP54" s="434">
        <f>IS!CP18</f>
        <v>508</v>
      </c>
      <c r="CQ54" s="434">
        <f>IS!CQ18</f>
        <v>527</v>
      </c>
      <c r="CR54" s="434">
        <f>IS!CR18</f>
        <v>494</v>
      </c>
      <c r="CS54" s="433">
        <f>IS!CS18</f>
        <v>2020</v>
      </c>
      <c r="CT54" s="434">
        <f>IS!CT18</f>
        <v>531</v>
      </c>
      <c r="CU54" s="434">
        <f>IS!CU18</f>
        <v>534</v>
      </c>
      <c r="CV54" s="434">
        <f>IS!CV18</f>
        <v>539</v>
      </c>
      <c r="CW54" s="434">
        <f>IS!CW18</f>
        <v>543</v>
      </c>
      <c r="CX54" s="433">
        <f>IS!CX18</f>
        <v>2147</v>
      </c>
      <c r="CY54" s="434">
        <f>IS!CY18</f>
        <v>568</v>
      </c>
      <c r="CZ54" s="434">
        <f>IS!CZ18</f>
        <v>567</v>
      </c>
      <c r="DA54" s="434">
        <f>IS!DA18</f>
        <v>575</v>
      </c>
      <c r="DB54" s="434">
        <f>IS!DB18</f>
        <v>991</v>
      </c>
      <c r="DC54" s="433">
        <f>IS!DC18</f>
        <v>2701</v>
      </c>
      <c r="DD54" s="434">
        <v>999</v>
      </c>
      <c r="DE54" s="434">
        <v>1035</v>
      </c>
      <c r="DF54" s="434">
        <v>1032</v>
      </c>
      <c r="DG54" s="434">
        <v>1048</v>
      </c>
      <c r="DH54" s="433">
        <v>4114</v>
      </c>
      <c r="DI54" s="434">
        <f>IS!DI18</f>
        <v>1093</v>
      </c>
      <c r="DJ54" s="434">
        <v>1009</v>
      </c>
      <c r="DK54" s="434">
        <v>1084</v>
      </c>
      <c r="DL54" s="434">
        <v>1153</v>
      </c>
      <c r="DM54" s="433">
        <f>SUM(DI54:DL54)</f>
        <v>4339</v>
      </c>
      <c r="DN54" s="434">
        <v>1156</v>
      </c>
      <c r="DO54" s="434">
        <v>1122</v>
      </c>
      <c r="DP54" s="434">
        <v>1145</v>
      </c>
      <c r="DQ54" s="434">
        <v>1122</v>
      </c>
      <c r="DR54" s="433">
        <f>SUM(DN54:DQ54)</f>
        <v>4545</v>
      </c>
      <c r="DS54" s="434">
        <v>1104</v>
      </c>
      <c r="DT54" s="434">
        <v>1070</v>
      </c>
      <c r="DU54" s="434">
        <v>1027</v>
      </c>
      <c r="DV54" s="434">
        <v>1011</v>
      </c>
      <c r="DW54" s="433">
        <f>SUM(DS54:DV54)</f>
        <v>4212</v>
      </c>
      <c r="DX54" s="432">
        <f>DX$23*DX56</f>
        <v>997.82735560189087</v>
      </c>
      <c r="DY54" s="432">
        <f>DY$23*DY56</f>
        <v>962.85444168286142</v>
      </c>
      <c r="DZ54" s="432">
        <f>DZ$23*DZ56</f>
        <v>920.55537093980274</v>
      </c>
      <c r="EA54" s="432">
        <f>EA$23*EA56</f>
        <v>966.27797247815772</v>
      </c>
      <c r="EB54" s="433">
        <f>SUM(DX54:EA54)</f>
        <v>3847.5151407027124</v>
      </c>
      <c r="EC54" s="432">
        <f>EC$23*EC56</f>
        <v>978.46796787851383</v>
      </c>
      <c r="ED54" s="432">
        <f>ED$23*ED56</f>
        <v>986.99064063429057</v>
      </c>
      <c r="EE54" s="432">
        <f>EE$23*EE56</f>
        <v>963.41504327289692</v>
      </c>
      <c r="EF54" s="432">
        <f>EF$23*EF56</f>
        <v>1029.6274239726661</v>
      </c>
      <c r="EG54" s="433">
        <f>SUM(EC54:EF54)</f>
        <v>3958.5010757583677</v>
      </c>
      <c r="EH54" s="432">
        <f>EH$23*EH56</f>
        <v>976.2203110280924</v>
      </c>
      <c r="EI54" s="432">
        <f>EI$23*EI56</f>
        <v>988.79451748994006</v>
      </c>
      <c r="EJ54" s="432">
        <f>EJ$23*EJ56</f>
        <v>959.22122819885578</v>
      </c>
      <c r="EK54" s="432">
        <f>EK$23*EK56</f>
        <v>1026.1431256994501</v>
      </c>
      <c r="EL54" s="433">
        <f>SUM(EH54:EK54)</f>
        <v>3950.3791824163386</v>
      </c>
    </row>
    <row r="55" spans="1:142" ht="11.25" customHeight="1">
      <c r="A55" s="415"/>
      <c r="B55" s="415" t="s">
        <v>109</v>
      </c>
      <c r="C55" s="461"/>
      <c r="D55" s="461"/>
      <c r="E55" s="461"/>
      <c r="F55" s="461"/>
      <c r="G55" s="461"/>
      <c r="H55" s="55"/>
      <c r="I55" s="458" t="str">
        <f>IF(ISERROR(I54/D54-1),"nm",I54/D54-1)</f>
        <v>nm</v>
      </c>
      <c r="J55" s="458" t="str">
        <f>IF(ISERROR(J54/E54-1),"nm",J54/E54-1)</f>
        <v>nm</v>
      </c>
      <c r="K55" s="458" t="str">
        <f>IF(ISERROR(K54/F54-1),"nm",K54/F54-1)</f>
        <v>nm</v>
      </c>
      <c r="L55" s="458" t="str">
        <f>IF(ISERROR(L54/G54-1),"nm",L54/G54-1)</f>
        <v>nm</v>
      </c>
      <c r="M55" s="55">
        <f>M54/H54-1</f>
        <v>0.59683794466403173</v>
      </c>
      <c r="N55" s="458" t="str">
        <f>IF(ISERROR(N54/I54-1),"nm",N54/I54-1)</f>
        <v>nm</v>
      </c>
      <c r="O55" s="458" t="str">
        <f>IF(ISERROR(O54/J54-1),"nm",O54/J54-1)</f>
        <v>nm</v>
      </c>
      <c r="P55" s="458" t="str">
        <f>IF(ISERROR(P54/K54-1),"nm",P54/K54-1)</f>
        <v>nm</v>
      </c>
      <c r="Q55" s="458" t="str">
        <f>IF(ISERROR(Q54/L54-1),"nm",Q54/L54-1)</f>
        <v>nm</v>
      </c>
      <c r="R55" s="55">
        <f>R54/M54-1</f>
        <v>0.50907590759075916</v>
      </c>
      <c r="S55" s="458" t="str">
        <f>IF(ISERROR(S54/N54-1),"nm",S54/N54-1)</f>
        <v>nm</v>
      </c>
      <c r="T55" s="458" t="str">
        <f>IF(ISERROR(T54/O54-1),"nm",T54/O54-1)</f>
        <v>nm</v>
      </c>
      <c r="U55" s="458" t="str">
        <f>IF(ISERROR(U54/P54-1),"nm",U54/P54-1)</f>
        <v>nm</v>
      </c>
      <c r="V55" s="458" t="str">
        <f>IF(ISERROR(V54/Q54-1),"nm",V54/Q54-1)</f>
        <v>nm</v>
      </c>
      <c r="W55" s="55">
        <f>W54/R54-1</f>
        <v>0.13231273920174957</v>
      </c>
      <c r="X55" s="458" t="str">
        <f>IF(ISERROR(X54/S54-1),"nm",X54/S54-1)</f>
        <v>nm</v>
      </c>
      <c r="Y55" s="458" t="str">
        <f>IF(ISERROR(Y54/T54-1),"nm",Y54/T54-1)</f>
        <v>nm</v>
      </c>
      <c r="Z55" s="458" t="str">
        <f>IF(ISERROR(Z54/U54-1),"nm",Z54/U54-1)</f>
        <v>nm</v>
      </c>
      <c r="AA55" s="458" t="str">
        <f>IF(ISERROR(AA54/V54-1),"nm",AA54/V54-1)</f>
        <v>nm</v>
      </c>
      <c r="AB55" s="55">
        <f>AB54/W54-1</f>
        <v>0.13085465958474174</v>
      </c>
      <c r="AC55" s="458" t="str">
        <f>IF(ISERROR(AC54/X54-1),"nm",AC54/X54-1)</f>
        <v>nm</v>
      </c>
      <c r="AD55" s="458" t="str">
        <f>IF(ISERROR(AD54/Y54-1),"nm",AD54/Y54-1)</f>
        <v>nm</v>
      </c>
      <c r="AE55" s="458" t="str">
        <f>IF(ISERROR(AE54/Z54-1),"nm",AE54/Z54-1)</f>
        <v>nm</v>
      </c>
      <c r="AF55" s="458" t="str">
        <f>IF(ISERROR(AF54/AA54-1),"nm",AF54/AA54-1)</f>
        <v>nm</v>
      </c>
      <c r="AG55" s="55">
        <f>AG54/AB54-1</f>
        <v>7.813834329632785E-2</v>
      </c>
      <c r="AH55" s="458" t="str">
        <f>IF(ISERROR(AH54/AC54-1),"nm",AH54/AC54-1)</f>
        <v>nm</v>
      </c>
      <c r="AI55" s="458" t="str">
        <f>IF(ISERROR(AI54/AD54-1),"nm",AI54/AD54-1)</f>
        <v>nm</v>
      </c>
      <c r="AJ55" s="458" t="str">
        <f>IF(ISERROR(AJ54/AE54-1),"nm",AJ54/AE54-1)</f>
        <v>nm</v>
      </c>
      <c r="AK55" s="458" t="str">
        <f>IF(ISERROR(AK54/AF54-1),"nm",AK54/AF54-1)</f>
        <v>nm</v>
      </c>
      <c r="AL55" s="55">
        <f>AL54/AG54-1</f>
        <v>3.0891089108910919E-2</v>
      </c>
      <c r="AM55" s="458" t="str">
        <f>IF(ISERROR(AM54/AH54-1),"nm",AM54/AH54-1)</f>
        <v>nm</v>
      </c>
      <c r="AN55" s="458" t="str">
        <f>IF(ISERROR(AN54/AI54-1),"nm",AN54/AI54-1)</f>
        <v>nm</v>
      </c>
      <c r="AO55" s="458" t="str">
        <f>IF(ISERROR(AO54/AJ54-1),"nm",AO54/AJ54-1)</f>
        <v>nm</v>
      </c>
      <c r="AP55" s="458" t="str">
        <f>IF(ISERROR(AP54/AK54-1),"nm",AP54/AK54-1)</f>
        <v>nm</v>
      </c>
      <c r="AQ55" s="55">
        <f>AQ54/AL54-1</f>
        <v>8.490203611217817E-2</v>
      </c>
      <c r="AR55" s="458" t="str">
        <f>IF(ISERROR(AR54/AM54-1),"nm",AR54/AM54-1)</f>
        <v>nm</v>
      </c>
      <c r="AS55" s="458" t="str">
        <f>IF(ISERROR(AS54/AN54-1),"nm",AS54/AN54-1)</f>
        <v>nm</v>
      </c>
      <c r="AT55" s="458" t="str">
        <f>IF(ISERROR(AT54/AO54-1),"nm",AT54/AO54-1)</f>
        <v>nm</v>
      </c>
      <c r="AU55" s="395"/>
      <c r="AV55" s="435"/>
      <c r="AW55" s="435"/>
      <c r="AX55" s="435"/>
      <c r="AY55" s="435"/>
      <c r="AZ55" s="55"/>
      <c r="BA55" s="458" t="str">
        <f>IF(ISERROR(BA54/AV54-1),"nm",BA54/AV54-1)</f>
        <v>nm</v>
      </c>
      <c r="BB55" s="458" t="str">
        <f>IF(ISERROR(BB54/AW54-1),"nm",BB54/AW54-1)</f>
        <v>nm</v>
      </c>
      <c r="BC55" s="458" t="str">
        <f>IF(ISERROR(BC54/AX54-1),"nm",BC54/AX54-1)</f>
        <v>nm</v>
      </c>
      <c r="BD55" s="458" t="str">
        <f>IF(ISERROR(BD54/AY54-1),"nm",BD54/AY54-1)</f>
        <v>nm</v>
      </c>
      <c r="BE55" s="55">
        <f>BE54/AZ54-1</f>
        <v>4.0780141843971718E-2</v>
      </c>
      <c r="BF55" s="458" t="str">
        <f>IF(ISERROR(BF54/BA54-1),"nm",BF54/BA54-1)</f>
        <v>nm</v>
      </c>
      <c r="BG55" s="458" t="str">
        <f>IF(ISERROR(BG54/BB54-1),"nm",BG54/BB54-1)</f>
        <v>nm</v>
      </c>
      <c r="BH55" s="458" t="str">
        <f>IF(ISERROR(BH54/BC54-1),"nm",BH54/BC54-1)</f>
        <v>nm</v>
      </c>
      <c r="BI55" s="458" t="str">
        <f>IF(ISERROR(BI54/BD54-1),"nm",BI54/BD54-1)</f>
        <v>nm</v>
      </c>
      <c r="BJ55" s="55">
        <f>BJ54/BE54-1</f>
        <v>-0.22248722316865421</v>
      </c>
      <c r="BK55" s="458" t="str">
        <f>IF(ISERROR(BK54/BF54-1),"nm",BK54/BF54-1)</f>
        <v>nm</v>
      </c>
      <c r="BL55" s="458" t="str">
        <f>IF(ISERROR(BL54/BG54-1),"nm",BL54/BG54-1)</f>
        <v>nm</v>
      </c>
      <c r="BM55" s="458" t="str">
        <f>IF(ISERROR(BM54/BH54-1),"nm",BM54/BH54-1)</f>
        <v>nm</v>
      </c>
      <c r="BN55" s="458" t="str">
        <f>IF(ISERROR(BN54/BI54-1),"nm",BN54/BI54-1)</f>
        <v>nm</v>
      </c>
      <c r="BO55" s="55">
        <f t="shared" ref="BO55:CT55" si="158">BO54/BJ54-1</f>
        <v>-4.3382997370727483E-2</v>
      </c>
      <c r="BP55" s="177" t="e">
        <f t="shared" si="158"/>
        <v>#REF!</v>
      </c>
      <c r="BQ55" s="177" t="e">
        <f t="shared" si="158"/>
        <v>#REF!</v>
      </c>
      <c r="BR55" s="177" t="e">
        <f t="shared" si="158"/>
        <v>#REF!</v>
      </c>
      <c r="BS55" s="177" t="e">
        <f t="shared" si="158"/>
        <v>#REF!</v>
      </c>
      <c r="BT55" s="55">
        <f t="shared" si="158"/>
        <v>-5.1763628034814491E-2</v>
      </c>
      <c r="BU55" s="177" t="e">
        <f t="shared" si="158"/>
        <v>#REF!</v>
      </c>
      <c r="BV55" s="177" t="e">
        <f t="shared" si="158"/>
        <v>#REF!</v>
      </c>
      <c r="BW55" s="177" t="e">
        <f t="shared" si="158"/>
        <v>#REF!</v>
      </c>
      <c r="BX55" s="177" t="e">
        <f t="shared" si="158"/>
        <v>#REF!</v>
      </c>
      <c r="BY55" s="55">
        <f t="shared" si="158"/>
        <v>6.2801932367149149E-3</v>
      </c>
      <c r="BZ55" s="177" t="e">
        <f t="shared" si="158"/>
        <v>#REF!</v>
      </c>
      <c r="CA55" s="177" t="e">
        <f t="shared" si="158"/>
        <v>#REF!</v>
      </c>
      <c r="CB55" s="177" t="e">
        <f t="shared" si="158"/>
        <v>#REF!</v>
      </c>
      <c r="CC55" s="177" t="e">
        <f t="shared" si="158"/>
        <v>#REF!</v>
      </c>
      <c r="CD55" s="55">
        <f t="shared" si="158"/>
        <v>-3.0724915986557799E-2</v>
      </c>
      <c r="CE55" s="177" t="e">
        <f t="shared" si="158"/>
        <v>#REF!</v>
      </c>
      <c r="CF55" s="177" t="e">
        <f t="shared" si="158"/>
        <v>#REF!</v>
      </c>
      <c r="CG55" s="177" t="e">
        <f t="shared" si="158"/>
        <v>#REF!</v>
      </c>
      <c r="CH55" s="177" t="e">
        <f t="shared" si="158"/>
        <v>#REF!</v>
      </c>
      <c r="CI55" s="55">
        <f t="shared" si="158"/>
        <v>-5.2005943536404198E-2</v>
      </c>
      <c r="CJ55" s="177" t="e">
        <f t="shared" si="158"/>
        <v>#REF!</v>
      </c>
      <c r="CK55" s="177" t="e">
        <f t="shared" si="158"/>
        <v>#REF!</v>
      </c>
      <c r="CL55" s="177" t="e">
        <f t="shared" si="158"/>
        <v>#REF!</v>
      </c>
      <c r="CM55" s="177" t="e">
        <f t="shared" si="158"/>
        <v>#REF!</v>
      </c>
      <c r="CN55" s="55">
        <f t="shared" si="158"/>
        <v>1.2539184952978122E-2</v>
      </c>
      <c r="CO55" s="177">
        <f t="shared" si="158"/>
        <v>5.1391862955032064E-2</v>
      </c>
      <c r="CP55" s="177">
        <f t="shared" si="158"/>
        <v>2.008032128514059E-2</v>
      </c>
      <c r="CQ55" s="177">
        <f t="shared" si="158"/>
        <v>4.3564356435643603E-2</v>
      </c>
      <c r="CR55" s="177">
        <f t="shared" si="158"/>
        <v>5.555555555555558E-2</v>
      </c>
      <c r="CS55" s="55">
        <f t="shared" si="158"/>
        <v>4.2311661506707843E-2</v>
      </c>
      <c r="CT55" s="177">
        <f t="shared" si="158"/>
        <v>8.1466395112016254E-2</v>
      </c>
      <c r="CU55" s="177">
        <f t="shared" ref="CU55:DS55" si="159">CU54/CP54-1</f>
        <v>5.1181102362204633E-2</v>
      </c>
      <c r="CV55" s="177">
        <f t="shared" si="159"/>
        <v>2.2770398481973375E-2</v>
      </c>
      <c r="CW55" s="177">
        <f t="shared" si="159"/>
        <v>9.919028340080982E-2</v>
      </c>
      <c r="CX55" s="55">
        <f t="shared" si="159"/>
        <v>6.2871287128712927E-2</v>
      </c>
      <c r="CY55" s="177">
        <f t="shared" si="159"/>
        <v>6.9679849340866351E-2</v>
      </c>
      <c r="CZ55" s="177">
        <f t="shared" si="159"/>
        <v>6.1797752808988804E-2</v>
      </c>
      <c r="DA55" s="177">
        <f t="shared" si="159"/>
        <v>6.6790352504638273E-2</v>
      </c>
      <c r="DB55" s="177">
        <f t="shared" si="159"/>
        <v>0.82504604051565367</v>
      </c>
      <c r="DC55" s="55">
        <f t="shared" si="159"/>
        <v>0.25803446669771768</v>
      </c>
      <c r="DD55" s="177">
        <v>0.75880281690140849</v>
      </c>
      <c r="DE55" s="177">
        <v>0.82539682539682535</v>
      </c>
      <c r="DF55" s="177">
        <v>0.7947826086956522</v>
      </c>
      <c r="DG55" s="177">
        <v>5.7517658930373416E-2</v>
      </c>
      <c r="DH55" s="55">
        <v>0.52313957793409838</v>
      </c>
      <c r="DI55" s="177">
        <f t="shared" si="159"/>
        <v>9.4094094094094194E-2</v>
      </c>
      <c r="DJ55" s="177">
        <f t="shared" si="159"/>
        <v>-2.5120772946859882E-2</v>
      </c>
      <c r="DK55" s="177">
        <f t="shared" si="159"/>
        <v>5.0387596899224896E-2</v>
      </c>
      <c r="DL55" s="177">
        <f t="shared" si="159"/>
        <v>0.10019083969465647</v>
      </c>
      <c r="DM55" s="55">
        <f t="shared" si="159"/>
        <v>5.4691298006805944E-2</v>
      </c>
      <c r="DN55" s="177">
        <f t="shared" si="159"/>
        <v>5.7639524245196805E-2</v>
      </c>
      <c r="DO55" s="177">
        <f t="shared" si="159"/>
        <v>0.11199207135778</v>
      </c>
      <c r="DP55" s="177">
        <f t="shared" si="159"/>
        <v>5.6273062730627377E-2</v>
      </c>
      <c r="DQ55" s="177">
        <f t="shared" si="159"/>
        <v>-2.6886383347788367E-2</v>
      </c>
      <c r="DR55" s="55">
        <f t="shared" si="159"/>
        <v>4.7476377045402085E-2</v>
      </c>
      <c r="DS55" s="177">
        <f t="shared" si="159"/>
        <v>-4.4982698961937739E-2</v>
      </c>
      <c r="DT55" s="177">
        <f t="shared" ref="DT55:EG55" si="160">DT54/DO54-1</f>
        <v>-4.6345811051693442E-2</v>
      </c>
      <c r="DU55" s="177">
        <f t="shared" si="160"/>
        <v>-0.10305676855895196</v>
      </c>
      <c r="DV55" s="177">
        <f t="shared" si="160"/>
        <v>-9.8930481283422411E-2</v>
      </c>
      <c r="DW55" s="55">
        <f t="shared" si="160"/>
        <v>-7.3267326732673221E-2</v>
      </c>
      <c r="DX55" s="177">
        <f t="shared" si="160"/>
        <v>-9.6170873549011882E-2</v>
      </c>
      <c r="DY55" s="177">
        <f t="shared" si="160"/>
        <v>-0.10013603581040986</v>
      </c>
      <c r="DZ55" s="177">
        <f t="shared" si="160"/>
        <v>-0.10364618214235366</v>
      </c>
      <c r="EA55" s="177">
        <f t="shared" si="160"/>
        <v>-4.4235437707064618E-2</v>
      </c>
      <c r="EB55" s="55">
        <f t="shared" si="160"/>
        <v>-8.6534866879697914E-2</v>
      </c>
      <c r="EC55" s="177">
        <f t="shared" si="160"/>
        <v>-1.9401540371379644E-2</v>
      </c>
      <c r="ED55" s="177">
        <f t="shared" si="160"/>
        <v>2.5067339263912247E-2</v>
      </c>
      <c r="EE55" s="177">
        <f t="shared" si="160"/>
        <v>4.6558494671904871E-2</v>
      </c>
      <c r="EF55" s="177">
        <f t="shared" si="160"/>
        <v>6.5560276958440467E-2</v>
      </c>
      <c r="EG55" s="55">
        <f t="shared" si="160"/>
        <v>2.8846133412586017E-2</v>
      </c>
      <c r="EH55" s="177">
        <f t="shared" ref="EH55" si="161">EH54/EC54-1</f>
        <v>-2.2971184793046939E-3</v>
      </c>
      <c r="EI55" s="177">
        <f t="shared" ref="EI55" si="162">EI54/ED54-1</f>
        <v>1.827653456258016E-3</v>
      </c>
      <c r="EJ55" s="177">
        <f t="shared" ref="EJ55" si="163">EJ54/EE54-1</f>
        <v>-4.3530720257325406E-3</v>
      </c>
      <c r="EK55" s="177">
        <f t="shared" ref="EK55" si="164">EK54/EF54-1</f>
        <v>-3.3840379462429793E-3</v>
      </c>
      <c r="EL55" s="55">
        <f t="shared" ref="EL55" si="165">EL54/EG54-1</f>
        <v>-2.0517597915451491E-3</v>
      </c>
    </row>
    <row r="56" spans="1:142" ht="11.25" customHeight="1">
      <c r="A56" s="415"/>
      <c r="B56" s="1459" t="s">
        <v>219</v>
      </c>
      <c r="C56" s="1464"/>
      <c r="D56" s="1464" t="str">
        <f>IF(ISERROR(D54/D$23),"nm",D54/D$23)</f>
        <v>nm</v>
      </c>
      <c r="E56" s="1464" t="str">
        <f>IF(ISERROR(E54/E$23),"nm",E54/E$23)</f>
        <v>nm</v>
      </c>
      <c r="F56" s="1464" t="str">
        <f>IF(ISERROR(F54/F$23),"nm",F54/F$23)</f>
        <v>nm</v>
      </c>
      <c r="G56" s="1464" t="str">
        <f>IF(ISERROR(G54/G$23),"nm",G54/G$23)</f>
        <v>nm</v>
      </c>
      <c r="H56" s="1465">
        <f>H54/H$23</f>
        <v>0.22875226039783003</v>
      </c>
      <c r="I56" s="1464" t="str">
        <f>IF(ISERROR(I54/I$23),"nm",I54/I$23)</f>
        <v>nm</v>
      </c>
      <c r="J56" s="1464" t="str">
        <f>IF(ISERROR(J54/J$23),"nm",J54/J$23)</f>
        <v>nm</v>
      </c>
      <c r="K56" s="1464" t="str">
        <f>IF(ISERROR(K54/K$23),"nm",K54/K$23)</f>
        <v>nm</v>
      </c>
      <c r="L56" s="1464" t="str">
        <f>IF(ISERROR(L54/L$23),"nm",L54/L$23)</f>
        <v>nm</v>
      </c>
      <c r="M56" s="1465">
        <f>M54/M$23</f>
        <v>0.21802482460874259</v>
      </c>
      <c r="N56" s="1464" t="str">
        <f>IF(ISERROR(N54/N$23),"nm",N54/N$23)</f>
        <v>nm</v>
      </c>
      <c r="O56" s="1464" t="str">
        <f>IF(ISERROR(O54/O$23),"nm",O54/O$23)</f>
        <v>nm</v>
      </c>
      <c r="P56" s="1464" t="str">
        <f>IF(ISERROR(P54/P$23),"nm",P54/P$23)</f>
        <v>nm</v>
      </c>
      <c r="Q56" s="1464" t="str">
        <f>IF(ISERROR(Q54/Q$23),"nm",Q54/Q$23)</f>
        <v>nm</v>
      </c>
      <c r="R56" s="1465">
        <f>R54/R$23</f>
        <v>0.2104475894603613</v>
      </c>
      <c r="S56" s="1464" t="str">
        <f>IF(ISERROR(S54/S$23),"nm",S54/S$23)</f>
        <v>nm</v>
      </c>
      <c r="T56" s="1464" t="str">
        <f>IF(ISERROR(T54/T$23),"nm",T54/T$23)</f>
        <v>nm</v>
      </c>
      <c r="U56" s="1464" t="str">
        <f>IF(ISERROR(U54/U$23),"nm",U54/U$23)</f>
        <v>nm</v>
      </c>
      <c r="V56" s="1464" t="str">
        <f>IF(ISERROR(V54/V$23),"nm",V54/V$23)</f>
        <v>nm</v>
      </c>
      <c r="W56" s="1465">
        <f>W54/W$23</f>
        <v>0.20929762506316321</v>
      </c>
      <c r="X56" s="1464" t="str">
        <f>IF(ISERROR(X54/X$23),"nm",X54/X$23)</f>
        <v>nm</v>
      </c>
      <c r="Y56" s="1464" t="str">
        <f>IF(ISERROR(Y54/Y$23),"nm",Y54/Y$23)</f>
        <v>nm</v>
      </c>
      <c r="Z56" s="1464" t="str">
        <f>IF(ISERROR(Z54/Z$23),"nm",Z54/Z$23)</f>
        <v>nm</v>
      </c>
      <c r="AA56" s="1464" t="str">
        <f>IF(ISERROR(AA54/AA$23),"nm",AA54/AA$23)</f>
        <v>nm</v>
      </c>
      <c r="AB56" s="1465">
        <f>AB54/AB$23</f>
        <v>0.21525735294117648</v>
      </c>
      <c r="AC56" s="1464" t="str">
        <f>IF(ISERROR(AC54/AC$23),"nm",AC54/AC$23)</f>
        <v>nm</v>
      </c>
      <c r="AD56" s="1464" t="str">
        <f>IF(ISERROR(AD54/AD$23),"nm",AD54/AD$23)</f>
        <v>nm</v>
      </c>
      <c r="AE56" s="1464" t="str">
        <f>IF(ISERROR(AE54/AE$23),"nm",AE54/AE$23)</f>
        <v>nm</v>
      </c>
      <c r="AF56" s="1464" t="str">
        <f>IF(ISERROR(AF54/AF$23),"nm",AF54/AF$23)</f>
        <v>nm</v>
      </c>
      <c r="AG56" s="1465">
        <f>AG54/AG$23</f>
        <v>0.22121955493253898</v>
      </c>
      <c r="AH56" s="1464" t="str">
        <f>IF(ISERROR(AH54/AH$23),"nm",AH54/AH$23)</f>
        <v>nm</v>
      </c>
      <c r="AI56" s="1464" t="str">
        <f>IF(ISERROR(AI54/AI$23),"nm",AI54/AI$23)</f>
        <v>nm</v>
      </c>
      <c r="AJ56" s="1464" t="str">
        <f>IF(ISERROR(AJ54/AJ$23),"nm",AJ54/AJ$23)</f>
        <v>nm</v>
      </c>
      <c r="AK56" s="1464" t="str">
        <f>IF(ISERROR(AK54/AK$23),"nm",AK54/AK$23)</f>
        <v>nm</v>
      </c>
      <c r="AL56" s="1465">
        <f>AL54/AL$23</f>
        <v>0.21596283083049864</v>
      </c>
      <c r="AM56" s="1464" t="str">
        <f>IF(ISERROR(AM54/AM$23),"nm",AM54/AM$23)</f>
        <v>nm</v>
      </c>
      <c r="AN56" s="1464" t="str">
        <f>IF(ISERROR(AN54/AN$23),"nm",AN54/AN$23)</f>
        <v>nm</v>
      </c>
      <c r="AO56" s="1464" t="str">
        <f>IF(ISERROR(AO54/AO$23),"nm",AO54/AO$23)</f>
        <v>nm</v>
      </c>
      <c r="AP56" s="1464" t="str">
        <f>IF(ISERROR(AP54/AP$23),"nm",AP54/AP$23)</f>
        <v>nm</v>
      </c>
      <c r="AQ56" s="1465">
        <f>AQ54/AQ$23</f>
        <v>0.20297563429885718</v>
      </c>
      <c r="AR56" s="1464" t="str">
        <f>IF(ISERROR(AR54/AR$23),"nm",AR54/AR$23)</f>
        <v>nm</v>
      </c>
      <c r="AS56" s="1464" t="str">
        <f>IF(ISERROR(AS54/AS$23),"nm",AS54/AS$23)</f>
        <v>nm</v>
      </c>
      <c r="AT56" s="1464" t="str">
        <f>IF(ISERROR(AT54/AT$23),"nm",AT54/AT$23)</f>
        <v>nm</v>
      </c>
      <c r="AU56" s="1409"/>
      <c r="AV56" s="1466" t="str">
        <f>IF(ISERROR(AV54/AV$23),"nm",AV54/AV$23)</f>
        <v>nm</v>
      </c>
      <c r="AW56" s="1466" t="str">
        <f>IF(ISERROR(AW54/AW$23),"nm",AW54/AW$23)</f>
        <v>nm</v>
      </c>
      <c r="AX56" s="1466" t="str">
        <f>IF(ISERROR(AX54/AX$23),"nm",AX54/AX$23)</f>
        <v>nm</v>
      </c>
      <c r="AY56" s="1466" t="str">
        <f>IF(ISERROR(AY54/AY$23),"nm",AY54/AY$23)</f>
        <v>nm</v>
      </c>
      <c r="AZ56" s="1463">
        <f>AZ54/AZ$23</f>
        <v>0.20406686446197264</v>
      </c>
      <c r="BA56" s="1464" t="str">
        <f>IF(ISERROR(BA54/BA$23),"nm",BA54/BA$23)</f>
        <v>nm</v>
      </c>
      <c r="BB56" s="1464" t="str">
        <f>IF(ISERROR(BB54/BB$23),"nm",BB54/BB$23)</f>
        <v>nm</v>
      </c>
      <c r="BC56" s="1464" t="str">
        <f>IF(ISERROR(BC54/BC$23),"nm",BC54/BC$23)</f>
        <v>nm</v>
      </c>
      <c r="BD56" s="1464" t="str">
        <f>IF(ISERROR(BD54/BD$23),"nm",BD54/BD$23)</f>
        <v>nm</v>
      </c>
      <c r="BE56" s="1465">
        <f>BE54/BE$23</f>
        <v>0.22052746261928019</v>
      </c>
      <c r="BF56" s="1464" t="str">
        <f>IF(ISERROR(BF54/BF$23),"nm",BF54/BF$23)</f>
        <v>nm</v>
      </c>
      <c r="BG56" s="1464" t="str">
        <f>IF(ISERROR(BG54/BG$23),"nm",BG54/BG$23)</f>
        <v>nm</v>
      </c>
      <c r="BH56" s="1464" t="str">
        <f>IF(ISERROR(BH54/BH$23),"nm",BH54/BH$23)</f>
        <v>nm</v>
      </c>
      <c r="BI56" s="1464" t="str">
        <f>IF(ISERROR(BI54/BI$23),"nm",BI54/BI$23)</f>
        <v>nm</v>
      </c>
      <c r="BJ56" s="1465">
        <f t="shared" ref="BJ56:CO56" si="166">BJ54/BJ$23</f>
        <v>0.22614210682786642</v>
      </c>
      <c r="BK56" s="1464" t="e">
        <f t="shared" si="166"/>
        <v>#REF!</v>
      </c>
      <c r="BL56" s="1464" t="e">
        <f t="shared" si="166"/>
        <v>#REF!</v>
      </c>
      <c r="BM56" s="1464" t="e">
        <f t="shared" si="166"/>
        <v>#REF!</v>
      </c>
      <c r="BN56" s="1464" t="e">
        <f t="shared" si="166"/>
        <v>#REF!</v>
      </c>
      <c r="BO56" s="1465">
        <f t="shared" si="166"/>
        <v>0.22706469731641357</v>
      </c>
      <c r="BP56" s="1464" t="e">
        <f t="shared" si="166"/>
        <v>#REF!</v>
      </c>
      <c r="BQ56" s="1464" t="e">
        <f t="shared" si="166"/>
        <v>#REF!</v>
      </c>
      <c r="BR56" s="1464" t="e">
        <f t="shared" si="166"/>
        <v>#REF!</v>
      </c>
      <c r="BS56" s="1464" t="e">
        <f t="shared" si="166"/>
        <v>#REF!</v>
      </c>
      <c r="BT56" s="1465">
        <f t="shared" si="166"/>
        <v>0.23245367770915215</v>
      </c>
      <c r="BU56" s="1464" t="e">
        <f t="shared" si="166"/>
        <v>#REF!</v>
      </c>
      <c r="BV56" s="1464" t="e">
        <f t="shared" si="166"/>
        <v>#REF!</v>
      </c>
      <c r="BW56" s="1464" t="e">
        <f t="shared" si="166"/>
        <v>#REF!</v>
      </c>
      <c r="BX56" s="1464" t="e">
        <f t="shared" si="166"/>
        <v>#REF!</v>
      </c>
      <c r="BY56" s="1465">
        <f t="shared" si="166"/>
        <v>0.23221850613154962</v>
      </c>
      <c r="BZ56" s="1464" t="e">
        <f t="shared" si="166"/>
        <v>#REF!</v>
      </c>
      <c r="CA56" s="1464" t="e">
        <f t="shared" si="166"/>
        <v>#REF!</v>
      </c>
      <c r="CB56" s="1464" t="e">
        <f t="shared" si="166"/>
        <v>#REF!</v>
      </c>
      <c r="CC56" s="1464" t="e">
        <f t="shared" si="166"/>
        <v>#REF!</v>
      </c>
      <c r="CD56" s="1465">
        <f t="shared" si="166"/>
        <v>0.22665020206555905</v>
      </c>
      <c r="CE56" s="1464" t="e">
        <f t="shared" si="166"/>
        <v>#REF!</v>
      </c>
      <c r="CF56" s="1464" t="e">
        <f t="shared" si="166"/>
        <v>#REF!</v>
      </c>
      <c r="CG56" s="1464" t="e">
        <f t="shared" si="166"/>
        <v>#REF!</v>
      </c>
      <c r="CH56" s="1464" t="e">
        <f t="shared" si="166"/>
        <v>#REF!</v>
      </c>
      <c r="CI56" s="1465">
        <f t="shared" si="166"/>
        <v>0.21193666260657734</v>
      </c>
      <c r="CJ56" s="1464">
        <f t="shared" si="166"/>
        <v>0.1996579734929457</v>
      </c>
      <c r="CK56" s="1464">
        <f t="shared" si="166"/>
        <v>0.21623968736430743</v>
      </c>
      <c r="CL56" s="1464">
        <f t="shared" si="166"/>
        <v>0.22325375773651635</v>
      </c>
      <c r="CM56" s="1464">
        <f t="shared" si="166"/>
        <v>0.20338983050847459</v>
      </c>
      <c r="CN56" s="1465">
        <f t="shared" si="166"/>
        <v>0.21053775122216187</v>
      </c>
      <c r="CO56" s="1464">
        <f t="shared" si="166"/>
        <v>0.20214079868258542</v>
      </c>
      <c r="CP56" s="1464">
        <f t="shared" ref="CP56:DR56" si="167">CP54/CP$23</f>
        <v>0.22086956521739132</v>
      </c>
      <c r="CQ56" s="1464">
        <f t="shared" si="167"/>
        <v>0.23023154215814767</v>
      </c>
      <c r="CR56" s="1464">
        <f t="shared" si="167"/>
        <v>0.20994475138121546</v>
      </c>
      <c r="CS56" s="1465">
        <f t="shared" si="167"/>
        <v>0.21555863835236366</v>
      </c>
      <c r="CT56" s="1464">
        <f t="shared" si="167"/>
        <v>0.21316740264953835</v>
      </c>
      <c r="CU56" s="1464">
        <f t="shared" si="167"/>
        <v>0.21751527494908351</v>
      </c>
      <c r="CV56" s="1464">
        <f t="shared" si="167"/>
        <v>0.22208487845076225</v>
      </c>
      <c r="CW56" s="1464">
        <f t="shared" si="167"/>
        <v>0.2145397076254445</v>
      </c>
      <c r="CX56" s="1465">
        <f t="shared" si="167"/>
        <v>0.21678109854604199</v>
      </c>
      <c r="CY56" s="1464">
        <f t="shared" si="167"/>
        <v>0.21896684656900539</v>
      </c>
      <c r="CZ56" s="1464">
        <f t="shared" si="167"/>
        <v>0.21567135793077216</v>
      </c>
      <c r="DA56" s="1464">
        <f t="shared" si="167"/>
        <v>0.219633307868602</v>
      </c>
      <c r="DB56" s="1464">
        <f t="shared" si="167"/>
        <v>0.23411292227734468</v>
      </c>
      <c r="DC56" s="1465">
        <f t="shared" si="167"/>
        <v>0.22370382640384298</v>
      </c>
      <c r="DD56" s="1464">
        <v>0.23200185787273572</v>
      </c>
      <c r="DE56" s="1464">
        <v>0.23727647867950483</v>
      </c>
      <c r="DF56" s="1464">
        <v>0.23306233062330622</v>
      </c>
      <c r="DG56" s="1464">
        <v>0.21724709784411278</v>
      </c>
      <c r="DH56" s="1465">
        <v>0.22957589285714286</v>
      </c>
      <c r="DI56" s="1464">
        <f>DI54/DI$23</f>
        <v>0.22813608849926947</v>
      </c>
      <c r="DJ56" s="1464">
        <f>DJ54/DJ$23</f>
        <v>0.20829892650701901</v>
      </c>
      <c r="DK56" s="1464">
        <f>DK54/DK$23</f>
        <v>0.21410231088287576</v>
      </c>
      <c r="DL56" s="1464">
        <f>DL54/DL$23</f>
        <v>0.2128484400959941</v>
      </c>
      <c r="DM56" s="1465">
        <f t="shared" si="167"/>
        <v>0.21575257321863656</v>
      </c>
      <c r="DN56" s="1464">
        <f>DN54/DN$23</f>
        <v>0.21328413284132841</v>
      </c>
      <c r="DO56" s="1464">
        <f>DO54/DO$23</f>
        <v>0.21494252873563219</v>
      </c>
      <c r="DP56" s="1464">
        <f>DP54/DP$23</f>
        <v>0.21951687116564417</v>
      </c>
      <c r="DQ56" s="1464">
        <f>DQ54/DQ$23</f>
        <v>0.21518987341772153</v>
      </c>
      <c r="DR56" s="1465">
        <f t="shared" si="167"/>
        <v>0.21570953962980541</v>
      </c>
      <c r="DS56" s="1464">
        <f>DS54/DS$23</f>
        <v>0.21247113163972287</v>
      </c>
      <c r="DT56" s="1464">
        <f>DT54/DT$23</f>
        <v>0.20684322443456407</v>
      </c>
      <c r="DU56" s="1464">
        <f>DU54/DU$23</f>
        <v>0.20785266140457398</v>
      </c>
      <c r="DV56" s="1464">
        <f>DV54/DV$23</f>
        <v>0.19064680369602113</v>
      </c>
      <c r="DW56" s="1465">
        <f>DW54/DW$23</f>
        <v>0.2043370688400524</v>
      </c>
      <c r="DX56" s="1467">
        <f>CHOOSE(Scenarios!$C$37,Scenarios!AX55,Scenarios!AX56,Scenarios!AX57)</f>
        <v>0.20100000000000001</v>
      </c>
      <c r="DY56" s="1467">
        <f>CHOOSE(Scenarios!$C$37,Scenarios!AY55,Scenarios!AY56,Scenarios!AY57)</f>
        <v>0.19450000000000001</v>
      </c>
      <c r="DZ56" s="1467">
        <f>CHOOSE(Scenarios!$C$37,Scenarios!AZ55,Scenarios!AZ56,Scenarios!AZ57)</f>
        <v>0.19400000000000001</v>
      </c>
      <c r="EA56" s="1467">
        <f>CHOOSE(Scenarios!$C$37,Scenarios!BA55,Scenarios!BA56,Scenarios!BA57)</f>
        <v>0.19400000000000001</v>
      </c>
      <c r="EB56" s="1465">
        <f>EB54/EB$23</f>
        <v>0.19589532297401352</v>
      </c>
      <c r="EC56" s="1467">
        <f>CHOOSE(Scenarios!$C$37,Scenarios!BC55,Scenarios!BC56,Scenarios!BC57)</f>
        <v>0.2</v>
      </c>
      <c r="ED56" s="1467">
        <f>CHOOSE(Scenarios!$C$37,Scenarios!BD55,Scenarios!BD56,Scenarios!BD57)</f>
        <v>0.19900000000000001</v>
      </c>
      <c r="EE56" s="1467">
        <f>CHOOSE(Scenarios!$C$37,Scenarios!BE55,Scenarios!BE56,Scenarios!BE57)</f>
        <v>0.19900000000000001</v>
      </c>
      <c r="EF56" s="1467">
        <f>CHOOSE(Scenarios!$C$37,Scenarios!BF55,Scenarios!BF56,Scenarios!BF57)</f>
        <v>0.19900000000000001</v>
      </c>
      <c r="EG56" s="1465">
        <f>EG54/EG$23</f>
        <v>0.19924624986767006</v>
      </c>
      <c r="EH56" s="1467">
        <f>CHOOSE(Scenarios!$C$37,Scenarios!BH55,Scenarios!BH56,Scenarios!BH57)</f>
        <v>0.191</v>
      </c>
      <c r="EI56" s="1467">
        <f>CHOOSE(Scenarios!$C$37,Scenarios!BI55,Scenarios!BI56,Scenarios!BI57)</f>
        <v>0.191</v>
      </c>
      <c r="EJ56" s="1467">
        <f>CHOOSE(Scenarios!$C$37,Scenarios!BJ55,Scenarios!BJ56,Scenarios!BJ57)</f>
        <v>0.19</v>
      </c>
      <c r="EK56" s="1467">
        <f>CHOOSE(Scenarios!$C$37,Scenarios!BK55,Scenarios!BK56,Scenarios!BK57)</f>
        <v>0.19</v>
      </c>
      <c r="EL56" s="1465">
        <f>EL54/EL$23</f>
        <v>0.19049611207456996</v>
      </c>
    </row>
    <row r="57" spans="1:142" ht="11.25" customHeight="1">
      <c r="A57" s="415"/>
      <c r="B57" s="415" t="s">
        <v>220</v>
      </c>
      <c r="C57" s="458"/>
      <c r="D57" s="458" t="str">
        <f>IF(ISERROR(D54/D$25),"nm",D54/D$25)</f>
        <v>nm</v>
      </c>
      <c r="E57" s="458" t="str">
        <f>IF(ISERROR(E54/E$25),"nm",E54/E$25)</f>
        <v>nm</v>
      </c>
      <c r="F57" s="458" t="str">
        <f>IF(ISERROR(F54/F$25),"nm",F54/F$25)</f>
        <v>nm</v>
      </c>
      <c r="G57" s="458" t="str">
        <f>IF(ISERROR(G54/G$25),"nm",G54/G$25)</f>
        <v>nm</v>
      </c>
      <c r="H57" s="55">
        <f>H54/H$25</f>
        <v>0.23860421251178873</v>
      </c>
      <c r="I57" s="458" t="str">
        <f>IF(ISERROR(I54/I$25),"nm",I54/I$25)</f>
        <v>nm</v>
      </c>
      <c r="J57" s="458" t="str">
        <f>IF(ISERROR(J54/J$25),"nm",J54/J$25)</f>
        <v>nm</v>
      </c>
      <c r="K57" s="458" t="str">
        <f>IF(ISERROR(K54/K$25),"nm",K54/K$25)</f>
        <v>nm</v>
      </c>
      <c r="L57" s="458" t="str">
        <f>IF(ISERROR(L54/L$25),"nm",L54/L$25)</f>
        <v>nm</v>
      </c>
      <c r="M57" s="55">
        <f>M54/M$25</f>
        <v>0.23002467261339912</v>
      </c>
      <c r="N57" s="458" t="str">
        <f>IF(ISERROR(N54/N$25),"nm",N54/N$25)</f>
        <v>nm</v>
      </c>
      <c r="O57" s="458" t="str">
        <f>IF(ISERROR(O54/O$25),"nm",O54/O$25)</f>
        <v>nm</v>
      </c>
      <c r="P57" s="458" t="str">
        <f>IF(ISERROR(P54/P$25),"nm",P54/P$25)</f>
        <v>nm</v>
      </c>
      <c r="Q57" s="458" t="str">
        <f>IF(ISERROR(Q54/Q$25),"nm",Q54/Q$25)</f>
        <v>nm</v>
      </c>
      <c r="R57" s="55">
        <f>R54/R$25</f>
        <v>0.22313041356593877</v>
      </c>
      <c r="S57" s="458" t="str">
        <f>IF(ISERROR(S54/S$25),"nm",S54/S$25)</f>
        <v>nm</v>
      </c>
      <c r="T57" s="458" t="str">
        <f>IF(ISERROR(T54/T$25),"nm",T54/T$25)</f>
        <v>nm</v>
      </c>
      <c r="U57" s="458" t="str">
        <f>IF(ISERROR(U54/U$25),"nm",U54/U$25)</f>
        <v>nm</v>
      </c>
      <c r="V57" s="458" t="str">
        <f>IF(ISERROR(V54/V$25),"nm",V54/V$25)</f>
        <v>nm</v>
      </c>
      <c r="W57" s="55">
        <f>W54/W$25</f>
        <v>0.22252068335661329</v>
      </c>
      <c r="X57" s="458" t="str">
        <f>IF(ISERROR(X54/X$25),"nm",X54/X$25)</f>
        <v>nm</v>
      </c>
      <c r="Y57" s="458" t="str">
        <f>IF(ISERROR(Y54/Y$25),"nm",Y54/Y$25)</f>
        <v>nm</v>
      </c>
      <c r="Z57" s="458" t="str">
        <f>IF(ISERROR(Z54/Z$25),"nm",Z54/Z$25)</f>
        <v>nm</v>
      </c>
      <c r="AA57" s="458" t="str">
        <f>IF(ISERROR(AA54/AA$25),"nm",AA54/AA$25)</f>
        <v>nm</v>
      </c>
      <c r="AB57" s="55">
        <f>AB54/AB$25</f>
        <v>0.23103482292591496</v>
      </c>
      <c r="AC57" s="458" t="str">
        <f>IF(ISERROR(AC54/AC$25),"nm",AC54/AC$25)</f>
        <v>nm</v>
      </c>
      <c r="AD57" s="458" t="str">
        <f>IF(ISERROR(AD54/AD$25),"nm",AD54/AD$25)</f>
        <v>nm</v>
      </c>
      <c r="AE57" s="458" t="str">
        <f>IF(ISERROR(AE54/AE$25),"nm",AE54/AE$25)</f>
        <v>nm</v>
      </c>
      <c r="AF57" s="458" t="str">
        <f>IF(ISERROR(AF54/AF$25),"nm",AF54/AF$25)</f>
        <v>nm</v>
      </c>
      <c r="AG57" s="55">
        <f>AG54/AG$25</f>
        <v>0.23904193884313168</v>
      </c>
      <c r="AH57" s="458" t="str">
        <f>IF(ISERROR(AH54/AH$25),"nm",AH54/AH$25)</f>
        <v>nm</v>
      </c>
      <c r="AI57" s="458" t="str">
        <f>IF(ISERROR(AI54/AI$25),"nm",AI54/AI$25)</f>
        <v>nm</v>
      </c>
      <c r="AJ57" s="458" t="str">
        <f>IF(ISERROR(AJ54/AJ$25),"nm",AJ54/AJ$25)</f>
        <v>nm</v>
      </c>
      <c r="AK57" s="458" t="str">
        <f>IF(ISERROR(AK54/AK$25),"nm",AK54/AK$25)</f>
        <v>nm</v>
      </c>
      <c r="AL57" s="55">
        <f>AL54/AL$25</f>
        <v>0.232327740092824</v>
      </c>
      <c r="AM57" s="458" t="str">
        <f>IF(ISERROR(AM54/AM$25),"nm",AM54/AM$25)</f>
        <v>nm</v>
      </c>
      <c r="AN57" s="458" t="str">
        <f>IF(ISERROR(AN54/AN$25),"nm",AN54/AN$25)</f>
        <v>nm</v>
      </c>
      <c r="AO57" s="458" t="str">
        <f>IF(ISERROR(AO54/AO$25),"nm",AO54/AO$25)</f>
        <v>nm</v>
      </c>
      <c r="AP57" s="458" t="str">
        <f>IF(ISERROR(AP54/AP$25),"nm",AP54/AP$25)</f>
        <v>nm</v>
      </c>
      <c r="AQ57" s="55">
        <f>AQ54/AQ$25</f>
        <v>0.21845749207085943</v>
      </c>
      <c r="AR57" s="458" t="str">
        <f>IF(ISERROR(AR54/AR$25),"nm",AR54/AR$25)</f>
        <v>nm</v>
      </c>
      <c r="AS57" s="458" t="str">
        <f>IF(ISERROR(AS54/AS$25),"nm",AS54/AS$25)</f>
        <v>nm</v>
      </c>
      <c r="AT57" s="458" t="str">
        <f>IF(ISERROR(AT54/AT$25),"nm",AT54/AT$25)</f>
        <v>nm</v>
      </c>
      <c r="AU57" s="395"/>
      <c r="AV57" s="458" t="str">
        <f>IF(ISERROR(AV54/AV$25),"nm",AV54/AV$25)</f>
        <v>nm</v>
      </c>
      <c r="AW57" s="458" t="str">
        <f>IF(ISERROR(AW54/AW$25),"nm",AW54/AW$25)</f>
        <v>nm</v>
      </c>
      <c r="AX57" s="458" t="str">
        <f>IF(ISERROR(AX54/AX$25),"nm",AX54/AX$25)</f>
        <v>nm</v>
      </c>
      <c r="AY57" s="458" t="str">
        <f>IF(ISERROR(AY54/AY$25),"nm",AY54/AY$25)</f>
        <v>nm</v>
      </c>
      <c r="AZ57" s="55">
        <f>AZ54/AZ$25</f>
        <v>0.21955777016505762</v>
      </c>
      <c r="BA57" s="458" t="str">
        <f>IF(ISERROR(BA54/BA$25),"nm",BA54/BA$25)</f>
        <v>nm</v>
      </c>
      <c r="BB57" s="458" t="str">
        <f>IF(ISERROR(BB54/BB$25),"nm",BB54/BB$25)</f>
        <v>nm</v>
      </c>
      <c r="BC57" s="458" t="str">
        <f>IF(ISERROR(BC54/BC$25),"nm",BC54/BC$25)</f>
        <v>nm</v>
      </c>
      <c r="BD57" s="458" t="str">
        <f>IF(ISERROR(BD54/BD$25),"nm",BD54/BD$25)</f>
        <v>nm</v>
      </c>
      <c r="BE57" s="55">
        <f>BE54/BE$25</f>
        <v>0.2474496248208414</v>
      </c>
      <c r="BF57" s="458" t="str">
        <f>IF(ISERROR(BF54/BF$25),"nm",BF54/BF$25)</f>
        <v>nm</v>
      </c>
      <c r="BG57" s="458" t="str">
        <f>IF(ISERROR(BG54/BG$25),"nm",BG54/BG$25)</f>
        <v>nm</v>
      </c>
      <c r="BH57" s="458" t="str">
        <f>IF(ISERROR(BH54/BH$25),"nm",BH54/BH$25)</f>
        <v>nm</v>
      </c>
      <c r="BI57" s="458" t="str">
        <f>IF(ISERROR(BI54/BI$25),"nm",BI54/BI$25)</f>
        <v>nm</v>
      </c>
      <c r="BJ57" s="55">
        <f t="shared" ref="BJ57:CO57" si="168">BJ54/BJ$25</f>
        <v>0.2578239746921252</v>
      </c>
      <c r="BK57" s="177" t="e">
        <f t="shared" si="168"/>
        <v>#REF!</v>
      </c>
      <c r="BL57" s="177" t="e">
        <f t="shared" si="168"/>
        <v>#REF!</v>
      </c>
      <c r="BM57" s="177" t="e">
        <f t="shared" si="168"/>
        <v>#REF!</v>
      </c>
      <c r="BN57" s="177" t="e">
        <f t="shared" si="168"/>
        <v>#REF!</v>
      </c>
      <c r="BO57" s="55">
        <f t="shared" si="168"/>
        <v>0.24484073575594437</v>
      </c>
      <c r="BP57" s="177" t="e">
        <f t="shared" si="168"/>
        <v>#REF!</v>
      </c>
      <c r="BQ57" s="177" t="e">
        <f t="shared" si="168"/>
        <v>#REF!</v>
      </c>
      <c r="BR57" s="177" t="e">
        <f t="shared" si="168"/>
        <v>#REF!</v>
      </c>
      <c r="BS57" s="177" t="e">
        <f t="shared" si="168"/>
        <v>#REF!</v>
      </c>
      <c r="BT57" s="55">
        <f t="shared" si="168"/>
        <v>0.24766690595836324</v>
      </c>
      <c r="BU57" s="177" t="e">
        <f t="shared" si="168"/>
        <v>#REF!</v>
      </c>
      <c r="BV57" s="177" t="e">
        <f t="shared" si="168"/>
        <v>#REF!</v>
      </c>
      <c r="BW57" s="177" t="e">
        <f t="shared" si="168"/>
        <v>#REF!</v>
      </c>
      <c r="BX57" s="177" t="e">
        <f t="shared" si="168"/>
        <v>#REF!</v>
      </c>
      <c r="BY57" s="55">
        <f t="shared" si="168"/>
        <v>0.24841979725700655</v>
      </c>
      <c r="BZ57" s="177" t="e">
        <f t="shared" si="168"/>
        <v>#REF!</v>
      </c>
      <c r="CA57" s="177" t="e">
        <f t="shared" si="168"/>
        <v>#REF!</v>
      </c>
      <c r="CB57" s="177" t="e">
        <f t="shared" si="168"/>
        <v>#REF!</v>
      </c>
      <c r="CC57" s="177" t="e">
        <f t="shared" si="168"/>
        <v>#REF!</v>
      </c>
      <c r="CD57" s="55">
        <f t="shared" si="168"/>
        <v>0.24404689955276199</v>
      </c>
      <c r="CE57" s="177" t="e">
        <f t="shared" si="168"/>
        <v>#REF!</v>
      </c>
      <c r="CF57" s="177" t="e">
        <f t="shared" si="168"/>
        <v>#REF!</v>
      </c>
      <c r="CG57" s="177" t="e">
        <f t="shared" si="168"/>
        <v>#REF!</v>
      </c>
      <c r="CH57" s="177" t="e">
        <f t="shared" si="168"/>
        <v>#REF!</v>
      </c>
      <c r="CI57" s="55">
        <f t="shared" si="168"/>
        <v>0.22966162706983442</v>
      </c>
      <c r="CJ57" s="177">
        <f t="shared" si="168"/>
        <v>0.21720930232558139</v>
      </c>
      <c r="CK57" s="177">
        <f t="shared" si="168"/>
        <v>0.23380281690140844</v>
      </c>
      <c r="CL57" s="177">
        <f t="shared" si="168"/>
        <v>0.2433734939759036</v>
      </c>
      <c r="CM57" s="177">
        <f t="shared" si="168"/>
        <v>0.22180094786729856</v>
      </c>
      <c r="CN57" s="55">
        <f t="shared" si="168"/>
        <v>0.22894270525694035</v>
      </c>
      <c r="CO57" s="177">
        <f t="shared" si="168"/>
        <v>0.21822222222222223</v>
      </c>
      <c r="CP57" s="177">
        <f t="shared" ref="CP57:DR57" si="169">CP54/CP$25</f>
        <v>0.23827392120075047</v>
      </c>
      <c r="CQ57" s="177">
        <f t="shared" si="169"/>
        <v>0.25095238095238093</v>
      </c>
      <c r="CR57" s="177">
        <f t="shared" si="169"/>
        <v>0.22744014732965009</v>
      </c>
      <c r="CS57" s="55">
        <f t="shared" si="169"/>
        <v>0.23341807256759881</v>
      </c>
      <c r="CT57" s="177">
        <f t="shared" si="169"/>
        <v>0.23066898349261511</v>
      </c>
      <c r="CU57" s="177">
        <f t="shared" si="169"/>
        <v>0.23576158940397351</v>
      </c>
      <c r="CV57" s="177">
        <f t="shared" si="169"/>
        <v>0.24268347591175146</v>
      </c>
      <c r="CW57" s="177">
        <f t="shared" si="169"/>
        <v>0.23294723294723294</v>
      </c>
      <c r="CX57" s="55">
        <f t="shared" si="169"/>
        <v>0.23544248272836935</v>
      </c>
      <c r="CY57" s="177">
        <f t="shared" si="169"/>
        <v>0.23795559279430248</v>
      </c>
      <c r="CZ57" s="177">
        <f t="shared" si="169"/>
        <v>0.23410404624277456</v>
      </c>
      <c r="DA57" s="177">
        <f t="shared" si="169"/>
        <v>0.23878737541528239</v>
      </c>
      <c r="DB57" s="177">
        <f t="shared" si="169"/>
        <v>0.2550836550836551</v>
      </c>
      <c r="DC57" s="55">
        <f t="shared" si="169"/>
        <v>0.24328949738785804</v>
      </c>
      <c r="DD57" s="177">
        <v>0.25445746306673461</v>
      </c>
      <c r="DE57" s="177">
        <v>0.25606135576447303</v>
      </c>
      <c r="DF57" s="177">
        <v>0.24694903086862885</v>
      </c>
      <c r="DG57" s="177">
        <v>0.23455684870188004</v>
      </c>
      <c r="DH57" s="55">
        <v>0.24760758350887752</v>
      </c>
      <c r="DI57" s="177">
        <f>DI54/DI$25</f>
        <v>0.24706148282097648</v>
      </c>
      <c r="DJ57" s="177">
        <f>DJ54/DJ$25</f>
        <v>0.22462154942119322</v>
      </c>
      <c r="DK57" s="177">
        <f>DK54/DK$25</f>
        <v>0.23103154305200341</v>
      </c>
      <c r="DL57" s="177">
        <f>DL54/DL$25</f>
        <v>0.22940708316752886</v>
      </c>
      <c r="DM57" s="55">
        <f t="shared" si="169"/>
        <v>0.23285392293656756</v>
      </c>
      <c r="DN57" s="177">
        <f>DN54/DN$25</f>
        <v>0.22918318794607453</v>
      </c>
      <c r="DO57" s="177">
        <f>DO54/DO$25</f>
        <v>0.2304847986852917</v>
      </c>
      <c r="DP57" s="177">
        <f>DP54/DP$25</f>
        <v>0.23613116106413692</v>
      </c>
      <c r="DQ57" s="177">
        <f>DQ54/DQ$25</f>
        <v>0.23086419753086421</v>
      </c>
      <c r="DR57" s="55">
        <f t="shared" si="169"/>
        <v>0.23163956984863157</v>
      </c>
      <c r="DS57" s="177">
        <f t="shared" ref="DS57:EG57" si="170">DS54/DS$25</f>
        <v>0.22937876584250988</v>
      </c>
      <c r="DT57" s="177">
        <f t="shared" si="170"/>
        <v>0.22282382340691378</v>
      </c>
      <c r="DU57" s="177">
        <f t="shared" si="170"/>
        <v>0.22394243349324031</v>
      </c>
      <c r="DV57" s="177">
        <f t="shared" ref="DV57" si="171">DV54/DV$25</f>
        <v>0.20309361189232625</v>
      </c>
      <c r="DW57" s="55">
        <f t="shared" si="170"/>
        <v>0.21961520412951666</v>
      </c>
      <c r="DX57" s="177">
        <f t="shared" si="170"/>
        <v>0.21762454874676607</v>
      </c>
      <c r="DY57" s="177">
        <f t="shared" si="170"/>
        <v>0.21060141619918746</v>
      </c>
      <c r="DZ57" s="177">
        <f t="shared" si="170"/>
        <v>0.21007064023239727</v>
      </c>
      <c r="EA57" s="177">
        <f t="shared" si="170"/>
        <v>0.2100127883902537</v>
      </c>
      <c r="EB57" s="55">
        <f t="shared" si="170"/>
        <v>0.21209905519859484</v>
      </c>
      <c r="EC57" s="177">
        <f t="shared" si="170"/>
        <v>0.2162696488354274</v>
      </c>
      <c r="ED57" s="177">
        <f t="shared" si="170"/>
        <v>0.21519554043018235</v>
      </c>
      <c r="EE57" s="177">
        <f t="shared" si="170"/>
        <v>0.2151978000912026</v>
      </c>
      <c r="EF57" s="177">
        <f t="shared" si="170"/>
        <v>0.21524693543018505</v>
      </c>
      <c r="EG57" s="55">
        <f t="shared" si="170"/>
        <v>0.21547399619288612</v>
      </c>
      <c r="EH57" s="177">
        <f t="shared" ref="EH57:EL57" si="172">EH54/EH$25</f>
        <v>0.20627149384346424</v>
      </c>
      <c r="EI57" s="177">
        <f t="shared" si="172"/>
        <v>0.20627894470737873</v>
      </c>
      <c r="EJ57" s="177">
        <f t="shared" si="172"/>
        <v>0.20520193443145479</v>
      </c>
      <c r="EK57" s="177">
        <f t="shared" si="172"/>
        <v>0.20525418950701751</v>
      </c>
      <c r="EL57" s="55">
        <f t="shared" si="172"/>
        <v>0.20574806616178562</v>
      </c>
    </row>
    <row r="58" spans="1:142" ht="11.25" customHeight="1">
      <c r="A58" s="4"/>
      <c r="B58" s="4" t="s">
        <v>228</v>
      </c>
      <c r="C58" s="438"/>
      <c r="D58" s="438" t="str">
        <f>IF(ISERROR(1000000*D54/D$15),"nm",1000000*D54/D$15)</f>
        <v>nm</v>
      </c>
      <c r="E58" s="438" t="str">
        <f>IF(ISERROR(1000000*E54/E$15),"nm",1000000*E54/E$15)</f>
        <v>nm</v>
      </c>
      <c r="F58" s="438" t="str">
        <f>IF(ISERROR(1000000*F54/F$15),"nm",1000000*F54/F$15)</f>
        <v>nm</v>
      </c>
      <c r="G58" s="438" t="str">
        <f>IF(ISERROR(1000000*G54/G$15),"nm",1000000*G54/G$15)</f>
        <v>nm</v>
      </c>
      <c r="H58" s="440">
        <f>1000000*H54/H$15</f>
        <v>379.97344691485591</v>
      </c>
      <c r="I58" s="438" t="str">
        <f>IF(ISERROR(1000000*I54/I$15),"nm",1000000*I54/I$15)</f>
        <v>nm</v>
      </c>
      <c r="J58" s="438" t="str">
        <f>IF(ISERROR(1000000*J54/J$15),"nm",1000000*J54/J$15)</f>
        <v>nm</v>
      </c>
      <c r="K58" s="438" t="str">
        <f>IF(ISERROR(1000000*K54/K$15),"nm",1000000*K54/K$15)</f>
        <v>nm</v>
      </c>
      <c r="L58" s="438" t="str">
        <f>IF(ISERROR(1000000*L54/L$15),"nm",1000000*L54/L$15)</f>
        <v>nm</v>
      </c>
      <c r="M58" s="440">
        <f>1000000*M54/M$15</f>
        <v>319.26798068797507</v>
      </c>
      <c r="N58" s="438" t="str">
        <f>IF(ISERROR(1000000*N54/N$15),"nm",1000000*N54/N$15)</f>
        <v>nm</v>
      </c>
      <c r="O58" s="438" t="str">
        <f>IF(ISERROR(1000000*O54/O$15),"nm",1000000*O54/O$15)</f>
        <v>nm</v>
      </c>
      <c r="P58" s="438" t="str">
        <f>IF(ISERROR(1000000*P54/P$15),"nm",1000000*P54/P$15)</f>
        <v>nm</v>
      </c>
      <c r="Q58" s="438" t="str">
        <f>IF(ISERROR(1000000*Q54/Q$15),"nm",1000000*Q54/Q$15)</f>
        <v>nm</v>
      </c>
      <c r="R58" s="440">
        <f>1000000*R54/R$15</f>
        <v>314.40967563545047</v>
      </c>
      <c r="S58" s="438" t="str">
        <f>IF(ISERROR(1000000*S54/S$15),"nm",1000000*S54/S$15)</f>
        <v>nm</v>
      </c>
      <c r="T58" s="438" t="str">
        <f>IF(ISERROR(1000000*T54/T$15),"nm",1000000*T54/T$15)</f>
        <v>nm</v>
      </c>
      <c r="U58" s="438" t="str">
        <f>IF(ISERROR(1000000*U54/U$15),"nm",1000000*U54/U$15)</f>
        <v>nm</v>
      </c>
      <c r="V58" s="438" t="str">
        <f>IF(ISERROR(1000000*V54/V$15),"nm",1000000*V54/V$15)</f>
        <v>nm</v>
      </c>
      <c r="W58" s="440">
        <f>1000000*W54/W$15</f>
        <v>315.82037430280479</v>
      </c>
      <c r="X58" s="438" t="str">
        <f>IF(ISERROR(1000000*X54/X$15),"nm",1000000*X54/X$15)</f>
        <v>nm</v>
      </c>
      <c r="Y58" s="438" t="str">
        <f>IF(ISERROR(1000000*Y54/Y$15),"nm",1000000*Y54/Y$15)</f>
        <v>nm</v>
      </c>
      <c r="Z58" s="438" t="str">
        <f>IF(ISERROR(1000000*Z54/Z$15),"nm",1000000*Z54/Z$15)</f>
        <v>nm</v>
      </c>
      <c r="AA58" s="438" t="str">
        <f>IF(ISERROR(1000000*AA54/AA$15),"nm",1000000*AA54/AA$15)</f>
        <v>nm</v>
      </c>
      <c r="AB58" s="440">
        <f>1000000*AB54/AB$15</f>
        <v>334.71109873134202</v>
      </c>
      <c r="AC58" s="438" t="str">
        <f>IF(ISERROR(1000000*AC54/AC$15),"nm",1000000*AC54/AC$15)</f>
        <v>nm</v>
      </c>
      <c r="AD58" s="438" t="str">
        <f>IF(ISERROR(1000000*AD54/AD$15),"nm",1000000*AD54/AD$15)</f>
        <v>nm</v>
      </c>
      <c r="AE58" s="438" t="str">
        <f>IF(ISERROR(1000000*AE54/AE$15),"nm",1000000*AE54/AE$15)</f>
        <v>nm</v>
      </c>
      <c r="AF58" s="438" t="str">
        <f>IF(ISERROR(1000000*AF54/AF$15),"nm",1000000*AF54/AF$15)</f>
        <v>nm</v>
      </c>
      <c r="AG58" s="440">
        <f>1000000*AG54/AG$15</f>
        <v>361.99128755068239</v>
      </c>
      <c r="AH58" s="438" t="str">
        <f>IF(ISERROR(1000000*AH54/AH$15),"nm",1000000*AH54/AH$15)</f>
        <v>nm</v>
      </c>
      <c r="AI58" s="438" t="str">
        <f>IF(ISERROR(1000000*AI54/AI$15),"nm",1000000*AI54/AI$15)</f>
        <v>nm</v>
      </c>
      <c r="AJ58" s="438" t="str">
        <f>IF(ISERROR(1000000*AJ54/AJ$15),"nm",1000000*AJ54/AJ$15)</f>
        <v>nm</v>
      </c>
      <c r="AK58" s="438" t="str">
        <f>IF(ISERROR(1000000*AK54/AK$15),"nm",1000000*AK54/AK$15)</f>
        <v>nm</v>
      </c>
      <c r="AL58" s="440">
        <f>1000000*AL54/AL$15</f>
        <v>374.18032156507712</v>
      </c>
      <c r="AM58" s="438" t="str">
        <f>IF(ISERROR(1000000*AM54/AM$15),"nm",1000000*AM54/AM$15)</f>
        <v>nm</v>
      </c>
      <c r="AN58" s="438" t="str">
        <f>IF(ISERROR(1000000*AN54/AN$15),"nm",1000000*AN54/AN$15)</f>
        <v>nm</v>
      </c>
      <c r="AO58" s="438" t="str">
        <f>IF(ISERROR(1000000*AO54/AO$15),"nm",1000000*AO54/AO$15)</f>
        <v>nm</v>
      </c>
      <c r="AP58" s="438" t="str">
        <f>IF(ISERROR(1000000*AP54/AP$15),"nm",1000000*AP54/AP$15)</f>
        <v>nm</v>
      </c>
      <c r="AQ58" s="440">
        <f>1000000*AQ54/AQ$15</f>
        <v>375.71647561980581</v>
      </c>
      <c r="AR58" s="438" t="str">
        <f>IF(ISERROR(1000000*AR54/AR$15),"nm",1000000*AR54/AR$15)</f>
        <v>nm</v>
      </c>
      <c r="AS58" s="438" t="str">
        <f>IF(ISERROR(1000000*AS54/AS$15),"nm",1000000*AS54/AS$15)</f>
        <v>nm</v>
      </c>
      <c r="AT58" s="438" t="str">
        <f>IF(ISERROR(1000000*AT54/AT$15),"nm",1000000*AT54/AT$15)</f>
        <v>nm</v>
      </c>
      <c r="AU58" s="395"/>
      <c r="AV58" s="438" t="str">
        <f t="shared" ref="AV58:BD58" si="173">IF(ISERROR(1000000*AV54/AV$15),"nm",1000000*AV54/AV$15)</f>
        <v>nm</v>
      </c>
      <c r="AW58" s="438" t="str">
        <f t="shared" si="173"/>
        <v>nm</v>
      </c>
      <c r="AX58" s="438" t="str">
        <f t="shared" si="173"/>
        <v>nm</v>
      </c>
      <c r="AY58" s="438" t="str">
        <f t="shared" si="173"/>
        <v>nm</v>
      </c>
      <c r="AZ58" s="442" t="str">
        <f t="shared" si="173"/>
        <v>nm</v>
      </c>
      <c r="BA58" s="438" t="str">
        <f t="shared" si="173"/>
        <v>nm</v>
      </c>
      <c r="BB58" s="438" t="str">
        <f t="shared" si="173"/>
        <v>nm</v>
      </c>
      <c r="BC58" s="438" t="str">
        <f t="shared" si="173"/>
        <v>nm</v>
      </c>
      <c r="BD58" s="438" t="str">
        <f t="shared" si="173"/>
        <v>nm</v>
      </c>
      <c r="BE58" s="440">
        <f>1000000*BE54/BE$15</f>
        <v>424.08294050874923</v>
      </c>
      <c r="BF58" s="438" t="str">
        <f>IF(ISERROR(1000000*BF54/BF$15),"nm",1000000*BF54/BF$15)</f>
        <v>nm</v>
      </c>
      <c r="BG58" s="438" t="str">
        <f>IF(ISERROR(1000000*BG54/BG$15),"nm",1000000*BG54/BG$15)</f>
        <v>nm</v>
      </c>
      <c r="BH58" s="438" t="str">
        <f>IF(ISERROR(1000000*BH54/BH$15),"nm",1000000*BH54/BH$15)</f>
        <v>nm</v>
      </c>
      <c r="BI58" s="438" t="str">
        <f>IF(ISERROR(1000000*BI54/BI$15),"nm",1000000*BI54/BI$15)</f>
        <v>nm</v>
      </c>
      <c r="BJ58" s="440">
        <f t="shared" ref="BJ58:DC58" si="174">1000000*BJ54/BJ$15</f>
        <v>450.74183771121119</v>
      </c>
      <c r="BK58" s="439" t="e">
        <f t="shared" si="174"/>
        <v>#REF!</v>
      </c>
      <c r="BL58" s="439" t="e">
        <f t="shared" si="174"/>
        <v>#REF!</v>
      </c>
      <c r="BM58" s="439" t="e">
        <f t="shared" si="174"/>
        <v>#REF!</v>
      </c>
      <c r="BN58" s="439" t="e">
        <f t="shared" si="174"/>
        <v>#REF!</v>
      </c>
      <c r="BO58" s="440">
        <f t="shared" si="174"/>
        <v>452.2744765332115</v>
      </c>
      <c r="BP58" s="439" t="e">
        <f t="shared" si="174"/>
        <v>#REF!</v>
      </c>
      <c r="BQ58" s="439" t="e">
        <f t="shared" si="174"/>
        <v>#REF!</v>
      </c>
      <c r="BR58" s="439" t="e">
        <f t="shared" si="174"/>
        <v>#REF!</v>
      </c>
      <c r="BS58" s="439" t="e">
        <f t="shared" si="174"/>
        <v>#REF!</v>
      </c>
      <c r="BT58" s="440">
        <f t="shared" si="174"/>
        <v>494.19783097288217</v>
      </c>
      <c r="BU58" s="439" t="e">
        <f t="shared" si="174"/>
        <v>#REF!</v>
      </c>
      <c r="BV58" s="439" t="e">
        <f t="shared" si="174"/>
        <v>#REF!</v>
      </c>
      <c r="BW58" s="439" t="e">
        <f t="shared" si="174"/>
        <v>#REF!</v>
      </c>
      <c r="BX58" s="439" t="e">
        <f t="shared" si="174"/>
        <v>#REF!</v>
      </c>
      <c r="BY58" s="440">
        <f t="shared" si="174"/>
        <v>521.69988506573338</v>
      </c>
      <c r="BZ58" s="439" t="e">
        <f t="shared" si="174"/>
        <v>#REF!</v>
      </c>
      <c r="CA58" s="439" t="e">
        <f t="shared" si="174"/>
        <v>#REF!</v>
      </c>
      <c r="CB58" s="439" t="e">
        <f t="shared" si="174"/>
        <v>#REF!</v>
      </c>
      <c r="CC58" s="439" t="e">
        <f t="shared" si="174"/>
        <v>#REF!</v>
      </c>
      <c r="CD58" s="440">
        <f t="shared" si="174"/>
        <v>522.32763058837531</v>
      </c>
      <c r="CE58" s="439" t="e">
        <f t="shared" si="174"/>
        <v>#REF!</v>
      </c>
      <c r="CF58" s="439" t="e">
        <f t="shared" si="174"/>
        <v>#REF!</v>
      </c>
      <c r="CG58" s="439" t="e">
        <f t="shared" si="174"/>
        <v>#REF!</v>
      </c>
      <c r="CH58" s="439" t="e">
        <f t="shared" si="174"/>
        <v>#REF!</v>
      </c>
      <c r="CI58" s="440">
        <f t="shared" si="174"/>
        <v>504.30477081798551</v>
      </c>
      <c r="CJ58" s="439">
        <f t="shared" si="174"/>
        <v>487.34774296424308</v>
      </c>
      <c r="CK58" s="439">
        <f t="shared" si="174"/>
        <v>535.95297389327868</v>
      </c>
      <c r="CL58" s="439">
        <f t="shared" si="174"/>
        <v>553.09189320616963</v>
      </c>
      <c r="CM58" s="439">
        <f t="shared" si="174"/>
        <v>506.92197625915412</v>
      </c>
      <c r="CN58" s="440">
        <f t="shared" si="174"/>
        <v>520.4498104305876</v>
      </c>
      <c r="CO58" s="439">
        <f t="shared" si="174"/>
        <v>517.7380646086491</v>
      </c>
      <c r="CP58" s="439">
        <f t="shared" si="174"/>
        <v>556.7922627796429</v>
      </c>
      <c r="CQ58" s="439">
        <f t="shared" si="174"/>
        <v>579.14633610268584</v>
      </c>
      <c r="CR58" s="439">
        <f t="shared" si="174"/>
        <v>547.20956353944894</v>
      </c>
      <c r="CS58" s="440">
        <f t="shared" si="174"/>
        <v>549.89224017659706</v>
      </c>
      <c r="CT58" s="439">
        <f t="shared" si="174"/>
        <v>560.64938191309193</v>
      </c>
      <c r="CU58" s="439">
        <f t="shared" si="174"/>
        <v>580.5010354442627</v>
      </c>
      <c r="CV58" s="439">
        <f t="shared" si="174"/>
        <v>591.50623386115296</v>
      </c>
      <c r="CW58" s="439">
        <f t="shared" si="174"/>
        <v>593.06409897944923</v>
      </c>
      <c r="CX58" s="440">
        <f t="shared" si="174"/>
        <v>581.23984116206816</v>
      </c>
      <c r="CY58" s="439">
        <f t="shared" si="174"/>
        <v>604.35818862785152</v>
      </c>
      <c r="CZ58" s="439">
        <f t="shared" si="174"/>
        <v>623.2686980609418</v>
      </c>
      <c r="DA58" s="439">
        <f t="shared" si="174"/>
        <v>630.14872605845812</v>
      </c>
      <c r="DB58" s="439">
        <f t="shared" si="174"/>
        <v>669.01101809165118</v>
      </c>
      <c r="DC58" s="440">
        <f t="shared" si="174"/>
        <v>636.52778687701698</v>
      </c>
      <c r="DD58" s="439">
        <v>654.91920368642809</v>
      </c>
      <c r="DE58" s="439">
        <v>661.89970972340268</v>
      </c>
      <c r="DF58" s="439">
        <v>655.51028808152716</v>
      </c>
      <c r="DG58" s="439">
        <v>658.22282349955969</v>
      </c>
      <c r="DH58" s="440">
        <v>657.65368858355396</v>
      </c>
      <c r="DI58" s="439">
        <f t="shared" ref="DI58:DR58" si="175">1000000*DI54/DI$15</f>
        <v>669.89581373341582</v>
      </c>
      <c r="DJ58" s="439">
        <f t="shared" si="175"/>
        <v>634.76405838822768</v>
      </c>
      <c r="DK58" s="439">
        <f t="shared" si="175"/>
        <v>676.90559227678193</v>
      </c>
      <c r="DL58" s="439">
        <f t="shared" si="175"/>
        <v>674.02462265143629</v>
      </c>
      <c r="DM58" s="440">
        <f t="shared" si="175"/>
        <v>664.1473252955027</v>
      </c>
      <c r="DN58" s="439">
        <f t="shared" si="175"/>
        <v>674.30057356380098</v>
      </c>
      <c r="DO58" s="439">
        <f t="shared" si="175"/>
        <v>714.9812142190774</v>
      </c>
      <c r="DP58" s="439">
        <f t="shared" si="175"/>
        <v>730.2789601848084</v>
      </c>
      <c r="DQ58" s="439">
        <f t="shared" si="175"/>
        <v>726.92404874667147</v>
      </c>
      <c r="DR58" s="440">
        <f t="shared" si="175"/>
        <v>710.70871497765836</v>
      </c>
      <c r="DS58" s="439">
        <f t="shared" ref="DS58:EF58" si="176">1000000*DS54/DS$15</f>
        <v>696.98641760345265</v>
      </c>
      <c r="DT58" s="439">
        <f t="shared" si="176"/>
        <v>695.28376674854121</v>
      </c>
      <c r="DU58" s="439">
        <f>1000000*DU54/DU$15</f>
        <v>700.41861435783142</v>
      </c>
      <c r="DV58" s="439">
        <f>1000000*DV54/DV$15</f>
        <v>680.71227685800454</v>
      </c>
      <c r="DW58" s="440">
        <f>1000000*DW54/DW$15</f>
        <v>693.4044429576893</v>
      </c>
      <c r="DX58" s="439">
        <f t="shared" si="176"/>
        <v>694.36907805223859</v>
      </c>
      <c r="DY58" s="439">
        <f t="shared" si="176"/>
        <v>694.21425301684485</v>
      </c>
      <c r="DZ58" s="439">
        <f t="shared" si="176"/>
        <v>685.23416707192189</v>
      </c>
      <c r="EA58" s="439">
        <f t="shared" si="176"/>
        <v>744.56165407971139</v>
      </c>
      <c r="EB58" s="440">
        <f>1000000*EB54/EB$15</f>
        <v>704.00317724178092</v>
      </c>
      <c r="EC58" s="439">
        <f t="shared" si="176"/>
        <v>697.05478889168921</v>
      </c>
      <c r="ED58" s="439">
        <f t="shared" si="176"/>
        <v>710.95665748214276</v>
      </c>
      <c r="EE58" s="439">
        <f t="shared" si="176"/>
        <v>689.93258220796315</v>
      </c>
      <c r="EF58" s="439">
        <f t="shared" si="176"/>
        <v>735.80141037618648</v>
      </c>
      <c r="EG58" s="440">
        <f>1000000*EG54/EG$15</f>
        <v>708.43215365544575</v>
      </c>
      <c r="EH58" s="439">
        <f t="shared" ref="EH58:EK58" si="177">1000000*EH54/EH$15</f>
        <v>669.62743284330224</v>
      </c>
      <c r="EI58" s="439">
        <f t="shared" si="177"/>
        <v>687.36915236693335</v>
      </c>
      <c r="EJ58" s="439">
        <f t="shared" si="177"/>
        <v>664.58401113787829</v>
      </c>
      <c r="EK58" s="439">
        <f t="shared" si="177"/>
        <v>711.23622881264066</v>
      </c>
      <c r="EL58" s="440">
        <f>1000000*EL54/EL$15</f>
        <v>683.16383799529592</v>
      </c>
    </row>
    <row r="59" spans="1:142" s="680" customFormat="1" ht="11.25" customHeight="1">
      <c r="A59" s="1199"/>
      <c r="B59" s="1199" t="s">
        <v>109</v>
      </c>
      <c r="C59" s="1549"/>
      <c r="D59" s="1549"/>
      <c r="E59" s="1549"/>
      <c r="F59" s="1549"/>
      <c r="G59" s="1549"/>
      <c r="H59" s="974"/>
      <c r="I59" s="1549" t="str">
        <f t="shared" ref="I59:AT59" si="178">IF(ISERROR(I58/D58-1),"nm",I58/D58-1)</f>
        <v>nm</v>
      </c>
      <c r="J59" s="1549" t="str">
        <f t="shared" si="178"/>
        <v>nm</v>
      </c>
      <c r="K59" s="1549" t="str">
        <f t="shared" si="178"/>
        <v>nm</v>
      </c>
      <c r="L59" s="1549" t="str">
        <f t="shared" si="178"/>
        <v>nm</v>
      </c>
      <c r="M59" s="974">
        <f t="shared" si="178"/>
        <v>-0.15976239055589503</v>
      </c>
      <c r="N59" s="1549" t="str">
        <f t="shared" si="178"/>
        <v>nm</v>
      </c>
      <c r="O59" s="1549" t="str">
        <f t="shared" si="178"/>
        <v>nm</v>
      </c>
      <c r="P59" s="1549" t="str">
        <f t="shared" si="178"/>
        <v>nm</v>
      </c>
      <c r="Q59" s="1549" t="str">
        <f t="shared" si="178"/>
        <v>nm</v>
      </c>
      <c r="R59" s="974">
        <f t="shared" si="178"/>
        <v>-1.5217013125010781E-2</v>
      </c>
      <c r="S59" s="1549" t="str">
        <f t="shared" si="178"/>
        <v>nm</v>
      </c>
      <c r="T59" s="1549" t="str">
        <f t="shared" si="178"/>
        <v>nm</v>
      </c>
      <c r="U59" s="1549" t="str">
        <f t="shared" si="178"/>
        <v>nm</v>
      </c>
      <c r="V59" s="1549" t="str">
        <f t="shared" si="178"/>
        <v>nm</v>
      </c>
      <c r="W59" s="974">
        <f t="shared" si="178"/>
        <v>4.4868169673950575E-3</v>
      </c>
      <c r="X59" s="1549" t="str">
        <f t="shared" si="178"/>
        <v>nm</v>
      </c>
      <c r="Y59" s="1549" t="str">
        <f t="shared" si="178"/>
        <v>nm</v>
      </c>
      <c r="Z59" s="1549" t="str">
        <f t="shared" si="178"/>
        <v>nm</v>
      </c>
      <c r="AA59" s="1549" t="str">
        <f t="shared" si="178"/>
        <v>nm</v>
      </c>
      <c r="AB59" s="974">
        <f t="shared" si="178"/>
        <v>5.9814774364193024E-2</v>
      </c>
      <c r="AC59" s="1549" t="str">
        <f t="shared" si="178"/>
        <v>nm</v>
      </c>
      <c r="AD59" s="1549" t="str">
        <f t="shared" si="178"/>
        <v>nm</v>
      </c>
      <c r="AE59" s="1549" t="str">
        <f t="shared" si="178"/>
        <v>nm</v>
      </c>
      <c r="AF59" s="1549" t="str">
        <f t="shared" si="178"/>
        <v>nm</v>
      </c>
      <c r="AG59" s="974">
        <f t="shared" si="178"/>
        <v>8.1503687576362616E-2</v>
      </c>
      <c r="AH59" s="1549" t="str">
        <f t="shared" si="178"/>
        <v>nm</v>
      </c>
      <c r="AI59" s="1549" t="str">
        <f t="shared" si="178"/>
        <v>nm</v>
      </c>
      <c r="AJ59" s="1549" t="str">
        <f t="shared" si="178"/>
        <v>nm</v>
      </c>
      <c r="AK59" s="1549" t="str">
        <f t="shared" si="178"/>
        <v>nm</v>
      </c>
      <c r="AL59" s="974">
        <f t="shared" si="178"/>
        <v>3.3672175087054113E-2</v>
      </c>
      <c r="AM59" s="1549" t="str">
        <f t="shared" si="178"/>
        <v>nm</v>
      </c>
      <c r="AN59" s="1549" t="str">
        <f t="shared" si="178"/>
        <v>nm</v>
      </c>
      <c r="AO59" s="1549" t="str">
        <f t="shared" si="178"/>
        <v>nm</v>
      </c>
      <c r="AP59" s="1549" t="str">
        <f t="shared" si="178"/>
        <v>nm</v>
      </c>
      <c r="AQ59" s="974">
        <f t="shared" si="178"/>
        <v>4.1053843994345307E-3</v>
      </c>
      <c r="AR59" s="1549" t="str">
        <f t="shared" si="178"/>
        <v>nm</v>
      </c>
      <c r="AS59" s="1549" t="str">
        <f t="shared" si="178"/>
        <v>nm</v>
      </c>
      <c r="AT59" s="1549" t="str">
        <f t="shared" si="178"/>
        <v>nm</v>
      </c>
      <c r="AU59" s="556"/>
      <c r="AV59" s="1181"/>
      <c r="AW59" s="1181"/>
      <c r="AX59" s="1181"/>
      <c r="AY59" s="1181"/>
      <c r="AZ59" s="1184"/>
      <c r="BA59" s="1549" t="str">
        <f t="shared" ref="BA59:BI59" si="179">IF(ISERROR(BA58/AV58-1),"nm",BA58/AV58-1)</f>
        <v>nm</v>
      </c>
      <c r="BB59" s="1549" t="str">
        <f t="shared" si="179"/>
        <v>nm</v>
      </c>
      <c r="BC59" s="1549" t="str">
        <f t="shared" si="179"/>
        <v>nm</v>
      </c>
      <c r="BD59" s="1549" t="str">
        <f t="shared" si="179"/>
        <v>nm</v>
      </c>
      <c r="BE59" s="974" t="str">
        <f t="shared" si="179"/>
        <v>nm</v>
      </c>
      <c r="BF59" s="1549" t="str">
        <f t="shared" si="179"/>
        <v>nm</v>
      </c>
      <c r="BG59" s="1549" t="str">
        <f t="shared" si="179"/>
        <v>nm</v>
      </c>
      <c r="BH59" s="1549" t="str">
        <f t="shared" si="179"/>
        <v>nm</v>
      </c>
      <c r="BI59" s="1549" t="str">
        <f t="shared" si="179"/>
        <v>nm</v>
      </c>
      <c r="BJ59" s="1184">
        <f>BJ58/BE58-1</f>
        <v>6.2862460749967264E-2</v>
      </c>
      <c r="BK59" s="1549" t="str">
        <f>IF(ISERROR(BK58/BF58-1),"nm",BK58/BF58-1)</f>
        <v>nm</v>
      </c>
      <c r="BL59" s="1549" t="str">
        <f>IF(ISERROR(BL58/BG58-1),"nm",BL58/BG58-1)</f>
        <v>nm</v>
      </c>
      <c r="BM59" s="1549" t="str">
        <f>IF(ISERROR(BM58/BH58-1),"nm",BM58/BH58-1)</f>
        <v>nm</v>
      </c>
      <c r="BN59" s="1549" t="str">
        <f>IF(ISERROR(BN58/BI58-1),"nm",BN58/BI58-1)</f>
        <v>nm</v>
      </c>
      <c r="BO59" s="1184">
        <f t="shared" ref="BO59:EF59" si="180">BO58/BJ58-1</f>
        <v>3.4002586264962886E-3</v>
      </c>
      <c r="BP59" s="1181" t="e">
        <f t="shared" si="180"/>
        <v>#REF!</v>
      </c>
      <c r="BQ59" s="1181" t="e">
        <f t="shared" si="180"/>
        <v>#REF!</v>
      </c>
      <c r="BR59" s="1181" t="e">
        <f t="shared" si="180"/>
        <v>#REF!</v>
      </c>
      <c r="BS59" s="1181" t="e">
        <f t="shared" si="180"/>
        <v>#REF!</v>
      </c>
      <c r="BT59" s="1184">
        <f t="shared" si="180"/>
        <v>9.2694495521885134E-2</v>
      </c>
      <c r="BU59" s="1181" t="e">
        <f t="shared" si="180"/>
        <v>#REF!</v>
      </c>
      <c r="BV59" s="1181" t="e">
        <f t="shared" si="180"/>
        <v>#REF!</v>
      </c>
      <c r="BW59" s="1181" t="e">
        <f t="shared" si="180"/>
        <v>#REF!</v>
      </c>
      <c r="BX59" s="1181" t="e">
        <f t="shared" si="180"/>
        <v>#REF!</v>
      </c>
      <c r="BY59" s="1184">
        <f t="shared" si="180"/>
        <v>5.5649888302242045E-2</v>
      </c>
      <c r="BZ59" s="1181" t="e">
        <f t="shared" si="180"/>
        <v>#REF!</v>
      </c>
      <c r="CA59" s="1181" t="e">
        <f t="shared" si="180"/>
        <v>#REF!</v>
      </c>
      <c r="CB59" s="1181" t="e">
        <f t="shared" si="180"/>
        <v>#REF!</v>
      </c>
      <c r="CC59" s="1181" t="e">
        <f t="shared" si="180"/>
        <v>#REF!</v>
      </c>
      <c r="CD59" s="1184">
        <f t="shared" si="180"/>
        <v>1.2032694286732148E-3</v>
      </c>
      <c r="CE59" s="1181" t="e">
        <f t="shared" si="180"/>
        <v>#REF!</v>
      </c>
      <c r="CF59" s="1181" t="e">
        <f t="shared" si="180"/>
        <v>#REF!</v>
      </c>
      <c r="CG59" s="1181" t="e">
        <f t="shared" si="180"/>
        <v>#REF!</v>
      </c>
      <c r="CH59" s="1181" t="e">
        <f t="shared" si="180"/>
        <v>#REF!</v>
      </c>
      <c r="CI59" s="1184">
        <f t="shared" si="180"/>
        <v>-3.4504894466501734E-2</v>
      </c>
      <c r="CJ59" s="1181" t="e">
        <f t="shared" si="180"/>
        <v>#REF!</v>
      </c>
      <c r="CK59" s="1181" t="e">
        <f t="shared" si="180"/>
        <v>#REF!</v>
      </c>
      <c r="CL59" s="1181" t="e">
        <f t="shared" si="180"/>
        <v>#REF!</v>
      </c>
      <c r="CM59" s="1181" t="e">
        <f t="shared" si="180"/>
        <v>#REF!</v>
      </c>
      <c r="CN59" s="1184">
        <f t="shared" si="180"/>
        <v>3.201444948937282E-2</v>
      </c>
      <c r="CO59" s="1181">
        <f t="shared" si="180"/>
        <v>6.2358597291453544E-2</v>
      </c>
      <c r="CP59" s="1181">
        <f t="shared" si="180"/>
        <v>3.8882681693102938E-2</v>
      </c>
      <c r="CQ59" s="1181">
        <f t="shared" si="180"/>
        <v>4.7106897093507349E-2</v>
      </c>
      <c r="CR59" s="1181">
        <f t="shared" si="180"/>
        <v>7.9474927438731857E-2</v>
      </c>
      <c r="CS59" s="1184">
        <f t="shared" si="180"/>
        <v>5.6571122048542311E-2</v>
      </c>
      <c r="CT59" s="1181">
        <f t="shared" si="180"/>
        <v>8.2882291718069601E-2</v>
      </c>
      <c r="CU59" s="1181">
        <f t="shared" si="180"/>
        <v>4.2581002376469446E-2</v>
      </c>
      <c r="CV59" s="1181">
        <f t="shared" si="180"/>
        <v>2.1341579818396017E-2</v>
      </c>
      <c r="CW59" s="1181">
        <f t="shared" si="180"/>
        <v>8.3797028588837197E-2</v>
      </c>
      <c r="CX59" s="1184">
        <f t="shared" si="180"/>
        <v>5.700680732538399E-2</v>
      </c>
      <c r="CY59" s="1181">
        <f t="shared" si="180"/>
        <v>7.7961036121386496E-2</v>
      </c>
      <c r="CZ59" s="1181">
        <f t="shared" si="180"/>
        <v>7.3673705997696626E-2</v>
      </c>
      <c r="DA59" s="1181">
        <f t="shared" si="180"/>
        <v>6.5328968631589879E-2</v>
      </c>
      <c r="DB59" s="1181">
        <f t="shared" si="180"/>
        <v>0.12805853404866729</v>
      </c>
      <c r="DC59" s="1184">
        <f t="shared" si="180"/>
        <v>9.5120708870217952E-2</v>
      </c>
      <c r="DD59" s="1181">
        <v>8.3660676747627782E-2</v>
      </c>
      <c r="DE59" s="1181">
        <v>6.198131204510382E-2</v>
      </c>
      <c r="DF59" s="1181">
        <v>4.0246946433906361E-2</v>
      </c>
      <c r="DG59" s="1181">
        <v>-1.6125585827965527E-2</v>
      </c>
      <c r="DH59" s="1184">
        <v>3.3189284336174074E-2</v>
      </c>
      <c r="DI59" s="1181">
        <f t="shared" si="180"/>
        <v>2.2867874331195193E-2</v>
      </c>
      <c r="DJ59" s="1181">
        <f t="shared" si="180"/>
        <v>-4.0996620691244212E-2</v>
      </c>
      <c r="DK59" s="1181">
        <f t="shared" si="180"/>
        <v>3.2639158506378552E-2</v>
      </c>
      <c r="DL59" s="1181">
        <f t="shared" si="180"/>
        <v>2.4006762737067477E-2</v>
      </c>
      <c r="DM59" s="1184">
        <f>DM58/DH58-1</f>
        <v>9.8739455501795081E-3</v>
      </c>
      <c r="DN59" s="1181">
        <f t="shared" si="180"/>
        <v>6.5752908737208848E-3</v>
      </c>
      <c r="DO59" s="1181">
        <f t="shared" si="180"/>
        <v>0.12637318507688433</v>
      </c>
      <c r="DP59" s="1181">
        <f t="shared" si="180"/>
        <v>7.8849057412133883E-2</v>
      </c>
      <c r="DQ59" s="1181">
        <f t="shared" si="180"/>
        <v>7.848292824547376E-2</v>
      </c>
      <c r="DR59" s="1184">
        <f>DR58/DM58-1</f>
        <v>7.0107019796306291E-2</v>
      </c>
      <c r="DS59" s="1181">
        <f t="shared" si="180"/>
        <v>3.3643518823887275E-2</v>
      </c>
      <c r="DT59" s="1181">
        <f t="shared" si="180"/>
        <v>-2.7549601414423641E-2</v>
      </c>
      <c r="DU59" s="1181">
        <f t="shared" si="180"/>
        <v>-4.088895813104132E-2</v>
      </c>
      <c r="DV59" s="1181">
        <f t="shared" si="180"/>
        <v>-6.3571664699143104E-2</v>
      </c>
      <c r="DW59" s="1184">
        <f>DW58/DR58-1</f>
        <v>-2.4347910269417516E-2</v>
      </c>
      <c r="DX59" s="1181">
        <f t="shared" si="180"/>
        <v>-3.7552231795472402E-3</v>
      </c>
      <c r="DY59" s="1181">
        <f t="shared" si="180"/>
        <v>-1.5382406189315967E-3</v>
      </c>
      <c r="DZ59" s="1181">
        <f t="shared" si="180"/>
        <v>-2.1679103003039324E-2</v>
      </c>
      <c r="EA59" s="1181">
        <f t="shared" si="180"/>
        <v>9.3797892872476751E-2</v>
      </c>
      <c r="EB59" s="1184">
        <f>EB58/DW58-1</f>
        <v>1.5285068320132433E-2</v>
      </c>
      <c r="EC59" s="1181">
        <f t="shared" si="180"/>
        <v>3.8678433765861886E-3</v>
      </c>
      <c r="ED59" s="1181">
        <f t="shared" si="180"/>
        <v>2.4117056647195767E-2</v>
      </c>
      <c r="EE59" s="1181">
        <f t="shared" si="180"/>
        <v>6.8566562524430275E-3</v>
      </c>
      <c r="EF59" s="1181">
        <f t="shared" si="180"/>
        <v>-1.1765639091839475E-2</v>
      </c>
      <c r="EG59" s="1184">
        <f>EG58/EB58-1</f>
        <v>6.2911312858233703E-3</v>
      </c>
      <c r="EH59" s="1181">
        <f t="shared" ref="EH59" si="181">EH58/EC58-1</f>
        <v>-3.9347489588295037E-2</v>
      </c>
      <c r="EI59" s="1181">
        <f t="shared" ref="EI59" si="182">EI58/ED58-1</f>
        <v>-3.3177135155811999E-2</v>
      </c>
      <c r="EJ59" s="1181">
        <f t="shared" ref="EJ59" si="183">EJ58/EE58-1</f>
        <v>-3.6740649338465547E-2</v>
      </c>
      <c r="EK59" s="1181">
        <f t="shared" ref="EK59" si="184">EK58/EF58-1</f>
        <v>-3.3385613586941365E-2</v>
      </c>
      <c r="EL59" s="1184">
        <f>EL58/EG58-1</f>
        <v>-3.5667940154561872E-2</v>
      </c>
    </row>
    <row r="60" spans="1:142" ht="11.25" customHeight="1">
      <c r="A60" s="445"/>
      <c r="B60" s="446" t="s">
        <v>229</v>
      </c>
      <c r="C60" s="446"/>
      <c r="D60" s="175" t="str">
        <f>IF(ISERROR(1000000*D54/D$10),"nm",1000000*D54/D$10)</f>
        <v>nm</v>
      </c>
      <c r="E60" s="175" t="str">
        <f>IF(ISERROR(1000000*E54/E$10),"nm",1000000*E54/E$10)</f>
        <v>nm</v>
      </c>
      <c r="F60" s="175" t="str">
        <f>IF(ISERROR(1000000*F54/F$10),"nm",1000000*F54/F$10)</f>
        <v>nm</v>
      </c>
      <c r="G60" s="175" t="str">
        <f>IF(ISERROR(1000000*G54/G$10),"nm",1000000*G54/G$10)</f>
        <v>nm</v>
      </c>
      <c r="H60" s="464">
        <f>1000000*H54/H$10</f>
        <v>2116.186737447862</v>
      </c>
      <c r="I60" s="175" t="str">
        <f>IF(ISERROR(1000000*I54/I$10),"nm",1000000*I54/I$10)</f>
        <v>nm</v>
      </c>
      <c r="J60" s="175" t="str">
        <f>IF(ISERROR(1000000*J54/J$10),"nm",1000000*J54/J$10)</f>
        <v>nm</v>
      </c>
      <c r="K60" s="175" t="str">
        <f>IF(ISERROR(1000000*K54/K$10),"nm",1000000*K54/K$10)</f>
        <v>nm</v>
      </c>
      <c r="L60" s="175" t="str">
        <f>IF(ISERROR(1000000*L54/L$10),"nm",1000000*L54/L$10)</f>
        <v>nm</v>
      </c>
      <c r="M60" s="464">
        <f>1000000*M54/M$10</f>
        <v>1757.4921804648654</v>
      </c>
      <c r="N60" s="175" t="str">
        <f>IF(ISERROR(1000000*N54/N$10),"nm",1000000*N54/N$10)</f>
        <v>nm</v>
      </c>
      <c r="O60" s="175" t="str">
        <f>IF(ISERROR(1000000*O54/O$10),"nm",1000000*O54/O$10)</f>
        <v>nm</v>
      </c>
      <c r="P60" s="175" t="str">
        <f>IF(ISERROR(1000000*P54/P$10),"nm",1000000*P54/P$10)</f>
        <v>nm</v>
      </c>
      <c r="Q60" s="175" t="str">
        <f>IF(ISERROR(1000000*Q54/Q$10),"nm",1000000*Q54/Q$10)</f>
        <v>nm</v>
      </c>
      <c r="R60" s="464">
        <f>1000000*R54/R$10</f>
        <v>1626.6496619966078</v>
      </c>
      <c r="S60" s="175" t="str">
        <f>IF(ISERROR(1000000*S54/S$10),"nm",1000000*S54/S$10)</f>
        <v>nm</v>
      </c>
      <c r="T60" s="175" t="str">
        <f>IF(ISERROR(1000000*T54/T$10),"nm",1000000*T54/T$10)</f>
        <v>nm</v>
      </c>
      <c r="U60" s="175" t="str">
        <f>IF(ISERROR(1000000*U54/U$10),"nm",1000000*U54/U$10)</f>
        <v>nm</v>
      </c>
      <c r="V60" s="175" t="str">
        <f>IF(ISERROR(1000000*V54/V$10),"nm",1000000*V54/V$10)</f>
        <v>nm</v>
      </c>
      <c r="W60" s="464">
        <f>1000000*W54/W$10</f>
        <v>1632.9407757375436</v>
      </c>
      <c r="X60" s="175" t="str">
        <f>IF(ISERROR(1000000*X54/X$10),"nm",1000000*X54/X$10)</f>
        <v>nm</v>
      </c>
      <c r="Y60" s="175" t="str">
        <f>IF(ISERROR(1000000*Y54/Y$10),"nm",1000000*Y54/Y$10)</f>
        <v>nm</v>
      </c>
      <c r="Z60" s="175" t="str">
        <f>IF(ISERROR(1000000*Z54/Z$10),"nm",1000000*Z54/Z$10)</f>
        <v>nm</v>
      </c>
      <c r="AA60" s="175" t="str">
        <f>IF(ISERROR(1000000*AA54/AA$10),"nm",1000000*AA54/AA$10)</f>
        <v>nm</v>
      </c>
      <c r="AB60" s="464">
        <f>1000000*AB54/AB$10</f>
        <v>1722.0284347923273</v>
      </c>
      <c r="AC60" s="175" t="str">
        <f>IF(ISERROR(1000000*AC54/AC$10),"nm",1000000*AC54/AC$10)</f>
        <v>nm</v>
      </c>
      <c r="AD60" s="175" t="str">
        <f>IF(ISERROR(1000000*AD54/AD$10),"nm",1000000*AD54/AD$10)</f>
        <v>nm</v>
      </c>
      <c r="AE60" s="175" t="str">
        <f>IF(ISERROR(1000000*AE54/AE$10),"nm",1000000*AE54/AE$10)</f>
        <v>nm</v>
      </c>
      <c r="AF60" s="175" t="str">
        <f>IF(ISERROR(1000000*AF54/AF$10),"nm",1000000*AF54/AF$10)</f>
        <v>nm</v>
      </c>
      <c r="AG60" s="464">
        <f>1000000*AG54/AG$10</f>
        <v>1868.5779196992514</v>
      </c>
      <c r="AH60" s="175" t="str">
        <f>IF(ISERROR(1000000*AH54/AH$10),"nm",1000000*AH54/AH$10)</f>
        <v>nm</v>
      </c>
      <c r="AI60" s="175" t="str">
        <f>IF(ISERROR(1000000*AI54/AI$10),"nm",1000000*AI54/AI$10)</f>
        <v>nm</v>
      </c>
      <c r="AJ60" s="175" t="str">
        <f>IF(ISERROR(1000000*AJ54/AJ$10),"nm",1000000*AJ54/AJ$10)</f>
        <v>nm</v>
      </c>
      <c r="AK60" s="175" t="str">
        <f>IF(ISERROR(1000000*AK54/AK$10),"nm",1000000*AK54/AK$10)</f>
        <v>nm</v>
      </c>
      <c r="AL60" s="464">
        <f>1000000*AL54/AL$10</f>
        <v>1940.8890062021956</v>
      </c>
      <c r="AM60" s="175" t="str">
        <f>IF(ISERROR(1000000*AM54/AM$10),"nm",1000000*AM54/AM$10)</f>
        <v>nm</v>
      </c>
      <c r="AN60" s="175" t="str">
        <f>IF(ISERROR(1000000*AN54/AN$10),"nm",1000000*AN54/AN$10)</f>
        <v>nm</v>
      </c>
      <c r="AO60" s="175" t="str">
        <f>IF(ISERROR(1000000*AO54/AO$10),"nm",1000000*AO54/AO$10)</f>
        <v>nm</v>
      </c>
      <c r="AP60" s="175" t="str">
        <f>IF(ISERROR(1000000*AP54/AP$10),"nm",1000000*AP54/AP$10)</f>
        <v>nm</v>
      </c>
      <c r="AQ60" s="464">
        <f>1000000*AQ54/AQ$10</f>
        <v>1975.4440552005103</v>
      </c>
      <c r="AR60" s="175" t="str">
        <f>IF(ISERROR(1000000*AR54/AR$10),"nm",1000000*AR54/AR$10)</f>
        <v>nm</v>
      </c>
      <c r="AS60" s="175" t="str">
        <f>IF(ISERROR(1000000*AS54/AS$10),"nm",1000000*AS54/AS$10)</f>
        <v>nm</v>
      </c>
      <c r="AT60" s="175" t="str">
        <f>IF(ISERROR(1000000*AT54/AT$10),"nm",1000000*AT54/AT$10)</f>
        <v>nm</v>
      </c>
      <c r="AU60" s="448"/>
      <c r="AV60" s="175" t="str">
        <f t="shared" ref="AV60:BD60" si="185">IF(ISERROR(1000000*AV54/AV$10),"nm",1000000*AV54/AV$10)</f>
        <v>nm</v>
      </c>
      <c r="AW60" s="175" t="str">
        <f t="shared" si="185"/>
        <v>nm</v>
      </c>
      <c r="AX60" s="175" t="str">
        <f t="shared" si="185"/>
        <v>nm</v>
      </c>
      <c r="AY60" s="175" t="str">
        <f t="shared" si="185"/>
        <v>nm</v>
      </c>
      <c r="AZ60" s="449" t="str">
        <f t="shared" si="185"/>
        <v>nm</v>
      </c>
      <c r="BA60" s="175" t="str">
        <f t="shared" si="185"/>
        <v>nm</v>
      </c>
      <c r="BB60" s="175" t="str">
        <f t="shared" si="185"/>
        <v>nm</v>
      </c>
      <c r="BC60" s="175" t="str">
        <f t="shared" si="185"/>
        <v>nm</v>
      </c>
      <c r="BD60" s="175" t="str">
        <f t="shared" si="185"/>
        <v>nm</v>
      </c>
      <c r="BE60" s="464">
        <f>1000000*BE54/BE$10</f>
        <v>2223.4831640279062</v>
      </c>
      <c r="BF60" s="175" t="str">
        <f>IF(ISERROR(1000000*BF54/BF$10),"nm",1000000*BF54/BF$10)</f>
        <v>nm</v>
      </c>
      <c r="BG60" s="175" t="str">
        <f>IF(ISERROR(1000000*BG54/BG$10),"nm",1000000*BG54/BG$10)</f>
        <v>nm</v>
      </c>
      <c r="BH60" s="175" t="str">
        <f>IF(ISERROR(1000000*BH54/BH$10),"nm",1000000*BH54/BH$10)</f>
        <v>nm</v>
      </c>
      <c r="BI60" s="175" t="str">
        <f>IF(ISERROR(1000000*BI54/BI$10),"nm",1000000*BI54/BI$10)</f>
        <v>nm</v>
      </c>
      <c r="BJ60" s="447">
        <f t="shared" ref="BJ60:CO60" si="186">1000000*BJ54/BJ$10</f>
        <v>2321.2783509768797</v>
      </c>
      <c r="BK60" s="445" t="e">
        <f t="shared" si="186"/>
        <v>#REF!</v>
      </c>
      <c r="BL60" s="445" t="e">
        <f t="shared" si="186"/>
        <v>#REF!</v>
      </c>
      <c r="BM60" s="445" t="e">
        <f t="shared" si="186"/>
        <v>#REF!</v>
      </c>
      <c r="BN60" s="445" t="e">
        <f t="shared" si="186"/>
        <v>#REF!</v>
      </c>
      <c r="BO60" s="447">
        <f t="shared" si="186"/>
        <v>2311.6967833210497</v>
      </c>
      <c r="BP60" s="445" t="e">
        <f t="shared" si="186"/>
        <v>#REF!</v>
      </c>
      <c r="BQ60" s="445" t="e">
        <f t="shared" si="186"/>
        <v>#REF!</v>
      </c>
      <c r="BR60" s="445" t="e">
        <f t="shared" si="186"/>
        <v>#REF!</v>
      </c>
      <c r="BS60" s="445" t="e">
        <f t="shared" si="186"/>
        <v>#REF!</v>
      </c>
      <c r="BT60" s="447">
        <f t="shared" si="186"/>
        <v>2451.6916079899088</v>
      </c>
      <c r="BU60" s="445" t="e">
        <f t="shared" si="186"/>
        <v>#REF!</v>
      </c>
      <c r="BV60" s="445" t="e">
        <f t="shared" si="186"/>
        <v>#REF!</v>
      </c>
      <c r="BW60" s="445" t="e">
        <f t="shared" si="186"/>
        <v>#REF!</v>
      </c>
      <c r="BX60" s="445" t="e">
        <f t="shared" si="186"/>
        <v>#REF!</v>
      </c>
      <c r="BY60" s="447">
        <f t="shared" si="186"/>
        <v>2566.3202195971753</v>
      </c>
      <c r="BZ60" s="445" t="e">
        <f t="shared" si="186"/>
        <v>#REF!</v>
      </c>
      <c r="CA60" s="445" t="e">
        <f t="shared" si="186"/>
        <v>#REF!</v>
      </c>
      <c r="CB60" s="445" t="e">
        <f t="shared" si="186"/>
        <v>#REF!</v>
      </c>
      <c r="CC60" s="445" t="e">
        <f t="shared" si="186"/>
        <v>#REF!</v>
      </c>
      <c r="CD60" s="447">
        <f t="shared" si="186"/>
        <v>2559.2240442838292</v>
      </c>
      <c r="CE60" s="445" t="e">
        <f t="shared" si="186"/>
        <v>#REF!</v>
      </c>
      <c r="CF60" s="445" t="e">
        <f t="shared" si="186"/>
        <v>#REF!</v>
      </c>
      <c r="CG60" s="445" t="e">
        <f t="shared" si="186"/>
        <v>#REF!</v>
      </c>
      <c r="CH60" s="445" t="e">
        <f t="shared" si="186"/>
        <v>#REF!</v>
      </c>
      <c r="CI60" s="447">
        <f t="shared" si="186"/>
        <v>2433.38389110035</v>
      </c>
      <c r="CJ60" s="445">
        <f t="shared" si="186"/>
        <v>2383.7598068490984</v>
      </c>
      <c r="CK60" s="445">
        <f t="shared" si="186"/>
        <v>2556.1007658036833</v>
      </c>
      <c r="CL60" s="445">
        <f t="shared" si="186"/>
        <v>2607.5282697371817</v>
      </c>
      <c r="CM60" s="445">
        <f t="shared" si="186"/>
        <v>2411.1531288318274</v>
      </c>
      <c r="CN60" s="447">
        <f t="shared" si="186"/>
        <v>2489.3867091412385</v>
      </c>
      <c r="CO60" s="445">
        <f t="shared" si="186"/>
        <v>2486.5921533077753</v>
      </c>
      <c r="CP60" s="445">
        <f t="shared" ref="CP60:DR60" si="187">1000000*CP54/CP$10</f>
        <v>2618.9481932866252</v>
      </c>
      <c r="CQ60" s="445">
        <f t="shared" si="187"/>
        <v>2703.0492652527378</v>
      </c>
      <c r="CR60" s="445">
        <f t="shared" si="187"/>
        <v>2551.2443771916687</v>
      </c>
      <c r="CS60" s="447">
        <f t="shared" si="187"/>
        <v>2589.657267834662</v>
      </c>
      <c r="CT60" s="445">
        <f t="shared" si="187"/>
        <v>2617.5687666370895</v>
      </c>
      <c r="CU60" s="445">
        <f t="shared" si="187"/>
        <v>2711.5958808116507</v>
      </c>
      <c r="CV60" s="445">
        <f t="shared" si="187"/>
        <v>2725.2778367664755</v>
      </c>
      <c r="CW60" s="445">
        <f t="shared" si="187"/>
        <v>2724.4811945570586</v>
      </c>
      <c r="CX60" s="447">
        <f t="shared" si="187"/>
        <v>2694.2778908585296</v>
      </c>
      <c r="CY60" s="445">
        <f t="shared" si="187"/>
        <v>2873.5486808489109</v>
      </c>
      <c r="CZ60" s="445">
        <f t="shared" si="187"/>
        <v>2901.1461318051574</v>
      </c>
      <c r="DA60" s="445">
        <f t="shared" si="187"/>
        <v>2922.3270871768286</v>
      </c>
      <c r="DB60" s="445">
        <f t="shared" si="187"/>
        <v>3045.3888940106326</v>
      </c>
      <c r="DC60" s="447">
        <f t="shared" si="187"/>
        <v>2951.0224238371816</v>
      </c>
      <c r="DD60" s="445">
        <v>3085.1425218492327</v>
      </c>
      <c r="DE60" s="445">
        <v>3066.5848910695713</v>
      </c>
      <c r="DF60" s="445">
        <v>2984.496236122237</v>
      </c>
      <c r="DG60" s="445">
        <v>3013.3126311854853</v>
      </c>
      <c r="DH60" s="447">
        <v>3036.3954133749012</v>
      </c>
      <c r="DI60" s="445">
        <f>1000000*DI54/DI$10</f>
        <v>3106.0578073448464</v>
      </c>
      <c r="DJ60" s="445">
        <f>1000000*DJ54/DJ$10</f>
        <v>2890.1071831623331</v>
      </c>
      <c r="DK60" s="445">
        <f>1000000*DK54/DK$10</f>
        <v>3076.6785495333893</v>
      </c>
      <c r="DL60" s="445">
        <f>1000000*DL54/DL$10</f>
        <v>3099.5123577261998</v>
      </c>
      <c r="DM60" s="447">
        <f t="shared" si="187"/>
        <v>3044.1923559130228</v>
      </c>
      <c r="DN60" s="445">
        <f>1000000*DN54/DN$10</f>
        <v>3186.1616949498234</v>
      </c>
      <c r="DO60" s="445">
        <f>1000000*DO54/DO$10</f>
        <v>3272.9213886287857</v>
      </c>
      <c r="DP60" s="445">
        <f>1000000*DP54/DP$10</f>
        <v>3316.8504694284879</v>
      </c>
      <c r="DQ60" s="445">
        <f>1000000*DQ54/DQ$10</f>
        <v>3310.4278477203188</v>
      </c>
      <c r="DR60" s="447">
        <f t="shared" si="187"/>
        <v>3270.3300119156579</v>
      </c>
      <c r="DS60" s="445">
        <f t="shared" ref="DS60:EG60" si="188">1000000*DS54/DS$10</f>
        <v>3251.6302330924063</v>
      </c>
      <c r="DT60" s="445">
        <f t="shared" si="188"/>
        <v>3185.3296220770135</v>
      </c>
      <c r="DU60" s="445">
        <f t="shared" si="188"/>
        <v>3201.1620186957834</v>
      </c>
      <c r="DV60" s="445">
        <f t="shared" ref="DV60" si="189">1000000*DV54/DV$10</f>
        <v>3115.6104100217262</v>
      </c>
      <c r="DW60" s="447">
        <f t="shared" si="188"/>
        <v>3189.0898601025324</v>
      </c>
      <c r="DX60" s="445">
        <f t="shared" ca="1" si="188"/>
        <v>3297.9644650999717</v>
      </c>
      <c r="DY60" s="445">
        <f t="shared" ca="1" si="188"/>
        <v>3229.0726104271935</v>
      </c>
      <c r="DZ60" s="445">
        <f t="shared" ca="1" si="188"/>
        <v>3192.8495521211707</v>
      </c>
      <c r="EA60" s="445">
        <f t="shared" ca="1" si="188"/>
        <v>3476.3782070610291</v>
      </c>
      <c r="EB60" s="447">
        <f t="shared" ca="1" si="188"/>
        <v>3296.8866538469006</v>
      </c>
      <c r="EC60" s="445">
        <f t="shared" si="188"/>
        <v>3321.2511418881168</v>
      </c>
      <c r="ED60" s="445">
        <f t="shared" si="188"/>
        <v>3321.0688892500234</v>
      </c>
      <c r="EE60" s="445">
        <f t="shared" si="188"/>
        <v>3226.3567161309807</v>
      </c>
      <c r="EF60" s="445">
        <f t="shared" si="188"/>
        <v>3447.2679942403156</v>
      </c>
      <c r="EG60" s="447">
        <f t="shared" si="188"/>
        <v>3329.0287522395938</v>
      </c>
      <c r="EH60" s="445">
        <f t="shared" ref="EH60:EL60" si="190">1000000*EH54/EH$10</f>
        <v>3224.0496188047264</v>
      </c>
      <c r="EI60" s="445">
        <f t="shared" si="190"/>
        <v>3245.2537954679592</v>
      </c>
      <c r="EJ60" s="445">
        <f t="shared" si="190"/>
        <v>3141.0474759397034</v>
      </c>
      <c r="EK60" s="445">
        <f t="shared" si="190"/>
        <v>3367.7406484946105</v>
      </c>
      <c r="EL60" s="447">
        <f t="shared" si="190"/>
        <v>3244.4967063965219</v>
      </c>
    </row>
    <row r="61" spans="1:142" ht="11.25" customHeight="1">
      <c r="A61" s="450"/>
      <c r="B61" s="450" t="s">
        <v>497</v>
      </c>
      <c r="C61" s="451"/>
      <c r="D61" s="451"/>
      <c r="E61" s="451"/>
      <c r="F61" s="451"/>
      <c r="G61" s="451"/>
      <c r="H61" s="452"/>
      <c r="I61" s="451" t="str">
        <f t="shared" ref="I61:AT61" si="191">IF(ISERROR(I60/D60-1),"",(I60/D60-1))</f>
        <v/>
      </c>
      <c r="J61" s="451" t="str">
        <f t="shared" si="191"/>
        <v/>
      </c>
      <c r="K61" s="451" t="str">
        <f t="shared" si="191"/>
        <v/>
      </c>
      <c r="L61" s="451" t="str">
        <f t="shared" si="191"/>
        <v/>
      </c>
      <c r="M61" s="452">
        <f t="shared" si="191"/>
        <v>-0.16950042764920881</v>
      </c>
      <c r="N61" s="451" t="str">
        <f t="shared" si="191"/>
        <v/>
      </c>
      <c r="O61" s="451" t="str">
        <f t="shared" si="191"/>
        <v/>
      </c>
      <c r="P61" s="451" t="str">
        <f t="shared" si="191"/>
        <v/>
      </c>
      <c r="Q61" s="451" t="str">
        <f t="shared" si="191"/>
        <v/>
      </c>
      <c r="R61" s="452">
        <f t="shared" si="191"/>
        <v>-7.4448421405578613E-2</v>
      </c>
      <c r="S61" s="451" t="str">
        <f t="shared" si="191"/>
        <v/>
      </c>
      <c r="T61" s="451" t="str">
        <f t="shared" si="191"/>
        <v/>
      </c>
      <c r="U61" s="451" t="str">
        <f t="shared" si="191"/>
        <v/>
      </c>
      <c r="V61" s="451" t="str">
        <f t="shared" si="191"/>
        <v/>
      </c>
      <c r="W61" s="452">
        <f t="shared" si="191"/>
        <v>3.8675283854385789E-3</v>
      </c>
      <c r="X61" s="451" t="str">
        <f t="shared" si="191"/>
        <v/>
      </c>
      <c r="Y61" s="451" t="str">
        <f t="shared" si="191"/>
        <v/>
      </c>
      <c r="Z61" s="451" t="str">
        <f t="shared" si="191"/>
        <v/>
      </c>
      <c r="AA61" s="451" t="str">
        <f t="shared" si="191"/>
        <v/>
      </c>
      <c r="AB61" s="452">
        <f t="shared" si="191"/>
        <v>5.4556576930688605E-2</v>
      </c>
      <c r="AC61" s="451" t="str">
        <f t="shared" si="191"/>
        <v/>
      </c>
      <c r="AD61" s="451" t="str">
        <f t="shared" si="191"/>
        <v/>
      </c>
      <c r="AE61" s="451" t="str">
        <f t="shared" si="191"/>
        <v/>
      </c>
      <c r="AF61" s="451" t="str">
        <f t="shared" si="191"/>
        <v/>
      </c>
      <c r="AG61" s="452">
        <f t="shared" si="191"/>
        <v>8.5102825218212885E-2</v>
      </c>
      <c r="AH61" s="451" t="str">
        <f t="shared" si="191"/>
        <v/>
      </c>
      <c r="AI61" s="451" t="str">
        <f t="shared" si="191"/>
        <v/>
      </c>
      <c r="AJ61" s="451" t="str">
        <f t="shared" si="191"/>
        <v/>
      </c>
      <c r="AK61" s="451" t="str">
        <f t="shared" si="191"/>
        <v/>
      </c>
      <c r="AL61" s="452">
        <f t="shared" si="191"/>
        <v>3.8698459261780505E-2</v>
      </c>
      <c r="AM61" s="451" t="str">
        <f t="shared" si="191"/>
        <v/>
      </c>
      <c r="AN61" s="451" t="str">
        <f t="shared" si="191"/>
        <v/>
      </c>
      <c r="AO61" s="451" t="str">
        <f t="shared" si="191"/>
        <v/>
      </c>
      <c r="AP61" s="451" t="str">
        <f t="shared" si="191"/>
        <v/>
      </c>
      <c r="AQ61" s="452">
        <f t="shared" si="191"/>
        <v>1.7803722360162144E-2</v>
      </c>
      <c r="AR61" s="451" t="str">
        <f t="shared" si="191"/>
        <v/>
      </c>
      <c r="AS61" s="451" t="str">
        <f t="shared" si="191"/>
        <v/>
      </c>
      <c r="AT61" s="451" t="str">
        <f t="shared" si="191"/>
        <v/>
      </c>
      <c r="AU61" s="453"/>
      <c r="AV61" s="454"/>
      <c r="AW61" s="454"/>
      <c r="AX61" s="454"/>
      <c r="AY61" s="454"/>
      <c r="AZ61" s="455"/>
      <c r="BA61" s="451" t="str">
        <f t="shared" ref="BA61:CF61" si="192">IF(ISERROR(BA60/AV60-1),"",(BA60/AV60-1))</f>
        <v/>
      </c>
      <c r="BB61" s="451" t="str">
        <f t="shared" si="192"/>
        <v/>
      </c>
      <c r="BC61" s="451" t="str">
        <f t="shared" si="192"/>
        <v/>
      </c>
      <c r="BD61" s="451" t="str">
        <f t="shared" si="192"/>
        <v/>
      </c>
      <c r="BE61" s="452" t="str">
        <f t="shared" si="192"/>
        <v/>
      </c>
      <c r="BF61" s="451" t="str">
        <f t="shared" si="192"/>
        <v/>
      </c>
      <c r="BG61" s="451" t="str">
        <f t="shared" si="192"/>
        <v/>
      </c>
      <c r="BH61" s="451" t="str">
        <f t="shared" si="192"/>
        <v/>
      </c>
      <c r="BI61" s="451" t="str">
        <f t="shared" si="192"/>
        <v/>
      </c>
      <c r="BJ61" s="452">
        <f t="shared" si="192"/>
        <v>4.3982877195172687E-2</v>
      </c>
      <c r="BK61" s="451" t="str">
        <f t="shared" si="192"/>
        <v/>
      </c>
      <c r="BL61" s="451" t="str">
        <f t="shared" si="192"/>
        <v/>
      </c>
      <c r="BM61" s="451" t="str">
        <f t="shared" si="192"/>
        <v/>
      </c>
      <c r="BN61" s="451" t="str">
        <f t="shared" si="192"/>
        <v/>
      </c>
      <c r="BO61" s="452">
        <f t="shared" si="192"/>
        <v>-4.127711634323239E-3</v>
      </c>
      <c r="BP61" s="451" t="str">
        <f t="shared" si="192"/>
        <v/>
      </c>
      <c r="BQ61" s="451" t="str">
        <f t="shared" si="192"/>
        <v/>
      </c>
      <c r="BR61" s="451" t="str">
        <f t="shared" si="192"/>
        <v/>
      </c>
      <c r="BS61" s="451" t="str">
        <f t="shared" si="192"/>
        <v/>
      </c>
      <c r="BT61" s="452">
        <f t="shared" si="192"/>
        <v>6.0559337054463702E-2</v>
      </c>
      <c r="BU61" s="451" t="str">
        <f t="shared" si="192"/>
        <v/>
      </c>
      <c r="BV61" s="451" t="str">
        <f t="shared" si="192"/>
        <v/>
      </c>
      <c r="BW61" s="451" t="str">
        <f t="shared" si="192"/>
        <v/>
      </c>
      <c r="BX61" s="451" t="str">
        <f t="shared" si="192"/>
        <v/>
      </c>
      <c r="BY61" s="452">
        <f t="shared" si="192"/>
        <v>4.6754906381250905E-2</v>
      </c>
      <c r="BZ61" s="451" t="str">
        <f t="shared" si="192"/>
        <v/>
      </c>
      <c r="CA61" s="451" t="str">
        <f t="shared" si="192"/>
        <v/>
      </c>
      <c r="CB61" s="451" t="str">
        <f t="shared" si="192"/>
        <v/>
      </c>
      <c r="CC61" s="451" t="str">
        <f t="shared" si="192"/>
        <v/>
      </c>
      <c r="CD61" s="452">
        <f t="shared" si="192"/>
        <v>-2.7651168623298306E-3</v>
      </c>
      <c r="CE61" s="451" t="str">
        <f t="shared" si="192"/>
        <v/>
      </c>
      <c r="CF61" s="451" t="str">
        <f t="shared" si="192"/>
        <v/>
      </c>
      <c r="CG61" s="451" t="str">
        <f t="shared" ref="CG61:DS61" si="193">IF(ISERROR(CG60/CB60-1),"",(CG60/CB60-1))</f>
        <v/>
      </c>
      <c r="CH61" s="451" t="str">
        <f t="shared" si="193"/>
        <v/>
      </c>
      <c r="CI61" s="452">
        <f t="shared" si="193"/>
        <v>-4.9171214010961806E-2</v>
      </c>
      <c r="CJ61" s="451" t="str">
        <f t="shared" si="193"/>
        <v/>
      </c>
      <c r="CK61" s="451" t="str">
        <f t="shared" si="193"/>
        <v/>
      </c>
      <c r="CL61" s="451" t="str">
        <f t="shared" si="193"/>
        <v/>
      </c>
      <c r="CM61" s="451" t="str">
        <f t="shared" si="193"/>
        <v/>
      </c>
      <c r="CN61" s="452">
        <f t="shared" si="193"/>
        <v>2.301437855560251E-2</v>
      </c>
      <c r="CO61" s="451">
        <f t="shared" si="193"/>
        <v>4.3138719833775152E-2</v>
      </c>
      <c r="CP61" s="451">
        <f t="shared" si="193"/>
        <v>2.4587226107724014E-2</v>
      </c>
      <c r="CQ61" s="451">
        <f t="shared" si="193"/>
        <v>3.6632774656431222E-2</v>
      </c>
      <c r="CR61" s="451">
        <f t="shared" si="193"/>
        <v>5.8101348555872789E-2</v>
      </c>
      <c r="CS61" s="452">
        <f t="shared" si="193"/>
        <v>4.0279221514769592E-2</v>
      </c>
      <c r="CT61" s="451">
        <f t="shared" si="193"/>
        <v>5.2673138679008247E-2</v>
      </c>
      <c r="CU61" s="451">
        <f t="shared" si="193"/>
        <v>3.5375914560859645E-2</v>
      </c>
      <c r="CV61" s="451">
        <f t="shared" si="193"/>
        <v>8.22351697376833E-3</v>
      </c>
      <c r="CW61" s="451">
        <f t="shared" si="193"/>
        <v>6.7902870816351824E-2</v>
      </c>
      <c r="CX61" s="452">
        <f t="shared" si="193"/>
        <v>4.0399408957829452E-2</v>
      </c>
      <c r="CY61" s="451">
        <f t="shared" si="193"/>
        <v>9.77930045141433E-2</v>
      </c>
      <c r="CZ61" s="451">
        <f t="shared" si="193"/>
        <v>6.9903576832684111E-2</v>
      </c>
      <c r="DA61" s="451">
        <f t="shared" si="193"/>
        <v>7.230427949472884E-2</v>
      </c>
      <c r="DB61" s="451">
        <f t="shared" si="193"/>
        <v>0.11778671847494504</v>
      </c>
      <c r="DC61" s="452">
        <f t="shared" si="193"/>
        <v>9.5292521179706657E-2</v>
      </c>
      <c r="DD61" s="451">
        <v>7.3635029192479884E-2</v>
      </c>
      <c r="DE61" s="451">
        <v>5.7025310600770762E-2</v>
      </c>
      <c r="DF61" s="451">
        <v>2.1273850288082485E-2</v>
      </c>
      <c r="DG61" s="451">
        <v>-1.0532731267337225E-2</v>
      </c>
      <c r="DH61" s="452">
        <v>2.8929969778647147E-2</v>
      </c>
      <c r="DI61" s="451">
        <f t="shared" si="193"/>
        <v>6.779357954288967E-3</v>
      </c>
      <c r="DJ61" s="451">
        <f t="shared" si="193"/>
        <v>-5.7548613254168157E-2</v>
      </c>
      <c r="DK61" s="451">
        <f t="shared" si="193"/>
        <v>3.0887059697191965E-2</v>
      </c>
      <c r="DL61" s="451">
        <f t="shared" si="193"/>
        <v>2.8606300470987778E-2</v>
      </c>
      <c r="DM61" s="452">
        <f>IF(ISERROR(DM60/DH60-1),"",(DM60/DH60-1))</f>
        <v>2.5678284533618978E-3</v>
      </c>
      <c r="DN61" s="451">
        <f t="shared" si="193"/>
        <v>2.578956753977879E-2</v>
      </c>
      <c r="DO61" s="451">
        <f t="shared" si="193"/>
        <v>0.13245675028826454</v>
      </c>
      <c r="DP61" s="451">
        <f t="shared" si="193"/>
        <v>7.8062077668634933E-2</v>
      </c>
      <c r="DQ61" s="451">
        <f t="shared" si="193"/>
        <v>6.8047959050192786E-2</v>
      </c>
      <c r="DR61" s="452">
        <f>IF(ISERROR(DR60/DM60-1),"",(DR60/DM60-1))</f>
        <v>7.4284943119112157E-2</v>
      </c>
      <c r="DS61" s="451">
        <f t="shared" si="193"/>
        <v>2.0547776418991193E-2</v>
      </c>
      <c r="DT61" s="451">
        <f t="shared" ref="DT61:EG61" si="194">IF(ISERROR(DT60/DO60-1),"",(DT60/DO60-1))</f>
        <v>-2.6762563517747529E-2</v>
      </c>
      <c r="DU61" s="451">
        <f t="shared" si="194"/>
        <v>-3.4879006997453943E-2</v>
      </c>
      <c r="DV61" s="451">
        <f t="shared" si="194"/>
        <v>-5.8849625081770274E-2</v>
      </c>
      <c r="DW61" s="452">
        <f t="shared" si="194"/>
        <v>-2.4841576084713712E-2</v>
      </c>
      <c r="DX61" s="451">
        <f t="shared" ca="1" si="194"/>
        <v>1.4249539057674454E-2</v>
      </c>
      <c r="DY61" s="451">
        <f t="shared" ca="1" si="194"/>
        <v>1.3732641057617512E-2</v>
      </c>
      <c r="DZ61" s="451">
        <f t="shared" ca="1" si="194"/>
        <v>-2.5967028616687982E-3</v>
      </c>
      <c r="EA61" s="451">
        <f t="shared" ca="1" si="194"/>
        <v>0.11579361651856446</v>
      </c>
      <c r="EB61" s="452">
        <f t="shared" ca="1" si="194"/>
        <v>3.380174233814226E-2</v>
      </c>
      <c r="EC61" s="451">
        <f t="shared" ca="1" si="194"/>
        <v>7.060924104723254E-3</v>
      </c>
      <c r="ED61" s="451">
        <f t="shared" ca="1" si="194"/>
        <v>2.8490000046997865E-2</v>
      </c>
      <c r="EE61" s="451">
        <f t="shared" ca="1" si="194"/>
        <v>1.0494438733434697E-2</v>
      </c>
      <c r="EF61" s="451">
        <f t="shared" ca="1" si="194"/>
        <v>-8.3737185906833655E-3</v>
      </c>
      <c r="EG61" s="452">
        <f t="shared" ca="1" si="194"/>
        <v>9.7492276099904185E-3</v>
      </c>
      <c r="EH61" s="451">
        <f t="shared" ref="EH61" si="195">IF(ISERROR(EH60/EC60-1),"",(EH60/EC60-1))</f>
        <v>-2.9266538099895656E-2</v>
      </c>
      <c r="EI61" s="451">
        <f t="shared" ref="EI61" si="196">IF(ISERROR(EI60/ED60-1),"",(EI60/ED60-1))</f>
        <v>-2.2828521873626384E-2</v>
      </c>
      <c r="EJ61" s="451">
        <f t="shared" ref="EJ61" si="197">IF(ISERROR(EJ60/EE60-1),"",(EJ60/EE60-1))</f>
        <v>-2.6441354040225074E-2</v>
      </c>
      <c r="EK61" s="451">
        <f t="shared" ref="EK61" si="198">IF(ISERROR(EK60/EF60-1),"",(EK60/EF60-1))</f>
        <v>-2.3069673108844224E-2</v>
      </c>
      <c r="EL61" s="452">
        <f t="shared" ref="EL61" si="199">IF(ISERROR(EL60/EG60-1),"",(EL60/EG60-1))</f>
        <v>-2.5392404852677575E-2</v>
      </c>
    </row>
    <row r="62" spans="1:142" ht="12.75" customHeight="1">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395"/>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394"/>
      <c r="CA62" s="9"/>
      <c r="CB62" s="9"/>
      <c r="CC62" s="9"/>
      <c r="CD62" s="9"/>
      <c r="CE62" s="394"/>
      <c r="CF62" s="9"/>
      <c r="CG62" s="9"/>
      <c r="CH62" s="9"/>
      <c r="CI62" s="9"/>
      <c r="CJ62" s="394"/>
      <c r="CK62" s="9"/>
      <c r="CL62" s="9"/>
      <c r="CM62" s="9"/>
      <c r="CN62" s="4" t="e">
        <f>(CN54+#REF!)/CN10</f>
        <v>#REF!</v>
      </c>
      <c r="CO62" s="9"/>
      <c r="CP62" s="9"/>
      <c r="CQ62" s="9"/>
      <c r="CR62" s="472" t="e">
        <f>(CR54+#REF!)/CR10</f>
        <v>#REF!</v>
      </c>
      <c r="CS62" s="4" t="e">
        <f>(CS54+#REF!)/CS10</f>
        <v>#REF!</v>
      </c>
      <c r="CT62" s="473" t="e">
        <f>CS62/CN62-1</f>
        <v>#REF!</v>
      </c>
      <c r="CU62" s="9"/>
      <c r="CV62" s="9"/>
      <c r="CW62" s="9"/>
      <c r="CX62" s="9"/>
      <c r="CY62" s="473"/>
      <c r="CZ62" s="473"/>
      <c r="DA62" s="9"/>
      <c r="DB62" s="9"/>
      <c r="DC62" s="9"/>
      <c r="DD62" s="473"/>
      <c r="DE62" s="473"/>
      <c r="DF62" s="473"/>
      <c r="DG62" s="473"/>
      <c r="DH62" s="9"/>
      <c r="DI62" s="473"/>
      <c r="DJ62" s="473"/>
      <c r="DK62" s="473"/>
      <c r="DL62" s="473"/>
      <c r="DM62" s="9"/>
      <c r="DN62" s="473"/>
      <c r="DO62" s="473"/>
      <c r="DP62" s="473"/>
      <c r="DQ62" s="473"/>
      <c r="DR62" s="9"/>
      <c r="DS62" s="473"/>
      <c r="DT62" s="9"/>
      <c r="DU62" s="9"/>
      <c r="DV62" s="9"/>
      <c r="DW62" s="9"/>
      <c r="DX62" s="9"/>
      <c r="DY62" s="9"/>
      <c r="DZ62" s="9"/>
      <c r="EA62" s="9"/>
      <c r="EB62" s="9"/>
      <c r="EC62" s="9"/>
      <c r="ED62" s="9"/>
      <c r="EE62" s="9"/>
      <c r="EF62" s="9"/>
      <c r="EG62" s="9"/>
      <c r="EH62" s="9"/>
      <c r="EI62" s="9"/>
      <c r="EJ62" s="9"/>
      <c r="EK62" s="9"/>
      <c r="EL62" s="9"/>
    </row>
    <row r="63" spans="1:142">
      <c r="A63" s="456"/>
      <c r="B63" s="456" t="s">
        <v>230</v>
      </c>
      <c r="C63" s="467"/>
      <c r="D63" s="467" t="str">
        <f>IF(ISERROR(D27+D36+#REF!+D54),"nm",D27+D36+#REF!+D54)</f>
        <v>nm</v>
      </c>
      <c r="E63" s="467" t="str">
        <f>IF(ISERROR(E27+E36+#REF!+E54),"nm",E27+E36+#REF!+E54)</f>
        <v>nm</v>
      </c>
      <c r="F63" s="467" t="str">
        <f>IF(ISERROR(F27+F36+#REF!+F54),"nm",F27+F36+#REF!+F54)</f>
        <v>nm</v>
      </c>
      <c r="G63" s="467" t="str">
        <f>IF(ISERROR(G27+G36+#REF!+G54),"nm",G27+G36+#REF!+G54)</f>
        <v>nm</v>
      </c>
      <c r="H63" s="474" t="str">
        <f>IF(ISERROR(H27+H36+#REF!+H54),"nm",H27+H36+#REF!+H54)</f>
        <v>nm</v>
      </c>
      <c r="I63" s="467" t="str">
        <f>IF(ISERROR(I27+I36+#REF!+I54),"nm",I27+I36+#REF!+I54)</f>
        <v>nm</v>
      </c>
      <c r="J63" s="467" t="str">
        <f>IF(ISERROR(J27+J36+#REF!+J54),"nm",J27+J36+#REF!+J54)</f>
        <v>nm</v>
      </c>
      <c r="K63" s="467" t="str">
        <f>IF(ISERROR(K27+K36+#REF!+K54),"nm",K27+K36+#REF!+K54)</f>
        <v>nm</v>
      </c>
      <c r="L63" s="467" t="str">
        <f>IF(ISERROR(L27+L36+#REF!+L54),"nm",L27+L36+#REF!+L54)</f>
        <v>nm</v>
      </c>
      <c r="M63" s="474" t="str">
        <f>IF(ISERROR(M27+M36+#REF!+M54),"nm",M27+M36+#REF!+M54)</f>
        <v>nm</v>
      </c>
      <c r="N63" s="467" t="str">
        <f>IF(ISERROR(N27+N36+#REF!+N54),"nm",N27+N36+#REF!+N54)</f>
        <v>nm</v>
      </c>
      <c r="O63" s="467" t="str">
        <f>IF(ISERROR(O27+O36+#REF!+O54),"nm",O27+O36+#REF!+O54)</f>
        <v>nm</v>
      </c>
      <c r="P63" s="467" t="str">
        <f>IF(ISERROR(P27+P36+#REF!+P54),"nm",P27+P36+#REF!+P54)</f>
        <v>nm</v>
      </c>
      <c r="Q63" s="467" t="str">
        <f>IF(ISERROR(Q27+Q36+#REF!+Q54),"nm",Q27+Q36+#REF!+Q54)</f>
        <v>nm</v>
      </c>
      <c r="R63" s="474" t="str">
        <f>IF(ISERROR(R27+R36+#REF!+R54),"nm",R27+R36+#REF!+R54)</f>
        <v>nm</v>
      </c>
      <c r="S63" s="467" t="str">
        <f>IF(ISERROR(S27+S36+#REF!+S54),"nm",S27+S36+#REF!+S54)</f>
        <v>nm</v>
      </c>
      <c r="T63" s="467" t="str">
        <f>IF(ISERROR(T27+T36+#REF!+T54),"nm",T27+T36+#REF!+T54)</f>
        <v>nm</v>
      </c>
      <c r="U63" s="467" t="str">
        <f>IF(ISERROR(U27+U36+#REF!+U54),"nm",U27+U36+#REF!+U54)</f>
        <v>nm</v>
      </c>
      <c r="V63" s="467" t="str">
        <f>IF(ISERROR(V27+V36+#REF!+V54),"nm",V27+V36+#REF!+V54)</f>
        <v>nm</v>
      </c>
      <c r="W63" s="474" t="str">
        <f>IF(ISERROR(W27+W36+#REF!+W54),"nm",W27+W36+#REF!+W54)</f>
        <v>nm</v>
      </c>
      <c r="X63" s="467" t="str">
        <f>IF(ISERROR(X27+X36+#REF!+X54),"nm",X27+X36+#REF!+X54)</f>
        <v>nm</v>
      </c>
      <c r="Y63" s="467" t="str">
        <f>IF(ISERROR(Y27+Y36+#REF!+Y54),"nm",Y27+Y36+#REF!+Y54)</f>
        <v>nm</v>
      </c>
      <c r="Z63" s="467" t="str">
        <f>IF(ISERROR(Z27+Z36+#REF!+Z54),"nm",Z27+Z36+#REF!+Z54)</f>
        <v>nm</v>
      </c>
      <c r="AA63" s="467" t="str">
        <f>IF(ISERROR(AA27+AA36+#REF!+AA54),"nm",AA27+AA36+#REF!+AA54)</f>
        <v>nm</v>
      </c>
      <c r="AB63" s="474" t="str">
        <f>IF(ISERROR(AB27+AB36+#REF!+AB54),"nm",AB27+AB36+#REF!+AB54)</f>
        <v>nm</v>
      </c>
      <c r="AC63" s="467" t="str">
        <f>IF(ISERROR(AC27+AC36+#REF!+AC54),"nm",AC27+AC36+#REF!+AC54)</f>
        <v>nm</v>
      </c>
      <c r="AD63" s="467" t="str">
        <f>IF(ISERROR(AD27+AD36+#REF!+AD54),"nm",AD27+AD36+#REF!+AD54)</f>
        <v>nm</v>
      </c>
      <c r="AE63" s="467" t="str">
        <f>IF(ISERROR(AE27+AE36+#REF!+AE54),"nm",AE27+AE36+#REF!+AE54)</f>
        <v>nm</v>
      </c>
      <c r="AF63" s="467" t="str">
        <f>IF(ISERROR(AF27+AF36+#REF!+AF54),"nm",AF27+AF36+#REF!+AF54)</f>
        <v>nm</v>
      </c>
      <c r="AG63" s="474" t="str">
        <f>IF(ISERROR(AG27+AG36+#REF!+AG54),"nm",AG27+AG36+#REF!+AG54)</f>
        <v>nm</v>
      </c>
      <c r="AH63" s="467" t="str">
        <f>IF(ISERROR(AH27+AH36+#REF!+AH54),"nm",AH27+AH36+#REF!+AH54)</f>
        <v>nm</v>
      </c>
      <c r="AI63" s="467" t="str">
        <f>IF(ISERROR(AI27+AI36+#REF!+AI54),"nm",AI27+AI36+#REF!+AI54)</f>
        <v>nm</v>
      </c>
      <c r="AJ63" s="467" t="str">
        <f>IF(ISERROR(AJ27+AJ36+#REF!+AJ54),"nm",AJ27+AJ36+#REF!+AJ54)</f>
        <v>nm</v>
      </c>
      <c r="AK63" s="467" t="str">
        <f>IF(ISERROR(AK27+AK36+#REF!+AK54),"nm",AK27+AK36+#REF!+AK54)</f>
        <v>nm</v>
      </c>
      <c r="AL63" s="474" t="str">
        <f>IF(ISERROR(AL27+AL36+#REF!+AL54),"nm",AL27+AL36+#REF!+AL54)</f>
        <v>nm</v>
      </c>
      <c r="AM63" s="467" t="str">
        <f>IF(ISERROR(AM27+AM36+#REF!+AM54),"nm",AM27+AM36+#REF!+AM54)</f>
        <v>nm</v>
      </c>
      <c r="AN63" s="467" t="str">
        <f>IF(ISERROR(AN27+AN36+#REF!+AN54),"nm",AN27+AN36+#REF!+AN54)</f>
        <v>nm</v>
      </c>
      <c r="AO63" s="467" t="str">
        <f>IF(ISERROR(AO27+AO36+#REF!+AO54),"nm",AO27+AO36+#REF!+AO54)</f>
        <v>nm</v>
      </c>
      <c r="AP63" s="467" t="str">
        <f>IF(ISERROR(AP27+AP36+#REF!+AP54),"nm",AP27+AP36+#REF!+AP54)</f>
        <v>nm</v>
      </c>
      <c r="AQ63" s="474" t="str">
        <f>IF(ISERROR(AQ27+AQ36+#REF!+AQ54),"nm",AQ27+AQ36+#REF!+AQ54)</f>
        <v>nm</v>
      </c>
      <c r="AR63" s="467" t="str">
        <f>IF(ISERROR(AR27+AR36+#REF!+AR54),"nm",AR27+AR36+#REF!+AR54)</f>
        <v>nm</v>
      </c>
      <c r="AS63" s="467" t="str">
        <f>IF(ISERROR(AS27+AS36+#REF!+AS54),"nm",AS27+AS36+#REF!+AS54)</f>
        <v>nm</v>
      </c>
      <c r="AT63" s="467" t="str">
        <f>IF(ISERROR(AT27+AT36+#REF!+AT54),"nm",AT27+AT36+#REF!+AT54)</f>
        <v>nm</v>
      </c>
      <c r="AU63" s="468"/>
      <c r="AV63" s="467" t="str">
        <f>IF(ISERROR(AV27+AV36+#REF!+AV54),"nm",AV27+AV36+#REF!+AV54)</f>
        <v>nm</v>
      </c>
      <c r="AW63" s="467" t="str">
        <f>IF(ISERROR(AW27+AW36+#REF!+AW54),"nm",AW27+AW36+#REF!+AW54)</f>
        <v>nm</v>
      </c>
      <c r="AX63" s="467" t="str">
        <f>IF(ISERROR(AX27+AX36+#REF!+AX54),"nm",AX27+AX36+#REF!+AX54)</f>
        <v>nm</v>
      </c>
      <c r="AY63" s="467" t="str">
        <f>IF(ISERROR(AY27+AY36+#REF!+AY54),"nm",AY27+AY36+#REF!+AY54)</f>
        <v>nm</v>
      </c>
      <c r="AZ63" s="433" t="e">
        <f>AZ27+AZ36+#REF!+AZ54</f>
        <v>#REF!</v>
      </c>
      <c r="BA63" s="467" t="str">
        <f>IF(ISERROR(BA27+BA36+#REF!+BA54),"nm",BA27+BA36+#REF!+BA54)</f>
        <v>nm</v>
      </c>
      <c r="BB63" s="467" t="str">
        <f>IF(ISERROR(BB27+BB36+#REF!+BB54),"nm",BB27+BB36+#REF!+BB54)</f>
        <v>nm</v>
      </c>
      <c r="BC63" s="467" t="str">
        <f>IF(ISERROR(BC27+BC36+#REF!+BC54),"nm",BC27+BC36+#REF!+BC54)</f>
        <v>nm</v>
      </c>
      <c r="BD63" s="467" t="str">
        <f>IF(ISERROR(BD27+BD36+#REF!+BD54),"nm",BD27+BD36+#REF!+BD54)</f>
        <v>nm</v>
      </c>
      <c r="BE63" s="433" t="e">
        <f>BE27+BE36+#REF!+BE54</f>
        <v>#REF!</v>
      </c>
      <c r="BF63" s="467" t="str">
        <f>IF(ISERROR(BF27+BF36+#REF!+BF54),"nm",BF27+BF36+#REF!+BF54)</f>
        <v>nm</v>
      </c>
      <c r="BG63" s="467" t="str">
        <f>IF(ISERROR(BG27+BG36+#REF!+BG54),"nm",BG27+BG36+#REF!+BG54)</f>
        <v>nm</v>
      </c>
      <c r="BH63" s="467" t="str">
        <f>IF(ISERROR(BH27+BH36+#REF!+BH54),"nm",BH27+BH36+#REF!+BH54)</f>
        <v>nm</v>
      </c>
      <c r="BI63" s="467" t="str">
        <f>IF(ISERROR(BI27+BI36+#REF!+BI54),"nm",BI27+BI36+#REF!+BI54)</f>
        <v>nm</v>
      </c>
      <c r="BJ63" s="433" t="e">
        <f>BJ27+BJ36+#REF!+BJ54</f>
        <v>#REF!</v>
      </c>
      <c r="BK63" s="434" t="e">
        <f>IF(#REF!="ND",BK27+BK36+BK54,BK27+BK36+#REF!+BK54)</f>
        <v>#REF!</v>
      </c>
      <c r="BL63" s="434" t="e">
        <f>IF(#REF!="ND",BL27+BL36+BL54,BL27+BL36+#REF!+BL54)</f>
        <v>#REF!</v>
      </c>
      <c r="BM63" s="434" t="e">
        <f>IF(#REF!="ND",BM27+BM36+BM54,BM27+BM36+#REF!+BM54)</f>
        <v>#REF!</v>
      </c>
      <c r="BN63" s="434" t="e">
        <f>IF(#REF!="ND",BN27+BN36+BN54,BN27+BN36+#REF!+BN54)</f>
        <v>#REF!</v>
      </c>
      <c r="BO63" s="433" t="e">
        <f>IF(#REF!="ND",BO27+BO36+BO54,BO27+BO36+#REF!+BO54)</f>
        <v>#REF!</v>
      </c>
      <c r="BP63" s="434" t="e">
        <f>IF(#REF!="ND",BP27+BP36+BP54,BP27+BP36+#REF!+BP54)</f>
        <v>#REF!</v>
      </c>
      <c r="BQ63" s="434" t="e">
        <f>IF(#REF!="ND",BQ27+BQ36+BQ54,BQ27+BQ36+#REF!+BQ54)</f>
        <v>#REF!</v>
      </c>
      <c r="BR63" s="434" t="e">
        <f>IF(#REF!="ND",BR27+BR36+BR54,BR27+BR36+#REF!+BR54)</f>
        <v>#REF!</v>
      </c>
      <c r="BS63" s="434" t="e">
        <f>IF(#REF!="ND",BS27+BS36+BS54,BS27+BS36+#REF!+BS54)</f>
        <v>#REF!</v>
      </c>
      <c r="BT63" s="433" t="e">
        <f>BT27+BT36+#REF!+BT54</f>
        <v>#REF!</v>
      </c>
      <c r="BU63" s="434" t="e">
        <f>BU27+BU36+#REF!+BU54</f>
        <v>#REF!</v>
      </c>
      <c r="BV63" s="434" t="e">
        <f>BV27+BV36+#REF!+BV54</f>
        <v>#REF!</v>
      </c>
      <c r="BW63" s="434" t="e">
        <f>BW27+BW36+#REF!+BW54</f>
        <v>#REF!</v>
      </c>
      <c r="BX63" s="434" t="e">
        <f>BX27+BX36+#REF!+BX54</f>
        <v>#REF!</v>
      </c>
      <c r="BY63" s="433" t="e">
        <f>BY27+BY36+#REF!+BY54</f>
        <v>#REF!</v>
      </c>
      <c r="BZ63" s="434" t="e">
        <f>BZ27+BZ36+#REF!+BZ54</f>
        <v>#REF!</v>
      </c>
      <c r="CA63" s="434" t="e">
        <f>CA27+CA36+#REF!+CA54</f>
        <v>#REF!</v>
      </c>
      <c r="CB63" s="434" t="e">
        <f>CB27+CB36+#REF!+CB54</f>
        <v>#REF!</v>
      </c>
      <c r="CC63" s="434" t="e">
        <f>CC27+CC36+#REF!+CC54</f>
        <v>#REF!</v>
      </c>
      <c r="CD63" s="433" t="e">
        <f>CD27+CD36+#REF!+CD54</f>
        <v>#REF!</v>
      </c>
      <c r="CE63" s="434" t="e">
        <f>CE27+CE36+#REF!+CE54</f>
        <v>#REF!</v>
      </c>
      <c r="CF63" s="434" t="e">
        <f>CF27+CF36+#REF!+CF54</f>
        <v>#REF!</v>
      </c>
      <c r="CG63" s="434" t="e">
        <f>CG27+CG36+#REF!+CG54</f>
        <v>#REF!</v>
      </c>
      <c r="CH63" s="434" t="e">
        <f>CH27+CH36+#REF!+CH54</f>
        <v>#REF!</v>
      </c>
      <c r="CI63" s="433" t="e">
        <f>CI27+CI36+#REF!+CI54</f>
        <v>#REF!</v>
      </c>
      <c r="CJ63" s="434" t="e">
        <f>CJ27+CJ36+#REF!+CJ54</f>
        <v>#REF!</v>
      </c>
      <c r="CK63" s="434" t="e">
        <f>CK27+CK36+#REF!+CK54</f>
        <v>#REF!</v>
      </c>
      <c r="CL63" s="434" t="e">
        <f>CL27+CL36+#REF!+CL54</f>
        <v>#REF!</v>
      </c>
      <c r="CM63" s="434" t="e">
        <f>CM27+CM36+#REF!+CM54</f>
        <v>#REF!</v>
      </c>
      <c r="CN63" s="433" t="e">
        <f>CN27+CN36+#REF!+CN54</f>
        <v>#REF!</v>
      </c>
      <c r="CO63" s="434" t="e">
        <f>CO27+CO36+#REF!+CO54</f>
        <v>#REF!</v>
      </c>
      <c r="CP63" s="434" t="e">
        <f>CP27+CP36+#REF!+CP54</f>
        <v>#REF!</v>
      </c>
      <c r="CQ63" s="434" t="e">
        <f>CQ27+CQ36+#REF!+CQ54</f>
        <v>#REF!</v>
      </c>
      <c r="CR63" s="434" t="e">
        <f>CR27+CR36+#REF!+CR54</f>
        <v>#REF!</v>
      </c>
      <c r="CS63" s="433" t="e">
        <f>CS27+CS36+#REF!+CS54</f>
        <v>#REF!</v>
      </c>
      <c r="CT63" s="434" t="e">
        <f>CT27+CT36+#REF!+CT54</f>
        <v>#REF!</v>
      </c>
      <c r="CU63" s="434" t="e">
        <f>CU27+CU36+#REF!+CU54</f>
        <v>#REF!</v>
      </c>
      <c r="CV63" s="434" t="e">
        <f>CV27+CV36+#REF!+CV54</f>
        <v>#REF!</v>
      </c>
      <c r="CW63" s="434" t="e">
        <f>CW27+CW36+#REF!+CW54</f>
        <v>#REF!</v>
      </c>
      <c r="CX63" s="433" t="e">
        <f>CX27+CX36+#REF!+CX54</f>
        <v>#REF!</v>
      </c>
      <c r="CY63" s="434" t="e">
        <f>CY27+CY36+#REF!+CY54</f>
        <v>#REF!</v>
      </c>
      <c r="CZ63" s="434" t="e">
        <f>CZ27+CZ36+#REF!+CZ54</f>
        <v>#REF!</v>
      </c>
      <c r="DA63" s="432" t="e">
        <f>DA27+DA36+#REF!+DA54</f>
        <v>#REF!</v>
      </c>
      <c r="DB63" s="432" t="e">
        <f>DB27+DB36+#REF!+DB54</f>
        <v>#REF!</v>
      </c>
      <c r="DC63" s="433" t="e">
        <f>DC27+DC36+#REF!+DC54</f>
        <v>#REF!</v>
      </c>
      <c r="DD63" s="434">
        <v>3548</v>
      </c>
      <c r="DE63" s="434">
        <v>3640</v>
      </c>
      <c r="DF63" s="434">
        <v>3725</v>
      </c>
      <c r="DG63" s="434">
        <v>3854</v>
      </c>
      <c r="DH63" s="433">
        <v>14767</v>
      </c>
      <c r="DI63" s="434">
        <f>DI27+DI36+DI54</f>
        <v>3905</v>
      </c>
      <c r="DJ63" s="434">
        <f t="shared" ref="DJ63:EG63" si="200">DJ27+DJ36+DJ54</f>
        <v>3738</v>
      </c>
      <c r="DK63" s="434">
        <f t="shared" si="200"/>
        <v>3924</v>
      </c>
      <c r="DL63" s="434">
        <f t="shared" si="200"/>
        <v>4204</v>
      </c>
      <c r="DM63" s="433">
        <f t="shared" si="200"/>
        <v>16313</v>
      </c>
      <c r="DN63" s="434">
        <f t="shared" si="200"/>
        <v>4137</v>
      </c>
      <c r="DO63" s="434">
        <f t="shared" si="200"/>
        <v>3973</v>
      </c>
      <c r="DP63" s="434">
        <f t="shared" si="200"/>
        <v>3993</v>
      </c>
      <c r="DQ63" s="434">
        <f t="shared" si="200"/>
        <v>3963</v>
      </c>
      <c r="DR63" s="433">
        <f t="shared" si="200"/>
        <v>17025</v>
      </c>
      <c r="DS63" s="434">
        <f t="shared" si="200"/>
        <v>4005</v>
      </c>
      <c r="DT63" s="432">
        <f t="shared" si="200"/>
        <v>3947</v>
      </c>
      <c r="DU63" s="432">
        <f>DU27+DU36+DU54</f>
        <v>3781</v>
      </c>
      <c r="DV63" s="432">
        <f>DV27+DV36+DV54</f>
        <v>3817</v>
      </c>
      <c r="DW63" s="433">
        <f t="shared" si="200"/>
        <v>16571</v>
      </c>
      <c r="DX63" s="432">
        <f t="shared" si="200"/>
        <v>3680.5432907623972</v>
      </c>
      <c r="DY63" s="432">
        <f t="shared" si="200"/>
        <v>3616.2733658063248</v>
      </c>
      <c r="DZ63" s="432">
        <f t="shared" si="200"/>
        <v>3440.2198140791597</v>
      </c>
      <c r="EA63" s="432">
        <f t="shared" si="200"/>
        <v>3631.0136182297779</v>
      </c>
      <c r="EB63" s="433">
        <f t="shared" si="200"/>
        <v>15382.685154904535</v>
      </c>
      <c r="EC63" s="432">
        <f t="shared" si="200"/>
        <v>3546.9463835596125</v>
      </c>
      <c r="ED63" s="432">
        <f t="shared" si="200"/>
        <v>3590.8604212021428</v>
      </c>
      <c r="EE63" s="432">
        <f t="shared" si="200"/>
        <v>3490.564051255069</v>
      </c>
      <c r="EF63" s="432">
        <f t="shared" si="200"/>
        <v>3720.1111449062655</v>
      </c>
      <c r="EG63" s="433">
        <f t="shared" si="200"/>
        <v>15496.130103294212</v>
      </c>
      <c r="EH63" s="432">
        <f t="shared" ref="EH63:EL63" si="201">EH27+EH36+EH54</f>
        <v>3633.9928855548364</v>
      </c>
      <c r="EI63" s="432">
        <f t="shared" si="201"/>
        <v>3680.8005336929182</v>
      </c>
      <c r="EJ63" s="432">
        <f t="shared" si="201"/>
        <v>3584.4582737957244</v>
      </c>
      <c r="EK63" s="432">
        <f t="shared" si="201"/>
        <v>3834.5348381400504</v>
      </c>
      <c r="EL63" s="433">
        <f t="shared" si="201"/>
        <v>16124.209156446695</v>
      </c>
    </row>
    <row r="64" spans="1:142" ht="11.25" customHeight="1">
      <c r="A64" s="415"/>
      <c r="B64" s="415" t="s">
        <v>109</v>
      </c>
      <c r="C64" s="461"/>
      <c r="D64" s="461"/>
      <c r="E64" s="461"/>
      <c r="F64" s="461"/>
      <c r="G64" s="461"/>
      <c r="H64" s="462"/>
      <c r="I64" s="458" t="str">
        <f t="shared" ref="I64:AT64" si="202">IF(ISERROR(I63/D63-1),"nm",I63/D63-1)</f>
        <v>nm</v>
      </c>
      <c r="J64" s="458" t="str">
        <f t="shared" si="202"/>
        <v>nm</v>
      </c>
      <c r="K64" s="458" t="str">
        <f t="shared" si="202"/>
        <v>nm</v>
      </c>
      <c r="L64" s="458" t="str">
        <f t="shared" si="202"/>
        <v>nm</v>
      </c>
      <c r="M64" s="462" t="str">
        <f t="shared" si="202"/>
        <v>nm</v>
      </c>
      <c r="N64" s="458" t="str">
        <f t="shared" si="202"/>
        <v>nm</v>
      </c>
      <c r="O64" s="458" t="str">
        <f t="shared" si="202"/>
        <v>nm</v>
      </c>
      <c r="P64" s="458" t="str">
        <f t="shared" si="202"/>
        <v>nm</v>
      </c>
      <c r="Q64" s="458" t="str">
        <f t="shared" si="202"/>
        <v>nm</v>
      </c>
      <c r="R64" s="462" t="str">
        <f t="shared" si="202"/>
        <v>nm</v>
      </c>
      <c r="S64" s="458" t="str">
        <f t="shared" si="202"/>
        <v>nm</v>
      </c>
      <c r="T64" s="458" t="str">
        <f t="shared" si="202"/>
        <v>nm</v>
      </c>
      <c r="U64" s="458" t="str">
        <f t="shared" si="202"/>
        <v>nm</v>
      </c>
      <c r="V64" s="458" t="str">
        <f t="shared" si="202"/>
        <v>nm</v>
      </c>
      <c r="W64" s="462" t="str">
        <f t="shared" si="202"/>
        <v>nm</v>
      </c>
      <c r="X64" s="458" t="str">
        <f t="shared" si="202"/>
        <v>nm</v>
      </c>
      <c r="Y64" s="458" t="str">
        <f t="shared" si="202"/>
        <v>nm</v>
      </c>
      <c r="Z64" s="458" t="str">
        <f t="shared" si="202"/>
        <v>nm</v>
      </c>
      <c r="AA64" s="458" t="str">
        <f t="shared" si="202"/>
        <v>nm</v>
      </c>
      <c r="AB64" s="462" t="str">
        <f t="shared" si="202"/>
        <v>nm</v>
      </c>
      <c r="AC64" s="458" t="str">
        <f t="shared" si="202"/>
        <v>nm</v>
      </c>
      <c r="AD64" s="458" t="str">
        <f t="shared" si="202"/>
        <v>nm</v>
      </c>
      <c r="AE64" s="458" t="str">
        <f t="shared" si="202"/>
        <v>nm</v>
      </c>
      <c r="AF64" s="458" t="str">
        <f t="shared" si="202"/>
        <v>nm</v>
      </c>
      <c r="AG64" s="462" t="str">
        <f t="shared" si="202"/>
        <v>nm</v>
      </c>
      <c r="AH64" s="458" t="str">
        <f t="shared" si="202"/>
        <v>nm</v>
      </c>
      <c r="AI64" s="458" t="str">
        <f t="shared" si="202"/>
        <v>nm</v>
      </c>
      <c r="AJ64" s="458" t="str">
        <f t="shared" si="202"/>
        <v>nm</v>
      </c>
      <c r="AK64" s="458" t="str">
        <f t="shared" si="202"/>
        <v>nm</v>
      </c>
      <c r="AL64" s="462" t="str">
        <f t="shared" si="202"/>
        <v>nm</v>
      </c>
      <c r="AM64" s="458" t="str">
        <f t="shared" si="202"/>
        <v>nm</v>
      </c>
      <c r="AN64" s="458" t="str">
        <f t="shared" si="202"/>
        <v>nm</v>
      </c>
      <c r="AO64" s="458" t="str">
        <f t="shared" si="202"/>
        <v>nm</v>
      </c>
      <c r="AP64" s="458" t="str">
        <f t="shared" si="202"/>
        <v>nm</v>
      </c>
      <c r="AQ64" s="462" t="str">
        <f t="shared" si="202"/>
        <v>nm</v>
      </c>
      <c r="AR64" s="458" t="str">
        <f t="shared" si="202"/>
        <v>nm</v>
      </c>
      <c r="AS64" s="458" t="str">
        <f t="shared" si="202"/>
        <v>nm</v>
      </c>
      <c r="AT64" s="458" t="str">
        <f t="shared" si="202"/>
        <v>nm</v>
      </c>
      <c r="AU64" s="395"/>
      <c r="AV64" s="435"/>
      <c r="AW64" s="435"/>
      <c r="AX64" s="435"/>
      <c r="AY64" s="435"/>
      <c r="AZ64" s="55"/>
      <c r="BA64" s="458" t="str">
        <f>IF(ISERROR(BA63/AV63-1),"nm",BA63/AV63-1)</f>
        <v>nm</v>
      </c>
      <c r="BB64" s="458" t="str">
        <f>IF(ISERROR(BB63/AW63-1),"nm",BB63/AW63-1)</f>
        <v>nm</v>
      </c>
      <c r="BC64" s="458" t="str">
        <f>IF(ISERROR(BC63/AX63-1),"nm",BC63/AX63-1)</f>
        <v>nm</v>
      </c>
      <c r="BD64" s="458" t="str">
        <f>IF(ISERROR(BD63/AY63-1),"nm",BD63/AY63-1)</f>
        <v>nm</v>
      </c>
      <c r="BE64" s="55" t="e">
        <f>BE63/AZ63-1</f>
        <v>#REF!</v>
      </c>
      <c r="BF64" s="458" t="str">
        <f>IF(ISERROR(BF63/BA63-1),"nm",BF63/BA63-1)</f>
        <v>nm</v>
      </c>
      <c r="BG64" s="458" t="str">
        <f>IF(ISERROR(BG63/BB63-1),"nm",BG63/BB63-1)</f>
        <v>nm</v>
      </c>
      <c r="BH64" s="458" t="str">
        <f>IF(ISERROR(BH63/BC63-1),"nm",BH63/BC63-1)</f>
        <v>nm</v>
      </c>
      <c r="BI64" s="458" t="str">
        <f>IF(ISERROR(BI63/BD63-1),"nm",BI63/BD63-1)</f>
        <v>nm</v>
      </c>
      <c r="BJ64" s="55" t="e">
        <f>BJ63/BE63-1</f>
        <v>#REF!</v>
      </c>
      <c r="BK64" s="458" t="str">
        <f>IF(ISERROR(BK63/BF63-1),"nm",BK63/BF63-1)</f>
        <v>nm</v>
      </c>
      <c r="BL64" s="458" t="str">
        <f>IF(ISERROR(BL63/BG63-1),"nm",BL63/BG63-1)</f>
        <v>nm</v>
      </c>
      <c r="BM64" s="458" t="str">
        <f>IF(ISERROR(BM63/BH63-1),"nm",BM63/BH63-1)</f>
        <v>nm</v>
      </c>
      <c r="BN64" s="458" t="str">
        <f>IF(ISERROR(BN63/BI63-1),"nm",BN63/BI63-1)</f>
        <v>nm</v>
      </c>
      <c r="BO64" s="55" t="e">
        <f t="shared" ref="BO64:CT64" si="203">BO63/BJ63-1</f>
        <v>#REF!</v>
      </c>
      <c r="BP64" s="177" t="e">
        <f t="shared" si="203"/>
        <v>#REF!</v>
      </c>
      <c r="BQ64" s="177" t="e">
        <f t="shared" si="203"/>
        <v>#REF!</v>
      </c>
      <c r="BR64" s="177" t="e">
        <f t="shared" si="203"/>
        <v>#REF!</v>
      </c>
      <c r="BS64" s="177" t="e">
        <f t="shared" si="203"/>
        <v>#REF!</v>
      </c>
      <c r="BT64" s="55" t="e">
        <f t="shared" si="203"/>
        <v>#REF!</v>
      </c>
      <c r="BU64" s="177" t="e">
        <f t="shared" si="203"/>
        <v>#REF!</v>
      </c>
      <c r="BV64" s="177" t="e">
        <f t="shared" si="203"/>
        <v>#REF!</v>
      </c>
      <c r="BW64" s="177" t="e">
        <f t="shared" si="203"/>
        <v>#REF!</v>
      </c>
      <c r="BX64" s="177" t="e">
        <f t="shared" si="203"/>
        <v>#REF!</v>
      </c>
      <c r="BY64" s="55" t="e">
        <f t="shared" si="203"/>
        <v>#REF!</v>
      </c>
      <c r="BZ64" s="177" t="e">
        <f t="shared" si="203"/>
        <v>#REF!</v>
      </c>
      <c r="CA64" s="177" t="e">
        <f t="shared" si="203"/>
        <v>#REF!</v>
      </c>
      <c r="CB64" s="177" t="e">
        <f t="shared" si="203"/>
        <v>#REF!</v>
      </c>
      <c r="CC64" s="177" t="e">
        <f t="shared" si="203"/>
        <v>#REF!</v>
      </c>
      <c r="CD64" s="55" t="e">
        <f t="shared" si="203"/>
        <v>#REF!</v>
      </c>
      <c r="CE64" s="177" t="e">
        <f t="shared" si="203"/>
        <v>#REF!</v>
      </c>
      <c r="CF64" s="177" t="e">
        <f t="shared" si="203"/>
        <v>#REF!</v>
      </c>
      <c r="CG64" s="177" t="e">
        <f t="shared" si="203"/>
        <v>#REF!</v>
      </c>
      <c r="CH64" s="177" t="e">
        <f t="shared" si="203"/>
        <v>#REF!</v>
      </c>
      <c r="CI64" s="55" t="e">
        <f t="shared" si="203"/>
        <v>#REF!</v>
      </c>
      <c r="CJ64" s="177" t="e">
        <f t="shared" si="203"/>
        <v>#REF!</v>
      </c>
      <c r="CK64" s="177" t="e">
        <f t="shared" si="203"/>
        <v>#REF!</v>
      </c>
      <c r="CL64" s="177" t="e">
        <f t="shared" si="203"/>
        <v>#REF!</v>
      </c>
      <c r="CM64" s="177" t="e">
        <f t="shared" si="203"/>
        <v>#REF!</v>
      </c>
      <c r="CN64" s="55" t="e">
        <f t="shared" si="203"/>
        <v>#REF!</v>
      </c>
      <c r="CO64" s="177" t="e">
        <f t="shared" si="203"/>
        <v>#REF!</v>
      </c>
      <c r="CP64" s="177" t="e">
        <f t="shared" si="203"/>
        <v>#REF!</v>
      </c>
      <c r="CQ64" s="177" t="e">
        <f t="shared" si="203"/>
        <v>#REF!</v>
      </c>
      <c r="CR64" s="177" t="e">
        <f t="shared" si="203"/>
        <v>#REF!</v>
      </c>
      <c r="CS64" s="55" t="e">
        <f t="shared" si="203"/>
        <v>#REF!</v>
      </c>
      <c r="CT64" s="177" t="e">
        <f t="shared" si="203"/>
        <v>#REF!</v>
      </c>
      <c r="CU64" s="177" t="e">
        <f t="shared" ref="CU64:DS64" si="204">CU63/CP63-1</f>
        <v>#REF!</v>
      </c>
      <c r="CV64" s="177" t="e">
        <f t="shared" si="204"/>
        <v>#REF!</v>
      </c>
      <c r="CW64" s="177" t="e">
        <f t="shared" si="204"/>
        <v>#REF!</v>
      </c>
      <c r="CX64" s="55" t="e">
        <f t="shared" si="204"/>
        <v>#REF!</v>
      </c>
      <c r="CY64" s="177" t="e">
        <f t="shared" si="204"/>
        <v>#REF!</v>
      </c>
      <c r="CZ64" s="177" t="e">
        <f t="shared" si="204"/>
        <v>#REF!</v>
      </c>
      <c r="DA64" s="177" t="e">
        <f t="shared" si="204"/>
        <v>#REF!</v>
      </c>
      <c r="DB64" s="177" t="e">
        <f t="shared" si="204"/>
        <v>#REF!</v>
      </c>
      <c r="DC64" s="55" t="e">
        <f t="shared" si="204"/>
        <v>#REF!</v>
      </c>
      <c r="DD64" s="177">
        <v>0.64640371229698368</v>
      </c>
      <c r="DE64" s="177">
        <v>0.68362627197039783</v>
      </c>
      <c r="DF64" s="177">
        <v>0.71107028020211294</v>
      </c>
      <c r="DG64" s="177">
        <v>8.5387374021560269E-2</v>
      </c>
      <c r="DH64" s="55">
        <v>0.4701130116400456</v>
      </c>
      <c r="DI64" s="177">
        <f t="shared" si="204"/>
        <v>0.10062006764374298</v>
      </c>
      <c r="DJ64" s="177">
        <f t="shared" si="204"/>
        <v>2.6923076923076827E-2</v>
      </c>
      <c r="DK64" s="177">
        <f t="shared" si="204"/>
        <v>5.3422818791946325E-2</v>
      </c>
      <c r="DL64" s="177">
        <f t="shared" si="204"/>
        <v>9.0814737934613365E-2</v>
      </c>
      <c r="DM64" s="55">
        <f t="shared" si="204"/>
        <v>0.10469289632288215</v>
      </c>
      <c r="DN64" s="177">
        <f t="shared" si="204"/>
        <v>5.9411011523687662E-2</v>
      </c>
      <c r="DO64" s="177">
        <f t="shared" si="204"/>
        <v>6.2867843766720277E-2</v>
      </c>
      <c r="DP64" s="177">
        <f t="shared" si="204"/>
        <v>1.758409785932713E-2</v>
      </c>
      <c r="DQ64" s="177">
        <f t="shared" si="204"/>
        <v>-5.7326355851569977E-2</v>
      </c>
      <c r="DR64" s="55">
        <f t="shared" si="204"/>
        <v>4.3646171764850195E-2</v>
      </c>
      <c r="DS64" s="177">
        <f t="shared" si="204"/>
        <v>-3.1907179115300943E-2</v>
      </c>
      <c r="DT64" s="177">
        <f t="shared" ref="DT64:EG64" si="205">DT63/DO63-1</f>
        <v>-6.5441731688899996E-3</v>
      </c>
      <c r="DU64" s="177">
        <f t="shared" si="205"/>
        <v>-5.309291259704485E-2</v>
      </c>
      <c r="DV64" s="177">
        <f t="shared" si="205"/>
        <v>-3.6840777188998253E-2</v>
      </c>
      <c r="DW64" s="55">
        <f t="shared" si="205"/>
        <v>-2.6666666666666616E-2</v>
      </c>
      <c r="DX64" s="177">
        <f t="shared" si="205"/>
        <v>-8.1012911170437629E-2</v>
      </c>
      <c r="DY64" s="177">
        <f t="shared" si="205"/>
        <v>-8.3791901239846811E-2</v>
      </c>
      <c r="DZ64" s="177">
        <f t="shared" si="205"/>
        <v>-9.0129644517545682E-2</v>
      </c>
      <c r="EA64" s="177">
        <f t="shared" si="205"/>
        <v>-4.8725800830553334E-2</v>
      </c>
      <c r="EB64" s="55">
        <f t="shared" si="205"/>
        <v>-7.1710509027546054E-2</v>
      </c>
      <c r="EC64" s="177">
        <f t="shared" si="205"/>
        <v>-3.6298148574448907E-2</v>
      </c>
      <c r="ED64" s="177">
        <f t="shared" si="205"/>
        <v>-7.0273848333685107E-3</v>
      </c>
      <c r="EE64" s="177">
        <f t="shared" si="205"/>
        <v>1.4634017561864665E-2</v>
      </c>
      <c r="EF64" s="177">
        <f t="shared" si="205"/>
        <v>2.4537921375223481E-2</v>
      </c>
      <c r="EG64" s="55">
        <f t="shared" si="205"/>
        <v>7.3748469299916852E-3</v>
      </c>
      <c r="EH64" s="177">
        <f t="shared" ref="EH64" si="206">EH63/EC63-1</f>
        <v>2.4541251144559517E-2</v>
      </c>
      <c r="EI64" s="177">
        <f t="shared" ref="EI64" si="207">EI63/ED63-1</f>
        <v>2.5046953081140799E-2</v>
      </c>
      <c r="EJ64" s="177">
        <f t="shared" ref="EJ64" si="208">EJ63/EE63-1</f>
        <v>2.6899441225521903E-2</v>
      </c>
      <c r="EK64" s="177">
        <f t="shared" ref="EK64" si="209">EK63/EF63-1</f>
        <v>3.0758138339618935E-2</v>
      </c>
      <c r="EL64" s="55">
        <f t="shared" ref="EL64" si="210">EL63/EG63-1</f>
        <v>4.0531348728090721E-2</v>
      </c>
    </row>
    <row r="65" spans="1:142" ht="11.25" customHeight="1">
      <c r="A65" s="415"/>
      <c r="B65" s="415" t="s">
        <v>219</v>
      </c>
      <c r="C65" s="458"/>
      <c r="D65" s="458" t="str">
        <f t="shared" ref="D65:AT65" si="211">IF(ISERROR(D63/D$23),"nm",D63/D$23)</f>
        <v>nm</v>
      </c>
      <c r="E65" s="458" t="str">
        <f t="shared" si="211"/>
        <v>nm</v>
      </c>
      <c r="F65" s="458" t="str">
        <f t="shared" si="211"/>
        <v>nm</v>
      </c>
      <c r="G65" s="458" t="str">
        <f t="shared" si="211"/>
        <v>nm</v>
      </c>
      <c r="H65" s="462" t="str">
        <f t="shared" si="211"/>
        <v>nm</v>
      </c>
      <c r="I65" s="458" t="str">
        <f t="shared" si="211"/>
        <v>nm</v>
      </c>
      <c r="J65" s="458" t="str">
        <f t="shared" si="211"/>
        <v>nm</v>
      </c>
      <c r="K65" s="458" t="str">
        <f t="shared" si="211"/>
        <v>nm</v>
      </c>
      <c r="L65" s="458" t="str">
        <f t="shared" si="211"/>
        <v>nm</v>
      </c>
      <c r="M65" s="462" t="str">
        <f t="shared" si="211"/>
        <v>nm</v>
      </c>
      <c r="N65" s="458" t="str">
        <f t="shared" si="211"/>
        <v>nm</v>
      </c>
      <c r="O65" s="458" t="str">
        <f t="shared" si="211"/>
        <v>nm</v>
      </c>
      <c r="P65" s="458" t="str">
        <f t="shared" si="211"/>
        <v>nm</v>
      </c>
      <c r="Q65" s="458" t="str">
        <f t="shared" si="211"/>
        <v>nm</v>
      </c>
      <c r="R65" s="462" t="str">
        <f t="shared" si="211"/>
        <v>nm</v>
      </c>
      <c r="S65" s="458" t="str">
        <f t="shared" si="211"/>
        <v>nm</v>
      </c>
      <c r="T65" s="458" t="str">
        <f t="shared" si="211"/>
        <v>nm</v>
      </c>
      <c r="U65" s="458" t="str">
        <f t="shared" si="211"/>
        <v>nm</v>
      </c>
      <c r="V65" s="458" t="str">
        <f t="shared" si="211"/>
        <v>nm</v>
      </c>
      <c r="W65" s="462" t="str">
        <f t="shared" si="211"/>
        <v>nm</v>
      </c>
      <c r="X65" s="458" t="str">
        <f t="shared" si="211"/>
        <v>nm</v>
      </c>
      <c r="Y65" s="458" t="str">
        <f t="shared" si="211"/>
        <v>nm</v>
      </c>
      <c r="Z65" s="458" t="str">
        <f t="shared" si="211"/>
        <v>nm</v>
      </c>
      <c r="AA65" s="458" t="str">
        <f t="shared" si="211"/>
        <v>nm</v>
      </c>
      <c r="AB65" s="462" t="str">
        <f t="shared" si="211"/>
        <v>nm</v>
      </c>
      <c r="AC65" s="458" t="str">
        <f t="shared" si="211"/>
        <v>nm</v>
      </c>
      <c r="AD65" s="458" t="str">
        <f t="shared" si="211"/>
        <v>nm</v>
      </c>
      <c r="AE65" s="458" t="str">
        <f t="shared" si="211"/>
        <v>nm</v>
      </c>
      <c r="AF65" s="458" t="str">
        <f t="shared" si="211"/>
        <v>nm</v>
      </c>
      <c r="AG65" s="462" t="str">
        <f t="shared" si="211"/>
        <v>nm</v>
      </c>
      <c r="AH65" s="458" t="str">
        <f t="shared" si="211"/>
        <v>nm</v>
      </c>
      <c r="AI65" s="458" t="str">
        <f t="shared" si="211"/>
        <v>nm</v>
      </c>
      <c r="AJ65" s="458" t="str">
        <f t="shared" si="211"/>
        <v>nm</v>
      </c>
      <c r="AK65" s="458" t="str">
        <f t="shared" si="211"/>
        <v>nm</v>
      </c>
      <c r="AL65" s="462" t="str">
        <f t="shared" si="211"/>
        <v>nm</v>
      </c>
      <c r="AM65" s="458" t="str">
        <f t="shared" si="211"/>
        <v>nm</v>
      </c>
      <c r="AN65" s="458" t="str">
        <f t="shared" si="211"/>
        <v>nm</v>
      </c>
      <c r="AO65" s="458" t="str">
        <f t="shared" si="211"/>
        <v>nm</v>
      </c>
      <c r="AP65" s="458" t="str">
        <f t="shared" si="211"/>
        <v>nm</v>
      </c>
      <c r="AQ65" s="462" t="str">
        <f t="shared" si="211"/>
        <v>nm</v>
      </c>
      <c r="AR65" s="458" t="str">
        <f t="shared" si="211"/>
        <v>nm</v>
      </c>
      <c r="AS65" s="458" t="str">
        <f t="shared" si="211"/>
        <v>nm</v>
      </c>
      <c r="AT65" s="458" t="str">
        <f t="shared" si="211"/>
        <v>nm</v>
      </c>
      <c r="AU65" s="395"/>
      <c r="AV65" s="458" t="str">
        <f>IF(ISERROR(AV63/AV$23),"nm",AV63/AV$23)</f>
        <v>nm</v>
      </c>
      <c r="AW65" s="458" t="str">
        <f>IF(ISERROR(AW63/AW$23),"nm",AW63/AW$23)</f>
        <v>nm</v>
      </c>
      <c r="AX65" s="458" t="str">
        <f>IF(ISERROR(AX63/AX$23),"nm",AX63/AX$23)</f>
        <v>nm</v>
      </c>
      <c r="AY65" s="458" t="str">
        <f>IF(ISERROR(AY63/AY$23),"nm",AY63/AY$23)</f>
        <v>nm</v>
      </c>
      <c r="AZ65" s="55" t="e">
        <f>AZ63/AZ$23</f>
        <v>#REF!</v>
      </c>
      <c r="BA65" s="458" t="str">
        <f>IF(ISERROR(BA63/BA$23),"nm",BA63/BA$23)</f>
        <v>nm</v>
      </c>
      <c r="BB65" s="458" t="str">
        <f>IF(ISERROR(BB63/BB$23),"nm",BB63/BB$23)</f>
        <v>nm</v>
      </c>
      <c r="BC65" s="458" t="str">
        <f>IF(ISERROR(BC63/BC$23),"nm",BC63/BC$23)</f>
        <v>nm</v>
      </c>
      <c r="BD65" s="458" t="str">
        <f>IF(ISERROR(BD63/BD$23),"nm",BD63/BD$23)</f>
        <v>nm</v>
      </c>
      <c r="BE65" s="55" t="e">
        <f>BE63/BE$23</f>
        <v>#REF!</v>
      </c>
      <c r="BF65" s="458" t="str">
        <f>IF(ISERROR(BF63/BF$23),"nm",BF63/BF$23)</f>
        <v>nm</v>
      </c>
      <c r="BG65" s="458" t="str">
        <f>IF(ISERROR(BG63/BG$23),"nm",BG63/BG$23)</f>
        <v>nm</v>
      </c>
      <c r="BH65" s="458" t="str">
        <f>IF(ISERROR(BH63/BH$23),"nm",BH63/BH$23)</f>
        <v>nm</v>
      </c>
      <c r="BI65" s="458" t="str">
        <f>IF(ISERROR(BI63/BI$23),"nm",BI63/BI$23)</f>
        <v>nm</v>
      </c>
      <c r="BJ65" s="55" t="e">
        <f t="shared" ref="BJ65:CO65" si="212">BJ63/BJ$23</f>
        <v>#REF!</v>
      </c>
      <c r="BK65" s="177" t="e">
        <f t="shared" si="212"/>
        <v>#REF!</v>
      </c>
      <c r="BL65" s="177" t="e">
        <f t="shared" si="212"/>
        <v>#REF!</v>
      </c>
      <c r="BM65" s="177" t="e">
        <f t="shared" si="212"/>
        <v>#REF!</v>
      </c>
      <c r="BN65" s="177" t="e">
        <f t="shared" si="212"/>
        <v>#REF!</v>
      </c>
      <c r="BO65" s="55" t="e">
        <f t="shared" si="212"/>
        <v>#REF!</v>
      </c>
      <c r="BP65" s="177" t="e">
        <f t="shared" si="212"/>
        <v>#REF!</v>
      </c>
      <c r="BQ65" s="177" t="e">
        <f t="shared" si="212"/>
        <v>#REF!</v>
      </c>
      <c r="BR65" s="177" t="e">
        <f t="shared" si="212"/>
        <v>#REF!</v>
      </c>
      <c r="BS65" s="177" t="e">
        <f t="shared" si="212"/>
        <v>#REF!</v>
      </c>
      <c r="BT65" s="55" t="e">
        <f t="shared" si="212"/>
        <v>#REF!</v>
      </c>
      <c r="BU65" s="177" t="e">
        <f t="shared" si="212"/>
        <v>#REF!</v>
      </c>
      <c r="BV65" s="177" t="e">
        <f t="shared" si="212"/>
        <v>#REF!</v>
      </c>
      <c r="BW65" s="177" t="e">
        <f t="shared" si="212"/>
        <v>#REF!</v>
      </c>
      <c r="BX65" s="177" t="e">
        <f t="shared" si="212"/>
        <v>#REF!</v>
      </c>
      <c r="BY65" s="55" t="e">
        <f t="shared" si="212"/>
        <v>#REF!</v>
      </c>
      <c r="BZ65" s="177" t="e">
        <f t="shared" si="212"/>
        <v>#REF!</v>
      </c>
      <c r="CA65" s="177" t="e">
        <f t="shared" si="212"/>
        <v>#REF!</v>
      </c>
      <c r="CB65" s="177" t="e">
        <f t="shared" si="212"/>
        <v>#REF!</v>
      </c>
      <c r="CC65" s="177" t="e">
        <f t="shared" si="212"/>
        <v>#REF!</v>
      </c>
      <c r="CD65" s="55" t="e">
        <f t="shared" si="212"/>
        <v>#REF!</v>
      </c>
      <c r="CE65" s="177" t="e">
        <f t="shared" si="212"/>
        <v>#REF!</v>
      </c>
      <c r="CF65" s="177" t="e">
        <f t="shared" si="212"/>
        <v>#REF!</v>
      </c>
      <c r="CG65" s="177" t="e">
        <f t="shared" si="212"/>
        <v>#REF!</v>
      </c>
      <c r="CH65" s="177" t="e">
        <f t="shared" si="212"/>
        <v>#REF!</v>
      </c>
      <c r="CI65" s="55" t="e">
        <f t="shared" si="212"/>
        <v>#REF!</v>
      </c>
      <c r="CJ65" s="177" t="e">
        <f t="shared" si="212"/>
        <v>#REF!</v>
      </c>
      <c r="CK65" s="177" t="e">
        <f t="shared" si="212"/>
        <v>#REF!</v>
      </c>
      <c r="CL65" s="177" t="e">
        <f t="shared" si="212"/>
        <v>#REF!</v>
      </c>
      <c r="CM65" s="177" t="e">
        <f t="shared" si="212"/>
        <v>#REF!</v>
      </c>
      <c r="CN65" s="55" t="e">
        <f t="shared" si="212"/>
        <v>#REF!</v>
      </c>
      <c r="CO65" s="177" t="e">
        <f t="shared" si="212"/>
        <v>#REF!</v>
      </c>
      <c r="CP65" s="177" t="e">
        <f t="shared" ref="CP65:DR65" si="213">CP63/CP$23</f>
        <v>#REF!</v>
      </c>
      <c r="CQ65" s="177" t="e">
        <f t="shared" si="213"/>
        <v>#REF!</v>
      </c>
      <c r="CR65" s="177" t="e">
        <f t="shared" si="213"/>
        <v>#REF!</v>
      </c>
      <c r="CS65" s="55" t="e">
        <f t="shared" si="213"/>
        <v>#REF!</v>
      </c>
      <c r="CT65" s="177" t="e">
        <f t="shared" si="213"/>
        <v>#REF!</v>
      </c>
      <c r="CU65" s="177" t="e">
        <f t="shared" si="213"/>
        <v>#REF!</v>
      </c>
      <c r="CV65" s="177" t="e">
        <f t="shared" si="213"/>
        <v>#REF!</v>
      </c>
      <c r="CW65" s="177" t="e">
        <f t="shared" si="213"/>
        <v>#REF!</v>
      </c>
      <c r="CX65" s="55" t="e">
        <f t="shared" si="213"/>
        <v>#REF!</v>
      </c>
      <c r="CY65" s="177" t="e">
        <f t="shared" si="213"/>
        <v>#REF!</v>
      </c>
      <c r="CZ65" s="177" t="e">
        <f t="shared" si="213"/>
        <v>#REF!</v>
      </c>
      <c r="DA65" s="177" t="e">
        <f t="shared" si="213"/>
        <v>#REF!</v>
      </c>
      <c r="DB65" s="177" t="e">
        <f t="shared" si="213"/>
        <v>#REF!</v>
      </c>
      <c r="DC65" s="55" t="e">
        <f t="shared" si="213"/>
        <v>#REF!</v>
      </c>
      <c r="DD65" s="177">
        <v>0.82396655829075705</v>
      </c>
      <c r="DE65" s="177">
        <v>0.83447959651535997</v>
      </c>
      <c r="DF65" s="177">
        <v>0.84123757904245711</v>
      </c>
      <c r="DG65" s="177">
        <v>0.79892205638474301</v>
      </c>
      <c r="DH65" s="55">
        <v>0.82405133928571428</v>
      </c>
      <c r="DI65" s="177">
        <f>DI63/DI$23</f>
        <v>0.81506992277186396</v>
      </c>
      <c r="DJ65" s="177">
        <f>DJ63/DJ$23</f>
        <v>0.77167630057803471</v>
      </c>
      <c r="DK65" s="177">
        <f>DK63/DK$23</f>
        <v>0.775034564487458</v>
      </c>
      <c r="DL65" s="177">
        <f>DL63/DL$23</f>
        <v>0.776075318441942</v>
      </c>
      <c r="DM65" s="55">
        <f t="shared" si="213"/>
        <v>0.81114812789020929</v>
      </c>
      <c r="DN65" s="177">
        <f>DN63/DN$23</f>
        <v>0.76328413284132846</v>
      </c>
      <c r="DO65" s="177">
        <f>DO63/DO$23</f>
        <v>0.76111111111111107</v>
      </c>
      <c r="DP65" s="177">
        <f>DP63/DP$23</f>
        <v>0.76552914110429449</v>
      </c>
      <c r="DQ65" s="177">
        <f>DQ63/DQ$23</f>
        <v>0.76006904487917148</v>
      </c>
      <c r="DR65" s="55">
        <f t="shared" si="213"/>
        <v>0.80802088277171336</v>
      </c>
      <c r="DS65" s="177">
        <f t="shared" ref="DS65:EG65" si="214">DS63/DS$23</f>
        <v>0.77078521939953815</v>
      </c>
      <c r="DT65" s="177">
        <f t="shared" si="214"/>
        <v>0.76300019331142466</v>
      </c>
      <c r="DU65" s="177">
        <f t="shared" si="214"/>
        <v>0.76522971058490186</v>
      </c>
      <c r="DV65" s="177">
        <f t="shared" ref="DV65" si="215">DV63/DV$23</f>
        <v>0.71978125589289077</v>
      </c>
      <c r="DW65" s="55">
        <f t="shared" si="214"/>
        <v>0.80391015378644548</v>
      </c>
      <c r="DX65" s="177">
        <f t="shared" si="214"/>
        <v>0.74139999999999995</v>
      </c>
      <c r="DY65" s="177">
        <f t="shared" si="214"/>
        <v>0.73049999999999993</v>
      </c>
      <c r="DZ65" s="177">
        <f t="shared" si="214"/>
        <v>0.72499999999999998</v>
      </c>
      <c r="EA65" s="177">
        <f t="shared" si="214"/>
        <v>0.72899999999999998</v>
      </c>
      <c r="EB65" s="55">
        <f t="shared" si="214"/>
        <v>0.78320577474770348</v>
      </c>
      <c r="EC65" s="177">
        <f t="shared" si="214"/>
        <v>0.72499999999999998</v>
      </c>
      <c r="ED65" s="177">
        <f t="shared" si="214"/>
        <v>0.72400000000000009</v>
      </c>
      <c r="EE65" s="177">
        <f t="shared" si="214"/>
        <v>0.72100000000000009</v>
      </c>
      <c r="EF65" s="177">
        <f t="shared" si="214"/>
        <v>0.71899999999999997</v>
      </c>
      <c r="EG65" s="55">
        <f t="shared" si="214"/>
        <v>0.77997852001375856</v>
      </c>
      <c r="EH65" s="177">
        <f t="shared" ref="EH65:EL65" si="216">EH63/EH$23</f>
        <v>0.71100000000000008</v>
      </c>
      <c r="EI65" s="177">
        <f t="shared" si="216"/>
        <v>0.71099999999999997</v>
      </c>
      <c r="EJ65" s="177">
        <f t="shared" si="216"/>
        <v>0.71000000000000008</v>
      </c>
      <c r="EK65" s="177">
        <f t="shared" si="216"/>
        <v>0.71000000000000008</v>
      </c>
      <c r="EL65" s="55">
        <f t="shared" si="216"/>
        <v>0.7775453982373064</v>
      </c>
    </row>
    <row r="66" spans="1:142" ht="11.25" customHeight="1">
      <c r="A66" s="415"/>
      <c r="B66" s="415" t="s">
        <v>220</v>
      </c>
      <c r="C66" s="458"/>
      <c r="D66" s="458" t="str">
        <f t="shared" ref="D66:AT66" si="217">IF(ISERROR(D63/D$25),"nm",D63/D$25)</f>
        <v>nm</v>
      </c>
      <c r="E66" s="458" t="str">
        <f t="shared" si="217"/>
        <v>nm</v>
      </c>
      <c r="F66" s="458" t="str">
        <f t="shared" si="217"/>
        <v>nm</v>
      </c>
      <c r="G66" s="458" t="str">
        <f t="shared" si="217"/>
        <v>nm</v>
      </c>
      <c r="H66" s="462" t="str">
        <f t="shared" si="217"/>
        <v>nm</v>
      </c>
      <c r="I66" s="458" t="str">
        <f t="shared" si="217"/>
        <v>nm</v>
      </c>
      <c r="J66" s="458" t="str">
        <f t="shared" si="217"/>
        <v>nm</v>
      </c>
      <c r="K66" s="458" t="str">
        <f t="shared" si="217"/>
        <v>nm</v>
      </c>
      <c r="L66" s="458" t="str">
        <f t="shared" si="217"/>
        <v>nm</v>
      </c>
      <c r="M66" s="462" t="str">
        <f t="shared" si="217"/>
        <v>nm</v>
      </c>
      <c r="N66" s="458" t="str">
        <f t="shared" si="217"/>
        <v>nm</v>
      </c>
      <c r="O66" s="458" t="str">
        <f t="shared" si="217"/>
        <v>nm</v>
      </c>
      <c r="P66" s="458" t="str">
        <f t="shared" si="217"/>
        <v>nm</v>
      </c>
      <c r="Q66" s="458" t="str">
        <f t="shared" si="217"/>
        <v>nm</v>
      </c>
      <c r="R66" s="462" t="str">
        <f t="shared" si="217"/>
        <v>nm</v>
      </c>
      <c r="S66" s="458" t="str">
        <f t="shared" si="217"/>
        <v>nm</v>
      </c>
      <c r="T66" s="458" t="str">
        <f t="shared" si="217"/>
        <v>nm</v>
      </c>
      <c r="U66" s="458" t="str">
        <f t="shared" si="217"/>
        <v>nm</v>
      </c>
      <c r="V66" s="458" t="str">
        <f t="shared" si="217"/>
        <v>nm</v>
      </c>
      <c r="W66" s="462" t="str">
        <f t="shared" si="217"/>
        <v>nm</v>
      </c>
      <c r="X66" s="458" t="str">
        <f t="shared" si="217"/>
        <v>nm</v>
      </c>
      <c r="Y66" s="458" t="str">
        <f t="shared" si="217"/>
        <v>nm</v>
      </c>
      <c r="Z66" s="458" t="str">
        <f t="shared" si="217"/>
        <v>nm</v>
      </c>
      <c r="AA66" s="458" t="str">
        <f t="shared" si="217"/>
        <v>nm</v>
      </c>
      <c r="AB66" s="462" t="str">
        <f t="shared" si="217"/>
        <v>nm</v>
      </c>
      <c r="AC66" s="458" t="str">
        <f t="shared" si="217"/>
        <v>nm</v>
      </c>
      <c r="AD66" s="458" t="str">
        <f t="shared" si="217"/>
        <v>nm</v>
      </c>
      <c r="AE66" s="458" t="str">
        <f t="shared" si="217"/>
        <v>nm</v>
      </c>
      <c r="AF66" s="458" t="str">
        <f t="shared" si="217"/>
        <v>nm</v>
      </c>
      <c r="AG66" s="462" t="str">
        <f t="shared" si="217"/>
        <v>nm</v>
      </c>
      <c r="AH66" s="458" t="str">
        <f t="shared" si="217"/>
        <v>nm</v>
      </c>
      <c r="AI66" s="458" t="str">
        <f t="shared" si="217"/>
        <v>nm</v>
      </c>
      <c r="AJ66" s="458" t="str">
        <f t="shared" si="217"/>
        <v>nm</v>
      </c>
      <c r="AK66" s="458" t="str">
        <f t="shared" si="217"/>
        <v>nm</v>
      </c>
      <c r="AL66" s="462" t="str">
        <f t="shared" si="217"/>
        <v>nm</v>
      </c>
      <c r="AM66" s="458" t="str">
        <f t="shared" si="217"/>
        <v>nm</v>
      </c>
      <c r="AN66" s="458" t="str">
        <f t="shared" si="217"/>
        <v>nm</v>
      </c>
      <c r="AO66" s="458" t="str">
        <f t="shared" si="217"/>
        <v>nm</v>
      </c>
      <c r="AP66" s="458" t="str">
        <f t="shared" si="217"/>
        <v>nm</v>
      </c>
      <c r="AQ66" s="462" t="str">
        <f t="shared" si="217"/>
        <v>nm</v>
      </c>
      <c r="AR66" s="458" t="str">
        <f t="shared" si="217"/>
        <v>nm</v>
      </c>
      <c r="AS66" s="458" t="str">
        <f t="shared" si="217"/>
        <v>nm</v>
      </c>
      <c r="AT66" s="458" t="str">
        <f t="shared" si="217"/>
        <v>nm</v>
      </c>
      <c r="AU66" s="395"/>
      <c r="AV66" s="458" t="str">
        <f>IF(ISERROR(AV63/AV$25),"nm",AV63/AV$25)</f>
        <v>nm</v>
      </c>
      <c r="AW66" s="458" t="str">
        <f>IF(ISERROR(AW63/AW$25),"nm",AW63/AW$25)</f>
        <v>nm</v>
      </c>
      <c r="AX66" s="458" t="str">
        <f>IF(ISERROR(AX63/AX$25),"nm",AX63/AX$25)</f>
        <v>nm</v>
      </c>
      <c r="AY66" s="458" t="str">
        <f>IF(ISERROR(AY63/AY$25),"nm",AY63/AY$25)</f>
        <v>nm</v>
      </c>
      <c r="AZ66" s="55" t="e">
        <f>AZ63/AZ$25</f>
        <v>#REF!</v>
      </c>
      <c r="BA66" s="458" t="str">
        <f>IF(ISERROR(BA63/BA$25),"nm",BA63/BA$25)</f>
        <v>nm</v>
      </c>
      <c r="BB66" s="458" t="str">
        <f>IF(ISERROR(BB63/BB$25),"nm",BB63/BB$25)</f>
        <v>nm</v>
      </c>
      <c r="BC66" s="458" t="str">
        <f>IF(ISERROR(BC63/BC$25),"nm",BC63/BC$25)</f>
        <v>nm</v>
      </c>
      <c r="BD66" s="458" t="str">
        <f>IF(ISERROR(BD63/BD$25),"nm",BD63/BD$25)</f>
        <v>nm</v>
      </c>
      <c r="BE66" s="55" t="e">
        <f>BE63/BE$25</f>
        <v>#REF!</v>
      </c>
      <c r="BF66" s="458" t="str">
        <f>IF(ISERROR(BF63/BF$25),"nm",BF63/BF$25)</f>
        <v>nm</v>
      </c>
      <c r="BG66" s="458" t="str">
        <f>IF(ISERROR(BG63/BG$25),"nm",BG63/BG$25)</f>
        <v>nm</v>
      </c>
      <c r="BH66" s="458" t="str">
        <f>IF(ISERROR(BH63/BH$25),"nm",BH63/BH$25)</f>
        <v>nm</v>
      </c>
      <c r="BI66" s="458" t="str">
        <f>IF(ISERROR(BI63/BI$25),"nm",BI63/BI$25)</f>
        <v>nm</v>
      </c>
      <c r="BJ66" s="55" t="e">
        <f t="shared" ref="BJ66:CO66" si="218">BJ63/BJ$25</f>
        <v>#REF!</v>
      </c>
      <c r="BK66" s="177" t="e">
        <f t="shared" si="218"/>
        <v>#REF!</v>
      </c>
      <c r="BL66" s="177" t="e">
        <f t="shared" si="218"/>
        <v>#REF!</v>
      </c>
      <c r="BM66" s="177" t="e">
        <f t="shared" si="218"/>
        <v>#REF!</v>
      </c>
      <c r="BN66" s="177" t="e">
        <f t="shared" si="218"/>
        <v>#REF!</v>
      </c>
      <c r="BO66" s="55" t="e">
        <f t="shared" si="218"/>
        <v>#REF!</v>
      </c>
      <c r="BP66" s="177" t="e">
        <f t="shared" si="218"/>
        <v>#REF!</v>
      </c>
      <c r="BQ66" s="177" t="e">
        <f t="shared" si="218"/>
        <v>#REF!</v>
      </c>
      <c r="BR66" s="177" t="e">
        <f t="shared" si="218"/>
        <v>#REF!</v>
      </c>
      <c r="BS66" s="177" t="e">
        <f t="shared" si="218"/>
        <v>#REF!</v>
      </c>
      <c r="BT66" s="55" t="e">
        <f t="shared" si="218"/>
        <v>#REF!</v>
      </c>
      <c r="BU66" s="177" t="e">
        <f t="shared" si="218"/>
        <v>#REF!</v>
      </c>
      <c r="BV66" s="177" t="e">
        <f t="shared" si="218"/>
        <v>#REF!</v>
      </c>
      <c r="BW66" s="177" t="e">
        <f t="shared" si="218"/>
        <v>#REF!</v>
      </c>
      <c r="BX66" s="177" t="e">
        <f t="shared" si="218"/>
        <v>#REF!</v>
      </c>
      <c r="BY66" s="55" t="e">
        <f t="shared" si="218"/>
        <v>#REF!</v>
      </c>
      <c r="BZ66" s="177" t="e">
        <f t="shared" si="218"/>
        <v>#REF!</v>
      </c>
      <c r="CA66" s="177" t="e">
        <f t="shared" si="218"/>
        <v>#REF!</v>
      </c>
      <c r="CB66" s="177" t="e">
        <f t="shared" si="218"/>
        <v>#REF!</v>
      </c>
      <c r="CC66" s="177" t="e">
        <f t="shared" si="218"/>
        <v>#REF!</v>
      </c>
      <c r="CD66" s="55" t="e">
        <f t="shared" si="218"/>
        <v>#REF!</v>
      </c>
      <c r="CE66" s="177" t="e">
        <f t="shared" si="218"/>
        <v>#REF!</v>
      </c>
      <c r="CF66" s="177" t="e">
        <f t="shared" si="218"/>
        <v>#REF!</v>
      </c>
      <c r="CG66" s="177" t="e">
        <f t="shared" si="218"/>
        <v>#REF!</v>
      </c>
      <c r="CH66" s="177" t="e">
        <f t="shared" si="218"/>
        <v>#REF!</v>
      </c>
      <c r="CI66" s="55" t="e">
        <f t="shared" si="218"/>
        <v>#REF!</v>
      </c>
      <c r="CJ66" s="177" t="e">
        <f t="shared" si="218"/>
        <v>#REF!</v>
      </c>
      <c r="CK66" s="177" t="e">
        <f t="shared" si="218"/>
        <v>#REF!</v>
      </c>
      <c r="CL66" s="177" t="e">
        <f t="shared" si="218"/>
        <v>#REF!</v>
      </c>
      <c r="CM66" s="177" t="e">
        <f t="shared" si="218"/>
        <v>#REF!</v>
      </c>
      <c r="CN66" s="55" t="e">
        <f t="shared" si="218"/>
        <v>#REF!</v>
      </c>
      <c r="CO66" s="177" t="e">
        <f t="shared" si="218"/>
        <v>#REF!</v>
      </c>
      <c r="CP66" s="177" t="e">
        <f t="shared" ref="CP66:DR66" si="219">CP63/CP$25</f>
        <v>#REF!</v>
      </c>
      <c r="CQ66" s="177" t="e">
        <f t="shared" si="219"/>
        <v>#REF!</v>
      </c>
      <c r="CR66" s="177" t="e">
        <f t="shared" si="219"/>
        <v>#REF!</v>
      </c>
      <c r="CS66" s="55" t="e">
        <f t="shared" si="219"/>
        <v>#REF!</v>
      </c>
      <c r="CT66" s="177" t="e">
        <f t="shared" si="219"/>
        <v>#REF!</v>
      </c>
      <c r="CU66" s="177" t="e">
        <f t="shared" si="219"/>
        <v>#REF!</v>
      </c>
      <c r="CV66" s="177" t="e">
        <f t="shared" si="219"/>
        <v>#REF!</v>
      </c>
      <c r="CW66" s="177" t="e">
        <f t="shared" si="219"/>
        <v>#REF!</v>
      </c>
      <c r="CX66" s="55" t="e">
        <f t="shared" si="219"/>
        <v>#REF!</v>
      </c>
      <c r="CY66" s="177" t="e">
        <f t="shared" si="219"/>
        <v>#REF!</v>
      </c>
      <c r="CZ66" s="177" t="e">
        <f t="shared" si="219"/>
        <v>#REF!</v>
      </c>
      <c r="DA66" s="177" t="e">
        <f t="shared" si="219"/>
        <v>#REF!</v>
      </c>
      <c r="DB66" s="177" t="e">
        <f t="shared" si="219"/>
        <v>#REF!</v>
      </c>
      <c r="DC66" s="55" t="e">
        <f t="shared" si="219"/>
        <v>#REF!</v>
      </c>
      <c r="DD66" s="177">
        <v>0.90371879775853281</v>
      </c>
      <c r="DE66" s="177">
        <v>0.90054428500742212</v>
      </c>
      <c r="DF66" s="177">
        <v>0.89136156975352954</v>
      </c>
      <c r="DG66" s="177">
        <v>0.86257833482542523</v>
      </c>
      <c r="DH66" s="55">
        <v>0.88877520312970204</v>
      </c>
      <c r="DI66" s="177">
        <f>DI63/DI$25</f>
        <v>0.88268535262206149</v>
      </c>
      <c r="DJ66" s="177">
        <f>DJ63/DJ$25</f>
        <v>0.83214603739982196</v>
      </c>
      <c r="DK66" s="177">
        <f>DK63/DK$25</f>
        <v>0.83631713554987208</v>
      </c>
      <c r="DL66" s="177">
        <f>DL63/DL$25</f>
        <v>0.83645045762037407</v>
      </c>
      <c r="DM66" s="55">
        <f t="shared" si="219"/>
        <v>0.87544273907910275</v>
      </c>
      <c r="DN66" s="177">
        <f>DN63/DN$25</f>
        <v>0.82018239492466294</v>
      </c>
      <c r="DO66" s="177">
        <f>DO63/DO$25</f>
        <v>0.8161462612982745</v>
      </c>
      <c r="DP66" s="177">
        <f>DP63/DP$25</f>
        <v>0.8234687564446278</v>
      </c>
      <c r="DQ66" s="177">
        <f>DQ63/DQ$25</f>
        <v>0.8154320987654321</v>
      </c>
      <c r="DR66" s="55">
        <f t="shared" si="219"/>
        <v>0.8676927781458641</v>
      </c>
      <c r="DS66" s="177">
        <f t="shared" ref="DS66:EG66" si="220">DS63/DS$25</f>
        <v>0.83212133804280075</v>
      </c>
      <c r="DT66" s="177">
        <f t="shared" si="220"/>
        <v>0.82194918783840065</v>
      </c>
      <c r="DU66" s="177">
        <f t="shared" si="220"/>
        <v>0.82446576537287397</v>
      </c>
      <c r="DV66" s="177">
        <f t="shared" ref="DV66" si="221">DV63/DV$25</f>
        <v>0.76677380474085977</v>
      </c>
      <c r="DW66" s="55">
        <f t="shared" si="220"/>
        <v>0.86401793628447776</v>
      </c>
      <c r="DX66" s="177">
        <f t="shared" si="220"/>
        <v>0.80272059920822059</v>
      </c>
      <c r="DY66" s="177">
        <f t="shared" si="220"/>
        <v>0.79097344233165257</v>
      </c>
      <c r="DZ66" s="177">
        <f t="shared" si="220"/>
        <v>0.78505780499220623</v>
      </c>
      <c r="EA66" s="177">
        <f t="shared" si="220"/>
        <v>0.78917176668296352</v>
      </c>
      <c r="EB66" s="55">
        <f t="shared" si="220"/>
        <v>0.84798964226474993</v>
      </c>
      <c r="EC66" s="177">
        <f t="shared" si="220"/>
        <v>0.78397747702842424</v>
      </c>
      <c r="ED66" s="177">
        <f t="shared" si="220"/>
        <v>0.78292246870076398</v>
      </c>
      <c r="EE66" s="177">
        <f t="shared" si="220"/>
        <v>0.77968650183797528</v>
      </c>
      <c r="EF66" s="177">
        <f t="shared" si="220"/>
        <v>0.77770123906684951</v>
      </c>
      <c r="EG66" s="55">
        <f t="shared" si="220"/>
        <v>0.84350440102937163</v>
      </c>
      <c r="EH66" s="177">
        <f t="shared" ref="EH66:EL66" si="222">EH63/EH$25</f>
        <v>0.76784833572095856</v>
      </c>
      <c r="EI66" s="177">
        <f t="shared" si="222"/>
        <v>0.76787607165940464</v>
      </c>
      <c r="EJ66" s="177">
        <f t="shared" si="222"/>
        <v>0.76680722866491002</v>
      </c>
      <c r="EK66" s="177">
        <f t="shared" si="222"/>
        <v>0.76700249763148654</v>
      </c>
      <c r="EL66" s="55">
        <f t="shared" si="222"/>
        <v>0.83979909247542794</v>
      </c>
    </row>
    <row r="67" spans="1:142" ht="11.25" customHeight="1">
      <c r="A67" s="4"/>
      <c r="B67" s="4" t="s">
        <v>231</v>
      </c>
      <c r="C67" s="438"/>
      <c r="D67" s="438" t="str">
        <f t="shared" ref="D67:AT67" si="223">IF(ISERROR(1000000*D63/D$15),"nm",1000000*D63/D$15)</f>
        <v>nm</v>
      </c>
      <c r="E67" s="438" t="str">
        <f t="shared" si="223"/>
        <v>nm</v>
      </c>
      <c r="F67" s="438" t="str">
        <f t="shared" si="223"/>
        <v>nm</v>
      </c>
      <c r="G67" s="438" t="str">
        <f t="shared" si="223"/>
        <v>nm</v>
      </c>
      <c r="H67" s="442" t="str">
        <f t="shared" si="223"/>
        <v>nm</v>
      </c>
      <c r="I67" s="438" t="str">
        <f t="shared" si="223"/>
        <v>nm</v>
      </c>
      <c r="J67" s="438" t="str">
        <f t="shared" si="223"/>
        <v>nm</v>
      </c>
      <c r="K67" s="438" t="str">
        <f t="shared" si="223"/>
        <v>nm</v>
      </c>
      <c r="L67" s="438" t="str">
        <f t="shared" si="223"/>
        <v>nm</v>
      </c>
      <c r="M67" s="442" t="str">
        <f t="shared" si="223"/>
        <v>nm</v>
      </c>
      <c r="N67" s="438" t="str">
        <f t="shared" si="223"/>
        <v>nm</v>
      </c>
      <c r="O67" s="438" t="str">
        <f t="shared" si="223"/>
        <v>nm</v>
      </c>
      <c r="P67" s="438" t="str">
        <f t="shared" si="223"/>
        <v>nm</v>
      </c>
      <c r="Q67" s="438" t="str">
        <f t="shared" si="223"/>
        <v>nm</v>
      </c>
      <c r="R67" s="442" t="str">
        <f t="shared" si="223"/>
        <v>nm</v>
      </c>
      <c r="S67" s="438" t="str">
        <f t="shared" si="223"/>
        <v>nm</v>
      </c>
      <c r="T67" s="438" t="str">
        <f t="shared" si="223"/>
        <v>nm</v>
      </c>
      <c r="U67" s="438" t="str">
        <f t="shared" si="223"/>
        <v>nm</v>
      </c>
      <c r="V67" s="438" t="str">
        <f t="shared" si="223"/>
        <v>nm</v>
      </c>
      <c r="W67" s="442" t="str">
        <f t="shared" si="223"/>
        <v>nm</v>
      </c>
      <c r="X67" s="438" t="str">
        <f t="shared" si="223"/>
        <v>nm</v>
      </c>
      <c r="Y67" s="438" t="str">
        <f t="shared" si="223"/>
        <v>nm</v>
      </c>
      <c r="Z67" s="438" t="str">
        <f t="shared" si="223"/>
        <v>nm</v>
      </c>
      <c r="AA67" s="438" t="str">
        <f t="shared" si="223"/>
        <v>nm</v>
      </c>
      <c r="AB67" s="442" t="str">
        <f t="shared" si="223"/>
        <v>nm</v>
      </c>
      <c r="AC67" s="438" t="str">
        <f t="shared" si="223"/>
        <v>nm</v>
      </c>
      <c r="AD67" s="438" t="str">
        <f t="shared" si="223"/>
        <v>nm</v>
      </c>
      <c r="AE67" s="438" t="str">
        <f t="shared" si="223"/>
        <v>nm</v>
      </c>
      <c r="AF67" s="438" t="str">
        <f t="shared" si="223"/>
        <v>nm</v>
      </c>
      <c r="AG67" s="442" t="str">
        <f t="shared" si="223"/>
        <v>nm</v>
      </c>
      <c r="AH67" s="438" t="str">
        <f t="shared" si="223"/>
        <v>nm</v>
      </c>
      <c r="AI67" s="438" t="str">
        <f t="shared" si="223"/>
        <v>nm</v>
      </c>
      <c r="AJ67" s="438" t="str">
        <f t="shared" si="223"/>
        <v>nm</v>
      </c>
      <c r="AK67" s="438" t="str">
        <f t="shared" si="223"/>
        <v>nm</v>
      </c>
      <c r="AL67" s="442" t="str">
        <f t="shared" si="223"/>
        <v>nm</v>
      </c>
      <c r="AM67" s="438" t="str">
        <f t="shared" si="223"/>
        <v>nm</v>
      </c>
      <c r="AN67" s="438" t="str">
        <f t="shared" si="223"/>
        <v>nm</v>
      </c>
      <c r="AO67" s="438" t="str">
        <f t="shared" si="223"/>
        <v>nm</v>
      </c>
      <c r="AP67" s="438" t="str">
        <f t="shared" si="223"/>
        <v>nm</v>
      </c>
      <c r="AQ67" s="442" t="str">
        <f t="shared" si="223"/>
        <v>nm</v>
      </c>
      <c r="AR67" s="438" t="str">
        <f t="shared" si="223"/>
        <v>nm</v>
      </c>
      <c r="AS67" s="438" t="str">
        <f t="shared" si="223"/>
        <v>nm</v>
      </c>
      <c r="AT67" s="438" t="str">
        <f t="shared" si="223"/>
        <v>nm</v>
      </c>
      <c r="AU67" s="395"/>
      <c r="AV67" s="438" t="str">
        <f t="shared" ref="AV67:BD67" si="224">IF(ISERROR(1000000*AV63/AV$15),"nm",1000000*AV63/AV$15)</f>
        <v>nm</v>
      </c>
      <c r="AW67" s="438" t="str">
        <f t="shared" si="224"/>
        <v>nm</v>
      </c>
      <c r="AX67" s="438" t="str">
        <f t="shared" si="224"/>
        <v>nm</v>
      </c>
      <c r="AY67" s="438" t="str">
        <f t="shared" si="224"/>
        <v>nm</v>
      </c>
      <c r="AZ67" s="442" t="str">
        <f t="shared" si="224"/>
        <v>nm</v>
      </c>
      <c r="BA67" s="438" t="str">
        <f t="shared" si="224"/>
        <v>nm</v>
      </c>
      <c r="BB67" s="438" t="str">
        <f t="shared" si="224"/>
        <v>nm</v>
      </c>
      <c r="BC67" s="438" t="str">
        <f t="shared" si="224"/>
        <v>nm</v>
      </c>
      <c r="BD67" s="438" t="str">
        <f t="shared" si="224"/>
        <v>nm</v>
      </c>
      <c r="BE67" s="440" t="e">
        <f>1000000*BE63/BE$15</f>
        <v>#REF!</v>
      </c>
      <c r="BF67" s="438" t="str">
        <f>IF(ISERROR(1000000*BF63/BF$15),"nm",1000000*BF63/BF$15)</f>
        <v>nm</v>
      </c>
      <c r="BG67" s="438" t="str">
        <f>IF(ISERROR(1000000*BG63/BG$15),"nm",1000000*BG63/BG$15)</f>
        <v>nm</v>
      </c>
      <c r="BH67" s="438" t="str">
        <f>IF(ISERROR(1000000*BH63/BH$15),"nm",1000000*BH63/BH$15)</f>
        <v>nm</v>
      </c>
      <c r="BI67" s="438" t="str">
        <f>IF(ISERROR(1000000*BI63/BI$15),"nm",1000000*BI63/BI$15)</f>
        <v>nm</v>
      </c>
      <c r="BJ67" s="440" t="e">
        <f t="shared" ref="BJ67:CO67" si="225">1000000*BJ63/BJ$15</f>
        <v>#REF!</v>
      </c>
      <c r="BK67" s="439" t="e">
        <f t="shared" si="225"/>
        <v>#REF!</v>
      </c>
      <c r="BL67" s="439" t="e">
        <f t="shared" si="225"/>
        <v>#REF!</v>
      </c>
      <c r="BM67" s="439" t="e">
        <f t="shared" si="225"/>
        <v>#REF!</v>
      </c>
      <c r="BN67" s="439" t="e">
        <f t="shared" si="225"/>
        <v>#REF!</v>
      </c>
      <c r="BO67" s="440" t="e">
        <f t="shared" si="225"/>
        <v>#REF!</v>
      </c>
      <c r="BP67" s="439" t="e">
        <f t="shared" si="225"/>
        <v>#REF!</v>
      </c>
      <c r="BQ67" s="439" t="e">
        <f t="shared" si="225"/>
        <v>#REF!</v>
      </c>
      <c r="BR67" s="439" t="e">
        <f t="shared" si="225"/>
        <v>#REF!</v>
      </c>
      <c r="BS67" s="439" t="e">
        <f t="shared" si="225"/>
        <v>#REF!</v>
      </c>
      <c r="BT67" s="440" t="e">
        <f t="shared" si="225"/>
        <v>#REF!</v>
      </c>
      <c r="BU67" s="439" t="e">
        <f t="shared" si="225"/>
        <v>#REF!</v>
      </c>
      <c r="BV67" s="439" t="e">
        <f t="shared" si="225"/>
        <v>#REF!</v>
      </c>
      <c r="BW67" s="439" t="e">
        <f t="shared" si="225"/>
        <v>#REF!</v>
      </c>
      <c r="BX67" s="439" t="e">
        <f t="shared" si="225"/>
        <v>#REF!</v>
      </c>
      <c r="BY67" s="440" t="e">
        <f t="shared" si="225"/>
        <v>#REF!</v>
      </c>
      <c r="BZ67" s="439" t="e">
        <f t="shared" si="225"/>
        <v>#REF!</v>
      </c>
      <c r="CA67" s="439" t="e">
        <f t="shared" si="225"/>
        <v>#REF!</v>
      </c>
      <c r="CB67" s="439" t="e">
        <f t="shared" si="225"/>
        <v>#REF!</v>
      </c>
      <c r="CC67" s="439" t="e">
        <f t="shared" si="225"/>
        <v>#REF!</v>
      </c>
      <c r="CD67" s="440" t="e">
        <f t="shared" si="225"/>
        <v>#REF!</v>
      </c>
      <c r="CE67" s="439" t="e">
        <f t="shared" si="225"/>
        <v>#REF!</v>
      </c>
      <c r="CF67" s="439" t="e">
        <f t="shared" si="225"/>
        <v>#REF!</v>
      </c>
      <c r="CG67" s="439" t="e">
        <f t="shared" si="225"/>
        <v>#REF!</v>
      </c>
      <c r="CH67" s="439" t="e">
        <f t="shared" si="225"/>
        <v>#REF!</v>
      </c>
      <c r="CI67" s="440" t="e">
        <f t="shared" si="225"/>
        <v>#REF!</v>
      </c>
      <c r="CJ67" s="439" t="e">
        <f t="shared" si="225"/>
        <v>#REF!</v>
      </c>
      <c r="CK67" s="439" t="e">
        <f t="shared" si="225"/>
        <v>#REF!</v>
      </c>
      <c r="CL67" s="439" t="e">
        <f t="shared" si="225"/>
        <v>#REF!</v>
      </c>
      <c r="CM67" s="439" t="e">
        <f t="shared" si="225"/>
        <v>#REF!</v>
      </c>
      <c r="CN67" s="440" t="e">
        <f t="shared" si="225"/>
        <v>#REF!</v>
      </c>
      <c r="CO67" s="439" t="e">
        <f t="shared" si="225"/>
        <v>#REF!</v>
      </c>
      <c r="CP67" s="439" t="e">
        <f t="shared" ref="CP67:DR67" si="226">1000000*CP63/CP$15</f>
        <v>#REF!</v>
      </c>
      <c r="CQ67" s="439" t="e">
        <f t="shared" si="226"/>
        <v>#REF!</v>
      </c>
      <c r="CR67" s="439" t="e">
        <f t="shared" si="226"/>
        <v>#REF!</v>
      </c>
      <c r="CS67" s="440" t="e">
        <f t="shared" si="226"/>
        <v>#REF!</v>
      </c>
      <c r="CT67" s="439" t="e">
        <f t="shared" si="226"/>
        <v>#REF!</v>
      </c>
      <c r="CU67" s="439" t="e">
        <f t="shared" si="226"/>
        <v>#REF!</v>
      </c>
      <c r="CV67" s="439" t="e">
        <f t="shared" si="226"/>
        <v>#REF!</v>
      </c>
      <c r="CW67" s="439" t="e">
        <f t="shared" si="226"/>
        <v>#REF!</v>
      </c>
      <c r="CX67" s="440" t="e">
        <f t="shared" si="226"/>
        <v>#REF!</v>
      </c>
      <c r="CY67" s="439" t="e">
        <f t="shared" si="226"/>
        <v>#REF!</v>
      </c>
      <c r="CZ67" s="439" t="e">
        <f t="shared" si="226"/>
        <v>#REF!</v>
      </c>
      <c r="DA67" s="439" t="e">
        <f t="shared" si="226"/>
        <v>#REF!</v>
      </c>
      <c r="DB67" s="439" t="e">
        <f t="shared" si="226"/>
        <v>#REF!</v>
      </c>
      <c r="DC67" s="440" t="e">
        <f t="shared" si="226"/>
        <v>#REF!</v>
      </c>
      <c r="DD67" s="439">
        <v>2325.9793139934404</v>
      </c>
      <c r="DE67" s="439">
        <v>2327.8405250175706</v>
      </c>
      <c r="DF67" s="439">
        <v>2366.0618440927215</v>
      </c>
      <c r="DG67" s="439">
        <v>2420.6018719153658</v>
      </c>
      <c r="DH67" s="440">
        <v>2360.6154641014441</v>
      </c>
      <c r="DI67" s="439">
        <f>1000000*DI63/DI$15</f>
        <v>2393.3606153970618</v>
      </c>
      <c r="DJ67" s="439">
        <f>1000000*DJ63/DJ$15</f>
        <v>2351.5837960903818</v>
      </c>
      <c r="DK67" s="439">
        <f>1000000*DK63/DK$15</f>
        <v>2450.3482879096791</v>
      </c>
      <c r="DL67" s="439">
        <f>1000000*DL63/DL$15</f>
        <v>2457.5884766926611</v>
      </c>
      <c r="DM67" s="440">
        <f t="shared" si="226"/>
        <v>2496.9429171573024</v>
      </c>
      <c r="DN67" s="439">
        <f>1000000*DN63/DN$15</f>
        <v>2413.1327619666476</v>
      </c>
      <c r="DO67" s="439">
        <f>1000000*DO63/DO$15</f>
        <v>2531.7472050734355</v>
      </c>
      <c r="DP67" s="439">
        <f>1000000*DP63/DP$15</f>
        <v>2546.7282864785502</v>
      </c>
      <c r="DQ67" s="439">
        <f>1000000*DQ63/DQ$15</f>
        <v>2567.5579368832969</v>
      </c>
      <c r="DR67" s="440">
        <f t="shared" si="226"/>
        <v>2662.2257145202716</v>
      </c>
      <c r="DS67" s="439">
        <f t="shared" ref="DS67:EG67" si="227">1000000*DS63/DS$15</f>
        <v>2528.46974864296</v>
      </c>
      <c r="DT67" s="439">
        <f t="shared" si="227"/>
        <v>2564.7523620154134</v>
      </c>
      <c r="DU67" s="439">
        <f t="shared" si="227"/>
        <v>2578.6589882054145</v>
      </c>
      <c r="DV67" s="439">
        <f t="shared" ref="DV67" si="228">1000000*DV63/DV$15</f>
        <v>2570.0086654470851</v>
      </c>
      <c r="DW67" s="440">
        <f t="shared" si="227"/>
        <v>2728.0163875241856</v>
      </c>
      <c r="DX67" s="439">
        <f t="shared" si="227"/>
        <v>2561.2200719797493</v>
      </c>
      <c r="DY67" s="439">
        <f t="shared" si="227"/>
        <v>2607.3188268833169</v>
      </c>
      <c r="DZ67" s="439">
        <f t="shared" si="227"/>
        <v>2560.7977893151719</v>
      </c>
      <c r="EA67" s="439">
        <f t="shared" si="227"/>
        <v>2797.8631228046884</v>
      </c>
      <c r="EB67" s="440">
        <f t="shared" si="227"/>
        <v>2814.6631858568517</v>
      </c>
      <c r="EC67" s="439">
        <f t="shared" si="227"/>
        <v>2526.8236097323734</v>
      </c>
      <c r="ED67" s="439">
        <f t="shared" si="227"/>
        <v>2586.5960804877959</v>
      </c>
      <c r="EE67" s="439">
        <f t="shared" si="227"/>
        <v>2499.7054862911632</v>
      </c>
      <c r="EF67" s="439">
        <f t="shared" si="227"/>
        <v>2658.4985631179802</v>
      </c>
      <c r="EG67" s="440">
        <f t="shared" si="227"/>
        <v>2773.2610430827158</v>
      </c>
      <c r="EH67" s="439">
        <f t="shared" ref="EH67:EL67" si="229">1000000*EH63/EH$15</f>
        <v>2492.6968835161674</v>
      </c>
      <c r="EI67" s="439">
        <f t="shared" si="229"/>
        <v>2558.7406666643437</v>
      </c>
      <c r="EJ67" s="439">
        <f t="shared" si="229"/>
        <v>2483.4455153047033</v>
      </c>
      <c r="EK67" s="439">
        <f t="shared" si="229"/>
        <v>2657.7774866156569</v>
      </c>
      <c r="EL67" s="440">
        <f t="shared" si="229"/>
        <v>2788.460576389316</v>
      </c>
    </row>
    <row r="68" spans="1:142" ht="11.25" customHeight="1">
      <c r="A68" s="459"/>
      <c r="B68" s="459" t="s">
        <v>109</v>
      </c>
      <c r="C68" s="443"/>
      <c r="D68" s="443"/>
      <c r="E68" s="443"/>
      <c r="F68" s="443"/>
      <c r="G68" s="443"/>
      <c r="H68" s="462"/>
      <c r="I68" s="443" t="str">
        <f t="shared" ref="I68:AT68" si="230">IF(ISERROR(I67/D67-1),"nm",I67/D67-1)</f>
        <v>nm</v>
      </c>
      <c r="J68" s="443" t="str">
        <f t="shared" si="230"/>
        <v>nm</v>
      </c>
      <c r="K68" s="443" t="str">
        <f t="shared" si="230"/>
        <v>nm</v>
      </c>
      <c r="L68" s="443" t="str">
        <f t="shared" si="230"/>
        <v>nm</v>
      </c>
      <c r="M68" s="462" t="str">
        <f t="shared" si="230"/>
        <v>nm</v>
      </c>
      <c r="N68" s="443" t="str">
        <f t="shared" si="230"/>
        <v>nm</v>
      </c>
      <c r="O68" s="443" t="str">
        <f t="shared" si="230"/>
        <v>nm</v>
      </c>
      <c r="P68" s="443" t="str">
        <f t="shared" si="230"/>
        <v>nm</v>
      </c>
      <c r="Q68" s="443" t="str">
        <f t="shared" si="230"/>
        <v>nm</v>
      </c>
      <c r="R68" s="462" t="str">
        <f t="shared" si="230"/>
        <v>nm</v>
      </c>
      <c r="S68" s="443" t="str">
        <f t="shared" si="230"/>
        <v>nm</v>
      </c>
      <c r="T68" s="443" t="str">
        <f t="shared" si="230"/>
        <v>nm</v>
      </c>
      <c r="U68" s="443" t="str">
        <f t="shared" si="230"/>
        <v>nm</v>
      </c>
      <c r="V68" s="443" t="str">
        <f t="shared" si="230"/>
        <v>nm</v>
      </c>
      <c r="W68" s="462" t="str">
        <f t="shared" si="230"/>
        <v>nm</v>
      </c>
      <c r="X68" s="443" t="str">
        <f t="shared" si="230"/>
        <v>nm</v>
      </c>
      <c r="Y68" s="443" t="str">
        <f t="shared" si="230"/>
        <v>nm</v>
      </c>
      <c r="Z68" s="443" t="str">
        <f t="shared" si="230"/>
        <v>nm</v>
      </c>
      <c r="AA68" s="443" t="str">
        <f t="shared" si="230"/>
        <v>nm</v>
      </c>
      <c r="AB68" s="462" t="str">
        <f t="shared" si="230"/>
        <v>nm</v>
      </c>
      <c r="AC68" s="443" t="str">
        <f t="shared" si="230"/>
        <v>nm</v>
      </c>
      <c r="AD68" s="443" t="str">
        <f t="shared" si="230"/>
        <v>nm</v>
      </c>
      <c r="AE68" s="443" t="str">
        <f t="shared" si="230"/>
        <v>nm</v>
      </c>
      <c r="AF68" s="443" t="str">
        <f t="shared" si="230"/>
        <v>nm</v>
      </c>
      <c r="AG68" s="462" t="str">
        <f t="shared" si="230"/>
        <v>nm</v>
      </c>
      <c r="AH68" s="443" t="str">
        <f t="shared" si="230"/>
        <v>nm</v>
      </c>
      <c r="AI68" s="443" t="str">
        <f t="shared" si="230"/>
        <v>nm</v>
      </c>
      <c r="AJ68" s="443" t="str">
        <f t="shared" si="230"/>
        <v>nm</v>
      </c>
      <c r="AK68" s="443" t="str">
        <f t="shared" si="230"/>
        <v>nm</v>
      </c>
      <c r="AL68" s="462" t="str">
        <f t="shared" si="230"/>
        <v>nm</v>
      </c>
      <c r="AM68" s="443" t="str">
        <f t="shared" si="230"/>
        <v>nm</v>
      </c>
      <c r="AN68" s="443" t="str">
        <f t="shared" si="230"/>
        <v>nm</v>
      </c>
      <c r="AO68" s="443" t="str">
        <f t="shared" si="230"/>
        <v>nm</v>
      </c>
      <c r="AP68" s="443" t="str">
        <f t="shared" si="230"/>
        <v>nm</v>
      </c>
      <c r="AQ68" s="462" t="str">
        <f t="shared" si="230"/>
        <v>nm</v>
      </c>
      <c r="AR68" s="443" t="str">
        <f t="shared" si="230"/>
        <v>nm</v>
      </c>
      <c r="AS68" s="443" t="str">
        <f t="shared" si="230"/>
        <v>nm</v>
      </c>
      <c r="AT68" s="443" t="str">
        <f t="shared" si="230"/>
        <v>nm</v>
      </c>
      <c r="AU68" s="460"/>
      <c r="AV68" s="71"/>
      <c r="AW68" s="71"/>
      <c r="AX68" s="71"/>
      <c r="AY68" s="71"/>
      <c r="AZ68" s="444"/>
      <c r="BA68" s="443" t="str">
        <f t="shared" ref="BA68:BI68" si="231">IF(ISERROR(BA67/AV67-1),"nm",BA67/AV67-1)</f>
        <v>nm</v>
      </c>
      <c r="BB68" s="443" t="str">
        <f t="shared" si="231"/>
        <v>nm</v>
      </c>
      <c r="BC68" s="443" t="str">
        <f t="shared" si="231"/>
        <v>nm</v>
      </c>
      <c r="BD68" s="443" t="str">
        <f t="shared" si="231"/>
        <v>nm</v>
      </c>
      <c r="BE68" s="462" t="str">
        <f t="shared" si="231"/>
        <v>nm</v>
      </c>
      <c r="BF68" s="443" t="str">
        <f t="shared" si="231"/>
        <v>nm</v>
      </c>
      <c r="BG68" s="443" t="str">
        <f t="shared" si="231"/>
        <v>nm</v>
      </c>
      <c r="BH68" s="443" t="str">
        <f t="shared" si="231"/>
        <v>nm</v>
      </c>
      <c r="BI68" s="443" t="str">
        <f t="shared" si="231"/>
        <v>nm</v>
      </c>
      <c r="BJ68" s="444" t="e">
        <f>BJ67/BE67-1</f>
        <v>#REF!</v>
      </c>
      <c r="BK68" s="443" t="str">
        <f>IF(ISERROR(BK67/BF67-1),"nm",BK67/BF67-1)</f>
        <v>nm</v>
      </c>
      <c r="BL68" s="443" t="str">
        <f>IF(ISERROR(BL67/BG67-1),"nm",BL67/BG67-1)</f>
        <v>nm</v>
      </c>
      <c r="BM68" s="443" t="str">
        <f>IF(ISERROR(BM67/BH67-1),"nm",BM67/BH67-1)</f>
        <v>nm</v>
      </c>
      <c r="BN68" s="443" t="str">
        <f>IF(ISERROR(BN67/BI67-1),"nm",BN67/BI67-1)</f>
        <v>nm</v>
      </c>
      <c r="BO68" s="444" t="e">
        <f t="shared" ref="BO68:CT68" si="232">BO67/BJ67-1</f>
        <v>#REF!</v>
      </c>
      <c r="BP68" s="71" t="e">
        <f t="shared" si="232"/>
        <v>#REF!</v>
      </c>
      <c r="BQ68" s="71" t="e">
        <f t="shared" si="232"/>
        <v>#REF!</v>
      </c>
      <c r="BR68" s="71" t="e">
        <f t="shared" si="232"/>
        <v>#REF!</v>
      </c>
      <c r="BS68" s="71" t="e">
        <f t="shared" si="232"/>
        <v>#REF!</v>
      </c>
      <c r="BT68" s="444" t="e">
        <f t="shared" si="232"/>
        <v>#REF!</v>
      </c>
      <c r="BU68" s="71" t="e">
        <f t="shared" si="232"/>
        <v>#REF!</v>
      </c>
      <c r="BV68" s="71" t="e">
        <f t="shared" si="232"/>
        <v>#REF!</v>
      </c>
      <c r="BW68" s="71" t="e">
        <f t="shared" si="232"/>
        <v>#REF!</v>
      </c>
      <c r="BX68" s="71" t="e">
        <f t="shared" si="232"/>
        <v>#REF!</v>
      </c>
      <c r="BY68" s="444" t="e">
        <f t="shared" si="232"/>
        <v>#REF!</v>
      </c>
      <c r="BZ68" s="71" t="e">
        <f t="shared" si="232"/>
        <v>#REF!</v>
      </c>
      <c r="CA68" s="71" t="e">
        <f t="shared" si="232"/>
        <v>#REF!</v>
      </c>
      <c r="CB68" s="71" t="e">
        <f t="shared" si="232"/>
        <v>#REF!</v>
      </c>
      <c r="CC68" s="71" t="e">
        <f t="shared" si="232"/>
        <v>#REF!</v>
      </c>
      <c r="CD68" s="444" t="e">
        <f t="shared" si="232"/>
        <v>#REF!</v>
      </c>
      <c r="CE68" s="71" t="e">
        <f t="shared" si="232"/>
        <v>#REF!</v>
      </c>
      <c r="CF68" s="71" t="e">
        <f t="shared" si="232"/>
        <v>#REF!</v>
      </c>
      <c r="CG68" s="71" t="e">
        <f t="shared" si="232"/>
        <v>#REF!</v>
      </c>
      <c r="CH68" s="71" t="e">
        <f t="shared" si="232"/>
        <v>#REF!</v>
      </c>
      <c r="CI68" s="444" t="e">
        <f t="shared" si="232"/>
        <v>#REF!</v>
      </c>
      <c r="CJ68" s="71" t="e">
        <f t="shared" si="232"/>
        <v>#REF!</v>
      </c>
      <c r="CK68" s="71" t="e">
        <f t="shared" si="232"/>
        <v>#REF!</v>
      </c>
      <c r="CL68" s="71" t="e">
        <f t="shared" si="232"/>
        <v>#REF!</v>
      </c>
      <c r="CM68" s="71" t="e">
        <f t="shared" si="232"/>
        <v>#REF!</v>
      </c>
      <c r="CN68" s="444" t="e">
        <f t="shared" si="232"/>
        <v>#REF!</v>
      </c>
      <c r="CO68" s="71" t="e">
        <f t="shared" si="232"/>
        <v>#REF!</v>
      </c>
      <c r="CP68" s="71" t="e">
        <f t="shared" si="232"/>
        <v>#REF!</v>
      </c>
      <c r="CQ68" s="71" t="e">
        <f t="shared" si="232"/>
        <v>#REF!</v>
      </c>
      <c r="CR68" s="71" t="e">
        <f t="shared" si="232"/>
        <v>#REF!</v>
      </c>
      <c r="CS68" s="444" t="e">
        <f t="shared" si="232"/>
        <v>#REF!</v>
      </c>
      <c r="CT68" s="71" t="e">
        <f t="shared" si="232"/>
        <v>#REF!</v>
      </c>
      <c r="CU68" s="71" t="e">
        <f t="shared" ref="CU68:DS68" si="233">CU67/CP67-1</f>
        <v>#REF!</v>
      </c>
      <c r="CV68" s="71" t="e">
        <f t="shared" si="233"/>
        <v>#REF!</v>
      </c>
      <c r="CW68" s="71" t="e">
        <f t="shared" si="233"/>
        <v>#REF!</v>
      </c>
      <c r="CX68" s="444" t="e">
        <f t="shared" si="233"/>
        <v>#REF!</v>
      </c>
      <c r="CY68" s="71" t="e">
        <f t="shared" si="233"/>
        <v>#REF!</v>
      </c>
      <c r="CZ68" s="71" t="e">
        <f t="shared" si="233"/>
        <v>#REF!</v>
      </c>
      <c r="DA68" s="71" t="e">
        <f t="shared" si="233"/>
        <v>#REF!</v>
      </c>
      <c r="DB68" s="71" t="e">
        <f t="shared" si="233"/>
        <v>#REF!</v>
      </c>
      <c r="DC68" s="444" t="e">
        <f t="shared" si="233"/>
        <v>#REF!</v>
      </c>
      <c r="DD68" s="71">
        <v>1.4407609495867613E-2</v>
      </c>
      <c r="DE68" s="71">
        <v>-2.0498111739600255E-2</v>
      </c>
      <c r="DF68" s="71">
        <v>-8.2722968841254518E-3</v>
      </c>
      <c r="DG68" s="71">
        <v>9.8033425231860427E-3</v>
      </c>
      <c r="DH68" s="444">
        <v>-2.7801572526698903E-3</v>
      </c>
      <c r="DI68" s="71">
        <f t="shared" si="233"/>
        <v>2.89690028618248E-2</v>
      </c>
      <c r="DJ68" s="71">
        <f t="shared" si="233"/>
        <v>1.0199698311649685E-2</v>
      </c>
      <c r="DK68" s="71">
        <f t="shared" si="233"/>
        <v>3.5623094141597811E-2</v>
      </c>
      <c r="DL68" s="71">
        <f t="shared" si="233"/>
        <v>1.5279920752944154E-2</v>
      </c>
      <c r="DM68" s="444">
        <f t="shared" si="233"/>
        <v>5.7750809112720347E-2</v>
      </c>
      <c r="DN68" s="71">
        <f t="shared" si="233"/>
        <v>8.2612484062731806E-3</v>
      </c>
      <c r="DO68" s="71">
        <f t="shared" si="233"/>
        <v>7.6613646208391062E-2</v>
      </c>
      <c r="DP68" s="71">
        <f t="shared" si="233"/>
        <v>3.9333183386387027E-2</v>
      </c>
      <c r="DQ68" s="71">
        <f t="shared" si="233"/>
        <v>4.4746897714392331E-2</v>
      </c>
      <c r="DR68" s="444">
        <f t="shared" si="233"/>
        <v>6.6194063239194412E-2</v>
      </c>
      <c r="DS68" s="71">
        <f t="shared" si="233"/>
        <v>4.7795541337027458E-2</v>
      </c>
      <c r="DT68" s="71">
        <f t="shared" ref="DT68:EG68" si="234">DT67/DO67-1</f>
        <v>1.3036513628152946E-2</v>
      </c>
      <c r="DU68" s="71">
        <f t="shared" si="234"/>
        <v>1.2537930291344868E-2</v>
      </c>
      <c r="DV68" s="71">
        <f t="shared" si="234"/>
        <v>9.5449786296275541E-4</v>
      </c>
      <c r="DW68" s="444">
        <f t="shared" si="234"/>
        <v>2.4712657775439295E-2</v>
      </c>
      <c r="DX68" s="71">
        <f t="shared" si="234"/>
        <v>1.2952626130633638E-2</v>
      </c>
      <c r="DY68" s="71">
        <f t="shared" si="234"/>
        <v>1.6596715339197265E-2</v>
      </c>
      <c r="DZ68" s="71">
        <f t="shared" si="234"/>
        <v>-6.9265455308120671E-3</v>
      </c>
      <c r="EA68" s="71">
        <f t="shared" si="234"/>
        <v>8.8659022991257164E-2</v>
      </c>
      <c r="EB68" s="444">
        <f t="shared" si="234"/>
        <v>3.1761832050907435E-2</v>
      </c>
      <c r="EC68" s="71">
        <f t="shared" si="234"/>
        <v>-1.342971758798861E-2</v>
      </c>
      <c r="ED68" s="71">
        <f t="shared" si="234"/>
        <v>-7.9479142258532809E-3</v>
      </c>
      <c r="EE68" s="71">
        <f t="shared" si="234"/>
        <v>-2.3856746237018056E-2</v>
      </c>
      <c r="EF68" s="71">
        <f t="shared" si="234"/>
        <v>-4.9811071367567017E-2</v>
      </c>
      <c r="EG68" s="444">
        <f t="shared" si="234"/>
        <v>-1.4709448356795884E-2</v>
      </c>
      <c r="EH68" s="71">
        <f t="shared" ref="EH68" si="235">EH67/EC67-1</f>
        <v>-1.3505780967362546E-2</v>
      </c>
      <c r="EI68" s="71">
        <f t="shared" ref="EI68" si="236">EI67/ED67-1</f>
        <v>-1.0769139423654872E-2</v>
      </c>
      <c r="EJ68" s="71">
        <f t="shared" ref="EJ68" si="237">EJ67/EE67-1</f>
        <v>-6.5047546903554965E-3</v>
      </c>
      <c r="EK68" s="71">
        <f t="shared" ref="EK68" si="238">EK67/EF67-1</f>
        <v>-2.7123449014676559E-4</v>
      </c>
      <c r="EL68" s="444">
        <f t="shared" ref="EL68" si="239">EL67/EG67-1</f>
        <v>5.4807438140422882E-3</v>
      </c>
    </row>
    <row r="69" spans="1:142" ht="11.25" customHeight="1">
      <c r="A69" s="445"/>
      <c r="B69" s="445" t="s">
        <v>232</v>
      </c>
      <c r="C69" s="175"/>
      <c r="D69" s="175" t="str">
        <f t="shared" ref="D69:AT69" si="240">IF(ISERROR(1000000*D63/D$10),"nm",1000000*D63/D$10)</f>
        <v>nm</v>
      </c>
      <c r="E69" s="175" t="str">
        <f t="shared" si="240"/>
        <v>nm</v>
      </c>
      <c r="F69" s="175" t="str">
        <f t="shared" si="240"/>
        <v>nm</v>
      </c>
      <c r="G69" s="175" t="str">
        <f t="shared" si="240"/>
        <v>nm</v>
      </c>
      <c r="H69" s="463" t="str">
        <f t="shared" si="240"/>
        <v>nm</v>
      </c>
      <c r="I69" s="175" t="str">
        <f t="shared" si="240"/>
        <v>nm</v>
      </c>
      <c r="J69" s="175" t="str">
        <f t="shared" si="240"/>
        <v>nm</v>
      </c>
      <c r="K69" s="175" t="str">
        <f t="shared" si="240"/>
        <v>nm</v>
      </c>
      <c r="L69" s="175" t="str">
        <f t="shared" si="240"/>
        <v>nm</v>
      </c>
      <c r="M69" s="463" t="str">
        <f t="shared" si="240"/>
        <v>nm</v>
      </c>
      <c r="N69" s="175" t="str">
        <f t="shared" si="240"/>
        <v>nm</v>
      </c>
      <c r="O69" s="175" t="str">
        <f t="shared" si="240"/>
        <v>nm</v>
      </c>
      <c r="P69" s="175" t="str">
        <f t="shared" si="240"/>
        <v>nm</v>
      </c>
      <c r="Q69" s="175" t="str">
        <f t="shared" si="240"/>
        <v>nm</v>
      </c>
      <c r="R69" s="463" t="str">
        <f t="shared" si="240"/>
        <v>nm</v>
      </c>
      <c r="S69" s="175" t="str">
        <f t="shared" si="240"/>
        <v>nm</v>
      </c>
      <c r="T69" s="175" t="str">
        <f t="shared" si="240"/>
        <v>nm</v>
      </c>
      <c r="U69" s="175" t="str">
        <f t="shared" si="240"/>
        <v>nm</v>
      </c>
      <c r="V69" s="175" t="str">
        <f t="shared" si="240"/>
        <v>nm</v>
      </c>
      <c r="W69" s="463" t="str">
        <f t="shared" si="240"/>
        <v>nm</v>
      </c>
      <c r="X69" s="175" t="str">
        <f t="shared" si="240"/>
        <v>nm</v>
      </c>
      <c r="Y69" s="175" t="str">
        <f t="shared" si="240"/>
        <v>nm</v>
      </c>
      <c r="Z69" s="175" t="str">
        <f t="shared" si="240"/>
        <v>nm</v>
      </c>
      <c r="AA69" s="175" t="str">
        <f t="shared" si="240"/>
        <v>nm</v>
      </c>
      <c r="AB69" s="463" t="str">
        <f t="shared" si="240"/>
        <v>nm</v>
      </c>
      <c r="AC69" s="175" t="str">
        <f t="shared" si="240"/>
        <v>nm</v>
      </c>
      <c r="AD69" s="175" t="str">
        <f t="shared" si="240"/>
        <v>nm</v>
      </c>
      <c r="AE69" s="175" t="str">
        <f t="shared" si="240"/>
        <v>nm</v>
      </c>
      <c r="AF69" s="175" t="str">
        <f t="shared" si="240"/>
        <v>nm</v>
      </c>
      <c r="AG69" s="463" t="str">
        <f t="shared" si="240"/>
        <v>nm</v>
      </c>
      <c r="AH69" s="175" t="str">
        <f t="shared" si="240"/>
        <v>nm</v>
      </c>
      <c r="AI69" s="175" t="str">
        <f t="shared" si="240"/>
        <v>nm</v>
      </c>
      <c r="AJ69" s="175" t="str">
        <f t="shared" si="240"/>
        <v>nm</v>
      </c>
      <c r="AK69" s="175" t="str">
        <f t="shared" si="240"/>
        <v>nm</v>
      </c>
      <c r="AL69" s="463" t="str">
        <f t="shared" si="240"/>
        <v>nm</v>
      </c>
      <c r="AM69" s="175" t="str">
        <f t="shared" si="240"/>
        <v>nm</v>
      </c>
      <c r="AN69" s="175" t="str">
        <f t="shared" si="240"/>
        <v>nm</v>
      </c>
      <c r="AO69" s="175" t="str">
        <f t="shared" si="240"/>
        <v>nm</v>
      </c>
      <c r="AP69" s="175" t="str">
        <f t="shared" si="240"/>
        <v>nm</v>
      </c>
      <c r="AQ69" s="463" t="str">
        <f t="shared" si="240"/>
        <v>nm</v>
      </c>
      <c r="AR69" s="175" t="str">
        <f t="shared" si="240"/>
        <v>nm</v>
      </c>
      <c r="AS69" s="175" t="str">
        <f t="shared" si="240"/>
        <v>nm</v>
      </c>
      <c r="AT69" s="175" t="str">
        <f t="shared" si="240"/>
        <v>nm</v>
      </c>
      <c r="AU69" s="448"/>
      <c r="AV69" s="175" t="str">
        <f t="shared" ref="AV69:BD69" si="241">IF(ISERROR(1000000*AV63/AV$10),"nm",1000000*AV63/AV$10)</f>
        <v>nm</v>
      </c>
      <c r="AW69" s="175" t="str">
        <f t="shared" si="241"/>
        <v>nm</v>
      </c>
      <c r="AX69" s="175" t="str">
        <f t="shared" si="241"/>
        <v>nm</v>
      </c>
      <c r="AY69" s="175" t="str">
        <f t="shared" si="241"/>
        <v>nm</v>
      </c>
      <c r="AZ69" s="449" t="str">
        <f t="shared" si="241"/>
        <v>nm</v>
      </c>
      <c r="BA69" s="175" t="str">
        <f t="shared" si="241"/>
        <v>nm</v>
      </c>
      <c r="BB69" s="175" t="str">
        <f t="shared" si="241"/>
        <v>nm</v>
      </c>
      <c r="BC69" s="175" t="str">
        <f t="shared" si="241"/>
        <v>nm</v>
      </c>
      <c r="BD69" s="175" t="str">
        <f t="shared" si="241"/>
        <v>nm</v>
      </c>
      <c r="BE69" s="464" t="e">
        <f>1000000*BE63/BE$10</f>
        <v>#REF!</v>
      </c>
      <c r="BF69" s="175" t="str">
        <f>IF(ISERROR(1000000*BF63/BF$10),"nm",1000000*BF63/BF$10)</f>
        <v>nm</v>
      </c>
      <c r="BG69" s="175" t="str">
        <f>IF(ISERROR(1000000*BG63/BG$10),"nm",1000000*BG63/BG$10)</f>
        <v>nm</v>
      </c>
      <c r="BH69" s="175" t="str">
        <f>IF(ISERROR(1000000*BH63/BH$10),"nm",1000000*BH63/BH$10)</f>
        <v>nm</v>
      </c>
      <c r="BI69" s="175" t="str">
        <f>IF(ISERROR(1000000*BI63/BI$10),"nm",1000000*BI63/BI$10)</f>
        <v>nm</v>
      </c>
      <c r="BJ69" s="447" t="e">
        <f t="shared" ref="BJ69:CO69" si="242">1000000*BJ63/BJ$10</f>
        <v>#REF!</v>
      </c>
      <c r="BK69" s="445" t="e">
        <f t="shared" si="242"/>
        <v>#REF!</v>
      </c>
      <c r="BL69" s="445" t="e">
        <f t="shared" si="242"/>
        <v>#REF!</v>
      </c>
      <c r="BM69" s="445" t="e">
        <f t="shared" si="242"/>
        <v>#REF!</v>
      </c>
      <c r="BN69" s="445" t="e">
        <f t="shared" si="242"/>
        <v>#REF!</v>
      </c>
      <c r="BO69" s="447" t="e">
        <f t="shared" si="242"/>
        <v>#REF!</v>
      </c>
      <c r="BP69" s="445" t="e">
        <f t="shared" si="242"/>
        <v>#REF!</v>
      </c>
      <c r="BQ69" s="445" t="e">
        <f t="shared" si="242"/>
        <v>#REF!</v>
      </c>
      <c r="BR69" s="445" t="e">
        <f t="shared" si="242"/>
        <v>#REF!</v>
      </c>
      <c r="BS69" s="445" t="e">
        <f t="shared" si="242"/>
        <v>#REF!</v>
      </c>
      <c r="BT69" s="447" t="e">
        <f t="shared" si="242"/>
        <v>#REF!</v>
      </c>
      <c r="BU69" s="445" t="e">
        <f t="shared" si="242"/>
        <v>#REF!</v>
      </c>
      <c r="BV69" s="445" t="e">
        <f t="shared" si="242"/>
        <v>#REF!</v>
      </c>
      <c r="BW69" s="445" t="e">
        <f t="shared" si="242"/>
        <v>#REF!</v>
      </c>
      <c r="BX69" s="445" t="e">
        <f t="shared" si="242"/>
        <v>#REF!</v>
      </c>
      <c r="BY69" s="447" t="e">
        <f t="shared" si="242"/>
        <v>#REF!</v>
      </c>
      <c r="BZ69" s="445" t="e">
        <f t="shared" si="242"/>
        <v>#REF!</v>
      </c>
      <c r="CA69" s="445" t="e">
        <f t="shared" si="242"/>
        <v>#REF!</v>
      </c>
      <c r="CB69" s="445" t="e">
        <f t="shared" si="242"/>
        <v>#REF!</v>
      </c>
      <c r="CC69" s="445" t="e">
        <f t="shared" si="242"/>
        <v>#REF!</v>
      </c>
      <c r="CD69" s="447" t="e">
        <f t="shared" si="242"/>
        <v>#REF!</v>
      </c>
      <c r="CE69" s="445" t="e">
        <f t="shared" si="242"/>
        <v>#REF!</v>
      </c>
      <c r="CF69" s="445" t="e">
        <f t="shared" si="242"/>
        <v>#REF!</v>
      </c>
      <c r="CG69" s="445" t="e">
        <f t="shared" si="242"/>
        <v>#REF!</v>
      </c>
      <c r="CH69" s="445" t="e">
        <f t="shared" si="242"/>
        <v>#REF!</v>
      </c>
      <c r="CI69" s="447" t="e">
        <f t="shared" si="242"/>
        <v>#REF!</v>
      </c>
      <c r="CJ69" s="445" t="e">
        <f t="shared" si="242"/>
        <v>#REF!</v>
      </c>
      <c r="CK69" s="445" t="e">
        <f t="shared" si="242"/>
        <v>#REF!</v>
      </c>
      <c r="CL69" s="445" t="e">
        <f t="shared" si="242"/>
        <v>#REF!</v>
      </c>
      <c r="CM69" s="445" t="e">
        <f t="shared" si="242"/>
        <v>#REF!</v>
      </c>
      <c r="CN69" s="447" t="e">
        <f t="shared" si="242"/>
        <v>#REF!</v>
      </c>
      <c r="CO69" s="445" t="e">
        <f t="shared" si="242"/>
        <v>#REF!</v>
      </c>
      <c r="CP69" s="445" t="e">
        <f t="shared" ref="CP69:DR69" si="243">1000000*CP63/CP$10</f>
        <v>#REF!</v>
      </c>
      <c r="CQ69" s="445" t="e">
        <f t="shared" si="243"/>
        <v>#REF!</v>
      </c>
      <c r="CR69" s="445" t="e">
        <f t="shared" si="243"/>
        <v>#REF!</v>
      </c>
      <c r="CS69" s="447" t="e">
        <f t="shared" si="243"/>
        <v>#REF!</v>
      </c>
      <c r="CT69" s="445" t="e">
        <f t="shared" si="243"/>
        <v>#REF!</v>
      </c>
      <c r="CU69" s="445" t="e">
        <f t="shared" si="243"/>
        <v>#REF!</v>
      </c>
      <c r="CV69" s="445" t="e">
        <f t="shared" si="243"/>
        <v>#REF!</v>
      </c>
      <c r="CW69" s="445" t="e">
        <f t="shared" si="243"/>
        <v>#REF!</v>
      </c>
      <c r="CX69" s="447" t="e">
        <f t="shared" si="243"/>
        <v>#REF!</v>
      </c>
      <c r="CY69" s="445" t="e">
        <f t="shared" si="243"/>
        <v>#REF!</v>
      </c>
      <c r="CZ69" s="445" t="e">
        <f t="shared" si="243"/>
        <v>#REF!</v>
      </c>
      <c r="DA69" s="445" t="e">
        <f t="shared" si="243"/>
        <v>#REF!</v>
      </c>
      <c r="DB69" s="445" t="e">
        <f t="shared" si="243"/>
        <v>#REF!</v>
      </c>
      <c r="DC69" s="447" t="e">
        <f t="shared" si="243"/>
        <v>#REF!</v>
      </c>
      <c r="DD69" s="445">
        <v>10957.042710231308</v>
      </c>
      <c r="DE69" s="445">
        <v>10784.897587916174</v>
      </c>
      <c r="DF69" s="445">
        <v>10772.527596468346</v>
      </c>
      <c r="DG69" s="445">
        <v>11081.399695218379</v>
      </c>
      <c r="DH69" s="447">
        <v>10898.991509311416</v>
      </c>
      <c r="DI69" s="445">
        <f>1000000*DI63/DI$10</f>
        <v>11097.123273267725</v>
      </c>
      <c r="DJ69" s="445">
        <f>1000000*DJ63/DJ$10</f>
        <v>10706.858920377405</v>
      </c>
      <c r="DK69" s="445">
        <f>1000000*DK63/DK$10</f>
        <v>11137.349288163303</v>
      </c>
      <c r="DL69" s="445">
        <f>1000000*DL63/DL$10</f>
        <v>11301.25754716474</v>
      </c>
      <c r="DM69" s="447">
        <f t="shared" si="243"/>
        <v>11445.012653147993</v>
      </c>
      <c r="DN69" s="445">
        <f>1000000*DN63/DN$10</f>
        <v>11402.379698968356</v>
      </c>
      <c r="DO69" s="445">
        <f>1000000*DO63/DO$10</f>
        <v>11589.408803050059</v>
      </c>
      <c r="DP69" s="445">
        <f>1000000*DP63/DP$10</f>
        <v>11566.972859762403</v>
      </c>
      <c r="DQ69" s="445">
        <f>1000000*DQ63/DQ$10</f>
        <v>11692.714403311607</v>
      </c>
      <c r="DR69" s="447">
        <f t="shared" si="243"/>
        <v>12250.246084238521</v>
      </c>
      <c r="DS69" s="445">
        <f t="shared" ref="DS69:EG69" si="244">1000000*DS63/DS$10</f>
        <v>11795.995546680333</v>
      </c>
      <c r="DT69" s="445">
        <f t="shared" si="244"/>
        <v>11749.996278820536</v>
      </c>
      <c r="DU69" s="445">
        <f t="shared" si="244"/>
        <v>11785.388113620991</v>
      </c>
      <c r="DV69" s="445">
        <f t="shared" ref="DV69" si="245">1000000*DV63/DV$10</f>
        <v>11762.893110833757</v>
      </c>
      <c r="DW69" s="447">
        <f t="shared" si="244"/>
        <v>12546.63059633406</v>
      </c>
      <c r="DX69" s="445">
        <f t="shared" ca="1" si="244"/>
        <v>12164.730619030443</v>
      </c>
      <c r="DY69" s="445">
        <f t="shared" ca="1" si="244"/>
        <v>12127.699444303673</v>
      </c>
      <c r="DZ69" s="445">
        <f t="shared" ca="1" si="244"/>
        <v>11932.04085199922</v>
      </c>
      <c r="EA69" s="445">
        <f t="shared" ca="1" si="244"/>
        <v>13063.297489420051</v>
      </c>
      <c r="EB69" s="447">
        <f t="shared" ca="1" si="244"/>
        <v>13181.226722416741</v>
      </c>
      <c r="EC69" s="445">
        <f t="shared" si="244"/>
        <v>12039.535389344424</v>
      </c>
      <c r="ED69" s="445">
        <f t="shared" si="244"/>
        <v>12082.682793050337</v>
      </c>
      <c r="EE69" s="445">
        <f t="shared" si="244"/>
        <v>11689.463278042398</v>
      </c>
      <c r="EF69" s="445">
        <f t="shared" si="244"/>
        <v>12455.204461601945</v>
      </c>
      <c r="EG69" s="447">
        <f t="shared" si="244"/>
        <v>13031.968837454191</v>
      </c>
      <c r="EH69" s="445">
        <f t="shared" ref="EH69:EL69" si="246">1000000*EH63/EH$10</f>
        <v>12001.566905602935</v>
      </c>
      <c r="EI69" s="445">
        <f t="shared" si="246"/>
        <v>12080.499730773399</v>
      </c>
      <c r="EJ69" s="445">
        <f t="shared" si="246"/>
        <v>11737.59846272205</v>
      </c>
      <c r="EK69" s="445">
        <f t="shared" si="246"/>
        <v>12584.715054900913</v>
      </c>
      <c r="EL69" s="447">
        <f t="shared" si="246"/>
        <v>13243.018223212772</v>
      </c>
    </row>
    <row r="70" spans="1:142" ht="11.25" customHeight="1">
      <c r="A70" s="450"/>
      <c r="B70" s="450" t="s">
        <v>497</v>
      </c>
      <c r="C70" s="451"/>
      <c r="D70" s="451"/>
      <c r="E70" s="451"/>
      <c r="F70" s="451"/>
      <c r="G70" s="451"/>
      <c r="H70" s="452"/>
      <c r="I70" s="451" t="str">
        <f t="shared" ref="I70:AT70" si="247">IF(ISERROR(I69/D69-1),"",(I69/D69-1))</f>
        <v/>
      </c>
      <c r="J70" s="451" t="str">
        <f t="shared" si="247"/>
        <v/>
      </c>
      <c r="K70" s="451" t="str">
        <f t="shared" si="247"/>
        <v/>
      </c>
      <c r="L70" s="451" t="str">
        <f t="shared" si="247"/>
        <v/>
      </c>
      <c r="M70" s="452" t="str">
        <f t="shared" si="247"/>
        <v/>
      </c>
      <c r="N70" s="451" t="str">
        <f t="shared" si="247"/>
        <v/>
      </c>
      <c r="O70" s="451" t="str">
        <f t="shared" si="247"/>
        <v/>
      </c>
      <c r="P70" s="451" t="str">
        <f t="shared" si="247"/>
        <v/>
      </c>
      <c r="Q70" s="451" t="str">
        <f t="shared" si="247"/>
        <v/>
      </c>
      <c r="R70" s="452" t="str">
        <f t="shared" si="247"/>
        <v/>
      </c>
      <c r="S70" s="451" t="str">
        <f t="shared" si="247"/>
        <v/>
      </c>
      <c r="T70" s="451" t="str">
        <f t="shared" si="247"/>
        <v/>
      </c>
      <c r="U70" s="451" t="str">
        <f t="shared" si="247"/>
        <v/>
      </c>
      <c r="V70" s="451" t="str">
        <f t="shared" si="247"/>
        <v/>
      </c>
      <c r="W70" s="452" t="str">
        <f t="shared" si="247"/>
        <v/>
      </c>
      <c r="X70" s="451" t="str">
        <f t="shared" si="247"/>
        <v/>
      </c>
      <c r="Y70" s="451" t="str">
        <f t="shared" si="247"/>
        <v/>
      </c>
      <c r="Z70" s="451" t="str">
        <f t="shared" si="247"/>
        <v/>
      </c>
      <c r="AA70" s="451" t="str">
        <f t="shared" si="247"/>
        <v/>
      </c>
      <c r="AB70" s="452" t="str">
        <f t="shared" si="247"/>
        <v/>
      </c>
      <c r="AC70" s="451" t="str">
        <f t="shared" si="247"/>
        <v/>
      </c>
      <c r="AD70" s="451" t="str">
        <f t="shared" si="247"/>
        <v/>
      </c>
      <c r="AE70" s="451" t="str">
        <f t="shared" si="247"/>
        <v/>
      </c>
      <c r="AF70" s="451" t="str">
        <f t="shared" si="247"/>
        <v/>
      </c>
      <c r="AG70" s="452" t="str">
        <f t="shared" si="247"/>
        <v/>
      </c>
      <c r="AH70" s="451" t="str">
        <f t="shared" si="247"/>
        <v/>
      </c>
      <c r="AI70" s="451" t="str">
        <f t="shared" si="247"/>
        <v/>
      </c>
      <c r="AJ70" s="451" t="str">
        <f t="shared" si="247"/>
        <v/>
      </c>
      <c r="AK70" s="451" t="str">
        <f t="shared" si="247"/>
        <v/>
      </c>
      <c r="AL70" s="452" t="str">
        <f t="shared" si="247"/>
        <v/>
      </c>
      <c r="AM70" s="451" t="str">
        <f t="shared" si="247"/>
        <v/>
      </c>
      <c r="AN70" s="451" t="str">
        <f t="shared" si="247"/>
        <v/>
      </c>
      <c r="AO70" s="451" t="str">
        <f t="shared" si="247"/>
        <v/>
      </c>
      <c r="AP70" s="451" t="str">
        <f t="shared" si="247"/>
        <v/>
      </c>
      <c r="AQ70" s="452" t="str">
        <f t="shared" si="247"/>
        <v/>
      </c>
      <c r="AR70" s="451" t="str">
        <f t="shared" si="247"/>
        <v/>
      </c>
      <c r="AS70" s="451" t="str">
        <f t="shared" si="247"/>
        <v/>
      </c>
      <c r="AT70" s="451" t="str">
        <f t="shared" si="247"/>
        <v/>
      </c>
      <c r="AU70" s="453"/>
      <c r="AV70" s="454"/>
      <c r="AW70" s="454"/>
      <c r="AX70" s="454"/>
      <c r="AY70" s="454"/>
      <c r="AZ70" s="455"/>
      <c r="BA70" s="451" t="str">
        <f t="shared" ref="BA70:CF70" si="248">IF(ISERROR(BA69/AV69-1),"",(BA69/AV69-1))</f>
        <v/>
      </c>
      <c r="BB70" s="451" t="str">
        <f t="shared" si="248"/>
        <v/>
      </c>
      <c r="BC70" s="451" t="str">
        <f t="shared" si="248"/>
        <v/>
      </c>
      <c r="BD70" s="451" t="str">
        <f t="shared" si="248"/>
        <v/>
      </c>
      <c r="BE70" s="452" t="str">
        <f t="shared" si="248"/>
        <v/>
      </c>
      <c r="BF70" s="451" t="str">
        <f t="shared" si="248"/>
        <v/>
      </c>
      <c r="BG70" s="451" t="str">
        <f t="shared" si="248"/>
        <v/>
      </c>
      <c r="BH70" s="451" t="str">
        <f t="shared" si="248"/>
        <v/>
      </c>
      <c r="BI70" s="451" t="str">
        <f t="shared" si="248"/>
        <v/>
      </c>
      <c r="BJ70" s="452" t="str">
        <f t="shared" si="248"/>
        <v/>
      </c>
      <c r="BK70" s="451" t="str">
        <f t="shared" si="248"/>
        <v/>
      </c>
      <c r="BL70" s="451" t="str">
        <f t="shared" si="248"/>
        <v/>
      </c>
      <c r="BM70" s="451" t="str">
        <f t="shared" si="248"/>
        <v/>
      </c>
      <c r="BN70" s="451" t="str">
        <f t="shared" si="248"/>
        <v/>
      </c>
      <c r="BO70" s="452" t="str">
        <f t="shared" si="248"/>
        <v/>
      </c>
      <c r="BP70" s="451" t="str">
        <f t="shared" si="248"/>
        <v/>
      </c>
      <c r="BQ70" s="451" t="str">
        <f t="shared" si="248"/>
        <v/>
      </c>
      <c r="BR70" s="451" t="str">
        <f t="shared" si="248"/>
        <v/>
      </c>
      <c r="BS70" s="451" t="str">
        <f t="shared" si="248"/>
        <v/>
      </c>
      <c r="BT70" s="452" t="str">
        <f t="shared" si="248"/>
        <v/>
      </c>
      <c r="BU70" s="451" t="str">
        <f t="shared" si="248"/>
        <v/>
      </c>
      <c r="BV70" s="451" t="str">
        <f t="shared" si="248"/>
        <v/>
      </c>
      <c r="BW70" s="451" t="str">
        <f t="shared" si="248"/>
        <v/>
      </c>
      <c r="BX70" s="451" t="str">
        <f t="shared" si="248"/>
        <v/>
      </c>
      <c r="BY70" s="452" t="str">
        <f t="shared" si="248"/>
        <v/>
      </c>
      <c r="BZ70" s="451" t="str">
        <f t="shared" si="248"/>
        <v/>
      </c>
      <c r="CA70" s="451" t="str">
        <f t="shared" si="248"/>
        <v/>
      </c>
      <c r="CB70" s="451" t="str">
        <f t="shared" si="248"/>
        <v/>
      </c>
      <c r="CC70" s="451" t="str">
        <f t="shared" si="248"/>
        <v/>
      </c>
      <c r="CD70" s="452" t="str">
        <f t="shared" si="248"/>
        <v/>
      </c>
      <c r="CE70" s="451" t="str">
        <f t="shared" si="248"/>
        <v/>
      </c>
      <c r="CF70" s="451" t="str">
        <f t="shared" si="248"/>
        <v/>
      </c>
      <c r="CG70" s="451" t="str">
        <f t="shared" ref="CG70:DS70" si="249">IF(ISERROR(CG69/CB69-1),"",(CG69/CB69-1))</f>
        <v/>
      </c>
      <c r="CH70" s="451" t="str">
        <f t="shared" si="249"/>
        <v/>
      </c>
      <c r="CI70" s="452" t="str">
        <f t="shared" si="249"/>
        <v/>
      </c>
      <c r="CJ70" s="451" t="str">
        <f t="shared" si="249"/>
        <v/>
      </c>
      <c r="CK70" s="451" t="str">
        <f t="shared" si="249"/>
        <v/>
      </c>
      <c r="CL70" s="451" t="str">
        <f t="shared" si="249"/>
        <v/>
      </c>
      <c r="CM70" s="451" t="str">
        <f t="shared" si="249"/>
        <v/>
      </c>
      <c r="CN70" s="452" t="str">
        <f t="shared" si="249"/>
        <v/>
      </c>
      <c r="CO70" s="451" t="str">
        <f t="shared" si="249"/>
        <v/>
      </c>
      <c r="CP70" s="451" t="str">
        <f t="shared" si="249"/>
        <v/>
      </c>
      <c r="CQ70" s="451" t="str">
        <f t="shared" si="249"/>
        <v/>
      </c>
      <c r="CR70" s="451" t="str">
        <f t="shared" si="249"/>
        <v/>
      </c>
      <c r="CS70" s="452" t="str">
        <f t="shared" si="249"/>
        <v/>
      </c>
      <c r="CT70" s="451" t="str">
        <f t="shared" si="249"/>
        <v/>
      </c>
      <c r="CU70" s="451" t="str">
        <f t="shared" si="249"/>
        <v/>
      </c>
      <c r="CV70" s="451" t="str">
        <f t="shared" si="249"/>
        <v/>
      </c>
      <c r="CW70" s="451" t="str">
        <f t="shared" si="249"/>
        <v/>
      </c>
      <c r="CX70" s="452" t="str">
        <f t="shared" si="249"/>
        <v/>
      </c>
      <c r="CY70" s="451" t="str">
        <f t="shared" si="249"/>
        <v/>
      </c>
      <c r="CZ70" s="451" t="str">
        <f t="shared" si="249"/>
        <v/>
      </c>
      <c r="DA70" s="451" t="str">
        <f t="shared" si="249"/>
        <v/>
      </c>
      <c r="DB70" s="451" t="str">
        <f t="shared" si="249"/>
        <v/>
      </c>
      <c r="DC70" s="452" t="str">
        <f t="shared" si="249"/>
        <v/>
      </c>
      <c r="DD70" s="451">
        <v>5.0226669688497871E-3</v>
      </c>
      <c r="DE70" s="451">
        <v>-2.5069202320843198E-2</v>
      </c>
      <c r="DF70" s="451">
        <v>-2.6360449054337098E-2</v>
      </c>
      <c r="DG70" s="451">
        <v>1.5543590616049485E-2</v>
      </c>
      <c r="DH70" s="452">
        <v>-6.8911880750592847E-3</v>
      </c>
      <c r="DI70" s="451">
        <f t="shared" si="249"/>
        <v>1.2784522862689496E-2</v>
      </c>
      <c r="DJ70" s="451">
        <f t="shared" si="249"/>
        <v>-7.2359210555885678E-3</v>
      </c>
      <c r="DK70" s="451">
        <f t="shared" si="249"/>
        <v>3.3865932431174306E-2</v>
      </c>
      <c r="DL70" s="451">
        <f t="shared" si="249"/>
        <v>1.9840260074837746E-2</v>
      </c>
      <c r="DM70" s="452">
        <f>IF(ISERROR(DM69/DH69-1),"",(DM69/DH69-1))</f>
        <v>5.0098318121460261E-2</v>
      </c>
      <c r="DN70" s="451">
        <f t="shared" si="249"/>
        <v>2.7507707915255253E-2</v>
      </c>
      <c r="DO70" s="451">
        <f t="shared" si="249"/>
        <v>8.2428459106057339E-2</v>
      </c>
      <c r="DP70" s="451">
        <f t="shared" si="249"/>
        <v>3.8575028984293658E-2</v>
      </c>
      <c r="DQ70" s="451">
        <f t="shared" si="249"/>
        <v>3.4638344849071911E-2</v>
      </c>
      <c r="DR70" s="452">
        <f>IF(ISERROR(DR69/DM69-1),"",(DR69/DM69-1))</f>
        <v>7.0356709554973307E-2</v>
      </c>
      <c r="DS70" s="451">
        <f t="shared" si="249"/>
        <v>3.452049993981432E-2</v>
      </c>
      <c r="DT70" s="451">
        <f t="shared" ref="DT70:EG70" si="250">IF(ISERROR(DT69/DO69-1),"",(DT69/DO69-1))</f>
        <v>1.3856399277952347E-2</v>
      </c>
      <c r="DU70" s="451">
        <f t="shared" si="250"/>
        <v>1.8882663295457514E-2</v>
      </c>
      <c r="DV70" s="451">
        <f t="shared" si="250"/>
        <v>6.0019175275736192E-3</v>
      </c>
      <c r="DW70" s="452">
        <f t="shared" si="250"/>
        <v>2.4194168023846885E-2</v>
      </c>
      <c r="DX70" s="451">
        <f t="shared" ca="1" si="250"/>
        <v>3.1259343129701245E-2</v>
      </c>
      <c r="DY70" s="451">
        <f t="shared" ca="1" si="250"/>
        <v>3.2144960434068448E-2</v>
      </c>
      <c r="DZ70" s="451">
        <f t="shared" ca="1" si="250"/>
        <v>1.244360702968561E-2</v>
      </c>
      <c r="EA70" s="451">
        <f t="shared" ca="1" si="250"/>
        <v>0.11055140655733808</v>
      </c>
      <c r="EB70" s="452">
        <f t="shared" ca="1" si="250"/>
        <v>5.0579007743170479E-2</v>
      </c>
      <c r="EC70" s="451">
        <f t="shared" ca="1" si="250"/>
        <v>-1.0291656560825424E-2</v>
      </c>
      <c r="ED70" s="451">
        <f t="shared" ca="1" si="250"/>
        <v>-3.7118871109953488E-3</v>
      </c>
      <c r="EE70" s="451">
        <f t="shared" ca="1" si="250"/>
        <v>-2.0329931565410075E-2</v>
      </c>
      <c r="EF70" s="451">
        <f t="shared" ca="1" si="250"/>
        <v>-4.6549734346216898E-2</v>
      </c>
      <c r="EG70" s="452">
        <f t="shared" ca="1" si="250"/>
        <v>-1.1323520041477853E-2</v>
      </c>
      <c r="EH70" s="451">
        <f t="shared" ref="EH70" si="251">IF(ISERROR(EH69/EC69-1),"",(EH69/EC69-1))</f>
        <v>-3.1536502459300619E-3</v>
      </c>
      <c r="EI70" s="451">
        <f t="shared" ref="EI70" si="252">IF(ISERROR(EI69/ED69-1),"",(EI69/ED69-1))</f>
        <v>-1.8067695017143226E-4</v>
      </c>
      <c r="EJ70" s="451">
        <f t="shared" ref="EJ70" si="253">IF(ISERROR(EJ69/EE69-1),"",(EJ69/EE69-1))</f>
        <v>4.1178267585706418E-3</v>
      </c>
      <c r="EK70" s="451">
        <f t="shared" ref="EK70" si="254">IF(ISERROR(EK69/EF69-1),"",(EK69/EF69-1))</f>
        <v>1.039811058086082E-2</v>
      </c>
      <c r="EL70" s="452">
        <f t="shared" ref="EL70" si="255">IF(ISERROR(EL69/EG69-1),"",(EL69/EG69-1))</f>
        <v>1.6194742973296483E-2</v>
      </c>
    </row>
    <row r="71" spans="1:142" ht="11.25" customHeight="1">
      <c r="A71" s="9"/>
      <c r="B71" s="9"/>
      <c r="C71" s="475"/>
      <c r="D71" s="475"/>
      <c r="E71" s="475"/>
      <c r="F71" s="475"/>
      <c r="G71" s="475"/>
      <c r="H71" s="475"/>
      <c r="I71" s="475"/>
      <c r="J71" s="475"/>
      <c r="K71" s="475"/>
      <c r="L71" s="475"/>
      <c r="M71" s="475"/>
      <c r="N71" s="475"/>
      <c r="O71" s="475"/>
      <c r="P71" s="475"/>
      <c r="Q71" s="475"/>
      <c r="R71" s="475"/>
      <c r="S71" s="475"/>
      <c r="T71" s="475"/>
      <c r="U71" s="475"/>
      <c r="V71" s="475"/>
      <c r="W71" s="475"/>
      <c r="X71" s="475"/>
      <c r="Y71" s="475"/>
      <c r="Z71" s="475"/>
      <c r="AA71" s="475"/>
      <c r="AB71" s="475"/>
      <c r="AC71" s="475"/>
      <c r="AD71" s="475"/>
      <c r="AE71" s="475"/>
      <c r="AF71" s="475"/>
      <c r="AG71" s="475"/>
      <c r="AH71" s="475"/>
      <c r="AI71" s="475"/>
      <c r="AJ71" s="475"/>
      <c r="AK71" s="475"/>
      <c r="AL71" s="475"/>
      <c r="AM71" s="475"/>
      <c r="AN71" s="475"/>
      <c r="AO71" s="475"/>
      <c r="AP71" s="475"/>
      <c r="AQ71" s="475"/>
      <c r="AR71" s="475"/>
      <c r="AS71" s="475"/>
      <c r="AT71" s="475"/>
      <c r="AU71" s="395"/>
      <c r="AV71" s="160"/>
      <c r="AW71" s="475"/>
      <c r="AX71" s="475"/>
      <c r="AY71" s="475"/>
      <c r="AZ71" s="475"/>
      <c r="BA71" s="475"/>
      <c r="BB71" s="475"/>
      <c r="BC71" s="475"/>
      <c r="BD71" s="475"/>
      <c r="BE71" s="475"/>
      <c r="BF71" s="475"/>
      <c r="BG71" s="475"/>
      <c r="BH71" s="475"/>
      <c r="BI71" s="475"/>
      <c r="BJ71" s="475"/>
      <c r="BK71" s="475"/>
      <c r="BL71" s="475"/>
      <c r="BM71" s="475"/>
      <c r="BN71" s="475"/>
      <c r="BO71" s="475"/>
      <c r="BP71" s="475"/>
      <c r="BQ71" s="475"/>
      <c r="BR71" s="475"/>
      <c r="BS71" s="475"/>
      <c r="BT71" s="475"/>
      <c r="BU71" s="475"/>
      <c r="BV71" s="475"/>
      <c r="BW71" s="475"/>
      <c r="BX71" s="475"/>
      <c r="BY71" s="149"/>
      <c r="BZ71" s="476"/>
      <c r="CA71" s="477"/>
      <c r="CB71" s="477"/>
      <c r="CC71" s="477"/>
      <c r="CD71" s="149"/>
      <c r="CE71" s="477"/>
      <c r="CF71" s="477"/>
      <c r="CG71" s="477"/>
      <c r="CH71" s="477"/>
      <c r="CI71" s="149"/>
      <c r="CJ71" s="477"/>
      <c r="CK71" s="477"/>
      <c r="CL71" s="477"/>
      <c r="CM71" s="477"/>
      <c r="CN71" s="149"/>
      <c r="CO71" s="477"/>
      <c r="CP71" s="477"/>
      <c r="CQ71" s="477"/>
      <c r="CR71" s="477"/>
      <c r="CS71" s="149"/>
      <c r="CT71" s="477"/>
      <c r="CU71" s="477"/>
      <c r="CV71" s="477"/>
      <c r="CW71" s="477"/>
      <c r="CX71" s="149"/>
      <c r="CY71" s="477"/>
      <c r="CZ71" s="477"/>
      <c r="DA71" s="477"/>
      <c r="DB71" s="477"/>
      <c r="DC71" s="149"/>
      <c r="DD71" s="477"/>
      <c r="DE71" s="477"/>
      <c r="DF71" s="477"/>
      <c r="DG71" s="477"/>
      <c r="DH71" s="149"/>
      <c r="DI71" s="477"/>
      <c r="DJ71" s="477"/>
      <c r="DK71" s="477"/>
      <c r="DL71" s="477"/>
      <c r="DM71" s="149"/>
      <c r="DN71" s="477"/>
      <c r="DO71" s="477"/>
      <c r="DP71" s="477"/>
      <c r="DQ71" s="477"/>
      <c r="DR71" s="149"/>
      <c r="DS71" s="477"/>
      <c r="DT71" s="477"/>
      <c r="DU71" s="477"/>
      <c r="DV71" s="477"/>
      <c r="DW71" s="149"/>
      <c r="DX71" s="477"/>
      <c r="DY71" s="477"/>
      <c r="DZ71" s="477"/>
      <c r="EA71" s="477"/>
      <c r="EB71" s="149"/>
      <c r="EC71" s="477"/>
      <c r="ED71" s="477"/>
      <c r="EE71" s="477"/>
      <c r="EF71" s="477"/>
      <c r="EG71" s="149"/>
      <c r="EH71" s="477"/>
      <c r="EI71" s="477"/>
      <c r="EJ71" s="477"/>
      <c r="EK71" s="477"/>
      <c r="EL71" s="149"/>
    </row>
    <row r="72" spans="1:142" ht="11.25" customHeight="1">
      <c r="A72" s="456"/>
      <c r="B72" s="456" t="s">
        <v>218</v>
      </c>
      <c r="C72" s="432"/>
      <c r="D72" s="432">
        <f>IS!D13</f>
        <v>26.117000000000001</v>
      </c>
      <c r="E72" s="432">
        <f>IS!E13</f>
        <v>20.7</v>
      </c>
      <c r="F72" s="432">
        <f>IS!F13</f>
        <v>22.1</v>
      </c>
      <c r="G72" s="432">
        <f>IS!G13</f>
        <v>68.082999999999998</v>
      </c>
      <c r="H72" s="433">
        <f>IS!H13</f>
        <v>137</v>
      </c>
      <c r="I72" s="432">
        <f>IS!I13</f>
        <v>67.3</v>
      </c>
      <c r="J72" s="432">
        <f>IS!J13</f>
        <v>69.7</v>
      </c>
      <c r="K72" s="432">
        <f>IS!K13</f>
        <v>71.900000000000006</v>
      </c>
      <c r="L72" s="432">
        <f>IS!L13</f>
        <v>81.099999999999994</v>
      </c>
      <c r="M72" s="433">
        <f>IS!M13</f>
        <v>290</v>
      </c>
      <c r="N72" s="432">
        <f>IS!N13</f>
        <v>74.5</v>
      </c>
      <c r="O72" s="432">
        <f>IS!O13</f>
        <v>78.7</v>
      </c>
      <c r="P72" s="432">
        <f>IS!P13</f>
        <v>128.1</v>
      </c>
      <c r="Q72" s="432">
        <f>IS!Q13</f>
        <v>212.70000000000005</v>
      </c>
      <c r="R72" s="433">
        <f>IS!R13</f>
        <v>494</v>
      </c>
      <c r="S72" s="432">
        <f>IS!S13</f>
        <v>148</v>
      </c>
      <c r="T72" s="432">
        <f>IS!T13</f>
        <v>136</v>
      </c>
      <c r="U72" s="432">
        <f>IS!U13</f>
        <v>163</v>
      </c>
      <c r="V72" s="432">
        <f>IS!V13</f>
        <v>141</v>
      </c>
      <c r="W72" s="433">
        <f>IS!W13</f>
        <v>588</v>
      </c>
      <c r="X72" s="432">
        <f>IS!X13</f>
        <v>159</v>
      </c>
      <c r="Y72" s="432">
        <f>IS!Y13</f>
        <v>184</v>
      </c>
      <c r="Z72" s="432">
        <f>IS!Z13</f>
        <v>190</v>
      </c>
      <c r="AA72" s="432">
        <f>IS!AA13</f>
        <v>210</v>
      </c>
      <c r="AB72" s="433">
        <f>IS!AB13</f>
        <v>743</v>
      </c>
      <c r="AC72" s="432">
        <f>IS!AC13</f>
        <v>223</v>
      </c>
      <c r="AD72" s="432">
        <f>IS!AD13</f>
        <v>210</v>
      </c>
      <c r="AE72" s="432">
        <f>IS!AE13</f>
        <v>214</v>
      </c>
      <c r="AF72" s="432">
        <f>IS!AF13</f>
        <v>204</v>
      </c>
      <c r="AG72" s="433">
        <f>IS!AG13</f>
        <v>851</v>
      </c>
      <c r="AH72" s="432">
        <f>IS!AH13</f>
        <v>213</v>
      </c>
      <c r="AI72" s="432">
        <f>IS!AI13</f>
        <v>206</v>
      </c>
      <c r="AJ72" s="432">
        <f>IS!AJ13</f>
        <v>219</v>
      </c>
      <c r="AK72" s="432">
        <f>IS!AK13</f>
        <v>211</v>
      </c>
      <c r="AL72" s="433">
        <f>IS!AL13</f>
        <v>849</v>
      </c>
      <c r="AM72" s="432">
        <f>IS!AM13</f>
        <v>246</v>
      </c>
      <c r="AN72" s="432">
        <f>IS!AN13</f>
        <v>258</v>
      </c>
      <c r="AO72" s="432">
        <f>IS!AO13</f>
        <v>236</v>
      </c>
      <c r="AP72" s="432">
        <f>IS!AP13</f>
        <v>246</v>
      </c>
      <c r="AQ72" s="433">
        <f>IS!AQ13</f>
        <v>986</v>
      </c>
      <c r="AR72" s="432">
        <f>IS!AR13</f>
        <v>277</v>
      </c>
      <c r="AS72" s="432">
        <f>IS!AS13</f>
        <v>291</v>
      </c>
      <c r="AT72" s="432">
        <f>IS!AT13</f>
        <v>304</v>
      </c>
      <c r="AU72" s="457"/>
      <c r="AV72" s="432">
        <f>IS!AV13</f>
        <v>225</v>
      </c>
      <c r="AW72" s="432">
        <f>IS!AW13</f>
        <v>219</v>
      </c>
      <c r="AX72" s="432">
        <f>IS!AX13</f>
        <v>260</v>
      </c>
      <c r="AY72" s="432">
        <f>IS!AY13</f>
        <v>271</v>
      </c>
      <c r="AZ72" s="433">
        <f>IS!AZ13</f>
        <v>975</v>
      </c>
      <c r="BA72" s="432">
        <f>IS!BA13</f>
        <v>274</v>
      </c>
      <c r="BB72" s="432">
        <f>IS!BB13</f>
        <v>288</v>
      </c>
      <c r="BC72" s="432">
        <f>IS!BC13</f>
        <v>522</v>
      </c>
      <c r="BD72" s="432">
        <f>IS!BD13</f>
        <v>364</v>
      </c>
      <c r="BE72" s="433">
        <f>IS!BE13</f>
        <v>1448</v>
      </c>
      <c r="BF72" s="432">
        <f>IS!BF13</f>
        <v>293</v>
      </c>
      <c r="BG72" s="432">
        <f>IS!BG13</f>
        <v>499</v>
      </c>
      <c r="BH72" s="432">
        <f>IS!BH13</f>
        <v>253</v>
      </c>
      <c r="BI72" s="432">
        <f>IS!BI13</f>
        <v>195</v>
      </c>
      <c r="BJ72" s="433">
        <f>IS!BJ13</f>
        <v>1240</v>
      </c>
      <c r="BK72" s="432">
        <f>IS!BK13</f>
        <v>167</v>
      </c>
      <c r="BL72" s="432">
        <f>IS!BL13</f>
        <v>153</v>
      </c>
      <c r="BM72" s="432">
        <f>IS!BM13</f>
        <v>206</v>
      </c>
      <c r="BN72" s="432">
        <f>IS!BN13</f>
        <v>172</v>
      </c>
      <c r="BO72" s="433">
        <f>IS!BO13</f>
        <v>698</v>
      </c>
      <c r="BP72" s="432">
        <f>IS!BP13</f>
        <v>138</v>
      </c>
      <c r="BQ72" s="432">
        <f>IS!BQ13</f>
        <v>128</v>
      </c>
      <c r="BR72" s="432">
        <f>IS!BR13</f>
        <v>157</v>
      </c>
      <c r="BS72" s="432">
        <f>IS!BS13</f>
        <v>124</v>
      </c>
      <c r="BT72" s="433">
        <f>IS!BT13</f>
        <v>547</v>
      </c>
      <c r="BU72" s="432">
        <f>IS!BU13</f>
        <v>141</v>
      </c>
      <c r="BV72" s="432">
        <f>IS!BV13</f>
        <v>151</v>
      </c>
      <c r="BW72" s="432">
        <f>IS!BW13</f>
        <v>159</v>
      </c>
      <c r="BX72" s="432">
        <f>IS!BX13</f>
        <v>134</v>
      </c>
      <c r="BY72" s="433">
        <f>IS!BY13</f>
        <v>585</v>
      </c>
      <c r="BZ72" s="432">
        <f>IS!BZ13</f>
        <v>149</v>
      </c>
      <c r="CA72" s="432">
        <f>IS!CA13</f>
        <v>154</v>
      </c>
      <c r="CB72" s="432">
        <f>IS!CB13</f>
        <v>166</v>
      </c>
      <c r="CC72" s="432">
        <f>IS!CC13</f>
        <v>166</v>
      </c>
      <c r="CD72" s="433">
        <f>IS!CD13</f>
        <v>635</v>
      </c>
      <c r="CE72" s="432">
        <f>IS!CE13</f>
        <v>156</v>
      </c>
      <c r="CF72" s="432">
        <f>IS!CF13</f>
        <v>167</v>
      </c>
      <c r="CG72" s="432">
        <f>IS!CG13</f>
        <v>193</v>
      </c>
      <c r="CH72" s="432">
        <f>IS!CH13</f>
        <v>181</v>
      </c>
      <c r="CI72" s="433">
        <f>IS!CI13</f>
        <v>697</v>
      </c>
      <c r="CJ72" s="432">
        <f>IS!CJ13</f>
        <v>189</v>
      </c>
      <c r="CK72" s="432">
        <f>IS!CK13</f>
        <v>173</v>
      </c>
      <c r="CL72" s="432">
        <f>IS!CL13</f>
        <v>187</v>
      </c>
      <c r="CM72" s="432">
        <f>IS!CM13</f>
        <v>191</v>
      </c>
      <c r="CN72" s="433">
        <f>IS!CN13</f>
        <v>740</v>
      </c>
      <c r="CO72" s="432">
        <f>IS!CO13</f>
        <v>179</v>
      </c>
      <c r="CP72" s="432">
        <f>IS!CP13</f>
        <v>168</v>
      </c>
      <c r="CQ72" s="432">
        <f>IS!CQ13</f>
        <v>189</v>
      </c>
      <c r="CR72" s="432">
        <f>IS!CR13</f>
        <v>181</v>
      </c>
      <c r="CS72" s="433">
        <f>IS!CS13</f>
        <v>717</v>
      </c>
      <c r="CT72" s="434">
        <f>IS!CT13</f>
        <v>189</v>
      </c>
      <c r="CU72" s="434">
        <f>IS!CU13</f>
        <v>190</v>
      </c>
      <c r="CV72" s="434">
        <f>IS!CV13</f>
        <v>206</v>
      </c>
      <c r="CW72" s="434">
        <f>IS!CW13</f>
        <v>200</v>
      </c>
      <c r="CX72" s="433">
        <f>IS!CX13</f>
        <v>785</v>
      </c>
      <c r="CY72" s="434">
        <f>IS!CY13</f>
        <v>207</v>
      </c>
      <c r="CZ72" s="434">
        <f>IS!CZ13</f>
        <v>207</v>
      </c>
      <c r="DA72" s="434">
        <f>IS!DA13</f>
        <v>210</v>
      </c>
      <c r="DB72" s="434">
        <f>IS!DB13</f>
        <v>348</v>
      </c>
      <c r="DC72" s="433">
        <f>IS!DC13</f>
        <v>972</v>
      </c>
      <c r="DD72" s="434">
        <v>380</v>
      </c>
      <c r="DE72" s="434">
        <v>320</v>
      </c>
      <c r="DF72" s="434">
        <v>249</v>
      </c>
      <c r="DG72" s="434">
        <v>356</v>
      </c>
      <c r="DH72" s="433">
        <v>1305</v>
      </c>
      <c r="DI72" s="434">
        <f>IS!DI13</f>
        <v>363</v>
      </c>
      <c r="DJ72" s="434">
        <f>IS!DJ13</f>
        <v>352</v>
      </c>
      <c r="DK72" s="434">
        <f>IS!DK13</f>
        <v>371</v>
      </c>
      <c r="DL72" s="434">
        <f>IS!DL13</f>
        <v>391</v>
      </c>
      <c r="DM72" s="433">
        <f>IS!DM13</f>
        <v>1477</v>
      </c>
      <c r="DN72" s="434">
        <f>IS!DN13</f>
        <v>376</v>
      </c>
      <c r="DO72" s="434">
        <f>IS!DO13</f>
        <v>352</v>
      </c>
      <c r="DP72" s="434">
        <f>IS!DP13</f>
        <v>367</v>
      </c>
      <c r="DQ72" s="434">
        <f>IS!DQ13</f>
        <v>354</v>
      </c>
      <c r="DR72" s="433">
        <f>IS!DR13</f>
        <v>1449</v>
      </c>
      <c r="DS72" s="434">
        <f>IS!DS13</f>
        <v>383</v>
      </c>
      <c r="DT72" s="434">
        <f>IS!DT13</f>
        <v>371</v>
      </c>
      <c r="DU72" s="434">
        <f>IS!DU13</f>
        <v>355</v>
      </c>
      <c r="DV72" s="434">
        <f>IS!DV13</f>
        <v>325</v>
      </c>
      <c r="DW72" s="433">
        <f>IS!DW13</f>
        <v>1434</v>
      </c>
      <c r="DX72" s="432">
        <f>DX74*(DX23)</f>
        <v>369.34505102875954</v>
      </c>
      <c r="DY72" s="432">
        <f>DY74*(DY23)</f>
        <v>368.31038797534643</v>
      </c>
      <c r="DZ72" s="432">
        <f>DZ74*(DZ23)</f>
        <v>353.03772988619238</v>
      </c>
      <c r="EA72" s="432">
        <f>EA74*(EA23)</f>
        <v>370.57258325966455</v>
      </c>
      <c r="EB72" s="433">
        <f>IS!EB13</f>
        <v>1500.4882328117758</v>
      </c>
      <c r="EC72" s="432">
        <f>EC74*(EC23)</f>
        <v>357.14080827565749</v>
      </c>
      <c r="ED72" s="432">
        <f>ED74*(ED23)</f>
        <v>362.06189329800605</v>
      </c>
      <c r="EE72" s="432">
        <f>EE74*(EE23)</f>
        <v>353.41355858754508</v>
      </c>
      <c r="EF72" s="432">
        <f>EF74*(EF23)</f>
        <v>377.70252236183222</v>
      </c>
      <c r="EG72" s="433">
        <f>IS!EG13</f>
        <v>1496.2492826783973</v>
      </c>
      <c r="EH72" s="432">
        <f>EH74*(EH23)</f>
        <v>365.44372899742723</v>
      </c>
      <c r="EI72" s="432">
        <f>EI74*(EI23)</f>
        <v>370.15082722790947</v>
      </c>
      <c r="EJ72" s="432">
        <f>EJ74*(EJ23)</f>
        <v>360.97009376956936</v>
      </c>
      <c r="EK72" s="432">
        <f>EK74*(EK23)</f>
        <v>386.15386046058251</v>
      </c>
      <c r="EL72" s="433">
        <f>IS!EL13</f>
        <v>1537.2425425917911</v>
      </c>
    </row>
    <row r="73" spans="1:142" ht="11.25" customHeight="1">
      <c r="A73" s="415"/>
      <c r="B73" s="415" t="s">
        <v>109</v>
      </c>
      <c r="C73" s="435"/>
      <c r="D73" s="435"/>
      <c r="E73" s="435"/>
      <c r="F73" s="435"/>
      <c r="G73" s="435"/>
      <c r="H73" s="55"/>
      <c r="I73" s="177">
        <f t="shared" ref="I73:AT73" si="256">I72/D72-1</f>
        <v>1.5768656430677335</v>
      </c>
      <c r="J73" s="177">
        <f t="shared" si="256"/>
        <v>2.3671497584541066</v>
      </c>
      <c r="K73" s="177">
        <f t="shared" si="256"/>
        <v>2.253393665158371</v>
      </c>
      <c r="L73" s="177">
        <f t="shared" si="256"/>
        <v>0.19119310253660959</v>
      </c>
      <c r="M73" s="55">
        <f t="shared" si="256"/>
        <v>1.1167883211678831</v>
      </c>
      <c r="N73" s="177">
        <f t="shared" si="256"/>
        <v>0.10698365527488862</v>
      </c>
      <c r="O73" s="177">
        <f t="shared" si="256"/>
        <v>0.12912482065997133</v>
      </c>
      <c r="P73" s="177">
        <f t="shared" si="256"/>
        <v>0.78164116828929053</v>
      </c>
      <c r="Q73" s="177">
        <f t="shared" si="256"/>
        <v>1.6226880394574605</v>
      </c>
      <c r="R73" s="55">
        <f t="shared" si="256"/>
        <v>0.70344827586206904</v>
      </c>
      <c r="S73" s="177">
        <f t="shared" si="256"/>
        <v>0.98657718120805371</v>
      </c>
      <c r="T73" s="177">
        <f t="shared" si="256"/>
        <v>0.72808132147395166</v>
      </c>
      <c r="U73" s="177">
        <f t="shared" si="256"/>
        <v>0.27244340359094465</v>
      </c>
      <c r="V73" s="177">
        <f t="shared" si="256"/>
        <v>-0.33709449929478152</v>
      </c>
      <c r="W73" s="55">
        <f t="shared" si="256"/>
        <v>0.19028340080971651</v>
      </c>
      <c r="X73" s="177">
        <f t="shared" si="256"/>
        <v>7.4324324324324342E-2</v>
      </c>
      <c r="Y73" s="177">
        <f t="shared" si="256"/>
        <v>0.35294117647058831</v>
      </c>
      <c r="Z73" s="177">
        <f t="shared" si="256"/>
        <v>0.16564417177914104</v>
      </c>
      <c r="AA73" s="177">
        <f t="shared" si="256"/>
        <v>0.4893617021276595</v>
      </c>
      <c r="AB73" s="55">
        <f t="shared" si="256"/>
        <v>0.26360544217687076</v>
      </c>
      <c r="AC73" s="177">
        <f t="shared" si="256"/>
        <v>0.40251572327044016</v>
      </c>
      <c r="AD73" s="177">
        <f t="shared" si="256"/>
        <v>0.14130434782608692</v>
      </c>
      <c r="AE73" s="177">
        <f t="shared" si="256"/>
        <v>0.12631578947368416</v>
      </c>
      <c r="AF73" s="177">
        <f t="shared" si="256"/>
        <v>-2.8571428571428581E-2</v>
      </c>
      <c r="AG73" s="55">
        <f t="shared" si="256"/>
        <v>0.14535666218034993</v>
      </c>
      <c r="AH73" s="177">
        <f t="shared" si="256"/>
        <v>-4.4843049327354279E-2</v>
      </c>
      <c r="AI73" s="177">
        <f t="shared" si="256"/>
        <v>-1.9047619047619091E-2</v>
      </c>
      <c r="AJ73" s="177">
        <f t="shared" si="256"/>
        <v>2.3364485981308469E-2</v>
      </c>
      <c r="AK73" s="177">
        <f t="shared" si="256"/>
        <v>3.4313725490196179E-2</v>
      </c>
      <c r="AL73" s="55">
        <f t="shared" si="256"/>
        <v>-2.3501762632197609E-3</v>
      </c>
      <c r="AM73" s="177">
        <f t="shared" si="256"/>
        <v>0.15492957746478875</v>
      </c>
      <c r="AN73" s="177">
        <f t="shared" si="256"/>
        <v>0.25242718446601953</v>
      </c>
      <c r="AO73" s="177">
        <f t="shared" si="256"/>
        <v>7.7625570776255648E-2</v>
      </c>
      <c r="AP73" s="177">
        <f t="shared" si="256"/>
        <v>0.16587677725118488</v>
      </c>
      <c r="AQ73" s="55">
        <f t="shared" si="256"/>
        <v>0.16136631330977624</v>
      </c>
      <c r="AR73" s="177">
        <f t="shared" si="256"/>
        <v>0.12601626016260159</v>
      </c>
      <c r="AS73" s="177">
        <f t="shared" si="256"/>
        <v>0.12790697674418605</v>
      </c>
      <c r="AT73" s="177">
        <f t="shared" si="256"/>
        <v>0.28813559322033888</v>
      </c>
      <c r="AU73" s="395"/>
      <c r="AV73" s="435"/>
      <c r="AW73" s="435"/>
      <c r="AX73" s="435"/>
      <c r="AY73" s="435"/>
      <c r="AZ73" s="55"/>
      <c r="BA73" s="177">
        <f t="shared" ref="BA73:CF73" si="257">BA72/AV72-1</f>
        <v>0.21777777777777785</v>
      </c>
      <c r="BB73" s="177">
        <f t="shared" si="257"/>
        <v>0.31506849315068486</v>
      </c>
      <c r="BC73" s="177">
        <f t="shared" si="257"/>
        <v>1.0076923076923077</v>
      </c>
      <c r="BD73" s="177">
        <f t="shared" si="257"/>
        <v>0.34317343173431736</v>
      </c>
      <c r="BE73" s="55">
        <f t="shared" si="257"/>
        <v>0.48512820512820509</v>
      </c>
      <c r="BF73" s="177">
        <f t="shared" si="257"/>
        <v>6.9343065693430628E-2</v>
      </c>
      <c r="BG73" s="177">
        <f t="shared" si="257"/>
        <v>0.73263888888888884</v>
      </c>
      <c r="BH73" s="177">
        <f t="shared" si="257"/>
        <v>-0.51532567049808431</v>
      </c>
      <c r="BI73" s="177">
        <f t="shared" si="257"/>
        <v>-0.4642857142857143</v>
      </c>
      <c r="BJ73" s="55">
        <f t="shared" si="257"/>
        <v>-0.14364640883977897</v>
      </c>
      <c r="BK73" s="177">
        <f t="shared" si="257"/>
        <v>-0.43003412969283272</v>
      </c>
      <c r="BL73" s="177">
        <f t="shared" si="257"/>
        <v>-0.69338677354709422</v>
      </c>
      <c r="BM73" s="177">
        <f t="shared" si="257"/>
        <v>-0.18577075098814233</v>
      </c>
      <c r="BN73" s="177">
        <f t="shared" si="257"/>
        <v>-0.11794871794871797</v>
      </c>
      <c r="BO73" s="55">
        <f t="shared" si="257"/>
        <v>-0.43709677419354842</v>
      </c>
      <c r="BP73" s="177">
        <f t="shared" si="257"/>
        <v>-0.17365269461077848</v>
      </c>
      <c r="BQ73" s="177">
        <f t="shared" si="257"/>
        <v>-0.16339869281045749</v>
      </c>
      <c r="BR73" s="177">
        <f t="shared" si="257"/>
        <v>-0.23786407766990292</v>
      </c>
      <c r="BS73" s="177">
        <f t="shared" si="257"/>
        <v>-0.27906976744186052</v>
      </c>
      <c r="BT73" s="55">
        <f t="shared" si="257"/>
        <v>-0.21633237822349571</v>
      </c>
      <c r="BU73" s="177">
        <f t="shared" si="257"/>
        <v>2.1739130434782705E-2</v>
      </c>
      <c r="BV73" s="177">
        <f t="shared" si="257"/>
        <v>0.1796875</v>
      </c>
      <c r="BW73" s="177">
        <f t="shared" si="257"/>
        <v>1.2738853503184711E-2</v>
      </c>
      <c r="BX73" s="177">
        <f t="shared" si="257"/>
        <v>8.0645161290322509E-2</v>
      </c>
      <c r="BY73" s="55">
        <f t="shared" si="257"/>
        <v>6.9469835466179131E-2</v>
      </c>
      <c r="BZ73" s="177">
        <f t="shared" si="257"/>
        <v>5.6737588652482351E-2</v>
      </c>
      <c r="CA73" s="177">
        <f t="shared" si="257"/>
        <v>1.9867549668874274E-2</v>
      </c>
      <c r="CB73" s="177">
        <f t="shared" si="257"/>
        <v>4.4025157232704393E-2</v>
      </c>
      <c r="CC73" s="177">
        <f t="shared" si="257"/>
        <v>0.23880597014925375</v>
      </c>
      <c r="CD73" s="55">
        <f t="shared" si="257"/>
        <v>8.5470085470085388E-2</v>
      </c>
      <c r="CE73" s="177">
        <f t="shared" si="257"/>
        <v>4.6979865771812124E-2</v>
      </c>
      <c r="CF73" s="177">
        <f t="shared" si="257"/>
        <v>8.4415584415584499E-2</v>
      </c>
      <c r="CG73" s="177">
        <f t="shared" ref="CG73:DV73" si="258">CG72/CB72-1</f>
        <v>0.16265060240963858</v>
      </c>
      <c r="CH73" s="177">
        <f t="shared" si="258"/>
        <v>9.0361445783132543E-2</v>
      </c>
      <c r="CI73" s="55">
        <f t="shared" si="258"/>
        <v>9.7637795275590467E-2</v>
      </c>
      <c r="CJ73" s="177">
        <f t="shared" si="258"/>
        <v>0.21153846153846145</v>
      </c>
      <c r="CK73" s="177">
        <f t="shared" si="258"/>
        <v>3.5928143712574911E-2</v>
      </c>
      <c r="CL73" s="177">
        <f t="shared" si="258"/>
        <v>-3.1088082901554404E-2</v>
      </c>
      <c r="CM73" s="177">
        <f t="shared" si="258"/>
        <v>5.5248618784530468E-2</v>
      </c>
      <c r="CN73" s="55">
        <f t="shared" si="258"/>
        <v>6.1692969870875247E-2</v>
      </c>
      <c r="CO73" s="177">
        <f t="shared" si="258"/>
        <v>-5.2910052910052907E-2</v>
      </c>
      <c r="CP73" s="177">
        <f t="shared" si="258"/>
        <v>-2.8901734104046284E-2</v>
      </c>
      <c r="CQ73" s="177">
        <f t="shared" si="258"/>
        <v>1.0695187165775444E-2</v>
      </c>
      <c r="CR73" s="177">
        <f t="shared" si="258"/>
        <v>-5.2356020942408432E-2</v>
      </c>
      <c r="CS73" s="55">
        <f t="shared" si="258"/>
        <v>-3.1081081081081097E-2</v>
      </c>
      <c r="CT73" s="177">
        <f t="shared" si="258"/>
        <v>5.5865921787709549E-2</v>
      </c>
      <c r="CU73" s="177">
        <f t="shared" si="258"/>
        <v>0.13095238095238093</v>
      </c>
      <c r="CV73" s="177">
        <f t="shared" si="258"/>
        <v>8.9947089947089998E-2</v>
      </c>
      <c r="CW73" s="177">
        <f t="shared" si="258"/>
        <v>0.1049723756906078</v>
      </c>
      <c r="CX73" s="55">
        <f t="shared" si="258"/>
        <v>9.4839609483960974E-2</v>
      </c>
      <c r="CY73" s="177">
        <f t="shared" si="258"/>
        <v>9.5238095238095344E-2</v>
      </c>
      <c r="CZ73" s="177">
        <f t="shared" si="258"/>
        <v>8.9473684210526372E-2</v>
      </c>
      <c r="DA73" s="177">
        <f t="shared" si="258"/>
        <v>1.9417475728155331E-2</v>
      </c>
      <c r="DB73" s="177">
        <f t="shared" si="258"/>
        <v>0.74</v>
      </c>
      <c r="DC73" s="55">
        <f t="shared" si="258"/>
        <v>0.23821656050955409</v>
      </c>
      <c r="DD73" s="177">
        <v>0.83574879227053134</v>
      </c>
      <c r="DE73" s="177">
        <v>0.54589371980676327</v>
      </c>
      <c r="DF73" s="177">
        <v>0.18571428571428572</v>
      </c>
      <c r="DG73" s="177">
        <v>2.2988505747126409E-2</v>
      </c>
      <c r="DH73" s="55">
        <v>0.34259259259259256</v>
      </c>
      <c r="DI73" s="177">
        <f t="shared" si="258"/>
        <v>-4.4736842105263186E-2</v>
      </c>
      <c r="DJ73" s="177">
        <f t="shared" si="258"/>
        <v>0.10000000000000009</v>
      </c>
      <c r="DK73" s="177">
        <f t="shared" si="258"/>
        <v>0.48995983935742982</v>
      </c>
      <c r="DL73" s="177">
        <f t="shared" si="258"/>
        <v>9.8314606741572996E-2</v>
      </c>
      <c r="DM73" s="55">
        <f>DM72/DH72-1</f>
        <v>0.13180076628352499</v>
      </c>
      <c r="DN73" s="177">
        <f t="shared" si="258"/>
        <v>3.5812672176308569E-2</v>
      </c>
      <c r="DO73" s="177">
        <f t="shared" si="258"/>
        <v>0</v>
      </c>
      <c r="DP73" s="177">
        <f t="shared" si="258"/>
        <v>-1.0781671159029615E-2</v>
      </c>
      <c r="DQ73" s="177">
        <f t="shared" si="258"/>
        <v>-9.4629156010230142E-2</v>
      </c>
      <c r="DR73" s="55">
        <f>DR72/DM72-1</f>
        <v>-1.8957345971563955E-2</v>
      </c>
      <c r="DS73" s="177">
        <f t="shared" si="258"/>
        <v>1.8617021276595702E-2</v>
      </c>
      <c r="DT73" s="177">
        <f t="shared" si="258"/>
        <v>5.3977272727272707E-2</v>
      </c>
      <c r="DU73" s="177">
        <f t="shared" si="258"/>
        <v>-3.2697547683923744E-2</v>
      </c>
      <c r="DV73" s="177">
        <f t="shared" si="258"/>
        <v>-8.1920903954802227E-2</v>
      </c>
      <c r="DW73" s="55">
        <f t="shared" ref="DW73:EG73" si="259">DW72/DR72-1</f>
        <v>-1.0351966873705987E-2</v>
      </c>
      <c r="DX73" s="177">
        <f t="shared" si="259"/>
        <v>-3.5652608280001163E-2</v>
      </c>
      <c r="DY73" s="177">
        <f t="shared" si="259"/>
        <v>-7.249628098796701E-3</v>
      </c>
      <c r="DZ73" s="177">
        <f t="shared" si="259"/>
        <v>-5.5275214473453627E-3</v>
      </c>
      <c r="EA73" s="177">
        <f t="shared" si="259"/>
        <v>0.14022333310666024</v>
      </c>
      <c r="EB73" s="55">
        <f t="shared" si="259"/>
        <v>4.6365573787849224E-2</v>
      </c>
      <c r="EC73" s="177">
        <f t="shared" si="259"/>
        <v>-3.3042930233148748E-2</v>
      </c>
      <c r="ED73" s="177">
        <f t="shared" si="259"/>
        <v>-1.6965295797626623E-2</v>
      </c>
      <c r="EE73" s="177">
        <f t="shared" si="259"/>
        <v>1.064556758491042E-3</v>
      </c>
      <c r="EF73" s="177">
        <f t="shared" si="259"/>
        <v>1.924033084004928E-2</v>
      </c>
      <c r="EG73" s="55">
        <f t="shared" si="259"/>
        <v>-2.8250472350823674E-3</v>
      </c>
      <c r="EH73" s="177">
        <f t="shared" ref="EH73" si="260">EH72/EC72-1</f>
        <v>2.3248311392522814E-2</v>
      </c>
      <c r="EI73" s="177">
        <f t="shared" ref="EI73" si="261">EI72/ED72-1</f>
        <v>2.2341301527817992E-2</v>
      </c>
      <c r="EJ73" s="177">
        <f t="shared" ref="EJ73" si="262">EJ72/EE72-1</f>
        <v>2.1381565586291451E-2</v>
      </c>
      <c r="EK73" s="177">
        <f t="shared" ref="EK73" si="263">EK72/EF72-1</f>
        <v>2.2375646437049923E-2</v>
      </c>
      <c r="EL73" s="55">
        <f t="shared" ref="EL73" si="264">EL72/EG72-1</f>
        <v>2.7397346410093393E-2</v>
      </c>
    </row>
    <row r="74" spans="1:142" ht="11.25" customHeight="1">
      <c r="A74" s="415"/>
      <c r="B74" s="1459" t="s">
        <v>219</v>
      </c>
      <c r="C74" s="1464"/>
      <c r="D74" s="1464">
        <f t="shared" ref="D74:AT74" si="265">D72/(D$19+D$18)</f>
        <v>5.0465487457538045E-2</v>
      </c>
      <c r="E74" s="1464">
        <f t="shared" si="265"/>
        <v>4.097622389250373E-2</v>
      </c>
      <c r="F74" s="1464">
        <f t="shared" si="265"/>
        <v>4.170598226080393E-2</v>
      </c>
      <c r="G74" s="1464">
        <f t="shared" si="265"/>
        <v>5.8110782881973223E-2</v>
      </c>
      <c r="H74" s="1465">
        <f t="shared" si="265"/>
        <v>5.0289993392555618E-2</v>
      </c>
      <c r="I74" s="1464">
        <f t="shared" si="265"/>
        <v>5.8389727572444906E-2</v>
      </c>
      <c r="J74" s="1464">
        <f t="shared" si="265"/>
        <v>5.6694322433707499E-2</v>
      </c>
      <c r="K74" s="1464">
        <f t="shared" si="265"/>
        <v>5.4914839990834796E-2</v>
      </c>
      <c r="L74" s="1464">
        <f t="shared" si="265"/>
        <v>6.1406829711516606E-2</v>
      </c>
      <c r="M74" s="1465">
        <f t="shared" si="265"/>
        <v>5.7861133280127694E-2</v>
      </c>
      <c r="N74" s="1464">
        <f t="shared" si="265"/>
        <v>5.8721525971466855E-2</v>
      </c>
      <c r="O74" s="1464">
        <f t="shared" si="265"/>
        <v>6.0067165318272019E-2</v>
      </c>
      <c r="P74" s="1464">
        <f t="shared" si="265"/>
        <v>6.3516461721539075E-2</v>
      </c>
      <c r="Q74" s="1464">
        <f t="shared" si="265"/>
        <v>6.7603216476496211E-2</v>
      </c>
      <c r="R74" s="1465">
        <f t="shared" si="265"/>
        <v>6.3807801601653322E-2</v>
      </c>
      <c r="S74" s="1464">
        <f t="shared" si="265"/>
        <v>7.1290944123314062E-2</v>
      </c>
      <c r="T74" s="1464">
        <f t="shared" si="265"/>
        <v>6.3285248953001402E-2</v>
      </c>
      <c r="U74" s="1464">
        <f t="shared" si="265"/>
        <v>7.1241258741258737E-2</v>
      </c>
      <c r="V74" s="1464">
        <f t="shared" si="265"/>
        <v>6.1091854419410743E-2</v>
      </c>
      <c r="W74" s="1465">
        <f t="shared" si="265"/>
        <v>6.6659108944564102E-2</v>
      </c>
      <c r="X74" s="1464">
        <f t="shared" si="265"/>
        <v>7.0353982300884951E-2</v>
      </c>
      <c r="Y74" s="1464">
        <f t="shared" si="265"/>
        <v>8.0244221543829042E-2</v>
      </c>
      <c r="Z74" s="1464">
        <f t="shared" si="265"/>
        <v>7.5039494470774099E-2</v>
      </c>
      <c r="AA74" s="1464">
        <f t="shared" si="265"/>
        <v>8.027522935779817E-2</v>
      </c>
      <c r="AB74" s="1465">
        <f t="shared" si="265"/>
        <v>7.6590042263684155E-2</v>
      </c>
      <c r="AC74" s="1464">
        <f t="shared" si="265"/>
        <v>8.5604606525911703E-2</v>
      </c>
      <c r="AD74" s="1464">
        <f t="shared" si="265"/>
        <v>8.3234244946492272E-2</v>
      </c>
      <c r="AE74" s="1464">
        <f t="shared" si="265"/>
        <v>8.149276466108149E-2</v>
      </c>
      <c r="AF74" s="1464">
        <f t="shared" si="265"/>
        <v>7.6433121019108277E-2</v>
      </c>
      <c r="AG74" s="1465">
        <f t="shared" si="265"/>
        <v>8.1646359013719652E-2</v>
      </c>
      <c r="AH74" s="1464">
        <f t="shared" si="265"/>
        <v>7.9211602826329497E-2</v>
      </c>
      <c r="AI74" s="1464">
        <f t="shared" si="265"/>
        <v>7.5707460492466003E-2</v>
      </c>
      <c r="AJ74" s="1464">
        <f t="shared" si="265"/>
        <v>7.6815152578042792E-2</v>
      </c>
      <c r="AK74" s="1464">
        <f t="shared" si="265"/>
        <v>6.9890692282212646E-2</v>
      </c>
      <c r="AL74" s="1465">
        <f t="shared" si="265"/>
        <v>7.5265957446808515E-2</v>
      </c>
      <c r="AM74" s="1464">
        <f t="shared" si="265"/>
        <v>7.8896728672225788E-2</v>
      </c>
      <c r="AN74" s="1464">
        <f t="shared" si="265"/>
        <v>8.0024813895781644E-2</v>
      </c>
      <c r="AO74" s="1464">
        <f t="shared" si="265"/>
        <v>7.1148628278564968E-2</v>
      </c>
      <c r="AP74" s="1464">
        <f t="shared" si="265"/>
        <v>6.8542769573697412E-2</v>
      </c>
      <c r="AQ74" s="1465">
        <f t="shared" si="265"/>
        <v>7.4426328502415456E-2</v>
      </c>
      <c r="AR74" s="1464">
        <f t="shared" si="265"/>
        <v>7.8116187253243097E-2</v>
      </c>
      <c r="AS74" s="1464">
        <f t="shared" si="265"/>
        <v>8.0654101995565414E-2</v>
      </c>
      <c r="AT74" s="1464">
        <f t="shared" si="265"/>
        <v>8.7031205267678213E-2</v>
      </c>
      <c r="AU74" s="1409"/>
      <c r="AV74" s="1466" t="str">
        <f>IF(ISERROR(AV72/(AV$19+AV$18)),"nm",AV72/(AV$19+AV$18))</f>
        <v>nm</v>
      </c>
      <c r="AW74" s="1466" t="str">
        <f>IF(ISERROR(AW72/(AW$19+AW$18)),"nm",AW72/(AW$19+AW$18))</f>
        <v>nm</v>
      </c>
      <c r="AX74" s="1466" t="str">
        <f>IF(ISERROR(AX72/(AX$19+AX$18)),"nm",AX72/(AX$19+AX$18))</f>
        <v>nm</v>
      </c>
      <c r="AY74" s="1466" t="str">
        <f>IF(ISERROR(AY72/(AY$19+AY$18)),"nm",AY72/(AY$19+AY$18))</f>
        <v>nm</v>
      </c>
      <c r="AZ74" s="1463" t="str">
        <f>IF(ISERROR(AZ72/(AZ$19+AZ$18)),"nm",AZ72/(AZ$19+AZ$18))</f>
        <v>nm</v>
      </c>
      <c r="BA74" s="1464">
        <f t="shared" ref="BA74:CF74" si="266">BA72/(BA$19+BA$18)</f>
        <v>8.35875533862111E-2</v>
      </c>
      <c r="BB74" s="1464">
        <f t="shared" si="266"/>
        <v>9.014084507042254E-2</v>
      </c>
      <c r="BC74" s="1464">
        <f t="shared" si="266"/>
        <v>0.16597774244833069</v>
      </c>
      <c r="BD74" s="1464">
        <f t="shared" si="266"/>
        <v>0.12491420727522307</v>
      </c>
      <c r="BE74" s="1465">
        <f t="shared" si="266"/>
        <v>0.11554420683051389</v>
      </c>
      <c r="BF74" s="1464">
        <f t="shared" si="266"/>
        <v>0.11387485425573261</v>
      </c>
      <c r="BG74" s="1464">
        <f t="shared" si="266"/>
        <v>0.20194253338729259</v>
      </c>
      <c r="BH74" s="1464">
        <f t="shared" si="266"/>
        <v>0.10775127768313458</v>
      </c>
      <c r="BI74" s="1464">
        <f t="shared" si="266"/>
        <v>8.4087968952134537E-2</v>
      </c>
      <c r="BJ74" s="1465">
        <f t="shared" si="266"/>
        <v>0.12769024817217589</v>
      </c>
      <c r="BK74" s="1464">
        <f t="shared" si="266"/>
        <v>6.9294605809128634E-2</v>
      </c>
      <c r="BL74" s="1464">
        <f t="shared" si="266"/>
        <v>6.580645161290323E-2</v>
      </c>
      <c r="BM74" s="1464">
        <f t="shared" si="266"/>
        <v>8.9138900908697527E-2</v>
      </c>
      <c r="BN74" s="1464">
        <f t="shared" si="266"/>
        <v>7.7095472882115643E-2</v>
      </c>
      <c r="BO74" s="1465">
        <f t="shared" si="266"/>
        <v>7.5239840465667784E-2</v>
      </c>
      <c r="BP74" s="1464">
        <f t="shared" si="266"/>
        <v>5.8949167022639901E-2</v>
      </c>
      <c r="BQ74" s="1464">
        <f t="shared" si="266"/>
        <v>6.0606060606060608E-2</v>
      </c>
      <c r="BR74" s="1464">
        <f t="shared" si="266"/>
        <v>7.6923076923076927E-2</v>
      </c>
      <c r="BS74" s="1464">
        <f t="shared" si="266"/>
        <v>5.8601134215500943E-2</v>
      </c>
      <c r="BT74" s="1465">
        <f t="shared" si="266"/>
        <v>6.3530778164924501E-2</v>
      </c>
      <c r="BU74" s="1464">
        <f t="shared" si="266"/>
        <v>6.4178425125170691E-2</v>
      </c>
      <c r="BV74" s="1464">
        <f t="shared" si="266"/>
        <v>6.9972196478220575E-2</v>
      </c>
      <c r="BW74" s="1464">
        <f t="shared" si="266"/>
        <v>7.436856875584659E-2</v>
      </c>
      <c r="BX74" s="1464">
        <f t="shared" si="266"/>
        <v>6.1552595314653194E-2</v>
      </c>
      <c r="BY74" s="1465">
        <f t="shared" si="266"/>
        <v>6.7474048442906581E-2</v>
      </c>
      <c r="BZ74" s="1464">
        <f t="shared" si="266"/>
        <v>6.4867218110579022E-2</v>
      </c>
      <c r="CA74" s="1464">
        <f t="shared" si="266"/>
        <v>7.3020388809862488E-2</v>
      </c>
      <c r="CB74" s="1464">
        <f t="shared" si="266"/>
        <v>7.9884504331087583E-2</v>
      </c>
      <c r="CC74" s="1464">
        <f t="shared" si="266"/>
        <v>7.8822412155745494E-2</v>
      </c>
      <c r="CD74" s="1465">
        <f t="shared" si="266"/>
        <v>7.3923166472642604E-2</v>
      </c>
      <c r="CE74" s="1464">
        <f t="shared" si="266"/>
        <v>7.0973612374886266E-2</v>
      </c>
      <c r="CF74" s="1464">
        <f t="shared" si="266"/>
        <v>7.7928138124125051E-2</v>
      </c>
      <c r="CG74" s="1464">
        <f t="shared" ref="CG74:CW74" si="267">CG72/(CG$19+CG$18)</f>
        <v>8.873563218390805E-2</v>
      </c>
      <c r="CH74" s="1464">
        <f t="shared" si="267"/>
        <v>8.3333333333333329E-2</v>
      </c>
      <c r="CI74" s="1465">
        <f t="shared" si="267"/>
        <v>8.0225598526703495E-2</v>
      </c>
      <c r="CJ74" s="1464">
        <f t="shared" si="267"/>
        <v>8.4000000000000005E-2</v>
      </c>
      <c r="CK74" s="1464">
        <f t="shared" si="267"/>
        <v>7.8245137946630489E-2</v>
      </c>
      <c r="CL74" s="1464">
        <f t="shared" si="267"/>
        <v>8.641404805914972E-2</v>
      </c>
      <c r="CM74" s="1464">
        <f t="shared" si="267"/>
        <v>8.6542818305391941E-2</v>
      </c>
      <c r="CN74" s="1465">
        <f t="shared" si="267"/>
        <v>8.3786231884057968E-2</v>
      </c>
      <c r="CO74" s="1464">
        <f t="shared" si="267"/>
        <v>7.6528430953398882E-2</v>
      </c>
      <c r="CP74" s="1464">
        <f t="shared" si="267"/>
        <v>7.6225045372050812E-2</v>
      </c>
      <c r="CQ74" s="1464">
        <f t="shared" si="267"/>
        <v>8.6776859504132234E-2</v>
      </c>
      <c r="CR74" s="1464">
        <f t="shared" si="267"/>
        <v>8.0984340044742725E-2</v>
      </c>
      <c r="CS74" s="1465">
        <f t="shared" si="267"/>
        <v>8.0058061634658326E-2</v>
      </c>
      <c r="CT74" s="1464">
        <f t="shared" si="267"/>
        <v>7.9646017699115043E-2</v>
      </c>
      <c r="CU74" s="1464">
        <f t="shared" si="267"/>
        <v>8.1231295425395464E-2</v>
      </c>
      <c r="CV74" s="1464">
        <f t="shared" si="267"/>
        <v>8.9956331877729251E-2</v>
      </c>
      <c r="CW74" s="1464">
        <f t="shared" si="267"/>
        <v>8.4566596194503171E-2</v>
      </c>
      <c r="CX74" s="1465">
        <f>CX72/CX$23</f>
        <v>7.9260904684975764E-2</v>
      </c>
      <c r="CY74" s="1464">
        <f>CY72/(CY$19+CY$18)</f>
        <v>8.8122605363984668E-2</v>
      </c>
      <c r="CZ74" s="1464">
        <f>CZ72/(CZ$19+CZ$18)</f>
        <v>8.6756077116512995E-2</v>
      </c>
      <c r="DA74" s="1464">
        <f>DA72/(DA$19+DA$18)</f>
        <v>8.9475926714955259E-2</v>
      </c>
      <c r="DB74" s="1464">
        <f>DB72/(DB$19+DB$18)</f>
        <v>9.3322606596942886E-2</v>
      </c>
      <c r="DC74" s="1465">
        <f>DC72/DC$23</f>
        <v>8.0503561371542159E-2</v>
      </c>
      <c r="DD74" s="1464">
        <v>0.10036978341257263</v>
      </c>
      <c r="DE74" s="1464">
        <v>8.3311637594376459E-2</v>
      </c>
      <c r="DF74" s="1464">
        <v>6.3780737704918031E-2</v>
      </c>
      <c r="DG74" s="1464">
        <v>8.3607327383748237E-2</v>
      </c>
      <c r="DH74" s="1465">
        <v>8.2652479574387233E-2</v>
      </c>
      <c r="DI74" s="1464">
        <f>DI72/(DI$19+DI$18)</f>
        <v>8.8471849865951746E-2</v>
      </c>
      <c r="DJ74" s="1464">
        <f>DJ72/(DJ$19+DJ$18)</f>
        <v>8.570732895057219E-2</v>
      </c>
      <c r="DK74" s="1464">
        <f>DK72/(DK$19+DK$18)</f>
        <v>9.0092277804759591E-2</v>
      </c>
      <c r="DL74" s="1464">
        <f>DL72/(DL$19+DL$18)</f>
        <v>8.984375E-2</v>
      </c>
      <c r="DM74" s="1465">
        <f t="shared" ref="DM74:DR74" si="268">DM72/(DM$23)</f>
        <v>7.3442394709363035E-2</v>
      </c>
      <c r="DN74" s="1464">
        <f t="shared" si="268"/>
        <v>6.9372693726937273E-2</v>
      </c>
      <c r="DO74" s="1464">
        <f t="shared" si="268"/>
        <v>6.7432950191570876E-2</v>
      </c>
      <c r="DP74" s="1464">
        <f t="shared" si="268"/>
        <v>7.0360429447852757E-2</v>
      </c>
      <c r="DQ74" s="1464">
        <f t="shared" si="268"/>
        <v>6.789413118527042E-2</v>
      </c>
      <c r="DR74" s="1465">
        <f t="shared" si="268"/>
        <v>6.8770764119601327E-2</v>
      </c>
      <c r="DS74" s="1464">
        <f>DS72/(DS$23)</f>
        <v>7.3710546574287911E-2</v>
      </c>
      <c r="DT74" s="1464">
        <f>DT72/(DT$23)</f>
        <v>7.1718538565629222E-2</v>
      </c>
      <c r="DU74" s="1464">
        <f>DU72/(DU$23)</f>
        <v>7.1847804088241249E-2</v>
      </c>
      <c r="DV74" s="1464">
        <f>DV72/(DV$23)</f>
        <v>6.1286064491797097E-2</v>
      </c>
      <c r="DW74" s="1465">
        <f>DW72/(DW$23)</f>
        <v>6.9567748508222962E-2</v>
      </c>
      <c r="DX74" s="1467">
        <f>CHOOSE(Scenarios!$C$37,Scenarios!AX40,Scenarios!AX41,Scenarios!AX42)</f>
        <v>7.4399999999999994E-2</v>
      </c>
      <c r="DY74" s="1467">
        <f>CHOOSE(Scenarios!$C$37,Scenarios!AY40,Scenarios!AY41,Scenarios!AY42)</f>
        <v>7.4399999999999994E-2</v>
      </c>
      <c r="DZ74" s="1467">
        <f>CHOOSE(Scenarios!$C$37,Scenarios!AZ40,Scenarios!AZ41,Scenarios!AZ42)</f>
        <v>7.4399999999999994E-2</v>
      </c>
      <c r="EA74" s="1467">
        <f>CHOOSE(Scenarios!$C$37,Scenarios!BA40,Scenarios!BA41,Scenarios!BA42)</f>
        <v>7.4399999999999994E-2</v>
      </c>
      <c r="EB74" s="1465">
        <f>EB72/(EB$23)</f>
        <v>7.6397003321911419E-2</v>
      </c>
      <c r="EC74" s="1467">
        <f>CHOOSE(Scenarios!$C$37,Scenarios!BC40,Scenarios!BC41,Scenarios!BC42)</f>
        <v>7.2999999999999995E-2</v>
      </c>
      <c r="ED74" s="1467">
        <f>CHOOSE(Scenarios!$C$37,Scenarios!BD40,Scenarios!BD41,Scenarios!BD42)</f>
        <v>7.2999999999999995E-2</v>
      </c>
      <c r="EE74" s="1467">
        <f>CHOOSE(Scenarios!$C$37,Scenarios!BE40,Scenarios!BE41,Scenarios!BE42)</f>
        <v>7.2999999999999995E-2</v>
      </c>
      <c r="EF74" s="1467">
        <f>CHOOSE(Scenarios!$C$37,Scenarios!BF40,Scenarios!BF41,Scenarios!BF42)</f>
        <v>7.2999999999999995E-2</v>
      </c>
      <c r="EG74" s="1465">
        <f>EG72/(EG$23)</f>
        <v>7.5311854849944182E-2</v>
      </c>
      <c r="EH74" s="1467">
        <f>CHOOSE(Scenarios!$C$37,Scenarios!BH40,Scenarios!BH41,Scenarios!BH42)</f>
        <v>7.1499999999999994E-2</v>
      </c>
      <c r="EI74" s="1467">
        <f>CHOOSE(Scenarios!$C$37,Scenarios!BI40,Scenarios!BI41,Scenarios!BI42)</f>
        <v>7.1499999999999994E-2</v>
      </c>
      <c r="EJ74" s="1467">
        <f>CHOOSE(Scenarios!$C$37,Scenarios!BJ40,Scenarios!BJ41,Scenarios!BJ42)</f>
        <v>7.1499999999999994E-2</v>
      </c>
      <c r="EK74" s="1467">
        <f>CHOOSE(Scenarios!$C$37,Scenarios!BK40,Scenarios!BK41,Scenarios!BK42)</f>
        <v>7.1499999999999994E-2</v>
      </c>
      <c r="EL74" s="1465">
        <f>EL72/(EL$23)</f>
        <v>7.4129270674275188E-2</v>
      </c>
    </row>
    <row r="75" spans="1:142" ht="11.25" customHeight="1">
      <c r="A75" s="415"/>
      <c r="B75" s="415" t="s">
        <v>220</v>
      </c>
      <c r="C75" s="177"/>
      <c r="D75" s="177">
        <f t="shared" ref="D75:AT75" si="269">D72/D$25</f>
        <v>4.1018158745315822E-2</v>
      </c>
      <c r="E75" s="177">
        <f t="shared" si="269"/>
        <v>3.3489726581459316E-2</v>
      </c>
      <c r="F75" s="177">
        <f t="shared" si="269"/>
        <v>3.461779448621554E-2</v>
      </c>
      <c r="G75" s="177">
        <f t="shared" si="269"/>
        <v>5.2868420276102633E-2</v>
      </c>
      <c r="H75" s="55">
        <f t="shared" si="269"/>
        <v>4.3068217541653568E-2</v>
      </c>
      <c r="I75" s="177">
        <f t="shared" si="269"/>
        <v>5.5318099621897085E-2</v>
      </c>
      <c r="J75" s="177">
        <f t="shared" si="269"/>
        <v>5.35659391331079E-2</v>
      </c>
      <c r="K75" s="177">
        <f t="shared" si="269"/>
        <v>5.2867647058823533E-2</v>
      </c>
      <c r="L75" s="177">
        <f t="shared" si="269"/>
        <v>5.8294997124784365E-2</v>
      </c>
      <c r="M75" s="55">
        <f t="shared" si="269"/>
        <v>5.5038906813437087E-2</v>
      </c>
      <c r="N75" s="177">
        <f t="shared" si="269"/>
        <v>5.4614764313466756E-2</v>
      </c>
      <c r="O75" s="177">
        <f t="shared" si="269"/>
        <v>5.631887791612996E-2</v>
      </c>
      <c r="P75" s="177">
        <f t="shared" si="269"/>
        <v>6.0745447647951437E-2</v>
      </c>
      <c r="Q75" s="177">
        <f t="shared" si="269"/>
        <v>6.3937235097844727E-2</v>
      </c>
      <c r="R75" s="55">
        <f t="shared" si="269"/>
        <v>6.0265950957667437E-2</v>
      </c>
      <c r="S75" s="177">
        <f t="shared" si="269"/>
        <v>6.7796610169491525E-2</v>
      </c>
      <c r="T75" s="177">
        <f t="shared" si="269"/>
        <v>5.9310946358482337E-2</v>
      </c>
      <c r="U75" s="177">
        <f t="shared" si="269"/>
        <v>6.7888379841732613E-2</v>
      </c>
      <c r="V75" s="177">
        <f t="shared" si="269"/>
        <v>5.802469135802469E-2</v>
      </c>
      <c r="W75" s="55">
        <f t="shared" si="269"/>
        <v>6.317825292790373E-2</v>
      </c>
      <c r="X75" s="177">
        <f t="shared" si="269"/>
        <v>6.6416040100250623E-2</v>
      </c>
      <c r="Y75" s="177">
        <f t="shared" si="269"/>
        <v>7.7343421605716695E-2</v>
      </c>
      <c r="Z75" s="177">
        <f t="shared" si="269"/>
        <v>7.2188449848024319E-2</v>
      </c>
      <c r="AA75" s="177">
        <f t="shared" si="269"/>
        <v>7.6866764275256225E-2</v>
      </c>
      <c r="AB75" s="55">
        <f t="shared" si="269"/>
        <v>7.3295846897504194E-2</v>
      </c>
      <c r="AC75" s="177">
        <f t="shared" si="269"/>
        <v>8.4150943396226419E-2</v>
      </c>
      <c r="AD75" s="177">
        <f t="shared" si="269"/>
        <v>8.171206225680934E-2</v>
      </c>
      <c r="AE75" s="177">
        <f t="shared" si="269"/>
        <v>8.1183611532625183E-2</v>
      </c>
      <c r="AF75" s="177">
        <f t="shared" si="269"/>
        <v>7.5360177318064284E-2</v>
      </c>
      <c r="AG75" s="55">
        <f t="shared" si="269"/>
        <v>8.0564233645744582E-2</v>
      </c>
      <c r="AH75" s="177">
        <f t="shared" si="269"/>
        <v>7.9477611940298509E-2</v>
      </c>
      <c r="AI75" s="177">
        <f t="shared" si="269"/>
        <v>7.6042820228866742E-2</v>
      </c>
      <c r="AJ75" s="177">
        <f t="shared" si="269"/>
        <v>7.7742279020234298E-2</v>
      </c>
      <c r="AK75" s="177">
        <f t="shared" si="269"/>
        <v>7.0380253502334886E-2</v>
      </c>
      <c r="AL75" s="55">
        <f t="shared" si="269"/>
        <v>7.5776508389860761E-2</v>
      </c>
      <c r="AM75" s="177">
        <f t="shared" si="269"/>
        <v>8.0629301868239925E-2</v>
      </c>
      <c r="AN75" s="177">
        <f t="shared" si="269"/>
        <v>8.2270408163265307E-2</v>
      </c>
      <c r="AO75" s="177">
        <f t="shared" si="269"/>
        <v>7.2660098522167482E-2</v>
      </c>
      <c r="AP75" s="177">
        <f t="shared" si="269"/>
        <v>7.0446735395189003E-2</v>
      </c>
      <c r="AQ75" s="55">
        <f t="shared" si="269"/>
        <v>7.6274464299528125E-2</v>
      </c>
      <c r="AR75" s="177">
        <f t="shared" si="269"/>
        <v>8.085230589608873E-2</v>
      </c>
      <c r="AS75" s="177">
        <f t="shared" si="269"/>
        <v>8.3452824777745918E-2</v>
      </c>
      <c r="AT75" s="177">
        <f t="shared" si="269"/>
        <v>8.98876404494382E-2</v>
      </c>
      <c r="AU75" s="395"/>
      <c r="AV75" s="177">
        <f t="shared" ref="AV75:CA75" si="270">AV72/AV$25</f>
        <v>7.1428571428571425E-2</v>
      </c>
      <c r="AW75" s="177">
        <f t="shared" si="270"/>
        <v>6.8203052008720025E-2</v>
      </c>
      <c r="AX75" s="177">
        <f t="shared" si="270"/>
        <v>7.9730144127568237E-2</v>
      </c>
      <c r="AY75" s="177">
        <f t="shared" si="270"/>
        <v>8.4109248913718182E-2</v>
      </c>
      <c r="AZ75" s="55">
        <f t="shared" si="270"/>
        <v>7.5910931174089064E-2</v>
      </c>
      <c r="BA75" s="177">
        <f t="shared" si="270"/>
        <v>8.6217747010698551E-2</v>
      </c>
      <c r="BB75" s="177">
        <f t="shared" si="270"/>
        <v>9.3173730184406348E-2</v>
      </c>
      <c r="BC75" s="177">
        <f t="shared" si="270"/>
        <v>0.1881081081081081</v>
      </c>
      <c r="BD75" s="177">
        <f t="shared" si="270"/>
        <v>0.12921547745828896</v>
      </c>
      <c r="BE75" s="55">
        <f t="shared" si="270"/>
        <v>0.1220807689065003</v>
      </c>
      <c r="BF75" s="177">
        <f t="shared" si="270"/>
        <v>0.12331649831649831</v>
      </c>
      <c r="BG75" s="177">
        <f t="shared" si="270"/>
        <v>0.24094640270400772</v>
      </c>
      <c r="BH75" s="177">
        <f t="shared" si="270"/>
        <v>0.11568358481938729</v>
      </c>
      <c r="BI75" s="177">
        <f t="shared" si="270"/>
        <v>8.7956698240866035E-2</v>
      </c>
      <c r="BJ75" s="55">
        <f t="shared" si="270"/>
        <v>0.14009716416224155</v>
      </c>
      <c r="BK75" s="177">
        <f t="shared" si="270"/>
        <v>7.1550985432733499E-2</v>
      </c>
      <c r="BL75" s="177">
        <f t="shared" si="270"/>
        <v>6.7490074988972207E-2</v>
      </c>
      <c r="BM75" s="177">
        <f t="shared" si="270"/>
        <v>9.4149908592321752E-2</v>
      </c>
      <c r="BN75" s="177">
        <f t="shared" si="270"/>
        <v>8.086506817113305E-2</v>
      </c>
      <c r="BO75" s="55">
        <f t="shared" si="270"/>
        <v>7.8286227007626732E-2</v>
      </c>
      <c r="BP75" s="177">
        <f t="shared" si="270"/>
        <v>6.0632688927943761E-2</v>
      </c>
      <c r="BQ75" s="177">
        <f t="shared" si="270"/>
        <v>6.1925495887760036E-2</v>
      </c>
      <c r="BR75" s="177">
        <f t="shared" si="270"/>
        <v>8.0102040816326534E-2</v>
      </c>
      <c r="BS75" s="177">
        <f t="shared" si="270"/>
        <v>6.0340632603406323E-2</v>
      </c>
      <c r="BT75" s="55">
        <f t="shared" si="270"/>
        <v>6.5446279014118217E-2</v>
      </c>
      <c r="BU75" s="177">
        <f t="shared" si="270"/>
        <v>6.5949485500467725E-2</v>
      </c>
      <c r="BV75" s="177">
        <f t="shared" si="270"/>
        <v>7.2701011073663932E-2</v>
      </c>
      <c r="BW75" s="177">
        <f t="shared" si="270"/>
        <v>7.7447637603507063E-2</v>
      </c>
      <c r="BX75" s="177">
        <f t="shared" si="270"/>
        <v>6.3297118564005675E-2</v>
      </c>
      <c r="BY75" s="55">
        <f t="shared" si="270"/>
        <v>6.9767441860465115E-2</v>
      </c>
      <c r="BZ75" s="177">
        <f t="shared" si="270"/>
        <v>6.7056705670567054E-2</v>
      </c>
      <c r="CA75" s="177">
        <f t="shared" si="270"/>
        <v>7.586206896551724E-2</v>
      </c>
      <c r="CB75" s="177">
        <f t="shared" ref="CB75:DC75" si="271">CB72/CB$25</f>
        <v>8.3333333333333329E-2</v>
      </c>
      <c r="CC75" s="177">
        <f t="shared" si="271"/>
        <v>8.1813701330704786E-2</v>
      </c>
      <c r="CD75" s="55">
        <f t="shared" si="271"/>
        <v>7.6755711350175268E-2</v>
      </c>
      <c r="CE75" s="177">
        <f t="shared" si="271"/>
        <v>7.3480923221855871E-2</v>
      </c>
      <c r="CF75" s="177">
        <f t="shared" si="271"/>
        <v>8.0989330746847721E-2</v>
      </c>
      <c r="CG75" s="177">
        <f t="shared" si="271"/>
        <v>9.3281778637022722E-2</v>
      </c>
      <c r="CH75" s="177">
        <f t="shared" si="271"/>
        <v>8.7019230769230765E-2</v>
      </c>
      <c r="CI75" s="55">
        <f t="shared" si="271"/>
        <v>8.3633309335253175E-2</v>
      </c>
      <c r="CJ75" s="177">
        <f t="shared" si="271"/>
        <v>8.7906976744186044E-2</v>
      </c>
      <c r="CK75" s="177">
        <f t="shared" si="271"/>
        <v>8.1220657276995303E-2</v>
      </c>
      <c r="CL75" s="177">
        <f t="shared" si="271"/>
        <v>9.0120481927710841E-2</v>
      </c>
      <c r="CM75" s="177">
        <f t="shared" si="271"/>
        <v>9.0521327014218014E-2</v>
      </c>
      <c r="CN75" s="55">
        <f t="shared" si="271"/>
        <v>8.7418783225044303E-2</v>
      </c>
      <c r="CO75" s="177">
        <f t="shared" si="271"/>
        <v>7.955555555555556E-2</v>
      </c>
      <c r="CP75" s="177">
        <f t="shared" si="271"/>
        <v>7.879924953095685E-2</v>
      </c>
      <c r="CQ75" s="177">
        <f t="shared" si="271"/>
        <v>0.09</v>
      </c>
      <c r="CR75" s="177">
        <f t="shared" si="271"/>
        <v>8.3333333333333329E-2</v>
      </c>
      <c r="CS75" s="55">
        <f t="shared" si="271"/>
        <v>8.2851860411370465E-2</v>
      </c>
      <c r="CT75" s="177">
        <f t="shared" si="271"/>
        <v>8.2102519548218941E-2</v>
      </c>
      <c r="CU75" s="177">
        <f t="shared" si="271"/>
        <v>8.3885209713024281E-2</v>
      </c>
      <c r="CV75" s="177">
        <f t="shared" si="271"/>
        <v>9.2751013057181447E-2</v>
      </c>
      <c r="CW75" s="177">
        <f t="shared" si="271"/>
        <v>8.5800085800085801E-2</v>
      </c>
      <c r="CX75" s="55">
        <f t="shared" si="271"/>
        <v>8.6084000438644587E-2</v>
      </c>
      <c r="CY75" s="177">
        <f t="shared" si="271"/>
        <v>8.6719731881022208E-2</v>
      </c>
      <c r="CZ75" s="177">
        <f t="shared" si="271"/>
        <v>8.5466556564822466E-2</v>
      </c>
      <c r="DA75" s="177">
        <f t="shared" si="271"/>
        <v>8.7209302325581398E-2</v>
      </c>
      <c r="DB75" s="177">
        <f t="shared" si="271"/>
        <v>8.9575289575289568E-2</v>
      </c>
      <c r="DC75" s="55">
        <f t="shared" si="271"/>
        <v>8.7551792469825251E-2</v>
      </c>
      <c r="DD75" s="177">
        <v>9.679062659195109E-2</v>
      </c>
      <c r="DE75" s="177">
        <v>7.9168728352300835E-2</v>
      </c>
      <c r="DF75" s="177">
        <v>5.9583632447954053E-2</v>
      </c>
      <c r="DG75" s="177">
        <v>7.9677708146821846E-2</v>
      </c>
      <c r="DH75" s="55">
        <v>7.854348480288896E-2</v>
      </c>
      <c r="DI75" s="177">
        <f t="shared" ref="DI75:EG75" si="272">DI72/DI$25</f>
        <v>8.2052441229656423E-2</v>
      </c>
      <c r="DJ75" s="177">
        <f t="shared" si="272"/>
        <v>7.8361531611754229E-2</v>
      </c>
      <c r="DK75" s="177">
        <f t="shared" si="272"/>
        <v>7.9070758738277916E-2</v>
      </c>
      <c r="DL75" s="177">
        <f t="shared" si="272"/>
        <v>7.7795463589335451E-2</v>
      </c>
      <c r="DM75" s="55">
        <f t="shared" si="272"/>
        <v>7.9263711495116448E-2</v>
      </c>
      <c r="DN75" s="177">
        <f t="shared" si="272"/>
        <v>7.4544012688342584E-2</v>
      </c>
      <c r="DO75" s="177">
        <f t="shared" si="272"/>
        <v>7.2308956450287593E-2</v>
      </c>
      <c r="DP75" s="177">
        <f t="shared" si="272"/>
        <v>7.5685708393483195E-2</v>
      </c>
      <c r="DQ75" s="177">
        <f t="shared" si="272"/>
        <v>7.2839506172839505E-2</v>
      </c>
      <c r="DR75" s="55">
        <f t="shared" si="272"/>
        <v>7.384944702104887E-2</v>
      </c>
      <c r="DS75" s="177">
        <f t="shared" si="272"/>
        <v>7.957614793268232E-2</v>
      </c>
      <c r="DT75" s="177">
        <f t="shared" si="272"/>
        <v>7.7259475218658891E-2</v>
      </c>
      <c r="DU75" s="177">
        <f t="shared" si="272"/>
        <v>7.740950719581334E-2</v>
      </c>
      <c r="DV75" s="177">
        <f t="shared" ref="DV75" si="273">DV72/DV$25</f>
        <v>6.5287263961430295E-2</v>
      </c>
      <c r="DW75" s="55">
        <f t="shared" si="272"/>
        <v>7.476927889879556E-2</v>
      </c>
      <c r="DX75" s="177">
        <f t="shared" si="272"/>
        <v>8.0553564312235787E-2</v>
      </c>
      <c r="DY75" s="177">
        <f t="shared" si="272"/>
        <v>8.0559102134804855E-2</v>
      </c>
      <c r="DZ75" s="177">
        <f t="shared" si="272"/>
        <v>8.0563173367476065E-2</v>
      </c>
      <c r="EA75" s="177">
        <f t="shared" si="272"/>
        <v>8.0540986887808613E-2</v>
      </c>
      <c r="EB75" s="55">
        <f t="shared" si="272"/>
        <v>8.2716279176970595E-2</v>
      </c>
      <c r="EC75" s="177">
        <f t="shared" si="272"/>
        <v>7.8938421824930993E-2</v>
      </c>
      <c r="ED75" s="177">
        <f t="shared" si="272"/>
        <v>7.8941077645242774E-2</v>
      </c>
      <c r="EE75" s="177">
        <f t="shared" si="272"/>
        <v>7.8941906566119546E-2</v>
      </c>
      <c r="EF75" s="177">
        <f t="shared" si="272"/>
        <v>7.8959931087454804E-2</v>
      </c>
      <c r="EG75" s="55">
        <f t="shared" si="272"/>
        <v>8.1445680086795938E-2</v>
      </c>
      <c r="EH75" s="177">
        <f t="shared" ref="EH75:EL75" si="274">EH72/EH$25</f>
        <v>7.7216815758155449E-2</v>
      </c>
      <c r="EI75" s="177">
        <f t="shared" si="274"/>
        <v>7.7219604955903548E-2</v>
      </c>
      <c r="EJ75" s="177">
        <f t="shared" si="274"/>
        <v>7.7220727957100083E-2</v>
      </c>
      <c r="EK75" s="177">
        <f t="shared" si="274"/>
        <v>7.7240392367114483E-2</v>
      </c>
      <c r="EL75" s="55">
        <f t="shared" si="274"/>
        <v>8.006438515262343E-2</v>
      </c>
    </row>
    <row r="76" spans="1:142" ht="11.25" customHeight="1">
      <c r="A76" s="4"/>
      <c r="B76" s="4" t="s">
        <v>233</v>
      </c>
      <c r="C76" s="438"/>
      <c r="D76" s="438" t="str">
        <f>IF(ISERROR(1000000*D72/D$15),"nm",1000000*D72/D$15)</f>
        <v>nm</v>
      </c>
      <c r="E76" s="439">
        <f t="shared" ref="E76:AT76" si="275">1000000*E72/E$15</f>
        <v>59.005963307982626</v>
      </c>
      <c r="F76" s="439">
        <f t="shared" si="275"/>
        <v>58.91275314490138</v>
      </c>
      <c r="G76" s="439">
        <f t="shared" si="275"/>
        <v>53.54268165606949</v>
      </c>
      <c r="H76" s="440">
        <f t="shared" si="275"/>
        <v>68.585457480020111</v>
      </c>
      <c r="I76" s="439">
        <f t="shared" si="275"/>
        <v>78.169009994715168</v>
      </c>
      <c r="J76" s="439">
        <f t="shared" si="275"/>
        <v>77.878052132484314</v>
      </c>
      <c r="K76" s="439">
        <f t="shared" si="275"/>
        <v>67.950383933845245</v>
      </c>
      <c r="L76" s="439">
        <f t="shared" si="275"/>
        <v>82.576887635358389</v>
      </c>
      <c r="M76" s="440">
        <f t="shared" si="275"/>
        <v>76.392503629961041</v>
      </c>
      <c r="N76" s="439">
        <f t="shared" si="275"/>
        <v>77.963285048420957</v>
      </c>
      <c r="O76" s="439">
        <f t="shared" si="275"/>
        <v>81.244580253540903</v>
      </c>
      <c r="P76" s="439">
        <f t="shared" si="275"/>
        <v>81.492956044060904</v>
      </c>
      <c r="Q76" s="439">
        <f t="shared" si="275"/>
        <v>91.638454201022142</v>
      </c>
      <c r="R76" s="440">
        <f t="shared" si="275"/>
        <v>84.919835846863066</v>
      </c>
      <c r="S76" s="439">
        <f t="shared" si="275"/>
        <v>99.553355217133941</v>
      </c>
      <c r="T76" s="439">
        <f t="shared" si="275"/>
        <v>81.855273857050605</v>
      </c>
      <c r="U76" s="439">
        <f t="shared" si="275"/>
        <v>94.306273218580529</v>
      </c>
      <c r="V76" s="439">
        <f t="shared" si="275"/>
        <v>83.878394174913225</v>
      </c>
      <c r="W76" s="440">
        <f t="shared" si="275"/>
        <v>89.667976866271957</v>
      </c>
      <c r="X76" s="439">
        <f t="shared" si="275"/>
        <v>97.903932228311973</v>
      </c>
      <c r="Y76" s="439">
        <f t="shared" si="275"/>
        <v>112.33135797012352</v>
      </c>
      <c r="Z76" s="439">
        <f t="shared" si="275"/>
        <v>103.66753929272548</v>
      </c>
      <c r="AA76" s="439">
        <f t="shared" si="275"/>
        <v>110.3958743484672</v>
      </c>
      <c r="AB76" s="440">
        <f t="shared" si="275"/>
        <v>106.18716753090825</v>
      </c>
      <c r="AC76" s="439">
        <f t="shared" si="275"/>
        <v>124.74017125762705</v>
      </c>
      <c r="AD76" s="439">
        <f t="shared" si="275"/>
        <v>123.87816523459576</v>
      </c>
      <c r="AE76" s="439">
        <f t="shared" si="275"/>
        <v>120.85274601157701</v>
      </c>
      <c r="AF76" s="439">
        <f t="shared" si="275"/>
        <v>118.49263428874796</v>
      </c>
      <c r="AG76" s="440">
        <f t="shared" si="275"/>
        <v>122.00181612104186</v>
      </c>
      <c r="AH76" s="439">
        <f t="shared" si="275"/>
        <v>131.15432430585187</v>
      </c>
      <c r="AI76" s="439">
        <f t="shared" si="275"/>
        <v>121.84893334863345</v>
      </c>
      <c r="AJ76" s="439">
        <f t="shared" si="275"/>
        <v>124.77473602166864</v>
      </c>
      <c r="AK76" s="439">
        <f t="shared" si="275"/>
        <v>111.8344722605457</v>
      </c>
      <c r="AL76" s="440">
        <f t="shared" si="275"/>
        <v>122.04344717969668</v>
      </c>
      <c r="AM76" s="439">
        <f t="shared" si="275"/>
        <v>135.39105725555723</v>
      </c>
      <c r="AN76" s="439">
        <f t="shared" si="275"/>
        <v>142.05734271278868</v>
      </c>
      <c r="AO76" s="439">
        <f t="shared" si="275"/>
        <v>123.69257991274432</v>
      </c>
      <c r="AP76" s="439">
        <f t="shared" si="275"/>
        <v>124.54289971309569</v>
      </c>
      <c r="AQ76" s="440">
        <f t="shared" si="275"/>
        <v>131.18146068028631</v>
      </c>
      <c r="AR76" s="439">
        <f t="shared" si="275"/>
        <v>146.14445086354488</v>
      </c>
      <c r="AS76" s="439">
        <f t="shared" si="275"/>
        <v>153.83932196508323</v>
      </c>
      <c r="AT76" s="439">
        <f t="shared" si="275"/>
        <v>158.51364260179287</v>
      </c>
      <c r="AU76" s="395"/>
      <c r="AV76" s="438" t="str">
        <f>IF(ISERROR(1000000*AV72/AV$15),"nm",1000000*AV72/AV$15)</f>
        <v>nm</v>
      </c>
      <c r="AW76" s="438" t="str">
        <f>IF(ISERROR(1000000*AW72/AW$15),"nm",1000000*AW72/AW$15)</f>
        <v>nm</v>
      </c>
      <c r="AX76" s="438" t="str">
        <f>IF(ISERROR(1000000*AX72/AX$15),"nm",1000000*AX72/AX$15)</f>
        <v>nm</v>
      </c>
      <c r="AY76" s="438" t="str">
        <f>IF(ISERROR(1000000*AY72/AY$15),"nm",1000000*AY72/AY$15)</f>
        <v>nm</v>
      </c>
      <c r="AZ76" s="442" t="str">
        <f>IF(ISERROR(1000000*AZ72/AZ$15),"nm",1000000*AZ72/AZ$15)</f>
        <v>nm</v>
      </c>
      <c r="BA76" s="439">
        <f t="shared" ref="BA76:CF76" si="276">1000000*BA72/BA$15</f>
        <v>152.62506760900578</v>
      </c>
      <c r="BB76" s="439">
        <f t="shared" si="276"/>
        <v>165.61584943679111</v>
      </c>
      <c r="BC76" s="439">
        <f t="shared" si="276"/>
        <v>304.13253186837005</v>
      </c>
      <c r="BD76" s="439">
        <f t="shared" si="276"/>
        <v>217.93196930272546</v>
      </c>
      <c r="BE76" s="440">
        <f t="shared" si="276"/>
        <v>209.223883426463</v>
      </c>
      <c r="BF76" s="439">
        <f t="shared" si="276"/>
        <v>217.83155747333237</v>
      </c>
      <c r="BG76" s="439">
        <f t="shared" si="276"/>
        <v>396.27643100263498</v>
      </c>
      <c r="BH76" s="439">
        <f t="shared" si="276"/>
        <v>205.42483967930991</v>
      </c>
      <c r="BI76" s="439">
        <f t="shared" si="276"/>
        <v>158.94065644936356</v>
      </c>
      <c r="BJ76" s="440">
        <f t="shared" si="276"/>
        <v>244.92545081590791</v>
      </c>
      <c r="BK76" s="439">
        <f t="shared" si="276"/>
        <v>129.34055678398965</v>
      </c>
      <c r="BL76" s="439">
        <f t="shared" si="276"/>
        <v>125.17159962759403</v>
      </c>
      <c r="BM76" s="439">
        <f t="shared" si="276"/>
        <v>174.71960048582227</v>
      </c>
      <c r="BN76" s="439">
        <f t="shared" si="276"/>
        <v>151.64927402318472</v>
      </c>
      <c r="BO76" s="440">
        <f t="shared" si="276"/>
        <v>144.61181155299204</v>
      </c>
      <c r="BP76" s="439">
        <f t="shared" si="276"/>
        <v>115.81592317879461</v>
      </c>
      <c r="BQ76" s="439">
        <f t="shared" si="276"/>
        <v>126.89738859053682</v>
      </c>
      <c r="BR76" s="439">
        <f t="shared" si="276"/>
        <v>158.50020443497706</v>
      </c>
      <c r="BS76" s="439">
        <f t="shared" si="276"/>
        <v>124.26891793841874</v>
      </c>
      <c r="BT76" s="440">
        <f t="shared" si="276"/>
        <v>130.59237369186789</v>
      </c>
      <c r="BU76" s="439">
        <f t="shared" si="276"/>
        <v>134.5502015390253</v>
      </c>
      <c r="BV76" s="439">
        <f t="shared" si="276"/>
        <v>151.29972475473915</v>
      </c>
      <c r="BW76" s="439">
        <f t="shared" si="276"/>
        <v>164.18530014931568</v>
      </c>
      <c r="BX76" s="439">
        <f t="shared" si="276"/>
        <v>136.96613869968027</v>
      </c>
      <c r="BY76" s="440">
        <f t="shared" si="276"/>
        <v>146.51677040972351</v>
      </c>
      <c r="BZ76" s="439">
        <f t="shared" si="276"/>
        <v>142.63259566435201</v>
      </c>
      <c r="CA76" s="439">
        <f t="shared" si="276"/>
        <v>161.16575164985591</v>
      </c>
      <c r="CB76" s="439">
        <f t="shared" si="276"/>
        <v>178.42152838460802</v>
      </c>
      <c r="CC76" s="439">
        <f t="shared" si="276"/>
        <v>177.57258279321672</v>
      </c>
      <c r="CD76" s="440">
        <f t="shared" si="276"/>
        <v>164.27837811967228</v>
      </c>
      <c r="CE76" s="439">
        <f t="shared" si="276"/>
        <v>157.74545344233948</v>
      </c>
      <c r="CF76" s="439">
        <f t="shared" si="276"/>
        <v>177.57041145297254</v>
      </c>
      <c r="CG76" s="439">
        <f t="shared" ref="CG76:DC76" si="277">1000000*CG72/CG$15</f>
        <v>206.33435787785646</v>
      </c>
      <c r="CH76" s="439">
        <f t="shared" si="277"/>
        <v>194.51029614998572</v>
      </c>
      <c r="CI76" s="440">
        <f t="shared" si="277"/>
        <v>183.64703514113683</v>
      </c>
      <c r="CJ76" s="439">
        <f t="shared" si="277"/>
        <v>197.23495379066796</v>
      </c>
      <c r="CK76" s="439">
        <f t="shared" si="277"/>
        <v>186.18446683441206</v>
      </c>
      <c r="CL76" s="439">
        <f t="shared" si="277"/>
        <v>204.80828520703707</v>
      </c>
      <c r="CM76" s="439">
        <f t="shared" si="277"/>
        <v>206.88482364422742</v>
      </c>
      <c r="CN76" s="440">
        <f t="shared" si="277"/>
        <v>198.72696579908919</v>
      </c>
      <c r="CO76" s="439">
        <f t="shared" si="277"/>
        <v>188.74768546832624</v>
      </c>
      <c r="CP76" s="439">
        <f t="shared" si="277"/>
        <v>184.13602391137798</v>
      </c>
      <c r="CQ76" s="439">
        <f t="shared" si="277"/>
        <v>207.70143742582093</v>
      </c>
      <c r="CR76" s="439">
        <f t="shared" si="277"/>
        <v>200.49581174218676</v>
      </c>
      <c r="CS76" s="440">
        <f t="shared" si="277"/>
        <v>195.18452287456441</v>
      </c>
      <c r="CT76" s="439">
        <f t="shared" si="277"/>
        <v>199.55316983347342</v>
      </c>
      <c r="CU76" s="439">
        <f t="shared" si="277"/>
        <v>206.54531223672268</v>
      </c>
      <c r="CV76" s="439">
        <f t="shared" si="277"/>
        <v>226.06731757958721</v>
      </c>
      <c r="CW76" s="439">
        <f t="shared" si="277"/>
        <v>218.4398154620439</v>
      </c>
      <c r="CX76" s="440">
        <f t="shared" si="277"/>
        <v>212.51666293070494</v>
      </c>
      <c r="CY76" s="439">
        <f t="shared" si="277"/>
        <v>220.25025536261492</v>
      </c>
      <c r="CZ76" s="439">
        <f t="shared" si="277"/>
        <v>227.54254056193113</v>
      </c>
      <c r="DA76" s="439">
        <f t="shared" si="277"/>
        <v>230.14127386482818</v>
      </c>
      <c r="DB76" s="439">
        <f t="shared" si="277"/>
        <v>234.9302061512559</v>
      </c>
      <c r="DC76" s="440">
        <f t="shared" si="277"/>
        <v>229.06516432597576</v>
      </c>
      <c r="DD76" s="439">
        <v>249.11841581665934</v>
      </c>
      <c r="DE76" s="439">
        <v>204.64532088066557</v>
      </c>
      <c r="DF76" s="439">
        <v>158.16091253129872</v>
      </c>
      <c r="DG76" s="439">
        <v>223.59477592160616</v>
      </c>
      <c r="DH76" s="440">
        <v>208.61401643207049</v>
      </c>
      <c r="DI76" s="439">
        <f t="shared" ref="DI76:DR76" si="278">1000000*DI72/DI$15</f>
        <v>222.48140931860013</v>
      </c>
      <c r="DJ76" s="439">
        <f t="shared" si="278"/>
        <v>221.44395297587332</v>
      </c>
      <c r="DK76" s="439">
        <f t="shared" si="278"/>
        <v>231.67156340838201</v>
      </c>
      <c r="DL76" s="439">
        <f t="shared" si="278"/>
        <v>228.57209666670565</v>
      </c>
      <c r="DM76" s="440">
        <f t="shared" si="278"/>
        <v>226.07642301485538</v>
      </c>
      <c r="DN76" s="439">
        <f t="shared" si="278"/>
        <v>219.32267790656505</v>
      </c>
      <c r="DO76" s="439">
        <f t="shared" si="278"/>
        <v>224.30783191186742</v>
      </c>
      <c r="DP76" s="439">
        <f t="shared" si="278"/>
        <v>234.07194619023991</v>
      </c>
      <c r="DQ76" s="439">
        <f t="shared" si="278"/>
        <v>229.35036832114235</v>
      </c>
      <c r="DR76" s="440">
        <f t="shared" si="278"/>
        <v>226.58238239881783</v>
      </c>
      <c r="DS76" s="439">
        <f t="shared" ref="DS76:EF76" si="279">1000000*DS72/DS$15</f>
        <v>241.79873002003836</v>
      </c>
      <c r="DT76" s="439">
        <f t="shared" si="279"/>
        <v>241.07502566701757</v>
      </c>
      <c r="DU76" s="439">
        <f>1000000*DU72/DU$15</f>
        <v>242.11159503118807</v>
      </c>
      <c r="DV76" s="439">
        <f>1000000*DV72/DV$15</f>
        <v>218.82442134406674</v>
      </c>
      <c r="DW76" s="440">
        <f>1000000*DW72/DW$15</f>
        <v>236.07359240297399</v>
      </c>
      <c r="DX76" s="439">
        <f t="shared" si="279"/>
        <v>257.02019605515687</v>
      </c>
      <c r="DY76" s="439">
        <f t="shared" si="279"/>
        <v>265.55033637251029</v>
      </c>
      <c r="DZ76" s="439">
        <f t="shared" si="279"/>
        <v>262.79083520696383</v>
      </c>
      <c r="EA76" s="439">
        <f t="shared" si="279"/>
        <v>285.54323228623974</v>
      </c>
      <c r="EB76" s="440">
        <f>1000000*EB72/EB$15</f>
        <v>274.55343115828856</v>
      </c>
      <c r="EC76" s="439">
        <f t="shared" si="279"/>
        <v>254.42499794546652</v>
      </c>
      <c r="ED76" s="439">
        <f t="shared" si="279"/>
        <v>260.80319596078601</v>
      </c>
      <c r="EE76" s="439">
        <f t="shared" si="279"/>
        <v>253.09084673960459</v>
      </c>
      <c r="EF76" s="439">
        <f t="shared" si="279"/>
        <v>269.91710028875178</v>
      </c>
      <c r="EG76" s="440">
        <f>1000000*EG72/EG$15</f>
        <v>267.77587815362671</v>
      </c>
      <c r="EH76" s="439">
        <f t="shared" ref="EH76:EK76" si="280">1000000*EH72/EH$15</f>
        <v>250.67204946751889</v>
      </c>
      <c r="EI76" s="439">
        <f t="shared" si="280"/>
        <v>257.31358321589386</v>
      </c>
      <c r="EJ76" s="439">
        <f t="shared" si="280"/>
        <v>250.09345682293838</v>
      </c>
      <c r="EK76" s="439">
        <f t="shared" si="280"/>
        <v>267.64942294791473</v>
      </c>
      <c r="EL76" s="440">
        <f>1000000*EL72/EL$15</f>
        <v>265.84499027363842</v>
      </c>
    </row>
    <row r="77" spans="1:142" ht="11.25" customHeight="1">
      <c r="A77" s="459"/>
      <c r="B77" s="459" t="s">
        <v>109</v>
      </c>
      <c r="C77" s="443"/>
      <c r="D77" s="443"/>
      <c r="E77" s="443"/>
      <c r="F77" s="443"/>
      <c r="G77" s="443"/>
      <c r="H77" s="462"/>
      <c r="I77" s="443" t="str">
        <f t="shared" ref="I77:AT77" si="281">IF(ISERROR(I76/D76-1),"nm",I76/D76-1)</f>
        <v>nm</v>
      </c>
      <c r="J77" s="443">
        <f t="shared" si="281"/>
        <v>0.31983358573435194</v>
      </c>
      <c r="K77" s="443">
        <f t="shared" si="281"/>
        <v>0.15340703508992304</v>
      </c>
      <c r="L77" s="443">
        <f t="shared" si="281"/>
        <v>0.54226282810766979</v>
      </c>
      <c r="M77" s="462">
        <f t="shared" si="281"/>
        <v>0.11382946818157813</v>
      </c>
      <c r="N77" s="443">
        <f t="shared" si="281"/>
        <v>-2.6317967479455584E-3</v>
      </c>
      <c r="O77" s="443">
        <f t="shared" si="281"/>
        <v>4.3228201385026033E-2</v>
      </c>
      <c r="P77" s="443">
        <f t="shared" si="281"/>
        <v>0.19930089171240528</v>
      </c>
      <c r="Q77" s="443">
        <f t="shared" si="281"/>
        <v>0.1097349007106887</v>
      </c>
      <c r="R77" s="462">
        <f t="shared" si="281"/>
        <v>0.11162524870513102</v>
      </c>
      <c r="S77" s="443">
        <f t="shared" si="281"/>
        <v>0.27692612176749543</v>
      </c>
      <c r="T77" s="443">
        <f t="shared" si="281"/>
        <v>7.5167303665537588E-3</v>
      </c>
      <c r="U77" s="443">
        <f t="shared" si="281"/>
        <v>0.15723220504594071</v>
      </c>
      <c r="V77" s="443">
        <f t="shared" si="281"/>
        <v>-8.4681262836299176E-2</v>
      </c>
      <c r="W77" s="462">
        <f t="shared" si="281"/>
        <v>5.5913214763759989E-2</v>
      </c>
      <c r="X77" s="443">
        <f t="shared" si="281"/>
        <v>-1.6568231027718205E-2</v>
      </c>
      <c r="Y77" s="443">
        <f t="shared" si="281"/>
        <v>0.37231668378869953</v>
      </c>
      <c r="Z77" s="443">
        <f t="shared" si="281"/>
        <v>9.9264510775944448E-2</v>
      </c>
      <c r="AA77" s="443">
        <f t="shared" si="281"/>
        <v>0.31614196283081641</v>
      </c>
      <c r="AB77" s="462">
        <f t="shared" si="281"/>
        <v>0.18422620027741354</v>
      </c>
      <c r="AC77" s="443">
        <f t="shared" si="281"/>
        <v>0.27410787716608742</v>
      </c>
      <c r="AD77" s="443">
        <f t="shared" si="281"/>
        <v>0.10279237670698604</v>
      </c>
      <c r="AE77" s="443">
        <f t="shared" si="281"/>
        <v>0.16577230284521138</v>
      </c>
      <c r="AF77" s="443">
        <f t="shared" si="281"/>
        <v>7.3342957679044751E-2</v>
      </c>
      <c r="AG77" s="462">
        <f t="shared" si="281"/>
        <v>0.14893182441777042</v>
      </c>
      <c r="AH77" s="443">
        <f t="shared" si="281"/>
        <v>5.1420107761256828E-2</v>
      </c>
      <c r="AI77" s="443">
        <f t="shared" si="281"/>
        <v>-1.6380868106331881E-2</v>
      </c>
      <c r="AJ77" s="443">
        <f t="shared" si="281"/>
        <v>3.245263462789616E-2</v>
      </c>
      <c r="AK77" s="443">
        <f t="shared" si="281"/>
        <v>-5.6190514019439974E-2</v>
      </c>
      <c r="AL77" s="462">
        <f t="shared" si="281"/>
        <v>3.4123310601796852E-4</v>
      </c>
      <c r="AM77" s="443">
        <f t="shared" si="281"/>
        <v>3.230341791724145E-2</v>
      </c>
      <c r="AN77" s="443">
        <f t="shared" si="281"/>
        <v>0.165848061273832</v>
      </c>
      <c r="AO77" s="443">
        <f t="shared" si="281"/>
        <v>-8.672878368072845E-3</v>
      </c>
      <c r="AP77" s="443">
        <f t="shared" si="281"/>
        <v>0.11363604795257243</v>
      </c>
      <c r="AQ77" s="462">
        <f t="shared" si="281"/>
        <v>7.4875085158278232E-2</v>
      </c>
      <c r="AR77" s="443">
        <f t="shared" si="281"/>
        <v>7.9424696327543121E-2</v>
      </c>
      <c r="AS77" s="443">
        <f t="shared" si="281"/>
        <v>8.2938192615043649E-2</v>
      </c>
      <c r="AT77" s="443">
        <f t="shared" si="281"/>
        <v>0.28151294696587414</v>
      </c>
      <c r="AU77" s="460"/>
      <c r="AV77" s="71"/>
      <c r="AW77" s="71"/>
      <c r="AX77" s="71"/>
      <c r="AY77" s="71"/>
      <c r="AZ77" s="444"/>
      <c r="BA77" s="443" t="str">
        <f>IF(ISERROR(BA76/AV76-1),"nm",BA76/AV76-1)</f>
        <v>nm</v>
      </c>
      <c r="BB77" s="443" t="str">
        <f>IF(ISERROR(BB76/AW76-1),"nm",BB76/AW76-1)</f>
        <v>nm</v>
      </c>
      <c r="BC77" s="443" t="str">
        <f>IF(ISERROR(BC76/AX76-1),"nm",BC76/AX76-1)</f>
        <v>nm</v>
      </c>
      <c r="BD77" s="443" t="str">
        <f>IF(ISERROR(BD76/AY76-1),"nm",BD76/AY76-1)</f>
        <v>nm</v>
      </c>
      <c r="BE77" s="462" t="str">
        <f>IF(ISERROR(BE76/AZ76-1),"nm",BE76/AZ76-1)</f>
        <v>nm</v>
      </c>
      <c r="BF77" s="71">
        <f t="shared" ref="BF77:CK77" si="282">BF76/BA76-1</f>
        <v>0.42723315957095775</v>
      </c>
      <c r="BG77" s="71">
        <f t="shared" si="282"/>
        <v>1.3927446095905074</v>
      </c>
      <c r="BH77" s="71">
        <f t="shared" si="282"/>
        <v>-0.32455486291674074</v>
      </c>
      <c r="BI77" s="71">
        <f t="shared" si="282"/>
        <v>-0.27068682507713271</v>
      </c>
      <c r="BJ77" s="444">
        <f t="shared" si="282"/>
        <v>0.17063810691571035</v>
      </c>
      <c r="BK77" s="71">
        <f t="shared" si="282"/>
        <v>-0.40623590867992609</v>
      </c>
      <c r="BL77" s="71">
        <f t="shared" si="282"/>
        <v>-0.68413059714176705</v>
      </c>
      <c r="BM77" s="71">
        <f t="shared" si="282"/>
        <v>-0.14947189074807987</v>
      </c>
      <c r="BN77" s="71">
        <f t="shared" si="282"/>
        <v>-4.5874872981298997E-2</v>
      </c>
      <c r="BO77" s="444">
        <f t="shared" si="282"/>
        <v>-0.4095680499055776</v>
      </c>
      <c r="BP77" s="71">
        <f t="shared" si="282"/>
        <v>-0.10456606915480038</v>
      </c>
      <c r="BQ77" s="71">
        <f t="shared" si="282"/>
        <v>1.378738442328209E-2</v>
      </c>
      <c r="BR77" s="71">
        <f t="shared" si="282"/>
        <v>-9.2831004682621954E-2</v>
      </c>
      <c r="BS77" s="71">
        <f t="shared" si="282"/>
        <v>-0.18055052529021642</v>
      </c>
      <c r="BT77" s="444">
        <f t="shared" si="282"/>
        <v>-9.694531664162731E-2</v>
      </c>
      <c r="BU77" s="71">
        <f t="shared" si="282"/>
        <v>0.16175909016680756</v>
      </c>
      <c r="BV77" s="71">
        <f t="shared" si="282"/>
        <v>0.19229975049322712</v>
      </c>
      <c r="BW77" s="71">
        <f t="shared" si="282"/>
        <v>3.5868065499378377E-2</v>
      </c>
      <c r="BX77" s="71">
        <f t="shared" si="282"/>
        <v>0.10217535464140459</v>
      </c>
      <c r="BY77" s="444">
        <f t="shared" si="282"/>
        <v>0.12193971414769722</v>
      </c>
      <c r="BZ77" s="71">
        <f t="shared" si="282"/>
        <v>6.0069728866087857E-2</v>
      </c>
      <c r="CA77" s="71">
        <f t="shared" si="282"/>
        <v>6.5208492025414122E-2</v>
      </c>
      <c r="CB77" s="71">
        <f t="shared" si="282"/>
        <v>8.6708299843807124E-2</v>
      </c>
      <c r="CC77" s="71">
        <f t="shared" si="282"/>
        <v>0.29647067865855847</v>
      </c>
      <c r="CD77" s="444">
        <f t="shared" si="282"/>
        <v>0.12122576589887779</v>
      </c>
      <c r="CE77" s="71">
        <f t="shared" si="282"/>
        <v>0.10595655016719729</v>
      </c>
      <c r="CF77" s="71">
        <f t="shared" si="282"/>
        <v>0.10178750531786007</v>
      </c>
      <c r="CG77" s="71">
        <f t="shared" si="282"/>
        <v>0.15644316998046981</v>
      </c>
      <c r="CH77" s="71">
        <f t="shared" si="282"/>
        <v>9.5384732768644565E-2</v>
      </c>
      <c r="CI77" s="444">
        <f t="shared" si="282"/>
        <v>0.11790143805385633</v>
      </c>
      <c r="CJ77" s="71">
        <f t="shared" si="282"/>
        <v>0.25033685273701423</v>
      </c>
      <c r="CK77" s="71">
        <f t="shared" si="282"/>
        <v>4.8510646064031215E-2</v>
      </c>
      <c r="CL77" s="71">
        <f t="shared" ref="CL77:DV77" si="283">CL76/CG76-1</f>
        <v>-7.3961151526823476E-3</v>
      </c>
      <c r="CM77" s="71">
        <f t="shared" si="283"/>
        <v>6.3618881566556151E-2</v>
      </c>
      <c r="CN77" s="444">
        <f t="shared" si="283"/>
        <v>8.2113662474120996E-2</v>
      </c>
      <c r="CO77" s="71">
        <f t="shared" si="283"/>
        <v>-4.3031258705541364E-2</v>
      </c>
      <c r="CP77" s="71">
        <f t="shared" si="283"/>
        <v>-1.1002222461747646E-2</v>
      </c>
      <c r="CQ77" s="71">
        <f t="shared" si="283"/>
        <v>1.4126148343360345E-2</v>
      </c>
      <c r="CR77" s="71">
        <f t="shared" si="283"/>
        <v>-3.0881974760157527E-2</v>
      </c>
      <c r="CS77" s="444">
        <f t="shared" si="283"/>
        <v>-1.7825678112079357E-2</v>
      </c>
      <c r="CT77" s="71">
        <f t="shared" si="283"/>
        <v>5.7248301288231884E-2</v>
      </c>
      <c r="CU77" s="71">
        <f t="shared" si="283"/>
        <v>0.12169964273872869</v>
      </c>
      <c r="CV77" s="71">
        <f t="shared" si="283"/>
        <v>8.8424424892704634E-2</v>
      </c>
      <c r="CW77" s="71">
        <f t="shared" si="283"/>
        <v>8.9498147437268916E-2</v>
      </c>
      <c r="CX77" s="444">
        <f t="shared" si="283"/>
        <v>8.8798741830975247E-2</v>
      </c>
      <c r="CY77" s="71">
        <f t="shared" si="283"/>
        <v>0.10371714739692273</v>
      </c>
      <c r="CZ77" s="71">
        <f t="shared" si="283"/>
        <v>0.101659186053777</v>
      </c>
      <c r="DA77" s="71">
        <f t="shared" si="283"/>
        <v>1.8020987415868772E-2</v>
      </c>
      <c r="DB77" s="71">
        <f t="shared" si="283"/>
        <v>7.5491689343957447E-2</v>
      </c>
      <c r="DC77" s="444">
        <f t="shared" si="283"/>
        <v>7.7869194664828667E-2</v>
      </c>
      <c r="DD77" s="71">
        <v>0.13106981604410195</v>
      </c>
      <c r="DE77" s="71">
        <v>-0.10062830284270974</v>
      </c>
      <c r="DF77" s="71">
        <v>-0.31276598119382359</v>
      </c>
      <c r="DG77" s="71">
        <v>-4.825020339168995E-2</v>
      </c>
      <c r="DH77" s="444">
        <v>-8.9280916869585059E-2</v>
      </c>
      <c r="DI77" s="71">
        <f t="shared" si="283"/>
        <v>-0.10692507982895538</v>
      </c>
      <c r="DJ77" s="71">
        <f t="shared" si="283"/>
        <v>8.208656822895799E-2</v>
      </c>
      <c r="DK77" s="71">
        <f t="shared" si="283"/>
        <v>0.46478393239250027</v>
      </c>
      <c r="DL77" s="71">
        <f t="shared" si="283"/>
        <v>2.2260451857983421E-2</v>
      </c>
      <c r="DM77" s="444">
        <f t="shared" si="283"/>
        <v>8.3706775227498031E-2</v>
      </c>
      <c r="DN77" s="71">
        <f t="shared" si="283"/>
        <v>-1.4197731944028069E-2</v>
      </c>
      <c r="DO77" s="71">
        <f t="shared" si="283"/>
        <v>1.2932748433668539E-2</v>
      </c>
      <c r="DP77" s="71">
        <f t="shared" si="283"/>
        <v>1.0361145522321147E-2</v>
      </c>
      <c r="DQ77" s="71">
        <f t="shared" si="283"/>
        <v>3.4049285358377368E-3</v>
      </c>
      <c r="DR77" s="444">
        <f t="shared" ref="DR77:DW77" si="284">DR76/DM76-1</f>
        <v>2.2380015448546509E-3</v>
      </c>
      <c r="DS77" s="71">
        <f t="shared" si="283"/>
        <v>0.10247938028117853</v>
      </c>
      <c r="DT77" s="71">
        <f t="shared" si="283"/>
        <v>7.4750817268556702E-2</v>
      </c>
      <c r="DU77" s="71">
        <f t="shared" si="283"/>
        <v>3.4346913296538384E-2</v>
      </c>
      <c r="DV77" s="71">
        <f t="shared" si="283"/>
        <v>-4.5894615535724381E-2</v>
      </c>
      <c r="DW77" s="444">
        <f t="shared" si="284"/>
        <v>4.1888561253849987E-2</v>
      </c>
      <c r="DX77" s="71">
        <f t="shared" ref="DX77:EG77" si="285">DX76/DS76-1</f>
        <v>6.2950975937123621E-2</v>
      </c>
      <c r="DY77" s="71">
        <f t="shared" si="285"/>
        <v>0.10152569988439608</v>
      </c>
      <c r="DZ77" s="71">
        <f t="shared" si="285"/>
        <v>8.5412019086124058E-2</v>
      </c>
      <c r="EA77" s="71">
        <f t="shared" si="285"/>
        <v>0.30489654917111952</v>
      </c>
      <c r="EB77" s="444">
        <f t="shared" si="285"/>
        <v>0.16299933577335524</v>
      </c>
      <c r="EC77" s="71">
        <f t="shared" si="285"/>
        <v>-1.009725363812819E-2</v>
      </c>
      <c r="ED77" s="71">
        <f t="shared" si="285"/>
        <v>-1.7876612308504347E-2</v>
      </c>
      <c r="EE77" s="71">
        <f t="shared" si="285"/>
        <v>-3.691144122176071E-2</v>
      </c>
      <c r="EF77" s="71">
        <f t="shared" si="285"/>
        <v>-5.4724224673003974E-2</v>
      </c>
      <c r="EG77" s="444">
        <f t="shared" si="285"/>
        <v>-2.4685734124933911E-2</v>
      </c>
      <c r="EH77" s="71">
        <f t="shared" ref="EH77" si="286">EH76/EC76-1</f>
        <v>-1.4750706527477453E-2</v>
      </c>
      <c r="EI77" s="71">
        <f t="shared" ref="EI77" si="287">EI76/ED76-1</f>
        <v>-1.3380252998958064E-2</v>
      </c>
      <c r="EJ77" s="71">
        <f t="shared" ref="EJ77" si="288">EJ76/EE76-1</f>
        <v>-1.1843138364265315E-2</v>
      </c>
      <c r="EK77" s="71">
        <f t="shared" ref="EK77" si="289">EK76/EF76-1</f>
        <v>-8.4013844932800952E-3</v>
      </c>
      <c r="EL77" s="444">
        <f t="shared" ref="EL77" si="290">EL76/EG76-1</f>
        <v>-7.2108357679645518E-3</v>
      </c>
    </row>
    <row r="78" spans="1:142" ht="11.25" customHeight="1">
      <c r="A78" s="445"/>
      <c r="B78" s="445" t="s">
        <v>234</v>
      </c>
      <c r="C78" s="175"/>
      <c r="D78" s="175" t="str">
        <f>IF(ISERROR(1000000*D72/D$10),"nm",1000000*D72/D$10)</f>
        <v>nm</v>
      </c>
      <c r="E78" s="445">
        <f t="shared" ref="E78:AT78" si="291">1000000*E72/E$10</f>
        <v>320.95013644257006</v>
      </c>
      <c r="F78" s="445">
        <f t="shared" si="291"/>
        <v>326.74423762142021</v>
      </c>
      <c r="G78" s="445">
        <f t="shared" si="291"/>
        <v>300.54606212836211</v>
      </c>
      <c r="H78" s="464">
        <f t="shared" si="291"/>
        <v>381.97310017174851</v>
      </c>
      <c r="I78" s="445">
        <f t="shared" si="291"/>
        <v>429.51872203820358</v>
      </c>
      <c r="J78" s="445">
        <f t="shared" si="291"/>
        <v>418.45776998631158</v>
      </c>
      <c r="K78" s="445">
        <f t="shared" si="291"/>
        <v>383.10909817503665</v>
      </c>
      <c r="L78" s="445">
        <f t="shared" si="291"/>
        <v>453.85101822679121</v>
      </c>
      <c r="M78" s="464">
        <f t="shared" si="291"/>
        <v>420.52205638185723</v>
      </c>
      <c r="N78" s="445">
        <f t="shared" si="291"/>
        <v>419.48906794596758</v>
      </c>
      <c r="O78" s="445">
        <f t="shared" si="291"/>
        <v>438.19111145755613</v>
      </c>
      <c r="P78" s="445">
        <f t="shared" si="291"/>
        <v>424.58974554445928</v>
      </c>
      <c r="Q78" s="445">
        <f t="shared" si="291"/>
        <v>456.93294235169026</v>
      </c>
      <c r="R78" s="464">
        <f t="shared" si="291"/>
        <v>439.3466008891877</v>
      </c>
      <c r="S78" s="445">
        <f t="shared" si="291"/>
        <v>510.63888515110426</v>
      </c>
      <c r="T78" s="445">
        <f t="shared" si="291"/>
        <v>415.16829579519992</v>
      </c>
      <c r="U78" s="445">
        <f t="shared" si="291"/>
        <v>499.50662229331766</v>
      </c>
      <c r="V78" s="445">
        <f t="shared" si="291"/>
        <v>434.47313199663512</v>
      </c>
      <c r="W78" s="464">
        <f t="shared" si="291"/>
        <v>463.62586969274537</v>
      </c>
      <c r="X78" s="445">
        <f t="shared" si="291"/>
        <v>492.56658168086022</v>
      </c>
      <c r="Y78" s="445">
        <f t="shared" si="291"/>
        <v>571.36646637787817</v>
      </c>
      <c r="Z78" s="445">
        <f t="shared" si="291"/>
        <v>540.00437687758097</v>
      </c>
      <c r="AA78" s="445">
        <f t="shared" si="291"/>
        <v>577.96945569038451</v>
      </c>
      <c r="AB78" s="464">
        <f t="shared" si="291"/>
        <v>546.31388857843683</v>
      </c>
      <c r="AC78" s="445">
        <f t="shared" si="291"/>
        <v>630.45819892511122</v>
      </c>
      <c r="AD78" s="445">
        <f t="shared" si="291"/>
        <v>637.00643376498101</v>
      </c>
      <c r="AE78" s="445">
        <f t="shared" si="291"/>
        <v>637.55370049276348</v>
      </c>
      <c r="AF78" s="445">
        <f t="shared" si="291"/>
        <v>613.97885384594554</v>
      </c>
      <c r="AG78" s="464">
        <f t="shared" si="291"/>
        <v>629.76626125309429</v>
      </c>
      <c r="AH78" s="445">
        <f t="shared" si="291"/>
        <v>659.85334527058637</v>
      </c>
      <c r="AI78" s="445">
        <f t="shared" si="291"/>
        <v>625.71379972298496</v>
      </c>
      <c r="AJ78" s="445">
        <f t="shared" si="291"/>
        <v>655.02183406113534</v>
      </c>
      <c r="AK78" s="445">
        <f t="shared" si="291"/>
        <v>594.74314706504117</v>
      </c>
      <c r="AL78" s="464">
        <f t="shared" si="291"/>
        <v>633.04447417044332</v>
      </c>
      <c r="AM78" s="445">
        <f t="shared" si="291"/>
        <v>702.72663648179628</v>
      </c>
      <c r="AN78" s="445">
        <f t="shared" si="291"/>
        <v>739.70646841768757</v>
      </c>
      <c r="AO78" s="445">
        <f t="shared" si="291"/>
        <v>654.5809572414405</v>
      </c>
      <c r="AP78" s="445">
        <f t="shared" si="291"/>
        <v>664.57029857036343</v>
      </c>
      <c r="AQ78" s="464">
        <f t="shared" si="291"/>
        <v>689.72657168119804</v>
      </c>
      <c r="AR78" s="445">
        <f t="shared" si="291"/>
        <v>767.39167172258658</v>
      </c>
      <c r="AS78" s="445">
        <f t="shared" si="291"/>
        <v>805.6545320143855</v>
      </c>
      <c r="AT78" s="445">
        <f t="shared" si="291"/>
        <v>831.67590902997586</v>
      </c>
      <c r="AU78" s="448"/>
      <c r="AV78" s="175" t="str">
        <f>IF(ISERROR(1000000*AV72/AV$10),"nm",1000000*AV72/AV$10)</f>
        <v>nm</v>
      </c>
      <c r="AW78" s="175" t="str">
        <f>IF(ISERROR(1000000*AW72/AW$10),"nm",1000000*AW72/AW$10)</f>
        <v>nm</v>
      </c>
      <c r="AX78" s="175" t="str">
        <f>IF(ISERROR(1000000*AX72/AX$10),"nm",1000000*AX72/AX$10)</f>
        <v>nm</v>
      </c>
      <c r="AY78" s="175" t="str">
        <f>IF(ISERROR(1000000*AY72/AY$10),"nm",1000000*AY72/AY$10)</f>
        <v>nm</v>
      </c>
      <c r="AZ78" s="449" t="str">
        <f>IF(ISERROR(1000000*AZ72/AZ$10),"nm",1000000*AZ72/AZ$10)</f>
        <v>nm</v>
      </c>
      <c r="BA78" s="445">
        <f t="shared" ref="BA78:CF78" si="292">1000000*BA72/BA$10</f>
        <v>814.88200568038189</v>
      </c>
      <c r="BB78" s="445">
        <f t="shared" si="292"/>
        <v>870.85625126621892</v>
      </c>
      <c r="BC78" s="445">
        <f t="shared" si="292"/>
        <v>1566.6125455052925</v>
      </c>
      <c r="BD78" s="445">
        <f t="shared" si="292"/>
        <v>1138.0548017158364</v>
      </c>
      <c r="BE78" s="464">
        <f t="shared" si="292"/>
        <v>1096.9688659326773</v>
      </c>
      <c r="BF78" s="445">
        <f t="shared" si="292"/>
        <v>1143.8252953255412</v>
      </c>
      <c r="BG78" s="445">
        <f t="shared" si="292"/>
        <v>2027.021537611608</v>
      </c>
      <c r="BH78" s="445">
        <f t="shared" si="292"/>
        <v>1046.1894719431004</v>
      </c>
      <c r="BI78" s="445">
        <f t="shared" si="292"/>
        <v>816.18302590439362</v>
      </c>
      <c r="BJ78" s="447">
        <f t="shared" si="292"/>
        <v>1261.3431880855965</v>
      </c>
      <c r="BK78" s="445">
        <f t="shared" si="292"/>
        <v>672.77671467418668</v>
      </c>
      <c r="BL78" s="445">
        <f t="shared" si="292"/>
        <v>638.17274043053715</v>
      </c>
      <c r="BM78" s="445">
        <f t="shared" si="292"/>
        <v>883.08926917932718</v>
      </c>
      <c r="BN78" s="445">
        <f t="shared" si="292"/>
        <v>771.01002313030074</v>
      </c>
      <c r="BO78" s="447">
        <f t="shared" si="292"/>
        <v>739.14995637109143</v>
      </c>
      <c r="BP78" s="445">
        <f t="shared" si="292"/>
        <v>591.37112394795929</v>
      </c>
      <c r="BQ78" s="445">
        <f t="shared" si="292"/>
        <v>625.48866301798284</v>
      </c>
      <c r="BR78" s="445">
        <f t="shared" si="292"/>
        <v>775.35075979435919</v>
      </c>
      <c r="BS78" s="445">
        <f t="shared" si="292"/>
        <v>608.35009566795861</v>
      </c>
      <c r="BT78" s="447">
        <f t="shared" si="292"/>
        <v>647.86246839153637</v>
      </c>
      <c r="BU78" s="445">
        <f t="shared" si="292"/>
        <v>672.79338085831262</v>
      </c>
      <c r="BV78" s="445">
        <f t="shared" si="292"/>
        <v>744.50251454491672</v>
      </c>
      <c r="BW78" s="445">
        <f t="shared" si="292"/>
        <v>802.84378376740756</v>
      </c>
      <c r="BX78" s="445">
        <f t="shared" si="292"/>
        <v>665.91130458981854</v>
      </c>
      <c r="BY78" s="447">
        <f t="shared" si="292"/>
        <v>720.73803574860653</v>
      </c>
      <c r="BZ78" s="445">
        <f t="shared" si="292"/>
        <v>718.13458516883395</v>
      </c>
      <c r="CA78" s="445">
        <f t="shared" si="292"/>
        <v>787.6351510315975</v>
      </c>
      <c r="CB78" s="445">
        <f t="shared" si="292"/>
        <v>861.00031639168253</v>
      </c>
      <c r="CC78" s="445">
        <f t="shared" si="292"/>
        <v>859.62259461026986</v>
      </c>
      <c r="CD78" s="447">
        <f t="shared" si="292"/>
        <v>804.90701739486451</v>
      </c>
      <c r="CE78" s="445">
        <f t="shared" si="292"/>
        <v>779.39986210617826</v>
      </c>
      <c r="CF78" s="445">
        <f t="shared" si="292"/>
        <v>852.20603994652026</v>
      </c>
      <c r="CG78" s="445">
        <f t="shared" ref="CG78:DC78" si="293">1000000*CG72/CG$10</f>
        <v>978.8805258566473</v>
      </c>
      <c r="CH78" s="445">
        <f t="shared" si="293"/>
        <v>936.47007693541457</v>
      </c>
      <c r="CI78" s="447">
        <f t="shared" si="293"/>
        <v>886.13822993570727</v>
      </c>
      <c r="CJ78" s="445">
        <f t="shared" si="293"/>
        <v>964.73362632650878</v>
      </c>
      <c r="CK78" s="445">
        <f t="shared" si="293"/>
        <v>887.96271583140003</v>
      </c>
      <c r="CL78" s="445">
        <f t="shared" si="293"/>
        <v>965.55997315020397</v>
      </c>
      <c r="CM78" s="445">
        <f t="shared" si="293"/>
        <v>984.03899061298932</v>
      </c>
      <c r="CN78" s="447">
        <f t="shared" si="293"/>
        <v>950.53981669995699</v>
      </c>
      <c r="CO78" s="445">
        <f t="shared" si="293"/>
        <v>906.51730232605246</v>
      </c>
      <c r="CP78" s="445">
        <f t="shared" si="293"/>
        <v>866.10885132313592</v>
      </c>
      <c r="CQ78" s="445">
        <f t="shared" si="293"/>
        <v>969.40476495781297</v>
      </c>
      <c r="CR78" s="445">
        <f t="shared" si="293"/>
        <v>934.76767666334422</v>
      </c>
      <c r="CS78" s="447">
        <f t="shared" si="293"/>
        <v>919.20012922646163</v>
      </c>
      <c r="CT78" s="445">
        <f t="shared" si="293"/>
        <v>931.67701863354034</v>
      </c>
      <c r="CU78" s="445">
        <f t="shared" si="293"/>
        <v>964.80003249852746</v>
      </c>
      <c r="CV78" s="445">
        <f t="shared" si="293"/>
        <v>1041.5718634024006</v>
      </c>
      <c r="CW78" s="445">
        <f t="shared" si="293"/>
        <v>1003.492152691366</v>
      </c>
      <c r="CX78" s="447">
        <f t="shared" si="293"/>
        <v>985.09927541869854</v>
      </c>
      <c r="CY78" s="445">
        <f t="shared" si="293"/>
        <v>1047.2263678445856</v>
      </c>
      <c r="CZ78" s="445">
        <f t="shared" si="293"/>
        <v>1059.148587801883</v>
      </c>
      <c r="DA78" s="445">
        <f t="shared" si="293"/>
        <v>1067.2846753167548</v>
      </c>
      <c r="DB78" s="445">
        <f t="shared" si="293"/>
        <v>1069.4201161611506</v>
      </c>
      <c r="DC78" s="447">
        <f t="shared" si="293"/>
        <v>1061.9747486004221</v>
      </c>
      <c r="DD78" s="445">
        <v>1173.5276859886972</v>
      </c>
      <c r="DE78" s="445">
        <v>948.12286487175152</v>
      </c>
      <c r="DF78" s="445">
        <v>720.09647557600488</v>
      </c>
      <c r="DG78" s="445">
        <v>1023.6061991431611</v>
      </c>
      <c r="DH78" s="447">
        <v>963.17355723243702</v>
      </c>
      <c r="DI78" s="445">
        <f t="shared" ref="DI78:EG78" si="294">1000000*DI72/DI$10</f>
        <v>1031.5635718812252</v>
      </c>
      <c r="DJ78" s="445">
        <f t="shared" si="294"/>
        <v>1008.243536643351</v>
      </c>
      <c r="DK78" s="445">
        <f t="shared" si="294"/>
        <v>1052.9960718421471</v>
      </c>
      <c r="DL78" s="445">
        <f t="shared" si="294"/>
        <v>1051.0922219175577</v>
      </c>
      <c r="DM78" s="447">
        <f t="shared" si="294"/>
        <v>1036.2461649420452</v>
      </c>
      <c r="DN78" s="445">
        <f t="shared" si="294"/>
        <v>1036.3294094300463</v>
      </c>
      <c r="DO78" s="445">
        <f t="shared" si="294"/>
        <v>1026.7988670207956</v>
      </c>
      <c r="DP78" s="445">
        <f t="shared" si="294"/>
        <v>1063.1302377993493</v>
      </c>
      <c r="DQ78" s="445">
        <f t="shared" si="294"/>
        <v>1044.4665401898333</v>
      </c>
      <c r="DR78" s="447">
        <f t="shared" si="294"/>
        <v>1042.620063204794</v>
      </c>
      <c r="DS78" s="445">
        <f t="shared" si="294"/>
        <v>1128.0565029659344</v>
      </c>
      <c r="DT78" s="445">
        <f t="shared" si="294"/>
        <v>1104.4460652248338</v>
      </c>
      <c r="DU78" s="445">
        <f t="shared" si="294"/>
        <v>1106.536043463489</v>
      </c>
      <c r="DV78" s="445">
        <f t="shared" ref="DV78" si="295">1000000*DV72/DV$10</f>
        <v>1001.5562643492195</v>
      </c>
      <c r="DW78" s="447">
        <f t="shared" si="294"/>
        <v>1085.7442686104064</v>
      </c>
      <c r="DX78" s="445">
        <f t="shared" ca="1" si="294"/>
        <v>1220.7390855892429</v>
      </c>
      <c r="DY78" s="445">
        <f t="shared" ca="1" si="294"/>
        <v>1235.182530672407</v>
      </c>
      <c r="DZ78" s="445">
        <f t="shared" ca="1" si="294"/>
        <v>1224.4742612258508</v>
      </c>
      <c r="EA78" s="445">
        <f t="shared" ca="1" si="294"/>
        <v>1333.2089618831985</v>
      </c>
      <c r="EB78" s="447">
        <f t="shared" ca="1" si="294"/>
        <v>1285.7492298543502</v>
      </c>
      <c r="EC78" s="445">
        <f t="shared" si="294"/>
        <v>1212.2566667891624</v>
      </c>
      <c r="ED78" s="445">
        <f t="shared" si="294"/>
        <v>1218.2815523379481</v>
      </c>
      <c r="EE78" s="445">
        <f t="shared" si="294"/>
        <v>1183.5378908420182</v>
      </c>
      <c r="EF78" s="445">
        <f t="shared" si="294"/>
        <v>1264.575696379613</v>
      </c>
      <c r="EG78" s="447">
        <f t="shared" si="294"/>
        <v>1258.3189412421682</v>
      </c>
      <c r="EH78" s="445">
        <f t="shared" ref="EH78:EL78" si="296">1000000*EH72/EH$10</f>
        <v>1206.9086269347533</v>
      </c>
      <c r="EI78" s="445">
        <f t="shared" si="296"/>
        <v>1214.8463161044976</v>
      </c>
      <c r="EJ78" s="445">
        <f t="shared" si="296"/>
        <v>1182.0257606825724</v>
      </c>
      <c r="EK78" s="445">
        <f t="shared" si="296"/>
        <v>1267.3339808808664</v>
      </c>
      <c r="EL78" s="447">
        <f t="shared" si="296"/>
        <v>1262.5568675969268</v>
      </c>
    </row>
    <row r="79" spans="1:142" ht="11.25" customHeight="1">
      <c r="A79" s="450"/>
      <c r="B79" s="450" t="s">
        <v>497</v>
      </c>
      <c r="C79" s="451"/>
      <c r="D79" s="451"/>
      <c r="E79" s="451"/>
      <c r="F79" s="451"/>
      <c r="G79" s="451"/>
      <c r="H79" s="452"/>
      <c r="I79" s="451" t="str">
        <f t="shared" ref="I79:AT79" si="297">IF(ISERROR(I78/D78-1),"",(I78/D78-1))</f>
        <v/>
      </c>
      <c r="J79" s="451">
        <f t="shared" si="297"/>
        <v>0.30380929145107016</v>
      </c>
      <c r="K79" s="451">
        <f t="shared" si="297"/>
        <v>0.1725045282020341</v>
      </c>
      <c r="L79" s="451">
        <f t="shared" si="297"/>
        <v>0.51008805443257854</v>
      </c>
      <c r="M79" s="452">
        <f t="shared" si="297"/>
        <v>0.10092060459957986</v>
      </c>
      <c r="N79" s="451">
        <f t="shared" si="297"/>
        <v>-2.3350912492573261E-2</v>
      </c>
      <c r="O79" s="451">
        <f t="shared" si="297"/>
        <v>4.7157306869675342E-2</v>
      </c>
      <c r="P79" s="451">
        <f t="shared" si="297"/>
        <v>0.10827372037630578</v>
      </c>
      <c r="Q79" s="451">
        <f t="shared" si="297"/>
        <v>6.7906074926089577E-3</v>
      </c>
      <c r="R79" s="452">
        <f t="shared" si="297"/>
        <v>4.4764701926209405E-2</v>
      </c>
      <c r="S79" s="451">
        <f t="shared" si="297"/>
        <v>0.21728770585477397</v>
      </c>
      <c r="T79" s="451">
        <f t="shared" si="297"/>
        <v>-5.2540581176499401E-2</v>
      </c>
      <c r="U79" s="451">
        <f t="shared" si="297"/>
        <v>0.17644532760156761</v>
      </c>
      <c r="V79" s="451">
        <f t="shared" si="297"/>
        <v>-4.9153405835573039E-2</v>
      </c>
      <c r="W79" s="452">
        <f t="shared" si="297"/>
        <v>5.526222065772024E-2</v>
      </c>
      <c r="X79" s="451">
        <f t="shared" si="297"/>
        <v>-3.539155359250834E-2</v>
      </c>
      <c r="Y79" s="451">
        <f t="shared" si="297"/>
        <v>0.37622856119950421</v>
      </c>
      <c r="Z79" s="451">
        <f t="shared" si="297"/>
        <v>8.1075510867766765E-2</v>
      </c>
      <c r="AA79" s="451">
        <f t="shared" si="297"/>
        <v>0.33027663421741971</v>
      </c>
      <c r="AB79" s="452">
        <f t="shared" si="297"/>
        <v>0.17835074419054853</v>
      </c>
      <c r="AC79" s="451">
        <f t="shared" si="297"/>
        <v>0.27994513304922619</v>
      </c>
      <c r="AD79" s="451">
        <f t="shared" si="297"/>
        <v>0.11488242879079169</v>
      </c>
      <c r="AE79" s="451">
        <f t="shared" si="297"/>
        <v>0.1806454313930439</v>
      </c>
      <c r="AF79" s="451">
        <f t="shared" si="297"/>
        <v>6.230328921542716E-2</v>
      </c>
      <c r="AG79" s="452">
        <f t="shared" si="297"/>
        <v>0.15275535625098025</v>
      </c>
      <c r="AH79" s="451">
        <f t="shared" si="297"/>
        <v>4.6625052058315575E-2</v>
      </c>
      <c r="AI79" s="451">
        <f t="shared" si="297"/>
        <v>-1.7727660889155783E-2</v>
      </c>
      <c r="AJ79" s="451">
        <f t="shared" si="297"/>
        <v>2.7398685875198892E-2</v>
      </c>
      <c r="AK79" s="451">
        <f t="shared" si="297"/>
        <v>-3.132959166331617E-2</v>
      </c>
      <c r="AL79" s="452">
        <f t="shared" si="297"/>
        <v>5.2054438591646601E-3</v>
      </c>
      <c r="AM79" s="451">
        <f t="shared" si="297"/>
        <v>6.4973969622945216E-2</v>
      </c>
      <c r="AN79" s="451">
        <f t="shared" si="297"/>
        <v>0.18218020562303283</v>
      </c>
      <c r="AO79" s="451">
        <f t="shared" si="297"/>
        <v>-6.7307194473409382E-4</v>
      </c>
      <c r="AP79" s="451">
        <f t="shared" si="297"/>
        <v>0.11740724016730186</v>
      </c>
      <c r="AQ79" s="452">
        <f t="shared" si="297"/>
        <v>8.95388867978546E-2</v>
      </c>
      <c r="AR79" s="451">
        <f t="shared" si="297"/>
        <v>9.2020185209622962E-2</v>
      </c>
      <c r="AS79" s="451">
        <f t="shared" si="297"/>
        <v>8.9154369215897145E-2</v>
      </c>
      <c r="AT79" s="451">
        <f t="shared" si="297"/>
        <v>0.27054705736453966</v>
      </c>
      <c r="AU79" s="453"/>
      <c r="AV79" s="454"/>
      <c r="AW79" s="454"/>
      <c r="AX79" s="454"/>
      <c r="AY79" s="454"/>
      <c r="AZ79" s="455"/>
      <c r="BA79" s="451" t="str">
        <f t="shared" ref="BA79:CF79" si="298">IF(ISERROR(BA78/AV78-1),"",(BA78/AV78-1))</f>
        <v/>
      </c>
      <c r="BB79" s="451" t="str">
        <f t="shared" si="298"/>
        <v/>
      </c>
      <c r="BC79" s="451" t="str">
        <f t="shared" si="298"/>
        <v/>
      </c>
      <c r="BD79" s="451" t="str">
        <f t="shared" si="298"/>
        <v/>
      </c>
      <c r="BE79" s="452" t="str">
        <f t="shared" si="298"/>
        <v/>
      </c>
      <c r="BF79" s="451">
        <f t="shared" si="298"/>
        <v>0.40366984097349112</v>
      </c>
      <c r="BG79" s="451">
        <f t="shared" si="298"/>
        <v>1.3276189780624907</v>
      </c>
      <c r="BH79" s="451">
        <f t="shared" si="298"/>
        <v>-0.33219641643705566</v>
      </c>
      <c r="BI79" s="451">
        <f t="shared" si="298"/>
        <v>-0.28282625346877777</v>
      </c>
      <c r="BJ79" s="452">
        <f t="shared" si="298"/>
        <v>0.1498441088509499</v>
      </c>
      <c r="BK79" s="451">
        <f t="shared" si="298"/>
        <v>-0.41181864273887259</v>
      </c>
      <c r="BL79" s="451">
        <f t="shared" si="298"/>
        <v>-0.68516726211874335</v>
      </c>
      <c r="BM79" s="451">
        <f t="shared" si="298"/>
        <v>-0.15589929657851109</v>
      </c>
      <c r="BN79" s="451">
        <f t="shared" si="298"/>
        <v>-5.5346657968092017E-2</v>
      </c>
      <c r="BO79" s="452">
        <f t="shared" si="298"/>
        <v>-0.41399774196827732</v>
      </c>
      <c r="BP79" s="451">
        <f t="shared" si="298"/>
        <v>-0.12099941771268141</v>
      </c>
      <c r="BQ79" s="451">
        <f t="shared" si="298"/>
        <v>-1.9875617695605641E-2</v>
      </c>
      <c r="BR79" s="451">
        <f t="shared" si="298"/>
        <v>-0.12200183282160315</v>
      </c>
      <c r="BS79" s="451">
        <f t="shared" si="298"/>
        <v>-0.21096992591865771</v>
      </c>
      <c r="BT79" s="452">
        <f t="shared" si="298"/>
        <v>-0.12350333946813363</v>
      </c>
      <c r="BU79" s="451">
        <f t="shared" si="298"/>
        <v>0.13768385640269853</v>
      </c>
      <c r="BV79" s="451">
        <f t="shared" si="298"/>
        <v>0.19027339512868546</v>
      </c>
      <c r="BW79" s="451">
        <f t="shared" si="298"/>
        <v>3.5458821218334879E-2</v>
      </c>
      <c r="BX79" s="451">
        <f t="shared" si="298"/>
        <v>9.4618558181795986E-2</v>
      </c>
      <c r="BY79" s="452">
        <f t="shared" si="298"/>
        <v>0.11248616938406708</v>
      </c>
      <c r="BZ79" s="451">
        <f t="shared" si="298"/>
        <v>6.7392464909029837E-2</v>
      </c>
      <c r="CA79" s="451">
        <f t="shared" si="298"/>
        <v>5.7934843259791924E-2</v>
      </c>
      <c r="CB79" s="451">
        <f t="shared" si="298"/>
        <v>7.2438167673629872E-2</v>
      </c>
      <c r="CC79" s="451">
        <f t="shared" si="298"/>
        <v>0.29089653334504018</v>
      </c>
      <c r="CD79" s="452">
        <f t="shared" si="298"/>
        <v>0.11678165640146143</v>
      </c>
      <c r="CE79" s="451">
        <f t="shared" si="298"/>
        <v>8.5311692547074269E-2</v>
      </c>
      <c r="CF79" s="451">
        <f t="shared" si="298"/>
        <v>8.1980710015737257E-2</v>
      </c>
      <c r="CG79" s="451">
        <f t="shared" ref="CG79:DS79" si="299">IF(ISERROR(CG78/CB78-1),"",(CG78/CB78-1))</f>
        <v>0.13691076207611896</v>
      </c>
      <c r="CH79" s="451">
        <f t="shared" si="299"/>
        <v>8.9396768776168978E-2</v>
      </c>
      <c r="CI79" s="452">
        <f t="shared" si="299"/>
        <v>0.10091999545954145</v>
      </c>
      <c r="CJ79" s="451">
        <f t="shared" si="299"/>
        <v>0.23779034771638474</v>
      </c>
      <c r="CK79" s="451">
        <f t="shared" si="299"/>
        <v>4.1957782753010875E-2</v>
      </c>
      <c r="CL79" s="451">
        <f t="shared" si="299"/>
        <v>-1.3607945356545081E-2</v>
      </c>
      <c r="CM79" s="451">
        <f t="shared" si="299"/>
        <v>5.0795978268994402E-2</v>
      </c>
      <c r="CN79" s="452">
        <f t="shared" si="299"/>
        <v>7.2676682473029386E-2</v>
      </c>
      <c r="CO79" s="451">
        <f t="shared" si="299"/>
        <v>-6.0344454066695197E-2</v>
      </c>
      <c r="CP79" s="451">
        <f t="shared" si="299"/>
        <v>-2.4611241123792316E-2</v>
      </c>
      <c r="CQ79" s="451">
        <f t="shared" si="299"/>
        <v>3.9819295688749978E-3</v>
      </c>
      <c r="CR79" s="451">
        <f t="shared" si="299"/>
        <v>-5.0070489502608506E-2</v>
      </c>
      <c r="CS79" s="452">
        <f t="shared" si="299"/>
        <v>-3.297040999534262E-2</v>
      </c>
      <c r="CT79" s="451">
        <f t="shared" si="299"/>
        <v>2.7754259342794629E-2</v>
      </c>
      <c r="CU79" s="451">
        <f t="shared" si="299"/>
        <v>0.11394778037959452</v>
      </c>
      <c r="CV79" s="451">
        <f t="shared" si="299"/>
        <v>7.4444753165338717E-2</v>
      </c>
      <c r="CW79" s="451">
        <f t="shared" si="299"/>
        <v>7.3520381313711969E-2</v>
      </c>
      <c r="CX79" s="452">
        <f t="shared" si="299"/>
        <v>7.1691837388766722E-2</v>
      </c>
      <c r="CY79" s="451">
        <f t="shared" si="299"/>
        <v>0.12402296815318858</v>
      </c>
      <c r="CZ79" s="451">
        <f t="shared" si="299"/>
        <v>9.7790787857896966E-2</v>
      </c>
      <c r="DA79" s="451">
        <f t="shared" si="299"/>
        <v>2.4686546188335656E-2</v>
      </c>
      <c r="DB79" s="451">
        <f t="shared" si="299"/>
        <v>6.5698534156909849E-2</v>
      </c>
      <c r="DC79" s="452">
        <f t="shared" si="299"/>
        <v>7.8038300402818894E-2</v>
      </c>
      <c r="DD79" s="451">
        <v>0.12060555580171894</v>
      </c>
      <c r="DE79" s="451">
        <v>-0.1048254458428256</v>
      </c>
      <c r="DF79" s="451">
        <v>-0.32530046366280807</v>
      </c>
      <c r="DG79" s="451">
        <v>-4.2839961887425226E-2</v>
      </c>
      <c r="DH79" s="452">
        <v>-9.303534900259669E-2</v>
      </c>
      <c r="DI79" s="451">
        <f t="shared" si="299"/>
        <v>-0.12097210470826436</v>
      </c>
      <c r="DJ79" s="451">
        <f t="shared" si="299"/>
        <v>6.3410211903002445E-2</v>
      </c>
      <c r="DK79" s="451">
        <f t="shared" si="299"/>
        <v>0.46229860519711052</v>
      </c>
      <c r="DL79" s="451">
        <f t="shared" si="299"/>
        <v>2.6852145676144357E-2</v>
      </c>
      <c r="DM79" s="452">
        <f>IF(ISERROR(DM78/DH78-1),"",(DM78/DH78-1))</f>
        <v>7.5866501069208558E-2</v>
      </c>
      <c r="DN79" s="451">
        <f t="shared" si="299"/>
        <v>4.6200134230502954E-3</v>
      </c>
      <c r="DO79" s="451">
        <f t="shared" si="299"/>
        <v>1.8403619466006216E-2</v>
      </c>
      <c r="DP79" s="451">
        <f t="shared" si="299"/>
        <v>9.6241251303750275E-3</v>
      </c>
      <c r="DQ79" s="451">
        <f t="shared" si="299"/>
        <v>-6.3036159811332704E-3</v>
      </c>
      <c r="DR79" s="452">
        <f>IF(ISERROR(DR78/DM78-1),"",(DR78/DM78-1))</f>
        <v>6.1509499174892124E-3</v>
      </c>
      <c r="DS79" s="451">
        <f t="shared" si="299"/>
        <v>8.8511522206376148E-2</v>
      </c>
      <c r="DT79" s="451">
        <f t="shared" ref="DT79:EG79" si="300">IF(ISERROR(DT78/DO78-1),"",(DT78/DO78-1))</f>
        <v>7.5620650448638971E-2</v>
      </c>
      <c r="DU79" s="451">
        <f t="shared" si="300"/>
        <v>4.0828305056950009E-2</v>
      </c>
      <c r="DV79" s="451">
        <f t="shared" si="300"/>
        <v>-4.1083437515207266E-2</v>
      </c>
      <c r="DW79" s="452">
        <f t="shared" si="300"/>
        <v>4.1361380744062926E-2</v>
      </c>
      <c r="DX79" s="451">
        <f t="shared" ca="1" si="300"/>
        <v>8.2161294562482778E-2</v>
      </c>
      <c r="DY79" s="451">
        <f t="shared" ca="1" si="300"/>
        <v>0.11837288353321163</v>
      </c>
      <c r="DZ79" s="451">
        <f t="shared" ca="1" si="300"/>
        <v>0.1065832590443343</v>
      </c>
      <c r="EA79" s="451">
        <f t="shared" ca="1" si="300"/>
        <v>0.33113736026550322</v>
      </c>
      <c r="EB79" s="452">
        <f t="shared" ca="1" si="300"/>
        <v>0.18421000877114535</v>
      </c>
      <c r="EC79" s="451">
        <f t="shared" ca="1" si="300"/>
        <v>-6.9485927830238436E-3</v>
      </c>
      <c r="ED79" s="451">
        <f t="shared" ca="1" si="300"/>
        <v>-1.3682980381254484E-2</v>
      </c>
      <c r="EE79" s="451">
        <f t="shared" ca="1" si="300"/>
        <v>-3.3431793284776967E-2</v>
      </c>
      <c r="EF79" s="451">
        <f t="shared" ca="1" si="300"/>
        <v>-5.1479751086160541E-2</v>
      </c>
      <c r="EG79" s="452">
        <f t="shared" ca="1" si="300"/>
        <v>-2.1334089086165964E-2</v>
      </c>
      <c r="EH79" s="451">
        <f t="shared" ref="EH79" si="301">IF(ISERROR(EH78/EC78-1),"",(EH78/EC78-1))</f>
        <v>-4.4116398786852029E-3</v>
      </c>
      <c r="EI79" s="451">
        <f t="shared" ref="EI79" si="302">IF(ISERROR(EI78/ED78-1),"",(EI78/ED78-1))</f>
        <v>-2.8197391866092714E-3</v>
      </c>
      <c r="EJ79" s="451">
        <f t="shared" ref="EJ79" si="303">IF(ISERROR(EJ78/EE78-1),"",(EJ78/EE78-1))</f>
        <v>-1.2776356136515732E-3</v>
      </c>
      <c r="EK79" s="451">
        <f t="shared" ref="EK79" si="304">IF(ISERROR(EK78/EF78-1),"",(EK78/EF78-1))</f>
        <v>2.1811936676865429E-3</v>
      </c>
      <c r="EL79" s="452">
        <f t="shared" ref="EL79" si="305">IF(ISERROR(EL78/EG78-1),"",(EL78/EG78-1))</f>
        <v>3.3679270142552564E-3</v>
      </c>
    </row>
    <row r="81" spans="1:142">
      <c r="A81" s="478"/>
      <c r="B81" s="478" t="s">
        <v>495</v>
      </c>
      <c r="C81" s="479"/>
      <c r="D81" s="479"/>
      <c r="E81" s="479"/>
      <c r="F81" s="479"/>
      <c r="G81" s="479"/>
      <c r="H81" s="480"/>
      <c r="I81" s="479"/>
      <c r="J81" s="479"/>
      <c r="K81" s="479"/>
      <c r="L81" s="479"/>
      <c r="M81" s="480"/>
      <c r="N81" s="479"/>
      <c r="O81" s="479"/>
      <c r="P81" s="479"/>
      <c r="Q81" s="479"/>
      <c r="R81" s="480"/>
      <c r="S81" s="479"/>
      <c r="T81" s="479"/>
      <c r="U81" s="479"/>
      <c r="V81" s="479"/>
      <c r="W81" s="480"/>
      <c r="X81" s="479"/>
      <c r="Y81" s="479"/>
      <c r="Z81" s="479"/>
      <c r="AA81" s="479"/>
      <c r="AB81" s="480"/>
      <c r="AC81" s="479"/>
      <c r="AD81" s="479"/>
      <c r="AE81" s="479"/>
      <c r="AF81" s="479"/>
      <c r="AG81" s="480"/>
      <c r="AH81" s="479"/>
      <c r="AI81" s="479"/>
      <c r="AJ81" s="479"/>
      <c r="AK81" s="479"/>
      <c r="AL81" s="480"/>
      <c r="AM81" s="479"/>
      <c r="AN81" s="479"/>
      <c r="AO81" s="479"/>
      <c r="AP81" s="479"/>
      <c r="AQ81" s="480"/>
      <c r="AR81" s="479"/>
      <c r="AS81" s="479"/>
      <c r="AT81" s="479"/>
      <c r="AU81" s="481"/>
      <c r="AV81" s="479"/>
      <c r="AW81" s="479"/>
      <c r="AX81" s="479"/>
      <c r="AY81" s="479"/>
      <c r="AZ81" s="480"/>
      <c r="BA81" s="479"/>
      <c r="BB81" s="479"/>
      <c r="BC81" s="479"/>
      <c r="BD81" s="479"/>
      <c r="BE81" s="480"/>
      <c r="BF81" s="479"/>
      <c r="BG81" s="479"/>
      <c r="BH81" s="479"/>
      <c r="BI81" s="479"/>
      <c r="BJ81" s="480"/>
      <c r="BK81" s="479"/>
      <c r="BL81" s="479"/>
      <c r="BM81" s="479"/>
      <c r="BN81" s="479"/>
      <c r="BO81" s="480"/>
      <c r="BP81" s="479"/>
      <c r="BQ81" s="479"/>
      <c r="BR81" s="479"/>
      <c r="BS81" s="479"/>
      <c r="BT81" s="480"/>
      <c r="BU81" s="479"/>
      <c r="BV81" s="479"/>
      <c r="BW81" s="479"/>
      <c r="BX81" s="479"/>
      <c r="BY81" s="480"/>
      <c r="BZ81" s="479"/>
      <c r="CA81" s="479"/>
      <c r="CB81" s="479"/>
      <c r="CC81" s="479"/>
      <c r="CD81" s="480"/>
      <c r="CE81" s="479"/>
      <c r="CF81" s="479"/>
      <c r="CG81" s="479"/>
      <c r="CH81" s="479"/>
      <c r="CI81" s="480"/>
      <c r="CJ81" s="479"/>
      <c r="CK81" s="479"/>
      <c r="CL81" s="479"/>
      <c r="CM81" s="479"/>
      <c r="CN81" s="480"/>
      <c r="CO81" s="479"/>
      <c r="CP81" s="479"/>
      <c r="CQ81" s="479"/>
      <c r="CR81" s="479"/>
      <c r="CS81" s="480"/>
      <c r="CT81" s="482"/>
      <c r="CU81" s="482"/>
      <c r="CV81" s="482"/>
      <c r="CW81" s="482"/>
      <c r="CX81" s="480"/>
      <c r="CY81" s="482"/>
      <c r="CZ81" s="482"/>
      <c r="DA81" s="482"/>
      <c r="DB81" s="482"/>
      <c r="DC81" s="480"/>
      <c r="DD81" s="482"/>
      <c r="DE81" s="482"/>
      <c r="DF81" s="482"/>
      <c r="DG81" s="482"/>
      <c r="DH81" s="480"/>
      <c r="DI81" s="482"/>
      <c r="DJ81" s="482"/>
      <c r="DK81" s="482"/>
      <c r="DL81" s="479"/>
      <c r="DM81" s="480"/>
      <c r="DN81" s="482"/>
      <c r="DO81" s="482"/>
      <c r="DP81" s="482"/>
      <c r="DQ81" s="479">
        <f>IS!DQ19</f>
        <v>0</v>
      </c>
      <c r="DR81" s="480">
        <f>IS!DR19</f>
        <v>0</v>
      </c>
      <c r="DS81" s="479">
        <f>IS!DS19</f>
        <v>0</v>
      </c>
      <c r="DT81" s="479">
        <f>IS!DT19</f>
        <v>0</v>
      </c>
      <c r="DU81" s="479">
        <f>IS!DU19</f>
        <v>0</v>
      </c>
      <c r="DV81" s="479">
        <f>IS!DV19</f>
        <v>0</v>
      </c>
      <c r="DW81" s="480">
        <f>IS!DW19</f>
        <v>0</v>
      </c>
      <c r="DX81" s="479">
        <f>IS!DX19</f>
        <v>0</v>
      </c>
      <c r="DY81" s="479">
        <f>IS!DY19</f>
        <v>0</v>
      </c>
      <c r="DZ81" s="479">
        <f>IS!DZ19</f>
        <v>0</v>
      </c>
      <c r="EA81" s="479">
        <f>IS!EA19</f>
        <v>0</v>
      </c>
      <c r="EB81" s="480">
        <f>IS!EB19</f>
        <v>0</v>
      </c>
      <c r="EC81" s="479">
        <f>IS!EC19</f>
        <v>0</v>
      </c>
      <c r="ED81" s="479">
        <f>IS!ED19</f>
        <v>0</v>
      </c>
      <c r="EE81" s="479">
        <f>IS!EE19</f>
        <v>0</v>
      </c>
      <c r="EF81" s="479">
        <f>IS!EF19</f>
        <v>0</v>
      </c>
      <c r="EG81" s="480">
        <f>IS!EG19</f>
        <v>0</v>
      </c>
      <c r="EH81" s="479">
        <f>IS!EH19</f>
        <v>0</v>
      </c>
      <c r="EI81" s="479">
        <f>IS!EI19</f>
        <v>0</v>
      </c>
      <c r="EJ81" s="479">
        <f>IS!EJ19</f>
        <v>0</v>
      </c>
      <c r="EK81" s="479">
        <f>IS!EK19</f>
        <v>0</v>
      </c>
      <c r="EL81" s="480">
        <f>IS!EL19</f>
        <v>0</v>
      </c>
    </row>
    <row r="115" spans="102:102"/>
    <row r="119" spans="102:102"/>
    <row r="124" spans="102:102"/>
    <row r="127" spans="102:102"/>
    <row r="132" spans="102:102"/>
    <row r="156" spans="102:102"/>
    <row r="162" spans="102:102"/>
    <row r="182" spans="102:102"/>
    <row r="186" spans="102:102"/>
    <row r="191" spans="102:102"/>
    <row r="194" spans="102:102"/>
    <row r="199" spans="102:102"/>
    <row r="223" spans="102:102"/>
    <row r="229" spans="102:102"/>
  </sheetData>
  <phoneticPr fontId="35" type="noConversion"/>
  <pageMargins left="0.25" right="0.25" top="0.5" bottom="0.5" header="0.25" footer="0.25"/>
  <pageSetup scale="77" fitToHeight="2" orientation="landscape" r:id="rId1"/>
  <headerFooter alignWithMargins="0"/>
  <rowBreaks count="1" manualBreakCount="1">
    <brk id="71"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EL397"/>
  <sheetViews>
    <sheetView showGridLines="0" zoomScaleNormal="100" workbookViewId="0">
      <pane xSplit="2" ySplit="4" topLeftCell="DR7" activePane="bottomRight" state="frozen"/>
      <selection pane="topRight" activeCell="B1" sqref="B1"/>
      <selection pane="bottomLeft" activeCell="A8" sqref="A8"/>
      <selection pane="bottomRight" activeCell="DR7" sqref="DR7"/>
    </sheetView>
  </sheetViews>
  <sheetFormatPr defaultRowHeight="12.75" outlineLevelRow="1" outlineLevelCol="2"/>
  <cols>
    <col min="1" max="1" width="3.140625" style="605" customWidth="1"/>
    <col min="2" max="2" width="39.28515625" style="89" customWidth="1"/>
    <col min="3" max="3" width="2.42578125" style="89" hidden="1" customWidth="1" outlineLevel="2"/>
    <col min="4" max="46" width="9.28515625" style="89" hidden="1" customWidth="1" outlineLevel="2"/>
    <col min="47" max="47" width="1.42578125" style="89" hidden="1" customWidth="1" outlineLevel="1"/>
    <col min="48" max="51" width="9.28515625" style="89" hidden="1" customWidth="1" outlineLevel="2"/>
    <col min="52" max="52" width="9.28515625" style="89" hidden="1" customWidth="1" outlineLevel="1"/>
    <col min="53" max="56" width="9.28515625" style="89" hidden="1" customWidth="1" outlineLevel="2"/>
    <col min="57" max="57" width="9.28515625" style="89" hidden="1" customWidth="1" outlineLevel="1"/>
    <col min="58" max="61" width="9.28515625" style="89" hidden="1" customWidth="1" outlineLevel="2"/>
    <col min="62" max="62" width="9.28515625" style="89" hidden="1" customWidth="1" outlineLevel="1"/>
    <col min="63" max="66" width="9.28515625" style="89" hidden="1" customWidth="1" outlineLevel="2"/>
    <col min="67" max="67" width="9.28515625" style="89" hidden="1" customWidth="1" outlineLevel="1"/>
    <col min="68" max="71" width="9.28515625" style="89" hidden="1" customWidth="1" outlineLevel="2"/>
    <col min="72" max="72" width="9.28515625" style="89" hidden="1" customWidth="1" outlineLevel="1"/>
    <col min="73" max="76" width="9.28515625" style="89" hidden="1" customWidth="1" outlineLevel="2"/>
    <col min="77" max="77" width="9.28515625" style="89" hidden="1" customWidth="1" outlineLevel="1"/>
    <col min="78" max="81" width="9.28515625" style="89" hidden="1" customWidth="1" outlineLevel="2"/>
    <col min="82" max="82" width="9.28515625" style="89" hidden="1" customWidth="1" outlineLevel="1"/>
    <col min="83" max="86" width="9.28515625" style="89" hidden="1" customWidth="1" outlineLevel="2"/>
    <col min="87" max="91" width="9.28515625" style="89" hidden="1" customWidth="1" outlineLevel="1"/>
    <col min="92" max="92" width="9.28515625" style="89" hidden="1" customWidth="1" collapsed="1"/>
    <col min="93" max="96" width="9.28515625" style="89" hidden="1" customWidth="1" outlineLevel="1"/>
    <col min="97" max="97" width="9.28515625" style="89" hidden="1" customWidth="1" collapsed="1"/>
    <col min="98" max="101" width="9.28515625" style="89" hidden="1" customWidth="1" outlineLevel="1"/>
    <col min="102" max="102" width="9.28515625" style="89" hidden="1" customWidth="1" collapsed="1"/>
    <col min="103" max="106" width="9.28515625" style="89" hidden="1" customWidth="1" outlineLevel="1"/>
    <col min="107" max="107" width="9.28515625" style="89" hidden="1" customWidth="1" collapsed="1"/>
    <col min="108" max="111" width="9.28515625" style="89" hidden="1" customWidth="1" outlineLevel="1"/>
    <col min="112" max="112" width="3.28515625" style="89" hidden="1" customWidth="1" collapsed="1"/>
    <col min="113" max="116" width="9.28515625" style="89" hidden="1" customWidth="1" outlineLevel="1"/>
    <col min="117" max="117" width="9.28515625" style="89" hidden="1" customWidth="1" collapsed="1"/>
    <col min="118" max="121" width="9.28515625" style="89" hidden="1" customWidth="1" outlineLevel="1"/>
    <col min="122" max="122" width="9.28515625" style="89" customWidth="1" collapsed="1"/>
    <col min="123" max="126" width="9.28515625" style="89" hidden="1" customWidth="1" outlineLevel="1"/>
    <col min="127" max="127" width="9.28515625" style="89" customWidth="1" collapsed="1"/>
    <col min="128" max="131" width="9.28515625" style="89" customWidth="1" outlineLevel="1"/>
    <col min="132" max="132" width="9.28515625" style="89" customWidth="1"/>
    <col min="133" max="136" width="9.28515625" style="89" customWidth="1" outlineLevel="1"/>
    <col min="137" max="137" width="9.28515625" style="89" customWidth="1"/>
    <col min="138" max="141" width="9.28515625" style="89" hidden="1" customWidth="1" outlineLevel="1"/>
    <col min="142" max="142" width="9.28515625" style="89" customWidth="1" collapsed="1"/>
    <col min="143" max="16384" width="9.140625" style="89"/>
  </cols>
  <sheetData>
    <row r="1" spans="1:142" ht="15.75">
      <c r="A1" s="1322" t="s">
        <v>331</v>
      </c>
      <c r="B1" s="627"/>
      <c r="C1" s="628"/>
      <c r="D1" s="628"/>
      <c r="E1" s="628"/>
      <c r="F1" s="628"/>
      <c r="G1" s="640"/>
      <c r="H1" s="628"/>
      <c r="I1" s="628"/>
      <c r="J1" s="628"/>
      <c r="K1" s="628"/>
      <c r="L1" s="640"/>
      <c r="M1" s="628"/>
      <c r="N1" s="628"/>
      <c r="O1" s="628"/>
      <c r="P1" s="628"/>
      <c r="Q1" s="640"/>
      <c r="R1" s="628"/>
      <c r="S1" s="628"/>
      <c r="T1" s="628"/>
      <c r="U1" s="628"/>
      <c r="V1" s="640"/>
      <c r="W1" s="628"/>
      <c r="X1" s="628"/>
      <c r="Y1" s="628"/>
      <c r="Z1" s="628"/>
      <c r="AA1" s="640"/>
      <c r="AB1" s="628"/>
      <c r="AC1" s="628"/>
      <c r="AD1" s="628"/>
      <c r="AE1" s="628"/>
      <c r="AF1" s="640"/>
      <c r="AG1" s="628"/>
      <c r="AH1" s="628"/>
      <c r="AI1" s="628"/>
      <c r="AJ1" s="628"/>
      <c r="AK1" s="640"/>
      <c r="AL1" s="628"/>
      <c r="AM1" s="628"/>
      <c r="AN1" s="628"/>
      <c r="AO1" s="628"/>
      <c r="AP1" s="628"/>
      <c r="AQ1" s="641"/>
      <c r="AR1" s="640"/>
      <c r="AS1" s="628"/>
      <c r="AT1" s="628"/>
      <c r="AU1" s="628"/>
      <c r="AV1" s="628"/>
      <c r="AW1" s="628"/>
      <c r="AX1" s="628"/>
      <c r="AY1" s="628"/>
      <c r="AZ1" s="628"/>
      <c r="BA1" s="628"/>
      <c r="BB1" s="628"/>
      <c r="BC1" s="628"/>
      <c r="BD1" s="628"/>
      <c r="BE1" s="628"/>
      <c r="BF1" s="628"/>
      <c r="BG1" s="628"/>
      <c r="BH1" s="628"/>
      <c r="BI1" s="628"/>
      <c r="BJ1" s="628"/>
      <c r="BK1" s="628"/>
      <c r="BL1" s="643"/>
      <c r="BM1" s="643"/>
      <c r="BN1" s="628"/>
      <c r="BO1" s="628"/>
      <c r="BP1" s="628"/>
      <c r="BQ1" s="643"/>
      <c r="BR1" s="643"/>
      <c r="BS1" s="628"/>
      <c r="BT1" s="628"/>
      <c r="BU1" s="628"/>
      <c r="BV1" s="643"/>
      <c r="BW1" s="643"/>
      <c r="BX1" s="628"/>
      <c r="BY1" s="628"/>
      <c r="BZ1" s="628"/>
      <c r="CA1" s="643"/>
      <c r="CB1" s="643"/>
      <c r="CC1" s="628"/>
      <c r="CD1" s="628"/>
      <c r="CE1" s="628"/>
      <c r="CF1" s="628"/>
      <c r="CG1" s="628"/>
      <c r="CH1" s="645"/>
      <c r="CI1" s="628"/>
      <c r="CJ1" s="628"/>
      <c r="CK1" s="628"/>
      <c r="CL1" s="628"/>
      <c r="CM1" s="645"/>
      <c r="CN1" s="628"/>
      <c r="CO1" s="628"/>
      <c r="CP1" s="628"/>
      <c r="CQ1" s="628"/>
      <c r="CR1" s="628"/>
      <c r="CS1" s="628"/>
      <c r="CT1" s="628"/>
      <c r="CU1" s="628"/>
      <c r="CV1" s="628"/>
      <c r="CW1" s="628"/>
      <c r="CX1" s="628"/>
      <c r="CY1" s="628"/>
      <c r="CZ1" s="628"/>
      <c r="DA1" s="628"/>
      <c r="DB1" s="628"/>
      <c r="DC1" s="628"/>
      <c r="DD1" s="628"/>
      <c r="DE1" s="628"/>
      <c r="DF1" s="628"/>
      <c r="DG1" s="628"/>
      <c r="DH1" s="628"/>
      <c r="DI1" s="628"/>
      <c r="DJ1" s="628"/>
      <c r="DK1" s="653"/>
      <c r="DL1" s="628"/>
      <c r="DM1" s="628"/>
      <c r="DN1" s="628"/>
      <c r="DO1" s="628"/>
      <c r="DP1" s="628"/>
      <c r="DQ1" s="628"/>
      <c r="DR1" s="628"/>
      <c r="DS1" s="628"/>
      <c r="DT1" s="628"/>
      <c r="DU1" s="628"/>
      <c r="DV1" s="628"/>
      <c r="DW1" s="628"/>
      <c r="DX1" s="628"/>
      <c r="DY1" s="628"/>
      <c r="DZ1" s="628"/>
      <c r="EA1" s="628"/>
      <c r="EB1" s="628"/>
      <c r="EC1" s="628"/>
      <c r="ED1" s="628"/>
      <c r="EE1" s="628"/>
      <c r="EF1" s="628"/>
      <c r="EG1" s="632"/>
      <c r="EH1" s="628"/>
      <c r="EI1" s="628"/>
      <c r="EJ1" s="628"/>
      <c r="EK1" s="628"/>
      <c r="EL1" s="632"/>
    </row>
    <row r="2" spans="1:142" ht="13.5" thickBot="1">
      <c r="A2" s="656" t="s">
        <v>256</v>
      </c>
      <c r="B2" s="634"/>
      <c r="C2" s="635"/>
      <c r="D2" s="635"/>
      <c r="E2" s="635"/>
      <c r="F2" s="635"/>
      <c r="G2" s="635"/>
      <c r="H2" s="635"/>
      <c r="I2" s="635"/>
      <c r="J2" s="635"/>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5"/>
      <c r="AK2" s="635"/>
      <c r="AL2" s="635"/>
      <c r="AM2" s="635"/>
      <c r="AN2" s="635"/>
      <c r="AO2" s="635"/>
      <c r="AP2" s="635"/>
      <c r="AQ2" s="635"/>
      <c r="AR2" s="635"/>
      <c r="AS2" s="635"/>
      <c r="AT2" s="635"/>
      <c r="AU2" s="635"/>
      <c r="AV2" s="646"/>
      <c r="AW2" s="646"/>
      <c r="AX2" s="646"/>
      <c r="AY2" s="646"/>
      <c r="AZ2" s="646"/>
      <c r="BA2" s="646"/>
      <c r="BB2" s="646"/>
      <c r="BC2" s="646"/>
      <c r="BD2" s="646"/>
      <c r="BE2" s="646"/>
      <c r="BF2" s="646"/>
      <c r="BG2" s="646"/>
      <c r="BH2" s="646"/>
      <c r="BI2" s="646"/>
      <c r="BJ2" s="646"/>
      <c r="BK2" s="646"/>
      <c r="BL2" s="647"/>
      <c r="BM2" s="624"/>
      <c r="BN2" s="624"/>
      <c r="BO2" s="648"/>
      <c r="BP2" s="646"/>
      <c r="BQ2" s="647"/>
      <c r="BR2" s="624"/>
      <c r="BS2" s="624"/>
      <c r="BT2" s="648"/>
      <c r="BU2" s="646"/>
      <c r="BV2" s="647"/>
      <c r="BW2" s="624"/>
      <c r="BX2" s="624"/>
      <c r="BY2" s="648"/>
      <c r="BZ2" s="646"/>
      <c r="CA2" s="647"/>
      <c r="CB2" s="624"/>
      <c r="CC2" s="624"/>
      <c r="CD2" s="648"/>
      <c r="CE2" s="646"/>
      <c r="CF2" s="646"/>
      <c r="CG2" s="646"/>
      <c r="CH2" s="646"/>
      <c r="CI2" s="624"/>
      <c r="CJ2" s="646"/>
      <c r="CK2" s="646"/>
      <c r="CL2" s="646"/>
      <c r="CM2" s="646"/>
      <c r="CN2" s="624"/>
      <c r="CO2" s="646"/>
      <c r="CP2" s="646"/>
      <c r="CQ2" s="646"/>
      <c r="CR2" s="646"/>
      <c r="CS2" s="646"/>
      <c r="CT2" s="646"/>
      <c r="CU2" s="646"/>
      <c r="CV2" s="646"/>
      <c r="CW2" s="646"/>
      <c r="CX2" s="646"/>
      <c r="CY2" s="646"/>
      <c r="CZ2" s="646"/>
      <c r="DA2" s="646"/>
      <c r="DB2" s="646"/>
      <c r="DC2" s="646"/>
      <c r="DD2" s="646"/>
      <c r="DE2" s="646"/>
      <c r="DF2" s="646"/>
      <c r="DG2" s="646"/>
      <c r="DH2" s="646"/>
      <c r="DI2" s="646"/>
      <c r="DJ2" s="646"/>
      <c r="DK2" s="654"/>
      <c r="DL2" s="646"/>
      <c r="DM2" s="646"/>
      <c r="DN2" s="646"/>
      <c r="DO2" s="646"/>
      <c r="DP2" s="646"/>
      <c r="DQ2" s="646"/>
      <c r="DR2" s="652"/>
      <c r="DS2" s="646"/>
      <c r="DT2" s="646"/>
      <c r="DU2" s="646"/>
      <c r="DV2" s="646"/>
      <c r="DW2" s="652"/>
      <c r="DX2" s="646"/>
      <c r="DY2" s="646"/>
      <c r="DZ2" s="646"/>
      <c r="EA2" s="646"/>
      <c r="EB2" s="646"/>
      <c r="EC2" s="646"/>
      <c r="ED2" s="646"/>
      <c r="EE2" s="646"/>
      <c r="EF2" s="646"/>
      <c r="EG2" s="649"/>
      <c r="EH2" s="646"/>
      <c r="EI2" s="646"/>
      <c r="EJ2" s="646"/>
      <c r="EK2" s="646"/>
      <c r="EL2" s="649"/>
    </row>
    <row r="3" spans="1:142">
      <c r="A3" s="575"/>
      <c r="B3" s="180" t="s">
        <v>385</v>
      </c>
      <c r="C3" s="181"/>
      <c r="D3" s="181">
        <v>34577</v>
      </c>
      <c r="E3" s="181">
        <v>34668</v>
      </c>
      <c r="F3" s="181">
        <v>34758</v>
      </c>
      <c r="G3" s="181">
        <v>34850</v>
      </c>
      <c r="H3" s="182"/>
      <c r="I3" s="181">
        <v>34942</v>
      </c>
      <c r="J3" s="181">
        <v>35033</v>
      </c>
      <c r="K3" s="181">
        <v>35123</v>
      </c>
      <c r="L3" s="181">
        <v>35216</v>
      </c>
      <c r="M3" s="182"/>
      <c r="N3" s="181">
        <v>35308</v>
      </c>
      <c r="O3" s="181">
        <v>35399</v>
      </c>
      <c r="P3" s="181">
        <v>35489</v>
      </c>
      <c r="Q3" s="181">
        <v>35581</v>
      </c>
      <c r="R3" s="182"/>
      <c r="S3" s="181">
        <v>35673</v>
      </c>
      <c r="T3" s="181">
        <v>35764</v>
      </c>
      <c r="U3" s="181">
        <v>35854</v>
      </c>
      <c r="V3" s="181">
        <v>35946</v>
      </c>
      <c r="W3" s="182"/>
      <c r="X3" s="181">
        <v>36038</v>
      </c>
      <c r="Y3" s="181">
        <v>36129</v>
      </c>
      <c r="Z3" s="181">
        <v>36219</v>
      </c>
      <c r="AA3" s="181">
        <v>36311</v>
      </c>
      <c r="AB3" s="182"/>
      <c r="AC3" s="181">
        <v>36403</v>
      </c>
      <c r="AD3" s="181">
        <v>36494</v>
      </c>
      <c r="AE3" s="181">
        <v>36584</v>
      </c>
      <c r="AF3" s="181">
        <v>36677</v>
      </c>
      <c r="AG3" s="182"/>
      <c r="AH3" s="181">
        <v>36769</v>
      </c>
      <c r="AI3" s="181">
        <v>36860</v>
      </c>
      <c r="AJ3" s="181">
        <v>36950</v>
      </c>
      <c r="AK3" s="181">
        <v>37042</v>
      </c>
      <c r="AL3" s="182"/>
      <c r="AM3" s="181">
        <v>37134</v>
      </c>
      <c r="AN3" s="181">
        <v>37225</v>
      </c>
      <c r="AO3" s="181">
        <v>37315</v>
      </c>
      <c r="AP3" s="181">
        <v>37407</v>
      </c>
      <c r="AQ3" s="182"/>
      <c r="AR3" s="181">
        <v>37499</v>
      </c>
      <c r="AS3" s="181">
        <v>37590</v>
      </c>
      <c r="AT3" s="181">
        <v>37680</v>
      </c>
      <c r="AU3" s="597"/>
      <c r="AV3" s="596" t="str">
        <f>+AZ4</f>
        <v>2002A</v>
      </c>
      <c r="AW3" s="596"/>
      <c r="AX3" s="596"/>
      <c r="AY3" s="596"/>
      <c r="AZ3" s="598"/>
      <c r="BA3" s="596" t="str">
        <f>+BE4</f>
        <v>2003A</v>
      </c>
      <c r="BB3" s="596"/>
      <c r="BC3" s="596"/>
      <c r="BD3" s="596"/>
      <c r="BE3" s="598"/>
      <c r="BF3" s="596" t="str">
        <f>+BJ4</f>
        <v>2004A</v>
      </c>
      <c r="BG3" s="596"/>
      <c r="BH3" s="596"/>
      <c r="BI3" s="596"/>
      <c r="BJ3" s="598"/>
      <c r="BK3" s="596" t="str">
        <f>+BO4</f>
        <v>2005A</v>
      </c>
      <c r="BL3" s="596"/>
      <c r="BM3" s="596"/>
      <c r="BN3" s="596"/>
      <c r="BO3" s="598"/>
      <c r="BP3" s="596" t="str">
        <f>+BT4</f>
        <v>2006A</v>
      </c>
      <c r="BQ3" s="596"/>
      <c r="BR3" s="596"/>
      <c r="BS3" s="596"/>
      <c r="BT3" s="598"/>
      <c r="BU3" s="596" t="str">
        <f>+BY4</f>
        <v>2007A</v>
      </c>
      <c r="BV3" s="596"/>
      <c r="BW3" s="596"/>
      <c r="BX3" s="596"/>
      <c r="BY3" s="598"/>
      <c r="BZ3" s="596" t="str">
        <f>+CD4</f>
        <v>2008A</v>
      </c>
      <c r="CA3" s="596"/>
      <c r="CB3" s="596"/>
      <c r="CC3" s="596"/>
      <c r="CD3" s="598"/>
      <c r="CE3" s="596" t="str">
        <f>+CI4</f>
        <v>2009A</v>
      </c>
      <c r="CF3" s="596"/>
      <c r="CG3" s="596"/>
      <c r="CH3" s="596"/>
      <c r="CI3" s="598"/>
      <c r="CJ3" s="596" t="str">
        <f>+CN4</f>
        <v>2010A</v>
      </c>
      <c r="CK3" s="596"/>
      <c r="CL3" s="596"/>
      <c r="CM3" s="596"/>
      <c r="CN3" s="598"/>
      <c r="CO3" s="596" t="str">
        <f>+CS4</f>
        <v>2011A</v>
      </c>
      <c r="CP3" s="596"/>
      <c r="CQ3" s="596"/>
      <c r="CR3" s="596"/>
      <c r="CS3" s="598"/>
      <c r="CT3" s="596" t="str">
        <f>+CX4</f>
        <v>2012A</v>
      </c>
      <c r="CU3" s="596"/>
      <c r="CV3" s="596"/>
      <c r="CW3" s="596"/>
      <c r="CX3" s="598"/>
      <c r="CY3" s="596" t="str">
        <f>+DC4</f>
        <v>2013A</v>
      </c>
      <c r="CZ3" s="596"/>
      <c r="DA3" s="596"/>
      <c r="DB3" s="596"/>
      <c r="DC3" s="598"/>
      <c r="DD3" s="596" t="str">
        <f>+DH4</f>
        <v>2014A</v>
      </c>
      <c r="DE3" s="596"/>
      <c r="DF3" s="596"/>
      <c r="DG3" s="596"/>
      <c r="DH3" s="598"/>
      <c r="DI3" s="596" t="str">
        <f>+DM4</f>
        <v>2015A</v>
      </c>
      <c r="DJ3" s="596"/>
      <c r="DK3" s="596"/>
      <c r="DL3" s="596"/>
      <c r="DM3" s="598"/>
      <c r="DN3" s="596"/>
      <c r="DO3" s="596"/>
      <c r="DP3" s="596"/>
      <c r="DQ3" s="596"/>
      <c r="DR3" s="598"/>
      <c r="DS3" s="596"/>
      <c r="DT3" s="596"/>
      <c r="DU3" s="596"/>
      <c r="DV3" s="596"/>
      <c r="DW3" s="598"/>
      <c r="DX3" s="596"/>
      <c r="DY3" s="596"/>
      <c r="DZ3" s="596"/>
      <c r="EA3" s="596"/>
      <c r="EB3" s="598"/>
      <c r="EC3" s="596"/>
      <c r="ED3" s="596"/>
      <c r="EE3" s="596"/>
      <c r="EF3" s="596"/>
      <c r="EG3" s="598"/>
      <c r="EH3" s="596"/>
      <c r="EI3" s="596"/>
      <c r="EJ3" s="596"/>
      <c r="EK3" s="596"/>
      <c r="EL3" s="598"/>
    </row>
    <row r="4" spans="1:142" ht="13.5" thickBot="1">
      <c r="A4" s="1323"/>
      <c r="B4" s="183" t="s">
        <v>386</v>
      </c>
      <c r="C4" s="184"/>
      <c r="D4" s="184" t="s">
        <v>388</v>
      </c>
      <c r="E4" s="184" t="s">
        <v>389</v>
      </c>
      <c r="F4" s="184" t="s">
        <v>390</v>
      </c>
      <c r="G4" s="184" t="s">
        <v>391</v>
      </c>
      <c r="H4" s="185" t="s">
        <v>392</v>
      </c>
      <c r="I4" s="184" t="s">
        <v>393</v>
      </c>
      <c r="J4" s="184" t="s">
        <v>394</v>
      </c>
      <c r="K4" s="184" t="s">
        <v>395</v>
      </c>
      <c r="L4" s="184" t="s">
        <v>396</v>
      </c>
      <c r="M4" s="185" t="s">
        <v>397</v>
      </c>
      <c r="N4" s="184" t="s">
        <v>398</v>
      </c>
      <c r="O4" s="184" t="s">
        <v>399</v>
      </c>
      <c r="P4" s="184" t="s">
        <v>400</v>
      </c>
      <c r="Q4" s="184" t="s">
        <v>401</v>
      </c>
      <c r="R4" s="185" t="s">
        <v>402</v>
      </c>
      <c r="S4" s="184" t="s">
        <v>403</v>
      </c>
      <c r="T4" s="184" t="s">
        <v>404</v>
      </c>
      <c r="U4" s="184" t="s">
        <v>405</v>
      </c>
      <c r="V4" s="184" t="s">
        <v>406</v>
      </c>
      <c r="W4" s="185" t="s">
        <v>407</v>
      </c>
      <c r="X4" s="184" t="s">
        <v>408</v>
      </c>
      <c r="Y4" s="184" t="s">
        <v>409</v>
      </c>
      <c r="Z4" s="184" t="s">
        <v>410</v>
      </c>
      <c r="AA4" s="184" t="s">
        <v>411</v>
      </c>
      <c r="AB4" s="185" t="s">
        <v>412</v>
      </c>
      <c r="AC4" s="184" t="s">
        <v>413</v>
      </c>
      <c r="AD4" s="184" t="s">
        <v>414</v>
      </c>
      <c r="AE4" s="184" t="s">
        <v>415</v>
      </c>
      <c r="AF4" s="184" t="s">
        <v>416</v>
      </c>
      <c r="AG4" s="185" t="s">
        <v>417</v>
      </c>
      <c r="AH4" s="184" t="s">
        <v>418</v>
      </c>
      <c r="AI4" s="184" t="s">
        <v>419</v>
      </c>
      <c r="AJ4" s="184" t="s">
        <v>420</v>
      </c>
      <c r="AK4" s="184" t="s">
        <v>421</v>
      </c>
      <c r="AL4" s="185" t="s">
        <v>422</v>
      </c>
      <c r="AM4" s="184" t="s">
        <v>423</v>
      </c>
      <c r="AN4" s="184" t="s">
        <v>424</v>
      </c>
      <c r="AO4" s="184" t="s">
        <v>425</v>
      </c>
      <c r="AP4" s="184" t="s">
        <v>426</v>
      </c>
      <c r="AQ4" s="185" t="s">
        <v>427</v>
      </c>
      <c r="AR4" s="184" t="s">
        <v>428</v>
      </c>
      <c r="AS4" s="184" t="s">
        <v>429</v>
      </c>
      <c r="AT4" s="184" t="s">
        <v>430</v>
      </c>
      <c r="AU4" s="597"/>
      <c r="AV4" s="584" t="s">
        <v>431</v>
      </c>
      <c r="AW4" s="584" t="s">
        <v>432</v>
      </c>
      <c r="AX4" s="584" t="s">
        <v>433</v>
      </c>
      <c r="AY4" s="584" t="s">
        <v>434</v>
      </c>
      <c r="AZ4" s="584" t="s">
        <v>435</v>
      </c>
      <c r="BA4" s="584" t="s">
        <v>436</v>
      </c>
      <c r="BB4" s="584" t="s">
        <v>437</v>
      </c>
      <c r="BC4" s="584" t="s">
        <v>438</v>
      </c>
      <c r="BD4" s="584" t="s">
        <v>439</v>
      </c>
      <c r="BE4" s="584" t="s">
        <v>440</v>
      </c>
      <c r="BF4" s="584" t="s">
        <v>441</v>
      </c>
      <c r="BG4" s="584" t="s">
        <v>442</v>
      </c>
      <c r="BH4" s="584" t="s">
        <v>443</v>
      </c>
      <c r="BI4" s="584" t="s">
        <v>444</v>
      </c>
      <c r="BJ4" s="584" t="s">
        <v>445</v>
      </c>
      <c r="BK4" s="584" t="s">
        <v>446</v>
      </c>
      <c r="BL4" s="584" t="s">
        <v>447</v>
      </c>
      <c r="BM4" s="584" t="s">
        <v>448</v>
      </c>
      <c r="BN4" s="584" t="s">
        <v>449</v>
      </c>
      <c r="BO4" s="584" t="s">
        <v>450</v>
      </c>
      <c r="BP4" s="584" t="s">
        <v>451</v>
      </c>
      <c r="BQ4" s="584" t="s">
        <v>452</v>
      </c>
      <c r="BR4" s="584" t="s">
        <v>453</v>
      </c>
      <c r="BS4" s="584" t="s">
        <v>454</v>
      </c>
      <c r="BT4" s="584" t="s">
        <v>455</v>
      </c>
      <c r="BU4" s="584" t="s">
        <v>456</v>
      </c>
      <c r="BV4" s="584" t="s">
        <v>457</v>
      </c>
      <c r="BW4" s="584" t="s">
        <v>458</v>
      </c>
      <c r="BX4" s="584" t="s">
        <v>459</v>
      </c>
      <c r="BY4" s="584" t="s">
        <v>460</v>
      </c>
      <c r="BZ4" s="584" t="s">
        <v>461</v>
      </c>
      <c r="CA4" s="584" t="s">
        <v>462</v>
      </c>
      <c r="CB4" s="584" t="s">
        <v>463</v>
      </c>
      <c r="CC4" s="584" t="s">
        <v>464</v>
      </c>
      <c r="CD4" s="584" t="s">
        <v>465</v>
      </c>
      <c r="CE4" s="584" t="s">
        <v>466</v>
      </c>
      <c r="CF4" s="584" t="s">
        <v>467</v>
      </c>
      <c r="CG4" s="584" t="s">
        <v>468</v>
      </c>
      <c r="CH4" s="584" t="s">
        <v>469</v>
      </c>
      <c r="CI4" s="584" t="s">
        <v>470</v>
      </c>
      <c r="CJ4" s="584" t="s">
        <v>471</v>
      </c>
      <c r="CK4" s="584" t="s">
        <v>472</v>
      </c>
      <c r="CL4" s="584" t="s">
        <v>473</v>
      </c>
      <c r="CM4" s="584" t="s">
        <v>474</v>
      </c>
      <c r="CN4" s="584" t="s">
        <v>475</v>
      </c>
      <c r="CO4" s="584" t="s">
        <v>476</v>
      </c>
      <c r="CP4" s="584" t="s">
        <v>477</v>
      </c>
      <c r="CQ4" s="584" t="s">
        <v>478</v>
      </c>
      <c r="CR4" s="584" t="s">
        <v>479</v>
      </c>
      <c r="CS4" s="584" t="s">
        <v>480</v>
      </c>
      <c r="CT4" s="594" t="str">
        <f>IS!CT5</f>
        <v>1Q12A</v>
      </c>
      <c r="CU4" s="594" t="str">
        <f>IS!CU5</f>
        <v>2Q12A</v>
      </c>
      <c r="CV4" s="594" t="str">
        <f>IS!CV5</f>
        <v>3Q12A</v>
      </c>
      <c r="CW4" s="594" t="str">
        <f>IS!CW5</f>
        <v>4Q12A</v>
      </c>
      <c r="CX4" s="594" t="str">
        <f>IS!CX5</f>
        <v>2012A</v>
      </c>
      <c r="CY4" s="594" t="str">
        <f>IS!CY5</f>
        <v>1Q13A</v>
      </c>
      <c r="CZ4" s="594" t="str">
        <f>IS!CZ5</f>
        <v>2Q13A</v>
      </c>
      <c r="DA4" s="594" t="str">
        <f>IS!DA5</f>
        <v>3Q13A</v>
      </c>
      <c r="DB4" s="594" t="str">
        <f>IS!DB5</f>
        <v>4Q13A</v>
      </c>
      <c r="DC4" s="594" t="str">
        <f>IS!DC5</f>
        <v>2013A</v>
      </c>
      <c r="DD4" s="594" t="str">
        <f>IS!DD5</f>
        <v>1Q14A</v>
      </c>
      <c r="DE4" s="594" t="str">
        <f>IS!DE5</f>
        <v>2Q14A</v>
      </c>
      <c r="DF4" s="594" t="str">
        <f>IS!DF5</f>
        <v>3Q14A</v>
      </c>
      <c r="DG4" s="594" t="str">
        <f>IS!DG5</f>
        <v>4Q14A</v>
      </c>
      <c r="DH4" s="594" t="str">
        <f>IS!DH5</f>
        <v>2014A</v>
      </c>
      <c r="DI4" s="594" t="str">
        <f>IS!DI5</f>
        <v>1Q15A</v>
      </c>
      <c r="DJ4" s="594" t="str">
        <f>IS!DJ5</f>
        <v>2Q15A</v>
      </c>
      <c r="DK4" s="599" t="s">
        <v>643</v>
      </c>
      <c r="DL4" s="594" t="str">
        <f>IS!DL5</f>
        <v>4Q15A</v>
      </c>
      <c r="DM4" s="594" t="str">
        <f>IS!DM5</f>
        <v>2015A</v>
      </c>
      <c r="DN4" s="594" t="str">
        <f>IS!DN5</f>
        <v>1Q16A</v>
      </c>
      <c r="DO4" s="594" t="str">
        <f>IS!DO5</f>
        <v>2Q16A</v>
      </c>
      <c r="DP4" s="594" t="str">
        <f>IS!DP5</f>
        <v>3Q16A</v>
      </c>
      <c r="DQ4" s="594" t="str">
        <f>IS!DQ5</f>
        <v>4Q16A</v>
      </c>
      <c r="DR4" s="594" t="str">
        <f>IS!DR5</f>
        <v>2016A</v>
      </c>
      <c r="DS4" s="594" t="str">
        <f>IS!DS5</f>
        <v>1Q17A</v>
      </c>
      <c r="DT4" s="594" t="str">
        <f>IS!DT5</f>
        <v>2Q17A</v>
      </c>
      <c r="DU4" s="594" t="str">
        <f>IS!DU5</f>
        <v>3Q17A</v>
      </c>
      <c r="DV4" s="594" t="str">
        <f>IS!DV5</f>
        <v>4Q17A</v>
      </c>
      <c r="DW4" s="594" t="str">
        <f>IS!DW5</f>
        <v>2017A</v>
      </c>
      <c r="DX4" s="594" t="str">
        <f>IS!DX5</f>
        <v>1Q18E</v>
      </c>
      <c r="DY4" s="594" t="str">
        <f>IS!DY5</f>
        <v>2Q18E</v>
      </c>
      <c r="DZ4" s="594" t="str">
        <f>IS!DZ5</f>
        <v>3Q18E</v>
      </c>
      <c r="EA4" s="594" t="str">
        <f>IS!EA5</f>
        <v>4Q18E</v>
      </c>
      <c r="EB4" s="594" t="str">
        <f>IS!EB5</f>
        <v>2018E</v>
      </c>
      <c r="EC4" s="594" t="str">
        <f>IS!EC5</f>
        <v>1Q19E</v>
      </c>
      <c r="ED4" s="594" t="str">
        <f>IS!ED5</f>
        <v>2Q19E</v>
      </c>
      <c r="EE4" s="594" t="str">
        <f>IS!EE5</f>
        <v>3Q19E</v>
      </c>
      <c r="EF4" s="594" t="str">
        <f>IS!EF5</f>
        <v>4Q19E</v>
      </c>
      <c r="EG4" s="594" t="str">
        <f>IS!EG5</f>
        <v>2019E</v>
      </c>
      <c r="EH4" s="594" t="str">
        <f>IS!EH5</f>
        <v>1Q20E</v>
      </c>
      <c r="EI4" s="594" t="str">
        <f>IS!EI5</f>
        <v>2Q20E</v>
      </c>
      <c r="EJ4" s="594" t="str">
        <f>IS!EJ5</f>
        <v>3Q20E</v>
      </c>
      <c r="EK4" s="594" t="str">
        <f>IS!EK5</f>
        <v>4Q20E</v>
      </c>
      <c r="EL4" s="594" t="str">
        <f>IS!EL5</f>
        <v>2020E</v>
      </c>
    </row>
    <row r="5" spans="1:142" s="680" customFormat="1" hidden="1" outlineLevel="1">
      <c r="A5" s="555"/>
      <c r="B5" s="555"/>
      <c r="C5" s="1320"/>
      <c r="D5" s="1320"/>
      <c r="E5" s="1320"/>
      <c r="F5" s="1320"/>
      <c r="G5" s="1320"/>
      <c r="H5" s="802"/>
      <c r="I5" s="1320"/>
      <c r="J5" s="1320"/>
      <c r="K5" s="1320"/>
      <c r="L5" s="1320"/>
      <c r="M5" s="802"/>
      <c r="N5" s="1320"/>
      <c r="O5" s="1320"/>
      <c r="P5" s="1320"/>
      <c r="Q5" s="1320"/>
      <c r="R5" s="802"/>
      <c r="S5" s="1320"/>
      <c r="T5" s="1320"/>
      <c r="U5" s="1320"/>
      <c r="V5" s="1320"/>
      <c r="W5" s="802"/>
      <c r="X5" s="1320"/>
      <c r="Y5" s="1320"/>
      <c r="Z5" s="1320"/>
      <c r="AA5" s="1320"/>
      <c r="AB5" s="802"/>
      <c r="AC5" s="1320"/>
      <c r="AD5" s="1320"/>
      <c r="AE5" s="1320"/>
      <c r="AF5" s="1320"/>
      <c r="AG5" s="802"/>
      <c r="AH5" s="1320"/>
      <c r="AI5" s="1320"/>
      <c r="AJ5" s="1320"/>
      <c r="AK5" s="1320"/>
      <c r="AL5" s="802"/>
      <c r="AM5" s="1320"/>
      <c r="AN5" s="1320"/>
      <c r="AO5" s="1320"/>
      <c r="AP5" s="1320"/>
      <c r="AQ5" s="802"/>
      <c r="AR5" s="1320"/>
      <c r="AS5" s="1320"/>
      <c r="AT5" s="1320"/>
      <c r="AU5" s="802"/>
      <c r="AV5" s="555"/>
      <c r="AW5" s="555"/>
      <c r="AX5" s="555"/>
      <c r="AY5" s="555"/>
      <c r="AZ5" s="802"/>
      <c r="BA5" s="1320"/>
      <c r="BB5" s="1320"/>
      <c r="BC5" s="1320"/>
      <c r="BD5" s="1320"/>
      <c r="BE5" s="1238"/>
      <c r="BF5" s="1320"/>
      <c r="BG5" s="1320"/>
      <c r="BH5" s="1320"/>
      <c r="BI5" s="1320"/>
      <c r="BJ5" s="1238"/>
      <c r="BK5" s="1320"/>
      <c r="BL5" s="1320"/>
      <c r="BM5" s="1320"/>
      <c r="BN5" s="1320"/>
      <c r="BO5" s="1238"/>
      <c r="BP5" s="1320"/>
      <c r="BQ5" s="1320"/>
      <c r="BR5" s="1320"/>
      <c r="BS5" s="1320"/>
      <c r="BT5" s="1238"/>
      <c r="BU5" s="1320"/>
      <c r="BV5" s="1320"/>
      <c r="BW5" s="1320"/>
      <c r="BX5" s="1320"/>
      <c r="BY5" s="1238"/>
      <c r="BZ5" s="733" t="s">
        <v>257</v>
      </c>
      <c r="CA5" s="733" t="s">
        <v>258</v>
      </c>
      <c r="CB5" s="733" t="s">
        <v>259</v>
      </c>
      <c r="CC5" s="733" t="s">
        <v>260</v>
      </c>
      <c r="CD5" s="1238" t="s">
        <v>261</v>
      </c>
      <c r="CE5" s="733" t="s">
        <v>262</v>
      </c>
      <c r="CF5" s="733" t="s">
        <v>263</v>
      </c>
      <c r="CG5" s="733" t="s">
        <v>264</v>
      </c>
      <c r="CH5" s="733" t="s">
        <v>265</v>
      </c>
      <c r="CI5" s="1238" t="s">
        <v>266</v>
      </c>
      <c r="CJ5" s="733" t="s">
        <v>267</v>
      </c>
      <c r="CK5" s="733" t="s">
        <v>268</v>
      </c>
      <c r="CL5" s="733" t="s">
        <v>269</v>
      </c>
      <c r="CM5" s="733" t="s">
        <v>270</v>
      </c>
      <c r="CN5" s="1238" t="s">
        <v>271</v>
      </c>
      <c r="CO5" s="733" t="s">
        <v>272</v>
      </c>
      <c r="CP5" s="733" t="s">
        <v>273</v>
      </c>
      <c r="CQ5" s="733" t="s">
        <v>274</v>
      </c>
      <c r="CR5" s="733" t="s">
        <v>275</v>
      </c>
      <c r="CS5" s="1238" t="s">
        <v>276</v>
      </c>
      <c r="CT5" s="733" t="s">
        <v>277</v>
      </c>
      <c r="CU5" s="733" t="s">
        <v>278</v>
      </c>
      <c r="CV5" s="733" t="s">
        <v>279</v>
      </c>
      <c r="CW5" s="733" t="s">
        <v>280</v>
      </c>
      <c r="CX5" s="1238" t="s">
        <v>281</v>
      </c>
      <c r="CY5" s="733" t="s">
        <v>282</v>
      </c>
      <c r="CZ5" s="733" t="s">
        <v>283</v>
      </c>
      <c r="DA5" s="733" t="s">
        <v>284</v>
      </c>
      <c r="DB5" s="733" t="s">
        <v>285</v>
      </c>
      <c r="DC5" s="1238" t="s">
        <v>286</v>
      </c>
      <c r="DD5" s="733" t="s">
        <v>282</v>
      </c>
      <c r="DE5" s="733" t="s">
        <v>283</v>
      </c>
      <c r="DF5" s="733" t="s">
        <v>284</v>
      </c>
      <c r="DG5" s="733" t="s">
        <v>285</v>
      </c>
      <c r="DH5" s="1238" t="s">
        <v>286</v>
      </c>
      <c r="DI5" s="733" t="s">
        <v>282</v>
      </c>
      <c r="DJ5" s="733" t="s">
        <v>283</v>
      </c>
      <c r="DK5" s="1321" t="s">
        <v>284</v>
      </c>
      <c r="DL5" s="733" t="s">
        <v>285</v>
      </c>
      <c r="DM5" s="1238" t="s">
        <v>286</v>
      </c>
      <c r="DN5" s="733" t="s">
        <v>282</v>
      </c>
      <c r="DO5" s="733" t="s">
        <v>283</v>
      </c>
      <c r="DP5" s="733" t="s">
        <v>284</v>
      </c>
      <c r="DQ5" s="733" t="s">
        <v>285</v>
      </c>
      <c r="DR5" s="1238" t="s">
        <v>286</v>
      </c>
      <c r="DS5" s="733" t="s">
        <v>282</v>
      </c>
      <c r="DT5" s="733" t="s">
        <v>283</v>
      </c>
      <c r="DU5" s="733" t="s">
        <v>284</v>
      </c>
      <c r="DV5" s="733" t="s">
        <v>285</v>
      </c>
      <c r="DW5" s="1238" t="s">
        <v>286</v>
      </c>
      <c r="DX5" s="733" t="s">
        <v>282</v>
      </c>
      <c r="DY5" s="733" t="s">
        <v>283</v>
      </c>
      <c r="DZ5" s="733" t="s">
        <v>284</v>
      </c>
      <c r="EA5" s="733" t="s">
        <v>285</v>
      </c>
      <c r="EB5" s="1238" t="s">
        <v>286</v>
      </c>
      <c r="EC5" s="733" t="s">
        <v>282</v>
      </c>
      <c r="ED5" s="733" t="s">
        <v>283</v>
      </c>
      <c r="EE5" s="733" t="s">
        <v>284</v>
      </c>
      <c r="EF5" s="733" t="s">
        <v>285</v>
      </c>
      <c r="EG5" s="1238" t="s">
        <v>286</v>
      </c>
      <c r="EH5" s="733" t="s">
        <v>282</v>
      </c>
      <c r="EI5" s="733" t="s">
        <v>283</v>
      </c>
      <c r="EJ5" s="733" t="s">
        <v>284</v>
      </c>
      <c r="EK5" s="733" t="s">
        <v>285</v>
      </c>
      <c r="EL5" s="1238" t="s">
        <v>286</v>
      </c>
    </row>
    <row r="6" spans="1:142" hidden="1" outlineLevel="1">
      <c r="A6" s="9"/>
      <c r="B6" s="4"/>
      <c r="C6" s="187"/>
      <c r="D6" s="187"/>
      <c r="E6" s="187"/>
      <c r="F6" s="187"/>
      <c r="G6" s="187"/>
      <c r="H6" s="188"/>
      <c r="I6" s="187"/>
      <c r="J6" s="187"/>
      <c r="K6" s="187"/>
      <c r="L6" s="187"/>
      <c r="M6" s="188"/>
      <c r="N6" s="187"/>
      <c r="O6" s="187"/>
      <c r="P6" s="187"/>
      <c r="Q6" s="187"/>
      <c r="R6" s="188"/>
      <c r="S6" s="187"/>
      <c r="T6" s="187"/>
      <c r="U6" s="187"/>
      <c r="V6" s="187"/>
      <c r="W6" s="188"/>
      <c r="X6" s="187"/>
      <c r="Y6" s="187"/>
      <c r="Z6" s="187"/>
      <c r="AA6" s="187"/>
      <c r="AB6" s="188"/>
      <c r="AC6" s="189"/>
      <c r="AD6" s="189"/>
      <c r="AE6" s="189"/>
      <c r="AF6" s="189"/>
      <c r="AG6" s="188"/>
      <c r="AH6" s="189"/>
      <c r="AI6" s="189"/>
      <c r="AJ6" s="189"/>
      <c r="AK6" s="189"/>
      <c r="AL6" s="188"/>
      <c r="AM6" s="189"/>
      <c r="AN6" s="189"/>
      <c r="AO6" s="189"/>
      <c r="AP6" s="189"/>
      <c r="AQ6" s="188"/>
      <c r="AR6" s="189"/>
      <c r="AS6" s="189"/>
      <c r="AT6" s="189"/>
      <c r="AU6" s="186"/>
      <c r="AV6" s="189"/>
      <c r="AW6" s="189"/>
      <c r="AX6" s="189"/>
      <c r="AY6" s="189"/>
      <c r="AZ6" s="190"/>
      <c r="BA6" s="189"/>
      <c r="BB6" s="189"/>
      <c r="BC6" s="189"/>
      <c r="BD6" s="189"/>
      <c r="BE6" s="190"/>
      <c r="BF6" s="189"/>
      <c r="BG6" s="189"/>
      <c r="BH6" s="189"/>
      <c r="BI6" s="189"/>
      <c r="BJ6" s="190"/>
      <c r="BK6" s="189"/>
      <c r="BL6" s="189"/>
      <c r="BM6" s="189"/>
      <c r="BN6" s="189"/>
      <c r="BO6" s="190"/>
      <c r="BP6" s="189"/>
      <c r="BQ6" s="189"/>
      <c r="BR6" s="189"/>
      <c r="BS6" s="189"/>
      <c r="BT6" s="190"/>
      <c r="BU6" s="189"/>
      <c r="BV6" s="189"/>
      <c r="BW6" s="189"/>
      <c r="BX6" s="189"/>
      <c r="BY6" s="190"/>
      <c r="BZ6" s="189"/>
      <c r="CA6" s="189"/>
      <c r="CB6" s="189"/>
      <c r="CC6" s="189"/>
      <c r="CD6" s="190"/>
      <c r="CE6" s="189"/>
      <c r="CF6" s="189"/>
      <c r="CG6" s="189"/>
      <c r="CH6" s="189"/>
      <c r="CI6" s="190"/>
      <c r="CJ6" s="189"/>
      <c r="CK6" s="189"/>
      <c r="CL6" s="189"/>
      <c r="CM6" s="189"/>
      <c r="CN6" s="190"/>
      <c r="CO6" s="189"/>
      <c r="CP6" s="189"/>
      <c r="CQ6" s="189"/>
      <c r="CR6" s="189"/>
      <c r="CS6" s="190"/>
      <c r="CT6" s="189"/>
      <c r="CU6" s="189"/>
      <c r="CV6" s="189"/>
      <c r="CW6" s="189"/>
      <c r="CX6" s="190"/>
      <c r="CY6" s="189"/>
      <c r="CZ6" s="189"/>
      <c r="DA6" s="189"/>
      <c r="DB6" s="189"/>
      <c r="DC6" s="190"/>
      <c r="DD6" s="189"/>
      <c r="DE6" s="189"/>
      <c r="DF6" s="189"/>
      <c r="DG6" s="189"/>
      <c r="DH6" s="190"/>
      <c r="DI6" s="189"/>
      <c r="DJ6" s="189"/>
      <c r="DK6" s="191"/>
      <c r="DL6" s="189"/>
      <c r="DM6" s="190"/>
      <c r="DN6" s="189"/>
      <c r="DO6" s="189"/>
      <c r="DP6" s="189"/>
      <c r="DQ6" s="189"/>
      <c r="DR6" s="190"/>
      <c r="DS6" s="189"/>
      <c r="DT6" s="189"/>
      <c r="DU6" s="189"/>
      <c r="DV6" s="189"/>
      <c r="DW6" s="190"/>
      <c r="DX6" s="189"/>
      <c r="DY6" s="189"/>
      <c r="DZ6" s="189"/>
      <c r="EA6" s="189"/>
      <c r="EB6" s="190"/>
      <c r="EC6" s="189"/>
      <c r="ED6" s="189"/>
      <c r="EE6" s="189"/>
      <c r="EF6" s="189"/>
      <c r="EG6" s="190"/>
      <c r="EH6" s="189"/>
      <c r="EI6" s="189"/>
      <c r="EJ6" s="189"/>
      <c r="EK6" s="189"/>
      <c r="EL6" s="190"/>
    </row>
    <row r="7" spans="1:142" ht="3.75" customHeight="1" collapsed="1">
      <c r="A7" s="9"/>
      <c r="B7" s="9"/>
      <c r="C7" s="9"/>
      <c r="D7" s="9"/>
      <c r="E7" s="9"/>
      <c r="F7" s="9"/>
      <c r="G7" s="9"/>
      <c r="H7" s="63"/>
      <c r="I7" s="9"/>
      <c r="J7" s="9"/>
      <c r="K7" s="9"/>
      <c r="L7" s="9"/>
      <c r="M7" s="63"/>
      <c r="N7" s="9"/>
      <c r="O7" s="9"/>
      <c r="P7" s="9"/>
      <c r="Q7" s="9"/>
      <c r="R7" s="63"/>
      <c r="S7" s="9"/>
      <c r="T7" s="9"/>
      <c r="U7" s="9"/>
      <c r="V7" s="9"/>
      <c r="W7" s="63"/>
      <c r="X7" s="9"/>
      <c r="Y7" s="9"/>
      <c r="Z7" s="9"/>
      <c r="AA7" s="9"/>
      <c r="AB7" s="63"/>
      <c r="AC7" s="9"/>
      <c r="AD7" s="9"/>
      <c r="AE7" s="9"/>
      <c r="AF7" s="9"/>
      <c r="AG7" s="63"/>
      <c r="AH7" s="9"/>
      <c r="AI7" s="9"/>
      <c r="AJ7" s="9"/>
      <c r="AK7" s="9"/>
      <c r="AL7" s="63"/>
      <c r="AM7" s="9"/>
      <c r="AN7" s="9"/>
      <c r="AO7" s="9"/>
      <c r="AP7" s="9"/>
      <c r="AQ7" s="63"/>
      <c r="AR7" s="9"/>
      <c r="AS7" s="9"/>
      <c r="AT7" s="9"/>
      <c r="AU7" s="186"/>
      <c r="AV7" s="9"/>
      <c r="AW7" s="9"/>
      <c r="AX7" s="9"/>
      <c r="AY7" s="9"/>
      <c r="AZ7" s="63"/>
      <c r="BA7" s="9"/>
      <c r="BB7" s="9"/>
      <c r="BC7" s="9"/>
      <c r="BD7" s="9"/>
      <c r="BE7" s="63"/>
      <c r="BF7" s="9"/>
      <c r="BG7" s="9"/>
      <c r="BH7" s="9"/>
      <c r="BI7" s="9"/>
      <c r="BJ7" s="63"/>
      <c r="BK7" s="9"/>
      <c r="BL7" s="9"/>
      <c r="BM7" s="9"/>
      <c r="BN7" s="9"/>
      <c r="BO7" s="63"/>
      <c r="BP7" s="9"/>
      <c r="BQ7" s="9"/>
      <c r="BR7" s="9"/>
      <c r="BS7" s="9"/>
      <c r="BT7" s="63"/>
      <c r="BU7" s="9"/>
      <c r="BV7" s="9"/>
      <c r="BW7" s="9"/>
      <c r="BX7" s="9"/>
      <c r="BY7" s="63"/>
      <c r="BZ7" s="9"/>
      <c r="CA7" s="9"/>
      <c r="CB7" s="9"/>
      <c r="CC7" s="9"/>
      <c r="CD7" s="63"/>
      <c r="CE7" s="9"/>
      <c r="CF7" s="9"/>
      <c r="CG7" s="9"/>
      <c r="CH7" s="9"/>
      <c r="CI7" s="63"/>
      <c r="CJ7" s="9"/>
      <c r="CK7" s="9"/>
      <c r="CL7" s="9"/>
      <c r="CM7" s="9"/>
      <c r="CN7" s="63"/>
      <c r="CO7" s="9"/>
      <c r="CP7" s="9"/>
      <c r="CQ7" s="9"/>
      <c r="CR7" s="9"/>
      <c r="CS7" s="63"/>
      <c r="CT7" s="9"/>
      <c r="CU7" s="9"/>
      <c r="CV7" s="9"/>
      <c r="CW7" s="9"/>
      <c r="CX7" s="63"/>
      <c r="CY7" s="9"/>
      <c r="CZ7" s="9"/>
      <c r="DA7" s="9"/>
      <c r="DB7" s="9"/>
      <c r="DC7" s="63"/>
      <c r="DD7" s="9"/>
      <c r="DE7" s="9"/>
      <c r="DF7" s="9"/>
      <c r="DG7" s="9"/>
      <c r="DH7" s="63"/>
      <c r="DI7" s="9"/>
      <c r="DJ7" s="9"/>
      <c r="DK7" s="164"/>
      <c r="DL7" s="9"/>
      <c r="DM7" s="63"/>
      <c r="DN7" s="9"/>
      <c r="DO7" s="9"/>
      <c r="DP7" s="9"/>
      <c r="DQ7" s="9"/>
      <c r="DR7" s="63"/>
      <c r="DS7" s="9"/>
      <c r="DT7" s="9"/>
      <c r="DU7" s="9"/>
      <c r="DV7" s="9"/>
      <c r="DW7" s="63"/>
      <c r="DX7" s="9"/>
      <c r="DY7" s="9"/>
      <c r="DZ7" s="9"/>
      <c r="EA7" s="9"/>
      <c r="EB7" s="63"/>
      <c r="EC7" s="9"/>
      <c r="ED7" s="9"/>
      <c r="EE7" s="9"/>
      <c r="EF7" s="9"/>
      <c r="EG7" s="63"/>
      <c r="EH7" s="9"/>
      <c r="EI7" s="9"/>
      <c r="EJ7" s="9"/>
      <c r="EK7" s="9"/>
      <c r="EL7" s="63"/>
    </row>
    <row r="8" spans="1:142">
      <c r="A8" s="192"/>
      <c r="B8" s="192"/>
      <c r="C8" s="9"/>
      <c r="D8" s="9"/>
      <c r="E8" s="9"/>
      <c r="F8" s="9"/>
      <c r="G8" s="9"/>
      <c r="H8" s="63"/>
      <c r="I8" s="9"/>
      <c r="J8" s="9"/>
      <c r="K8" s="9"/>
      <c r="L8" s="9"/>
      <c r="M8" s="63"/>
      <c r="N8" s="9"/>
      <c r="O8" s="9"/>
      <c r="P8" s="9"/>
      <c r="Q8" s="9"/>
      <c r="R8" s="63"/>
      <c r="S8" s="9"/>
      <c r="T8" s="9"/>
      <c r="U8" s="9"/>
      <c r="V8" s="9"/>
      <c r="W8" s="63"/>
      <c r="X8" s="9"/>
      <c r="Y8" s="9"/>
      <c r="Z8" s="9"/>
      <c r="AA8" s="9"/>
      <c r="AB8" s="63"/>
      <c r="AC8" s="9"/>
      <c r="AD8" s="9"/>
      <c r="AE8" s="9"/>
      <c r="AF8" s="9"/>
      <c r="AG8" s="63"/>
      <c r="AH8" s="9"/>
      <c r="AI8" s="9"/>
      <c r="AJ8" s="9"/>
      <c r="AK8" s="9"/>
      <c r="AL8" s="63"/>
      <c r="AM8" s="87"/>
      <c r="AN8" s="87"/>
      <c r="AO8" s="87"/>
      <c r="AP8" s="4"/>
      <c r="AQ8" s="74"/>
      <c r="AR8" s="87"/>
      <c r="AS8" s="87"/>
      <c r="AT8" s="87"/>
      <c r="AU8" s="186"/>
      <c r="AV8" s="87"/>
      <c r="AW8" s="87"/>
      <c r="AX8" s="87"/>
      <c r="AY8" s="87"/>
      <c r="AZ8" s="193"/>
      <c r="BA8" s="87"/>
      <c r="BB8" s="87"/>
      <c r="BC8" s="87"/>
      <c r="BD8" s="87"/>
      <c r="BE8" s="193"/>
      <c r="BF8" s="87"/>
      <c r="BG8" s="87"/>
      <c r="BH8" s="87"/>
      <c r="BI8" s="87"/>
      <c r="BJ8" s="193"/>
      <c r="BK8" s="87"/>
      <c r="BL8" s="87"/>
      <c r="BM8" s="87"/>
      <c r="BN8" s="87"/>
      <c r="BO8" s="193"/>
      <c r="BP8" s="87"/>
      <c r="BQ8" s="87"/>
      <c r="BR8" s="87"/>
      <c r="BS8" s="87"/>
      <c r="BT8" s="193"/>
      <c r="BU8" s="87"/>
      <c r="BV8" s="87"/>
      <c r="BW8" s="87"/>
      <c r="BX8" s="87"/>
      <c r="BY8" s="193"/>
      <c r="BZ8" s="87"/>
      <c r="CA8" s="87"/>
      <c r="CB8" s="87"/>
      <c r="CC8" s="87"/>
      <c r="CD8" s="193"/>
      <c r="CE8" s="87"/>
      <c r="CF8" s="87"/>
      <c r="CG8" s="87"/>
      <c r="CH8" s="87"/>
      <c r="CI8" s="193"/>
      <c r="CJ8" s="87"/>
      <c r="CK8" s="87"/>
      <c r="CL8" s="87"/>
      <c r="CM8" s="87"/>
      <c r="CN8" s="193"/>
      <c r="CO8" s="87"/>
      <c r="CP8" s="87"/>
      <c r="CQ8" s="87"/>
      <c r="CR8" s="87"/>
      <c r="CS8" s="193"/>
      <c r="CT8" s="87"/>
      <c r="CU8" s="87"/>
      <c r="CV8" s="171"/>
      <c r="CW8" s="171"/>
      <c r="CX8" s="193"/>
      <c r="CY8" s="171"/>
      <c r="CZ8" s="171"/>
      <c r="DA8" s="171"/>
      <c r="DB8" s="171"/>
      <c r="DC8" s="193"/>
      <c r="DD8" s="171"/>
      <c r="DE8" s="171"/>
      <c r="DF8" s="171"/>
      <c r="DG8" s="171"/>
      <c r="DH8" s="193"/>
      <c r="DI8" s="171"/>
      <c r="DJ8" s="171"/>
      <c r="DK8" s="171"/>
      <c r="DL8" s="171"/>
      <c r="DM8" s="193"/>
      <c r="DN8" s="171"/>
      <c r="DO8" s="171"/>
      <c r="DP8" s="171"/>
      <c r="DQ8" s="171"/>
      <c r="DR8" s="193"/>
      <c r="DS8" s="171"/>
      <c r="DT8" s="171"/>
      <c r="DU8" s="171"/>
      <c r="DV8" s="171"/>
      <c r="DW8" s="193"/>
      <c r="DX8" s="171"/>
      <c r="DY8" s="171"/>
      <c r="DZ8" s="171"/>
      <c r="EA8" s="171"/>
      <c r="EB8" s="193"/>
      <c r="EC8" s="171"/>
      <c r="ED8" s="171"/>
      <c r="EE8" s="171"/>
      <c r="EF8" s="171"/>
      <c r="EG8" s="193"/>
      <c r="EH8" s="171"/>
      <c r="EI8" s="171"/>
      <c r="EJ8" s="171"/>
      <c r="EK8" s="171"/>
      <c r="EL8" s="193"/>
    </row>
    <row r="9" spans="1:142">
      <c r="A9" s="1324"/>
      <c r="B9" s="194" t="s">
        <v>287</v>
      </c>
      <c r="C9" s="195"/>
      <c r="D9" s="195"/>
      <c r="E9" s="195"/>
      <c r="F9" s="195"/>
      <c r="G9" s="195"/>
      <c r="H9" s="196"/>
      <c r="I9" s="195"/>
      <c r="J9" s="195"/>
      <c r="K9" s="195"/>
      <c r="L9" s="195"/>
      <c r="M9" s="196"/>
      <c r="N9" s="195"/>
      <c r="O9" s="195"/>
      <c r="P9" s="195"/>
      <c r="Q9" s="195"/>
      <c r="R9" s="196"/>
      <c r="S9" s="195"/>
      <c r="T9" s="195"/>
      <c r="U9" s="195"/>
      <c r="V9" s="195"/>
      <c r="W9" s="196"/>
      <c r="X9" s="195"/>
      <c r="Y9" s="195"/>
      <c r="Z9" s="195"/>
      <c r="AA9" s="195"/>
      <c r="AB9" s="196"/>
      <c r="AC9" s="195"/>
      <c r="AD9" s="195"/>
      <c r="AE9" s="195"/>
      <c r="AF9" s="195"/>
      <c r="AG9" s="196"/>
      <c r="AH9" s="195"/>
      <c r="AI9" s="195"/>
      <c r="AJ9" s="195"/>
      <c r="AK9" s="195"/>
      <c r="AL9" s="196"/>
      <c r="AM9" s="197"/>
      <c r="AN9" s="197"/>
      <c r="AO9" s="197"/>
      <c r="AP9" s="195"/>
      <c r="AQ9" s="198"/>
      <c r="AR9" s="197"/>
      <c r="AS9" s="197"/>
      <c r="AT9" s="197"/>
      <c r="AU9" s="199"/>
      <c r="AV9" s="200"/>
      <c r="AW9" s="200"/>
      <c r="AX9" s="200"/>
      <c r="AY9" s="200"/>
      <c r="AZ9" s="201"/>
      <c r="BA9" s="200">
        <f>BA13/AVERAGE(BA10:BA11)*4</f>
        <v>0</v>
      </c>
      <c r="BB9" s="200">
        <f>BB13/AVERAGE(BB10:BB11)*4</f>
        <v>0</v>
      </c>
      <c r="BC9" s="200">
        <f>BC13/AVERAGE(BC10:BC11)*4</f>
        <v>0</v>
      </c>
      <c r="BD9" s="200">
        <f>BD13/AVERAGE(BD10:BD11)*4</f>
        <v>0</v>
      </c>
      <c r="BE9" s="201">
        <f>BE13/AVERAGE(BE10:BE11)</f>
        <v>0</v>
      </c>
      <c r="BF9" s="200">
        <f>BF13/AVERAGE(BF10:BF11)*4</f>
        <v>0</v>
      </c>
      <c r="BG9" s="200">
        <f>BG13/AVERAGE(BG10:BG11)*4</f>
        <v>0</v>
      </c>
      <c r="BH9" s="200">
        <f>BH13/AVERAGE(BH10:BH11)*4</f>
        <v>0</v>
      </c>
      <c r="BI9" s="200">
        <f>BI13/AVERAGE(BI10:BI11)*4</f>
        <v>0</v>
      </c>
      <c r="BJ9" s="201">
        <f>BJ13/AVERAGE(BJ10:BJ11)</f>
        <v>0</v>
      </c>
      <c r="BK9" s="200">
        <f>BK13/AVERAGE(BK10:BK11)*4</f>
        <v>0</v>
      </c>
      <c r="BL9" s="200">
        <f>BL13/AVERAGE(BL10:BL11)*4</f>
        <v>0</v>
      </c>
      <c r="BM9" s="200">
        <f>BM13/AVERAGE(BM10:BM11)*4</f>
        <v>0</v>
      </c>
      <c r="BN9" s="200">
        <f>BN13/AVERAGE(BN10:BN11)*4</f>
        <v>0</v>
      </c>
      <c r="BO9" s="201">
        <f>BO13/AVERAGE(BO10:BO11)</f>
        <v>0</v>
      </c>
      <c r="BP9" s="200">
        <f>BP13/AVERAGE(BP10:BP11)*4</f>
        <v>0</v>
      </c>
      <c r="BQ9" s="200">
        <f>BQ13/AVERAGE(BQ10:BQ11)*4</f>
        <v>0</v>
      </c>
      <c r="BR9" s="200">
        <f>BR13/AVERAGE(BR10:BR11)*4</f>
        <v>0</v>
      </c>
      <c r="BS9" s="200">
        <f>BS13/AVERAGE(BS10:BS11)*4</f>
        <v>0</v>
      </c>
      <c r="BT9" s="201">
        <f>BT13/AVERAGE(BT10:BT11)</f>
        <v>0</v>
      </c>
      <c r="BU9" s="200">
        <f>BU13/AVERAGE(BU10:BU11)*4</f>
        <v>0</v>
      </c>
      <c r="BV9" s="200">
        <f>BV13/AVERAGE(BV10:BV11)*4</f>
        <v>0</v>
      </c>
      <c r="BW9" s="200">
        <f>BW13/AVERAGE(BW10:BW11)*4</f>
        <v>0</v>
      </c>
      <c r="BX9" s="200">
        <f>BX13/AVERAGE(BX10:BX11)*4</f>
        <v>0</v>
      </c>
      <c r="BY9" s="201">
        <f>BY13/AVERAGE(BY10:BY11)</f>
        <v>0</v>
      </c>
      <c r="BZ9" s="200">
        <f>BZ13/AVERAGE(BZ10:BZ11)*4</f>
        <v>0</v>
      </c>
      <c r="CA9" s="200">
        <f>CA13/AVERAGE(CA10:CA11)*4</f>
        <v>0</v>
      </c>
      <c r="CB9" s="200">
        <f>CB13/AVERAGE(CB10:CB11)*4</f>
        <v>0</v>
      </c>
      <c r="CC9" s="200">
        <f>CC13/AVERAGE(CC10:CC11)*4</f>
        <v>0</v>
      </c>
      <c r="CD9" s="201">
        <f>CD13/AVERAGE(CD10:CD11)</f>
        <v>0</v>
      </c>
      <c r="CE9" s="200">
        <f>CE13/AVERAGE(CE10:CE11)*4</f>
        <v>0</v>
      </c>
      <c r="CF9" s="200">
        <f>CF13/AVERAGE(CF10:CF11)*4</f>
        <v>0</v>
      </c>
      <c r="CG9" s="200">
        <f>CG13/AVERAGE(CG10:CG11)*4</f>
        <v>0</v>
      </c>
      <c r="CH9" s="200">
        <f>CH13/AVERAGE(CH10:CH11)*4</f>
        <v>0</v>
      </c>
      <c r="CI9" s="201">
        <f>CI13/AVERAGE(CI10:CI11)</f>
        <v>0</v>
      </c>
      <c r="CJ9" s="200">
        <f>CJ13/AVERAGE(CJ10:CJ11)*4</f>
        <v>0</v>
      </c>
      <c r="CK9" s="200">
        <f>CK13/AVERAGE(CK10:CK11)*4</f>
        <v>0</v>
      </c>
      <c r="CL9" s="200">
        <f>CL13/AVERAGE(CL10:CL11)*4</f>
        <v>0</v>
      </c>
      <c r="CM9" s="200">
        <f>CM13/AVERAGE(CM10:CM11)*4</f>
        <v>0</v>
      </c>
      <c r="CN9" s="201">
        <f>CN13/AVERAGE(CN10:CN11)</f>
        <v>0</v>
      </c>
      <c r="CO9" s="200">
        <f>CO13/AVERAGE(CO10:CO11)*4</f>
        <v>0</v>
      </c>
      <c r="CP9" s="200">
        <f>CP13/AVERAGE(CP10:CP11)*4</f>
        <v>0</v>
      </c>
      <c r="CQ9" s="200">
        <f>CQ13/AVERAGE(CQ10:CQ11)*4</f>
        <v>0</v>
      </c>
      <c r="CR9" s="200">
        <f>CR13/AVERAGE(CR10:CR11)*4</f>
        <v>0</v>
      </c>
      <c r="CS9" s="201">
        <f>CS13/AVERAGE(CS10:CS11)</f>
        <v>0</v>
      </c>
      <c r="CT9" s="200">
        <f>CT13/AVERAGE(CT10:CT11)*4</f>
        <v>0</v>
      </c>
      <c r="CU9" s="200">
        <f>CU13/AVERAGE(CU10:CU11)*4</f>
        <v>0</v>
      </c>
      <c r="CV9" s="200">
        <f>CV13/AVERAGE(CV10:CV11)*4</f>
        <v>0</v>
      </c>
      <c r="CW9" s="200">
        <f>CW13/AVERAGE(CW10:CW11)*4</f>
        <v>0</v>
      </c>
      <c r="CX9" s="201">
        <f>CX13/AVERAGE(CX10:CX11)</f>
        <v>0</v>
      </c>
      <c r="CY9" s="202">
        <v>2E-3</v>
      </c>
      <c r="CZ9" s="202">
        <v>1E-3</v>
      </c>
      <c r="DA9" s="202">
        <v>1E-3</v>
      </c>
      <c r="DB9" s="202">
        <v>1E-3</v>
      </c>
      <c r="DC9" s="201">
        <f>DC13/AVERAGE(DC10:DC11)</f>
        <v>7.7044025157232705E-4</v>
      </c>
      <c r="DD9" s="202">
        <v>1E-3</v>
      </c>
      <c r="DE9" s="202">
        <v>1E-3</v>
      </c>
      <c r="DF9" s="202">
        <v>1E-3</v>
      </c>
      <c r="DG9" s="202">
        <v>1E-3</v>
      </c>
      <c r="DH9" s="201">
        <f>DH13/AVERAGE(DH10:DH11)</f>
        <v>1.4705882352941176E-3</v>
      </c>
      <c r="DI9" s="1345">
        <v>2.5000000000000001E-3</v>
      </c>
      <c r="DJ9" s="1345">
        <v>2.5000000000000001E-3</v>
      </c>
      <c r="DK9" s="1345">
        <v>2.5000000000000001E-3</v>
      </c>
      <c r="DL9" s="1345">
        <v>2.5000000000000001E-3</v>
      </c>
      <c r="DM9" s="1344">
        <f>DM13/AVERAGE(DM10:DM11)</f>
        <v>2.1482240437158471E-3</v>
      </c>
      <c r="DN9" s="1345">
        <v>2.5000000000000001E-3</v>
      </c>
      <c r="DO9" s="1345">
        <v>2.5000000000000001E-3</v>
      </c>
      <c r="DP9" s="1345">
        <v>2.5000000000000001E-3</v>
      </c>
      <c r="DQ9" s="1345">
        <v>2.5000000000000001E-3</v>
      </c>
      <c r="DR9" s="1344">
        <f>DR13/AVERAGE(DR10:DR11)</f>
        <v>7.391151685393259E-3</v>
      </c>
      <c r="DS9" s="1468">
        <v>2.5000000000000001E-3</v>
      </c>
      <c r="DT9" s="1468">
        <v>2.5000000000000001E-3</v>
      </c>
      <c r="DU9" s="1468">
        <v>2.5000000000000001E-3</v>
      </c>
      <c r="DV9" s="1468">
        <v>2.5000000000000001E-3</v>
      </c>
      <c r="DW9" s="1344">
        <f>DW13/AVERAGE(DW10:DW11)</f>
        <v>3.644639934533552E-3</v>
      </c>
      <c r="DX9" s="1468">
        <v>2.5000000000000001E-3</v>
      </c>
      <c r="DY9" s="1468">
        <v>2.5000000000000001E-3</v>
      </c>
      <c r="DZ9" s="1468">
        <v>2.5000000000000001E-3</v>
      </c>
      <c r="EA9" s="1468">
        <v>2.5000000000000001E-3</v>
      </c>
      <c r="EB9" s="1344">
        <f>EB13/AVERAGE(EB10:EB11)</f>
        <v>3.0513433853774788E-3</v>
      </c>
      <c r="EC9" s="1468">
        <v>2.5000000000000001E-3</v>
      </c>
      <c r="ED9" s="1468">
        <v>2.5000000000000001E-3</v>
      </c>
      <c r="EE9" s="1468">
        <v>2.5000000000000001E-3</v>
      </c>
      <c r="EF9" s="1468">
        <v>2.5000000000000001E-3</v>
      </c>
      <c r="EG9" s="1344">
        <f>EG13/AVERAGE(EG10:EG11)</f>
        <v>2.1724662229718654E-3</v>
      </c>
      <c r="EH9" s="1468">
        <v>2.5000000000000001E-3</v>
      </c>
      <c r="EI9" s="1468">
        <v>2.5000000000000001E-3</v>
      </c>
      <c r="EJ9" s="1468">
        <v>2.5000000000000001E-3</v>
      </c>
      <c r="EK9" s="1468">
        <v>2.5000000000000001E-3</v>
      </c>
      <c r="EL9" s="1344">
        <f>EL13/AVERAGE(EL10:EL11)</f>
        <v>2.6417309275624545E-3</v>
      </c>
    </row>
    <row r="10" spans="1:142">
      <c r="A10" s="9"/>
      <c r="B10" s="46" t="s">
        <v>288</v>
      </c>
      <c r="C10" s="9"/>
      <c r="D10" s="9"/>
      <c r="E10" s="9"/>
      <c r="F10" s="9"/>
      <c r="G10" s="9"/>
      <c r="H10" s="63"/>
      <c r="I10" s="9"/>
      <c r="J10" s="9"/>
      <c r="K10" s="9"/>
      <c r="L10" s="9"/>
      <c r="M10" s="63"/>
      <c r="N10" s="9"/>
      <c r="O10" s="9"/>
      <c r="P10" s="9"/>
      <c r="Q10" s="9"/>
      <c r="R10" s="63"/>
      <c r="S10" s="9"/>
      <c r="T10" s="9"/>
      <c r="U10" s="9"/>
      <c r="V10" s="9"/>
      <c r="W10" s="63"/>
      <c r="X10" s="9"/>
      <c r="Y10" s="9"/>
      <c r="Z10" s="9"/>
      <c r="AA10" s="9"/>
      <c r="AB10" s="63"/>
      <c r="AC10" s="9"/>
      <c r="AD10" s="9"/>
      <c r="AE10" s="9"/>
      <c r="AF10" s="9"/>
      <c r="AG10" s="63"/>
      <c r="AH10" s="9"/>
      <c r="AI10" s="9"/>
      <c r="AJ10" s="9"/>
      <c r="AK10" s="9"/>
      <c r="AL10" s="63"/>
      <c r="AM10" s="171"/>
      <c r="AN10" s="171"/>
      <c r="AO10" s="171"/>
      <c r="AP10" s="171"/>
      <c r="AQ10" s="193"/>
      <c r="AR10" s="171"/>
      <c r="AS10" s="171"/>
      <c r="AT10" s="171"/>
      <c r="AU10" s="186"/>
      <c r="AV10" s="90">
        <f>AU11</f>
        <v>0</v>
      </c>
      <c r="AW10" s="90">
        <f>AV11</f>
        <v>0</v>
      </c>
      <c r="AX10" s="90">
        <f>AW11</f>
        <v>0</v>
      </c>
      <c r="AY10" s="90">
        <f>AX11</f>
        <v>0</v>
      </c>
      <c r="AZ10" s="193">
        <f>AU11</f>
        <v>0</v>
      </c>
      <c r="BA10" s="90">
        <f>AZ11</f>
        <v>210</v>
      </c>
      <c r="BB10" s="90">
        <f>BA11</f>
        <v>135</v>
      </c>
      <c r="BC10" s="90">
        <f>BB11</f>
        <v>221</v>
      </c>
      <c r="BD10" s="90">
        <f>BC11</f>
        <v>219</v>
      </c>
      <c r="BE10" s="193">
        <f>AZ11</f>
        <v>210</v>
      </c>
      <c r="BF10" s="90">
        <f>BE11</f>
        <v>619</v>
      </c>
      <c r="BG10" s="90">
        <f>BF11</f>
        <v>507</v>
      </c>
      <c r="BH10" s="90">
        <f>BG11</f>
        <v>1193</v>
      </c>
      <c r="BI10" s="90">
        <f>BH11</f>
        <v>1323</v>
      </c>
      <c r="BJ10" s="193">
        <f>BE11</f>
        <v>619</v>
      </c>
      <c r="BK10" s="90">
        <f>BJ11</f>
        <v>654</v>
      </c>
      <c r="BL10" s="90">
        <f>BK11</f>
        <v>1497</v>
      </c>
      <c r="BM10" s="90">
        <f>BL11</f>
        <v>1594</v>
      </c>
      <c r="BN10" s="90">
        <f>BM11</f>
        <v>1480</v>
      </c>
      <c r="BO10" s="193">
        <f>BJ11</f>
        <v>654</v>
      </c>
      <c r="BP10" s="90">
        <f>BO11</f>
        <v>1373</v>
      </c>
      <c r="BQ10" s="90">
        <f>BP11</f>
        <v>975</v>
      </c>
      <c r="BR10" s="90">
        <f>BQ11</f>
        <v>568</v>
      </c>
      <c r="BS10" s="90">
        <f>BR11</f>
        <v>809</v>
      </c>
      <c r="BT10" s="193">
        <f>BO11</f>
        <v>1373</v>
      </c>
      <c r="BU10" s="90">
        <f>BT11</f>
        <v>784</v>
      </c>
      <c r="BV10" s="90">
        <f>BU11</f>
        <v>584</v>
      </c>
      <c r="BW10" s="90">
        <f>BV11</f>
        <v>675</v>
      </c>
      <c r="BX10" s="90">
        <f>BW11</f>
        <v>655</v>
      </c>
      <c r="BY10" s="193">
        <f>BT11</f>
        <v>784</v>
      </c>
      <c r="BZ10" s="90">
        <f>BY11</f>
        <v>572</v>
      </c>
      <c r="CA10" s="90">
        <f>BZ11</f>
        <v>278</v>
      </c>
      <c r="CB10" s="90">
        <f>CA11</f>
        <v>352</v>
      </c>
      <c r="CC10" s="90">
        <f>CB11</f>
        <v>512</v>
      </c>
      <c r="CD10" s="193">
        <f>BY11</f>
        <v>572</v>
      </c>
      <c r="CE10" s="90">
        <f>CD11</f>
        <v>507</v>
      </c>
      <c r="CF10" s="90">
        <f>CE11</f>
        <v>652</v>
      </c>
      <c r="CG10" s="90">
        <f>CF11</f>
        <v>758</v>
      </c>
      <c r="CH10" s="90">
        <f>CG11</f>
        <v>731</v>
      </c>
      <c r="CI10" s="193">
        <f>CD11</f>
        <v>507</v>
      </c>
      <c r="CJ10" s="90">
        <f>CI11</f>
        <v>690</v>
      </c>
      <c r="CK10" s="90">
        <f>CJ11</f>
        <v>589</v>
      </c>
      <c r="CL10" s="90">
        <f>CK11</f>
        <v>711</v>
      </c>
      <c r="CM10" s="90">
        <f>CL11</f>
        <v>398</v>
      </c>
      <c r="CN10" s="193">
        <f>CI11</f>
        <v>690</v>
      </c>
      <c r="CO10" s="90">
        <f>CN11</f>
        <v>405</v>
      </c>
      <c r="CP10" s="90">
        <f>CO11</f>
        <v>267</v>
      </c>
      <c r="CQ10" s="90">
        <f>CP11</f>
        <v>264</v>
      </c>
      <c r="CR10" s="90">
        <f>CQ11</f>
        <v>185</v>
      </c>
      <c r="CS10" s="193">
        <f>CN11</f>
        <v>405</v>
      </c>
      <c r="CT10" s="90">
        <f>CS11</f>
        <v>113</v>
      </c>
      <c r="CU10" s="90">
        <f>CT11</f>
        <v>104</v>
      </c>
      <c r="CV10" s="90">
        <f>CU11</f>
        <v>82</v>
      </c>
      <c r="CW10" s="90">
        <f>CV11</f>
        <v>83</v>
      </c>
      <c r="CX10" s="193">
        <f>CS11</f>
        <v>113</v>
      </c>
      <c r="CY10" s="90">
        <f>CX11</f>
        <v>364</v>
      </c>
      <c r="CZ10" s="90">
        <f>CY11</f>
        <v>95</v>
      </c>
      <c r="DA10" s="90">
        <f>CZ11</f>
        <v>90</v>
      </c>
      <c r="DB10" s="90">
        <f>DA11</f>
        <v>82</v>
      </c>
      <c r="DC10" s="193">
        <f>CX11</f>
        <v>364</v>
      </c>
      <c r="DD10" s="90">
        <f>DC11</f>
        <v>113</v>
      </c>
      <c r="DE10" s="90">
        <f>DD11</f>
        <v>141</v>
      </c>
      <c r="DF10" s="90">
        <f>DE11</f>
        <v>406</v>
      </c>
      <c r="DG10" s="90">
        <f>DF11</f>
        <v>200</v>
      </c>
      <c r="DH10" s="193">
        <f>DC11</f>
        <v>113</v>
      </c>
      <c r="DI10" s="1338">
        <f>DH11</f>
        <v>193</v>
      </c>
      <c r="DJ10" s="1338">
        <f>DI11</f>
        <v>185</v>
      </c>
      <c r="DK10" s="1338">
        <f>DJ11</f>
        <v>299</v>
      </c>
      <c r="DL10" s="1338">
        <f>DK11</f>
        <v>185</v>
      </c>
      <c r="DM10" s="537">
        <f>DH11</f>
        <v>193</v>
      </c>
      <c r="DN10" s="1338">
        <f>DM11</f>
        <v>356</v>
      </c>
      <c r="DO10" s="1338">
        <f>DN11</f>
        <v>728</v>
      </c>
      <c r="DP10" s="1338">
        <f>DO11</f>
        <v>656</v>
      </c>
      <c r="DQ10" s="1338">
        <f>DP11</f>
        <v>185</v>
      </c>
      <c r="DR10" s="537">
        <f>DM11</f>
        <v>356</v>
      </c>
      <c r="DS10" s="1338">
        <f>DR11</f>
        <v>0</v>
      </c>
      <c r="DT10" s="1338">
        <f>DS11</f>
        <v>572</v>
      </c>
      <c r="DU10" s="1338">
        <f>DT11</f>
        <v>475</v>
      </c>
      <c r="DV10" s="1338">
        <f>DU11</f>
        <v>429</v>
      </c>
      <c r="DW10" s="537">
        <f>DR11</f>
        <v>0</v>
      </c>
      <c r="DX10" s="1338">
        <f>DW11</f>
        <v>611</v>
      </c>
      <c r="DY10" s="1338">
        <f>DX11</f>
        <v>829.37035815589047</v>
      </c>
      <c r="DZ10" s="1338">
        <f>DY11</f>
        <v>605.37663535468903</v>
      </c>
      <c r="EA10" s="1338">
        <f>DZ11</f>
        <v>853.21887238129329</v>
      </c>
      <c r="EB10" s="537">
        <f>DW11</f>
        <v>611</v>
      </c>
      <c r="EC10" s="1338">
        <f>EB11</f>
        <v>567.71087398451732</v>
      </c>
      <c r="ED10" s="1338">
        <f>EC11</f>
        <v>376.97417916896063</v>
      </c>
      <c r="EE10" s="1338">
        <f>ED11</f>
        <v>520.54772891988341</v>
      </c>
      <c r="EF10" s="1338">
        <f>EE11</f>
        <v>689.98221824519351</v>
      </c>
      <c r="EG10" s="537">
        <f>EB11</f>
        <v>567.71087398451732</v>
      </c>
      <c r="EH10" s="1338">
        <f>EG11</f>
        <v>714.63062624325505</v>
      </c>
      <c r="EI10" s="1338">
        <f>EH11</f>
        <v>657.96794350851678</v>
      </c>
      <c r="EJ10" s="1338">
        <f>EI11</f>
        <v>602.90493870577018</v>
      </c>
      <c r="EK10" s="1338">
        <f>EJ11</f>
        <v>652.42194509847184</v>
      </c>
      <c r="EL10" s="537">
        <f>EG11</f>
        <v>714.63062624325505</v>
      </c>
    </row>
    <row r="11" spans="1:142" collapsed="1">
      <c r="A11" s="9"/>
      <c r="B11" s="1332" t="s">
        <v>289</v>
      </c>
      <c r="C11" s="1333"/>
      <c r="D11" s="1333"/>
      <c r="E11" s="1333"/>
      <c r="F11" s="1333"/>
      <c r="G11" s="1333"/>
      <c r="H11" s="1334"/>
      <c r="I11" s="1333"/>
      <c r="J11" s="1333"/>
      <c r="K11" s="1333"/>
      <c r="L11" s="1333"/>
      <c r="M11" s="1334"/>
      <c r="N11" s="1333"/>
      <c r="O11" s="1333"/>
      <c r="P11" s="1333"/>
      <c r="Q11" s="1333"/>
      <c r="R11" s="1334"/>
      <c r="S11" s="1333"/>
      <c r="T11" s="1333"/>
      <c r="U11" s="1333"/>
      <c r="V11" s="1333"/>
      <c r="W11" s="1334"/>
      <c r="X11" s="1333"/>
      <c r="Y11" s="1333"/>
      <c r="Z11" s="1333"/>
      <c r="AA11" s="1333"/>
      <c r="AB11" s="1334"/>
      <c r="AC11" s="1335">
        <f>'BS &amp; CF'!AC6</f>
        <v>24</v>
      </c>
      <c r="AD11" s="1335">
        <f>'BS &amp; CF'!AD6</f>
        <v>31</v>
      </c>
      <c r="AE11" s="1335">
        <f>'BS &amp; CF'!AE6</f>
        <v>38</v>
      </c>
      <c r="AF11" s="1335">
        <f>'BS &amp; CF'!AF6</f>
        <v>135</v>
      </c>
      <c r="AG11" s="1334">
        <f>'BS &amp; CF'!AG6</f>
        <v>135</v>
      </c>
      <c r="AH11" s="1335">
        <f>'BS &amp; CF'!AH6</f>
        <v>83</v>
      </c>
      <c r="AI11" s="1335">
        <f>'BS &amp; CF'!AI6</f>
        <v>82</v>
      </c>
      <c r="AJ11" s="1335">
        <f>'BS &amp; CF'!AJ6</f>
        <v>57</v>
      </c>
      <c r="AK11" s="1335">
        <f>'BS &amp; CF'!AK6</f>
        <v>62</v>
      </c>
      <c r="AL11" s="1334">
        <f>'BS &amp; CF'!AL6</f>
        <v>62</v>
      </c>
      <c r="AM11" s="1336">
        <f>'BS &amp; CF'!AM6</f>
        <v>66</v>
      </c>
      <c r="AN11" s="1336">
        <f>'BS &amp; CF'!AN6</f>
        <v>63</v>
      </c>
      <c r="AO11" s="1336">
        <f>'BS &amp; CF'!AO6</f>
        <v>52</v>
      </c>
      <c r="AP11" s="1337">
        <f>'BS &amp; CF'!AP6</f>
        <v>38</v>
      </c>
      <c r="AQ11" s="1334">
        <f>'BS &amp; CF'!AQ6</f>
        <v>38</v>
      </c>
      <c r="AR11" s="1336">
        <f>'BS &amp; CF'!AR6</f>
        <v>42</v>
      </c>
      <c r="AS11" s="1336">
        <f>'BS &amp; CF'!AS6</f>
        <v>40</v>
      </c>
      <c r="AT11" s="1336">
        <f>'BS &amp; CF'!AT6</f>
        <v>118</v>
      </c>
      <c r="AU11" s="1334"/>
      <c r="AV11" s="1336">
        <f>'BS &amp; CF'!AV6</f>
        <v>0</v>
      </c>
      <c r="AW11" s="1336">
        <f>'BS &amp; CF'!AW6</f>
        <v>0</v>
      </c>
      <c r="AX11" s="1336">
        <f>'BS &amp; CF'!AX6</f>
        <v>0</v>
      </c>
      <c r="AY11" s="1336">
        <f>'BS &amp; CF'!AY6</f>
        <v>210</v>
      </c>
      <c r="AZ11" s="1334">
        <f>'BS &amp; CF'!AZ6</f>
        <v>210</v>
      </c>
      <c r="BA11" s="1336">
        <f>'BS &amp; CF'!BA6</f>
        <v>135</v>
      </c>
      <c r="BB11" s="1336">
        <f>'BS &amp; CF'!BB6</f>
        <v>221</v>
      </c>
      <c r="BC11" s="1336">
        <f>'BS &amp; CF'!BC6</f>
        <v>219</v>
      </c>
      <c r="BD11" s="1336">
        <f>'BS &amp; CF'!BD6</f>
        <v>619</v>
      </c>
      <c r="BE11" s="1334">
        <f>'BS &amp; CF'!BE6</f>
        <v>619</v>
      </c>
      <c r="BF11" s="1336">
        <f>'BS &amp; CF'!BF6</f>
        <v>507</v>
      </c>
      <c r="BG11" s="1336">
        <f>'BS &amp; CF'!BG6</f>
        <v>1193</v>
      </c>
      <c r="BH11" s="1336">
        <f>'BS &amp; CF'!BH6</f>
        <v>1323</v>
      </c>
      <c r="BI11" s="1336">
        <f>'BS &amp; CF'!BI6</f>
        <v>654</v>
      </c>
      <c r="BJ11" s="1334">
        <f>'BS &amp; CF'!BJ6</f>
        <v>654</v>
      </c>
      <c r="BK11" s="1336">
        <f>'BS &amp; CF'!BK6</f>
        <v>1497</v>
      </c>
      <c r="BL11" s="1336">
        <f>'BS &amp; CF'!BL6</f>
        <v>1594</v>
      </c>
      <c r="BM11" s="1336">
        <f>'BS &amp; CF'!BM6</f>
        <v>1480</v>
      </c>
      <c r="BN11" s="1336">
        <f>'BS &amp; CF'!BN6</f>
        <v>1373</v>
      </c>
      <c r="BO11" s="1334">
        <f>'BS &amp; CF'!BO6</f>
        <v>1373</v>
      </c>
      <c r="BP11" s="1336">
        <f>'BS &amp; CF'!BP6</f>
        <v>975</v>
      </c>
      <c r="BQ11" s="1336">
        <f>'BS &amp; CF'!BQ6</f>
        <v>568</v>
      </c>
      <c r="BR11" s="1336">
        <f>'BS &amp; CF'!BR6</f>
        <v>809</v>
      </c>
      <c r="BS11" s="1336">
        <f>'BS &amp; CF'!BS6</f>
        <v>784</v>
      </c>
      <c r="BT11" s="1334">
        <f>'BS &amp; CF'!BT6</f>
        <v>784</v>
      </c>
      <c r="BU11" s="1336">
        <f>'BS &amp; CF'!BU6</f>
        <v>584</v>
      </c>
      <c r="BV11" s="1336">
        <f>'BS &amp; CF'!BV6</f>
        <v>675</v>
      </c>
      <c r="BW11" s="1336">
        <f>'BS &amp; CF'!BW6</f>
        <v>655</v>
      </c>
      <c r="BX11" s="1336">
        <f>'BS &amp; CF'!BX6</f>
        <v>572</v>
      </c>
      <c r="BY11" s="1334">
        <f>'BS &amp; CF'!BY6</f>
        <v>572</v>
      </c>
      <c r="BZ11" s="1336">
        <f>'BS &amp; CF'!BZ6</f>
        <v>278</v>
      </c>
      <c r="CA11" s="1336">
        <f>'BS &amp; CF'!CA6</f>
        <v>352</v>
      </c>
      <c r="CB11" s="1336">
        <f>'BS &amp; CF'!CB6</f>
        <v>512</v>
      </c>
      <c r="CC11" s="1336">
        <f>'BS &amp; CF'!CC6</f>
        <v>507</v>
      </c>
      <c r="CD11" s="1334">
        <f>'BS &amp; CF'!CD6</f>
        <v>507</v>
      </c>
      <c r="CE11" s="1336">
        <f>'BS &amp; CF'!CE6</f>
        <v>652</v>
      </c>
      <c r="CF11" s="1336">
        <f>'BS &amp; CF'!CF6</f>
        <v>758</v>
      </c>
      <c r="CG11" s="1337">
        <f>'BS &amp; CF'!CG6</f>
        <v>731</v>
      </c>
      <c r="CH11" s="1337">
        <f>'BS &amp; CF'!CH6</f>
        <v>690</v>
      </c>
      <c r="CI11" s="1334">
        <f>'BS &amp; CF'!CI6</f>
        <v>690</v>
      </c>
      <c r="CJ11" s="1336">
        <f>'BS &amp; CF'!CJ6</f>
        <v>589</v>
      </c>
      <c r="CK11" s="1336">
        <f>'BS &amp; CF'!CK6</f>
        <v>711</v>
      </c>
      <c r="CL11" s="1336">
        <f>'BS &amp; CF'!CL6</f>
        <v>398</v>
      </c>
      <c r="CM11" s="1337">
        <f>'BS &amp; CF'!CM6</f>
        <v>405</v>
      </c>
      <c r="CN11" s="1334">
        <f>'BS &amp; CF'!CN6</f>
        <v>405</v>
      </c>
      <c r="CO11" s="1337">
        <f>'BS &amp; CF'!CO6</f>
        <v>267</v>
      </c>
      <c r="CP11" s="1337">
        <f>'BS &amp; CF'!CP6</f>
        <v>264</v>
      </c>
      <c r="CQ11" s="1337">
        <f>'BS &amp; CF'!CQ6</f>
        <v>185</v>
      </c>
      <c r="CR11" s="1337">
        <f>'BS &amp; CF'!CR6</f>
        <v>113</v>
      </c>
      <c r="CS11" s="1334">
        <f>'BS &amp; CF'!CS6</f>
        <v>113</v>
      </c>
      <c r="CT11" s="1337">
        <f>'BS &amp; CF'!CT6</f>
        <v>104</v>
      </c>
      <c r="CU11" s="1337">
        <f>'BS &amp; CF'!CU6</f>
        <v>82</v>
      </c>
      <c r="CV11" s="1337">
        <f>'BS &amp; CF'!CV6</f>
        <v>83</v>
      </c>
      <c r="CW11" s="1337">
        <f>'BS &amp; CF'!CW6</f>
        <v>364</v>
      </c>
      <c r="CX11" s="1334">
        <f>'BS &amp; CF'!CX6</f>
        <v>364</v>
      </c>
      <c r="CY11" s="1337">
        <f>'BS &amp; CF'!CY6</f>
        <v>95</v>
      </c>
      <c r="CZ11" s="1337">
        <f>'BS &amp; CF'!CZ6</f>
        <v>90</v>
      </c>
      <c r="DA11" s="1337">
        <f>'BS &amp; CF'!DA6</f>
        <v>82</v>
      </c>
      <c r="DB11" s="1337">
        <f>IF(switch="Y",'BS &amp; CF'!DB6,Debt!DA11)</f>
        <v>113</v>
      </c>
      <c r="DC11" s="1334">
        <f>'BS &amp; CF'!DC6</f>
        <v>113</v>
      </c>
      <c r="DD11" s="1337">
        <f>IF(switch="Y",'BS &amp; CF'!DD6,Debt!DC11)</f>
        <v>141</v>
      </c>
      <c r="DE11" s="1337">
        <f>IF(switch="Y",'BS &amp; CF'!DE6,Debt!DD11)</f>
        <v>406</v>
      </c>
      <c r="DF11" s="1337">
        <f>IF(switch="Y",'BS &amp; CF'!DF6,Debt!DE11)</f>
        <v>200</v>
      </c>
      <c r="DG11" s="1337">
        <f>IF(switch="Y",'BS &amp; CF'!DG6,Debt!DF11)</f>
        <v>193</v>
      </c>
      <c r="DH11" s="1334">
        <f>'BS &amp; CF'!DH6</f>
        <v>193</v>
      </c>
      <c r="DI11" s="1339">
        <f>IF(switch="Y",'BS &amp; CF'!DI6,Debt!DH11)</f>
        <v>185</v>
      </c>
      <c r="DJ11" s="1339">
        <f>IF(switch="Y",'BS &amp; CF'!DJ6,Debt!DI11)</f>
        <v>299</v>
      </c>
      <c r="DK11" s="1339">
        <v>185</v>
      </c>
      <c r="DL11" s="1339">
        <f>IF(switch="Y",'BS &amp; CF'!DL6,Debt!DK11)</f>
        <v>356</v>
      </c>
      <c r="DM11" s="1340">
        <f>'BS &amp; CF'!DM6</f>
        <v>356</v>
      </c>
      <c r="DN11" s="1339">
        <f>IF(switch="Y",'BS &amp; CF'!DN6,Debt!DM11)</f>
        <v>728</v>
      </c>
      <c r="DO11" s="1339">
        <f>IF(switch="Y",'BS &amp; CF'!DO6,Debt!DN11)</f>
        <v>656</v>
      </c>
      <c r="DP11" s="1339">
        <v>185</v>
      </c>
      <c r="DQ11" s="1339">
        <f>IF(switch="Y",'BS &amp; CF'!DQ6,Debt!DP11)</f>
        <v>716</v>
      </c>
      <c r="DR11" s="1340">
        <f>'BS &amp; CF'!DR6</f>
        <v>0</v>
      </c>
      <c r="DS11" s="1339">
        <f>IF(switch="Y",'BS &amp; CF'!DS6,Debt!DR11)</f>
        <v>572</v>
      </c>
      <c r="DT11" s="1339">
        <f>IF(switch="Y",'BS &amp; CF'!DT6,Debt!DS11)</f>
        <v>475</v>
      </c>
      <c r="DU11" s="1339">
        <f>IF(switch="Y",'BS &amp; CF'!DU6,Debt!DT11)</f>
        <v>429</v>
      </c>
      <c r="DV11" s="1339">
        <f>IF(switch="Y",'BS &amp; CF'!DV6,Debt!DU11)</f>
        <v>611</v>
      </c>
      <c r="DW11" s="1340">
        <f>'BS &amp; CF'!DW6</f>
        <v>611</v>
      </c>
      <c r="DX11" s="1339">
        <f>IF(switch="Y",'BS &amp; CF'!DX6,Debt!DW11)</f>
        <v>829.37035815589047</v>
      </c>
      <c r="DY11" s="1339">
        <f>IF(switch="Y",'BS &amp; CF'!DY6,Debt!DX11)</f>
        <v>605.37663535468903</v>
      </c>
      <c r="DZ11" s="1339">
        <f>IF(switch="Y",'BS &amp; CF'!DZ6,Debt!DY11)</f>
        <v>853.21887238129329</v>
      </c>
      <c r="EA11" s="1339">
        <f>IF(switch="Y",'BS &amp; CF'!EA6,Debt!DZ11)</f>
        <v>567.71087398451732</v>
      </c>
      <c r="EB11" s="1340">
        <f>'BS &amp; CF'!EB6</f>
        <v>567.71087398451732</v>
      </c>
      <c r="EC11" s="1339">
        <f>IF(switch="Y",'BS &amp; CF'!EC6,Debt!EB11)</f>
        <v>376.97417916896063</v>
      </c>
      <c r="ED11" s="1339">
        <f>IF(switch="Y",'BS &amp; CF'!ED6,Debt!EC11)</f>
        <v>520.54772891988341</v>
      </c>
      <c r="EE11" s="1339">
        <f>IF(switch="Y",'BS &amp; CF'!EE6,Debt!ED11)</f>
        <v>689.98221824519351</v>
      </c>
      <c r="EF11" s="1339">
        <f>IF(switch="Y",'BS &amp; CF'!EF6,Debt!EE11)</f>
        <v>714.63062624325505</v>
      </c>
      <c r="EG11" s="1340">
        <f>'BS &amp; CF'!EG6</f>
        <v>714.63062624325505</v>
      </c>
      <c r="EH11" s="1339">
        <f>IF(switch="Y",'BS &amp; CF'!EH6,Debt!EG11)</f>
        <v>657.96794350851678</v>
      </c>
      <c r="EI11" s="1339">
        <f>IF(switch="Y",'BS &amp; CF'!EI6,Debt!EH11)</f>
        <v>602.90493870577018</v>
      </c>
      <c r="EJ11" s="1339">
        <f>IF(switch="Y",'BS &amp; CF'!EJ6,Debt!EI11)</f>
        <v>652.42194509847184</v>
      </c>
      <c r="EK11" s="1339">
        <f>IF(switch="Y",'BS &amp; CF'!EK6,Debt!EJ11)</f>
        <v>471.25813137678415</v>
      </c>
      <c r="EL11" s="1340">
        <f>'BS &amp; CF'!EL6</f>
        <v>471.25813137678415</v>
      </c>
    </row>
    <row r="12" spans="1:142" ht="6" customHeight="1">
      <c r="A12" s="225"/>
      <c r="B12" s="209"/>
      <c r="C12" s="9"/>
      <c r="D12" s="9"/>
      <c r="E12" s="9"/>
      <c r="F12" s="9"/>
      <c r="G12" s="9"/>
      <c r="H12" s="63"/>
      <c r="I12" s="9"/>
      <c r="J12" s="9"/>
      <c r="K12" s="9"/>
      <c r="L12" s="9"/>
      <c r="M12" s="63"/>
      <c r="N12" s="9"/>
      <c r="O12" s="9"/>
      <c r="P12" s="9"/>
      <c r="Q12" s="9"/>
      <c r="R12" s="63"/>
      <c r="S12" s="9"/>
      <c r="T12" s="9"/>
      <c r="U12" s="9"/>
      <c r="V12" s="9"/>
      <c r="W12" s="63"/>
      <c r="X12" s="9"/>
      <c r="Y12" s="9"/>
      <c r="Z12" s="9"/>
      <c r="AA12" s="9"/>
      <c r="AB12" s="63"/>
      <c r="AC12" s="9"/>
      <c r="AD12" s="9"/>
      <c r="AE12" s="9"/>
      <c r="AF12" s="9"/>
      <c r="AG12" s="63"/>
      <c r="AH12" s="9"/>
      <c r="AI12" s="9"/>
      <c r="AJ12" s="9"/>
      <c r="AK12" s="9"/>
      <c r="AL12" s="63"/>
      <c r="AM12" s="171"/>
      <c r="AN12" s="171"/>
      <c r="AO12" s="171"/>
      <c r="AP12" s="171"/>
      <c r="AQ12" s="74"/>
      <c r="AR12" s="171"/>
      <c r="AS12" s="171"/>
      <c r="AT12" s="171"/>
      <c r="AU12" s="186"/>
      <c r="AV12" s="171"/>
      <c r="AW12" s="171"/>
      <c r="AX12" s="171"/>
      <c r="AY12" s="171"/>
      <c r="AZ12" s="193"/>
      <c r="BA12" s="171"/>
      <c r="BB12" s="171"/>
      <c r="BC12" s="171"/>
      <c r="BD12" s="171"/>
      <c r="BE12" s="193"/>
      <c r="BF12" s="171"/>
      <c r="BG12" s="171"/>
      <c r="BH12" s="171"/>
      <c r="BI12" s="171"/>
      <c r="BJ12" s="193"/>
      <c r="BK12" s="210"/>
      <c r="BL12" s="211"/>
      <c r="BM12" s="211"/>
      <c r="BN12" s="211"/>
      <c r="BO12" s="193"/>
      <c r="BP12" s="210"/>
      <c r="BQ12" s="211"/>
      <c r="BR12" s="211"/>
      <c r="BS12" s="211"/>
      <c r="BT12" s="193"/>
      <c r="BU12" s="210"/>
      <c r="BV12" s="211"/>
      <c r="BW12" s="211"/>
      <c r="BX12" s="211"/>
      <c r="BY12" s="193"/>
      <c r="BZ12" s="210"/>
      <c r="CA12" s="211"/>
      <c r="CB12" s="211"/>
      <c r="CC12" s="211"/>
      <c r="CD12" s="193"/>
      <c r="CE12" s="211"/>
      <c r="CF12" s="211"/>
      <c r="CG12" s="87"/>
      <c r="CH12" s="87"/>
      <c r="CI12" s="193"/>
      <c r="CJ12" s="211"/>
      <c r="CK12" s="211"/>
      <c r="CL12" s="211"/>
      <c r="CM12" s="210"/>
      <c r="CN12" s="193"/>
      <c r="CO12" s="211"/>
      <c r="CP12" s="211"/>
      <c r="CQ12" s="87"/>
      <c r="CR12" s="87"/>
      <c r="CS12" s="193"/>
      <c r="CT12" s="87"/>
      <c r="CU12" s="87"/>
      <c r="CV12" s="87"/>
      <c r="CW12" s="212"/>
      <c r="CX12" s="193"/>
      <c r="CY12" s="213"/>
      <c r="CZ12" s="213"/>
      <c r="DA12" s="213"/>
      <c r="DB12" s="213"/>
      <c r="DC12" s="193"/>
      <c r="DD12" s="213"/>
      <c r="DE12" s="213"/>
      <c r="DF12" s="213"/>
      <c r="DG12" s="213"/>
      <c r="DH12" s="193"/>
      <c r="DI12" s="1341"/>
      <c r="DJ12" s="1341"/>
      <c r="DK12" s="1341"/>
      <c r="DL12" s="1341"/>
      <c r="DM12" s="537"/>
      <c r="DN12" s="1341"/>
      <c r="DO12" s="1341"/>
      <c r="DP12" s="1341"/>
      <c r="DQ12" s="1341"/>
      <c r="DR12" s="537"/>
      <c r="DS12" s="1341"/>
      <c r="DT12" s="1341"/>
      <c r="DU12" s="1341"/>
      <c r="DV12" s="1341"/>
      <c r="DW12" s="537"/>
      <c r="DX12" s="1341"/>
      <c r="DY12" s="1341"/>
      <c r="DZ12" s="1341"/>
      <c r="EA12" s="1341"/>
      <c r="EB12" s="537"/>
      <c r="EC12" s="1341"/>
      <c r="ED12" s="1341"/>
      <c r="EE12" s="1341"/>
      <c r="EF12" s="1341"/>
      <c r="EG12" s="537"/>
      <c r="EH12" s="1341"/>
      <c r="EI12" s="1341"/>
      <c r="EJ12" s="1341"/>
      <c r="EK12" s="1341"/>
      <c r="EL12" s="537"/>
    </row>
    <row r="13" spans="1:142">
      <c r="A13" s="225"/>
      <c r="B13" s="214" t="s">
        <v>290</v>
      </c>
      <c r="C13" s="48"/>
      <c r="D13" s="48"/>
      <c r="E13" s="48"/>
      <c r="F13" s="48"/>
      <c r="G13" s="48"/>
      <c r="H13" s="64"/>
      <c r="I13" s="48"/>
      <c r="J13" s="48"/>
      <c r="K13" s="48"/>
      <c r="L13" s="48"/>
      <c r="M13" s="64"/>
      <c r="N13" s="48"/>
      <c r="O13" s="48"/>
      <c r="P13" s="48"/>
      <c r="Q13" s="48"/>
      <c r="R13" s="64"/>
      <c r="S13" s="48"/>
      <c r="T13" s="48"/>
      <c r="U13" s="48"/>
      <c r="V13" s="48"/>
      <c r="W13" s="64"/>
      <c r="X13" s="48"/>
      <c r="Y13" s="48"/>
      <c r="Z13" s="48"/>
      <c r="AA13" s="48"/>
      <c r="AB13" s="64"/>
      <c r="AC13" s="48"/>
      <c r="AD13" s="48"/>
      <c r="AE13" s="48"/>
      <c r="AF13" s="48"/>
      <c r="AG13" s="64"/>
      <c r="AH13" s="48"/>
      <c r="AI13" s="48"/>
      <c r="AJ13" s="48"/>
      <c r="AK13" s="48"/>
      <c r="AL13" s="64"/>
      <c r="AM13" s="215"/>
      <c r="AN13" s="215"/>
      <c r="AO13" s="215"/>
      <c r="AP13" s="215"/>
      <c r="AQ13" s="216"/>
      <c r="AR13" s="215"/>
      <c r="AS13" s="215"/>
      <c r="AT13" s="215"/>
      <c r="AU13" s="217"/>
      <c r="AV13" s="215"/>
      <c r="AW13" s="215"/>
      <c r="AX13" s="215"/>
      <c r="AY13" s="215"/>
      <c r="AZ13" s="218"/>
      <c r="BA13" s="215"/>
      <c r="BB13" s="215"/>
      <c r="BC13" s="215"/>
      <c r="BD13" s="215"/>
      <c r="BE13" s="218"/>
      <c r="BF13" s="215"/>
      <c r="BG13" s="215"/>
      <c r="BH13" s="215"/>
      <c r="BI13" s="215"/>
      <c r="BJ13" s="218"/>
      <c r="BK13" s="215"/>
      <c r="BL13" s="215"/>
      <c r="BM13" s="215"/>
      <c r="BN13" s="215"/>
      <c r="BO13" s="218"/>
      <c r="BP13" s="215"/>
      <c r="BQ13" s="215"/>
      <c r="BR13" s="215"/>
      <c r="BS13" s="215"/>
      <c r="BT13" s="218"/>
      <c r="BU13" s="215"/>
      <c r="BV13" s="215"/>
      <c r="BW13" s="215"/>
      <c r="BX13" s="215"/>
      <c r="BY13" s="218"/>
      <c r="BZ13" s="215"/>
      <c r="CA13" s="215"/>
      <c r="CB13" s="215"/>
      <c r="CC13" s="215"/>
      <c r="CD13" s="218"/>
      <c r="CE13" s="215"/>
      <c r="CF13" s="215"/>
      <c r="CG13" s="215"/>
      <c r="CH13" s="215"/>
      <c r="CI13" s="218"/>
      <c r="CJ13" s="215"/>
      <c r="CK13" s="215"/>
      <c r="CL13" s="215"/>
      <c r="CM13" s="215"/>
      <c r="CN13" s="218"/>
      <c r="CO13" s="215"/>
      <c r="CP13" s="215"/>
      <c r="CQ13" s="215"/>
      <c r="CR13" s="215"/>
      <c r="CS13" s="218"/>
      <c r="CT13" s="215"/>
      <c r="CU13" s="215"/>
      <c r="CV13" s="215"/>
      <c r="CW13" s="215"/>
      <c r="CX13" s="218">
        <f>SUM(CT13:CW13)</f>
        <v>0</v>
      </c>
      <c r="CY13" s="215">
        <f>CY9/4*(AVERAGE(CY10:CY11))</f>
        <v>0.11475</v>
      </c>
      <c r="CZ13" s="215">
        <f>CZ9/4*(AVERAGE(CZ10:CZ11))</f>
        <v>2.3125E-2</v>
      </c>
      <c r="DA13" s="215">
        <f>DA9/4*(AVERAGE(DA10:DA11))</f>
        <v>2.1500000000000002E-2</v>
      </c>
      <c r="DB13" s="215">
        <f>DB9/4*(AVERAGE(DB10:DB11))</f>
        <v>2.4375000000000001E-2</v>
      </c>
      <c r="DC13" s="218">
        <f>SUM(CY13:DB13)</f>
        <v>0.18375</v>
      </c>
      <c r="DD13" s="215">
        <f>DD9/4*(AVERAGE(DD10:DD11))</f>
        <v>3.175E-2</v>
      </c>
      <c r="DE13" s="215">
        <f>DE9/4*(AVERAGE(DE10:DE11))</f>
        <v>6.8375000000000005E-2</v>
      </c>
      <c r="DF13" s="215">
        <f>DF9/4*(AVERAGE(DF10:DF11))</f>
        <v>7.5749999999999998E-2</v>
      </c>
      <c r="DG13" s="215">
        <f>DG9/4*(AVERAGE(DG10:DG11))</f>
        <v>4.9125000000000002E-2</v>
      </c>
      <c r="DH13" s="218">
        <f>SUM(DD13:DG13)</f>
        <v>0.22500000000000001</v>
      </c>
      <c r="DI13" s="1342">
        <f>DI9/4*(AVERAGE(DI10:DI11))</f>
        <v>0.11812500000000001</v>
      </c>
      <c r="DJ13" s="1342">
        <f>DJ9/4*(AVERAGE(DJ10:DJ11))</f>
        <v>0.15125</v>
      </c>
      <c r="DK13" s="1342">
        <f>DK9/4*(AVERAGE(DK10:DK11))</f>
        <v>0.15125</v>
      </c>
      <c r="DL13" s="1342">
        <f>DL9/4*(AVERAGE(DL10:DL11))</f>
        <v>0.1690625</v>
      </c>
      <c r="DM13" s="1343">
        <f>SUM(DI13:DL13)</f>
        <v>0.58968750000000003</v>
      </c>
      <c r="DN13" s="1342">
        <f>DN9/4*(AVERAGE(DN10:DN11))</f>
        <v>0.33875</v>
      </c>
      <c r="DO13" s="1342">
        <f>DO9/4*(AVERAGE(DO10:DO11))</f>
        <v>0.4325</v>
      </c>
      <c r="DP13" s="1342">
        <f>DP9/4*(AVERAGE(DP10:DP11))</f>
        <v>0.2628125</v>
      </c>
      <c r="DQ13" s="1342">
        <f>DQ9/4*(AVERAGE(DQ10:DQ11))</f>
        <v>0.28156249999999999</v>
      </c>
      <c r="DR13" s="1343">
        <f>SUM(DN13:DQ13)</f>
        <v>1.315625</v>
      </c>
      <c r="DS13" s="1342">
        <f>DS9/4*(AVERAGE(DS10:DS11))</f>
        <v>0.17874999999999999</v>
      </c>
      <c r="DT13" s="1342">
        <f>DT9/4*(AVERAGE(DT10:DT11))</f>
        <v>0.32718750000000002</v>
      </c>
      <c r="DU13" s="1342">
        <f>DU9/4*(AVERAGE(DU10:DU11))</f>
        <v>0.28250000000000003</v>
      </c>
      <c r="DV13" s="1342">
        <f>DV9/4*(AVERAGE(DV10:DV11))</f>
        <v>0.32500000000000001</v>
      </c>
      <c r="DW13" s="1343">
        <f>SUM(DS13:DV13)</f>
        <v>1.1134375000000001</v>
      </c>
      <c r="DX13" s="1342">
        <f>DX9/4*(AVERAGE(DX10:DX11))</f>
        <v>0.45011573692371576</v>
      </c>
      <c r="DY13" s="1342">
        <f>DY9/4*(AVERAGE(DY10:DY11))</f>
        <v>0.44835843547205612</v>
      </c>
      <c r="DZ13" s="1342">
        <f>DZ9/4*(AVERAGE(DZ10:DZ11))</f>
        <v>0.45581109616749443</v>
      </c>
      <c r="EA13" s="1342">
        <f>EA9/4*(AVERAGE(EA10:EA11))</f>
        <v>0.44404054573931584</v>
      </c>
      <c r="EB13" s="1343">
        <f>SUM(DX13:EA13)</f>
        <v>1.798325814302582</v>
      </c>
      <c r="EC13" s="1342">
        <f>EC9/4*(AVERAGE(EC10:EC11))</f>
        <v>0.29521407911046188</v>
      </c>
      <c r="ED13" s="1342">
        <f>ED9/4*(AVERAGE(ED10:ED11))</f>
        <v>0.28047559627776375</v>
      </c>
      <c r="EE13" s="1342">
        <f>EE9/4*(AVERAGE(EE10:EE11))</f>
        <v>0.37829060848908652</v>
      </c>
      <c r="EF13" s="1342">
        <f>EF9/4*(AVERAGE(EF10:EF11))</f>
        <v>0.43894151390264013</v>
      </c>
      <c r="EG13" s="1343">
        <f>SUM(EC13:EF13)</f>
        <v>1.3929217977799522</v>
      </c>
      <c r="EH13" s="1342">
        <f>EH9/4*(AVERAGE(EH10:EH11))</f>
        <v>0.42893705304742868</v>
      </c>
      <c r="EI13" s="1342">
        <f>EI9/4*(AVERAGE(EI10:EI11))</f>
        <v>0.3940227756919647</v>
      </c>
      <c r="EJ13" s="1342">
        <f>EJ9/4*(AVERAGE(EJ10:EJ11))</f>
        <v>0.39228965118882564</v>
      </c>
      <c r="EK13" s="1342">
        <f>EK9/4*(AVERAGE(EK10:EK11))</f>
        <v>0.35115002389851752</v>
      </c>
      <c r="EL13" s="1343">
        <f>SUM(EH13:EK13)</f>
        <v>1.5663995038267364</v>
      </c>
    </row>
    <row r="14" spans="1:142">
      <c r="A14" s="9"/>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c r="BY14" s="213"/>
      <c r="BZ14" s="213"/>
      <c r="CA14" s="213"/>
      <c r="CB14" s="213"/>
      <c r="CC14" s="213"/>
      <c r="CD14" s="213"/>
      <c r="CE14" s="213"/>
      <c r="CF14" s="213"/>
      <c r="CG14" s="213"/>
      <c r="CH14" s="213"/>
      <c r="CI14" s="213"/>
      <c r="CJ14" s="213"/>
      <c r="CK14" s="213"/>
      <c r="CL14" s="213"/>
      <c r="CM14" s="213"/>
      <c r="CN14" s="213"/>
      <c r="CO14" s="213"/>
      <c r="CP14" s="213"/>
      <c r="CQ14" s="213"/>
      <c r="CR14" s="213"/>
      <c r="CS14" s="213"/>
      <c r="CT14" s="213"/>
      <c r="CU14" s="213"/>
      <c r="CV14" s="213"/>
      <c r="CW14" s="213"/>
      <c r="CX14" s="213"/>
      <c r="CY14" s="213"/>
      <c r="CZ14" s="213"/>
      <c r="DA14" s="213"/>
      <c r="DB14" s="213"/>
      <c r="DC14" s="213"/>
      <c r="DD14" s="213"/>
      <c r="DE14" s="213"/>
      <c r="DF14" s="213"/>
      <c r="DG14" s="213"/>
      <c r="DH14" s="213"/>
      <c r="DI14" s="213"/>
      <c r="DJ14" s="213"/>
      <c r="DK14" s="213"/>
      <c r="DL14" s="213"/>
      <c r="DM14" s="213"/>
      <c r="DN14" s="213"/>
      <c r="DO14" s="213"/>
      <c r="DP14" s="213"/>
      <c r="DQ14" s="213"/>
      <c r="DR14" s="213"/>
      <c r="DS14" s="213"/>
      <c r="DT14" s="213"/>
      <c r="DU14" s="213"/>
      <c r="DV14" s="213"/>
      <c r="DW14" s="213"/>
      <c r="DX14" s="213"/>
      <c r="DY14" s="213"/>
      <c r="DZ14" s="213"/>
      <c r="EA14" s="213"/>
      <c r="EB14" s="213"/>
      <c r="EC14" s="213"/>
      <c r="ED14" s="213"/>
      <c r="EE14" s="213"/>
      <c r="EF14" s="213"/>
      <c r="EG14" s="213"/>
      <c r="EH14" s="213"/>
      <c r="EI14" s="213"/>
      <c r="EJ14" s="213"/>
      <c r="EK14" s="213"/>
      <c r="EL14" s="213"/>
    </row>
    <row r="15" spans="1:142">
      <c r="A15" s="1325"/>
      <c r="B15" s="219" t="s">
        <v>291</v>
      </c>
      <c r="C15" s="220"/>
      <c r="D15" s="220"/>
      <c r="E15" s="220"/>
      <c r="F15" s="220"/>
      <c r="G15" s="220"/>
      <c r="H15" s="221"/>
      <c r="I15" s="220"/>
      <c r="J15" s="220"/>
      <c r="K15" s="220"/>
      <c r="L15" s="220"/>
      <c r="M15" s="221"/>
      <c r="N15" s="220"/>
      <c r="O15" s="220"/>
      <c r="P15" s="220"/>
      <c r="Q15" s="220"/>
      <c r="R15" s="221"/>
      <c r="S15" s="220"/>
      <c r="T15" s="220"/>
      <c r="U15" s="220"/>
      <c r="V15" s="220"/>
      <c r="W15" s="221"/>
      <c r="X15" s="220"/>
      <c r="Y15" s="220"/>
      <c r="Z15" s="220"/>
      <c r="AA15" s="220"/>
      <c r="AB15" s="221"/>
      <c r="AC15" s="220"/>
      <c r="AD15" s="220"/>
      <c r="AE15" s="220"/>
      <c r="AF15" s="220"/>
      <c r="AG15" s="221"/>
      <c r="AH15" s="220"/>
      <c r="AI15" s="220"/>
      <c r="AJ15" s="220"/>
      <c r="AK15" s="220"/>
      <c r="AL15" s="221"/>
      <c r="AM15" s="222"/>
      <c r="AN15" s="222"/>
      <c r="AO15" s="222"/>
      <c r="AP15" s="222"/>
      <c r="AQ15" s="223"/>
      <c r="AR15" s="222"/>
      <c r="AS15" s="222"/>
      <c r="AT15" s="222"/>
      <c r="AU15" s="224"/>
      <c r="AV15" s="222"/>
      <c r="AW15" s="222"/>
      <c r="AX15" s="222"/>
      <c r="AY15" s="222"/>
      <c r="AZ15" s="223"/>
      <c r="BA15" s="222"/>
      <c r="BB15" s="222"/>
      <c r="BC15" s="222"/>
      <c r="BD15" s="222"/>
      <c r="BE15" s="223"/>
      <c r="BF15" s="222"/>
      <c r="BG15" s="222"/>
      <c r="BH15" s="222"/>
      <c r="BI15" s="222"/>
      <c r="BJ15" s="223"/>
      <c r="BK15" s="222"/>
      <c r="BL15" s="222"/>
      <c r="BM15" s="222"/>
      <c r="BN15" s="222"/>
      <c r="BO15" s="223"/>
      <c r="BP15" s="222"/>
      <c r="BQ15" s="222"/>
      <c r="BR15" s="222"/>
      <c r="BS15" s="222"/>
      <c r="BT15" s="223"/>
      <c r="BU15" s="222"/>
      <c r="BV15" s="222"/>
      <c r="BW15" s="222"/>
      <c r="BX15" s="222"/>
      <c r="BY15" s="223"/>
      <c r="BZ15" s="222"/>
      <c r="CA15" s="222"/>
      <c r="CB15" s="222"/>
      <c r="CC15" s="222"/>
      <c r="CD15" s="223"/>
      <c r="CE15" s="222"/>
      <c r="CF15" s="222"/>
      <c r="CG15" s="222"/>
      <c r="CH15" s="222"/>
      <c r="CI15" s="223"/>
      <c r="CJ15" s="222"/>
      <c r="CK15" s="222"/>
      <c r="CL15" s="222"/>
      <c r="CM15" s="222"/>
      <c r="CN15" s="223"/>
      <c r="CO15" s="222"/>
      <c r="CP15" s="222"/>
      <c r="CQ15" s="222"/>
      <c r="CR15" s="222"/>
      <c r="CS15" s="223"/>
      <c r="CT15" s="222"/>
      <c r="CU15" s="222"/>
      <c r="CV15" s="222"/>
      <c r="CW15" s="222"/>
      <c r="CX15" s="223"/>
      <c r="CY15" s="222"/>
      <c r="CZ15" s="222"/>
      <c r="DA15" s="222"/>
      <c r="DB15" s="222"/>
      <c r="DC15" s="223"/>
      <c r="DD15" s="222"/>
      <c r="DE15" s="222"/>
      <c r="DF15" s="222"/>
      <c r="DG15" s="222"/>
      <c r="DH15" s="223"/>
      <c r="DI15" s="222"/>
      <c r="DJ15" s="222"/>
      <c r="DK15" s="222"/>
      <c r="DL15" s="222"/>
      <c r="DM15" s="223"/>
      <c r="DN15" s="222"/>
      <c r="DO15" s="222"/>
      <c r="DP15" s="222"/>
      <c r="DQ15" s="222"/>
      <c r="DR15" s="223"/>
      <c r="DS15" s="222"/>
      <c r="DT15" s="222"/>
      <c r="DU15" s="222"/>
      <c r="DV15" s="222"/>
      <c r="DW15" s="223"/>
      <c r="DX15" s="222"/>
      <c r="DY15" s="222"/>
      <c r="DZ15" s="222"/>
      <c r="EA15" s="222"/>
      <c r="EB15" s="223"/>
      <c r="EC15" s="222"/>
      <c r="ED15" s="222"/>
      <c r="EE15" s="222"/>
      <c r="EF15" s="222"/>
      <c r="EG15" s="223"/>
      <c r="EH15" s="222"/>
      <c r="EI15" s="222"/>
      <c r="EJ15" s="222"/>
      <c r="EK15" s="222"/>
      <c r="EL15" s="223"/>
    </row>
    <row r="16" spans="1:142">
      <c r="A16" s="225"/>
      <c r="B16" s="209" t="s">
        <v>292</v>
      </c>
      <c r="C16" s="9"/>
      <c r="D16" s="9"/>
      <c r="E16" s="9"/>
      <c r="F16" s="9"/>
      <c r="G16" s="9"/>
      <c r="H16" s="63"/>
      <c r="I16" s="9"/>
      <c r="J16" s="9"/>
      <c r="K16" s="9"/>
      <c r="L16" s="9"/>
      <c r="M16" s="63"/>
      <c r="N16" s="9"/>
      <c r="O16" s="9"/>
      <c r="P16" s="9"/>
      <c r="Q16" s="9"/>
      <c r="R16" s="63"/>
      <c r="S16" s="9"/>
      <c r="T16" s="9"/>
      <c r="U16" s="9"/>
      <c r="V16" s="9"/>
      <c r="W16" s="63"/>
      <c r="X16" s="9"/>
      <c r="Y16" s="9"/>
      <c r="Z16" s="9"/>
      <c r="AA16" s="9"/>
      <c r="AB16" s="63"/>
      <c r="AC16" s="9"/>
      <c r="AD16" s="9"/>
      <c r="AE16" s="9"/>
      <c r="AF16" s="9"/>
      <c r="AG16" s="63"/>
      <c r="AH16" s="9"/>
      <c r="AI16" s="9"/>
      <c r="AJ16" s="9"/>
      <c r="AK16" s="9"/>
      <c r="AL16" s="63"/>
      <c r="AM16" s="171"/>
      <c r="AN16" s="171"/>
      <c r="AO16" s="171"/>
      <c r="AP16" s="171"/>
      <c r="AQ16" s="74"/>
      <c r="AR16" s="171"/>
      <c r="AS16" s="171"/>
      <c r="AT16" s="171"/>
      <c r="AU16" s="186"/>
      <c r="AV16" s="171"/>
      <c r="AW16" s="171"/>
      <c r="AX16" s="171"/>
      <c r="AY16" s="171"/>
      <c r="AZ16" s="193"/>
      <c r="BA16" s="171"/>
      <c r="BB16" s="171"/>
      <c r="BC16" s="171"/>
      <c r="BD16" s="171"/>
      <c r="BE16" s="193"/>
      <c r="BF16" s="171"/>
      <c r="BG16" s="171"/>
      <c r="BH16" s="171"/>
      <c r="BI16" s="171"/>
      <c r="BJ16" s="193"/>
      <c r="BK16" s="87"/>
      <c r="BL16" s="87"/>
      <c r="BM16" s="87"/>
      <c r="BN16" s="87"/>
      <c r="BO16" s="193"/>
      <c r="BP16" s="87"/>
      <c r="BQ16" s="87"/>
      <c r="BR16" s="87"/>
      <c r="BS16" s="87"/>
      <c r="BT16" s="193"/>
      <c r="BU16" s="87"/>
      <c r="BV16" s="87"/>
      <c r="BW16" s="87"/>
      <c r="BX16" s="87"/>
      <c r="BY16" s="193"/>
      <c r="BZ16" s="87"/>
      <c r="CA16" s="87"/>
      <c r="CB16" s="87"/>
      <c r="CC16" s="87"/>
      <c r="CD16" s="193"/>
      <c r="CE16" s="171" t="e">
        <f>#REF!+#REF!+#REF!+#REF!+CE102+CE204+CE52+#REF!+#REF!+CE39+CE40+CE214+#REF!+#REF!+CE218+CE221+CE222</f>
        <v>#REF!</v>
      </c>
      <c r="CF16" s="171" t="e">
        <f>#REF!+#REF!+#REF!+#REF!+CF102+CF204+CF52+#REF!+#REF!+CF39+CF40+CF214+#REF!+#REF!+CF218+CF221+CF222</f>
        <v>#REF!</v>
      </c>
      <c r="CG16" s="171" t="e">
        <f>#REF!+#REF!+#REF!+#REF!+CG102+CG204+CG52+#REF!+#REF!+CG39+CG40+CG214+#REF!+#REF!+CG218+CG221+CG222</f>
        <v>#REF!</v>
      </c>
      <c r="CH16" s="171" t="e">
        <f>#REF!+#REF!+#REF!+#REF!+CH102+CH204+CH52+#REF!+#REF!+CH39+CH40+CH214+#REF!+#REF!+CH218+CH221+CH222</f>
        <v>#REF!</v>
      </c>
      <c r="CI16" s="193"/>
      <c r="CJ16" s="171" t="e">
        <f>#REF!+#REF!+#REF!+#REF!+CJ102+CJ204+CJ52+#REF!+#REF!+CJ39+CJ40+CJ214+#REF!+#REF!+CJ218+CJ221+CJ222</f>
        <v>#REF!</v>
      </c>
      <c r="CK16" s="171" t="e">
        <f>#REF!+#REF!+#REF!+#REF!+CK102+CK204+CK52+#REF!+#REF!+CK39+CK40+CK214+#REF!+#REF!+CK218+CK221+CK222</f>
        <v>#REF!</v>
      </c>
      <c r="CL16" s="171" t="e">
        <f>#REF!+#REF!+#REF!+#REF!+CL102+CL204+CL52+#REF!+#REF!+CL39+CL40+CL214+#REF!+#REF!+CL218+CL221+CL222</f>
        <v>#REF!</v>
      </c>
      <c r="CM16" s="171" t="e">
        <f>#REF!+#REF!+#REF!+#REF!+CM102+CM204+CM52+#REF!+#REF!+CM39+CM40+CM214+#REF!+#REF!+CM218+CM221+CM222</f>
        <v>#REF!</v>
      </c>
      <c r="CN16" s="193"/>
      <c r="CO16" s="171" t="e">
        <f>#REF!+#REF!+#REF!+#REF!+CO102+CO204+CO52+#REF!+#REF!+CO39+CO40+CO214+#REF!+#REF!+CO218+CO221+CO222</f>
        <v>#REF!</v>
      </c>
      <c r="CP16" s="171" t="e">
        <f>#REF!+#REF!+#REF!+#REF!+CP102+CP204+CP52+#REF!+#REF!+CP39+CP40+CP214+#REF!+#REF!+CP218+CP221+CP222</f>
        <v>#REF!</v>
      </c>
      <c r="CQ16" s="171" t="e">
        <f>#REF!+#REF!+#REF!+#REF!+CQ102+CQ204+CQ52+#REF!+#REF!+CQ39+CQ40+CQ214+#REF!+#REF!+CQ218+CQ221+CQ222</f>
        <v>#REF!</v>
      </c>
      <c r="CR16" s="171" t="e">
        <f>#REF!+#REF!+#REF!+#REF!+CR102+CR204+CR52+#REF!+#REF!+CR39+CR40+CR214+#REF!+#REF!+CR218+CR221+CR222</f>
        <v>#REF!</v>
      </c>
      <c r="CS16" s="193"/>
      <c r="CT16" s="171" t="e">
        <f>#REF!+#REF!+#REF!+#REF!+CT102+CT204+CT52+#REF!+#REF!+CT39+CT40+CT214+#REF!+#REF!+CT218+CT221+CT222</f>
        <v>#REF!</v>
      </c>
      <c r="CU16" s="171" t="e">
        <f>#REF!+#REF!+#REF!+#REF!+CU102+CU204+CU52+#REF!+#REF!+CU39+CU40+CU214+#REF!+#REF!+CU218+CU221+CU222</f>
        <v>#REF!</v>
      </c>
      <c r="CV16" s="171" t="e">
        <f>#REF!+#REF!+#REF!+#REF!+CV102+CV204+CV52+#REF!+#REF!+CV39+CV40+CV214+#REF!+#REF!+CV218+CV221+CV222+CV62+CV154</f>
        <v>#REF!</v>
      </c>
      <c r="CW16" s="171" t="e">
        <f>#REF!+#REF!+#REF!+#REF!+CW102+CW204+CW52+#REF!+#REF!+CW39+CW40+CW214+#REF!+#REF!+CW218+CW221+CW222+CW62+CW154</f>
        <v>#REF!</v>
      </c>
      <c r="CX16" s="193"/>
      <c r="CY16" s="171" t="e">
        <f>#REF!+#REF!+#REF!+#REF!+CY102+CY204+CY52+#REF!+#REF!+CY39+CY40+CY214+#REF!+#REF!+CY218+CY221+CY222+CY62+CY154+CY82</f>
        <v>#REF!</v>
      </c>
      <c r="CZ16" s="171" t="e">
        <f>#REF!+#REF!+#REF!+#REF!+CZ102+CZ204+CZ52+#REF!+#REF!+CZ39+CZ40+CZ214+#REF!+#REF!+CZ218+CZ221+CZ222+CZ62+CZ154+CZ82</f>
        <v>#REF!</v>
      </c>
      <c r="DA16" s="171" t="e">
        <f>#REF!+#REF!+#REF!+#REF!+DA102+DA204+DA52+#REF!+#REF!+DA39+DA40+DA214+#REF!+#REF!+DA218+DA221+DA222+DA62+DA154+DA82+DA92</f>
        <v>#REF!</v>
      </c>
      <c r="DB16" s="171" t="e">
        <f>#REF!+#REF!+#REF!+#REF!+DB102+DB204+DB52+#REF!+#REF!+DB39+DB40+DB214+#REF!+#REF!+DB218+DB221+DB222+DB62+DB154+DB82+DB72+DB174+DB92</f>
        <v>#REF!</v>
      </c>
      <c r="DC16" s="193" t="e">
        <f>SUM(CY16:DB16)</f>
        <v>#REF!</v>
      </c>
      <c r="DD16" s="171" t="e">
        <f>#REF!+#REF!+#REF!+#REF!+DD102+DD204+DD52+#REF!+#REF!+DD39+DD40+DD214+#REF!+#REF!+DD218+DD221+DD222+DD62+DD154+DD82+DD72+DD174+DD134+DD92</f>
        <v>#REF!</v>
      </c>
      <c r="DE16" s="171" t="e">
        <f>#REF!+#REF!+#REF!+#REF!+DE102+DE204+DE52+#REF!+#REF!+DE39+DE40+DE214+#REF!+#REF!+DE218+DE221+DE222+DE62+DE154+DE82+DE72+DE174+DE134+DE92</f>
        <v>#REF!</v>
      </c>
      <c r="DF16" s="171" t="e">
        <f>#REF!+#REF!+#REF!+#REF!+DF102+DF204+DF52+#REF!+#REF!+DF39+DF40+DF214+#REF!+#REF!+DF218+DF221+DF222+DF62+DF154+DF82+DF72+DF174+DF134+DF92+DF144</f>
        <v>#REF!</v>
      </c>
      <c r="DG16" s="171" t="e">
        <f>#REF!+#REF!+#REF!+#REF!+DG102+DG204+DG52+#REF!+#REF!+DG39+DG40+DG214+#REF!+#REF!+DG218+DG221+DG222+DG62+DG154+DG82+DG72+DG174+DG134+DG92+DG144</f>
        <v>#REF!</v>
      </c>
      <c r="DH16" s="193" t="e">
        <f>SUM(DD16:DG16)</f>
        <v>#REF!</v>
      </c>
      <c r="DI16" s="171">
        <f>+DI102+DI204+DI52+DI39+DI40+DI214+DI218+DI221+DI222+DI62+DI154+DI82+DI72+DI174+DI134+DI92+DI144+DI112+DI164+DI184</f>
        <v>196.73828125</v>
      </c>
      <c r="DJ16" s="171">
        <f>+DJ102+DJ204+DJ52+DJ39+DJ40+DJ214+DJ218+DJ221+DJ222+DJ62+DJ154+DJ82+DJ72+DJ174+DJ134+DJ92+DJ144+DJ112+DJ164+DJ184</f>
        <v>215.92265624999999</v>
      </c>
      <c r="DK16" s="171">
        <f>+DK102+DK204+DK52+DK39+DK40+DK214+DK218+DK221+DK222+DK62+DK154+DK82+DK72+DK174+DK134+DK92+DK144+DK112+DK164+DK184</f>
        <v>234.68515625000001</v>
      </c>
      <c r="DL16" s="171">
        <f>+DL102+DL204+DL52+DL39+DL40+DL214+DL218+DL221+DL222+DL62+DL154+DL82+DL72+DL174+DL134+DL92+DL144+DL112+DL164+DL184</f>
        <v>235.45859375000001</v>
      </c>
      <c r="DM16" s="193"/>
      <c r="DN16" s="171">
        <f>+DN102+DN204+DN52+DN39+DN40+DN214+DN218+DN221+DN222+DN62+DN154+DN82+DN72+DN174+DN134+DN92+DN144+DN112+DN164+DN184</f>
        <v>227.828125</v>
      </c>
      <c r="DO16" s="171">
        <f>+DO102+DO204+DO52+DO39+DO40+DO214+DO218+DO221+DO222+DO62+DO154+DO82+DO72+DO174+DO134+DO92+DO144+DO112+DO164+DO184</f>
        <v>227.44062500000001</v>
      </c>
      <c r="DP16" s="171">
        <f>+DP102+DP204+DP52+DP39+DP40+DP214+DP218+DP221+DP222+DP62+DP154+DP82+DP72+DP174+DP134+DP92+DP144+DP112+DP164+DP184</f>
        <v>231.00312500000001</v>
      </c>
      <c r="DQ16" s="171">
        <f>+DQ102+DQ204+DQ52+DQ39+DQ40+DQ214+DQ218+DQ221+DQ222+DQ62+DQ154+DQ82+DQ72+DQ174+DQ134+DQ92+DQ144+DQ112+DQ164+DQ184</f>
        <v>238.00937500000001</v>
      </c>
      <c r="DR16" s="193"/>
      <c r="DS16" s="171">
        <f>DS17</f>
        <v>258</v>
      </c>
      <c r="DT16" s="171">
        <f>DT17</f>
        <v>260</v>
      </c>
      <c r="DU16" s="171">
        <f>+DU102+DU204+DU52+DU39+DU40+DU214+DU218+DU221+DU222+DU62+DU154+DU82+DU72+DU174+DU134+DU92+DU144+DU112+DU164+DU184</f>
        <v>232.4921875</v>
      </c>
      <c r="DV16" s="171">
        <f>+DV102+DV204+DV52+DV39+DV40+DV214+DV218+DV221+DV222+DV62+DV154+DV82+DV72+DV174+DV134+DV92+DV144+DV112+DV164+DV184</f>
        <v>210.83437499999999</v>
      </c>
      <c r="DW16" s="193">
        <f>SUM(DS16:DV16)</f>
        <v>961.32656250000002</v>
      </c>
      <c r="DX16" s="171">
        <f>+DX102+DX204+DX52+DX39+DX40+DX214+DX218+DX221+DX222+DX62+DX154+DX82+DX72+DX174+DX134+DX92+DX144+DX112+DX164+DX184+40</f>
        <v>245.79974999999999</v>
      </c>
      <c r="DY16" s="171">
        <f>+DY102+DY204+DY52+DY39+DY40+DY214+DY218+DY221+DY222+DY62+DY154+DY82+DY72+DY174+DY134+DY92+DY144+DY112+DY164+DY184+40</f>
        <v>238.26474999999999</v>
      </c>
      <c r="DZ16" s="171">
        <f>+DZ102+DZ204+DZ52+DZ39+DZ40+DZ214+DZ218+DZ221+DZ222+DZ62+DZ154+DZ82+DZ72+DZ174+DZ134+DZ92+DZ144+DZ112+DZ164+DZ184+40</f>
        <v>234.51474999999999</v>
      </c>
      <c r="EA16" s="171">
        <f>+EA102+EA204+EA52+EA39+EA40+EA214+EA218+EA221+EA222+EA62+EA154+EA82+EA72+EA174+EA134+EA92+EA144+EA112+EA164+EA184+40</f>
        <v>230.76474999999999</v>
      </c>
      <c r="EB16" s="193">
        <f>SUM(DX16:EA16)</f>
        <v>949.34400000000005</v>
      </c>
      <c r="EC16" s="171">
        <f>+EC102+EC204+EC52+EC39+EC40+EC214+EC218+EC221+EC222+EC62+EC154+EC82+EC72+EC174+EC134+EC92+EC144+EC112+EC164+EC184+40</f>
        <v>227.01474999999999</v>
      </c>
      <c r="ED16" s="171">
        <f>+ED102+ED204+ED52+ED39+ED40+ED214+ED218+ED221+ED222+ED62+ED154+ED82+ED72+ED174+ED134+ED92+ED144+ED112+ED164+ED184+40</f>
        <v>227.01474999999999</v>
      </c>
      <c r="EE16" s="171">
        <f>+EE102+EE204+EE52+EE39+EE40+EE214+EE218+EE221+EE222+EE62+EE154+EE82+EE72+EE174+EE134+EE92+EE144+EE112+EE164+EE184+40</f>
        <v>227.01474999999999</v>
      </c>
      <c r="EF16" s="171">
        <f>+EF102+EF204+EF52+EF39+EF40+EF214+EF218+EF221+EF222+EF62+EF154+EF82+EF72+EF174+EF134+EF92+EF144+EF112+EF164+EF184+40</f>
        <v>227.01474999999999</v>
      </c>
      <c r="EG16" s="193">
        <f>SUM(EC16:EF16)</f>
        <v>908.05899999999997</v>
      </c>
      <c r="EH16" s="171">
        <f>+EH102+EH204+EH52+EH39+EH40+EH214+EH218+EH221+EH222+EH62+EH154+EH82+EH72+EH174+EH134+EH92+EH144+EH112+EH164+EH184+40</f>
        <v>225.88974999999999</v>
      </c>
      <c r="EI16" s="171">
        <f>+EI102+EI204+EI52+EI39+EI40+EI214+EI218+EI221+EI222+EI62+EI154+EI82+EI72+EI174+EI134+EI92+EI144+EI112+EI164+EI184+40</f>
        <v>223.63974999999999</v>
      </c>
      <c r="EJ16" s="171">
        <f>+EJ102+EJ204+EJ52+EJ39+EJ40+EJ214+EJ218+EJ221+EJ222+EJ62+EJ154+EJ82+EJ72+EJ174+EJ134+EJ92+EJ144+EJ112+EJ164+EJ184+40</f>
        <v>221.38974999999999</v>
      </c>
      <c r="EK16" s="171">
        <f>+EK102+EK204+EK52+EK39+EK40+EK214+EK218+EK221+EK222+EK62+EK154+EK82+EK72+EK174+EK134+EK92+EK144+EK112+EK164+EK184+40</f>
        <v>219.13974999999999</v>
      </c>
      <c r="EL16" s="193">
        <f>SUM(EH16:EK16)</f>
        <v>890.05899999999997</v>
      </c>
    </row>
    <row r="17" spans="1:142">
      <c r="A17" s="225"/>
      <c r="B17" s="1346" t="s">
        <v>293</v>
      </c>
      <c r="C17" s="1347"/>
      <c r="D17" s="1347"/>
      <c r="E17" s="1347"/>
      <c r="F17" s="1347"/>
      <c r="G17" s="1347"/>
      <c r="H17" s="1348"/>
      <c r="I17" s="1347"/>
      <c r="J17" s="1347"/>
      <c r="K17" s="1347"/>
      <c r="L17" s="1347"/>
      <c r="M17" s="1348"/>
      <c r="N17" s="1347"/>
      <c r="O17" s="1347"/>
      <c r="P17" s="1347"/>
      <c r="Q17" s="1347"/>
      <c r="R17" s="1348"/>
      <c r="S17" s="1347"/>
      <c r="T17" s="1347"/>
      <c r="U17" s="1347"/>
      <c r="V17" s="1347"/>
      <c r="W17" s="1348"/>
      <c r="X17" s="1347"/>
      <c r="Y17" s="1347"/>
      <c r="Z17" s="1347"/>
      <c r="AA17" s="1347"/>
      <c r="AB17" s="1348"/>
      <c r="AC17" s="1347"/>
      <c r="AD17" s="1347"/>
      <c r="AE17" s="1347"/>
      <c r="AF17" s="1347"/>
      <c r="AG17" s="1348"/>
      <c r="AH17" s="1347"/>
      <c r="AI17" s="1347"/>
      <c r="AJ17" s="1347"/>
      <c r="AK17" s="1347"/>
      <c r="AL17" s="1348"/>
      <c r="AM17" s="1349"/>
      <c r="AN17" s="1349"/>
      <c r="AO17" s="1349"/>
      <c r="AP17" s="1349"/>
      <c r="AQ17" s="1350"/>
      <c r="AR17" s="1349"/>
      <c r="AS17" s="1349"/>
      <c r="AT17" s="1349"/>
      <c r="AU17" s="1348"/>
      <c r="AV17" s="1349"/>
      <c r="AW17" s="1349"/>
      <c r="AX17" s="1349"/>
      <c r="AY17" s="1349"/>
      <c r="AZ17" s="1351"/>
      <c r="BA17" s="1349"/>
      <c r="BB17" s="1349"/>
      <c r="BC17" s="1349"/>
      <c r="BD17" s="1349"/>
      <c r="BE17" s="1351"/>
      <c r="BF17" s="1349"/>
      <c r="BG17" s="1349"/>
      <c r="BH17" s="1349"/>
      <c r="BI17" s="1349"/>
      <c r="BJ17" s="1351"/>
      <c r="BK17" s="1352"/>
      <c r="BL17" s="1352"/>
      <c r="BM17" s="1352"/>
      <c r="BN17" s="1352"/>
      <c r="BO17" s="1351"/>
      <c r="BP17" s="1352"/>
      <c r="BQ17" s="1352"/>
      <c r="BR17" s="1352"/>
      <c r="BS17" s="1352"/>
      <c r="BT17" s="1351"/>
      <c r="BU17" s="1352"/>
      <c r="BV17" s="1352"/>
      <c r="BW17" s="1352"/>
      <c r="BX17" s="1352"/>
      <c r="BY17" s="1351"/>
      <c r="BZ17" s="1352"/>
      <c r="CA17" s="1352"/>
      <c r="CB17" s="1352"/>
      <c r="CC17" s="1352"/>
      <c r="CD17" s="1351"/>
      <c r="CE17" s="1349">
        <f>IS!CE28</f>
        <v>110</v>
      </c>
      <c r="CF17" s="1349">
        <f>IS!CF28</f>
        <v>120</v>
      </c>
      <c r="CG17" s="1349">
        <f>IS!CG28</f>
        <v>112</v>
      </c>
      <c r="CH17" s="1349">
        <f>IS!CH28</f>
        <v>103</v>
      </c>
      <c r="CI17" s="1351"/>
      <c r="CJ17" s="1349">
        <f>IS!CJ28</f>
        <v>109</v>
      </c>
      <c r="CK17" s="1349">
        <f>IS!CK28</f>
        <v>107</v>
      </c>
      <c r="CL17" s="1349">
        <f>IS!CL28</f>
        <v>107</v>
      </c>
      <c r="CM17" s="1349">
        <f>IS!CM28</f>
        <v>101</v>
      </c>
      <c r="CN17" s="1351"/>
      <c r="CO17" s="1349">
        <f>IS!CO28</f>
        <v>118</v>
      </c>
      <c r="CP17" s="1349">
        <f>IS!CP28</f>
        <v>98</v>
      </c>
      <c r="CQ17" s="1349">
        <f>IS!CQ28</f>
        <v>59</v>
      </c>
      <c r="CR17" s="1349">
        <f>IS!CR28</f>
        <v>100</v>
      </c>
      <c r="CS17" s="1351"/>
      <c r="CT17" s="1349">
        <f>IS!CT28</f>
        <v>98</v>
      </c>
      <c r="CU17" s="1349">
        <f>IS!CU28</f>
        <v>102</v>
      </c>
      <c r="CV17" s="1349">
        <f>IS!CV28</f>
        <v>103</v>
      </c>
      <c r="CW17" s="1349">
        <f>IS!CW28</f>
        <v>109</v>
      </c>
      <c r="CX17" s="1351"/>
      <c r="CY17" s="1349">
        <f>IS!CY28</f>
        <v>103</v>
      </c>
      <c r="CZ17" s="1349">
        <f>IS!CZ28</f>
        <v>98</v>
      </c>
      <c r="DA17" s="1349">
        <f>IS!DA28</f>
        <v>91</v>
      </c>
      <c r="DB17" s="1349">
        <f>IS!DB28</f>
        <v>182</v>
      </c>
      <c r="DC17" s="1351"/>
      <c r="DD17" s="1349">
        <f>IS!DD28</f>
        <v>182</v>
      </c>
      <c r="DE17" s="1349">
        <f>IS!DE28</f>
        <v>190</v>
      </c>
      <c r="DF17" s="1349">
        <f>IS!DF28</f>
        <v>186</v>
      </c>
      <c r="DG17" s="1349">
        <f>IS!DG28</f>
        <v>196</v>
      </c>
      <c r="DH17" s="1351"/>
      <c r="DI17" s="1349">
        <f>IS!DI28</f>
        <v>199</v>
      </c>
      <c r="DJ17" s="1349">
        <f>IS!DJ28</f>
        <v>217</v>
      </c>
      <c r="DK17" s="1349">
        <f>IS!DK28</f>
        <v>248</v>
      </c>
      <c r="DL17" s="1349">
        <f>IS!DL28</f>
        <v>248</v>
      </c>
      <c r="DM17" s="1351"/>
      <c r="DN17" s="1349">
        <f>IS!DN28</f>
        <v>243</v>
      </c>
      <c r="DO17" s="1349">
        <f>IS!DO28</f>
        <v>244</v>
      </c>
      <c r="DP17" s="1349">
        <f>IS!DP28</f>
        <v>243</v>
      </c>
      <c r="DQ17" s="1349">
        <f>IS!DQ28</f>
        <v>249</v>
      </c>
      <c r="DR17" s="1351"/>
      <c r="DS17" s="1349">
        <f>IS!DS28</f>
        <v>258</v>
      </c>
      <c r="DT17" s="1349">
        <f>IS!DT28</f>
        <v>260</v>
      </c>
      <c r="DU17" s="1349">
        <f>IS!DU28</f>
        <v>257</v>
      </c>
      <c r="DV17" s="1349">
        <f>IS!DV28</f>
        <v>253</v>
      </c>
      <c r="DW17" s="218">
        <f>SUM(DS17:DV17)</f>
        <v>1028</v>
      </c>
      <c r="DX17" s="1349">
        <f>IS!DX28</f>
        <v>245.79974999999999</v>
      </c>
      <c r="DY17" s="1349">
        <f>IS!DY28</f>
        <v>238.26474999999999</v>
      </c>
      <c r="DZ17" s="1349">
        <f>IS!DZ28</f>
        <v>234.51474999999999</v>
      </c>
      <c r="EA17" s="1349">
        <f>IS!EA28</f>
        <v>230.76474999999999</v>
      </c>
      <c r="EB17" s="218">
        <f>SUM(DX17:EA17)</f>
        <v>949.34400000000005</v>
      </c>
      <c r="EC17" s="1349">
        <f>IS!EC28</f>
        <v>227.01474999999999</v>
      </c>
      <c r="ED17" s="1349">
        <f>IS!ED28</f>
        <v>227.01474999999999</v>
      </c>
      <c r="EE17" s="1349">
        <f>IS!EE28</f>
        <v>227.01474999999999</v>
      </c>
      <c r="EF17" s="1349">
        <f>IS!EF28</f>
        <v>227.01474999999999</v>
      </c>
      <c r="EG17" s="218">
        <f>SUM(EC17:EF17)</f>
        <v>908.05899999999997</v>
      </c>
      <c r="EH17" s="1349">
        <f>IS!EH28</f>
        <v>225.88974999999999</v>
      </c>
      <c r="EI17" s="1349">
        <f>IS!EI28</f>
        <v>223.63974999999999</v>
      </c>
      <c r="EJ17" s="1349">
        <f>IS!EJ28</f>
        <v>221.38974999999999</v>
      </c>
      <c r="EK17" s="1349">
        <f>IS!EK28</f>
        <v>219.13974999999999</v>
      </c>
      <c r="EL17" s="218">
        <f>SUM(EH17:EK17)</f>
        <v>890.05899999999997</v>
      </c>
    </row>
    <row r="18" spans="1:142">
      <c r="A18" s="225"/>
      <c r="B18" s="225"/>
      <c r="C18" s="9"/>
      <c r="D18" s="9"/>
      <c r="E18" s="9"/>
      <c r="F18" s="9"/>
      <c r="G18" s="9"/>
      <c r="H18" s="63"/>
      <c r="I18" s="9"/>
      <c r="J18" s="9"/>
      <c r="K18" s="9"/>
      <c r="L18" s="9"/>
      <c r="M18" s="63"/>
      <c r="N18" s="9"/>
      <c r="O18" s="9"/>
      <c r="P18" s="9"/>
      <c r="Q18" s="9"/>
      <c r="R18" s="63"/>
      <c r="S18" s="9"/>
      <c r="T18" s="9"/>
      <c r="U18" s="9"/>
      <c r="V18" s="9"/>
      <c r="W18" s="63"/>
      <c r="X18" s="9"/>
      <c r="Y18" s="9"/>
      <c r="Z18" s="9"/>
      <c r="AA18" s="9"/>
      <c r="AB18" s="63"/>
      <c r="AC18" s="9"/>
      <c r="AD18" s="9"/>
      <c r="AE18" s="9"/>
      <c r="AF18" s="9"/>
      <c r="AG18" s="63"/>
      <c r="AH18" s="9"/>
      <c r="AI18" s="9"/>
      <c r="AJ18" s="9"/>
      <c r="AK18" s="9"/>
      <c r="AL18" s="63"/>
      <c r="AM18" s="171"/>
      <c r="AN18" s="171"/>
      <c r="AO18" s="171"/>
      <c r="AP18" s="171"/>
      <c r="AQ18" s="74"/>
      <c r="AR18" s="171"/>
      <c r="AS18" s="171"/>
      <c r="AT18" s="171"/>
      <c r="AU18" s="186"/>
      <c r="AV18" s="171"/>
      <c r="AW18" s="171"/>
      <c r="AX18" s="171"/>
      <c r="AY18" s="171"/>
      <c r="AZ18" s="193"/>
      <c r="BA18" s="53"/>
      <c r="BB18" s="53"/>
      <c r="BC18" s="53"/>
      <c r="BD18" s="53"/>
      <c r="BE18" s="28"/>
      <c r="BF18" s="53"/>
      <c r="BG18" s="53"/>
      <c r="BH18" s="53"/>
      <c r="BI18" s="53"/>
      <c r="BJ18" s="28"/>
      <c r="BK18" s="171"/>
      <c r="BL18" s="171"/>
      <c r="BM18" s="171"/>
      <c r="BN18" s="171"/>
      <c r="BO18" s="193"/>
      <c r="BP18" s="171"/>
      <c r="BQ18" s="171"/>
      <c r="BR18" s="171"/>
      <c r="BS18" s="171"/>
      <c r="BT18" s="193"/>
      <c r="BU18" s="171"/>
      <c r="BV18" s="171"/>
      <c r="BW18" s="171"/>
      <c r="BX18" s="171"/>
      <c r="BY18" s="193"/>
      <c r="BZ18" s="171"/>
      <c r="CA18" s="171"/>
      <c r="CB18" s="171"/>
      <c r="CC18" s="171"/>
      <c r="CD18" s="193"/>
      <c r="CE18" s="171"/>
      <c r="CF18" s="171"/>
      <c r="CG18" s="210"/>
      <c r="CH18" s="90"/>
      <c r="CI18" s="193"/>
      <c r="CJ18" s="171"/>
      <c r="CK18" s="171"/>
      <c r="CL18" s="171"/>
      <c r="CM18" s="171"/>
      <c r="CN18" s="28"/>
      <c r="CO18" s="171"/>
      <c r="CP18" s="171"/>
      <c r="CQ18" s="53"/>
      <c r="CR18" s="53"/>
      <c r="CS18" s="28"/>
      <c r="CT18" s="53"/>
      <c r="CU18" s="53"/>
      <c r="CV18" s="53"/>
      <c r="CW18" s="53"/>
      <c r="CX18" s="28"/>
      <c r="CY18" s="53"/>
      <c r="CZ18" s="53"/>
      <c r="DA18" s="53"/>
      <c r="DB18" s="53"/>
      <c r="DC18" s="28"/>
      <c r="DD18" s="53"/>
      <c r="DE18" s="53"/>
      <c r="DF18" s="53"/>
      <c r="DG18" s="53"/>
      <c r="DH18" s="28"/>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c r="EH18" s="53"/>
      <c r="EI18" s="53"/>
      <c r="EJ18" s="53"/>
      <c r="EK18" s="53"/>
      <c r="EL18" s="53"/>
    </row>
    <row r="19" spans="1:142">
      <c r="A19" s="526"/>
      <c r="B19" s="226" t="s">
        <v>575</v>
      </c>
      <c r="C19" s="228"/>
      <c r="D19" s="228"/>
      <c r="E19" s="228"/>
      <c r="F19" s="228"/>
      <c r="G19" s="228"/>
      <c r="H19" s="229"/>
      <c r="I19" s="228"/>
      <c r="J19" s="228"/>
      <c r="K19" s="228"/>
      <c r="L19" s="228"/>
      <c r="M19" s="229"/>
      <c r="N19" s="228"/>
      <c r="O19" s="228"/>
      <c r="P19" s="228"/>
      <c r="Q19" s="228"/>
      <c r="R19" s="229"/>
      <c r="S19" s="228"/>
      <c r="T19" s="228"/>
      <c r="U19" s="228"/>
      <c r="V19" s="228"/>
      <c r="W19" s="229"/>
      <c r="X19" s="228"/>
      <c r="Y19" s="228"/>
      <c r="Z19" s="228"/>
      <c r="AA19" s="228"/>
      <c r="AB19" s="229"/>
      <c r="AC19" s="228"/>
      <c r="AD19" s="228"/>
      <c r="AE19" s="228"/>
      <c r="AF19" s="228"/>
      <c r="AG19" s="229"/>
      <c r="AH19" s="228"/>
      <c r="AI19" s="228"/>
      <c r="AJ19" s="228"/>
      <c r="AK19" s="228"/>
      <c r="AL19" s="229"/>
      <c r="AM19" s="228"/>
      <c r="AN19" s="228"/>
      <c r="AO19" s="228"/>
      <c r="AP19" s="228"/>
      <c r="AQ19" s="229"/>
      <c r="AR19" s="228"/>
      <c r="AS19" s="228"/>
      <c r="AT19" s="228"/>
      <c r="AU19" s="230"/>
      <c r="AV19" s="228"/>
      <c r="AW19" s="228"/>
      <c r="AX19" s="228"/>
      <c r="AY19" s="228"/>
      <c r="AZ19" s="229"/>
      <c r="BA19" s="228"/>
      <c r="BB19" s="228"/>
      <c r="BC19" s="228"/>
      <c r="BD19" s="228"/>
      <c r="BE19" s="229"/>
      <c r="BF19" s="228"/>
      <c r="BG19" s="228"/>
      <c r="BH19" s="228"/>
      <c r="BI19" s="228"/>
      <c r="BJ19" s="229"/>
      <c r="BK19" s="228"/>
      <c r="BL19" s="228"/>
      <c r="BM19" s="228"/>
      <c r="BN19" s="228"/>
      <c r="BO19" s="229"/>
      <c r="BP19" s="228"/>
      <c r="BQ19" s="228"/>
      <c r="BR19" s="228"/>
      <c r="BS19" s="228"/>
      <c r="BT19" s="229"/>
      <c r="BU19" s="228"/>
      <c r="BV19" s="228"/>
      <c r="BW19" s="228"/>
      <c r="BX19" s="228"/>
      <c r="BY19" s="229"/>
      <c r="BZ19" s="228"/>
      <c r="CA19" s="228"/>
      <c r="CB19" s="228"/>
      <c r="CC19" s="228"/>
      <c r="CD19" s="229"/>
      <c r="CE19" s="228"/>
      <c r="CF19" s="228"/>
      <c r="CG19" s="228"/>
      <c r="CH19" s="228"/>
      <c r="CI19" s="229"/>
      <c r="CJ19" s="228"/>
      <c r="CK19" s="228"/>
      <c r="CL19" s="228"/>
      <c r="CM19" s="228"/>
      <c r="CN19" s="229"/>
      <c r="CO19" s="228"/>
      <c r="CP19" s="228"/>
      <c r="CQ19" s="228"/>
      <c r="CR19" s="228"/>
      <c r="CS19" s="229"/>
      <c r="CT19" s="228"/>
      <c r="CU19" s="228"/>
      <c r="CV19" s="228"/>
      <c r="CW19" s="228"/>
      <c r="CX19" s="229"/>
      <c r="CY19" s="228"/>
      <c r="CZ19" s="228"/>
      <c r="DA19" s="228"/>
      <c r="DB19" s="228"/>
      <c r="DC19" s="229"/>
      <c r="DD19" s="228"/>
      <c r="DE19" s="228"/>
      <c r="DF19" s="228"/>
      <c r="DG19" s="228"/>
      <c r="DH19" s="229"/>
      <c r="DI19" s="228"/>
      <c r="DJ19" s="231"/>
      <c r="DK19" s="231"/>
      <c r="DL19" s="228"/>
      <c r="DM19" s="229"/>
      <c r="DN19" s="228"/>
      <c r="DO19" s="231"/>
      <c r="DP19" s="231"/>
      <c r="DQ19" s="231"/>
      <c r="DR19" s="229"/>
      <c r="DS19" s="231"/>
      <c r="DT19" s="231"/>
      <c r="DU19" s="1412"/>
      <c r="DV19" s="1412"/>
      <c r="DW19" s="229"/>
      <c r="DX19" s="231"/>
      <c r="DY19" s="231"/>
      <c r="DZ19" s="231"/>
      <c r="EA19" s="231"/>
      <c r="EB19" s="229"/>
      <c r="EC19" s="231"/>
      <c r="ED19" s="231"/>
      <c r="EE19" s="231"/>
      <c r="EF19" s="231"/>
      <c r="EG19" s="229"/>
      <c r="EH19" s="231"/>
      <c r="EI19" s="231"/>
      <c r="EJ19" s="231"/>
      <c r="EK19" s="231"/>
      <c r="EL19" s="229"/>
    </row>
    <row r="20" spans="1:142" collapsed="1">
      <c r="A20" s="225"/>
      <c r="B20" s="1354" t="s">
        <v>669</v>
      </c>
      <c r="C20" s="1333"/>
      <c r="D20" s="1333"/>
      <c r="E20" s="1333"/>
      <c r="F20" s="1333"/>
      <c r="G20" s="1333"/>
      <c r="H20" s="1355"/>
      <c r="I20" s="1333"/>
      <c r="J20" s="1333"/>
      <c r="K20" s="1333"/>
      <c r="L20" s="1333"/>
      <c r="M20" s="1355"/>
      <c r="N20" s="1333"/>
      <c r="O20" s="1333"/>
      <c r="P20" s="1333"/>
      <c r="Q20" s="1333"/>
      <c r="R20" s="1355"/>
      <c r="S20" s="1333"/>
      <c r="T20" s="1333"/>
      <c r="U20" s="1333"/>
      <c r="V20" s="1333"/>
      <c r="W20" s="1355"/>
      <c r="X20" s="1333"/>
      <c r="Y20" s="1333"/>
      <c r="Z20" s="1333"/>
      <c r="AA20" s="1333"/>
      <c r="AB20" s="1355"/>
      <c r="AC20" s="1333"/>
      <c r="AD20" s="1333"/>
      <c r="AE20" s="1333"/>
      <c r="AF20" s="1333"/>
      <c r="AG20" s="1355"/>
      <c r="AH20" s="1333"/>
      <c r="AI20" s="1333"/>
      <c r="AJ20" s="1333"/>
      <c r="AK20" s="1333"/>
      <c r="AL20" s="1355"/>
      <c r="AM20" s="1356"/>
      <c r="AN20" s="1356"/>
      <c r="AO20" s="1356"/>
      <c r="AP20" s="1356"/>
      <c r="AQ20" s="1334"/>
      <c r="AR20" s="1356"/>
      <c r="AS20" s="1356"/>
      <c r="AT20" s="1356"/>
      <c r="AU20" s="1334"/>
      <c r="AV20" s="1356"/>
      <c r="AW20" s="1356"/>
      <c r="AX20" s="1356"/>
      <c r="AY20" s="1356"/>
      <c r="AZ20" s="1334"/>
      <c r="BA20" s="1356"/>
      <c r="BB20" s="1356"/>
      <c r="BC20" s="1356"/>
      <c r="BD20" s="1356"/>
      <c r="BE20" s="1334"/>
      <c r="BF20" s="1356"/>
      <c r="BG20" s="1356"/>
      <c r="BH20" s="1356"/>
      <c r="BI20" s="1356"/>
      <c r="BJ20" s="1334"/>
      <c r="BK20" s="1356"/>
      <c r="BL20" s="1356"/>
      <c r="BM20" s="1356"/>
      <c r="BN20" s="1356"/>
      <c r="BO20" s="1334"/>
      <c r="BP20" s="1356"/>
      <c r="BQ20" s="1356"/>
      <c r="BR20" s="1356"/>
      <c r="BS20" s="1356"/>
      <c r="BT20" s="1334"/>
      <c r="BU20" s="1356"/>
      <c r="BV20" s="1356"/>
      <c r="BW20" s="1356"/>
      <c r="BX20" s="1356"/>
      <c r="BY20" s="1334"/>
      <c r="BZ20" s="1356"/>
      <c r="CA20" s="1356"/>
      <c r="CB20" s="1356"/>
      <c r="CC20" s="1356"/>
      <c r="CD20" s="1334">
        <f>'BS &amp; CF'!CD26+'BS &amp; CF'!CD36</f>
        <v>4780</v>
      </c>
      <c r="CE20" s="1356">
        <f>'BS &amp; CF'!CE26+'BS &amp; CF'!CE36</f>
        <v>4641</v>
      </c>
      <c r="CF20" s="1356">
        <f>'BS &amp; CF'!CF26+'BS &amp; CF'!CF36</f>
        <v>4626</v>
      </c>
      <c r="CG20" s="1356">
        <f>'BS &amp; CF'!CG26+'BS &amp; CF'!CG36</f>
        <v>4269</v>
      </c>
      <c r="CH20" s="1356">
        <f>'BS &amp; CF'!CH26+'BS &amp; CF'!CH36</f>
        <v>4274</v>
      </c>
      <c r="CI20" s="1334">
        <f>'BS &amp; CF'!CI26+'BS &amp; CF'!CI36</f>
        <v>4274</v>
      </c>
      <c r="CJ20" s="1356">
        <f>'BS &amp; CF'!CJ26+'BS &amp; CF'!CJ36</f>
        <v>4273</v>
      </c>
      <c r="CK20" s="1356">
        <f>'BS &amp; CF'!CK26+'BS &amp; CF'!CK36</f>
        <v>4274</v>
      </c>
      <c r="CL20" s="1356">
        <f>'BS &amp; CF'!CL26+'BS &amp; CF'!CL36</f>
        <v>4059</v>
      </c>
      <c r="CM20" s="1356">
        <f>'BS &amp; CF'!CM26+'BS &amp; CF'!CM36</f>
        <v>4064</v>
      </c>
      <c r="CN20" s="1334">
        <f>'BS &amp; CF'!CN26+'BS &amp; CF'!CN36</f>
        <v>4064</v>
      </c>
      <c r="CO20" s="1356">
        <f>'BS &amp; CF'!CO26+'BS &amp; CF'!CO36</f>
        <v>4082</v>
      </c>
      <c r="CP20" s="1356">
        <f>'BS &amp; CF'!CP26+'BS &amp; CF'!CP36</f>
        <v>4117</v>
      </c>
      <c r="CQ20" s="1356">
        <f>'BS &amp; CF'!CQ26+'BS &amp; CF'!CQ36</f>
        <v>4095</v>
      </c>
      <c r="CR20" s="1356">
        <f>'BS &amp; CF'!CR26+'BS &amp; CF'!CR36</f>
        <v>4360</v>
      </c>
      <c r="CS20" s="1334">
        <f>'BS &amp; CF'!CS26+'BS &amp; CF'!CS36</f>
        <v>4360</v>
      </c>
      <c r="CT20" s="1356">
        <f>'BS &amp; CF'!CT26+'BS &amp; CF'!CT36</f>
        <v>4583</v>
      </c>
      <c r="CU20" s="1356">
        <f>'BS &amp; CF'!CU26+'BS &amp; CF'!CU36</f>
        <v>4748</v>
      </c>
      <c r="CV20" s="1356">
        <f>'BS &amp; CF'!CV26+'BS &amp; CF'!CV36</f>
        <v>4751</v>
      </c>
      <c r="CW20" s="1356">
        <f>'BS &amp; CF'!CW26+'BS &amp; CF'!CW36</f>
        <v>5252</v>
      </c>
      <c r="CX20" s="1334">
        <f>CW20</f>
        <v>5252</v>
      </c>
      <c r="CY20" s="1356">
        <f>'BS &amp; CF'!CY26+'BS &amp; CF'!CY36</f>
        <v>5427</v>
      </c>
      <c r="CZ20" s="1356">
        <f>'BS &amp; CF'!CZ26+'BS &amp; CF'!CZ36</f>
        <v>5635</v>
      </c>
      <c r="DA20" s="1356">
        <f>'BS &amp; CF'!DA26+'BS &amp; CF'!DA36</f>
        <v>5823</v>
      </c>
      <c r="DB20" s="1356">
        <f>'BS &amp; CF'!DB26+'BS &amp; CF'!DB36</f>
        <v>10839</v>
      </c>
      <c r="DC20" s="1334">
        <f>DB20</f>
        <v>10839</v>
      </c>
      <c r="DD20" s="1356">
        <f>'BS &amp; CF'!DD26+'BS &amp; CF'!DD36</f>
        <v>11234</v>
      </c>
      <c r="DE20" s="1356">
        <f>'BS &amp; CF'!DE26+'BS &amp; CF'!DE36</f>
        <v>11564</v>
      </c>
      <c r="DF20" s="1356">
        <f>'BS &amp; CF'!DF26+'BS &amp; CF'!DF36</f>
        <v>11553</v>
      </c>
      <c r="DG20" s="1356">
        <f>'BS &amp; CF'!DG26+'BS &amp; CF'!DG36</f>
        <v>11807</v>
      </c>
      <c r="DH20" s="1334">
        <f>DG20</f>
        <v>11807</v>
      </c>
      <c r="DI20" s="1357">
        <f>'BS &amp; CF'!DI26+'BS &amp; CF'!DI36</f>
        <v>11934</v>
      </c>
      <c r="DJ20" s="1357">
        <f>'BS &amp; CF'!DJ26+'BS &amp; CF'!DJ36</f>
        <v>14754</v>
      </c>
      <c r="DK20" s="1357">
        <f>'BS &amp; CF'!DK26+'BS &amp; CF'!DK36</f>
        <v>14754</v>
      </c>
      <c r="DL20" s="1357">
        <f>'BS &amp; CF'!DL26+'BS &amp; CF'!DL36</f>
        <v>14510</v>
      </c>
      <c r="DM20" s="1340">
        <f>DL20</f>
        <v>14510</v>
      </c>
      <c r="DN20" s="1357">
        <f>'BS &amp; CF'!DN26+'BS &amp; CF'!DN36</f>
        <v>14522</v>
      </c>
      <c r="DO20" s="1357">
        <f>'BS &amp; CF'!DO26+'BS &amp; CF'!DO36</f>
        <v>14501</v>
      </c>
      <c r="DP20" s="1357">
        <f>'BS &amp; CF'!DP26+'BS &amp; CF'!DP36</f>
        <v>14507</v>
      </c>
      <c r="DQ20" s="1357">
        <f>'BS &amp; CF'!DQ26+'BS &amp; CF'!DQ36</f>
        <v>15255</v>
      </c>
      <c r="DR20" s="1340">
        <f>DQ20</f>
        <v>15255</v>
      </c>
      <c r="DS20" s="1357">
        <f>'BS &amp; CF'!DS26+'BS &amp; CF'!DS36</f>
        <v>15218</v>
      </c>
      <c r="DT20" s="1357">
        <f>'BS &amp; CF'!DT26+'BS &amp; CF'!DT36</f>
        <v>15155</v>
      </c>
      <c r="DU20" s="1357">
        <f>'BS &amp; CF'!DU26+'BS &amp; CF'!DU36</f>
        <v>14881</v>
      </c>
      <c r="DV20" s="1357">
        <f>'BS &amp; CF'!DV26+'BS &amp; CF'!DV36</f>
        <v>14937</v>
      </c>
      <c r="DW20" s="1340">
        <f>DV20</f>
        <v>14937</v>
      </c>
      <c r="DX20" s="1357">
        <f>'BS &amp; CF'!DX26+'BS &amp; CF'!DX36</f>
        <v>14437</v>
      </c>
      <c r="DY20" s="1357">
        <f>'BS &amp; CF'!DY26+'BS &amp; CF'!DY36</f>
        <v>13937</v>
      </c>
      <c r="DZ20" s="1357">
        <f>'BS &amp; CF'!DZ26+'BS &amp; CF'!DZ36</f>
        <v>13937</v>
      </c>
      <c r="EA20" s="1357">
        <f>'BS &amp; CF'!EA26+'BS &amp; CF'!EA36</f>
        <v>13437</v>
      </c>
      <c r="EB20" s="1340">
        <f>EA20</f>
        <v>13437</v>
      </c>
      <c r="EC20" s="1357">
        <f>'BS &amp; CF'!EC26+'BS &amp; CF'!EC36</f>
        <v>13437</v>
      </c>
      <c r="ED20" s="1357">
        <f>'BS &amp; CF'!ED26+'BS &amp; CF'!ED36</f>
        <v>13437</v>
      </c>
      <c r="EE20" s="1357">
        <f>'BS &amp; CF'!EE26+'BS &amp; CF'!EE36</f>
        <v>13437</v>
      </c>
      <c r="EF20" s="1357">
        <f>'BS &amp; CF'!EF26+'BS &amp; CF'!EF36</f>
        <v>13437</v>
      </c>
      <c r="EG20" s="1340">
        <f>EF20</f>
        <v>13437</v>
      </c>
      <c r="EH20" s="1357">
        <f>'BS &amp; CF'!EH26+'BS &amp; CF'!EH36</f>
        <v>13237</v>
      </c>
      <c r="EI20" s="1357">
        <f>'BS &amp; CF'!EI26+'BS &amp; CF'!EI36</f>
        <v>13037</v>
      </c>
      <c r="EJ20" s="1357">
        <f>'BS &amp; CF'!EJ26+'BS &amp; CF'!EJ36</f>
        <v>12837</v>
      </c>
      <c r="EK20" s="1357">
        <f>'BS &amp; CF'!EK26+'BS &amp; CF'!EK36</f>
        <v>12637</v>
      </c>
      <c r="EL20" s="1340">
        <f>EK20</f>
        <v>12637</v>
      </c>
    </row>
    <row r="21" spans="1:142">
      <c r="A21" s="225"/>
      <c r="B21" s="209" t="s">
        <v>294</v>
      </c>
      <c r="C21" s="9"/>
      <c r="D21" s="9"/>
      <c r="E21" s="9"/>
      <c r="F21" s="9"/>
      <c r="G21" s="9"/>
      <c r="H21" s="63"/>
      <c r="I21" s="9"/>
      <c r="J21" s="9"/>
      <c r="K21" s="9"/>
      <c r="L21" s="9"/>
      <c r="M21" s="63"/>
      <c r="N21" s="9"/>
      <c r="O21" s="9"/>
      <c r="P21" s="9"/>
      <c r="Q21" s="9"/>
      <c r="R21" s="63"/>
      <c r="S21" s="9"/>
      <c r="T21" s="9"/>
      <c r="U21" s="9"/>
      <c r="V21" s="9"/>
      <c r="W21" s="63"/>
      <c r="X21" s="9"/>
      <c r="Y21" s="9"/>
      <c r="Z21" s="9"/>
      <c r="AA21" s="9"/>
      <c r="AB21" s="63"/>
      <c r="AC21" s="9"/>
      <c r="AD21" s="9"/>
      <c r="AE21" s="9"/>
      <c r="AF21" s="9"/>
      <c r="AG21" s="63"/>
      <c r="AH21" s="9"/>
      <c r="AI21" s="9"/>
      <c r="AJ21" s="9"/>
      <c r="AK21" s="9"/>
      <c r="AL21" s="63"/>
      <c r="AM21" s="171"/>
      <c r="AN21" s="171"/>
      <c r="AO21" s="171"/>
      <c r="AP21" s="171"/>
      <c r="AQ21" s="193"/>
      <c r="AR21" s="171"/>
      <c r="AS21" s="171"/>
      <c r="AT21" s="171"/>
      <c r="AU21" s="186"/>
      <c r="AV21" s="171"/>
      <c r="AW21" s="171"/>
      <c r="AX21" s="171"/>
      <c r="AY21" s="171"/>
      <c r="AZ21" s="193"/>
      <c r="BA21" s="171"/>
      <c r="BB21" s="171"/>
      <c r="BC21" s="171"/>
      <c r="BD21" s="171"/>
      <c r="BE21" s="193"/>
      <c r="BF21" s="171"/>
      <c r="BG21" s="171"/>
      <c r="BH21" s="171"/>
      <c r="BI21" s="171"/>
      <c r="BJ21" s="193"/>
      <c r="BK21" s="171"/>
      <c r="BL21" s="171"/>
      <c r="BM21" s="171"/>
      <c r="BN21" s="171"/>
      <c r="BO21" s="238"/>
      <c r="BP21" s="171"/>
      <c r="BQ21" s="171"/>
      <c r="BR21" s="171"/>
      <c r="BS21" s="171"/>
      <c r="BT21" s="238"/>
      <c r="BU21" s="171"/>
      <c r="BV21" s="171"/>
      <c r="BW21" s="171"/>
      <c r="BX21" s="171"/>
      <c r="BY21" s="238"/>
      <c r="BZ21" s="171"/>
      <c r="CA21" s="171"/>
      <c r="CB21" s="171"/>
      <c r="CC21" s="171"/>
      <c r="CD21" s="238" t="e">
        <f>#REF!+#REF!++#REF!+#REF!+#REF!+CD101+CD203+CD51+#REF!+#REF!+CD37+CD213+CD217+#REF!+CD220</f>
        <v>#REF!</v>
      </c>
      <c r="CE21" s="173" t="e">
        <f>#REF!+#REF!++#REF!+#REF!+#REF!+CE101+CE203+CE51+#REF!+#REF!+CE37+CE213+CE217+#REF!+CE220</f>
        <v>#REF!</v>
      </c>
      <c r="CF21" s="173" t="e">
        <f>#REF!+#REF!++#REF!+#REF!+#REF!+CF101+CF203+CF51+#REF!+#REF!+CF37+CF213+CF217+#REF!+CF220</f>
        <v>#REF!</v>
      </c>
      <c r="CG21" s="173" t="e">
        <f>#REF!+#REF!++#REF!+#REF!+#REF!+CG101+CG203+CG51+#REF!+#REF!+CG37+CG213+CG217+#REF!+CG220</f>
        <v>#REF!</v>
      </c>
      <c r="CH21" s="173" t="e">
        <f>#REF!+#REF!++#REF!+#REF!+#REF!+CH101+CH203+CH51+#REF!+#REF!+CH37+CH213+CH217+#REF!+CH220</f>
        <v>#REF!</v>
      </c>
      <c r="CI21" s="238" t="e">
        <f>#REF!+#REF!++#REF!+#REF!+#REF!+CI101+CI203+CI51+#REF!+#REF!+CI37+CI213+CI217+#REF!+CI220</f>
        <v>#REF!</v>
      </c>
      <c r="CJ21" s="173" t="e">
        <f>#REF!+#REF!++#REF!+#REF!+#REF!+CJ101+CJ203+CJ51+#REF!+#REF!+CJ37+CJ213+CJ217+#REF!+CJ220</f>
        <v>#REF!</v>
      </c>
      <c r="CK21" s="173" t="e">
        <f>#REF!+#REF!++#REF!+#REF!+#REF!+CK101+CK203+CK51+#REF!+#REF!+CK37+CK213+CK217+#REF!+CK220</f>
        <v>#REF!</v>
      </c>
      <c r="CL21" s="173" t="e">
        <f>#REF!+#REF!++#REF!+#REF!+#REF!+CL101+CL203+CL51+#REF!+#REF!+CL37+CL213+CL217+#REF!+CL220</f>
        <v>#REF!</v>
      </c>
      <c r="CM21" s="173" t="e">
        <f>#REF!+#REF!++#REF!+#REF!+#REF!+CM101+CM203+CM51+#REF!+#REF!+CM37+CM213+CM217+#REF!+CM220</f>
        <v>#REF!</v>
      </c>
      <c r="CN21" s="238" t="e">
        <f>#REF!+#REF!++#REF!+#REF!+#REF!+CN101+CN203+CN51+#REF!+#REF!+CN37+CN213+CN217+#REF!+CN220</f>
        <v>#REF!</v>
      </c>
      <c r="CO21" s="173" t="e">
        <f>#REF!+#REF!++#REF!+#REF!+#REF!+CO101+CO203+CO51+#REF!+#REF!+CO37+CO213+CO217+#REF!+CO220</f>
        <v>#REF!</v>
      </c>
      <c r="CP21" s="173" t="e">
        <f>#REF!+#REF!++#REF!+#REF!+#REF!+CP101+CP203+CP51+#REF!+#REF!+CP37+CP213+CP217+#REF!+CP220</f>
        <v>#REF!</v>
      </c>
      <c r="CQ21" s="173" t="e">
        <f>#REF!+#REF!++#REF!+#REF!+#REF!+CQ101+CQ203+CQ51+#REF!+#REF!+CQ37+CQ213+CQ217+#REF!+CQ220</f>
        <v>#REF!</v>
      </c>
      <c r="CR21" s="173" t="e">
        <f>#REF!+#REF!++#REF!+#REF!+#REF!+CR101+CR203+CR51+#REF!+#REF!+CR37+CR213+CR217+#REF!+CR220</f>
        <v>#REF!</v>
      </c>
      <c r="CS21" s="238" t="e">
        <f>#REF!+#REF!++#REF!+#REF!+#REF!+CS101+CS203+CS51+#REF!+#REF!+CS37+CS213+CS217+#REF!+CS220</f>
        <v>#REF!</v>
      </c>
      <c r="CT21" s="173" t="e">
        <f>#REF!+#REF!++#REF!+#REF!+#REF!+CT101+CT203+CT51+#REF!+#REF!+CT37+CT213+CT217+#REF!+CT220</f>
        <v>#REF!</v>
      </c>
      <c r="CU21" s="173" t="e">
        <f>#REF!+#REF!++#REF!+#REF!+#REF!+CU101+CU203+CU51+#REF!+#REF!+CU37+CU213+CU217+#REF!+CU220</f>
        <v>#REF!</v>
      </c>
      <c r="CV21" s="173" t="e">
        <f>#REF!+#REF!++#REF!+#REF!+#REF!+CV101+CV203+CV51+#REF!+#REF!+CV37+CV213+CV217+#REF!+CV220</f>
        <v>#REF!</v>
      </c>
      <c r="CW21" s="495" t="e">
        <f>#REF!+#REF!++#REF!+#REF!+#REF!+CW101+CW203+CW51+#REF!+#REF!+CW37+CW213+CW217+#REF!+CW220+CW61+CW153</f>
        <v>#REF!</v>
      </c>
      <c r="CX21" s="238" t="e">
        <f>CW21</f>
        <v>#REF!</v>
      </c>
      <c r="CY21" s="173" t="e">
        <f>#REF!+#REF!+#REF!+#REF!+#REF!+CY101+CY203+CY51+#REF!+#REF!+CY37+CY213+CY217+#REF!+CY220+CY61+CY153+CY81</f>
        <v>#REF!</v>
      </c>
      <c r="CZ21" s="173" t="e">
        <f>#REF!+#REF!+#REF!+#REF!+#REF!+CZ101+CZ203+CZ51+#REF!+#REF!+CZ37+CZ213+CZ217+#REF!+CZ220+CZ61+CZ153+CZ81+CZ91</f>
        <v>#REF!</v>
      </c>
      <c r="DA21" s="173" t="e">
        <f>#REF!+#REF!+#REF!+#REF!+#REF!+DA101+DA203+DA51+#REF!+#REF!+DA37+DA213+DA217+#REF!+DA220+DA61+DA153+DA81+DA91</f>
        <v>#REF!</v>
      </c>
      <c r="DB21" s="173" t="e">
        <f>DB70+DB172+#REF!+#REF!+#REF!+#REF!+#REF!+DB101+DB203+DB51+#REF!+#REF!+DB37+DB213+DB217+#REF!+DB220+DB61+DB153+DB81+DB91</f>
        <v>#REF!</v>
      </c>
      <c r="DC21" s="238" t="e">
        <f>DB21</f>
        <v>#REF!</v>
      </c>
      <c r="DD21" s="173" t="e">
        <f>DD68+DD170+DD133+#REF!+#REF!+#REF!+#REF!+#REF!+DD101+DD203+DD51+#REF!+#REF!+DD37+DD213+DD217+#REF!+DD220+DD61+DD153+DD81+DD91</f>
        <v>#REF!</v>
      </c>
      <c r="DE21" s="173" t="e">
        <f>DE71+DE173+#REF!+#REF!+#REF!+#REF!+#REF!+DE101+DE203+DE51+#REF!+#REF!+DE37+DE213+DE217+#REF!+DE220+DE61+DE153+DE81+DE91+DE133</f>
        <v>#REF!</v>
      </c>
      <c r="DF21" s="173" t="e">
        <f>DF71+DF173+#REF!+#REF!+#REF!+#REF!+#REF!+DF101+DF203+DF51+#REF!+#REF!+DF37+DF213+DF217+#REF!+DF220+DF61+DF153+DF81+DF91+DF133+DF143</f>
        <v>#REF!</v>
      </c>
      <c r="DG21" s="173" t="e">
        <f>DG71+DG173+#REF!+#REF!+#REF!+#REF!+#REF!+DG101+DG203+DG51+#REF!+#REF!+DG37+DG213+DG217+#REF!+DG220+DG61+DG153+DG81+DG91+DG133+DG143</f>
        <v>#REF!</v>
      </c>
      <c r="DH21" s="238" t="e">
        <f>DG21</f>
        <v>#REF!</v>
      </c>
      <c r="DI21" s="545">
        <f t="shared" ref="DI21:DT21" si="0">DI71+DI173+DI101+DI203+DI51+DI37+DI213+DI217+DI220+DI61+DI153+DI81+DI91+DI133+DI143+DI111+DI163+DI183</f>
        <v>11934</v>
      </c>
      <c r="DJ21" s="545">
        <f t="shared" si="0"/>
        <v>13854</v>
      </c>
      <c r="DK21" s="545">
        <f t="shared" si="0"/>
        <v>13854</v>
      </c>
      <c r="DL21" s="545">
        <f t="shared" si="0"/>
        <v>13610</v>
      </c>
      <c r="DM21" s="537">
        <f t="shared" si="0"/>
        <v>11810</v>
      </c>
      <c r="DN21" s="545">
        <f t="shared" si="0"/>
        <v>13622</v>
      </c>
      <c r="DO21" s="545">
        <f t="shared" si="0"/>
        <v>13601</v>
      </c>
      <c r="DP21" s="545">
        <f t="shared" si="0"/>
        <v>13607</v>
      </c>
      <c r="DQ21" s="545">
        <f t="shared" si="0"/>
        <v>14355</v>
      </c>
      <c r="DR21" s="537">
        <f t="shared" si="0"/>
        <v>12555</v>
      </c>
      <c r="DS21" s="545">
        <f t="shared" si="0"/>
        <v>14318</v>
      </c>
      <c r="DT21" s="545">
        <f t="shared" si="0"/>
        <v>15155</v>
      </c>
      <c r="DU21" s="545">
        <f>DU71+DU173+DU101+DU203+DU51+DU37+DU213+DU217+DU220+DU61+DU153+DU81+DU91+DU133+DU143+DU111+DU163+DU183+DU121+DU193</f>
        <v>14881</v>
      </c>
      <c r="DV21" s="545">
        <f t="shared" ref="DV21:EG21" si="1">DV71+DV173+DV101+DV203+DV51+DV37+DV213+DV217+DV220+DV61+DV153+DV81+DV91+DV133+DV143+DV111+DV163+DV183+DV121+DV193</f>
        <v>14937</v>
      </c>
      <c r="DW21" s="537">
        <f t="shared" si="1"/>
        <v>14937</v>
      </c>
      <c r="DX21" s="545">
        <f t="shared" si="1"/>
        <v>14437</v>
      </c>
      <c r="DY21" s="545">
        <f t="shared" si="1"/>
        <v>13937</v>
      </c>
      <c r="DZ21" s="545">
        <f t="shared" si="1"/>
        <v>13937</v>
      </c>
      <c r="EA21" s="545">
        <f t="shared" si="1"/>
        <v>13437</v>
      </c>
      <c r="EB21" s="537">
        <f t="shared" si="1"/>
        <v>13437</v>
      </c>
      <c r="EC21" s="545">
        <f>EC71+EC173+EC101+EC203+EC51+EC37+EC213+EC217+EC220+EC61+EC153+EC81+EC91+EC133+EC143+EC111+EC163+EC183+EC121+EC193</f>
        <v>13437</v>
      </c>
      <c r="ED21" s="545">
        <f t="shared" si="1"/>
        <v>13437</v>
      </c>
      <c r="EE21" s="545">
        <f t="shared" si="1"/>
        <v>13437</v>
      </c>
      <c r="EF21" s="545">
        <f t="shared" si="1"/>
        <v>13437</v>
      </c>
      <c r="EG21" s="537">
        <f t="shared" si="1"/>
        <v>13437</v>
      </c>
      <c r="EH21" s="545">
        <f t="shared" ref="EH21:EL21" si="2">EH71+EH173+EH101+EH203+EH51+EH37+EH213+EH217+EH220+EH61+EH153+EH81+EH91+EH133+EH143+EH111+EH163+EH183+EH121+EH193</f>
        <v>13237</v>
      </c>
      <c r="EI21" s="545">
        <f t="shared" si="2"/>
        <v>13037</v>
      </c>
      <c r="EJ21" s="545">
        <f t="shared" si="2"/>
        <v>12837</v>
      </c>
      <c r="EK21" s="545">
        <f t="shared" si="2"/>
        <v>12637</v>
      </c>
      <c r="EL21" s="537">
        <f t="shared" si="2"/>
        <v>12637</v>
      </c>
    </row>
    <row r="22" spans="1:142">
      <c r="A22" s="225"/>
      <c r="B22" s="209" t="s">
        <v>295</v>
      </c>
      <c r="C22" s="9"/>
      <c r="D22" s="9"/>
      <c r="E22" s="9"/>
      <c r="F22" s="9"/>
      <c r="G22" s="9"/>
      <c r="H22" s="63"/>
      <c r="I22" s="9"/>
      <c r="J22" s="9"/>
      <c r="K22" s="9"/>
      <c r="L22" s="9"/>
      <c r="M22" s="63"/>
      <c r="N22" s="9"/>
      <c r="O22" s="9"/>
      <c r="P22" s="9"/>
      <c r="Q22" s="9"/>
      <c r="R22" s="63"/>
      <c r="S22" s="9"/>
      <c r="T22" s="9"/>
      <c r="U22" s="9"/>
      <c r="V22" s="9"/>
      <c r="W22" s="63"/>
      <c r="X22" s="9"/>
      <c r="Y22" s="9"/>
      <c r="Z22" s="9"/>
      <c r="AA22" s="9"/>
      <c r="AB22" s="63"/>
      <c r="AC22" s="9"/>
      <c r="AD22" s="9"/>
      <c r="AE22" s="9"/>
      <c r="AF22" s="9"/>
      <c r="AG22" s="63"/>
      <c r="AH22" s="9"/>
      <c r="AI22" s="9"/>
      <c r="AJ22" s="9"/>
      <c r="AK22" s="9"/>
      <c r="AL22" s="63"/>
      <c r="AM22" s="171"/>
      <c r="AN22" s="171"/>
      <c r="AO22" s="171"/>
      <c r="AP22" s="9"/>
      <c r="AQ22" s="74"/>
      <c r="AR22" s="171"/>
      <c r="AS22" s="171"/>
      <c r="AT22" s="171"/>
      <c r="AU22" s="186"/>
      <c r="AV22" s="171"/>
      <c r="AW22" s="171"/>
      <c r="AX22" s="171"/>
      <c r="AY22" s="171"/>
      <c r="AZ22" s="193"/>
      <c r="BA22" s="171"/>
      <c r="BB22" s="171"/>
      <c r="BC22" s="171"/>
      <c r="BD22" s="171"/>
      <c r="BE22" s="193"/>
      <c r="BF22" s="171"/>
      <c r="BG22" s="171"/>
      <c r="BH22" s="171"/>
      <c r="BI22" s="171"/>
      <c r="BJ22" s="193"/>
      <c r="BK22" s="87"/>
      <c r="BL22" s="87"/>
      <c r="BM22" s="87"/>
      <c r="BN22" s="87"/>
      <c r="BO22" s="238"/>
      <c r="BP22" s="87"/>
      <c r="BQ22" s="87"/>
      <c r="BR22" s="87"/>
      <c r="BS22" s="87"/>
      <c r="BT22" s="238"/>
      <c r="BU22" s="87"/>
      <c r="BV22" s="87"/>
      <c r="BW22" s="87"/>
      <c r="BX22" s="87"/>
      <c r="BY22" s="238"/>
      <c r="BZ22" s="87"/>
      <c r="CA22" s="87"/>
      <c r="CB22" s="87"/>
      <c r="CC22" s="87"/>
      <c r="CD22" s="238"/>
      <c r="CE22" s="173">
        <f>'BS &amp; CF'!CE26</f>
        <v>2</v>
      </c>
      <c r="CF22" s="173">
        <f>'BS &amp; CF'!CF26</f>
        <v>2</v>
      </c>
      <c r="CG22" s="173">
        <f>'BS &amp; CF'!CG26</f>
        <v>2</v>
      </c>
      <c r="CH22" s="173">
        <f>'BS &amp; CF'!CH26</f>
        <v>2</v>
      </c>
      <c r="CI22" s="238">
        <f>CH22</f>
        <v>2</v>
      </c>
      <c r="CJ22" s="173">
        <f>'BS &amp; CF'!CJ26</f>
        <v>2</v>
      </c>
      <c r="CK22" s="173">
        <f>'BS &amp; CF'!CK26</f>
        <v>2</v>
      </c>
      <c r="CL22" s="173">
        <f>'BS &amp; CF'!CL26</f>
        <v>2</v>
      </c>
      <c r="CM22" s="173">
        <f>'BS &amp; CF'!CM26</f>
        <v>67</v>
      </c>
      <c r="CN22" s="238">
        <f>CM22</f>
        <v>67</v>
      </c>
      <c r="CO22" s="173">
        <f>'BS &amp; CF'!CO26</f>
        <v>68</v>
      </c>
      <c r="CP22" s="173">
        <f>'BS &amp; CF'!CP26</f>
        <v>128</v>
      </c>
      <c r="CQ22" s="173">
        <f>'BS &amp; CF'!CQ26</f>
        <v>129</v>
      </c>
      <c r="CR22" s="173">
        <f>'BS &amp; CF'!CR26</f>
        <v>66</v>
      </c>
      <c r="CS22" s="238">
        <f>CR22</f>
        <v>66</v>
      </c>
      <c r="CT22" s="173">
        <f>'BS &amp; CF'!CT26</f>
        <v>288</v>
      </c>
      <c r="CU22" s="173">
        <f>'BS &amp; CF'!CU26</f>
        <v>237</v>
      </c>
      <c r="CV22" s="173">
        <f>'BS &amp; CF'!CV26</f>
        <v>243</v>
      </c>
      <c r="CW22" s="173">
        <f>'BS &amp; CF'!CW26</f>
        <v>94</v>
      </c>
      <c r="CX22" s="238">
        <f>CW22</f>
        <v>94</v>
      </c>
      <c r="CY22" s="173">
        <f>'BS &amp; CF'!CY26</f>
        <v>52</v>
      </c>
      <c r="CZ22" s="173">
        <f>'BS &amp; CF'!CZ26</f>
        <v>71</v>
      </c>
      <c r="DA22" s="173">
        <f>'BS &amp; CF'!DA26</f>
        <v>133</v>
      </c>
      <c r="DB22" s="173">
        <f>'BS &amp; CF'!DB26</f>
        <v>149</v>
      </c>
      <c r="DC22" s="238">
        <f>DB22</f>
        <v>149</v>
      </c>
      <c r="DD22" s="173" t="e">
        <f>-(IF(DD23&lt;0,DD23,0)+IF(DE23&lt;0,DE23,0)+IF(DF23&lt;0,DF23,0)+IF(DG23&lt;0,DG23,0))</f>
        <v>#REF!</v>
      </c>
      <c r="DE22" s="173" t="e">
        <f>-(IF(DE23&lt;0,DE23,0)+IF(DF23&lt;0,DF23,0)+IF(DG23&lt;0,DG23,0)+IF(DI23&lt;0,DI23,0))</f>
        <v>#REF!</v>
      </c>
      <c r="DF22" s="173" t="e">
        <f>-(IF(DF23&lt;0,DF23,0)+IF(DG23&lt;0,DG23,0)+IF(DJ23&lt;0,DJ23,0)+IF(DI23&lt;0,DI23,0))</f>
        <v>#REF!</v>
      </c>
      <c r="DG22" s="173" t="e">
        <f>-(IF(DG23&lt;0,DG23,0)+IF(DI23&lt;0,DI23,0)+IF(DJ23&lt;0,DJ23,0)+IF(DK23&lt;0,DK23,0))</f>
        <v>#REF!</v>
      </c>
      <c r="DH22" s="238" t="e">
        <f>DG22</f>
        <v>#REF!</v>
      </c>
      <c r="DI22" s="1366">
        <f>-(IF(DI23&lt;0,DI23,0)+IF(DJ23&lt;0,DJ23,0)+IF(DK23&lt;0,DK23,0)+IF(DM23&lt;0,DM23,0))</f>
        <v>0</v>
      </c>
      <c r="DJ22" s="1366">
        <f>-(IF(DJ23&lt;0,DJ23,0)+IF(DK23&lt;0,DK23,0)+IF(DL23&lt;0,DL23,0)+IF(DN23&lt;0,DN23,0))</f>
        <v>0</v>
      </c>
      <c r="DK22" s="1366">
        <f>-(IF(DK23&lt;0,DK23,0)+IF(DL23&lt;0,DL23,0)+IF(DN23&lt;0,DN23,0)+IF(DO23&lt;0,DO23,0))</f>
        <v>0</v>
      </c>
      <c r="DL22" s="1366">
        <f>-(IF(DL23&lt;0,DL23,0)+IF(DN23&lt;0,DN23,0)+IF(DO23&lt;0,DO23,0)+IF(DP23&lt;0,DP23,0))</f>
        <v>0</v>
      </c>
      <c r="DM22" s="29">
        <f>DL22</f>
        <v>0</v>
      </c>
      <c r="DN22" s="1366">
        <f>-(IF(DN23&lt;0,DN23,0)+IF(DO23&lt;0,DO23,0)+IF(DP23&lt;0,DP23,0)+IF(DR23&lt;0,DR23,0))</f>
        <v>0</v>
      </c>
      <c r="DO22" s="1366">
        <f>-(IF(DO23&lt;0,DO23,0)+IF(DP23&lt;0,DP23,0)+IF(DQ23&lt;0,DQ23,0)+IF(DS23&lt;0,DS23,0))</f>
        <v>0</v>
      </c>
      <c r="DP22" s="1366">
        <f>-(IF(DP23&lt;0,DP23,0)+IF(DQ23&lt;0,DQ23,0)+IF(DS23&lt;0,DS23,0)+IF(DT23&lt;0,DT23,0))</f>
        <v>0</v>
      </c>
      <c r="DQ22" s="1366">
        <f>-(IF(DQ23&lt;0,DQ23,0)+IF(DS23&lt;0,DS23,0)+IF(DT23&lt;0,DT23,0)+IF(DU23&lt;0,DU23,0))</f>
        <v>0</v>
      </c>
      <c r="DR22" s="29">
        <f>DQ22</f>
        <v>0</v>
      </c>
      <c r="DS22" s="1366">
        <f>-(IF(DS23&lt;0,DS23,0)+IF(DT23&lt;0,DT23,0)+IF(DU23&lt;0,DU23,0)+IF(DW23&lt;0,DW23,0))</f>
        <v>0</v>
      </c>
      <c r="DT22" s="1366">
        <f>-(IF(DT23&lt;0,DT23,0)+IF(DU23&lt;0,DU23,0)+IF(DV23&lt;0,DV23,0)+IF(DX23&lt;0,DX23,0))</f>
        <v>0</v>
      </c>
      <c r="DU22" s="1366">
        <f>-(IF(DU23&lt;0,DU23,0)+IF(DV23&lt;0,DV23,0)+IF(DX23&lt;0,DX23,0)+IF(DY23&lt;0,DY23,0))</f>
        <v>0</v>
      </c>
      <c r="DV22" s="1366">
        <f>-(IF(DV23&lt;0,DV23,0)+IF(DX23&lt;0,DX23,0)+IF(DY23&lt;0,DY23,0)+IF(DZ23&lt;0,DZ23,0))</f>
        <v>0</v>
      </c>
      <c r="DW22" s="29">
        <f>DV22</f>
        <v>0</v>
      </c>
      <c r="DX22" s="1366">
        <f>-(IF(DX23&lt;0,DX23,0)+IF(DZ23&lt;0,DZ23,0)+IF(EA23&lt;0,EA23,0)+IF(DY23&lt;0,DY23,0))</f>
        <v>0</v>
      </c>
      <c r="DY22" s="1366">
        <f>-(IF(DY23&lt;0,DY23,0)+IF(DZ23&lt;0,DZ23,0)+IF(EA23&lt;0,EA23,0)+IF(EC23&lt;0,EC23,0))</f>
        <v>0</v>
      </c>
      <c r="DZ22" s="1366">
        <f>-(IF(DZ23&lt;0,DZ23,0)+IF(EA23&lt;0,EA23,0)+IF(EC23&lt;0,EC23,0)+IF(ED23&lt;0,ED23,0))</f>
        <v>0</v>
      </c>
      <c r="EA22" s="1366">
        <f>-(IF(EA23&lt;0,EA23,0)+IF(EC23&lt;0,EC23,0)+IF(ED23&lt;0,ED23,0)+IF(EE23&lt;0,EE23,0))</f>
        <v>0</v>
      </c>
      <c r="EB22" s="29">
        <f>EA22</f>
        <v>0</v>
      </c>
      <c r="EC22" s="1366">
        <f>-(IF(EC23&lt;0,EC23,0)+IF(EE23&lt;0,EE23,0)+IF(EF23&lt;0,EF23,0)+IF(ED23&lt;0,ED23,0))</f>
        <v>0</v>
      </c>
      <c r="ED22" s="1366">
        <f>-(IF(ED23&lt;0,ED23,0)+IF(EE23&lt;0,EE23,0)+IF(EF23&lt;0,EF23,0)+IF(EH23&lt;0,EH23,0))</f>
        <v>0</v>
      </c>
      <c r="EE22" s="1366">
        <f>-(IF(EE23&lt;0,EE23,0)+IF(EF23&lt;0,EF23,0)+IF(EH23&lt;0,EH23,0)+IF(EI23&lt;0,EI23,0))</f>
        <v>0</v>
      </c>
      <c r="EF22" s="1366">
        <f>-(IF(EF23&lt;0,EF23,0)+IF(EH23&lt;0,EH23,0)+IF(EI23&lt;0,EI23,0)+IF(EJ23&lt;0,EJ23,0))</f>
        <v>0</v>
      </c>
      <c r="EG22" s="29">
        <f>EF22</f>
        <v>0</v>
      </c>
      <c r="EH22" s="1366">
        <f>-(IF(EH23&lt;0,EH23,0)+IF(EJ23&lt;0,EJ23,0)+IF(EK23&lt;0,EK23,0)+IF(EI23&lt;0,EI23,0))</f>
        <v>0</v>
      </c>
      <c r="EI22" s="1366">
        <f>-(IF(EI23&lt;0,EI23,0)+IF(EJ23&lt;0,EJ23,0)+IF(EK23&lt;0,EK23,0)+IF(EM23&lt;0,EM23,0))</f>
        <v>0</v>
      </c>
      <c r="EJ22" s="1366">
        <f>-(IF(EJ23&lt;0,EJ23,0)+IF(EK23&lt;0,EK23,0)+IF(EM23&lt;0,EM23,0)+IF(EN23&lt;0,EN23,0))</f>
        <v>0</v>
      </c>
      <c r="EK22" s="1366">
        <f>-(IF(EK23&lt;0,EK23,0)+IF(EM23&lt;0,EM23,0)+IF(EN23&lt;0,EN23,0)+IF(EO23&lt;0,EO23,0))</f>
        <v>0</v>
      </c>
      <c r="EL22" s="29">
        <f>EK22</f>
        <v>0</v>
      </c>
    </row>
    <row r="23" spans="1:142">
      <c r="A23" s="225"/>
      <c r="B23" s="1354" t="s">
        <v>670</v>
      </c>
      <c r="C23" s="1358"/>
      <c r="D23" s="1358"/>
      <c r="E23" s="1358"/>
      <c r="F23" s="1358"/>
      <c r="G23" s="1358"/>
      <c r="H23" s="1232"/>
      <c r="I23" s="1358"/>
      <c r="J23" s="1358"/>
      <c r="K23" s="1358"/>
      <c r="L23" s="1358"/>
      <c r="M23" s="1232"/>
      <c r="N23" s="1358"/>
      <c r="O23" s="1358"/>
      <c r="P23" s="1358"/>
      <c r="Q23" s="1358"/>
      <c r="R23" s="1232"/>
      <c r="S23" s="1358"/>
      <c r="T23" s="1358"/>
      <c r="U23" s="1358"/>
      <c r="V23" s="1358"/>
      <c r="W23" s="1232"/>
      <c r="X23" s="1358"/>
      <c r="Y23" s="1358"/>
      <c r="Z23" s="1358"/>
      <c r="AA23" s="1358"/>
      <c r="AB23" s="1232"/>
      <c r="AC23" s="1358"/>
      <c r="AD23" s="1358"/>
      <c r="AE23" s="1358"/>
      <c r="AF23" s="1358"/>
      <c r="AG23" s="1232"/>
      <c r="AH23" s="1358"/>
      <c r="AI23" s="1358"/>
      <c r="AJ23" s="1358"/>
      <c r="AK23" s="1358"/>
      <c r="AL23" s="1232"/>
      <c r="AM23" s="1358"/>
      <c r="AN23" s="1358"/>
      <c r="AO23" s="1358"/>
      <c r="AP23" s="1358"/>
      <c r="AQ23" s="1232"/>
      <c r="AR23" s="1358"/>
      <c r="AS23" s="1358"/>
      <c r="AT23" s="1358"/>
      <c r="AU23" s="1232"/>
      <c r="AV23" s="1358"/>
      <c r="AW23" s="1358"/>
      <c r="AX23" s="1358"/>
      <c r="AY23" s="1358"/>
      <c r="AZ23" s="1232"/>
      <c r="BA23" s="1358"/>
      <c r="BB23" s="1358"/>
      <c r="BC23" s="1358"/>
      <c r="BD23" s="1358"/>
      <c r="BE23" s="1232"/>
      <c r="BF23" s="1358"/>
      <c r="BG23" s="1358"/>
      <c r="BH23" s="1358"/>
      <c r="BI23" s="1358"/>
      <c r="BJ23" s="1232"/>
      <c r="BK23" s="1358"/>
      <c r="BL23" s="1358"/>
      <c r="BM23" s="1358"/>
      <c r="BN23" s="1358"/>
      <c r="BO23" s="1359"/>
      <c r="BP23" s="1358"/>
      <c r="BQ23" s="1358"/>
      <c r="BR23" s="1358"/>
      <c r="BS23" s="1358"/>
      <c r="BT23" s="1359"/>
      <c r="BU23" s="1358"/>
      <c r="BV23" s="1358"/>
      <c r="BW23" s="1358"/>
      <c r="BX23" s="1358"/>
      <c r="BY23" s="1359"/>
      <c r="BZ23" s="1358"/>
      <c r="CA23" s="1358"/>
      <c r="CB23" s="1358"/>
      <c r="CC23" s="1358"/>
      <c r="CD23" s="1359"/>
      <c r="CE23" s="1360" t="e">
        <f>#REF!+#REF!+#REF!+#REF!+CE100+CE202+CE50+#REF!+#REF!+CE36+CE212+#REF!+#REF!</f>
        <v>#REF!</v>
      </c>
      <c r="CF23" s="1360" t="e">
        <f>#REF!+#REF!+#REF!+#REF!+CF100+CF202+CF50+#REF!+#REF!+CF36+CF212+#REF!+#REF!</f>
        <v>#REF!</v>
      </c>
      <c r="CG23" s="1360" t="e">
        <f>#REF!+#REF!+#REF!+#REF!+CG100+CG202+CG50+#REF!+#REF!+CG36+CG212+#REF!+#REF!</f>
        <v>#REF!</v>
      </c>
      <c r="CH23" s="1360" t="e">
        <f>#REF!+#REF!+#REF!+#REF!+CH100+CH202+CH50+#REF!+#REF!+CH36+CH212+#REF!+#REF!</f>
        <v>#REF!</v>
      </c>
      <c r="CI23" s="1359" t="e">
        <f>SUM(CE23:CH23)</f>
        <v>#REF!</v>
      </c>
      <c r="CJ23" s="1360" t="e">
        <f>#REF!+#REF!+#REF!+#REF!+CJ100+CJ202+CJ50+#REF!+#REF!+CJ36+CJ212+#REF!+#REF!</f>
        <v>#REF!</v>
      </c>
      <c r="CK23" s="1360" t="e">
        <f>#REF!+#REF!+#REF!+#REF!+CK100+CK202+CK50+#REF!+#REF!+CK36+CK212+#REF!+#REF!</f>
        <v>#REF!</v>
      </c>
      <c r="CL23" s="1360" t="e">
        <f>#REF!+#REF!+#REF!+#REF!+CL100+CL202+CL50+#REF!+#REF!+CL36+CL212+#REF!+#REF!</f>
        <v>#REF!</v>
      </c>
      <c r="CM23" s="1360" t="e">
        <f>#REF!+#REF!+#REF!+#REF!+CM100+CM202+CM50+#REF!+#REF!+CM36+CM212+#REF!+#REF!</f>
        <v>#REF!</v>
      </c>
      <c r="CN23" s="1359" t="e">
        <f>SUM(CJ23:CM23)</f>
        <v>#REF!</v>
      </c>
      <c r="CO23" s="1360" t="e">
        <f>#REF!+#REF!+#REF!+#REF!+CO100+CO202+CO50+#REF!+#REF!+CO36+CO212+#REF!+#REF!</f>
        <v>#REF!</v>
      </c>
      <c r="CP23" s="1360" t="e">
        <f>#REF!+#REF!+#REF!+#REF!+CP100+CP202+CP50+#REF!+#REF!+CP36+CP212+#REF!+#REF!</f>
        <v>#REF!</v>
      </c>
      <c r="CQ23" s="1360" t="e">
        <f>#REF!+#REF!+#REF!+#REF!+CQ100+CQ202+CQ50+#REF!+#REF!+CQ36+CQ212+#REF!+#REF!</f>
        <v>#REF!</v>
      </c>
      <c r="CR23" s="1360" t="e">
        <f>#REF!+#REF!+#REF!+#REF!+CR100+CR202+CR50+#REF!+#REF!+CR36+CR212+#REF!+#REF!</f>
        <v>#REF!</v>
      </c>
      <c r="CS23" s="1359" t="e">
        <f>SUM(CO23:CR23)</f>
        <v>#REF!</v>
      </c>
      <c r="CT23" s="1360" t="e">
        <f>#REF!+#REF!+#REF!+#REF!+CT100+CT202+CT50+#REF!+#REF!+CT36+CT212+#REF!+#REF!</f>
        <v>#REF!</v>
      </c>
      <c r="CU23" s="1360" t="e">
        <f>#REF!+#REF!+#REF!+#REF!+CU100+CU202+CU50+#REF!+#REF!+CU36+CU212+#REF!+#REF!</f>
        <v>#REF!</v>
      </c>
      <c r="CV23" s="1360" t="e">
        <f>#REF!+#REF!+#REF!+#REF!+CV100+CV202+CV50+#REF!+#REF!+CV36+CV212+#REF!+#REF!+CV218+CV60+CV152</f>
        <v>#REF!</v>
      </c>
      <c r="CW23" s="1360" t="e">
        <f>#REF!+#REF!+#REF!+#REF!+CW100+CW202+CW50+#REF!+#REF!+CW36+CW212+#REF!+#REF!+CW218+CW60+CW152</f>
        <v>#REF!</v>
      </c>
      <c r="CX23" s="1359" t="e">
        <f>SUM(CT23:CW23)</f>
        <v>#REF!</v>
      </c>
      <c r="CY23" s="1360" t="e">
        <f>#REF!+#REF!+#REF!+#REF!+CY100+CY202+CY50+#REF!+#REF!+CY36+CY212+#REF!+#REF!+CY218+CY60+CY152+CY80</f>
        <v>#REF!</v>
      </c>
      <c r="CZ23" s="1360" t="e">
        <f>#REF!+#REF!+#REF!+#REF!+CZ100+CZ202+CZ50+#REF!+#REF!+CZ36+CZ212+#REF!+#REF!+CZ218+CZ60+CZ152+CZ80+CZ90</f>
        <v>#REF!</v>
      </c>
      <c r="DA23" s="1360" t="e">
        <f>#REF!+#REF!+#REF!+#REF!+DA100+DA202+DA50+#REF!+#REF!+DA36+DA212+#REF!+#REF!+DA218+DA60+DA152+DA80+DA90</f>
        <v>#REF!</v>
      </c>
      <c r="DB23" s="1360" t="e">
        <f>DB70+DB172+#REF!+#REF!+#REF!+#REF!+DB100+DB202+DB50+#REF!+#REF!+DB36+DB212+#REF!+#REF!+DB218+DB60+DB152+DB80+DB90</f>
        <v>#REF!</v>
      </c>
      <c r="DC23" s="1359" t="e">
        <f>SUM(CY23:DB23)</f>
        <v>#REF!</v>
      </c>
      <c r="DD23" s="1360" t="e">
        <f>DD70+DD172+DD132+#REF!+#REF!+#REF!+#REF!+DD100+DD202+DD50+#REF!+#REF!+DD36+DD212+#REF!+#REF!+DD218+DD60+DD152+DD80+DD90</f>
        <v>#REF!</v>
      </c>
      <c r="DE23" s="1360" t="e">
        <f>DE70+DE172+DE132+#REF!+#REF!+#REF!+#REF!+DE100+DE202+DE50+#REF!+#REF!+DE36+DE212+#REF!+#REF!+DE218+DE60+DE152+DE80+DE90</f>
        <v>#REF!</v>
      </c>
      <c r="DF23" s="1360" t="e">
        <f>DF70+DF172+DF132+#REF!+#REF!+#REF!+#REF!+DF100+DF202+DF50+#REF!+#REF!+DF36+DF212+#REF!+#REF!+DF218+DF60+DF152+DF80+DF90</f>
        <v>#REF!</v>
      </c>
      <c r="DG23" s="1360" t="e">
        <f>DG70+DG172+DG132+#REF!+#REF!+#REF!+#REF!+DG100+DG202+DG50+#REF!+#REF!+DG36+DG212+#REF!+#REF!+DG218+DG60+DG152+DG80+DG90</f>
        <v>#REF!</v>
      </c>
      <c r="DH23" s="1359" t="e">
        <f>SUM(DD23:DG23)</f>
        <v>#REF!</v>
      </c>
      <c r="DI23" s="1357">
        <f t="shared" ref="DI23:DR23" si="3">DI69+DI171+DI131+DI99+DI201+DI49+DI35+DI211+DI59+DI151+DI79+DI89+DI109+DI141+DI161+DI181</f>
        <v>130</v>
      </c>
      <c r="DJ23" s="1357">
        <f t="shared" si="3"/>
        <v>2183</v>
      </c>
      <c r="DK23" s="1357">
        <f t="shared" si="3"/>
        <v>10</v>
      </c>
      <c r="DL23" s="1357">
        <f t="shared" si="3"/>
        <v>94</v>
      </c>
      <c r="DM23" s="1361">
        <f t="shared" si="3"/>
        <v>2417</v>
      </c>
      <c r="DN23" s="1357">
        <f t="shared" si="3"/>
        <v>1</v>
      </c>
      <c r="DO23" s="1357">
        <f t="shared" si="3"/>
        <v>0</v>
      </c>
      <c r="DP23" s="1357">
        <f t="shared" si="3"/>
        <v>0</v>
      </c>
      <c r="DQ23" s="1357">
        <f t="shared" si="3"/>
        <v>751</v>
      </c>
      <c r="DR23" s="1361">
        <f t="shared" si="3"/>
        <v>752</v>
      </c>
      <c r="DS23" s="1357">
        <f>DS69+DS171+DS131+DS99+DS201+DS49+DS35+DS211+DS59+DS151+DS79+DS89+DS109+DS141+DS161+DS181+DS119</f>
        <v>0</v>
      </c>
      <c r="DT23" s="1357">
        <f>DT69+DT171+DT131+DT99+DT201+DT49+DT35+DT211+DT59+DT151+DT79+DT89+DT109+DT141+DT161+DT181+DT119</f>
        <v>830</v>
      </c>
      <c r="DU23" s="1357">
        <f>DU69+DU171+DU131+DU99+DU201+DU49+DU35+DU211+DU59+DU151+DU79+DU89+DU109+DU141+DU161+DU181+DU119+DU191</f>
        <v>1910</v>
      </c>
      <c r="DV23" s="1357">
        <f t="shared" ref="DV23:EG23" si="4">DV69+DV171+DV131+DV99+DV201+DV49+DV35+DV211+DV59+DV151+DV79+DV89+DV109+DV141+DV161+DV181+DV119+DV191</f>
        <v>54</v>
      </c>
      <c r="DW23" s="1361">
        <f t="shared" si="4"/>
        <v>2794</v>
      </c>
      <c r="DX23" s="1357">
        <f t="shared" si="4"/>
        <v>0</v>
      </c>
      <c r="DY23" s="1357">
        <f t="shared" si="4"/>
        <v>0</v>
      </c>
      <c r="DZ23" s="1357">
        <f t="shared" si="4"/>
        <v>0</v>
      </c>
      <c r="EA23" s="1357">
        <f t="shared" si="4"/>
        <v>0</v>
      </c>
      <c r="EB23" s="1361">
        <f t="shared" si="4"/>
        <v>0</v>
      </c>
      <c r="EC23" s="1357">
        <f t="shared" si="4"/>
        <v>0</v>
      </c>
      <c r="ED23" s="1357">
        <f t="shared" si="4"/>
        <v>0</v>
      </c>
      <c r="EE23" s="1357">
        <f t="shared" si="4"/>
        <v>0</v>
      </c>
      <c r="EF23" s="1357">
        <f t="shared" si="4"/>
        <v>0</v>
      </c>
      <c r="EG23" s="1361">
        <f t="shared" si="4"/>
        <v>0</v>
      </c>
      <c r="EH23" s="1357">
        <f t="shared" ref="EH23:EL23" si="5">EH69+EH171+EH131+EH99+EH201+EH49+EH35+EH211+EH59+EH151+EH79+EH89+EH109+EH141+EH161+EH181+EH119+EH191</f>
        <v>0</v>
      </c>
      <c r="EI23" s="1357">
        <f t="shared" si="5"/>
        <v>0</v>
      </c>
      <c r="EJ23" s="1357">
        <f t="shared" si="5"/>
        <v>0</v>
      </c>
      <c r="EK23" s="1357">
        <f t="shared" si="5"/>
        <v>0</v>
      </c>
      <c r="EL23" s="1361">
        <f t="shared" si="5"/>
        <v>0</v>
      </c>
    </row>
    <row r="24" spans="1:142">
      <c r="A24" s="225"/>
      <c r="B24" s="1346" t="s">
        <v>671</v>
      </c>
      <c r="C24" s="1347"/>
      <c r="D24" s="1347"/>
      <c r="E24" s="1347"/>
      <c r="F24" s="1347"/>
      <c r="G24" s="1347"/>
      <c r="H24" s="1348"/>
      <c r="I24" s="1347"/>
      <c r="J24" s="1347"/>
      <c r="K24" s="1347"/>
      <c r="L24" s="1347"/>
      <c r="M24" s="1348"/>
      <c r="N24" s="1347"/>
      <c r="O24" s="1347"/>
      <c r="P24" s="1347"/>
      <c r="Q24" s="1347"/>
      <c r="R24" s="1348"/>
      <c r="S24" s="1347"/>
      <c r="T24" s="1347"/>
      <c r="U24" s="1347"/>
      <c r="V24" s="1347"/>
      <c r="W24" s="1348"/>
      <c r="X24" s="1347"/>
      <c r="Y24" s="1347"/>
      <c r="Z24" s="1347"/>
      <c r="AA24" s="1347"/>
      <c r="AB24" s="1348"/>
      <c r="AC24" s="1347"/>
      <c r="AD24" s="1347"/>
      <c r="AE24" s="1347"/>
      <c r="AF24" s="1347"/>
      <c r="AG24" s="1348"/>
      <c r="AH24" s="1347"/>
      <c r="AI24" s="1347"/>
      <c r="AJ24" s="1347"/>
      <c r="AK24" s="1347"/>
      <c r="AL24" s="1348"/>
      <c r="AM24" s="1347"/>
      <c r="AN24" s="1347"/>
      <c r="AO24" s="1347"/>
      <c r="AP24" s="1347"/>
      <c r="AQ24" s="1348"/>
      <c r="AR24" s="1347"/>
      <c r="AS24" s="1347"/>
      <c r="AT24" s="1347"/>
      <c r="AU24" s="1348"/>
      <c r="AV24" s="1347"/>
      <c r="AW24" s="1347"/>
      <c r="AX24" s="1347"/>
      <c r="AY24" s="1347"/>
      <c r="AZ24" s="1348"/>
      <c r="BA24" s="1347"/>
      <c r="BB24" s="1347"/>
      <c r="BC24" s="1347"/>
      <c r="BD24" s="1347"/>
      <c r="BE24" s="1348"/>
      <c r="BF24" s="1347"/>
      <c r="BG24" s="1347"/>
      <c r="BH24" s="1347"/>
      <c r="BI24" s="1347"/>
      <c r="BJ24" s="1348"/>
      <c r="BK24" s="1347"/>
      <c r="BL24" s="1347"/>
      <c r="BM24" s="1347"/>
      <c r="BN24" s="1347"/>
      <c r="BO24" s="1362"/>
      <c r="BP24" s="1347"/>
      <c r="BQ24" s="1347"/>
      <c r="BR24" s="1347"/>
      <c r="BS24" s="1347"/>
      <c r="BT24" s="1362"/>
      <c r="BU24" s="1347"/>
      <c r="BV24" s="1347"/>
      <c r="BW24" s="1347"/>
      <c r="BX24" s="1347"/>
      <c r="BY24" s="1362"/>
      <c r="BZ24" s="1347"/>
      <c r="CA24" s="1347"/>
      <c r="CB24" s="1347"/>
      <c r="CC24" s="1347"/>
      <c r="CD24" s="1362"/>
      <c r="CE24" s="1363" t="e">
        <f>#REF!+#REF!+#REF!+#REF!+CE101+CE203+CE51+#REF!+#REF!+CE37+CE213+#REF!+#REF!</f>
        <v>#REF!</v>
      </c>
      <c r="CF24" s="1363" t="e">
        <f>#REF!+#REF!+#REF!+#REF!+CF101+CF203+CF51+#REF!+#REF!+CF37+CF213+#REF!+#REF!</f>
        <v>#REF!</v>
      </c>
      <c r="CG24" s="1363" t="e">
        <f>#REF!+#REF!+#REF!+#REF!+CG101+CG203+CG51+#REF!+#REF!+CG37+CG213+#REF!+#REF!</f>
        <v>#REF!</v>
      </c>
      <c r="CH24" s="1363" t="e">
        <f>#REF!+#REF!+#REF!+#REF!+CH101+CH203+CH51+#REF!+#REF!+CH37+CH213+#REF!+#REF!</f>
        <v>#REF!</v>
      </c>
      <c r="CI24" s="1362" t="e">
        <f>SUM(CE24:CH24)</f>
        <v>#REF!</v>
      </c>
      <c r="CJ24" s="1363" t="e">
        <f>#REF!+#REF!+#REF!+#REF!+CJ101+CJ203+CJ51+#REF!+#REF!+CJ37+CJ213+#REF!+#REF!</f>
        <v>#REF!</v>
      </c>
      <c r="CK24" s="1363" t="e">
        <f>#REF!+#REF!+#REF!+#REF!+CK101+CK203+CK51+#REF!+#REF!+CK37+CK213+#REF!+#REF!</f>
        <v>#REF!</v>
      </c>
      <c r="CL24" s="1363" t="e">
        <f>#REF!+#REF!+#REF!+#REF!+CL101+CL203+CL51+#REF!+#REF!+CL37+CL213+#REF!+#REF!</f>
        <v>#REF!</v>
      </c>
      <c r="CM24" s="1363" t="e">
        <f>#REF!+#REF!+#REF!+#REF!+CM101+CM203+CM51+#REF!+#REF!+CM37+CM213+#REF!+#REF!</f>
        <v>#REF!</v>
      </c>
      <c r="CN24" s="1362" t="e">
        <f>SUM(CJ24:CM24)</f>
        <v>#REF!</v>
      </c>
      <c r="CO24" s="1363" t="e">
        <f>#REF!+#REF!+#REF!+#REF!+CO101+CO203+CO51+#REF!+#REF!+CO37+CO213+#REF!+#REF!</f>
        <v>#REF!</v>
      </c>
      <c r="CP24" s="1363" t="e">
        <f>#REF!+#REF!+#REF!+#REF!+CP101+CP203+CP51+#REF!+#REF!+CP37+CP213+#REF!+#REF!</f>
        <v>#REF!</v>
      </c>
      <c r="CQ24" s="1363" t="e">
        <f>#REF!+#REF!+#REF!+#REF!+CQ101+CQ203+CQ51+#REF!+#REF!+CQ37+CQ213+#REF!+#REF!</f>
        <v>#REF!</v>
      </c>
      <c r="CR24" s="1363" t="e">
        <f>#REF!+#REF!+#REF!+#REF!+CR101+CR203+CR51+#REF!+#REF!+CR37+CR213+#REF!+#REF!</f>
        <v>#REF!</v>
      </c>
      <c r="CS24" s="1362" t="e">
        <f>SUM(CO24:CR24)</f>
        <v>#REF!</v>
      </c>
      <c r="CT24" s="1363" t="e">
        <f>#REF!+#REF!+#REF!+#REF!+CT101+CT203+CT51+#REF!+#REF!+CT37+CT213+#REF!+#REF!</f>
        <v>#REF!</v>
      </c>
      <c r="CU24" s="1363" t="e">
        <f>#REF!+#REF!+#REF!+#REF!+CU101+CU203+CU51+#REF!+#REF!+CU37+CU213+#REF!+#REF!</f>
        <v>#REF!</v>
      </c>
      <c r="CV24" s="1363" t="e">
        <f>#REF!+#REF!+#REF!+#REF!+CV101+CV203+CV51+#REF!+#REF!+CV37+CV213+#REF!+#REF!+CV219+CV61+CV153</f>
        <v>#REF!</v>
      </c>
      <c r="CW24" s="1363" t="e">
        <f>#REF!+#REF!+#REF!+#REF!+CW101+CW203+CW51+#REF!+#REF!+CW37+CW213+#REF!+#REF!+CW219+CW61+CW153</f>
        <v>#REF!</v>
      </c>
      <c r="CX24" s="1362" t="e">
        <f>SUM(CT24:CW24)</f>
        <v>#REF!</v>
      </c>
      <c r="CY24" s="1363" t="e">
        <f>#REF!+#REF!+#REF!+#REF!+CY101+CY203+CY51+#REF!+#REF!+CY37+CY213+#REF!+#REF!+CY219+CY61+CY153+CY81</f>
        <v>#REF!</v>
      </c>
      <c r="CZ24" s="1363" t="e">
        <f>#REF!+#REF!+#REF!+#REF!+CZ101+CZ203+CZ51+#REF!+#REF!+CZ37+CZ213+#REF!+#REF!+CZ219+CZ61+CZ153+CZ81+CZ91</f>
        <v>#REF!</v>
      </c>
      <c r="DA24" s="1363" t="e">
        <f>#REF!+#REF!+#REF!+#REF!+DA101+DA203+DA51+#REF!+#REF!+DA37+DA213+#REF!+#REF!+DA219+DA61+DA153+DA81+DA91</f>
        <v>#REF!</v>
      </c>
      <c r="DB24" s="1363" t="e">
        <f>DB71+DB173+#REF!+#REF!+#REF!+#REF!+DB101+DB203+DB51+#REF!+#REF!+DB37+DB213+#REF!+#REF!+DB219+DB61+DB153+DB81+DB91</f>
        <v>#REF!</v>
      </c>
      <c r="DC24" s="1362" t="e">
        <f>SUM(CY24:DB24)</f>
        <v>#REF!</v>
      </c>
      <c r="DD24" s="1363" t="e">
        <f>DD71+DD173+DD133+#REF!+#REF!+#REF!+#REF!+DD101+DD203+DD51+#REF!+#REF!+DD37+DD213+#REF!+#REF!+DD219+DD61+DD153+DD81+DD91</f>
        <v>#REF!</v>
      </c>
      <c r="DE24" s="1363" t="e">
        <f>DE71+DE173+DE133+#REF!+#REF!+#REF!+#REF!+DE101+DE203+DE51+#REF!+#REF!+DE37+DE213+#REF!+#REF!+DE219+DE61+DE153+DE81+DE91</f>
        <v>#REF!</v>
      </c>
      <c r="DF24" s="1363" t="e">
        <f>DF71+DF173+DF133+#REF!+#REF!+#REF!+#REF!+DF101+DF203+DF51+#REF!+#REF!+DF37+DF213+#REF!+#REF!+DF219+DF61+DF153+DF81+DF91</f>
        <v>#REF!</v>
      </c>
      <c r="DG24" s="1363" t="e">
        <f>DG71+DG173+DG133+#REF!+#REF!+#REF!+#REF!+DG101+DG203+DG51+#REF!+#REF!+DG37+DG213+#REF!+#REF!+DG219+DG61+DG153+DG81+DG91</f>
        <v>#REF!</v>
      </c>
      <c r="DH24" s="1362" t="e">
        <f>SUM(DD24:DG24)</f>
        <v>#REF!</v>
      </c>
      <c r="DI24" s="1364">
        <f t="shared" ref="DI24:DR24" si="6">DI70+DI172+DI132+DI100+DI202+DI50+DI36+DI212+DI218+DI60+DI152+DI80+DI90+DI110+DI142+DI162+DI182</f>
        <v>0.5</v>
      </c>
      <c r="DJ24" s="1364">
        <f t="shared" si="6"/>
        <v>-246.5</v>
      </c>
      <c r="DK24" s="1364">
        <f t="shared" si="6"/>
        <v>-5.5</v>
      </c>
      <c r="DL24" s="1364">
        <f t="shared" si="6"/>
        <v>-106.5</v>
      </c>
      <c r="DM24" s="1365">
        <f t="shared" si="6"/>
        <v>-358</v>
      </c>
      <c r="DN24" s="1364">
        <f t="shared" si="6"/>
        <v>-5</v>
      </c>
      <c r="DO24" s="1364">
        <f t="shared" si="6"/>
        <v>-37</v>
      </c>
      <c r="DP24" s="1364">
        <f t="shared" si="6"/>
        <v>-8</v>
      </c>
      <c r="DQ24" s="1364">
        <f t="shared" si="6"/>
        <v>-5</v>
      </c>
      <c r="DR24" s="1365">
        <f t="shared" si="6"/>
        <v>-55</v>
      </c>
      <c r="DS24" s="1364">
        <f>DS70+DS172+DS132+DS100+DS202+DS50+DS36+DS212+DS218+DS60+DS152+DS80+DS90+DS110+DS142+DS162+DS182+DS120</f>
        <v>-138.5</v>
      </c>
      <c r="DT24" s="1364">
        <f>DT70+DT172+DT132+DT100+DT202+DT50+DT36+DT212+DT218+DT60+DT152+DT80+DT90+DT110+DT142+DT162+DT182+DT120</f>
        <v>-4</v>
      </c>
      <c r="DU24" s="1364">
        <f>DU70+DU172+DU132+DU100+DU202+DU50+DU36+DU212+DU218+DU60+DU152+DU80+DU90+DU110+DU142+DU162+DU182+DU120+DU192</f>
        <v>-2158</v>
      </c>
      <c r="DV24" s="1364">
        <f t="shared" ref="DV24:EG24" si="7">DV70+DV172+DV132+DV100+DV202+DV50+DV36+DV212+DV218+DV60+DV152+DV80+DV90+DV110+DV142+DV162+DV182+DV120+DV192</f>
        <v>10</v>
      </c>
      <c r="DW24" s="1365">
        <f t="shared" si="7"/>
        <v>-2290.5</v>
      </c>
      <c r="DX24" s="1364">
        <f t="shared" si="7"/>
        <v>-500</v>
      </c>
      <c r="DY24" s="1364">
        <f t="shared" si="7"/>
        <v>-500</v>
      </c>
      <c r="DZ24" s="1364">
        <f t="shared" si="7"/>
        <v>0</v>
      </c>
      <c r="EA24" s="1364">
        <f t="shared" si="7"/>
        <v>-500</v>
      </c>
      <c r="EB24" s="1365">
        <f t="shared" si="7"/>
        <v>-1500</v>
      </c>
      <c r="EC24" s="1364">
        <f t="shared" si="7"/>
        <v>0</v>
      </c>
      <c r="ED24" s="1364">
        <f t="shared" si="7"/>
        <v>0</v>
      </c>
      <c r="EE24" s="1364">
        <f t="shared" si="7"/>
        <v>0</v>
      </c>
      <c r="EF24" s="1364">
        <f t="shared" si="7"/>
        <v>0</v>
      </c>
      <c r="EG24" s="1365">
        <f t="shared" si="7"/>
        <v>0</v>
      </c>
      <c r="EH24" s="1364">
        <f t="shared" ref="EH24:EL24" si="8">EH70+EH172+EH132+EH100+EH202+EH50+EH36+EH212+EH218+EH60+EH152+EH80+EH90+EH110+EH142+EH162+EH182+EH120+EH192</f>
        <v>-200</v>
      </c>
      <c r="EI24" s="1364">
        <f t="shared" si="8"/>
        <v>-200</v>
      </c>
      <c r="EJ24" s="1364">
        <f t="shared" si="8"/>
        <v>-200</v>
      </c>
      <c r="EK24" s="1364">
        <f t="shared" si="8"/>
        <v>-200</v>
      </c>
      <c r="EL24" s="1365">
        <f t="shared" si="8"/>
        <v>-800</v>
      </c>
    </row>
    <row r="25" spans="1:142" hidden="1" outlineLevel="1">
      <c r="A25" s="225"/>
      <c r="B25" s="225"/>
      <c r="C25" s="9"/>
      <c r="D25" s="9"/>
      <c r="E25" s="9"/>
      <c r="F25" s="9"/>
      <c r="G25" s="9"/>
      <c r="H25" s="63"/>
      <c r="I25" s="9"/>
      <c r="J25" s="9"/>
      <c r="K25" s="9"/>
      <c r="L25" s="9"/>
      <c r="M25" s="63"/>
      <c r="N25" s="9"/>
      <c r="O25" s="9"/>
      <c r="P25" s="9"/>
      <c r="Q25" s="9"/>
      <c r="R25" s="63"/>
      <c r="S25" s="9"/>
      <c r="T25" s="9"/>
      <c r="U25" s="9"/>
      <c r="V25" s="9"/>
      <c r="W25" s="63"/>
      <c r="X25" s="9"/>
      <c r="Y25" s="9"/>
      <c r="Z25" s="9"/>
      <c r="AA25" s="9"/>
      <c r="AB25" s="63"/>
      <c r="AC25" s="9"/>
      <c r="AD25" s="9"/>
      <c r="AE25" s="9"/>
      <c r="AF25" s="9"/>
      <c r="AG25" s="63"/>
      <c r="AH25" s="9"/>
      <c r="AI25" s="9"/>
      <c r="AJ25" s="9"/>
      <c r="AK25" s="9"/>
      <c r="AL25" s="63"/>
      <c r="AM25" s="9"/>
      <c r="AN25" s="9"/>
      <c r="AO25" s="9"/>
      <c r="AP25" s="9"/>
      <c r="AQ25" s="28"/>
      <c r="AR25" s="9"/>
      <c r="AS25" s="9"/>
      <c r="AT25" s="9"/>
      <c r="AU25" s="186"/>
      <c r="AV25" s="240"/>
      <c r="AW25" s="240"/>
      <c r="AX25" s="240"/>
      <c r="AY25" s="240"/>
      <c r="AZ25" s="241"/>
      <c r="BA25" s="240"/>
      <c r="BB25" s="240"/>
      <c r="BC25" s="240"/>
      <c r="BD25" s="240"/>
      <c r="BE25" s="241"/>
      <c r="BF25" s="240"/>
      <c r="BG25" s="240"/>
      <c r="BH25" s="240"/>
      <c r="BI25" s="240"/>
      <c r="BJ25" s="241"/>
      <c r="BK25" s="87"/>
      <c r="BL25" s="87"/>
      <c r="BM25" s="87"/>
      <c r="BN25" s="87"/>
      <c r="BO25" s="193"/>
      <c r="BP25" s="87"/>
      <c r="BQ25" s="87"/>
      <c r="BR25" s="87"/>
      <c r="BS25" s="87"/>
      <c r="BT25" s="193"/>
      <c r="BU25" s="87"/>
      <c r="BV25" s="87"/>
      <c r="BW25" s="87"/>
      <c r="BX25" s="87"/>
      <c r="BY25" s="193"/>
      <c r="BZ25" s="87"/>
      <c r="CA25" s="87"/>
      <c r="CB25" s="87"/>
      <c r="CC25" s="87"/>
      <c r="CD25" s="193"/>
      <c r="CE25" s="54"/>
      <c r="CF25" s="54"/>
      <c r="CG25" s="54"/>
      <c r="CH25" s="54"/>
      <c r="CI25" s="28"/>
      <c r="CJ25" s="54"/>
      <c r="CK25" s="54"/>
      <c r="CL25" s="54"/>
      <c r="CM25" s="54"/>
      <c r="CN25" s="28"/>
      <c r="CO25" s="54"/>
      <c r="CP25" s="54"/>
      <c r="CQ25" s="53"/>
      <c r="CR25" s="53"/>
      <c r="CS25" s="28"/>
      <c r="CT25" s="53"/>
      <c r="CU25" s="53"/>
      <c r="CV25" s="53"/>
      <c r="CW25" s="53"/>
      <c r="CX25" s="28"/>
      <c r="CY25" s="53"/>
      <c r="CZ25" s="53"/>
      <c r="DA25" s="53"/>
      <c r="DB25" s="53"/>
      <c r="DC25" s="28"/>
      <c r="DD25" s="53"/>
      <c r="DE25" s="53"/>
      <c r="DF25" s="53"/>
      <c r="DG25" s="53"/>
      <c r="DH25" s="28"/>
      <c r="DI25" s="53"/>
      <c r="DJ25" s="53"/>
      <c r="DK25" s="53"/>
      <c r="DL25" s="53"/>
      <c r="DM25" s="53"/>
      <c r="DN25" s="53"/>
      <c r="DO25" s="53"/>
      <c r="DP25" s="53"/>
      <c r="DQ25" s="53"/>
      <c r="DR25" s="53"/>
      <c r="DS25" s="53"/>
      <c r="DT25" s="53"/>
      <c r="DU25" s="53"/>
      <c r="DV25" s="53"/>
      <c r="DW25" s="53"/>
      <c r="DX25" s="53"/>
      <c r="DY25" s="53"/>
      <c r="DZ25" s="53"/>
      <c r="EA25" s="53"/>
      <c r="EB25" s="53"/>
      <c r="EC25" s="53"/>
      <c r="ED25" s="53"/>
      <c r="EE25" s="53"/>
      <c r="EF25" s="53"/>
      <c r="EG25" s="53"/>
      <c r="EH25" s="53"/>
      <c r="EI25" s="53"/>
      <c r="EJ25" s="53"/>
      <c r="EK25" s="53"/>
      <c r="EL25" s="53"/>
    </row>
    <row r="26" spans="1:142" hidden="1" outlineLevel="1">
      <c r="A26" s="225"/>
      <c r="B26" s="1326" t="s">
        <v>672</v>
      </c>
      <c r="C26" s="9"/>
      <c r="D26" s="9"/>
      <c r="E26" s="9"/>
      <c r="F26" s="9"/>
      <c r="G26" s="9"/>
      <c r="H26" s="63"/>
      <c r="I26" s="9"/>
      <c r="J26" s="9"/>
      <c r="K26" s="9"/>
      <c r="L26" s="9"/>
      <c r="M26" s="63"/>
      <c r="N26" s="9"/>
      <c r="O26" s="9"/>
      <c r="P26" s="9"/>
      <c r="Q26" s="9"/>
      <c r="R26" s="63"/>
      <c r="S26" s="9"/>
      <c r="T26" s="9"/>
      <c r="U26" s="9"/>
      <c r="V26" s="9"/>
      <c r="W26" s="63"/>
      <c r="X26" s="9"/>
      <c r="Y26" s="9"/>
      <c r="Z26" s="9"/>
      <c r="AA26" s="9"/>
      <c r="AB26" s="63"/>
      <c r="AC26" s="9"/>
      <c r="AD26" s="9"/>
      <c r="AE26" s="9"/>
      <c r="AF26" s="9"/>
      <c r="AG26" s="63"/>
      <c r="AH26" s="9"/>
      <c r="AI26" s="9"/>
      <c r="AJ26" s="9"/>
      <c r="AK26" s="9"/>
      <c r="AL26" s="63"/>
      <c r="AM26" s="9"/>
      <c r="AN26" s="9"/>
      <c r="AO26" s="9"/>
      <c r="AP26" s="9"/>
      <c r="AQ26" s="28"/>
      <c r="AR26" s="9"/>
      <c r="AS26" s="9"/>
      <c r="AT26" s="9"/>
      <c r="AU26" s="186"/>
      <c r="AV26" s="240"/>
      <c r="AW26" s="240"/>
      <c r="AX26" s="240"/>
      <c r="AY26" s="240"/>
      <c r="AZ26" s="241"/>
      <c r="BA26" s="240"/>
      <c r="BB26" s="240"/>
      <c r="BC26" s="240"/>
      <c r="BD26" s="240"/>
      <c r="BE26" s="241"/>
      <c r="BF26" s="240"/>
      <c r="BG26" s="240"/>
      <c r="BH26" s="240"/>
      <c r="BI26" s="240"/>
      <c r="BJ26" s="241"/>
      <c r="BK26" s="87"/>
      <c r="BL26" s="87"/>
      <c r="BM26" s="87"/>
      <c r="BN26" s="87"/>
      <c r="BO26" s="193"/>
      <c r="BP26" s="87"/>
      <c r="BQ26" s="87"/>
      <c r="BR26" s="87"/>
      <c r="BS26" s="87"/>
      <c r="BT26" s="193"/>
      <c r="BU26" s="87"/>
      <c r="BV26" s="87"/>
      <c r="BW26" s="87"/>
      <c r="BX26" s="87"/>
      <c r="BY26" s="193"/>
      <c r="BZ26" s="87"/>
      <c r="CA26" s="87"/>
      <c r="CB26" s="87"/>
      <c r="CC26" s="87"/>
      <c r="CD26" s="193"/>
      <c r="CE26" s="54"/>
      <c r="CF26" s="54"/>
      <c r="CG26" s="54"/>
      <c r="CH26" s="54"/>
      <c r="CI26" s="28"/>
      <c r="CJ26" s="54"/>
      <c r="CK26" s="54"/>
      <c r="CL26" s="54"/>
      <c r="CM26" s="54"/>
      <c r="CN26" s="28"/>
      <c r="CO26" s="54"/>
      <c r="CP26" s="54"/>
      <c r="CQ26" s="53"/>
      <c r="CR26" s="53"/>
      <c r="CS26" s="28"/>
      <c r="CT26" s="53"/>
      <c r="CU26" s="53"/>
      <c r="CV26" s="53"/>
      <c r="CW26" s="53"/>
      <c r="CX26" s="28"/>
      <c r="CY26" s="53"/>
      <c r="CZ26" s="53"/>
      <c r="DA26" s="53"/>
      <c r="DB26" s="53"/>
      <c r="DC26" s="28"/>
      <c r="DD26" s="53"/>
      <c r="DE26" s="53"/>
      <c r="DF26" s="53"/>
      <c r="DG26" s="53"/>
      <c r="DH26" s="28"/>
      <c r="DI26" s="53"/>
      <c r="DJ26" s="53"/>
      <c r="DK26" s="53"/>
      <c r="DL26" s="53"/>
      <c r="DM26" s="53"/>
      <c r="DN26" s="53"/>
      <c r="DO26" s="53"/>
      <c r="DP26" s="53"/>
      <c r="DQ26" s="53"/>
      <c r="DR26" s="53"/>
      <c r="DS26" s="53"/>
      <c r="DT26" s="53">
        <f>DT10+'BS &amp; CF'!DT158+'BS &amp; CF'!DT169+SUM('BS &amp; CF'!DT176:DT180)+Debt!DT23</f>
        <v>1441</v>
      </c>
      <c r="DU26" s="53">
        <f>DU10+'BS &amp; CF'!DU158+'BS &amp; CF'!DU169+SUM('BS &amp; CF'!DU176:DU180)+Debt!DU23</f>
        <v>2491</v>
      </c>
      <c r="DV26" s="53">
        <f>DV10+'BS &amp; CF'!DV158+'BS &amp; CF'!DV169+SUM('BS &amp; CF'!DV176:DV180)+Debt!DV23</f>
        <v>698</v>
      </c>
      <c r="DW26" s="53"/>
      <c r="DX26" s="53">
        <f>DX10+'BS &amp; CF'!DX158+'BS &amp; CF'!DX169+SUM('BS &amp; CF'!DX176:DX180)+Debt!DX23</f>
        <v>1329.3703581558905</v>
      </c>
      <c r="DY26" s="53">
        <f>DY10+'BS &amp; CF'!DY158+'BS &amp; CF'!DY169+SUM('BS &amp; CF'!DY176:DY180)+Debt!DY23</f>
        <v>1105.3766353546889</v>
      </c>
      <c r="DZ26" s="53">
        <f>DZ10+'BS &amp; CF'!DZ158+'BS &amp; CF'!DZ169+SUM('BS &amp; CF'!DZ176:DZ180)+Debt!DZ23</f>
        <v>853.21887238129329</v>
      </c>
      <c r="EA26" s="53">
        <f>EA10+'BS &amp; CF'!EA158+'BS &amp; CF'!EA169+SUM('BS &amp; CF'!EA176:EA180)+Debt!EA23</f>
        <v>1067.7108739845173</v>
      </c>
      <c r="EB26" s="53"/>
      <c r="EC26" s="53">
        <f>EC10+'BS &amp; CF'!EC158+'BS &amp; CF'!EC169+SUM('BS &amp; CF'!EC176:EC180)+Debt!EC23</f>
        <v>376.97417916896063</v>
      </c>
      <c r="ED26" s="53">
        <f>ED10+'BS &amp; CF'!ED158+'BS &amp; CF'!ED169+SUM('BS &amp; CF'!ED176:ED180)+Debt!ED23</f>
        <v>520.54772891988341</v>
      </c>
      <c r="EE26" s="53">
        <f>EE10+'BS &amp; CF'!EE158+'BS &amp; CF'!EE169+SUM('BS &amp; CF'!EE176:EE180)+Debt!EE23</f>
        <v>689.98221824519351</v>
      </c>
      <c r="EF26" s="53">
        <f>EF10+'BS &amp; CF'!EF158+'BS &amp; CF'!EF169+SUM('BS &amp; CF'!EF176:EF180)+Debt!EF23</f>
        <v>714.63062624325505</v>
      </c>
      <c r="EG26" s="53"/>
      <c r="EH26" s="53">
        <f>EH10+'BS &amp; CF'!EH158+'BS &amp; CF'!EH169+SUM('BS &amp; CF'!EH176:EH180)+Debt!EH23</f>
        <v>857.96794350851678</v>
      </c>
      <c r="EI26" s="53">
        <f>EI10+'BS &amp; CF'!EI158+'BS &amp; CF'!EI169+SUM('BS &amp; CF'!EI176:EI180)+Debt!EI23</f>
        <v>802.90493870577018</v>
      </c>
      <c r="EJ26" s="53">
        <f>EJ10+'BS &amp; CF'!EJ158+'BS &amp; CF'!EJ169+SUM('BS &amp; CF'!EJ176:EJ180)+Debt!EJ23</f>
        <v>852.42194509847184</v>
      </c>
      <c r="EK26" s="53">
        <f>EK10+'BS &amp; CF'!EK158+'BS &amp; CF'!EK169+SUM('BS &amp; CF'!EK176:EK180)+Debt!EK23</f>
        <v>671.25813137678415</v>
      </c>
      <c r="EL26" s="53"/>
    </row>
    <row r="27" spans="1:142" collapsed="1">
      <c r="A27" s="225"/>
      <c r="B27" s="225"/>
      <c r="C27" s="9"/>
      <c r="D27" s="9"/>
      <c r="E27" s="9"/>
      <c r="F27" s="9"/>
      <c r="G27" s="9"/>
      <c r="H27" s="63"/>
      <c r="I27" s="9"/>
      <c r="J27" s="9"/>
      <c r="K27" s="9"/>
      <c r="L27" s="9"/>
      <c r="M27" s="63"/>
      <c r="N27" s="9"/>
      <c r="O27" s="9"/>
      <c r="P27" s="9"/>
      <c r="Q27" s="9"/>
      <c r="R27" s="63"/>
      <c r="S27" s="9"/>
      <c r="T27" s="9"/>
      <c r="U27" s="9"/>
      <c r="V27" s="9"/>
      <c r="W27" s="63"/>
      <c r="X27" s="9"/>
      <c r="Y27" s="9"/>
      <c r="Z27" s="9"/>
      <c r="AA27" s="9"/>
      <c r="AB27" s="63"/>
      <c r="AC27" s="9"/>
      <c r="AD27" s="9"/>
      <c r="AE27" s="9"/>
      <c r="AF27" s="9"/>
      <c r="AG27" s="63"/>
      <c r="AH27" s="9"/>
      <c r="AI27" s="9"/>
      <c r="AJ27" s="9"/>
      <c r="AK27" s="9"/>
      <c r="AL27" s="63"/>
      <c r="AM27" s="9"/>
      <c r="AN27" s="9"/>
      <c r="AO27" s="9"/>
      <c r="AP27" s="9"/>
      <c r="AQ27" s="28"/>
      <c r="AR27" s="9"/>
      <c r="AS27" s="9"/>
      <c r="AT27" s="9"/>
      <c r="AU27" s="186"/>
      <c r="AV27" s="240"/>
      <c r="AW27" s="240"/>
      <c r="AX27" s="240"/>
      <c r="AY27" s="240"/>
      <c r="AZ27" s="241"/>
      <c r="BA27" s="240"/>
      <c r="BB27" s="240"/>
      <c r="BC27" s="240"/>
      <c r="BD27" s="240"/>
      <c r="BE27" s="241"/>
      <c r="BF27" s="240"/>
      <c r="BG27" s="240"/>
      <c r="BH27" s="240"/>
      <c r="BI27" s="240"/>
      <c r="BJ27" s="241"/>
      <c r="BK27" s="87"/>
      <c r="BL27" s="87"/>
      <c r="BM27" s="87"/>
      <c r="BN27" s="87"/>
      <c r="BO27" s="193"/>
      <c r="BP27" s="87"/>
      <c r="BQ27" s="87"/>
      <c r="BR27" s="87"/>
      <c r="BS27" s="87"/>
      <c r="BT27" s="193"/>
      <c r="BU27" s="87"/>
      <c r="BV27" s="87"/>
      <c r="BW27" s="87"/>
      <c r="BX27" s="87"/>
      <c r="BY27" s="193"/>
      <c r="BZ27" s="87"/>
      <c r="CA27" s="87"/>
      <c r="CB27" s="87"/>
      <c r="CC27" s="87"/>
      <c r="CD27" s="193"/>
      <c r="CE27" s="54"/>
      <c r="CF27" s="54"/>
      <c r="CG27" s="54"/>
      <c r="CH27" s="54"/>
      <c r="CI27" s="28"/>
      <c r="CJ27" s="54"/>
      <c r="CK27" s="54"/>
      <c r="CL27" s="54"/>
      <c r="CM27" s="54"/>
      <c r="CN27" s="28"/>
      <c r="CO27" s="54"/>
      <c r="CP27" s="54"/>
      <c r="CQ27" s="53"/>
      <c r="CR27" s="53"/>
      <c r="CS27" s="28"/>
      <c r="CT27" s="53"/>
      <c r="CU27" s="53"/>
      <c r="CV27" s="53"/>
      <c r="CW27" s="53"/>
      <c r="CX27" s="28"/>
      <c r="CY27" s="53"/>
      <c r="CZ27" s="53"/>
      <c r="DA27" s="53"/>
      <c r="DB27" s="53"/>
      <c r="DC27" s="28"/>
      <c r="DD27" s="53"/>
      <c r="DE27" s="53"/>
      <c r="DF27" s="53"/>
      <c r="DG27" s="53"/>
      <c r="DH27" s="28"/>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c r="EH27" s="53"/>
      <c r="EI27" s="53"/>
      <c r="EJ27" s="53"/>
      <c r="EK27" s="53"/>
      <c r="EL27" s="53"/>
    </row>
    <row r="28" spans="1:142">
      <c r="A28" s="225"/>
      <c r="B28" s="1368" t="s">
        <v>673</v>
      </c>
      <c r="C28" s="9"/>
      <c r="D28" s="9"/>
      <c r="E28" s="9"/>
      <c r="F28" s="9"/>
      <c r="G28" s="9"/>
      <c r="H28" s="63"/>
      <c r="I28" s="9"/>
      <c r="J28" s="9"/>
      <c r="K28" s="9"/>
      <c r="L28" s="9"/>
      <c r="M28" s="63"/>
      <c r="N28" s="9"/>
      <c r="O28" s="9"/>
      <c r="P28" s="9"/>
      <c r="Q28" s="9"/>
      <c r="R28" s="63"/>
      <c r="S28" s="9"/>
      <c r="T28" s="9"/>
      <c r="U28" s="9"/>
      <c r="V28" s="9"/>
      <c r="W28" s="63"/>
      <c r="X28" s="9"/>
      <c r="Y28" s="9"/>
      <c r="Z28" s="9"/>
      <c r="AA28" s="9"/>
      <c r="AB28" s="63"/>
      <c r="AC28" s="9"/>
      <c r="AD28" s="9"/>
      <c r="AE28" s="9"/>
      <c r="AF28" s="9"/>
      <c r="AG28" s="63"/>
      <c r="AH28" s="9"/>
      <c r="AI28" s="9"/>
      <c r="AJ28" s="9"/>
      <c r="AK28" s="9"/>
      <c r="AL28" s="63"/>
      <c r="AM28" s="9"/>
      <c r="AN28" s="9"/>
      <c r="AO28" s="9"/>
      <c r="AP28" s="9"/>
      <c r="AQ28" s="28"/>
      <c r="AR28" s="9"/>
      <c r="AS28" s="9"/>
      <c r="AT28" s="9"/>
      <c r="AU28" s="186"/>
      <c r="AV28" s="240"/>
      <c r="AW28" s="240"/>
      <c r="AX28" s="240"/>
      <c r="AY28" s="240"/>
      <c r="AZ28" s="241"/>
      <c r="BA28" s="240"/>
      <c r="BB28" s="240"/>
      <c r="BC28" s="240"/>
      <c r="BD28" s="240"/>
      <c r="BE28" s="241"/>
      <c r="BF28" s="240"/>
      <c r="BG28" s="240"/>
      <c r="BH28" s="240"/>
      <c r="BI28" s="240"/>
      <c r="BJ28" s="241"/>
      <c r="BK28" s="87"/>
      <c r="BL28" s="87"/>
      <c r="BM28" s="87"/>
      <c r="BN28" s="87"/>
      <c r="BO28" s="193"/>
      <c r="BP28" s="87"/>
      <c r="BQ28" s="87"/>
      <c r="BR28" s="87"/>
      <c r="BS28" s="87"/>
      <c r="BT28" s="193"/>
      <c r="BU28" s="87"/>
      <c r="BV28" s="87"/>
      <c r="BW28" s="87"/>
      <c r="BX28" s="87"/>
      <c r="BY28" s="193"/>
      <c r="BZ28" s="87"/>
      <c r="CA28" s="87"/>
      <c r="CB28" s="87"/>
      <c r="CC28" s="87"/>
      <c r="CD28" s="193"/>
      <c r="CE28" s="54"/>
      <c r="CF28" s="54"/>
      <c r="CG28" s="54"/>
      <c r="CH28" s="54"/>
      <c r="CI28" s="28"/>
      <c r="CJ28" s="54"/>
      <c r="CK28" s="54"/>
      <c r="CL28" s="54"/>
      <c r="CM28" s="54"/>
      <c r="CN28" s="28"/>
      <c r="CO28" s="54"/>
      <c r="CP28" s="54"/>
      <c r="CQ28" s="53"/>
      <c r="CR28" s="53"/>
      <c r="CS28" s="28"/>
      <c r="CT28" s="53"/>
      <c r="CU28" s="53"/>
      <c r="CV28" s="53"/>
      <c r="CW28" s="53"/>
      <c r="CX28" s="28"/>
      <c r="CY28" s="53"/>
      <c r="CZ28" s="53"/>
      <c r="DA28" s="53"/>
      <c r="DB28" s="53"/>
      <c r="DC28" s="28"/>
      <c r="DD28" s="53"/>
      <c r="DE28" s="53"/>
      <c r="DF28" s="53"/>
      <c r="DG28" s="53"/>
      <c r="DH28" s="28"/>
      <c r="DI28" s="53"/>
      <c r="DJ28" s="53"/>
      <c r="DK28" s="53"/>
      <c r="DL28" s="53"/>
      <c r="DM28" s="53"/>
      <c r="DN28" s="53"/>
      <c r="DO28" s="53"/>
      <c r="DP28" s="53"/>
      <c r="DQ28" s="53"/>
      <c r="DR28" s="53"/>
      <c r="DS28" s="53"/>
      <c r="DT28" s="53"/>
      <c r="DU28" s="53"/>
      <c r="DV28" s="53"/>
      <c r="DW28" s="53"/>
      <c r="DX28" s="53"/>
      <c r="DY28" s="53"/>
      <c r="DZ28" s="53"/>
      <c r="EA28" s="53"/>
      <c r="EB28" s="53"/>
      <c r="EC28" s="53"/>
      <c r="ED28" s="53"/>
      <c r="EE28" s="53"/>
      <c r="EF28" s="53"/>
      <c r="EG28" s="53"/>
      <c r="EH28" s="53"/>
      <c r="EI28" s="53"/>
      <c r="EJ28" s="53"/>
      <c r="EK28" s="53"/>
      <c r="EL28" s="53"/>
    </row>
    <row r="29" spans="1:142" s="680" customFormat="1">
      <c r="A29" s="1369"/>
      <c r="B29" s="1370"/>
      <c r="C29" s="555"/>
      <c r="D29" s="555"/>
      <c r="E29" s="555"/>
      <c r="F29" s="555"/>
      <c r="G29" s="555"/>
      <c r="H29" s="802"/>
      <c r="I29" s="555"/>
      <c r="J29" s="555"/>
      <c r="K29" s="555"/>
      <c r="L29" s="555"/>
      <c r="M29" s="802"/>
      <c r="N29" s="555"/>
      <c r="O29" s="555"/>
      <c r="P29" s="555"/>
      <c r="Q29" s="555"/>
      <c r="R29" s="802"/>
      <c r="S29" s="555"/>
      <c r="T29" s="555"/>
      <c r="U29" s="555"/>
      <c r="V29" s="555"/>
      <c r="W29" s="802"/>
      <c r="X29" s="555"/>
      <c r="Y29" s="555"/>
      <c r="Z29" s="555"/>
      <c r="AA29" s="555"/>
      <c r="AB29" s="802"/>
      <c r="AC29" s="555"/>
      <c r="AD29" s="555"/>
      <c r="AE29" s="555"/>
      <c r="AF29" s="555"/>
      <c r="AG29" s="802"/>
      <c r="AH29" s="555"/>
      <c r="AI29" s="555"/>
      <c r="AJ29" s="555"/>
      <c r="AK29" s="555"/>
      <c r="AL29" s="802"/>
      <c r="AM29" s="555"/>
      <c r="AN29" s="555"/>
      <c r="AO29" s="555"/>
      <c r="AP29" s="555"/>
      <c r="AQ29" s="817"/>
      <c r="AR29" s="555"/>
      <c r="AS29" s="555"/>
      <c r="AT29" s="555"/>
      <c r="AU29" s="802"/>
      <c r="AV29" s="1371"/>
      <c r="AW29" s="1371"/>
      <c r="AX29" s="1371"/>
      <c r="AY29" s="1371"/>
      <c r="AZ29" s="1372"/>
      <c r="BA29" s="1371"/>
      <c r="BB29" s="1371"/>
      <c r="BC29" s="1371"/>
      <c r="BD29" s="1371"/>
      <c r="BE29" s="1372"/>
      <c r="BF29" s="1371"/>
      <c r="BG29" s="1371"/>
      <c r="BH29" s="1371"/>
      <c r="BI29" s="1371"/>
      <c r="BJ29" s="1372"/>
      <c r="BK29" s="1251"/>
      <c r="BL29" s="1251"/>
      <c r="BM29" s="1251"/>
      <c r="BN29" s="1251"/>
      <c r="BO29" s="902"/>
      <c r="BP29" s="1251"/>
      <c r="BQ29" s="1251"/>
      <c r="BR29" s="1251"/>
      <c r="BS29" s="1251"/>
      <c r="BT29" s="902"/>
      <c r="BU29" s="1251"/>
      <c r="BV29" s="1251"/>
      <c r="BW29" s="1251"/>
      <c r="BX29" s="1251"/>
      <c r="BY29" s="902"/>
      <c r="BZ29" s="1251"/>
      <c r="CA29" s="1251"/>
      <c r="CB29" s="1251"/>
      <c r="CC29" s="1251"/>
      <c r="CD29" s="902"/>
      <c r="CE29" s="735"/>
      <c r="CF29" s="735"/>
      <c r="CG29" s="735"/>
      <c r="CH29" s="735"/>
      <c r="CI29" s="817"/>
      <c r="CJ29" s="735"/>
      <c r="CK29" s="735"/>
      <c r="CL29" s="735"/>
      <c r="CM29" s="735"/>
      <c r="CN29" s="817"/>
      <c r="CO29" s="735"/>
      <c r="CP29" s="735"/>
      <c r="CQ29" s="739"/>
      <c r="CR29" s="739"/>
      <c r="CS29" s="817"/>
      <c r="CT29" s="739"/>
      <c r="CU29" s="739"/>
      <c r="CV29" s="739"/>
      <c r="CW29" s="739"/>
      <c r="CX29" s="817"/>
      <c r="CY29" s="739"/>
      <c r="CZ29" s="739"/>
      <c r="DA29" s="739"/>
      <c r="DB29" s="739"/>
      <c r="DC29" s="817"/>
      <c r="DD29" s="739"/>
      <c r="DE29" s="739"/>
      <c r="DF29" s="739"/>
      <c r="DG29" s="739"/>
      <c r="DH29" s="817"/>
      <c r="DI29" s="739"/>
      <c r="DJ29" s="739"/>
      <c r="DK29" s="739"/>
      <c r="DL29" s="739"/>
      <c r="DM29" s="739"/>
      <c r="DN29" s="739"/>
      <c r="DO29" s="739"/>
      <c r="DP29" s="739"/>
      <c r="DQ29" s="739"/>
      <c r="DR29" s="739"/>
      <c r="DS29" s="739"/>
      <c r="DT29" s="739"/>
      <c r="DU29" s="739"/>
      <c r="DV29" s="739"/>
      <c r="DW29" s="739"/>
      <c r="DX29" s="739"/>
      <c r="DY29" s="739"/>
      <c r="DZ29" s="739"/>
      <c r="EA29" s="739"/>
      <c r="EB29" s="739"/>
      <c r="EC29" s="739"/>
      <c r="ED29" s="739"/>
      <c r="EE29" s="739"/>
      <c r="EF29" s="739"/>
      <c r="EG29" s="739"/>
      <c r="EH29" s="739"/>
      <c r="EI29" s="739"/>
      <c r="EJ29" s="739"/>
      <c r="EK29" s="739"/>
      <c r="EL29" s="739"/>
    </row>
    <row r="30" spans="1:142" hidden="1" outlineLevel="1">
      <c r="A30" s="1327"/>
      <c r="B30" s="242" t="s">
        <v>309</v>
      </c>
      <c r="C30" s="228"/>
      <c r="D30" s="228"/>
      <c r="E30" s="228"/>
      <c r="F30" s="228"/>
      <c r="G30" s="228"/>
      <c r="H30" s="229"/>
      <c r="I30" s="228"/>
      <c r="J30" s="228"/>
      <c r="K30" s="228"/>
      <c r="L30" s="228"/>
      <c r="M30" s="229"/>
      <c r="N30" s="228"/>
      <c r="O30" s="228"/>
      <c r="P30" s="228"/>
      <c r="Q30" s="228"/>
      <c r="R30" s="229"/>
      <c r="S30" s="228"/>
      <c r="T30" s="228"/>
      <c r="U30" s="228"/>
      <c r="V30" s="228"/>
      <c r="W30" s="229"/>
      <c r="X30" s="228"/>
      <c r="Y30" s="228"/>
      <c r="Z30" s="228"/>
      <c r="AA30" s="228"/>
      <c r="AB30" s="229"/>
      <c r="AC30" s="228"/>
      <c r="AD30" s="228"/>
      <c r="AE30" s="228"/>
      <c r="AF30" s="228"/>
      <c r="AG30" s="229"/>
      <c r="AH30" s="228"/>
      <c r="AI30" s="228"/>
      <c r="AJ30" s="228"/>
      <c r="AK30" s="228"/>
      <c r="AL30" s="229"/>
      <c r="AM30" s="228"/>
      <c r="AN30" s="228"/>
      <c r="AO30" s="228"/>
      <c r="AP30" s="228"/>
      <c r="AQ30" s="229"/>
      <c r="AR30" s="228"/>
      <c r="AS30" s="228"/>
      <c r="AT30" s="228"/>
      <c r="AU30" s="230"/>
      <c r="AV30" s="228"/>
      <c r="AW30" s="228"/>
      <c r="AX30" s="228"/>
      <c r="AY30" s="228"/>
      <c r="AZ30" s="229"/>
      <c r="BA30" s="228"/>
      <c r="BB30" s="228"/>
      <c r="BC30" s="228"/>
      <c r="BD30" s="228"/>
      <c r="BE30" s="229"/>
      <c r="BF30" s="228"/>
      <c r="BG30" s="228"/>
      <c r="BH30" s="228"/>
      <c r="BI30" s="228"/>
      <c r="BJ30" s="229"/>
      <c r="BK30" s="228"/>
      <c r="BL30" s="228"/>
      <c r="BM30" s="228"/>
      <c r="BN30" s="228"/>
      <c r="BO30" s="229"/>
      <c r="BP30" s="228"/>
      <c r="BQ30" s="228"/>
      <c r="BR30" s="228"/>
      <c r="BS30" s="228"/>
      <c r="BT30" s="229"/>
      <c r="BU30" s="228"/>
      <c r="BV30" s="228"/>
      <c r="BW30" s="228"/>
      <c r="BX30" s="228"/>
      <c r="BY30" s="229"/>
      <c r="BZ30" s="228"/>
      <c r="CA30" s="228"/>
      <c r="CB30" s="228"/>
      <c r="CC30" s="228"/>
      <c r="CD30" s="229"/>
      <c r="CE30" s="228"/>
      <c r="CF30" s="228"/>
      <c r="CG30" s="228"/>
      <c r="CH30" s="228"/>
      <c r="CI30" s="229"/>
      <c r="CJ30" s="228"/>
      <c r="CK30" s="228"/>
      <c r="CL30" s="228"/>
      <c r="CM30" s="228"/>
      <c r="CN30" s="229"/>
      <c r="CO30" s="228"/>
      <c r="CP30" s="228"/>
      <c r="CQ30" s="228"/>
      <c r="CR30" s="228"/>
      <c r="CS30" s="229"/>
      <c r="CT30" s="228"/>
      <c r="CU30" s="228"/>
      <c r="CV30" s="228"/>
      <c r="CW30" s="228"/>
      <c r="CX30" s="229"/>
      <c r="CY30" s="228"/>
      <c r="CZ30" s="228"/>
      <c r="DA30" s="228"/>
      <c r="DB30" s="228"/>
      <c r="DC30" s="229"/>
      <c r="DD30" s="228"/>
      <c r="DE30" s="228"/>
      <c r="DF30" s="228"/>
      <c r="DG30" s="228"/>
      <c r="DH30" s="229"/>
      <c r="DI30" s="228"/>
      <c r="DJ30" s="228"/>
      <c r="DK30" s="231"/>
      <c r="DL30" s="228"/>
      <c r="DM30" s="229"/>
      <c r="DN30" s="228"/>
      <c r="DO30" s="228"/>
      <c r="DP30" s="228"/>
      <c r="DQ30" s="228"/>
      <c r="DR30" s="229"/>
      <c r="DS30" s="228"/>
      <c r="DT30" s="228"/>
      <c r="DU30" s="228"/>
      <c r="DV30" s="228"/>
      <c r="DW30" s="229"/>
      <c r="DX30" s="228"/>
      <c r="DY30" s="228"/>
      <c r="DZ30" s="228"/>
      <c r="EA30" s="228"/>
      <c r="EB30" s="229"/>
      <c r="EC30" s="228"/>
      <c r="ED30" s="228"/>
      <c r="EE30" s="228"/>
      <c r="EF30" s="228"/>
      <c r="EG30" s="229"/>
      <c r="EH30" s="228"/>
      <c r="EI30" s="228"/>
      <c r="EJ30" s="228"/>
      <c r="EK30" s="228"/>
      <c r="EL30" s="229"/>
    </row>
    <row r="31" spans="1:142" hidden="1" outlineLevel="1">
      <c r="A31" s="1328"/>
      <c r="B31" s="247" t="s">
        <v>310</v>
      </c>
      <c r="C31" s="9"/>
      <c r="D31" s="9"/>
      <c r="E31" s="9"/>
      <c r="F31" s="9"/>
      <c r="G31" s="9"/>
      <c r="H31" s="63"/>
      <c r="I31" s="9"/>
      <c r="J31" s="9"/>
      <c r="K31" s="9"/>
      <c r="L31" s="9"/>
      <c r="M31" s="63"/>
      <c r="N31" s="9"/>
      <c r="O31" s="9"/>
      <c r="P31" s="9"/>
      <c r="Q31" s="9"/>
      <c r="R31" s="63"/>
      <c r="S31" s="9"/>
      <c r="T31" s="9"/>
      <c r="U31" s="9"/>
      <c r="V31" s="9"/>
      <c r="W31" s="63"/>
      <c r="X31" s="9"/>
      <c r="Y31" s="9"/>
      <c r="Z31" s="9"/>
      <c r="AA31" s="9"/>
      <c r="AB31" s="63"/>
      <c r="AC31" s="9"/>
      <c r="AD31" s="9"/>
      <c r="AE31" s="9"/>
      <c r="AF31" s="9"/>
      <c r="AG31" s="63"/>
      <c r="AH31" s="9"/>
      <c r="AI31" s="9"/>
      <c r="AJ31" s="9"/>
      <c r="AK31" s="9"/>
      <c r="AL31" s="63"/>
      <c r="AM31" s="9"/>
      <c r="AN31" s="9"/>
      <c r="AO31" s="9"/>
      <c r="AP31" s="9"/>
      <c r="AQ31" s="63"/>
      <c r="AR31" s="9"/>
      <c r="AS31" s="9"/>
      <c r="AT31" s="9"/>
      <c r="AU31" s="186"/>
      <c r="AV31" s="9"/>
      <c r="AW31" s="9"/>
      <c r="AX31" s="9"/>
      <c r="AY31" s="9"/>
      <c r="AZ31" s="63"/>
      <c r="BA31" s="9"/>
      <c r="BB31" s="9"/>
      <c r="BC31" s="9"/>
      <c r="BD31" s="9"/>
      <c r="BE31" s="63"/>
      <c r="BF31" s="9"/>
      <c r="BG31" s="9"/>
      <c r="BH31" s="9"/>
      <c r="BI31" s="9"/>
      <c r="BJ31" s="63"/>
      <c r="BK31" s="9"/>
      <c r="BL31" s="9"/>
      <c r="BM31" s="9"/>
      <c r="BN31" s="9"/>
      <c r="BO31" s="63"/>
      <c r="BP31" s="9"/>
      <c r="BQ31" s="9"/>
      <c r="BR31" s="9"/>
      <c r="BS31" s="9"/>
      <c r="BT31" s="63"/>
      <c r="BU31" s="9"/>
      <c r="BV31" s="9"/>
      <c r="BW31" s="9"/>
      <c r="BX31" s="9"/>
      <c r="BY31" s="63"/>
      <c r="BZ31" s="9"/>
      <c r="CA31" s="9"/>
      <c r="CB31" s="9"/>
      <c r="CC31" s="9"/>
      <c r="CD31" s="63"/>
      <c r="CE31" s="250"/>
      <c r="CF31" s="250"/>
      <c r="CG31" s="250"/>
      <c r="CH31" s="250"/>
      <c r="CI31" s="63"/>
      <c r="CJ31" s="250"/>
      <c r="CK31" s="250"/>
      <c r="CL31" s="250"/>
      <c r="CM31" s="250"/>
      <c r="CN31" s="63"/>
      <c r="CO31" s="250"/>
      <c r="CP31" s="250"/>
      <c r="CQ31" s="250"/>
      <c r="CR31" s="288">
        <f>AVERAGE(0.375%,0.5%)</f>
        <v>4.3750000000000004E-3</v>
      </c>
      <c r="CS31" s="63"/>
      <c r="CT31" s="288">
        <f>AVERAGE(0.375%,0.5%)</f>
        <v>4.3750000000000004E-3</v>
      </c>
      <c r="CU31" s="288">
        <f>AVERAGE(0.375%,0.5%)</f>
        <v>4.3750000000000004E-3</v>
      </c>
      <c r="CV31" s="288">
        <f>AVERAGE(0.375%,0.5%)</f>
        <v>4.3750000000000004E-3</v>
      </c>
      <c r="CW31" s="288">
        <f>AVERAGE(0.375%,0.5%)</f>
        <v>4.3750000000000004E-3</v>
      </c>
      <c r="CX31" s="63"/>
      <c r="CY31" s="249">
        <f>AVERAGE(0.375%,0.5%)</f>
        <v>4.3750000000000004E-3</v>
      </c>
      <c r="CZ31" s="249">
        <f>AVERAGE(0.375%,0.5%)</f>
        <v>4.3750000000000004E-3</v>
      </c>
      <c r="DA31" s="249">
        <f>AVERAGE(0.375%,0.5%)</f>
        <v>4.3750000000000004E-3</v>
      </c>
      <c r="DB31" s="249">
        <f>AVERAGE(0.375%,0.5%)</f>
        <v>4.3750000000000004E-3</v>
      </c>
      <c r="DC31" s="63"/>
      <c r="DD31" s="249">
        <f>AVERAGE(0.375%,0.5%)</f>
        <v>4.3750000000000004E-3</v>
      </c>
      <c r="DE31" s="249">
        <f>AVERAGE(0.375%,0.5%)</f>
        <v>4.3750000000000004E-3</v>
      </c>
      <c r="DF31" s="249">
        <f>AVERAGE(0.375%,0.5%)</f>
        <v>4.3750000000000004E-3</v>
      </c>
      <c r="DG31" s="249">
        <f>AVERAGE(0.375%,0.5%)</f>
        <v>4.3750000000000004E-3</v>
      </c>
      <c r="DH31" s="63"/>
      <c r="DI31" s="249">
        <f>AVERAGE(0.375%,0.5%)</f>
        <v>4.3750000000000004E-3</v>
      </c>
      <c r="DJ31" s="249">
        <f>AVERAGE(0.375%,0.5%)</f>
        <v>4.3750000000000004E-3</v>
      </c>
      <c r="DK31" s="331">
        <f>AVERAGE(0.375%,0.5%)</f>
        <v>4.3750000000000004E-3</v>
      </c>
      <c r="DL31" s="249">
        <f>AVERAGE(0.375%,0.5%)</f>
        <v>4.3750000000000004E-3</v>
      </c>
      <c r="DM31" s="63"/>
      <c r="DN31" s="249">
        <f>AVERAGE(0.375%,0.5%)</f>
        <v>4.3750000000000004E-3</v>
      </c>
      <c r="DO31" s="249">
        <f>AVERAGE(0.375%,0.5%)</f>
        <v>4.3750000000000004E-3</v>
      </c>
      <c r="DP31" s="249">
        <f>AVERAGE(0.375%,0.5%)</f>
        <v>4.3750000000000004E-3</v>
      </c>
      <c r="DQ31" s="249">
        <f>AVERAGE(0.375%,0.5%)</f>
        <v>4.3750000000000004E-3</v>
      </c>
      <c r="DR31" s="63"/>
      <c r="DS31" s="249">
        <v>4.0000000000000001E-3</v>
      </c>
      <c r="DT31" s="249">
        <f>DS31</f>
        <v>4.0000000000000001E-3</v>
      </c>
      <c r="DU31" s="249">
        <f>DT31</f>
        <v>4.0000000000000001E-3</v>
      </c>
      <c r="DV31" s="249">
        <f>DU31</f>
        <v>4.0000000000000001E-3</v>
      </c>
      <c r="DW31" s="63"/>
      <c r="DX31" s="249">
        <f>DV31</f>
        <v>4.0000000000000001E-3</v>
      </c>
      <c r="DY31" s="249">
        <f>DX31</f>
        <v>4.0000000000000001E-3</v>
      </c>
      <c r="DZ31" s="249">
        <f>DY31</f>
        <v>4.0000000000000001E-3</v>
      </c>
      <c r="EA31" s="249">
        <f>DZ31</f>
        <v>4.0000000000000001E-3</v>
      </c>
      <c r="EB31" s="63"/>
      <c r="EC31" s="249">
        <f>EA31</f>
        <v>4.0000000000000001E-3</v>
      </c>
      <c r="ED31" s="249">
        <f>EC31</f>
        <v>4.0000000000000001E-3</v>
      </c>
      <c r="EE31" s="249">
        <f>ED31</f>
        <v>4.0000000000000001E-3</v>
      </c>
      <c r="EF31" s="249">
        <f>EE31</f>
        <v>4.0000000000000001E-3</v>
      </c>
      <c r="EG31" s="63"/>
      <c r="EH31" s="249">
        <f>EF31</f>
        <v>4.0000000000000001E-3</v>
      </c>
      <c r="EI31" s="249">
        <f>EH31</f>
        <v>4.0000000000000001E-3</v>
      </c>
      <c r="EJ31" s="249">
        <f>EI31</f>
        <v>4.0000000000000001E-3</v>
      </c>
      <c r="EK31" s="249">
        <f>EJ31</f>
        <v>4.0000000000000001E-3</v>
      </c>
      <c r="EL31" s="63"/>
    </row>
    <row r="32" spans="1:142" hidden="1" outlineLevel="1">
      <c r="A32" s="1328"/>
      <c r="B32" s="247" t="s">
        <v>297</v>
      </c>
      <c r="C32" s="9"/>
      <c r="D32" s="9"/>
      <c r="E32" s="9"/>
      <c r="F32" s="9"/>
      <c r="G32" s="9"/>
      <c r="H32" s="63"/>
      <c r="I32" s="9"/>
      <c r="J32" s="9"/>
      <c r="K32" s="9"/>
      <c r="L32" s="9"/>
      <c r="M32" s="63"/>
      <c r="N32" s="9"/>
      <c r="O32" s="9"/>
      <c r="P32" s="9"/>
      <c r="Q32" s="9"/>
      <c r="R32" s="63"/>
      <c r="S32" s="9"/>
      <c r="T32" s="9"/>
      <c r="U32" s="9"/>
      <c r="V32" s="9"/>
      <c r="W32" s="63"/>
      <c r="X32" s="9"/>
      <c r="Y32" s="9"/>
      <c r="Z32" s="9"/>
      <c r="AA32" s="9"/>
      <c r="AB32" s="63"/>
      <c r="AC32" s="9"/>
      <c r="AD32" s="9"/>
      <c r="AE32" s="9"/>
      <c r="AF32" s="9"/>
      <c r="AG32" s="63"/>
      <c r="AH32" s="9"/>
      <c r="AI32" s="9"/>
      <c r="AJ32" s="9"/>
      <c r="AK32" s="9"/>
      <c r="AL32" s="63"/>
      <c r="AM32" s="9"/>
      <c r="AN32" s="9"/>
      <c r="AO32" s="9"/>
      <c r="AP32" s="9"/>
      <c r="AQ32" s="63"/>
      <c r="AR32" s="9"/>
      <c r="AS32" s="9"/>
      <c r="AT32" s="9"/>
      <c r="AU32" s="186"/>
      <c r="AV32" s="9"/>
      <c r="AW32" s="9"/>
      <c r="AX32" s="9"/>
      <c r="AY32" s="9"/>
      <c r="AZ32" s="63"/>
      <c r="BA32" s="9"/>
      <c r="BB32" s="9"/>
      <c r="BC32" s="9"/>
      <c r="BD32" s="9"/>
      <c r="BE32" s="63"/>
      <c r="BF32" s="9"/>
      <c r="BG32" s="9"/>
      <c r="BH32" s="9"/>
      <c r="BI32" s="9"/>
      <c r="BJ32" s="63"/>
      <c r="BK32" s="9"/>
      <c r="BL32" s="9"/>
      <c r="BM32" s="9"/>
      <c r="BN32" s="9"/>
      <c r="BO32" s="63"/>
      <c r="BP32" s="9"/>
      <c r="BQ32" s="9"/>
      <c r="BR32" s="9"/>
      <c r="BS32" s="9"/>
      <c r="BT32" s="63"/>
      <c r="BU32" s="9"/>
      <c r="BV32" s="9"/>
      <c r="BW32" s="9"/>
      <c r="BX32" s="9"/>
      <c r="BY32" s="63"/>
      <c r="BZ32" s="9"/>
      <c r="CA32" s="9"/>
      <c r="CB32" s="9"/>
      <c r="CC32" s="9"/>
      <c r="CD32" s="63"/>
      <c r="CE32" s="250"/>
      <c r="CF32" s="250"/>
      <c r="CG32" s="250"/>
      <c r="CH32" s="250"/>
      <c r="CI32" s="193"/>
      <c r="CJ32" s="250"/>
      <c r="CK32" s="250"/>
      <c r="CL32" s="250"/>
      <c r="CM32" s="250"/>
      <c r="CN32" s="193"/>
      <c r="CO32" s="250"/>
      <c r="CP32" s="250"/>
      <c r="CQ32" s="250"/>
      <c r="CR32" s="288">
        <f>2.25%+0.5%</f>
        <v>2.75E-2</v>
      </c>
      <c r="CS32" s="193"/>
      <c r="CT32" s="288">
        <f>2.25%+0.5%</f>
        <v>2.75E-2</v>
      </c>
      <c r="CU32" s="288">
        <f>2.25%+0.5%</f>
        <v>2.75E-2</v>
      </c>
      <c r="CV32" s="288">
        <f>2.25%+0.5%</f>
        <v>2.75E-2</v>
      </c>
      <c r="CW32" s="288">
        <f>2.25%+0.5%</f>
        <v>2.75E-2</v>
      </c>
      <c r="CX32" s="193"/>
      <c r="CY32" s="249">
        <f>2.25%+0.5%</f>
        <v>2.75E-2</v>
      </c>
      <c r="CZ32" s="249">
        <f>2.25%+0.5%</f>
        <v>2.75E-2</v>
      </c>
      <c r="DA32" s="249">
        <f>2.25%+0.5%</f>
        <v>2.75E-2</v>
      </c>
      <c r="DB32" s="249">
        <f>2.25%+0.5%</f>
        <v>2.75E-2</v>
      </c>
      <c r="DC32" s="193"/>
      <c r="DD32" s="249">
        <f>2.25%+0.5%</f>
        <v>2.75E-2</v>
      </c>
      <c r="DE32" s="249">
        <f>2.25%+0.5%</f>
        <v>2.75E-2</v>
      </c>
      <c r="DF32" s="249">
        <f>2.25%+0.5%</f>
        <v>2.75E-2</v>
      </c>
      <c r="DG32" s="249">
        <f>2.25%+0.5%</f>
        <v>2.75E-2</v>
      </c>
      <c r="DH32" s="193"/>
      <c r="DI32" s="249">
        <f>2.25%+0.5%</f>
        <v>2.75E-2</v>
      </c>
      <c r="DJ32" s="249">
        <f>2.25%+0.5%</f>
        <v>2.75E-2</v>
      </c>
      <c r="DK32" s="331">
        <f>2.25%+0.5%</f>
        <v>2.75E-2</v>
      </c>
      <c r="DL32" s="249">
        <f>2.25%+0.5%</f>
        <v>2.75E-2</v>
      </c>
      <c r="DM32" s="193"/>
      <c r="DN32" s="249">
        <f>2.25%+0.5%</f>
        <v>2.75E-2</v>
      </c>
      <c r="DO32" s="249">
        <f>2.25%+0.5%</f>
        <v>2.75E-2</v>
      </c>
      <c r="DP32" s="249">
        <f>2.25%+0.5%</f>
        <v>2.75E-2</v>
      </c>
      <c r="DQ32" s="249">
        <f>2.25%+0.5%</f>
        <v>2.75E-2</v>
      </c>
      <c r="DR32" s="193"/>
      <c r="DS32" s="249">
        <f>2.25%+0.5%</f>
        <v>2.75E-2</v>
      </c>
      <c r="DT32" s="249">
        <f>2.25%+0.5%</f>
        <v>2.75E-2</v>
      </c>
      <c r="DU32" s="249">
        <f>2.25%+0.5%</f>
        <v>2.75E-2</v>
      </c>
      <c r="DV32" s="249">
        <f>2.25%+0.5%</f>
        <v>2.75E-2</v>
      </c>
      <c r="DW32" s="193"/>
      <c r="DX32" s="249">
        <f>2.25%+0.5%</f>
        <v>2.75E-2</v>
      </c>
      <c r="DY32" s="249">
        <f>2.25%+0.5%</f>
        <v>2.75E-2</v>
      </c>
      <c r="DZ32" s="249">
        <f>2.25%+0.5%</f>
        <v>2.75E-2</v>
      </c>
      <c r="EA32" s="249">
        <f>2.25%+0.5%</f>
        <v>2.75E-2</v>
      </c>
      <c r="EB32" s="193"/>
      <c r="EC32" s="249">
        <f>2.25%+0.5%</f>
        <v>2.75E-2</v>
      </c>
      <c r="ED32" s="249">
        <f>2.25%+0.5%</f>
        <v>2.75E-2</v>
      </c>
      <c r="EE32" s="249">
        <f>2.25%+0.5%</f>
        <v>2.75E-2</v>
      </c>
      <c r="EF32" s="249">
        <f>2.25%+0.5%</f>
        <v>2.75E-2</v>
      </c>
      <c r="EG32" s="193"/>
      <c r="EH32" s="249">
        <f>2.25%+0.5%</f>
        <v>2.75E-2</v>
      </c>
      <c r="EI32" s="249">
        <f>2.25%+0.5%</f>
        <v>2.75E-2</v>
      </c>
      <c r="EJ32" s="249">
        <f>2.25%+0.5%</f>
        <v>2.75E-2</v>
      </c>
      <c r="EK32" s="249">
        <f>2.25%+0.5%</f>
        <v>2.75E-2</v>
      </c>
      <c r="EL32" s="193"/>
    </row>
    <row r="33" spans="1:142" hidden="1" outlineLevel="1">
      <c r="A33" s="225"/>
      <c r="B33" s="209" t="s">
        <v>311</v>
      </c>
      <c r="C33" s="9"/>
      <c r="D33" s="9"/>
      <c r="E33" s="9"/>
      <c r="F33" s="9"/>
      <c r="G33" s="9"/>
      <c r="H33" s="63"/>
      <c r="I33" s="9"/>
      <c r="J33" s="9"/>
      <c r="K33" s="9"/>
      <c r="L33" s="9"/>
      <c r="M33" s="63"/>
      <c r="N33" s="9"/>
      <c r="O33" s="9"/>
      <c r="P33" s="9"/>
      <c r="Q33" s="9"/>
      <c r="R33" s="63"/>
      <c r="S33" s="9"/>
      <c r="T33" s="9"/>
      <c r="U33" s="9"/>
      <c r="V33" s="9"/>
      <c r="W33" s="63"/>
      <c r="X33" s="9"/>
      <c r="Y33" s="9"/>
      <c r="Z33" s="9"/>
      <c r="AA33" s="9"/>
      <c r="AB33" s="63"/>
      <c r="AC33" s="9"/>
      <c r="AD33" s="9"/>
      <c r="AE33" s="9"/>
      <c r="AF33" s="9"/>
      <c r="AG33" s="63"/>
      <c r="AH33" s="9"/>
      <c r="AI33" s="9"/>
      <c r="AJ33" s="9"/>
      <c r="AK33" s="9"/>
      <c r="AL33" s="63"/>
      <c r="AM33" s="9"/>
      <c r="AN33" s="9"/>
      <c r="AO33" s="9"/>
      <c r="AP33" s="9"/>
      <c r="AQ33" s="63"/>
      <c r="AR33" s="9"/>
      <c r="AS33" s="9"/>
      <c r="AT33" s="9"/>
      <c r="AU33" s="186"/>
      <c r="AV33" s="9"/>
      <c r="AW33" s="9"/>
      <c r="AX33" s="9"/>
      <c r="AY33" s="9"/>
      <c r="AZ33" s="63"/>
      <c r="BA33" s="9"/>
      <c r="BB33" s="9"/>
      <c r="BC33" s="9"/>
      <c r="BD33" s="9"/>
      <c r="BE33" s="63"/>
      <c r="BF33" s="9"/>
      <c r="BG33" s="9"/>
      <c r="BH33" s="9"/>
      <c r="BI33" s="9"/>
      <c r="BJ33" s="63"/>
      <c r="BK33" s="9"/>
      <c r="BL33" s="9"/>
      <c r="BM33" s="9"/>
      <c r="BN33" s="9"/>
      <c r="BO33" s="63"/>
      <c r="BP33" s="9"/>
      <c r="BQ33" s="9"/>
      <c r="BR33" s="9"/>
      <c r="BS33" s="9"/>
      <c r="BT33" s="63"/>
      <c r="BU33" s="9"/>
      <c r="BV33" s="9"/>
      <c r="BW33" s="9"/>
      <c r="BX33" s="9"/>
      <c r="BY33" s="63"/>
      <c r="BZ33" s="9"/>
      <c r="CA33" s="9"/>
      <c r="CB33" s="9"/>
      <c r="CC33" s="9"/>
      <c r="CD33" s="63"/>
      <c r="CE33" s="334"/>
      <c r="CF33" s="334"/>
      <c r="CG33" s="334"/>
      <c r="CH33" s="334"/>
      <c r="CI33" s="335"/>
      <c r="CJ33" s="334"/>
      <c r="CK33" s="334"/>
      <c r="CL33" s="334"/>
      <c r="CM33" s="334"/>
      <c r="CN33" s="335"/>
      <c r="CO33" s="334"/>
      <c r="CP33" s="334"/>
      <c r="CQ33" s="334"/>
      <c r="CR33" s="336">
        <v>800</v>
      </c>
      <c r="CS33" s="335">
        <f>CR33</f>
        <v>800</v>
      </c>
      <c r="CT33" s="336">
        <v>800</v>
      </c>
      <c r="CU33" s="336">
        <f>CT33</f>
        <v>800</v>
      </c>
      <c r="CV33" s="336">
        <f>CU33</f>
        <v>800</v>
      </c>
      <c r="CW33" s="336">
        <f>CV33</f>
        <v>800</v>
      </c>
      <c r="CX33" s="335">
        <f>CW33</f>
        <v>800</v>
      </c>
      <c r="CY33" s="336">
        <v>800</v>
      </c>
      <c r="CZ33" s="336">
        <f>CY33</f>
        <v>800</v>
      </c>
      <c r="DA33" s="336">
        <f>CZ33</f>
        <v>800</v>
      </c>
      <c r="DB33" s="336">
        <f>DA33</f>
        <v>800</v>
      </c>
      <c r="DC33" s="335">
        <f>DB33</f>
        <v>800</v>
      </c>
      <c r="DD33" s="336">
        <v>800</v>
      </c>
      <c r="DE33" s="336">
        <f>DD33</f>
        <v>800</v>
      </c>
      <c r="DF33" s="336">
        <f>DE33</f>
        <v>800</v>
      </c>
      <c r="DG33" s="336">
        <f>DF33</f>
        <v>800</v>
      </c>
      <c r="DH33" s="335">
        <f>DG33</f>
        <v>800</v>
      </c>
      <c r="DI33" s="1373">
        <v>800</v>
      </c>
      <c r="DJ33" s="1373">
        <f>DI33</f>
        <v>800</v>
      </c>
      <c r="DK33" s="1373">
        <f>DJ33</f>
        <v>800</v>
      </c>
      <c r="DL33" s="1373">
        <f>DK33</f>
        <v>800</v>
      </c>
      <c r="DM33" s="537">
        <f>DL33</f>
        <v>800</v>
      </c>
      <c r="DN33" s="1373">
        <v>800</v>
      </c>
      <c r="DO33" s="1373">
        <f>DN33</f>
        <v>800</v>
      </c>
      <c r="DP33" s="1373">
        <f>DO33</f>
        <v>800</v>
      </c>
      <c r="DQ33" s="1373">
        <f>DP33</f>
        <v>800</v>
      </c>
      <c r="DR33" s="537">
        <f>DQ33</f>
        <v>800</v>
      </c>
      <c r="DS33" s="1373">
        <v>800</v>
      </c>
      <c r="DT33" s="1373">
        <f>DS33</f>
        <v>800</v>
      </c>
      <c r="DU33" s="1373">
        <f>DT33</f>
        <v>800</v>
      </c>
      <c r="DV33" s="1373">
        <f>DU33</f>
        <v>800</v>
      </c>
      <c r="DW33" s="537">
        <f>DV33</f>
        <v>800</v>
      </c>
      <c r="DX33" s="1373">
        <v>800</v>
      </c>
      <c r="DY33" s="1373">
        <f>DX33</f>
        <v>800</v>
      </c>
      <c r="DZ33" s="1373">
        <f>DY33</f>
        <v>800</v>
      </c>
      <c r="EA33" s="1373">
        <f>DZ33</f>
        <v>800</v>
      </c>
      <c r="EB33" s="537">
        <f>EA33</f>
        <v>800</v>
      </c>
      <c r="EC33" s="1373">
        <v>800</v>
      </c>
      <c r="ED33" s="1373">
        <f>EC33</f>
        <v>800</v>
      </c>
      <c r="EE33" s="1373">
        <f>ED33</f>
        <v>800</v>
      </c>
      <c r="EF33" s="1373">
        <f>EE33</f>
        <v>800</v>
      </c>
      <c r="EG33" s="537">
        <f>EF33</f>
        <v>800</v>
      </c>
      <c r="EH33" s="1373">
        <v>800</v>
      </c>
      <c r="EI33" s="1373">
        <f>EH33</f>
        <v>800</v>
      </c>
      <c r="EJ33" s="1373">
        <f>EI33</f>
        <v>800</v>
      </c>
      <c r="EK33" s="1373">
        <f>EJ33</f>
        <v>800</v>
      </c>
      <c r="EL33" s="537">
        <f>EK33</f>
        <v>800</v>
      </c>
    </row>
    <row r="34" spans="1:142" hidden="1" outlineLevel="1">
      <c r="A34" s="225"/>
      <c r="B34" s="209" t="s">
        <v>298</v>
      </c>
      <c r="C34" s="232"/>
      <c r="D34" s="232"/>
      <c r="E34" s="232"/>
      <c r="F34" s="232"/>
      <c r="G34" s="232"/>
      <c r="H34" s="233"/>
      <c r="I34" s="232"/>
      <c r="J34" s="232"/>
      <c r="K34" s="232"/>
      <c r="L34" s="232"/>
      <c r="M34" s="233"/>
      <c r="N34" s="232"/>
      <c r="O34" s="232"/>
      <c r="P34" s="232"/>
      <c r="Q34" s="232"/>
      <c r="R34" s="233"/>
      <c r="S34" s="232"/>
      <c r="T34" s="232"/>
      <c r="U34" s="232"/>
      <c r="V34" s="232"/>
      <c r="W34" s="233"/>
      <c r="X34" s="232"/>
      <c r="Y34" s="232"/>
      <c r="Z34" s="232"/>
      <c r="AA34" s="232"/>
      <c r="AB34" s="233"/>
      <c r="AC34" s="232"/>
      <c r="AD34" s="232"/>
      <c r="AE34" s="232"/>
      <c r="AF34" s="232"/>
      <c r="AG34" s="233"/>
      <c r="AH34" s="232"/>
      <c r="AI34" s="232"/>
      <c r="AJ34" s="232"/>
      <c r="AK34" s="232"/>
      <c r="AL34" s="233"/>
      <c r="AM34" s="234"/>
      <c r="AN34" s="234"/>
      <c r="AO34" s="234"/>
      <c r="AP34" s="234"/>
      <c r="AQ34" s="235"/>
      <c r="AR34" s="234"/>
      <c r="AS34" s="234"/>
      <c r="AT34" s="234"/>
      <c r="AU34" s="236"/>
      <c r="AV34" s="237"/>
      <c r="AW34" s="279"/>
      <c r="AX34" s="234"/>
      <c r="AY34" s="234"/>
      <c r="AZ34" s="235"/>
      <c r="BA34" s="237"/>
      <c r="BB34" s="279"/>
      <c r="BC34" s="234"/>
      <c r="BD34" s="234"/>
      <c r="BE34" s="235"/>
      <c r="BF34" s="237"/>
      <c r="BG34" s="279"/>
      <c r="BH34" s="234"/>
      <c r="BI34" s="234"/>
      <c r="BJ34" s="235"/>
      <c r="BK34" s="255"/>
      <c r="BL34" s="255"/>
      <c r="BM34" s="255"/>
      <c r="BN34" s="255"/>
      <c r="BO34" s="337"/>
      <c r="BP34" s="255"/>
      <c r="BQ34" s="255"/>
      <c r="BR34" s="255"/>
      <c r="BS34" s="255"/>
      <c r="BT34" s="337"/>
      <c r="BU34" s="255"/>
      <c r="BV34" s="255"/>
      <c r="BW34" s="255"/>
      <c r="BX34" s="255"/>
      <c r="BY34" s="337"/>
      <c r="BZ34" s="255"/>
      <c r="CA34" s="255"/>
      <c r="CB34" s="255"/>
      <c r="CC34" s="255"/>
      <c r="CD34" s="337"/>
      <c r="CE34" s="268"/>
      <c r="CF34" s="268"/>
      <c r="CG34" s="268"/>
      <c r="CH34" s="268"/>
      <c r="CI34" s="170"/>
      <c r="CJ34" s="268"/>
      <c r="CK34" s="268"/>
      <c r="CL34" s="268"/>
      <c r="CM34" s="268"/>
      <c r="CN34" s="170"/>
      <c r="CO34" s="268"/>
      <c r="CP34" s="268"/>
      <c r="CQ34" s="268"/>
      <c r="CR34" s="165">
        <f>CQ37</f>
        <v>0</v>
      </c>
      <c r="CS34" s="170">
        <f>CN37</f>
        <v>0</v>
      </c>
      <c r="CT34" s="165">
        <f>CR37</f>
        <v>80</v>
      </c>
      <c r="CU34" s="165">
        <f>CT37</f>
        <v>283</v>
      </c>
      <c r="CV34" s="165">
        <f>CU37</f>
        <v>200</v>
      </c>
      <c r="CW34" s="165">
        <f>CV37</f>
        <v>175</v>
      </c>
      <c r="CX34" s="170">
        <f>CS37</f>
        <v>80</v>
      </c>
      <c r="CY34" s="165">
        <f>CW37</f>
        <v>0</v>
      </c>
      <c r="CZ34" s="165">
        <f>CY37</f>
        <v>20</v>
      </c>
      <c r="DA34" s="165">
        <f>CZ37</f>
        <v>33</v>
      </c>
      <c r="DB34" s="165">
        <f>DA37</f>
        <v>210</v>
      </c>
      <c r="DC34" s="170">
        <f>CX37</f>
        <v>0</v>
      </c>
      <c r="DD34" s="165">
        <f>DB37</f>
        <v>405</v>
      </c>
      <c r="DE34" s="165">
        <f>DD37</f>
        <v>170</v>
      </c>
      <c r="DF34" s="165">
        <f>DE37</f>
        <v>0</v>
      </c>
      <c r="DG34" s="165">
        <f>DF37</f>
        <v>0</v>
      </c>
      <c r="DH34" s="170">
        <f>DC37</f>
        <v>405</v>
      </c>
      <c r="DI34" s="539">
        <f>DG37</f>
        <v>220</v>
      </c>
      <c r="DJ34" s="539">
        <f>DI37</f>
        <v>350</v>
      </c>
      <c r="DK34" s="1374">
        <f>DJ37</f>
        <v>100</v>
      </c>
      <c r="DL34" s="539">
        <f>DK37</f>
        <v>110</v>
      </c>
      <c r="DM34" s="540">
        <f>DH37</f>
        <v>220</v>
      </c>
      <c r="DN34" s="1378">
        <f>DL37</f>
        <v>0</v>
      </c>
      <c r="DO34" s="1378">
        <f>DN37</f>
        <v>0</v>
      </c>
      <c r="DP34" s="1378">
        <f>DO37</f>
        <v>0</v>
      </c>
      <c r="DQ34" s="1378">
        <f>DP37</f>
        <v>0</v>
      </c>
      <c r="DR34" s="1380">
        <f>DM37</f>
        <v>0</v>
      </c>
      <c r="DS34" s="1378">
        <f>DQ37</f>
        <v>0</v>
      </c>
      <c r="DT34" s="1378">
        <f>DS37</f>
        <v>0</v>
      </c>
      <c r="DU34" s="1378">
        <f>DT37</f>
        <v>0</v>
      </c>
      <c r="DV34" s="1378">
        <f>DU37</f>
        <v>0</v>
      </c>
      <c r="DW34" s="1380">
        <f>DR37</f>
        <v>0</v>
      </c>
      <c r="DX34" s="1378">
        <f>DV37</f>
        <v>0</v>
      </c>
      <c r="DY34" s="1378">
        <f>DX37</f>
        <v>0</v>
      </c>
      <c r="DZ34" s="1378">
        <f>DY37</f>
        <v>0</v>
      </c>
      <c r="EA34" s="1378">
        <f>DZ37</f>
        <v>0</v>
      </c>
      <c r="EB34" s="1380">
        <f>DW37</f>
        <v>0</v>
      </c>
      <c r="EC34" s="1378">
        <f>EA37</f>
        <v>0</v>
      </c>
      <c r="ED34" s="1378">
        <f>EC37</f>
        <v>0</v>
      </c>
      <c r="EE34" s="1378">
        <f>ED37</f>
        <v>0</v>
      </c>
      <c r="EF34" s="1378">
        <f>EE37</f>
        <v>0</v>
      </c>
      <c r="EG34" s="1380">
        <f>EB37</f>
        <v>0</v>
      </c>
      <c r="EH34" s="1378">
        <f>EF37</f>
        <v>0</v>
      </c>
      <c r="EI34" s="1378">
        <f>EH37</f>
        <v>0</v>
      </c>
      <c r="EJ34" s="1378">
        <f>EI37</f>
        <v>0</v>
      </c>
      <c r="EK34" s="1378">
        <f>EJ37</f>
        <v>0</v>
      </c>
      <c r="EL34" s="1380">
        <f>EG37</f>
        <v>0</v>
      </c>
    </row>
    <row r="35" spans="1:142" hidden="1" outlineLevel="1">
      <c r="A35" s="225"/>
      <c r="B35" s="209" t="s">
        <v>674</v>
      </c>
      <c r="C35" s="232"/>
      <c r="D35" s="232"/>
      <c r="E35" s="232"/>
      <c r="F35" s="232"/>
      <c r="G35" s="232"/>
      <c r="H35" s="233"/>
      <c r="I35" s="232"/>
      <c r="J35" s="232"/>
      <c r="K35" s="232"/>
      <c r="L35" s="232"/>
      <c r="M35" s="233"/>
      <c r="N35" s="232"/>
      <c r="O35" s="232"/>
      <c r="P35" s="232"/>
      <c r="Q35" s="232"/>
      <c r="R35" s="233"/>
      <c r="S35" s="232"/>
      <c r="T35" s="232"/>
      <c r="U35" s="232"/>
      <c r="V35" s="232"/>
      <c r="W35" s="233"/>
      <c r="X35" s="232"/>
      <c r="Y35" s="232"/>
      <c r="Z35" s="232"/>
      <c r="AA35" s="232"/>
      <c r="AB35" s="233"/>
      <c r="AC35" s="232"/>
      <c r="AD35" s="232"/>
      <c r="AE35" s="232"/>
      <c r="AF35" s="232"/>
      <c r="AG35" s="233"/>
      <c r="AH35" s="232"/>
      <c r="AI35" s="232"/>
      <c r="AJ35" s="232"/>
      <c r="AK35" s="232"/>
      <c r="AL35" s="233"/>
      <c r="AM35" s="234"/>
      <c r="AN35" s="234"/>
      <c r="AO35" s="234"/>
      <c r="AP35" s="234"/>
      <c r="AQ35" s="235"/>
      <c r="AR35" s="234"/>
      <c r="AS35" s="234"/>
      <c r="AT35" s="234"/>
      <c r="AU35" s="236"/>
      <c r="AV35" s="237"/>
      <c r="AW35" s="279"/>
      <c r="AX35" s="234"/>
      <c r="AY35" s="234"/>
      <c r="AZ35" s="235"/>
      <c r="BA35" s="237"/>
      <c r="BB35" s="279"/>
      <c r="BC35" s="234"/>
      <c r="BD35" s="234"/>
      <c r="BE35" s="235"/>
      <c r="BF35" s="237"/>
      <c r="BG35" s="279"/>
      <c r="BH35" s="234"/>
      <c r="BI35" s="234"/>
      <c r="BJ35" s="235"/>
      <c r="BK35" s="255"/>
      <c r="BL35" s="255"/>
      <c r="BM35" s="255"/>
      <c r="BN35" s="255"/>
      <c r="BO35" s="337"/>
      <c r="BP35" s="255"/>
      <c r="BQ35" s="255"/>
      <c r="BR35" s="255"/>
      <c r="BS35" s="255"/>
      <c r="BT35" s="337"/>
      <c r="BU35" s="255"/>
      <c r="BV35" s="255"/>
      <c r="BW35" s="255"/>
      <c r="BX35" s="255"/>
      <c r="BY35" s="337"/>
      <c r="BZ35" s="255"/>
      <c r="CA35" s="255"/>
      <c r="CB35" s="255"/>
      <c r="CC35" s="255"/>
      <c r="CD35" s="337"/>
      <c r="CE35" s="268"/>
      <c r="CF35" s="268"/>
      <c r="CG35" s="268"/>
      <c r="CH35" s="268"/>
      <c r="CI35" s="170"/>
      <c r="CJ35" s="268"/>
      <c r="CK35" s="268"/>
      <c r="CL35" s="268"/>
      <c r="CM35" s="268"/>
      <c r="CN35" s="170"/>
      <c r="CO35" s="268"/>
      <c r="CP35" s="268"/>
      <c r="CQ35" s="268"/>
      <c r="CR35" s="165"/>
      <c r="CS35" s="170"/>
      <c r="CT35" s="165"/>
      <c r="CU35" s="165"/>
      <c r="CV35" s="165"/>
      <c r="CW35" s="165"/>
      <c r="CX35" s="170"/>
      <c r="CY35" s="165"/>
      <c r="CZ35" s="165"/>
      <c r="DA35" s="165"/>
      <c r="DB35" s="165"/>
      <c r="DC35" s="170"/>
      <c r="DD35" s="165"/>
      <c r="DE35" s="165"/>
      <c r="DF35" s="165"/>
      <c r="DG35" s="165"/>
      <c r="DH35" s="170"/>
      <c r="DI35" s="539">
        <v>130</v>
      </c>
      <c r="DJ35" s="1378">
        <v>0</v>
      </c>
      <c r="DK35" s="1374">
        <v>10</v>
      </c>
      <c r="DL35" s="1378">
        <v>0</v>
      </c>
      <c r="DM35" s="540">
        <f>SUM(DI35:DL35)</f>
        <v>140</v>
      </c>
      <c r="DN35" s="1378">
        <v>0</v>
      </c>
      <c r="DO35" s="1378">
        <v>0</v>
      </c>
      <c r="DP35" s="1378">
        <v>0</v>
      </c>
      <c r="DQ35" s="1378">
        <v>0</v>
      </c>
      <c r="DR35" s="1380">
        <f>SUM(DN35:DQ35)</f>
        <v>0</v>
      </c>
      <c r="DS35" s="1378">
        <v>0</v>
      </c>
      <c r="DT35" s="1378">
        <v>0</v>
      </c>
      <c r="DU35" s="1378">
        <v>0</v>
      </c>
      <c r="DV35" s="1378">
        <v>0</v>
      </c>
      <c r="DW35" s="1380">
        <f>SUM(DS35:DV35)</f>
        <v>0</v>
      </c>
      <c r="DX35" s="1378">
        <v>0</v>
      </c>
      <c r="DY35" s="1378">
        <v>0</v>
      </c>
      <c r="DZ35" s="1378">
        <v>0</v>
      </c>
      <c r="EA35" s="1378">
        <v>0</v>
      </c>
      <c r="EB35" s="1380">
        <f>SUM(DX35:EA35)</f>
        <v>0</v>
      </c>
      <c r="EC35" s="1378">
        <v>0</v>
      </c>
      <c r="ED35" s="1378">
        <v>0</v>
      </c>
      <c r="EE35" s="1378">
        <v>0</v>
      </c>
      <c r="EF35" s="1378">
        <v>0</v>
      </c>
      <c r="EG35" s="1380">
        <f>SUM(EC35:EF35)</f>
        <v>0</v>
      </c>
      <c r="EH35" s="1378">
        <v>0</v>
      </c>
      <c r="EI35" s="1378">
        <v>0</v>
      </c>
      <c r="EJ35" s="1378">
        <v>0</v>
      </c>
      <c r="EK35" s="1378">
        <v>0</v>
      </c>
      <c r="EL35" s="1380">
        <f>SUM(EH35:EK35)</f>
        <v>0</v>
      </c>
    </row>
    <row r="36" spans="1:142" hidden="1" outlineLevel="1">
      <c r="A36" s="225"/>
      <c r="B36" s="214" t="s">
        <v>675</v>
      </c>
      <c r="C36" s="48"/>
      <c r="D36" s="48"/>
      <c r="E36" s="48"/>
      <c r="F36" s="48"/>
      <c r="G36" s="48"/>
      <c r="H36" s="64"/>
      <c r="I36" s="48"/>
      <c r="J36" s="48"/>
      <c r="K36" s="48"/>
      <c r="L36" s="48"/>
      <c r="M36" s="64"/>
      <c r="N36" s="48"/>
      <c r="O36" s="48"/>
      <c r="P36" s="48"/>
      <c r="Q36" s="48"/>
      <c r="R36" s="64"/>
      <c r="S36" s="48"/>
      <c r="T36" s="48"/>
      <c r="U36" s="48"/>
      <c r="V36" s="48"/>
      <c r="W36" s="64"/>
      <c r="X36" s="48"/>
      <c r="Y36" s="48"/>
      <c r="Z36" s="48"/>
      <c r="AA36" s="48"/>
      <c r="AB36" s="64"/>
      <c r="AC36" s="48"/>
      <c r="AD36" s="48"/>
      <c r="AE36" s="48"/>
      <c r="AF36" s="48"/>
      <c r="AG36" s="64"/>
      <c r="AH36" s="48"/>
      <c r="AI36" s="48"/>
      <c r="AJ36" s="48"/>
      <c r="AK36" s="48"/>
      <c r="AL36" s="64"/>
      <c r="AM36" s="48"/>
      <c r="AN36" s="48"/>
      <c r="AO36" s="48"/>
      <c r="AP36" s="48"/>
      <c r="AQ36" s="64"/>
      <c r="AR36" s="48"/>
      <c r="AS36" s="48"/>
      <c r="AT36" s="48"/>
      <c r="AU36" s="217"/>
      <c r="AV36" s="48"/>
      <c r="AW36" s="48"/>
      <c r="AX36" s="48"/>
      <c r="AY36" s="48"/>
      <c r="AZ36" s="64"/>
      <c r="BA36" s="48"/>
      <c r="BB36" s="48"/>
      <c r="BC36" s="48"/>
      <c r="BD36" s="48"/>
      <c r="BE36" s="64"/>
      <c r="BF36" s="48"/>
      <c r="BG36" s="48"/>
      <c r="BH36" s="48"/>
      <c r="BI36" s="48"/>
      <c r="BJ36" s="64"/>
      <c r="BK36" s="48"/>
      <c r="BL36" s="48"/>
      <c r="BM36" s="262"/>
      <c r="BN36" s="48"/>
      <c r="BO36" s="263"/>
      <c r="BP36" s="48"/>
      <c r="BQ36" s="48"/>
      <c r="BR36" s="262"/>
      <c r="BS36" s="48"/>
      <c r="BT36" s="263"/>
      <c r="BU36" s="48"/>
      <c r="BV36" s="48"/>
      <c r="BW36" s="262"/>
      <c r="BX36" s="48"/>
      <c r="BY36" s="263"/>
      <c r="BZ36" s="48"/>
      <c r="CA36" s="48"/>
      <c r="CB36" s="262"/>
      <c r="CC36" s="48"/>
      <c r="CD36" s="263"/>
      <c r="CE36" s="174"/>
      <c r="CF36" s="174"/>
      <c r="CG36" s="174"/>
      <c r="CH36" s="174"/>
      <c r="CI36" s="263"/>
      <c r="CJ36" s="174"/>
      <c r="CK36" s="174"/>
      <c r="CL36" s="174"/>
      <c r="CM36" s="174"/>
      <c r="CN36" s="263"/>
      <c r="CO36" s="174"/>
      <c r="CP36" s="174"/>
      <c r="CQ36" s="174"/>
      <c r="CR36" s="174">
        <f>+CR37-CR34</f>
        <v>80</v>
      </c>
      <c r="CS36" s="263">
        <f>SUM(CO36:CR36)</f>
        <v>80</v>
      </c>
      <c r="CT36" s="174">
        <f>+CT37-CT34</f>
        <v>203</v>
      </c>
      <c r="CU36" s="174">
        <f>+CU37-CU34</f>
        <v>-83</v>
      </c>
      <c r="CV36" s="174">
        <f>+CV37-CV34</f>
        <v>-25</v>
      </c>
      <c r="CW36" s="174">
        <f>+CW37-CW34</f>
        <v>-175</v>
      </c>
      <c r="CX36" s="263">
        <f>SUM(CT36:CW36)</f>
        <v>-80</v>
      </c>
      <c r="CY36" s="174">
        <f>+CY37-CY34</f>
        <v>20</v>
      </c>
      <c r="CZ36" s="174">
        <f>+CZ37-CZ34</f>
        <v>13</v>
      </c>
      <c r="DA36" s="174">
        <f>+DA37-DA34</f>
        <v>177</v>
      </c>
      <c r="DB36" s="174">
        <f>+DB37-DB34</f>
        <v>195</v>
      </c>
      <c r="DC36" s="263">
        <f>SUM(CY36:DB36)</f>
        <v>405</v>
      </c>
      <c r="DD36" s="174">
        <f>+DD37-DD34</f>
        <v>-235</v>
      </c>
      <c r="DE36" s="174">
        <f>+DE37-DE34</f>
        <v>-170</v>
      </c>
      <c r="DF36" s="174">
        <f>+DF37-DF34</f>
        <v>0</v>
      </c>
      <c r="DG36" s="174">
        <f>+DG37-DG34</f>
        <v>220</v>
      </c>
      <c r="DH36" s="263">
        <f>SUM(DD36:DG36)</f>
        <v>-185</v>
      </c>
      <c r="DI36" s="1379">
        <v>0</v>
      </c>
      <c r="DJ36" s="1377">
        <v>-250</v>
      </c>
      <c r="DK36" s="1379">
        <v>0</v>
      </c>
      <c r="DL36" s="1377">
        <v>-110</v>
      </c>
      <c r="DM36" s="1353">
        <f>SUM(DI36:DL36)</f>
        <v>-360</v>
      </c>
      <c r="DN36" s="1379">
        <v>0</v>
      </c>
      <c r="DO36" s="1379">
        <v>0</v>
      </c>
      <c r="DP36" s="1379">
        <v>0</v>
      </c>
      <c r="DQ36" s="1379">
        <v>0</v>
      </c>
      <c r="DR36" s="1381">
        <f>SUM(DN36:DQ36)</f>
        <v>0</v>
      </c>
      <c r="DS36" s="1379">
        <v>0</v>
      </c>
      <c r="DT36" s="1379">
        <v>0</v>
      </c>
      <c r="DU36" s="1379">
        <v>0</v>
      </c>
      <c r="DV36" s="1379">
        <v>0</v>
      </c>
      <c r="DW36" s="1381">
        <f>SUM(DS36:DV36)</f>
        <v>0</v>
      </c>
      <c r="DX36" s="1379">
        <v>0</v>
      </c>
      <c r="DY36" s="1379">
        <v>0</v>
      </c>
      <c r="DZ36" s="1379">
        <v>0</v>
      </c>
      <c r="EA36" s="1379">
        <v>0</v>
      </c>
      <c r="EB36" s="1381">
        <f>SUM(DX36:EA36)</f>
        <v>0</v>
      </c>
      <c r="EC36" s="1379">
        <v>0</v>
      </c>
      <c r="ED36" s="1379">
        <v>0</v>
      </c>
      <c r="EE36" s="1379">
        <v>0</v>
      </c>
      <c r="EF36" s="1379">
        <v>0</v>
      </c>
      <c r="EG36" s="1381">
        <f>SUM(EC36:EF36)</f>
        <v>0</v>
      </c>
      <c r="EH36" s="1379">
        <v>0</v>
      </c>
      <c r="EI36" s="1379">
        <v>0</v>
      </c>
      <c r="EJ36" s="1379">
        <v>0</v>
      </c>
      <c r="EK36" s="1379">
        <v>0</v>
      </c>
      <c r="EL36" s="1381">
        <f>SUM(EH36:EK36)</f>
        <v>0</v>
      </c>
    </row>
    <row r="37" spans="1:142" hidden="1" outlineLevel="1">
      <c r="A37" s="225"/>
      <c r="B37" s="209" t="s">
        <v>299</v>
      </c>
      <c r="C37" s="9"/>
      <c r="D37" s="9"/>
      <c r="E37" s="9"/>
      <c r="F37" s="9"/>
      <c r="G37" s="9"/>
      <c r="H37" s="63"/>
      <c r="I37" s="9"/>
      <c r="J37" s="9"/>
      <c r="K37" s="9"/>
      <c r="L37" s="9"/>
      <c r="M37" s="63"/>
      <c r="N37" s="9"/>
      <c r="O37" s="9"/>
      <c r="P37" s="9"/>
      <c r="Q37" s="9"/>
      <c r="R37" s="63"/>
      <c r="S37" s="9"/>
      <c r="T37" s="9"/>
      <c r="U37" s="9"/>
      <c r="V37" s="9"/>
      <c r="W37" s="63"/>
      <c r="X37" s="9"/>
      <c r="Y37" s="9"/>
      <c r="Z37" s="9"/>
      <c r="AA37" s="9"/>
      <c r="AB37" s="63"/>
      <c r="AC37" s="9"/>
      <c r="AD37" s="9"/>
      <c r="AE37" s="9"/>
      <c r="AF37" s="9"/>
      <c r="AG37" s="63"/>
      <c r="AH37" s="9"/>
      <c r="AI37" s="9"/>
      <c r="AJ37" s="9"/>
      <c r="AK37" s="9"/>
      <c r="AL37" s="63"/>
      <c r="AM37" s="9"/>
      <c r="AN37" s="9"/>
      <c r="AO37" s="9"/>
      <c r="AP37" s="9"/>
      <c r="AQ37" s="47"/>
      <c r="AR37" s="9"/>
      <c r="AS37" s="9"/>
      <c r="AT37" s="9"/>
      <c r="AU37" s="186"/>
      <c r="AV37" s="9"/>
      <c r="AW37" s="9"/>
      <c r="AX37" s="9"/>
      <c r="AY37" s="9"/>
      <c r="AZ37" s="47"/>
      <c r="BA37" s="26"/>
      <c r="BB37" s="282"/>
      <c r="BC37" s="282"/>
      <c r="BD37" s="282"/>
      <c r="BE37" s="47"/>
      <c r="BF37" s="26"/>
      <c r="BG37" s="282"/>
      <c r="BH37" s="282"/>
      <c r="BI37" s="282"/>
      <c r="BJ37" s="47"/>
      <c r="BK37" s="146"/>
      <c r="BL37" s="162"/>
      <c r="BM37" s="162"/>
      <c r="BN37" s="162"/>
      <c r="BO37" s="266"/>
      <c r="BP37" s="146"/>
      <c r="BQ37" s="162"/>
      <c r="BR37" s="162"/>
      <c r="BS37" s="162"/>
      <c r="BT37" s="266"/>
      <c r="BU37" s="146"/>
      <c r="BV37" s="162"/>
      <c r="BW37" s="162"/>
      <c r="BX37" s="162"/>
      <c r="BY37" s="266"/>
      <c r="BZ37" s="146"/>
      <c r="CA37" s="162"/>
      <c r="CB37" s="162"/>
      <c r="CC37" s="162"/>
      <c r="CD37" s="266">
        <v>0</v>
      </c>
      <c r="CE37" s="267"/>
      <c r="CF37" s="267"/>
      <c r="CG37" s="267"/>
      <c r="CH37" s="267"/>
      <c r="CI37" s="170"/>
      <c r="CJ37" s="267"/>
      <c r="CK37" s="267"/>
      <c r="CL37" s="267"/>
      <c r="CM37" s="267"/>
      <c r="CN37" s="170"/>
      <c r="CO37" s="267"/>
      <c r="CP37" s="267"/>
      <c r="CQ37" s="267"/>
      <c r="CR37" s="166">
        <v>80</v>
      </c>
      <c r="CS37" s="170">
        <f>+CS36+CS34</f>
        <v>80</v>
      </c>
      <c r="CT37" s="166">
        <v>283</v>
      </c>
      <c r="CU37" s="166">
        <v>200</v>
      </c>
      <c r="CV37" s="166">
        <v>175</v>
      </c>
      <c r="CW37" s="166">
        <v>0</v>
      </c>
      <c r="CX37" s="170">
        <f>CW37</f>
        <v>0</v>
      </c>
      <c r="CY37" s="166">
        <v>20</v>
      </c>
      <c r="CZ37" s="166">
        <v>33</v>
      </c>
      <c r="DA37" s="333">
        <v>210</v>
      </c>
      <c r="DB37" s="165">
        <v>405</v>
      </c>
      <c r="DC37" s="170">
        <f>DB37</f>
        <v>405</v>
      </c>
      <c r="DD37" s="166">
        <v>170</v>
      </c>
      <c r="DE37" s="269">
        <v>0</v>
      </c>
      <c r="DF37" s="269">
        <v>0</v>
      </c>
      <c r="DG37" s="165">
        <v>220</v>
      </c>
      <c r="DH37" s="170">
        <f>DG37</f>
        <v>220</v>
      </c>
      <c r="DI37" s="539">
        <f>SUM(DI34:DI36)</f>
        <v>350</v>
      </c>
      <c r="DJ37" s="539">
        <f>SUM(DJ34:DJ36)</f>
        <v>100</v>
      </c>
      <c r="DK37" s="539">
        <f>SUM(DK34:DK36)</f>
        <v>110</v>
      </c>
      <c r="DL37" s="539">
        <f>SUM(DL34:DL36)</f>
        <v>0</v>
      </c>
      <c r="DM37" s="540">
        <f>SUM(DM34:DM36)</f>
        <v>0</v>
      </c>
      <c r="DN37" s="1382">
        <f t="shared" ref="DN37:EG37" si="9">SUM(DN34:DN36)</f>
        <v>0</v>
      </c>
      <c r="DO37" s="1383">
        <f t="shared" si="9"/>
        <v>0</v>
      </c>
      <c r="DP37" s="1383">
        <f t="shared" si="9"/>
        <v>0</v>
      </c>
      <c r="DQ37" s="1378">
        <f t="shared" si="9"/>
        <v>0</v>
      </c>
      <c r="DR37" s="1380">
        <f t="shared" si="9"/>
        <v>0</v>
      </c>
      <c r="DS37" s="1378">
        <f t="shared" si="9"/>
        <v>0</v>
      </c>
      <c r="DT37" s="1378">
        <f t="shared" si="9"/>
        <v>0</v>
      </c>
      <c r="DU37" s="1378">
        <f t="shared" si="9"/>
        <v>0</v>
      </c>
      <c r="DV37" s="1378">
        <f t="shared" si="9"/>
        <v>0</v>
      </c>
      <c r="DW37" s="1380">
        <f t="shared" si="9"/>
        <v>0</v>
      </c>
      <c r="DX37" s="1378">
        <f t="shared" si="9"/>
        <v>0</v>
      </c>
      <c r="DY37" s="1378">
        <f t="shared" si="9"/>
        <v>0</v>
      </c>
      <c r="DZ37" s="1378">
        <f t="shared" si="9"/>
        <v>0</v>
      </c>
      <c r="EA37" s="1378">
        <f t="shared" si="9"/>
        <v>0</v>
      </c>
      <c r="EB37" s="1380">
        <f t="shared" si="9"/>
        <v>0</v>
      </c>
      <c r="EC37" s="1378">
        <f t="shared" si="9"/>
        <v>0</v>
      </c>
      <c r="ED37" s="1378">
        <f t="shared" si="9"/>
        <v>0</v>
      </c>
      <c r="EE37" s="1378">
        <f t="shared" si="9"/>
        <v>0</v>
      </c>
      <c r="EF37" s="1378">
        <f t="shared" si="9"/>
        <v>0</v>
      </c>
      <c r="EG37" s="1380">
        <f t="shared" si="9"/>
        <v>0</v>
      </c>
      <c r="EH37" s="1378">
        <f t="shared" ref="EH37:EL37" si="10">SUM(EH34:EH36)</f>
        <v>0</v>
      </c>
      <c r="EI37" s="1378">
        <f t="shared" si="10"/>
        <v>0</v>
      </c>
      <c r="EJ37" s="1378">
        <f t="shared" si="10"/>
        <v>0</v>
      </c>
      <c r="EK37" s="1378">
        <f t="shared" si="10"/>
        <v>0</v>
      </c>
      <c r="EL37" s="1380">
        <f t="shared" si="10"/>
        <v>0</v>
      </c>
    </row>
    <row r="38" spans="1:142" hidden="1" outlineLevel="1">
      <c r="A38" s="225"/>
      <c r="B38" s="209" t="s">
        <v>312</v>
      </c>
      <c r="C38" s="9"/>
      <c r="D38" s="9"/>
      <c r="E38" s="9"/>
      <c r="F38" s="9"/>
      <c r="G38" s="9"/>
      <c r="H38" s="63"/>
      <c r="I38" s="9"/>
      <c r="J38" s="9"/>
      <c r="K38" s="9"/>
      <c r="L38" s="9"/>
      <c r="M38" s="63"/>
      <c r="N38" s="9"/>
      <c r="O38" s="9"/>
      <c r="P38" s="9"/>
      <c r="Q38" s="9"/>
      <c r="R38" s="63"/>
      <c r="S38" s="9"/>
      <c r="T38" s="9"/>
      <c r="U38" s="9"/>
      <c r="V38" s="9"/>
      <c r="W38" s="63"/>
      <c r="X38" s="9"/>
      <c r="Y38" s="9"/>
      <c r="Z38" s="9"/>
      <c r="AA38" s="9"/>
      <c r="AB38" s="63"/>
      <c r="AC38" s="9"/>
      <c r="AD38" s="9"/>
      <c r="AE38" s="9"/>
      <c r="AF38" s="9"/>
      <c r="AG38" s="63"/>
      <c r="AH38" s="9"/>
      <c r="AI38" s="9"/>
      <c r="AJ38" s="9"/>
      <c r="AK38" s="9"/>
      <c r="AL38" s="63"/>
      <c r="AM38" s="9"/>
      <c r="AN38" s="9"/>
      <c r="AO38" s="9"/>
      <c r="AP38" s="9"/>
      <c r="AQ38" s="47"/>
      <c r="AR38" s="9"/>
      <c r="AS38" s="9"/>
      <c r="AT38" s="9"/>
      <c r="AU38" s="186"/>
      <c r="AV38" s="9"/>
      <c r="AW38" s="9"/>
      <c r="AX38" s="9"/>
      <c r="AY38" s="9"/>
      <c r="AZ38" s="47"/>
      <c r="BA38" s="26"/>
      <c r="BB38" s="282"/>
      <c r="BC38" s="282"/>
      <c r="BD38" s="282"/>
      <c r="BE38" s="47"/>
      <c r="BF38" s="26"/>
      <c r="BG38" s="27"/>
      <c r="BH38" s="26"/>
      <c r="BI38" s="27"/>
      <c r="BJ38" s="47"/>
      <c r="BK38" s="162"/>
      <c r="BL38" s="162"/>
      <c r="BM38" s="162"/>
      <c r="BN38" s="162"/>
      <c r="BO38" s="170"/>
      <c r="BP38" s="162"/>
      <c r="BQ38" s="162"/>
      <c r="BR38" s="162"/>
      <c r="BS38" s="162"/>
      <c r="BT38" s="170"/>
      <c r="BU38" s="162"/>
      <c r="BV38" s="162"/>
      <c r="BW38" s="162"/>
      <c r="BX38" s="162"/>
      <c r="BY38" s="170"/>
      <c r="BZ38" s="162"/>
      <c r="CA38" s="162"/>
      <c r="CB38" s="162"/>
      <c r="CC38" s="162"/>
      <c r="CD38" s="170"/>
      <c r="CE38" s="268"/>
      <c r="CF38" s="268"/>
      <c r="CG38" s="268"/>
      <c r="CH38" s="268"/>
      <c r="CI38" s="170"/>
      <c r="CJ38" s="268"/>
      <c r="CK38" s="268"/>
      <c r="CL38" s="268"/>
      <c r="CM38" s="268"/>
      <c r="CN38" s="170"/>
      <c r="CO38" s="268"/>
      <c r="CP38" s="268"/>
      <c r="CQ38" s="268"/>
      <c r="CR38" s="165">
        <f>CR33-CR37</f>
        <v>720</v>
      </c>
      <c r="CS38" s="170">
        <f>CR38</f>
        <v>720</v>
      </c>
      <c r="CT38" s="165">
        <f>CT33-CT37</f>
        <v>517</v>
      </c>
      <c r="CU38" s="165">
        <f>CU33-CU37</f>
        <v>600</v>
      </c>
      <c r="CV38" s="165">
        <f>CV33-CV37</f>
        <v>625</v>
      </c>
      <c r="CW38" s="165">
        <f>CW33-CW37</f>
        <v>800</v>
      </c>
      <c r="CX38" s="170">
        <f>CW38</f>
        <v>800</v>
      </c>
      <c r="CY38" s="165">
        <f>CY33-CY37</f>
        <v>780</v>
      </c>
      <c r="CZ38" s="165">
        <f>CZ33-CZ37</f>
        <v>767</v>
      </c>
      <c r="DA38" s="165">
        <f>DA33-DA37</f>
        <v>590</v>
      </c>
      <c r="DB38" s="165">
        <f>DB33-DB37</f>
        <v>395</v>
      </c>
      <c r="DC38" s="170">
        <f>DB38</f>
        <v>395</v>
      </c>
      <c r="DD38" s="165">
        <f>DD33-DD37</f>
        <v>630</v>
      </c>
      <c r="DE38" s="165">
        <f>DE33-DE37</f>
        <v>800</v>
      </c>
      <c r="DF38" s="165">
        <f>DF33-DF37</f>
        <v>800</v>
      </c>
      <c r="DG38" s="165">
        <f>DG33-DG37</f>
        <v>580</v>
      </c>
      <c r="DH38" s="170">
        <f>DG38</f>
        <v>580</v>
      </c>
      <c r="DI38" s="539">
        <f>DI33-DI37</f>
        <v>450</v>
      </c>
      <c r="DJ38" s="539">
        <f>DJ33-DJ37</f>
        <v>700</v>
      </c>
      <c r="DK38" s="1374">
        <f>DK33-DK37</f>
        <v>690</v>
      </c>
      <c r="DL38" s="539">
        <f>DL33-DL37</f>
        <v>800</v>
      </c>
      <c r="DM38" s="540">
        <f>DL38</f>
        <v>800</v>
      </c>
      <c r="DN38" s="539">
        <f>DN33-DN37</f>
        <v>800</v>
      </c>
      <c r="DO38" s="539">
        <f>DO33-DO37</f>
        <v>800</v>
      </c>
      <c r="DP38" s="539">
        <f>DP33-DP37</f>
        <v>800</v>
      </c>
      <c r="DQ38" s="539">
        <f>DQ33-DQ37</f>
        <v>800</v>
      </c>
      <c r="DR38" s="540">
        <f>DQ38</f>
        <v>800</v>
      </c>
      <c r="DS38" s="539">
        <f>DS33-DS37</f>
        <v>800</v>
      </c>
      <c r="DT38" s="539">
        <f>DT33-DT37</f>
        <v>800</v>
      </c>
      <c r="DU38" s="539">
        <f>DU33-DU37</f>
        <v>800</v>
      </c>
      <c r="DV38" s="539">
        <f>DV33-DV37</f>
        <v>800</v>
      </c>
      <c r="DW38" s="540">
        <f>DV38</f>
        <v>800</v>
      </c>
      <c r="DX38" s="539">
        <f>DX33-DX37</f>
        <v>800</v>
      </c>
      <c r="DY38" s="539">
        <f>DY33-DY37</f>
        <v>800</v>
      </c>
      <c r="DZ38" s="539">
        <f>DZ33-DZ37</f>
        <v>800</v>
      </c>
      <c r="EA38" s="539">
        <f>EA33-EA37</f>
        <v>800</v>
      </c>
      <c r="EB38" s="540">
        <f>EA38</f>
        <v>800</v>
      </c>
      <c r="EC38" s="539">
        <f>EC33-EC37</f>
        <v>800</v>
      </c>
      <c r="ED38" s="539">
        <f>ED33-ED37</f>
        <v>800</v>
      </c>
      <c r="EE38" s="539">
        <f>EE33-EE37</f>
        <v>800</v>
      </c>
      <c r="EF38" s="539">
        <f>EF33-EF37</f>
        <v>800</v>
      </c>
      <c r="EG38" s="540">
        <f>EF38</f>
        <v>800</v>
      </c>
      <c r="EH38" s="539">
        <f>EH33-EH37</f>
        <v>800</v>
      </c>
      <c r="EI38" s="539">
        <f>EI33-EI37</f>
        <v>800</v>
      </c>
      <c r="EJ38" s="539">
        <f>EJ33-EJ37</f>
        <v>800</v>
      </c>
      <c r="EK38" s="539">
        <f>EK33-EK37</f>
        <v>800</v>
      </c>
      <c r="EL38" s="540">
        <f>EK38</f>
        <v>800</v>
      </c>
    </row>
    <row r="39" spans="1:142" hidden="1" outlineLevel="1">
      <c r="A39" s="225"/>
      <c r="B39" s="209" t="s">
        <v>300</v>
      </c>
      <c r="C39" s="9"/>
      <c r="D39" s="9"/>
      <c r="E39" s="9"/>
      <c r="F39" s="9"/>
      <c r="G39" s="9"/>
      <c r="H39" s="63"/>
      <c r="I39" s="9"/>
      <c r="J39" s="9"/>
      <c r="K39" s="9"/>
      <c r="L39" s="9"/>
      <c r="M39" s="63"/>
      <c r="N39" s="9"/>
      <c r="O39" s="9"/>
      <c r="P39" s="9"/>
      <c r="Q39" s="9"/>
      <c r="R39" s="63"/>
      <c r="S39" s="9"/>
      <c r="T39" s="9"/>
      <c r="U39" s="9"/>
      <c r="V39" s="9"/>
      <c r="W39" s="63"/>
      <c r="X39" s="9"/>
      <c r="Y39" s="9"/>
      <c r="Z39" s="9"/>
      <c r="AA39" s="9"/>
      <c r="AB39" s="63"/>
      <c r="AC39" s="9"/>
      <c r="AD39" s="9"/>
      <c r="AE39" s="9"/>
      <c r="AF39" s="9"/>
      <c r="AG39" s="63"/>
      <c r="AH39" s="9"/>
      <c r="AI39" s="9"/>
      <c r="AJ39" s="9"/>
      <c r="AK39" s="9"/>
      <c r="AL39" s="63"/>
      <c r="AM39" s="9"/>
      <c r="AN39" s="9"/>
      <c r="AO39" s="9"/>
      <c r="AP39" s="9"/>
      <c r="AQ39" s="47"/>
      <c r="AR39" s="9"/>
      <c r="AS39" s="9"/>
      <c r="AT39" s="9"/>
      <c r="AU39" s="186"/>
      <c r="AV39" s="9"/>
      <c r="AW39" s="9"/>
      <c r="AX39" s="9"/>
      <c r="AY39" s="9"/>
      <c r="AZ39" s="47"/>
      <c r="BA39" s="26"/>
      <c r="BB39" s="282"/>
      <c r="BC39" s="282"/>
      <c r="BD39" s="26"/>
      <c r="BE39" s="47"/>
      <c r="BF39" s="26"/>
      <c r="BG39" s="27"/>
      <c r="BH39" s="22"/>
      <c r="BI39" s="22"/>
      <c r="BJ39" s="47"/>
      <c r="BK39" s="171"/>
      <c r="BL39" s="171"/>
      <c r="BM39" s="210"/>
      <c r="BN39" s="90"/>
      <c r="BO39" s="170"/>
      <c r="BP39" s="171"/>
      <c r="BQ39" s="171"/>
      <c r="BR39" s="210"/>
      <c r="BS39" s="90"/>
      <c r="BT39" s="170"/>
      <c r="BU39" s="171"/>
      <c r="BV39" s="171"/>
      <c r="BW39" s="210"/>
      <c r="BX39" s="90"/>
      <c r="BY39" s="170"/>
      <c r="BZ39" s="171"/>
      <c r="CA39" s="171"/>
      <c r="CB39" s="210"/>
      <c r="CC39" s="90"/>
      <c r="CD39" s="170"/>
      <c r="CE39" s="173"/>
      <c r="CF39" s="173"/>
      <c r="CG39" s="173"/>
      <c r="CH39" s="173"/>
      <c r="CI39" s="170"/>
      <c r="CJ39" s="173"/>
      <c r="CK39" s="173"/>
      <c r="CL39" s="173"/>
      <c r="CM39" s="173"/>
      <c r="CN39" s="170"/>
      <c r="CO39" s="173"/>
      <c r="CP39" s="173"/>
      <c r="CQ39" s="173"/>
      <c r="CR39" s="167">
        <f>CR32/4*AVERAGE(CR37,CR34)</f>
        <v>0.27500000000000002</v>
      </c>
      <c r="CS39" s="170">
        <f>SUM(CO39:CR39)</f>
        <v>0.27500000000000002</v>
      </c>
      <c r="CT39" s="167">
        <f>CT32/4*AVERAGE(CT37,CT37)</f>
        <v>1.9456249999999999</v>
      </c>
      <c r="CU39" s="167">
        <f>CU32/4*AVERAGE(CU37,CU34)</f>
        <v>1.6603125000000001</v>
      </c>
      <c r="CV39" s="167">
        <f>CV32/4*AVERAGE(CV37,CV34)</f>
        <v>1.2890625</v>
      </c>
      <c r="CW39" s="167">
        <f>CW32/4*AVERAGE(CW37,CW34)</f>
        <v>0.6015625</v>
      </c>
      <c r="CX39" s="170">
        <f>SUM(CT39:CW39)</f>
        <v>5.4965624999999996</v>
      </c>
      <c r="CY39" s="167">
        <f>CY32/4*AVERAGE(CY37,CY34)</f>
        <v>6.8750000000000006E-2</v>
      </c>
      <c r="CZ39" s="167">
        <f>CZ32/4*AVERAGE(CZ37,CZ34)</f>
        <v>0.1821875</v>
      </c>
      <c r="DA39" s="167">
        <f>DA32/4*AVERAGE(DA37,DA34)</f>
        <v>0.83531250000000001</v>
      </c>
      <c r="DB39" s="167">
        <f>DB32/4*AVERAGE(DB37,DB34)</f>
        <v>2.1140625000000002</v>
      </c>
      <c r="DC39" s="170">
        <f>SUM(CY39:DB39)</f>
        <v>3.2003125000000003</v>
      </c>
      <c r="DD39" s="167">
        <f>DD32/4*AVERAGE(DD37,DD34)</f>
        <v>1.9765625</v>
      </c>
      <c r="DE39" s="167">
        <f>DE32/4*AVERAGE(DE37,DE34)</f>
        <v>0.58437499999999998</v>
      </c>
      <c r="DF39" s="167">
        <f>DF32/4*AVERAGE(DF37,DF34)</f>
        <v>0</v>
      </c>
      <c r="DG39" s="167">
        <f>DG32/4*AVERAGE(DG37,DG34)</f>
        <v>0.75624999999999998</v>
      </c>
      <c r="DH39" s="170">
        <f>SUM(DD39:DG39)</f>
        <v>3.3171875000000002</v>
      </c>
      <c r="DI39" s="1338">
        <f>DI32/4*AVERAGE(DI37,DI34)</f>
        <v>1.9593750000000001</v>
      </c>
      <c r="DJ39" s="1338">
        <f>DJ32/4*AVERAGE(DJ37,DJ34)</f>
        <v>1.546875</v>
      </c>
      <c r="DK39" s="1338">
        <f>DK32/4*AVERAGE(DK37,DK34)</f>
        <v>0.72187500000000004</v>
      </c>
      <c r="DL39" s="1338">
        <f>DL32/4*AVERAGE(DL37,DL34)</f>
        <v>0.37812499999999999</v>
      </c>
      <c r="DM39" s="540">
        <f>SUM(DI39:DL39)</f>
        <v>4.6062500000000002</v>
      </c>
      <c r="DN39" s="1384">
        <f>DN32/4*AVERAGE(DN37,DN34)</f>
        <v>0</v>
      </c>
      <c r="DO39" s="1384">
        <f>DO32/4*AVERAGE(DO37,DO34)</f>
        <v>0</v>
      </c>
      <c r="DP39" s="1384">
        <f>DP32/4*AVERAGE(DP37,DP34)</f>
        <v>0</v>
      </c>
      <c r="DQ39" s="1384">
        <f>DQ32/4*AVERAGE(DQ37,DQ34)</f>
        <v>0</v>
      </c>
      <c r="DR39" s="1380">
        <f>SUM(DN39:DQ39)</f>
        <v>0</v>
      </c>
      <c r="DS39" s="1384">
        <f>DS32/4*AVERAGE(DS37,DS34)</f>
        <v>0</v>
      </c>
      <c r="DT39" s="1384">
        <f>DT32/4*AVERAGE(DT37,DT34)</f>
        <v>0</v>
      </c>
      <c r="DU39" s="1384">
        <f>DU32/4*AVERAGE(DU37,DU34)</f>
        <v>0</v>
      </c>
      <c r="DV39" s="1384">
        <f>DV32/4*AVERAGE(DV37,DV34)</f>
        <v>0</v>
      </c>
      <c r="DW39" s="1380">
        <f>SUM(DS39:DV39)</f>
        <v>0</v>
      </c>
      <c r="DX39" s="1384">
        <f>DX32/4*AVERAGE(DX37,DX34)</f>
        <v>0</v>
      </c>
      <c r="DY39" s="1384">
        <f>DY32/4*AVERAGE(DY37,DY34)</f>
        <v>0</v>
      </c>
      <c r="DZ39" s="1384">
        <f>DZ32/4*AVERAGE(DZ37,DZ34)</f>
        <v>0</v>
      </c>
      <c r="EA39" s="1384">
        <f>EA32/4*AVERAGE(EA37,EA34)</f>
        <v>0</v>
      </c>
      <c r="EB39" s="1380">
        <f>SUM(DX39:EA39)</f>
        <v>0</v>
      </c>
      <c r="EC39" s="1384">
        <f>EC32/4*AVERAGE(EC37,EC34)</f>
        <v>0</v>
      </c>
      <c r="ED39" s="1384">
        <f>ED32/4*AVERAGE(ED37,ED34)</f>
        <v>0</v>
      </c>
      <c r="EE39" s="1384">
        <f>EE32/4*AVERAGE(EE37,EE34)</f>
        <v>0</v>
      </c>
      <c r="EF39" s="1384">
        <f>EF32/4*AVERAGE(EF37,EF34)</f>
        <v>0</v>
      </c>
      <c r="EG39" s="1380">
        <f>SUM(EC39:EF39)</f>
        <v>0</v>
      </c>
      <c r="EH39" s="1384">
        <f>EH32/4*AVERAGE(EH37,EH34)</f>
        <v>0</v>
      </c>
      <c r="EI39" s="1384">
        <f>EI32/4*AVERAGE(EI37,EI34)</f>
        <v>0</v>
      </c>
      <c r="EJ39" s="1384">
        <f>EJ32/4*AVERAGE(EJ37,EJ34)</f>
        <v>0</v>
      </c>
      <c r="EK39" s="1384">
        <f>EK32/4*AVERAGE(EK37,EK34)</f>
        <v>0</v>
      </c>
      <c r="EL39" s="1380">
        <f>SUM(EH39:EK39)</f>
        <v>0</v>
      </c>
    </row>
    <row r="40" spans="1:142" hidden="1" outlineLevel="1">
      <c r="A40" s="225"/>
      <c r="B40" s="214" t="s">
        <v>313</v>
      </c>
      <c r="C40" s="48"/>
      <c r="D40" s="48"/>
      <c r="E40" s="48"/>
      <c r="F40" s="48"/>
      <c r="G40" s="48"/>
      <c r="H40" s="64"/>
      <c r="I40" s="48"/>
      <c r="J40" s="48"/>
      <c r="K40" s="48"/>
      <c r="L40" s="48"/>
      <c r="M40" s="64"/>
      <c r="N40" s="48"/>
      <c r="O40" s="48"/>
      <c r="P40" s="48"/>
      <c r="Q40" s="48"/>
      <c r="R40" s="64"/>
      <c r="S40" s="48"/>
      <c r="T40" s="48"/>
      <c r="U40" s="48"/>
      <c r="V40" s="48"/>
      <c r="W40" s="64"/>
      <c r="X40" s="48"/>
      <c r="Y40" s="48"/>
      <c r="Z40" s="48"/>
      <c r="AA40" s="48"/>
      <c r="AB40" s="64"/>
      <c r="AC40" s="48"/>
      <c r="AD40" s="48"/>
      <c r="AE40" s="48"/>
      <c r="AF40" s="48"/>
      <c r="AG40" s="64"/>
      <c r="AH40" s="48"/>
      <c r="AI40" s="48"/>
      <c r="AJ40" s="48"/>
      <c r="AK40" s="48"/>
      <c r="AL40" s="64"/>
      <c r="AM40" s="48"/>
      <c r="AN40" s="48"/>
      <c r="AO40" s="48"/>
      <c r="AP40" s="48"/>
      <c r="AQ40" s="52"/>
      <c r="AR40" s="48"/>
      <c r="AS40" s="48"/>
      <c r="AT40" s="48"/>
      <c r="AU40" s="217"/>
      <c r="AV40" s="48"/>
      <c r="AW40" s="48"/>
      <c r="AX40" s="48"/>
      <c r="AY40" s="48"/>
      <c r="AZ40" s="52"/>
      <c r="BA40" s="48"/>
      <c r="BB40" s="51"/>
      <c r="BC40" s="287"/>
      <c r="BD40" s="287"/>
      <c r="BE40" s="52"/>
      <c r="BF40" s="287"/>
      <c r="BG40" s="51"/>
      <c r="BH40" s="287"/>
      <c r="BI40" s="51"/>
      <c r="BJ40" s="52"/>
      <c r="BK40" s="215"/>
      <c r="BL40" s="215"/>
      <c r="BM40" s="275"/>
      <c r="BN40" s="215"/>
      <c r="BO40" s="263"/>
      <c r="BP40" s="215"/>
      <c r="BQ40" s="215"/>
      <c r="BR40" s="275"/>
      <c r="BS40" s="215"/>
      <c r="BT40" s="263"/>
      <c r="BU40" s="215"/>
      <c r="BV40" s="215"/>
      <c r="BW40" s="275"/>
      <c r="BX40" s="215"/>
      <c r="BY40" s="263"/>
      <c r="BZ40" s="215"/>
      <c r="CA40" s="215"/>
      <c r="CB40" s="275"/>
      <c r="CC40" s="215"/>
      <c r="CD40" s="263"/>
      <c r="CE40" s="276"/>
      <c r="CF40" s="276"/>
      <c r="CG40" s="276"/>
      <c r="CH40" s="276"/>
      <c r="CI40" s="263"/>
      <c r="CJ40" s="276"/>
      <c r="CK40" s="276"/>
      <c r="CL40" s="276"/>
      <c r="CM40" s="276"/>
      <c r="CN40" s="263"/>
      <c r="CO40" s="276"/>
      <c r="CP40" s="276"/>
      <c r="CQ40" s="276"/>
      <c r="CR40" s="276">
        <f>CR31/4*(AVERAGE(CR38,CQ38))</f>
        <v>0.78750000000000009</v>
      </c>
      <c r="CS40" s="263"/>
      <c r="CT40" s="276">
        <f>CT31/4*(AVERAGE(CT38,CS38))</f>
        <v>0.67648437500000003</v>
      </c>
      <c r="CU40" s="276">
        <f>CU31/4*(AVERAGE(CU38,CT38))</f>
        <v>0.61085937500000009</v>
      </c>
      <c r="CV40" s="276">
        <f>CV31/4*(AVERAGE(CV38,CU38))</f>
        <v>0.66992187500000011</v>
      </c>
      <c r="CW40" s="276">
        <f>CW31/4*(AVERAGE(CW38,CV38))</f>
        <v>0.77929687500000011</v>
      </c>
      <c r="CX40" s="263"/>
      <c r="CY40" s="276">
        <f>CY31/4*(AVERAGE(CY38,CX38))</f>
        <v>0.86406250000000007</v>
      </c>
      <c r="CZ40" s="276">
        <f>CZ31/4*(AVERAGE(CZ38,CY38))</f>
        <v>0.84601562500000005</v>
      </c>
      <c r="DA40" s="276">
        <f>DA31/4*(AVERAGE(DA38,CZ38))</f>
        <v>0.74210937500000007</v>
      </c>
      <c r="DB40" s="276">
        <f>DB31/4*(AVERAGE(DB38,DA38))</f>
        <v>0.53867187500000002</v>
      </c>
      <c r="DC40" s="263"/>
      <c r="DD40" s="276">
        <f>DD31/4*(AVERAGE(DD38,DC38))</f>
        <v>0.560546875</v>
      </c>
      <c r="DE40" s="276">
        <f>DE31/4*(AVERAGE(DE38,DD38))</f>
        <v>0.78203125000000007</v>
      </c>
      <c r="DF40" s="276">
        <f>DF31/4*(AVERAGE(DF38,DE38))</f>
        <v>0.87500000000000011</v>
      </c>
      <c r="DG40" s="276">
        <f>DG31/4*(AVERAGE(DG38,DF38))</f>
        <v>0.75468750000000007</v>
      </c>
      <c r="DH40" s="263"/>
      <c r="DI40" s="1342">
        <f>DI31/4*(AVERAGE(DI38,DH38))</f>
        <v>0.56328125000000007</v>
      </c>
      <c r="DJ40" s="1342">
        <f>DJ31/4*(AVERAGE(DJ38,DI38))</f>
        <v>0.62890625000000011</v>
      </c>
      <c r="DK40" s="1342">
        <f>DK31/4*(AVERAGE(DK38,DJ38))</f>
        <v>0.76015625000000009</v>
      </c>
      <c r="DL40" s="1342">
        <f>DL31/4*(AVERAGE(DL38,DK38))</f>
        <v>0.81484375000000009</v>
      </c>
      <c r="DM40" s="1353"/>
      <c r="DN40" s="1342">
        <f>DN31/4*(AVERAGE(DN38,DM38))</f>
        <v>0.87500000000000011</v>
      </c>
      <c r="DO40" s="1342">
        <f>DO31/4*(AVERAGE(DO38,DN38))</f>
        <v>0.87500000000000011</v>
      </c>
      <c r="DP40" s="1342">
        <f>DP31/4*(AVERAGE(DP38,DO38))</f>
        <v>0.87500000000000011</v>
      </c>
      <c r="DQ40" s="1342">
        <f>DQ31/4*(AVERAGE(DQ38,DP38))</f>
        <v>0.87500000000000011</v>
      </c>
      <c r="DR40" s="1353"/>
      <c r="DS40" s="1342">
        <f>DS31/4*(AVERAGE(DS38,DR38))</f>
        <v>0.8</v>
      </c>
      <c r="DT40" s="1342">
        <f>DT31/4*(AVERAGE(DT38,DS38))</f>
        <v>0.8</v>
      </c>
      <c r="DU40" s="1342">
        <f>DU31/4*(AVERAGE(DU38,DT38))</f>
        <v>0.8</v>
      </c>
      <c r="DV40" s="1342">
        <f>DV31/4*(AVERAGE(DV38,DU38))</f>
        <v>0.8</v>
      </c>
      <c r="DW40" s="1353"/>
      <c r="DX40" s="1342">
        <f>DX31/4*(AVERAGE(DX38,DW38))</f>
        <v>0.8</v>
      </c>
      <c r="DY40" s="1342">
        <f>DY31/4*(AVERAGE(DY38,DX38))</f>
        <v>0.8</v>
      </c>
      <c r="DZ40" s="1342">
        <f>DZ31/4*(AVERAGE(DZ38,DY38))</f>
        <v>0.8</v>
      </c>
      <c r="EA40" s="1342">
        <f>EA31/4*(AVERAGE(EA38,DZ38))</f>
        <v>0.8</v>
      </c>
      <c r="EB40" s="1353"/>
      <c r="EC40" s="1342">
        <f>EC31/4*(AVERAGE(EC38,EB38))</f>
        <v>0.8</v>
      </c>
      <c r="ED40" s="1342">
        <f>ED31/4*(AVERAGE(ED38,EC38))</f>
        <v>0.8</v>
      </c>
      <c r="EE40" s="1342">
        <f>EE31/4*(AVERAGE(EE38,ED38))</f>
        <v>0.8</v>
      </c>
      <c r="EF40" s="1342">
        <f>EF31/4*(AVERAGE(EF38,EE38))</f>
        <v>0.8</v>
      </c>
      <c r="EG40" s="1353"/>
      <c r="EH40" s="1342">
        <f>EH31/4*(AVERAGE(EH38,EG38))</f>
        <v>0.8</v>
      </c>
      <c r="EI40" s="1342">
        <f>EI31/4*(AVERAGE(EI38,EH38))</f>
        <v>0.8</v>
      </c>
      <c r="EJ40" s="1342">
        <f>EJ31/4*(AVERAGE(EJ38,EI38))</f>
        <v>0.8</v>
      </c>
      <c r="EK40" s="1342">
        <f>EK31/4*(AVERAGE(EK38,EJ38))</f>
        <v>0.8</v>
      </c>
      <c r="EL40" s="1353"/>
    </row>
    <row r="41" spans="1:142" s="680" customFormat="1" hidden="1" outlineLevel="1">
      <c r="A41" s="1369"/>
      <c r="B41" s="1370"/>
      <c r="C41" s="555"/>
      <c r="D41" s="555"/>
      <c r="E41" s="555"/>
      <c r="F41" s="555"/>
      <c r="G41" s="555"/>
      <c r="H41" s="802"/>
      <c r="I41" s="555"/>
      <c r="J41" s="555"/>
      <c r="K41" s="555"/>
      <c r="L41" s="555"/>
      <c r="M41" s="802"/>
      <c r="N41" s="555"/>
      <c r="O41" s="555"/>
      <c r="P41" s="555"/>
      <c r="Q41" s="555"/>
      <c r="R41" s="802"/>
      <c r="S41" s="555"/>
      <c r="T41" s="555"/>
      <c r="U41" s="555"/>
      <c r="V41" s="555"/>
      <c r="W41" s="802"/>
      <c r="X41" s="555"/>
      <c r="Y41" s="555"/>
      <c r="Z41" s="555"/>
      <c r="AA41" s="555"/>
      <c r="AB41" s="802"/>
      <c r="AC41" s="555"/>
      <c r="AD41" s="555"/>
      <c r="AE41" s="555"/>
      <c r="AF41" s="555"/>
      <c r="AG41" s="802"/>
      <c r="AH41" s="555"/>
      <c r="AI41" s="555"/>
      <c r="AJ41" s="555"/>
      <c r="AK41" s="555"/>
      <c r="AL41" s="802"/>
      <c r="AM41" s="555"/>
      <c r="AN41" s="555"/>
      <c r="AO41" s="555"/>
      <c r="AP41" s="555"/>
      <c r="AQ41" s="817"/>
      <c r="AR41" s="555"/>
      <c r="AS41" s="555"/>
      <c r="AT41" s="555"/>
      <c r="AU41" s="802"/>
      <c r="AV41" s="1371"/>
      <c r="AW41" s="1371"/>
      <c r="AX41" s="1371"/>
      <c r="AY41" s="1371"/>
      <c r="AZ41" s="1372"/>
      <c r="BA41" s="1371"/>
      <c r="BB41" s="1371"/>
      <c r="BC41" s="1371"/>
      <c r="BD41" s="1371"/>
      <c r="BE41" s="1372"/>
      <c r="BF41" s="1371"/>
      <c r="BG41" s="1371"/>
      <c r="BH41" s="1371"/>
      <c r="BI41" s="1371"/>
      <c r="BJ41" s="1372"/>
      <c r="BK41" s="1251"/>
      <c r="BL41" s="1251"/>
      <c r="BM41" s="1251"/>
      <c r="BN41" s="1251"/>
      <c r="BO41" s="902"/>
      <c r="BP41" s="1251"/>
      <c r="BQ41" s="1251"/>
      <c r="BR41" s="1251"/>
      <c r="BS41" s="1251"/>
      <c r="BT41" s="902"/>
      <c r="BU41" s="1251"/>
      <c r="BV41" s="1251"/>
      <c r="BW41" s="1251"/>
      <c r="BX41" s="1251"/>
      <c r="BY41" s="902"/>
      <c r="BZ41" s="1251"/>
      <c r="CA41" s="1251"/>
      <c r="CB41" s="1251"/>
      <c r="CC41" s="1251"/>
      <c r="CD41" s="902"/>
      <c r="CE41" s="735"/>
      <c r="CF41" s="735"/>
      <c r="CG41" s="735"/>
      <c r="CH41" s="735"/>
      <c r="CI41" s="817"/>
      <c r="CJ41" s="735"/>
      <c r="CK41" s="735"/>
      <c r="CL41" s="735"/>
      <c r="CM41" s="735"/>
      <c r="CN41" s="817"/>
      <c r="CO41" s="735"/>
      <c r="CP41" s="735"/>
      <c r="CQ41" s="739"/>
      <c r="CR41" s="739"/>
      <c r="CS41" s="817"/>
      <c r="CT41" s="739"/>
      <c r="CU41" s="739"/>
      <c r="CV41" s="739"/>
      <c r="CW41" s="739"/>
      <c r="CX41" s="817"/>
      <c r="CY41" s="739"/>
      <c r="CZ41" s="739"/>
      <c r="DA41" s="739"/>
      <c r="DB41" s="739"/>
      <c r="DC41" s="817"/>
      <c r="DD41" s="739"/>
      <c r="DE41" s="739"/>
      <c r="DF41" s="739"/>
      <c r="DG41" s="739"/>
      <c r="DH41" s="817"/>
      <c r="DI41" s="739"/>
      <c r="DJ41" s="739"/>
      <c r="DK41" s="739"/>
      <c r="DL41" s="739"/>
      <c r="DM41" s="739"/>
      <c r="DN41" s="739"/>
      <c r="DO41" s="739"/>
      <c r="DP41" s="739"/>
      <c r="DQ41" s="739"/>
      <c r="DR41" s="739"/>
      <c r="DS41" s="739"/>
      <c r="DT41" s="739"/>
      <c r="DU41" s="739"/>
      <c r="DV41" s="739"/>
      <c r="DW41" s="739"/>
      <c r="DX41" s="739"/>
      <c r="DY41" s="739"/>
      <c r="DZ41" s="739"/>
      <c r="EA41" s="739"/>
      <c r="EB41" s="739"/>
      <c r="EC41" s="739"/>
      <c r="ED41" s="739"/>
      <c r="EE41" s="739"/>
      <c r="EF41" s="739"/>
      <c r="EG41" s="739"/>
      <c r="EH41" s="739"/>
      <c r="EI41" s="739"/>
      <c r="EJ41" s="739"/>
      <c r="EK41" s="739"/>
      <c r="EL41" s="739"/>
    </row>
    <row r="42" spans="1:142" s="680" customFormat="1" hidden="1" outlineLevel="1">
      <c r="A42" s="1369"/>
      <c r="B42" s="1326" t="s">
        <v>672</v>
      </c>
      <c r="C42" s="555"/>
      <c r="D42" s="555"/>
      <c r="E42" s="555"/>
      <c r="F42" s="555"/>
      <c r="G42" s="555"/>
      <c r="H42" s="802"/>
      <c r="I42" s="555"/>
      <c r="J42" s="555"/>
      <c r="K42" s="555"/>
      <c r="L42" s="555"/>
      <c r="M42" s="802"/>
      <c r="N42" s="555"/>
      <c r="O42" s="555"/>
      <c r="P42" s="555"/>
      <c r="Q42" s="555"/>
      <c r="R42" s="802"/>
      <c r="S42" s="555"/>
      <c r="T42" s="555"/>
      <c r="U42" s="555"/>
      <c r="V42" s="555"/>
      <c r="W42" s="802"/>
      <c r="X42" s="555"/>
      <c r="Y42" s="555"/>
      <c r="Z42" s="555"/>
      <c r="AA42" s="555"/>
      <c r="AB42" s="802"/>
      <c r="AC42" s="555"/>
      <c r="AD42" s="555"/>
      <c r="AE42" s="555"/>
      <c r="AF42" s="555"/>
      <c r="AG42" s="802"/>
      <c r="AH42" s="555"/>
      <c r="AI42" s="555"/>
      <c r="AJ42" s="555"/>
      <c r="AK42" s="555"/>
      <c r="AL42" s="802"/>
      <c r="AM42" s="555"/>
      <c r="AN42" s="555"/>
      <c r="AO42" s="555"/>
      <c r="AP42" s="555"/>
      <c r="AQ42" s="817"/>
      <c r="AR42" s="555"/>
      <c r="AS42" s="555"/>
      <c r="AT42" s="555"/>
      <c r="AU42" s="802"/>
      <c r="AV42" s="1371"/>
      <c r="AW42" s="1371"/>
      <c r="AX42" s="1371"/>
      <c r="AY42" s="1371"/>
      <c r="AZ42" s="1372"/>
      <c r="BA42" s="1371"/>
      <c r="BB42" s="1371"/>
      <c r="BC42" s="1371"/>
      <c r="BD42" s="1371"/>
      <c r="BE42" s="1372"/>
      <c r="BF42" s="1371"/>
      <c r="BG42" s="1371"/>
      <c r="BH42" s="1371"/>
      <c r="BI42" s="1371"/>
      <c r="BJ42" s="1372"/>
      <c r="BK42" s="1251"/>
      <c r="BL42" s="1251"/>
      <c r="BM42" s="1251"/>
      <c r="BN42" s="1251"/>
      <c r="BO42" s="902"/>
      <c r="BP42" s="1251"/>
      <c r="BQ42" s="1251"/>
      <c r="BR42" s="1251"/>
      <c r="BS42" s="1251"/>
      <c r="BT42" s="902"/>
      <c r="BU42" s="1251"/>
      <c r="BV42" s="1251"/>
      <c r="BW42" s="1251"/>
      <c r="BX42" s="1251"/>
      <c r="BY42" s="902"/>
      <c r="BZ42" s="1251"/>
      <c r="CA42" s="1251"/>
      <c r="CB42" s="1251"/>
      <c r="CC42" s="1251"/>
      <c r="CD42" s="902"/>
      <c r="CE42" s="735"/>
      <c r="CF42" s="735"/>
      <c r="CG42" s="735"/>
      <c r="CH42" s="735"/>
      <c r="CI42" s="817"/>
      <c r="CJ42" s="735"/>
      <c r="CK42" s="735"/>
      <c r="CL42" s="735"/>
      <c r="CM42" s="735"/>
      <c r="CN42" s="817"/>
      <c r="CO42" s="735"/>
      <c r="CP42" s="735"/>
      <c r="CQ42" s="739"/>
      <c r="CR42" s="739"/>
      <c r="CS42" s="817"/>
      <c r="CT42" s="739"/>
      <c r="CU42" s="739"/>
      <c r="CV42" s="739"/>
      <c r="CW42" s="739"/>
      <c r="CX42" s="817"/>
      <c r="CY42" s="739"/>
      <c r="CZ42" s="739"/>
      <c r="DA42" s="739"/>
      <c r="DB42" s="739"/>
      <c r="DC42" s="817"/>
      <c r="DD42" s="739"/>
      <c r="DE42" s="739"/>
      <c r="DF42" s="739"/>
      <c r="DG42" s="739"/>
      <c r="DH42" s="817"/>
      <c r="DI42" s="739"/>
      <c r="DJ42" s="739"/>
      <c r="DK42" s="739"/>
      <c r="DL42" s="739"/>
      <c r="DM42" s="739"/>
      <c r="DN42" s="739"/>
      <c r="DO42" s="739"/>
      <c r="DP42" s="739"/>
      <c r="DQ42" s="739"/>
      <c r="DR42" s="739"/>
      <c r="DS42" s="739"/>
      <c r="DT42" s="739">
        <f>DT26+DT36</f>
        <v>1441</v>
      </c>
      <c r="DU42" s="739">
        <f t="shared" ref="DU42:EF42" si="11">DU26+DU36</f>
        <v>2491</v>
      </c>
      <c r="DV42" s="739">
        <f t="shared" si="11"/>
        <v>698</v>
      </c>
      <c r="DW42" s="739"/>
      <c r="DX42" s="739">
        <f t="shared" si="11"/>
        <v>1329.3703581558905</v>
      </c>
      <c r="DY42" s="739">
        <f t="shared" si="11"/>
        <v>1105.3766353546889</v>
      </c>
      <c r="DZ42" s="739">
        <f t="shared" si="11"/>
        <v>853.21887238129329</v>
      </c>
      <c r="EA42" s="739">
        <f t="shared" si="11"/>
        <v>1067.7108739845173</v>
      </c>
      <c r="EB42" s="739"/>
      <c r="EC42" s="739">
        <f t="shared" si="11"/>
        <v>376.97417916896063</v>
      </c>
      <c r="ED42" s="739">
        <f t="shared" si="11"/>
        <v>520.54772891988341</v>
      </c>
      <c r="EE42" s="739">
        <f t="shared" si="11"/>
        <v>689.98221824519351</v>
      </c>
      <c r="EF42" s="739">
        <f t="shared" si="11"/>
        <v>714.63062624325505</v>
      </c>
      <c r="EG42" s="739"/>
      <c r="EH42" s="739">
        <f t="shared" ref="EH42:EK42" si="12">EH26+EH36</f>
        <v>857.96794350851678</v>
      </c>
      <c r="EI42" s="739">
        <f t="shared" si="12"/>
        <v>802.90493870577018</v>
      </c>
      <c r="EJ42" s="739">
        <f t="shared" si="12"/>
        <v>852.42194509847184</v>
      </c>
      <c r="EK42" s="739">
        <f t="shared" si="12"/>
        <v>671.25813137678415</v>
      </c>
      <c r="EL42" s="739"/>
    </row>
    <row r="43" spans="1:142" s="680" customFormat="1" collapsed="1">
      <c r="A43" s="1369"/>
      <c r="B43" s="1370"/>
      <c r="C43" s="555"/>
      <c r="D43" s="555"/>
      <c r="E43" s="555"/>
      <c r="F43" s="555"/>
      <c r="G43" s="555"/>
      <c r="H43" s="802"/>
      <c r="I43" s="555"/>
      <c r="J43" s="555"/>
      <c r="K43" s="555"/>
      <c r="L43" s="555"/>
      <c r="M43" s="802"/>
      <c r="N43" s="555"/>
      <c r="O43" s="555"/>
      <c r="P43" s="555"/>
      <c r="Q43" s="555"/>
      <c r="R43" s="802"/>
      <c r="S43" s="555"/>
      <c r="T43" s="555"/>
      <c r="U43" s="555"/>
      <c r="V43" s="555"/>
      <c r="W43" s="802"/>
      <c r="X43" s="555"/>
      <c r="Y43" s="555"/>
      <c r="Z43" s="555"/>
      <c r="AA43" s="555"/>
      <c r="AB43" s="802"/>
      <c r="AC43" s="555"/>
      <c r="AD43" s="555"/>
      <c r="AE43" s="555"/>
      <c r="AF43" s="555"/>
      <c r="AG43" s="802"/>
      <c r="AH43" s="555"/>
      <c r="AI43" s="555"/>
      <c r="AJ43" s="555"/>
      <c r="AK43" s="555"/>
      <c r="AL43" s="802"/>
      <c r="AM43" s="555"/>
      <c r="AN43" s="555"/>
      <c r="AO43" s="555"/>
      <c r="AP43" s="555"/>
      <c r="AQ43" s="817"/>
      <c r="AR43" s="555"/>
      <c r="AS43" s="555"/>
      <c r="AT43" s="555"/>
      <c r="AU43" s="802"/>
      <c r="AV43" s="1371"/>
      <c r="AW43" s="1371"/>
      <c r="AX43" s="1371"/>
      <c r="AY43" s="1371"/>
      <c r="AZ43" s="1372"/>
      <c r="BA43" s="1371"/>
      <c r="BB43" s="1371"/>
      <c r="BC43" s="1371"/>
      <c r="BD43" s="1371"/>
      <c r="BE43" s="1372"/>
      <c r="BF43" s="1371"/>
      <c r="BG43" s="1371"/>
      <c r="BH43" s="1371"/>
      <c r="BI43" s="1371"/>
      <c r="BJ43" s="1372"/>
      <c r="BK43" s="1251"/>
      <c r="BL43" s="1251"/>
      <c r="BM43" s="1251"/>
      <c r="BN43" s="1251"/>
      <c r="BO43" s="902"/>
      <c r="BP43" s="1251"/>
      <c r="BQ43" s="1251"/>
      <c r="BR43" s="1251"/>
      <c r="BS43" s="1251"/>
      <c r="BT43" s="902"/>
      <c r="BU43" s="1251"/>
      <c r="BV43" s="1251"/>
      <c r="BW43" s="1251"/>
      <c r="BX43" s="1251"/>
      <c r="BY43" s="902"/>
      <c r="BZ43" s="1251"/>
      <c r="CA43" s="1251"/>
      <c r="CB43" s="1251"/>
      <c r="CC43" s="1251"/>
      <c r="CD43" s="902"/>
      <c r="CE43" s="735"/>
      <c r="CF43" s="735"/>
      <c r="CG43" s="735"/>
      <c r="CH43" s="735"/>
      <c r="CI43" s="817"/>
      <c r="CJ43" s="735"/>
      <c r="CK43" s="735"/>
      <c r="CL43" s="735"/>
      <c r="CM43" s="735"/>
      <c r="CN43" s="817"/>
      <c r="CO43" s="735"/>
      <c r="CP43" s="735"/>
      <c r="CQ43" s="739"/>
      <c r="CR43" s="739"/>
      <c r="CS43" s="817"/>
      <c r="CT43" s="739"/>
      <c r="CU43" s="739"/>
      <c r="CV43" s="739"/>
      <c r="CW43" s="739"/>
      <c r="CX43" s="817"/>
      <c r="CY43" s="739"/>
      <c r="CZ43" s="739"/>
      <c r="DA43" s="739"/>
      <c r="DB43" s="739"/>
      <c r="DC43" s="817"/>
      <c r="DD43" s="739"/>
      <c r="DE43" s="739"/>
      <c r="DF43" s="739"/>
      <c r="DG43" s="739"/>
      <c r="DH43" s="817"/>
      <c r="DI43" s="739"/>
      <c r="DJ43" s="739"/>
      <c r="DK43" s="739"/>
      <c r="DL43" s="739"/>
      <c r="DM43" s="739"/>
      <c r="DN43" s="739"/>
      <c r="DO43" s="739"/>
      <c r="DP43" s="739"/>
      <c r="DQ43" s="739"/>
      <c r="DR43" s="739"/>
      <c r="DS43" s="739"/>
      <c r="DT43" s="739"/>
      <c r="DU43" s="739"/>
      <c r="DV43" s="739"/>
      <c r="DW43" s="739"/>
      <c r="DX43" s="739"/>
      <c r="DY43" s="739"/>
      <c r="DZ43" s="739"/>
      <c r="EA43" s="739"/>
      <c r="EB43" s="739"/>
      <c r="EC43" s="739"/>
      <c r="ED43" s="739"/>
      <c r="EE43" s="739"/>
      <c r="EF43" s="739"/>
      <c r="EG43" s="739"/>
      <c r="EH43" s="739"/>
      <c r="EI43" s="739"/>
      <c r="EJ43" s="739"/>
      <c r="EK43" s="739"/>
      <c r="EL43" s="739"/>
    </row>
    <row r="44" spans="1:142" s="680" customFormat="1">
      <c r="A44" s="1369"/>
      <c r="B44" s="1368" t="s">
        <v>676</v>
      </c>
      <c r="C44" s="555"/>
      <c r="D44" s="555"/>
      <c r="E44" s="555"/>
      <c r="F44" s="555"/>
      <c r="G44" s="555"/>
      <c r="H44" s="802"/>
      <c r="I44" s="555"/>
      <c r="J44" s="555"/>
      <c r="K44" s="555"/>
      <c r="L44" s="555"/>
      <c r="M44" s="802"/>
      <c r="N44" s="555"/>
      <c r="O44" s="555"/>
      <c r="P44" s="555"/>
      <c r="Q44" s="555"/>
      <c r="R44" s="802"/>
      <c r="S44" s="555"/>
      <c r="T44" s="555"/>
      <c r="U44" s="555"/>
      <c r="V44" s="555"/>
      <c r="W44" s="802"/>
      <c r="X44" s="555"/>
      <c r="Y44" s="555"/>
      <c r="Z44" s="555"/>
      <c r="AA44" s="555"/>
      <c r="AB44" s="802"/>
      <c r="AC44" s="555"/>
      <c r="AD44" s="555"/>
      <c r="AE44" s="555"/>
      <c r="AF44" s="555"/>
      <c r="AG44" s="802"/>
      <c r="AH44" s="555"/>
      <c r="AI44" s="555"/>
      <c r="AJ44" s="555"/>
      <c r="AK44" s="555"/>
      <c r="AL44" s="802"/>
      <c r="AM44" s="555"/>
      <c r="AN44" s="555"/>
      <c r="AO44" s="555"/>
      <c r="AP44" s="555"/>
      <c r="AQ44" s="817"/>
      <c r="AR44" s="555"/>
      <c r="AS44" s="555"/>
      <c r="AT44" s="555"/>
      <c r="AU44" s="802"/>
      <c r="AV44" s="1371"/>
      <c r="AW44" s="1371"/>
      <c r="AX44" s="1371"/>
      <c r="AY44" s="1371"/>
      <c r="AZ44" s="1372"/>
      <c r="BA44" s="1371"/>
      <c r="BB44" s="1371"/>
      <c r="BC44" s="1371"/>
      <c r="BD44" s="1371"/>
      <c r="BE44" s="1372"/>
      <c r="BF44" s="1371"/>
      <c r="BG44" s="1371"/>
      <c r="BH44" s="1371"/>
      <c r="BI44" s="1371"/>
      <c r="BJ44" s="1372"/>
      <c r="BK44" s="1251"/>
      <c r="BL44" s="1251"/>
      <c r="BM44" s="1251"/>
      <c r="BN44" s="1251"/>
      <c r="BO44" s="902"/>
      <c r="BP44" s="1251"/>
      <c r="BQ44" s="1251"/>
      <c r="BR44" s="1251"/>
      <c r="BS44" s="1251"/>
      <c r="BT44" s="902"/>
      <c r="BU44" s="1251"/>
      <c r="BV44" s="1251"/>
      <c r="BW44" s="1251"/>
      <c r="BX44" s="1251"/>
      <c r="BY44" s="902"/>
      <c r="BZ44" s="1251"/>
      <c r="CA44" s="1251"/>
      <c r="CB44" s="1251"/>
      <c r="CC44" s="1251"/>
      <c r="CD44" s="902"/>
      <c r="CE44" s="735"/>
      <c r="CF44" s="735"/>
      <c r="CG44" s="735"/>
      <c r="CH44" s="735"/>
      <c r="CI44" s="817"/>
      <c r="CJ44" s="735"/>
      <c r="CK44" s="735"/>
      <c r="CL44" s="735"/>
      <c r="CM44" s="735"/>
      <c r="CN44" s="817"/>
      <c r="CO44" s="735"/>
      <c r="CP44" s="735"/>
      <c r="CQ44" s="739"/>
      <c r="CR44" s="739"/>
      <c r="CS44" s="817"/>
      <c r="CT44" s="739"/>
      <c r="CU44" s="739"/>
      <c r="CV44" s="739"/>
      <c r="CW44" s="739"/>
      <c r="CX44" s="817"/>
      <c r="CY44" s="739"/>
      <c r="CZ44" s="739"/>
      <c r="DA44" s="739"/>
      <c r="DB44" s="739"/>
      <c r="DC44" s="817"/>
      <c r="DD44" s="739"/>
      <c r="DE44" s="739"/>
      <c r="DF44" s="739"/>
      <c r="DG44" s="739"/>
      <c r="DH44" s="817"/>
      <c r="DI44" s="739"/>
      <c r="DJ44" s="739"/>
      <c r="DK44" s="739"/>
      <c r="DL44" s="739"/>
      <c r="DM44" s="739"/>
      <c r="DN44" s="739"/>
      <c r="DO44" s="739"/>
      <c r="DP44" s="739"/>
      <c r="DQ44" s="739"/>
      <c r="DR44" s="739"/>
      <c r="DS44" s="739"/>
      <c r="DT44" s="739"/>
      <c r="DU44" s="739"/>
      <c r="DV44" s="739"/>
      <c r="DW44" s="739"/>
      <c r="DX44" s="739"/>
      <c r="DY44" s="739"/>
      <c r="DZ44" s="739"/>
      <c r="EA44" s="739"/>
      <c r="EB44" s="739"/>
      <c r="EC44" s="739"/>
      <c r="ED44" s="739"/>
      <c r="EE44" s="739"/>
      <c r="EF44" s="739"/>
      <c r="EG44" s="739"/>
      <c r="EH44" s="739"/>
      <c r="EI44" s="739"/>
      <c r="EJ44" s="739"/>
      <c r="EK44" s="739"/>
      <c r="EL44" s="739"/>
    </row>
    <row r="45" spans="1:142" s="680" customFormat="1" hidden="1" outlineLevel="1">
      <c r="A45" s="1369"/>
      <c r="B45" s="1370"/>
      <c r="C45" s="555"/>
      <c r="D45" s="555"/>
      <c r="E45" s="555"/>
      <c r="F45" s="555"/>
      <c r="G45" s="555"/>
      <c r="H45" s="802"/>
      <c r="I45" s="555"/>
      <c r="J45" s="555"/>
      <c r="K45" s="555"/>
      <c r="L45" s="555"/>
      <c r="M45" s="802"/>
      <c r="N45" s="555"/>
      <c r="O45" s="555"/>
      <c r="P45" s="555"/>
      <c r="Q45" s="555"/>
      <c r="R45" s="802"/>
      <c r="S45" s="555"/>
      <c r="T45" s="555"/>
      <c r="U45" s="555"/>
      <c r="V45" s="555"/>
      <c r="W45" s="802"/>
      <c r="X45" s="555"/>
      <c r="Y45" s="555"/>
      <c r="Z45" s="555"/>
      <c r="AA45" s="555"/>
      <c r="AB45" s="802"/>
      <c r="AC45" s="555"/>
      <c r="AD45" s="555"/>
      <c r="AE45" s="555"/>
      <c r="AF45" s="555"/>
      <c r="AG45" s="802"/>
      <c r="AH45" s="555"/>
      <c r="AI45" s="555"/>
      <c r="AJ45" s="555"/>
      <c r="AK45" s="555"/>
      <c r="AL45" s="802"/>
      <c r="AM45" s="555"/>
      <c r="AN45" s="555"/>
      <c r="AO45" s="555"/>
      <c r="AP45" s="555"/>
      <c r="AQ45" s="817"/>
      <c r="AR45" s="555"/>
      <c r="AS45" s="555"/>
      <c r="AT45" s="555"/>
      <c r="AU45" s="802"/>
      <c r="AV45" s="1371"/>
      <c r="AW45" s="1371"/>
      <c r="AX45" s="1371"/>
      <c r="AY45" s="1371"/>
      <c r="AZ45" s="1372"/>
      <c r="BA45" s="1371"/>
      <c r="BB45" s="1371"/>
      <c r="BC45" s="1371"/>
      <c r="BD45" s="1371"/>
      <c r="BE45" s="1372"/>
      <c r="BF45" s="1371"/>
      <c r="BG45" s="1371"/>
      <c r="BH45" s="1371"/>
      <c r="BI45" s="1371"/>
      <c r="BJ45" s="1372"/>
      <c r="BK45" s="1251"/>
      <c r="BL45" s="1251"/>
      <c r="BM45" s="1251"/>
      <c r="BN45" s="1251"/>
      <c r="BO45" s="902"/>
      <c r="BP45" s="1251"/>
      <c r="BQ45" s="1251"/>
      <c r="BR45" s="1251"/>
      <c r="BS45" s="1251"/>
      <c r="BT45" s="902"/>
      <c r="BU45" s="1251"/>
      <c r="BV45" s="1251"/>
      <c r="BW45" s="1251"/>
      <c r="BX45" s="1251"/>
      <c r="BY45" s="902"/>
      <c r="BZ45" s="1251"/>
      <c r="CA45" s="1251"/>
      <c r="CB45" s="1251"/>
      <c r="CC45" s="1251"/>
      <c r="CD45" s="902"/>
      <c r="CE45" s="735"/>
      <c r="CF45" s="735"/>
      <c r="CG45" s="735"/>
      <c r="CH45" s="735"/>
      <c r="CI45" s="817"/>
      <c r="CJ45" s="735"/>
      <c r="CK45" s="735"/>
      <c r="CL45" s="735"/>
      <c r="CM45" s="735"/>
      <c r="CN45" s="817"/>
      <c r="CO45" s="735"/>
      <c r="CP45" s="735"/>
      <c r="CQ45" s="739"/>
      <c r="CR45" s="739"/>
      <c r="CS45" s="817"/>
      <c r="CT45" s="739"/>
      <c r="CU45" s="739"/>
      <c r="CV45" s="739"/>
      <c r="CW45" s="739"/>
      <c r="CX45" s="817"/>
      <c r="CY45" s="739"/>
      <c r="CZ45" s="739"/>
      <c r="DA45" s="739"/>
      <c r="DB45" s="739"/>
      <c r="DC45" s="817"/>
      <c r="DD45" s="739"/>
      <c r="DE45" s="739"/>
      <c r="DF45" s="739"/>
      <c r="DG45" s="739"/>
      <c r="DH45" s="817"/>
      <c r="DI45" s="739"/>
      <c r="DJ45" s="739"/>
      <c r="DK45" s="739"/>
      <c r="DL45" s="739"/>
      <c r="DM45" s="739"/>
      <c r="DN45" s="739"/>
      <c r="DO45" s="739"/>
      <c r="DP45" s="739"/>
      <c r="DQ45" s="739"/>
      <c r="DR45" s="739"/>
      <c r="DS45" s="739"/>
      <c r="DT45" s="739"/>
      <c r="DU45" s="739"/>
      <c r="DV45" s="739"/>
      <c r="DW45" s="739"/>
      <c r="DX45" s="739"/>
      <c r="DY45" s="739"/>
      <c r="DZ45" s="739"/>
      <c r="EA45" s="739"/>
      <c r="EB45" s="739"/>
      <c r="EC45" s="739"/>
      <c r="ED45" s="739"/>
      <c r="EE45" s="739"/>
      <c r="EF45" s="739"/>
      <c r="EG45" s="739"/>
      <c r="EH45" s="739"/>
      <c r="EI45" s="739"/>
      <c r="EJ45" s="739"/>
      <c r="EK45" s="739"/>
      <c r="EL45" s="739"/>
    </row>
    <row r="46" spans="1:142" hidden="1" outlineLevel="1">
      <c r="A46" s="1327"/>
      <c r="B46" s="242" t="s">
        <v>304</v>
      </c>
      <c r="C46" s="228"/>
      <c r="D46" s="228"/>
      <c r="E46" s="228"/>
      <c r="F46" s="228"/>
      <c r="G46" s="228"/>
      <c r="H46" s="229"/>
      <c r="I46" s="228"/>
      <c r="J46" s="228"/>
      <c r="K46" s="228"/>
      <c r="L46" s="228"/>
      <c r="M46" s="229"/>
      <c r="N46" s="228"/>
      <c r="O46" s="228"/>
      <c r="P46" s="228"/>
      <c r="Q46" s="228"/>
      <c r="R46" s="229"/>
      <c r="S46" s="228"/>
      <c r="T46" s="228"/>
      <c r="U46" s="228"/>
      <c r="V46" s="228"/>
      <c r="W46" s="229"/>
      <c r="X46" s="228"/>
      <c r="Y46" s="228"/>
      <c r="Z46" s="228"/>
      <c r="AA46" s="228"/>
      <c r="AB46" s="229"/>
      <c r="AC46" s="228"/>
      <c r="AD46" s="228"/>
      <c r="AE46" s="228"/>
      <c r="AF46" s="228"/>
      <c r="AG46" s="229"/>
      <c r="AH46" s="228"/>
      <c r="AI46" s="228"/>
      <c r="AJ46" s="228"/>
      <c r="AK46" s="228"/>
      <c r="AL46" s="229"/>
      <c r="AM46" s="228"/>
      <c r="AN46" s="228"/>
      <c r="AO46" s="228"/>
      <c r="AP46" s="228"/>
      <c r="AQ46" s="229"/>
      <c r="AR46" s="228"/>
      <c r="AS46" s="228"/>
      <c r="AT46" s="228"/>
      <c r="AU46" s="230"/>
      <c r="AV46" s="228"/>
      <c r="AW46" s="228"/>
      <c r="AX46" s="228"/>
      <c r="AY46" s="228"/>
      <c r="AZ46" s="229"/>
      <c r="BA46" s="228"/>
      <c r="BB46" s="228"/>
      <c r="BC46" s="228"/>
      <c r="BD46" s="228"/>
      <c r="BE46" s="229"/>
      <c r="BF46" s="228"/>
      <c r="BG46" s="228"/>
      <c r="BH46" s="228"/>
      <c r="BI46" s="228"/>
      <c r="BJ46" s="229"/>
      <c r="BK46" s="228"/>
      <c r="BL46" s="228"/>
      <c r="BM46" s="228"/>
      <c r="BN46" s="228"/>
      <c r="BO46" s="229"/>
      <c r="BP46" s="228"/>
      <c r="BQ46" s="228"/>
      <c r="BR46" s="228"/>
      <c r="BS46" s="228"/>
      <c r="BT46" s="229"/>
      <c r="BU46" s="228"/>
      <c r="BV46" s="228"/>
      <c r="BW46" s="228"/>
      <c r="BX46" s="228"/>
      <c r="BY46" s="229"/>
      <c r="BZ46" s="228"/>
      <c r="CA46" s="228"/>
      <c r="CB46" s="228"/>
      <c r="CC46" s="228"/>
      <c r="CD46" s="229"/>
      <c r="CE46" s="228"/>
      <c r="CF46" s="228"/>
      <c r="CG46" s="228"/>
      <c r="CH46" s="228"/>
      <c r="CI46" s="229"/>
      <c r="CJ46" s="228"/>
      <c r="CK46" s="228"/>
      <c r="CL46" s="228"/>
      <c r="CM46" s="228"/>
      <c r="CN46" s="229"/>
      <c r="CO46" s="228"/>
      <c r="CP46" s="228"/>
      <c r="CQ46" s="228"/>
      <c r="CR46" s="228"/>
      <c r="CS46" s="229"/>
      <c r="CT46" s="228"/>
      <c r="CU46" s="228"/>
      <c r="CV46" s="228"/>
      <c r="CW46" s="228"/>
      <c r="CX46" s="229"/>
      <c r="CY46" s="228"/>
      <c r="CZ46" s="228"/>
      <c r="DA46" s="228"/>
      <c r="DB46" s="228"/>
      <c r="DC46" s="229"/>
      <c r="DD46" s="228"/>
      <c r="DE46" s="228"/>
      <c r="DF46" s="228"/>
      <c r="DG46" s="228"/>
      <c r="DH46" s="229"/>
      <c r="DI46" s="228"/>
      <c r="DJ46" s="228"/>
      <c r="DK46" s="231"/>
      <c r="DL46" s="228"/>
      <c r="DM46" s="229"/>
      <c r="DN46" s="228"/>
      <c r="DO46" s="228"/>
      <c r="DP46" s="228"/>
      <c r="DQ46" s="228"/>
      <c r="DR46" s="229"/>
      <c r="DS46" s="228"/>
      <c r="DT46" s="228"/>
      <c r="DU46" s="228"/>
      <c r="DV46" s="228"/>
      <c r="DW46" s="229"/>
      <c r="DX46" s="228"/>
      <c r="DY46" s="228"/>
      <c r="DZ46" s="228"/>
      <c r="EA46" s="228"/>
      <c r="EB46" s="229"/>
      <c r="EC46" s="228"/>
      <c r="ED46" s="228"/>
      <c r="EE46" s="228"/>
      <c r="EF46" s="228"/>
      <c r="EG46" s="229"/>
      <c r="EH46" s="228"/>
      <c r="EI46" s="228"/>
      <c r="EJ46" s="228"/>
      <c r="EK46" s="228"/>
      <c r="EL46" s="229"/>
    </row>
    <row r="47" spans="1:142" hidden="1" outlineLevel="1">
      <c r="A47" s="1328"/>
      <c r="B47" s="247" t="s">
        <v>297</v>
      </c>
      <c r="C47" s="9"/>
      <c r="D47" s="9"/>
      <c r="E47" s="9"/>
      <c r="F47" s="9"/>
      <c r="G47" s="9"/>
      <c r="H47" s="63"/>
      <c r="I47" s="9"/>
      <c r="J47" s="9"/>
      <c r="K47" s="9"/>
      <c r="L47" s="9"/>
      <c r="M47" s="63"/>
      <c r="N47" s="9"/>
      <c r="O47" s="9"/>
      <c r="P47" s="9"/>
      <c r="Q47" s="9"/>
      <c r="R47" s="63"/>
      <c r="S47" s="9"/>
      <c r="T47" s="9"/>
      <c r="U47" s="9"/>
      <c r="V47" s="9"/>
      <c r="W47" s="63"/>
      <c r="X47" s="9"/>
      <c r="Y47" s="9"/>
      <c r="Z47" s="9"/>
      <c r="AA47" s="9"/>
      <c r="AB47" s="63"/>
      <c r="AC47" s="9"/>
      <c r="AD47" s="9"/>
      <c r="AE47" s="9"/>
      <c r="AF47" s="9"/>
      <c r="AG47" s="63"/>
      <c r="AH47" s="9"/>
      <c r="AI47" s="9"/>
      <c r="AJ47" s="9"/>
      <c r="AK47" s="9"/>
      <c r="AL47" s="63"/>
      <c r="AM47" s="9"/>
      <c r="AN47" s="9"/>
      <c r="AO47" s="9"/>
      <c r="AP47" s="9"/>
      <c r="AQ47" s="63"/>
      <c r="AR47" s="9"/>
      <c r="AS47" s="9"/>
      <c r="AT47" s="9"/>
      <c r="AU47" s="186"/>
      <c r="AV47" s="9"/>
      <c r="AW47" s="9"/>
      <c r="AX47" s="9"/>
      <c r="AY47" s="9"/>
      <c r="AZ47" s="63"/>
      <c r="BA47" s="9"/>
      <c r="BB47" s="9"/>
      <c r="BC47" s="9"/>
      <c r="BD47" s="9"/>
      <c r="BE47" s="63"/>
      <c r="BF47" s="9"/>
      <c r="BG47" s="9"/>
      <c r="BH47" s="9"/>
      <c r="BI47" s="9"/>
      <c r="BJ47" s="63"/>
      <c r="BK47" s="9"/>
      <c r="BL47" s="9"/>
      <c r="BM47" s="9"/>
      <c r="BN47" s="9"/>
      <c r="BO47" s="63"/>
      <c r="BP47" s="9"/>
      <c r="BQ47" s="9"/>
      <c r="BR47" s="9"/>
      <c r="BS47" s="9"/>
      <c r="BT47" s="63"/>
      <c r="BU47" s="9"/>
      <c r="BV47" s="9"/>
      <c r="BW47" s="9"/>
      <c r="BX47" s="9"/>
      <c r="BY47" s="63"/>
      <c r="BZ47" s="9"/>
      <c r="CA47" s="9"/>
      <c r="CB47" s="9"/>
      <c r="CC47" s="9"/>
      <c r="CD47" s="63"/>
      <c r="CE47" s="250"/>
      <c r="CF47" s="250"/>
      <c r="CG47" s="250"/>
      <c r="CH47" s="250"/>
      <c r="CI47" s="193"/>
      <c r="CJ47" s="250"/>
      <c r="CK47" s="250"/>
      <c r="CL47" s="250"/>
      <c r="CM47" s="250"/>
      <c r="CN47" s="193"/>
      <c r="CO47" s="250"/>
      <c r="CP47" s="250"/>
      <c r="CQ47" s="250"/>
      <c r="CR47" s="288">
        <v>6.25E-2</v>
      </c>
      <c r="CS47" s="193"/>
      <c r="CT47" s="288">
        <v>6.25E-2</v>
      </c>
      <c r="CU47" s="288">
        <v>6.25E-2</v>
      </c>
      <c r="CV47" s="288">
        <v>6.25E-2</v>
      </c>
      <c r="CW47" s="288">
        <f>CV47</f>
        <v>6.25E-2</v>
      </c>
      <c r="CX47" s="193"/>
      <c r="CY47" s="288">
        <f>CW47</f>
        <v>6.25E-2</v>
      </c>
      <c r="CZ47" s="288">
        <f>CY47</f>
        <v>6.25E-2</v>
      </c>
      <c r="DA47" s="249">
        <f>CZ47</f>
        <v>6.25E-2</v>
      </c>
      <c r="DB47" s="249">
        <f>DA47</f>
        <v>6.25E-2</v>
      </c>
      <c r="DC47" s="193"/>
      <c r="DD47" s="288">
        <f>DB47</f>
        <v>6.25E-2</v>
      </c>
      <c r="DE47" s="249">
        <f>DD47</f>
        <v>6.25E-2</v>
      </c>
      <c r="DF47" s="249">
        <f>DE47</f>
        <v>6.25E-2</v>
      </c>
      <c r="DG47" s="249">
        <f>DF47</f>
        <v>6.25E-2</v>
      </c>
      <c r="DH47" s="193"/>
      <c r="DI47" s="288">
        <f>DG47</f>
        <v>6.25E-2</v>
      </c>
      <c r="DJ47" s="249">
        <f>DI47</f>
        <v>6.25E-2</v>
      </c>
      <c r="DK47" s="331">
        <f>DJ47</f>
        <v>6.25E-2</v>
      </c>
      <c r="DL47" s="249">
        <f>DK47</f>
        <v>6.25E-2</v>
      </c>
      <c r="DM47" s="193"/>
      <c r="DN47" s="288">
        <f>DL47</f>
        <v>6.25E-2</v>
      </c>
      <c r="DO47" s="249">
        <f>DN47</f>
        <v>6.25E-2</v>
      </c>
      <c r="DP47" s="249">
        <f>DO47</f>
        <v>6.25E-2</v>
      </c>
      <c r="DQ47" s="249">
        <f>DP47</f>
        <v>6.25E-2</v>
      </c>
      <c r="DR47" s="193"/>
      <c r="DS47" s="249">
        <f>DQ47</f>
        <v>6.25E-2</v>
      </c>
      <c r="DT47" s="249">
        <f>DS47</f>
        <v>6.25E-2</v>
      </c>
      <c r="DU47" s="249">
        <f>DT47</f>
        <v>6.25E-2</v>
      </c>
      <c r="DV47" s="249">
        <f>DU47</f>
        <v>6.25E-2</v>
      </c>
      <c r="DW47" s="193"/>
      <c r="DX47" s="249">
        <f>DV47</f>
        <v>6.25E-2</v>
      </c>
      <c r="DY47" s="249">
        <f>DX47</f>
        <v>6.25E-2</v>
      </c>
      <c r="DZ47" s="249">
        <f>DY47</f>
        <v>6.25E-2</v>
      </c>
      <c r="EA47" s="249">
        <f>DZ47</f>
        <v>6.25E-2</v>
      </c>
      <c r="EB47" s="193"/>
      <c r="EC47" s="249">
        <f>EA47</f>
        <v>6.25E-2</v>
      </c>
      <c r="ED47" s="249">
        <f>EC47</f>
        <v>6.25E-2</v>
      </c>
      <c r="EE47" s="249">
        <f>ED47</f>
        <v>6.25E-2</v>
      </c>
      <c r="EF47" s="249">
        <f>EE47</f>
        <v>6.25E-2</v>
      </c>
      <c r="EG47" s="193"/>
      <c r="EH47" s="249">
        <f>EF47</f>
        <v>6.25E-2</v>
      </c>
      <c r="EI47" s="249">
        <f>EH47</f>
        <v>6.25E-2</v>
      </c>
      <c r="EJ47" s="249">
        <f>EI47</f>
        <v>6.25E-2</v>
      </c>
      <c r="EK47" s="249">
        <f>EJ47</f>
        <v>6.25E-2</v>
      </c>
      <c r="EL47" s="193"/>
    </row>
    <row r="48" spans="1:142" hidden="1" outlineLevel="1">
      <c r="A48" s="225"/>
      <c r="B48" s="209" t="s">
        <v>298</v>
      </c>
      <c r="C48" s="232"/>
      <c r="D48" s="232"/>
      <c r="E48" s="232"/>
      <c r="F48" s="232"/>
      <c r="G48" s="232"/>
      <c r="H48" s="233"/>
      <c r="I48" s="232"/>
      <c r="J48" s="232"/>
      <c r="K48" s="232"/>
      <c r="L48" s="232"/>
      <c r="M48" s="233"/>
      <c r="N48" s="232"/>
      <c r="O48" s="232"/>
      <c r="P48" s="232"/>
      <c r="Q48" s="232"/>
      <c r="R48" s="233"/>
      <c r="S48" s="232"/>
      <c r="T48" s="232"/>
      <c r="U48" s="232"/>
      <c r="V48" s="232"/>
      <c r="W48" s="233"/>
      <c r="X48" s="232"/>
      <c r="Y48" s="232"/>
      <c r="Z48" s="232"/>
      <c r="AA48" s="232"/>
      <c r="AB48" s="233"/>
      <c r="AC48" s="232"/>
      <c r="AD48" s="232"/>
      <c r="AE48" s="232"/>
      <c r="AF48" s="232"/>
      <c r="AG48" s="233"/>
      <c r="AH48" s="232"/>
      <c r="AI48" s="232"/>
      <c r="AJ48" s="232"/>
      <c r="AK48" s="232"/>
      <c r="AL48" s="233"/>
      <c r="AM48" s="234"/>
      <c r="AN48" s="234"/>
      <c r="AO48" s="234"/>
      <c r="AP48" s="234"/>
      <c r="AQ48" s="235"/>
      <c r="AR48" s="234"/>
      <c r="AS48" s="234"/>
      <c r="AT48" s="234"/>
      <c r="AU48" s="236"/>
      <c r="AV48" s="237"/>
      <c r="AW48" s="279"/>
      <c r="AX48" s="234"/>
      <c r="AY48" s="234"/>
      <c r="AZ48" s="235"/>
      <c r="BA48" s="237"/>
      <c r="BB48" s="279"/>
      <c r="BC48" s="234"/>
      <c r="BD48" s="234"/>
      <c r="BE48" s="235"/>
      <c r="BF48" s="237"/>
      <c r="BG48" s="279"/>
      <c r="BH48" s="234"/>
      <c r="BI48" s="234"/>
      <c r="BJ48" s="235"/>
      <c r="BK48" s="255"/>
      <c r="BL48" s="255"/>
      <c r="BM48" s="255"/>
      <c r="BN48" s="255"/>
      <c r="BO48" s="256"/>
      <c r="BP48" s="255"/>
      <c r="BQ48" s="255"/>
      <c r="BR48" s="255"/>
      <c r="BS48" s="255"/>
      <c r="BT48" s="256"/>
      <c r="BU48" s="255"/>
      <c r="BV48" s="255"/>
      <c r="BW48" s="255"/>
      <c r="BX48" s="255"/>
      <c r="BY48" s="256"/>
      <c r="BZ48" s="255"/>
      <c r="CA48" s="255"/>
      <c r="CB48" s="255"/>
      <c r="CC48" s="255"/>
      <c r="CD48" s="256"/>
      <c r="CE48" s="257"/>
      <c r="CF48" s="257"/>
      <c r="CG48" s="257"/>
      <c r="CH48" s="257"/>
      <c r="CI48" s="258"/>
      <c r="CJ48" s="257"/>
      <c r="CK48" s="257"/>
      <c r="CL48" s="257"/>
      <c r="CM48" s="257"/>
      <c r="CN48" s="258"/>
      <c r="CO48" s="257"/>
      <c r="CP48" s="257"/>
      <c r="CQ48" s="257"/>
      <c r="CR48" s="257"/>
      <c r="CS48" s="258"/>
      <c r="CT48" s="289">
        <f>CS51</f>
        <v>900</v>
      </c>
      <c r="CU48" s="289">
        <f>CT51</f>
        <v>900</v>
      </c>
      <c r="CV48" s="289">
        <f>CU51</f>
        <v>1041</v>
      </c>
      <c r="CW48" s="289">
        <f>CV51</f>
        <v>1041</v>
      </c>
      <c r="CX48" s="258">
        <f>CS51</f>
        <v>900</v>
      </c>
      <c r="CY48" s="289">
        <f>CX51</f>
        <v>1041</v>
      </c>
      <c r="CZ48" s="289">
        <f>CY51</f>
        <v>1041</v>
      </c>
      <c r="DA48" s="289">
        <f>CZ51</f>
        <v>1041</v>
      </c>
      <c r="DB48" s="289">
        <f>DA51</f>
        <v>1041</v>
      </c>
      <c r="DC48" s="258">
        <f>CX51</f>
        <v>1041</v>
      </c>
      <c r="DD48" s="289">
        <f>DC51</f>
        <v>1041</v>
      </c>
      <c r="DE48" s="289">
        <f>DD51</f>
        <v>1041</v>
      </c>
      <c r="DF48" s="289">
        <f>DE51</f>
        <v>1041</v>
      </c>
      <c r="DG48" s="289">
        <f>DF51</f>
        <v>1041</v>
      </c>
      <c r="DH48" s="258">
        <f>DC51</f>
        <v>1041</v>
      </c>
      <c r="DI48" s="1378">
        <f>DH51</f>
        <v>1041</v>
      </c>
      <c r="DJ48" s="1378">
        <f>DI51</f>
        <v>1041</v>
      </c>
      <c r="DK48" s="1397">
        <f>DJ51</f>
        <v>1041</v>
      </c>
      <c r="DL48" s="1378">
        <f>DK51</f>
        <v>1041</v>
      </c>
      <c r="DM48" s="1380">
        <f>DH51</f>
        <v>1041</v>
      </c>
      <c r="DN48" s="1378">
        <f>DM51</f>
        <v>1041</v>
      </c>
      <c r="DO48" s="1378">
        <f>DN51</f>
        <v>1041</v>
      </c>
      <c r="DP48" s="1378">
        <f>DO51</f>
        <v>1041</v>
      </c>
      <c r="DQ48" s="1378">
        <f>DP51</f>
        <v>1041</v>
      </c>
      <c r="DR48" s="1380">
        <f>DM51</f>
        <v>1041</v>
      </c>
      <c r="DS48" s="1378">
        <f>DR51</f>
        <v>1041</v>
      </c>
      <c r="DT48" s="1378">
        <f>DS51</f>
        <v>1041</v>
      </c>
      <c r="DU48" s="1378">
        <f>DT51</f>
        <v>1041</v>
      </c>
      <c r="DV48" s="1378">
        <f>DU51</f>
        <v>0</v>
      </c>
      <c r="DW48" s="1380">
        <f>DR51</f>
        <v>1041</v>
      </c>
      <c r="DX48" s="1378">
        <f>DW51</f>
        <v>0</v>
      </c>
      <c r="DY48" s="1378">
        <f>DX51</f>
        <v>0</v>
      </c>
      <c r="DZ48" s="1378">
        <f>DY51</f>
        <v>0</v>
      </c>
      <c r="EA48" s="1378">
        <f>DZ51</f>
        <v>0</v>
      </c>
      <c r="EB48" s="1380">
        <f>DW51</f>
        <v>0</v>
      </c>
      <c r="EC48" s="1378">
        <f>EB51</f>
        <v>0</v>
      </c>
      <c r="ED48" s="1378">
        <f>EC51</f>
        <v>0</v>
      </c>
      <c r="EE48" s="1378">
        <f>ED51</f>
        <v>0</v>
      </c>
      <c r="EF48" s="1378">
        <f>EE51</f>
        <v>0</v>
      </c>
      <c r="EG48" s="1380">
        <f>EB51</f>
        <v>0</v>
      </c>
      <c r="EH48" s="1378">
        <f>EG51</f>
        <v>0</v>
      </c>
      <c r="EI48" s="1378">
        <f>EH51</f>
        <v>0</v>
      </c>
      <c r="EJ48" s="1378">
        <f>EI51</f>
        <v>0</v>
      </c>
      <c r="EK48" s="1378">
        <f>EJ51</f>
        <v>0</v>
      </c>
      <c r="EL48" s="1380">
        <f>EG51</f>
        <v>0</v>
      </c>
    </row>
    <row r="49" spans="1:142" hidden="1" outlineLevel="1">
      <c r="A49" s="225"/>
      <c r="B49" s="209" t="s">
        <v>674</v>
      </c>
      <c r="C49" s="232"/>
      <c r="D49" s="232"/>
      <c r="E49" s="232"/>
      <c r="F49" s="232"/>
      <c r="G49" s="232"/>
      <c r="H49" s="233"/>
      <c r="I49" s="232"/>
      <c r="J49" s="232"/>
      <c r="K49" s="232"/>
      <c r="L49" s="232"/>
      <c r="M49" s="233"/>
      <c r="N49" s="232"/>
      <c r="O49" s="232"/>
      <c r="P49" s="232"/>
      <c r="Q49" s="232"/>
      <c r="R49" s="233"/>
      <c r="S49" s="232"/>
      <c r="T49" s="232"/>
      <c r="U49" s="232"/>
      <c r="V49" s="232"/>
      <c r="W49" s="233"/>
      <c r="X49" s="232"/>
      <c r="Y49" s="232"/>
      <c r="Z49" s="232"/>
      <c r="AA49" s="232"/>
      <c r="AB49" s="233"/>
      <c r="AC49" s="232"/>
      <c r="AD49" s="232"/>
      <c r="AE49" s="232"/>
      <c r="AF49" s="232"/>
      <c r="AG49" s="233"/>
      <c r="AH49" s="232"/>
      <c r="AI49" s="232"/>
      <c r="AJ49" s="232"/>
      <c r="AK49" s="232"/>
      <c r="AL49" s="233"/>
      <c r="AM49" s="234"/>
      <c r="AN49" s="234"/>
      <c r="AO49" s="234"/>
      <c r="AP49" s="234"/>
      <c r="AQ49" s="235"/>
      <c r="AR49" s="234"/>
      <c r="AS49" s="234"/>
      <c r="AT49" s="234"/>
      <c r="AU49" s="236"/>
      <c r="AV49" s="237"/>
      <c r="AW49" s="279"/>
      <c r="AX49" s="234"/>
      <c r="AY49" s="234"/>
      <c r="AZ49" s="235"/>
      <c r="BA49" s="237"/>
      <c r="BB49" s="279"/>
      <c r="BC49" s="234"/>
      <c r="BD49" s="234"/>
      <c r="BE49" s="235"/>
      <c r="BF49" s="237"/>
      <c r="BG49" s="279"/>
      <c r="BH49" s="234"/>
      <c r="BI49" s="234"/>
      <c r="BJ49" s="235"/>
      <c r="BK49" s="255"/>
      <c r="BL49" s="255"/>
      <c r="BM49" s="255"/>
      <c r="BN49" s="255"/>
      <c r="BO49" s="256"/>
      <c r="BP49" s="255"/>
      <c r="BQ49" s="255"/>
      <c r="BR49" s="255"/>
      <c r="BS49" s="255"/>
      <c r="BT49" s="256"/>
      <c r="BU49" s="255"/>
      <c r="BV49" s="255"/>
      <c r="BW49" s="255"/>
      <c r="BX49" s="255"/>
      <c r="BY49" s="256"/>
      <c r="BZ49" s="255"/>
      <c r="CA49" s="255"/>
      <c r="CB49" s="255"/>
      <c r="CC49" s="255"/>
      <c r="CD49" s="256"/>
      <c r="CE49" s="257"/>
      <c r="CF49" s="257"/>
      <c r="CG49" s="257"/>
      <c r="CH49" s="257"/>
      <c r="CI49" s="258"/>
      <c r="CJ49" s="257"/>
      <c r="CK49" s="257"/>
      <c r="CL49" s="257"/>
      <c r="CM49" s="257"/>
      <c r="CN49" s="258"/>
      <c r="CO49" s="257"/>
      <c r="CP49" s="257"/>
      <c r="CQ49" s="257"/>
      <c r="CR49" s="257"/>
      <c r="CS49" s="258"/>
      <c r="CT49" s="289"/>
      <c r="CU49" s="289"/>
      <c r="CV49" s="289"/>
      <c r="CW49" s="289"/>
      <c r="CX49" s="258"/>
      <c r="CY49" s="289"/>
      <c r="CZ49" s="289"/>
      <c r="DA49" s="289"/>
      <c r="DB49" s="289"/>
      <c r="DC49" s="258"/>
      <c r="DD49" s="289"/>
      <c r="DE49" s="289"/>
      <c r="DF49" s="289"/>
      <c r="DG49" s="289"/>
      <c r="DH49" s="258"/>
      <c r="DI49" s="1378">
        <v>0</v>
      </c>
      <c r="DJ49" s="1378">
        <v>0</v>
      </c>
      <c r="DK49" s="1378">
        <v>0</v>
      </c>
      <c r="DL49" s="1378">
        <v>0</v>
      </c>
      <c r="DM49" s="1380">
        <f>SUM(DI49:DL49)</f>
        <v>0</v>
      </c>
      <c r="DN49" s="1378">
        <v>0</v>
      </c>
      <c r="DO49" s="1378">
        <v>0</v>
      </c>
      <c r="DP49" s="1378">
        <v>0</v>
      </c>
      <c r="DQ49" s="1378">
        <v>0</v>
      </c>
      <c r="DR49" s="1380">
        <f>SUM(DN49:DQ49)</f>
        <v>0</v>
      </c>
      <c r="DS49" s="1378"/>
      <c r="DT49" s="1378"/>
      <c r="DU49" s="1378">
        <v>0</v>
      </c>
      <c r="DV49" s="1378">
        <v>0</v>
      </c>
      <c r="DW49" s="1380">
        <f>SUM(DS49:DV49)</f>
        <v>0</v>
      </c>
      <c r="DX49" s="1378">
        <v>0</v>
      </c>
      <c r="DY49" s="1378">
        <v>0</v>
      </c>
      <c r="DZ49" s="1378">
        <v>0</v>
      </c>
      <c r="EA49" s="1378">
        <v>0</v>
      </c>
      <c r="EB49" s="1380">
        <f>SUM(DX49:EA49)</f>
        <v>0</v>
      </c>
      <c r="EC49" s="1378">
        <v>0</v>
      </c>
      <c r="ED49" s="1378">
        <v>0</v>
      </c>
      <c r="EE49" s="1378">
        <v>0</v>
      </c>
      <c r="EF49" s="1378">
        <v>0</v>
      </c>
      <c r="EG49" s="1380">
        <f>SUM(EC49:EF49)</f>
        <v>0</v>
      </c>
      <c r="EH49" s="1378">
        <v>0</v>
      </c>
      <c r="EI49" s="1378">
        <v>0</v>
      </c>
      <c r="EJ49" s="1378">
        <v>0</v>
      </c>
      <c r="EK49" s="1378">
        <v>0</v>
      </c>
      <c r="EL49" s="1380">
        <f>SUM(EH49:EK49)</f>
        <v>0</v>
      </c>
    </row>
    <row r="50" spans="1:142" hidden="1" outlineLevel="1">
      <c r="A50" s="225"/>
      <c r="B50" s="214" t="s">
        <v>675</v>
      </c>
      <c r="C50" s="48"/>
      <c r="D50" s="48"/>
      <c r="E50" s="48"/>
      <c r="F50" s="48"/>
      <c r="G50" s="48"/>
      <c r="H50" s="64"/>
      <c r="I50" s="48"/>
      <c r="J50" s="48"/>
      <c r="K50" s="48"/>
      <c r="L50" s="48"/>
      <c r="M50" s="64"/>
      <c r="N50" s="48"/>
      <c r="O50" s="48"/>
      <c r="P50" s="48"/>
      <c r="Q50" s="48"/>
      <c r="R50" s="64"/>
      <c r="S50" s="48"/>
      <c r="T50" s="48"/>
      <c r="U50" s="48"/>
      <c r="V50" s="48"/>
      <c r="W50" s="64"/>
      <c r="X50" s="48"/>
      <c r="Y50" s="48"/>
      <c r="Z50" s="48"/>
      <c r="AA50" s="48"/>
      <c r="AB50" s="64"/>
      <c r="AC50" s="48"/>
      <c r="AD50" s="48"/>
      <c r="AE50" s="48"/>
      <c r="AF50" s="48"/>
      <c r="AG50" s="64"/>
      <c r="AH50" s="48"/>
      <c r="AI50" s="48"/>
      <c r="AJ50" s="48"/>
      <c r="AK50" s="48"/>
      <c r="AL50" s="64"/>
      <c r="AM50" s="48"/>
      <c r="AN50" s="48"/>
      <c r="AO50" s="48"/>
      <c r="AP50" s="48"/>
      <c r="AQ50" s="64"/>
      <c r="AR50" s="48"/>
      <c r="AS50" s="48"/>
      <c r="AT50" s="48"/>
      <c r="AU50" s="217"/>
      <c r="AV50" s="48"/>
      <c r="AW50" s="48"/>
      <c r="AX50" s="48"/>
      <c r="AY50" s="48"/>
      <c r="AZ50" s="64"/>
      <c r="BA50" s="48"/>
      <c r="BB50" s="48"/>
      <c r="BC50" s="48"/>
      <c r="BD50" s="48"/>
      <c r="BE50" s="64"/>
      <c r="BF50" s="48"/>
      <c r="BG50" s="48"/>
      <c r="BH50" s="48"/>
      <c r="BI50" s="48"/>
      <c r="BJ50" s="64"/>
      <c r="BK50" s="48"/>
      <c r="BL50" s="48"/>
      <c r="BM50" s="262"/>
      <c r="BN50" s="48"/>
      <c r="BO50" s="263"/>
      <c r="BP50" s="48"/>
      <c r="BQ50" s="48"/>
      <c r="BR50" s="262"/>
      <c r="BS50" s="48"/>
      <c r="BT50" s="263"/>
      <c r="BU50" s="48"/>
      <c r="BV50" s="48"/>
      <c r="BW50" s="262"/>
      <c r="BX50" s="48"/>
      <c r="BY50" s="263"/>
      <c r="BZ50" s="48"/>
      <c r="CA50" s="48"/>
      <c r="CB50" s="262"/>
      <c r="CC50" s="48"/>
      <c r="CD50" s="263"/>
      <c r="CE50" s="174"/>
      <c r="CF50" s="174"/>
      <c r="CG50" s="174"/>
      <c r="CH50" s="174"/>
      <c r="CI50" s="263"/>
      <c r="CJ50" s="174"/>
      <c r="CK50" s="174"/>
      <c r="CL50" s="174"/>
      <c r="CM50" s="174"/>
      <c r="CN50" s="263"/>
      <c r="CO50" s="174"/>
      <c r="CP50" s="174"/>
      <c r="CQ50" s="174"/>
      <c r="CR50" s="174"/>
      <c r="CS50" s="263"/>
      <c r="CT50" s="174">
        <f>+CT51-CT48</f>
        <v>0</v>
      </c>
      <c r="CU50" s="174">
        <f>+CU51-CU48</f>
        <v>141</v>
      </c>
      <c r="CV50" s="174">
        <f>+CV51-CV48</f>
        <v>0</v>
      </c>
      <c r="CW50" s="174">
        <f>+CW51-CW48</f>
        <v>0</v>
      </c>
      <c r="CX50" s="263">
        <f>SUM(CT50:CW50)</f>
        <v>141</v>
      </c>
      <c r="CY50" s="174">
        <f>+CY51-CY48</f>
        <v>0</v>
      </c>
      <c r="CZ50" s="174">
        <f>+CZ51-CZ48</f>
        <v>0</v>
      </c>
      <c r="DA50" s="174">
        <v>0</v>
      </c>
      <c r="DB50" s="174">
        <v>0</v>
      </c>
      <c r="DC50" s="263">
        <f>SUM(CY50:DB50)</f>
        <v>0</v>
      </c>
      <c r="DD50" s="174">
        <f>+DD51-DD48</f>
        <v>0</v>
      </c>
      <c r="DE50" s="174">
        <f>+DE51-DE48</f>
        <v>0</v>
      </c>
      <c r="DF50" s="174">
        <f>+DF51-DF48</f>
        <v>0</v>
      </c>
      <c r="DG50" s="174">
        <f>+DG51-DG48</f>
        <v>0</v>
      </c>
      <c r="DH50" s="263">
        <f>SUM(DD50:DG50)</f>
        <v>0</v>
      </c>
      <c r="DI50" s="1379">
        <v>0</v>
      </c>
      <c r="DJ50" s="1379">
        <v>0</v>
      </c>
      <c r="DK50" s="1379">
        <v>0</v>
      </c>
      <c r="DL50" s="1379">
        <v>0</v>
      </c>
      <c r="DM50" s="1381">
        <f>SUM(DI50:DL50)</f>
        <v>0</v>
      </c>
      <c r="DN50" s="1379">
        <v>0</v>
      </c>
      <c r="DO50" s="1379">
        <v>0</v>
      </c>
      <c r="DP50" s="1379">
        <v>0</v>
      </c>
      <c r="DQ50" s="1379">
        <v>0</v>
      </c>
      <c r="DR50" s="1381">
        <f>SUM(DN50:DQ50)</f>
        <v>0</v>
      </c>
      <c r="DS50" s="1379">
        <v>0</v>
      </c>
      <c r="DT50" s="1470">
        <v>0</v>
      </c>
      <c r="DU50" s="1557">
        <v>-1041</v>
      </c>
      <c r="DV50" s="1379">
        <v>0</v>
      </c>
      <c r="DW50" s="1381">
        <f>SUM(DS50:DV50)</f>
        <v>-1041</v>
      </c>
      <c r="DX50" s="1379">
        <v>0</v>
      </c>
      <c r="DY50" s="1379">
        <v>0</v>
      </c>
      <c r="DZ50" s="1379">
        <v>0</v>
      </c>
      <c r="EA50" s="1379">
        <v>0</v>
      </c>
      <c r="EB50" s="1381">
        <f>SUM(DX50:EA50)</f>
        <v>0</v>
      </c>
      <c r="EC50" s="1379">
        <v>0</v>
      </c>
      <c r="ED50" s="1379">
        <v>0</v>
      </c>
      <c r="EE50" s="1379">
        <v>0</v>
      </c>
      <c r="EF50" s="1379">
        <v>0</v>
      </c>
      <c r="EG50" s="1381">
        <f>SUM(EC50:EF50)</f>
        <v>0</v>
      </c>
      <c r="EH50" s="1379">
        <v>0</v>
      </c>
      <c r="EI50" s="1379">
        <v>0</v>
      </c>
      <c r="EJ50" s="1379">
        <v>0</v>
      </c>
      <c r="EK50" s="1379">
        <v>0</v>
      </c>
      <c r="EL50" s="1381">
        <f>SUM(EH50:EK50)</f>
        <v>0</v>
      </c>
    </row>
    <row r="51" spans="1:142" hidden="1" outlineLevel="1">
      <c r="A51" s="225"/>
      <c r="B51" s="209" t="s">
        <v>299</v>
      </c>
      <c r="C51" s="9"/>
      <c r="D51" s="9"/>
      <c r="E51" s="9"/>
      <c r="F51" s="9"/>
      <c r="G51" s="9"/>
      <c r="H51" s="63"/>
      <c r="I51" s="9"/>
      <c r="J51" s="9"/>
      <c r="K51" s="9"/>
      <c r="L51" s="9"/>
      <c r="M51" s="63"/>
      <c r="N51" s="9"/>
      <c r="O51" s="9"/>
      <c r="P51" s="9"/>
      <c r="Q51" s="9"/>
      <c r="R51" s="63"/>
      <c r="S51" s="9"/>
      <c r="T51" s="9"/>
      <c r="U51" s="9"/>
      <c r="V51" s="9"/>
      <c r="W51" s="63"/>
      <c r="X51" s="9"/>
      <c r="Y51" s="9"/>
      <c r="Z51" s="9"/>
      <c r="AA51" s="9"/>
      <c r="AB51" s="63"/>
      <c r="AC51" s="9"/>
      <c r="AD51" s="9"/>
      <c r="AE51" s="9"/>
      <c r="AF51" s="9"/>
      <c r="AG51" s="63"/>
      <c r="AH51" s="9"/>
      <c r="AI51" s="9"/>
      <c r="AJ51" s="9"/>
      <c r="AK51" s="9"/>
      <c r="AL51" s="63"/>
      <c r="AM51" s="9"/>
      <c r="AN51" s="9"/>
      <c r="AO51" s="9"/>
      <c r="AP51" s="9"/>
      <c r="AQ51" s="47"/>
      <c r="AR51" s="9"/>
      <c r="AS51" s="9"/>
      <c r="AT51" s="9"/>
      <c r="AU51" s="186"/>
      <c r="AV51" s="9"/>
      <c r="AW51" s="9"/>
      <c r="AX51" s="9"/>
      <c r="AY51" s="9"/>
      <c r="AZ51" s="47"/>
      <c r="BA51" s="26"/>
      <c r="BB51" s="282"/>
      <c r="BC51" s="282"/>
      <c r="BD51" s="282"/>
      <c r="BE51" s="47"/>
      <c r="BF51" s="26"/>
      <c r="BG51" s="282"/>
      <c r="BH51" s="282"/>
      <c r="BI51" s="282"/>
      <c r="BJ51" s="47"/>
      <c r="BK51" s="146"/>
      <c r="BL51" s="162"/>
      <c r="BM51" s="162"/>
      <c r="BN51" s="162"/>
      <c r="BO51" s="266"/>
      <c r="BP51" s="146"/>
      <c r="BQ51" s="162"/>
      <c r="BR51" s="162"/>
      <c r="BS51" s="162"/>
      <c r="BT51" s="266"/>
      <c r="BU51" s="146"/>
      <c r="BV51" s="162"/>
      <c r="BW51" s="162"/>
      <c r="BX51" s="162"/>
      <c r="BY51" s="266"/>
      <c r="BZ51" s="146"/>
      <c r="CA51" s="162"/>
      <c r="CB51" s="162"/>
      <c r="CC51" s="162"/>
      <c r="CD51" s="266"/>
      <c r="CE51" s="267"/>
      <c r="CF51" s="267"/>
      <c r="CG51" s="267"/>
      <c r="CH51" s="267"/>
      <c r="CI51" s="170"/>
      <c r="CJ51" s="267"/>
      <c r="CK51" s="267"/>
      <c r="CL51" s="267"/>
      <c r="CM51" s="267"/>
      <c r="CN51" s="170"/>
      <c r="CO51" s="267"/>
      <c r="CP51" s="267"/>
      <c r="CQ51" s="267"/>
      <c r="CR51" s="166">
        <v>900</v>
      </c>
      <c r="CS51" s="170">
        <f>CR51</f>
        <v>900</v>
      </c>
      <c r="CT51" s="166">
        <v>900</v>
      </c>
      <c r="CU51" s="166">
        <v>1041</v>
      </c>
      <c r="CV51" s="166">
        <v>1041</v>
      </c>
      <c r="CW51" s="166">
        <v>1041</v>
      </c>
      <c r="CX51" s="170">
        <f>CW51</f>
        <v>1041</v>
      </c>
      <c r="CY51" s="166">
        <v>1041</v>
      </c>
      <c r="CZ51" s="166">
        <v>1041</v>
      </c>
      <c r="DA51" s="333">
        <v>1041</v>
      </c>
      <c r="DB51" s="269">
        <v>1041</v>
      </c>
      <c r="DC51" s="170">
        <f>DB51</f>
        <v>1041</v>
      </c>
      <c r="DD51" s="166">
        <v>1041</v>
      </c>
      <c r="DE51" s="269">
        <v>1041</v>
      </c>
      <c r="DF51" s="269">
        <v>1041</v>
      </c>
      <c r="DG51" s="269">
        <v>1041</v>
      </c>
      <c r="DH51" s="170">
        <f>DG51</f>
        <v>1041</v>
      </c>
      <c r="DI51" s="1399">
        <v>1041</v>
      </c>
      <c r="DJ51" s="539">
        <f>SUM(DJ48:DJ50)</f>
        <v>1041</v>
      </c>
      <c r="DK51" s="539">
        <f>SUM(DK48:DK50)</f>
        <v>1041</v>
      </c>
      <c r="DL51" s="539">
        <f>SUM(DL48:DL50)</f>
        <v>1041</v>
      </c>
      <c r="DM51" s="1380">
        <f>DL51</f>
        <v>1041</v>
      </c>
      <c r="DN51" s="539">
        <f>SUM(DN48:DN50)</f>
        <v>1041</v>
      </c>
      <c r="DO51" s="539">
        <f>SUM(DO48:DO50)</f>
        <v>1041</v>
      </c>
      <c r="DP51" s="1401">
        <f>SUM(DP48:DP50)</f>
        <v>1041</v>
      </c>
      <c r="DQ51" s="1400">
        <f>DP51</f>
        <v>1041</v>
      </c>
      <c r="DR51" s="1380">
        <f>DQ51</f>
        <v>1041</v>
      </c>
      <c r="DS51" s="539">
        <f>SUM(DS48:DS50)</f>
        <v>1041</v>
      </c>
      <c r="DT51" s="1378">
        <f>SUM(DT48:DT50)</f>
        <v>1041</v>
      </c>
      <c r="DU51" s="1378">
        <f>SUM(DU48:DU50)</f>
        <v>0</v>
      </c>
      <c r="DV51" s="1378">
        <f>SUM(DV48:DV50)</f>
        <v>0</v>
      </c>
      <c r="DW51" s="1380">
        <f>DV51</f>
        <v>0</v>
      </c>
      <c r="DX51" s="1378">
        <f>SUM(DX48:DX50)</f>
        <v>0</v>
      </c>
      <c r="DY51" s="1378">
        <f>SUM(DY48:DY50)</f>
        <v>0</v>
      </c>
      <c r="DZ51" s="1378">
        <f>SUM(DZ48:DZ50)</f>
        <v>0</v>
      </c>
      <c r="EA51" s="1378">
        <f>SUM(EA48:EA50)</f>
        <v>0</v>
      </c>
      <c r="EB51" s="1380">
        <f>EA51</f>
        <v>0</v>
      </c>
      <c r="EC51" s="1378">
        <f>SUM(EC48:EC50)</f>
        <v>0</v>
      </c>
      <c r="ED51" s="1378">
        <f>SUM(ED48:ED50)</f>
        <v>0</v>
      </c>
      <c r="EE51" s="1378">
        <f>SUM(EE48:EE50)</f>
        <v>0</v>
      </c>
      <c r="EF51" s="1378">
        <f>SUM(EF48:EF50)</f>
        <v>0</v>
      </c>
      <c r="EG51" s="1380">
        <f>EF51</f>
        <v>0</v>
      </c>
      <c r="EH51" s="1378">
        <f>SUM(EH48:EH50)</f>
        <v>0</v>
      </c>
      <c r="EI51" s="1378">
        <f>SUM(EI48:EI50)</f>
        <v>0</v>
      </c>
      <c r="EJ51" s="1378">
        <f>SUM(EJ48:EJ50)</f>
        <v>0</v>
      </c>
      <c r="EK51" s="1378">
        <f>SUM(EK48:EK50)</f>
        <v>0</v>
      </c>
      <c r="EL51" s="1380">
        <f>EK51</f>
        <v>0</v>
      </c>
    </row>
    <row r="52" spans="1:142" hidden="1" outlineLevel="1">
      <c r="A52" s="225"/>
      <c r="B52" s="214" t="s">
        <v>300</v>
      </c>
      <c r="C52" s="48"/>
      <c r="D52" s="48"/>
      <c r="E52" s="48"/>
      <c r="F52" s="48"/>
      <c r="G52" s="48"/>
      <c r="H52" s="64"/>
      <c r="I52" s="48"/>
      <c r="J52" s="48"/>
      <c r="K52" s="48"/>
      <c r="L52" s="48"/>
      <c r="M52" s="64"/>
      <c r="N52" s="48"/>
      <c r="O52" s="48"/>
      <c r="P52" s="48"/>
      <c r="Q52" s="48"/>
      <c r="R52" s="64"/>
      <c r="S52" s="48"/>
      <c r="T52" s="48"/>
      <c r="U52" s="48"/>
      <c r="V52" s="48"/>
      <c r="W52" s="64"/>
      <c r="X52" s="48"/>
      <c r="Y52" s="48"/>
      <c r="Z52" s="48"/>
      <c r="AA52" s="48"/>
      <c r="AB52" s="64"/>
      <c r="AC52" s="48"/>
      <c r="AD52" s="48"/>
      <c r="AE52" s="48"/>
      <c r="AF52" s="48"/>
      <c r="AG52" s="64"/>
      <c r="AH52" s="48"/>
      <c r="AI52" s="48"/>
      <c r="AJ52" s="48"/>
      <c r="AK52" s="48"/>
      <c r="AL52" s="64"/>
      <c r="AM52" s="48"/>
      <c r="AN52" s="48"/>
      <c r="AO52" s="48"/>
      <c r="AP52" s="48"/>
      <c r="AQ52" s="52"/>
      <c r="AR52" s="48"/>
      <c r="AS52" s="48"/>
      <c r="AT52" s="48"/>
      <c r="AU52" s="217"/>
      <c r="AV52" s="48"/>
      <c r="AW52" s="48"/>
      <c r="AX52" s="48"/>
      <c r="AY52" s="48"/>
      <c r="AZ52" s="52"/>
      <c r="BA52" s="287"/>
      <c r="BB52" s="51"/>
      <c r="BC52" s="51"/>
      <c r="BD52" s="287"/>
      <c r="BE52" s="52"/>
      <c r="BF52" s="287"/>
      <c r="BG52" s="51"/>
      <c r="BH52" s="287"/>
      <c r="BI52" s="287"/>
      <c r="BJ52" s="52"/>
      <c r="BK52" s="215"/>
      <c r="BL52" s="215"/>
      <c r="BM52" s="275"/>
      <c r="BN52" s="215"/>
      <c r="BO52" s="263"/>
      <c r="BP52" s="215"/>
      <c r="BQ52" s="215"/>
      <c r="BR52" s="275"/>
      <c r="BS52" s="215"/>
      <c r="BT52" s="263"/>
      <c r="BU52" s="215"/>
      <c r="BV52" s="215"/>
      <c r="BW52" s="275"/>
      <c r="BX52" s="215"/>
      <c r="BY52" s="263"/>
      <c r="BZ52" s="215"/>
      <c r="CA52" s="215"/>
      <c r="CB52" s="275"/>
      <c r="CC52" s="215"/>
      <c r="CD52" s="263"/>
      <c r="CE52" s="276"/>
      <c r="CF52" s="276"/>
      <c r="CG52" s="276"/>
      <c r="CH52" s="276"/>
      <c r="CI52" s="263"/>
      <c r="CJ52" s="276"/>
      <c r="CK52" s="276"/>
      <c r="CL52" s="276"/>
      <c r="CM52" s="276"/>
      <c r="CN52" s="263"/>
      <c r="CO52" s="276"/>
      <c r="CP52" s="276"/>
      <c r="CQ52" s="276"/>
      <c r="CR52" s="276">
        <f>CR47/4*AVERAGE(CR51,CR48)</f>
        <v>14.0625</v>
      </c>
      <c r="CS52" s="263"/>
      <c r="CT52" s="276">
        <f>CT47/4*AVERAGE(CT51,CT48)</f>
        <v>14.0625</v>
      </c>
      <c r="CU52" s="276">
        <f>CU47/4*AVERAGE(CU51,CU48)</f>
        <v>15.1640625</v>
      </c>
      <c r="CV52" s="276">
        <f>CV47/4*AVERAGE(CV51,CV48)</f>
        <v>16.265625</v>
      </c>
      <c r="CW52" s="276">
        <f>CW47/4*AVERAGE(CW51,CW48)</f>
        <v>16.265625</v>
      </c>
      <c r="CX52" s="263">
        <f>SUM(CT52:CW52)</f>
        <v>61.7578125</v>
      </c>
      <c r="CY52" s="276">
        <f>CY47/4*AVERAGE(CY51,CY48)</f>
        <v>16.265625</v>
      </c>
      <c r="CZ52" s="276">
        <f>CZ47/4*AVERAGE(CZ51,CZ48)</f>
        <v>16.265625</v>
      </c>
      <c r="DA52" s="276">
        <f>DA47/4*AVERAGE(DA51,DA48)</f>
        <v>16.265625</v>
      </c>
      <c r="DB52" s="276">
        <f>DB47/4*AVERAGE(DB51,DB48)</f>
        <v>16.265625</v>
      </c>
      <c r="DC52" s="263">
        <f>SUM(CY52:DB52)</f>
        <v>65.0625</v>
      </c>
      <c r="DD52" s="276">
        <f>DD47/4*AVERAGE(DD51,DD48)</f>
        <v>16.265625</v>
      </c>
      <c r="DE52" s="276">
        <f>DE47/4*AVERAGE(DE51,DE48)</f>
        <v>16.265625</v>
      </c>
      <c r="DF52" s="276">
        <f>DF47/4*AVERAGE(DF51,DF48)</f>
        <v>16.265625</v>
      </c>
      <c r="DG52" s="276">
        <f>DG47/4*AVERAGE(DG51,DG48)</f>
        <v>16.265625</v>
      </c>
      <c r="DH52" s="263">
        <f>SUM(DD52:DG52)</f>
        <v>65.0625</v>
      </c>
      <c r="DI52" s="1398">
        <f>DI47/4*AVERAGE(DI51,DI48)</f>
        <v>16.265625</v>
      </c>
      <c r="DJ52" s="1398">
        <f>DJ47/4*AVERAGE(DJ51,DJ48)</f>
        <v>16.265625</v>
      </c>
      <c r="DK52" s="1398">
        <f>DK47/4*AVERAGE(DK51,DK48)</f>
        <v>16.265625</v>
      </c>
      <c r="DL52" s="1398">
        <f>DL47/4*AVERAGE(DL51,DL48)</f>
        <v>16.265625</v>
      </c>
      <c r="DM52" s="1381">
        <f>SUM(DI52:DL52)</f>
        <v>65.0625</v>
      </c>
      <c r="DN52" s="1398">
        <f>DN47/4*AVERAGE(DN51,DN48)</f>
        <v>16.265625</v>
      </c>
      <c r="DO52" s="1398">
        <f>DO47/4*AVERAGE(DO51,DO48)</f>
        <v>16.265625</v>
      </c>
      <c r="DP52" s="1398">
        <f>DP47/4*AVERAGE(DP51,DP48)</f>
        <v>16.265625</v>
      </c>
      <c r="DQ52" s="1398">
        <f>DQ47/4*AVERAGE(DQ51,DQ48)</f>
        <v>16.265625</v>
      </c>
      <c r="DR52" s="1381">
        <f>SUM(DN52:DQ52)</f>
        <v>65.0625</v>
      </c>
      <c r="DS52" s="1398">
        <f>DS47/4*AVERAGE(DS51,DS48)</f>
        <v>16.265625</v>
      </c>
      <c r="DT52" s="1398">
        <f>DT47/4*AVERAGE(DT51,DT48)</f>
        <v>16.265625</v>
      </c>
      <c r="DU52" s="1398">
        <f>DU47/4*AVERAGE(DU51,DU48)</f>
        <v>8.1328125</v>
      </c>
      <c r="DV52" s="1398">
        <f>DV47/4*AVERAGE(DV51,DV48)</f>
        <v>0</v>
      </c>
      <c r="DW52" s="1381">
        <f>SUM(DS52:DV52)</f>
        <v>40.6640625</v>
      </c>
      <c r="DX52" s="1398">
        <f>DX47/4*AVERAGE(DX51,DX48)</f>
        <v>0</v>
      </c>
      <c r="DY52" s="1398">
        <f>DY47/4*AVERAGE(DY51,DY48)</f>
        <v>0</v>
      </c>
      <c r="DZ52" s="1398">
        <f>DZ47/4*AVERAGE(DZ51,DZ48)</f>
        <v>0</v>
      </c>
      <c r="EA52" s="1398">
        <f>EA47/4*AVERAGE(EA51,EA48)</f>
        <v>0</v>
      </c>
      <c r="EB52" s="1381">
        <f>SUM(DX52:EA52)</f>
        <v>0</v>
      </c>
      <c r="EC52" s="1398">
        <f>EC47/4*AVERAGE(EC51,EC48)</f>
        <v>0</v>
      </c>
      <c r="ED52" s="1398">
        <f>ED47/4*AVERAGE(ED51,ED48)</f>
        <v>0</v>
      </c>
      <c r="EE52" s="1398">
        <f>EE47/4*AVERAGE(EE51,EE48)</f>
        <v>0</v>
      </c>
      <c r="EF52" s="1398">
        <f>EF47/4*AVERAGE(EF51,EF48)</f>
        <v>0</v>
      </c>
      <c r="EG52" s="1381">
        <f>SUM(EC52:EF52)</f>
        <v>0</v>
      </c>
      <c r="EH52" s="1398">
        <f>EH47/4*AVERAGE(EH51,EH48)</f>
        <v>0</v>
      </c>
      <c r="EI52" s="1398">
        <f>EI47/4*AVERAGE(EI51,EI48)</f>
        <v>0</v>
      </c>
      <c r="EJ52" s="1398">
        <f>EJ47/4*AVERAGE(EJ51,EJ48)</f>
        <v>0</v>
      </c>
      <c r="EK52" s="1398">
        <f>EK47/4*AVERAGE(EK51,EK48)</f>
        <v>0</v>
      </c>
      <c r="EL52" s="1381">
        <f>SUM(EH52:EK52)</f>
        <v>0</v>
      </c>
    </row>
    <row r="53" spans="1:142" hidden="1" outlineLevel="1">
      <c r="A53" s="277"/>
      <c r="B53" s="1326"/>
      <c r="C53" s="9"/>
      <c r="D53" s="9"/>
      <c r="E53" s="9"/>
      <c r="F53" s="9"/>
      <c r="G53" s="9"/>
      <c r="H53" s="63"/>
      <c r="I53" s="9"/>
      <c r="J53" s="9"/>
      <c r="K53" s="9"/>
      <c r="L53" s="9"/>
      <c r="M53" s="63"/>
      <c r="N53" s="9"/>
      <c r="O53" s="9"/>
      <c r="P53" s="9"/>
      <c r="Q53" s="9"/>
      <c r="R53" s="63"/>
      <c r="S53" s="9"/>
      <c r="T53" s="9"/>
      <c r="U53" s="9"/>
      <c r="V53" s="9"/>
      <c r="W53" s="63"/>
      <c r="X53" s="9"/>
      <c r="Y53" s="9"/>
      <c r="Z53" s="9"/>
      <c r="AA53" s="9"/>
      <c r="AB53" s="63"/>
      <c r="AC53" s="9"/>
      <c r="AD53" s="9"/>
      <c r="AE53" s="9"/>
      <c r="AF53" s="9"/>
      <c r="AG53" s="63"/>
      <c r="AH53" s="9"/>
      <c r="AI53" s="9"/>
      <c r="AJ53" s="9"/>
      <c r="AK53" s="9"/>
      <c r="AL53" s="63"/>
      <c r="AM53" s="53"/>
      <c r="AN53" s="53"/>
      <c r="AO53" s="53"/>
      <c r="AP53" s="53"/>
      <c r="AQ53" s="28"/>
      <c r="AR53" s="53"/>
      <c r="AS53" s="53"/>
      <c r="AT53" s="53"/>
      <c r="AU53" s="186"/>
      <c r="AV53" s="240"/>
      <c r="AW53" s="240"/>
      <c r="AX53" s="240"/>
      <c r="AY53" s="240"/>
      <c r="AZ53" s="241"/>
      <c r="BA53" s="240"/>
      <c r="BB53" s="240"/>
      <c r="BC53" s="240"/>
      <c r="BD53" s="240"/>
      <c r="BE53" s="241"/>
      <c r="BF53" s="240"/>
      <c r="BG53" s="240"/>
      <c r="BH53" s="240"/>
      <c r="BI53" s="240"/>
      <c r="BJ53" s="241"/>
      <c r="BK53" s="171"/>
      <c r="BL53" s="171"/>
      <c r="BM53" s="171"/>
      <c r="BN53" s="171"/>
      <c r="BO53" s="193"/>
      <c r="BP53" s="171"/>
      <c r="BQ53" s="171"/>
      <c r="BR53" s="171"/>
      <c r="BS53" s="171"/>
      <c r="BT53" s="193"/>
      <c r="BU53" s="171"/>
      <c r="BV53" s="171"/>
      <c r="BW53" s="171"/>
      <c r="BX53" s="171"/>
      <c r="BY53" s="193"/>
      <c r="BZ53" s="171"/>
      <c r="CA53" s="171"/>
      <c r="CB53" s="171"/>
      <c r="CC53" s="171"/>
      <c r="CD53" s="193"/>
      <c r="CE53" s="171"/>
      <c r="CF53" s="171"/>
      <c r="CG53" s="171"/>
      <c r="CH53" s="171"/>
      <c r="CI53" s="193"/>
      <c r="CJ53" s="171"/>
      <c r="CK53" s="171"/>
      <c r="CL53" s="171"/>
      <c r="CM53" s="171"/>
      <c r="CN53" s="193"/>
      <c r="CO53" s="171"/>
      <c r="CP53" s="171"/>
      <c r="CQ53" s="171"/>
      <c r="CR53" s="171"/>
      <c r="CS53" s="193"/>
      <c r="CT53" s="210"/>
      <c r="CU53" s="53"/>
      <c r="CV53" s="53"/>
      <c r="CW53" s="53"/>
      <c r="CX53" s="28"/>
      <c r="CY53" s="53"/>
      <c r="CZ53" s="53"/>
      <c r="DA53" s="53"/>
      <c r="DB53" s="53"/>
      <c r="DC53" s="28"/>
      <c r="DD53" s="53"/>
      <c r="DE53" s="53"/>
      <c r="DF53" s="53"/>
      <c r="DG53" s="53"/>
      <c r="DH53" s="28"/>
      <c r="DI53" s="53"/>
      <c r="DJ53" s="53"/>
      <c r="DK53" s="53"/>
      <c r="DL53" s="53"/>
      <c r="DM53" s="53"/>
      <c r="DN53" s="53"/>
      <c r="DO53" s="53"/>
      <c r="DP53" s="53"/>
      <c r="DQ53" s="53"/>
      <c r="DR53" s="53"/>
      <c r="DS53" s="53"/>
      <c r="DT53" s="53"/>
      <c r="DU53" s="53"/>
      <c r="DV53" s="53"/>
      <c r="DW53" s="53"/>
      <c r="DX53" s="53"/>
      <c r="DY53" s="53"/>
      <c r="DZ53" s="53"/>
      <c r="EA53" s="53"/>
      <c r="EB53" s="53"/>
      <c r="EC53" s="53"/>
      <c r="ED53" s="53"/>
      <c r="EE53" s="53"/>
      <c r="EF53" s="53"/>
      <c r="EG53" s="53"/>
      <c r="EH53" s="53"/>
      <c r="EI53" s="53"/>
      <c r="EJ53" s="53"/>
      <c r="EK53" s="53"/>
      <c r="EL53" s="53"/>
    </row>
    <row r="54" spans="1:142" hidden="1" outlineLevel="1">
      <c r="A54" s="277"/>
      <c r="B54" s="1326" t="s">
        <v>672</v>
      </c>
      <c r="C54" s="9"/>
      <c r="D54" s="9"/>
      <c r="E54" s="9"/>
      <c r="F54" s="9"/>
      <c r="G54" s="9"/>
      <c r="H54" s="63"/>
      <c r="I54" s="9"/>
      <c r="J54" s="9"/>
      <c r="K54" s="9"/>
      <c r="L54" s="9"/>
      <c r="M54" s="63"/>
      <c r="N54" s="9"/>
      <c r="O54" s="9"/>
      <c r="P54" s="9"/>
      <c r="Q54" s="9"/>
      <c r="R54" s="63"/>
      <c r="S54" s="9"/>
      <c r="T54" s="9"/>
      <c r="U54" s="9"/>
      <c r="V54" s="9"/>
      <c r="W54" s="63"/>
      <c r="X54" s="9"/>
      <c r="Y54" s="9"/>
      <c r="Z54" s="9"/>
      <c r="AA54" s="9"/>
      <c r="AB54" s="63"/>
      <c r="AC54" s="9"/>
      <c r="AD54" s="9"/>
      <c r="AE54" s="9"/>
      <c r="AF54" s="9"/>
      <c r="AG54" s="63"/>
      <c r="AH54" s="9"/>
      <c r="AI54" s="9"/>
      <c r="AJ54" s="9"/>
      <c r="AK54" s="9"/>
      <c r="AL54" s="63"/>
      <c r="AM54" s="53"/>
      <c r="AN54" s="53"/>
      <c r="AO54" s="53"/>
      <c r="AP54" s="53"/>
      <c r="AQ54" s="28"/>
      <c r="AR54" s="53"/>
      <c r="AS54" s="53"/>
      <c r="AT54" s="53"/>
      <c r="AU54" s="186"/>
      <c r="AV54" s="240"/>
      <c r="AW54" s="240"/>
      <c r="AX54" s="240"/>
      <c r="AY54" s="240"/>
      <c r="AZ54" s="241"/>
      <c r="BA54" s="240"/>
      <c r="BB54" s="240"/>
      <c r="BC54" s="240"/>
      <c r="BD54" s="240"/>
      <c r="BE54" s="241"/>
      <c r="BF54" s="240"/>
      <c r="BG54" s="240"/>
      <c r="BH54" s="240"/>
      <c r="BI54" s="240"/>
      <c r="BJ54" s="241"/>
      <c r="BK54" s="171"/>
      <c r="BL54" s="171"/>
      <c r="BM54" s="171"/>
      <c r="BN54" s="171"/>
      <c r="BO54" s="193"/>
      <c r="BP54" s="171"/>
      <c r="BQ54" s="171"/>
      <c r="BR54" s="171"/>
      <c r="BS54" s="171"/>
      <c r="BT54" s="193"/>
      <c r="BU54" s="171"/>
      <c r="BV54" s="171"/>
      <c r="BW54" s="171"/>
      <c r="BX54" s="171"/>
      <c r="BY54" s="193"/>
      <c r="BZ54" s="171"/>
      <c r="CA54" s="171"/>
      <c r="CB54" s="171"/>
      <c r="CC54" s="171"/>
      <c r="CD54" s="193"/>
      <c r="CE54" s="171"/>
      <c r="CF54" s="171"/>
      <c r="CG54" s="171"/>
      <c r="CH54" s="171"/>
      <c r="CI54" s="193"/>
      <c r="CJ54" s="171"/>
      <c r="CK54" s="171"/>
      <c r="CL54" s="171"/>
      <c r="CM54" s="171"/>
      <c r="CN54" s="193"/>
      <c r="CO54" s="171"/>
      <c r="CP54" s="171"/>
      <c r="CQ54" s="171"/>
      <c r="CR54" s="171"/>
      <c r="CS54" s="193"/>
      <c r="CT54" s="210"/>
      <c r="CU54" s="53"/>
      <c r="CV54" s="53"/>
      <c r="CW54" s="53"/>
      <c r="CX54" s="28"/>
      <c r="CY54" s="53"/>
      <c r="CZ54" s="53"/>
      <c r="DA54" s="53"/>
      <c r="DB54" s="53"/>
      <c r="DC54" s="28"/>
      <c r="DD54" s="53"/>
      <c r="DE54" s="53"/>
      <c r="DF54" s="53"/>
      <c r="DG54" s="53"/>
      <c r="DH54" s="28"/>
      <c r="DI54" s="53"/>
      <c r="DJ54" s="53"/>
      <c r="DK54" s="53"/>
      <c r="DL54" s="53"/>
      <c r="DM54" s="53"/>
      <c r="DN54" s="53"/>
      <c r="DO54" s="53"/>
      <c r="DP54" s="53"/>
      <c r="DQ54" s="53"/>
      <c r="DR54" s="53"/>
      <c r="DS54" s="53"/>
      <c r="DT54" s="739">
        <f>DT42+DT50</f>
        <v>1441</v>
      </c>
      <c r="DU54" s="739">
        <f>DU42+DU50</f>
        <v>1450</v>
      </c>
      <c r="DV54" s="739">
        <f>DV42+DV50</f>
        <v>698</v>
      </c>
      <c r="DW54" s="739"/>
      <c r="DX54" s="739">
        <f>DX42+DX50</f>
        <v>1329.3703581558905</v>
      </c>
      <c r="DY54" s="739">
        <f>DY42+DY50</f>
        <v>1105.3766353546889</v>
      </c>
      <c r="DZ54" s="739">
        <f>DZ42+DZ50</f>
        <v>853.21887238129329</v>
      </c>
      <c r="EA54" s="739">
        <f>EA42+EA50</f>
        <v>1067.7108739845173</v>
      </c>
      <c r="EB54" s="739"/>
      <c r="EC54" s="739">
        <f>EC42+EC50</f>
        <v>376.97417916896063</v>
      </c>
      <c r="ED54" s="739">
        <f>ED42+ED50</f>
        <v>520.54772891988341</v>
      </c>
      <c r="EE54" s="739">
        <f>EE42+EE50</f>
        <v>689.98221824519351</v>
      </c>
      <c r="EF54" s="739">
        <f>EF42+EF50</f>
        <v>714.63062624325505</v>
      </c>
      <c r="EG54" s="739"/>
      <c r="EH54" s="739">
        <f>EH42+EH50</f>
        <v>857.96794350851678</v>
      </c>
      <c r="EI54" s="739">
        <f>EI42+EI50</f>
        <v>802.90493870577018</v>
      </c>
      <c r="EJ54" s="739">
        <f>EJ42+EJ50</f>
        <v>852.42194509847184</v>
      </c>
      <c r="EK54" s="739">
        <f>EK42+EK50</f>
        <v>671.25813137678415</v>
      </c>
      <c r="EL54" s="739"/>
    </row>
    <row r="55" spans="1:142" collapsed="1">
      <c r="A55" s="277"/>
      <c r="B55" s="1326"/>
      <c r="C55" s="9"/>
      <c r="D55" s="9"/>
      <c r="E55" s="9"/>
      <c r="F55" s="9"/>
      <c r="G55" s="9"/>
      <c r="H55" s="63"/>
      <c r="I55" s="9"/>
      <c r="J55" s="9"/>
      <c r="K55" s="9"/>
      <c r="L55" s="9"/>
      <c r="M55" s="63"/>
      <c r="N55" s="9"/>
      <c r="O55" s="9"/>
      <c r="P55" s="9"/>
      <c r="Q55" s="9"/>
      <c r="R55" s="63"/>
      <c r="S55" s="9"/>
      <c r="T55" s="9"/>
      <c r="U55" s="9"/>
      <c r="V55" s="9"/>
      <c r="W55" s="63"/>
      <c r="X55" s="9"/>
      <c r="Y55" s="9"/>
      <c r="Z55" s="9"/>
      <c r="AA55" s="9"/>
      <c r="AB55" s="63"/>
      <c r="AC55" s="9"/>
      <c r="AD55" s="9"/>
      <c r="AE55" s="9"/>
      <c r="AF55" s="9"/>
      <c r="AG55" s="63"/>
      <c r="AH55" s="9"/>
      <c r="AI55" s="9"/>
      <c r="AJ55" s="9"/>
      <c r="AK55" s="9"/>
      <c r="AL55" s="63"/>
      <c r="AM55" s="53"/>
      <c r="AN55" s="53"/>
      <c r="AO55" s="53"/>
      <c r="AP55" s="53"/>
      <c r="AQ55" s="28"/>
      <c r="AR55" s="53"/>
      <c r="AS55" s="53"/>
      <c r="AT55" s="53"/>
      <c r="AU55" s="186"/>
      <c r="AV55" s="240"/>
      <c r="AW55" s="240"/>
      <c r="AX55" s="240"/>
      <c r="AY55" s="240"/>
      <c r="AZ55" s="241"/>
      <c r="BA55" s="240"/>
      <c r="BB55" s="240"/>
      <c r="BC55" s="240"/>
      <c r="BD55" s="240"/>
      <c r="BE55" s="241"/>
      <c r="BF55" s="240"/>
      <c r="BG55" s="240"/>
      <c r="BH55" s="240"/>
      <c r="BI55" s="240"/>
      <c r="BJ55" s="241"/>
      <c r="BK55" s="171"/>
      <c r="BL55" s="171"/>
      <c r="BM55" s="171"/>
      <c r="BN55" s="171"/>
      <c r="BO55" s="193"/>
      <c r="BP55" s="171"/>
      <c r="BQ55" s="171"/>
      <c r="BR55" s="171"/>
      <c r="BS55" s="171"/>
      <c r="BT55" s="193"/>
      <c r="BU55" s="171"/>
      <c r="BV55" s="171"/>
      <c r="BW55" s="171"/>
      <c r="BX55" s="171"/>
      <c r="BY55" s="193"/>
      <c r="BZ55" s="171"/>
      <c r="CA55" s="171"/>
      <c r="CB55" s="171"/>
      <c r="CC55" s="171"/>
      <c r="CD55" s="193"/>
      <c r="CE55" s="171"/>
      <c r="CF55" s="171"/>
      <c r="CG55" s="171"/>
      <c r="CH55" s="171"/>
      <c r="CI55" s="193"/>
      <c r="CJ55" s="171"/>
      <c r="CK55" s="171"/>
      <c r="CL55" s="171"/>
      <c r="CM55" s="171"/>
      <c r="CN55" s="193"/>
      <c r="CO55" s="171"/>
      <c r="CP55" s="171"/>
      <c r="CQ55" s="171"/>
      <c r="CR55" s="171"/>
      <c r="CS55" s="193"/>
      <c r="CT55" s="210"/>
      <c r="CU55" s="53"/>
      <c r="CV55" s="53"/>
      <c r="CW55" s="53"/>
      <c r="CX55" s="28"/>
      <c r="CY55" s="53"/>
      <c r="CZ55" s="53"/>
      <c r="DA55" s="53"/>
      <c r="DB55" s="53"/>
      <c r="DC55" s="28"/>
      <c r="DD55" s="53"/>
      <c r="DE55" s="53"/>
      <c r="DF55" s="53"/>
      <c r="DG55" s="53"/>
      <c r="DH55" s="28"/>
      <c r="DI55" s="53"/>
      <c r="DJ55" s="53"/>
      <c r="DK55" s="53"/>
      <c r="DL55" s="53"/>
      <c r="DM55" s="53"/>
      <c r="DN55" s="53"/>
      <c r="DO55" s="53"/>
      <c r="DP55" s="53"/>
      <c r="DQ55" s="53"/>
      <c r="DR55" s="53"/>
      <c r="DS55" s="53"/>
      <c r="DT55" s="739"/>
      <c r="DU55" s="739"/>
      <c r="DV55" s="739"/>
      <c r="DW55" s="739"/>
      <c r="DX55" s="739"/>
      <c r="DY55" s="739"/>
      <c r="DZ55" s="739"/>
      <c r="EA55" s="739"/>
      <c r="EB55" s="739"/>
      <c r="EC55" s="739"/>
      <c r="ED55" s="739"/>
      <c r="EE55" s="739"/>
      <c r="EF55" s="739"/>
      <c r="EG55" s="739"/>
      <c r="EH55" s="739"/>
      <c r="EI55" s="739"/>
      <c r="EJ55" s="739"/>
      <c r="EK55" s="739"/>
      <c r="EL55" s="739"/>
    </row>
    <row r="56" spans="1:142">
      <c r="A56" s="1327"/>
      <c r="B56" s="242" t="s">
        <v>305</v>
      </c>
      <c r="C56" s="9"/>
      <c r="D56" s="9"/>
      <c r="E56" s="9"/>
      <c r="F56" s="9"/>
      <c r="G56" s="9"/>
      <c r="H56" s="63"/>
      <c r="I56" s="9"/>
      <c r="J56" s="9"/>
      <c r="K56" s="9"/>
      <c r="L56" s="9"/>
      <c r="M56" s="63"/>
      <c r="N56" s="9"/>
      <c r="O56" s="9"/>
      <c r="P56" s="9"/>
      <c r="Q56" s="9"/>
      <c r="R56" s="63"/>
      <c r="S56" s="9"/>
      <c r="T56" s="9"/>
      <c r="U56" s="9"/>
      <c r="V56" s="9"/>
      <c r="W56" s="63"/>
      <c r="X56" s="9"/>
      <c r="Y56" s="9"/>
      <c r="Z56" s="9"/>
      <c r="AA56" s="9"/>
      <c r="AB56" s="63"/>
      <c r="AC56" s="9"/>
      <c r="AD56" s="9"/>
      <c r="AE56" s="9"/>
      <c r="AF56" s="9"/>
      <c r="AG56" s="63"/>
      <c r="AH56" s="9"/>
      <c r="AI56" s="9"/>
      <c r="AJ56" s="9"/>
      <c r="AK56" s="9"/>
      <c r="AL56" s="63"/>
      <c r="AM56" s="53"/>
      <c r="AN56" s="53"/>
      <c r="AO56" s="53"/>
      <c r="AP56" s="53"/>
      <c r="AQ56" s="28"/>
      <c r="AR56" s="53"/>
      <c r="AS56" s="53"/>
      <c r="AT56" s="53"/>
      <c r="AU56" s="186"/>
      <c r="AV56" s="240"/>
      <c r="AW56" s="240"/>
      <c r="AX56" s="240"/>
      <c r="AY56" s="240"/>
      <c r="AZ56" s="241"/>
      <c r="BA56" s="240"/>
      <c r="BB56" s="240"/>
      <c r="BC56" s="240"/>
      <c r="BD56" s="240"/>
      <c r="BE56" s="241"/>
      <c r="BF56" s="240"/>
      <c r="BG56" s="240"/>
      <c r="BH56" s="240"/>
      <c r="BI56" s="240"/>
      <c r="BJ56" s="241"/>
      <c r="BK56" s="228"/>
      <c r="BL56" s="228"/>
      <c r="BM56" s="228"/>
      <c r="BN56" s="228"/>
      <c r="BO56" s="229"/>
      <c r="BP56" s="228"/>
      <c r="BQ56" s="228"/>
      <c r="BR56" s="228"/>
      <c r="BS56" s="228"/>
      <c r="BT56" s="229"/>
      <c r="BU56" s="228"/>
      <c r="BV56" s="228"/>
      <c r="BW56" s="228"/>
      <c r="BX56" s="228"/>
      <c r="BY56" s="229"/>
      <c r="BZ56" s="228"/>
      <c r="CA56" s="228"/>
      <c r="CB56" s="228"/>
      <c r="CC56" s="228"/>
      <c r="CD56" s="229"/>
      <c r="CE56" s="228"/>
      <c r="CF56" s="228"/>
      <c r="CG56" s="228"/>
      <c r="CH56" s="228"/>
      <c r="CI56" s="229"/>
      <c r="CJ56" s="228"/>
      <c r="CK56" s="228"/>
      <c r="CL56" s="228"/>
      <c r="CM56" s="228"/>
      <c r="CN56" s="229"/>
      <c r="CO56" s="228"/>
      <c r="CP56" s="228"/>
      <c r="CQ56" s="228"/>
      <c r="CR56" s="228"/>
      <c r="CS56" s="229"/>
      <c r="CT56" s="228"/>
      <c r="CU56" s="228"/>
      <c r="CV56" s="228"/>
      <c r="CW56" s="228"/>
      <c r="CX56" s="229"/>
      <c r="CY56" s="228"/>
      <c r="CZ56" s="228"/>
      <c r="DA56" s="228"/>
      <c r="DB56" s="228"/>
      <c r="DC56" s="229"/>
      <c r="DD56" s="228"/>
      <c r="DE56" s="228"/>
      <c r="DF56" s="228"/>
      <c r="DG56" s="228"/>
      <c r="DH56" s="229"/>
      <c r="DI56" s="228"/>
      <c r="DJ56" s="228"/>
      <c r="DK56" s="231"/>
      <c r="DL56" s="228"/>
      <c r="DM56" s="229"/>
      <c r="DN56" s="228"/>
      <c r="DO56" s="228"/>
      <c r="DP56" s="228"/>
      <c r="DQ56" s="228"/>
      <c r="DR56" s="229"/>
      <c r="DS56" s="228"/>
      <c r="DT56" s="228"/>
      <c r="DU56" s="228"/>
      <c r="DV56" s="228"/>
      <c r="DW56" s="229"/>
      <c r="DX56" s="228"/>
      <c r="DY56" s="228"/>
      <c r="DZ56" s="228"/>
      <c r="EA56" s="228"/>
      <c r="EB56" s="229"/>
      <c r="EC56" s="228"/>
      <c r="ED56" s="228"/>
      <c r="EE56" s="228"/>
      <c r="EF56" s="228"/>
      <c r="EG56" s="229"/>
      <c r="EH56" s="228"/>
      <c r="EI56" s="228"/>
      <c r="EJ56" s="228"/>
      <c r="EK56" s="228"/>
      <c r="EL56" s="229"/>
    </row>
    <row r="57" spans="1:142">
      <c r="A57" s="1328"/>
      <c r="B57" s="247" t="s">
        <v>297</v>
      </c>
      <c r="C57" s="9"/>
      <c r="D57" s="9"/>
      <c r="E57" s="9"/>
      <c r="F57" s="9"/>
      <c r="G57" s="9"/>
      <c r="H57" s="63"/>
      <c r="I57" s="9"/>
      <c r="J57" s="9"/>
      <c r="K57" s="9"/>
      <c r="L57" s="9"/>
      <c r="M57" s="63"/>
      <c r="N57" s="9"/>
      <c r="O57" s="9"/>
      <c r="P57" s="9"/>
      <c r="Q57" s="9"/>
      <c r="R57" s="63"/>
      <c r="S57" s="9"/>
      <c r="T57" s="9"/>
      <c r="U57" s="9"/>
      <c r="V57" s="9"/>
      <c r="W57" s="63"/>
      <c r="X57" s="9"/>
      <c r="Y57" s="9"/>
      <c r="Z57" s="9"/>
      <c r="AA57" s="9"/>
      <c r="AB57" s="63"/>
      <c r="AC57" s="9"/>
      <c r="AD57" s="9"/>
      <c r="AE57" s="9"/>
      <c r="AF57" s="9"/>
      <c r="AG57" s="63"/>
      <c r="AH57" s="9"/>
      <c r="AI57" s="9"/>
      <c r="AJ57" s="9"/>
      <c r="AK57" s="9"/>
      <c r="AL57" s="63"/>
      <c r="AM57" s="53"/>
      <c r="AN57" s="53"/>
      <c r="AO57" s="53"/>
      <c r="AP57" s="53"/>
      <c r="AQ57" s="28"/>
      <c r="AR57" s="53"/>
      <c r="AS57" s="53"/>
      <c r="AT57" s="53"/>
      <c r="AU57" s="186"/>
      <c r="AV57" s="240"/>
      <c r="AW57" s="240"/>
      <c r="AX57" s="240"/>
      <c r="AY57" s="240"/>
      <c r="AZ57" s="241"/>
      <c r="BA57" s="240"/>
      <c r="BB57" s="240"/>
      <c r="BC57" s="240"/>
      <c r="BD57" s="240"/>
      <c r="BE57" s="241"/>
      <c r="BF57" s="240"/>
      <c r="BG57" s="240"/>
      <c r="BH57" s="240"/>
      <c r="BI57" s="240"/>
      <c r="BJ57" s="241"/>
      <c r="BK57" s="9"/>
      <c r="BL57" s="9"/>
      <c r="BM57" s="9"/>
      <c r="BN57" s="9"/>
      <c r="BO57" s="63"/>
      <c r="BP57" s="9"/>
      <c r="BQ57" s="9"/>
      <c r="BR57" s="9"/>
      <c r="BS57" s="9"/>
      <c r="BT57" s="63"/>
      <c r="BU57" s="9"/>
      <c r="BV57" s="9"/>
      <c r="BW57" s="9"/>
      <c r="BX57" s="9"/>
      <c r="BY57" s="63"/>
      <c r="BZ57" s="9"/>
      <c r="CA57" s="9"/>
      <c r="CB57" s="9"/>
      <c r="CC57" s="9"/>
      <c r="CD57" s="63"/>
      <c r="CE57" s="248"/>
      <c r="CF57" s="248"/>
      <c r="CG57" s="248"/>
      <c r="CH57" s="248"/>
      <c r="CI57" s="193"/>
      <c r="CJ57" s="248"/>
      <c r="CK57" s="248"/>
      <c r="CL57" s="248"/>
      <c r="CM57" s="248"/>
      <c r="CN57" s="193"/>
      <c r="CO57" s="248"/>
      <c r="CP57" s="248"/>
      <c r="CQ57" s="248"/>
      <c r="CR57" s="248"/>
      <c r="CS57" s="193"/>
      <c r="CT57" s="248"/>
      <c r="CU57" s="248"/>
      <c r="CV57" s="248"/>
      <c r="CW57" s="288">
        <v>4.7500000000000001E-2</v>
      </c>
      <c r="CX57" s="193"/>
      <c r="CY57" s="288">
        <f>CW57</f>
        <v>4.7500000000000001E-2</v>
      </c>
      <c r="CZ57" s="249">
        <f>CY57</f>
        <v>4.7500000000000001E-2</v>
      </c>
      <c r="DA57" s="249">
        <f>CZ57</f>
        <v>4.7500000000000001E-2</v>
      </c>
      <c r="DB57" s="249">
        <f>DA57</f>
        <v>4.7500000000000001E-2</v>
      </c>
      <c r="DC57" s="193"/>
      <c r="DD57" s="288">
        <f>DB57</f>
        <v>4.7500000000000001E-2</v>
      </c>
      <c r="DE57" s="249">
        <f>DD57</f>
        <v>4.7500000000000001E-2</v>
      </c>
      <c r="DF57" s="249">
        <f>DE57</f>
        <v>4.7500000000000001E-2</v>
      </c>
      <c r="DG57" s="249">
        <f>DF57</f>
        <v>4.7500000000000001E-2</v>
      </c>
      <c r="DH57" s="193"/>
      <c r="DI57" s="288">
        <f>DG57</f>
        <v>4.7500000000000001E-2</v>
      </c>
      <c r="DJ57" s="249">
        <f>DI57</f>
        <v>4.7500000000000001E-2</v>
      </c>
      <c r="DK57" s="331">
        <f>DJ57</f>
        <v>4.7500000000000001E-2</v>
      </c>
      <c r="DL57" s="249">
        <f>DK57</f>
        <v>4.7500000000000001E-2</v>
      </c>
      <c r="DM57" s="193"/>
      <c r="DN57" s="288">
        <f>DL57</f>
        <v>4.7500000000000001E-2</v>
      </c>
      <c r="DO57" s="249">
        <f>DN57</f>
        <v>4.7500000000000001E-2</v>
      </c>
      <c r="DP57" s="249">
        <f>DO57</f>
        <v>4.7500000000000001E-2</v>
      </c>
      <c r="DQ57" s="249">
        <f>DP57</f>
        <v>4.7500000000000001E-2</v>
      </c>
      <c r="DR57" s="193"/>
      <c r="DS57" s="249">
        <f>DQ57</f>
        <v>4.7500000000000001E-2</v>
      </c>
      <c r="DT57" s="249">
        <f>DS57</f>
        <v>4.7500000000000001E-2</v>
      </c>
      <c r="DU57" s="249">
        <f>DT57</f>
        <v>4.7500000000000001E-2</v>
      </c>
      <c r="DV57" s="249">
        <f>DU57</f>
        <v>4.7500000000000001E-2</v>
      </c>
      <c r="DW57" s="193"/>
      <c r="DX57" s="249">
        <f>DV57</f>
        <v>4.7500000000000001E-2</v>
      </c>
      <c r="DY57" s="249">
        <f>DX57</f>
        <v>4.7500000000000001E-2</v>
      </c>
      <c r="DZ57" s="249">
        <f>DY57</f>
        <v>4.7500000000000001E-2</v>
      </c>
      <c r="EA57" s="249">
        <f>DZ57</f>
        <v>4.7500000000000001E-2</v>
      </c>
      <c r="EB57" s="193"/>
      <c r="EC57" s="249">
        <f>EA57</f>
        <v>4.7500000000000001E-2</v>
      </c>
      <c r="ED57" s="249">
        <f>EC57</f>
        <v>4.7500000000000001E-2</v>
      </c>
      <c r="EE57" s="249">
        <f>ED57</f>
        <v>4.7500000000000001E-2</v>
      </c>
      <c r="EF57" s="249">
        <f>EE57</f>
        <v>4.7500000000000001E-2</v>
      </c>
      <c r="EG57" s="193"/>
      <c r="EH57" s="249">
        <f>EF57</f>
        <v>4.7500000000000001E-2</v>
      </c>
      <c r="EI57" s="249">
        <f>EH57</f>
        <v>4.7500000000000001E-2</v>
      </c>
      <c r="EJ57" s="249">
        <f>EI57</f>
        <v>4.7500000000000001E-2</v>
      </c>
      <c r="EK57" s="249">
        <f>EJ57</f>
        <v>4.7500000000000001E-2</v>
      </c>
      <c r="EL57" s="193"/>
    </row>
    <row r="58" spans="1:142">
      <c r="A58" s="225"/>
      <c r="B58" s="209" t="s">
        <v>298</v>
      </c>
      <c r="C58" s="9"/>
      <c r="D58" s="9"/>
      <c r="E58" s="9"/>
      <c r="F58" s="9"/>
      <c r="G58" s="9"/>
      <c r="H58" s="63"/>
      <c r="I58" s="9"/>
      <c r="J58" s="9"/>
      <c r="K58" s="9"/>
      <c r="L58" s="9"/>
      <c r="M58" s="63"/>
      <c r="N58" s="9"/>
      <c r="O58" s="9"/>
      <c r="P58" s="9"/>
      <c r="Q58" s="9"/>
      <c r="R58" s="63"/>
      <c r="S58" s="9"/>
      <c r="T58" s="9"/>
      <c r="U58" s="9"/>
      <c r="V58" s="9"/>
      <c r="W58" s="63"/>
      <c r="X58" s="9"/>
      <c r="Y58" s="9"/>
      <c r="Z58" s="9"/>
      <c r="AA58" s="9"/>
      <c r="AB58" s="63"/>
      <c r="AC58" s="9"/>
      <c r="AD58" s="9"/>
      <c r="AE58" s="9"/>
      <c r="AF58" s="9"/>
      <c r="AG58" s="63"/>
      <c r="AH58" s="9"/>
      <c r="AI58" s="9"/>
      <c r="AJ58" s="9"/>
      <c r="AK58" s="9"/>
      <c r="AL58" s="63"/>
      <c r="AM58" s="53"/>
      <c r="AN58" s="53"/>
      <c r="AO58" s="53"/>
      <c r="AP58" s="53"/>
      <c r="AQ58" s="28"/>
      <c r="AR58" s="53"/>
      <c r="AS58" s="53"/>
      <c r="AT58" s="53"/>
      <c r="AU58" s="186"/>
      <c r="AV58" s="240"/>
      <c r="AW58" s="240"/>
      <c r="AX58" s="240"/>
      <c r="AY58" s="240"/>
      <c r="AZ58" s="241"/>
      <c r="BA58" s="240"/>
      <c r="BB58" s="240"/>
      <c r="BC58" s="240"/>
      <c r="BD58" s="240"/>
      <c r="BE58" s="241"/>
      <c r="BF58" s="240"/>
      <c r="BG58" s="240"/>
      <c r="BH58" s="240"/>
      <c r="BI58" s="240"/>
      <c r="BJ58" s="241"/>
      <c r="BK58" s="255"/>
      <c r="BL58" s="255"/>
      <c r="BM58" s="255"/>
      <c r="BN58" s="255"/>
      <c r="BO58" s="256"/>
      <c r="BP58" s="255"/>
      <c r="BQ58" s="255"/>
      <c r="BR58" s="255"/>
      <c r="BS58" s="255"/>
      <c r="BT58" s="256"/>
      <c r="BU58" s="255"/>
      <c r="BV58" s="255"/>
      <c r="BW58" s="255"/>
      <c r="BX58" s="255"/>
      <c r="BY58" s="256"/>
      <c r="BZ58" s="255"/>
      <c r="CA58" s="255"/>
      <c r="CB58" s="255"/>
      <c r="CC58" s="255"/>
      <c r="CD58" s="256"/>
      <c r="CE58" s="257"/>
      <c r="CF58" s="257"/>
      <c r="CG58" s="257"/>
      <c r="CH58" s="257"/>
      <c r="CI58" s="258"/>
      <c r="CJ58" s="257"/>
      <c r="CK58" s="257"/>
      <c r="CL58" s="257"/>
      <c r="CM58" s="257"/>
      <c r="CN58" s="258"/>
      <c r="CO58" s="257"/>
      <c r="CP58" s="257"/>
      <c r="CQ58" s="257"/>
      <c r="CR58" s="257"/>
      <c r="CS58" s="258"/>
      <c r="CT58" s="257"/>
      <c r="CU58" s="257"/>
      <c r="CV58" s="257"/>
      <c r="CW58" s="289">
        <v>0</v>
      </c>
      <c r="CX58" s="258">
        <f>CS61</f>
        <v>0</v>
      </c>
      <c r="CY58" s="289">
        <f>CX61</f>
        <v>500</v>
      </c>
      <c r="CZ58" s="289">
        <f>CY61</f>
        <v>500</v>
      </c>
      <c r="DA58" s="289">
        <f>CZ61</f>
        <v>500</v>
      </c>
      <c r="DB58" s="289">
        <f>DA61</f>
        <v>500</v>
      </c>
      <c r="DC58" s="258">
        <f>CX61</f>
        <v>500</v>
      </c>
      <c r="DD58" s="289">
        <f>DC61</f>
        <v>500</v>
      </c>
      <c r="DE58" s="289">
        <f>DD61</f>
        <v>500</v>
      </c>
      <c r="DF58" s="289">
        <f>DE61</f>
        <v>500</v>
      </c>
      <c r="DG58" s="289">
        <f>DF61</f>
        <v>500</v>
      </c>
      <c r="DH58" s="258">
        <f>DC61</f>
        <v>500</v>
      </c>
      <c r="DI58" s="539">
        <f>DH61</f>
        <v>500</v>
      </c>
      <c r="DJ58" s="539">
        <f>DI61</f>
        <v>500</v>
      </c>
      <c r="DK58" s="1374">
        <f>DJ61</f>
        <v>500</v>
      </c>
      <c r="DL58" s="539">
        <f>DK61</f>
        <v>500</v>
      </c>
      <c r="DM58" s="540">
        <f>DH61</f>
        <v>500</v>
      </c>
      <c r="DN58" s="539">
        <f>DM61</f>
        <v>500</v>
      </c>
      <c r="DO58" s="539">
        <f>DN61</f>
        <v>500</v>
      </c>
      <c r="DP58" s="539">
        <f>DO61</f>
        <v>500</v>
      </c>
      <c r="DQ58" s="539">
        <f>DP61</f>
        <v>500</v>
      </c>
      <c r="DR58" s="540">
        <f>DM61</f>
        <v>500</v>
      </c>
      <c r="DS58" s="539">
        <f>DR61</f>
        <v>500</v>
      </c>
      <c r="DT58" s="539">
        <f>DS61</f>
        <v>500</v>
      </c>
      <c r="DU58" s="539">
        <f>DT61</f>
        <v>500</v>
      </c>
      <c r="DV58" s="539">
        <f>DU61</f>
        <v>500</v>
      </c>
      <c r="DW58" s="540">
        <f>DR61</f>
        <v>500</v>
      </c>
      <c r="DX58" s="539">
        <f>DW61</f>
        <v>500</v>
      </c>
      <c r="DY58" s="539">
        <f>DX61</f>
        <v>500</v>
      </c>
      <c r="DZ58" s="539">
        <f>DY61</f>
        <v>500</v>
      </c>
      <c r="EA58" s="539">
        <f>DZ61</f>
        <v>500</v>
      </c>
      <c r="EB58" s="540">
        <f>DW61</f>
        <v>500</v>
      </c>
      <c r="EC58" s="539">
        <f>EB61</f>
        <v>500</v>
      </c>
      <c r="ED58" s="539">
        <f>EC61</f>
        <v>500</v>
      </c>
      <c r="EE58" s="539">
        <f>ED61</f>
        <v>500</v>
      </c>
      <c r="EF58" s="539">
        <f>EE61</f>
        <v>500</v>
      </c>
      <c r="EG58" s="540">
        <f>EB61</f>
        <v>500</v>
      </c>
      <c r="EH58" s="539">
        <f>EG61</f>
        <v>500</v>
      </c>
      <c r="EI58" s="539">
        <f>EH61</f>
        <v>500</v>
      </c>
      <c r="EJ58" s="539">
        <f>EI61</f>
        <v>500</v>
      </c>
      <c r="EK58" s="539">
        <f>EJ61</f>
        <v>500</v>
      </c>
      <c r="EL58" s="540">
        <f>EG61</f>
        <v>500</v>
      </c>
    </row>
    <row r="59" spans="1:142">
      <c r="A59" s="225"/>
      <c r="B59" s="209" t="s">
        <v>674</v>
      </c>
      <c r="C59" s="9"/>
      <c r="D59" s="9"/>
      <c r="E59" s="9"/>
      <c r="F59" s="9"/>
      <c r="G59" s="9"/>
      <c r="H59" s="63"/>
      <c r="I59" s="9"/>
      <c r="J59" s="9"/>
      <c r="K59" s="9"/>
      <c r="L59" s="9"/>
      <c r="M59" s="63"/>
      <c r="N59" s="9"/>
      <c r="O59" s="9"/>
      <c r="P59" s="9"/>
      <c r="Q59" s="9"/>
      <c r="R59" s="63"/>
      <c r="S59" s="9"/>
      <c r="T59" s="9"/>
      <c r="U59" s="9"/>
      <c r="V59" s="9"/>
      <c r="W59" s="63"/>
      <c r="X59" s="9"/>
      <c r="Y59" s="9"/>
      <c r="Z59" s="9"/>
      <c r="AA59" s="9"/>
      <c r="AB59" s="63"/>
      <c r="AC59" s="9"/>
      <c r="AD59" s="9"/>
      <c r="AE59" s="9"/>
      <c r="AF59" s="9"/>
      <c r="AG59" s="63"/>
      <c r="AH59" s="9"/>
      <c r="AI59" s="9"/>
      <c r="AJ59" s="9"/>
      <c r="AK59" s="9"/>
      <c r="AL59" s="63"/>
      <c r="AM59" s="53"/>
      <c r="AN59" s="53"/>
      <c r="AO59" s="53"/>
      <c r="AP59" s="53"/>
      <c r="AQ59" s="28"/>
      <c r="AR59" s="53"/>
      <c r="AS59" s="53"/>
      <c r="AT59" s="53"/>
      <c r="AU59" s="186"/>
      <c r="AV59" s="240"/>
      <c r="AW59" s="240"/>
      <c r="AX59" s="240"/>
      <c r="AY59" s="240"/>
      <c r="AZ59" s="241"/>
      <c r="BA59" s="240"/>
      <c r="BB59" s="240"/>
      <c r="BC59" s="240"/>
      <c r="BD59" s="240"/>
      <c r="BE59" s="241"/>
      <c r="BF59" s="240"/>
      <c r="BG59" s="240"/>
      <c r="BH59" s="240"/>
      <c r="BI59" s="240"/>
      <c r="BJ59" s="241"/>
      <c r="BK59" s="255"/>
      <c r="BL59" s="255"/>
      <c r="BM59" s="255"/>
      <c r="BN59" s="255"/>
      <c r="BO59" s="256"/>
      <c r="BP59" s="255"/>
      <c r="BQ59" s="255"/>
      <c r="BR59" s="255"/>
      <c r="BS59" s="255"/>
      <c r="BT59" s="256"/>
      <c r="BU59" s="255"/>
      <c r="BV59" s="255"/>
      <c r="BW59" s="255"/>
      <c r="BX59" s="255"/>
      <c r="BY59" s="256"/>
      <c r="BZ59" s="255"/>
      <c r="CA59" s="255"/>
      <c r="CB59" s="255"/>
      <c r="CC59" s="255"/>
      <c r="CD59" s="256"/>
      <c r="CE59" s="257"/>
      <c r="CF59" s="257"/>
      <c r="CG59" s="257"/>
      <c r="CH59" s="257"/>
      <c r="CI59" s="258"/>
      <c r="CJ59" s="257"/>
      <c r="CK59" s="257"/>
      <c r="CL59" s="257"/>
      <c r="CM59" s="257"/>
      <c r="CN59" s="258"/>
      <c r="CO59" s="257"/>
      <c r="CP59" s="257"/>
      <c r="CQ59" s="257"/>
      <c r="CR59" s="257"/>
      <c r="CS59" s="258"/>
      <c r="CT59" s="257"/>
      <c r="CU59" s="257"/>
      <c r="CV59" s="257"/>
      <c r="CW59" s="289"/>
      <c r="CX59" s="258"/>
      <c r="CY59" s="289"/>
      <c r="CZ59" s="289"/>
      <c r="DA59" s="289"/>
      <c r="DB59" s="289"/>
      <c r="DC59" s="258"/>
      <c r="DD59" s="289"/>
      <c r="DE59" s="289"/>
      <c r="DF59" s="289"/>
      <c r="DG59" s="289"/>
      <c r="DH59" s="258"/>
      <c r="DI59" s="1378">
        <v>0</v>
      </c>
      <c r="DJ59" s="1378">
        <v>0</v>
      </c>
      <c r="DK59" s="1378">
        <v>0</v>
      </c>
      <c r="DL59" s="1378">
        <v>0</v>
      </c>
      <c r="DM59" s="1380">
        <f>SUM(DI59:DL59)</f>
        <v>0</v>
      </c>
      <c r="DN59" s="1378">
        <v>0</v>
      </c>
      <c r="DO59" s="1378">
        <v>0</v>
      </c>
      <c r="DP59" s="1378">
        <v>0</v>
      </c>
      <c r="DQ59" s="1378">
        <v>0</v>
      </c>
      <c r="DR59" s="1380">
        <f>SUM(DN59:DQ59)</f>
        <v>0</v>
      </c>
      <c r="DS59" s="1378">
        <v>0</v>
      </c>
      <c r="DT59" s="1378">
        <v>0</v>
      </c>
      <c r="DU59" s="1378">
        <v>0</v>
      </c>
      <c r="DV59" s="1378">
        <v>0</v>
      </c>
      <c r="DW59" s="1380">
        <f>SUM(DS59:DV59)</f>
        <v>0</v>
      </c>
      <c r="DX59" s="1378">
        <v>0</v>
      </c>
      <c r="DY59" s="1378">
        <v>0</v>
      </c>
      <c r="DZ59" s="1378">
        <v>0</v>
      </c>
      <c r="EA59" s="1378">
        <v>0</v>
      </c>
      <c r="EB59" s="1380">
        <f>SUM(DX59:EA59)</f>
        <v>0</v>
      </c>
      <c r="EC59" s="1378">
        <v>0</v>
      </c>
      <c r="ED59" s="1378">
        <v>0</v>
      </c>
      <c r="EE59" s="1378">
        <v>0</v>
      </c>
      <c r="EF59" s="1378">
        <v>0</v>
      </c>
      <c r="EG59" s="1380">
        <f>SUM(EC59:EF59)</f>
        <v>0</v>
      </c>
      <c r="EH59" s="1378">
        <v>0</v>
      </c>
      <c r="EI59" s="1378">
        <v>0</v>
      </c>
      <c r="EJ59" s="1378">
        <v>0</v>
      </c>
      <c r="EK59" s="1378">
        <v>0</v>
      </c>
      <c r="EL59" s="1380">
        <f>SUM(EH59:EK59)</f>
        <v>0</v>
      </c>
    </row>
    <row r="60" spans="1:142">
      <c r="A60" s="225"/>
      <c r="B60" s="214" t="s">
        <v>675</v>
      </c>
      <c r="C60" s="9"/>
      <c r="D60" s="9"/>
      <c r="E60" s="9"/>
      <c r="F60" s="9"/>
      <c r="G60" s="9"/>
      <c r="H60" s="63"/>
      <c r="I60" s="9"/>
      <c r="J60" s="9"/>
      <c r="K60" s="9"/>
      <c r="L60" s="9"/>
      <c r="M60" s="63"/>
      <c r="N60" s="9"/>
      <c r="O60" s="9"/>
      <c r="P60" s="9"/>
      <c r="Q60" s="9"/>
      <c r="R60" s="63"/>
      <c r="S60" s="9"/>
      <c r="T60" s="9"/>
      <c r="U60" s="9"/>
      <c r="V60" s="9"/>
      <c r="W60" s="63"/>
      <c r="X60" s="9"/>
      <c r="Y60" s="9"/>
      <c r="Z60" s="9"/>
      <c r="AA60" s="9"/>
      <c r="AB60" s="63"/>
      <c r="AC60" s="9"/>
      <c r="AD60" s="9"/>
      <c r="AE60" s="9"/>
      <c r="AF60" s="9"/>
      <c r="AG60" s="63"/>
      <c r="AH60" s="9"/>
      <c r="AI60" s="9"/>
      <c r="AJ60" s="9"/>
      <c r="AK60" s="9"/>
      <c r="AL60" s="63"/>
      <c r="AM60" s="53"/>
      <c r="AN60" s="53"/>
      <c r="AO60" s="53"/>
      <c r="AP60" s="53"/>
      <c r="AQ60" s="28"/>
      <c r="AR60" s="53"/>
      <c r="AS60" s="53"/>
      <c r="AT60" s="53"/>
      <c r="AU60" s="186"/>
      <c r="AV60" s="240"/>
      <c r="AW60" s="240"/>
      <c r="AX60" s="240"/>
      <c r="AY60" s="240"/>
      <c r="AZ60" s="241"/>
      <c r="BA60" s="240"/>
      <c r="BB60" s="240"/>
      <c r="BC60" s="240"/>
      <c r="BD60" s="240"/>
      <c r="BE60" s="241"/>
      <c r="BF60" s="240"/>
      <c r="BG60" s="240"/>
      <c r="BH60" s="240"/>
      <c r="BI60" s="240"/>
      <c r="BJ60" s="241"/>
      <c r="BK60" s="48"/>
      <c r="BL60" s="48"/>
      <c r="BM60" s="262"/>
      <c r="BN60" s="48"/>
      <c r="BO60" s="263"/>
      <c r="BP60" s="48"/>
      <c r="BQ60" s="48"/>
      <c r="BR60" s="262"/>
      <c r="BS60" s="48"/>
      <c r="BT60" s="263"/>
      <c r="BU60" s="48"/>
      <c r="BV60" s="48"/>
      <c r="BW60" s="262"/>
      <c r="BX60" s="48"/>
      <c r="BY60" s="263"/>
      <c r="BZ60" s="48"/>
      <c r="CA60" s="48"/>
      <c r="CB60" s="262"/>
      <c r="CC60" s="48"/>
      <c r="CD60" s="263"/>
      <c r="CE60" s="174"/>
      <c r="CF60" s="174"/>
      <c r="CG60" s="174"/>
      <c r="CH60" s="174"/>
      <c r="CI60" s="263"/>
      <c r="CJ60" s="174"/>
      <c r="CK60" s="174"/>
      <c r="CL60" s="174"/>
      <c r="CM60" s="174"/>
      <c r="CN60" s="263"/>
      <c r="CO60" s="174"/>
      <c r="CP60" s="174"/>
      <c r="CQ60" s="174"/>
      <c r="CR60" s="174"/>
      <c r="CS60" s="263"/>
      <c r="CT60" s="174"/>
      <c r="CU60" s="174"/>
      <c r="CV60" s="174"/>
      <c r="CW60" s="174">
        <v>500</v>
      </c>
      <c r="CX60" s="263">
        <f>SUM(CT60:CW60)</f>
        <v>500</v>
      </c>
      <c r="CY60" s="174">
        <f>+CY61-CY58</f>
        <v>0</v>
      </c>
      <c r="CZ60" s="174">
        <f>+CZ61-CZ58</f>
        <v>0</v>
      </c>
      <c r="DA60" s="174">
        <f>+DA61-DA58</f>
        <v>0</v>
      </c>
      <c r="DB60" s="174">
        <f>+DB61-DB58</f>
        <v>0</v>
      </c>
      <c r="DC60" s="263">
        <f>SUM(CY60:DB60)</f>
        <v>0</v>
      </c>
      <c r="DD60" s="174">
        <f>+DD61-DD58</f>
        <v>0</v>
      </c>
      <c r="DE60" s="174">
        <f>+DE61-DE58</f>
        <v>0</v>
      </c>
      <c r="DF60" s="174">
        <f>+DF61-DF58</f>
        <v>0</v>
      </c>
      <c r="DG60" s="174">
        <f>+DG61-DG58</f>
        <v>0</v>
      </c>
      <c r="DH60" s="263">
        <f>SUM(DD60:DG60)</f>
        <v>0</v>
      </c>
      <c r="DI60" s="1379">
        <v>0</v>
      </c>
      <c r="DJ60" s="1379">
        <v>0</v>
      </c>
      <c r="DK60" s="1379">
        <v>0</v>
      </c>
      <c r="DL60" s="1379">
        <v>0</v>
      </c>
      <c r="DM60" s="1381">
        <f>SUM(DI60:DL60)</f>
        <v>0</v>
      </c>
      <c r="DN60" s="1379">
        <v>0</v>
      </c>
      <c r="DO60" s="1379">
        <v>0</v>
      </c>
      <c r="DP60" s="1379">
        <v>0</v>
      </c>
      <c r="DQ60" s="1379">
        <v>0</v>
      </c>
      <c r="DR60" s="1381">
        <f>SUM(DN60:DQ60)</f>
        <v>0</v>
      </c>
      <c r="DS60" s="1379">
        <v>0</v>
      </c>
      <c r="DT60" s="1379">
        <v>0</v>
      </c>
      <c r="DU60" s="1379">
        <v>0</v>
      </c>
      <c r="DV60" s="1379">
        <v>0</v>
      </c>
      <c r="DW60" s="1381">
        <f>SUM(DS60:DV60)</f>
        <v>0</v>
      </c>
      <c r="DX60" s="1379">
        <v>0</v>
      </c>
      <c r="DY60" s="1379">
        <v>0</v>
      </c>
      <c r="DZ60" s="1379">
        <v>0</v>
      </c>
      <c r="EA60" s="1379">
        <v>0</v>
      </c>
      <c r="EB60" s="1381">
        <f>SUM(DX60:EA60)</f>
        <v>0</v>
      </c>
      <c r="EC60" s="1379">
        <v>0</v>
      </c>
      <c r="ED60" s="1379">
        <v>0</v>
      </c>
      <c r="EE60" s="1379">
        <v>0</v>
      </c>
      <c r="EF60" s="1379">
        <v>0</v>
      </c>
      <c r="EG60" s="1381">
        <f>SUM(EC60:EF60)</f>
        <v>0</v>
      </c>
      <c r="EH60" s="1379">
        <v>0</v>
      </c>
      <c r="EI60" s="1379">
        <v>0</v>
      </c>
      <c r="EJ60" s="1379">
        <v>0</v>
      </c>
      <c r="EK60" s="1379">
        <v>0</v>
      </c>
      <c r="EL60" s="1381">
        <f>SUM(EH60:EK60)</f>
        <v>0</v>
      </c>
    </row>
    <row r="61" spans="1:142">
      <c r="A61" s="225"/>
      <c r="B61" s="209" t="s">
        <v>299</v>
      </c>
      <c r="C61" s="9"/>
      <c r="D61" s="9"/>
      <c r="E61" s="9"/>
      <c r="F61" s="9"/>
      <c r="G61" s="9"/>
      <c r="H61" s="63"/>
      <c r="I61" s="9"/>
      <c r="J61" s="9"/>
      <c r="K61" s="9"/>
      <c r="L61" s="9"/>
      <c r="M61" s="63"/>
      <c r="N61" s="9"/>
      <c r="O61" s="9"/>
      <c r="P61" s="9"/>
      <c r="Q61" s="9"/>
      <c r="R61" s="63"/>
      <c r="S61" s="9"/>
      <c r="T61" s="9"/>
      <c r="U61" s="9"/>
      <c r="V61" s="9"/>
      <c r="W61" s="63"/>
      <c r="X61" s="9"/>
      <c r="Y61" s="9"/>
      <c r="Z61" s="9"/>
      <c r="AA61" s="9"/>
      <c r="AB61" s="63"/>
      <c r="AC61" s="9"/>
      <c r="AD61" s="9"/>
      <c r="AE61" s="9"/>
      <c r="AF61" s="9"/>
      <c r="AG61" s="63"/>
      <c r="AH61" s="9"/>
      <c r="AI61" s="9"/>
      <c r="AJ61" s="9"/>
      <c r="AK61" s="9"/>
      <c r="AL61" s="63"/>
      <c r="AM61" s="53"/>
      <c r="AN61" s="53"/>
      <c r="AO61" s="53"/>
      <c r="AP61" s="53"/>
      <c r="AQ61" s="28"/>
      <c r="AR61" s="53"/>
      <c r="AS61" s="53"/>
      <c r="AT61" s="53"/>
      <c r="AU61" s="186"/>
      <c r="AV61" s="240"/>
      <c r="AW61" s="240"/>
      <c r="AX61" s="240"/>
      <c r="AY61" s="240"/>
      <c r="AZ61" s="241"/>
      <c r="BA61" s="240"/>
      <c r="BB61" s="240"/>
      <c r="BC61" s="240"/>
      <c r="BD61" s="240"/>
      <c r="BE61" s="241"/>
      <c r="BF61" s="240"/>
      <c r="BG61" s="240"/>
      <c r="BH61" s="240"/>
      <c r="BI61" s="240"/>
      <c r="BJ61" s="241"/>
      <c r="BK61" s="146"/>
      <c r="BL61" s="162"/>
      <c r="BM61" s="162"/>
      <c r="BN61" s="162"/>
      <c r="BO61" s="266"/>
      <c r="BP61" s="146"/>
      <c r="BQ61" s="162"/>
      <c r="BR61" s="162"/>
      <c r="BS61" s="162"/>
      <c r="BT61" s="266"/>
      <c r="BU61" s="146"/>
      <c r="BV61" s="162"/>
      <c r="BW61" s="162"/>
      <c r="BX61" s="162"/>
      <c r="BY61" s="266"/>
      <c r="BZ61" s="146"/>
      <c r="CA61" s="162"/>
      <c r="CB61" s="162"/>
      <c r="CC61" s="162"/>
      <c r="CD61" s="266"/>
      <c r="CE61" s="267"/>
      <c r="CF61" s="267"/>
      <c r="CG61" s="267"/>
      <c r="CH61" s="267"/>
      <c r="CI61" s="170"/>
      <c r="CJ61" s="267"/>
      <c r="CK61" s="267"/>
      <c r="CL61" s="267"/>
      <c r="CM61" s="267"/>
      <c r="CN61" s="170"/>
      <c r="CO61" s="267"/>
      <c r="CP61" s="267"/>
      <c r="CQ61" s="267"/>
      <c r="CR61" s="267"/>
      <c r="CS61" s="170"/>
      <c r="CT61" s="267"/>
      <c r="CU61" s="267"/>
      <c r="CV61" s="267"/>
      <c r="CW61" s="166">
        <v>500</v>
      </c>
      <c r="CX61" s="170">
        <f>CW61</f>
        <v>500</v>
      </c>
      <c r="CY61" s="166">
        <v>500</v>
      </c>
      <c r="CZ61" s="166">
        <v>500</v>
      </c>
      <c r="DA61" s="333">
        <v>500</v>
      </c>
      <c r="DB61" s="269">
        <v>500</v>
      </c>
      <c r="DC61" s="170">
        <f>DB61</f>
        <v>500</v>
      </c>
      <c r="DD61" s="166">
        <v>500</v>
      </c>
      <c r="DE61" s="269">
        <v>500</v>
      </c>
      <c r="DF61" s="269">
        <v>500</v>
      </c>
      <c r="DG61" s="269">
        <v>500</v>
      </c>
      <c r="DH61" s="170">
        <f>DG61</f>
        <v>500</v>
      </c>
      <c r="DI61" s="539">
        <f>SUM(DI58:DI60)</f>
        <v>500</v>
      </c>
      <c r="DJ61" s="539">
        <f>SUM(DJ58:DJ60)</f>
        <v>500</v>
      </c>
      <c r="DK61" s="539">
        <f>SUM(DK58:DK60)</f>
        <v>500</v>
      </c>
      <c r="DL61" s="539">
        <f>SUM(DL58:DL60)</f>
        <v>500</v>
      </c>
      <c r="DM61" s="1380">
        <f>DL61</f>
        <v>500</v>
      </c>
      <c r="DN61" s="539">
        <f>SUM(DN58:DN60)</f>
        <v>500</v>
      </c>
      <c r="DO61" s="539">
        <f>SUM(DO58:DO60)</f>
        <v>500</v>
      </c>
      <c r="DP61" s="1401">
        <f>SUM(DP58:DP60)</f>
        <v>500</v>
      </c>
      <c r="DQ61" s="1401">
        <f>SUM(DQ58:DQ60)</f>
        <v>500</v>
      </c>
      <c r="DR61" s="1380">
        <f>DQ61</f>
        <v>500</v>
      </c>
      <c r="DS61" s="539">
        <f>SUM(DS58:DS60)</f>
        <v>500</v>
      </c>
      <c r="DT61" s="539">
        <f>SUM(DT58:DT60)</f>
        <v>500</v>
      </c>
      <c r="DU61" s="1401">
        <f>SUM(DU58:DU60)</f>
        <v>500</v>
      </c>
      <c r="DV61" s="1401">
        <f>SUM(DV58:DV60)</f>
        <v>500</v>
      </c>
      <c r="DW61" s="1380">
        <f>DV61</f>
        <v>500</v>
      </c>
      <c r="DX61" s="539">
        <f>SUM(DX58:DX60)</f>
        <v>500</v>
      </c>
      <c r="DY61" s="539">
        <f>SUM(DY58:DY60)</f>
        <v>500</v>
      </c>
      <c r="DZ61" s="1401">
        <f>SUM(DZ58:DZ60)</f>
        <v>500</v>
      </c>
      <c r="EA61" s="1401">
        <f>SUM(EA58:EA60)</f>
        <v>500</v>
      </c>
      <c r="EB61" s="1380">
        <f>EA61</f>
        <v>500</v>
      </c>
      <c r="EC61" s="539">
        <f>SUM(EC58:EC60)</f>
        <v>500</v>
      </c>
      <c r="ED61" s="539">
        <f>SUM(ED58:ED60)</f>
        <v>500</v>
      </c>
      <c r="EE61" s="1401">
        <f>SUM(EE58:EE60)</f>
        <v>500</v>
      </c>
      <c r="EF61" s="1401">
        <f>SUM(EF58:EF60)</f>
        <v>500</v>
      </c>
      <c r="EG61" s="1380">
        <f>EF61</f>
        <v>500</v>
      </c>
      <c r="EH61" s="539">
        <f>SUM(EH58:EH60)</f>
        <v>500</v>
      </c>
      <c r="EI61" s="539">
        <f>SUM(EI58:EI60)</f>
        <v>500</v>
      </c>
      <c r="EJ61" s="1401">
        <f>SUM(EJ58:EJ60)</f>
        <v>500</v>
      </c>
      <c r="EK61" s="1401">
        <f>SUM(EK58:EK60)</f>
        <v>500</v>
      </c>
      <c r="EL61" s="1380">
        <f>EK61</f>
        <v>500</v>
      </c>
    </row>
    <row r="62" spans="1:142">
      <c r="A62" s="225"/>
      <c r="B62" s="214" t="s">
        <v>300</v>
      </c>
      <c r="C62" s="9"/>
      <c r="D62" s="9"/>
      <c r="E62" s="9"/>
      <c r="F62" s="9"/>
      <c r="G62" s="9"/>
      <c r="H62" s="63"/>
      <c r="I62" s="9"/>
      <c r="J62" s="9"/>
      <c r="K62" s="9"/>
      <c r="L62" s="9"/>
      <c r="M62" s="63"/>
      <c r="N62" s="9"/>
      <c r="O62" s="9"/>
      <c r="P62" s="9"/>
      <c r="Q62" s="9"/>
      <c r="R62" s="63"/>
      <c r="S62" s="9"/>
      <c r="T62" s="9"/>
      <c r="U62" s="9"/>
      <c r="V62" s="9"/>
      <c r="W62" s="63"/>
      <c r="X62" s="9"/>
      <c r="Y62" s="9"/>
      <c r="Z62" s="9"/>
      <c r="AA62" s="9"/>
      <c r="AB62" s="63"/>
      <c r="AC62" s="9"/>
      <c r="AD62" s="9"/>
      <c r="AE62" s="9"/>
      <c r="AF62" s="9"/>
      <c r="AG62" s="63"/>
      <c r="AH62" s="9"/>
      <c r="AI62" s="9"/>
      <c r="AJ62" s="9"/>
      <c r="AK62" s="9"/>
      <c r="AL62" s="63"/>
      <c r="AM62" s="53"/>
      <c r="AN62" s="53"/>
      <c r="AO62" s="53"/>
      <c r="AP62" s="53"/>
      <c r="AQ62" s="28"/>
      <c r="AR62" s="53"/>
      <c r="AS62" s="53"/>
      <c r="AT62" s="53"/>
      <c r="AU62" s="186"/>
      <c r="AV62" s="240"/>
      <c r="AW62" s="240"/>
      <c r="AX62" s="240"/>
      <c r="AY62" s="240"/>
      <c r="AZ62" s="241"/>
      <c r="BA62" s="240"/>
      <c r="BB62" s="240"/>
      <c r="BC62" s="240"/>
      <c r="BD62" s="240"/>
      <c r="BE62" s="241"/>
      <c r="BF62" s="240"/>
      <c r="BG62" s="240"/>
      <c r="BH62" s="240"/>
      <c r="BI62" s="240"/>
      <c r="BJ62" s="241"/>
      <c r="BK62" s="215"/>
      <c r="BL62" s="215"/>
      <c r="BM62" s="275"/>
      <c r="BN62" s="215"/>
      <c r="BO62" s="263"/>
      <c r="BP62" s="215"/>
      <c r="BQ62" s="215"/>
      <c r="BR62" s="275"/>
      <c r="BS62" s="215"/>
      <c r="BT62" s="263"/>
      <c r="BU62" s="215"/>
      <c r="BV62" s="215"/>
      <c r="BW62" s="275"/>
      <c r="BX62" s="215"/>
      <c r="BY62" s="263"/>
      <c r="BZ62" s="215"/>
      <c r="CA62" s="215"/>
      <c r="CB62" s="275"/>
      <c r="CC62" s="215"/>
      <c r="CD62" s="263"/>
      <c r="CE62" s="276"/>
      <c r="CF62" s="276"/>
      <c r="CG62" s="276"/>
      <c r="CH62" s="276"/>
      <c r="CI62" s="263"/>
      <c r="CJ62" s="276"/>
      <c r="CK62" s="276"/>
      <c r="CL62" s="276"/>
      <c r="CM62" s="276"/>
      <c r="CN62" s="263"/>
      <c r="CO62" s="276"/>
      <c r="CP62" s="276"/>
      <c r="CQ62" s="276"/>
      <c r="CR62" s="276"/>
      <c r="CS62" s="263"/>
      <c r="CT62" s="276"/>
      <c r="CU62" s="276"/>
      <c r="CV62" s="276"/>
      <c r="CW62" s="276">
        <f>CW57/4*AVERAGE(CW61,CW60)</f>
        <v>5.9375</v>
      </c>
      <c r="CX62" s="263">
        <f>SUM(CT62:CW62)</f>
        <v>5.9375</v>
      </c>
      <c r="CY62" s="276">
        <f>CY57/4*AVERAGE(CY61,CY58)</f>
        <v>5.9375</v>
      </c>
      <c r="CZ62" s="276">
        <f>CZ57/4*AVERAGE(CZ61,CZ58)</f>
        <v>5.9375</v>
      </c>
      <c r="DA62" s="276">
        <f>DA57/4*AVERAGE(DA61,DA58)</f>
        <v>5.9375</v>
      </c>
      <c r="DB62" s="276">
        <f>DB57/4*AVERAGE(DB61,DB58)</f>
        <v>5.9375</v>
      </c>
      <c r="DC62" s="263">
        <f>SUM(CY62:DB62)</f>
        <v>23.75</v>
      </c>
      <c r="DD62" s="276">
        <f>DD57/4*AVERAGE(DD61,DD58)</f>
        <v>5.9375</v>
      </c>
      <c r="DE62" s="276">
        <f>DE57/4*AVERAGE(DE61,DE58)</f>
        <v>5.9375</v>
      </c>
      <c r="DF62" s="276">
        <f>DF57/4*AVERAGE(DF61,DF58)</f>
        <v>5.9375</v>
      </c>
      <c r="DG62" s="276">
        <f>DG57/4*AVERAGE(DG61,DG58)</f>
        <v>5.9375</v>
      </c>
      <c r="DH62" s="263">
        <f>SUM(DD62:DG62)</f>
        <v>23.75</v>
      </c>
      <c r="DI62" s="1342">
        <f>DI57/4*AVERAGE(DI61,DI58)</f>
        <v>5.9375</v>
      </c>
      <c r="DJ62" s="1342">
        <f>DJ57/4*AVERAGE(DJ61,DJ58)</f>
        <v>5.9375</v>
      </c>
      <c r="DK62" s="1342">
        <f>DK57/4*AVERAGE(DK61,DK58)</f>
        <v>5.9375</v>
      </c>
      <c r="DL62" s="1342">
        <f>DL57/4*AVERAGE(DL61,DL58)</f>
        <v>5.9375</v>
      </c>
      <c r="DM62" s="1353">
        <f>SUM(DI62:DL62)</f>
        <v>23.75</v>
      </c>
      <c r="DN62" s="1342">
        <f>DN57/4*AVERAGE(DN61,DN58)</f>
        <v>5.9375</v>
      </c>
      <c r="DO62" s="1342">
        <f>DO57/4*AVERAGE(DO61,DO58)</f>
        <v>5.9375</v>
      </c>
      <c r="DP62" s="1342">
        <f>DP57/4*AVERAGE(DP61,DP58)</f>
        <v>5.9375</v>
      </c>
      <c r="DQ62" s="1342">
        <f>DQ57/4*AVERAGE(DQ61,DQ58)</f>
        <v>5.9375</v>
      </c>
      <c r="DR62" s="1353">
        <f>SUM(DN62:DQ62)</f>
        <v>23.75</v>
      </c>
      <c r="DS62" s="1342">
        <f>DS57/4*AVERAGE(DS61,DS58)</f>
        <v>5.9375</v>
      </c>
      <c r="DT62" s="1342">
        <f>DT57/4*AVERAGE(DT61,DT58)</f>
        <v>5.9375</v>
      </c>
      <c r="DU62" s="1342">
        <f>DU57/4*AVERAGE(DU61,DU58)</f>
        <v>5.9375</v>
      </c>
      <c r="DV62" s="1342">
        <f>DV57/4*AVERAGE(DV61,DV58)</f>
        <v>5.9375</v>
      </c>
      <c r="DW62" s="1353">
        <f>SUM(DS62:DV62)</f>
        <v>23.75</v>
      </c>
      <c r="DX62" s="1342">
        <f>DX57/4*AVERAGE(DX61,DX58)</f>
        <v>5.9375</v>
      </c>
      <c r="DY62" s="1342">
        <f>DY57/4*AVERAGE(DY61,DY58)</f>
        <v>5.9375</v>
      </c>
      <c r="DZ62" s="1342">
        <f>DZ57/4*AVERAGE(DZ61,DZ58)</f>
        <v>5.9375</v>
      </c>
      <c r="EA62" s="1342">
        <f>EA57/4*AVERAGE(EA61,EA58)</f>
        <v>5.9375</v>
      </c>
      <c r="EB62" s="1353">
        <f>SUM(DX62:EA62)</f>
        <v>23.75</v>
      </c>
      <c r="EC62" s="1342">
        <f>EC57/4*AVERAGE(EC61,EC58)</f>
        <v>5.9375</v>
      </c>
      <c r="ED62" s="1342">
        <f>ED57/4*AVERAGE(ED61,ED58)</f>
        <v>5.9375</v>
      </c>
      <c r="EE62" s="1342">
        <f>EE57/4*AVERAGE(EE61,EE58)</f>
        <v>5.9375</v>
      </c>
      <c r="EF62" s="1342">
        <f>EF57/4*AVERAGE(EF61,EF58)</f>
        <v>5.9375</v>
      </c>
      <c r="EG62" s="1353">
        <f>SUM(EC62:EF62)</f>
        <v>23.75</v>
      </c>
      <c r="EH62" s="1342">
        <f>EH57/4*AVERAGE(EH61,EH58)</f>
        <v>5.9375</v>
      </c>
      <c r="EI62" s="1342">
        <f>EI57/4*AVERAGE(EI61,EI58)</f>
        <v>5.9375</v>
      </c>
      <c r="EJ62" s="1342">
        <f>EJ57/4*AVERAGE(EJ61,EJ58)</f>
        <v>5.9375</v>
      </c>
      <c r="EK62" s="1342">
        <f>EK57/4*AVERAGE(EK61,EK58)</f>
        <v>5.9375</v>
      </c>
      <c r="EL62" s="1353">
        <f>SUM(EH62:EK62)</f>
        <v>23.75</v>
      </c>
    </row>
    <row r="63" spans="1:142" ht="12.75" hidden="1" customHeight="1" outlineLevel="1">
      <c r="A63" s="225"/>
      <c r="B63" s="225"/>
      <c r="C63" s="9"/>
      <c r="D63" s="9"/>
      <c r="E63" s="9"/>
      <c r="F63" s="9"/>
      <c r="G63" s="9"/>
      <c r="H63" s="63"/>
      <c r="I63" s="9"/>
      <c r="J63" s="9"/>
      <c r="K63" s="9"/>
      <c r="L63" s="9"/>
      <c r="M63" s="63"/>
      <c r="N63" s="9"/>
      <c r="O63" s="9"/>
      <c r="P63" s="9"/>
      <c r="Q63" s="9"/>
      <c r="R63" s="63"/>
      <c r="S63" s="9"/>
      <c r="T63" s="9"/>
      <c r="U63" s="9"/>
      <c r="V63" s="9"/>
      <c r="W63" s="63"/>
      <c r="X63" s="9"/>
      <c r="Y63" s="9"/>
      <c r="Z63" s="9"/>
      <c r="AA63" s="9"/>
      <c r="AB63" s="63"/>
      <c r="AC63" s="9"/>
      <c r="AD63" s="9"/>
      <c r="AE63" s="9"/>
      <c r="AF63" s="9"/>
      <c r="AG63" s="63"/>
      <c r="AH63" s="9"/>
      <c r="AI63" s="9"/>
      <c r="AJ63" s="9"/>
      <c r="AK63" s="9"/>
      <c r="AL63" s="63"/>
      <c r="AM63" s="53"/>
      <c r="AN63" s="53"/>
      <c r="AO63" s="53"/>
      <c r="AP63" s="53"/>
      <c r="AQ63" s="28"/>
      <c r="AR63" s="53"/>
      <c r="AS63" s="53"/>
      <c r="AT63" s="53"/>
      <c r="AU63" s="186"/>
      <c r="AV63" s="240"/>
      <c r="AW63" s="240"/>
      <c r="AX63" s="240"/>
      <c r="AY63" s="240"/>
      <c r="AZ63" s="241"/>
      <c r="BA63" s="240"/>
      <c r="BB63" s="240"/>
      <c r="BC63" s="240"/>
      <c r="BD63" s="240"/>
      <c r="BE63" s="241"/>
      <c r="BF63" s="240"/>
      <c r="BG63" s="240"/>
      <c r="BH63" s="240"/>
      <c r="BI63" s="240"/>
      <c r="BJ63" s="241"/>
      <c r="BK63" s="171"/>
      <c r="BL63" s="171"/>
      <c r="BM63" s="87"/>
      <c r="BN63" s="171"/>
      <c r="BO63" s="170"/>
      <c r="BP63" s="171"/>
      <c r="BQ63" s="171"/>
      <c r="BR63" s="87"/>
      <c r="BS63" s="171"/>
      <c r="BT63" s="170"/>
      <c r="BU63" s="171"/>
      <c r="BV63" s="171"/>
      <c r="BW63" s="87"/>
      <c r="BX63" s="171"/>
      <c r="BY63" s="170"/>
      <c r="BZ63" s="171"/>
      <c r="CA63" s="171"/>
      <c r="CB63" s="87"/>
      <c r="CC63" s="171"/>
      <c r="CD63" s="170"/>
      <c r="CE63" s="173"/>
      <c r="CF63" s="173"/>
      <c r="CG63" s="173"/>
      <c r="CH63" s="173"/>
      <c r="CI63" s="170"/>
      <c r="CJ63" s="173"/>
      <c r="CK63" s="173"/>
      <c r="CL63" s="173"/>
      <c r="CM63" s="173"/>
      <c r="CN63" s="170"/>
      <c r="CO63" s="173"/>
      <c r="CP63" s="173"/>
      <c r="CQ63" s="173"/>
      <c r="CR63" s="173"/>
      <c r="CS63" s="170"/>
      <c r="CT63" s="173"/>
      <c r="CU63" s="173"/>
      <c r="CV63" s="173"/>
      <c r="CW63" s="173"/>
      <c r="CX63" s="170"/>
      <c r="CY63" s="173"/>
      <c r="CZ63" s="173"/>
      <c r="DA63" s="173"/>
      <c r="DB63" s="173"/>
      <c r="DC63" s="170"/>
      <c r="DD63" s="173"/>
      <c r="DE63" s="173"/>
      <c r="DF63" s="173"/>
      <c r="DG63" s="173"/>
      <c r="DH63" s="170"/>
      <c r="DI63" s="545"/>
      <c r="DJ63" s="545"/>
      <c r="DK63" s="545"/>
      <c r="DL63" s="545"/>
      <c r="DM63" s="538"/>
      <c r="DN63" s="545"/>
      <c r="DO63" s="545"/>
      <c r="DP63" s="545"/>
      <c r="DQ63" s="545"/>
      <c r="DR63" s="538"/>
      <c r="DS63" s="545"/>
      <c r="DT63" s="545"/>
      <c r="DU63" s="545"/>
      <c r="DV63" s="545"/>
      <c r="DW63" s="538"/>
      <c r="DX63" s="545"/>
      <c r="DY63" s="545"/>
      <c r="DZ63" s="545"/>
      <c r="EA63" s="545"/>
      <c r="EB63" s="538"/>
      <c r="EC63" s="545"/>
      <c r="ED63" s="545"/>
      <c r="EE63" s="545"/>
      <c r="EF63" s="545"/>
      <c r="EG63" s="538"/>
      <c r="EH63" s="545"/>
      <c r="EI63" s="545"/>
      <c r="EJ63" s="545"/>
      <c r="EK63" s="545"/>
      <c r="EL63" s="538"/>
    </row>
    <row r="64" spans="1:142" ht="12.75" hidden="1" customHeight="1" outlineLevel="1">
      <c r="A64" s="225"/>
      <c r="B64" s="1326" t="s">
        <v>672</v>
      </c>
      <c r="C64" s="9"/>
      <c r="D64" s="9"/>
      <c r="E64" s="9"/>
      <c r="F64" s="9"/>
      <c r="G64" s="9"/>
      <c r="H64" s="63"/>
      <c r="I64" s="9"/>
      <c r="J64" s="9"/>
      <c r="K64" s="9"/>
      <c r="L64" s="9"/>
      <c r="M64" s="63"/>
      <c r="N64" s="9"/>
      <c r="O64" s="9"/>
      <c r="P64" s="9"/>
      <c r="Q64" s="9"/>
      <c r="R64" s="63"/>
      <c r="S64" s="9"/>
      <c r="T64" s="9"/>
      <c r="U64" s="9"/>
      <c r="V64" s="9"/>
      <c r="W64" s="63"/>
      <c r="X64" s="9"/>
      <c r="Y64" s="9"/>
      <c r="Z64" s="9"/>
      <c r="AA64" s="9"/>
      <c r="AB64" s="63"/>
      <c r="AC64" s="9"/>
      <c r="AD64" s="9"/>
      <c r="AE64" s="9"/>
      <c r="AF64" s="9"/>
      <c r="AG64" s="63"/>
      <c r="AH64" s="9"/>
      <c r="AI64" s="9"/>
      <c r="AJ64" s="9"/>
      <c r="AK64" s="9"/>
      <c r="AL64" s="63"/>
      <c r="AM64" s="53"/>
      <c r="AN64" s="53"/>
      <c r="AO64" s="53"/>
      <c r="AP64" s="53"/>
      <c r="AQ64" s="28"/>
      <c r="AR64" s="53"/>
      <c r="AS64" s="53"/>
      <c r="AT64" s="53"/>
      <c r="AU64" s="186"/>
      <c r="AV64" s="240"/>
      <c r="AW64" s="240"/>
      <c r="AX64" s="240"/>
      <c r="AY64" s="240"/>
      <c r="AZ64" s="241"/>
      <c r="BA64" s="240"/>
      <c r="BB64" s="240"/>
      <c r="BC64" s="240"/>
      <c r="BD64" s="240"/>
      <c r="BE64" s="241"/>
      <c r="BF64" s="240"/>
      <c r="BG64" s="240"/>
      <c r="BH64" s="240"/>
      <c r="BI64" s="240"/>
      <c r="BJ64" s="241"/>
      <c r="BK64" s="171"/>
      <c r="BL64" s="171"/>
      <c r="BM64" s="87"/>
      <c r="BN64" s="171"/>
      <c r="BO64" s="170"/>
      <c r="BP64" s="171"/>
      <c r="BQ64" s="171"/>
      <c r="BR64" s="87"/>
      <c r="BS64" s="171"/>
      <c r="BT64" s="170"/>
      <c r="BU64" s="171"/>
      <c r="BV64" s="171"/>
      <c r="BW64" s="87"/>
      <c r="BX64" s="171"/>
      <c r="BY64" s="170"/>
      <c r="BZ64" s="171"/>
      <c r="CA64" s="171"/>
      <c r="CB64" s="87"/>
      <c r="CC64" s="171"/>
      <c r="CD64" s="170"/>
      <c r="CE64" s="173"/>
      <c r="CF64" s="173"/>
      <c r="CG64" s="173"/>
      <c r="CH64" s="173"/>
      <c r="CI64" s="170"/>
      <c r="CJ64" s="173"/>
      <c r="CK64" s="173"/>
      <c r="CL64" s="173"/>
      <c r="CM64" s="173"/>
      <c r="CN64" s="170"/>
      <c r="CO64" s="173"/>
      <c r="CP64" s="173"/>
      <c r="CQ64" s="173"/>
      <c r="CR64" s="173"/>
      <c r="CS64" s="170"/>
      <c r="CT64" s="173"/>
      <c r="CU64" s="173"/>
      <c r="CV64" s="173"/>
      <c r="CW64" s="173"/>
      <c r="CX64" s="170"/>
      <c r="CY64" s="173"/>
      <c r="CZ64" s="173"/>
      <c r="DA64" s="173"/>
      <c r="DB64" s="173"/>
      <c r="DC64" s="170"/>
      <c r="DD64" s="173"/>
      <c r="DE64" s="173"/>
      <c r="DF64" s="173"/>
      <c r="DG64" s="173"/>
      <c r="DH64" s="170"/>
      <c r="DI64" s="545"/>
      <c r="DJ64" s="545"/>
      <c r="DK64" s="545"/>
      <c r="DL64" s="545"/>
      <c r="DM64" s="538"/>
      <c r="DN64" s="545"/>
      <c r="DO64" s="545"/>
      <c r="DP64" s="545"/>
      <c r="DQ64" s="545"/>
      <c r="DR64" s="538"/>
      <c r="DS64" s="545"/>
      <c r="DT64" s="739">
        <f>DT54+DT60</f>
        <v>1441</v>
      </c>
      <c r="DU64" s="739">
        <f>DU54+DU60</f>
        <v>1450</v>
      </c>
      <c r="DV64" s="739">
        <f>DV54+DV60</f>
        <v>698</v>
      </c>
      <c r="DW64" s="739"/>
      <c r="DX64" s="739">
        <f>DX54+DX60</f>
        <v>1329.3703581558905</v>
      </c>
      <c r="DY64" s="739">
        <f>DY54+DY60</f>
        <v>1105.3766353546889</v>
      </c>
      <c r="DZ64" s="739">
        <f>DZ54+DZ60</f>
        <v>853.21887238129329</v>
      </c>
      <c r="EA64" s="739">
        <f>EA54+EA60</f>
        <v>1067.7108739845173</v>
      </c>
      <c r="EB64" s="739"/>
      <c r="EC64" s="739">
        <f>EC54+EC60</f>
        <v>376.97417916896063</v>
      </c>
      <c r="ED64" s="739">
        <f>ED54+ED60</f>
        <v>520.54772891988341</v>
      </c>
      <c r="EE64" s="739">
        <f>EE54+EE60</f>
        <v>689.98221824519351</v>
      </c>
      <c r="EF64" s="739">
        <f>EF54+EF60</f>
        <v>714.63062624325505</v>
      </c>
      <c r="EG64" s="53"/>
      <c r="EH64" s="739">
        <f>EH54+EH60</f>
        <v>857.96794350851678</v>
      </c>
      <c r="EI64" s="739">
        <f>EI54+EI60</f>
        <v>802.90493870577018</v>
      </c>
      <c r="EJ64" s="739">
        <f>EJ54+EJ60</f>
        <v>852.42194509847184</v>
      </c>
      <c r="EK64" s="739">
        <f>EK54+EK60</f>
        <v>671.25813137678415</v>
      </c>
      <c r="EL64" s="53"/>
    </row>
    <row r="65" spans="1:142" collapsed="1">
      <c r="A65" s="277"/>
      <c r="B65" s="1326"/>
      <c r="C65" s="9"/>
      <c r="D65" s="9"/>
      <c r="E65" s="9"/>
      <c r="F65" s="9"/>
      <c r="G65" s="9"/>
      <c r="H65" s="63"/>
      <c r="I65" s="9"/>
      <c r="J65" s="9"/>
      <c r="K65" s="9"/>
      <c r="L65" s="9"/>
      <c r="M65" s="63"/>
      <c r="N65" s="9"/>
      <c r="O65" s="9"/>
      <c r="P65" s="9"/>
      <c r="Q65" s="9"/>
      <c r="R65" s="63"/>
      <c r="S65" s="9"/>
      <c r="T65" s="9"/>
      <c r="U65" s="9"/>
      <c r="V65" s="9"/>
      <c r="W65" s="63"/>
      <c r="X65" s="9"/>
      <c r="Y65" s="9"/>
      <c r="Z65" s="9"/>
      <c r="AA65" s="9"/>
      <c r="AB65" s="63"/>
      <c r="AC65" s="9"/>
      <c r="AD65" s="9"/>
      <c r="AE65" s="9"/>
      <c r="AF65" s="9"/>
      <c r="AG65" s="63"/>
      <c r="AH65" s="9"/>
      <c r="AI65" s="9"/>
      <c r="AJ65" s="9"/>
      <c r="AK65" s="9"/>
      <c r="AL65" s="63"/>
      <c r="AM65" s="53"/>
      <c r="AN65" s="53"/>
      <c r="AO65" s="53"/>
      <c r="AP65" s="53"/>
      <c r="AQ65" s="28"/>
      <c r="AR65" s="53"/>
      <c r="AS65" s="53"/>
      <c r="AT65" s="53"/>
      <c r="AU65" s="186"/>
      <c r="AV65" s="240"/>
      <c r="AW65" s="240"/>
      <c r="AX65" s="240"/>
      <c r="AY65" s="240"/>
      <c r="AZ65" s="241"/>
      <c r="BA65" s="240"/>
      <c r="BB65" s="240"/>
      <c r="BC65" s="240"/>
      <c r="BD65" s="240"/>
      <c r="BE65" s="241"/>
      <c r="BF65" s="240"/>
      <c r="BG65" s="240"/>
      <c r="BH65" s="240"/>
      <c r="BI65" s="240"/>
      <c r="BJ65" s="241"/>
      <c r="BK65" s="171"/>
      <c r="BL65" s="171"/>
      <c r="BM65" s="171"/>
      <c r="BN65" s="171"/>
      <c r="BO65" s="193"/>
      <c r="BP65" s="171"/>
      <c r="BQ65" s="171"/>
      <c r="BR65" s="171"/>
      <c r="BS65" s="171"/>
      <c r="BT65" s="193"/>
      <c r="BU65" s="171"/>
      <c r="BV65" s="171"/>
      <c r="BW65" s="171"/>
      <c r="BX65" s="171"/>
      <c r="BY65" s="193"/>
      <c r="BZ65" s="171"/>
      <c r="CA65" s="171"/>
      <c r="CB65" s="171"/>
      <c r="CC65" s="171"/>
      <c r="CD65" s="193"/>
      <c r="CE65" s="171"/>
      <c r="CF65" s="171"/>
      <c r="CG65" s="171"/>
      <c r="CH65" s="171"/>
      <c r="CI65" s="193"/>
      <c r="CJ65" s="171"/>
      <c r="CK65" s="171"/>
      <c r="CL65" s="171"/>
      <c r="CM65" s="171"/>
      <c r="CN65" s="193"/>
      <c r="CO65" s="171"/>
      <c r="CP65" s="171"/>
      <c r="CQ65" s="171"/>
      <c r="CR65" s="171"/>
      <c r="CS65" s="193"/>
      <c r="CT65" s="210"/>
      <c r="CU65" s="53"/>
      <c r="CV65" s="53"/>
      <c r="CW65" s="53"/>
      <c r="CX65" s="28"/>
      <c r="CY65" s="53"/>
      <c r="CZ65" s="53"/>
      <c r="DA65" s="53"/>
      <c r="DB65" s="53"/>
      <c r="DC65" s="28"/>
      <c r="DD65" s="53"/>
      <c r="DE65" s="53"/>
      <c r="DF65" s="53"/>
      <c r="DG65" s="53"/>
      <c r="DH65" s="28"/>
      <c r="DI65" s="53"/>
      <c r="DJ65" s="53"/>
      <c r="DK65" s="53"/>
      <c r="DL65" s="53"/>
      <c r="DM65" s="53"/>
      <c r="DN65" s="53"/>
      <c r="DO65" s="53"/>
      <c r="DP65" s="53"/>
      <c r="DQ65" s="53"/>
      <c r="DR65" s="53"/>
      <c r="DS65" s="53"/>
      <c r="DT65" s="739"/>
      <c r="DU65" s="739"/>
      <c r="DV65" s="739"/>
      <c r="DW65" s="739"/>
      <c r="DX65" s="739"/>
      <c r="DY65" s="739"/>
      <c r="DZ65" s="739"/>
      <c r="EA65" s="739"/>
      <c r="EB65" s="739"/>
      <c r="EC65" s="739"/>
      <c r="ED65" s="739"/>
      <c r="EE65" s="739"/>
      <c r="EF65" s="739"/>
      <c r="EG65" s="739"/>
      <c r="EH65" s="739"/>
      <c r="EI65" s="739"/>
      <c r="EJ65" s="739"/>
      <c r="EK65" s="739"/>
      <c r="EL65" s="739"/>
    </row>
    <row r="66" spans="1:142">
      <c r="A66" s="1327"/>
      <c r="B66" s="242" t="s">
        <v>296</v>
      </c>
      <c r="C66" s="228"/>
      <c r="D66" s="228"/>
      <c r="E66" s="228"/>
      <c r="F66" s="228"/>
      <c r="G66" s="228"/>
      <c r="H66" s="229"/>
      <c r="I66" s="228"/>
      <c r="J66" s="228"/>
      <c r="K66" s="228"/>
      <c r="L66" s="228"/>
      <c r="M66" s="229"/>
      <c r="N66" s="228"/>
      <c r="O66" s="228"/>
      <c r="P66" s="228"/>
      <c r="Q66" s="228"/>
      <c r="R66" s="229"/>
      <c r="S66" s="228"/>
      <c r="T66" s="228"/>
      <c r="U66" s="228"/>
      <c r="V66" s="228"/>
      <c r="W66" s="229"/>
      <c r="X66" s="228"/>
      <c r="Y66" s="228"/>
      <c r="Z66" s="228"/>
      <c r="AA66" s="228"/>
      <c r="AB66" s="229"/>
      <c r="AC66" s="228"/>
      <c r="AD66" s="228"/>
      <c r="AE66" s="228"/>
      <c r="AF66" s="228"/>
      <c r="AG66" s="229"/>
      <c r="AH66" s="228"/>
      <c r="AI66" s="228"/>
      <c r="AJ66" s="228"/>
      <c r="AK66" s="228"/>
      <c r="AL66" s="229"/>
      <c r="AM66" s="243"/>
      <c r="AN66" s="243"/>
      <c r="AO66" s="243"/>
      <c r="AP66" s="243"/>
      <c r="AQ66" s="244"/>
      <c r="AR66" s="243"/>
      <c r="AS66" s="243"/>
      <c r="AT66" s="243"/>
      <c r="AU66" s="230"/>
      <c r="AV66" s="245"/>
      <c r="AW66" s="245"/>
      <c r="AX66" s="245"/>
      <c r="AY66" s="245"/>
      <c r="AZ66" s="246"/>
      <c r="BA66" s="245"/>
      <c r="BB66" s="245"/>
      <c r="BC66" s="245"/>
      <c r="BD66" s="245"/>
      <c r="BE66" s="246"/>
      <c r="BF66" s="245"/>
      <c r="BG66" s="245"/>
      <c r="BH66" s="245"/>
      <c r="BI66" s="245"/>
      <c r="BJ66" s="246"/>
      <c r="BK66" s="228"/>
      <c r="BL66" s="228"/>
      <c r="BM66" s="228"/>
      <c r="BN66" s="228"/>
      <c r="BO66" s="229"/>
      <c r="BP66" s="228"/>
      <c r="BQ66" s="228"/>
      <c r="BR66" s="228"/>
      <c r="BS66" s="228"/>
      <c r="BT66" s="229"/>
      <c r="BU66" s="228"/>
      <c r="BV66" s="228"/>
      <c r="BW66" s="228"/>
      <c r="BX66" s="228"/>
      <c r="BY66" s="229"/>
      <c r="BZ66" s="228"/>
      <c r="CA66" s="228"/>
      <c r="CB66" s="228"/>
      <c r="CC66" s="228"/>
      <c r="CD66" s="229"/>
      <c r="CE66" s="228"/>
      <c r="CF66" s="228"/>
      <c r="CG66" s="228"/>
      <c r="CH66" s="228"/>
      <c r="CI66" s="229"/>
      <c r="CJ66" s="228"/>
      <c r="CK66" s="228"/>
      <c r="CL66" s="228"/>
      <c r="CM66" s="228"/>
      <c r="CN66" s="229"/>
      <c r="CO66" s="228"/>
      <c r="CP66" s="228"/>
      <c r="CQ66" s="228"/>
      <c r="CR66" s="228"/>
      <c r="CS66" s="229"/>
      <c r="CT66" s="228"/>
      <c r="CU66" s="228"/>
      <c r="CV66" s="228"/>
      <c r="CW66" s="228"/>
      <c r="CX66" s="229"/>
      <c r="CY66" s="228"/>
      <c r="CZ66" s="228"/>
      <c r="DA66" s="228"/>
      <c r="DB66" s="228"/>
      <c r="DC66" s="229"/>
      <c r="DD66" s="228"/>
      <c r="DE66" s="228"/>
      <c r="DF66" s="228"/>
      <c r="DG66" s="228"/>
      <c r="DH66" s="229"/>
      <c r="DI66" s="228"/>
      <c r="DJ66" s="228"/>
      <c r="DK66" s="231"/>
      <c r="DL66" s="228"/>
      <c r="DM66" s="229"/>
      <c r="DN66" s="228"/>
      <c r="DO66" s="228"/>
      <c r="DP66" s="228"/>
      <c r="DQ66" s="228"/>
      <c r="DR66" s="229"/>
      <c r="DS66" s="228"/>
      <c r="DT66" s="228"/>
      <c r="DU66" s="228"/>
      <c r="DV66" s="228"/>
      <c r="DW66" s="229"/>
      <c r="DX66" s="228"/>
      <c r="DY66" s="228"/>
      <c r="DZ66" s="228"/>
      <c r="EA66" s="228"/>
      <c r="EB66" s="229"/>
      <c r="EC66" s="228"/>
      <c r="ED66" s="228"/>
      <c r="EE66" s="228"/>
      <c r="EF66" s="228"/>
      <c r="EG66" s="229"/>
      <c r="EH66" s="228"/>
      <c r="EI66" s="228"/>
      <c r="EJ66" s="228"/>
      <c r="EK66" s="228"/>
      <c r="EL66" s="229"/>
    </row>
    <row r="67" spans="1:142">
      <c r="A67" s="1328"/>
      <c r="B67" s="247" t="s">
        <v>297</v>
      </c>
      <c r="C67" s="9"/>
      <c r="D67" s="9"/>
      <c r="E67" s="9"/>
      <c r="F67" s="9"/>
      <c r="G67" s="9"/>
      <c r="H67" s="63"/>
      <c r="I67" s="9"/>
      <c r="J67" s="9"/>
      <c r="K67" s="9"/>
      <c r="L67" s="9"/>
      <c r="M67" s="63"/>
      <c r="N67" s="9"/>
      <c r="O67" s="9"/>
      <c r="P67" s="9"/>
      <c r="Q67" s="9"/>
      <c r="R67" s="63"/>
      <c r="S67" s="9"/>
      <c r="T67" s="9"/>
      <c r="U67" s="9"/>
      <c r="V67" s="9"/>
      <c r="W67" s="63"/>
      <c r="X67" s="9"/>
      <c r="Y67" s="9"/>
      <c r="Z67" s="9"/>
      <c r="AA67" s="9"/>
      <c r="AB67" s="63"/>
      <c r="AC67" s="9"/>
      <c r="AD67" s="9"/>
      <c r="AE67" s="9"/>
      <c r="AF67" s="9"/>
      <c r="AG67" s="63"/>
      <c r="AH67" s="9"/>
      <c r="AI67" s="9"/>
      <c r="AJ67" s="9"/>
      <c r="AK67" s="9"/>
      <c r="AL67" s="63"/>
      <c r="AM67" s="53"/>
      <c r="AN67" s="53"/>
      <c r="AO67" s="53"/>
      <c r="AP67" s="53"/>
      <c r="AQ67" s="28"/>
      <c r="AR67" s="53"/>
      <c r="AS67" s="53"/>
      <c r="AT67" s="53"/>
      <c r="AU67" s="186"/>
      <c r="AV67" s="240"/>
      <c r="AW67" s="240"/>
      <c r="AX67" s="240"/>
      <c r="AY67" s="240"/>
      <c r="AZ67" s="241"/>
      <c r="BA67" s="240"/>
      <c r="BB67" s="240"/>
      <c r="BC67" s="240"/>
      <c r="BD67" s="240"/>
      <c r="BE67" s="241"/>
      <c r="BF67" s="240"/>
      <c r="BG67" s="240"/>
      <c r="BH67" s="240"/>
      <c r="BI67" s="240"/>
      <c r="BJ67" s="241"/>
      <c r="BK67" s="9"/>
      <c r="BL67" s="9"/>
      <c r="BM67" s="9"/>
      <c r="BN67" s="9"/>
      <c r="BO67" s="63"/>
      <c r="BP67" s="9"/>
      <c r="BQ67" s="9"/>
      <c r="BR67" s="9"/>
      <c r="BS67" s="9"/>
      <c r="BT67" s="63"/>
      <c r="BU67" s="9"/>
      <c r="BV67" s="9"/>
      <c r="BW67" s="9"/>
      <c r="BX67" s="9"/>
      <c r="BY67" s="63"/>
      <c r="BZ67" s="9"/>
      <c r="CA67" s="9"/>
      <c r="CB67" s="9"/>
      <c r="CC67" s="9"/>
      <c r="CD67" s="63"/>
      <c r="CE67" s="248"/>
      <c r="CF67" s="248"/>
      <c r="CG67" s="248"/>
      <c r="CH67" s="248"/>
      <c r="CI67" s="193"/>
      <c r="CJ67" s="248"/>
      <c r="CK67" s="248"/>
      <c r="CL67" s="248"/>
      <c r="CM67" s="248"/>
      <c r="CN67" s="193"/>
      <c r="CO67" s="248"/>
      <c r="CP67" s="248"/>
      <c r="CQ67" s="248"/>
      <c r="CR67" s="248"/>
      <c r="CS67" s="193"/>
      <c r="CT67" s="248"/>
      <c r="CU67" s="248"/>
      <c r="CV67" s="248"/>
      <c r="CW67" s="249"/>
      <c r="CX67" s="193"/>
      <c r="CY67" s="250"/>
      <c r="CZ67" s="250"/>
      <c r="DA67" s="210"/>
      <c r="DB67" s="251">
        <v>0.06</v>
      </c>
      <c r="DC67" s="193"/>
      <c r="DD67" s="252">
        <v>0.06</v>
      </c>
      <c r="DE67" s="251">
        <v>0.06</v>
      </c>
      <c r="DF67" s="251">
        <v>0.06</v>
      </c>
      <c r="DG67" s="251">
        <v>0.06</v>
      </c>
      <c r="DH67" s="253">
        <v>0.06</v>
      </c>
      <c r="DI67" s="252">
        <v>0.06</v>
      </c>
      <c r="DJ67" s="251">
        <v>0.06</v>
      </c>
      <c r="DK67" s="251">
        <v>0.06</v>
      </c>
      <c r="DL67" s="251">
        <v>0.06</v>
      </c>
      <c r="DM67" s="253">
        <v>0.06</v>
      </c>
      <c r="DN67" s="252">
        <v>0.06</v>
      </c>
      <c r="DO67" s="251">
        <v>0.06</v>
      </c>
      <c r="DP67" s="251">
        <v>0.06</v>
      </c>
      <c r="DQ67" s="251">
        <v>0.06</v>
      </c>
      <c r="DR67" s="253">
        <v>0.06</v>
      </c>
      <c r="DS67" s="254">
        <v>0.06</v>
      </c>
      <c r="DT67" s="251">
        <v>0.06</v>
      </c>
      <c r="DU67" s="251">
        <v>0.06</v>
      </c>
      <c r="DV67" s="251">
        <v>0.06</v>
      </c>
      <c r="DW67" s="253">
        <v>0.06</v>
      </c>
      <c r="DX67" s="254">
        <v>0.06</v>
      </c>
      <c r="DY67" s="251">
        <v>0.06</v>
      </c>
      <c r="DZ67" s="251">
        <v>0.06</v>
      </c>
      <c r="EA67" s="251">
        <v>0.06</v>
      </c>
      <c r="EB67" s="253">
        <v>0.06</v>
      </c>
      <c r="EC67" s="254">
        <v>0.06</v>
      </c>
      <c r="ED67" s="251">
        <v>0.06</v>
      </c>
      <c r="EE67" s="251">
        <v>0.06</v>
      </c>
      <c r="EF67" s="251">
        <v>0.06</v>
      </c>
      <c r="EG67" s="253">
        <v>0.06</v>
      </c>
      <c r="EH67" s="254">
        <v>0.06</v>
      </c>
      <c r="EI67" s="251">
        <v>0.06</v>
      </c>
      <c r="EJ67" s="251">
        <v>0.06</v>
      </c>
      <c r="EK67" s="251">
        <v>0.06</v>
      </c>
      <c r="EL67" s="253">
        <v>0.06</v>
      </c>
    </row>
    <row r="68" spans="1:142">
      <c r="A68" s="225"/>
      <c r="B68" s="209" t="s">
        <v>298</v>
      </c>
      <c r="C68" s="9"/>
      <c r="D68" s="9"/>
      <c r="E68" s="9"/>
      <c r="F68" s="9"/>
      <c r="G68" s="9"/>
      <c r="H68" s="63"/>
      <c r="I68" s="9"/>
      <c r="J68" s="9"/>
      <c r="K68" s="9"/>
      <c r="L68" s="9"/>
      <c r="M68" s="63"/>
      <c r="N68" s="9"/>
      <c r="O68" s="9"/>
      <c r="P68" s="9"/>
      <c r="Q68" s="9"/>
      <c r="R68" s="63"/>
      <c r="S68" s="9"/>
      <c r="T68" s="9"/>
      <c r="U68" s="9"/>
      <c r="V68" s="9"/>
      <c r="W68" s="63"/>
      <c r="X68" s="9"/>
      <c r="Y68" s="9"/>
      <c r="Z68" s="9"/>
      <c r="AA68" s="9"/>
      <c r="AB68" s="63"/>
      <c r="AC68" s="9"/>
      <c r="AD68" s="9"/>
      <c r="AE68" s="9"/>
      <c r="AF68" s="9"/>
      <c r="AG68" s="63"/>
      <c r="AH68" s="9"/>
      <c r="AI68" s="9"/>
      <c r="AJ68" s="9"/>
      <c r="AK68" s="9"/>
      <c r="AL68" s="63"/>
      <c r="AM68" s="53"/>
      <c r="AN68" s="53"/>
      <c r="AO68" s="53"/>
      <c r="AP68" s="53"/>
      <c r="AQ68" s="28"/>
      <c r="AR68" s="53"/>
      <c r="AS68" s="53"/>
      <c r="AT68" s="53"/>
      <c r="AU68" s="186"/>
      <c r="AV68" s="240"/>
      <c r="AW68" s="240"/>
      <c r="AX68" s="240"/>
      <c r="AY68" s="240"/>
      <c r="AZ68" s="241"/>
      <c r="BA68" s="240"/>
      <c r="BB68" s="240"/>
      <c r="BC68" s="240"/>
      <c r="BD68" s="240"/>
      <c r="BE68" s="241"/>
      <c r="BF68" s="240"/>
      <c r="BG68" s="240"/>
      <c r="BH68" s="240"/>
      <c r="BI68" s="240"/>
      <c r="BJ68" s="241"/>
      <c r="BK68" s="1393"/>
      <c r="BL68" s="1393"/>
      <c r="BM68" s="1393"/>
      <c r="BN68" s="1393"/>
      <c r="BO68" s="1394"/>
      <c r="BP68" s="1393"/>
      <c r="BQ68" s="1393"/>
      <c r="BR68" s="1393"/>
      <c r="BS68" s="1393"/>
      <c r="BT68" s="1394"/>
      <c r="BU68" s="1393"/>
      <c r="BV68" s="1393"/>
      <c r="BW68" s="1393"/>
      <c r="BX68" s="1393"/>
      <c r="BY68" s="1394"/>
      <c r="BZ68" s="1393"/>
      <c r="CA68" s="1393"/>
      <c r="CB68" s="1393"/>
      <c r="CC68" s="1393"/>
      <c r="CD68" s="1394"/>
      <c r="CE68" s="257"/>
      <c r="CF68" s="257"/>
      <c r="CG68" s="257"/>
      <c r="CH68" s="257"/>
      <c r="CI68" s="258"/>
      <c r="CJ68" s="257"/>
      <c r="CK68" s="257"/>
      <c r="CL68" s="257"/>
      <c r="CM68" s="257"/>
      <c r="CN68" s="258"/>
      <c r="CO68" s="257"/>
      <c r="CP68" s="257"/>
      <c r="CQ68" s="257"/>
      <c r="CR68" s="257"/>
      <c r="CS68" s="258"/>
      <c r="CT68" s="257"/>
      <c r="CU68" s="257"/>
      <c r="CV68" s="257"/>
      <c r="CW68" s="257"/>
      <c r="CX68" s="258"/>
      <c r="CY68" s="257"/>
      <c r="CZ68" s="257"/>
      <c r="DA68" s="289"/>
      <c r="DB68" s="289">
        <f>DA71</f>
        <v>0</v>
      </c>
      <c r="DC68" s="258"/>
      <c r="DD68" s="257">
        <f>DC71</f>
        <v>1800</v>
      </c>
      <c r="DE68" s="289">
        <f>DD71</f>
        <v>1800</v>
      </c>
      <c r="DF68" s="289">
        <f>DE71</f>
        <v>1800</v>
      </c>
      <c r="DG68" s="289">
        <f>DF71</f>
        <v>1800</v>
      </c>
      <c r="DH68" s="258"/>
      <c r="DI68" s="1385">
        <v>1800</v>
      </c>
      <c r="DJ68" s="1391">
        <f>DI71</f>
        <v>1800</v>
      </c>
      <c r="DK68" s="1395">
        <f>DJ71</f>
        <v>1800</v>
      </c>
      <c r="DL68" s="1391">
        <f>DK71</f>
        <v>1800</v>
      </c>
      <c r="DM68" s="1390"/>
      <c r="DN68" s="1385">
        <v>1800</v>
      </c>
      <c r="DO68" s="1391">
        <f>DN71</f>
        <v>1800</v>
      </c>
      <c r="DP68" s="1391">
        <f>DO71</f>
        <v>1800</v>
      </c>
      <c r="DQ68" s="1391">
        <f>DP71</f>
        <v>1800</v>
      </c>
      <c r="DR68" s="1390"/>
      <c r="DS68" s="1386">
        <v>1800</v>
      </c>
      <c r="DT68" s="1391">
        <f>DS71</f>
        <v>1800</v>
      </c>
      <c r="DU68" s="1391">
        <f>DT71</f>
        <v>1800</v>
      </c>
      <c r="DV68" s="1391">
        <f>DU71</f>
        <v>1800</v>
      </c>
      <c r="DW68" s="1390"/>
      <c r="DX68" s="1387">
        <v>1800</v>
      </c>
      <c r="DY68" s="1391">
        <f>DX71</f>
        <v>1300</v>
      </c>
      <c r="DZ68" s="1391">
        <f>DY71</f>
        <v>800</v>
      </c>
      <c r="EA68" s="1391">
        <f>DZ71</f>
        <v>800</v>
      </c>
      <c r="EB68" s="1390"/>
      <c r="EC68" s="539">
        <f>EB71</f>
        <v>300</v>
      </c>
      <c r="ED68" s="1391">
        <f>EC71</f>
        <v>300</v>
      </c>
      <c r="EE68" s="1391">
        <f>ED71</f>
        <v>300</v>
      </c>
      <c r="EF68" s="1391">
        <f>EE71</f>
        <v>300</v>
      </c>
      <c r="EG68" s="1390"/>
      <c r="EH68" s="539">
        <f>EG71</f>
        <v>300</v>
      </c>
      <c r="EI68" s="1391">
        <f>EH71</f>
        <v>300</v>
      </c>
      <c r="EJ68" s="1391">
        <f>EI71</f>
        <v>300</v>
      </c>
      <c r="EK68" s="1391">
        <f>EJ71</f>
        <v>300</v>
      </c>
      <c r="EL68" s="1390"/>
    </row>
    <row r="69" spans="1:142">
      <c r="A69" s="225"/>
      <c r="B69" s="209" t="s">
        <v>674</v>
      </c>
      <c r="C69" s="9"/>
      <c r="D69" s="9"/>
      <c r="E69" s="9"/>
      <c r="F69" s="9"/>
      <c r="G69" s="9"/>
      <c r="H69" s="63"/>
      <c r="I69" s="9"/>
      <c r="J69" s="9"/>
      <c r="K69" s="9"/>
      <c r="L69" s="9"/>
      <c r="M69" s="63"/>
      <c r="N69" s="9"/>
      <c r="O69" s="9"/>
      <c r="P69" s="9"/>
      <c r="Q69" s="9"/>
      <c r="R69" s="63"/>
      <c r="S69" s="9"/>
      <c r="T69" s="9"/>
      <c r="U69" s="9"/>
      <c r="V69" s="9"/>
      <c r="W69" s="63"/>
      <c r="X69" s="9"/>
      <c r="Y69" s="9"/>
      <c r="Z69" s="9"/>
      <c r="AA69" s="9"/>
      <c r="AB69" s="63"/>
      <c r="AC69" s="9"/>
      <c r="AD69" s="9"/>
      <c r="AE69" s="9"/>
      <c r="AF69" s="9"/>
      <c r="AG69" s="63"/>
      <c r="AH69" s="9"/>
      <c r="AI69" s="9"/>
      <c r="AJ69" s="9"/>
      <c r="AK69" s="9"/>
      <c r="AL69" s="63"/>
      <c r="AM69" s="53"/>
      <c r="AN69" s="53"/>
      <c r="AO69" s="53"/>
      <c r="AP69" s="53"/>
      <c r="AQ69" s="28"/>
      <c r="AR69" s="53"/>
      <c r="AS69" s="53"/>
      <c r="AT69" s="53"/>
      <c r="AU69" s="186"/>
      <c r="AV69" s="240"/>
      <c r="AW69" s="240"/>
      <c r="AX69" s="240"/>
      <c r="AY69" s="240"/>
      <c r="AZ69" s="241"/>
      <c r="BA69" s="240"/>
      <c r="BB69" s="240"/>
      <c r="BC69" s="240"/>
      <c r="BD69" s="240"/>
      <c r="BE69" s="241"/>
      <c r="BF69" s="240"/>
      <c r="BG69" s="240"/>
      <c r="BH69" s="240"/>
      <c r="BI69" s="240"/>
      <c r="BJ69" s="241"/>
      <c r="BK69" s="255"/>
      <c r="BL69" s="255"/>
      <c r="BM69" s="255"/>
      <c r="BN69" s="255"/>
      <c r="BO69" s="256"/>
      <c r="BP69" s="255"/>
      <c r="BQ69" s="255"/>
      <c r="BR69" s="255"/>
      <c r="BS69" s="255"/>
      <c r="BT69" s="256"/>
      <c r="BU69" s="255"/>
      <c r="BV69" s="255"/>
      <c r="BW69" s="255"/>
      <c r="BX69" s="255"/>
      <c r="BY69" s="256"/>
      <c r="BZ69" s="255"/>
      <c r="CA69" s="255"/>
      <c r="CB69" s="255"/>
      <c r="CC69" s="255"/>
      <c r="CD69" s="256"/>
      <c r="CE69" s="257"/>
      <c r="CF69" s="257"/>
      <c r="CG69" s="257"/>
      <c r="CH69" s="257"/>
      <c r="CI69" s="258"/>
      <c r="CJ69" s="257"/>
      <c r="CK69" s="257"/>
      <c r="CL69" s="257"/>
      <c r="CM69" s="257"/>
      <c r="CN69" s="258"/>
      <c r="CO69" s="257"/>
      <c r="CP69" s="257"/>
      <c r="CQ69" s="257"/>
      <c r="CR69" s="257"/>
      <c r="CS69" s="258"/>
      <c r="CT69" s="257"/>
      <c r="CU69" s="257"/>
      <c r="CV69" s="257"/>
      <c r="CW69" s="257"/>
      <c r="CX69" s="258"/>
      <c r="CY69" s="257"/>
      <c r="CZ69" s="257"/>
      <c r="DA69" s="259"/>
      <c r="DB69" s="259"/>
      <c r="DC69" s="258"/>
      <c r="DD69" s="257"/>
      <c r="DE69" s="259"/>
      <c r="DF69" s="259"/>
      <c r="DG69" s="259"/>
      <c r="DH69" s="260"/>
      <c r="DI69" s="1378">
        <v>0</v>
      </c>
      <c r="DJ69" s="1378">
        <v>0</v>
      </c>
      <c r="DK69" s="1378">
        <v>0</v>
      </c>
      <c r="DL69" s="1378">
        <v>0</v>
      </c>
      <c r="DM69" s="1380">
        <f>SUM(DI69:DL69)</f>
        <v>0</v>
      </c>
      <c r="DN69" s="1378">
        <v>0</v>
      </c>
      <c r="DO69" s="1378">
        <v>0</v>
      </c>
      <c r="DP69" s="1378">
        <v>0</v>
      </c>
      <c r="DQ69" s="1378">
        <v>0</v>
      </c>
      <c r="DR69" s="1380">
        <f>SUM(DN69:DQ69)</f>
        <v>0</v>
      </c>
      <c r="DS69" s="1378">
        <v>0</v>
      </c>
      <c r="DT69" s="1378">
        <v>0</v>
      </c>
      <c r="DU69" s="1378">
        <v>0</v>
      </c>
      <c r="DV69" s="1378">
        <v>0</v>
      </c>
      <c r="DW69" s="1380">
        <f>SUM(DS69:DV69)</f>
        <v>0</v>
      </c>
      <c r="DX69" s="1378">
        <v>0</v>
      </c>
      <c r="DY69" s="1378">
        <v>0</v>
      </c>
      <c r="DZ69" s="1378">
        <v>0</v>
      </c>
      <c r="EA69" s="1378">
        <v>0</v>
      </c>
      <c r="EB69" s="1380">
        <f>SUM(DX69:EA69)</f>
        <v>0</v>
      </c>
      <c r="EC69" s="1378">
        <v>0</v>
      </c>
      <c r="ED69" s="1378">
        <v>0</v>
      </c>
      <c r="EE69" s="1378">
        <v>0</v>
      </c>
      <c r="EF69" s="1378">
        <v>0</v>
      </c>
      <c r="EG69" s="1380">
        <f>SUM(EC69:EF69)</f>
        <v>0</v>
      </c>
      <c r="EH69" s="1378">
        <v>0</v>
      </c>
      <c r="EI69" s="1378">
        <v>0</v>
      </c>
      <c r="EJ69" s="1378">
        <v>0</v>
      </c>
      <c r="EK69" s="1378">
        <v>0</v>
      </c>
      <c r="EL69" s="1380">
        <f>SUM(EH69:EK69)</f>
        <v>0</v>
      </c>
    </row>
    <row r="70" spans="1:142">
      <c r="A70" s="225"/>
      <c r="B70" s="214" t="s">
        <v>675</v>
      </c>
      <c r="C70" s="9"/>
      <c r="D70" s="9"/>
      <c r="E70" s="9"/>
      <c r="F70" s="9"/>
      <c r="G70" s="9"/>
      <c r="H70" s="63"/>
      <c r="I70" s="9"/>
      <c r="J70" s="9"/>
      <c r="K70" s="9"/>
      <c r="L70" s="9"/>
      <c r="M70" s="63"/>
      <c r="N70" s="9"/>
      <c r="O70" s="9"/>
      <c r="P70" s="9"/>
      <c r="Q70" s="9"/>
      <c r="R70" s="63"/>
      <c r="S70" s="9"/>
      <c r="T70" s="9"/>
      <c r="U70" s="9"/>
      <c r="V70" s="9"/>
      <c r="W70" s="63"/>
      <c r="X70" s="9"/>
      <c r="Y70" s="9"/>
      <c r="Z70" s="9"/>
      <c r="AA70" s="9"/>
      <c r="AB70" s="63"/>
      <c r="AC70" s="9"/>
      <c r="AD70" s="9"/>
      <c r="AE70" s="9"/>
      <c r="AF70" s="9"/>
      <c r="AG70" s="63"/>
      <c r="AH70" s="9"/>
      <c r="AI70" s="9"/>
      <c r="AJ70" s="9"/>
      <c r="AK70" s="9"/>
      <c r="AL70" s="63"/>
      <c r="AM70" s="53"/>
      <c r="AN70" s="53"/>
      <c r="AO70" s="53"/>
      <c r="AP70" s="53"/>
      <c r="AQ70" s="28"/>
      <c r="AR70" s="53"/>
      <c r="AS70" s="53"/>
      <c r="AT70" s="53"/>
      <c r="AU70" s="186"/>
      <c r="AV70" s="240"/>
      <c r="AW70" s="240"/>
      <c r="AX70" s="240"/>
      <c r="AY70" s="240"/>
      <c r="AZ70" s="241"/>
      <c r="BA70" s="240"/>
      <c r="BB70" s="240"/>
      <c r="BC70" s="240"/>
      <c r="BD70" s="240"/>
      <c r="BE70" s="241"/>
      <c r="BF70" s="240"/>
      <c r="BG70" s="240"/>
      <c r="BH70" s="240"/>
      <c r="BI70" s="240"/>
      <c r="BJ70" s="241"/>
      <c r="BK70" s="48"/>
      <c r="BL70" s="48"/>
      <c r="BM70" s="262"/>
      <c r="BN70" s="48"/>
      <c r="BO70" s="64"/>
      <c r="BP70" s="48"/>
      <c r="BQ70" s="48"/>
      <c r="BR70" s="262"/>
      <c r="BS70" s="48"/>
      <c r="BT70" s="64"/>
      <c r="BU70" s="48"/>
      <c r="BV70" s="48"/>
      <c r="BW70" s="262"/>
      <c r="BX70" s="48"/>
      <c r="BY70" s="64"/>
      <c r="BZ70" s="48"/>
      <c r="CA70" s="48"/>
      <c r="CB70" s="262"/>
      <c r="CC70" s="48"/>
      <c r="CD70" s="64"/>
      <c r="CE70" s="174"/>
      <c r="CF70" s="174"/>
      <c r="CG70" s="174"/>
      <c r="CH70" s="174"/>
      <c r="CI70" s="263"/>
      <c r="CJ70" s="174"/>
      <c r="CK70" s="174"/>
      <c r="CL70" s="174"/>
      <c r="CM70" s="174"/>
      <c r="CN70" s="263"/>
      <c r="CO70" s="174"/>
      <c r="CP70" s="174"/>
      <c r="CQ70" s="174"/>
      <c r="CR70" s="174"/>
      <c r="CS70" s="263"/>
      <c r="CT70" s="174"/>
      <c r="CU70" s="174"/>
      <c r="CV70" s="174"/>
      <c r="CW70" s="174"/>
      <c r="CX70" s="263"/>
      <c r="CY70" s="174"/>
      <c r="CZ70" s="174"/>
      <c r="DA70" s="174"/>
      <c r="DB70" s="174">
        <v>1800</v>
      </c>
      <c r="DC70" s="263"/>
      <c r="DD70" s="174"/>
      <c r="DE70" s="174">
        <f>+DE71-DE68</f>
        <v>0</v>
      </c>
      <c r="DF70" s="174">
        <f>+DF71-DF68</f>
        <v>0</v>
      </c>
      <c r="DG70" s="174">
        <f>+DG71-DG68</f>
        <v>0</v>
      </c>
      <c r="DH70" s="263">
        <v>0</v>
      </c>
      <c r="DI70" s="1379">
        <v>0</v>
      </c>
      <c r="DJ70" s="1379">
        <v>0</v>
      </c>
      <c r="DK70" s="1379">
        <v>0</v>
      </c>
      <c r="DL70" s="1379">
        <v>0</v>
      </c>
      <c r="DM70" s="1381">
        <f>SUM(DI70:DL70)</f>
        <v>0</v>
      </c>
      <c r="DN70" s="1379">
        <v>0</v>
      </c>
      <c r="DO70" s="1379">
        <v>0</v>
      </c>
      <c r="DP70" s="1379">
        <v>0</v>
      </c>
      <c r="DQ70" s="1379">
        <v>0</v>
      </c>
      <c r="DR70" s="1381">
        <f>SUM(DN70:DQ70)</f>
        <v>0</v>
      </c>
      <c r="DS70" s="1379">
        <v>0</v>
      </c>
      <c r="DT70" s="1379">
        <v>0</v>
      </c>
      <c r="DU70" s="1379">
        <v>0</v>
      </c>
      <c r="DV70" s="1379">
        <v>0</v>
      </c>
      <c r="DW70" s="1381">
        <f>SUM(DS70:DV70)</f>
        <v>0</v>
      </c>
      <c r="DX70" s="1379">
        <v>-500</v>
      </c>
      <c r="DY70" s="1379">
        <v>-500</v>
      </c>
      <c r="DZ70" s="1379">
        <v>0</v>
      </c>
      <c r="EA70" s="1379">
        <v>-500</v>
      </c>
      <c r="EB70" s="1381">
        <f>SUM(DX70:EA70)</f>
        <v>-1500</v>
      </c>
      <c r="EC70" s="1379">
        <v>0</v>
      </c>
      <c r="ED70" s="1379">
        <v>0</v>
      </c>
      <c r="EE70" s="1379">
        <v>0</v>
      </c>
      <c r="EF70" s="1379">
        <v>0</v>
      </c>
      <c r="EG70" s="1381">
        <f>SUM(EC70:EF70)</f>
        <v>0</v>
      </c>
      <c r="EH70" s="1379">
        <v>0</v>
      </c>
      <c r="EI70" s="1379">
        <v>0</v>
      </c>
      <c r="EJ70" s="1379">
        <v>0</v>
      </c>
      <c r="EK70" s="1379">
        <v>0</v>
      </c>
      <c r="EL70" s="1381">
        <f>SUM(EH70:EK70)</f>
        <v>0</v>
      </c>
    </row>
    <row r="71" spans="1:142">
      <c r="A71" s="225"/>
      <c r="B71" s="209" t="s">
        <v>299</v>
      </c>
      <c r="C71" s="195"/>
      <c r="D71" s="195"/>
      <c r="E71" s="195"/>
      <c r="F71" s="195"/>
      <c r="G71" s="195"/>
      <c r="H71" s="196"/>
      <c r="I71" s="195"/>
      <c r="J71" s="195"/>
      <c r="K71" s="195"/>
      <c r="L71" s="195"/>
      <c r="M71" s="196"/>
      <c r="N71" s="195"/>
      <c r="O71" s="195"/>
      <c r="P71" s="195"/>
      <c r="Q71" s="195"/>
      <c r="R71" s="196"/>
      <c r="S71" s="195"/>
      <c r="T71" s="195"/>
      <c r="U71" s="195"/>
      <c r="V71" s="195"/>
      <c r="W71" s="196"/>
      <c r="X71" s="195"/>
      <c r="Y71" s="195"/>
      <c r="Z71" s="195"/>
      <c r="AA71" s="195"/>
      <c r="AB71" s="196"/>
      <c r="AC71" s="195"/>
      <c r="AD71" s="195"/>
      <c r="AE71" s="195"/>
      <c r="AF71" s="195"/>
      <c r="AG71" s="196"/>
      <c r="AH71" s="195"/>
      <c r="AI71" s="195"/>
      <c r="AJ71" s="195"/>
      <c r="AK71" s="195"/>
      <c r="AL71" s="196"/>
      <c r="AM71" s="57"/>
      <c r="AN71" s="57"/>
      <c r="AO71" s="57"/>
      <c r="AP71" s="57"/>
      <c r="AQ71" s="58"/>
      <c r="AR71" s="57"/>
      <c r="AS71" s="57"/>
      <c r="AT71" s="57"/>
      <c r="AU71" s="199"/>
      <c r="AV71" s="264"/>
      <c r="AW71" s="264"/>
      <c r="AX71" s="264"/>
      <c r="AY71" s="264"/>
      <c r="AZ71" s="265"/>
      <c r="BA71" s="264"/>
      <c r="BB71" s="264"/>
      <c r="BC71" s="264"/>
      <c r="BD71" s="264"/>
      <c r="BE71" s="265"/>
      <c r="BF71" s="264"/>
      <c r="BG71" s="264"/>
      <c r="BH71" s="264"/>
      <c r="BI71" s="264"/>
      <c r="BJ71" s="265"/>
      <c r="BK71" s="146"/>
      <c r="BL71" s="162"/>
      <c r="BM71" s="162"/>
      <c r="BN71" s="162"/>
      <c r="BO71" s="266"/>
      <c r="BP71" s="146"/>
      <c r="BQ71" s="162"/>
      <c r="BR71" s="162"/>
      <c r="BS71" s="162"/>
      <c r="BT71" s="266"/>
      <c r="BU71" s="146"/>
      <c r="BV71" s="162"/>
      <c r="BW71" s="162"/>
      <c r="BX71" s="162"/>
      <c r="BY71" s="266"/>
      <c r="BZ71" s="146"/>
      <c r="CA71" s="162"/>
      <c r="CB71" s="162"/>
      <c r="CC71" s="162"/>
      <c r="CD71" s="266"/>
      <c r="CE71" s="267"/>
      <c r="CF71" s="267"/>
      <c r="CG71" s="267"/>
      <c r="CH71" s="267"/>
      <c r="CI71" s="170"/>
      <c r="CJ71" s="267"/>
      <c r="CK71" s="267"/>
      <c r="CL71" s="267"/>
      <c r="CM71" s="267"/>
      <c r="CN71" s="170"/>
      <c r="CO71" s="267"/>
      <c r="CP71" s="267"/>
      <c r="CQ71" s="267"/>
      <c r="CR71" s="267"/>
      <c r="CS71" s="170"/>
      <c r="CT71" s="267"/>
      <c r="CU71" s="267"/>
      <c r="CV71" s="267"/>
      <c r="CW71" s="267"/>
      <c r="CX71" s="170"/>
      <c r="CY71" s="268"/>
      <c r="CZ71" s="268"/>
      <c r="DA71" s="268"/>
      <c r="DB71" s="269">
        <v>1800</v>
      </c>
      <c r="DC71" s="170">
        <f>DB71</f>
        <v>1800</v>
      </c>
      <c r="DD71" s="270">
        <v>1800</v>
      </c>
      <c r="DE71" s="269">
        <v>1800</v>
      </c>
      <c r="DF71" s="269">
        <v>1800</v>
      </c>
      <c r="DG71" s="269">
        <v>1800</v>
      </c>
      <c r="DH71" s="170"/>
      <c r="DI71" s="1389">
        <v>1800</v>
      </c>
      <c r="DJ71" s="1391">
        <f>SUM(DJ68:DJ70)</f>
        <v>1800</v>
      </c>
      <c r="DK71" s="1395">
        <f>SUM(DK68:DK70)</f>
        <v>1800</v>
      </c>
      <c r="DL71" s="1391">
        <f>SUM(DL68:DL70)</f>
        <v>1800</v>
      </c>
      <c r="DM71" s="1390"/>
      <c r="DN71" s="1385">
        <f>SUM(DN68:DN70)</f>
        <v>1800</v>
      </c>
      <c r="DO71" s="1391">
        <f>SUM(DO68:DO70)</f>
        <v>1800</v>
      </c>
      <c r="DP71" s="1395">
        <f>SUM(DP68:DP70)</f>
        <v>1800</v>
      </c>
      <c r="DQ71" s="1391">
        <f>SUM(DQ68:DQ70)</f>
        <v>1800</v>
      </c>
      <c r="DR71" s="1390"/>
      <c r="DS71" s="1385">
        <f>SUM(DS68:DS70)</f>
        <v>1800</v>
      </c>
      <c r="DT71" s="1391">
        <f>SUM(DT68:DT70)</f>
        <v>1800</v>
      </c>
      <c r="DU71" s="1395">
        <f>SUM(DU68:DU70)</f>
        <v>1800</v>
      </c>
      <c r="DV71" s="1391">
        <f>SUM(DV68:DV70)</f>
        <v>1800</v>
      </c>
      <c r="DW71" s="1380">
        <f>DV71</f>
        <v>1800</v>
      </c>
      <c r="DX71" s="1385">
        <f>SUM(DX68:DX70)</f>
        <v>1300</v>
      </c>
      <c r="DY71" s="1391">
        <f>SUM(DY68:DY70)</f>
        <v>800</v>
      </c>
      <c r="DZ71" s="1395">
        <f>SUM(DZ68:DZ70)</f>
        <v>800</v>
      </c>
      <c r="EA71" s="1391">
        <f>SUM(EA68:EA70)</f>
        <v>300</v>
      </c>
      <c r="EB71" s="1380">
        <f>EA71</f>
        <v>300</v>
      </c>
      <c r="EC71" s="1385">
        <f>SUM(EC68:EC70)</f>
        <v>300</v>
      </c>
      <c r="ED71" s="1391">
        <f>SUM(ED68:ED70)</f>
        <v>300</v>
      </c>
      <c r="EE71" s="1395">
        <f>SUM(EE68:EE70)</f>
        <v>300</v>
      </c>
      <c r="EF71" s="1391">
        <f>SUM(EF68:EF70)</f>
        <v>300</v>
      </c>
      <c r="EG71" s="1380">
        <f>EF71</f>
        <v>300</v>
      </c>
      <c r="EH71" s="1385">
        <f>SUM(EH68:EH70)</f>
        <v>300</v>
      </c>
      <c r="EI71" s="1391">
        <f>SUM(EI68:EI70)</f>
        <v>300</v>
      </c>
      <c r="EJ71" s="1395">
        <f>SUM(EJ68:EJ70)</f>
        <v>300</v>
      </c>
      <c r="EK71" s="1391">
        <f>SUM(EK68:EK70)</f>
        <v>300</v>
      </c>
      <c r="EL71" s="1380">
        <f>EK71</f>
        <v>300</v>
      </c>
    </row>
    <row r="72" spans="1:142">
      <c r="A72" s="225"/>
      <c r="B72" s="214" t="s">
        <v>300</v>
      </c>
      <c r="C72" s="48"/>
      <c r="D72" s="48"/>
      <c r="E72" s="48"/>
      <c r="F72" s="48"/>
      <c r="G72" s="48"/>
      <c r="H72" s="64"/>
      <c r="I72" s="48"/>
      <c r="J72" s="48"/>
      <c r="K72" s="48"/>
      <c r="L72" s="48"/>
      <c r="M72" s="64"/>
      <c r="N72" s="48"/>
      <c r="O72" s="48"/>
      <c r="P72" s="48"/>
      <c r="Q72" s="48"/>
      <c r="R72" s="64"/>
      <c r="S72" s="48"/>
      <c r="T72" s="48"/>
      <c r="U72" s="48"/>
      <c r="V72" s="48"/>
      <c r="W72" s="64"/>
      <c r="X72" s="48"/>
      <c r="Y72" s="48"/>
      <c r="Z72" s="48"/>
      <c r="AA72" s="48"/>
      <c r="AB72" s="64"/>
      <c r="AC72" s="48"/>
      <c r="AD72" s="48"/>
      <c r="AE72" s="48"/>
      <c r="AF72" s="48"/>
      <c r="AG72" s="64"/>
      <c r="AH72" s="48"/>
      <c r="AI72" s="48"/>
      <c r="AJ72" s="48"/>
      <c r="AK72" s="48"/>
      <c r="AL72" s="64"/>
      <c r="AM72" s="49"/>
      <c r="AN72" s="49"/>
      <c r="AO72" s="49"/>
      <c r="AP72" s="49"/>
      <c r="AQ72" s="50"/>
      <c r="AR72" s="49"/>
      <c r="AS72" s="49"/>
      <c r="AT72" s="49"/>
      <c r="AU72" s="217"/>
      <c r="AV72" s="273"/>
      <c r="AW72" s="273"/>
      <c r="AX72" s="273"/>
      <c r="AY72" s="273"/>
      <c r="AZ72" s="274"/>
      <c r="BA72" s="273"/>
      <c r="BB72" s="273"/>
      <c r="BC72" s="273"/>
      <c r="BD72" s="273"/>
      <c r="BE72" s="274"/>
      <c r="BF72" s="273"/>
      <c r="BG72" s="273"/>
      <c r="BH72" s="273"/>
      <c r="BI72" s="273"/>
      <c r="BJ72" s="274"/>
      <c r="BK72" s="215"/>
      <c r="BL72" s="215"/>
      <c r="BM72" s="275"/>
      <c r="BN72" s="215"/>
      <c r="BO72" s="263"/>
      <c r="BP72" s="215"/>
      <c r="BQ72" s="215"/>
      <c r="BR72" s="275"/>
      <c r="BS72" s="215"/>
      <c r="BT72" s="263"/>
      <c r="BU72" s="215"/>
      <c r="BV72" s="215"/>
      <c r="BW72" s="275"/>
      <c r="BX72" s="215"/>
      <c r="BY72" s="263"/>
      <c r="BZ72" s="215"/>
      <c r="CA72" s="215"/>
      <c r="CB72" s="275"/>
      <c r="CC72" s="215"/>
      <c r="CD72" s="263"/>
      <c r="CE72" s="276"/>
      <c r="CF72" s="276"/>
      <c r="CG72" s="276"/>
      <c r="CH72" s="276"/>
      <c r="CI72" s="263"/>
      <c r="CJ72" s="276"/>
      <c r="CK72" s="276"/>
      <c r="CL72" s="276"/>
      <c r="CM72" s="276"/>
      <c r="CN72" s="263"/>
      <c r="CO72" s="276"/>
      <c r="CP72" s="276"/>
      <c r="CQ72" s="276"/>
      <c r="CR72" s="276"/>
      <c r="CS72" s="263"/>
      <c r="CT72" s="276"/>
      <c r="CU72" s="276"/>
      <c r="CV72" s="276"/>
      <c r="CW72" s="276"/>
      <c r="CX72" s="263"/>
      <c r="CY72" s="276"/>
      <c r="CZ72" s="276"/>
      <c r="DA72" s="276"/>
      <c r="DB72" s="49">
        <f>DB67/4*DB71</f>
        <v>27</v>
      </c>
      <c r="DC72" s="263"/>
      <c r="DD72" s="276">
        <f>DD67/4*AVERAGE(DD71,DD68)</f>
        <v>27</v>
      </c>
      <c r="DE72" s="49">
        <f>DE67/4*AVERAGE(DE71,DE68)</f>
        <v>27</v>
      </c>
      <c r="DF72" s="49">
        <f>DF67/4*AVERAGE(DF71,DF68)</f>
        <v>27</v>
      </c>
      <c r="DG72" s="49">
        <f>DG67/4*AVERAGE(DG71,DG68)</f>
        <v>27</v>
      </c>
      <c r="DH72" s="263">
        <f>SUM(DD72:DG72)</f>
        <v>108</v>
      </c>
      <c r="DI72" s="1392">
        <f>DI67/4*AVERAGE(DI71,DI68)</f>
        <v>27</v>
      </c>
      <c r="DJ72" s="1392">
        <f>DJ67/4*AVERAGE(DJ71,DJ68)</f>
        <v>27</v>
      </c>
      <c r="DK72" s="1392">
        <f>DK67/4*AVERAGE(DK71,DK68)</f>
        <v>27</v>
      </c>
      <c r="DL72" s="1392">
        <f>DL67/4*AVERAGE(DL71,DL68)</f>
        <v>27</v>
      </c>
      <c r="DM72" s="1388">
        <f>SUM(DI72:DL72)</f>
        <v>108</v>
      </c>
      <c r="DN72" s="1392">
        <f>DN67/4*AVERAGE(DN71,DN68)</f>
        <v>27</v>
      </c>
      <c r="DO72" s="1392">
        <f>DO67/4*AVERAGE(DO71,DO68)</f>
        <v>27</v>
      </c>
      <c r="DP72" s="1392">
        <f>DP67/4*AVERAGE(DP71,DP68)</f>
        <v>27</v>
      </c>
      <c r="DQ72" s="1392">
        <f>DQ67/4*AVERAGE(DQ71,DQ68)</f>
        <v>27</v>
      </c>
      <c r="DR72" s="1388">
        <f>SUM(DN72:DQ72)</f>
        <v>108</v>
      </c>
      <c r="DS72" s="1392">
        <f>DS67/4*AVERAGE(DS71,DS68)</f>
        <v>27</v>
      </c>
      <c r="DT72" s="1392">
        <f>DT67/4*AVERAGE(DT71,DT68)</f>
        <v>27</v>
      </c>
      <c r="DU72" s="1392">
        <f>DU67/4*AVERAGE(DU71,DU68)</f>
        <v>27</v>
      </c>
      <c r="DV72" s="1392">
        <f>DV67/4*AVERAGE(DV71,DV68)</f>
        <v>27</v>
      </c>
      <c r="DW72" s="1388">
        <f>SUM(DS72:DV72)</f>
        <v>108</v>
      </c>
      <c r="DX72" s="1392">
        <f>DX67/4*AVERAGE(DX71,DX68)</f>
        <v>23.25</v>
      </c>
      <c r="DY72" s="1392">
        <f>DY67/4*AVERAGE(DY71,DY68)</f>
        <v>15.75</v>
      </c>
      <c r="DZ72" s="1392">
        <f>DZ67/4*AVERAGE(DZ71,DZ68)</f>
        <v>12</v>
      </c>
      <c r="EA72" s="1392">
        <f>EA67/4*AVERAGE(EA71,EA68)</f>
        <v>8.25</v>
      </c>
      <c r="EB72" s="1388">
        <f>SUM(DX72:EA72)</f>
        <v>59.25</v>
      </c>
      <c r="EC72" s="1392">
        <f>EC67/4*AVERAGE(EC71,EC68)</f>
        <v>4.5</v>
      </c>
      <c r="ED72" s="1392">
        <f>ED67/4*AVERAGE(ED71,ED68)</f>
        <v>4.5</v>
      </c>
      <c r="EE72" s="1392">
        <f>EE67/4*AVERAGE(EE71,EE68)</f>
        <v>4.5</v>
      </c>
      <c r="EF72" s="1392">
        <f>EF67/4*AVERAGE(EF71,EF68)</f>
        <v>4.5</v>
      </c>
      <c r="EG72" s="1388">
        <f>SUM(EC72:EF72)</f>
        <v>18</v>
      </c>
      <c r="EH72" s="1392">
        <f>EH67/4*AVERAGE(EH71,EH68)</f>
        <v>4.5</v>
      </c>
      <c r="EI72" s="1392">
        <f>EI67/4*AVERAGE(EI71,EI68)</f>
        <v>4.5</v>
      </c>
      <c r="EJ72" s="1392">
        <f>EJ67/4*AVERAGE(EJ71,EJ68)</f>
        <v>4.5</v>
      </c>
      <c r="EK72" s="1392">
        <f>EK67/4*AVERAGE(EK71,EK68)</f>
        <v>4.5</v>
      </c>
      <c r="EL72" s="1388">
        <f>SUM(EH72:EK72)</f>
        <v>18</v>
      </c>
    </row>
    <row r="73" spans="1:142" hidden="1" outlineLevel="1">
      <c r="A73" s="277"/>
      <c r="B73" s="277"/>
      <c r="C73" s="9"/>
      <c r="D73" s="9"/>
      <c r="E73" s="9"/>
      <c r="F73" s="9"/>
      <c r="G73" s="9"/>
      <c r="H73" s="63"/>
      <c r="I73" s="9"/>
      <c r="J73" s="9"/>
      <c r="K73" s="9"/>
      <c r="L73" s="9"/>
      <c r="M73" s="63"/>
      <c r="N73" s="9"/>
      <c r="O73" s="9"/>
      <c r="P73" s="9"/>
      <c r="Q73" s="9"/>
      <c r="R73" s="63"/>
      <c r="S73" s="9"/>
      <c r="T73" s="9"/>
      <c r="U73" s="9"/>
      <c r="V73" s="9"/>
      <c r="W73" s="63"/>
      <c r="X73" s="9"/>
      <c r="Y73" s="9"/>
      <c r="Z73" s="9"/>
      <c r="AA73" s="9"/>
      <c r="AB73" s="63"/>
      <c r="AC73" s="9"/>
      <c r="AD73" s="9"/>
      <c r="AE73" s="9"/>
      <c r="AF73" s="9"/>
      <c r="AG73" s="63"/>
      <c r="AH73" s="9"/>
      <c r="AI73" s="9"/>
      <c r="AJ73" s="9"/>
      <c r="AK73" s="9"/>
      <c r="AL73" s="63"/>
      <c r="AM73" s="53"/>
      <c r="AN73" s="53"/>
      <c r="AO73" s="53"/>
      <c r="AP73" s="53"/>
      <c r="AQ73" s="28"/>
      <c r="AR73" s="53"/>
      <c r="AS73" s="53"/>
      <c r="AT73" s="53"/>
      <c r="AU73" s="186"/>
      <c r="AV73" s="240"/>
      <c r="AW73" s="240"/>
      <c r="AX73" s="240"/>
      <c r="AY73" s="240"/>
      <c r="AZ73" s="241"/>
      <c r="BA73" s="240"/>
      <c r="BB73" s="240"/>
      <c r="BC73" s="240"/>
      <c r="BD73" s="240"/>
      <c r="BE73" s="241"/>
      <c r="BF73" s="240"/>
      <c r="BG73" s="240"/>
      <c r="BH73" s="240"/>
      <c r="BI73" s="240"/>
      <c r="BJ73" s="241"/>
      <c r="BK73" s="171"/>
      <c r="BL73" s="171"/>
      <c r="BM73" s="171"/>
      <c r="BN73" s="171"/>
      <c r="BO73" s="193"/>
      <c r="BP73" s="171"/>
      <c r="BQ73" s="171"/>
      <c r="BR73" s="171"/>
      <c r="BS73" s="171"/>
      <c r="BT73" s="193"/>
      <c r="BU73" s="171"/>
      <c r="BV73" s="171"/>
      <c r="BW73" s="171"/>
      <c r="BX73" s="171"/>
      <c r="BY73" s="193"/>
      <c r="BZ73" s="171"/>
      <c r="CA73" s="171"/>
      <c r="CB73" s="171"/>
      <c r="CC73" s="171"/>
      <c r="CD73" s="193"/>
      <c r="CE73" s="171"/>
      <c r="CF73" s="171"/>
      <c r="CG73" s="171"/>
      <c r="CH73" s="171"/>
      <c r="CI73" s="193"/>
      <c r="CJ73" s="171"/>
      <c r="CK73" s="171"/>
      <c r="CL73" s="171"/>
      <c r="CM73" s="171"/>
      <c r="CN73" s="193"/>
      <c r="CO73" s="171"/>
      <c r="CP73" s="171"/>
      <c r="CQ73" s="171"/>
      <c r="CR73" s="171"/>
      <c r="CS73" s="193"/>
      <c r="CT73" s="210"/>
      <c r="CU73" s="53"/>
      <c r="CV73" s="53"/>
      <c r="CW73" s="53"/>
      <c r="CX73" s="28"/>
      <c r="CY73" s="53"/>
      <c r="CZ73" s="53"/>
      <c r="DA73" s="53"/>
      <c r="DB73" s="53"/>
      <c r="DC73" s="28"/>
      <c r="DD73" s="53"/>
      <c r="DE73" s="53"/>
      <c r="DF73" s="53"/>
      <c r="DG73" s="53"/>
      <c r="DH73" s="28"/>
      <c r="DI73" s="53"/>
      <c r="DJ73" s="53"/>
      <c r="DK73" s="53"/>
      <c r="DL73" s="53"/>
      <c r="DM73" s="53"/>
      <c r="DN73" s="53"/>
      <c r="DO73" s="53"/>
      <c r="DP73" s="53"/>
      <c r="DQ73" s="53"/>
      <c r="DR73" s="53"/>
      <c r="DS73" s="53"/>
      <c r="DT73" s="53"/>
      <c r="DU73" s="53"/>
      <c r="DV73" s="53"/>
      <c r="DW73" s="53"/>
      <c r="DX73" s="53"/>
      <c r="DY73" s="53"/>
      <c r="DZ73" s="53"/>
      <c r="EA73" s="53"/>
      <c r="EB73" s="53"/>
      <c r="EC73" s="53"/>
      <c r="ED73" s="53"/>
      <c r="EE73" s="53"/>
      <c r="EF73" s="53"/>
      <c r="EG73" s="53"/>
      <c r="EH73" s="53"/>
      <c r="EI73" s="53"/>
      <c r="EJ73" s="53"/>
      <c r="EK73" s="53"/>
      <c r="EL73" s="53"/>
    </row>
    <row r="74" spans="1:142" hidden="1" outlineLevel="1">
      <c r="A74" s="277"/>
      <c r="B74" s="1326" t="s">
        <v>672</v>
      </c>
      <c r="C74" s="9"/>
      <c r="D74" s="9"/>
      <c r="E74" s="9"/>
      <c r="F74" s="9"/>
      <c r="G74" s="9"/>
      <c r="H74" s="63"/>
      <c r="I74" s="9"/>
      <c r="J74" s="9"/>
      <c r="K74" s="9"/>
      <c r="L74" s="9"/>
      <c r="M74" s="63"/>
      <c r="N74" s="9"/>
      <c r="O74" s="9"/>
      <c r="P74" s="9"/>
      <c r="Q74" s="9"/>
      <c r="R74" s="63"/>
      <c r="S74" s="9"/>
      <c r="T74" s="9"/>
      <c r="U74" s="9"/>
      <c r="V74" s="9"/>
      <c r="W74" s="63"/>
      <c r="X74" s="9"/>
      <c r="Y74" s="9"/>
      <c r="Z74" s="9"/>
      <c r="AA74" s="9"/>
      <c r="AB74" s="63"/>
      <c r="AC74" s="9"/>
      <c r="AD74" s="9"/>
      <c r="AE74" s="9"/>
      <c r="AF74" s="9"/>
      <c r="AG74" s="63"/>
      <c r="AH74" s="9"/>
      <c r="AI74" s="9"/>
      <c r="AJ74" s="9"/>
      <c r="AK74" s="9"/>
      <c r="AL74" s="63"/>
      <c r="AM74" s="53"/>
      <c r="AN74" s="53"/>
      <c r="AO74" s="53"/>
      <c r="AP74" s="53"/>
      <c r="AQ74" s="28"/>
      <c r="AR74" s="53"/>
      <c r="AS74" s="53"/>
      <c r="AT74" s="53"/>
      <c r="AU74" s="186"/>
      <c r="AV74" s="240"/>
      <c r="AW74" s="240"/>
      <c r="AX74" s="240"/>
      <c r="AY74" s="240"/>
      <c r="AZ74" s="241"/>
      <c r="BA74" s="240"/>
      <c r="BB74" s="240"/>
      <c r="BC74" s="240"/>
      <c r="BD74" s="240"/>
      <c r="BE74" s="241"/>
      <c r="BF74" s="240"/>
      <c r="BG74" s="240"/>
      <c r="BH74" s="240"/>
      <c r="BI74" s="240"/>
      <c r="BJ74" s="241"/>
      <c r="BK74" s="171"/>
      <c r="BL74" s="171"/>
      <c r="BM74" s="171"/>
      <c r="BN74" s="171"/>
      <c r="BO74" s="193"/>
      <c r="BP74" s="171"/>
      <c r="BQ74" s="171"/>
      <c r="BR74" s="171"/>
      <c r="BS74" s="171"/>
      <c r="BT74" s="193"/>
      <c r="BU74" s="171"/>
      <c r="BV74" s="171"/>
      <c r="BW74" s="171"/>
      <c r="BX74" s="171"/>
      <c r="BY74" s="193"/>
      <c r="BZ74" s="171"/>
      <c r="CA74" s="171"/>
      <c r="CB74" s="171"/>
      <c r="CC74" s="171"/>
      <c r="CD74" s="193"/>
      <c r="CE74" s="171"/>
      <c r="CF74" s="171"/>
      <c r="CG74" s="171"/>
      <c r="CH74" s="171"/>
      <c r="CI74" s="193"/>
      <c r="CJ74" s="171"/>
      <c r="CK74" s="171"/>
      <c r="CL74" s="171"/>
      <c r="CM74" s="171"/>
      <c r="CN74" s="193"/>
      <c r="CO74" s="171"/>
      <c r="CP74" s="171"/>
      <c r="CQ74" s="171"/>
      <c r="CR74" s="171"/>
      <c r="CS74" s="193"/>
      <c r="CT74" s="210"/>
      <c r="CU74" s="53"/>
      <c r="CV74" s="53"/>
      <c r="CW74" s="53"/>
      <c r="CX74" s="28"/>
      <c r="CY74" s="53"/>
      <c r="CZ74" s="53"/>
      <c r="DA74" s="53"/>
      <c r="DB74" s="53"/>
      <c r="DC74" s="28"/>
      <c r="DD74" s="53"/>
      <c r="DE74" s="53"/>
      <c r="DF74" s="53"/>
      <c r="DG74" s="53"/>
      <c r="DH74" s="28"/>
      <c r="DI74" s="53"/>
      <c r="DJ74" s="53"/>
      <c r="DK74" s="53"/>
      <c r="DL74" s="53"/>
      <c r="DM74" s="53"/>
      <c r="DN74" s="53"/>
      <c r="DO74" s="53"/>
      <c r="DP74" s="53"/>
      <c r="DQ74" s="53"/>
      <c r="DR74" s="53"/>
      <c r="DS74" s="53"/>
      <c r="DT74" s="739">
        <f>DT64+DT70</f>
        <v>1441</v>
      </c>
      <c r="DU74" s="739">
        <f>DU64+DU70</f>
        <v>1450</v>
      </c>
      <c r="DV74" s="739">
        <f>DV64+DV70</f>
        <v>698</v>
      </c>
      <c r="DW74" s="739"/>
      <c r="DX74" s="739">
        <f>DX64+DX70</f>
        <v>829.37035815589047</v>
      </c>
      <c r="DY74" s="739">
        <f>DY64+DY70</f>
        <v>605.37663535468891</v>
      </c>
      <c r="DZ74" s="739">
        <f>DZ64+DZ70</f>
        <v>853.21887238129329</v>
      </c>
      <c r="EA74" s="739">
        <f>EA64+EA70</f>
        <v>567.71087398451732</v>
      </c>
      <c r="EB74" s="739"/>
      <c r="EC74" s="739">
        <f>EC64+EC70</f>
        <v>376.97417916896063</v>
      </c>
      <c r="ED74" s="739">
        <f>ED64+ED70</f>
        <v>520.54772891988341</v>
      </c>
      <c r="EE74" s="739">
        <f>EE64+EE70</f>
        <v>689.98221824519351</v>
      </c>
      <c r="EF74" s="739">
        <f>EF64+EF70</f>
        <v>714.63062624325505</v>
      </c>
      <c r="EG74" s="739"/>
      <c r="EH74" s="739">
        <f>EH64+EH70</f>
        <v>857.96794350851678</v>
      </c>
      <c r="EI74" s="739">
        <f>EI64+EI70</f>
        <v>802.90493870577018</v>
      </c>
      <c r="EJ74" s="739">
        <f>EJ64+EJ70</f>
        <v>852.42194509847184</v>
      </c>
      <c r="EK74" s="739">
        <f>EK64+EK70</f>
        <v>671.25813137678415</v>
      </c>
      <c r="EL74" s="739"/>
    </row>
    <row r="75" spans="1:142" collapsed="1">
      <c r="A75" s="277"/>
      <c r="B75" s="1326"/>
      <c r="C75" s="9"/>
      <c r="D75" s="9"/>
      <c r="E75" s="9"/>
      <c r="F75" s="9"/>
      <c r="G75" s="9"/>
      <c r="H75" s="63"/>
      <c r="I75" s="9"/>
      <c r="J75" s="9"/>
      <c r="K75" s="9"/>
      <c r="L75" s="9"/>
      <c r="M75" s="63"/>
      <c r="N75" s="9"/>
      <c r="O75" s="9"/>
      <c r="P75" s="9"/>
      <c r="Q75" s="9"/>
      <c r="R75" s="63"/>
      <c r="S75" s="9"/>
      <c r="T75" s="9"/>
      <c r="U75" s="9"/>
      <c r="V75" s="9"/>
      <c r="W75" s="63"/>
      <c r="X75" s="9"/>
      <c r="Y75" s="9"/>
      <c r="Z75" s="9"/>
      <c r="AA75" s="9"/>
      <c r="AB75" s="63"/>
      <c r="AC75" s="9"/>
      <c r="AD75" s="9"/>
      <c r="AE75" s="9"/>
      <c r="AF75" s="9"/>
      <c r="AG75" s="63"/>
      <c r="AH75" s="9"/>
      <c r="AI75" s="9"/>
      <c r="AJ75" s="9"/>
      <c r="AK75" s="9"/>
      <c r="AL75" s="63"/>
      <c r="AM75" s="53"/>
      <c r="AN75" s="53"/>
      <c r="AO75" s="53"/>
      <c r="AP75" s="53"/>
      <c r="AQ75" s="28"/>
      <c r="AR75" s="53"/>
      <c r="AS75" s="53"/>
      <c r="AT75" s="53"/>
      <c r="AU75" s="186"/>
      <c r="AV75" s="240"/>
      <c r="AW75" s="240"/>
      <c r="AX75" s="240"/>
      <c r="AY75" s="240"/>
      <c r="AZ75" s="241"/>
      <c r="BA75" s="240"/>
      <c r="BB75" s="240"/>
      <c r="BC75" s="240"/>
      <c r="BD75" s="240"/>
      <c r="BE75" s="241"/>
      <c r="BF75" s="240"/>
      <c r="BG75" s="240"/>
      <c r="BH75" s="240"/>
      <c r="BI75" s="240"/>
      <c r="BJ75" s="241"/>
      <c r="BK75" s="171"/>
      <c r="BL75" s="171"/>
      <c r="BM75" s="171"/>
      <c r="BN75" s="171"/>
      <c r="BO75" s="193"/>
      <c r="BP75" s="171"/>
      <c r="BQ75" s="171"/>
      <c r="BR75" s="171"/>
      <c r="BS75" s="171"/>
      <c r="BT75" s="193"/>
      <c r="BU75" s="171"/>
      <c r="BV75" s="171"/>
      <c r="BW75" s="171"/>
      <c r="BX75" s="171"/>
      <c r="BY75" s="193"/>
      <c r="BZ75" s="171"/>
      <c r="CA75" s="171"/>
      <c r="CB75" s="171"/>
      <c r="CC75" s="171"/>
      <c r="CD75" s="193"/>
      <c r="CE75" s="171"/>
      <c r="CF75" s="171"/>
      <c r="CG75" s="171"/>
      <c r="CH75" s="171"/>
      <c r="CI75" s="193"/>
      <c r="CJ75" s="171"/>
      <c r="CK75" s="171"/>
      <c r="CL75" s="171"/>
      <c r="CM75" s="171"/>
      <c r="CN75" s="193"/>
      <c r="CO75" s="171"/>
      <c r="CP75" s="171"/>
      <c r="CQ75" s="171"/>
      <c r="CR75" s="171"/>
      <c r="CS75" s="193"/>
      <c r="CT75" s="210"/>
      <c r="CU75" s="53"/>
      <c r="CV75" s="53"/>
      <c r="CW75" s="53"/>
      <c r="CX75" s="28"/>
      <c r="CY75" s="53"/>
      <c r="CZ75" s="53"/>
      <c r="DA75" s="53"/>
      <c r="DB75" s="53"/>
      <c r="DC75" s="28"/>
      <c r="DD75" s="53"/>
      <c r="DE75" s="53"/>
      <c r="DF75" s="53"/>
      <c r="DG75" s="53"/>
      <c r="DH75" s="28"/>
      <c r="DI75" s="53"/>
      <c r="DJ75" s="53"/>
      <c r="DK75" s="53"/>
      <c r="DL75" s="53"/>
      <c r="DM75" s="53"/>
      <c r="DN75" s="53"/>
      <c r="DO75" s="53"/>
      <c r="DP75" s="53"/>
      <c r="DQ75" s="53"/>
      <c r="DR75" s="53"/>
      <c r="DS75" s="53"/>
      <c r="DT75" s="739"/>
      <c r="DU75" s="739"/>
      <c r="DV75" s="739"/>
      <c r="DW75" s="739"/>
      <c r="DX75" s="739"/>
      <c r="DY75" s="739"/>
      <c r="DZ75" s="739"/>
      <c r="EA75" s="739"/>
      <c r="EB75" s="739"/>
      <c r="EC75" s="739"/>
      <c r="ED75" s="739"/>
      <c r="EE75" s="739"/>
      <c r="EF75" s="739"/>
      <c r="EG75" s="739"/>
      <c r="EH75" s="739"/>
      <c r="EI75" s="739"/>
      <c r="EJ75" s="739"/>
      <c r="EK75" s="739"/>
      <c r="EL75" s="739"/>
    </row>
    <row r="76" spans="1:142">
      <c r="A76" s="1327"/>
      <c r="B76" s="242" t="s">
        <v>307</v>
      </c>
      <c r="C76" s="9"/>
      <c r="D76" s="9"/>
      <c r="E76" s="9"/>
      <c r="F76" s="9"/>
      <c r="G76" s="9"/>
      <c r="H76" s="63"/>
      <c r="I76" s="9"/>
      <c r="J76" s="9"/>
      <c r="K76" s="9"/>
      <c r="L76" s="9"/>
      <c r="M76" s="63"/>
      <c r="N76" s="9"/>
      <c r="O76" s="9"/>
      <c r="P76" s="9"/>
      <c r="Q76" s="9"/>
      <c r="R76" s="63"/>
      <c r="S76" s="9"/>
      <c r="T76" s="9"/>
      <c r="U76" s="9"/>
      <c r="V76" s="9"/>
      <c r="W76" s="63"/>
      <c r="X76" s="9"/>
      <c r="Y76" s="9"/>
      <c r="Z76" s="9"/>
      <c r="AA76" s="9"/>
      <c r="AB76" s="63"/>
      <c r="AC76" s="9"/>
      <c r="AD76" s="9"/>
      <c r="AE76" s="9"/>
      <c r="AF76" s="9"/>
      <c r="AG76" s="63"/>
      <c r="AH76" s="9"/>
      <c r="AI76" s="9"/>
      <c r="AJ76" s="9"/>
      <c r="AK76" s="9"/>
      <c r="AL76" s="63"/>
      <c r="AM76" s="53"/>
      <c r="AN76" s="53"/>
      <c r="AO76" s="53"/>
      <c r="AP76" s="53"/>
      <c r="AQ76" s="28"/>
      <c r="AR76" s="53"/>
      <c r="AS76" s="53"/>
      <c r="AT76" s="53"/>
      <c r="AU76" s="186"/>
      <c r="AV76" s="240"/>
      <c r="AW76" s="240"/>
      <c r="AX76" s="240"/>
      <c r="AY76" s="240"/>
      <c r="AZ76" s="241"/>
      <c r="BA76" s="240"/>
      <c r="BB76" s="240"/>
      <c r="BC76" s="240"/>
      <c r="BD76" s="240"/>
      <c r="BE76" s="241"/>
      <c r="BF76" s="240"/>
      <c r="BG76" s="240"/>
      <c r="BH76" s="240"/>
      <c r="BI76" s="240"/>
      <c r="BJ76" s="241"/>
      <c r="BK76" s="228"/>
      <c r="BL76" s="228"/>
      <c r="BM76" s="228"/>
      <c r="BN76" s="228"/>
      <c r="BO76" s="229"/>
      <c r="BP76" s="228"/>
      <c r="BQ76" s="228"/>
      <c r="BR76" s="228"/>
      <c r="BS76" s="228"/>
      <c r="BT76" s="229"/>
      <c r="BU76" s="228"/>
      <c r="BV76" s="228"/>
      <c r="BW76" s="228"/>
      <c r="BX76" s="228"/>
      <c r="BY76" s="229"/>
      <c r="BZ76" s="228"/>
      <c r="CA76" s="228"/>
      <c r="CB76" s="228"/>
      <c r="CC76" s="228"/>
      <c r="CD76" s="229"/>
      <c r="CE76" s="228"/>
      <c r="CF76" s="228"/>
      <c r="CG76" s="228"/>
      <c r="CH76" s="228"/>
      <c r="CI76" s="229"/>
      <c r="CJ76" s="228"/>
      <c r="CK76" s="228"/>
      <c r="CL76" s="228"/>
      <c r="CM76" s="228"/>
      <c r="CN76" s="229"/>
      <c r="CO76" s="228"/>
      <c r="CP76" s="228"/>
      <c r="CQ76" s="228"/>
      <c r="CR76" s="228"/>
      <c r="CS76" s="229"/>
      <c r="CT76" s="228"/>
      <c r="CU76" s="228"/>
      <c r="CV76" s="228"/>
      <c r="CW76" s="228"/>
      <c r="CX76" s="229"/>
      <c r="CY76" s="228"/>
      <c r="CZ76" s="228"/>
      <c r="DA76" s="228"/>
      <c r="DB76" s="228"/>
      <c r="DC76" s="229"/>
      <c r="DD76" s="228"/>
      <c r="DE76" s="228"/>
      <c r="DF76" s="228"/>
      <c r="DG76" s="228"/>
      <c r="DH76" s="229"/>
      <c r="DI76" s="228"/>
      <c r="DJ76" s="228"/>
      <c r="DK76" s="231"/>
      <c r="DL76" s="228"/>
      <c r="DM76" s="229"/>
      <c r="DN76" s="228"/>
      <c r="DO76" s="228"/>
      <c r="DP76" s="228"/>
      <c r="DQ76" s="228"/>
      <c r="DR76" s="229"/>
      <c r="DS76" s="228"/>
      <c r="DT76" s="228"/>
      <c r="DU76" s="228"/>
      <c r="DV76" s="228"/>
      <c r="DW76" s="229"/>
      <c r="DX76" s="228"/>
      <c r="DY76" s="228"/>
      <c r="DZ76" s="228"/>
      <c r="EA76" s="228"/>
      <c r="EB76" s="229"/>
      <c r="EC76" s="228"/>
      <c r="ED76" s="228"/>
      <c r="EE76" s="228"/>
      <c r="EF76" s="228"/>
      <c r="EG76" s="229"/>
      <c r="EH76" s="228"/>
      <c r="EI76" s="228"/>
      <c r="EJ76" s="228"/>
      <c r="EK76" s="228"/>
      <c r="EL76" s="229"/>
    </row>
    <row r="77" spans="1:142">
      <c r="A77" s="1328"/>
      <c r="B77" s="247" t="s">
        <v>297</v>
      </c>
      <c r="C77" s="9"/>
      <c r="D77" s="9"/>
      <c r="E77" s="9"/>
      <c r="F77" s="9"/>
      <c r="G77" s="9"/>
      <c r="H77" s="63"/>
      <c r="I77" s="9"/>
      <c r="J77" s="9"/>
      <c r="K77" s="9"/>
      <c r="L77" s="9"/>
      <c r="M77" s="63"/>
      <c r="N77" s="9"/>
      <c r="O77" s="9"/>
      <c r="P77" s="9"/>
      <c r="Q77" s="9"/>
      <c r="R77" s="63"/>
      <c r="S77" s="9"/>
      <c r="T77" s="9"/>
      <c r="U77" s="9"/>
      <c r="V77" s="9"/>
      <c r="W77" s="63"/>
      <c r="X77" s="9"/>
      <c r="Y77" s="9"/>
      <c r="Z77" s="9"/>
      <c r="AA77" s="9"/>
      <c r="AB77" s="63"/>
      <c r="AC77" s="9"/>
      <c r="AD77" s="9"/>
      <c r="AE77" s="9"/>
      <c r="AF77" s="9"/>
      <c r="AG77" s="63"/>
      <c r="AH77" s="9"/>
      <c r="AI77" s="9"/>
      <c r="AJ77" s="9"/>
      <c r="AK77" s="9"/>
      <c r="AL77" s="63"/>
      <c r="AM77" s="53"/>
      <c r="AN77" s="53"/>
      <c r="AO77" s="53"/>
      <c r="AP77" s="53"/>
      <c r="AQ77" s="28"/>
      <c r="AR77" s="53"/>
      <c r="AS77" s="53"/>
      <c r="AT77" s="53"/>
      <c r="AU77" s="186"/>
      <c r="AV77" s="240"/>
      <c r="AW77" s="240"/>
      <c r="AX77" s="240"/>
      <c r="AY77" s="240"/>
      <c r="AZ77" s="241"/>
      <c r="BA77" s="240"/>
      <c r="BB77" s="240"/>
      <c r="BC77" s="240"/>
      <c r="BD77" s="240"/>
      <c r="BE77" s="241"/>
      <c r="BF77" s="240"/>
      <c r="BG77" s="240"/>
      <c r="BH77" s="240"/>
      <c r="BI77" s="240"/>
      <c r="BJ77" s="241"/>
      <c r="BK77" s="9"/>
      <c r="BL77" s="9"/>
      <c r="BM77" s="9"/>
      <c r="BN77" s="9"/>
      <c r="BO77" s="63"/>
      <c r="BP77" s="9"/>
      <c r="BQ77" s="9"/>
      <c r="BR77" s="9"/>
      <c r="BS77" s="9"/>
      <c r="BT77" s="63"/>
      <c r="BU77" s="9"/>
      <c r="BV77" s="9"/>
      <c r="BW77" s="9"/>
      <c r="BX77" s="9"/>
      <c r="BY77" s="63"/>
      <c r="BZ77" s="9"/>
      <c r="CA77" s="9"/>
      <c r="CB77" s="9"/>
      <c r="CC77" s="9"/>
      <c r="CD77" s="63"/>
      <c r="CE77" s="248"/>
      <c r="CF77" s="248"/>
      <c r="CG77" s="248"/>
      <c r="CH77" s="248"/>
      <c r="CI77" s="193"/>
      <c r="CJ77" s="248"/>
      <c r="CK77" s="248"/>
      <c r="CL77" s="248"/>
      <c r="CM77" s="248"/>
      <c r="CN77" s="193"/>
      <c r="CO77" s="248"/>
      <c r="CP77" s="248"/>
      <c r="CQ77" s="248"/>
      <c r="CR77" s="248"/>
      <c r="CS77" s="193"/>
      <c r="CT77" s="248"/>
      <c r="CU77" s="248"/>
      <c r="CV77" s="248"/>
      <c r="CW77" s="248"/>
      <c r="CX77" s="193"/>
      <c r="CY77" s="288">
        <v>4.4999999999999998E-2</v>
      </c>
      <c r="CZ77" s="288">
        <f>CY77</f>
        <v>4.4999999999999998E-2</v>
      </c>
      <c r="DA77" s="249">
        <f>CZ77</f>
        <v>4.4999999999999998E-2</v>
      </c>
      <c r="DB77" s="249">
        <f>DA77</f>
        <v>4.4999999999999998E-2</v>
      </c>
      <c r="DC77" s="193"/>
      <c r="DD77" s="288">
        <f>DB77</f>
        <v>4.4999999999999998E-2</v>
      </c>
      <c r="DE77" s="249">
        <f>DD77</f>
        <v>4.4999999999999998E-2</v>
      </c>
      <c r="DF77" s="249">
        <f>DE77</f>
        <v>4.4999999999999998E-2</v>
      </c>
      <c r="DG77" s="249">
        <f>DF77</f>
        <v>4.4999999999999998E-2</v>
      </c>
      <c r="DH77" s="193"/>
      <c r="DI77" s="288">
        <f>DG77</f>
        <v>4.4999999999999998E-2</v>
      </c>
      <c r="DJ77" s="249">
        <f>DI77</f>
        <v>4.4999999999999998E-2</v>
      </c>
      <c r="DK77" s="331">
        <f>DJ77</f>
        <v>4.4999999999999998E-2</v>
      </c>
      <c r="DL77" s="249">
        <f>DK77</f>
        <v>4.4999999999999998E-2</v>
      </c>
      <c r="DM77" s="193"/>
      <c r="DN77" s="288">
        <f>DL77</f>
        <v>4.4999999999999998E-2</v>
      </c>
      <c r="DO77" s="249">
        <f>DN77</f>
        <v>4.4999999999999998E-2</v>
      </c>
      <c r="DP77" s="249">
        <f>DO77</f>
        <v>4.4999999999999998E-2</v>
      </c>
      <c r="DQ77" s="249">
        <f>DP77</f>
        <v>4.4999999999999998E-2</v>
      </c>
      <c r="DR77" s="193"/>
      <c r="DS77" s="249">
        <f>DQ77</f>
        <v>4.4999999999999998E-2</v>
      </c>
      <c r="DT77" s="249">
        <f>DS77</f>
        <v>4.4999999999999998E-2</v>
      </c>
      <c r="DU77" s="249">
        <f>DT77</f>
        <v>4.4999999999999998E-2</v>
      </c>
      <c r="DV77" s="249">
        <f>DU77</f>
        <v>4.4999999999999998E-2</v>
      </c>
      <c r="DW77" s="193"/>
      <c r="DX77" s="249">
        <f>DV77</f>
        <v>4.4999999999999998E-2</v>
      </c>
      <c r="DY77" s="249">
        <f>DX77</f>
        <v>4.4999999999999998E-2</v>
      </c>
      <c r="DZ77" s="249">
        <f>DY77</f>
        <v>4.4999999999999998E-2</v>
      </c>
      <c r="EA77" s="249">
        <f>DZ77</f>
        <v>4.4999999999999998E-2</v>
      </c>
      <c r="EB77" s="193"/>
      <c r="EC77" s="249">
        <f>EA77</f>
        <v>4.4999999999999998E-2</v>
      </c>
      <c r="ED77" s="249">
        <f>EC77</f>
        <v>4.4999999999999998E-2</v>
      </c>
      <c r="EE77" s="249">
        <f>ED77</f>
        <v>4.4999999999999998E-2</v>
      </c>
      <c r="EF77" s="249">
        <f>EE77</f>
        <v>4.4999999999999998E-2</v>
      </c>
      <c r="EG77" s="193"/>
      <c r="EH77" s="249">
        <f>EF77</f>
        <v>4.4999999999999998E-2</v>
      </c>
      <c r="EI77" s="249">
        <f>EH77</f>
        <v>4.4999999999999998E-2</v>
      </c>
      <c r="EJ77" s="249">
        <f>EI77</f>
        <v>4.4999999999999998E-2</v>
      </c>
      <c r="EK77" s="249">
        <f>EJ77</f>
        <v>4.4999999999999998E-2</v>
      </c>
      <c r="EL77" s="193"/>
    </row>
    <row r="78" spans="1:142">
      <c r="A78" s="225"/>
      <c r="B78" s="209" t="s">
        <v>298</v>
      </c>
      <c r="C78" s="9"/>
      <c r="D78" s="9"/>
      <c r="E78" s="9"/>
      <c r="F78" s="9"/>
      <c r="G78" s="9"/>
      <c r="H78" s="63"/>
      <c r="I78" s="9"/>
      <c r="J78" s="9"/>
      <c r="K78" s="9"/>
      <c r="L78" s="9"/>
      <c r="M78" s="63"/>
      <c r="N78" s="9"/>
      <c r="O78" s="9"/>
      <c r="P78" s="9"/>
      <c r="Q78" s="9"/>
      <c r="R78" s="63"/>
      <c r="S78" s="9"/>
      <c r="T78" s="9"/>
      <c r="U78" s="9"/>
      <c r="V78" s="9"/>
      <c r="W78" s="63"/>
      <c r="X78" s="9"/>
      <c r="Y78" s="9"/>
      <c r="Z78" s="9"/>
      <c r="AA78" s="9"/>
      <c r="AB78" s="63"/>
      <c r="AC78" s="9"/>
      <c r="AD78" s="9"/>
      <c r="AE78" s="9"/>
      <c r="AF78" s="9"/>
      <c r="AG78" s="63"/>
      <c r="AH78" s="9"/>
      <c r="AI78" s="9"/>
      <c r="AJ78" s="9"/>
      <c r="AK78" s="9"/>
      <c r="AL78" s="63"/>
      <c r="AM78" s="53"/>
      <c r="AN78" s="53"/>
      <c r="AO78" s="53"/>
      <c r="AP78" s="53"/>
      <c r="AQ78" s="28"/>
      <c r="AR78" s="53"/>
      <c r="AS78" s="53"/>
      <c r="AT78" s="53"/>
      <c r="AU78" s="186"/>
      <c r="AV78" s="240"/>
      <c r="AW78" s="240"/>
      <c r="AX78" s="240"/>
      <c r="AY78" s="240"/>
      <c r="AZ78" s="241"/>
      <c r="BA78" s="240"/>
      <c r="BB78" s="240"/>
      <c r="BC78" s="240"/>
      <c r="BD78" s="240"/>
      <c r="BE78" s="241"/>
      <c r="BF78" s="240"/>
      <c r="BG78" s="240"/>
      <c r="BH78" s="240"/>
      <c r="BI78" s="240"/>
      <c r="BJ78" s="241"/>
      <c r="BK78" s="255"/>
      <c r="BL78" s="255"/>
      <c r="BM78" s="255"/>
      <c r="BN78" s="255"/>
      <c r="BO78" s="256"/>
      <c r="BP78" s="255"/>
      <c r="BQ78" s="255"/>
      <c r="BR78" s="255"/>
      <c r="BS78" s="255"/>
      <c r="BT78" s="256"/>
      <c r="BU78" s="255"/>
      <c r="BV78" s="255"/>
      <c r="BW78" s="255"/>
      <c r="BX78" s="255"/>
      <c r="BY78" s="256"/>
      <c r="BZ78" s="255"/>
      <c r="CA78" s="255"/>
      <c r="CB78" s="255"/>
      <c r="CC78" s="255"/>
      <c r="CD78" s="256"/>
      <c r="CE78" s="257"/>
      <c r="CF78" s="257"/>
      <c r="CG78" s="257"/>
      <c r="CH78" s="257"/>
      <c r="CI78" s="258"/>
      <c r="CJ78" s="257"/>
      <c r="CK78" s="257"/>
      <c r="CL78" s="257"/>
      <c r="CM78" s="257"/>
      <c r="CN78" s="258"/>
      <c r="CO78" s="257"/>
      <c r="CP78" s="257"/>
      <c r="CQ78" s="257"/>
      <c r="CR78" s="257"/>
      <c r="CS78" s="258"/>
      <c r="CT78" s="257"/>
      <c r="CU78" s="257"/>
      <c r="CV78" s="257"/>
      <c r="CW78" s="257"/>
      <c r="CX78" s="258">
        <f>CS81</f>
        <v>0</v>
      </c>
      <c r="CY78" s="289">
        <v>0</v>
      </c>
      <c r="CZ78" s="289">
        <f>CY81</f>
        <v>850</v>
      </c>
      <c r="DA78" s="289">
        <f>CZ81</f>
        <v>850</v>
      </c>
      <c r="DB78" s="289">
        <f>DA81</f>
        <v>850</v>
      </c>
      <c r="DC78" s="258">
        <f>CX81</f>
        <v>0</v>
      </c>
      <c r="DD78" s="289">
        <f>DC81</f>
        <v>850</v>
      </c>
      <c r="DE78" s="289">
        <f>DD81</f>
        <v>850</v>
      </c>
      <c r="DF78" s="289">
        <f>DE81</f>
        <v>850</v>
      </c>
      <c r="DG78" s="289">
        <f>DF81</f>
        <v>850</v>
      </c>
      <c r="DH78" s="258">
        <f>DC81</f>
        <v>850</v>
      </c>
      <c r="DI78" s="539">
        <f>DH81</f>
        <v>850</v>
      </c>
      <c r="DJ78" s="539">
        <f>DI81</f>
        <v>850</v>
      </c>
      <c r="DK78" s="1374">
        <f>DJ81</f>
        <v>850</v>
      </c>
      <c r="DL78" s="539">
        <f>DK81</f>
        <v>850</v>
      </c>
      <c r="DM78" s="540">
        <f>DH81</f>
        <v>850</v>
      </c>
      <c r="DN78" s="539">
        <f>DM81</f>
        <v>850</v>
      </c>
      <c r="DO78" s="539">
        <f>DN81</f>
        <v>850</v>
      </c>
      <c r="DP78" s="539">
        <f>DO81</f>
        <v>850</v>
      </c>
      <c r="DQ78" s="539">
        <f>DP81</f>
        <v>850</v>
      </c>
      <c r="DR78" s="540">
        <f>DM81</f>
        <v>850</v>
      </c>
      <c r="DS78" s="539">
        <f>DR81</f>
        <v>850</v>
      </c>
      <c r="DT78" s="539">
        <f>DS81</f>
        <v>850</v>
      </c>
      <c r="DU78" s="539">
        <f>DT81</f>
        <v>850</v>
      </c>
      <c r="DV78" s="539">
        <f>DU81</f>
        <v>850</v>
      </c>
      <c r="DW78" s="540">
        <f>DR81</f>
        <v>850</v>
      </c>
      <c r="DX78" s="539">
        <f>DW81</f>
        <v>850</v>
      </c>
      <c r="DY78" s="539">
        <f>DX81</f>
        <v>850</v>
      </c>
      <c r="DZ78" s="539">
        <f>DY81</f>
        <v>850</v>
      </c>
      <c r="EA78" s="539">
        <f>DZ81</f>
        <v>850</v>
      </c>
      <c r="EB78" s="540">
        <f>DW81</f>
        <v>850</v>
      </c>
      <c r="EC78" s="539">
        <f>EB81</f>
        <v>850</v>
      </c>
      <c r="ED78" s="539">
        <f>EC81</f>
        <v>850</v>
      </c>
      <c r="EE78" s="539">
        <f>ED81</f>
        <v>850</v>
      </c>
      <c r="EF78" s="539">
        <f>EE81</f>
        <v>850</v>
      </c>
      <c r="EG78" s="540">
        <f>EB81</f>
        <v>850</v>
      </c>
      <c r="EH78" s="539">
        <f>EG81</f>
        <v>850</v>
      </c>
      <c r="EI78" s="539">
        <f>EH81</f>
        <v>650</v>
      </c>
      <c r="EJ78" s="539">
        <f>EI81</f>
        <v>450</v>
      </c>
      <c r="EK78" s="539">
        <f>EJ81</f>
        <v>250</v>
      </c>
      <c r="EL78" s="540">
        <f>EG81</f>
        <v>850</v>
      </c>
    </row>
    <row r="79" spans="1:142">
      <c r="A79" s="225"/>
      <c r="B79" s="209" t="s">
        <v>674</v>
      </c>
      <c r="C79" s="9"/>
      <c r="D79" s="9"/>
      <c r="E79" s="9"/>
      <c r="F79" s="9"/>
      <c r="G79" s="9"/>
      <c r="H79" s="63"/>
      <c r="I79" s="9"/>
      <c r="J79" s="9"/>
      <c r="K79" s="9"/>
      <c r="L79" s="9"/>
      <c r="M79" s="63"/>
      <c r="N79" s="9"/>
      <c r="O79" s="9"/>
      <c r="P79" s="9"/>
      <c r="Q79" s="9"/>
      <c r="R79" s="63"/>
      <c r="S79" s="9"/>
      <c r="T79" s="9"/>
      <c r="U79" s="9"/>
      <c r="V79" s="9"/>
      <c r="W79" s="63"/>
      <c r="X79" s="9"/>
      <c r="Y79" s="9"/>
      <c r="Z79" s="9"/>
      <c r="AA79" s="9"/>
      <c r="AB79" s="63"/>
      <c r="AC79" s="9"/>
      <c r="AD79" s="9"/>
      <c r="AE79" s="9"/>
      <c r="AF79" s="9"/>
      <c r="AG79" s="63"/>
      <c r="AH79" s="9"/>
      <c r="AI79" s="9"/>
      <c r="AJ79" s="9"/>
      <c r="AK79" s="9"/>
      <c r="AL79" s="63"/>
      <c r="AM79" s="53"/>
      <c r="AN79" s="53"/>
      <c r="AO79" s="53"/>
      <c r="AP79" s="53"/>
      <c r="AQ79" s="28"/>
      <c r="AR79" s="53"/>
      <c r="AS79" s="53"/>
      <c r="AT79" s="53"/>
      <c r="AU79" s="186"/>
      <c r="AV79" s="240"/>
      <c r="AW79" s="240"/>
      <c r="AX79" s="240"/>
      <c r="AY79" s="240"/>
      <c r="AZ79" s="241"/>
      <c r="BA79" s="240"/>
      <c r="BB79" s="240"/>
      <c r="BC79" s="240"/>
      <c r="BD79" s="240"/>
      <c r="BE79" s="241"/>
      <c r="BF79" s="240"/>
      <c r="BG79" s="240"/>
      <c r="BH79" s="240"/>
      <c r="BI79" s="240"/>
      <c r="BJ79" s="241"/>
      <c r="BK79" s="255"/>
      <c r="BL79" s="255"/>
      <c r="BM79" s="255"/>
      <c r="BN79" s="255"/>
      <c r="BO79" s="256"/>
      <c r="BP79" s="255"/>
      <c r="BQ79" s="255"/>
      <c r="BR79" s="255"/>
      <c r="BS79" s="255"/>
      <c r="BT79" s="256"/>
      <c r="BU79" s="255"/>
      <c r="BV79" s="255"/>
      <c r="BW79" s="255"/>
      <c r="BX79" s="255"/>
      <c r="BY79" s="256"/>
      <c r="BZ79" s="255"/>
      <c r="CA79" s="255"/>
      <c r="CB79" s="255"/>
      <c r="CC79" s="255"/>
      <c r="CD79" s="256"/>
      <c r="CE79" s="257"/>
      <c r="CF79" s="257"/>
      <c r="CG79" s="257"/>
      <c r="CH79" s="257"/>
      <c r="CI79" s="258"/>
      <c r="CJ79" s="257"/>
      <c r="CK79" s="257"/>
      <c r="CL79" s="257"/>
      <c r="CM79" s="257"/>
      <c r="CN79" s="258"/>
      <c r="CO79" s="257"/>
      <c r="CP79" s="257"/>
      <c r="CQ79" s="257"/>
      <c r="CR79" s="257"/>
      <c r="CS79" s="258"/>
      <c r="CT79" s="257"/>
      <c r="CU79" s="257"/>
      <c r="CV79" s="257"/>
      <c r="CW79" s="257"/>
      <c r="CX79" s="258"/>
      <c r="CY79" s="289"/>
      <c r="CZ79" s="289"/>
      <c r="DA79" s="289"/>
      <c r="DB79" s="289"/>
      <c r="DC79" s="258"/>
      <c r="DD79" s="289"/>
      <c r="DE79" s="289"/>
      <c r="DF79" s="289"/>
      <c r="DG79" s="289"/>
      <c r="DH79" s="258"/>
      <c r="DI79" s="1378">
        <v>0</v>
      </c>
      <c r="DJ79" s="1378">
        <v>0</v>
      </c>
      <c r="DK79" s="1378">
        <v>0</v>
      </c>
      <c r="DL79" s="1378">
        <v>0</v>
      </c>
      <c r="DM79" s="1380">
        <f>SUM(DI79:DL79)</f>
        <v>0</v>
      </c>
      <c r="DN79" s="1378">
        <v>0</v>
      </c>
      <c r="DO79" s="1378">
        <v>0</v>
      </c>
      <c r="DP79" s="1378">
        <v>0</v>
      </c>
      <c r="DQ79" s="1378">
        <v>0</v>
      </c>
      <c r="DR79" s="1380">
        <f>SUM(DN79:DQ79)</f>
        <v>0</v>
      </c>
      <c r="DS79" s="1378">
        <v>0</v>
      </c>
      <c r="DT79" s="1378">
        <v>0</v>
      </c>
      <c r="DU79" s="1378">
        <v>0</v>
      </c>
      <c r="DV79" s="1378">
        <v>0</v>
      </c>
      <c r="DW79" s="1380">
        <f>SUM(DS79:DV79)</f>
        <v>0</v>
      </c>
      <c r="DX79" s="1378">
        <v>0</v>
      </c>
      <c r="DY79" s="1378">
        <v>0</v>
      </c>
      <c r="DZ79" s="1378">
        <v>0</v>
      </c>
      <c r="EA79" s="1378">
        <v>0</v>
      </c>
      <c r="EB79" s="1380">
        <f>SUM(DX79:EA79)</f>
        <v>0</v>
      </c>
      <c r="EC79" s="1378">
        <v>0</v>
      </c>
      <c r="ED79" s="1378">
        <v>0</v>
      </c>
      <c r="EE79" s="1378">
        <v>0</v>
      </c>
      <c r="EF79" s="1378">
        <v>0</v>
      </c>
      <c r="EG79" s="1380">
        <f>SUM(EC79:EF79)</f>
        <v>0</v>
      </c>
      <c r="EH79" s="1378">
        <v>0</v>
      </c>
      <c r="EI79" s="1378">
        <v>0</v>
      </c>
      <c r="EJ79" s="1378">
        <v>0</v>
      </c>
      <c r="EK79" s="1378">
        <v>0</v>
      </c>
      <c r="EL79" s="1380">
        <f>SUM(EH79:EK79)</f>
        <v>0</v>
      </c>
    </row>
    <row r="80" spans="1:142">
      <c r="A80" s="225"/>
      <c r="B80" s="214" t="s">
        <v>675</v>
      </c>
      <c r="C80" s="9"/>
      <c r="D80" s="9"/>
      <c r="E80" s="9"/>
      <c r="F80" s="9"/>
      <c r="G80" s="9"/>
      <c r="H80" s="63"/>
      <c r="I80" s="9"/>
      <c r="J80" s="9"/>
      <c r="K80" s="9"/>
      <c r="L80" s="9"/>
      <c r="M80" s="63"/>
      <c r="N80" s="9"/>
      <c r="O80" s="9"/>
      <c r="P80" s="9"/>
      <c r="Q80" s="9"/>
      <c r="R80" s="63"/>
      <c r="S80" s="9"/>
      <c r="T80" s="9"/>
      <c r="U80" s="9"/>
      <c r="V80" s="9"/>
      <c r="W80" s="63"/>
      <c r="X80" s="9"/>
      <c r="Y80" s="9"/>
      <c r="Z80" s="9"/>
      <c r="AA80" s="9"/>
      <c r="AB80" s="63"/>
      <c r="AC80" s="9"/>
      <c r="AD80" s="9"/>
      <c r="AE80" s="9"/>
      <c r="AF80" s="9"/>
      <c r="AG80" s="63"/>
      <c r="AH80" s="9"/>
      <c r="AI80" s="9"/>
      <c r="AJ80" s="9"/>
      <c r="AK80" s="9"/>
      <c r="AL80" s="63"/>
      <c r="AM80" s="53"/>
      <c r="AN80" s="53"/>
      <c r="AO80" s="53"/>
      <c r="AP80" s="53"/>
      <c r="AQ80" s="28"/>
      <c r="AR80" s="53"/>
      <c r="AS80" s="53"/>
      <c r="AT80" s="53"/>
      <c r="AU80" s="186"/>
      <c r="AV80" s="240"/>
      <c r="AW80" s="240"/>
      <c r="AX80" s="240"/>
      <c r="AY80" s="240"/>
      <c r="AZ80" s="241"/>
      <c r="BA80" s="240"/>
      <c r="BB80" s="240"/>
      <c r="BC80" s="240"/>
      <c r="BD80" s="240"/>
      <c r="BE80" s="241"/>
      <c r="BF80" s="240"/>
      <c r="BG80" s="240"/>
      <c r="BH80" s="240"/>
      <c r="BI80" s="240"/>
      <c r="BJ80" s="241"/>
      <c r="BK80" s="48"/>
      <c r="BL80" s="48"/>
      <c r="BM80" s="262"/>
      <c r="BN80" s="48"/>
      <c r="BO80" s="263"/>
      <c r="BP80" s="48"/>
      <c r="BQ80" s="48"/>
      <c r="BR80" s="262"/>
      <c r="BS80" s="48"/>
      <c r="BT80" s="263"/>
      <c r="BU80" s="48"/>
      <c r="BV80" s="48"/>
      <c r="BW80" s="262"/>
      <c r="BX80" s="48"/>
      <c r="BY80" s="263"/>
      <c r="BZ80" s="48"/>
      <c r="CA80" s="48"/>
      <c r="CB80" s="262"/>
      <c r="CC80" s="48"/>
      <c r="CD80" s="263"/>
      <c r="CE80" s="174"/>
      <c r="CF80" s="174"/>
      <c r="CG80" s="174"/>
      <c r="CH80" s="174"/>
      <c r="CI80" s="263"/>
      <c r="CJ80" s="174"/>
      <c r="CK80" s="174"/>
      <c r="CL80" s="174"/>
      <c r="CM80" s="174"/>
      <c r="CN80" s="263"/>
      <c r="CO80" s="174"/>
      <c r="CP80" s="174"/>
      <c r="CQ80" s="174"/>
      <c r="CR80" s="174"/>
      <c r="CS80" s="263"/>
      <c r="CT80" s="174"/>
      <c r="CU80" s="174"/>
      <c r="CV80" s="174"/>
      <c r="CW80" s="174"/>
      <c r="CX80" s="263">
        <f>SUM(CT80:CW80)</f>
        <v>0</v>
      </c>
      <c r="CY80" s="174">
        <v>850</v>
      </c>
      <c r="CZ80" s="174">
        <f>+CZ81-CZ78</f>
        <v>0</v>
      </c>
      <c r="DA80" s="174">
        <f>+DA81-DA78</f>
        <v>0</v>
      </c>
      <c r="DB80" s="174">
        <f>+DB81-DB78</f>
        <v>0</v>
      </c>
      <c r="DC80" s="263">
        <f>SUM(CY80:DB80)</f>
        <v>850</v>
      </c>
      <c r="DD80" s="174">
        <f>+DD81-DD78</f>
        <v>0</v>
      </c>
      <c r="DE80" s="174">
        <f>+DE81-DE78</f>
        <v>0</v>
      </c>
      <c r="DF80" s="174">
        <f>+DF81-DF78</f>
        <v>0</v>
      </c>
      <c r="DG80" s="174">
        <f>+DG81-DG78</f>
        <v>0</v>
      </c>
      <c r="DH80" s="263">
        <f>SUM(DD80:DG80)</f>
        <v>0</v>
      </c>
      <c r="DI80" s="1379">
        <v>0</v>
      </c>
      <c r="DJ80" s="1379">
        <v>0</v>
      </c>
      <c r="DK80" s="1379">
        <v>0</v>
      </c>
      <c r="DL80" s="1379">
        <v>0</v>
      </c>
      <c r="DM80" s="1381">
        <f>SUM(DI80:DL80)</f>
        <v>0</v>
      </c>
      <c r="DN80" s="1379">
        <v>0</v>
      </c>
      <c r="DO80" s="1379">
        <v>0</v>
      </c>
      <c r="DP80" s="1379">
        <v>0</v>
      </c>
      <c r="DQ80" s="1379">
        <v>0</v>
      </c>
      <c r="DR80" s="1381">
        <f>SUM(DN80:DQ80)</f>
        <v>0</v>
      </c>
      <c r="DS80" s="1379">
        <v>0</v>
      </c>
      <c r="DT80" s="1379">
        <v>0</v>
      </c>
      <c r="DU80" s="1379">
        <v>0</v>
      </c>
      <c r="DV80" s="1379">
        <v>0</v>
      </c>
      <c r="DW80" s="1381">
        <f>SUM(DS80:DV80)</f>
        <v>0</v>
      </c>
      <c r="DX80" s="1379">
        <v>0</v>
      </c>
      <c r="DY80" s="1379">
        <v>0</v>
      </c>
      <c r="DZ80" s="1379">
        <v>0</v>
      </c>
      <c r="EA80" s="1379">
        <v>0</v>
      </c>
      <c r="EB80" s="1381">
        <f>SUM(DX80:EA80)</f>
        <v>0</v>
      </c>
      <c r="EC80" s="1379">
        <v>0</v>
      </c>
      <c r="ED80" s="1379">
        <v>0</v>
      </c>
      <c r="EE80" s="1379">
        <v>0</v>
      </c>
      <c r="EF80" s="1379">
        <v>0</v>
      </c>
      <c r="EG80" s="1381">
        <f>SUM(EC80:EF80)</f>
        <v>0</v>
      </c>
      <c r="EH80" s="1379">
        <v>-200</v>
      </c>
      <c r="EI80" s="1379">
        <v>-200</v>
      </c>
      <c r="EJ80" s="1379">
        <v>-200</v>
      </c>
      <c r="EK80" s="1379">
        <v>-200</v>
      </c>
      <c r="EL80" s="1381">
        <f>SUM(EH80:EK80)</f>
        <v>-800</v>
      </c>
    </row>
    <row r="81" spans="1:142">
      <c r="A81" s="225"/>
      <c r="B81" s="209" t="s">
        <v>299</v>
      </c>
      <c r="C81" s="9"/>
      <c r="D81" s="9"/>
      <c r="E81" s="9"/>
      <c r="F81" s="9"/>
      <c r="G81" s="9"/>
      <c r="H81" s="63"/>
      <c r="I81" s="9"/>
      <c r="J81" s="9"/>
      <c r="K81" s="9"/>
      <c r="L81" s="9"/>
      <c r="M81" s="63"/>
      <c r="N81" s="9"/>
      <c r="O81" s="9"/>
      <c r="P81" s="9"/>
      <c r="Q81" s="9"/>
      <c r="R81" s="63"/>
      <c r="S81" s="9"/>
      <c r="T81" s="9"/>
      <c r="U81" s="9"/>
      <c r="V81" s="9"/>
      <c r="W81" s="63"/>
      <c r="X81" s="9"/>
      <c r="Y81" s="9"/>
      <c r="Z81" s="9"/>
      <c r="AA81" s="9"/>
      <c r="AB81" s="63"/>
      <c r="AC81" s="9"/>
      <c r="AD81" s="9"/>
      <c r="AE81" s="9"/>
      <c r="AF81" s="9"/>
      <c r="AG81" s="63"/>
      <c r="AH81" s="9"/>
      <c r="AI81" s="9"/>
      <c r="AJ81" s="9"/>
      <c r="AK81" s="9"/>
      <c r="AL81" s="63"/>
      <c r="AM81" s="53"/>
      <c r="AN81" s="53"/>
      <c r="AO81" s="53"/>
      <c r="AP81" s="53"/>
      <c r="AQ81" s="28"/>
      <c r="AR81" s="53"/>
      <c r="AS81" s="53"/>
      <c r="AT81" s="53"/>
      <c r="AU81" s="186"/>
      <c r="AV81" s="240"/>
      <c r="AW81" s="240"/>
      <c r="AX81" s="240"/>
      <c r="AY81" s="240"/>
      <c r="AZ81" s="241"/>
      <c r="BA81" s="240"/>
      <c r="BB81" s="240"/>
      <c r="BC81" s="240"/>
      <c r="BD81" s="240"/>
      <c r="BE81" s="241"/>
      <c r="BF81" s="240"/>
      <c r="BG81" s="240"/>
      <c r="BH81" s="240"/>
      <c r="BI81" s="240"/>
      <c r="BJ81" s="241"/>
      <c r="BK81" s="146"/>
      <c r="BL81" s="162"/>
      <c r="BM81" s="162"/>
      <c r="BN81" s="162"/>
      <c r="BO81" s="266"/>
      <c r="BP81" s="146"/>
      <c r="BQ81" s="162"/>
      <c r="BR81" s="162"/>
      <c r="BS81" s="162"/>
      <c r="BT81" s="266"/>
      <c r="BU81" s="146"/>
      <c r="BV81" s="162"/>
      <c r="BW81" s="162"/>
      <c r="BX81" s="162"/>
      <c r="BY81" s="266"/>
      <c r="BZ81" s="146"/>
      <c r="CA81" s="162"/>
      <c r="CB81" s="162"/>
      <c r="CC81" s="162"/>
      <c r="CD81" s="266"/>
      <c r="CE81" s="267"/>
      <c r="CF81" s="267"/>
      <c r="CG81" s="267"/>
      <c r="CH81" s="267"/>
      <c r="CI81" s="170"/>
      <c r="CJ81" s="267"/>
      <c r="CK81" s="267"/>
      <c r="CL81" s="267"/>
      <c r="CM81" s="267"/>
      <c r="CN81" s="170"/>
      <c r="CO81" s="267"/>
      <c r="CP81" s="267"/>
      <c r="CQ81" s="267"/>
      <c r="CR81" s="267"/>
      <c r="CS81" s="170"/>
      <c r="CT81" s="267"/>
      <c r="CU81" s="267"/>
      <c r="CV81" s="267"/>
      <c r="CW81" s="165"/>
      <c r="CX81" s="170">
        <f>CW81</f>
        <v>0</v>
      </c>
      <c r="CY81" s="166">
        <v>850</v>
      </c>
      <c r="CZ81" s="166">
        <v>850</v>
      </c>
      <c r="DA81" s="333">
        <v>850</v>
      </c>
      <c r="DB81" s="269">
        <v>850</v>
      </c>
      <c r="DC81" s="170">
        <f>DB81</f>
        <v>850</v>
      </c>
      <c r="DD81" s="166">
        <v>850</v>
      </c>
      <c r="DE81" s="269">
        <v>850</v>
      </c>
      <c r="DF81" s="269">
        <v>850</v>
      </c>
      <c r="DG81" s="269">
        <v>850</v>
      </c>
      <c r="DH81" s="170">
        <f>DG81</f>
        <v>850</v>
      </c>
      <c r="DI81" s="539">
        <f>SUM(DI78:DI80)</f>
        <v>850</v>
      </c>
      <c r="DJ81" s="539">
        <f>SUM(DJ78:DJ80)</f>
        <v>850</v>
      </c>
      <c r="DK81" s="539">
        <f>SUM(DK78:DK80)</f>
        <v>850</v>
      </c>
      <c r="DL81" s="539">
        <f>SUM(DL78:DL80)</f>
        <v>850</v>
      </c>
      <c r="DM81" s="1380">
        <f>DL81</f>
        <v>850</v>
      </c>
      <c r="DN81" s="539">
        <f>SUM(DN78:DN80)</f>
        <v>850</v>
      </c>
      <c r="DO81" s="539">
        <f>SUM(DO78:DO80)</f>
        <v>850</v>
      </c>
      <c r="DP81" s="1401">
        <f>SUM(DP78:DP80)</f>
        <v>850</v>
      </c>
      <c r="DQ81" s="1401">
        <f>SUM(DQ78:DQ80)</f>
        <v>850</v>
      </c>
      <c r="DR81" s="1380">
        <f>DQ81</f>
        <v>850</v>
      </c>
      <c r="DS81" s="539">
        <f>SUM(DS78:DS80)</f>
        <v>850</v>
      </c>
      <c r="DT81" s="539">
        <f>SUM(DT78:DT80)</f>
        <v>850</v>
      </c>
      <c r="DU81" s="1401">
        <f>SUM(DU78:DU80)</f>
        <v>850</v>
      </c>
      <c r="DV81" s="1401">
        <f>SUM(DV78:DV80)</f>
        <v>850</v>
      </c>
      <c r="DW81" s="1380">
        <f>DV81</f>
        <v>850</v>
      </c>
      <c r="DX81" s="539">
        <f>SUM(DX78:DX80)</f>
        <v>850</v>
      </c>
      <c r="DY81" s="539">
        <f>SUM(DY78:DY80)</f>
        <v>850</v>
      </c>
      <c r="DZ81" s="1401">
        <f>SUM(DZ78:DZ80)</f>
        <v>850</v>
      </c>
      <c r="EA81" s="1401">
        <f>SUM(EA78:EA80)</f>
        <v>850</v>
      </c>
      <c r="EB81" s="1380">
        <f>EA81</f>
        <v>850</v>
      </c>
      <c r="EC81" s="539">
        <f>SUM(EC78:EC80)</f>
        <v>850</v>
      </c>
      <c r="ED81" s="539">
        <f>SUM(ED78:ED80)</f>
        <v>850</v>
      </c>
      <c r="EE81" s="1401">
        <f>SUM(EE78:EE80)</f>
        <v>850</v>
      </c>
      <c r="EF81" s="1401">
        <f>SUM(EF78:EF80)</f>
        <v>850</v>
      </c>
      <c r="EG81" s="1380">
        <f>EF81</f>
        <v>850</v>
      </c>
      <c r="EH81" s="539">
        <f>SUM(EH78:EH80)</f>
        <v>650</v>
      </c>
      <c r="EI81" s="539">
        <f>SUM(EI78:EI80)</f>
        <v>450</v>
      </c>
      <c r="EJ81" s="1401">
        <f>SUM(EJ78:EJ80)</f>
        <v>250</v>
      </c>
      <c r="EK81" s="1401">
        <f>SUM(EK78:EK80)</f>
        <v>50</v>
      </c>
      <c r="EL81" s="1380">
        <f>EK81</f>
        <v>50</v>
      </c>
    </row>
    <row r="82" spans="1:142">
      <c r="A82" s="225"/>
      <c r="B82" s="214" t="s">
        <v>300</v>
      </c>
      <c r="C82" s="9"/>
      <c r="D82" s="9"/>
      <c r="E82" s="9"/>
      <c r="F82" s="9"/>
      <c r="G82" s="9"/>
      <c r="H82" s="63"/>
      <c r="I82" s="9"/>
      <c r="J82" s="9"/>
      <c r="K82" s="9"/>
      <c r="L82" s="9"/>
      <c r="M82" s="63"/>
      <c r="N82" s="9"/>
      <c r="O82" s="9"/>
      <c r="P82" s="9"/>
      <c r="Q82" s="9"/>
      <c r="R82" s="63"/>
      <c r="S82" s="9"/>
      <c r="T82" s="9"/>
      <c r="U82" s="9"/>
      <c r="V82" s="9"/>
      <c r="W82" s="63"/>
      <c r="X82" s="9"/>
      <c r="Y82" s="9"/>
      <c r="Z82" s="9"/>
      <c r="AA82" s="9"/>
      <c r="AB82" s="63"/>
      <c r="AC82" s="9"/>
      <c r="AD82" s="9"/>
      <c r="AE82" s="9"/>
      <c r="AF82" s="9"/>
      <c r="AG82" s="63"/>
      <c r="AH82" s="9"/>
      <c r="AI82" s="9"/>
      <c r="AJ82" s="9"/>
      <c r="AK82" s="9"/>
      <c r="AL82" s="63"/>
      <c r="AM82" s="53"/>
      <c r="AN82" s="53"/>
      <c r="AO82" s="53"/>
      <c r="AP82" s="53"/>
      <c r="AQ82" s="28"/>
      <c r="AR82" s="53"/>
      <c r="AS82" s="53"/>
      <c r="AT82" s="53"/>
      <c r="AU82" s="186"/>
      <c r="AV82" s="240"/>
      <c r="AW82" s="240"/>
      <c r="AX82" s="240"/>
      <c r="AY82" s="240"/>
      <c r="AZ82" s="241"/>
      <c r="BA82" s="240"/>
      <c r="BB82" s="240"/>
      <c r="BC82" s="240"/>
      <c r="BD82" s="240"/>
      <c r="BE82" s="241"/>
      <c r="BF82" s="240"/>
      <c r="BG82" s="240"/>
      <c r="BH82" s="240"/>
      <c r="BI82" s="240"/>
      <c r="BJ82" s="241"/>
      <c r="BK82" s="215"/>
      <c r="BL82" s="215"/>
      <c r="BM82" s="275"/>
      <c r="BN82" s="215"/>
      <c r="BO82" s="263"/>
      <c r="BP82" s="215"/>
      <c r="BQ82" s="215"/>
      <c r="BR82" s="275"/>
      <c r="BS82" s="215"/>
      <c r="BT82" s="263"/>
      <c r="BU82" s="215"/>
      <c r="BV82" s="215"/>
      <c r="BW82" s="275"/>
      <c r="BX82" s="215"/>
      <c r="BY82" s="263"/>
      <c r="BZ82" s="215"/>
      <c r="CA82" s="215"/>
      <c r="CB82" s="275"/>
      <c r="CC82" s="215"/>
      <c r="CD82" s="263"/>
      <c r="CE82" s="276"/>
      <c r="CF82" s="276"/>
      <c r="CG82" s="276"/>
      <c r="CH82" s="276"/>
      <c r="CI82" s="263"/>
      <c r="CJ82" s="276"/>
      <c r="CK82" s="276"/>
      <c r="CL82" s="276"/>
      <c r="CM82" s="276"/>
      <c r="CN82" s="263"/>
      <c r="CO82" s="276"/>
      <c r="CP82" s="276"/>
      <c r="CQ82" s="276"/>
      <c r="CR82" s="276"/>
      <c r="CS82" s="263"/>
      <c r="CT82" s="276"/>
      <c r="CU82" s="276"/>
      <c r="CV82" s="276"/>
      <c r="CW82" s="276"/>
      <c r="CX82" s="263">
        <f>SUM(CT82:CW82)</f>
        <v>0</v>
      </c>
      <c r="CY82" s="276">
        <f>CY77/4*(CY81*2/3)</f>
        <v>6.3749999999999991</v>
      </c>
      <c r="CZ82" s="276">
        <f>CZ77/4*AVERAGE(CZ81,CZ78)</f>
        <v>9.5625</v>
      </c>
      <c r="DA82" s="276">
        <f>DA77/4*AVERAGE(DA81,DA78)</f>
        <v>9.5625</v>
      </c>
      <c r="DB82" s="276">
        <f>DB77/4*AVERAGE(DB81,DB78)</f>
        <v>9.5625</v>
      </c>
      <c r="DC82" s="263">
        <f>SUM(CY82:DB82)</f>
        <v>35.0625</v>
      </c>
      <c r="DD82" s="276">
        <f>DD77/4*AVERAGE(DD81,DD78)</f>
        <v>9.5625</v>
      </c>
      <c r="DE82" s="276">
        <f>DE77/4*AVERAGE(DE81,DE78)</f>
        <v>9.5625</v>
      </c>
      <c r="DF82" s="276">
        <f>DF77/4*AVERAGE(DF81,DF78)</f>
        <v>9.5625</v>
      </c>
      <c r="DG82" s="276">
        <f>DG77/4*AVERAGE(DG81,DG78)</f>
        <v>9.5625</v>
      </c>
      <c r="DH82" s="263">
        <f>SUM(DD82:DG82)</f>
        <v>38.25</v>
      </c>
      <c r="DI82" s="1342">
        <f>DI77/4*AVERAGE(DI81,DI78)</f>
        <v>9.5625</v>
      </c>
      <c r="DJ82" s="1342">
        <f>DJ77/4*AVERAGE(DJ81,DJ78)</f>
        <v>9.5625</v>
      </c>
      <c r="DK82" s="1342">
        <f>DK77/4*AVERAGE(DK81,DK78)</f>
        <v>9.5625</v>
      </c>
      <c r="DL82" s="1342">
        <f>DL77/4*AVERAGE(DL81,DL78)</f>
        <v>9.5625</v>
      </c>
      <c r="DM82" s="1353">
        <f>SUM(DI82:DL82)</f>
        <v>38.25</v>
      </c>
      <c r="DN82" s="1342">
        <f>DN77/4*AVERAGE(DN81,DN78)</f>
        <v>9.5625</v>
      </c>
      <c r="DO82" s="1342">
        <f>DO77/4*AVERAGE(DO81,DO78)</f>
        <v>9.5625</v>
      </c>
      <c r="DP82" s="1342">
        <f>DP77/4*AVERAGE(DP81,DP78)</f>
        <v>9.5625</v>
      </c>
      <c r="DQ82" s="1342">
        <f>DQ77/4*AVERAGE(DQ81,DQ78)</f>
        <v>9.5625</v>
      </c>
      <c r="DR82" s="1353">
        <f>SUM(DN82:DQ82)</f>
        <v>38.25</v>
      </c>
      <c r="DS82" s="1342">
        <f>DS77/4*AVERAGE(DS81,DS78)</f>
        <v>9.5625</v>
      </c>
      <c r="DT82" s="1342">
        <f>DT77/4*AVERAGE(DT81,DT78)</f>
        <v>9.5625</v>
      </c>
      <c r="DU82" s="1342">
        <f>DU77/4*AVERAGE(DU81,DU78)</f>
        <v>9.5625</v>
      </c>
      <c r="DV82" s="1342">
        <f>DV77/4*AVERAGE(DV81,DV78)</f>
        <v>9.5625</v>
      </c>
      <c r="DW82" s="1353">
        <f>SUM(DS82:DV82)</f>
        <v>38.25</v>
      </c>
      <c r="DX82" s="1342">
        <f>DX77/4*AVERAGE(DX81,DX78)</f>
        <v>9.5625</v>
      </c>
      <c r="DY82" s="1342">
        <f>DY77/4*AVERAGE(DY81,DY78)</f>
        <v>9.5625</v>
      </c>
      <c r="DZ82" s="1342">
        <f>DZ77/4*AVERAGE(DZ81,DZ78)</f>
        <v>9.5625</v>
      </c>
      <c r="EA82" s="1342">
        <f>EA77/4*AVERAGE(EA81,EA78)</f>
        <v>9.5625</v>
      </c>
      <c r="EB82" s="1353">
        <f>SUM(DX82:EA82)</f>
        <v>38.25</v>
      </c>
      <c r="EC82" s="1342">
        <f>EC77/4*AVERAGE(EC81,EC78)</f>
        <v>9.5625</v>
      </c>
      <c r="ED82" s="1342">
        <f>ED77/4*AVERAGE(ED81,ED78)</f>
        <v>9.5625</v>
      </c>
      <c r="EE82" s="1342">
        <f>EE77/4*AVERAGE(EE81,EE78)</f>
        <v>9.5625</v>
      </c>
      <c r="EF82" s="1342">
        <f>EF77/4*AVERAGE(EF81,EF78)</f>
        <v>9.5625</v>
      </c>
      <c r="EG82" s="1353">
        <f>SUM(EC82:EF82)</f>
        <v>38.25</v>
      </c>
      <c r="EH82" s="1342">
        <f>EH77/4*AVERAGE(EH81,EH78)</f>
        <v>8.4375</v>
      </c>
      <c r="EI82" s="1342">
        <f>EI77/4*AVERAGE(EI81,EI78)</f>
        <v>6.1875</v>
      </c>
      <c r="EJ82" s="1342">
        <f>EJ77/4*AVERAGE(EJ81,EJ78)</f>
        <v>3.9375</v>
      </c>
      <c r="EK82" s="1342">
        <f>EK77/4*AVERAGE(EK81,EK78)</f>
        <v>1.6875</v>
      </c>
      <c r="EL82" s="1353">
        <f>SUM(EH82:EK82)</f>
        <v>20.25</v>
      </c>
    </row>
    <row r="83" spans="1:142" hidden="1" outlineLevel="1">
      <c r="A83" s="225"/>
      <c r="B83" s="1326"/>
      <c r="C83" s="9"/>
      <c r="D83" s="9"/>
      <c r="E83" s="9"/>
      <c r="F83" s="9"/>
      <c r="G83" s="9"/>
      <c r="H83" s="63"/>
      <c r="I83" s="9"/>
      <c r="J83" s="9"/>
      <c r="K83" s="9"/>
      <c r="L83" s="9"/>
      <c r="M83" s="63"/>
      <c r="N83" s="9"/>
      <c r="O83" s="9"/>
      <c r="P83" s="9"/>
      <c r="Q83" s="9"/>
      <c r="R83" s="63"/>
      <c r="S83" s="9"/>
      <c r="T83" s="9"/>
      <c r="U83" s="9"/>
      <c r="V83" s="9"/>
      <c r="W83" s="63"/>
      <c r="X83" s="9"/>
      <c r="Y83" s="9"/>
      <c r="Z83" s="9"/>
      <c r="AA83" s="9"/>
      <c r="AB83" s="63"/>
      <c r="AC83" s="9"/>
      <c r="AD83" s="9"/>
      <c r="AE83" s="9"/>
      <c r="AF83" s="9"/>
      <c r="AG83" s="63"/>
      <c r="AH83" s="9"/>
      <c r="AI83" s="9"/>
      <c r="AJ83" s="9"/>
      <c r="AK83" s="9"/>
      <c r="AL83" s="63"/>
      <c r="AM83" s="53"/>
      <c r="AN83" s="53"/>
      <c r="AO83" s="53"/>
      <c r="AP83" s="53"/>
      <c r="AQ83" s="28"/>
      <c r="AR83" s="53"/>
      <c r="AS83" s="53"/>
      <c r="AT83" s="53"/>
      <c r="AU83" s="186"/>
      <c r="AV83" s="240"/>
      <c r="AW83" s="240"/>
      <c r="AX83" s="240"/>
      <c r="AY83" s="240"/>
      <c r="AZ83" s="241"/>
      <c r="BA83" s="240"/>
      <c r="BB83" s="240"/>
      <c r="BC83" s="240"/>
      <c r="BD83" s="240"/>
      <c r="BE83" s="241"/>
      <c r="BF83" s="240"/>
      <c r="BG83" s="240"/>
      <c r="BH83" s="240"/>
      <c r="BI83" s="240"/>
      <c r="BJ83" s="241"/>
      <c r="BK83" s="171"/>
      <c r="BL83" s="171"/>
      <c r="BM83" s="87"/>
      <c r="BN83" s="171"/>
      <c r="BO83" s="170"/>
      <c r="BP83" s="171"/>
      <c r="BQ83" s="171"/>
      <c r="BR83" s="87"/>
      <c r="BS83" s="171"/>
      <c r="BT83" s="170"/>
      <c r="BU83" s="171"/>
      <c r="BV83" s="171"/>
      <c r="BW83" s="87"/>
      <c r="BX83" s="171"/>
      <c r="BY83" s="170"/>
      <c r="BZ83" s="171"/>
      <c r="CA83" s="171"/>
      <c r="CB83" s="87"/>
      <c r="CC83" s="171"/>
      <c r="CD83" s="170"/>
      <c r="CE83" s="173"/>
      <c r="CF83" s="173"/>
      <c r="CG83" s="173"/>
      <c r="CH83" s="173"/>
      <c r="CI83" s="170"/>
      <c r="CJ83" s="173"/>
      <c r="CK83" s="173"/>
      <c r="CL83" s="173"/>
      <c r="CM83" s="173"/>
      <c r="CN83" s="170"/>
      <c r="CO83" s="173"/>
      <c r="CP83" s="173"/>
      <c r="CQ83" s="173"/>
      <c r="CR83" s="173"/>
      <c r="CS83" s="170"/>
      <c r="CT83" s="173"/>
      <c r="CU83" s="173"/>
      <c r="CV83" s="173"/>
      <c r="CW83" s="173"/>
      <c r="CX83" s="170"/>
      <c r="CY83" s="173"/>
      <c r="CZ83" s="173"/>
      <c r="DA83" s="173"/>
      <c r="DB83" s="173"/>
      <c r="DC83" s="170"/>
      <c r="DD83" s="173"/>
      <c r="DE83" s="173"/>
      <c r="DF83" s="173"/>
      <c r="DG83" s="173"/>
      <c r="DH83" s="170"/>
      <c r="DI83" s="545"/>
      <c r="DJ83" s="545"/>
      <c r="DK83" s="545"/>
      <c r="DL83" s="545"/>
      <c r="DM83" s="538"/>
      <c r="DN83" s="545"/>
      <c r="DO83" s="545"/>
      <c r="DP83" s="545"/>
      <c r="DQ83" s="545"/>
      <c r="DR83" s="538"/>
      <c r="DS83" s="545"/>
      <c r="DT83" s="545"/>
      <c r="DU83" s="545"/>
      <c r="DV83" s="545"/>
      <c r="DW83" s="538"/>
      <c r="DX83" s="545"/>
      <c r="DY83" s="545"/>
      <c r="DZ83" s="545"/>
      <c r="EA83" s="545"/>
      <c r="EB83" s="538"/>
      <c r="EC83" s="545"/>
      <c r="ED83" s="545"/>
      <c r="EE83" s="545"/>
      <c r="EF83" s="545"/>
      <c r="EG83" s="538"/>
      <c r="EH83" s="545"/>
      <c r="EI83" s="545"/>
      <c r="EJ83" s="545"/>
      <c r="EK83" s="545"/>
      <c r="EL83" s="538"/>
    </row>
    <row r="84" spans="1:142" hidden="1" outlineLevel="1">
      <c r="A84" s="225"/>
      <c r="B84" s="1326" t="s">
        <v>672</v>
      </c>
      <c r="C84" s="9"/>
      <c r="D84" s="9"/>
      <c r="E84" s="9"/>
      <c r="F84" s="9"/>
      <c r="G84" s="9"/>
      <c r="H84" s="63"/>
      <c r="I84" s="9"/>
      <c r="J84" s="9"/>
      <c r="K84" s="9"/>
      <c r="L84" s="9"/>
      <c r="M84" s="63"/>
      <c r="N84" s="9"/>
      <c r="O84" s="9"/>
      <c r="P84" s="9"/>
      <c r="Q84" s="9"/>
      <c r="R84" s="63"/>
      <c r="S84" s="9"/>
      <c r="T84" s="9"/>
      <c r="U84" s="9"/>
      <c r="V84" s="9"/>
      <c r="W84" s="63"/>
      <c r="X84" s="9"/>
      <c r="Y84" s="9"/>
      <c r="Z84" s="9"/>
      <c r="AA84" s="9"/>
      <c r="AB84" s="63"/>
      <c r="AC84" s="9"/>
      <c r="AD84" s="9"/>
      <c r="AE84" s="9"/>
      <c r="AF84" s="9"/>
      <c r="AG84" s="63"/>
      <c r="AH84" s="9"/>
      <c r="AI84" s="9"/>
      <c r="AJ84" s="9"/>
      <c r="AK84" s="9"/>
      <c r="AL84" s="63"/>
      <c r="AM84" s="53"/>
      <c r="AN84" s="53"/>
      <c r="AO84" s="53"/>
      <c r="AP84" s="53"/>
      <c r="AQ84" s="28"/>
      <c r="AR84" s="53"/>
      <c r="AS84" s="53"/>
      <c r="AT84" s="53"/>
      <c r="AU84" s="186"/>
      <c r="AV84" s="240"/>
      <c r="AW84" s="240"/>
      <c r="AX84" s="240"/>
      <c r="AY84" s="240"/>
      <c r="AZ84" s="241"/>
      <c r="BA84" s="240"/>
      <c r="BB84" s="240"/>
      <c r="BC84" s="240"/>
      <c r="BD84" s="240"/>
      <c r="BE84" s="241"/>
      <c r="BF84" s="240"/>
      <c r="BG84" s="240"/>
      <c r="BH84" s="240"/>
      <c r="BI84" s="240"/>
      <c r="BJ84" s="241"/>
      <c r="BK84" s="171"/>
      <c r="BL84" s="171"/>
      <c r="BM84" s="87"/>
      <c r="BN84" s="171"/>
      <c r="BO84" s="170"/>
      <c r="BP84" s="171"/>
      <c r="BQ84" s="171"/>
      <c r="BR84" s="87"/>
      <c r="BS84" s="171"/>
      <c r="BT84" s="170"/>
      <c r="BU84" s="171"/>
      <c r="BV84" s="171"/>
      <c r="BW84" s="87"/>
      <c r="BX84" s="171"/>
      <c r="BY84" s="170"/>
      <c r="BZ84" s="171"/>
      <c r="CA84" s="171"/>
      <c r="CB84" s="87"/>
      <c r="CC84" s="171"/>
      <c r="CD84" s="170"/>
      <c r="CE84" s="173"/>
      <c r="CF84" s="173"/>
      <c r="CG84" s="173"/>
      <c r="CH84" s="173"/>
      <c r="CI84" s="170"/>
      <c r="CJ84" s="173"/>
      <c r="CK84" s="173"/>
      <c r="CL84" s="173"/>
      <c r="CM84" s="173"/>
      <c r="CN84" s="170"/>
      <c r="CO84" s="173"/>
      <c r="CP84" s="173"/>
      <c r="CQ84" s="173"/>
      <c r="CR84" s="173"/>
      <c r="CS84" s="170"/>
      <c r="CT84" s="173"/>
      <c r="CU84" s="173"/>
      <c r="CV84" s="173"/>
      <c r="CW84" s="173"/>
      <c r="CX84" s="170"/>
      <c r="CY84" s="173"/>
      <c r="CZ84" s="173"/>
      <c r="DA84" s="173"/>
      <c r="DB84" s="173"/>
      <c r="DC84" s="170"/>
      <c r="DD84" s="173"/>
      <c r="DE84" s="173"/>
      <c r="DF84" s="173"/>
      <c r="DG84" s="173"/>
      <c r="DH84" s="170"/>
      <c r="DI84" s="545"/>
      <c r="DJ84" s="545"/>
      <c r="DK84" s="545"/>
      <c r="DL84" s="545"/>
      <c r="DM84" s="538"/>
      <c r="DN84" s="545"/>
      <c r="DO84" s="545"/>
      <c r="DP84" s="545"/>
      <c r="DQ84" s="545"/>
      <c r="DR84" s="538"/>
      <c r="DS84" s="545"/>
      <c r="DT84" s="739">
        <f>DT74+DT80</f>
        <v>1441</v>
      </c>
      <c r="DU84" s="739">
        <f>DU74+DU80</f>
        <v>1450</v>
      </c>
      <c r="DV84" s="739">
        <f>DV74+DV80</f>
        <v>698</v>
      </c>
      <c r="DW84" s="739"/>
      <c r="DX84" s="739">
        <f>DX74+DX80</f>
        <v>829.37035815589047</v>
      </c>
      <c r="DY84" s="739">
        <f>DY74+DY80</f>
        <v>605.37663535468891</v>
      </c>
      <c r="DZ84" s="739">
        <f>DZ74+DZ80</f>
        <v>853.21887238129329</v>
      </c>
      <c r="EA84" s="739">
        <f>EA74+EA80</f>
        <v>567.71087398451732</v>
      </c>
      <c r="EB84" s="739"/>
      <c r="EC84" s="739">
        <f>EC74+EC80</f>
        <v>376.97417916896063</v>
      </c>
      <c r="ED84" s="739">
        <f>ED74+ED80</f>
        <v>520.54772891988341</v>
      </c>
      <c r="EE84" s="739">
        <f>EE74+EE80</f>
        <v>689.98221824519351</v>
      </c>
      <c r="EF84" s="739">
        <f>EF74+EF80</f>
        <v>714.63062624325505</v>
      </c>
      <c r="EG84" s="53"/>
      <c r="EH84" s="739">
        <f>EH74+EH80</f>
        <v>657.96794350851678</v>
      </c>
      <c r="EI84" s="739">
        <f>EI74+EI80</f>
        <v>602.90493870577018</v>
      </c>
      <c r="EJ84" s="739">
        <f>EJ74+EJ80</f>
        <v>652.42194509847184</v>
      </c>
      <c r="EK84" s="739">
        <f>EK74+EK80</f>
        <v>471.25813137678415</v>
      </c>
      <c r="EL84" s="53"/>
    </row>
    <row r="85" spans="1:142" collapsed="1">
      <c r="A85" s="277"/>
      <c r="B85" s="1326"/>
      <c r="C85" s="9"/>
      <c r="D85" s="9"/>
      <c r="E85" s="9"/>
      <c r="F85" s="9"/>
      <c r="G85" s="9"/>
      <c r="H85" s="63"/>
      <c r="I85" s="9"/>
      <c r="J85" s="9"/>
      <c r="K85" s="9"/>
      <c r="L85" s="9"/>
      <c r="M85" s="63"/>
      <c r="N85" s="9"/>
      <c r="O85" s="9"/>
      <c r="P85" s="9"/>
      <c r="Q85" s="9"/>
      <c r="R85" s="63"/>
      <c r="S85" s="9"/>
      <c r="T85" s="9"/>
      <c r="U85" s="9"/>
      <c r="V85" s="9"/>
      <c r="W85" s="63"/>
      <c r="X85" s="9"/>
      <c r="Y85" s="9"/>
      <c r="Z85" s="9"/>
      <c r="AA85" s="9"/>
      <c r="AB85" s="63"/>
      <c r="AC85" s="9"/>
      <c r="AD85" s="9"/>
      <c r="AE85" s="9"/>
      <c r="AF85" s="9"/>
      <c r="AG85" s="63"/>
      <c r="AH85" s="9"/>
      <c r="AI85" s="9"/>
      <c r="AJ85" s="9"/>
      <c r="AK85" s="9"/>
      <c r="AL85" s="63"/>
      <c r="AM85" s="53"/>
      <c r="AN85" s="53"/>
      <c r="AO85" s="53"/>
      <c r="AP85" s="53"/>
      <c r="AQ85" s="28"/>
      <c r="AR85" s="53"/>
      <c r="AS85" s="53"/>
      <c r="AT85" s="53"/>
      <c r="AU85" s="186"/>
      <c r="AV85" s="240"/>
      <c r="AW85" s="240"/>
      <c r="AX85" s="240"/>
      <c r="AY85" s="240"/>
      <c r="AZ85" s="241"/>
      <c r="BA85" s="240"/>
      <c r="BB85" s="240"/>
      <c r="BC85" s="240"/>
      <c r="BD85" s="240"/>
      <c r="BE85" s="241"/>
      <c r="BF85" s="240"/>
      <c r="BG85" s="240"/>
      <c r="BH85" s="240"/>
      <c r="BI85" s="240"/>
      <c r="BJ85" s="241"/>
      <c r="BK85" s="171"/>
      <c r="BL85" s="171"/>
      <c r="BM85" s="171"/>
      <c r="BN85" s="171"/>
      <c r="BO85" s="193"/>
      <c r="BP85" s="171"/>
      <c r="BQ85" s="171"/>
      <c r="BR85" s="171"/>
      <c r="BS85" s="171"/>
      <c r="BT85" s="193"/>
      <c r="BU85" s="171"/>
      <c r="BV85" s="171"/>
      <c r="BW85" s="171"/>
      <c r="BX85" s="171"/>
      <c r="BY85" s="193"/>
      <c r="BZ85" s="171"/>
      <c r="CA85" s="171"/>
      <c r="CB85" s="171"/>
      <c r="CC85" s="171"/>
      <c r="CD85" s="193"/>
      <c r="CE85" s="171"/>
      <c r="CF85" s="171"/>
      <c r="CG85" s="171"/>
      <c r="CH85" s="171"/>
      <c r="CI85" s="193"/>
      <c r="CJ85" s="171"/>
      <c r="CK85" s="171"/>
      <c r="CL85" s="171"/>
      <c r="CM85" s="171"/>
      <c r="CN85" s="193"/>
      <c r="CO85" s="171"/>
      <c r="CP85" s="171"/>
      <c r="CQ85" s="171"/>
      <c r="CR85" s="171"/>
      <c r="CS85" s="193"/>
      <c r="CT85" s="210"/>
      <c r="CU85" s="53"/>
      <c r="CV85" s="53"/>
      <c r="CW85" s="53"/>
      <c r="CX85" s="28"/>
      <c r="CY85" s="53"/>
      <c r="CZ85" s="53"/>
      <c r="DA85" s="53"/>
      <c r="DB85" s="53"/>
      <c r="DC85" s="28"/>
      <c r="DD85" s="53"/>
      <c r="DE85" s="53"/>
      <c r="DF85" s="53"/>
      <c r="DG85" s="53"/>
      <c r="DH85" s="28"/>
      <c r="DI85" s="53"/>
      <c r="DJ85" s="53"/>
      <c r="DK85" s="53"/>
      <c r="DL85" s="53"/>
      <c r="DM85" s="53"/>
      <c r="DN85" s="53"/>
      <c r="DO85" s="53"/>
      <c r="DP85" s="53"/>
      <c r="DQ85" s="53"/>
      <c r="DR85" s="53"/>
      <c r="DS85" s="53"/>
      <c r="DT85" s="739"/>
      <c r="DU85" s="739"/>
      <c r="DV85" s="739"/>
      <c r="DW85" s="739"/>
      <c r="DX85" s="739"/>
      <c r="DY85" s="739"/>
      <c r="DZ85" s="739"/>
      <c r="EA85" s="739"/>
      <c r="EB85" s="739"/>
      <c r="EC85" s="739"/>
      <c r="ED85" s="739"/>
      <c r="EE85" s="739"/>
      <c r="EF85" s="739"/>
      <c r="EG85" s="739"/>
      <c r="EH85" s="739"/>
      <c r="EI85" s="739"/>
      <c r="EJ85" s="739"/>
      <c r="EK85" s="739"/>
      <c r="EL85" s="739"/>
    </row>
    <row r="86" spans="1:142">
      <c r="A86" s="1327"/>
      <c r="B86" s="242" t="s">
        <v>308</v>
      </c>
      <c r="C86" s="9"/>
      <c r="D86" s="9"/>
      <c r="E86" s="9"/>
      <c r="F86" s="9"/>
      <c r="G86" s="9"/>
      <c r="H86" s="63"/>
      <c r="I86" s="9"/>
      <c r="J86" s="9"/>
      <c r="K86" s="9"/>
      <c r="L86" s="9"/>
      <c r="M86" s="63"/>
      <c r="N86" s="9"/>
      <c r="O86" s="9"/>
      <c r="P86" s="9"/>
      <c r="Q86" s="9"/>
      <c r="R86" s="63"/>
      <c r="S86" s="9"/>
      <c r="T86" s="9"/>
      <c r="U86" s="9"/>
      <c r="V86" s="9"/>
      <c r="W86" s="63"/>
      <c r="X86" s="9"/>
      <c r="Y86" s="9"/>
      <c r="Z86" s="9"/>
      <c r="AA86" s="9"/>
      <c r="AB86" s="63"/>
      <c r="AC86" s="9"/>
      <c r="AD86" s="9"/>
      <c r="AE86" s="9"/>
      <c r="AF86" s="9"/>
      <c r="AG86" s="63"/>
      <c r="AH86" s="9"/>
      <c r="AI86" s="9"/>
      <c r="AJ86" s="9"/>
      <c r="AK86" s="9"/>
      <c r="AL86" s="63"/>
      <c r="AM86" s="53"/>
      <c r="AN86" s="53"/>
      <c r="AO86" s="53"/>
      <c r="AP86" s="53"/>
      <c r="AQ86" s="28"/>
      <c r="AR86" s="53"/>
      <c r="AS86" s="53"/>
      <c r="AT86" s="53"/>
      <c r="AU86" s="186"/>
      <c r="AV86" s="240"/>
      <c r="AW86" s="240"/>
      <c r="AX86" s="240"/>
      <c r="AY86" s="240"/>
      <c r="AZ86" s="241"/>
      <c r="BA86" s="240"/>
      <c r="BB86" s="240"/>
      <c r="BC86" s="240"/>
      <c r="BD86" s="240"/>
      <c r="BE86" s="241"/>
      <c r="BF86" s="240"/>
      <c r="BG86" s="240"/>
      <c r="BH86" s="240"/>
      <c r="BI86" s="240"/>
      <c r="BJ86" s="241"/>
      <c r="BK86" s="228"/>
      <c r="BL86" s="228"/>
      <c r="BM86" s="228"/>
      <c r="BN86" s="228"/>
      <c r="BO86" s="229"/>
      <c r="BP86" s="228"/>
      <c r="BQ86" s="228"/>
      <c r="BR86" s="228"/>
      <c r="BS86" s="228"/>
      <c r="BT86" s="229"/>
      <c r="BU86" s="228"/>
      <c r="BV86" s="228"/>
      <c r="BW86" s="228"/>
      <c r="BX86" s="228"/>
      <c r="BY86" s="229"/>
      <c r="BZ86" s="228"/>
      <c r="CA86" s="228"/>
      <c r="CB86" s="228"/>
      <c r="CC86" s="228"/>
      <c r="CD86" s="229"/>
      <c r="CE86" s="228"/>
      <c r="CF86" s="228"/>
      <c r="CG86" s="228"/>
      <c r="CH86" s="228"/>
      <c r="CI86" s="229"/>
      <c r="CJ86" s="228"/>
      <c r="CK86" s="228"/>
      <c r="CL86" s="228"/>
      <c r="CM86" s="228"/>
      <c r="CN86" s="229"/>
      <c r="CO86" s="228"/>
      <c r="CP86" s="228"/>
      <c r="CQ86" s="228"/>
      <c r="CR86" s="228"/>
      <c r="CS86" s="229"/>
      <c r="CT86" s="228"/>
      <c r="CU86" s="228"/>
      <c r="CV86" s="228"/>
      <c r="CW86" s="228"/>
      <c r="CX86" s="229"/>
      <c r="CY86" s="228"/>
      <c r="CZ86" s="228"/>
      <c r="DA86" s="228"/>
      <c r="DB86" s="228"/>
      <c r="DC86" s="229"/>
      <c r="DD86" s="228"/>
      <c r="DE86" s="228"/>
      <c r="DF86" s="228"/>
      <c r="DG86" s="228"/>
      <c r="DH86" s="229"/>
      <c r="DI86" s="228"/>
      <c r="DJ86" s="228"/>
      <c r="DK86" s="231"/>
      <c r="DL86" s="228"/>
      <c r="DM86" s="229"/>
      <c r="DN86" s="228"/>
      <c r="DO86" s="228"/>
      <c r="DP86" s="228"/>
      <c r="DQ86" s="228"/>
      <c r="DR86" s="229"/>
      <c r="DS86" s="228"/>
      <c r="DT86" s="228"/>
      <c r="DU86" s="228"/>
      <c r="DV86" s="228"/>
      <c r="DW86" s="229"/>
      <c r="DX86" s="228"/>
      <c r="DY86" s="228"/>
      <c r="DZ86" s="228"/>
      <c r="EA86" s="228"/>
      <c r="EB86" s="229"/>
      <c r="EC86" s="228"/>
      <c r="ED86" s="228"/>
      <c r="EE86" s="228"/>
      <c r="EF86" s="228"/>
      <c r="EG86" s="229"/>
      <c r="EH86" s="228"/>
      <c r="EI86" s="228"/>
      <c r="EJ86" s="228"/>
      <c r="EK86" s="228"/>
      <c r="EL86" s="229"/>
    </row>
    <row r="87" spans="1:142">
      <c r="A87" s="1328"/>
      <c r="B87" s="247" t="s">
        <v>297</v>
      </c>
      <c r="C87" s="9"/>
      <c r="D87" s="9"/>
      <c r="E87" s="9"/>
      <c r="F87" s="9"/>
      <c r="G87" s="9"/>
      <c r="H87" s="63"/>
      <c r="I87" s="9"/>
      <c r="J87" s="9"/>
      <c r="K87" s="9"/>
      <c r="L87" s="9"/>
      <c r="M87" s="63"/>
      <c r="N87" s="9"/>
      <c r="O87" s="9"/>
      <c r="P87" s="9"/>
      <c r="Q87" s="9"/>
      <c r="R87" s="63"/>
      <c r="S87" s="9"/>
      <c r="T87" s="9"/>
      <c r="U87" s="9"/>
      <c r="V87" s="9"/>
      <c r="W87" s="63"/>
      <c r="X87" s="9"/>
      <c r="Y87" s="9"/>
      <c r="Z87" s="9"/>
      <c r="AA87" s="9"/>
      <c r="AB87" s="63"/>
      <c r="AC87" s="9"/>
      <c r="AD87" s="9"/>
      <c r="AE87" s="9"/>
      <c r="AF87" s="9"/>
      <c r="AG87" s="63"/>
      <c r="AH87" s="9"/>
      <c r="AI87" s="9"/>
      <c r="AJ87" s="9"/>
      <c r="AK87" s="9"/>
      <c r="AL87" s="63"/>
      <c r="AM87" s="53"/>
      <c r="AN87" s="53"/>
      <c r="AO87" s="53"/>
      <c r="AP87" s="53"/>
      <c r="AQ87" s="28"/>
      <c r="AR87" s="53"/>
      <c r="AS87" s="53"/>
      <c r="AT87" s="53"/>
      <c r="AU87" s="186"/>
      <c r="AV87" s="240"/>
      <c r="AW87" s="240"/>
      <c r="AX87" s="240"/>
      <c r="AY87" s="240"/>
      <c r="AZ87" s="241"/>
      <c r="BA87" s="240"/>
      <c r="BB87" s="240"/>
      <c r="BC87" s="240"/>
      <c r="BD87" s="240"/>
      <c r="BE87" s="241"/>
      <c r="BF87" s="240"/>
      <c r="BG87" s="240"/>
      <c r="BH87" s="240"/>
      <c r="BI87" s="240"/>
      <c r="BJ87" s="241"/>
      <c r="BK87" s="9"/>
      <c r="BL87" s="9"/>
      <c r="BM87" s="9"/>
      <c r="BN87" s="9"/>
      <c r="BO87" s="63"/>
      <c r="BP87" s="9"/>
      <c r="BQ87" s="9"/>
      <c r="BR87" s="9"/>
      <c r="BS87" s="9"/>
      <c r="BT87" s="63"/>
      <c r="BU87" s="9"/>
      <c r="BV87" s="9"/>
      <c r="BW87" s="9"/>
      <c r="BX87" s="9"/>
      <c r="BY87" s="63"/>
      <c r="BZ87" s="9"/>
      <c r="CA87" s="9"/>
      <c r="CB87" s="9"/>
      <c r="CC87" s="9"/>
      <c r="CD87" s="63"/>
      <c r="CE87" s="248"/>
      <c r="CF87" s="248"/>
      <c r="CG87" s="248"/>
      <c r="CH87" s="248"/>
      <c r="CI87" s="193"/>
      <c r="CJ87" s="248"/>
      <c r="CK87" s="248"/>
      <c r="CL87" s="248"/>
      <c r="CM87" s="248"/>
      <c r="CN87" s="193"/>
      <c r="CO87" s="248"/>
      <c r="CP87" s="248"/>
      <c r="CQ87" s="248"/>
      <c r="CR87" s="248"/>
      <c r="CS87" s="193"/>
      <c r="CT87" s="248"/>
      <c r="CU87" s="248"/>
      <c r="CV87" s="248"/>
      <c r="CW87" s="248"/>
      <c r="CX87" s="193"/>
      <c r="CY87" s="249">
        <v>4.3749999999999997E-2</v>
      </c>
      <c r="CZ87" s="249">
        <v>4.3749999999999997E-2</v>
      </c>
      <c r="DA87" s="249">
        <f>CZ87</f>
        <v>4.3749999999999997E-2</v>
      </c>
      <c r="DB87" s="249">
        <f>DA87</f>
        <v>4.3749999999999997E-2</v>
      </c>
      <c r="DC87" s="193"/>
      <c r="DD87" s="249">
        <f>DB87</f>
        <v>4.3749999999999997E-2</v>
      </c>
      <c r="DE87" s="249">
        <f>DD87</f>
        <v>4.3749999999999997E-2</v>
      </c>
      <c r="DF87" s="249">
        <f>DE87</f>
        <v>4.3749999999999997E-2</v>
      </c>
      <c r="DG87" s="249">
        <f>DF87</f>
        <v>4.3749999999999997E-2</v>
      </c>
      <c r="DH87" s="193"/>
      <c r="DI87" s="249">
        <f>DG87</f>
        <v>4.3749999999999997E-2</v>
      </c>
      <c r="DJ87" s="249">
        <f>DI87</f>
        <v>4.3749999999999997E-2</v>
      </c>
      <c r="DK87" s="331">
        <f>DJ87</f>
        <v>4.3749999999999997E-2</v>
      </c>
      <c r="DL87" s="249">
        <f>DK87</f>
        <v>4.3749999999999997E-2</v>
      </c>
      <c r="DM87" s="193"/>
      <c r="DN87" s="249">
        <f>DL87</f>
        <v>4.3749999999999997E-2</v>
      </c>
      <c r="DO87" s="249">
        <f>DN87</f>
        <v>4.3749999999999997E-2</v>
      </c>
      <c r="DP87" s="249">
        <f>DO87</f>
        <v>4.3749999999999997E-2</v>
      </c>
      <c r="DQ87" s="249">
        <f>DP87</f>
        <v>4.3749999999999997E-2</v>
      </c>
      <c r="DR87" s="193"/>
      <c r="DS87" s="249">
        <f>DQ87</f>
        <v>4.3749999999999997E-2</v>
      </c>
      <c r="DT87" s="249">
        <f>DS87</f>
        <v>4.3749999999999997E-2</v>
      </c>
      <c r="DU87" s="249">
        <f>DT87</f>
        <v>4.3749999999999997E-2</v>
      </c>
      <c r="DV87" s="249">
        <f>DU87</f>
        <v>4.3749999999999997E-2</v>
      </c>
      <c r="DW87" s="193"/>
      <c r="DX87" s="249">
        <f>DV87</f>
        <v>4.3749999999999997E-2</v>
      </c>
      <c r="DY87" s="249">
        <f>DX87</f>
        <v>4.3749999999999997E-2</v>
      </c>
      <c r="DZ87" s="249">
        <f>DY87</f>
        <v>4.3749999999999997E-2</v>
      </c>
      <c r="EA87" s="249">
        <f>DZ87</f>
        <v>4.3749999999999997E-2</v>
      </c>
      <c r="EB87" s="193"/>
      <c r="EC87" s="249">
        <f>EA87</f>
        <v>4.3749999999999997E-2</v>
      </c>
      <c r="ED87" s="249">
        <f>EC87</f>
        <v>4.3749999999999997E-2</v>
      </c>
      <c r="EE87" s="249">
        <f>ED87</f>
        <v>4.3749999999999997E-2</v>
      </c>
      <c r="EF87" s="249">
        <f>EE87</f>
        <v>4.3749999999999997E-2</v>
      </c>
      <c r="EG87" s="193"/>
      <c r="EH87" s="249">
        <f>EF87</f>
        <v>4.3749999999999997E-2</v>
      </c>
      <c r="EI87" s="249">
        <f>EH87</f>
        <v>4.3749999999999997E-2</v>
      </c>
      <c r="EJ87" s="249">
        <f>EI87</f>
        <v>4.3749999999999997E-2</v>
      </c>
      <c r="EK87" s="249">
        <f>EJ87</f>
        <v>4.3749999999999997E-2</v>
      </c>
      <c r="EL87" s="193"/>
    </row>
    <row r="88" spans="1:142">
      <c r="A88" s="225"/>
      <c r="B88" s="209" t="s">
        <v>298</v>
      </c>
      <c r="C88" s="9"/>
      <c r="D88" s="9"/>
      <c r="E88" s="9"/>
      <c r="F88" s="9"/>
      <c r="G88" s="9"/>
      <c r="H88" s="63"/>
      <c r="I88" s="9"/>
      <c r="J88" s="9"/>
      <c r="K88" s="9"/>
      <c r="L88" s="9"/>
      <c r="M88" s="63"/>
      <c r="N88" s="9"/>
      <c r="O88" s="9"/>
      <c r="P88" s="9"/>
      <c r="Q88" s="9"/>
      <c r="R88" s="63"/>
      <c r="S88" s="9"/>
      <c r="T88" s="9"/>
      <c r="U88" s="9"/>
      <c r="V88" s="9"/>
      <c r="W88" s="63"/>
      <c r="X88" s="9"/>
      <c r="Y88" s="9"/>
      <c r="Z88" s="9"/>
      <c r="AA88" s="9"/>
      <c r="AB88" s="63"/>
      <c r="AC88" s="9"/>
      <c r="AD88" s="9"/>
      <c r="AE88" s="9"/>
      <c r="AF88" s="9"/>
      <c r="AG88" s="63"/>
      <c r="AH88" s="9"/>
      <c r="AI88" s="9"/>
      <c r="AJ88" s="9"/>
      <c r="AK88" s="9"/>
      <c r="AL88" s="63"/>
      <c r="AM88" s="53"/>
      <c r="AN88" s="53"/>
      <c r="AO88" s="53"/>
      <c r="AP88" s="53"/>
      <c r="AQ88" s="28"/>
      <c r="AR88" s="53"/>
      <c r="AS88" s="53"/>
      <c r="AT88" s="53"/>
      <c r="AU88" s="186"/>
      <c r="AV88" s="240"/>
      <c r="AW88" s="240"/>
      <c r="AX88" s="240"/>
      <c r="AY88" s="240"/>
      <c r="AZ88" s="241"/>
      <c r="BA88" s="240"/>
      <c r="BB88" s="240"/>
      <c r="BC88" s="240"/>
      <c r="BD88" s="240"/>
      <c r="BE88" s="241"/>
      <c r="BF88" s="240"/>
      <c r="BG88" s="240"/>
      <c r="BH88" s="240"/>
      <c r="BI88" s="240"/>
      <c r="BJ88" s="241"/>
      <c r="BK88" s="255"/>
      <c r="BL88" s="255"/>
      <c r="BM88" s="255"/>
      <c r="BN88" s="255"/>
      <c r="BO88" s="256"/>
      <c r="BP88" s="255"/>
      <c r="BQ88" s="255"/>
      <c r="BR88" s="255"/>
      <c r="BS88" s="255"/>
      <c r="BT88" s="256"/>
      <c r="BU88" s="255"/>
      <c r="BV88" s="255"/>
      <c r="BW88" s="255"/>
      <c r="BX88" s="255"/>
      <c r="BY88" s="256"/>
      <c r="BZ88" s="255"/>
      <c r="CA88" s="255"/>
      <c r="CB88" s="255"/>
      <c r="CC88" s="255"/>
      <c r="CD88" s="256"/>
      <c r="CE88" s="257"/>
      <c r="CF88" s="257"/>
      <c r="CG88" s="257"/>
      <c r="CH88" s="257"/>
      <c r="CI88" s="258"/>
      <c r="CJ88" s="257"/>
      <c r="CK88" s="257"/>
      <c r="CL88" s="257"/>
      <c r="CM88" s="257"/>
      <c r="CN88" s="258"/>
      <c r="CO88" s="257"/>
      <c r="CP88" s="257"/>
      <c r="CQ88" s="257"/>
      <c r="CR88" s="257"/>
      <c r="CS88" s="258"/>
      <c r="CT88" s="257"/>
      <c r="CU88" s="257"/>
      <c r="CV88" s="257"/>
      <c r="CW88" s="257"/>
      <c r="CX88" s="258">
        <f>CS91</f>
        <v>0</v>
      </c>
      <c r="CY88" s="289">
        <f>CX91</f>
        <v>0</v>
      </c>
      <c r="CZ88" s="289">
        <f>CY91</f>
        <v>0</v>
      </c>
      <c r="DA88" s="289">
        <f>CZ91</f>
        <v>1050</v>
      </c>
      <c r="DB88" s="289">
        <f>DA91</f>
        <v>1050</v>
      </c>
      <c r="DC88" s="258">
        <f>CX91</f>
        <v>0</v>
      </c>
      <c r="DD88" s="289">
        <f>DC91</f>
        <v>1050</v>
      </c>
      <c r="DE88" s="289">
        <f>DD91</f>
        <v>1050</v>
      </c>
      <c r="DF88" s="289">
        <f>DE91</f>
        <v>1050</v>
      </c>
      <c r="DG88" s="289">
        <f>DF91</f>
        <v>1050</v>
      </c>
      <c r="DH88" s="258">
        <f>DC91</f>
        <v>1050</v>
      </c>
      <c r="DI88" s="539">
        <f>DH91</f>
        <v>1050</v>
      </c>
      <c r="DJ88" s="539">
        <f>DI91</f>
        <v>1050</v>
      </c>
      <c r="DK88" s="1374">
        <f>DJ91</f>
        <v>1050</v>
      </c>
      <c r="DL88" s="539">
        <f>DK91</f>
        <v>1050</v>
      </c>
      <c r="DM88" s="540">
        <f>DH91</f>
        <v>1050</v>
      </c>
      <c r="DN88" s="539">
        <f>DM91</f>
        <v>1050</v>
      </c>
      <c r="DO88" s="539">
        <f>DN91</f>
        <v>1050</v>
      </c>
      <c r="DP88" s="539">
        <f>DO91</f>
        <v>1050</v>
      </c>
      <c r="DQ88" s="539">
        <f>DP91</f>
        <v>1050</v>
      </c>
      <c r="DR88" s="540">
        <f>DM91</f>
        <v>1050</v>
      </c>
      <c r="DS88" s="539">
        <f>DR91</f>
        <v>1050</v>
      </c>
      <c r="DT88" s="539">
        <f>DS91</f>
        <v>1050</v>
      </c>
      <c r="DU88" s="539">
        <f>DT91</f>
        <v>1050</v>
      </c>
      <c r="DV88" s="539">
        <f>DU91</f>
        <v>1050</v>
      </c>
      <c r="DW88" s="540">
        <f>DR91</f>
        <v>1050</v>
      </c>
      <c r="DX88" s="539">
        <f>DW91</f>
        <v>1050</v>
      </c>
      <c r="DY88" s="539">
        <f>DX91</f>
        <v>1050</v>
      </c>
      <c r="DZ88" s="539">
        <f>DY91</f>
        <v>1050</v>
      </c>
      <c r="EA88" s="539">
        <f>DZ91</f>
        <v>1050</v>
      </c>
      <c r="EB88" s="540">
        <f>DW91</f>
        <v>1050</v>
      </c>
      <c r="EC88" s="539">
        <f>EB91</f>
        <v>1050</v>
      </c>
      <c r="ED88" s="539">
        <f>EC91</f>
        <v>1050</v>
      </c>
      <c r="EE88" s="539">
        <f>ED91</f>
        <v>1050</v>
      </c>
      <c r="EF88" s="539">
        <f>EE91</f>
        <v>1050</v>
      </c>
      <c r="EG88" s="540">
        <f>EB91</f>
        <v>1050</v>
      </c>
      <c r="EH88" s="539">
        <f>EG91</f>
        <v>1050</v>
      </c>
      <c r="EI88" s="539">
        <f>EH91</f>
        <v>1050</v>
      </c>
      <c r="EJ88" s="539">
        <f>EI91</f>
        <v>1050</v>
      </c>
      <c r="EK88" s="539">
        <f>EJ91</f>
        <v>1050</v>
      </c>
      <c r="EL88" s="540">
        <f>EG91</f>
        <v>1050</v>
      </c>
    </row>
    <row r="89" spans="1:142">
      <c r="A89" s="225"/>
      <c r="B89" s="209" t="s">
        <v>674</v>
      </c>
      <c r="C89" s="9"/>
      <c r="D89" s="9"/>
      <c r="E89" s="9"/>
      <c r="F89" s="9"/>
      <c r="G89" s="9"/>
      <c r="H89" s="63"/>
      <c r="I89" s="9"/>
      <c r="J89" s="9"/>
      <c r="K89" s="9"/>
      <c r="L89" s="9"/>
      <c r="M89" s="63"/>
      <c r="N89" s="9"/>
      <c r="O89" s="9"/>
      <c r="P89" s="9"/>
      <c r="Q89" s="9"/>
      <c r="R89" s="63"/>
      <c r="S89" s="9"/>
      <c r="T89" s="9"/>
      <c r="U89" s="9"/>
      <c r="V89" s="9"/>
      <c r="W89" s="63"/>
      <c r="X89" s="9"/>
      <c r="Y89" s="9"/>
      <c r="Z89" s="9"/>
      <c r="AA89" s="9"/>
      <c r="AB89" s="63"/>
      <c r="AC89" s="9"/>
      <c r="AD89" s="9"/>
      <c r="AE89" s="9"/>
      <c r="AF89" s="9"/>
      <c r="AG89" s="63"/>
      <c r="AH89" s="9"/>
      <c r="AI89" s="9"/>
      <c r="AJ89" s="9"/>
      <c r="AK89" s="9"/>
      <c r="AL89" s="63"/>
      <c r="AM89" s="53"/>
      <c r="AN89" s="53"/>
      <c r="AO89" s="53"/>
      <c r="AP89" s="53"/>
      <c r="AQ89" s="28"/>
      <c r="AR89" s="53"/>
      <c r="AS89" s="53"/>
      <c r="AT89" s="53"/>
      <c r="AU89" s="186"/>
      <c r="AV89" s="240"/>
      <c r="AW89" s="240"/>
      <c r="AX89" s="240"/>
      <c r="AY89" s="240"/>
      <c r="AZ89" s="241"/>
      <c r="BA89" s="240"/>
      <c r="BB89" s="240"/>
      <c r="BC89" s="240"/>
      <c r="BD89" s="240"/>
      <c r="BE89" s="241"/>
      <c r="BF89" s="240"/>
      <c r="BG89" s="240"/>
      <c r="BH89" s="240"/>
      <c r="BI89" s="240"/>
      <c r="BJ89" s="241"/>
      <c r="BK89" s="255"/>
      <c r="BL89" s="255"/>
      <c r="BM89" s="255"/>
      <c r="BN89" s="255"/>
      <c r="BO89" s="256"/>
      <c r="BP89" s="255"/>
      <c r="BQ89" s="255"/>
      <c r="BR89" s="255"/>
      <c r="BS89" s="255"/>
      <c r="BT89" s="256"/>
      <c r="BU89" s="255"/>
      <c r="BV89" s="255"/>
      <c r="BW89" s="255"/>
      <c r="BX89" s="255"/>
      <c r="BY89" s="256"/>
      <c r="BZ89" s="255"/>
      <c r="CA89" s="255"/>
      <c r="CB89" s="255"/>
      <c r="CC89" s="255"/>
      <c r="CD89" s="256"/>
      <c r="CE89" s="257"/>
      <c r="CF89" s="257"/>
      <c r="CG89" s="257"/>
      <c r="CH89" s="257"/>
      <c r="CI89" s="258"/>
      <c r="CJ89" s="257"/>
      <c r="CK89" s="257"/>
      <c r="CL89" s="257"/>
      <c r="CM89" s="257"/>
      <c r="CN89" s="258"/>
      <c r="CO89" s="257"/>
      <c r="CP89" s="257"/>
      <c r="CQ89" s="257"/>
      <c r="CR89" s="257"/>
      <c r="CS89" s="258"/>
      <c r="CT89" s="257"/>
      <c r="CU89" s="257"/>
      <c r="CV89" s="257"/>
      <c r="CW89" s="257"/>
      <c r="CX89" s="258"/>
      <c r="CY89" s="289"/>
      <c r="CZ89" s="289"/>
      <c r="DA89" s="289"/>
      <c r="DB89" s="289"/>
      <c r="DC89" s="258"/>
      <c r="DD89" s="289"/>
      <c r="DE89" s="289"/>
      <c r="DF89" s="289"/>
      <c r="DG89" s="289"/>
      <c r="DH89" s="258"/>
      <c r="DI89" s="1378">
        <v>0</v>
      </c>
      <c r="DJ89" s="1378">
        <v>0</v>
      </c>
      <c r="DK89" s="1378">
        <v>0</v>
      </c>
      <c r="DL89" s="1378">
        <v>0</v>
      </c>
      <c r="DM89" s="1380">
        <f>SUM(DI89:DL89)</f>
        <v>0</v>
      </c>
      <c r="DN89" s="1378">
        <v>0</v>
      </c>
      <c r="DO89" s="1378">
        <v>0</v>
      </c>
      <c r="DP89" s="1378">
        <v>0</v>
      </c>
      <c r="DQ89" s="1378">
        <v>0</v>
      </c>
      <c r="DR89" s="1380">
        <f>SUM(DN89:DQ89)</f>
        <v>0</v>
      </c>
      <c r="DS89" s="1378">
        <v>0</v>
      </c>
      <c r="DT89" s="1378">
        <v>0</v>
      </c>
      <c r="DU89" s="1378">
        <v>0</v>
      </c>
      <c r="DV89" s="1378">
        <v>0</v>
      </c>
      <c r="DW89" s="1380">
        <f>SUM(DS89:DV89)</f>
        <v>0</v>
      </c>
      <c r="DX89" s="1378">
        <v>0</v>
      </c>
      <c r="DY89" s="1378">
        <v>0</v>
      </c>
      <c r="DZ89" s="1378">
        <v>0</v>
      </c>
      <c r="EA89" s="1378">
        <v>0</v>
      </c>
      <c r="EB89" s="1380">
        <f>SUM(DX89:EA89)</f>
        <v>0</v>
      </c>
      <c r="EC89" s="1378">
        <v>0</v>
      </c>
      <c r="ED89" s="1378">
        <v>0</v>
      </c>
      <c r="EE89" s="1378">
        <v>0</v>
      </c>
      <c r="EF89" s="1378">
        <v>0</v>
      </c>
      <c r="EG89" s="1380">
        <f>SUM(EC89:EF89)</f>
        <v>0</v>
      </c>
      <c r="EH89" s="1378">
        <v>0</v>
      </c>
      <c r="EI89" s="1378">
        <v>0</v>
      </c>
      <c r="EJ89" s="1378">
        <v>0</v>
      </c>
      <c r="EK89" s="1378">
        <v>0</v>
      </c>
      <c r="EL89" s="1380">
        <f>SUM(EH89:EK89)</f>
        <v>0</v>
      </c>
    </row>
    <row r="90" spans="1:142">
      <c r="A90" s="225"/>
      <c r="B90" s="214" t="s">
        <v>675</v>
      </c>
      <c r="C90" s="9"/>
      <c r="D90" s="9"/>
      <c r="E90" s="9"/>
      <c r="F90" s="9"/>
      <c r="G90" s="9"/>
      <c r="H90" s="63"/>
      <c r="I90" s="9"/>
      <c r="J90" s="9"/>
      <c r="K90" s="9"/>
      <c r="L90" s="9"/>
      <c r="M90" s="63"/>
      <c r="N90" s="9"/>
      <c r="O90" s="9"/>
      <c r="P90" s="9"/>
      <c r="Q90" s="9"/>
      <c r="R90" s="63"/>
      <c r="S90" s="9"/>
      <c r="T90" s="9"/>
      <c r="U90" s="9"/>
      <c r="V90" s="9"/>
      <c r="W90" s="63"/>
      <c r="X90" s="9"/>
      <c r="Y90" s="9"/>
      <c r="Z90" s="9"/>
      <c r="AA90" s="9"/>
      <c r="AB90" s="63"/>
      <c r="AC90" s="9"/>
      <c r="AD90" s="9"/>
      <c r="AE90" s="9"/>
      <c r="AF90" s="9"/>
      <c r="AG90" s="63"/>
      <c r="AH90" s="9"/>
      <c r="AI90" s="9"/>
      <c r="AJ90" s="9"/>
      <c r="AK90" s="9"/>
      <c r="AL90" s="63"/>
      <c r="AM90" s="53"/>
      <c r="AN90" s="53"/>
      <c r="AO90" s="53"/>
      <c r="AP90" s="53"/>
      <c r="AQ90" s="28"/>
      <c r="AR90" s="53"/>
      <c r="AS90" s="53"/>
      <c r="AT90" s="53"/>
      <c r="AU90" s="186"/>
      <c r="AV90" s="240"/>
      <c r="AW90" s="240"/>
      <c r="AX90" s="240"/>
      <c r="AY90" s="240"/>
      <c r="AZ90" s="241"/>
      <c r="BA90" s="240"/>
      <c r="BB90" s="240"/>
      <c r="BC90" s="240"/>
      <c r="BD90" s="240"/>
      <c r="BE90" s="241"/>
      <c r="BF90" s="240"/>
      <c r="BG90" s="240"/>
      <c r="BH90" s="240"/>
      <c r="BI90" s="240"/>
      <c r="BJ90" s="241"/>
      <c r="BK90" s="48"/>
      <c r="BL90" s="48"/>
      <c r="BM90" s="262"/>
      <c r="BN90" s="48"/>
      <c r="BO90" s="263"/>
      <c r="BP90" s="48"/>
      <c r="BQ90" s="48"/>
      <c r="BR90" s="262"/>
      <c r="BS90" s="48"/>
      <c r="BT90" s="263"/>
      <c r="BU90" s="48"/>
      <c r="BV90" s="48"/>
      <c r="BW90" s="262"/>
      <c r="BX90" s="48"/>
      <c r="BY90" s="263"/>
      <c r="BZ90" s="48"/>
      <c r="CA90" s="48"/>
      <c r="CB90" s="262"/>
      <c r="CC90" s="48"/>
      <c r="CD90" s="263"/>
      <c r="CE90" s="174"/>
      <c r="CF90" s="174"/>
      <c r="CG90" s="174"/>
      <c r="CH90" s="174"/>
      <c r="CI90" s="263"/>
      <c r="CJ90" s="174"/>
      <c r="CK90" s="174"/>
      <c r="CL90" s="174"/>
      <c r="CM90" s="174"/>
      <c r="CN90" s="263"/>
      <c r="CO90" s="174"/>
      <c r="CP90" s="174"/>
      <c r="CQ90" s="174"/>
      <c r="CR90" s="174"/>
      <c r="CS90" s="263"/>
      <c r="CT90" s="174"/>
      <c r="CU90" s="174"/>
      <c r="CV90" s="174"/>
      <c r="CW90" s="174"/>
      <c r="CX90" s="263">
        <f>SUM(CT90:CW90)</f>
        <v>0</v>
      </c>
      <c r="CY90" s="174"/>
      <c r="CZ90" s="174">
        <v>1050</v>
      </c>
      <c r="DA90" s="174">
        <v>0</v>
      </c>
      <c r="DB90" s="174">
        <v>0</v>
      </c>
      <c r="DC90" s="263">
        <f>SUM(CY90:DB90)</f>
        <v>1050</v>
      </c>
      <c r="DD90" s="174">
        <f>+DD91-DD88</f>
        <v>0</v>
      </c>
      <c r="DE90" s="174">
        <f>+DE91-DE88</f>
        <v>0</v>
      </c>
      <c r="DF90" s="174">
        <f>+DF91-DF88</f>
        <v>0</v>
      </c>
      <c r="DG90" s="174">
        <f>+DG91-DG88</f>
        <v>0</v>
      </c>
      <c r="DH90" s="263">
        <f>SUM(DD90:DG90)</f>
        <v>0</v>
      </c>
      <c r="DI90" s="1379">
        <v>0</v>
      </c>
      <c r="DJ90" s="1379">
        <v>0</v>
      </c>
      <c r="DK90" s="1379">
        <v>0</v>
      </c>
      <c r="DL90" s="1379">
        <v>0</v>
      </c>
      <c r="DM90" s="1381">
        <f>SUM(DI90:DL90)</f>
        <v>0</v>
      </c>
      <c r="DN90" s="1379">
        <v>0</v>
      </c>
      <c r="DO90" s="1379">
        <v>0</v>
      </c>
      <c r="DP90" s="1379">
        <v>0</v>
      </c>
      <c r="DQ90" s="1379">
        <v>0</v>
      </c>
      <c r="DR90" s="1381">
        <f>SUM(DN90:DQ90)</f>
        <v>0</v>
      </c>
      <c r="DS90" s="1379">
        <v>0</v>
      </c>
      <c r="DT90" s="1379">
        <v>0</v>
      </c>
      <c r="DU90" s="1379">
        <v>0</v>
      </c>
      <c r="DV90" s="1379">
        <v>0</v>
      </c>
      <c r="DW90" s="1381">
        <f>SUM(DS90:DV90)</f>
        <v>0</v>
      </c>
      <c r="DX90" s="1379">
        <v>0</v>
      </c>
      <c r="DY90" s="1379">
        <v>0</v>
      </c>
      <c r="DZ90" s="1379">
        <v>0</v>
      </c>
      <c r="EA90" s="1379">
        <v>0</v>
      </c>
      <c r="EB90" s="1381">
        <f>SUM(DX90:EA90)</f>
        <v>0</v>
      </c>
      <c r="EC90" s="1379">
        <v>0</v>
      </c>
      <c r="ED90" s="1379">
        <v>0</v>
      </c>
      <c r="EE90" s="1379">
        <v>0</v>
      </c>
      <c r="EF90" s="1379">
        <v>0</v>
      </c>
      <c r="EG90" s="1381">
        <f>SUM(EC90:EF90)</f>
        <v>0</v>
      </c>
      <c r="EH90" s="1379">
        <v>0</v>
      </c>
      <c r="EI90" s="1379">
        <v>0</v>
      </c>
      <c r="EJ90" s="1379">
        <v>0</v>
      </c>
      <c r="EK90" s="1379">
        <v>0</v>
      </c>
      <c r="EL90" s="1381">
        <f>SUM(EH90:EK90)</f>
        <v>0</v>
      </c>
    </row>
    <row r="91" spans="1:142">
      <c r="A91" s="225"/>
      <c r="B91" s="209" t="s">
        <v>299</v>
      </c>
      <c r="C91" s="9"/>
      <c r="D91" s="9"/>
      <c r="E91" s="9"/>
      <c r="F91" s="9"/>
      <c r="G91" s="9"/>
      <c r="H91" s="63"/>
      <c r="I91" s="9"/>
      <c r="J91" s="9"/>
      <c r="K91" s="9"/>
      <c r="L91" s="9"/>
      <c r="M91" s="63"/>
      <c r="N91" s="9"/>
      <c r="O91" s="9"/>
      <c r="P91" s="9"/>
      <c r="Q91" s="9"/>
      <c r="R91" s="63"/>
      <c r="S91" s="9"/>
      <c r="T91" s="9"/>
      <c r="U91" s="9"/>
      <c r="V91" s="9"/>
      <c r="W91" s="63"/>
      <c r="X91" s="9"/>
      <c r="Y91" s="9"/>
      <c r="Z91" s="9"/>
      <c r="AA91" s="9"/>
      <c r="AB91" s="63"/>
      <c r="AC91" s="9"/>
      <c r="AD91" s="9"/>
      <c r="AE91" s="9"/>
      <c r="AF91" s="9"/>
      <c r="AG91" s="63"/>
      <c r="AH91" s="9"/>
      <c r="AI91" s="9"/>
      <c r="AJ91" s="9"/>
      <c r="AK91" s="9"/>
      <c r="AL91" s="63"/>
      <c r="AM91" s="53"/>
      <c r="AN91" s="53"/>
      <c r="AO91" s="53"/>
      <c r="AP91" s="53"/>
      <c r="AQ91" s="28"/>
      <c r="AR91" s="53"/>
      <c r="AS91" s="53"/>
      <c r="AT91" s="53"/>
      <c r="AU91" s="186"/>
      <c r="AV91" s="240"/>
      <c r="AW91" s="240"/>
      <c r="AX91" s="240"/>
      <c r="AY91" s="240"/>
      <c r="AZ91" s="241"/>
      <c r="BA91" s="240"/>
      <c r="BB91" s="240"/>
      <c r="BC91" s="240"/>
      <c r="BD91" s="240"/>
      <c r="BE91" s="241"/>
      <c r="BF91" s="240"/>
      <c r="BG91" s="240"/>
      <c r="BH91" s="240"/>
      <c r="BI91" s="240"/>
      <c r="BJ91" s="241"/>
      <c r="BK91" s="146"/>
      <c r="BL91" s="162"/>
      <c r="BM91" s="162"/>
      <c r="BN91" s="162"/>
      <c r="BO91" s="266"/>
      <c r="BP91" s="146"/>
      <c r="BQ91" s="162"/>
      <c r="BR91" s="162"/>
      <c r="BS91" s="162"/>
      <c r="BT91" s="266"/>
      <c r="BU91" s="146"/>
      <c r="BV91" s="162"/>
      <c r="BW91" s="162"/>
      <c r="BX91" s="162"/>
      <c r="BY91" s="266"/>
      <c r="BZ91" s="146"/>
      <c r="CA91" s="162"/>
      <c r="CB91" s="162"/>
      <c r="CC91" s="162"/>
      <c r="CD91" s="266"/>
      <c r="CE91" s="267"/>
      <c r="CF91" s="267"/>
      <c r="CG91" s="267"/>
      <c r="CH91" s="267"/>
      <c r="CI91" s="170"/>
      <c r="CJ91" s="267"/>
      <c r="CK91" s="267"/>
      <c r="CL91" s="267"/>
      <c r="CM91" s="267"/>
      <c r="CN91" s="170"/>
      <c r="CO91" s="267"/>
      <c r="CP91" s="267"/>
      <c r="CQ91" s="267"/>
      <c r="CR91" s="267"/>
      <c r="CS91" s="170"/>
      <c r="CT91" s="267"/>
      <c r="CU91" s="267"/>
      <c r="CV91" s="267"/>
      <c r="CW91" s="165"/>
      <c r="CX91" s="170">
        <f>CW91</f>
        <v>0</v>
      </c>
      <c r="CY91" s="165">
        <f>CY88+CY90</f>
        <v>0</v>
      </c>
      <c r="CZ91" s="166">
        <v>1050</v>
      </c>
      <c r="DA91" s="333">
        <v>1050</v>
      </c>
      <c r="DB91" s="269">
        <v>1050</v>
      </c>
      <c r="DC91" s="170">
        <f>DB91</f>
        <v>1050</v>
      </c>
      <c r="DD91" s="165">
        <v>1050</v>
      </c>
      <c r="DE91" s="269">
        <v>1050</v>
      </c>
      <c r="DF91" s="269">
        <v>1050</v>
      </c>
      <c r="DG91" s="269">
        <v>1050</v>
      </c>
      <c r="DH91" s="170">
        <f>DG91</f>
        <v>1050</v>
      </c>
      <c r="DI91" s="539">
        <f>SUM(DI88:DI90)</f>
        <v>1050</v>
      </c>
      <c r="DJ91" s="539">
        <f>SUM(DJ88:DJ90)</f>
        <v>1050</v>
      </c>
      <c r="DK91" s="539">
        <f>SUM(DK88:DK90)</f>
        <v>1050</v>
      </c>
      <c r="DL91" s="539">
        <f>SUM(DL88:DL90)</f>
        <v>1050</v>
      </c>
      <c r="DM91" s="1380">
        <f>DL91</f>
        <v>1050</v>
      </c>
      <c r="DN91" s="539">
        <f>SUM(DN88:DN90)</f>
        <v>1050</v>
      </c>
      <c r="DO91" s="539">
        <f>SUM(DO88:DO90)</f>
        <v>1050</v>
      </c>
      <c r="DP91" s="1401">
        <f>SUM(DP88:DP90)</f>
        <v>1050</v>
      </c>
      <c r="DQ91" s="1401">
        <f>SUM(DQ88:DQ90)</f>
        <v>1050</v>
      </c>
      <c r="DR91" s="1380">
        <f>DQ91</f>
        <v>1050</v>
      </c>
      <c r="DS91" s="539">
        <f>SUM(DS88:DS90)</f>
        <v>1050</v>
      </c>
      <c r="DT91" s="539">
        <f>SUM(DT88:DT90)</f>
        <v>1050</v>
      </c>
      <c r="DU91" s="1401">
        <f>SUM(DU88:DU90)</f>
        <v>1050</v>
      </c>
      <c r="DV91" s="1401">
        <f>SUM(DV88:DV90)</f>
        <v>1050</v>
      </c>
      <c r="DW91" s="1380">
        <f>DV91</f>
        <v>1050</v>
      </c>
      <c r="DX91" s="539">
        <f>SUM(DX88:DX90)</f>
        <v>1050</v>
      </c>
      <c r="DY91" s="539">
        <f>SUM(DY88:DY90)</f>
        <v>1050</v>
      </c>
      <c r="DZ91" s="1401">
        <f>SUM(DZ88:DZ90)</f>
        <v>1050</v>
      </c>
      <c r="EA91" s="1401">
        <f>SUM(EA88:EA90)</f>
        <v>1050</v>
      </c>
      <c r="EB91" s="1380">
        <f>EA91</f>
        <v>1050</v>
      </c>
      <c r="EC91" s="539">
        <f>SUM(EC88:EC90)</f>
        <v>1050</v>
      </c>
      <c r="ED91" s="539">
        <f>SUM(ED88:ED90)</f>
        <v>1050</v>
      </c>
      <c r="EE91" s="1401">
        <f>SUM(EE88:EE90)</f>
        <v>1050</v>
      </c>
      <c r="EF91" s="1401">
        <f>SUM(EF88:EF90)</f>
        <v>1050</v>
      </c>
      <c r="EG91" s="1380">
        <f>EF91</f>
        <v>1050</v>
      </c>
      <c r="EH91" s="539">
        <f>SUM(EH88:EH90)</f>
        <v>1050</v>
      </c>
      <c r="EI91" s="539">
        <f>SUM(EI88:EI90)</f>
        <v>1050</v>
      </c>
      <c r="EJ91" s="1401">
        <f>SUM(EJ88:EJ90)</f>
        <v>1050</v>
      </c>
      <c r="EK91" s="1401">
        <f>SUM(EK88:EK90)</f>
        <v>1050</v>
      </c>
      <c r="EL91" s="1380">
        <f>EK91</f>
        <v>1050</v>
      </c>
    </row>
    <row r="92" spans="1:142">
      <c r="A92" s="225"/>
      <c r="B92" s="214" t="s">
        <v>300</v>
      </c>
      <c r="C92" s="9"/>
      <c r="D92" s="9"/>
      <c r="E92" s="9"/>
      <c r="F92" s="9"/>
      <c r="G92" s="9"/>
      <c r="H92" s="63"/>
      <c r="I92" s="9"/>
      <c r="J92" s="9"/>
      <c r="K92" s="9"/>
      <c r="L92" s="9"/>
      <c r="M92" s="63"/>
      <c r="N92" s="9"/>
      <c r="O92" s="9"/>
      <c r="P92" s="9"/>
      <c r="Q92" s="9"/>
      <c r="R92" s="63"/>
      <c r="S92" s="9"/>
      <c r="T92" s="9"/>
      <c r="U92" s="9"/>
      <c r="V92" s="9"/>
      <c r="W92" s="63"/>
      <c r="X92" s="9"/>
      <c r="Y92" s="9"/>
      <c r="Z92" s="9"/>
      <c r="AA92" s="9"/>
      <c r="AB92" s="63"/>
      <c r="AC92" s="9"/>
      <c r="AD92" s="9"/>
      <c r="AE92" s="9"/>
      <c r="AF92" s="9"/>
      <c r="AG92" s="63"/>
      <c r="AH92" s="9"/>
      <c r="AI92" s="9"/>
      <c r="AJ92" s="9"/>
      <c r="AK92" s="9"/>
      <c r="AL92" s="63"/>
      <c r="AM92" s="53"/>
      <c r="AN92" s="53"/>
      <c r="AO92" s="53"/>
      <c r="AP92" s="53"/>
      <c r="AQ92" s="28"/>
      <c r="AR92" s="53"/>
      <c r="AS92" s="53"/>
      <c r="AT92" s="53"/>
      <c r="AU92" s="186"/>
      <c r="AV92" s="240"/>
      <c r="AW92" s="240"/>
      <c r="AX92" s="240"/>
      <c r="AY92" s="240"/>
      <c r="AZ92" s="241"/>
      <c r="BA92" s="240"/>
      <c r="BB92" s="240"/>
      <c r="BC92" s="240"/>
      <c r="BD92" s="240"/>
      <c r="BE92" s="241"/>
      <c r="BF92" s="240"/>
      <c r="BG92" s="240"/>
      <c r="BH92" s="240"/>
      <c r="BI92" s="240"/>
      <c r="BJ92" s="241"/>
      <c r="BK92" s="215"/>
      <c r="BL92" s="215"/>
      <c r="BM92" s="275"/>
      <c r="BN92" s="215"/>
      <c r="BO92" s="263"/>
      <c r="BP92" s="215"/>
      <c r="BQ92" s="215"/>
      <c r="BR92" s="275"/>
      <c r="BS92" s="215"/>
      <c r="BT92" s="263"/>
      <c r="BU92" s="215"/>
      <c r="BV92" s="215"/>
      <c r="BW92" s="275"/>
      <c r="BX92" s="215"/>
      <c r="BY92" s="263"/>
      <c r="BZ92" s="215"/>
      <c r="CA92" s="215"/>
      <c r="CB92" s="275"/>
      <c r="CC92" s="215"/>
      <c r="CD92" s="263"/>
      <c r="CE92" s="276"/>
      <c r="CF92" s="276"/>
      <c r="CG92" s="276"/>
      <c r="CH92" s="276"/>
      <c r="CI92" s="263"/>
      <c r="CJ92" s="276"/>
      <c r="CK92" s="276"/>
      <c r="CL92" s="276"/>
      <c r="CM92" s="276"/>
      <c r="CN92" s="263"/>
      <c r="CO92" s="276"/>
      <c r="CP92" s="276"/>
      <c r="CQ92" s="276"/>
      <c r="CR92" s="276"/>
      <c r="CS92" s="263"/>
      <c r="CT92" s="276"/>
      <c r="CU92" s="276"/>
      <c r="CV92" s="276"/>
      <c r="CW92" s="276"/>
      <c r="CX92" s="263">
        <f>SUM(CT92:CW92)</f>
        <v>0</v>
      </c>
      <c r="CY92" s="276">
        <f>CY87/4*AVERAGE(CY91,CY88,CY88)</f>
        <v>0</v>
      </c>
      <c r="CZ92" s="276">
        <f>CZ87/4*AVERAGE(CZ91,CZ88,CZ88)</f>
        <v>3.8281249999999996</v>
      </c>
      <c r="DA92" s="276">
        <f>DA87/4*AVERAGE(DA91,DA88)</f>
        <v>11.484375</v>
      </c>
      <c r="DB92" s="276">
        <f>DB87/4*AVERAGE(DB91,DB88)</f>
        <v>11.484375</v>
      </c>
      <c r="DC92" s="263">
        <f>SUM(CY92:DB92)</f>
        <v>26.796875</v>
      </c>
      <c r="DD92" s="276">
        <f>DD87/4*AVERAGE(DD91,DD88)</f>
        <v>11.484375</v>
      </c>
      <c r="DE92" s="276">
        <f>DE87/4*AVERAGE(DE91,DE88)</f>
        <v>11.484375</v>
      </c>
      <c r="DF92" s="276">
        <f>DF87/4*AVERAGE(DF91,DF88)</f>
        <v>11.484375</v>
      </c>
      <c r="DG92" s="276">
        <f>DG87/4*AVERAGE(DG91,DG88)</f>
        <v>11.484375</v>
      </c>
      <c r="DH92" s="263">
        <f>SUM(DD92:DG92)</f>
        <v>45.9375</v>
      </c>
      <c r="DI92" s="1342">
        <f>DI87/4*AVERAGE(DI91,DI88)</f>
        <v>11.484375</v>
      </c>
      <c r="DJ92" s="1342">
        <f>DJ87/4*AVERAGE(DJ91,DJ88)</f>
        <v>11.484375</v>
      </c>
      <c r="DK92" s="1342">
        <f>DK87/4*AVERAGE(DK91,DK88)</f>
        <v>11.484375</v>
      </c>
      <c r="DL92" s="1342">
        <f>DL87/4*AVERAGE(DL91,DL88)</f>
        <v>11.484375</v>
      </c>
      <c r="DM92" s="1353">
        <f>SUM(DI92:DL92)</f>
        <v>45.9375</v>
      </c>
      <c r="DN92" s="1342">
        <f>DN87/4*AVERAGE(DN91,DN88)</f>
        <v>11.484375</v>
      </c>
      <c r="DO92" s="1342">
        <f>DO87/4*AVERAGE(DO91,DO88)</f>
        <v>11.484375</v>
      </c>
      <c r="DP92" s="1342">
        <f>DP87/4*AVERAGE(DP91,DP88)</f>
        <v>11.484375</v>
      </c>
      <c r="DQ92" s="1342">
        <f>DQ87/4*AVERAGE(DQ91,DQ88)</f>
        <v>11.484375</v>
      </c>
      <c r="DR92" s="1353">
        <f>SUM(DN92:DQ92)</f>
        <v>45.9375</v>
      </c>
      <c r="DS92" s="1342">
        <f>DS87/4*AVERAGE(DS91,DS88)</f>
        <v>11.484375</v>
      </c>
      <c r="DT92" s="1342">
        <f>DT87/4*AVERAGE(DT91,DT88)</f>
        <v>11.484375</v>
      </c>
      <c r="DU92" s="1342">
        <f>DU87/4*AVERAGE(DU91,DU88)</f>
        <v>11.484375</v>
      </c>
      <c r="DV92" s="1342">
        <f>DV87/4*AVERAGE(DV91,DV88)</f>
        <v>11.484375</v>
      </c>
      <c r="DW92" s="1353">
        <f>SUM(DS92:DV92)</f>
        <v>45.9375</v>
      </c>
      <c r="DX92" s="1342">
        <f>DX87/4*AVERAGE(DX91,DX88)</f>
        <v>11.484375</v>
      </c>
      <c r="DY92" s="1342">
        <f>DY87/4*AVERAGE(DY91,DY88)</f>
        <v>11.484375</v>
      </c>
      <c r="DZ92" s="1342">
        <f>DZ87/4*AVERAGE(DZ91,DZ88)</f>
        <v>11.484375</v>
      </c>
      <c r="EA92" s="1342">
        <f>EA87/4*AVERAGE(EA91,EA88)</f>
        <v>11.484375</v>
      </c>
      <c r="EB92" s="1353">
        <f>SUM(DX92:EA92)</f>
        <v>45.9375</v>
      </c>
      <c r="EC92" s="1342">
        <f>EC87/4*AVERAGE(EC91,EC88)</f>
        <v>11.484375</v>
      </c>
      <c r="ED92" s="1342">
        <f>ED87/4*AVERAGE(ED91,ED88)</f>
        <v>11.484375</v>
      </c>
      <c r="EE92" s="1342">
        <f>EE87/4*AVERAGE(EE91,EE88)</f>
        <v>11.484375</v>
      </c>
      <c r="EF92" s="1342">
        <f>EF87/4*AVERAGE(EF91,EF88)</f>
        <v>11.484375</v>
      </c>
      <c r="EG92" s="1353">
        <f>SUM(EC92:EF92)</f>
        <v>45.9375</v>
      </c>
      <c r="EH92" s="1342">
        <f>EH87/4*AVERAGE(EH91,EH88)</f>
        <v>11.484375</v>
      </c>
      <c r="EI92" s="1342">
        <f>EI87/4*AVERAGE(EI91,EI88)</f>
        <v>11.484375</v>
      </c>
      <c r="EJ92" s="1342">
        <f>EJ87/4*AVERAGE(EJ91,EJ88)</f>
        <v>11.484375</v>
      </c>
      <c r="EK92" s="1342">
        <f>EK87/4*AVERAGE(EK91,EK88)</f>
        <v>11.484375</v>
      </c>
      <c r="EL92" s="1353">
        <f>SUM(EH92:EK92)</f>
        <v>45.9375</v>
      </c>
    </row>
    <row r="93" spans="1:142" hidden="1" outlineLevel="1">
      <c r="A93" s="225"/>
      <c r="B93" s="1326"/>
      <c r="C93" s="9"/>
      <c r="D93" s="9"/>
      <c r="E93" s="9"/>
      <c r="F93" s="9"/>
      <c r="G93" s="9"/>
      <c r="H93" s="63"/>
      <c r="I93" s="9"/>
      <c r="J93" s="9"/>
      <c r="K93" s="9"/>
      <c r="L93" s="9"/>
      <c r="M93" s="63"/>
      <c r="N93" s="9"/>
      <c r="O93" s="9"/>
      <c r="P93" s="9"/>
      <c r="Q93" s="9"/>
      <c r="R93" s="63"/>
      <c r="S93" s="9"/>
      <c r="T93" s="9"/>
      <c r="U93" s="9"/>
      <c r="V93" s="9"/>
      <c r="W93" s="63"/>
      <c r="X93" s="9"/>
      <c r="Y93" s="9"/>
      <c r="Z93" s="9"/>
      <c r="AA93" s="9"/>
      <c r="AB93" s="63"/>
      <c r="AC93" s="9"/>
      <c r="AD93" s="9"/>
      <c r="AE93" s="9"/>
      <c r="AF93" s="9"/>
      <c r="AG93" s="63"/>
      <c r="AH93" s="9"/>
      <c r="AI93" s="9"/>
      <c r="AJ93" s="9"/>
      <c r="AK93" s="9"/>
      <c r="AL93" s="63"/>
      <c r="AM93" s="53"/>
      <c r="AN93" s="53"/>
      <c r="AO93" s="53"/>
      <c r="AP93" s="53"/>
      <c r="AQ93" s="28"/>
      <c r="AR93" s="53"/>
      <c r="AS93" s="53"/>
      <c r="AT93" s="53"/>
      <c r="AU93" s="186"/>
      <c r="AV93" s="240"/>
      <c r="AW93" s="240"/>
      <c r="AX93" s="240"/>
      <c r="AY93" s="240"/>
      <c r="AZ93" s="241"/>
      <c r="BA93" s="240"/>
      <c r="BB93" s="240"/>
      <c r="BC93" s="240"/>
      <c r="BD93" s="240"/>
      <c r="BE93" s="241"/>
      <c r="BF93" s="240"/>
      <c r="BG93" s="240"/>
      <c r="BH93" s="240"/>
      <c r="BI93" s="240"/>
      <c r="BJ93" s="241"/>
      <c r="BK93" s="171"/>
      <c r="BL93" s="171"/>
      <c r="BM93" s="87"/>
      <c r="BN93" s="171"/>
      <c r="BO93" s="170"/>
      <c r="BP93" s="171"/>
      <c r="BQ93" s="171"/>
      <c r="BR93" s="87"/>
      <c r="BS93" s="171"/>
      <c r="BT93" s="170"/>
      <c r="BU93" s="171"/>
      <c r="BV93" s="171"/>
      <c r="BW93" s="87"/>
      <c r="BX93" s="171"/>
      <c r="BY93" s="170"/>
      <c r="BZ93" s="171"/>
      <c r="CA93" s="171"/>
      <c r="CB93" s="87"/>
      <c r="CC93" s="171"/>
      <c r="CD93" s="170"/>
      <c r="CE93" s="173"/>
      <c r="CF93" s="173"/>
      <c r="CG93" s="173"/>
      <c r="CH93" s="173"/>
      <c r="CI93" s="170"/>
      <c r="CJ93" s="173"/>
      <c r="CK93" s="173"/>
      <c r="CL93" s="173"/>
      <c r="CM93" s="173"/>
      <c r="CN93" s="170"/>
      <c r="CO93" s="173"/>
      <c r="CP93" s="173"/>
      <c r="CQ93" s="173"/>
      <c r="CR93" s="173"/>
      <c r="CS93" s="170"/>
      <c r="CT93" s="173"/>
      <c r="CU93" s="173"/>
      <c r="CV93" s="173"/>
      <c r="CW93" s="173"/>
      <c r="CX93" s="170"/>
      <c r="CY93" s="173"/>
      <c r="CZ93" s="173"/>
      <c r="DA93" s="173"/>
      <c r="DB93" s="173"/>
      <c r="DC93" s="170"/>
      <c r="DD93" s="173"/>
      <c r="DE93" s="173"/>
      <c r="DF93" s="173"/>
      <c r="DG93" s="173"/>
      <c r="DH93" s="170"/>
      <c r="DI93" s="545"/>
      <c r="DJ93" s="545"/>
      <c r="DK93" s="545"/>
      <c r="DL93" s="545"/>
      <c r="DM93" s="538"/>
      <c r="DN93" s="545"/>
      <c r="DO93" s="545"/>
      <c r="DP93" s="545"/>
      <c r="DQ93" s="545"/>
      <c r="DR93" s="538"/>
      <c r="DS93" s="545"/>
      <c r="DT93" s="545"/>
      <c r="DU93" s="545"/>
      <c r="DV93" s="545"/>
      <c r="DW93" s="538"/>
      <c r="DX93" s="545"/>
      <c r="DY93" s="545"/>
      <c r="DZ93" s="545"/>
      <c r="EA93" s="545"/>
      <c r="EB93" s="538"/>
      <c r="EC93" s="545"/>
      <c r="ED93" s="545"/>
      <c r="EE93" s="545"/>
      <c r="EF93" s="545"/>
      <c r="EG93" s="538"/>
      <c r="EH93" s="545"/>
      <c r="EI93" s="545"/>
      <c r="EJ93" s="545"/>
      <c r="EK93" s="545"/>
      <c r="EL93" s="538"/>
    </row>
    <row r="94" spans="1:142" hidden="1" outlineLevel="1">
      <c r="A94" s="225"/>
      <c r="B94" s="1326" t="s">
        <v>672</v>
      </c>
      <c r="C94" s="9"/>
      <c r="D94" s="9"/>
      <c r="E94" s="9"/>
      <c r="F94" s="9"/>
      <c r="G94" s="9"/>
      <c r="H94" s="63"/>
      <c r="I94" s="9"/>
      <c r="J94" s="9"/>
      <c r="K94" s="9"/>
      <c r="L94" s="9"/>
      <c r="M94" s="63"/>
      <c r="N94" s="9"/>
      <c r="O94" s="9"/>
      <c r="P94" s="9"/>
      <c r="Q94" s="9"/>
      <c r="R94" s="63"/>
      <c r="S94" s="9"/>
      <c r="T94" s="9"/>
      <c r="U94" s="9"/>
      <c r="V94" s="9"/>
      <c r="W94" s="63"/>
      <c r="X94" s="9"/>
      <c r="Y94" s="9"/>
      <c r="Z94" s="9"/>
      <c r="AA94" s="9"/>
      <c r="AB94" s="63"/>
      <c r="AC94" s="9"/>
      <c r="AD94" s="9"/>
      <c r="AE94" s="9"/>
      <c r="AF94" s="9"/>
      <c r="AG94" s="63"/>
      <c r="AH94" s="9"/>
      <c r="AI94" s="9"/>
      <c r="AJ94" s="9"/>
      <c r="AK94" s="9"/>
      <c r="AL94" s="63"/>
      <c r="AM94" s="53"/>
      <c r="AN94" s="53"/>
      <c r="AO94" s="53"/>
      <c r="AP94" s="53"/>
      <c r="AQ94" s="28"/>
      <c r="AR94" s="53"/>
      <c r="AS94" s="53"/>
      <c r="AT94" s="53"/>
      <c r="AU94" s="186"/>
      <c r="AV94" s="240"/>
      <c r="AW94" s="240"/>
      <c r="AX94" s="240"/>
      <c r="AY94" s="240"/>
      <c r="AZ94" s="241"/>
      <c r="BA94" s="240"/>
      <c r="BB94" s="240"/>
      <c r="BC94" s="240"/>
      <c r="BD94" s="240"/>
      <c r="BE94" s="241"/>
      <c r="BF94" s="240"/>
      <c r="BG94" s="240"/>
      <c r="BH94" s="240"/>
      <c r="BI94" s="240"/>
      <c r="BJ94" s="241"/>
      <c r="BK94" s="171"/>
      <c r="BL94" s="171"/>
      <c r="BM94" s="87"/>
      <c r="BN94" s="171"/>
      <c r="BO94" s="170"/>
      <c r="BP94" s="171"/>
      <c r="BQ94" s="171"/>
      <c r="BR94" s="87"/>
      <c r="BS94" s="171"/>
      <c r="BT94" s="170"/>
      <c r="BU94" s="171"/>
      <c r="BV94" s="171"/>
      <c r="BW94" s="87"/>
      <c r="BX94" s="171"/>
      <c r="BY94" s="170"/>
      <c r="BZ94" s="171"/>
      <c r="CA94" s="171"/>
      <c r="CB94" s="87"/>
      <c r="CC94" s="171"/>
      <c r="CD94" s="170"/>
      <c r="CE94" s="173"/>
      <c r="CF94" s="173"/>
      <c r="CG94" s="173"/>
      <c r="CH94" s="173"/>
      <c r="CI94" s="170"/>
      <c r="CJ94" s="173"/>
      <c r="CK94" s="173"/>
      <c r="CL94" s="173"/>
      <c r="CM94" s="173"/>
      <c r="CN94" s="170"/>
      <c r="CO94" s="173"/>
      <c r="CP94" s="173"/>
      <c r="CQ94" s="173"/>
      <c r="CR94" s="173"/>
      <c r="CS94" s="170"/>
      <c r="CT94" s="173"/>
      <c r="CU94" s="173"/>
      <c r="CV94" s="173"/>
      <c r="CW94" s="173"/>
      <c r="CX94" s="170"/>
      <c r="CY94" s="173"/>
      <c r="CZ94" s="173"/>
      <c r="DA94" s="173"/>
      <c r="DB94" s="173"/>
      <c r="DC94" s="170"/>
      <c r="DD94" s="173"/>
      <c r="DE94" s="173"/>
      <c r="DF94" s="173"/>
      <c r="DG94" s="173"/>
      <c r="DH94" s="170"/>
      <c r="DI94" s="545"/>
      <c r="DJ94" s="545"/>
      <c r="DK94" s="545"/>
      <c r="DL94" s="545"/>
      <c r="DM94" s="538"/>
      <c r="DN94" s="545"/>
      <c r="DO94" s="545"/>
      <c r="DP94" s="545"/>
      <c r="DQ94" s="545"/>
      <c r="DR94" s="538"/>
      <c r="DS94" s="545"/>
      <c r="DT94" s="739">
        <f>DT84+DT90</f>
        <v>1441</v>
      </c>
      <c r="DU94" s="739">
        <f>DU84+DU90</f>
        <v>1450</v>
      </c>
      <c r="DV94" s="739">
        <f>DV84+DV90</f>
        <v>698</v>
      </c>
      <c r="DW94" s="739"/>
      <c r="DX94" s="739">
        <f>DX84+DX90</f>
        <v>829.37035815589047</v>
      </c>
      <c r="DY94" s="739">
        <f>DY84+DY90</f>
        <v>605.37663535468891</v>
      </c>
      <c r="DZ94" s="739">
        <f>DZ84+DZ90</f>
        <v>853.21887238129329</v>
      </c>
      <c r="EA94" s="739">
        <f>EA84+EA90</f>
        <v>567.71087398451732</v>
      </c>
      <c r="EB94" s="739"/>
      <c r="EC94" s="739">
        <f>EC84+EC90</f>
        <v>376.97417916896063</v>
      </c>
      <c r="ED94" s="739">
        <f>ED84+ED90</f>
        <v>520.54772891988341</v>
      </c>
      <c r="EE94" s="739">
        <f>EE84+EE90</f>
        <v>689.98221824519351</v>
      </c>
      <c r="EF94" s="739">
        <f>EF84+EF90</f>
        <v>714.63062624325505</v>
      </c>
      <c r="EG94" s="53"/>
      <c r="EH94" s="739">
        <f>EH84+EH90</f>
        <v>657.96794350851678</v>
      </c>
      <c r="EI94" s="739">
        <f>EI84+EI90</f>
        <v>602.90493870577018</v>
      </c>
      <c r="EJ94" s="739">
        <f>EJ84+EJ90</f>
        <v>652.42194509847184</v>
      </c>
      <c r="EK94" s="739">
        <f>EK84+EK90</f>
        <v>471.25813137678415</v>
      </c>
      <c r="EL94" s="53"/>
    </row>
    <row r="95" spans="1:142" collapsed="1">
      <c r="A95" s="225"/>
      <c r="B95" s="1326"/>
      <c r="C95" s="9"/>
      <c r="D95" s="9"/>
      <c r="E95" s="9"/>
      <c r="F95" s="9"/>
      <c r="G95" s="9"/>
      <c r="H95" s="63"/>
      <c r="I95" s="9"/>
      <c r="J95" s="9"/>
      <c r="K95" s="9"/>
      <c r="L95" s="9"/>
      <c r="M95" s="63"/>
      <c r="N95" s="9"/>
      <c r="O95" s="9"/>
      <c r="P95" s="9"/>
      <c r="Q95" s="9"/>
      <c r="R95" s="63"/>
      <c r="S95" s="9"/>
      <c r="T95" s="9"/>
      <c r="U95" s="9"/>
      <c r="V95" s="9"/>
      <c r="W95" s="63"/>
      <c r="X95" s="9"/>
      <c r="Y95" s="9"/>
      <c r="Z95" s="9"/>
      <c r="AA95" s="9"/>
      <c r="AB95" s="63"/>
      <c r="AC95" s="9"/>
      <c r="AD95" s="9"/>
      <c r="AE95" s="9"/>
      <c r="AF95" s="9"/>
      <c r="AG95" s="63"/>
      <c r="AH95" s="9"/>
      <c r="AI95" s="9"/>
      <c r="AJ95" s="9"/>
      <c r="AK95" s="9"/>
      <c r="AL95" s="63"/>
      <c r="AM95" s="53"/>
      <c r="AN95" s="53"/>
      <c r="AO95" s="53"/>
      <c r="AP95" s="53"/>
      <c r="AQ95" s="28"/>
      <c r="AR95" s="53"/>
      <c r="AS95" s="53"/>
      <c r="AT95" s="53"/>
      <c r="AU95" s="186"/>
      <c r="AV95" s="240"/>
      <c r="AW95" s="240"/>
      <c r="AX95" s="240"/>
      <c r="AY95" s="240"/>
      <c r="AZ95" s="241"/>
      <c r="BA95" s="240"/>
      <c r="BB95" s="240"/>
      <c r="BC95" s="240"/>
      <c r="BD95" s="240"/>
      <c r="BE95" s="241"/>
      <c r="BF95" s="240"/>
      <c r="BG95" s="240"/>
      <c r="BH95" s="240"/>
      <c r="BI95" s="240"/>
      <c r="BJ95" s="241"/>
      <c r="BK95" s="171"/>
      <c r="BL95" s="171"/>
      <c r="BM95" s="87"/>
      <c r="BN95" s="171"/>
      <c r="BO95" s="170"/>
      <c r="BP95" s="171"/>
      <c r="BQ95" s="171"/>
      <c r="BR95" s="87"/>
      <c r="BS95" s="171"/>
      <c r="BT95" s="170"/>
      <c r="BU95" s="171"/>
      <c r="BV95" s="171"/>
      <c r="BW95" s="87"/>
      <c r="BX95" s="171"/>
      <c r="BY95" s="170"/>
      <c r="BZ95" s="171"/>
      <c r="CA95" s="171"/>
      <c r="CB95" s="87"/>
      <c r="CC95" s="171"/>
      <c r="CD95" s="170"/>
      <c r="CE95" s="173"/>
      <c r="CF95" s="173"/>
      <c r="CG95" s="173"/>
      <c r="CH95" s="173"/>
      <c r="CI95" s="170"/>
      <c r="CJ95" s="173"/>
      <c r="CK95" s="173"/>
      <c r="CL95" s="173"/>
      <c r="CM95" s="173"/>
      <c r="CN95" s="170"/>
      <c r="CO95" s="173"/>
      <c r="CP95" s="173"/>
      <c r="CQ95" s="173"/>
      <c r="CR95" s="173"/>
      <c r="CS95" s="170"/>
      <c r="CT95" s="173"/>
      <c r="CU95" s="173"/>
      <c r="CV95" s="173"/>
      <c r="CW95" s="173"/>
      <c r="CX95" s="170"/>
      <c r="CY95" s="173"/>
      <c r="CZ95" s="173"/>
      <c r="DA95" s="173"/>
      <c r="DB95" s="173"/>
      <c r="DC95" s="170"/>
      <c r="DD95" s="173"/>
      <c r="DE95" s="173"/>
      <c r="DF95" s="173"/>
      <c r="DG95" s="173"/>
      <c r="DH95" s="170"/>
      <c r="DI95" s="545"/>
      <c r="DJ95" s="545"/>
      <c r="DK95" s="545"/>
      <c r="DL95" s="545"/>
      <c r="DM95" s="538"/>
      <c r="DN95" s="545"/>
      <c r="DO95" s="545"/>
      <c r="DP95" s="545"/>
      <c r="DQ95" s="545"/>
      <c r="DR95" s="538"/>
      <c r="DS95" s="545"/>
      <c r="DT95" s="739"/>
      <c r="DU95" s="739"/>
      <c r="DV95" s="739"/>
      <c r="DW95" s="739"/>
      <c r="DX95" s="739"/>
      <c r="DY95" s="739"/>
      <c r="DZ95" s="739"/>
      <c r="EA95" s="739"/>
      <c r="EB95" s="739"/>
      <c r="EC95" s="739"/>
      <c r="ED95" s="739"/>
      <c r="EE95" s="739"/>
      <c r="EF95" s="739"/>
      <c r="EG95" s="53"/>
      <c r="EH95" s="739"/>
      <c r="EI95" s="739"/>
      <c r="EJ95" s="739"/>
      <c r="EK95" s="739"/>
      <c r="EL95" s="53"/>
    </row>
    <row r="96" spans="1:142">
      <c r="A96" s="1327"/>
      <c r="B96" s="242" t="s">
        <v>687</v>
      </c>
      <c r="C96" s="228"/>
      <c r="D96" s="228"/>
      <c r="E96" s="228"/>
      <c r="F96" s="228"/>
      <c r="G96" s="228"/>
      <c r="H96" s="229"/>
      <c r="I96" s="228"/>
      <c r="J96" s="228"/>
      <c r="K96" s="228"/>
      <c r="L96" s="228"/>
      <c r="M96" s="229"/>
      <c r="N96" s="228"/>
      <c r="O96" s="228"/>
      <c r="P96" s="228"/>
      <c r="Q96" s="228"/>
      <c r="R96" s="229"/>
      <c r="S96" s="228"/>
      <c r="T96" s="228"/>
      <c r="U96" s="228"/>
      <c r="V96" s="228"/>
      <c r="W96" s="229"/>
      <c r="X96" s="228"/>
      <c r="Y96" s="228"/>
      <c r="Z96" s="228"/>
      <c r="AA96" s="228"/>
      <c r="AB96" s="229"/>
      <c r="AC96" s="228"/>
      <c r="AD96" s="228"/>
      <c r="AE96" s="228"/>
      <c r="AF96" s="228"/>
      <c r="AG96" s="229"/>
      <c r="AH96" s="228"/>
      <c r="AI96" s="228"/>
      <c r="AJ96" s="228"/>
      <c r="AK96" s="228"/>
      <c r="AL96" s="229"/>
      <c r="AM96" s="228"/>
      <c r="AN96" s="228"/>
      <c r="AO96" s="228"/>
      <c r="AP96" s="228"/>
      <c r="AQ96" s="229"/>
      <c r="AR96" s="228"/>
      <c r="AS96" s="228"/>
      <c r="AT96" s="228"/>
      <c r="AU96" s="230"/>
      <c r="AV96" s="228"/>
      <c r="AW96" s="228"/>
      <c r="AX96" s="228"/>
      <c r="AY96" s="228"/>
      <c r="AZ96" s="229"/>
      <c r="BA96" s="228"/>
      <c r="BB96" s="228"/>
      <c r="BC96" s="228"/>
      <c r="BD96" s="228"/>
      <c r="BE96" s="229"/>
      <c r="BF96" s="228"/>
      <c r="BG96" s="228"/>
      <c r="BH96" s="228"/>
      <c r="BI96" s="228"/>
      <c r="BJ96" s="229"/>
      <c r="BK96" s="228"/>
      <c r="BL96" s="228"/>
      <c r="BM96" s="228"/>
      <c r="BN96" s="228"/>
      <c r="BO96" s="229"/>
      <c r="BP96" s="228"/>
      <c r="BQ96" s="228"/>
      <c r="BR96" s="228"/>
      <c r="BS96" s="228"/>
      <c r="BT96" s="229"/>
      <c r="BU96" s="228"/>
      <c r="BV96" s="228"/>
      <c r="BW96" s="228"/>
      <c r="BX96" s="228"/>
      <c r="BY96" s="229"/>
      <c r="BZ96" s="228"/>
      <c r="CA96" s="228"/>
      <c r="CB96" s="228"/>
      <c r="CC96" s="228"/>
      <c r="CD96" s="229"/>
      <c r="CE96" s="228"/>
      <c r="CF96" s="228"/>
      <c r="CG96" s="228"/>
      <c r="CH96" s="228"/>
      <c r="CI96" s="229"/>
      <c r="CJ96" s="228"/>
      <c r="CK96" s="228"/>
      <c r="CL96" s="228"/>
      <c r="CM96" s="228"/>
      <c r="CN96" s="229"/>
      <c r="CO96" s="228"/>
      <c r="CP96" s="228"/>
      <c r="CQ96" s="228"/>
      <c r="CR96" s="228"/>
      <c r="CS96" s="229"/>
      <c r="CT96" s="228"/>
      <c r="CU96" s="228"/>
      <c r="CV96" s="228"/>
      <c r="CW96" s="228"/>
      <c r="CX96" s="229"/>
      <c r="CY96" s="228"/>
      <c r="CZ96" s="228"/>
      <c r="DA96" s="228"/>
      <c r="DB96" s="228"/>
      <c r="DC96" s="229"/>
      <c r="DD96" s="228"/>
      <c r="DE96" s="228"/>
      <c r="DF96" s="228"/>
      <c r="DG96" s="228"/>
      <c r="DH96" s="229"/>
      <c r="DI96" s="228"/>
      <c r="DJ96" s="228"/>
      <c r="DK96" s="231"/>
      <c r="DL96" s="228"/>
      <c r="DM96" s="229"/>
      <c r="DN96" s="228"/>
      <c r="DO96" s="228"/>
      <c r="DP96" s="228"/>
      <c r="DQ96" s="228"/>
      <c r="DR96" s="229"/>
      <c r="DS96" s="228"/>
      <c r="DT96" s="228"/>
      <c r="DU96" s="228"/>
      <c r="DV96" s="228"/>
      <c r="DW96" s="229"/>
      <c r="DX96" s="228"/>
      <c r="DY96" s="228"/>
      <c r="DZ96" s="228"/>
      <c r="EA96" s="228"/>
      <c r="EB96" s="229"/>
      <c r="EC96" s="228"/>
      <c r="ED96" s="228"/>
      <c r="EE96" s="228"/>
      <c r="EF96" s="228"/>
      <c r="EG96" s="229"/>
      <c r="EH96" s="228"/>
      <c r="EI96" s="228"/>
      <c r="EJ96" s="228"/>
      <c r="EK96" s="228"/>
      <c r="EL96" s="229"/>
    </row>
    <row r="97" spans="1:142">
      <c r="A97" s="1328"/>
      <c r="B97" s="247" t="s">
        <v>297</v>
      </c>
      <c r="C97" s="9"/>
      <c r="D97" s="9"/>
      <c r="E97" s="9"/>
      <c r="F97" s="9"/>
      <c r="G97" s="9"/>
      <c r="H97" s="63"/>
      <c r="I97" s="9"/>
      <c r="J97" s="9"/>
      <c r="K97" s="9"/>
      <c r="L97" s="9"/>
      <c r="M97" s="63"/>
      <c r="N97" s="9"/>
      <c r="O97" s="9"/>
      <c r="P97" s="9"/>
      <c r="Q97" s="9"/>
      <c r="R97" s="63"/>
      <c r="S97" s="9"/>
      <c r="T97" s="9"/>
      <c r="U97" s="9"/>
      <c r="V97" s="9"/>
      <c r="W97" s="63"/>
      <c r="X97" s="9"/>
      <c r="Y97" s="9"/>
      <c r="Z97" s="9"/>
      <c r="AA97" s="9"/>
      <c r="AB97" s="63"/>
      <c r="AC97" s="9"/>
      <c r="AD97" s="9"/>
      <c r="AE97" s="9"/>
      <c r="AF97" s="9"/>
      <c r="AG97" s="63"/>
      <c r="AH97" s="9"/>
      <c r="AI97" s="9"/>
      <c r="AJ97" s="9"/>
      <c r="AK97" s="9"/>
      <c r="AL97" s="63"/>
      <c r="AM97" s="9"/>
      <c r="AN97" s="9"/>
      <c r="AO97" s="9"/>
      <c r="AP97" s="9"/>
      <c r="AQ97" s="63"/>
      <c r="AR97" s="9"/>
      <c r="AS97" s="9"/>
      <c r="AT97" s="9"/>
      <c r="AU97" s="186"/>
      <c r="AV97" s="9"/>
      <c r="AW97" s="9"/>
      <c r="AX97" s="9"/>
      <c r="AY97" s="9"/>
      <c r="AZ97" s="63"/>
      <c r="BA97" s="9"/>
      <c r="BB97" s="9"/>
      <c r="BC97" s="9"/>
      <c r="BD97" s="9"/>
      <c r="BE97" s="63"/>
      <c r="BF97" s="9"/>
      <c r="BG97" s="9"/>
      <c r="BH97" s="9"/>
      <c r="BI97" s="9"/>
      <c r="BJ97" s="63"/>
      <c r="BK97" s="9"/>
      <c r="BL97" s="9"/>
      <c r="BM97" s="9"/>
      <c r="BN97" s="9"/>
      <c r="BO97" s="63"/>
      <c r="BP97" s="9"/>
      <c r="BQ97" s="9"/>
      <c r="BR97" s="9"/>
      <c r="BS97" s="9"/>
      <c r="BT97" s="63"/>
      <c r="BU97" s="9"/>
      <c r="BV97" s="9"/>
      <c r="BW97" s="9"/>
      <c r="BX97" s="9"/>
      <c r="BY97" s="63"/>
      <c r="BZ97" s="9"/>
      <c r="CA97" s="9"/>
      <c r="CB97" s="9"/>
      <c r="CC97" s="9"/>
      <c r="CD97" s="63"/>
      <c r="CE97" s="250"/>
      <c r="CF97" s="250"/>
      <c r="CG97" s="250"/>
      <c r="CH97" s="250"/>
      <c r="CI97" s="193"/>
      <c r="CJ97" s="250"/>
      <c r="CK97" s="250"/>
      <c r="CL97" s="288">
        <v>0.08</v>
      </c>
      <c r="CM97" s="288">
        <v>0.08</v>
      </c>
      <c r="CN97" s="193"/>
      <c r="CO97" s="288">
        <v>0.08</v>
      </c>
      <c r="CP97" s="288">
        <v>0.08</v>
      </c>
      <c r="CQ97" s="288">
        <v>0.08</v>
      </c>
      <c r="CR97" s="288">
        <v>0.08</v>
      </c>
      <c r="CS97" s="193"/>
      <c r="CT97" s="288">
        <v>0.08</v>
      </c>
      <c r="CU97" s="288">
        <v>0.08</v>
      </c>
      <c r="CV97" s="288">
        <v>0.08</v>
      </c>
      <c r="CW97" s="288">
        <f>CV97</f>
        <v>0.08</v>
      </c>
      <c r="CX97" s="193"/>
      <c r="CY97" s="288">
        <f>CW97</f>
        <v>0.08</v>
      </c>
      <c r="CZ97" s="288">
        <f>CY97</f>
        <v>0.08</v>
      </c>
      <c r="DA97" s="249">
        <f>CZ97</f>
        <v>0.08</v>
      </c>
      <c r="DB97" s="249">
        <f>DA97</f>
        <v>0.08</v>
      </c>
      <c r="DC97" s="193"/>
      <c r="DD97" s="288">
        <f>DB97</f>
        <v>0.08</v>
      </c>
      <c r="DE97" s="249">
        <f>DD97</f>
        <v>0.08</v>
      </c>
      <c r="DF97" s="249">
        <f>DE97</f>
        <v>0.08</v>
      </c>
      <c r="DG97" s="249">
        <f>DF97</f>
        <v>0.08</v>
      </c>
      <c r="DH97" s="193"/>
      <c r="DI97" s="288">
        <f>DG97</f>
        <v>0.08</v>
      </c>
      <c r="DJ97" s="249">
        <f>DI97</f>
        <v>0.08</v>
      </c>
      <c r="DK97" s="331">
        <f>DJ97</f>
        <v>0.08</v>
      </c>
      <c r="DL97" s="249">
        <f>DK97</f>
        <v>0.08</v>
      </c>
      <c r="DM97" s="193"/>
      <c r="DN97" s="288">
        <f>DL97</f>
        <v>0.08</v>
      </c>
      <c r="DO97" s="249">
        <f>DN97</f>
        <v>0.08</v>
      </c>
      <c r="DP97" s="249">
        <f>DO97</f>
        <v>0.08</v>
      </c>
      <c r="DQ97" s="249">
        <f>DP97</f>
        <v>0.08</v>
      </c>
      <c r="DR97" s="193"/>
      <c r="DS97" s="249">
        <v>7.4999999999999997E-2</v>
      </c>
      <c r="DT97" s="249">
        <f>DS97</f>
        <v>7.4999999999999997E-2</v>
      </c>
      <c r="DU97" s="249">
        <f>DT97</f>
        <v>7.4999999999999997E-2</v>
      </c>
      <c r="DV97" s="249">
        <f>DU97</f>
        <v>7.4999999999999997E-2</v>
      </c>
      <c r="DW97" s="193"/>
      <c r="DX97" s="249">
        <f>DV97</f>
        <v>7.4999999999999997E-2</v>
      </c>
      <c r="DY97" s="249">
        <f>DX97</f>
        <v>7.4999999999999997E-2</v>
      </c>
      <c r="DZ97" s="249">
        <f>DY97</f>
        <v>7.4999999999999997E-2</v>
      </c>
      <c r="EA97" s="249">
        <f>DZ97</f>
        <v>7.4999999999999997E-2</v>
      </c>
      <c r="EB97" s="193"/>
      <c r="EC97" s="249">
        <f>EA97</f>
        <v>7.4999999999999997E-2</v>
      </c>
      <c r="ED97" s="249">
        <f>EC97</f>
        <v>7.4999999999999997E-2</v>
      </c>
      <c r="EE97" s="249">
        <f>ED97</f>
        <v>7.4999999999999997E-2</v>
      </c>
      <c r="EF97" s="249">
        <f>EE97</f>
        <v>7.4999999999999997E-2</v>
      </c>
      <c r="EG97" s="193"/>
      <c r="EH97" s="249">
        <f>EF97</f>
        <v>7.4999999999999997E-2</v>
      </c>
      <c r="EI97" s="249">
        <f>EH97</f>
        <v>7.4999999999999997E-2</v>
      </c>
      <c r="EJ97" s="249">
        <f>EI97</f>
        <v>7.4999999999999997E-2</v>
      </c>
      <c r="EK97" s="249">
        <f>EJ97</f>
        <v>7.4999999999999997E-2</v>
      </c>
      <c r="EL97" s="193"/>
    </row>
    <row r="98" spans="1:142">
      <c r="A98" s="225"/>
      <c r="B98" s="209" t="s">
        <v>298</v>
      </c>
      <c r="C98" s="232"/>
      <c r="D98" s="232"/>
      <c r="E98" s="232"/>
      <c r="F98" s="232"/>
      <c r="G98" s="232"/>
      <c r="H98" s="233"/>
      <c r="I98" s="232"/>
      <c r="J98" s="232"/>
      <c r="K98" s="232"/>
      <c r="L98" s="232"/>
      <c r="M98" s="233"/>
      <c r="N98" s="232"/>
      <c r="O98" s="232"/>
      <c r="P98" s="232"/>
      <c r="Q98" s="232"/>
      <c r="R98" s="233"/>
      <c r="S98" s="232"/>
      <c r="T98" s="232"/>
      <c r="U98" s="232"/>
      <c r="V98" s="232"/>
      <c r="W98" s="233"/>
      <c r="X98" s="232"/>
      <c r="Y98" s="232"/>
      <c r="Z98" s="232"/>
      <c r="AA98" s="232"/>
      <c r="AB98" s="233"/>
      <c r="AC98" s="232"/>
      <c r="AD98" s="232"/>
      <c r="AE98" s="232"/>
      <c r="AF98" s="232"/>
      <c r="AG98" s="233"/>
      <c r="AH98" s="232"/>
      <c r="AI98" s="232"/>
      <c r="AJ98" s="232"/>
      <c r="AK98" s="232"/>
      <c r="AL98" s="233"/>
      <c r="AM98" s="234"/>
      <c r="AN98" s="234"/>
      <c r="AO98" s="234"/>
      <c r="AP98" s="234"/>
      <c r="AQ98" s="235"/>
      <c r="AR98" s="234"/>
      <c r="AS98" s="234"/>
      <c r="AT98" s="234"/>
      <c r="AU98" s="236"/>
      <c r="AV98" s="237"/>
      <c r="AW98" s="279"/>
      <c r="AX98" s="234"/>
      <c r="AY98" s="234"/>
      <c r="AZ98" s="235"/>
      <c r="BA98" s="237"/>
      <c r="BB98" s="279"/>
      <c r="BC98" s="234"/>
      <c r="BD98" s="234"/>
      <c r="BE98" s="235"/>
      <c r="BF98" s="237"/>
      <c r="BG98" s="279"/>
      <c r="BH98" s="234"/>
      <c r="BI98" s="234"/>
      <c r="BJ98" s="235"/>
      <c r="BK98" s="255"/>
      <c r="BL98" s="255"/>
      <c r="BM98" s="255"/>
      <c r="BN98" s="255"/>
      <c r="BO98" s="256"/>
      <c r="BP98" s="255"/>
      <c r="BQ98" s="255"/>
      <c r="BR98" s="255"/>
      <c r="BS98" s="255"/>
      <c r="BT98" s="256"/>
      <c r="BU98" s="255"/>
      <c r="BV98" s="255"/>
      <c r="BW98" s="255"/>
      <c r="BX98" s="255"/>
      <c r="BY98" s="256"/>
      <c r="BZ98" s="255"/>
      <c r="CA98" s="255"/>
      <c r="CB98" s="255"/>
      <c r="CC98" s="255"/>
      <c r="CD98" s="256"/>
      <c r="CE98" s="257"/>
      <c r="CF98" s="257"/>
      <c r="CG98" s="257"/>
      <c r="CH98" s="257"/>
      <c r="CI98" s="258"/>
      <c r="CJ98" s="257"/>
      <c r="CK98" s="257"/>
      <c r="CL98" s="257"/>
      <c r="CM98" s="289">
        <f>CL101</f>
        <v>600</v>
      </c>
      <c r="CN98" s="258">
        <f>CI101</f>
        <v>0</v>
      </c>
      <c r="CO98" s="289">
        <f>CN101</f>
        <v>600</v>
      </c>
      <c r="CP98" s="289">
        <f>CO101</f>
        <v>600</v>
      </c>
      <c r="CQ98" s="289">
        <f>CP101</f>
        <v>600</v>
      </c>
      <c r="CR98" s="289">
        <f>CQ101</f>
        <v>600</v>
      </c>
      <c r="CS98" s="258">
        <f>CN101</f>
        <v>600</v>
      </c>
      <c r="CT98" s="289">
        <f>CS101</f>
        <v>600</v>
      </c>
      <c r="CU98" s="289">
        <f>CT101</f>
        <v>600</v>
      </c>
      <c r="CV98" s="289">
        <f>CU101</f>
        <v>750</v>
      </c>
      <c r="CW98" s="289">
        <f>CV101</f>
        <v>750</v>
      </c>
      <c r="CX98" s="258">
        <f>CS101</f>
        <v>600</v>
      </c>
      <c r="CY98" s="289">
        <f>CX101</f>
        <v>750</v>
      </c>
      <c r="CZ98" s="289">
        <f>CY101</f>
        <v>750</v>
      </c>
      <c r="DA98" s="289">
        <f>CZ101</f>
        <v>750</v>
      </c>
      <c r="DB98" s="289">
        <f>DA101</f>
        <v>750</v>
      </c>
      <c r="DC98" s="258">
        <f>CX101</f>
        <v>750</v>
      </c>
      <c r="DD98" s="289">
        <f>DC101</f>
        <v>750</v>
      </c>
      <c r="DE98" s="289">
        <f>DD101</f>
        <v>750</v>
      </c>
      <c r="DF98" s="289">
        <f>DE101</f>
        <v>750</v>
      </c>
      <c r="DG98" s="289">
        <f>DF101</f>
        <v>750</v>
      </c>
      <c r="DH98" s="258">
        <f>DC101</f>
        <v>750</v>
      </c>
      <c r="DI98" s="539">
        <f>DH101</f>
        <v>750</v>
      </c>
      <c r="DJ98" s="539">
        <f>DI101</f>
        <v>750</v>
      </c>
      <c r="DK98" s="1374">
        <f>DJ101</f>
        <v>750</v>
      </c>
      <c r="DL98" s="539">
        <f>DK101</f>
        <v>750</v>
      </c>
      <c r="DM98" s="540">
        <f>DH101</f>
        <v>750</v>
      </c>
      <c r="DN98" s="539">
        <f>DM101</f>
        <v>750</v>
      </c>
      <c r="DO98" s="539">
        <f>DN101</f>
        <v>750</v>
      </c>
      <c r="DP98" s="539">
        <f>DO101</f>
        <v>750</v>
      </c>
      <c r="DQ98" s="539">
        <f>DP101</f>
        <v>750</v>
      </c>
      <c r="DR98" s="540">
        <f>DM101</f>
        <v>750</v>
      </c>
      <c r="DS98" s="539">
        <f>DR101</f>
        <v>750</v>
      </c>
      <c r="DT98" s="539">
        <f>DS101</f>
        <v>750</v>
      </c>
      <c r="DU98" s="539">
        <f>DT101</f>
        <v>750</v>
      </c>
      <c r="DV98" s="539">
        <f>DU101</f>
        <v>750</v>
      </c>
      <c r="DW98" s="540">
        <f>DR101</f>
        <v>750</v>
      </c>
      <c r="DX98" s="539">
        <f>DW101</f>
        <v>750</v>
      </c>
      <c r="DY98" s="539">
        <f>DX101</f>
        <v>750</v>
      </c>
      <c r="DZ98" s="539">
        <f>DY101</f>
        <v>750</v>
      </c>
      <c r="EA98" s="539">
        <f>DZ101</f>
        <v>750</v>
      </c>
      <c r="EB98" s="540">
        <f>DW101</f>
        <v>750</v>
      </c>
      <c r="EC98" s="539">
        <f>EB101</f>
        <v>750</v>
      </c>
      <c r="ED98" s="539">
        <f>EC101</f>
        <v>750</v>
      </c>
      <c r="EE98" s="539">
        <f>ED101</f>
        <v>750</v>
      </c>
      <c r="EF98" s="539">
        <f>EE101</f>
        <v>750</v>
      </c>
      <c r="EG98" s="540">
        <f>EB101</f>
        <v>750</v>
      </c>
      <c r="EH98" s="539">
        <f>EG101</f>
        <v>750</v>
      </c>
      <c r="EI98" s="539">
        <f>EH101</f>
        <v>750</v>
      </c>
      <c r="EJ98" s="539">
        <f>EI101</f>
        <v>750</v>
      </c>
      <c r="EK98" s="539">
        <f>EJ101</f>
        <v>750</v>
      </c>
      <c r="EL98" s="540">
        <f>EG101</f>
        <v>750</v>
      </c>
    </row>
    <row r="99" spans="1:142">
      <c r="A99" s="225"/>
      <c r="B99" s="209" t="s">
        <v>674</v>
      </c>
      <c r="C99" s="232"/>
      <c r="D99" s="232"/>
      <c r="E99" s="232"/>
      <c r="F99" s="232"/>
      <c r="G99" s="232"/>
      <c r="H99" s="233"/>
      <c r="I99" s="232"/>
      <c r="J99" s="232"/>
      <c r="K99" s="232"/>
      <c r="L99" s="232"/>
      <c r="M99" s="233"/>
      <c r="N99" s="232"/>
      <c r="O99" s="232"/>
      <c r="P99" s="232"/>
      <c r="Q99" s="232"/>
      <c r="R99" s="233"/>
      <c r="S99" s="232"/>
      <c r="T99" s="232"/>
      <c r="U99" s="232"/>
      <c r="V99" s="232"/>
      <c r="W99" s="233"/>
      <c r="X99" s="232"/>
      <c r="Y99" s="232"/>
      <c r="Z99" s="232"/>
      <c r="AA99" s="232"/>
      <c r="AB99" s="233"/>
      <c r="AC99" s="232"/>
      <c r="AD99" s="232"/>
      <c r="AE99" s="232"/>
      <c r="AF99" s="232"/>
      <c r="AG99" s="233"/>
      <c r="AH99" s="232"/>
      <c r="AI99" s="232"/>
      <c r="AJ99" s="232"/>
      <c r="AK99" s="232"/>
      <c r="AL99" s="233"/>
      <c r="AM99" s="234"/>
      <c r="AN99" s="234"/>
      <c r="AO99" s="234"/>
      <c r="AP99" s="234"/>
      <c r="AQ99" s="235"/>
      <c r="AR99" s="234"/>
      <c r="AS99" s="234"/>
      <c r="AT99" s="234"/>
      <c r="AU99" s="236"/>
      <c r="AV99" s="237"/>
      <c r="AW99" s="279"/>
      <c r="AX99" s="234"/>
      <c r="AY99" s="234"/>
      <c r="AZ99" s="235"/>
      <c r="BA99" s="237"/>
      <c r="BB99" s="279"/>
      <c r="BC99" s="234"/>
      <c r="BD99" s="234"/>
      <c r="BE99" s="235"/>
      <c r="BF99" s="237"/>
      <c r="BG99" s="279"/>
      <c r="BH99" s="234"/>
      <c r="BI99" s="234"/>
      <c r="BJ99" s="235"/>
      <c r="BK99" s="255"/>
      <c r="BL99" s="255"/>
      <c r="BM99" s="255"/>
      <c r="BN99" s="255"/>
      <c r="BO99" s="256"/>
      <c r="BP99" s="255"/>
      <c r="BQ99" s="255"/>
      <c r="BR99" s="255"/>
      <c r="BS99" s="255"/>
      <c r="BT99" s="256"/>
      <c r="BU99" s="255"/>
      <c r="BV99" s="255"/>
      <c r="BW99" s="255"/>
      <c r="BX99" s="255"/>
      <c r="BY99" s="256"/>
      <c r="BZ99" s="255"/>
      <c r="CA99" s="255"/>
      <c r="CB99" s="255"/>
      <c r="CC99" s="255"/>
      <c r="CD99" s="256"/>
      <c r="CE99" s="257"/>
      <c r="CF99" s="257"/>
      <c r="CG99" s="257"/>
      <c r="CH99" s="257"/>
      <c r="CI99" s="258"/>
      <c r="CJ99" s="257"/>
      <c r="CK99" s="257"/>
      <c r="CL99" s="257"/>
      <c r="CM99" s="289"/>
      <c r="CN99" s="258"/>
      <c r="CO99" s="289"/>
      <c r="CP99" s="289"/>
      <c r="CQ99" s="289"/>
      <c r="CR99" s="289"/>
      <c r="CS99" s="258"/>
      <c r="CT99" s="289"/>
      <c r="CU99" s="289"/>
      <c r="CV99" s="289"/>
      <c r="CW99" s="289"/>
      <c r="CX99" s="258"/>
      <c r="CY99" s="289"/>
      <c r="CZ99" s="289"/>
      <c r="DA99" s="289"/>
      <c r="DB99" s="289"/>
      <c r="DC99" s="258"/>
      <c r="DD99" s="289"/>
      <c r="DE99" s="289"/>
      <c r="DF99" s="289"/>
      <c r="DG99" s="289"/>
      <c r="DH99" s="258"/>
      <c r="DI99" s="1378">
        <v>0</v>
      </c>
      <c r="DJ99" s="1378">
        <v>0</v>
      </c>
      <c r="DK99" s="1378">
        <v>0</v>
      </c>
      <c r="DL99" s="1378">
        <v>0</v>
      </c>
      <c r="DM99" s="1380">
        <f>SUM(DI99:DL99)</f>
        <v>0</v>
      </c>
      <c r="DN99" s="1378">
        <v>0</v>
      </c>
      <c r="DO99" s="1378">
        <v>0</v>
      </c>
      <c r="DP99" s="1378">
        <v>0</v>
      </c>
      <c r="DQ99" s="1378">
        <v>0</v>
      </c>
      <c r="DR99" s="1380">
        <f>SUM(DN99:DQ99)</f>
        <v>0</v>
      </c>
      <c r="DS99" s="1378">
        <v>0</v>
      </c>
      <c r="DT99" s="1378">
        <v>0</v>
      </c>
      <c r="DU99" s="1378">
        <v>0</v>
      </c>
      <c r="DV99" s="1378">
        <v>0</v>
      </c>
      <c r="DW99" s="1380">
        <f>SUM(DS99:DV99)</f>
        <v>0</v>
      </c>
      <c r="DX99" s="1378">
        <v>0</v>
      </c>
      <c r="DY99" s="1378">
        <v>0</v>
      </c>
      <c r="DZ99" s="1378">
        <v>0</v>
      </c>
      <c r="EA99" s="1378">
        <v>0</v>
      </c>
      <c r="EB99" s="1380">
        <f>SUM(DX99:EA99)</f>
        <v>0</v>
      </c>
      <c r="EC99" s="1378">
        <v>0</v>
      </c>
      <c r="ED99" s="1378">
        <v>0</v>
      </c>
      <c r="EE99" s="1378">
        <v>0</v>
      </c>
      <c r="EF99" s="1378">
        <v>0</v>
      </c>
      <c r="EG99" s="1380">
        <f>SUM(EC99:EF99)</f>
        <v>0</v>
      </c>
      <c r="EH99" s="1378">
        <v>0</v>
      </c>
      <c r="EI99" s="1378">
        <v>0</v>
      </c>
      <c r="EJ99" s="1378">
        <v>0</v>
      </c>
      <c r="EK99" s="1378">
        <v>0</v>
      </c>
      <c r="EL99" s="1380">
        <f>SUM(EH99:EK99)</f>
        <v>0</v>
      </c>
    </row>
    <row r="100" spans="1:142">
      <c r="A100" s="225"/>
      <c r="B100" s="214" t="s">
        <v>675</v>
      </c>
      <c r="C100" s="48"/>
      <c r="D100" s="48"/>
      <c r="E100" s="48"/>
      <c r="F100" s="48"/>
      <c r="G100" s="48"/>
      <c r="H100" s="64"/>
      <c r="I100" s="48"/>
      <c r="J100" s="48"/>
      <c r="K100" s="48"/>
      <c r="L100" s="48"/>
      <c r="M100" s="64"/>
      <c r="N100" s="48"/>
      <c r="O100" s="48"/>
      <c r="P100" s="48"/>
      <c r="Q100" s="48"/>
      <c r="R100" s="64"/>
      <c r="S100" s="48"/>
      <c r="T100" s="48"/>
      <c r="U100" s="48"/>
      <c r="V100" s="48"/>
      <c r="W100" s="64"/>
      <c r="X100" s="48"/>
      <c r="Y100" s="48"/>
      <c r="Z100" s="48"/>
      <c r="AA100" s="48"/>
      <c r="AB100" s="64"/>
      <c r="AC100" s="48"/>
      <c r="AD100" s="48"/>
      <c r="AE100" s="48"/>
      <c r="AF100" s="48"/>
      <c r="AG100" s="64"/>
      <c r="AH100" s="48"/>
      <c r="AI100" s="48"/>
      <c r="AJ100" s="48"/>
      <c r="AK100" s="48"/>
      <c r="AL100" s="64"/>
      <c r="AM100" s="48"/>
      <c r="AN100" s="48"/>
      <c r="AO100" s="48"/>
      <c r="AP100" s="48"/>
      <c r="AQ100" s="64"/>
      <c r="AR100" s="48"/>
      <c r="AS100" s="48"/>
      <c r="AT100" s="48"/>
      <c r="AU100" s="217"/>
      <c r="AV100" s="48"/>
      <c r="AW100" s="48"/>
      <c r="AX100" s="48"/>
      <c r="AY100" s="48"/>
      <c r="AZ100" s="64"/>
      <c r="BA100" s="48"/>
      <c r="BB100" s="48"/>
      <c r="BC100" s="48"/>
      <c r="BD100" s="48"/>
      <c r="BE100" s="64"/>
      <c r="BF100" s="48"/>
      <c r="BG100" s="48"/>
      <c r="BH100" s="48"/>
      <c r="BI100" s="48"/>
      <c r="BJ100" s="64"/>
      <c r="BK100" s="48"/>
      <c r="BL100" s="48"/>
      <c r="BM100" s="262"/>
      <c r="BN100" s="48"/>
      <c r="BO100" s="263"/>
      <c r="BP100" s="48"/>
      <c r="BQ100" s="48"/>
      <c r="BR100" s="262"/>
      <c r="BS100" s="48"/>
      <c r="BT100" s="263"/>
      <c r="BU100" s="48"/>
      <c r="BV100" s="48"/>
      <c r="BW100" s="262"/>
      <c r="BX100" s="48"/>
      <c r="BY100" s="263"/>
      <c r="BZ100" s="48"/>
      <c r="CA100" s="48"/>
      <c r="CB100" s="262"/>
      <c r="CC100" s="48"/>
      <c r="CD100" s="263"/>
      <c r="CE100" s="174"/>
      <c r="CF100" s="174"/>
      <c r="CG100" s="174"/>
      <c r="CH100" s="174"/>
      <c r="CI100" s="263"/>
      <c r="CJ100" s="174"/>
      <c r="CK100" s="174"/>
      <c r="CL100" s="174"/>
      <c r="CM100" s="174">
        <f>+CM101-CM98</f>
        <v>0</v>
      </c>
      <c r="CN100" s="263">
        <f>SUM(CJ100:CM100)</f>
        <v>0</v>
      </c>
      <c r="CO100" s="174">
        <f>+CO101-CO98</f>
        <v>0</v>
      </c>
      <c r="CP100" s="174">
        <f>+CP101-CP98</f>
        <v>0</v>
      </c>
      <c r="CQ100" s="174">
        <f>+CQ101-CQ98</f>
        <v>0</v>
      </c>
      <c r="CR100" s="174">
        <f>+CR101-CR98</f>
        <v>0</v>
      </c>
      <c r="CS100" s="263">
        <f>SUM(CO100:CR100)</f>
        <v>0</v>
      </c>
      <c r="CT100" s="174">
        <f>+CT101-CT98</f>
        <v>0</v>
      </c>
      <c r="CU100" s="174">
        <f>+CU101-CU98</f>
        <v>150</v>
      </c>
      <c r="CV100" s="174">
        <f>+CV101-CV98</f>
        <v>0</v>
      </c>
      <c r="CW100" s="174">
        <f>+CW101-CW98</f>
        <v>0</v>
      </c>
      <c r="CX100" s="263">
        <f>SUM(CT100:CW100)</f>
        <v>150</v>
      </c>
      <c r="CY100" s="174">
        <f>+CY101-CY98</f>
        <v>0</v>
      </c>
      <c r="CZ100" s="174">
        <f>+CZ101-CZ98</f>
        <v>0</v>
      </c>
      <c r="DA100" s="174">
        <f>+DA101-DA98</f>
        <v>0</v>
      </c>
      <c r="DB100" s="174">
        <v>0</v>
      </c>
      <c r="DC100" s="263">
        <f>SUM(CY100:DB100)</f>
        <v>0</v>
      </c>
      <c r="DD100" s="174">
        <f>+DD101-DD98</f>
        <v>0</v>
      </c>
      <c r="DE100" s="174">
        <f>+DE101-DE98</f>
        <v>0</v>
      </c>
      <c r="DF100" s="174">
        <f>+DF101-DF98</f>
        <v>0</v>
      </c>
      <c r="DG100" s="174">
        <f>+DG101-DG98</f>
        <v>0</v>
      </c>
      <c r="DH100" s="263">
        <f>SUM(DD100:DG100)</f>
        <v>0</v>
      </c>
      <c r="DI100" s="1379">
        <v>0</v>
      </c>
      <c r="DJ100" s="1379">
        <v>0</v>
      </c>
      <c r="DK100" s="1379">
        <v>0</v>
      </c>
      <c r="DL100" s="1379">
        <v>0</v>
      </c>
      <c r="DM100" s="1381">
        <f>SUM(DI100:DL100)</f>
        <v>0</v>
      </c>
      <c r="DN100" s="1379">
        <v>0</v>
      </c>
      <c r="DO100" s="1379">
        <v>0</v>
      </c>
      <c r="DP100" s="1379">
        <v>0</v>
      </c>
      <c r="DQ100" s="1379">
        <v>0</v>
      </c>
      <c r="DR100" s="1381">
        <f>SUM(DN100:DQ100)</f>
        <v>0</v>
      </c>
      <c r="DS100" s="1379">
        <v>0</v>
      </c>
      <c r="DT100" s="1376">
        <v>0</v>
      </c>
      <c r="DU100" s="1379">
        <v>0</v>
      </c>
      <c r="DV100" s="1379">
        <v>0</v>
      </c>
      <c r="DW100" s="1381">
        <f>SUM(DS100:DV100)</f>
        <v>0</v>
      </c>
      <c r="DX100" s="1379">
        <v>0</v>
      </c>
      <c r="DY100" s="1379">
        <v>0</v>
      </c>
      <c r="DZ100" s="1379">
        <v>0</v>
      </c>
      <c r="EA100" s="1379">
        <v>0</v>
      </c>
      <c r="EB100" s="1381">
        <f>SUM(DX100:EA100)</f>
        <v>0</v>
      </c>
      <c r="EC100" s="1379">
        <v>0</v>
      </c>
      <c r="ED100" s="1379">
        <v>0</v>
      </c>
      <c r="EE100" s="1379">
        <v>0</v>
      </c>
      <c r="EF100" s="1379">
        <v>0</v>
      </c>
      <c r="EG100" s="1381">
        <f>SUM(EC100:EF100)</f>
        <v>0</v>
      </c>
      <c r="EH100" s="1379">
        <v>0</v>
      </c>
      <c r="EI100" s="1379">
        <v>0</v>
      </c>
      <c r="EJ100" s="1379">
        <v>0</v>
      </c>
      <c r="EK100" s="1379">
        <v>0</v>
      </c>
      <c r="EL100" s="1381">
        <f>SUM(EH100:EK100)</f>
        <v>0</v>
      </c>
    </row>
    <row r="101" spans="1:142">
      <c r="A101" s="225"/>
      <c r="B101" s="209" t="s">
        <v>299</v>
      </c>
      <c r="C101" s="9"/>
      <c r="D101" s="9"/>
      <c r="E101" s="9"/>
      <c r="F101" s="9"/>
      <c r="G101" s="9"/>
      <c r="H101" s="63"/>
      <c r="I101" s="9"/>
      <c r="J101" s="9"/>
      <c r="K101" s="9"/>
      <c r="L101" s="9"/>
      <c r="M101" s="63"/>
      <c r="N101" s="9"/>
      <c r="O101" s="9"/>
      <c r="P101" s="9"/>
      <c r="Q101" s="9"/>
      <c r="R101" s="63"/>
      <c r="S101" s="9"/>
      <c r="T101" s="9"/>
      <c r="U101" s="9"/>
      <c r="V101" s="9"/>
      <c r="W101" s="63"/>
      <c r="X101" s="9"/>
      <c r="Y101" s="9"/>
      <c r="Z101" s="9"/>
      <c r="AA101" s="9"/>
      <c r="AB101" s="63"/>
      <c r="AC101" s="9"/>
      <c r="AD101" s="9"/>
      <c r="AE101" s="9"/>
      <c r="AF101" s="9"/>
      <c r="AG101" s="63"/>
      <c r="AH101" s="9"/>
      <c r="AI101" s="9"/>
      <c r="AJ101" s="9"/>
      <c r="AK101" s="9"/>
      <c r="AL101" s="63"/>
      <c r="AM101" s="9"/>
      <c r="AN101" s="9"/>
      <c r="AO101" s="9"/>
      <c r="AP101" s="9"/>
      <c r="AQ101" s="47"/>
      <c r="AR101" s="9"/>
      <c r="AS101" s="9"/>
      <c r="AT101" s="9"/>
      <c r="AU101" s="186"/>
      <c r="AV101" s="9"/>
      <c r="AW101" s="9"/>
      <c r="AX101" s="9"/>
      <c r="AY101" s="9"/>
      <c r="AZ101" s="47"/>
      <c r="BA101" s="26"/>
      <c r="BB101" s="282"/>
      <c r="BC101" s="282"/>
      <c r="BD101" s="282"/>
      <c r="BE101" s="47"/>
      <c r="BF101" s="26"/>
      <c r="BG101" s="282"/>
      <c r="BH101" s="282"/>
      <c r="BI101" s="282"/>
      <c r="BJ101" s="47"/>
      <c r="BK101" s="146"/>
      <c r="BL101" s="162"/>
      <c r="BM101" s="162"/>
      <c r="BN101" s="162"/>
      <c r="BO101" s="266"/>
      <c r="BP101" s="146"/>
      <c r="BQ101" s="162"/>
      <c r="BR101" s="162"/>
      <c r="BS101" s="162"/>
      <c r="BT101" s="266"/>
      <c r="BU101" s="146"/>
      <c r="BV101" s="162"/>
      <c r="BW101" s="162"/>
      <c r="BX101" s="162"/>
      <c r="BY101" s="266"/>
      <c r="BZ101" s="146"/>
      <c r="CA101" s="162"/>
      <c r="CB101" s="162"/>
      <c r="CC101" s="162"/>
      <c r="CD101" s="266"/>
      <c r="CE101" s="267"/>
      <c r="CF101" s="267"/>
      <c r="CG101" s="267"/>
      <c r="CH101" s="267"/>
      <c r="CI101" s="170"/>
      <c r="CJ101" s="267"/>
      <c r="CK101" s="267"/>
      <c r="CL101" s="166">
        <v>600</v>
      </c>
      <c r="CM101" s="166">
        <v>600</v>
      </c>
      <c r="CN101" s="170">
        <f>CM101</f>
        <v>600</v>
      </c>
      <c r="CO101" s="166">
        <v>600</v>
      </c>
      <c r="CP101" s="166">
        <v>600</v>
      </c>
      <c r="CQ101" s="166">
        <v>600</v>
      </c>
      <c r="CR101" s="166">
        <v>600</v>
      </c>
      <c r="CS101" s="170">
        <f>CR101</f>
        <v>600</v>
      </c>
      <c r="CT101" s="166">
        <v>600</v>
      </c>
      <c r="CU101" s="166">
        <v>750</v>
      </c>
      <c r="CV101" s="166">
        <v>750</v>
      </c>
      <c r="CW101" s="166">
        <v>750</v>
      </c>
      <c r="CX101" s="170">
        <f>CW101</f>
        <v>750</v>
      </c>
      <c r="CY101" s="166">
        <v>750</v>
      </c>
      <c r="CZ101" s="166">
        <v>750</v>
      </c>
      <c r="DA101" s="333">
        <v>750</v>
      </c>
      <c r="DB101" s="269">
        <v>750</v>
      </c>
      <c r="DC101" s="170">
        <f>DB101</f>
        <v>750</v>
      </c>
      <c r="DD101" s="166">
        <v>750</v>
      </c>
      <c r="DE101" s="269">
        <v>750</v>
      </c>
      <c r="DF101" s="269">
        <v>750</v>
      </c>
      <c r="DG101" s="269">
        <v>750</v>
      </c>
      <c r="DH101" s="170">
        <f>DG101</f>
        <v>750</v>
      </c>
      <c r="DI101" s="539">
        <f>SUM(DI98:DI100)</f>
        <v>750</v>
      </c>
      <c r="DJ101" s="539">
        <f>SUM(DJ98:DJ100)</f>
        <v>750</v>
      </c>
      <c r="DK101" s="539">
        <f>SUM(DK98:DK100)</f>
        <v>750</v>
      </c>
      <c r="DL101" s="539">
        <f>SUM(DL98:DL100)</f>
        <v>750</v>
      </c>
      <c r="DM101" s="1380">
        <f>DL101</f>
        <v>750</v>
      </c>
      <c r="DN101" s="539">
        <f>SUM(DN98:DN100)</f>
        <v>750</v>
      </c>
      <c r="DO101" s="539">
        <f>SUM(DO98:DO100)</f>
        <v>750</v>
      </c>
      <c r="DP101" s="1401">
        <f>SUM(DP98:DP100)</f>
        <v>750</v>
      </c>
      <c r="DQ101" s="1401">
        <f>SUM(DQ98:DQ100)</f>
        <v>750</v>
      </c>
      <c r="DR101" s="1380">
        <f>DQ101</f>
        <v>750</v>
      </c>
      <c r="DS101" s="539">
        <f>SUM(DS98:DS100)</f>
        <v>750</v>
      </c>
      <c r="DT101" s="539">
        <f>DT98+DT100</f>
        <v>750</v>
      </c>
      <c r="DU101" s="1401">
        <f>SUM(DU98:DU100)</f>
        <v>750</v>
      </c>
      <c r="DV101" s="1401">
        <f>SUM(DV98:DV100)</f>
        <v>750</v>
      </c>
      <c r="DW101" s="1380">
        <f>DV101</f>
        <v>750</v>
      </c>
      <c r="DX101" s="539">
        <f>SUM(DX98:DX100)</f>
        <v>750</v>
      </c>
      <c r="DY101" s="539">
        <f>SUM(DY98:DY100)</f>
        <v>750</v>
      </c>
      <c r="DZ101" s="1401">
        <f>SUM(DZ98:DZ100)</f>
        <v>750</v>
      </c>
      <c r="EA101" s="1401">
        <f>SUM(EA98:EA100)</f>
        <v>750</v>
      </c>
      <c r="EB101" s="1380">
        <f>EA101</f>
        <v>750</v>
      </c>
      <c r="EC101" s="539">
        <f>SUM(EC98:EC100)</f>
        <v>750</v>
      </c>
      <c r="ED101" s="539">
        <f>SUM(ED98:ED100)</f>
        <v>750</v>
      </c>
      <c r="EE101" s="1401">
        <f>SUM(EE98:EE100)</f>
        <v>750</v>
      </c>
      <c r="EF101" s="1401">
        <f>SUM(EF98:EF100)</f>
        <v>750</v>
      </c>
      <c r="EG101" s="1380">
        <f>EF101</f>
        <v>750</v>
      </c>
      <c r="EH101" s="539">
        <f>SUM(EH98:EH100)</f>
        <v>750</v>
      </c>
      <c r="EI101" s="539">
        <f>SUM(EI98:EI100)</f>
        <v>750</v>
      </c>
      <c r="EJ101" s="1401">
        <f>SUM(EJ98:EJ100)</f>
        <v>750</v>
      </c>
      <c r="EK101" s="1401">
        <f>SUM(EK98:EK100)</f>
        <v>750</v>
      </c>
      <c r="EL101" s="1380">
        <f>EK101</f>
        <v>750</v>
      </c>
    </row>
    <row r="102" spans="1:142">
      <c r="A102" s="225"/>
      <c r="B102" s="214" t="s">
        <v>300</v>
      </c>
      <c r="C102" s="48"/>
      <c r="D102" s="48"/>
      <c r="E102" s="48"/>
      <c r="F102" s="48"/>
      <c r="G102" s="48"/>
      <c r="H102" s="64"/>
      <c r="I102" s="48"/>
      <c r="J102" s="48"/>
      <c r="K102" s="48"/>
      <c r="L102" s="48"/>
      <c r="M102" s="64"/>
      <c r="N102" s="48"/>
      <c r="O102" s="48"/>
      <c r="P102" s="48"/>
      <c r="Q102" s="48"/>
      <c r="R102" s="64"/>
      <c r="S102" s="48"/>
      <c r="T102" s="48"/>
      <c r="U102" s="48"/>
      <c r="V102" s="48"/>
      <c r="W102" s="64"/>
      <c r="X102" s="48"/>
      <c r="Y102" s="48"/>
      <c r="Z102" s="48"/>
      <c r="AA102" s="48"/>
      <c r="AB102" s="64"/>
      <c r="AC102" s="48"/>
      <c r="AD102" s="48"/>
      <c r="AE102" s="48"/>
      <c r="AF102" s="48"/>
      <c r="AG102" s="64"/>
      <c r="AH102" s="48"/>
      <c r="AI102" s="48"/>
      <c r="AJ102" s="48"/>
      <c r="AK102" s="48"/>
      <c r="AL102" s="64"/>
      <c r="AM102" s="48"/>
      <c r="AN102" s="48"/>
      <c r="AO102" s="48"/>
      <c r="AP102" s="48"/>
      <c r="AQ102" s="52"/>
      <c r="AR102" s="48"/>
      <c r="AS102" s="48"/>
      <c r="AT102" s="48"/>
      <c r="AU102" s="217"/>
      <c r="AV102" s="48"/>
      <c r="AW102" s="48"/>
      <c r="AX102" s="48"/>
      <c r="AY102" s="48"/>
      <c r="AZ102" s="52"/>
      <c r="BA102" s="287"/>
      <c r="BB102" s="51"/>
      <c r="BC102" s="51"/>
      <c r="BD102" s="287"/>
      <c r="BE102" s="52"/>
      <c r="BF102" s="287"/>
      <c r="BG102" s="51"/>
      <c r="BH102" s="287"/>
      <c r="BI102" s="287"/>
      <c r="BJ102" s="52"/>
      <c r="BK102" s="215"/>
      <c r="BL102" s="215"/>
      <c r="BM102" s="275"/>
      <c r="BN102" s="215"/>
      <c r="BO102" s="263"/>
      <c r="BP102" s="215"/>
      <c r="BQ102" s="215"/>
      <c r="BR102" s="275"/>
      <c r="BS102" s="215"/>
      <c r="BT102" s="263"/>
      <c r="BU102" s="215"/>
      <c r="BV102" s="215"/>
      <c r="BW102" s="275"/>
      <c r="BX102" s="215"/>
      <c r="BY102" s="263"/>
      <c r="BZ102" s="215"/>
      <c r="CA102" s="215"/>
      <c r="CB102" s="275"/>
      <c r="CC102" s="215"/>
      <c r="CD102" s="263"/>
      <c r="CE102" s="276"/>
      <c r="CF102" s="276"/>
      <c r="CG102" s="276"/>
      <c r="CH102" s="276"/>
      <c r="CI102" s="263"/>
      <c r="CJ102" s="276"/>
      <c r="CK102" s="276"/>
      <c r="CL102" s="276">
        <f>CL97/4*AVERAGE(CL101,CL98)</f>
        <v>12</v>
      </c>
      <c r="CM102" s="276">
        <f>CM97/4*AVERAGE(CM101,CM98)</f>
        <v>12</v>
      </c>
      <c r="CN102" s="263">
        <f>SUM(CJ102:CM102)</f>
        <v>24</v>
      </c>
      <c r="CO102" s="276">
        <f>CO97/4*AVERAGE(CO101,CO98)</f>
        <v>12</v>
      </c>
      <c r="CP102" s="276">
        <f>CP97/4*AVERAGE(CP101,CP98)</f>
        <v>12</v>
      </c>
      <c r="CQ102" s="276">
        <f>CQ97/4*AVERAGE(CQ101,CQ98)</f>
        <v>12</v>
      </c>
      <c r="CR102" s="276">
        <f>CR97/4*AVERAGE(CR101,CR98)</f>
        <v>12</v>
      </c>
      <c r="CS102" s="263">
        <f>SUM(CO102:CR102)</f>
        <v>48</v>
      </c>
      <c r="CT102" s="276">
        <f>CT97/4*AVERAGE(CT101,CT98)</f>
        <v>12</v>
      </c>
      <c r="CU102" s="276">
        <f>CU97/4*AVERAGE(CU101,CU98)</f>
        <v>13.5</v>
      </c>
      <c r="CV102" s="276">
        <f>CV97/4*AVERAGE(CV101,CV98)</f>
        <v>15</v>
      </c>
      <c r="CW102" s="276">
        <f>CW97/4*AVERAGE(CW101,CW98)</f>
        <v>15</v>
      </c>
      <c r="CX102" s="263">
        <f>SUM(CT102:CW102)</f>
        <v>55.5</v>
      </c>
      <c r="CY102" s="276">
        <f>CY97/4*AVERAGE(CY101,CY98)</f>
        <v>15</v>
      </c>
      <c r="CZ102" s="276">
        <f>CZ97/4*AVERAGE(CZ101,CZ98)</f>
        <v>15</v>
      </c>
      <c r="DA102" s="276">
        <f>DA97/4*AVERAGE(DA101,DA98)</f>
        <v>15</v>
      </c>
      <c r="DB102" s="276">
        <f>DB97/4*AVERAGE(DB101,DB98)</f>
        <v>15</v>
      </c>
      <c r="DC102" s="263">
        <f>SUM(CY102:DB102)</f>
        <v>60</v>
      </c>
      <c r="DD102" s="276">
        <f>DD97/4*AVERAGE(DD101,DD98)</f>
        <v>15</v>
      </c>
      <c r="DE102" s="276">
        <f>DE97/4*AVERAGE(DE101,DE98)</f>
        <v>15</v>
      </c>
      <c r="DF102" s="276">
        <f>DF97/4*AVERAGE(DF101,DF98)</f>
        <v>15</v>
      </c>
      <c r="DG102" s="276">
        <f>DG97/4*AVERAGE(DG101,DG98)</f>
        <v>15</v>
      </c>
      <c r="DH102" s="263">
        <f>SUM(DD102:DG102)</f>
        <v>60</v>
      </c>
      <c r="DI102" s="1342">
        <f>DI97/4*AVERAGE(DI101,DI98)</f>
        <v>15</v>
      </c>
      <c r="DJ102" s="1342">
        <f>DJ97/4*AVERAGE(DJ101,DJ98)</f>
        <v>15</v>
      </c>
      <c r="DK102" s="1342">
        <f>DK97/4*AVERAGE(DK101,DK98)</f>
        <v>15</v>
      </c>
      <c r="DL102" s="1342">
        <f>DL97/4*AVERAGE(DL101,DL98)</f>
        <v>15</v>
      </c>
      <c r="DM102" s="1353">
        <f>SUM(DI102:DL102)</f>
        <v>60</v>
      </c>
      <c r="DN102" s="1342">
        <f>DN97/4*AVERAGE(DN101,DN98)</f>
        <v>15</v>
      </c>
      <c r="DO102" s="1342">
        <f>DO97/4*AVERAGE(DO101,DO98)</f>
        <v>15</v>
      </c>
      <c r="DP102" s="1342">
        <f>DP97/4*AVERAGE(DP101,DP98)</f>
        <v>15</v>
      </c>
      <c r="DQ102" s="1342">
        <f>DQ97/4*AVERAGE(DQ101,DQ98)</f>
        <v>15</v>
      </c>
      <c r="DR102" s="1353">
        <f>SUM(DN102:DQ102)</f>
        <v>60</v>
      </c>
      <c r="DS102" s="1342">
        <f>DS97/4*AVERAGE(DS101,DS98)</f>
        <v>14.0625</v>
      </c>
      <c r="DT102" s="1342">
        <f>DT97/4*AVERAGE(DT101,DT98)</f>
        <v>14.0625</v>
      </c>
      <c r="DU102" s="1342">
        <f>DU97/4*AVERAGE(DU101,DU98)</f>
        <v>14.0625</v>
      </c>
      <c r="DV102" s="1342">
        <f>DV97/4*AVERAGE(DV101,DV98)</f>
        <v>14.0625</v>
      </c>
      <c r="DW102" s="1353">
        <f>SUM(DS102:DV102)</f>
        <v>56.25</v>
      </c>
      <c r="DX102" s="1342">
        <f>DX97/4*AVERAGE(DX101,DX98)</f>
        <v>14.0625</v>
      </c>
      <c r="DY102" s="1342">
        <f>DY97/4*AVERAGE(DY101,DY98)</f>
        <v>14.0625</v>
      </c>
      <c r="DZ102" s="1342">
        <f>DZ97/4*AVERAGE(DZ101,DZ98)</f>
        <v>14.0625</v>
      </c>
      <c r="EA102" s="1342">
        <f>EA97/4*AVERAGE(EA101,EA98)</f>
        <v>14.0625</v>
      </c>
      <c r="EB102" s="1353">
        <f>SUM(DX102:EA102)</f>
        <v>56.25</v>
      </c>
      <c r="EC102" s="1342">
        <f>EC97/4*AVERAGE(EC101,EC98)</f>
        <v>14.0625</v>
      </c>
      <c r="ED102" s="1342">
        <f>ED97/4*AVERAGE(ED101,ED98)</f>
        <v>14.0625</v>
      </c>
      <c r="EE102" s="1342">
        <f>EE97/4*AVERAGE(EE101,EE98)</f>
        <v>14.0625</v>
      </c>
      <c r="EF102" s="1342">
        <f>EF97/4*AVERAGE(EF101,EF98)</f>
        <v>14.0625</v>
      </c>
      <c r="EG102" s="1353">
        <f>SUM(EC102:EF102)</f>
        <v>56.25</v>
      </c>
      <c r="EH102" s="1342">
        <f>EH97/4*AVERAGE(EH101,EH98)</f>
        <v>14.0625</v>
      </c>
      <c r="EI102" s="1342">
        <f>EI97/4*AVERAGE(EI101,EI98)</f>
        <v>14.0625</v>
      </c>
      <c r="EJ102" s="1342">
        <f>EJ97/4*AVERAGE(EJ101,EJ98)</f>
        <v>14.0625</v>
      </c>
      <c r="EK102" s="1342">
        <f>EK97/4*AVERAGE(EK101,EK98)</f>
        <v>14.0625</v>
      </c>
      <c r="EL102" s="1353">
        <f>SUM(EH102:EK102)</f>
        <v>56.25</v>
      </c>
    </row>
    <row r="103" spans="1:142" hidden="1" outlineLevel="1">
      <c r="A103" s="225"/>
      <c r="B103" s="225"/>
      <c r="C103" s="9"/>
      <c r="D103" s="9"/>
      <c r="E103" s="9"/>
      <c r="F103" s="9"/>
      <c r="G103" s="9"/>
      <c r="H103" s="63"/>
      <c r="I103" s="9"/>
      <c r="J103" s="9"/>
      <c r="K103" s="9"/>
      <c r="L103" s="9"/>
      <c r="M103" s="63"/>
      <c r="N103" s="9"/>
      <c r="O103" s="9"/>
      <c r="P103" s="9"/>
      <c r="Q103" s="9"/>
      <c r="R103" s="63"/>
      <c r="S103" s="9"/>
      <c r="T103" s="9"/>
      <c r="U103" s="9"/>
      <c r="V103" s="9"/>
      <c r="W103" s="63"/>
      <c r="X103" s="9"/>
      <c r="Y103" s="9"/>
      <c r="Z103" s="9"/>
      <c r="AA103" s="9"/>
      <c r="AB103" s="63"/>
      <c r="AC103" s="9"/>
      <c r="AD103" s="9"/>
      <c r="AE103" s="9"/>
      <c r="AF103" s="9"/>
      <c r="AG103" s="63"/>
      <c r="AH103" s="9"/>
      <c r="AI103" s="9"/>
      <c r="AJ103" s="9"/>
      <c r="AK103" s="9"/>
      <c r="AL103" s="63"/>
      <c r="AM103" s="53"/>
      <c r="AN103" s="53"/>
      <c r="AO103" s="53"/>
      <c r="AP103" s="53"/>
      <c r="AQ103" s="28"/>
      <c r="AR103" s="53"/>
      <c r="AS103" s="53"/>
      <c r="AT103" s="53"/>
      <c r="AU103" s="186"/>
      <c r="AV103" s="240"/>
      <c r="AW103" s="240"/>
      <c r="AX103" s="240"/>
      <c r="AY103" s="240"/>
      <c r="AZ103" s="241"/>
      <c r="BA103" s="240"/>
      <c r="BB103" s="240"/>
      <c r="BC103" s="240"/>
      <c r="BD103" s="240"/>
      <c r="BE103" s="241"/>
      <c r="BF103" s="240"/>
      <c r="BG103" s="240"/>
      <c r="BH103" s="240"/>
      <c r="BI103" s="240"/>
      <c r="BJ103" s="241"/>
      <c r="BK103" s="171"/>
      <c r="BL103" s="171"/>
      <c r="BM103" s="87"/>
      <c r="BN103" s="171"/>
      <c r="BO103" s="170"/>
      <c r="BP103" s="171"/>
      <c r="BQ103" s="171"/>
      <c r="BR103" s="87"/>
      <c r="BS103" s="171"/>
      <c r="BT103" s="170"/>
      <c r="BU103" s="171"/>
      <c r="BV103" s="171"/>
      <c r="BW103" s="87"/>
      <c r="BX103" s="171"/>
      <c r="BY103" s="170"/>
      <c r="BZ103" s="171"/>
      <c r="CA103" s="171"/>
      <c r="CB103" s="87"/>
      <c r="CC103" s="171"/>
      <c r="CD103" s="170"/>
      <c r="CE103" s="173"/>
      <c r="CF103" s="173"/>
      <c r="CG103" s="173"/>
      <c r="CH103" s="173"/>
      <c r="CI103" s="170"/>
      <c r="CJ103" s="173"/>
      <c r="CK103" s="173"/>
      <c r="CL103" s="173"/>
      <c r="CM103" s="173"/>
      <c r="CN103" s="170"/>
      <c r="CO103" s="173"/>
      <c r="CP103" s="173"/>
      <c r="CQ103" s="173"/>
      <c r="CR103" s="173"/>
      <c r="CS103" s="170"/>
      <c r="CT103" s="173"/>
      <c r="CU103" s="173"/>
      <c r="CV103" s="173"/>
      <c r="CW103" s="173"/>
      <c r="CX103" s="170"/>
      <c r="CY103" s="173"/>
      <c r="CZ103" s="173"/>
      <c r="DA103" s="173"/>
      <c r="DB103" s="173"/>
      <c r="DC103" s="170"/>
      <c r="DD103" s="173"/>
      <c r="DE103" s="173"/>
      <c r="DF103" s="173"/>
      <c r="DG103" s="173"/>
      <c r="DH103" s="170"/>
      <c r="DI103" s="545"/>
      <c r="DJ103" s="545"/>
      <c r="DK103" s="545"/>
      <c r="DL103" s="545"/>
      <c r="DM103" s="538"/>
      <c r="DN103" s="545"/>
      <c r="DO103" s="545"/>
      <c r="DP103" s="545"/>
      <c r="DQ103" s="545"/>
      <c r="DR103" s="538"/>
      <c r="DS103" s="545"/>
      <c r="DT103" s="545"/>
      <c r="DU103" s="545"/>
      <c r="DV103" s="545"/>
      <c r="DW103" s="538"/>
      <c r="DX103" s="545"/>
      <c r="DY103" s="545"/>
      <c r="DZ103" s="545"/>
      <c r="EA103" s="545"/>
      <c r="EB103" s="538"/>
      <c r="EC103" s="545"/>
      <c r="ED103" s="545"/>
      <c r="EE103" s="545"/>
      <c r="EF103" s="545"/>
      <c r="EG103" s="538"/>
      <c r="EH103" s="545"/>
      <c r="EI103" s="545"/>
      <c r="EJ103" s="545"/>
      <c r="EK103" s="545"/>
      <c r="EL103" s="538"/>
    </row>
    <row r="104" spans="1:142" hidden="1" outlineLevel="1">
      <c r="A104" s="225"/>
      <c r="B104" s="1326" t="s">
        <v>672</v>
      </c>
      <c r="C104" s="9"/>
      <c r="D104" s="9"/>
      <c r="E104" s="9"/>
      <c r="F104" s="9"/>
      <c r="G104" s="9"/>
      <c r="H104" s="63"/>
      <c r="I104" s="9"/>
      <c r="J104" s="9"/>
      <c r="K104" s="9"/>
      <c r="L104" s="9"/>
      <c r="M104" s="63"/>
      <c r="N104" s="9"/>
      <c r="O104" s="9"/>
      <c r="P104" s="9"/>
      <c r="Q104" s="9"/>
      <c r="R104" s="63"/>
      <c r="S104" s="9"/>
      <c r="T104" s="9"/>
      <c r="U104" s="9"/>
      <c r="V104" s="9"/>
      <c r="W104" s="63"/>
      <c r="X104" s="9"/>
      <c r="Y104" s="9"/>
      <c r="Z104" s="9"/>
      <c r="AA104" s="9"/>
      <c r="AB104" s="63"/>
      <c r="AC104" s="9"/>
      <c r="AD104" s="9"/>
      <c r="AE104" s="9"/>
      <c r="AF104" s="9"/>
      <c r="AG104" s="63"/>
      <c r="AH104" s="9"/>
      <c r="AI104" s="9"/>
      <c r="AJ104" s="9"/>
      <c r="AK104" s="9"/>
      <c r="AL104" s="63"/>
      <c r="AM104" s="53"/>
      <c r="AN104" s="53"/>
      <c r="AO104" s="53"/>
      <c r="AP104" s="53"/>
      <c r="AQ104" s="28"/>
      <c r="AR104" s="53"/>
      <c r="AS104" s="53"/>
      <c r="AT104" s="53"/>
      <c r="AU104" s="186"/>
      <c r="AV104" s="240"/>
      <c r="AW104" s="240"/>
      <c r="AX104" s="240"/>
      <c r="AY104" s="240"/>
      <c r="AZ104" s="241"/>
      <c r="BA104" s="240"/>
      <c r="BB104" s="240"/>
      <c r="BC104" s="240"/>
      <c r="BD104" s="240"/>
      <c r="BE104" s="241"/>
      <c r="BF104" s="240"/>
      <c r="BG104" s="240"/>
      <c r="BH104" s="240"/>
      <c r="BI104" s="240"/>
      <c r="BJ104" s="241"/>
      <c r="BK104" s="171"/>
      <c r="BL104" s="171"/>
      <c r="BM104" s="87"/>
      <c r="BN104" s="171"/>
      <c r="BO104" s="170"/>
      <c r="BP104" s="171"/>
      <c r="BQ104" s="171"/>
      <c r="BR104" s="87"/>
      <c r="BS104" s="171"/>
      <c r="BT104" s="170"/>
      <c r="BU104" s="171"/>
      <c r="BV104" s="171"/>
      <c r="BW104" s="87"/>
      <c r="BX104" s="171"/>
      <c r="BY104" s="170"/>
      <c r="BZ104" s="171"/>
      <c r="CA104" s="171"/>
      <c r="CB104" s="87"/>
      <c r="CC104" s="171"/>
      <c r="CD104" s="170"/>
      <c r="CE104" s="173"/>
      <c r="CF104" s="173"/>
      <c r="CG104" s="173"/>
      <c r="CH104" s="173"/>
      <c r="CI104" s="170"/>
      <c r="CJ104" s="173"/>
      <c r="CK104" s="173"/>
      <c r="CL104" s="173"/>
      <c r="CM104" s="173"/>
      <c r="CN104" s="170"/>
      <c r="CO104" s="173"/>
      <c r="CP104" s="173"/>
      <c r="CQ104" s="173"/>
      <c r="CR104" s="173"/>
      <c r="CS104" s="170"/>
      <c r="CT104" s="173"/>
      <c r="CU104" s="173"/>
      <c r="CV104" s="173"/>
      <c r="CW104" s="173"/>
      <c r="CX104" s="170"/>
      <c r="CY104" s="173"/>
      <c r="CZ104" s="173"/>
      <c r="DA104" s="173"/>
      <c r="DB104" s="173"/>
      <c r="DC104" s="170"/>
      <c r="DD104" s="173"/>
      <c r="DE104" s="173"/>
      <c r="DF104" s="173"/>
      <c r="DG104" s="173"/>
      <c r="DH104" s="170"/>
      <c r="DI104" s="545"/>
      <c r="DJ104" s="545"/>
      <c r="DK104" s="545"/>
      <c r="DL104" s="545"/>
      <c r="DM104" s="538"/>
      <c r="DN104" s="545"/>
      <c r="DO104" s="545"/>
      <c r="DP104" s="545"/>
      <c r="DQ104" s="545"/>
      <c r="DR104" s="538"/>
      <c r="DS104" s="545"/>
      <c r="DT104" s="739">
        <f>DT94+DT100</f>
        <v>1441</v>
      </c>
      <c r="DU104" s="739">
        <f>DU94+DU100</f>
        <v>1450</v>
      </c>
      <c r="DV104" s="739">
        <f>DV94+DV100</f>
        <v>698</v>
      </c>
      <c r="DW104" s="739"/>
      <c r="DX104" s="739">
        <f>DX94+DX100</f>
        <v>829.37035815589047</v>
      </c>
      <c r="DY104" s="739">
        <f>DY94+DY100</f>
        <v>605.37663535468891</v>
      </c>
      <c r="DZ104" s="739">
        <f>DZ94+DZ100</f>
        <v>853.21887238129329</v>
      </c>
      <c r="EA104" s="739">
        <f>EA94+EA100</f>
        <v>567.71087398451732</v>
      </c>
      <c r="EB104" s="739"/>
      <c r="EC104" s="739">
        <f>EC94+EC100</f>
        <v>376.97417916896063</v>
      </c>
      <c r="ED104" s="739">
        <f>ED94+ED100</f>
        <v>520.54772891988341</v>
      </c>
      <c r="EE104" s="739">
        <f>EE94+EE100</f>
        <v>689.98221824519351</v>
      </c>
      <c r="EF104" s="739">
        <f>EF94+EF100</f>
        <v>714.63062624325505</v>
      </c>
      <c r="EG104" s="53"/>
      <c r="EH104" s="739">
        <f>EH94+EH100</f>
        <v>657.96794350851678</v>
      </c>
      <c r="EI104" s="739">
        <f>EI94+EI100</f>
        <v>602.90493870577018</v>
      </c>
      <c r="EJ104" s="739">
        <f>EJ94+EJ100</f>
        <v>652.42194509847184</v>
      </c>
      <c r="EK104" s="739">
        <f>EK94+EK100</f>
        <v>471.25813137678415</v>
      </c>
      <c r="EL104" s="53"/>
    </row>
    <row r="105" spans="1:142" collapsed="1">
      <c r="A105" s="277"/>
      <c r="B105" s="277"/>
      <c r="C105" s="9"/>
      <c r="D105" s="9"/>
      <c r="E105" s="9"/>
      <c r="F105" s="9"/>
      <c r="G105" s="9"/>
      <c r="H105" s="63"/>
      <c r="I105" s="9"/>
      <c r="J105" s="9"/>
      <c r="K105" s="9"/>
      <c r="L105" s="9"/>
      <c r="M105" s="63"/>
      <c r="N105" s="9"/>
      <c r="O105" s="9"/>
      <c r="P105" s="9"/>
      <c r="Q105" s="9"/>
      <c r="R105" s="63"/>
      <c r="S105" s="9"/>
      <c r="T105" s="9"/>
      <c r="U105" s="9"/>
      <c r="V105" s="9"/>
      <c r="W105" s="63"/>
      <c r="X105" s="9"/>
      <c r="Y105" s="9"/>
      <c r="Z105" s="9"/>
      <c r="AA105" s="9"/>
      <c r="AB105" s="63"/>
      <c r="AC105" s="9"/>
      <c r="AD105" s="9"/>
      <c r="AE105" s="9"/>
      <c r="AF105" s="9"/>
      <c r="AG105" s="63"/>
      <c r="AH105" s="9"/>
      <c r="AI105" s="9"/>
      <c r="AJ105" s="9"/>
      <c r="AK105" s="9"/>
      <c r="AL105" s="63"/>
      <c r="AM105" s="53"/>
      <c r="AN105" s="53"/>
      <c r="AO105" s="53"/>
      <c r="AP105" s="53"/>
      <c r="AQ105" s="28"/>
      <c r="AR105" s="53"/>
      <c r="AS105" s="53"/>
      <c r="AT105" s="53"/>
      <c r="AU105" s="186"/>
      <c r="AV105" s="240"/>
      <c r="AW105" s="240"/>
      <c r="AX105" s="240"/>
      <c r="AY105" s="240"/>
      <c r="AZ105" s="241"/>
      <c r="BA105" s="240"/>
      <c r="BB105" s="240"/>
      <c r="BC105" s="240"/>
      <c r="BD105" s="240"/>
      <c r="BE105" s="241"/>
      <c r="BF105" s="240"/>
      <c r="BG105" s="240"/>
      <c r="BH105" s="240"/>
      <c r="BI105" s="240"/>
      <c r="BJ105" s="241"/>
      <c r="BK105" s="171"/>
      <c r="BL105" s="171"/>
      <c r="BM105" s="171"/>
      <c r="BN105" s="171"/>
      <c r="BO105" s="193"/>
      <c r="BP105" s="171"/>
      <c r="BQ105" s="171"/>
      <c r="BR105" s="171"/>
      <c r="BS105" s="171"/>
      <c r="BT105" s="193"/>
      <c r="BU105" s="171"/>
      <c r="BV105" s="171"/>
      <c r="BW105" s="171"/>
      <c r="BX105" s="171"/>
      <c r="BY105" s="193"/>
      <c r="BZ105" s="171"/>
      <c r="CA105" s="171"/>
      <c r="CB105" s="171"/>
      <c r="CC105" s="171"/>
      <c r="CD105" s="193"/>
      <c r="CE105" s="171"/>
      <c r="CF105" s="171"/>
      <c r="CG105" s="171"/>
      <c r="CH105" s="171"/>
      <c r="CI105" s="193"/>
      <c r="CJ105" s="171"/>
      <c r="CK105" s="171"/>
      <c r="CL105" s="171"/>
      <c r="CM105" s="171"/>
      <c r="CN105" s="193"/>
      <c r="CO105" s="171"/>
      <c r="CP105" s="171"/>
      <c r="CQ105" s="171"/>
      <c r="CR105" s="171"/>
      <c r="CS105" s="193"/>
      <c r="CT105" s="210"/>
      <c r="CU105" s="53"/>
      <c r="CV105" s="53"/>
      <c r="CW105" s="53"/>
      <c r="CX105" s="28"/>
      <c r="CY105" s="53"/>
      <c r="CZ105" s="53"/>
      <c r="DA105" s="53"/>
      <c r="DB105" s="53"/>
      <c r="DC105" s="28"/>
      <c r="DD105" s="53"/>
      <c r="DE105" s="53"/>
      <c r="DF105" s="53"/>
      <c r="DG105" s="53"/>
      <c r="DH105" s="28"/>
      <c r="DI105" s="53"/>
      <c r="DJ105" s="53"/>
      <c r="DK105" s="53"/>
      <c r="DL105" s="53"/>
      <c r="DM105" s="53"/>
      <c r="DN105" s="53"/>
      <c r="DO105" s="53"/>
      <c r="DP105" s="53"/>
      <c r="DQ105" s="53"/>
      <c r="DR105" s="53"/>
      <c r="DS105" s="53"/>
      <c r="DT105" s="53"/>
      <c r="DU105" s="53"/>
      <c r="DV105" s="53"/>
      <c r="DW105" s="53"/>
      <c r="DX105" s="53"/>
      <c r="DY105" s="53"/>
      <c r="DZ105" s="53"/>
      <c r="EA105" s="53"/>
      <c r="EB105" s="53"/>
      <c r="EC105" s="53"/>
      <c r="ED105" s="53"/>
      <c r="EE105" s="53"/>
      <c r="EF105" s="53"/>
      <c r="EG105" s="53"/>
      <c r="EH105" s="53"/>
      <c r="EI105" s="53"/>
      <c r="EJ105" s="53"/>
      <c r="EK105" s="53"/>
      <c r="EL105" s="53"/>
    </row>
    <row r="106" spans="1:142" ht="22.5">
      <c r="A106" s="1327"/>
      <c r="B106" s="242" t="s">
        <v>660</v>
      </c>
      <c r="C106" s="9"/>
      <c r="D106" s="9"/>
      <c r="E106" s="9"/>
      <c r="F106" s="9"/>
      <c r="G106" s="9"/>
      <c r="H106" s="63"/>
      <c r="I106" s="9"/>
      <c r="J106" s="9"/>
      <c r="K106" s="9"/>
      <c r="L106" s="9"/>
      <c r="M106" s="63"/>
      <c r="N106" s="9"/>
      <c r="O106" s="9"/>
      <c r="P106" s="9"/>
      <c r="Q106" s="9"/>
      <c r="R106" s="63"/>
      <c r="S106" s="9"/>
      <c r="T106" s="9"/>
      <c r="U106" s="9"/>
      <c r="V106" s="9"/>
      <c r="W106" s="63"/>
      <c r="X106" s="9"/>
      <c r="Y106" s="9"/>
      <c r="Z106" s="9"/>
      <c r="AA106" s="9"/>
      <c r="AB106" s="63"/>
      <c r="AC106" s="9"/>
      <c r="AD106" s="9"/>
      <c r="AE106" s="9"/>
      <c r="AF106" s="9"/>
      <c r="AG106" s="63"/>
      <c r="AH106" s="9"/>
      <c r="AI106" s="9"/>
      <c r="AJ106" s="9"/>
      <c r="AK106" s="9"/>
      <c r="AL106" s="63"/>
      <c r="AM106" s="53"/>
      <c r="AN106" s="53"/>
      <c r="AO106" s="53"/>
      <c r="AP106" s="53"/>
      <c r="AQ106" s="28"/>
      <c r="AR106" s="53"/>
      <c r="AS106" s="53"/>
      <c r="AT106" s="53"/>
      <c r="AU106" s="186"/>
      <c r="AV106" s="240"/>
      <c r="AW106" s="240"/>
      <c r="AX106" s="240"/>
      <c r="AY106" s="240"/>
      <c r="AZ106" s="241"/>
      <c r="BA106" s="240"/>
      <c r="BB106" s="240"/>
      <c r="BC106" s="240"/>
      <c r="BD106" s="240"/>
      <c r="BE106" s="241"/>
      <c r="BF106" s="240"/>
      <c r="BG106" s="240"/>
      <c r="BH106" s="240"/>
      <c r="BI106" s="240"/>
      <c r="BJ106" s="241"/>
      <c r="BK106" s="228"/>
      <c r="BL106" s="228"/>
      <c r="BM106" s="228"/>
      <c r="BN106" s="228"/>
      <c r="BO106" s="229"/>
      <c r="BP106" s="228"/>
      <c r="BQ106" s="228"/>
      <c r="BR106" s="228"/>
      <c r="BS106" s="228"/>
      <c r="BT106" s="229"/>
      <c r="BU106" s="228"/>
      <c r="BV106" s="228"/>
      <c r="BW106" s="228"/>
      <c r="BX106" s="228"/>
      <c r="BY106" s="229"/>
      <c r="BZ106" s="228"/>
      <c r="CA106" s="228"/>
      <c r="CB106" s="228"/>
      <c r="CC106" s="228"/>
      <c r="CD106" s="229"/>
      <c r="CE106" s="228"/>
      <c r="CF106" s="228"/>
      <c r="CG106" s="228"/>
      <c r="CH106" s="228"/>
      <c r="CI106" s="229"/>
      <c r="CJ106" s="228"/>
      <c r="CK106" s="228"/>
      <c r="CL106" s="228"/>
      <c r="CM106" s="228"/>
      <c r="CN106" s="229"/>
      <c r="CO106" s="228"/>
      <c r="CP106" s="228"/>
      <c r="CQ106" s="228"/>
      <c r="CR106" s="228"/>
      <c r="CS106" s="229"/>
      <c r="CT106" s="228"/>
      <c r="CU106" s="228"/>
      <c r="CV106" s="228"/>
      <c r="CW106" s="228"/>
      <c r="CX106" s="229"/>
      <c r="CY106" s="228"/>
      <c r="CZ106" s="228"/>
      <c r="DA106" s="228"/>
      <c r="DB106" s="228"/>
      <c r="DC106" s="229"/>
      <c r="DD106" s="228"/>
      <c r="DE106" s="228"/>
      <c r="DF106" s="228"/>
      <c r="DG106" s="228"/>
      <c r="DH106" s="229"/>
      <c r="DI106" s="228"/>
      <c r="DJ106" s="228"/>
      <c r="DK106" s="231"/>
      <c r="DL106" s="228"/>
      <c r="DM106" s="229"/>
      <c r="DN106" s="228"/>
      <c r="DO106" s="228"/>
      <c r="DP106" s="228"/>
      <c r="DQ106" s="228"/>
      <c r="DR106" s="229"/>
      <c r="DS106" s="228"/>
      <c r="DT106" s="228"/>
      <c r="DU106" s="228"/>
      <c r="DV106" s="228"/>
      <c r="DW106" s="229"/>
      <c r="DX106" s="228"/>
      <c r="DY106" s="228"/>
      <c r="DZ106" s="228"/>
      <c r="EA106" s="228"/>
      <c r="EB106" s="229"/>
      <c r="EC106" s="228"/>
      <c r="ED106" s="228"/>
      <c r="EE106" s="228"/>
      <c r="EF106" s="228"/>
      <c r="EG106" s="229"/>
      <c r="EH106" s="228"/>
      <c r="EI106" s="228"/>
      <c r="EJ106" s="228"/>
      <c r="EK106" s="228"/>
      <c r="EL106" s="229"/>
    </row>
    <row r="107" spans="1:142">
      <c r="A107" s="1328"/>
      <c r="B107" s="247" t="s">
        <v>297</v>
      </c>
      <c r="C107" s="9"/>
      <c r="D107" s="9"/>
      <c r="E107" s="9"/>
      <c r="F107" s="9"/>
      <c r="G107" s="9"/>
      <c r="H107" s="63"/>
      <c r="I107" s="9"/>
      <c r="J107" s="9"/>
      <c r="K107" s="9"/>
      <c r="L107" s="9"/>
      <c r="M107" s="63"/>
      <c r="N107" s="9"/>
      <c r="O107" s="9"/>
      <c r="P107" s="9"/>
      <c r="Q107" s="9"/>
      <c r="R107" s="63"/>
      <c r="S107" s="9"/>
      <c r="T107" s="9"/>
      <c r="U107" s="9"/>
      <c r="V107" s="9"/>
      <c r="W107" s="63"/>
      <c r="X107" s="9"/>
      <c r="Y107" s="9"/>
      <c r="Z107" s="9"/>
      <c r="AA107" s="9"/>
      <c r="AB107" s="63"/>
      <c r="AC107" s="9"/>
      <c r="AD107" s="9"/>
      <c r="AE107" s="9"/>
      <c r="AF107" s="9"/>
      <c r="AG107" s="63"/>
      <c r="AH107" s="9"/>
      <c r="AI107" s="9"/>
      <c r="AJ107" s="9"/>
      <c r="AK107" s="9"/>
      <c r="AL107" s="63"/>
      <c r="AM107" s="53"/>
      <c r="AN107" s="53"/>
      <c r="AO107" s="53"/>
      <c r="AP107" s="53"/>
      <c r="AQ107" s="28"/>
      <c r="AR107" s="53"/>
      <c r="AS107" s="53"/>
      <c r="AT107" s="53"/>
      <c r="AU107" s="186"/>
      <c r="AV107" s="240"/>
      <c r="AW107" s="240"/>
      <c r="AX107" s="240"/>
      <c r="AY107" s="240"/>
      <c r="AZ107" s="241"/>
      <c r="BA107" s="240"/>
      <c r="BB107" s="240"/>
      <c r="BC107" s="240"/>
      <c r="BD107" s="240"/>
      <c r="BE107" s="241"/>
      <c r="BF107" s="240"/>
      <c r="BG107" s="240"/>
      <c r="BH107" s="240"/>
      <c r="BI107" s="240"/>
      <c r="BJ107" s="241"/>
      <c r="BK107" s="9"/>
      <c r="BL107" s="9"/>
      <c r="BM107" s="9"/>
      <c r="BN107" s="9"/>
      <c r="BO107" s="63"/>
      <c r="BP107" s="9"/>
      <c r="BQ107" s="9"/>
      <c r="BR107" s="9"/>
      <c r="BS107" s="9"/>
      <c r="BT107" s="63"/>
      <c r="BU107" s="9"/>
      <c r="BV107" s="9"/>
      <c r="BW107" s="9"/>
      <c r="BX107" s="9"/>
      <c r="BY107" s="63"/>
      <c r="BZ107" s="9"/>
      <c r="CA107" s="9"/>
      <c r="CB107" s="9"/>
      <c r="CC107" s="9"/>
      <c r="CD107" s="63"/>
      <c r="CE107" s="248"/>
      <c r="CF107" s="248"/>
      <c r="CG107" s="248"/>
      <c r="CH107" s="248"/>
      <c r="CI107" s="193"/>
      <c r="CJ107" s="248"/>
      <c r="CK107" s="248"/>
      <c r="CL107" s="248"/>
      <c r="CM107" s="248"/>
      <c r="CN107" s="193"/>
      <c r="CO107" s="248"/>
      <c r="CP107" s="248"/>
      <c r="CQ107" s="248"/>
      <c r="CR107" s="248"/>
      <c r="CS107" s="193"/>
      <c r="CT107" s="248"/>
      <c r="CU107" s="248"/>
      <c r="CV107" s="248"/>
      <c r="CW107" s="248"/>
      <c r="CX107" s="193"/>
      <c r="CY107" s="249"/>
      <c r="CZ107" s="249"/>
      <c r="DA107" s="249"/>
      <c r="DB107" s="249"/>
      <c r="DC107" s="193"/>
      <c r="DD107" s="249"/>
      <c r="DE107" s="249"/>
      <c r="DF107" s="249"/>
      <c r="DG107" s="249"/>
      <c r="DH107" s="193"/>
      <c r="DI107" s="249"/>
      <c r="DJ107" s="249"/>
      <c r="DK107" s="331"/>
      <c r="DL107" s="249"/>
      <c r="DM107" s="193"/>
      <c r="DN107" s="249"/>
      <c r="DO107" s="249"/>
      <c r="DP107" s="249"/>
      <c r="DQ107" s="249"/>
      <c r="DR107" s="193"/>
      <c r="DS107" s="249"/>
      <c r="DT107" s="603">
        <v>4.6249999999999999E-2</v>
      </c>
      <c r="DU107" s="249">
        <f>DT107</f>
        <v>4.6249999999999999E-2</v>
      </c>
      <c r="DV107" s="249">
        <f>DU107</f>
        <v>4.6249999999999999E-2</v>
      </c>
      <c r="DW107" s="193"/>
      <c r="DX107" s="249">
        <f>DV107</f>
        <v>4.6249999999999999E-2</v>
      </c>
      <c r="DY107" s="249">
        <f>DX107</f>
        <v>4.6249999999999999E-2</v>
      </c>
      <c r="DZ107" s="249">
        <f>DY107</f>
        <v>4.6249999999999999E-2</v>
      </c>
      <c r="EA107" s="249">
        <f>DZ107</f>
        <v>4.6249999999999999E-2</v>
      </c>
      <c r="EB107" s="193"/>
      <c r="EC107" s="249">
        <f>EA107</f>
        <v>4.6249999999999999E-2</v>
      </c>
      <c r="ED107" s="249">
        <f>EC107</f>
        <v>4.6249999999999999E-2</v>
      </c>
      <c r="EE107" s="249">
        <f>ED107</f>
        <v>4.6249999999999999E-2</v>
      </c>
      <c r="EF107" s="249">
        <f>EE107</f>
        <v>4.6249999999999999E-2</v>
      </c>
      <c r="EG107" s="193"/>
      <c r="EH107" s="249">
        <f>EF107</f>
        <v>4.6249999999999999E-2</v>
      </c>
      <c r="EI107" s="249">
        <f>EH107</f>
        <v>4.6249999999999999E-2</v>
      </c>
      <c r="EJ107" s="249">
        <f>EI107</f>
        <v>4.6249999999999999E-2</v>
      </c>
      <c r="EK107" s="249">
        <f>EJ107</f>
        <v>4.6249999999999999E-2</v>
      </c>
      <c r="EL107" s="193"/>
    </row>
    <row r="108" spans="1:142">
      <c r="A108" s="225"/>
      <c r="B108" s="209" t="s">
        <v>298</v>
      </c>
      <c r="C108" s="9"/>
      <c r="D108" s="9"/>
      <c r="E108" s="9"/>
      <c r="F108" s="9"/>
      <c r="G108" s="9"/>
      <c r="H108" s="63"/>
      <c r="I108" s="9"/>
      <c r="J108" s="9"/>
      <c r="K108" s="9"/>
      <c r="L108" s="9"/>
      <c r="M108" s="63"/>
      <c r="N108" s="9"/>
      <c r="O108" s="9"/>
      <c r="P108" s="9"/>
      <c r="Q108" s="9"/>
      <c r="R108" s="63"/>
      <c r="S108" s="9"/>
      <c r="T108" s="9"/>
      <c r="U108" s="9"/>
      <c r="V108" s="9"/>
      <c r="W108" s="63"/>
      <c r="X108" s="9"/>
      <c r="Y108" s="9"/>
      <c r="Z108" s="9"/>
      <c r="AA108" s="9"/>
      <c r="AB108" s="63"/>
      <c r="AC108" s="9"/>
      <c r="AD108" s="9"/>
      <c r="AE108" s="9"/>
      <c r="AF108" s="9"/>
      <c r="AG108" s="63"/>
      <c r="AH108" s="9"/>
      <c r="AI108" s="9"/>
      <c r="AJ108" s="9"/>
      <c r="AK108" s="9"/>
      <c r="AL108" s="63"/>
      <c r="AM108" s="53"/>
      <c r="AN108" s="53"/>
      <c r="AO108" s="53"/>
      <c r="AP108" s="53"/>
      <c r="AQ108" s="28"/>
      <c r="AR108" s="53"/>
      <c r="AS108" s="53"/>
      <c r="AT108" s="53"/>
      <c r="AU108" s="186"/>
      <c r="AV108" s="240"/>
      <c r="AW108" s="240"/>
      <c r="AX108" s="240"/>
      <c r="AY108" s="240"/>
      <c r="AZ108" s="241"/>
      <c r="BA108" s="240"/>
      <c r="BB108" s="240"/>
      <c r="BC108" s="240"/>
      <c r="BD108" s="240"/>
      <c r="BE108" s="241"/>
      <c r="BF108" s="240"/>
      <c r="BG108" s="240"/>
      <c r="BH108" s="240"/>
      <c r="BI108" s="240"/>
      <c r="BJ108" s="241"/>
      <c r="BK108" s="255"/>
      <c r="BL108" s="255"/>
      <c r="BM108" s="255"/>
      <c r="BN108" s="255"/>
      <c r="BO108" s="256"/>
      <c r="BP108" s="255"/>
      <c r="BQ108" s="255"/>
      <c r="BR108" s="255"/>
      <c r="BS108" s="255"/>
      <c r="BT108" s="256"/>
      <c r="BU108" s="255"/>
      <c r="BV108" s="255"/>
      <c r="BW108" s="255"/>
      <c r="BX108" s="255"/>
      <c r="BY108" s="256"/>
      <c r="BZ108" s="255"/>
      <c r="CA108" s="255"/>
      <c r="CB108" s="255"/>
      <c r="CC108" s="255"/>
      <c r="CD108" s="256"/>
      <c r="CE108" s="257"/>
      <c r="CF108" s="257"/>
      <c r="CG108" s="257"/>
      <c r="CH108" s="257"/>
      <c r="CI108" s="258"/>
      <c r="CJ108" s="257"/>
      <c r="CK108" s="257"/>
      <c r="CL108" s="257"/>
      <c r="CM108" s="257"/>
      <c r="CN108" s="258"/>
      <c r="CO108" s="257"/>
      <c r="CP108" s="257"/>
      <c r="CQ108" s="257"/>
      <c r="CR108" s="257"/>
      <c r="CS108" s="258"/>
      <c r="CT108" s="257"/>
      <c r="CU108" s="257"/>
      <c r="CV108" s="257"/>
      <c r="CW108" s="257"/>
      <c r="CX108" s="258"/>
      <c r="CY108" s="289"/>
      <c r="CZ108" s="289"/>
      <c r="DA108" s="289"/>
      <c r="DB108" s="289"/>
      <c r="DC108" s="258"/>
      <c r="DD108" s="289"/>
      <c r="DE108" s="289"/>
      <c r="DF108" s="289"/>
      <c r="DG108" s="289"/>
      <c r="DH108" s="258"/>
      <c r="DI108" s="289"/>
      <c r="DJ108" s="289"/>
      <c r="DK108" s="332"/>
      <c r="DL108" s="289"/>
      <c r="DM108" s="258"/>
      <c r="DN108" s="289"/>
      <c r="DO108" s="289"/>
      <c r="DP108" s="289"/>
      <c r="DQ108" s="289"/>
      <c r="DR108" s="258"/>
      <c r="DS108" s="289"/>
      <c r="DT108" s="539"/>
      <c r="DU108" s="539">
        <f>DT111</f>
        <v>830</v>
      </c>
      <c r="DV108" s="539">
        <f>DU111</f>
        <v>1870</v>
      </c>
      <c r="DW108" s="540">
        <f>DR111</f>
        <v>0</v>
      </c>
      <c r="DX108" s="539">
        <f>DW111</f>
        <v>1870</v>
      </c>
      <c r="DY108" s="539">
        <f>DX111</f>
        <v>1870</v>
      </c>
      <c r="DZ108" s="539">
        <f>DY111</f>
        <v>1870</v>
      </c>
      <c r="EA108" s="539">
        <f>DZ111</f>
        <v>1870</v>
      </c>
      <c r="EB108" s="540">
        <f>DW111</f>
        <v>1870</v>
      </c>
      <c r="EC108" s="539">
        <f>EB111</f>
        <v>1870</v>
      </c>
      <c r="ED108" s="539">
        <f>EC111</f>
        <v>1870</v>
      </c>
      <c r="EE108" s="539">
        <f>ED111</f>
        <v>1870</v>
      </c>
      <c r="EF108" s="539">
        <f>EE111</f>
        <v>1870</v>
      </c>
      <c r="EG108" s="540">
        <f>EB111</f>
        <v>1870</v>
      </c>
      <c r="EH108" s="539">
        <f>EG111</f>
        <v>1870</v>
      </c>
      <c r="EI108" s="539">
        <f>EH111</f>
        <v>1870</v>
      </c>
      <c r="EJ108" s="539">
        <f>EI111</f>
        <v>1870</v>
      </c>
      <c r="EK108" s="539">
        <f>EJ111</f>
        <v>1870</v>
      </c>
      <c r="EL108" s="540">
        <f>EG111</f>
        <v>1870</v>
      </c>
    </row>
    <row r="109" spans="1:142">
      <c r="A109" s="225"/>
      <c r="B109" s="209" t="s">
        <v>674</v>
      </c>
      <c r="C109" s="9"/>
      <c r="D109" s="9"/>
      <c r="E109" s="9"/>
      <c r="F109" s="9"/>
      <c r="G109" s="9"/>
      <c r="H109" s="63"/>
      <c r="I109" s="9"/>
      <c r="J109" s="9"/>
      <c r="K109" s="9"/>
      <c r="L109" s="9"/>
      <c r="M109" s="63"/>
      <c r="N109" s="9"/>
      <c r="O109" s="9"/>
      <c r="P109" s="9"/>
      <c r="Q109" s="9"/>
      <c r="R109" s="63"/>
      <c r="S109" s="9"/>
      <c r="T109" s="9"/>
      <c r="U109" s="9"/>
      <c r="V109" s="9"/>
      <c r="W109" s="63"/>
      <c r="X109" s="9"/>
      <c r="Y109" s="9"/>
      <c r="Z109" s="9"/>
      <c r="AA109" s="9"/>
      <c r="AB109" s="63"/>
      <c r="AC109" s="9"/>
      <c r="AD109" s="9"/>
      <c r="AE109" s="9"/>
      <c r="AF109" s="9"/>
      <c r="AG109" s="63"/>
      <c r="AH109" s="9"/>
      <c r="AI109" s="9"/>
      <c r="AJ109" s="9"/>
      <c r="AK109" s="9"/>
      <c r="AL109" s="63"/>
      <c r="AM109" s="53"/>
      <c r="AN109" s="53"/>
      <c r="AO109" s="53"/>
      <c r="AP109" s="53"/>
      <c r="AQ109" s="28"/>
      <c r="AR109" s="53"/>
      <c r="AS109" s="53"/>
      <c r="AT109" s="53"/>
      <c r="AU109" s="186"/>
      <c r="AV109" s="240"/>
      <c r="AW109" s="240"/>
      <c r="AX109" s="240"/>
      <c r="AY109" s="240"/>
      <c r="AZ109" s="241"/>
      <c r="BA109" s="240"/>
      <c r="BB109" s="240"/>
      <c r="BC109" s="240"/>
      <c r="BD109" s="240"/>
      <c r="BE109" s="241"/>
      <c r="BF109" s="240"/>
      <c r="BG109" s="240"/>
      <c r="BH109" s="240"/>
      <c r="BI109" s="240"/>
      <c r="BJ109" s="241"/>
      <c r="BK109" s="255"/>
      <c r="BL109" s="255"/>
      <c r="BM109" s="255"/>
      <c r="BN109" s="255"/>
      <c r="BO109" s="256"/>
      <c r="BP109" s="255"/>
      <c r="BQ109" s="255"/>
      <c r="BR109" s="255"/>
      <c r="BS109" s="255"/>
      <c r="BT109" s="256"/>
      <c r="BU109" s="255"/>
      <c r="BV109" s="255"/>
      <c r="BW109" s="255"/>
      <c r="BX109" s="255"/>
      <c r="BY109" s="256"/>
      <c r="BZ109" s="255"/>
      <c r="CA109" s="255"/>
      <c r="CB109" s="255"/>
      <c r="CC109" s="255"/>
      <c r="CD109" s="256"/>
      <c r="CE109" s="257"/>
      <c r="CF109" s="257"/>
      <c r="CG109" s="257"/>
      <c r="CH109" s="257"/>
      <c r="CI109" s="258"/>
      <c r="CJ109" s="257"/>
      <c r="CK109" s="257"/>
      <c r="CL109" s="257"/>
      <c r="CM109" s="257"/>
      <c r="CN109" s="258"/>
      <c r="CO109" s="257"/>
      <c r="CP109" s="257"/>
      <c r="CQ109" s="257"/>
      <c r="CR109" s="257"/>
      <c r="CS109" s="258"/>
      <c r="CT109" s="257"/>
      <c r="CU109" s="257"/>
      <c r="CV109" s="257"/>
      <c r="CW109" s="257"/>
      <c r="CX109" s="258"/>
      <c r="CY109" s="289"/>
      <c r="CZ109" s="289"/>
      <c r="DA109" s="289"/>
      <c r="DB109" s="289"/>
      <c r="DC109" s="258"/>
      <c r="DD109" s="289"/>
      <c r="DE109" s="289"/>
      <c r="DF109" s="289"/>
      <c r="DG109" s="289"/>
      <c r="DH109" s="258"/>
      <c r="DI109" s="289"/>
      <c r="DJ109" s="289"/>
      <c r="DK109" s="332"/>
      <c r="DL109" s="289"/>
      <c r="DM109" s="258"/>
      <c r="DN109" s="289"/>
      <c r="DO109" s="289"/>
      <c r="DP109" s="289"/>
      <c r="DQ109" s="289"/>
      <c r="DR109" s="258"/>
      <c r="DS109" s="289"/>
      <c r="DT109" s="1469">
        <v>830</v>
      </c>
      <c r="DU109" s="1378">
        <v>0</v>
      </c>
      <c r="DV109" s="1378">
        <v>0</v>
      </c>
      <c r="DW109" s="1380">
        <f>SUM(DS109:DV109)</f>
        <v>830</v>
      </c>
      <c r="DX109" s="1378">
        <v>0</v>
      </c>
      <c r="DY109" s="1378">
        <v>0</v>
      </c>
      <c r="DZ109" s="1378">
        <v>0</v>
      </c>
      <c r="EA109" s="1378">
        <v>0</v>
      </c>
      <c r="EB109" s="1380">
        <f>SUM(DX109:EA109)</f>
        <v>0</v>
      </c>
      <c r="EC109" s="1378">
        <v>0</v>
      </c>
      <c r="ED109" s="1378">
        <v>0</v>
      </c>
      <c r="EE109" s="1378">
        <v>0</v>
      </c>
      <c r="EF109" s="1378">
        <v>0</v>
      </c>
      <c r="EG109" s="1380">
        <f>SUM(EC109:EF109)</f>
        <v>0</v>
      </c>
      <c r="EH109" s="1378">
        <v>0</v>
      </c>
      <c r="EI109" s="1378">
        <v>0</v>
      </c>
      <c r="EJ109" s="1378">
        <v>0</v>
      </c>
      <c r="EK109" s="1378">
        <v>0</v>
      </c>
      <c r="EL109" s="1380">
        <f>SUM(EH109:EK109)</f>
        <v>0</v>
      </c>
    </row>
    <row r="110" spans="1:142">
      <c r="A110" s="225"/>
      <c r="B110" s="214" t="s">
        <v>675</v>
      </c>
      <c r="C110" s="9"/>
      <c r="D110" s="9"/>
      <c r="E110" s="9"/>
      <c r="F110" s="9"/>
      <c r="G110" s="9"/>
      <c r="H110" s="63"/>
      <c r="I110" s="9"/>
      <c r="J110" s="9"/>
      <c r="K110" s="9"/>
      <c r="L110" s="9"/>
      <c r="M110" s="63"/>
      <c r="N110" s="9"/>
      <c r="O110" s="9"/>
      <c r="P110" s="9"/>
      <c r="Q110" s="9"/>
      <c r="R110" s="63"/>
      <c r="S110" s="9"/>
      <c r="T110" s="9"/>
      <c r="U110" s="9"/>
      <c r="V110" s="9"/>
      <c r="W110" s="63"/>
      <c r="X110" s="9"/>
      <c r="Y110" s="9"/>
      <c r="Z110" s="9"/>
      <c r="AA110" s="9"/>
      <c r="AB110" s="63"/>
      <c r="AC110" s="9"/>
      <c r="AD110" s="9"/>
      <c r="AE110" s="9"/>
      <c r="AF110" s="9"/>
      <c r="AG110" s="63"/>
      <c r="AH110" s="9"/>
      <c r="AI110" s="9"/>
      <c r="AJ110" s="9"/>
      <c r="AK110" s="9"/>
      <c r="AL110" s="63"/>
      <c r="AM110" s="53"/>
      <c r="AN110" s="53"/>
      <c r="AO110" s="53"/>
      <c r="AP110" s="53"/>
      <c r="AQ110" s="28"/>
      <c r="AR110" s="53"/>
      <c r="AS110" s="53"/>
      <c r="AT110" s="53"/>
      <c r="AU110" s="186"/>
      <c r="AV110" s="240"/>
      <c r="AW110" s="240"/>
      <c r="AX110" s="240"/>
      <c r="AY110" s="240"/>
      <c r="AZ110" s="241"/>
      <c r="BA110" s="240"/>
      <c r="BB110" s="240"/>
      <c r="BC110" s="240"/>
      <c r="BD110" s="240"/>
      <c r="BE110" s="241"/>
      <c r="BF110" s="240"/>
      <c r="BG110" s="240"/>
      <c r="BH110" s="240"/>
      <c r="BI110" s="240"/>
      <c r="BJ110" s="241"/>
      <c r="BK110" s="48"/>
      <c r="BL110" s="48"/>
      <c r="BM110" s="262"/>
      <c r="BN110" s="48"/>
      <c r="BO110" s="263"/>
      <c r="BP110" s="48"/>
      <c r="BQ110" s="48"/>
      <c r="BR110" s="262"/>
      <c r="BS110" s="48"/>
      <c r="BT110" s="263"/>
      <c r="BU110" s="48"/>
      <c r="BV110" s="48"/>
      <c r="BW110" s="262"/>
      <c r="BX110" s="48"/>
      <c r="BY110" s="263"/>
      <c r="BZ110" s="48"/>
      <c r="CA110" s="48"/>
      <c r="CB110" s="262"/>
      <c r="CC110" s="48"/>
      <c r="CD110" s="263"/>
      <c r="CE110" s="174"/>
      <c r="CF110" s="174"/>
      <c r="CG110" s="174"/>
      <c r="CH110" s="174"/>
      <c r="CI110" s="263"/>
      <c r="CJ110" s="174"/>
      <c r="CK110" s="174"/>
      <c r="CL110" s="174"/>
      <c r="CM110" s="174"/>
      <c r="CN110" s="263"/>
      <c r="CO110" s="174"/>
      <c r="CP110" s="174"/>
      <c r="CQ110" s="174"/>
      <c r="CR110" s="174"/>
      <c r="CS110" s="263"/>
      <c r="CT110" s="174"/>
      <c r="CU110" s="174"/>
      <c r="CV110" s="174"/>
      <c r="CW110" s="174"/>
      <c r="CX110" s="263"/>
      <c r="CY110" s="174"/>
      <c r="CZ110" s="174"/>
      <c r="DA110" s="174"/>
      <c r="DB110" s="174"/>
      <c r="DC110" s="263"/>
      <c r="DD110" s="174"/>
      <c r="DE110" s="174"/>
      <c r="DF110" s="174"/>
      <c r="DG110" s="174"/>
      <c r="DH110" s="263"/>
      <c r="DI110" s="174"/>
      <c r="DJ110" s="174"/>
      <c r="DK110" s="314"/>
      <c r="DL110" s="174"/>
      <c r="DM110" s="263"/>
      <c r="DN110" s="174"/>
      <c r="DO110" s="174"/>
      <c r="DP110" s="174"/>
      <c r="DQ110" s="174"/>
      <c r="DR110" s="263"/>
      <c r="DS110" s="174"/>
      <c r="DT110" s="1379">
        <v>0</v>
      </c>
      <c r="DU110" s="1557">
        <v>1040</v>
      </c>
      <c r="DV110" s="1379">
        <v>0</v>
      </c>
      <c r="DW110" s="1381">
        <f>SUM(DS110:DV110)</f>
        <v>1040</v>
      </c>
      <c r="DX110" s="1379">
        <v>0</v>
      </c>
      <c r="DY110" s="1379">
        <v>0</v>
      </c>
      <c r="DZ110" s="1379">
        <v>0</v>
      </c>
      <c r="EA110" s="1379">
        <v>0</v>
      </c>
      <c r="EB110" s="1381">
        <f>SUM(DX110:EA110)</f>
        <v>0</v>
      </c>
      <c r="EC110" s="1379">
        <v>0</v>
      </c>
      <c r="ED110" s="1379">
        <v>0</v>
      </c>
      <c r="EE110" s="1379">
        <v>0</v>
      </c>
      <c r="EF110" s="1379">
        <v>0</v>
      </c>
      <c r="EG110" s="1381">
        <f>SUM(EC110:EF110)</f>
        <v>0</v>
      </c>
      <c r="EH110" s="1379">
        <v>0</v>
      </c>
      <c r="EI110" s="1379">
        <v>0</v>
      </c>
      <c r="EJ110" s="1379">
        <v>0</v>
      </c>
      <c r="EK110" s="1379">
        <v>0</v>
      </c>
      <c r="EL110" s="1381">
        <f>SUM(EH110:EK110)</f>
        <v>0</v>
      </c>
    </row>
    <row r="111" spans="1:142">
      <c r="A111" s="225"/>
      <c r="B111" s="209" t="s">
        <v>299</v>
      </c>
      <c r="C111" s="9"/>
      <c r="D111" s="9"/>
      <c r="E111" s="9"/>
      <c r="F111" s="9"/>
      <c r="G111" s="9"/>
      <c r="H111" s="63"/>
      <c r="I111" s="9"/>
      <c r="J111" s="9"/>
      <c r="K111" s="9"/>
      <c r="L111" s="9"/>
      <c r="M111" s="63"/>
      <c r="N111" s="9"/>
      <c r="O111" s="9"/>
      <c r="P111" s="9"/>
      <c r="Q111" s="9"/>
      <c r="R111" s="63"/>
      <c r="S111" s="9"/>
      <c r="T111" s="9"/>
      <c r="U111" s="9"/>
      <c r="V111" s="9"/>
      <c r="W111" s="63"/>
      <c r="X111" s="9"/>
      <c r="Y111" s="9"/>
      <c r="Z111" s="9"/>
      <c r="AA111" s="9"/>
      <c r="AB111" s="63"/>
      <c r="AC111" s="9"/>
      <c r="AD111" s="9"/>
      <c r="AE111" s="9"/>
      <c r="AF111" s="9"/>
      <c r="AG111" s="63"/>
      <c r="AH111" s="9"/>
      <c r="AI111" s="9"/>
      <c r="AJ111" s="9"/>
      <c r="AK111" s="9"/>
      <c r="AL111" s="63"/>
      <c r="AM111" s="53"/>
      <c r="AN111" s="53"/>
      <c r="AO111" s="53"/>
      <c r="AP111" s="53"/>
      <c r="AQ111" s="28"/>
      <c r="AR111" s="53"/>
      <c r="AS111" s="53"/>
      <c r="AT111" s="53"/>
      <c r="AU111" s="186"/>
      <c r="AV111" s="240"/>
      <c r="AW111" s="240"/>
      <c r="AX111" s="240"/>
      <c r="AY111" s="240"/>
      <c r="AZ111" s="241"/>
      <c r="BA111" s="240"/>
      <c r="BB111" s="240"/>
      <c r="BC111" s="240"/>
      <c r="BD111" s="240"/>
      <c r="BE111" s="241"/>
      <c r="BF111" s="240"/>
      <c r="BG111" s="240"/>
      <c r="BH111" s="240"/>
      <c r="BI111" s="240"/>
      <c r="BJ111" s="241"/>
      <c r="BK111" s="146"/>
      <c r="BL111" s="162"/>
      <c r="BM111" s="162"/>
      <c r="BN111" s="162"/>
      <c r="BO111" s="266"/>
      <c r="BP111" s="146"/>
      <c r="BQ111" s="162"/>
      <c r="BR111" s="162"/>
      <c r="BS111" s="162"/>
      <c r="BT111" s="266"/>
      <c r="BU111" s="146"/>
      <c r="BV111" s="162"/>
      <c r="BW111" s="162"/>
      <c r="BX111" s="162"/>
      <c r="BY111" s="266"/>
      <c r="BZ111" s="146"/>
      <c r="CA111" s="162"/>
      <c r="CB111" s="162"/>
      <c r="CC111" s="162"/>
      <c r="CD111" s="266"/>
      <c r="CE111" s="267"/>
      <c r="CF111" s="267"/>
      <c r="CG111" s="267"/>
      <c r="CH111" s="267"/>
      <c r="CI111" s="170"/>
      <c r="CJ111" s="267"/>
      <c r="CK111" s="267"/>
      <c r="CL111" s="267"/>
      <c r="CM111" s="267"/>
      <c r="CN111" s="170"/>
      <c r="CO111" s="267"/>
      <c r="CP111" s="267"/>
      <c r="CQ111" s="267"/>
      <c r="CR111" s="267"/>
      <c r="CS111" s="170"/>
      <c r="CT111" s="267"/>
      <c r="CU111" s="267"/>
      <c r="CV111" s="267"/>
      <c r="CW111" s="165"/>
      <c r="CX111" s="170"/>
      <c r="CY111" s="165"/>
      <c r="CZ111" s="166"/>
      <c r="DA111" s="333"/>
      <c r="DB111" s="269"/>
      <c r="DC111" s="170"/>
      <c r="DD111" s="165"/>
      <c r="DE111" s="269"/>
      <c r="DF111" s="269"/>
      <c r="DG111" s="269"/>
      <c r="DH111" s="170"/>
      <c r="DI111" s="165"/>
      <c r="DJ111" s="271"/>
      <c r="DK111" s="272"/>
      <c r="DL111" s="271"/>
      <c r="DM111" s="170"/>
      <c r="DN111" s="165"/>
      <c r="DO111" s="271"/>
      <c r="DP111" s="271"/>
      <c r="DQ111" s="271"/>
      <c r="DR111" s="170"/>
      <c r="DS111" s="271"/>
      <c r="DT111" s="539">
        <f>SUM(DT108:DT110)</f>
        <v>830</v>
      </c>
      <c r="DU111" s="539">
        <f t="shared" ref="DU111:EG111" si="13">SUM(DU108:DU110)</f>
        <v>1870</v>
      </c>
      <c r="DV111" s="539">
        <f t="shared" si="13"/>
        <v>1870</v>
      </c>
      <c r="DW111" s="540">
        <f t="shared" si="13"/>
        <v>1870</v>
      </c>
      <c r="DX111" s="539">
        <f t="shared" si="13"/>
        <v>1870</v>
      </c>
      <c r="DY111" s="539">
        <f t="shared" si="13"/>
        <v>1870</v>
      </c>
      <c r="DZ111" s="539">
        <f t="shared" si="13"/>
        <v>1870</v>
      </c>
      <c r="EA111" s="539">
        <f t="shared" si="13"/>
        <v>1870</v>
      </c>
      <c r="EB111" s="540">
        <f t="shared" si="13"/>
        <v>1870</v>
      </c>
      <c r="EC111" s="539">
        <f t="shared" si="13"/>
        <v>1870</v>
      </c>
      <c r="ED111" s="539">
        <f t="shared" si="13"/>
        <v>1870</v>
      </c>
      <c r="EE111" s="539">
        <f t="shared" si="13"/>
        <v>1870</v>
      </c>
      <c r="EF111" s="539">
        <f t="shared" si="13"/>
        <v>1870</v>
      </c>
      <c r="EG111" s="540">
        <f t="shared" si="13"/>
        <v>1870</v>
      </c>
      <c r="EH111" s="539">
        <f t="shared" ref="EH111:EL111" si="14">SUM(EH108:EH110)</f>
        <v>1870</v>
      </c>
      <c r="EI111" s="539">
        <f t="shared" si="14"/>
        <v>1870</v>
      </c>
      <c r="EJ111" s="539">
        <f t="shared" si="14"/>
        <v>1870</v>
      </c>
      <c r="EK111" s="539">
        <f t="shared" si="14"/>
        <v>1870</v>
      </c>
      <c r="EL111" s="540">
        <f t="shared" si="14"/>
        <v>1870</v>
      </c>
    </row>
    <row r="112" spans="1:142">
      <c r="A112" s="225"/>
      <c r="B112" s="214" t="s">
        <v>300</v>
      </c>
      <c r="C112" s="9"/>
      <c r="D112" s="9"/>
      <c r="E112" s="9"/>
      <c r="F112" s="9"/>
      <c r="G112" s="9"/>
      <c r="H112" s="63"/>
      <c r="I112" s="9"/>
      <c r="J112" s="9"/>
      <c r="K112" s="9"/>
      <c r="L112" s="9"/>
      <c r="M112" s="63"/>
      <c r="N112" s="9"/>
      <c r="O112" s="9"/>
      <c r="P112" s="9"/>
      <c r="Q112" s="9"/>
      <c r="R112" s="63"/>
      <c r="S112" s="9"/>
      <c r="T112" s="9"/>
      <c r="U112" s="9"/>
      <c r="V112" s="9"/>
      <c r="W112" s="63"/>
      <c r="X112" s="9"/>
      <c r="Y112" s="9"/>
      <c r="Z112" s="9"/>
      <c r="AA112" s="9"/>
      <c r="AB112" s="63"/>
      <c r="AC112" s="9"/>
      <c r="AD112" s="9"/>
      <c r="AE112" s="9"/>
      <c r="AF112" s="9"/>
      <c r="AG112" s="63"/>
      <c r="AH112" s="9"/>
      <c r="AI112" s="9"/>
      <c r="AJ112" s="9"/>
      <c r="AK112" s="9"/>
      <c r="AL112" s="63"/>
      <c r="AM112" s="53"/>
      <c r="AN112" s="53"/>
      <c r="AO112" s="53"/>
      <c r="AP112" s="53"/>
      <c r="AQ112" s="28"/>
      <c r="AR112" s="53"/>
      <c r="AS112" s="53"/>
      <c r="AT112" s="53"/>
      <c r="AU112" s="186"/>
      <c r="AV112" s="240"/>
      <c r="AW112" s="240"/>
      <c r="AX112" s="240"/>
      <c r="AY112" s="240"/>
      <c r="AZ112" s="241"/>
      <c r="BA112" s="240"/>
      <c r="BB112" s="240"/>
      <c r="BC112" s="240"/>
      <c r="BD112" s="240"/>
      <c r="BE112" s="241"/>
      <c r="BF112" s="240"/>
      <c r="BG112" s="240"/>
      <c r="BH112" s="240"/>
      <c r="BI112" s="240"/>
      <c r="BJ112" s="241"/>
      <c r="BK112" s="215"/>
      <c r="BL112" s="215"/>
      <c r="BM112" s="275"/>
      <c r="BN112" s="215"/>
      <c r="BO112" s="263"/>
      <c r="BP112" s="215"/>
      <c r="BQ112" s="215"/>
      <c r="BR112" s="275"/>
      <c r="BS112" s="215"/>
      <c r="BT112" s="263"/>
      <c r="BU112" s="215"/>
      <c r="BV112" s="215"/>
      <c r="BW112" s="275"/>
      <c r="BX112" s="215"/>
      <c r="BY112" s="263"/>
      <c r="BZ112" s="215"/>
      <c r="CA112" s="215"/>
      <c r="CB112" s="275"/>
      <c r="CC112" s="215"/>
      <c r="CD112" s="263"/>
      <c r="CE112" s="276"/>
      <c r="CF112" s="276"/>
      <c r="CG112" s="276"/>
      <c r="CH112" s="276"/>
      <c r="CI112" s="263"/>
      <c r="CJ112" s="276"/>
      <c r="CK112" s="276"/>
      <c r="CL112" s="276"/>
      <c r="CM112" s="276"/>
      <c r="CN112" s="263"/>
      <c r="CO112" s="276"/>
      <c r="CP112" s="276"/>
      <c r="CQ112" s="276"/>
      <c r="CR112" s="276"/>
      <c r="CS112" s="263"/>
      <c r="CT112" s="276"/>
      <c r="CU112" s="276"/>
      <c r="CV112" s="276"/>
      <c r="CW112" s="276"/>
      <c r="CX112" s="263"/>
      <c r="CY112" s="276"/>
      <c r="CZ112" s="276"/>
      <c r="DA112" s="276"/>
      <c r="DB112" s="276"/>
      <c r="DC112" s="263"/>
      <c r="DD112" s="276"/>
      <c r="DE112" s="276"/>
      <c r="DF112" s="276"/>
      <c r="DG112" s="276"/>
      <c r="DH112" s="263"/>
      <c r="DI112" s="276"/>
      <c r="DJ112" s="276"/>
      <c r="DK112" s="276"/>
      <c r="DL112" s="276"/>
      <c r="DM112" s="263"/>
      <c r="DN112" s="276"/>
      <c r="DO112" s="276"/>
      <c r="DP112" s="276"/>
      <c r="DQ112" s="276"/>
      <c r="DR112" s="263"/>
      <c r="DS112" s="276"/>
      <c r="DT112" s="1342">
        <f>DT107/4*AVERAGE(DT111,DT108)</f>
        <v>9.5968750000000007</v>
      </c>
      <c r="DU112" s="1342">
        <f>DU107/4*AVERAGE(DU111,DU108)</f>
        <v>15.609375</v>
      </c>
      <c r="DV112" s="1342">
        <f>DV107/4*AVERAGE(DV111,DV108)</f>
        <v>21.621874999999999</v>
      </c>
      <c r="DW112" s="1353">
        <f>SUM(DS112:DV112)</f>
        <v>46.828125</v>
      </c>
      <c r="DX112" s="1342">
        <f>DX107/4*AVERAGE(DX111,DX108)</f>
        <v>21.621874999999999</v>
      </c>
      <c r="DY112" s="1342">
        <f>DY107/4*AVERAGE(DY111,DY108)</f>
        <v>21.621874999999999</v>
      </c>
      <c r="DZ112" s="1342">
        <f>DZ107/4*AVERAGE(DZ111,DZ108)</f>
        <v>21.621874999999999</v>
      </c>
      <c r="EA112" s="1342">
        <f>EA107/4*AVERAGE(EA111,EA108)</f>
        <v>21.621874999999999</v>
      </c>
      <c r="EB112" s="1353">
        <f>SUM(DX112:EA112)</f>
        <v>86.487499999999997</v>
      </c>
      <c r="EC112" s="1342">
        <f>EC107/4*AVERAGE(EC111,EC108)</f>
        <v>21.621874999999999</v>
      </c>
      <c r="ED112" s="1342">
        <f>ED107/4*AVERAGE(ED111,ED108)</f>
        <v>21.621874999999999</v>
      </c>
      <c r="EE112" s="1342">
        <f>EE107/4*AVERAGE(EE111,EE108)</f>
        <v>21.621874999999999</v>
      </c>
      <c r="EF112" s="1342">
        <f>EF107/4*AVERAGE(EF111,EF108)</f>
        <v>21.621874999999999</v>
      </c>
      <c r="EG112" s="1353">
        <f>SUM(EC112:EF112)</f>
        <v>86.487499999999997</v>
      </c>
      <c r="EH112" s="1342">
        <f>EH107/4*AVERAGE(EH111,EH108)</f>
        <v>21.621874999999999</v>
      </c>
      <c r="EI112" s="1342">
        <f>EI107/4*AVERAGE(EI111,EI108)</f>
        <v>21.621874999999999</v>
      </c>
      <c r="EJ112" s="1342">
        <f>EJ107/4*AVERAGE(EJ111,EJ108)</f>
        <v>21.621874999999999</v>
      </c>
      <c r="EK112" s="1342">
        <f>EK107/4*AVERAGE(EK111,EK108)</f>
        <v>21.621874999999999</v>
      </c>
      <c r="EL112" s="1353">
        <f>SUM(EH112:EK112)</f>
        <v>86.487499999999997</v>
      </c>
    </row>
    <row r="113" spans="1:142" hidden="1" outlineLevel="1">
      <c r="A113" s="277"/>
      <c r="B113" s="277"/>
      <c r="C113" s="9"/>
      <c r="D113" s="9"/>
      <c r="E113" s="9"/>
      <c r="F113" s="9"/>
      <c r="G113" s="9"/>
      <c r="H113" s="63"/>
      <c r="I113" s="9"/>
      <c r="J113" s="9"/>
      <c r="K113" s="9"/>
      <c r="L113" s="9"/>
      <c r="M113" s="63"/>
      <c r="N113" s="9"/>
      <c r="O113" s="9"/>
      <c r="P113" s="9"/>
      <c r="Q113" s="9"/>
      <c r="R113" s="63"/>
      <c r="S113" s="9"/>
      <c r="T113" s="9"/>
      <c r="U113" s="9"/>
      <c r="V113" s="9"/>
      <c r="W113" s="63"/>
      <c r="X113" s="9"/>
      <c r="Y113" s="9"/>
      <c r="Z113" s="9"/>
      <c r="AA113" s="9"/>
      <c r="AB113" s="63"/>
      <c r="AC113" s="9"/>
      <c r="AD113" s="9"/>
      <c r="AE113" s="9"/>
      <c r="AF113" s="9"/>
      <c r="AG113" s="63"/>
      <c r="AH113" s="9"/>
      <c r="AI113" s="9"/>
      <c r="AJ113" s="9"/>
      <c r="AK113" s="9"/>
      <c r="AL113" s="63"/>
      <c r="AM113" s="53"/>
      <c r="AN113" s="53"/>
      <c r="AO113" s="53"/>
      <c r="AP113" s="53"/>
      <c r="AQ113" s="28"/>
      <c r="AR113" s="53"/>
      <c r="AS113" s="53"/>
      <c r="AT113" s="53"/>
      <c r="AU113" s="186"/>
      <c r="AV113" s="240"/>
      <c r="AW113" s="240"/>
      <c r="AX113" s="240"/>
      <c r="AY113" s="240"/>
      <c r="AZ113" s="241"/>
      <c r="BA113" s="240"/>
      <c r="BB113" s="240"/>
      <c r="BC113" s="240"/>
      <c r="BD113" s="240"/>
      <c r="BE113" s="241"/>
      <c r="BF113" s="240"/>
      <c r="BG113" s="240"/>
      <c r="BH113" s="240"/>
      <c r="BI113" s="240"/>
      <c r="BJ113" s="241"/>
      <c r="BK113" s="171"/>
      <c r="BL113" s="171"/>
      <c r="BM113" s="171"/>
      <c r="BN113" s="171"/>
      <c r="BO113" s="193"/>
      <c r="BP113" s="171"/>
      <c r="BQ113" s="171"/>
      <c r="BR113" s="171"/>
      <c r="BS113" s="171"/>
      <c r="BT113" s="193"/>
      <c r="BU113" s="171"/>
      <c r="BV113" s="171"/>
      <c r="BW113" s="171"/>
      <c r="BX113" s="171"/>
      <c r="BY113" s="193"/>
      <c r="BZ113" s="171"/>
      <c r="CA113" s="171"/>
      <c r="CB113" s="171"/>
      <c r="CC113" s="171"/>
      <c r="CD113" s="193"/>
      <c r="CE113" s="171"/>
      <c r="CF113" s="171"/>
      <c r="CG113" s="171"/>
      <c r="CH113" s="171"/>
      <c r="CI113" s="193"/>
      <c r="CJ113" s="171"/>
      <c r="CK113" s="171"/>
      <c r="CL113" s="171"/>
      <c r="CM113" s="171"/>
      <c r="CN113" s="193"/>
      <c r="CO113" s="171"/>
      <c r="CP113" s="171"/>
      <c r="CQ113" s="171"/>
      <c r="CR113" s="171"/>
      <c r="CS113" s="193"/>
      <c r="CT113" s="210"/>
      <c r="CU113" s="53"/>
      <c r="CV113" s="53"/>
      <c r="CW113" s="53"/>
      <c r="CX113" s="28"/>
      <c r="CY113" s="53"/>
      <c r="CZ113" s="53"/>
      <c r="DA113" s="53"/>
      <c r="DB113" s="53"/>
      <c r="DC113" s="28"/>
      <c r="DD113" s="53"/>
      <c r="DE113" s="53"/>
      <c r="DF113" s="53"/>
      <c r="DG113" s="53"/>
      <c r="DH113" s="28"/>
      <c r="DI113" s="53"/>
      <c r="DJ113" s="53"/>
      <c r="DK113" s="53"/>
      <c r="DL113" s="53"/>
      <c r="DM113" s="53"/>
      <c r="DN113" s="53"/>
      <c r="DO113" s="53"/>
      <c r="DP113" s="53"/>
      <c r="DQ113" s="53"/>
      <c r="DR113" s="53"/>
      <c r="DS113" s="53"/>
      <c r="DT113" s="53"/>
      <c r="DU113" s="53"/>
      <c r="DV113" s="53"/>
      <c r="DW113" s="53"/>
      <c r="DX113" s="53"/>
      <c r="DY113" s="53"/>
      <c r="DZ113" s="53"/>
      <c r="EA113" s="53"/>
      <c r="EB113" s="53"/>
      <c r="EC113" s="53"/>
      <c r="ED113" s="53"/>
      <c r="EE113" s="53"/>
      <c r="EF113" s="53"/>
      <c r="EG113" s="53"/>
      <c r="EH113" s="53"/>
      <c r="EI113" s="53"/>
      <c r="EJ113" s="53"/>
      <c r="EK113" s="53"/>
      <c r="EL113" s="53"/>
    </row>
    <row r="114" spans="1:142" hidden="1" outlineLevel="1">
      <c r="A114" s="277"/>
      <c r="B114" s="1326" t="s">
        <v>672</v>
      </c>
      <c r="C114" s="9"/>
      <c r="D114" s="9"/>
      <c r="E114" s="9"/>
      <c r="F114" s="9"/>
      <c r="G114" s="9"/>
      <c r="H114" s="63"/>
      <c r="I114" s="9"/>
      <c r="J114" s="9"/>
      <c r="K114" s="9"/>
      <c r="L114" s="9"/>
      <c r="M114" s="63"/>
      <c r="N114" s="9"/>
      <c r="O114" s="9"/>
      <c r="P114" s="9"/>
      <c r="Q114" s="9"/>
      <c r="R114" s="63"/>
      <c r="S114" s="9"/>
      <c r="T114" s="9"/>
      <c r="U114" s="9"/>
      <c r="V114" s="9"/>
      <c r="W114" s="63"/>
      <c r="X114" s="9"/>
      <c r="Y114" s="9"/>
      <c r="Z114" s="9"/>
      <c r="AA114" s="9"/>
      <c r="AB114" s="63"/>
      <c r="AC114" s="9"/>
      <c r="AD114" s="9"/>
      <c r="AE114" s="9"/>
      <c r="AF114" s="9"/>
      <c r="AG114" s="63"/>
      <c r="AH114" s="9"/>
      <c r="AI114" s="9"/>
      <c r="AJ114" s="9"/>
      <c r="AK114" s="9"/>
      <c r="AL114" s="63"/>
      <c r="AM114" s="53"/>
      <c r="AN114" s="53"/>
      <c r="AO114" s="53"/>
      <c r="AP114" s="53"/>
      <c r="AQ114" s="28"/>
      <c r="AR114" s="53"/>
      <c r="AS114" s="53"/>
      <c r="AT114" s="53"/>
      <c r="AU114" s="186"/>
      <c r="AV114" s="240"/>
      <c r="AW114" s="240"/>
      <c r="AX114" s="240"/>
      <c r="AY114" s="240"/>
      <c r="AZ114" s="241"/>
      <c r="BA114" s="240"/>
      <c r="BB114" s="240"/>
      <c r="BC114" s="240"/>
      <c r="BD114" s="240"/>
      <c r="BE114" s="241"/>
      <c r="BF114" s="240"/>
      <c r="BG114" s="240"/>
      <c r="BH114" s="240"/>
      <c r="BI114" s="240"/>
      <c r="BJ114" s="241"/>
      <c r="BK114" s="171"/>
      <c r="BL114" s="171"/>
      <c r="BM114" s="171"/>
      <c r="BN114" s="171"/>
      <c r="BO114" s="193"/>
      <c r="BP114" s="171"/>
      <c r="BQ114" s="171"/>
      <c r="BR114" s="171"/>
      <c r="BS114" s="171"/>
      <c r="BT114" s="193"/>
      <c r="BU114" s="171"/>
      <c r="BV114" s="171"/>
      <c r="BW114" s="171"/>
      <c r="BX114" s="171"/>
      <c r="BY114" s="193"/>
      <c r="BZ114" s="171"/>
      <c r="CA114" s="171"/>
      <c r="CB114" s="171"/>
      <c r="CC114" s="171"/>
      <c r="CD114" s="193"/>
      <c r="CE114" s="171"/>
      <c r="CF114" s="171"/>
      <c r="CG114" s="171"/>
      <c r="CH114" s="171"/>
      <c r="CI114" s="193"/>
      <c r="CJ114" s="171"/>
      <c r="CK114" s="171"/>
      <c r="CL114" s="171"/>
      <c r="CM114" s="171"/>
      <c r="CN114" s="193"/>
      <c r="CO114" s="171"/>
      <c r="CP114" s="171"/>
      <c r="CQ114" s="171"/>
      <c r="CR114" s="171"/>
      <c r="CS114" s="193"/>
      <c r="CT114" s="210"/>
      <c r="CU114" s="53"/>
      <c r="CV114" s="53"/>
      <c r="CW114" s="53"/>
      <c r="CX114" s="28"/>
      <c r="CY114" s="53"/>
      <c r="CZ114" s="53"/>
      <c r="DA114" s="53"/>
      <c r="DB114" s="53"/>
      <c r="DC114" s="28"/>
      <c r="DD114" s="53"/>
      <c r="DE114" s="53"/>
      <c r="DF114" s="53"/>
      <c r="DG114" s="53"/>
      <c r="DH114" s="28"/>
      <c r="DI114" s="53"/>
      <c r="DJ114" s="53"/>
      <c r="DK114" s="53"/>
      <c r="DL114" s="53"/>
      <c r="DM114" s="53"/>
      <c r="DN114" s="53"/>
      <c r="DO114" s="53"/>
      <c r="DP114" s="53"/>
      <c r="DQ114" s="53"/>
      <c r="DR114" s="53"/>
      <c r="DS114" s="53"/>
      <c r="DT114" s="739">
        <f>DT104+DT110</f>
        <v>1441</v>
      </c>
      <c r="DU114" s="739">
        <f>DU104+DU110</f>
        <v>2490</v>
      </c>
      <c r="DV114" s="739">
        <f>DV104+DV110</f>
        <v>698</v>
      </c>
      <c r="DW114" s="739"/>
      <c r="DX114" s="739">
        <f>DX104+DX110</f>
        <v>829.37035815589047</v>
      </c>
      <c r="DY114" s="739">
        <f>DY104+DY110</f>
        <v>605.37663535468891</v>
      </c>
      <c r="DZ114" s="739">
        <f>DZ104+DZ110</f>
        <v>853.21887238129329</v>
      </c>
      <c r="EA114" s="739">
        <f>EA104+EA110</f>
        <v>567.71087398451732</v>
      </c>
      <c r="EB114" s="739"/>
      <c r="EC114" s="739">
        <f>EC104+EC110</f>
        <v>376.97417916896063</v>
      </c>
      <c r="ED114" s="739">
        <f>ED104+ED110</f>
        <v>520.54772891988341</v>
      </c>
      <c r="EE114" s="739">
        <f>EE104+EE110</f>
        <v>689.98221824519351</v>
      </c>
      <c r="EF114" s="739">
        <f>EF104+EF110</f>
        <v>714.63062624325505</v>
      </c>
      <c r="EG114" s="739"/>
      <c r="EH114" s="739">
        <f>EH104+EH110</f>
        <v>657.96794350851678</v>
      </c>
      <c r="EI114" s="739">
        <f>EI104+EI110</f>
        <v>602.90493870577018</v>
      </c>
      <c r="EJ114" s="739">
        <f>EJ104+EJ110</f>
        <v>652.42194509847184</v>
      </c>
      <c r="EK114" s="739">
        <f>EK104+EK110</f>
        <v>471.25813137678415</v>
      </c>
      <c r="EL114" s="739"/>
    </row>
    <row r="115" spans="1:142" hidden="1" outlineLevel="1">
      <c r="A115" s="277"/>
      <c r="B115" s="1326"/>
      <c r="C115" s="9"/>
      <c r="D115" s="9"/>
      <c r="E115" s="9"/>
      <c r="F115" s="9"/>
      <c r="G115" s="9"/>
      <c r="H115" s="63"/>
      <c r="I115" s="9"/>
      <c r="J115" s="9"/>
      <c r="K115" s="9"/>
      <c r="L115" s="9"/>
      <c r="M115" s="63"/>
      <c r="N115" s="9"/>
      <c r="O115" s="9"/>
      <c r="P115" s="9"/>
      <c r="Q115" s="9"/>
      <c r="R115" s="63"/>
      <c r="S115" s="9"/>
      <c r="T115" s="9"/>
      <c r="U115" s="9"/>
      <c r="V115" s="9"/>
      <c r="W115" s="63"/>
      <c r="X115" s="9"/>
      <c r="Y115" s="9"/>
      <c r="Z115" s="9"/>
      <c r="AA115" s="9"/>
      <c r="AB115" s="63"/>
      <c r="AC115" s="9"/>
      <c r="AD115" s="9"/>
      <c r="AE115" s="9"/>
      <c r="AF115" s="9"/>
      <c r="AG115" s="63"/>
      <c r="AH115" s="9"/>
      <c r="AI115" s="9"/>
      <c r="AJ115" s="9"/>
      <c r="AK115" s="9"/>
      <c r="AL115" s="63"/>
      <c r="AM115" s="53"/>
      <c r="AN115" s="53"/>
      <c r="AO115" s="53"/>
      <c r="AP115" s="53"/>
      <c r="AQ115" s="28"/>
      <c r="AR115" s="53"/>
      <c r="AS115" s="53"/>
      <c r="AT115" s="53"/>
      <c r="AU115" s="186"/>
      <c r="AV115" s="240"/>
      <c r="AW115" s="240"/>
      <c r="AX115" s="240"/>
      <c r="AY115" s="240"/>
      <c r="AZ115" s="241"/>
      <c r="BA115" s="240"/>
      <c r="BB115" s="240"/>
      <c r="BC115" s="240"/>
      <c r="BD115" s="240"/>
      <c r="BE115" s="241"/>
      <c r="BF115" s="240"/>
      <c r="BG115" s="240"/>
      <c r="BH115" s="240"/>
      <c r="BI115" s="240"/>
      <c r="BJ115" s="241"/>
      <c r="BK115" s="171"/>
      <c r="BL115" s="171"/>
      <c r="BM115" s="171"/>
      <c r="BN115" s="171"/>
      <c r="BO115" s="193"/>
      <c r="BP115" s="171"/>
      <c r="BQ115" s="171"/>
      <c r="BR115" s="171"/>
      <c r="BS115" s="171"/>
      <c r="BT115" s="193"/>
      <c r="BU115" s="171"/>
      <c r="BV115" s="171"/>
      <c r="BW115" s="171"/>
      <c r="BX115" s="171"/>
      <c r="BY115" s="193"/>
      <c r="BZ115" s="171"/>
      <c r="CA115" s="171"/>
      <c r="CB115" s="171"/>
      <c r="CC115" s="171"/>
      <c r="CD115" s="193"/>
      <c r="CE115" s="171"/>
      <c r="CF115" s="171"/>
      <c r="CG115" s="171"/>
      <c r="CH115" s="171"/>
      <c r="CI115" s="193"/>
      <c r="CJ115" s="171"/>
      <c r="CK115" s="171"/>
      <c r="CL115" s="171"/>
      <c r="CM115" s="171"/>
      <c r="CN115" s="193"/>
      <c r="CO115" s="171"/>
      <c r="CP115" s="171"/>
      <c r="CQ115" s="171"/>
      <c r="CR115" s="171"/>
      <c r="CS115" s="193"/>
      <c r="CT115" s="210"/>
      <c r="CU115" s="53"/>
      <c r="CV115" s="53"/>
      <c r="CW115" s="53"/>
      <c r="CX115" s="28"/>
      <c r="CY115" s="53"/>
      <c r="CZ115" s="53"/>
      <c r="DA115" s="53"/>
      <c r="DB115" s="53"/>
      <c r="DC115" s="28"/>
      <c r="DD115" s="53"/>
      <c r="DE115" s="53"/>
      <c r="DF115" s="53"/>
      <c r="DG115" s="53"/>
      <c r="DH115" s="28"/>
      <c r="DI115" s="53"/>
      <c r="DJ115" s="53"/>
      <c r="DK115" s="53"/>
      <c r="DL115" s="53"/>
      <c r="DM115" s="53"/>
      <c r="DN115" s="53"/>
      <c r="DO115" s="53"/>
      <c r="DP115" s="53"/>
      <c r="DQ115" s="53"/>
      <c r="DR115" s="53"/>
      <c r="DS115" s="53"/>
      <c r="DT115" s="739"/>
      <c r="DU115" s="739"/>
      <c r="DV115" s="739"/>
      <c r="DW115" s="739"/>
      <c r="DX115" s="739"/>
      <c r="DY115" s="739"/>
      <c r="DZ115" s="739"/>
      <c r="EA115" s="739"/>
      <c r="EB115" s="739"/>
      <c r="EC115" s="739"/>
      <c r="ED115" s="739"/>
      <c r="EE115" s="739"/>
      <c r="EF115" s="739"/>
      <c r="EG115" s="739"/>
      <c r="EH115" s="739"/>
      <c r="EI115" s="739"/>
      <c r="EJ115" s="739"/>
      <c r="EK115" s="739"/>
      <c r="EL115" s="739"/>
    </row>
    <row r="116" spans="1:142" ht="22.5" collapsed="1">
      <c r="A116" s="1327"/>
      <c r="B116" s="242" t="s">
        <v>708</v>
      </c>
      <c r="C116" s="9"/>
      <c r="D116" s="9"/>
      <c r="E116" s="9"/>
      <c r="F116" s="9"/>
      <c r="G116" s="9"/>
      <c r="H116" s="63"/>
      <c r="I116" s="9"/>
      <c r="J116" s="9"/>
      <c r="K116" s="9"/>
      <c r="L116" s="9"/>
      <c r="M116" s="63"/>
      <c r="N116" s="9"/>
      <c r="O116" s="9"/>
      <c r="P116" s="9"/>
      <c r="Q116" s="9"/>
      <c r="R116" s="63"/>
      <c r="S116" s="9"/>
      <c r="T116" s="9"/>
      <c r="U116" s="9"/>
      <c r="V116" s="9"/>
      <c r="W116" s="63"/>
      <c r="X116" s="9"/>
      <c r="Y116" s="9"/>
      <c r="Z116" s="9"/>
      <c r="AA116" s="9"/>
      <c r="AB116" s="63"/>
      <c r="AC116" s="9"/>
      <c r="AD116" s="9"/>
      <c r="AE116" s="9"/>
      <c r="AF116" s="9"/>
      <c r="AG116" s="63"/>
      <c r="AH116" s="9"/>
      <c r="AI116" s="9"/>
      <c r="AJ116" s="9"/>
      <c r="AK116" s="9"/>
      <c r="AL116" s="63"/>
      <c r="AM116" s="53"/>
      <c r="AN116" s="53"/>
      <c r="AO116" s="53"/>
      <c r="AP116" s="53"/>
      <c r="AQ116" s="28"/>
      <c r="AR116" s="53"/>
      <c r="AS116" s="53"/>
      <c r="AT116" s="53"/>
      <c r="AU116" s="186"/>
      <c r="AV116" s="240"/>
      <c r="AW116" s="240"/>
      <c r="AX116" s="240"/>
      <c r="AY116" s="240"/>
      <c r="AZ116" s="241"/>
      <c r="BA116" s="240"/>
      <c r="BB116" s="240"/>
      <c r="BC116" s="240"/>
      <c r="BD116" s="240"/>
      <c r="BE116" s="241"/>
      <c r="BF116" s="240"/>
      <c r="BG116" s="240"/>
      <c r="BH116" s="240"/>
      <c r="BI116" s="240"/>
      <c r="BJ116" s="241"/>
      <c r="BK116" s="228"/>
      <c r="BL116" s="228"/>
      <c r="BM116" s="228"/>
      <c r="BN116" s="228"/>
      <c r="BO116" s="229"/>
      <c r="BP116" s="228"/>
      <c r="BQ116" s="228"/>
      <c r="BR116" s="228"/>
      <c r="BS116" s="228"/>
      <c r="BT116" s="229"/>
      <c r="BU116" s="228"/>
      <c r="BV116" s="228"/>
      <c r="BW116" s="228"/>
      <c r="BX116" s="228"/>
      <c r="BY116" s="229"/>
      <c r="BZ116" s="228"/>
      <c r="CA116" s="228"/>
      <c r="CB116" s="228"/>
      <c r="CC116" s="228"/>
      <c r="CD116" s="229"/>
      <c r="CE116" s="228"/>
      <c r="CF116" s="228"/>
      <c r="CG116" s="228"/>
      <c r="CH116" s="228"/>
      <c r="CI116" s="229"/>
      <c r="CJ116" s="228"/>
      <c r="CK116" s="228"/>
      <c r="CL116" s="228"/>
      <c r="CM116" s="228"/>
      <c r="CN116" s="229"/>
      <c r="CO116" s="228"/>
      <c r="CP116" s="228"/>
      <c r="CQ116" s="228"/>
      <c r="CR116" s="228"/>
      <c r="CS116" s="229"/>
      <c r="CT116" s="228"/>
      <c r="CU116" s="228"/>
      <c r="CV116" s="228"/>
      <c r="CW116" s="228"/>
      <c r="CX116" s="229"/>
      <c r="CY116" s="228"/>
      <c r="CZ116" s="228"/>
      <c r="DA116" s="228"/>
      <c r="DB116" s="228"/>
      <c r="DC116" s="229"/>
      <c r="DD116" s="228"/>
      <c r="DE116" s="228"/>
      <c r="DF116" s="228"/>
      <c r="DG116" s="228"/>
      <c r="DH116" s="229"/>
      <c r="DI116" s="228"/>
      <c r="DJ116" s="228"/>
      <c r="DK116" s="231"/>
      <c r="DL116" s="228"/>
      <c r="DM116" s="229"/>
      <c r="DN116" s="228"/>
      <c r="DO116" s="228"/>
      <c r="DP116" s="228"/>
      <c r="DQ116" s="228"/>
      <c r="DR116" s="229"/>
      <c r="DS116" s="228"/>
      <c r="DT116" s="228"/>
      <c r="DU116" s="228"/>
      <c r="DV116" s="228"/>
      <c r="DW116" s="229"/>
      <c r="DX116" s="228"/>
      <c r="DY116" s="228"/>
      <c r="DZ116" s="228"/>
      <c r="EA116" s="228"/>
      <c r="EB116" s="229"/>
      <c r="EC116" s="228"/>
      <c r="ED116" s="228"/>
      <c r="EE116" s="228"/>
      <c r="EF116" s="228"/>
      <c r="EG116" s="229"/>
      <c r="EH116" s="228"/>
      <c r="EI116" s="228"/>
      <c r="EJ116" s="228"/>
      <c r="EK116" s="228"/>
      <c r="EL116" s="229"/>
    </row>
    <row r="117" spans="1:142">
      <c r="A117" s="1328"/>
      <c r="B117" s="247" t="s">
        <v>297</v>
      </c>
      <c r="C117" s="9"/>
      <c r="D117" s="9"/>
      <c r="E117" s="9"/>
      <c r="F117" s="9"/>
      <c r="G117" s="9"/>
      <c r="H117" s="63"/>
      <c r="I117" s="9"/>
      <c r="J117" s="9"/>
      <c r="K117" s="9"/>
      <c r="L117" s="9"/>
      <c r="M117" s="63"/>
      <c r="N117" s="9"/>
      <c r="O117" s="9"/>
      <c r="P117" s="9"/>
      <c r="Q117" s="9"/>
      <c r="R117" s="63"/>
      <c r="S117" s="9"/>
      <c r="T117" s="9"/>
      <c r="U117" s="9"/>
      <c r="V117" s="9"/>
      <c r="W117" s="63"/>
      <c r="X117" s="9"/>
      <c r="Y117" s="9"/>
      <c r="Z117" s="9"/>
      <c r="AA117" s="9"/>
      <c r="AB117" s="63"/>
      <c r="AC117" s="9"/>
      <c r="AD117" s="9"/>
      <c r="AE117" s="9"/>
      <c r="AF117" s="9"/>
      <c r="AG117" s="63"/>
      <c r="AH117" s="9"/>
      <c r="AI117" s="9"/>
      <c r="AJ117" s="9"/>
      <c r="AK117" s="9"/>
      <c r="AL117" s="63"/>
      <c r="AM117" s="53"/>
      <c r="AN117" s="53"/>
      <c r="AO117" s="53"/>
      <c r="AP117" s="53"/>
      <c r="AQ117" s="28"/>
      <c r="AR117" s="53"/>
      <c r="AS117" s="53"/>
      <c r="AT117" s="53"/>
      <c r="AU117" s="186"/>
      <c r="AV117" s="240"/>
      <c r="AW117" s="240"/>
      <c r="AX117" s="240"/>
      <c r="AY117" s="240"/>
      <c r="AZ117" s="241"/>
      <c r="BA117" s="240"/>
      <c r="BB117" s="240"/>
      <c r="BC117" s="240"/>
      <c r="BD117" s="240"/>
      <c r="BE117" s="241"/>
      <c r="BF117" s="240"/>
      <c r="BG117" s="240"/>
      <c r="BH117" s="240"/>
      <c r="BI117" s="240"/>
      <c r="BJ117" s="241"/>
      <c r="BK117" s="9"/>
      <c r="BL117" s="9"/>
      <c r="BM117" s="9"/>
      <c r="BN117" s="9"/>
      <c r="BO117" s="63"/>
      <c r="BP117" s="9"/>
      <c r="BQ117" s="9"/>
      <c r="BR117" s="9"/>
      <c r="BS117" s="9"/>
      <c r="BT117" s="63"/>
      <c r="BU117" s="9"/>
      <c r="BV117" s="9"/>
      <c r="BW117" s="9"/>
      <c r="BX117" s="9"/>
      <c r="BY117" s="63"/>
      <c r="BZ117" s="9"/>
      <c r="CA117" s="9"/>
      <c r="CB117" s="9"/>
      <c r="CC117" s="9"/>
      <c r="CD117" s="63"/>
      <c r="CE117" s="248"/>
      <c r="CF117" s="248"/>
      <c r="CG117" s="248"/>
      <c r="CH117" s="248"/>
      <c r="CI117" s="193"/>
      <c r="CJ117" s="248"/>
      <c r="CK117" s="248"/>
      <c r="CL117" s="248"/>
      <c r="CM117" s="248"/>
      <c r="CN117" s="193"/>
      <c r="CO117" s="248"/>
      <c r="CP117" s="248"/>
      <c r="CQ117" s="248"/>
      <c r="CR117" s="248"/>
      <c r="CS117" s="193"/>
      <c r="CT117" s="248"/>
      <c r="CU117" s="248"/>
      <c r="CV117" s="248"/>
      <c r="CW117" s="248"/>
      <c r="CX117" s="193"/>
      <c r="CY117" s="249"/>
      <c r="CZ117" s="249"/>
      <c r="DA117" s="249"/>
      <c r="DB117" s="249"/>
      <c r="DC117" s="193"/>
      <c r="DD117" s="249"/>
      <c r="DE117" s="249"/>
      <c r="DF117" s="249"/>
      <c r="DG117" s="249"/>
      <c r="DH117" s="193"/>
      <c r="DI117" s="249"/>
      <c r="DJ117" s="249"/>
      <c r="DK117" s="331"/>
      <c r="DL117" s="249"/>
      <c r="DM117" s="193"/>
      <c r="DN117" s="249"/>
      <c r="DO117" s="249"/>
      <c r="DP117" s="249"/>
      <c r="DQ117" s="249"/>
      <c r="DR117" s="193"/>
      <c r="DS117" s="249"/>
      <c r="DT117" s="603"/>
      <c r="DU117" s="603">
        <v>5.1249999999999997E-2</v>
      </c>
      <c r="DV117" s="249">
        <f>DU117</f>
        <v>5.1249999999999997E-2</v>
      </c>
      <c r="DW117" s="193"/>
      <c r="DX117" s="249">
        <f>DV117</f>
        <v>5.1249999999999997E-2</v>
      </c>
      <c r="DY117" s="249">
        <f>DX117</f>
        <v>5.1249999999999997E-2</v>
      </c>
      <c r="DZ117" s="249">
        <f>DY117</f>
        <v>5.1249999999999997E-2</v>
      </c>
      <c r="EA117" s="249">
        <f>DZ117</f>
        <v>5.1249999999999997E-2</v>
      </c>
      <c r="EB117" s="193"/>
      <c r="EC117" s="249">
        <f>EA117</f>
        <v>5.1249999999999997E-2</v>
      </c>
      <c r="ED117" s="249">
        <f>EC117</f>
        <v>5.1249999999999997E-2</v>
      </c>
      <c r="EE117" s="249">
        <f>ED117</f>
        <v>5.1249999999999997E-2</v>
      </c>
      <c r="EF117" s="249">
        <f>EE117</f>
        <v>5.1249999999999997E-2</v>
      </c>
      <c r="EG117" s="193"/>
      <c r="EH117" s="249">
        <f>EF117</f>
        <v>5.1249999999999997E-2</v>
      </c>
      <c r="EI117" s="249">
        <f>EH117</f>
        <v>5.1249999999999997E-2</v>
      </c>
      <c r="EJ117" s="249">
        <f>EI117</f>
        <v>5.1249999999999997E-2</v>
      </c>
      <c r="EK117" s="249">
        <f>EJ117</f>
        <v>5.1249999999999997E-2</v>
      </c>
      <c r="EL117" s="193"/>
    </row>
    <row r="118" spans="1:142">
      <c r="A118" s="225"/>
      <c r="B118" s="209" t="s">
        <v>298</v>
      </c>
      <c r="C118" s="9"/>
      <c r="D118" s="9"/>
      <c r="E118" s="9"/>
      <c r="F118" s="9"/>
      <c r="G118" s="9"/>
      <c r="H118" s="63"/>
      <c r="I118" s="9"/>
      <c r="J118" s="9"/>
      <c r="K118" s="9"/>
      <c r="L118" s="9"/>
      <c r="M118" s="63"/>
      <c r="N118" s="9"/>
      <c r="O118" s="9"/>
      <c r="P118" s="9"/>
      <c r="Q118" s="9"/>
      <c r="R118" s="63"/>
      <c r="S118" s="9"/>
      <c r="T118" s="9"/>
      <c r="U118" s="9"/>
      <c r="V118" s="9"/>
      <c r="W118" s="63"/>
      <c r="X118" s="9"/>
      <c r="Y118" s="9"/>
      <c r="Z118" s="9"/>
      <c r="AA118" s="9"/>
      <c r="AB118" s="63"/>
      <c r="AC118" s="9"/>
      <c r="AD118" s="9"/>
      <c r="AE118" s="9"/>
      <c r="AF118" s="9"/>
      <c r="AG118" s="63"/>
      <c r="AH118" s="9"/>
      <c r="AI118" s="9"/>
      <c r="AJ118" s="9"/>
      <c r="AK118" s="9"/>
      <c r="AL118" s="63"/>
      <c r="AM118" s="53"/>
      <c r="AN118" s="53"/>
      <c r="AO118" s="53"/>
      <c r="AP118" s="53"/>
      <c r="AQ118" s="28"/>
      <c r="AR118" s="53"/>
      <c r="AS118" s="53"/>
      <c r="AT118" s="53"/>
      <c r="AU118" s="186"/>
      <c r="AV118" s="240"/>
      <c r="AW118" s="240"/>
      <c r="AX118" s="240"/>
      <c r="AY118" s="240"/>
      <c r="AZ118" s="241"/>
      <c r="BA118" s="240"/>
      <c r="BB118" s="240"/>
      <c r="BC118" s="240"/>
      <c r="BD118" s="240"/>
      <c r="BE118" s="241"/>
      <c r="BF118" s="240"/>
      <c r="BG118" s="240"/>
      <c r="BH118" s="240"/>
      <c r="BI118" s="240"/>
      <c r="BJ118" s="241"/>
      <c r="BK118" s="255"/>
      <c r="BL118" s="255"/>
      <c r="BM118" s="255"/>
      <c r="BN118" s="255"/>
      <c r="BO118" s="256"/>
      <c r="BP118" s="255"/>
      <c r="BQ118" s="255"/>
      <c r="BR118" s="255"/>
      <c r="BS118" s="255"/>
      <c r="BT118" s="256"/>
      <c r="BU118" s="255"/>
      <c r="BV118" s="255"/>
      <c r="BW118" s="255"/>
      <c r="BX118" s="255"/>
      <c r="BY118" s="256"/>
      <c r="BZ118" s="255"/>
      <c r="CA118" s="255"/>
      <c r="CB118" s="255"/>
      <c r="CC118" s="255"/>
      <c r="CD118" s="256"/>
      <c r="CE118" s="257"/>
      <c r="CF118" s="257"/>
      <c r="CG118" s="257"/>
      <c r="CH118" s="257"/>
      <c r="CI118" s="258"/>
      <c r="CJ118" s="257"/>
      <c r="CK118" s="257"/>
      <c r="CL118" s="257"/>
      <c r="CM118" s="257"/>
      <c r="CN118" s="258"/>
      <c r="CO118" s="257"/>
      <c r="CP118" s="257"/>
      <c r="CQ118" s="257"/>
      <c r="CR118" s="257"/>
      <c r="CS118" s="258"/>
      <c r="CT118" s="257"/>
      <c r="CU118" s="257"/>
      <c r="CV118" s="257"/>
      <c r="CW118" s="257"/>
      <c r="CX118" s="258"/>
      <c r="CY118" s="289"/>
      <c r="CZ118" s="289"/>
      <c r="DA118" s="289"/>
      <c r="DB118" s="289"/>
      <c r="DC118" s="258"/>
      <c r="DD118" s="289"/>
      <c r="DE118" s="289"/>
      <c r="DF118" s="289"/>
      <c r="DG118" s="289"/>
      <c r="DH118" s="258"/>
      <c r="DI118" s="289"/>
      <c r="DJ118" s="289"/>
      <c r="DK118" s="332"/>
      <c r="DL118" s="289"/>
      <c r="DM118" s="258"/>
      <c r="DN118" s="289"/>
      <c r="DO118" s="289"/>
      <c r="DP118" s="289"/>
      <c r="DQ118" s="289"/>
      <c r="DR118" s="258"/>
      <c r="DS118" s="289"/>
      <c r="DT118" s="539"/>
      <c r="DU118" s="539">
        <f>DT121</f>
        <v>0</v>
      </c>
      <c r="DV118" s="539">
        <f>DU121</f>
        <v>1410</v>
      </c>
      <c r="DW118" s="540">
        <f>DR121</f>
        <v>0</v>
      </c>
      <c r="DX118" s="539">
        <f>DW121</f>
        <v>1410</v>
      </c>
      <c r="DY118" s="539">
        <f>DX121</f>
        <v>1410</v>
      </c>
      <c r="DZ118" s="539">
        <f>DY121</f>
        <v>1410</v>
      </c>
      <c r="EA118" s="539">
        <f>DZ121</f>
        <v>1410</v>
      </c>
      <c r="EB118" s="540">
        <f>DW121</f>
        <v>1410</v>
      </c>
      <c r="EC118" s="539">
        <f>EB121</f>
        <v>1410</v>
      </c>
      <c r="ED118" s="539">
        <f>EC121</f>
        <v>1410</v>
      </c>
      <c r="EE118" s="539">
        <f>ED121</f>
        <v>1410</v>
      </c>
      <c r="EF118" s="539">
        <f>EE121</f>
        <v>1410</v>
      </c>
      <c r="EG118" s="540">
        <f>EB121</f>
        <v>1410</v>
      </c>
      <c r="EH118" s="539">
        <f>EG121</f>
        <v>1410</v>
      </c>
      <c r="EI118" s="539">
        <f>EH121</f>
        <v>1410</v>
      </c>
      <c r="EJ118" s="539">
        <f>EI121</f>
        <v>1410</v>
      </c>
      <c r="EK118" s="539">
        <f>EJ121</f>
        <v>1410</v>
      </c>
      <c r="EL118" s="540">
        <f>EG121</f>
        <v>1410</v>
      </c>
    </row>
    <row r="119" spans="1:142">
      <c r="A119" s="225"/>
      <c r="B119" s="209" t="s">
        <v>674</v>
      </c>
      <c r="C119" s="9"/>
      <c r="D119" s="9"/>
      <c r="E119" s="9"/>
      <c r="F119" s="9"/>
      <c r="G119" s="9"/>
      <c r="H119" s="63"/>
      <c r="I119" s="9"/>
      <c r="J119" s="9"/>
      <c r="K119" s="9"/>
      <c r="L119" s="9"/>
      <c r="M119" s="63"/>
      <c r="N119" s="9"/>
      <c r="O119" s="9"/>
      <c r="P119" s="9"/>
      <c r="Q119" s="9"/>
      <c r="R119" s="63"/>
      <c r="S119" s="9"/>
      <c r="T119" s="9"/>
      <c r="U119" s="9"/>
      <c r="V119" s="9"/>
      <c r="W119" s="63"/>
      <c r="X119" s="9"/>
      <c r="Y119" s="9"/>
      <c r="Z119" s="9"/>
      <c r="AA119" s="9"/>
      <c r="AB119" s="63"/>
      <c r="AC119" s="9"/>
      <c r="AD119" s="9"/>
      <c r="AE119" s="9"/>
      <c r="AF119" s="9"/>
      <c r="AG119" s="63"/>
      <c r="AH119" s="9"/>
      <c r="AI119" s="9"/>
      <c r="AJ119" s="9"/>
      <c r="AK119" s="9"/>
      <c r="AL119" s="63"/>
      <c r="AM119" s="53"/>
      <c r="AN119" s="53"/>
      <c r="AO119" s="53"/>
      <c r="AP119" s="53"/>
      <c r="AQ119" s="28"/>
      <c r="AR119" s="53"/>
      <c r="AS119" s="53"/>
      <c r="AT119" s="53"/>
      <c r="AU119" s="186"/>
      <c r="AV119" s="240"/>
      <c r="AW119" s="240"/>
      <c r="AX119" s="240"/>
      <c r="AY119" s="240"/>
      <c r="AZ119" s="241"/>
      <c r="BA119" s="240"/>
      <c r="BB119" s="240"/>
      <c r="BC119" s="240"/>
      <c r="BD119" s="240"/>
      <c r="BE119" s="241"/>
      <c r="BF119" s="240"/>
      <c r="BG119" s="240"/>
      <c r="BH119" s="240"/>
      <c r="BI119" s="240"/>
      <c r="BJ119" s="241"/>
      <c r="BK119" s="255"/>
      <c r="BL119" s="255"/>
      <c r="BM119" s="255"/>
      <c r="BN119" s="255"/>
      <c r="BO119" s="256"/>
      <c r="BP119" s="255"/>
      <c r="BQ119" s="255"/>
      <c r="BR119" s="255"/>
      <c r="BS119" s="255"/>
      <c r="BT119" s="256"/>
      <c r="BU119" s="255"/>
      <c r="BV119" s="255"/>
      <c r="BW119" s="255"/>
      <c r="BX119" s="255"/>
      <c r="BY119" s="256"/>
      <c r="BZ119" s="255"/>
      <c r="CA119" s="255"/>
      <c r="CB119" s="255"/>
      <c r="CC119" s="255"/>
      <c r="CD119" s="256"/>
      <c r="CE119" s="257"/>
      <c r="CF119" s="257"/>
      <c r="CG119" s="257"/>
      <c r="CH119" s="257"/>
      <c r="CI119" s="258"/>
      <c r="CJ119" s="257"/>
      <c r="CK119" s="257"/>
      <c r="CL119" s="257"/>
      <c r="CM119" s="257"/>
      <c r="CN119" s="258"/>
      <c r="CO119" s="257"/>
      <c r="CP119" s="257"/>
      <c r="CQ119" s="257"/>
      <c r="CR119" s="257"/>
      <c r="CS119" s="258"/>
      <c r="CT119" s="257"/>
      <c r="CU119" s="257"/>
      <c r="CV119" s="257"/>
      <c r="CW119" s="257"/>
      <c r="CX119" s="258"/>
      <c r="CY119" s="289"/>
      <c r="CZ119" s="289"/>
      <c r="DA119" s="289"/>
      <c r="DB119" s="289"/>
      <c r="DC119" s="258"/>
      <c r="DD119" s="289"/>
      <c r="DE119" s="289"/>
      <c r="DF119" s="289"/>
      <c r="DG119" s="289"/>
      <c r="DH119" s="258"/>
      <c r="DI119" s="289"/>
      <c r="DJ119" s="289"/>
      <c r="DK119" s="332"/>
      <c r="DL119" s="289"/>
      <c r="DM119" s="258"/>
      <c r="DN119" s="289"/>
      <c r="DO119" s="289"/>
      <c r="DP119" s="289"/>
      <c r="DQ119" s="289"/>
      <c r="DR119" s="258"/>
      <c r="DS119" s="289"/>
      <c r="DT119" s="1469"/>
      <c r="DU119" s="1559">
        <v>1410</v>
      </c>
      <c r="DV119" s="1378">
        <v>0</v>
      </c>
      <c r="DW119" s="1380">
        <f>SUM(DS119:DV119)</f>
        <v>1410</v>
      </c>
      <c r="DX119" s="1378">
        <v>0</v>
      </c>
      <c r="DY119" s="1378">
        <v>0</v>
      </c>
      <c r="DZ119" s="1378">
        <v>0</v>
      </c>
      <c r="EA119" s="1378">
        <v>0</v>
      </c>
      <c r="EB119" s="1380">
        <f>SUM(DX119:EA119)</f>
        <v>0</v>
      </c>
      <c r="EC119" s="1378">
        <v>0</v>
      </c>
      <c r="ED119" s="1378">
        <v>0</v>
      </c>
      <c r="EE119" s="1378">
        <v>0</v>
      </c>
      <c r="EF119" s="1378">
        <v>0</v>
      </c>
      <c r="EG119" s="1380">
        <f>SUM(EC119:EF119)</f>
        <v>0</v>
      </c>
      <c r="EH119" s="1378">
        <v>0</v>
      </c>
      <c r="EI119" s="1378">
        <v>0</v>
      </c>
      <c r="EJ119" s="1378">
        <v>0</v>
      </c>
      <c r="EK119" s="1378">
        <v>0</v>
      </c>
      <c r="EL119" s="1380">
        <f>SUM(EH119:EK119)</f>
        <v>0</v>
      </c>
    </row>
    <row r="120" spans="1:142">
      <c r="A120" s="225"/>
      <c r="B120" s="214" t="s">
        <v>675</v>
      </c>
      <c r="C120" s="9"/>
      <c r="D120" s="9"/>
      <c r="E120" s="9"/>
      <c r="F120" s="9"/>
      <c r="G120" s="9"/>
      <c r="H120" s="63"/>
      <c r="I120" s="9"/>
      <c r="J120" s="9"/>
      <c r="K120" s="9"/>
      <c r="L120" s="9"/>
      <c r="M120" s="63"/>
      <c r="N120" s="9"/>
      <c r="O120" s="9"/>
      <c r="P120" s="9"/>
      <c r="Q120" s="9"/>
      <c r="R120" s="63"/>
      <c r="S120" s="9"/>
      <c r="T120" s="9"/>
      <c r="U120" s="9"/>
      <c r="V120" s="9"/>
      <c r="W120" s="63"/>
      <c r="X120" s="9"/>
      <c r="Y120" s="9"/>
      <c r="Z120" s="9"/>
      <c r="AA120" s="9"/>
      <c r="AB120" s="63"/>
      <c r="AC120" s="9"/>
      <c r="AD120" s="9"/>
      <c r="AE120" s="9"/>
      <c r="AF120" s="9"/>
      <c r="AG120" s="63"/>
      <c r="AH120" s="9"/>
      <c r="AI120" s="9"/>
      <c r="AJ120" s="9"/>
      <c r="AK120" s="9"/>
      <c r="AL120" s="63"/>
      <c r="AM120" s="53"/>
      <c r="AN120" s="53"/>
      <c r="AO120" s="53"/>
      <c r="AP120" s="53"/>
      <c r="AQ120" s="28"/>
      <c r="AR120" s="53"/>
      <c r="AS120" s="53"/>
      <c r="AT120" s="53"/>
      <c r="AU120" s="186"/>
      <c r="AV120" s="240"/>
      <c r="AW120" s="240"/>
      <c r="AX120" s="240"/>
      <c r="AY120" s="240"/>
      <c r="AZ120" s="241"/>
      <c r="BA120" s="240"/>
      <c r="BB120" s="240"/>
      <c r="BC120" s="240"/>
      <c r="BD120" s="240"/>
      <c r="BE120" s="241"/>
      <c r="BF120" s="240"/>
      <c r="BG120" s="240"/>
      <c r="BH120" s="240"/>
      <c r="BI120" s="240"/>
      <c r="BJ120" s="241"/>
      <c r="BK120" s="48"/>
      <c r="BL120" s="48"/>
      <c r="BM120" s="262"/>
      <c r="BN120" s="48"/>
      <c r="BO120" s="263"/>
      <c r="BP120" s="48"/>
      <c r="BQ120" s="48"/>
      <c r="BR120" s="262"/>
      <c r="BS120" s="48"/>
      <c r="BT120" s="263"/>
      <c r="BU120" s="48"/>
      <c r="BV120" s="48"/>
      <c r="BW120" s="262"/>
      <c r="BX120" s="48"/>
      <c r="BY120" s="263"/>
      <c r="BZ120" s="48"/>
      <c r="CA120" s="48"/>
      <c r="CB120" s="262"/>
      <c r="CC120" s="48"/>
      <c r="CD120" s="263"/>
      <c r="CE120" s="174"/>
      <c r="CF120" s="174"/>
      <c r="CG120" s="174"/>
      <c r="CH120" s="174"/>
      <c r="CI120" s="263"/>
      <c r="CJ120" s="174"/>
      <c r="CK120" s="174"/>
      <c r="CL120" s="174"/>
      <c r="CM120" s="174"/>
      <c r="CN120" s="263"/>
      <c r="CO120" s="174"/>
      <c r="CP120" s="174"/>
      <c r="CQ120" s="174"/>
      <c r="CR120" s="174"/>
      <c r="CS120" s="263"/>
      <c r="CT120" s="174"/>
      <c r="CU120" s="174"/>
      <c r="CV120" s="174"/>
      <c r="CW120" s="174"/>
      <c r="CX120" s="263"/>
      <c r="CY120" s="174"/>
      <c r="CZ120" s="174"/>
      <c r="DA120" s="174"/>
      <c r="DB120" s="174"/>
      <c r="DC120" s="263"/>
      <c r="DD120" s="174"/>
      <c r="DE120" s="174"/>
      <c r="DF120" s="174"/>
      <c r="DG120" s="174"/>
      <c r="DH120" s="263"/>
      <c r="DI120" s="174"/>
      <c r="DJ120" s="174"/>
      <c r="DK120" s="314"/>
      <c r="DL120" s="174"/>
      <c r="DM120" s="263"/>
      <c r="DN120" s="174"/>
      <c r="DO120" s="174"/>
      <c r="DP120" s="174"/>
      <c r="DQ120" s="174"/>
      <c r="DR120" s="263"/>
      <c r="DS120" s="174"/>
      <c r="DT120" s="1379"/>
      <c r="DU120" s="1379">
        <v>0</v>
      </c>
      <c r="DV120" s="1379">
        <v>0</v>
      </c>
      <c r="DW120" s="1381">
        <f>SUM(DS120:DV120)</f>
        <v>0</v>
      </c>
      <c r="DX120" s="1379">
        <v>0</v>
      </c>
      <c r="DY120" s="1379">
        <v>0</v>
      </c>
      <c r="DZ120" s="1379">
        <v>0</v>
      </c>
      <c r="EA120" s="1379">
        <v>0</v>
      </c>
      <c r="EB120" s="1381">
        <f>SUM(DX120:EA120)</f>
        <v>0</v>
      </c>
      <c r="EC120" s="1379">
        <v>0</v>
      </c>
      <c r="ED120" s="1379">
        <v>0</v>
      </c>
      <c r="EE120" s="1379">
        <v>0</v>
      </c>
      <c r="EF120" s="1379">
        <v>0</v>
      </c>
      <c r="EG120" s="1381">
        <f>SUM(EC120:EF120)</f>
        <v>0</v>
      </c>
      <c r="EH120" s="1379">
        <v>0</v>
      </c>
      <c r="EI120" s="1379">
        <v>0</v>
      </c>
      <c r="EJ120" s="1379">
        <v>0</v>
      </c>
      <c r="EK120" s="1379">
        <v>0</v>
      </c>
      <c r="EL120" s="1381">
        <f>SUM(EH120:EK120)</f>
        <v>0</v>
      </c>
    </row>
    <row r="121" spans="1:142">
      <c r="A121" s="225"/>
      <c r="B121" s="209" t="s">
        <v>299</v>
      </c>
      <c r="C121" s="9"/>
      <c r="D121" s="9"/>
      <c r="E121" s="9"/>
      <c r="F121" s="9"/>
      <c r="G121" s="9"/>
      <c r="H121" s="63"/>
      <c r="I121" s="9"/>
      <c r="J121" s="9"/>
      <c r="K121" s="9"/>
      <c r="L121" s="9"/>
      <c r="M121" s="63"/>
      <c r="N121" s="9"/>
      <c r="O121" s="9"/>
      <c r="P121" s="9"/>
      <c r="Q121" s="9"/>
      <c r="R121" s="63"/>
      <c r="S121" s="9"/>
      <c r="T121" s="9"/>
      <c r="U121" s="9"/>
      <c r="V121" s="9"/>
      <c r="W121" s="63"/>
      <c r="X121" s="9"/>
      <c r="Y121" s="9"/>
      <c r="Z121" s="9"/>
      <c r="AA121" s="9"/>
      <c r="AB121" s="63"/>
      <c r="AC121" s="9"/>
      <c r="AD121" s="9"/>
      <c r="AE121" s="9"/>
      <c r="AF121" s="9"/>
      <c r="AG121" s="63"/>
      <c r="AH121" s="9"/>
      <c r="AI121" s="9"/>
      <c r="AJ121" s="9"/>
      <c r="AK121" s="9"/>
      <c r="AL121" s="63"/>
      <c r="AM121" s="53"/>
      <c r="AN121" s="53"/>
      <c r="AO121" s="53"/>
      <c r="AP121" s="53"/>
      <c r="AQ121" s="28"/>
      <c r="AR121" s="53"/>
      <c r="AS121" s="53"/>
      <c r="AT121" s="53"/>
      <c r="AU121" s="186"/>
      <c r="AV121" s="240"/>
      <c r="AW121" s="240"/>
      <c r="AX121" s="240"/>
      <c r="AY121" s="240"/>
      <c r="AZ121" s="241"/>
      <c r="BA121" s="240"/>
      <c r="BB121" s="240"/>
      <c r="BC121" s="240"/>
      <c r="BD121" s="240"/>
      <c r="BE121" s="241"/>
      <c r="BF121" s="240"/>
      <c r="BG121" s="240"/>
      <c r="BH121" s="240"/>
      <c r="BI121" s="240"/>
      <c r="BJ121" s="241"/>
      <c r="BK121" s="146"/>
      <c r="BL121" s="162"/>
      <c r="BM121" s="162"/>
      <c r="BN121" s="162"/>
      <c r="BO121" s="266"/>
      <c r="BP121" s="146"/>
      <c r="BQ121" s="162"/>
      <c r="BR121" s="162"/>
      <c r="BS121" s="162"/>
      <c r="BT121" s="266"/>
      <c r="BU121" s="146"/>
      <c r="BV121" s="162"/>
      <c r="BW121" s="162"/>
      <c r="BX121" s="162"/>
      <c r="BY121" s="266"/>
      <c r="BZ121" s="146"/>
      <c r="CA121" s="162"/>
      <c r="CB121" s="162"/>
      <c r="CC121" s="162"/>
      <c r="CD121" s="266"/>
      <c r="CE121" s="267"/>
      <c r="CF121" s="267"/>
      <c r="CG121" s="267"/>
      <c r="CH121" s="267"/>
      <c r="CI121" s="170"/>
      <c r="CJ121" s="267"/>
      <c r="CK121" s="267"/>
      <c r="CL121" s="267"/>
      <c r="CM121" s="267"/>
      <c r="CN121" s="170"/>
      <c r="CO121" s="267"/>
      <c r="CP121" s="267"/>
      <c r="CQ121" s="267"/>
      <c r="CR121" s="267"/>
      <c r="CS121" s="170"/>
      <c r="CT121" s="267"/>
      <c r="CU121" s="267"/>
      <c r="CV121" s="267"/>
      <c r="CW121" s="165"/>
      <c r="CX121" s="170"/>
      <c r="CY121" s="165"/>
      <c r="CZ121" s="166"/>
      <c r="DA121" s="333"/>
      <c r="DB121" s="269"/>
      <c r="DC121" s="170"/>
      <c r="DD121" s="165"/>
      <c r="DE121" s="269"/>
      <c r="DF121" s="269"/>
      <c r="DG121" s="269"/>
      <c r="DH121" s="170"/>
      <c r="DI121" s="165"/>
      <c r="DJ121" s="271"/>
      <c r="DK121" s="272"/>
      <c r="DL121" s="271"/>
      <c r="DM121" s="170"/>
      <c r="DN121" s="165"/>
      <c r="DO121" s="271"/>
      <c r="DP121" s="271"/>
      <c r="DQ121" s="271"/>
      <c r="DR121" s="170"/>
      <c r="DS121" s="271"/>
      <c r="DT121" s="539"/>
      <c r="DU121" s="539">
        <f t="shared" ref="DU121:EG121" si="15">SUM(DU118:DU120)</f>
        <v>1410</v>
      </c>
      <c r="DV121" s="539">
        <f t="shared" si="15"/>
        <v>1410</v>
      </c>
      <c r="DW121" s="540">
        <f t="shared" si="15"/>
        <v>1410</v>
      </c>
      <c r="DX121" s="539">
        <f t="shared" si="15"/>
        <v>1410</v>
      </c>
      <c r="DY121" s="539">
        <f t="shared" si="15"/>
        <v>1410</v>
      </c>
      <c r="DZ121" s="539">
        <f t="shared" si="15"/>
        <v>1410</v>
      </c>
      <c r="EA121" s="539">
        <f t="shared" si="15"/>
        <v>1410</v>
      </c>
      <c r="EB121" s="540">
        <f t="shared" si="15"/>
        <v>1410</v>
      </c>
      <c r="EC121" s="539">
        <f t="shared" si="15"/>
        <v>1410</v>
      </c>
      <c r="ED121" s="539">
        <f t="shared" si="15"/>
        <v>1410</v>
      </c>
      <c r="EE121" s="539">
        <f t="shared" si="15"/>
        <v>1410</v>
      </c>
      <c r="EF121" s="539">
        <f t="shared" si="15"/>
        <v>1410</v>
      </c>
      <c r="EG121" s="540">
        <f t="shared" si="15"/>
        <v>1410</v>
      </c>
      <c r="EH121" s="539">
        <f t="shared" ref="EH121:EL121" si="16">SUM(EH118:EH120)</f>
        <v>1410</v>
      </c>
      <c r="EI121" s="539">
        <f t="shared" si="16"/>
        <v>1410</v>
      </c>
      <c r="EJ121" s="539">
        <f t="shared" si="16"/>
        <v>1410</v>
      </c>
      <c r="EK121" s="539">
        <f t="shared" si="16"/>
        <v>1410</v>
      </c>
      <c r="EL121" s="540">
        <f t="shared" si="16"/>
        <v>1410</v>
      </c>
    </row>
    <row r="122" spans="1:142">
      <c r="A122" s="225"/>
      <c r="B122" s="214" t="s">
        <v>300</v>
      </c>
      <c r="C122" s="9"/>
      <c r="D122" s="9"/>
      <c r="E122" s="9"/>
      <c r="F122" s="9"/>
      <c r="G122" s="9"/>
      <c r="H122" s="63"/>
      <c r="I122" s="9"/>
      <c r="J122" s="9"/>
      <c r="K122" s="9"/>
      <c r="L122" s="9"/>
      <c r="M122" s="63"/>
      <c r="N122" s="9"/>
      <c r="O122" s="9"/>
      <c r="P122" s="9"/>
      <c r="Q122" s="9"/>
      <c r="R122" s="63"/>
      <c r="S122" s="9"/>
      <c r="T122" s="9"/>
      <c r="U122" s="9"/>
      <c r="V122" s="9"/>
      <c r="W122" s="63"/>
      <c r="X122" s="9"/>
      <c r="Y122" s="9"/>
      <c r="Z122" s="9"/>
      <c r="AA122" s="9"/>
      <c r="AB122" s="63"/>
      <c r="AC122" s="9"/>
      <c r="AD122" s="9"/>
      <c r="AE122" s="9"/>
      <c r="AF122" s="9"/>
      <c r="AG122" s="63"/>
      <c r="AH122" s="9"/>
      <c r="AI122" s="9"/>
      <c r="AJ122" s="9"/>
      <c r="AK122" s="9"/>
      <c r="AL122" s="63"/>
      <c r="AM122" s="53"/>
      <c r="AN122" s="53"/>
      <c r="AO122" s="53"/>
      <c r="AP122" s="53"/>
      <c r="AQ122" s="28"/>
      <c r="AR122" s="53"/>
      <c r="AS122" s="53"/>
      <c r="AT122" s="53"/>
      <c r="AU122" s="186"/>
      <c r="AV122" s="240"/>
      <c r="AW122" s="240"/>
      <c r="AX122" s="240"/>
      <c r="AY122" s="240"/>
      <c r="AZ122" s="241"/>
      <c r="BA122" s="240"/>
      <c r="BB122" s="240"/>
      <c r="BC122" s="240"/>
      <c r="BD122" s="240"/>
      <c r="BE122" s="241"/>
      <c r="BF122" s="240"/>
      <c r="BG122" s="240"/>
      <c r="BH122" s="240"/>
      <c r="BI122" s="240"/>
      <c r="BJ122" s="241"/>
      <c r="BK122" s="215"/>
      <c r="BL122" s="215"/>
      <c r="BM122" s="275"/>
      <c r="BN122" s="215"/>
      <c r="BO122" s="263"/>
      <c r="BP122" s="215"/>
      <c r="BQ122" s="215"/>
      <c r="BR122" s="275"/>
      <c r="BS122" s="215"/>
      <c r="BT122" s="263"/>
      <c r="BU122" s="215"/>
      <c r="BV122" s="215"/>
      <c r="BW122" s="275"/>
      <c r="BX122" s="215"/>
      <c r="BY122" s="263"/>
      <c r="BZ122" s="215"/>
      <c r="CA122" s="215"/>
      <c r="CB122" s="275"/>
      <c r="CC122" s="215"/>
      <c r="CD122" s="263"/>
      <c r="CE122" s="276"/>
      <c r="CF122" s="276"/>
      <c r="CG122" s="276"/>
      <c r="CH122" s="276"/>
      <c r="CI122" s="263"/>
      <c r="CJ122" s="276"/>
      <c r="CK122" s="276"/>
      <c r="CL122" s="276"/>
      <c r="CM122" s="276"/>
      <c r="CN122" s="263"/>
      <c r="CO122" s="276"/>
      <c r="CP122" s="276"/>
      <c r="CQ122" s="276"/>
      <c r="CR122" s="276"/>
      <c r="CS122" s="263"/>
      <c r="CT122" s="276"/>
      <c r="CU122" s="276"/>
      <c r="CV122" s="276"/>
      <c r="CW122" s="276"/>
      <c r="CX122" s="263"/>
      <c r="CY122" s="276"/>
      <c r="CZ122" s="276"/>
      <c r="DA122" s="276"/>
      <c r="DB122" s="276"/>
      <c r="DC122" s="263"/>
      <c r="DD122" s="276"/>
      <c r="DE122" s="276"/>
      <c r="DF122" s="276"/>
      <c r="DG122" s="276"/>
      <c r="DH122" s="263"/>
      <c r="DI122" s="276"/>
      <c r="DJ122" s="276"/>
      <c r="DK122" s="276"/>
      <c r="DL122" s="276"/>
      <c r="DM122" s="263"/>
      <c r="DN122" s="276"/>
      <c r="DO122" s="276"/>
      <c r="DP122" s="276"/>
      <c r="DQ122" s="276"/>
      <c r="DR122" s="263"/>
      <c r="DS122" s="276"/>
      <c r="DT122" s="1342"/>
      <c r="DU122" s="1342">
        <f>DU117/4*AVERAGE(DU121,DU118)</f>
        <v>9.0328124999999986</v>
      </c>
      <c r="DV122" s="1342">
        <f>DV117/4*AVERAGE(DV121,DV118)</f>
        <v>18.065624999999997</v>
      </c>
      <c r="DW122" s="1353">
        <f>SUM(DS122:DV122)</f>
        <v>27.098437499999996</v>
      </c>
      <c r="DX122" s="1342">
        <f>DX117/4*AVERAGE(DX121,DX118)</f>
        <v>18.065624999999997</v>
      </c>
      <c r="DY122" s="1342">
        <f>DY117/4*AVERAGE(DY121,DY118)</f>
        <v>18.065624999999997</v>
      </c>
      <c r="DZ122" s="1342">
        <f>DZ117/4*AVERAGE(DZ121,DZ118)</f>
        <v>18.065624999999997</v>
      </c>
      <c r="EA122" s="1342">
        <f>EA117/4*AVERAGE(EA121,EA118)</f>
        <v>18.065624999999997</v>
      </c>
      <c r="EB122" s="1353">
        <f>SUM(DX122:EA122)</f>
        <v>72.262499999999989</v>
      </c>
      <c r="EC122" s="1342">
        <f>EC117/4*AVERAGE(EC121,EC118)</f>
        <v>18.065624999999997</v>
      </c>
      <c r="ED122" s="1342">
        <f>ED117/4*AVERAGE(ED121,ED118)</f>
        <v>18.065624999999997</v>
      </c>
      <c r="EE122" s="1342">
        <f>EE117/4*AVERAGE(EE121,EE118)</f>
        <v>18.065624999999997</v>
      </c>
      <c r="EF122" s="1342">
        <f>EF117/4*AVERAGE(EF121,EF118)</f>
        <v>18.065624999999997</v>
      </c>
      <c r="EG122" s="1353">
        <f>SUM(EC122:EF122)</f>
        <v>72.262499999999989</v>
      </c>
      <c r="EH122" s="1342">
        <f>EH117/4*AVERAGE(EH121,EH118)</f>
        <v>18.065624999999997</v>
      </c>
      <c r="EI122" s="1342">
        <f>EI117/4*AVERAGE(EI121,EI118)</f>
        <v>18.065624999999997</v>
      </c>
      <c r="EJ122" s="1342">
        <f>EJ117/4*AVERAGE(EJ121,EJ118)</f>
        <v>18.065624999999997</v>
      </c>
      <c r="EK122" s="1342">
        <f>EK117/4*AVERAGE(EK121,EK118)</f>
        <v>18.065624999999997</v>
      </c>
      <c r="EL122" s="1353">
        <f>SUM(EH122:EK122)</f>
        <v>72.262499999999989</v>
      </c>
    </row>
    <row r="123" spans="1:142" hidden="1" outlineLevel="1">
      <c r="A123" s="277"/>
      <c r="B123" s="277"/>
      <c r="C123" s="9"/>
      <c r="D123" s="9"/>
      <c r="E123" s="9"/>
      <c r="F123" s="9"/>
      <c r="G123" s="9"/>
      <c r="H123" s="63"/>
      <c r="I123" s="9"/>
      <c r="J123" s="9"/>
      <c r="K123" s="9"/>
      <c r="L123" s="9"/>
      <c r="M123" s="63"/>
      <c r="N123" s="9"/>
      <c r="O123" s="9"/>
      <c r="P123" s="9"/>
      <c r="Q123" s="9"/>
      <c r="R123" s="63"/>
      <c r="S123" s="9"/>
      <c r="T123" s="9"/>
      <c r="U123" s="9"/>
      <c r="V123" s="9"/>
      <c r="W123" s="63"/>
      <c r="X123" s="9"/>
      <c r="Y123" s="9"/>
      <c r="Z123" s="9"/>
      <c r="AA123" s="9"/>
      <c r="AB123" s="63"/>
      <c r="AC123" s="9"/>
      <c r="AD123" s="9"/>
      <c r="AE123" s="9"/>
      <c r="AF123" s="9"/>
      <c r="AG123" s="63"/>
      <c r="AH123" s="9"/>
      <c r="AI123" s="9"/>
      <c r="AJ123" s="9"/>
      <c r="AK123" s="9"/>
      <c r="AL123" s="63"/>
      <c r="AM123" s="53"/>
      <c r="AN123" s="53"/>
      <c r="AO123" s="53"/>
      <c r="AP123" s="53"/>
      <c r="AQ123" s="28"/>
      <c r="AR123" s="53"/>
      <c r="AS123" s="53"/>
      <c r="AT123" s="53"/>
      <c r="AU123" s="186"/>
      <c r="AV123" s="240"/>
      <c r="AW123" s="240"/>
      <c r="AX123" s="240"/>
      <c r="AY123" s="240"/>
      <c r="AZ123" s="241"/>
      <c r="BA123" s="240"/>
      <c r="BB123" s="240"/>
      <c r="BC123" s="240"/>
      <c r="BD123" s="240"/>
      <c r="BE123" s="241"/>
      <c r="BF123" s="240"/>
      <c r="BG123" s="240"/>
      <c r="BH123" s="240"/>
      <c r="BI123" s="240"/>
      <c r="BJ123" s="241"/>
      <c r="BK123" s="171"/>
      <c r="BL123" s="171"/>
      <c r="BM123" s="171"/>
      <c r="BN123" s="171"/>
      <c r="BO123" s="193"/>
      <c r="BP123" s="171"/>
      <c r="BQ123" s="171"/>
      <c r="BR123" s="171"/>
      <c r="BS123" s="171"/>
      <c r="BT123" s="193"/>
      <c r="BU123" s="171"/>
      <c r="BV123" s="171"/>
      <c r="BW123" s="171"/>
      <c r="BX123" s="171"/>
      <c r="BY123" s="193"/>
      <c r="BZ123" s="171"/>
      <c r="CA123" s="171"/>
      <c r="CB123" s="171"/>
      <c r="CC123" s="171"/>
      <c r="CD123" s="193"/>
      <c r="CE123" s="171"/>
      <c r="CF123" s="171"/>
      <c r="CG123" s="171"/>
      <c r="CH123" s="171"/>
      <c r="CI123" s="193"/>
      <c r="CJ123" s="171"/>
      <c r="CK123" s="171"/>
      <c r="CL123" s="171"/>
      <c r="CM123" s="171"/>
      <c r="CN123" s="193"/>
      <c r="CO123" s="171"/>
      <c r="CP123" s="171"/>
      <c r="CQ123" s="171"/>
      <c r="CR123" s="171"/>
      <c r="CS123" s="193"/>
      <c r="CT123" s="210"/>
      <c r="CU123" s="53"/>
      <c r="CV123" s="53"/>
      <c r="CW123" s="53"/>
      <c r="CX123" s="28"/>
      <c r="CY123" s="53"/>
      <c r="CZ123" s="53"/>
      <c r="DA123" s="53"/>
      <c r="DB123" s="53"/>
      <c r="DC123" s="28"/>
      <c r="DD123" s="53"/>
      <c r="DE123" s="53"/>
      <c r="DF123" s="53"/>
      <c r="DG123" s="53"/>
      <c r="DH123" s="28"/>
      <c r="DI123" s="53"/>
      <c r="DJ123" s="53"/>
      <c r="DK123" s="53"/>
      <c r="DL123" s="53"/>
      <c r="DM123" s="53"/>
      <c r="DN123" s="53"/>
      <c r="DO123" s="53"/>
      <c r="DP123" s="53"/>
      <c r="DQ123" s="53"/>
      <c r="DR123" s="53"/>
      <c r="DS123" s="53"/>
      <c r="DT123" s="53"/>
      <c r="DU123" s="53"/>
      <c r="DV123" s="53"/>
      <c r="DW123" s="53"/>
      <c r="DX123" s="53"/>
      <c r="DY123" s="53"/>
      <c r="DZ123" s="53"/>
      <c r="EA123" s="53"/>
      <c r="EB123" s="53"/>
      <c r="EC123" s="53"/>
      <c r="ED123" s="53"/>
      <c r="EE123" s="53"/>
      <c r="EF123" s="53"/>
      <c r="EG123" s="53"/>
      <c r="EH123" s="53"/>
      <c r="EI123" s="53"/>
      <c r="EJ123" s="53"/>
      <c r="EK123" s="53"/>
      <c r="EL123" s="53"/>
    </row>
    <row r="124" spans="1:142" hidden="1" outlineLevel="1">
      <c r="A124" s="277"/>
      <c r="B124" s="1326" t="s">
        <v>672</v>
      </c>
      <c r="C124" s="9"/>
      <c r="D124" s="9"/>
      <c r="E124" s="9"/>
      <c r="F124" s="9"/>
      <c r="G124" s="9"/>
      <c r="H124" s="63"/>
      <c r="I124" s="9"/>
      <c r="J124" s="9"/>
      <c r="K124" s="9"/>
      <c r="L124" s="9"/>
      <c r="M124" s="63"/>
      <c r="N124" s="9"/>
      <c r="O124" s="9"/>
      <c r="P124" s="9"/>
      <c r="Q124" s="9"/>
      <c r="R124" s="63"/>
      <c r="S124" s="9"/>
      <c r="T124" s="9"/>
      <c r="U124" s="9"/>
      <c r="V124" s="9"/>
      <c r="W124" s="63"/>
      <c r="X124" s="9"/>
      <c r="Y124" s="9"/>
      <c r="Z124" s="9"/>
      <c r="AA124" s="9"/>
      <c r="AB124" s="63"/>
      <c r="AC124" s="9"/>
      <c r="AD124" s="9"/>
      <c r="AE124" s="9"/>
      <c r="AF124" s="9"/>
      <c r="AG124" s="63"/>
      <c r="AH124" s="9"/>
      <c r="AI124" s="9"/>
      <c r="AJ124" s="9"/>
      <c r="AK124" s="9"/>
      <c r="AL124" s="63"/>
      <c r="AM124" s="53"/>
      <c r="AN124" s="53"/>
      <c r="AO124" s="53"/>
      <c r="AP124" s="53"/>
      <c r="AQ124" s="28"/>
      <c r="AR124" s="53"/>
      <c r="AS124" s="53"/>
      <c r="AT124" s="53"/>
      <c r="AU124" s="186"/>
      <c r="AV124" s="240"/>
      <c r="AW124" s="240"/>
      <c r="AX124" s="240"/>
      <c r="AY124" s="240"/>
      <c r="AZ124" s="241"/>
      <c r="BA124" s="240"/>
      <c r="BB124" s="240"/>
      <c r="BC124" s="240"/>
      <c r="BD124" s="240"/>
      <c r="BE124" s="241"/>
      <c r="BF124" s="240"/>
      <c r="BG124" s="240"/>
      <c r="BH124" s="240"/>
      <c r="BI124" s="240"/>
      <c r="BJ124" s="241"/>
      <c r="BK124" s="171"/>
      <c r="BL124" s="171"/>
      <c r="BM124" s="171"/>
      <c r="BN124" s="171"/>
      <c r="BO124" s="193"/>
      <c r="BP124" s="171"/>
      <c r="BQ124" s="171"/>
      <c r="BR124" s="171"/>
      <c r="BS124" s="171"/>
      <c r="BT124" s="193"/>
      <c r="BU124" s="171"/>
      <c r="BV124" s="171"/>
      <c r="BW124" s="171"/>
      <c r="BX124" s="171"/>
      <c r="BY124" s="193"/>
      <c r="BZ124" s="171"/>
      <c r="CA124" s="171"/>
      <c r="CB124" s="171"/>
      <c r="CC124" s="171"/>
      <c r="CD124" s="193"/>
      <c r="CE124" s="171"/>
      <c r="CF124" s="171"/>
      <c r="CG124" s="171"/>
      <c r="CH124" s="171"/>
      <c r="CI124" s="193"/>
      <c r="CJ124" s="171"/>
      <c r="CK124" s="171"/>
      <c r="CL124" s="171"/>
      <c r="CM124" s="171"/>
      <c r="CN124" s="193"/>
      <c r="CO124" s="171"/>
      <c r="CP124" s="171"/>
      <c r="CQ124" s="171"/>
      <c r="CR124" s="171"/>
      <c r="CS124" s="193"/>
      <c r="CT124" s="210"/>
      <c r="CU124" s="53"/>
      <c r="CV124" s="53"/>
      <c r="CW124" s="53"/>
      <c r="CX124" s="28"/>
      <c r="CY124" s="53"/>
      <c r="CZ124" s="53"/>
      <c r="DA124" s="53"/>
      <c r="DB124" s="53"/>
      <c r="DC124" s="28"/>
      <c r="DD124" s="53"/>
      <c r="DE124" s="53"/>
      <c r="DF124" s="53"/>
      <c r="DG124" s="53"/>
      <c r="DH124" s="28"/>
      <c r="DI124" s="53"/>
      <c r="DJ124" s="53"/>
      <c r="DK124" s="53"/>
      <c r="DL124" s="53"/>
      <c r="DM124" s="53"/>
      <c r="DN124" s="53"/>
      <c r="DO124" s="53"/>
      <c r="DP124" s="53"/>
      <c r="DQ124" s="53"/>
      <c r="DR124" s="53"/>
      <c r="DS124" s="53"/>
      <c r="DT124" s="739">
        <f>DT114+DT120</f>
        <v>1441</v>
      </c>
      <c r="DU124" s="739">
        <f>DU114+DU120</f>
        <v>2490</v>
      </c>
      <c r="DV124" s="739">
        <f>DV114+DV120</f>
        <v>698</v>
      </c>
      <c r="DW124" s="739"/>
      <c r="DX124" s="739">
        <f>DX114+DX120</f>
        <v>829.37035815589047</v>
      </c>
      <c r="DY124" s="739">
        <f>DY114+DY120</f>
        <v>605.37663535468891</v>
      </c>
      <c r="DZ124" s="739">
        <f>DZ114+DZ120</f>
        <v>853.21887238129329</v>
      </c>
      <c r="EA124" s="739">
        <f>EA114+EA120</f>
        <v>567.71087398451732</v>
      </c>
      <c r="EB124" s="739"/>
      <c r="EC124" s="739">
        <f>EC114+EC120</f>
        <v>376.97417916896063</v>
      </c>
      <c r="ED124" s="739">
        <f>ED114+ED120</f>
        <v>520.54772891988341</v>
      </c>
      <c r="EE124" s="739">
        <f>EE114+EE120</f>
        <v>689.98221824519351</v>
      </c>
      <c r="EF124" s="739">
        <f>EF114+EF120</f>
        <v>714.63062624325505</v>
      </c>
      <c r="EG124" s="739"/>
      <c r="EH124" s="739">
        <f>EH114+EH120</f>
        <v>657.96794350851678</v>
      </c>
      <c r="EI124" s="739">
        <f>EI114+EI120</f>
        <v>602.90493870577018</v>
      </c>
      <c r="EJ124" s="739">
        <f>EJ114+EJ120</f>
        <v>652.42194509847184</v>
      </c>
      <c r="EK124" s="739">
        <f>EK114+EK120</f>
        <v>471.25813137678415</v>
      </c>
      <c r="EL124" s="739"/>
    </row>
    <row r="125" spans="1:142" collapsed="1">
      <c r="A125" s="277"/>
      <c r="B125" s="1326"/>
      <c r="C125" s="9"/>
      <c r="D125" s="9"/>
      <c r="E125" s="9"/>
      <c r="F125" s="9"/>
      <c r="G125" s="9"/>
      <c r="H125" s="63"/>
      <c r="I125" s="9"/>
      <c r="J125" s="9"/>
      <c r="K125" s="9"/>
      <c r="L125" s="9"/>
      <c r="M125" s="63"/>
      <c r="N125" s="9"/>
      <c r="O125" s="9"/>
      <c r="P125" s="9"/>
      <c r="Q125" s="9"/>
      <c r="R125" s="63"/>
      <c r="S125" s="9"/>
      <c r="T125" s="9"/>
      <c r="U125" s="9"/>
      <c r="V125" s="9"/>
      <c r="W125" s="63"/>
      <c r="X125" s="9"/>
      <c r="Y125" s="9"/>
      <c r="Z125" s="9"/>
      <c r="AA125" s="9"/>
      <c r="AB125" s="63"/>
      <c r="AC125" s="9"/>
      <c r="AD125" s="9"/>
      <c r="AE125" s="9"/>
      <c r="AF125" s="9"/>
      <c r="AG125" s="63"/>
      <c r="AH125" s="9"/>
      <c r="AI125" s="9"/>
      <c r="AJ125" s="9"/>
      <c r="AK125" s="9"/>
      <c r="AL125" s="63"/>
      <c r="AM125" s="53"/>
      <c r="AN125" s="53"/>
      <c r="AO125" s="53"/>
      <c r="AP125" s="53"/>
      <c r="AQ125" s="28"/>
      <c r="AR125" s="53"/>
      <c r="AS125" s="53"/>
      <c r="AT125" s="53"/>
      <c r="AU125" s="186"/>
      <c r="AV125" s="240"/>
      <c r="AW125" s="240"/>
      <c r="AX125" s="240"/>
      <c r="AY125" s="240"/>
      <c r="AZ125" s="241"/>
      <c r="BA125" s="240"/>
      <c r="BB125" s="240"/>
      <c r="BC125" s="240"/>
      <c r="BD125" s="240"/>
      <c r="BE125" s="241"/>
      <c r="BF125" s="240"/>
      <c r="BG125" s="240"/>
      <c r="BH125" s="240"/>
      <c r="BI125" s="240"/>
      <c r="BJ125" s="241"/>
      <c r="BK125" s="171"/>
      <c r="BL125" s="171"/>
      <c r="BM125" s="171"/>
      <c r="BN125" s="171"/>
      <c r="BO125" s="193"/>
      <c r="BP125" s="171"/>
      <c r="BQ125" s="171"/>
      <c r="BR125" s="171"/>
      <c r="BS125" s="171"/>
      <c r="BT125" s="193"/>
      <c r="BU125" s="171"/>
      <c r="BV125" s="171"/>
      <c r="BW125" s="171"/>
      <c r="BX125" s="171"/>
      <c r="BY125" s="193"/>
      <c r="BZ125" s="171"/>
      <c r="CA125" s="171"/>
      <c r="CB125" s="171"/>
      <c r="CC125" s="171"/>
      <c r="CD125" s="193"/>
      <c r="CE125" s="171"/>
      <c r="CF125" s="171"/>
      <c r="CG125" s="171"/>
      <c r="CH125" s="171"/>
      <c r="CI125" s="193"/>
      <c r="CJ125" s="171"/>
      <c r="CK125" s="171"/>
      <c r="CL125" s="171"/>
      <c r="CM125" s="171"/>
      <c r="CN125" s="193"/>
      <c r="CO125" s="171"/>
      <c r="CP125" s="171"/>
      <c r="CQ125" s="171"/>
      <c r="CR125" s="171"/>
      <c r="CS125" s="193"/>
      <c r="CT125" s="210"/>
      <c r="CU125" s="53"/>
      <c r="CV125" s="53"/>
      <c r="CW125" s="53"/>
      <c r="CX125" s="28"/>
      <c r="CY125" s="53"/>
      <c r="CZ125" s="53"/>
      <c r="DA125" s="53"/>
      <c r="DB125" s="53"/>
      <c r="DC125" s="28"/>
      <c r="DD125" s="53"/>
      <c r="DE125" s="53"/>
      <c r="DF125" s="53"/>
      <c r="DG125" s="53"/>
      <c r="DH125" s="28"/>
      <c r="DI125" s="53"/>
      <c r="DJ125" s="53"/>
      <c r="DK125" s="53"/>
      <c r="DL125" s="53"/>
      <c r="DM125" s="53"/>
      <c r="DN125" s="53"/>
      <c r="DO125" s="53"/>
      <c r="DP125" s="53"/>
      <c r="DQ125" s="53"/>
      <c r="DR125" s="53"/>
      <c r="DS125" s="53"/>
      <c r="DT125" s="739"/>
      <c r="DU125" s="739"/>
      <c r="DV125" s="739"/>
      <c r="DW125" s="739"/>
      <c r="DX125" s="739"/>
      <c r="DY125" s="739"/>
      <c r="DZ125" s="739"/>
      <c r="EA125" s="739"/>
      <c r="EB125" s="739"/>
      <c r="EC125" s="739"/>
      <c r="ED125" s="739"/>
      <c r="EE125" s="739"/>
      <c r="EF125" s="739"/>
      <c r="EG125" s="739"/>
      <c r="EH125" s="739"/>
      <c r="EI125" s="739"/>
      <c r="EJ125" s="739"/>
      <c r="EK125" s="739"/>
      <c r="EL125" s="739"/>
    </row>
    <row r="126" spans="1:142">
      <c r="A126" s="277"/>
      <c r="B126" s="1368" t="s">
        <v>677</v>
      </c>
      <c r="C126" s="9"/>
      <c r="D126" s="9"/>
      <c r="E126" s="9"/>
      <c r="F126" s="9"/>
      <c r="G126" s="9"/>
      <c r="H126" s="63"/>
      <c r="I126" s="9"/>
      <c r="J126" s="9"/>
      <c r="K126" s="9"/>
      <c r="L126" s="9"/>
      <c r="M126" s="63"/>
      <c r="N126" s="9"/>
      <c r="O126" s="9"/>
      <c r="P126" s="9"/>
      <c r="Q126" s="9"/>
      <c r="R126" s="63"/>
      <c r="S126" s="9"/>
      <c r="T126" s="9"/>
      <c r="U126" s="9"/>
      <c r="V126" s="9"/>
      <c r="W126" s="63"/>
      <c r="X126" s="9"/>
      <c r="Y126" s="9"/>
      <c r="Z126" s="9"/>
      <c r="AA126" s="9"/>
      <c r="AB126" s="63"/>
      <c r="AC126" s="9"/>
      <c r="AD126" s="9"/>
      <c r="AE126" s="9"/>
      <c r="AF126" s="9"/>
      <c r="AG126" s="63"/>
      <c r="AH126" s="9"/>
      <c r="AI126" s="9"/>
      <c r="AJ126" s="9"/>
      <c r="AK126" s="9"/>
      <c r="AL126" s="63"/>
      <c r="AM126" s="53"/>
      <c r="AN126" s="53"/>
      <c r="AO126" s="53"/>
      <c r="AP126" s="53"/>
      <c r="AQ126" s="28"/>
      <c r="AR126" s="53"/>
      <c r="AS126" s="53"/>
      <c r="AT126" s="53"/>
      <c r="AU126" s="186"/>
      <c r="AV126" s="240"/>
      <c r="AW126" s="240"/>
      <c r="AX126" s="240"/>
      <c r="AY126" s="240"/>
      <c r="AZ126" s="241"/>
      <c r="BA126" s="240"/>
      <c r="BB126" s="240"/>
      <c r="BC126" s="240"/>
      <c r="BD126" s="240"/>
      <c r="BE126" s="241"/>
      <c r="BF126" s="240"/>
      <c r="BG126" s="240"/>
      <c r="BH126" s="240"/>
      <c r="BI126" s="240"/>
      <c r="BJ126" s="241"/>
      <c r="BK126" s="171"/>
      <c r="BL126" s="171"/>
      <c r="BM126" s="171"/>
      <c r="BN126" s="171"/>
      <c r="BO126" s="193"/>
      <c r="BP126" s="171"/>
      <c r="BQ126" s="171"/>
      <c r="BR126" s="171"/>
      <c r="BS126" s="171"/>
      <c r="BT126" s="193"/>
      <c r="BU126" s="171"/>
      <c r="BV126" s="171"/>
      <c r="BW126" s="171"/>
      <c r="BX126" s="171"/>
      <c r="BY126" s="193"/>
      <c r="BZ126" s="171"/>
      <c r="CA126" s="171"/>
      <c r="CB126" s="171"/>
      <c r="CC126" s="171"/>
      <c r="CD126" s="193"/>
      <c r="CE126" s="171"/>
      <c r="CF126" s="171"/>
      <c r="CG126" s="171"/>
      <c r="CH126" s="171"/>
      <c r="CI126" s="193"/>
      <c r="CJ126" s="171"/>
      <c r="CK126" s="171"/>
      <c r="CL126" s="171"/>
      <c r="CM126" s="171"/>
      <c r="CN126" s="193"/>
      <c r="CO126" s="171"/>
      <c r="CP126" s="171"/>
      <c r="CQ126" s="171"/>
      <c r="CR126" s="171"/>
      <c r="CS126" s="193"/>
      <c r="CT126" s="210"/>
      <c r="CU126" s="53"/>
      <c r="CV126" s="53"/>
      <c r="CW126" s="53"/>
      <c r="CX126" s="28"/>
      <c r="CY126" s="53"/>
      <c r="CZ126" s="53"/>
      <c r="DA126" s="53"/>
      <c r="DB126" s="53"/>
      <c r="DC126" s="28"/>
      <c r="DD126" s="53"/>
      <c r="DE126" s="53"/>
      <c r="DF126" s="53"/>
      <c r="DG126" s="53"/>
      <c r="DH126" s="28"/>
      <c r="DI126" s="53"/>
      <c r="DJ126" s="53"/>
      <c r="DK126" s="53"/>
      <c r="DL126" s="53"/>
      <c r="DM126" s="53"/>
      <c r="DN126" s="53"/>
      <c r="DO126" s="53"/>
      <c r="DP126" s="53"/>
      <c r="DQ126" s="53"/>
      <c r="DR126" s="53"/>
      <c r="DS126" s="53"/>
      <c r="DT126" s="739"/>
      <c r="DU126" s="739"/>
      <c r="DV126" s="739"/>
      <c r="DW126" s="739"/>
      <c r="DX126" s="739"/>
      <c r="DY126" s="739"/>
      <c r="DZ126" s="739"/>
      <c r="EA126" s="739"/>
      <c r="EB126" s="739"/>
      <c r="EC126" s="739"/>
      <c r="ED126" s="739"/>
      <c r="EE126" s="739"/>
      <c r="EF126" s="739"/>
      <c r="EG126" s="739"/>
      <c r="EH126" s="739"/>
      <c r="EI126" s="739"/>
      <c r="EJ126" s="739"/>
      <c r="EK126" s="739"/>
      <c r="EL126" s="739"/>
    </row>
    <row r="127" spans="1:142" s="680" customFormat="1" hidden="1" outlineLevel="1">
      <c r="A127" s="1496"/>
      <c r="B127" s="1370"/>
      <c r="C127" s="555"/>
      <c r="D127" s="555"/>
      <c r="E127" s="555"/>
      <c r="F127" s="555"/>
      <c r="G127" s="555"/>
      <c r="H127" s="802"/>
      <c r="I127" s="555"/>
      <c r="J127" s="555"/>
      <c r="K127" s="555"/>
      <c r="L127" s="555"/>
      <c r="M127" s="802"/>
      <c r="N127" s="555"/>
      <c r="O127" s="555"/>
      <c r="P127" s="555"/>
      <c r="Q127" s="555"/>
      <c r="R127" s="802"/>
      <c r="S127" s="555"/>
      <c r="T127" s="555"/>
      <c r="U127" s="555"/>
      <c r="V127" s="555"/>
      <c r="W127" s="802"/>
      <c r="X127" s="555"/>
      <c r="Y127" s="555"/>
      <c r="Z127" s="555"/>
      <c r="AA127" s="555"/>
      <c r="AB127" s="802"/>
      <c r="AC127" s="555"/>
      <c r="AD127" s="555"/>
      <c r="AE127" s="555"/>
      <c r="AF127" s="555"/>
      <c r="AG127" s="802"/>
      <c r="AH127" s="555"/>
      <c r="AI127" s="555"/>
      <c r="AJ127" s="555"/>
      <c r="AK127" s="555"/>
      <c r="AL127" s="802"/>
      <c r="AM127" s="739"/>
      <c r="AN127" s="739"/>
      <c r="AO127" s="739"/>
      <c r="AP127" s="739"/>
      <c r="AQ127" s="817"/>
      <c r="AR127" s="739"/>
      <c r="AS127" s="739"/>
      <c r="AT127" s="739"/>
      <c r="AU127" s="802"/>
      <c r="AV127" s="1371"/>
      <c r="AW127" s="1371"/>
      <c r="AX127" s="1371"/>
      <c r="AY127" s="1371"/>
      <c r="AZ127" s="1372"/>
      <c r="BA127" s="1371"/>
      <c r="BB127" s="1371"/>
      <c r="BC127" s="1371"/>
      <c r="BD127" s="1371"/>
      <c r="BE127" s="1372"/>
      <c r="BF127" s="1371"/>
      <c r="BG127" s="1371"/>
      <c r="BH127" s="1371"/>
      <c r="BI127" s="1371"/>
      <c r="BJ127" s="1372"/>
      <c r="BK127" s="901"/>
      <c r="BL127" s="901"/>
      <c r="BM127" s="901"/>
      <c r="BN127" s="901"/>
      <c r="BO127" s="902"/>
      <c r="BP127" s="901"/>
      <c r="BQ127" s="901"/>
      <c r="BR127" s="901"/>
      <c r="BS127" s="901"/>
      <c r="BT127" s="902"/>
      <c r="BU127" s="901"/>
      <c r="BV127" s="901"/>
      <c r="BW127" s="901"/>
      <c r="BX127" s="901"/>
      <c r="BY127" s="902"/>
      <c r="BZ127" s="901"/>
      <c r="CA127" s="901"/>
      <c r="CB127" s="901"/>
      <c r="CC127" s="901"/>
      <c r="CD127" s="902"/>
      <c r="CE127" s="901"/>
      <c r="CF127" s="901"/>
      <c r="CG127" s="901"/>
      <c r="CH127" s="901"/>
      <c r="CI127" s="902"/>
      <c r="CJ127" s="901"/>
      <c r="CK127" s="901"/>
      <c r="CL127" s="901"/>
      <c r="CM127" s="901"/>
      <c r="CN127" s="902"/>
      <c r="CO127" s="901"/>
      <c r="CP127" s="901"/>
      <c r="CQ127" s="901"/>
      <c r="CR127" s="901"/>
      <c r="CS127" s="902"/>
      <c r="CT127" s="147"/>
      <c r="CU127" s="739"/>
      <c r="CV127" s="739"/>
      <c r="CW127" s="739"/>
      <c r="CX127" s="817"/>
      <c r="CY127" s="739"/>
      <c r="CZ127" s="739"/>
      <c r="DA127" s="739"/>
      <c r="DB127" s="739"/>
      <c r="DC127" s="817"/>
      <c r="DD127" s="739"/>
      <c r="DE127" s="739"/>
      <c r="DF127" s="739"/>
      <c r="DG127" s="739"/>
      <c r="DH127" s="817"/>
      <c r="DI127" s="739"/>
      <c r="DJ127" s="739"/>
      <c r="DK127" s="739"/>
      <c r="DL127" s="739"/>
      <c r="DM127" s="739"/>
      <c r="DN127" s="739"/>
      <c r="DO127" s="739"/>
      <c r="DP127" s="739"/>
      <c r="DQ127" s="739"/>
      <c r="DR127" s="739"/>
      <c r="DS127" s="739"/>
      <c r="DT127" s="739"/>
      <c r="DU127" s="739"/>
      <c r="DV127" s="739"/>
      <c r="DW127" s="739"/>
      <c r="DX127" s="739"/>
      <c r="DY127" s="739"/>
      <c r="DZ127" s="739"/>
      <c r="EA127" s="739"/>
      <c r="EB127" s="739"/>
      <c r="EC127" s="739"/>
      <c r="ED127" s="739"/>
      <c r="EE127" s="739"/>
      <c r="EF127" s="739"/>
      <c r="EG127" s="739"/>
      <c r="EH127" s="739"/>
      <c r="EI127" s="739"/>
      <c r="EJ127" s="739"/>
      <c r="EK127" s="739"/>
      <c r="EL127" s="739"/>
    </row>
    <row r="128" spans="1:142" hidden="1" outlineLevel="1">
      <c r="A128" s="1327"/>
      <c r="B128" s="242" t="s">
        <v>302</v>
      </c>
      <c r="C128" s="228"/>
      <c r="D128" s="228"/>
      <c r="E128" s="228"/>
      <c r="F128" s="228"/>
      <c r="G128" s="228"/>
      <c r="H128" s="229"/>
      <c r="I128" s="228"/>
      <c r="J128" s="228"/>
      <c r="K128" s="228"/>
      <c r="L128" s="228"/>
      <c r="M128" s="229"/>
      <c r="N128" s="228"/>
      <c r="O128" s="228"/>
      <c r="P128" s="228"/>
      <c r="Q128" s="228"/>
      <c r="R128" s="229"/>
      <c r="S128" s="228"/>
      <c r="T128" s="228"/>
      <c r="U128" s="228"/>
      <c r="V128" s="228"/>
      <c r="W128" s="229"/>
      <c r="X128" s="228"/>
      <c r="Y128" s="228"/>
      <c r="Z128" s="228"/>
      <c r="AA128" s="228"/>
      <c r="AB128" s="229"/>
      <c r="AC128" s="228"/>
      <c r="AD128" s="228"/>
      <c r="AE128" s="228"/>
      <c r="AF128" s="228"/>
      <c r="AG128" s="229"/>
      <c r="AH128" s="228"/>
      <c r="AI128" s="228"/>
      <c r="AJ128" s="228"/>
      <c r="AK128" s="228"/>
      <c r="AL128" s="229"/>
      <c r="AM128" s="228"/>
      <c r="AN128" s="228"/>
      <c r="AO128" s="228"/>
      <c r="AP128" s="228"/>
      <c r="AQ128" s="229"/>
      <c r="AR128" s="228"/>
      <c r="AS128" s="228"/>
      <c r="AT128" s="228"/>
      <c r="AU128" s="230"/>
      <c r="AV128" s="228"/>
      <c r="AW128" s="228"/>
      <c r="AX128" s="228"/>
      <c r="AY128" s="228"/>
      <c r="AZ128" s="229"/>
      <c r="BA128" s="228"/>
      <c r="BB128" s="228"/>
      <c r="BC128" s="228"/>
      <c r="BD128" s="228"/>
      <c r="BE128" s="229"/>
      <c r="BF128" s="228"/>
      <c r="BG128" s="228"/>
      <c r="BH128" s="228"/>
      <c r="BI128" s="228"/>
      <c r="BJ128" s="229"/>
      <c r="BK128" s="228"/>
      <c r="BL128" s="228"/>
      <c r="BM128" s="228"/>
      <c r="BN128" s="228"/>
      <c r="BO128" s="229"/>
      <c r="BP128" s="228"/>
      <c r="BQ128" s="228"/>
      <c r="BR128" s="228"/>
      <c r="BS128" s="228"/>
      <c r="BT128" s="229"/>
      <c r="BU128" s="228"/>
      <c r="BV128" s="228"/>
      <c r="BW128" s="228"/>
      <c r="BX128" s="228"/>
      <c r="BY128" s="229"/>
      <c r="BZ128" s="228"/>
      <c r="CA128" s="228"/>
      <c r="CB128" s="228"/>
      <c r="CC128" s="228"/>
      <c r="CD128" s="229"/>
      <c r="CE128" s="228"/>
      <c r="CF128" s="228"/>
      <c r="CG128" s="228"/>
      <c r="CH128" s="228"/>
      <c r="CI128" s="229"/>
      <c r="CJ128" s="228"/>
      <c r="CK128" s="228"/>
      <c r="CL128" s="228"/>
      <c r="CM128" s="228"/>
      <c r="CN128" s="229"/>
      <c r="CO128" s="228"/>
      <c r="CP128" s="228"/>
      <c r="CQ128" s="228"/>
      <c r="CR128" s="228"/>
      <c r="CS128" s="229"/>
      <c r="CT128" s="228"/>
      <c r="CU128" s="228"/>
      <c r="CV128" s="228"/>
      <c r="CW128" s="228"/>
      <c r="CX128" s="229"/>
      <c r="CY128" s="228"/>
      <c r="CZ128" s="228"/>
      <c r="DA128" s="228"/>
      <c r="DB128" s="228"/>
      <c r="DC128" s="229"/>
      <c r="DD128" s="228"/>
      <c r="DE128" s="228"/>
      <c r="DF128" s="228"/>
      <c r="DG128" s="228"/>
      <c r="DH128" s="229"/>
      <c r="DI128" s="228"/>
      <c r="DJ128" s="228"/>
      <c r="DK128" s="231"/>
      <c r="DL128" s="228"/>
      <c r="DM128" s="229"/>
      <c r="DN128" s="228"/>
      <c r="DO128" s="228"/>
      <c r="DP128" s="228"/>
      <c r="DQ128" s="228"/>
      <c r="DR128" s="229"/>
      <c r="DS128" s="228"/>
      <c r="DT128" s="228"/>
      <c r="DU128" s="228"/>
      <c r="DV128" s="228"/>
      <c r="DW128" s="229"/>
      <c r="DX128" s="228"/>
      <c r="DY128" s="228"/>
      <c r="DZ128" s="228"/>
      <c r="EA128" s="228"/>
      <c r="EB128" s="229"/>
      <c r="EC128" s="228"/>
      <c r="ED128" s="228"/>
      <c r="EE128" s="228"/>
      <c r="EF128" s="228"/>
      <c r="EG128" s="229"/>
      <c r="EH128" s="228"/>
      <c r="EI128" s="228"/>
      <c r="EJ128" s="228"/>
      <c r="EK128" s="228"/>
      <c r="EL128" s="229"/>
    </row>
    <row r="129" spans="1:142" hidden="1" outlineLevel="1">
      <c r="A129" s="1328"/>
      <c r="B129" s="247" t="s">
        <v>297</v>
      </c>
      <c r="C129" s="9"/>
      <c r="D129" s="9"/>
      <c r="E129" s="9"/>
      <c r="F129" s="9"/>
      <c r="G129" s="9"/>
      <c r="H129" s="63"/>
      <c r="I129" s="9"/>
      <c r="J129" s="9"/>
      <c r="K129" s="9"/>
      <c r="L129" s="9"/>
      <c r="M129" s="63"/>
      <c r="N129" s="9"/>
      <c r="O129" s="9"/>
      <c r="P129" s="9"/>
      <c r="Q129" s="9"/>
      <c r="R129" s="63"/>
      <c r="S129" s="9"/>
      <c r="T129" s="9"/>
      <c r="U129" s="9"/>
      <c r="V129" s="9"/>
      <c r="W129" s="63"/>
      <c r="X129" s="9"/>
      <c r="Y129" s="9"/>
      <c r="Z129" s="9"/>
      <c r="AA129" s="9"/>
      <c r="AB129" s="63"/>
      <c r="AC129" s="9"/>
      <c r="AD129" s="9"/>
      <c r="AE129" s="9"/>
      <c r="AF129" s="9"/>
      <c r="AG129" s="63"/>
      <c r="AH129" s="9"/>
      <c r="AI129" s="9"/>
      <c r="AJ129" s="9"/>
      <c r="AK129" s="9"/>
      <c r="AL129" s="63"/>
      <c r="AM129" s="9"/>
      <c r="AN129" s="9"/>
      <c r="AO129" s="9"/>
      <c r="AP129" s="9"/>
      <c r="AQ129" s="63"/>
      <c r="AR129" s="9"/>
      <c r="AS129" s="9"/>
      <c r="AT129" s="9"/>
      <c r="AU129" s="186"/>
      <c r="AV129" s="9"/>
      <c r="AW129" s="9"/>
      <c r="AX129" s="9"/>
      <c r="AY129" s="9"/>
      <c r="AZ129" s="63"/>
      <c r="BA129" s="9"/>
      <c r="BB129" s="9"/>
      <c r="BC129" s="9"/>
      <c r="BD129" s="9"/>
      <c r="BE129" s="63"/>
      <c r="BF129" s="9"/>
      <c r="BG129" s="9"/>
      <c r="BH129" s="9"/>
      <c r="BI129" s="9"/>
      <c r="BJ129" s="63"/>
      <c r="BK129" s="9"/>
      <c r="BL129" s="9"/>
      <c r="BM129" s="9"/>
      <c r="BN129" s="9"/>
      <c r="BO129" s="63"/>
      <c r="BP129" s="9"/>
      <c r="BQ129" s="9"/>
      <c r="BR129" s="9"/>
      <c r="BS129" s="9"/>
      <c r="BT129" s="63"/>
      <c r="BU129" s="9"/>
      <c r="BV129" s="9"/>
      <c r="BW129" s="9"/>
      <c r="BX129" s="9"/>
      <c r="BY129" s="63"/>
      <c r="BZ129" s="9"/>
      <c r="CA129" s="9"/>
      <c r="CB129" s="9"/>
      <c r="CC129" s="9"/>
      <c r="CD129" s="63"/>
      <c r="CE129" s="248"/>
      <c r="CF129" s="248"/>
      <c r="CG129" s="248"/>
      <c r="CH129" s="248"/>
      <c r="CI129" s="193"/>
      <c r="CJ129" s="248"/>
      <c r="CK129" s="248"/>
      <c r="CL129" s="248"/>
      <c r="CM129" s="248"/>
      <c r="CN129" s="193"/>
      <c r="CO129" s="248"/>
      <c r="CP129" s="248"/>
      <c r="CQ129" s="248"/>
      <c r="CR129" s="248"/>
      <c r="CS129" s="193"/>
      <c r="CT129" s="248"/>
      <c r="CU129" s="248"/>
      <c r="CV129" s="250"/>
      <c r="CW129" s="250"/>
      <c r="CX129" s="278"/>
      <c r="CY129" s="250"/>
      <c r="CZ129" s="250"/>
      <c r="DA129" s="210"/>
      <c r="DB129" s="254"/>
      <c r="DC129" s="193"/>
      <c r="DD129" s="252">
        <v>0.05</v>
      </c>
      <c r="DE129" s="251">
        <f>DD129</f>
        <v>0.05</v>
      </c>
      <c r="DF129" s="251">
        <f>DE129</f>
        <v>0.05</v>
      </c>
      <c r="DG129" s="254">
        <f>DF129</f>
        <v>0.05</v>
      </c>
      <c r="DH129" s="253">
        <f>DG129</f>
        <v>0.05</v>
      </c>
      <c r="DI129" s="252">
        <v>0.05</v>
      </c>
      <c r="DJ129" s="251">
        <f>DI129</f>
        <v>0.05</v>
      </c>
      <c r="DK129" s="251">
        <f>DJ129</f>
        <v>0.05</v>
      </c>
      <c r="DL129" s="251">
        <f>DK129</f>
        <v>0.05</v>
      </c>
      <c r="DM129" s="253">
        <f>DL129</f>
        <v>0.05</v>
      </c>
      <c r="DN129" s="252">
        <v>0.05</v>
      </c>
      <c r="DO129" s="251">
        <f>DN129</f>
        <v>0.05</v>
      </c>
      <c r="DP129" s="251">
        <f>DO129</f>
        <v>0.05</v>
      </c>
      <c r="DQ129" s="251">
        <f>DP129</f>
        <v>0.05</v>
      </c>
      <c r="DR129" s="253">
        <f>DQ129</f>
        <v>0.05</v>
      </c>
      <c r="DS129" s="254">
        <v>0.05</v>
      </c>
      <c r="DT129" s="251">
        <f>DS129</f>
        <v>0.05</v>
      </c>
      <c r="DU129" s="251">
        <f>DT129</f>
        <v>0.05</v>
      </c>
      <c r="DV129" s="251">
        <f>DU129</f>
        <v>0.05</v>
      </c>
      <c r="DW129" s="253">
        <f>DV129</f>
        <v>0.05</v>
      </c>
      <c r="DX129" s="254">
        <v>0.05</v>
      </c>
      <c r="DY129" s="251">
        <f>DX129</f>
        <v>0.05</v>
      </c>
      <c r="DZ129" s="251">
        <f>DY129</f>
        <v>0.05</v>
      </c>
      <c r="EA129" s="251">
        <f>DZ129</f>
        <v>0.05</v>
      </c>
      <c r="EB129" s="253">
        <f>EA129</f>
        <v>0.05</v>
      </c>
      <c r="EC129" s="254">
        <v>0.05</v>
      </c>
      <c r="ED129" s="251">
        <f>EC129</f>
        <v>0.05</v>
      </c>
      <c r="EE129" s="251">
        <f>ED129</f>
        <v>0.05</v>
      </c>
      <c r="EF129" s="251">
        <f>EE129</f>
        <v>0.05</v>
      </c>
      <c r="EG129" s="253">
        <f>EF129</f>
        <v>0.05</v>
      </c>
      <c r="EH129" s="254">
        <v>0.05</v>
      </c>
      <c r="EI129" s="251">
        <f>EH129</f>
        <v>0.05</v>
      </c>
      <c r="EJ129" s="251">
        <f>EI129</f>
        <v>0.05</v>
      </c>
      <c r="EK129" s="251">
        <f>EJ129</f>
        <v>0.05</v>
      </c>
      <c r="EL129" s="253">
        <f>EK129</f>
        <v>0.05</v>
      </c>
    </row>
    <row r="130" spans="1:142" hidden="1" outlineLevel="1">
      <c r="A130" s="225"/>
      <c r="B130" s="209" t="s">
        <v>298</v>
      </c>
      <c r="C130" s="203"/>
      <c r="D130" s="203"/>
      <c r="E130" s="203"/>
      <c r="F130" s="203"/>
      <c r="G130" s="203"/>
      <c r="H130" s="493"/>
      <c r="I130" s="203"/>
      <c r="J130" s="203"/>
      <c r="K130" s="203"/>
      <c r="L130" s="203"/>
      <c r="M130" s="493"/>
      <c r="N130" s="203"/>
      <c r="O130" s="203"/>
      <c r="P130" s="203"/>
      <c r="Q130" s="203"/>
      <c r="R130" s="493"/>
      <c r="S130" s="203"/>
      <c r="T130" s="203"/>
      <c r="U130" s="203"/>
      <c r="V130" s="203"/>
      <c r="W130" s="493"/>
      <c r="X130" s="203"/>
      <c r="Y130" s="203"/>
      <c r="Z130" s="203"/>
      <c r="AA130" s="203"/>
      <c r="AB130" s="493"/>
      <c r="AC130" s="203"/>
      <c r="AD130" s="203"/>
      <c r="AE130" s="203"/>
      <c r="AF130" s="203"/>
      <c r="AG130" s="493"/>
      <c r="AH130" s="203"/>
      <c r="AI130" s="203"/>
      <c r="AJ130" s="203"/>
      <c r="AK130" s="203"/>
      <c r="AL130" s="493"/>
      <c r="AM130" s="495"/>
      <c r="AN130" s="495"/>
      <c r="AO130" s="495"/>
      <c r="AP130" s="495"/>
      <c r="AQ130" s="204"/>
      <c r="AR130" s="495"/>
      <c r="AS130" s="495"/>
      <c r="AT130" s="495"/>
      <c r="AU130" s="208"/>
      <c r="AV130" s="207"/>
      <c r="AW130" s="206"/>
      <c r="AX130" s="495"/>
      <c r="AY130" s="495"/>
      <c r="AZ130" s="204"/>
      <c r="BA130" s="207"/>
      <c r="BB130" s="206"/>
      <c r="BC130" s="495"/>
      <c r="BD130" s="495"/>
      <c r="BE130" s="204"/>
      <c r="BF130" s="207"/>
      <c r="BG130" s="206"/>
      <c r="BH130" s="495"/>
      <c r="BI130" s="495"/>
      <c r="BJ130" s="204"/>
      <c r="BK130" s="1393"/>
      <c r="BL130" s="1393"/>
      <c r="BM130" s="1393"/>
      <c r="BN130" s="1393"/>
      <c r="BO130" s="1394"/>
      <c r="BP130" s="1393"/>
      <c r="BQ130" s="1393"/>
      <c r="BR130" s="1393"/>
      <c r="BS130" s="1393"/>
      <c r="BT130" s="1394"/>
      <c r="BU130" s="1393"/>
      <c r="BV130" s="1393"/>
      <c r="BW130" s="1393"/>
      <c r="BX130" s="1393"/>
      <c r="BY130" s="1394"/>
      <c r="BZ130" s="1393"/>
      <c r="CA130" s="1393"/>
      <c r="CB130" s="1393"/>
      <c r="CC130" s="1393"/>
      <c r="CD130" s="1394"/>
      <c r="CE130" s="257"/>
      <c r="CF130" s="257"/>
      <c r="CG130" s="257"/>
      <c r="CH130" s="257"/>
      <c r="CI130" s="258"/>
      <c r="CJ130" s="257"/>
      <c r="CK130" s="257"/>
      <c r="CL130" s="257"/>
      <c r="CM130" s="257"/>
      <c r="CN130" s="258"/>
      <c r="CO130" s="257"/>
      <c r="CP130" s="257"/>
      <c r="CQ130" s="257"/>
      <c r="CR130" s="257"/>
      <c r="CS130" s="258"/>
      <c r="CT130" s="257"/>
      <c r="CU130" s="257"/>
      <c r="CV130" s="257"/>
      <c r="CW130" s="257"/>
      <c r="CX130" s="258"/>
      <c r="CY130" s="257"/>
      <c r="CZ130" s="257"/>
      <c r="DA130" s="257"/>
      <c r="DB130" s="257"/>
      <c r="DC130" s="258"/>
      <c r="DD130" s="257">
        <f>DC133</f>
        <v>0</v>
      </c>
      <c r="DE130" s="289">
        <f>DD133</f>
        <v>600</v>
      </c>
      <c r="DF130" s="289">
        <f>DE133</f>
        <v>1100</v>
      </c>
      <c r="DG130" s="257">
        <f>DF133</f>
        <v>1100</v>
      </c>
      <c r="DH130" s="258"/>
      <c r="DI130" s="538">
        <f>DG133</f>
        <v>1100</v>
      </c>
      <c r="DJ130" s="539">
        <f>DI133</f>
        <v>1100</v>
      </c>
      <c r="DK130" s="1374">
        <f>DJ133</f>
        <v>1100</v>
      </c>
      <c r="DL130" s="539">
        <f>DK133</f>
        <v>1100</v>
      </c>
      <c r="DM130" s="540"/>
      <c r="DN130" s="538">
        <f>DL133</f>
        <v>1100</v>
      </c>
      <c r="DO130" s="539">
        <f>DN133</f>
        <v>1100</v>
      </c>
      <c r="DP130" s="539">
        <f>DO133</f>
        <v>1100</v>
      </c>
      <c r="DQ130" s="539">
        <f>DP133</f>
        <v>1100</v>
      </c>
      <c r="DR130" s="540"/>
      <c r="DS130" s="539">
        <f>DQ133</f>
        <v>1100</v>
      </c>
      <c r="DT130" s="539">
        <f>DS133</f>
        <v>1100</v>
      </c>
      <c r="DU130" s="1378">
        <f>DT133</f>
        <v>1100</v>
      </c>
      <c r="DV130" s="1378">
        <f>DU133</f>
        <v>0</v>
      </c>
      <c r="DW130" s="540"/>
      <c r="DX130" s="1378">
        <f>DW133</f>
        <v>0</v>
      </c>
      <c r="DY130" s="1378">
        <f>DX133</f>
        <v>0</v>
      </c>
      <c r="DZ130" s="1378">
        <f>DY133</f>
        <v>0</v>
      </c>
      <c r="EA130" s="1378">
        <f>DZ133</f>
        <v>0</v>
      </c>
      <c r="EB130" s="1380">
        <f>DW133</f>
        <v>0</v>
      </c>
      <c r="EC130" s="1378">
        <f>EB133</f>
        <v>0</v>
      </c>
      <c r="ED130" s="1378">
        <f>EC133</f>
        <v>0</v>
      </c>
      <c r="EE130" s="1378">
        <f>ED133</f>
        <v>0</v>
      </c>
      <c r="EF130" s="1378">
        <f>EE133</f>
        <v>0</v>
      </c>
      <c r="EG130" s="1380">
        <f>EB133</f>
        <v>0</v>
      </c>
      <c r="EH130" s="1378">
        <f>EG133</f>
        <v>0</v>
      </c>
      <c r="EI130" s="1378">
        <f>EH133</f>
        <v>0</v>
      </c>
      <c r="EJ130" s="1378">
        <f>EI133</f>
        <v>0</v>
      </c>
      <c r="EK130" s="1378">
        <f>EJ133</f>
        <v>0</v>
      </c>
      <c r="EL130" s="1380">
        <f>EG133</f>
        <v>0</v>
      </c>
    </row>
    <row r="131" spans="1:142" hidden="1" outlineLevel="1">
      <c r="A131" s="225"/>
      <c r="B131" s="209" t="s">
        <v>674</v>
      </c>
      <c r="C131" s="232"/>
      <c r="D131" s="232"/>
      <c r="E131" s="232"/>
      <c r="F131" s="232"/>
      <c r="G131" s="232"/>
      <c r="H131" s="233"/>
      <c r="I131" s="232"/>
      <c r="J131" s="232"/>
      <c r="K131" s="232"/>
      <c r="L131" s="232"/>
      <c r="M131" s="233"/>
      <c r="N131" s="232"/>
      <c r="O131" s="232"/>
      <c r="P131" s="232"/>
      <c r="Q131" s="232"/>
      <c r="R131" s="233"/>
      <c r="S131" s="232"/>
      <c r="T131" s="232"/>
      <c r="U131" s="232"/>
      <c r="V131" s="232"/>
      <c r="W131" s="233"/>
      <c r="X131" s="232"/>
      <c r="Y131" s="232"/>
      <c r="Z131" s="232"/>
      <c r="AA131" s="232"/>
      <c r="AB131" s="233"/>
      <c r="AC131" s="232"/>
      <c r="AD131" s="232"/>
      <c r="AE131" s="232"/>
      <c r="AF131" s="232"/>
      <c r="AG131" s="233"/>
      <c r="AH131" s="232"/>
      <c r="AI131" s="232"/>
      <c r="AJ131" s="232"/>
      <c r="AK131" s="232"/>
      <c r="AL131" s="233"/>
      <c r="AM131" s="234"/>
      <c r="AN131" s="234"/>
      <c r="AO131" s="234"/>
      <c r="AP131" s="234"/>
      <c r="AQ131" s="235"/>
      <c r="AR131" s="234"/>
      <c r="AS131" s="234"/>
      <c r="AT131" s="234"/>
      <c r="AU131" s="236"/>
      <c r="AV131" s="237"/>
      <c r="AW131" s="279"/>
      <c r="AX131" s="234"/>
      <c r="AY131" s="234"/>
      <c r="AZ131" s="235"/>
      <c r="BA131" s="237"/>
      <c r="BB131" s="279"/>
      <c r="BC131" s="234"/>
      <c r="BD131" s="234"/>
      <c r="BE131" s="235"/>
      <c r="BF131" s="237"/>
      <c r="BG131" s="279"/>
      <c r="BH131" s="234"/>
      <c r="BI131" s="234"/>
      <c r="BJ131" s="235"/>
      <c r="BK131" s="255"/>
      <c r="BL131" s="255"/>
      <c r="BM131" s="255"/>
      <c r="BN131" s="255"/>
      <c r="BO131" s="256"/>
      <c r="BP131" s="255"/>
      <c r="BQ131" s="255"/>
      <c r="BR131" s="255"/>
      <c r="BS131" s="255"/>
      <c r="BT131" s="256"/>
      <c r="BU131" s="255"/>
      <c r="BV131" s="255"/>
      <c r="BW131" s="255"/>
      <c r="BX131" s="255"/>
      <c r="BY131" s="256"/>
      <c r="BZ131" s="255"/>
      <c r="CA131" s="255"/>
      <c r="CB131" s="255"/>
      <c r="CC131" s="255"/>
      <c r="CD131" s="256"/>
      <c r="CE131" s="257"/>
      <c r="CF131" s="257"/>
      <c r="CG131" s="257"/>
      <c r="CH131" s="257"/>
      <c r="CI131" s="258"/>
      <c r="CJ131" s="257"/>
      <c r="CK131" s="257"/>
      <c r="CL131" s="257"/>
      <c r="CM131" s="257"/>
      <c r="CN131" s="258"/>
      <c r="CO131" s="257"/>
      <c r="CP131" s="257"/>
      <c r="CQ131" s="257"/>
      <c r="CR131" s="257"/>
      <c r="CS131" s="258"/>
      <c r="CT131" s="257"/>
      <c r="CU131" s="257"/>
      <c r="CV131" s="257"/>
      <c r="CW131" s="257"/>
      <c r="CX131" s="258"/>
      <c r="CY131" s="257"/>
      <c r="CZ131" s="257"/>
      <c r="DA131" s="290"/>
      <c r="DB131" s="290"/>
      <c r="DC131" s="258"/>
      <c r="DD131" s="257"/>
      <c r="DE131" s="259"/>
      <c r="DF131" s="259"/>
      <c r="DG131" s="290"/>
      <c r="DH131" s="260"/>
      <c r="DI131" s="1378">
        <v>0</v>
      </c>
      <c r="DJ131" s="1378">
        <v>0</v>
      </c>
      <c r="DK131" s="1378">
        <v>0</v>
      </c>
      <c r="DL131" s="1378">
        <v>0</v>
      </c>
      <c r="DM131" s="1380">
        <f>SUM(DI131:DL131)</f>
        <v>0</v>
      </c>
      <c r="DN131" s="1378">
        <v>0</v>
      </c>
      <c r="DO131" s="1378">
        <v>0</v>
      </c>
      <c r="DP131" s="1378">
        <v>0</v>
      </c>
      <c r="DQ131" s="1378">
        <v>0</v>
      </c>
      <c r="DR131" s="1380">
        <f>SUM(DN131:DQ131)</f>
        <v>0</v>
      </c>
      <c r="DS131" s="1378">
        <v>0</v>
      </c>
      <c r="DT131" s="1378">
        <v>0</v>
      </c>
      <c r="DU131" s="1378">
        <v>0</v>
      </c>
      <c r="DV131" s="1378">
        <v>0</v>
      </c>
      <c r="DW131" s="1380">
        <f>SUM(DS131:DV131)</f>
        <v>0</v>
      </c>
      <c r="DX131" s="1378">
        <v>0</v>
      </c>
      <c r="DY131" s="1378">
        <v>0</v>
      </c>
      <c r="DZ131" s="1378">
        <v>0</v>
      </c>
      <c r="EA131" s="1378">
        <v>0</v>
      </c>
      <c r="EB131" s="1380">
        <f>SUM(DX131:EA131)</f>
        <v>0</v>
      </c>
      <c r="EC131" s="1378">
        <v>0</v>
      </c>
      <c r="ED131" s="1378">
        <v>0</v>
      </c>
      <c r="EE131" s="1378">
        <v>0</v>
      </c>
      <c r="EF131" s="1378">
        <v>0</v>
      </c>
      <c r="EG131" s="1380">
        <f>SUM(EC131:EF131)</f>
        <v>0</v>
      </c>
      <c r="EH131" s="1378">
        <v>0</v>
      </c>
      <c r="EI131" s="1378">
        <v>0</v>
      </c>
      <c r="EJ131" s="1378">
        <v>0</v>
      </c>
      <c r="EK131" s="1378">
        <v>0</v>
      </c>
      <c r="EL131" s="1380">
        <f>SUM(EH131:EK131)</f>
        <v>0</v>
      </c>
    </row>
    <row r="132" spans="1:142" hidden="1" outlineLevel="1">
      <c r="A132" s="225"/>
      <c r="B132" s="214" t="s">
        <v>675</v>
      </c>
      <c r="C132" s="48"/>
      <c r="D132" s="48"/>
      <c r="E132" s="48"/>
      <c r="F132" s="48"/>
      <c r="G132" s="48"/>
      <c r="H132" s="64"/>
      <c r="I132" s="48"/>
      <c r="J132" s="48"/>
      <c r="K132" s="48"/>
      <c r="L132" s="48"/>
      <c r="M132" s="64"/>
      <c r="N132" s="48"/>
      <c r="O132" s="48"/>
      <c r="P132" s="48"/>
      <c r="Q132" s="48"/>
      <c r="R132" s="64"/>
      <c r="S132" s="48"/>
      <c r="T132" s="48"/>
      <c r="U132" s="48"/>
      <c r="V132" s="48"/>
      <c r="W132" s="64"/>
      <c r="X132" s="48"/>
      <c r="Y132" s="48"/>
      <c r="Z132" s="48"/>
      <c r="AA132" s="48"/>
      <c r="AB132" s="64"/>
      <c r="AC132" s="48"/>
      <c r="AD132" s="48"/>
      <c r="AE132" s="48"/>
      <c r="AF132" s="48"/>
      <c r="AG132" s="64"/>
      <c r="AH132" s="48"/>
      <c r="AI132" s="48"/>
      <c r="AJ132" s="48"/>
      <c r="AK132" s="48"/>
      <c r="AL132" s="64"/>
      <c r="AM132" s="48"/>
      <c r="AN132" s="48"/>
      <c r="AO132" s="48"/>
      <c r="AP132" s="48"/>
      <c r="AQ132" s="64"/>
      <c r="AR132" s="48"/>
      <c r="AS132" s="48"/>
      <c r="AT132" s="48"/>
      <c r="AU132" s="217"/>
      <c r="AV132" s="48"/>
      <c r="AW132" s="48"/>
      <c r="AX132" s="48"/>
      <c r="AY132" s="48"/>
      <c r="AZ132" s="64"/>
      <c r="BA132" s="48"/>
      <c r="BB132" s="48"/>
      <c r="BC132" s="48"/>
      <c r="BD132" s="48"/>
      <c r="BE132" s="64"/>
      <c r="BF132" s="48"/>
      <c r="BG132" s="48"/>
      <c r="BH132" s="48"/>
      <c r="BI132" s="48"/>
      <c r="BJ132" s="64"/>
      <c r="BK132" s="48"/>
      <c r="BL132" s="48"/>
      <c r="BM132" s="262"/>
      <c r="BN132" s="48"/>
      <c r="BO132" s="263"/>
      <c r="BP132" s="48"/>
      <c r="BQ132" s="48"/>
      <c r="BR132" s="262"/>
      <c r="BS132" s="48"/>
      <c r="BT132" s="263"/>
      <c r="BU132" s="48"/>
      <c r="BV132" s="48"/>
      <c r="BW132" s="262"/>
      <c r="BX132" s="48"/>
      <c r="BY132" s="263"/>
      <c r="BZ132" s="48"/>
      <c r="CA132" s="48"/>
      <c r="CB132" s="262"/>
      <c r="CC132" s="48"/>
      <c r="CD132" s="263"/>
      <c r="CE132" s="174"/>
      <c r="CF132" s="174"/>
      <c r="CG132" s="174"/>
      <c r="CH132" s="174"/>
      <c r="CI132" s="263"/>
      <c r="CJ132" s="174"/>
      <c r="CK132" s="174"/>
      <c r="CL132" s="174"/>
      <c r="CM132" s="174"/>
      <c r="CN132" s="263"/>
      <c r="CO132" s="174"/>
      <c r="CP132" s="174"/>
      <c r="CQ132" s="174"/>
      <c r="CR132" s="174"/>
      <c r="CS132" s="263"/>
      <c r="CT132" s="174"/>
      <c r="CU132" s="174"/>
      <c r="CV132" s="174"/>
      <c r="CW132" s="174"/>
      <c r="CX132" s="263"/>
      <c r="CY132" s="48"/>
      <c r="CZ132" s="280"/>
      <c r="DA132" s="48"/>
      <c r="DB132" s="174"/>
      <c r="DC132" s="281"/>
      <c r="DD132" s="48">
        <v>600</v>
      </c>
      <c r="DE132" s="174">
        <f>+DE133-DE130</f>
        <v>500</v>
      </c>
      <c r="DF132" s="174">
        <f>+DF133-DF130</f>
        <v>0</v>
      </c>
      <c r="DG132" s="174">
        <f>+DG133-DG130</f>
        <v>0</v>
      </c>
      <c r="DH132" s="263">
        <v>0</v>
      </c>
      <c r="DI132" s="1379">
        <v>0</v>
      </c>
      <c r="DJ132" s="1379">
        <v>0</v>
      </c>
      <c r="DK132" s="1379">
        <v>0</v>
      </c>
      <c r="DL132" s="1379">
        <v>0</v>
      </c>
      <c r="DM132" s="1381">
        <f>SUM(DI132:DL132)</f>
        <v>0</v>
      </c>
      <c r="DN132" s="1379">
        <v>0</v>
      </c>
      <c r="DO132" s="1379">
        <v>0</v>
      </c>
      <c r="DP132" s="1379">
        <v>0</v>
      </c>
      <c r="DQ132" s="1379">
        <v>0</v>
      </c>
      <c r="DR132" s="1381">
        <f>SUM(DN132:DQ132)</f>
        <v>0</v>
      </c>
      <c r="DS132" s="1379">
        <v>0</v>
      </c>
      <c r="DT132" s="1376">
        <v>0</v>
      </c>
      <c r="DU132" s="1557">
        <v>-1100</v>
      </c>
      <c r="DV132" s="1379">
        <v>0</v>
      </c>
      <c r="DW132" s="1381">
        <f>SUM(DS132:DV132)</f>
        <v>-1100</v>
      </c>
      <c r="DX132" s="1379">
        <v>0</v>
      </c>
      <c r="DY132" s="1379">
        <v>0</v>
      </c>
      <c r="DZ132" s="1379">
        <v>0</v>
      </c>
      <c r="EA132" s="1379">
        <v>0</v>
      </c>
      <c r="EB132" s="1381">
        <f>SUM(DX132:EA132)</f>
        <v>0</v>
      </c>
      <c r="EC132" s="1379">
        <v>0</v>
      </c>
      <c r="ED132" s="1379">
        <v>0</v>
      </c>
      <c r="EE132" s="1379">
        <v>0</v>
      </c>
      <c r="EF132" s="1379">
        <v>0</v>
      </c>
      <c r="EG132" s="1381">
        <f>SUM(EC132:EF132)</f>
        <v>0</v>
      </c>
      <c r="EH132" s="1379">
        <v>0</v>
      </c>
      <c r="EI132" s="1379">
        <v>0</v>
      </c>
      <c r="EJ132" s="1379">
        <v>0</v>
      </c>
      <c r="EK132" s="1379">
        <v>0</v>
      </c>
      <c r="EL132" s="1381">
        <f>SUM(EH132:EK132)</f>
        <v>0</v>
      </c>
    </row>
    <row r="133" spans="1:142" hidden="1" outlineLevel="1">
      <c r="A133" s="225"/>
      <c r="B133" s="209" t="s">
        <v>299</v>
      </c>
      <c r="C133" s="9"/>
      <c r="D133" s="9"/>
      <c r="E133" s="9"/>
      <c r="F133" s="9"/>
      <c r="G133" s="9"/>
      <c r="H133" s="63"/>
      <c r="I133" s="9"/>
      <c r="J133" s="9"/>
      <c r="K133" s="9"/>
      <c r="L133" s="9"/>
      <c r="M133" s="63"/>
      <c r="N133" s="9"/>
      <c r="O133" s="9"/>
      <c r="P133" s="9"/>
      <c r="Q133" s="9"/>
      <c r="R133" s="63"/>
      <c r="S133" s="9"/>
      <c r="T133" s="9"/>
      <c r="U133" s="9"/>
      <c r="V133" s="9"/>
      <c r="W133" s="63"/>
      <c r="X133" s="9"/>
      <c r="Y133" s="9"/>
      <c r="Z133" s="9"/>
      <c r="AA133" s="9"/>
      <c r="AB133" s="63"/>
      <c r="AC133" s="9"/>
      <c r="AD133" s="9"/>
      <c r="AE133" s="9"/>
      <c r="AF133" s="9"/>
      <c r="AG133" s="63"/>
      <c r="AH133" s="9"/>
      <c r="AI133" s="9"/>
      <c r="AJ133" s="9"/>
      <c r="AK133" s="9"/>
      <c r="AL133" s="63"/>
      <c r="AM133" s="9"/>
      <c r="AN133" s="9"/>
      <c r="AO133" s="9"/>
      <c r="AP133" s="9"/>
      <c r="AQ133" s="47"/>
      <c r="AR133" s="9"/>
      <c r="AS133" s="9"/>
      <c r="AT133" s="9"/>
      <c r="AU133" s="186"/>
      <c r="AV133" s="9"/>
      <c r="AW133" s="9"/>
      <c r="AX133" s="9"/>
      <c r="AY133" s="9"/>
      <c r="AZ133" s="47"/>
      <c r="BA133" s="26"/>
      <c r="BB133" s="282"/>
      <c r="BC133" s="282"/>
      <c r="BD133" s="282"/>
      <c r="BE133" s="47"/>
      <c r="BF133" s="26"/>
      <c r="BG133" s="282"/>
      <c r="BH133" s="282"/>
      <c r="BI133" s="282"/>
      <c r="BJ133" s="47"/>
      <c r="BK133" s="146"/>
      <c r="BL133" s="162"/>
      <c r="BM133" s="162"/>
      <c r="BN133" s="162"/>
      <c r="BO133" s="266"/>
      <c r="BP133" s="146"/>
      <c r="BQ133" s="162"/>
      <c r="BR133" s="162"/>
      <c r="BS133" s="162"/>
      <c r="BT133" s="266"/>
      <c r="BU133" s="146"/>
      <c r="BV133" s="162"/>
      <c r="BW133" s="162"/>
      <c r="BX133" s="162"/>
      <c r="BY133" s="266"/>
      <c r="BZ133" s="146"/>
      <c r="CA133" s="162"/>
      <c r="CB133" s="162"/>
      <c r="CC133" s="162"/>
      <c r="CD133" s="266"/>
      <c r="CE133" s="267"/>
      <c r="CF133" s="267"/>
      <c r="CG133" s="267"/>
      <c r="CH133" s="267"/>
      <c r="CI133" s="170"/>
      <c r="CJ133" s="267"/>
      <c r="CK133" s="267"/>
      <c r="CL133" s="267"/>
      <c r="CM133" s="267"/>
      <c r="CN133" s="170"/>
      <c r="CO133" s="267"/>
      <c r="CP133" s="267"/>
      <c r="CQ133" s="267"/>
      <c r="CR133" s="267"/>
      <c r="CS133" s="170"/>
      <c r="CT133" s="267"/>
      <c r="CU133" s="267"/>
      <c r="CV133" s="267"/>
      <c r="CW133" s="165"/>
      <c r="CX133" s="170"/>
      <c r="CY133" s="22"/>
      <c r="CZ133" s="22"/>
      <c r="DA133" s="22"/>
      <c r="DB133" s="283"/>
      <c r="DC133" s="47">
        <f>DB133</f>
        <v>0</v>
      </c>
      <c r="DD133" s="284">
        <v>600</v>
      </c>
      <c r="DE133" s="283">
        <v>1100</v>
      </c>
      <c r="DF133" s="283">
        <v>1100</v>
      </c>
      <c r="DG133" s="283">
        <v>1100</v>
      </c>
      <c r="DH133" s="47"/>
      <c r="DI133" s="539">
        <f>SUM(DI130:DI132)</f>
        <v>1100</v>
      </c>
      <c r="DJ133" s="539">
        <f>SUM(DJ130:DJ132)</f>
        <v>1100</v>
      </c>
      <c r="DK133" s="539">
        <f>SUM(DK130:DK132)</f>
        <v>1100</v>
      </c>
      <c r="DL133" s="539">
        <f>SUM(DL130:DL132)</f>
        <v>1100</v>
      </c>
      <c r="DM133" s="1380">
        <f>DL133</f>
        <v>1100</v>
      </c>
      <c r="DN133" s="539">
        <f>SUM(DN130:DN132)</f>
        <v>1100</v>
      </c>
      <c r="DO133" s="539">
        <f>SUM(DO130:DO132)</f>
        <v>1100</v>
      </c>
      <c r="DP133" s="1401">
        <f>SUM(DP130:DP132)</f>
        <v>1100</v>
      </c>
      <c r="DQ133" s="1401">
        <f>SUM(DQ130:DQ132)</f>
        <v>1100</v>
      </c>
      <c r="DR133" s="1380">
        <f>DQ133</f>
        <v>1100</v>
      </c>
      <c r="DS133" s="1378">
        <f>SUM(DS130:DS132)</f>
        <v>1100</v>
      </c>
      <c r="DT133" s="1378">
        <f>SUM(DT130:DT132)</f>
        <v>1100</v>
      </c>
      <c r="DU133" s="1378">
        <f>SUM(DU130:DU132)</f>
        <v>0</v>
      </c>
      <c r="DV133" s="1378">
        <f>SUM(DV130:DV132)</f>
        <v>0</v>
      </c>
      <c r="DW133" s="1380">
        <f>DV133</f>
        <v>0</v>
      </c>
      <c r="DX133" s="1378">
        <f>SUM(DX130:DX132)</f>
        <v>0</v>
      </c>
      <c r="DY133" s="1378">
        <f>SUM(DY130:DY132)</f>
        <v>0</v>
      </c>
      <c r="DZ133" s="1378">
        <f>SUM(DZ130:DZ132)</f>
        <v>0</v>
      </c>
      <c r="EA133" s="1378">
        <f>SUM(EA130:EA132)</f>
        <v>0</v>
      </c>
      <c r="EB133" s="1380">
        <f>EA133</f>
        <v>0</v>
      </c>
      <c r="EC133" s="1378">
        <f>SUM(EC130:EC132)</f>
        <v>0</v>
      </c>
      <c r="ED133" s="1378">
        <f>SUM(ED130:ED132)</f>
        <v>0</v>
      </c>
      <c r="EE133" s="1378">
        <f>SUM(EE130:EE132)</f>
        <v>0</v>
      </c>
      <c r="EF133" s="1378">
        <f>SUM(EF130:EF132)</f>
        <v>0</v>
      </c>
      <c r="EG133" s="1380">
        <f>EF133</f>
        <v>0</v>
      </c>
      <c r="EH133" s="1378">
        <f>SUM(EH130:EH132)</f>
        <v>0</v>
      </c>
      <c r="EI133" s="1378">
        <f>SUM(EI130:EI132)</f>
        <v>0</v>
      </c>
      <c r="EJ133" s="1378">
        <f>SUM(EJ130:EJ132)</f>
        <v>0</v>
      </c>
      <c r="EK133" s="1378">
        <f>SUM(EK130:EK132)</f>
        <v>0</v>
      </c>
      <c r="EL133" s="1380">
        <f>EK133</f>
        <v>0</v>
      </c>
    </row>
    <row r="134" spans="1:142" hidden="1" outlineLevel="1">
      <c r="A134" s="225"/>
      <c r="B134" s="214" t="s">
        <v>300</v>
      </c>
      <c r="C134" s="48"/>
      <c r="D134" s="48"/>
      <c r="E134" s="48"/>
      <c r="F134" s="48"/>
      <c r="G134" s="48"/>
      <c r="H134" s="64"/>
      <c r="I134" s="48"/>
      <c r="J134" s="48"/>
      <c r="K134" s="48"/>
      <c r="L134" s="48"/>
      <c r="M134" s="64"/>
      <c r="N134" s="48"/>
      <c r="O134" s="48"/>
      <c r="P134" s="48"/>
      <c r="Q134" s="48"/>
      <c r="R134" s="64"/>
      <c r="S134" s="48"/>
      <c r="T134" s="48"/>
      <c r="U134" s="48"/>
      <c r="V134" s="48"/>
      <c r="W134" s="64"/>
      <c r="X134" s="48"/>
      <c r="Y134" s="48"/>
      <c r="Z134" s="48"/>
      <c r="AA134" s="48"/>
      <c r="AB134" s="64"/>
      <c r="AC134" s="48"/>
      <c r="AD134" s="48"/>
      <c r="AE134" s="48"/>
      <c r="AF134" s="48"/>
      <c r="AG134" s="64"/>
      <c r="AH134" s="48"/>
      <c r="AI134" s="48"/>
      <c r="AJ134" s="48"/>
      <c r="AK134" s="48"/>
      <c r="AL134" s="64"/>
      <c r="AM134" s="48"/>
      <c r="AN134" s="48"/>
      <c r="AO134" s="48"/>
      <c r="AP134" s="48"/>
      <c r="AQ134" s="52"/>
      <c r="AR134" s="48"/>
      <c r="AS134" s="48"/>
      <c r="AT134" s="48"/>
      <c r="AU134" s="217"/>
      <c r="AV134" s="48"/>
      <c r="AW134" s="48"/>
      <c r="AX134" s="48"/>
      <c r="AY134" s="48"/>
      <c r="AZ134" s="52"/>
      <c r="BA134" s="287"/>
      <c r="BB134" s="51"/>
      <c r="BC134" s="51"/>
      <c r="BD134" s="287"/>
      <c r="BE134" s="52"/>
      <c r="BF134" s="287"/>
      <c r="BG134" s="51"/>
      <c r="BH134" s="287"/>
      <c r="BI134" s="287"/>
      <c r="BJ134" s="52"/>
      <c r="BK134" s="215"/>
      <c r="BL134" s="215"/>
      <c r="BM134" s="275"/>
      <c r="BN134" s="215"/>
      <c r="BO134" s="263"/>
      <c r="BP134" s="215"/>
      <c r="BQ134" s="215"/>
      <c r="BR134" s="275"/>
      <c r="BS134" s="215"/>
      <c r="BT134" s="263"/>
      <c r="BU134" s="215"/>
      <c r="BV134" s="215"/>
      <c r="BW134" s="275"/>
      <c r="BX134" s="215"/>
      <c r="BY134" s="263"/>
      <c r="BZ134" s="215"/>
      <c r="CA134" s="215"/>
      <c r="CB134" s="275"/>
      <c r="CC134" s="215"/>
      <c r="CD134" s="263"/>
      <c r="CE134" s="276"/>
      <c r="CF134" s="276"/>
      <c r="CG134" s="276"/>
      <c r="CH134" s="276"/>
      <c r="CI134" s="263"/>
      <c r="CJ134" s="276"/>
      <c r="CK134" s="276"/>
      <c r="CL134" s="276"/>
      <c r="CM134" s="276"/>
      <c r="CN134" s="263"/>
      <c r="CO134" s="276"/>
      <c r="CP134" s="276"/>
      <c r="CQ134" s="276"/>
      <c r="CR134" s="276"/>
      <c r="CS134" s="263"/>
      <c r="CT134" s="276"/>
      <c r="CU134" s="276"/>
      <c r="CV134" s="276"/>
      <c r="CW134" s="276"/>
      <c r="CX134" s="263"/>
      <c r="CY134" s="49"/>
      <c r="CZ134" s="49"/>
      <c r="DA134" s="49"/>
      <c r="DB134" s="49"/>
      <c r="DC134" s="52"/>
      <c r="DD134" s="49">
        <f>DD129/4*AVERAGE(DD133,DD130)</f>
        <v>3.75</v>
      </c>
      <c r="DE134" s="49">
        <f>DE129/4*AVERAGE(DE130,DE130)</f>
        <v>7.5</v>
      </c>
      <c r="DF134" s="49">
        <f>DF129/4*AVERAGE(DF133,DF130)</f>
        <v>13.75</v>
      </c>
      <c r="DG134" s="49">
        <f>DG129/4*AVERAGE(DG133,DG130)</f>
        <v>13.75</v>
      </c>
      <c r="DH134" s="263">
        <f>SUM(DD134:DG134)</f>
        <v>38.75</v>
      </c>
      <c r="DI134" s="1342">
        <f>DI129/4*AVERAGE(DI133,DI130)</f>
        <v>13.75</v>
      </c>
      <c r="DJ134" s="1342">
        <f>DJ129/4*AVERAGE(DJ133,DJ130)</f>
        <v>13.75</v>
      </c>
      <c r="DK134" s="1342">
        <f>DK129/4*AVERAGE(DK133,DK130)</f>
        <v>13.75</v>
      </c>
      <c r="DL134" s="1342">
        <f>DL129/4*AVERAGE(DL133,DL130)</f>
        <v>13.75</v>
      </c>
      <c r="DM134" s="1353">
        <f>SUM(DI134:DL134)</f>
        <v>55</v>
      </c>
      <c r="DN134" s="1342">
        <f>DN129/4*AVERAGE(DN133,DN130)</f>
        <v>13.75</v>
      </c>
      <c r="DO134" s="1342">
        <f>DO129/4*AVERAGE(DO133,DO130)</f>
        <v>13.75</v>
      </c>
      <c r="DP134" s="1342">
        <f>DP129/4*AVERAGE(DP133,DP130)</f>
        <v>13.75</v>
      </c>
      <c r="DQ134" s="1342">
        <f>DQ129/4*AVERAGE(DQ133,DQ130)</f>
        <v>13.75</v>
      </c>
      <c r="DR134" s="1353">
        <f>SUM(DN134:DQ134)</f>
        <v>55</v>
      </c>
      <c r="DS134" s="1398">
        <f>DS129/4*AVERAGE(DS133,DS130)</f>
        <v>13.75</v>
      </c>
      <c r="DT134" s="1342">
        <f>DT129/4*AVERAGE(DT133,DT130)</f>
        <v>13.75</v>
      </c>
      <c r="DU134" s="1398">
        <f>DU129/4*AVERAGE(DU133,DU130)</f>
        <v>6.875</v>
      </c>
      <c r="DV134" s="1398">
        <f>DV129/4*AVERAGE(DV133,DV130)</f>
        <v>0</v>
      </c>
      <c r="DW134" s="1353">
        <f>SUM(DS134:DV134)</f>
        <v>34.375</v>
      </c>
      <c r="DX134" s="1398">
        <f>DX129/4*AVERAGE(DX133,DX130)</f>
        <v>0</v>
      </c>
      <c r="DY134" s="1398">
        <f>DY129/4*AVERAGE(DY133,DY130)</f>
        <v>0</v>
      </c>
      <c r="DZ134" s="1398">
        <f>DZ129/4*AVERAGE(DZ133,DZ130)</f>
        <v>0</v>
      </c>
      <c r="EA134" s="1398">
        <f>EA129/4*AVERAGE(EA133,EA130)</f>
        <v>0</v>
      </c>
      <c r="EB134" s="1381">
        <f>SUM(DX134:EA134)</f>
        <v>0</v>
      </c>
      <c r="EC134" s="1398">
        <f>EC129/4*AVERAGE(EC133,EC130)</f>
        <v>0</v>
      </c>
      <c r="ED134" s="1398">
        <f>ED129/4*AVERAGE(ED133,ED130)</f>
        <v>0</v>
      </c>
      <c r="EE134" s="1398">
        <f>EE129/4*AVERAGE(EE133,EE130)</f>
        <v>0</v>
      </c>
      <c r="EF134" s="1398">
        <f>EF129/4*AVERAGE(EF133,EF130)</f>
        <v>0</v>
      </c>
      <c r="EG134" s="1381">
        <f>SUM(EC134:EF134)</f>
        <v>0</v>
      </c>
      <c r="EH134" s="1398">
        <f>EH129/4*AVERAGE(EH133,EH130)</f>
        <v>0</v>
      </c>
      <c r="EI134" s="1398">
        <f>EI129/4*AVERAGE(EI133,EI130)</f>
        <v>0</v>
      </c>
      <c r="EJ134" s="1398">
        <f>EJ129/4*AVERAGE(EJ133,EJ130)</f>
        <v>0</v>
      </c>
      <c r="EK134" s="1398">
        <f>EK129/4*AVERAGE(EK133,EK130)</f>
        <v>0</v>
      </c>
      <c r="EL134" s="1381">
        <f>SUM(EH134:EK134)</f>
        <v>0</v>
      </c>
    </row>
    <row r="135" spans="1:142" hidden="1" outlineLevel="1">
      <c r="A135" s="277"/>
      <c r="B135" s="1326"/>
      <c r="C135" s="9"/>
      <c r="D135" s="9"/>
      <c r="E135" s="9"/>
      <c r="F135" s="9"/>
      <c r="G135" s="9"/>
      <c r="H135" s="63"/>
      <c r="I135" s="9"/>
      <c r="J135" s="9"/>
      <c r="K135" s="9"/>
      <c r="L135" s="9"/>
      <c r="M135" s="63"/>
      <c r="N135" s="9"/>
      <c r="O135" s="9"/>
      <c r="P135" s="9"/>
      <c r="Q135" s="9"/>
      <c r="R135" s="63"/>
      <c r="S135" s="9"/>
      <c r="T135" s="9"/>
      <c r="U135" s="9"/>
      <c r="V135" s="9"/>
      <c r="W135" s="63"/>
      <c r="X135" s="9"/>
      <c r="Y135" s="9"/>
      <c r="Z135" s="9"/>
      <c r="AA135" s="9"/>
      <c r="AB135" s="63"/>
      <c r="AC135" s="9"/>
      <c r="AD135" s="9"/>
      <c r="AE135" s="9"/>
      <c r="AF135" s="9"/>
      <c r="AG135" s="63"/>
      <c r="AH135" s="9"/>
      <c r="AI135" s="9"/>
      <c r="AJ135" s="9"/>
      <c r="AK135" s="9"/>
      <c r="AL135" s="63"/>
      <c r="AM135" s="53"/>
      <c r="AN135" s="53"/>
      <c r="AO135" s="53"/>
      <c r="AP135" s="53"/>
      <c r="AQ135" s="28"/>
      <c r="AR135" s="53"/>
      <c r="AS135" s="53"/>
      <c r="AT135" s="53"/>
      <c r="AU135" s="186"/>
      <c r="AV135" s="240"/>
      <c r="AW135" s="240"/>
      <c r="AX135" s="240"/>
      <c r="AY135" s="240"/>
      <c r="AZ135" s="241"/>
      <c r="BA135" s="240"/>
      <c r="BB135" s="240"/>
      <c r="BC135" s="240"/>
      <c r="BD135" s="240"/>
      <c r="BE135" s="241"/>
      <c r="BF135" s="240"/>
      <c r="BG135" s="240"/>
      <c r="BH135" s="240"/>
      <c r="BI135" s="240"/>
      <c r="BJ135" s="241"/>
      <c r="BK135" s="171"/>
      <c r="BL135" s="171"/>
      <c r="BM135" s="171"/>
      <c r="BN135" s="171"/>
      <c r="BO135" s="193"/>
      <c r="BP135" s="171"/>
      <c r="BQ135" s="171"/>
      <c r="BR135" s="171"/>
      <c r="BS135" s="171"/>
      <c r="BT135" s="193"/>
      <c r="BU135" s="171"/>
      <c r="BV135" s="171"/>
      <c r="BW135" s="171"/>
      <c r="BX135" s="171"/>
      <c r="BY135" s="193"/>
      <c r="BZ135" s="171"/>
      <c r="CA135" s="171"/>
      <c r="CB135" s="171"/>
      <c r="CC135" s="171"/>
      <c r="CD135" s="193"/>
      <c r="CE135" s="171"/>
      <c r="CF135" s="171"/>
      <c r="CG135" s="171"/>
      <c r="CH135" s="171"/>
      <c r="CI135" s="193"/>
      <c r="CJ135" s="171"/>
      <c r="CK135" s="171"/>
      <c r="CL135" s="171"/>
      <c r="CM135" s="171"/>
      <c r="CN135" s="193"/>
      <c r="CO135" s="171"/>
      <c r="CP135" s="171"/>
      <c r="CQ135" s="171"/>
      <c r="CR135" s="171"/>
      <c r="CS135" s="193"/>
      <c r="CT135" s="210"/>
      <c r="CU135" s="53"/>
      <c r="CV135" s="53"/>
      <c r="CW135" s="53"/>
      <c r="CX135" s="28"/>
      <c r="CY135" s="53"/>
      <c r="CZ135" s="53"/>
      <c r="DA135" s="53"/>
      <c r="DB135" s="53"/>
      <c r="DC135" s="28"/>
      <c r="DD135" s="53"/>
      <c r="DE135" s="53"/>
      <c r="DF135" s="53"/>
      <c r="DG135" s="53"/>
      <c r="DH135" s="28"/>
      <c r="DI135" s="53"/>
      <c r="DJ135" s="53"/>
      <c r="DK135" s="53"/>
      <c r="DL135" s="53"/>
      <c r="DM135" s="53"/>
      <c r="DN135" s="53"/>
      <c r="DO135" s="53"/>
      <c r="DP135" s="53"/>
      <c r="DQ135" s="53"/>
      <c r="DR135" s="53"/>
      <c r="DS135" s="53"/>
      <c r="DT135" s="53"/>
      <c r="DU135" s="53"/>
      <c r="DV135" s="53"/>
      <c r="DW135" s="53"/>
      <c r="DX135" s="53"/>
      <c r="DY135" s="53"/>
      <c r="DZ135" s="53"/>
      <c r="EA135" s="53"/>
      <c r="EB135" s="53"/>
      <c r="EC135" s="53"/>
      <c r="ED135" s="53"/>
      <c r="EE135" s="53"/>
      <c r="EF135" s="53"/>
      <c r="EG135" s="53"/>
      <c r="EH135" s="53"/>
      <c r="EI135" s="53"/>
      <c r="EJ135" s="53"/>
      <c r="EK135" s="53"/>
      <c r="EL135" s="53"/>
    </row>
    <row r="136" spans="1:142" hidden="1" outlineLevel="1">
      <c r="A136" s="277"/>
      <c r="B136" s="1326" t="s">
        <v>672</v>
      </c>
      <c r="C136" s="9"/>
      <c r="D136" s="9"/>
      <c r="E136" s="9"/>
      <c r="F136" s="9"/>
      <c r="G136" s="9"/>
      <c r="H136" s="63"/>
      <c r="I136" s="9"/>
      <c r="J136" s="9"/>
      <c r="K136" s="9"/>
      <c r="L136" s="9"/>
      <c r="M136" s="63"/>
      <c r="N136" s="9"/>
      <c r="O136" s="9"/>
      <c r="P136" s="9"/>
      <c r="Q136" s="9"/>
      <c r="R136" s="63"/>
      <c r="S136" s="9"/>
      <c r="T136" s="9"/>
      <c r="U136" s="9"/>
      <c r="V136" s="9"/>
      <c r="W136" s="63"/>
      <c r="X136" s="9"/>
      <c r="Y136" s="9"/>
      <c r="Z136" s="9"/>
      <c r="AA136" s="9"/>
      <c r="AB136" s="63"/>
      <c r="AC136" s="9"/>
      <c r="AD136" s="9"/>
      <c r="AE136" s="9"/>
      <c r="AF136" s="9"/>
      <c r="AG136" s="63"/>
      <c r="AH136" s="9"/>
      <c r="AI136" s="9"/>
      <c r="AJ136" s="9"/>
      <c r="AK136" s="9"/>
      <c r="AL136" s="63"/>
      <c r="AM136" s="53"/>
      <c r="AN136" s="53"/>
      <c r="AO136" s="53"/>
      <c r="AP136" s="53"/>
      <c r="AQ136" s="28"/>
      <c r="AR136" s="53"/>
      <c r="AS136" s="53"/>
      <c r="AT136" s="53"/>
      <c r="AU136" s="186"/>
      <c r="AV136" s="240"/>
      <c r="AW136" s="240"/>
      <c r="AX136" s="240"/>
      <c r="AY136" s="240"/>
      <c r="AZ136" s="241"/>
      <c r="BA136" s="240"/>
      <c r="BB136" s="240"/>
      <c r="BC136" s="240"/>
      <c r="BD136" s="240"/>
      <c r="BE136" s="241"/>
      <c r="BF136" s="240"/>
      <c r="BG136" s="240"/>
      <c r="BH136" s="240"/>
      <c r="BI136" s="240"/>
      <c r="BJ136" s="241"/>
      <c r="BK136" s="171"/>
      <c r="BL136" s="171"/>
      <c r="BM136" s="171"/>
      <c r="BN136" s="171"/>
      <c r="BO136" s="193"/>
      <c r="BP136" s="171"/>
      <c r="BQ136" s="171"/>
      <c r="BR136" s="171"/>
      <c r="BS136" s="171"/>
      <c r="BT136" s="193"/>
      <c r="BU136" s="171"/>
      <c r="BV136" s="171"/>
      <c r="BW136" s="171"/>
      <c r="BX136" s="171"/>
      <c r="BY136" s="193"/>
      <c r="BZ136" s="171"/>
      <c r="CA136" s="171"/>
      <c r="CB136" s="171"/>
      <c r="CC136" s="171"/>
      <c r="CD136" s="193"/>
      <c r="CE136" s="171"/>
      <c r="CF136" s="171"/>
      <c r="CG136" s="171"/>
      <c r="CH136" s="171"/>
      <c r="CI136" s="193"/>
      <c r="CJ136" s="171"/>
      <c r="CK136" s="171"/>
      <c r="CL136" s="171"/>
      <c r="CM136" s="171"/>
      <c r="CN136" s="193"/>
      <c r="CO136" s="171"/>
      <c r="CP136" s="171"/>
      <c r="CQ136" s="171"/>
      <c r="CR136" s="171"/>
      <c r="CS136" s="193"/>
      <c r="CT136" s="210"/>
      <c r="CU136" s="53"/>
      <c r="CV136" s="53"/>
      <c r="CW136" s="53"/>
      <c r="CX136" s="28"/>
      <c r="CY136" s="53"/>
      <c r="CZ136" s="53"/>
      <c r="DA136" s="53"/>
      <c r="DB136" s="53"/>
      <c r="DC136" s="28"/>
      <c r="DD136" s="53"/>
      <c r="DE136" s="53"/>
      <c r="DF136" s="53"/>
      <c r="DG136" s="53"/>
      <c r="DH136" s="28"/>
      <c r="DI136" s="53"/>
      <c r="DJ136" s="53"/>
      <c r="DK136" s="53"/>
      <c r="DL136" s="53"/>
      <c r="DM136" s="53"/>
      <c r="DN136" s="53"/>
      <c r="DO136" s="53"/>
      <c r="DP136" s="53"/>
      <c r="DQ136" s="53"/>
      <c r="DR136" s="53"/>
      <c r="DS136" s="53"/>
      <c r="DT136" s="739">
        <f>DT124+DT132</f>
        <v>1441</v>
      </c>
      <c r="DU136" s="739">
        <f t="shared" ref="DU136:EF136" si="17">DU124+DU132</f>
        <v>1390</v>
      </c>
      <c r="DV136" s="739">
        <f t="shared" si="17"/>
        <v>698</v>
      </c>
      <c r="DW136" s="739"/>
      <c r="DX136" s="739">
        <f t="shared" si="17"/>
        <v>829.37035815589047</v>
      </c>
      <c r="DY136" s="739">
        <f t="shared" si="17"/>
        <v>605.37663535468891</v>
      </c>
      <c r="DZ136" s="739">
        <f t="shared" si="17"/>
        <v>853.21887238129329</v>
      </c>
      <c r="EA136" s="739">
        <f t="shared" si="17"/>
        <v>567.71087398451732</v>
      </c>
      <c r="EB136" s="739"/>
      <c r="EC136" s="739">
        <f t="shared" si="17"/>
        <v>376.97417916896063</v>
      </c>
      <c r="ED136" s="739">
        <f t="shared" si="17"/>
        <v>520.54772891988341</v>
      </c>
      <c r="EE136" s="739">
        <f t="shared" si="17"/>
        <v>689.98221824519351</v>
      </c>
      <c r="EF136" s="739">
        <f t="shared" si="17"/>
        <v>714.63062624325505</v>
      </c>
      <c r="EG136" s="739"/>
      <c r="EH136" s="739">
        <f t="shared" ref="EH136:EK136" si="18">EH124+EH132</f>
        <v>657.96794350851678</v>
      </c>
      <c r="EI136" s="739">
        <f t="shared" si="18"/>
        <v>602.90493870577018</v>
      </c>
      <c r="EJ136" s="739">
        <f t="shared" si="18"/>
        <v>652.42194509847184</v>
      </c>
      <c r="EK136" s="739">
        <f t="shared" si="18"/>
        <v>471.25813137678415</v>
      </c>
      <c r="EL136" s="739"/>
    </row>
    <row r="137" spans="1:142" collapsed="1">
      <c r="A137" s="277"/>
      <c r="B137" s="1326"/>
      <c r="C137" s="9"/>
      <c r="D137" s="9"/>
      <c r="E137" s="9"/>
      <c r="F137" s="9"/>
      <c r="G137" s="9"/>
      <c r="H137" s="63"/>
      <c r="I137" s="9"/>
      <c r="J137" s="9"/>
      <c r="K137" s="9"/>
      <c r="L137" s="9"/>
      <c r="M137" s="63"/>
      <c r="N137" s="9"/>
      <c r="O137" s="9"/>
      <c r="P137" s="9"/>
      <c r="Q137" s="9"/>
      <c r="R137" s="63"/>
      <c r="S137" s="9"/>
      <c r="T137" s="9"/>
      <c r="U137" s="9"/>
      <c r="V137" s="9"/>
      <c r="W137" s="63"/>
      <c r="X137" s="9"/>
      <c r="Y137" s="9"/>
      <c r="Z137" s="9"/>
      <c r="AA137" s="9"/>
      <c r="AB137" s="63"/>
      <c r="AC137" s="9"/>
      <c r="AD137" s="9"/>
      <c r="AE137" s="9"/>
      <c r="AF137" s="9"/>
      <c r="AG137" s="63"/>
      <c r="AH137" s="9"/>
      <c r="AI137" s="9"/>
      <c r="AJ137" s="9"/>
      <c r="AK137" s="9"/>
      <c r="AL137" s="63"/>
      <c r="AM137" s="53"/>
      <c r="AN137" s="53"/>
      <c r="AO137" s="53"/>
      <c r="AP137" s="53"/>
      <c r="AQ137" s="28"/>
      <c r="AR137" s="53"/>
      <c r="AS137" s="53"/>
      <c r="AT137" s="53"/>
      <c r="AU137" s="186"/>
      <c r="AV137" s="240"/>
      <c r="AW137" s="240"/>
      <c r="AX137" s="240"/>
      <c r="AY137" s="240"/>
      <c r="AZ137" s="241"/>
      <c r="BA137" s="240"/>
      <c r="BB137" s="240"/>
      <c r="BC137" s="240"/>
      <c r="BD137" s="240"/>
      <c r="BE137" s="241"/>
      <c r="BF137" s="240"/>
      <c r="BG137" s="240"/>
      <c r="BH137" s="240"/>
      <c r="BI137" s="240"/>
      <c r="BJ137" s="241"/>
      <c r="BK137" s="171"/>
      <c r="BL137" s="171"/>
      <c r="BM137" s="171"/>
      <c r="BN137" s="171"/>
      <c r="BO137" s="193"/>
      <c r="BP137" s="171"/>
      <c r="BQ137" s="171"/>
      <c r="BR137" s="171"/>
      <c r="BS137" s="171"/>
      <c r="BT137" s="193"/>
      <c r="BU137" s="171"/>
      <c r="BV137" s="171"/>
      <c r="BW137" s="171"/>
      <c r="BX137" s="171"/>
      <c r="BY137" s="193"/>
      <c r="BZ137" s="171"/>
      <c r="CA137" s="171"/>
      <c r="CB137" s="171"/>
      <c r="CC137" s="171"/>
      <c r="CD137" s="193"/>
      <c r="CE137" s="171"/>
      <c r="CF137" s="171"/>
      <c r="CG137" s="171"/>
      <c r="CH137" s="171"/>
      <c r="CI137" s="193"/>
      <c r="CJ137" s="171"/>
      <c r="CK137" s="171"/>
      <c r="CL137" s="171"/>
      <c r="CM137" s="171"/>
      <c r="CN137" s="193"/>
      <c r="CO137" s="171"/>
      <c r="CP137" s="171"/>
      <c r="CQ137" s="171"/>
      <c r="CR137" s="171"/>
      <c r="CS137" s="193"/>
      <c r="CT137" s="210"/>
      <c r="CU137" s="53"/>
      <c r="CV137" s="53"/>
      <c r="CW137" s="53"/>
      <c r="CX137" s="28"/>
      <c r="CY137" s="53"/>
      <c r="CZ137" s="53"/>
      <c r="DA137" s="53"/>
      <c r="DB137" s="53"/>
      <c r="DC137" s="28"/>
      <c r="DD137" s="53"/>
      <c r="DE137" s="53"/>
      <c r="DF137" s="53"/>
      <c r="DG137" s="53"/>
      <c r="DH137" s="28"/>
      <c r="DI137" s="53"/>
      <c r="DJ137" s="53"/>
      <c r="DK137" s="53"/>
      <c r="DL137" s="53"/>
      <c r="DM137" s="53"/>
      <c r="DN137" s="53"/>
      <c r="DO137" s="53"/>
      <c r="DP137" s="53"/>
      <c r="DQ137" s="53"/>
      <c r="DR137" s="53"/>
      <c r="DS137" s="53"/>
      <c r="DT137" s="739"/>
      <c r="DU137" s="739"/>
      <c r="DV137" s="739"/>
      <c r="DW137" s="739"/>
      <c r="DX137" s="739"/>
      <c r="DY137" s="739"/>
      <c r="DZ137" s="739"/>
      <c r="EA137" s="739"/>
      <c r="EB137" s="739"/>
      <c r="EC137" s="739"/>
      <c r="ED137" s="739"/>
      <c r="EE137" s="739"/>
      <c r="EF137" s="739"/>
      <c r="EG137" s="53"/>
      <c r="EH137" s="739"/>
      <c r="EI137" s="739"/>
      <c r="EJ137" s="739"/>
      <c r="EK137" s="739"/>
      <c r="EL137" s="53"/>
    </row>
    <row r="138" spans="1:142">
      <c r="A138" s="1327"/>
      <c r="B138" s="242" t="s">
        <v>583</v>
      </c>
      <c r="C138" s="228"/>
      <c r="D138" s="228"/>
      <c r="E138" s="228"/>
      <c r="F138" s="228"/>
      <c r="G138" s="228"/>
      <c r="H138" s="229"/>
      <c r="I138" s="228"/>
      <c r="J138" s="228"/>
      <c r="K138" s="228"/>
      <c r="L138" s="228"/>
      <c r="M138" s="229"/>
      <c r="N138" s="228"/>
      <c r="O138" s="228"/>
      <c r="P138" s="228"/>
      <c r="Q138" s="228"/>
      <c r="R138" s="229"/>
      <c r="S138" s="228"/>
      <c r="T138" s="228"/>
      <c r="U138" s="228"/>
      <c r="V138" s="228"/>
      <c r="W138" s="229"/>
      <c r="X138" s="228"/>
      <c r="Y138" s="228"/>
      <c r="Z138" s="228"/>
      <c r="AA138" s="228"/>
      <c r="AB138" s="229"/>
      <c r="AC138" s="228"/>
      <c r="AD138" s="228"/>
      <c r="AE138" s="228"/>
      <c r="AF138" s="228"/>
      <c r="AG138" s="229"/>
      <c r="AH138" s="228"/>
      <c r="AI138" s="228"/>
      <c r="AJ138" s="228"/>
      <c r="AK138" s="228"/>
      <c r="AL138" s="229"/>
      <c r="AM138" s="243"/>
      <c r="AN138" s="243"/>
      <c r="AO138" s="243"/>
      <c r="AP138" s="243"/>
      <c r="AQ138" s="244"/>
      <c r="AR138" s="243"/>
      <c r="AS138" s="243"/>
      <c r="AT138" s="243"/>
      <c r="AU138" s="230"/>
      <c r="AV138" s="245"/>
      <c r="AW138" s="245"/>
      <c r="AX138" s="245"/>
      <c r="AY138" s="245"/>
      <c r="AZ138" s="246"/>
      <c r="BA138" s="245"/>
      <c r="BB138" s="245"/>
      <c r="BC138" s="245"/>
      <c r="BD138" s="245"/>
      <c r="BE138" s="246"/>
      <c r="BF138" s="245"/>
      <c r="BG138" s="245"/>
      <c r="BH138" s="245"/>
      <c r="BI138" s="245"/>
      <c r="BJ138" s="246"/>
      <c r="BK138" s="228"/>
      <c r="BL138" s="228"/>
      <c r="BM138" s="228"/>
      <c r="BN138" s="228"/>
      <c r="BO138" s="229"/>
      <c r="BP138" s="228"/>
      <c r="BQ138" s="228"/>
      <c r="BR138" s="228"/>
      <c r="BS138" s="228"/>
      <c r="BT138" s="229"/>
      <c r="BU138" s="228"/>
      <c r="BV138" s="228"/>
      <c r="BW138" s="228"/>
      <c r="BX138" s="228"/>
      <c r="BY138" s="229"/>
      <c r="BZ138" s="228"/>
      <c r="CA138" s="228"/>
      <c r="CB138" s="228"/>
      <c r="CC138" s="228"/>
      <c r="CD138" s="229"/>
      <c r="CE138" s="228"/>
      <c r="CF138" s="228"/>
      <c r="CG138" s="228"/>
      <c r="CH138" s="228"/>
      <c r="CI138" s="229"/>
      <c r="CJ138" s="228"/>
      <c r="CK138" s="228"/>
      <c r="CL138" s="228"/>
      <c r="CM138" s="228"/>
      <c r="CN138" s="229"/>
      <c r="CO138" s="228"/>
      <c r="CP138" s="228"/>
      <c r="CQ138" s="228"/>
      <c r="CR138" s="228"/>
      <c r="CS138" s="229"/>
      <c r="CT138" s="228"/>
      <c r="CU138" s="228"/>
      <c r="CV138" s="228"/>
      <c r="CW138" s="228"/>
      <c r="CX138" s="229"/>
      <c r="CY138" s="228"/>
      <c r="CZ138" s="228"/>
      <c r="DA138" s="228"/>
      <c r="DB138" s="228"/>
      <c r="DC138" s="229"/>
      <c r="DD138" s="228"/>
      <c r="DE138" s="228"/>
      <c r="DF138" s="228"/>
      <c r="DG138" s="228"/>
      <c r="DH138" s="229"/>
      <c r="DI138" s="228"/>
      <c r="DJ138" s="228"/>
      <c r="DK138" s="231"/>
      <c r="DL138" s="228"/>
      <c r="DM138" s="229"/>
      <c r="DN138" s="228"/>
      <c r="DO138" s="228"/>
      <c r="DP138" s="228"/>
      <c r="DQ138" s="228"/>
      <c r="DR138" s="229"/>
      <c r="DS138" s="228"/>
      <c r="DT138" s="228"/>
      <c r="DU138" s="228"/>
      <c r="DV138" s="228"/>
      <c r="DW138" s="229"/>
      <c r="DX138" s="228"/>
      <c r="DY138" s="228"/>
      <c r="DZ138" s="228"/>
      <c r="EA138" s="228"/>
      <c r="EB138" s="229"/>
      <c r="EC138" s="228"/>
      <c r="ED138" s="228"/>
      <c r="EE138" s="228"/>
      <c r="EF138" s="228"/>
      <c r="EG138" s="229"/>
      <c r="EH138" s="228"/>
      <c r="EI138" s="228"/>
      <c r="EJ138" s="228"/>
      <c r="EK138" s="228"/>
      <c r="EL138" s="229"/>
    </row>
    <row r="139" spans="1:142">
      <c r="A139" s="1328"/>
      <c r="B139" s="247" t="s">
        <v>297</v>
      </c>
      <c r="C139" s="9"/>
      <c r="D139" s="9"/>
      <c r="E139" s="9"/>
      <c r="F139" s="9"/>
      <c r="G139" s="9"/>
      <c r="H139" s="63"/>
      <c r="I139" s="9"/>
      <c r="J139" s="9"/>
      <c r="K139" s="9"/>
      <c r="L139" s="9"/>
      <c r="M139" s="63"/>
      <c r="N139" s="9"/>
      <c r="O139" s="9"/>
      <c r="P139" s="9"/>
      <c r="Q139" s="9"/>
      <c r="R139" s="63"/>
      <c r="S139" s="9"/>
      <c r="T139" s="9"/>
      <c r="U139" s="9"/>
      <c r="V139" s="9"/>
      <c r="W139" s="63"/>
      <c r="X139" s="9"/>
      <c r="Y139" s="9"/>
      <c r="Z139" s="9"/>
      <c r="AA139" s="9"/>
      <c r="AB139" s="63"/>
      <c r="AC139" s="9"/>
      <c r="AD139" s="9"/>
      <c r="AE139" s="9"/>
      <c r="AF139" s="9"/>
      <c r="AG139" s="63"/>
      <c r="AH139" s="9"/>
      <c r="AI139" s="9"/>
      <c r="AJ139" s="9"/>
      <c r="AK139" s="9"/>
      <c r="AL139" s="63"/>
      <c r="AM139" s="53"/>
      <c r="AN139" s="53"/>
      <c r="AO139" s="53"/>
      <c r="AP139" s="53"/>
      <c r="AQ139" s="28"/>
      <c r="AR139" s="53"/>
      <c r="AS139" s="53"/>
      <c r="AT139" s="53"/>
      <c r="AU139" s="186"/>
      <c r="AV139" s="240"/>
      <c r="AW139" s="240"/>
      <c r="AX139" s="240"/>
      <c r="AY139" s="240"/>
      <c r="AZ139" s="241"/>
      <c r="BA139" s="240"/>
      <c r="BB139" s="240"/>
      <c r="BC139" s="240"/>
      <c r="BD139" s="240"/>
      <c r="BE139" s="241"/>
      <c r="BF139" s="240"/>
      <c r="BG139" s="240"/>
      <c r="BH139" s="240"/>
      <c r="BI139" s="240"/>
      <c r="BJ139" s="241"/>
      <c r="BK139" s="9"/>
      <c r="BL139" s="9"/>
      <c r="BM139" s="9"/>
      <c r="BN139" s="9"/>
      <c r="BO139" s="63"/>
      <c r="BP139" s="9"/>
      <c r="BQ139" s="9"/>
      <c r="BR139" s="9"/>
      <c r="BS139" s="9"/>
      <c r="BT139" s="63"/>
      <c r="BU139" s="9"/>
      <c r="BV139" s="9"/>
      <c r="BW139" s="9"/>
      <c r="BX139" s="9"/>
      <c r="BY139" s="63"/>
      <c r="BZ139" s="9"/>
      <c r="CA139" s="9"/>
      <c r="CB139" s="9"/>
      <c r="CC139" s="9"/>
      <c r="CD139" s="63"/>
      <c r="CE139" s="288">
        <v>6.3799999999999996E-2</v>
      </c>
      <c r="CF139" s="288">
        <v>6.3799999999999996E-2</v>
      </c>
      <c r="CG139" s="288">
        <v>6.3799999999999996E-2</v>
      </c>
      <c r="CH139" s="288">
        <v>6.3799999999999996E-2</v>
      </c>
      <c r="CI139" s="193"/>
      <c r="CJ139" s="288">
        <v>6.3799999999999996E-2</v>
      </c>
      <c r="CK139" s="288">
        <v>6.3799999999999996E-2</v>
      </c>
      <c r="CL139" s="288">
        <v>6.3799999999999996E-2</v>
      </c>
      <c r="CM139" s="288">
        <v>6.3799999999999996E-2</v>
      </c>
      <c r="CN139" s="193"/>
      <c r="CO139" s="288">
        <v>6.3799999999999996E-2</v>
      </c>
      <c r="CP139" s="288">
        <v>6.3799999999999996E-2</v>
      </c>
      <c r="CQ139" s="288">
        <v>6.3799999999999996E-2</v>
      </c>
      <c r="CR139" s="288">
        <v>6.3799999999999996E-2</v>
      </c>
      <c r="CS139" s="193"/>
      <c r="CT139" s="248"/>
      <c r="CU139" s="248"/>
      <c r="CV139" s="248"/>
      <c r="CW139" s="249"/>
      <c r="CX139" s="193"/>
      <c r="CY139" s="250"/>
      <c r="CZ139" s="250"/>
      <c r="DA139" s="87"/>
      <c r="DB139" s="87"/>
      <c r="DC139" s="193"/>
      <c r="DD139" s="250"/>
      <c r="DE139" s="87"/>
      <c r="DF139" s="87">
        <v>5.5E-2</v>
      </c>
      <c r="DG139" s="87">
        <f>DF139</f>
        <v>5.5E-2</v>
      </c>
      <c r="DH139" s="253">
        <f>DG139</f>
        <v>5.5E-2</v>
      </c>
      <c r="DI139" s="250">
        <v>0.05</v>
      </c>
      <c r="DJ139" s="251">
        <f>DI139</f>
        <v>0.05</v>
      </c>
      <c r="DK139" s="251">
        <f>DJ139</f>
        <v>0.05</v>
      </c>
      <c r="DL139" s="251">
        <f>DK139</f>
        <v>0.05</v>
      </c>
      <c r="DM139" s="253">
        <f>DL139</f>
        <v>0.05</v>
      </c>
      <c r="DN139" s="250">
        <v>0.05</v>
      </c>
      <c r="DO139" s="251">
        <f>DN139</f>
        <v>0.05</v>
      </c>
      <c r="DP139" s="251">
        <f>DO139</f>
        <v>0.05</v>
      </c>
      <c r="DQ139" s="251">
        <f>DP139</f>
        <v>0.05</v>
      </c>
      <c r="DR139" s="253">
        <f>DQ139</f>
        <v>0.05</v>
      </c>
      <c r="DS139" s="254">
        <v>5.5E-2</v>
      </c>
      <c r="DT139" s="251">
        <f>DS139</f>
        <v>5.5E-2</v>
      </c>
      <c r="DU139" s="251">
        <f>DT139</f>
        <v>5.5E-2</v>
      </c>
      <c r="DV139" s="251">
        <f>DU139</f>
        <v>5.5E-2</v>
      </c>
      <c r="DW139" s="253">
        <f>DV139</f>
        <v>5.5E-2</v>
      </c>
      <c r="DX139" s="254">
        <v>5.5E-2</v>
      </c>
      <c r="DY139" s="251">
        <f>DX139</f>
        <v>5.5E-2</v>
      </c>
      <c r="DZ139" s="251">
        <f>DY139</f>
        <v>5.5E-2</v>
      </c>
      <c r="EA139" s="251">
        <f>DZ139</f>
        <v>5.5E-2</v>
      </c>
      <c r="EB139" s="253">
        <f>EA139</f>
        <v>5.5E-2</v>
      </c>
      <c r="EC139" s="254">
        <v>5.5E-2</v>
      </c>
      <c r="ED139" s="251">
        <f>EC139</f>
        <v>5.5E-2</v>
      </c>
      <c r="EE139" s="251">
        <f>ED139</f>
        <v>5.5E-2</v>
      </c>
      <c r="EF139" s="251">
        <f>EE139</f>
        <v>5.5E-2</v>
      </c>
      <c r="EG139" s="253">
        <f>EF139</f>
        <v>5.5E-2</v>
      </c>
      <c r="EH139" s="254">
        <v>5.5E-2</v>
      </c>
      <c r="EI139" s="251">
        <f>EH139</f>
        <v>5.5E-2</v>
      </c>
      <c r="EJ139" s="251">
        <f>EI139</f>
        <v>5.5E-2</v>
      </c>
      <c r="EK139" s="251">
        <f>EJ139</f>
        <v>5.5E-2</v>
      </c>
      <c r="EL139" s="253">
        <f>EK139</f>
        <v>5.5E-2</v>
      </c>
    </row>
    <row r="140" spans="1:142">
      <c r="A140" s="225"/>
      <c r="B140" s="209" t="s">
        <v>298</v>
      </c>
      <c r="C140" s="9"/>
      <c r="D140" s="9"/>
      <c r="E140" s="9"/>
      <c r="F140" s="9"/>
      <c r="G140" s="9"/>
      <c r="H140" s="63"/>
      <c r="I140" s="9"/>
      <c r="J140" s="9"/>
      <c r="K140" s="9"/>
      <c r="L140" s="9"/>
      <c r="M140" s="63"/>
      <c r="N140" s="9"/>
      <c r="O140" s="9"/>
      <c r="P140" s="9"/>
      <c r="Q140" s="9"/>
      <c r="R140" s="63"/>
      <c r="S140" s="9"/>
      <c r="T140" s="9"/>
      <c r="U140" s="9"/>
      <c r="V140" s="9"/>
      <c r="W140" s="63"/>
      <c r="X140" s="9"/>
      <c r="Y140" s="9"/>
      <c r="Z140" s="9"/>
      <c r="AA140" s="9"/>
      <c r="AB140" s="63"/>
      <c r="AC140" s="9"/>
      <c r="AD140" s="9"/>
      <c r="AE140" s="9"/>
      <c r="AF140" s="9"/>
      <c r="AG140" s="63"/>
      <c r="AH140" s="9"/>
      <c r="AI140" s="9"/>
      <c r="AJ140" s="9"/>
      <c r="AK140" s="9"/>
      <c r="AL140" s="63"/>
      <c r="AM140" s="53"/>
      <c r="AN140" s="53"/>
      <c r="AO140" s="53"/>
      <c r="AP140" s="53"/>
      <c r="AQ140" s="28"/>
      <c r="AR140" s="53"/>
      <c r="AS140" s="53"/>
      <c r="AT140" s="53"/>
      <c r="AU140" s="186"/>
      <c r="AV140" s="240"/>
      <c r="AW140" s="240"/>
      <c r="AX140" s="240"/>
      <c r="AY140" s="240"/>
      <c r="AZ140" s="241"/>
      <c r="BA140" s="240"/>
      <c r="BB140" s="240"/>
      <c r="BC140" s="240"/>
      <c r="BD140" s="240"/>
      <c r="BE140" s="241"/>
      <c r="BF140" s="240"/>
      <c r="BG140" s="240"/>
      <c r="BH140" s="240"/>
      <c r="BI140" s="240"/>
      <c r="BJ140" s="241"/>
      <c r="BK140" s="1393"/>
      <c r="BL140" s="1393"/>
      <c r="BM140" s="1393"/>
      <c r="BN140" s="1393"/>
      <c r="BO140" s="1394"/>
      <c r="BP140" s="1393"/>
      <c r="BQ140" s="1393"/>
      <c r="BR140" s="1393"/>
      <c r="BS140" s="1393"/>
      <c r="BT140" s="1394"/>
      <c r="BU140" s="1393"/>
      <c r="BV140" s="1393"/>
      <c r="BW140" s="1393"/>
      <c r="BX140" s="1393"/>
      <c r="BY140" s="1394"/>
      <c r="BZ140" s="1393"/>
      <c r="CA140" s="1393"/>
      <c r="CB140" s="1393"/>
      <c r="CC140" s="1393"/>
      <c r="CD140" s="1394"/>
      <c r="CE140" s="289"/>
      <c r="CF140" s="289"/>
      <c r="CG140" s="289"/>
      <c r="CH140" s="289"/>
      <c r="CI140" s="258"/>
      <c r="CJ140" s="289"/>
      <c r="CK140" s="289"/>
      <c r="CL140" s="289"/>
      <c r="CM140" s="289"/>
      <c r="CN140" s="258"/>
      <c r="CO140" s="289"/>
      <c r="CP140" s="289"/>
      <c r="CQ140" s="289"/>
      <c r="CR140" s="289"/>
      <c r="CS140" s="258"/>
      <c r="CT140" s="257"/>
      <c r="CU140" s="257"/>
      <c r="CV140" s="257"/>
      <c r="CW140" s="257"/>
      <c r="CX140" s="258"/>
      <c r="CY140" s="257"/>
      <c r="CZ140" s="257"/>
      <c r="DA140" s="257"/>
      <c r="DB140" s="257"/>
      <c r="DC140" s="258"/>
      <c r="DD140" s="257"/>
      <c r="DE140" s="257"/>
      <c r="DF140" s="257">
        <f>DE143</f>
        <v>0</v>
      </c>
      <c r="DG140" s="257">
        <f>DF143</f>
        <v>500</v>
      </c>
      <c r="DH140" s="258"/>
      <c r="DI140" s="538">
        <f>DG143</f>
        <v>500</v>
      </c>
      <c r="DJ140" s="539">
        <f>DI143</f>
        <v>500</v>
      </c>
      <c r="DK140" s="1374">
        <f>DJ143</f>
        <v>500</v>
      </c>
      <c r="DL140" s="539">
        <f>DK143</f>
        <v>500</v>
      </c>
      <c r="DM140" s="540"/>
      <c r="DN140" s="538">
        <f>DL143</f>
        <v>500</v>
      </c>
      <c r="DO140" s="539">
        <f>DN143</f>
        <v>500</v>
      </c>
      <c r="DP140" s="539">
        <f>DO143</f>
        <v>500</v>
      </c>
      <c r="DQ140" s="539">
        <f>DP143</f>
        <v>500</v>
      </c>
      <c r="DR140" s="540"/>
      <c r="DS140" s="539">
        <f>DQ143</f>
        <v>500</v>
      </c>
      <c r="DT140" s="539">
        <f>DS143</f>
        <v>500</v>
      </c>
      <c r="DU140" s="539">
        <f>DT143</f>
        <v>500</v>
      </c>
      <c r="DV140" s="539">
        <f>DU143</f>
        <v>500</v>
      </c>
      <c r="DW140" s="540"/>
      <c r="DX140" s="539">
        <f>DV143</f>
        <v>500</v>
      </c>
      <c r="DY140" s="539">
        <f>DX143</f>
        <v>500</v>
      </c>
      <c r="DZ140" s="539">
        <f>DY143</f>
        <v>500</v>
      </c>
      <c r="EA140" s="539">
        <f>DZ143</f>
        <v>500</v>
      </c>
      <c r="EB140" s="540"/>
      <c r="EC140" s="539">
        <f>EA143</f>
        <v>500</v>
      </c>
      <c r="ED140" s="539">
        <f>EC143</f>
        <v>500</v>
      </c>
      <c r="EE140" s="539">
        <f>ED143</f>
        <v>500</v>
      </c>
      <c r="EF140" s="539">
        <f>EE143</f>
        <v>500</v>
      </c>
      <c r="EG140" s="540"/>
      <c r="EH140" s="539">
        <f>EF143</f>
        <v>500</v>
      </c>
      <c r="EI140" s="539">
        <f>EH143</f>
        <v>500</v>
      </c>
      <c r="EJ140" s="539">
        <f>EI143</f>
        <v>500</v>
      </c>
      <c r="EK140" s="539">
        <f>EJ143</f>
        <v>500</v>
      </c>
      <c r="EL140" s="540"/>
    </row>
    <row r="141" spans="1:142">
      <c r="A141" s="225"/>
      <c r="B141" s="209" t="s">
        <v>674</v>
      </c>
      <c r="C141" s="9"/>
      <c r="D141" s="9"/>
      <c r="E141" s="9"/>
      <c r="F141" s="9"/>
      <c r="G141" s="9"/>
      <c r="H141" s="63"/>
      <c r="I141" s="9"/>
      <c r="J141" s="9"/>
      <c r="K141" s="9"/>
      <c r="L141" s="9"/>
      <c r="M141" s="63"/>
      <c r="N141" s="9"/>
      <c r="O141" s="9"/>
      <c r="P141" s="9"/>
      <c r="Q141" s="9"/>
      <c r="R141" s="63"/>
      <c r="S141" s="9"/>
      <c r="T141" s="9"/>
      <c r="U141" s="9"/>
      <c r="V141" s="9"/>
      <c r="W141" s="63"/>
      <c r="X141" s="9"/>
      <c r="Y141" s="9"/>
      <c r="Z141" s="9"/>
      <c r="AA141" s="9"/>
      <c r="AB141" s="63"/>
      <c r="AC141" s="9"/>
      <c r="AD141" s="9"/>
      <c r="AE141" s="9"/>
      <c r="AF141" s="9"/>
      <c r="AG141" s="63"/>
      <c r="AH141" s="9"/>
      <c r="AI141" s="9"/>
      <c r="AJ141" s="9"/>
      <c r="AK141" s="9"/>
      <c r="AL141" s="63"/>
      <c r="AM141" s="53"/>
      <c r="AN141" s="53"/>
      <c r="AO141" s="53"/>
      <c r="AP141" s="53"/>
      <c r="AQ141" s="28"/>
      <c r="AR141" s="53"/>
      <c r="AS141" s="53"/>
      <c r="AT141" s="53"/>
      <c r="AU141" s="186"/>
      <c r="AV141" s="240"/>
      <c r="AW141" s="240"/>
      <c r="AX141" s="240"/>
      <c r="AY141" s="240"/>
      <c r="AZ141" s="241"/>
      <c r="BA141" s="240"/>
      <c r="BB141" s="240"/>
      <c r="BC141" s="240"/>
      <c r="BD141" s="240"/>
      <c r="BE141" s="241"/>
      <c r="BF141" s="240"/>
      <c r="BG141" s="240"/>
      <c r="BH141" s="240"/>
      <c r="BI141" s="240"/>
      <c r="BJ141" s="241"/>
      <c r="BK141" s="255"/>
      <c r="BL141" s="255"/>
      <c r="BM141" s="255"/>
      <c r="BN141" s="255"/>
      <c r="BO141" s="256"/>
      <c r="BP141" s="255"/>
      <c r="BQ141" s="255"/>
      <c r="BR141" s="255"/>
      <c r="BS141" s="255"/>
      <c r="BT141" s="256"/>
      <c r="BU141" s="255"/>
      <c r="BV141" s="255"/>
      <c r="BW141" s="255"/>
      <c r="BX141" s="255"/>
      <c r="BY141" s="256"/>
      <c r="BZ141" s="255"/>
      <c r="CA141" s="255"/>
      <c r="CB141" s="255"/>
      <c r="CC141" s="255"/>
      <c r="CD141" s="256"/>
      <c r="CE141" s="289"/>
      <c r="CF141" s="289"/>
      <c r="CG141" s="289"/>
      <c r="CH141" s="289"/>
      <c r="CI141" s="258"/>
      <c r="CJ141" s="289"/>
      <c r="CK141" s="289"/>
      <c r="CL141" s="289"/>
      <c r="CM141" s="289"/>
      <c r="CN141" s="258"/>
      <c r="CO141" s="289"/>
      <c r="CP141" s="289"/>
      <c r="CQ141" s="289"/>
      <c r="CR141" s="289"/>
      <c r="CS141" s="258"/>
      <c r="CT141" s="257"/>
      <c r="CU141" s="257"/>
      <c r="CV141" s="257"/>
      <c r="CW141" s="257"/>
      <c r="CX141" s="258"/>
      <c r="CY141" s="257"/>
      <c r="CZ141" s="257"/>
      <c r="DA141" s="290"/>
      <c r="DB141" s="290"/>
      <c r="DC141" s="258"/>
      <c r="DD141" s="257"/>
      <c r="DE141" s="290"/>
      <c r="DF141" s="290"/>
      <c r="DG141" s="290"/>
      <c r="DH141" s="260"/>
      <c r="DI141" s="1378">
        <v>0</v>
      </c>
      <c r="DJ141" s="1378">
        <v>0</v>
      </c>
      <c r="DK141" s="1378">
        <v>0</v>
      </c>
      <c r="DL141" s="1378">
        <v>0</v>
      </c>
      <c r="DM141" s="1380">
        <f>SUM(DI141:DL141)</f>
        <v>0</v>
      </c>
      <c r="DN141" s="1378">
        <v>0</v>
      </c>
      <c r="DO141" s="1378">
        <v>0</v>
      </c>
      <c r="DP141" s="1378">
        <v>0</v>
      </c>
      <c r="DQ141" s="1378">
        <v>0</v>
      </c>
      <c r="DR141" s="1380">
        <f>SUM(DN141:DQ141)</f>
        <v>0</v>
      </c>
      <c r="DS141" s="1378">
        <v>0</v>
      </c>
      <c r="DT141" s="1378">
        <v>0</v>
      </c>
      <c r="DU141" s="1378">
        <v>0</v>
      </c>
      <c r="DV141" s="1378">
        <v>0</v>
      </c>
      <c r="DW141" s="1380">
        <f>SUM(DS141:DV141)</f>
        <v>0</v>
      </c>
      <c r="DX141" s="1378">
        <v>0</v>
      </c>
      <c r="DY141" s="1378">
        <v>0</v>
      </c>
      <c r="DZ141" s="1378">
        <v>0</v>
      </c>
      <c r="EA141" s="1378">
        <v>0</v>
      </c>
      <c r="EB141" s="1380">
        <f>SUM(DX141:EA141)</f>
        <v>0</v>
      </c>
      <c r="EC141" s="1378">
        <v>0</v>
      </c>
      <c r="ED141" s="1378">
        <v>0</v>
      </c>
      <c r="EE141" s="1378">
        <v>0</v>
      </c>
      <c r="EF141" s="1378">
        <v>0</v>
      </c>
      <c r="EG141" s="1380">
        <f>SUM(EC141:EF141)</f>
        <v>0</v>
      </c>
      <c r="EH141" s="1378">
        <v>0</v>
      </c>
      <c r="EI141" s="1378">
        <v>0</v>
      </c>
      <c r="EJ141" s="1378">
        <v>0</v>
      </c>
      <c r="EK141" s="1378">
        <v>0</v>
      </c>
      <c r="EL141" s="1380">
        <f>SUM(EH141:EK141)</f>
        <v>0</v>
      </c>
    </row>
    <row r="142" spans="1:142">
      <c r="A142" s="225"/>
      <c r="B142" s="214" t="s">
        <v>675</v>
      </c>
      <c r="C142" s="9"/>
      <c r="D142" s="9"/>
      <c r="E142" s="9"/>
      <c r="F142" s="9"/>
      <c r="G142" s="9"/>
      <c r="H142" s="63"/>
      <c r="I142" s="9"/>
      <c r="J142" s="9"/>
      <c r="K142" s="9"/>
      <c r="L142" s="9"/>
      <c r="M142" s="63"/>
      <c r="N142" s="9"/>
      <c r="O142" s="9"/>
      <c r="P142" s="9"/>
      <c r="Q142" s="9"/>
      <c r="R142" s="63"/>
      <c r="S142" s="9"/>
      <c r="T142" s="9"/>
      <c r="U142" s="9"/>
      <c r="V142" s="9"/>
      <c r="W142" s="63"/>
      <c r="X142" s="9"/>
      <c r="Y142" s="9"/>
      <c r="Z142" s="9"/>
      <c r="AA142" s="9"/>
      <c r="AB142" s="63"/>
      <c r="AC142" s="9"/>
      <c r="AD142" s="9"/>
      <c r="AE142" s="9"/>
      <c r="AF142" s="9"/>
      <c r="AG142" s="63"/>
      <c r="AH142" s="9"/>
      <c r="AI142" s="9"/>
      <c r="AJ142" s="9"/>
      <c r="AK142" s="9"/>
      <c r="AL142" s="63"/>
      <c r="AM142" s="53"/>
      <c r="AN142" s="53"/>
      <c r="AO142" s="53"/>
      <c r="AP142" s="53"/>
      <c r="AQ142" s="28"/>
      <c r="AR142" s="53"/>
      <c r="AS142" s="53"/>
      <c r="AT142" s="53"/>
      <c r="AU142" s="186"/>
      <c r="AV142" s="240"/>
      <c r="AW142" s="240"/>
      <c r="AX142" s="240"/>
      <c r="AY142" s="240"/>
      <c r="AZ142" s="241"/>
      <c r="BA142" s="240"/>
      <c r="BB142" s="240"/>
      <c r="BC142" s="240"/>
      <c r="BD142" s="240"/>
      <c r="BE142" s="241"/>
      <c r="BF142" s="240"/>
      <c r="BG142" s="240"/>
      <c r="BH142" s="240"/>
      <c r="BI142" s="240"/>
      <c r="BJ142" s="241"/>
      <c r="BK142" s="48"/>
      <c r="BL142" s="48"/>
      <c r="BM142" s="262"/>
      <c r="BN142" s="48"/>
      <c r="BO142" s="64"/>
      <c r="BP142" s="48"/>
      <c r="BQ142" s="48"/>
      <c r="BR142" s="262"/>
      <c r="BS142" s="48"/>
      <c r="BT142" s="64"/>
      <c r="BU142" s="48"/>
      <c r="BV142" s="48"/>
      <c r="BW142" s="262"/>
      <c r="BX142" s="48"/>
      <c r="BY142" s="64"/>
      <c r="BZ142" s="48"/>
      <c r="CA142" s="48"/>
      <c r="CB142" s="262"/>
      <c r="CC142" s="48"/>
      <c r="CD142" s="64"/>
      <c r="CE142" s="174"/>
      <c r="CF142" s="174"/>
      <c r="CG142" s="174"/>
      <c r="CH142" s="174"/>
      <c r="CI142" s="263"/>
      <c r="CJ142" s="174"/>
      <c r="CK142" s="174"/>
      <c r="CL142" s="174"/>
      <c r="CM142" s="174"/>
      <c r="CN142" s="263"/>
      <c r="CO142" s="174"/>
      <c r="CP142" s="174"/>
      <c r="CQ142" s="174"/>
      <c r="CR142" s="174"/>
      <c r="CS142" s="263"/>
      <c r="CT142" s="174"/>
      <c r="CU142" s="174"/>
      <c r="CV142" s="174"/>
      <c r="CW142" s="174"/>
      <c r="CX142" s="263"/>
      <c r="CY142" s="174"/>
      <c r="CZ142" s="174"/>
      <c r="DA142" s="174"/>
      <c r="DB142" s="174"/>
      <c r="DC142" s="263"/>
      <c r="DD142" s="174"/>
      <c r="DE142" s="174"/>
      <c r="DF142" s="174">
        <v>500</v>
      </c>
      <c r="DG142" s="174">
        <v>0</v>
      </c>
      <c r="DH142" s="263">
        <v>0</v>
      </c>
      <c r="DI142" s="1379">
        <v>0</v>
      </c>
      <c r="DJ142" s="1379">
        <v>0</v>
      </c>
      <c r="DK142" s="1379">
        <v>0</v>
      </c>
      <c r="DL142" s="1379">
        <v>0</v>
      </c>
      <c r="DM142" s="1381">
        <f>SUM(DI142:DL142)</f>
        <v>0</v>
      </c>
      <c r="DN142" s="1379">
        <v>0</v>
      </c>
      <c r="DO142" s="1379">
        <v>0</v>
      </c>
      <c r="DP142" s="1379">
        <v>0</v>
      </c>
      <c r="DQ142" s="1379">
        <v>0</v>
      </c>
      <c r="DR142" s="1381">
        <f>SUM(DN142:DQ142)</f>
        <v>0</v>
      </c>
      <c r="DS142" s="1379">
        <v>0</v>
      </c>
      <c r="DT142" s="1379">
        <v>0</v>
      </c>
      <c r="DU142" s="1379">
        <v>0</v>
      </c>
      <c r="DV142" s="1379">
        <v>0</v>
      </c>
      <c r="DW142" s="1381">
        <f>SUM(DS142:DV142)</f>
        <v>0</v>
      </c>
      <c r="DX142" s="1379">
        <v>0</v>
      </c>
      <c r="DY142" s="1379">
        <v>0</v>
      </c>
      <c r="DZ142" s="1379">
        <v>0</v>
      </c>
      <c r="EA142" s="1379">
        <v>0</v>
      </c>
      <c r="EB142" s="1381">
        <f>SUM(DX142:EA142)</f>
        <v>0</v>
      </c>
      <c r="EC142" s="1379">
        <v>0</v>
      </c>
      <c r="ED142" s="1379">
        <v>0</v>
      </c>
      <c r="EE142" s="1379">
        <v>0</v>
      </c>
      <c r="EF142" s="1379">
        <v>0</v>
      </c>
      <c r="EG142" s="1381">
        <f>SUM(EC142:EF142)</f>
        <v>0</v>
      </c>
      <c r="EH142" s="1379">
        <v>0</v>
      </c>
      <c r="EI142" s="1379">
        <v>0</v>
      </c>
      <c r="EJ142" s="1379">
        <v>0</v>
      </c>
      <c r="EK142" s="1379">
        <v>0</v>
      </c>
      <c r="EL142" s="1381">
        <f>SUM(EH142:EK142)</f>
        <v>0</v>
      </c>
    </row>
    <row r="143" spans="1:142">
      <c r="A143" s="225"/>
      <c r="B143" s="209" t="s">
        <v>299</v>
      </c>
      <c r="C143" s="195"/>
      <c r="D143" s="195"/>
      <c r="E143" s="195"/>
      <c r="F143" s="195"/>
      <c r="G143" s="195"/>
      <c r="H143" s="196"/>
      <c r="I143" s="195"/>
      <c r="J143" s="195"/>
      <c r="K143" s="195"/>
      <c r="L143" s="195"/>
      <c r="M143" s="196"/>
      <c r="N143" s="195"/>
      <c r="O143" s="195"/>
      <c r="P143" s="195"/>
      <c r="Q143" s="195"/>
      <c r="R143" s="196"/>
      <c r="S143" s="195"/>
      <c r="T143" s="195"/>
      <c r="U143" s="195"/>
      <c r="V143" s="195"/>
      <c r="W143" s="196"/>
      <c r="X143" s="195"/>
      <c r="Y143" s="195"/>
      <c r="Z143" s="195"/>
      <c r="AA143" s="195"/>
      <c r="AB143" s="196"/>
      <c r="AC143" s="195"/>
      <c r="AD143" s="195"/>
      <c r="AE143" s="195"/>
      <c r="AF143" s="195"/>
      <c r="AG143" s="196"/>
      <c r="AH143" s="195"/>
      <c r="AI143" s="195"/>
      <c r="AJ143" s="195"/>
      <c r="AK143" s="195"/>
      <c r="AL143" s="196"/>
      <c r="AM143" s="57"/>
      <c r="AN143" s="57"/>
      <c r="AO143" s="57"/>
      <c r="AP143" s="57"/>
      <c r="AQ143" s="58"/>
      <c r="AR143" s="57"/>
      <c r="AS143" s="57"/>
      <c r="AT143" s="57"/>
      <c r="AU143" s="199"/>
      <c r="AV143" s="264"/>
      <c r="AW143" s="264"/>
      <c r="AX143" s="264"/>
      <c r="AY143" s="264"/>
      <c r="AZ143" s="265"/>
      <c r="BA143" s="264"/>
      <c r="BB143" s="264"/>
      <c r="BC143" s="264"/>
      <c r="BD143" s="264"/>
      <c r="BE143" s="265"/>
      <c r="BF143" s="264"/>
      <c r="BG143" s="264"/>
      <c r="BH143" s="264"/>
      <c r="BI143" s="264"/>
      <c r="BJ143" s="265"/>
      <c r="BK143" s="146"/>
      <c r="BL143" s="162"/>
      <c r="BM143" s="162"/>
      <c r="BN143" s="162"/>
      <c r="BO143" s="266"/>
      <c r="BP143" s="146"/>
      <c r="BQ143" s="162"/>
      <c r="BR143" s="162"/>
      <c r="BS143" s="162"/>
      <c r="BT143" s="266"/>
      <c r="BU143" s="146"/>
      <c r="BV143" s="162"/>
      <c r="BW143" s="162"/>
      <c r="BX143" s="162"/>
      <c r="BY143" s="266"/>
      <c r="BZ143" s="146"/>
      <c r="CA143" s="162"/>
      <c r="CB143" s="162"/>
      <c r="CC143" s="162"/>
      <c r="CD143" s="266"/>
      <c r="CE143" s="166"/>
      <c r="CF143" s="166"/>
      <c r="CG143" s="166"/>
      <c r="CH143" s="166"/>
      <c r="CI143" s="170"/>
      <c r="CJ143" s="166"/>
      <c r="CK143" s="166"/>
      <c r="CL143" s="166"/>
      <c r="CM143" s="166"/>
      <c r="CN143" s="170"/>
      <c r="CO143" s="166"/>
      <c r="CP143" s="166"/>
      <c r="CQ143" s="166"/>
      <c r="CR143" s="166"/>
      <c r="CS143" s="170"/>
      <c r="CT143" s="267"/>
      <c r="CU143" s="267"/>
      <c r="CV143" s="267"/>
      <c r="CW143" s="267"/>
      <c r="CX143" s="170"/>
      <c r="CY143" s="268"/>
      <c r="CZ143" s="268"/>
      <c r="DA143" s="268"/>
      <c r="DB143" s="268"/>
      <c r="DC143" s="170"/>
      <c r="DD143" s="268"/>
      <c r="DE143" s="268"/>
      <c r="DF143" s="268">
        <f>DF140+DF142</f>
        <v>500</v>
      </c>
      <c r="DG143" s="268">
        <v>500</v>
      </c>
      <c r="DH143" s="47"/>
      <c r="DI143" s="539">
        <f>SUM(DI140:DI142)</f>
        <v>500</v>
      </c>
      <c r="DJ143" s="539">
        <f>SUM(DJ140:DJ142)</f>
        <v>500</v>
      </c>
      <c r="DK143" s="539">
        <f>SUM(DK140:DK142)</f>
        <v>500</v>
      </c>
      <c r="DL143" s="539">
        <f>SUM(DL140:DL142)</f>
        <v>500</v>
      </c>
      <c r="DM143" s="1380">
        <f>DL143</f>
        <v>500</v>
      </c>
      <c r="DN143" s="539">
        <f>SUM(DN140:DN142)</f>
        <v>500</v>
      </c>
      <c r="DO143" s="539">
        <f>SUM(DO140:DO142)</f>
        <v>500</v>
      </c>
      <c r="DP143" s="1401">
        <f>SUM(DP140:DP142)</f>
        <v>500</v>
      </c>
      <c r="DQ143" s="1401">
        <f>SUM(DQ140:DQ142)</f>
        <v>500</v>
      </c>
      <c r="DR143" s="1380">
        <f>DQ143</f>
        <v>500</v>
      </c>
      <c r="DS143" s="539">
        <f>SUM(DS140:DS142)</f>
        <v>500</v>
      </c>
      <c r="DT143" s="539">
        <f>SUM(DT140:DT142)</f>
        <v>500</v>
      </c>
      <c r="DU143" s="1401">
        <f>SUM(DU140:DU142)</f>
        <v>500</v>
      </c>
      <c r="DV143" s="1401">
        <f>SUM(DV140:DV142)</f>
        <v>500</v>
      </c>
      <c r="DW143" s="1380">
        <f>DV143</f>
        <v>500</v>
      </c>
      <c r="DX143" s="539">
        <f>SUM(DX140:DX142)</f>
        <v>500</v>
      </c>
      <c r="DY143" s="539">
        <f>SUM(DY140:DY142)</f>
        <v>500</v>
      </c>
      <c r="DZ143" s="1401">
        <f>SUM(DZ140:DZ142)</f>
        <v>500</v>
      </c>
      <c r="EA143" s="1401">
        <f>SUM(EA140:EA142)</f>
        <v>500</v>
      </c>
      <c r="EB143" s="1380">
        <f>EA143</f>
        <v>500</v>
      </c>
      <c r="EC143" s="539">
        <f>SUM(EC140:EC142)</f>
        <v>500</v>
      </c>
      <c r="ED143" s="539">
        <f>SUM(ED140:ED142)</f>
        <v>500</v>
      </c>
      <c r="EE143" s="1401">
        <f>SUM(EE140:EE142)</f>
        <v>500</v>
      </c>
      <c r="EF143" s="1401">
        <f>SUM(EF140:EF142)</f>
        <v>500</v>
      </c>
      <c r="EG143" s="1380">
        <f>EF143</f>
        <v>500</v>
      </c>
      <c r="EH143" s="539">
        <f>SUM(EH140:EH142)</f>
        <v>500</v>
      </c>
      <c r="EI143" s="539">
        <f>SUM(EI140:EI142)</f>
        <v>500</v>
      </c>
      <c r="EJ143" s="1401">
        <f>SUM(EJ140:EJ142)</f>
        <v>500</v>
      </c>
      <c r="EK143" s="1401">
        <f>SUM(EK140:EK142)</f>
        <v>500</v>
      </c>
      <c r="EL143" s="1380">
        <f>EK143</f>
        <v>500</v>
      </c>
    </row>
    <row r="144" spans="1:142">
      <c r="A144" s="225"/>
      <c r="B144" s="214" t="s">
        <v>300</v>
      </c>
      <c r="C144" s="48"/>
      <c r="D144" s="48"/>
      <c r="E144" s="48"/>
      <c r="F144" s="48"/>
      <c r="G144" s="48"/>
      <c r="H144" s="64"/>
      <c r="I144" s="48"/>
      <c r="J144" s="48"/>
      <c r="K144" s="48"/>
      <c r="L144" s="48"/>
      <c r="M144" s="64"/>
      <c r="N144" s="48"/>
      <c r="O144" s="48"/>
      <c r="P144" s="48"/>
      <c r="Q144" s="48"/>
      <c r="R144" s="64"/>
      <c r="S144" s="48"/>
      <c r="T144" s="48"/>
      <c r="U144" s="48"/>
      <c r="V144" s="48"/>
      <c r="W144" s="64"/>
      <c r="X144" s="48"/>
      <c r="Y144" s="48"/>
      <c r="Z144" s="48"/>
      <c r="AA144" s="48"/>
      <c r="AB144" s="64"/>
      <c r="AC144" s="48"/>
      <c r="AD144" s="48"/>
      <c r="AE144" s="48"/>
      <c r="AF144" s="48"/>
      <c r="AG144" s="64"/>
      <c r="AH144" s="48"/>
      <c r="AI144" s="48"/>
      <c r="AJ144" s="48"/>
      <c r="AK144" s="48"/>
      <c r="AL144" s="64"/>
      <c r="AM144" s="49"/>
      <c r="AN144" s="49"/>
      <c r="AO144" s="49"/>
      <c r="AP144" s="49"/>
      <c r="AQ144" s="50"/>
      <c r="AR144" s="49"/>
      <c r="AS144" s="49"/>
      <c r="AT144" s="49"/>
      <c r="AU144" s="217"/>
      <c r="AV144" s="273"/>
      <c r="AW144" s="273"/>
      <c r="AX144" s="273"/>
      <c r="AY144" s="273"/>
      <c r="AZ144" s="274"/>
      <c r="BA144" s="273"/>
      <c r="BB144" s="273"/>
      <c r="BC144" s="273"/>
      <c r="BD144" s="273"/>
      <c r="BE144" s="274"/>
      <c r="BF144" s="273"/>
      <c r="BG144" s="273"/>
      <c r="BH144" s="273"/>
      <c r="BI144" s="273"/>
      <c r="BJ144" s="274"/>
      <c r="BK144" s="215"/>
      <c r="BL144" s="215"/>
      <c r="BM144" s="275"/>
      <c r="BN144" s="215"/>
      <c r="BO144" s="263"/>
      <c r="BP144" s="215"/>
      <c r="BQ144" s="215"/>
      <c r="BR144" s="275"/>
      <c r="BS144" s="215"/>
      <c r="BT144" s="263"/>
      <c r="BU144" s="215"/>
      <c r="BV144" s="215"/>
      <c r="BW144" s="275"/>
      <c r="BX144" s="215"/>
      <c r="BY144" s="263"/>
      <c r="BZ144" s="215"/>
      <c r="CA144" s="215"/>
      <c r="CB144" s="275"/>
      <c r="CC144" s="215"/>
      <c r="CD144" s="263"/>
      <c r="CE144" s="276"/>
      <c r="CF144" s="276"/>
      <c r="CG144" s="276"/>
      <c r="CH144" s="276"/>
      <c r="CI144" s="263"/>
      <c r="CJ144" s="276"/>
      <c r="CK144" s="276"/>
      <c r="CL144" s="276"/>
      <c r="CM144" s="276"/>
      <c r="CN144" s="263"/>
      <c r="CO144" s="276"/>
      <c r="CP144" s="276"/>
      <c r="CQ144" s="276"/>
      <c r="CR144" s="276"/>
      <c r="CS144" s="263"/>
      <c r="CT144" s="276"/>
      <c r="CU144" s="276"/>
      <c r="CV144" s="276"/>
      <c r="CW144" s="276"/>
      <c r="CX144" s="263"/>
      <c r="CY144" s="276"/>
      <c r="CZ144" s="276"/>
      <c r="DA144" s="276"/>
      <c r="DB144" s="276"/>
      <c r="DC144" s="263"/>
      <c r="DD144" s="276"/>
      <c r="DE144" s="276"/>
      <c r="DF144" s="276">
        <f>DF139/4*AVERAGE(DF143,DF140)</f>
        <v>3.4375</v>
      </c>
      <c r="DG144" s="276">
        <f>DG139/4*AVERAGE(DG143,DG140)</f>
        <v>6.875</v>
      </c>
      <c r="DH144" s="263">
        <f>SUM(DD144:DG144)</f>
        <v>10.3125</v>
      </c>
      <c r="DI144" s="1342">
        <f>DI139/4*AVERAGE(DI143,DI140)</f>
        <v>6.25</v>
      </c>
      <c r="DJ144" s="1342">
        <f>DJ139/4*AVERAGE(DJ143,DJ140)</f>
        <v>6.25</v>
      </c>
      <c r="DK144" s="1342">
        <f>DK139/4*AVERAGE(DK143,DK140)</f>
        <v>6.25</v>
      </c>
      <c r="DL144" s="1342">
        <f>DL139/4*AVERAGE(DL143,DL140)</f>
        <v>6.25</v>
      </c>
      <c r="DM144" s="1353">
        <f>SUM(DI144:DL144)</f>
        <v>25</v>
      </c>
      <c r="DN144" s="1342">
        <f>DN139/4*AVERAGE(DN143,DN140)</f>
        <v>6.25</v>
      </c>
      <c r="DO144" s="1342">
        <f>DO139/4*AVERAGE(DO143,DO140)</f>
        <v>6.25</v>
      </c>
      <c r="DP144" s="1342">
        <f>DP139/4*AVERAGE(DP143,DP140)</f>
        <v>6.25</v>
      </c>
      <c r="DQ144" s="1342">
        <f>DQ139/4*AVERAGE(DQ143,DQ140)</f>
        <v>6.25</v>
      </c>
      <c r="DR144" s="1353">
        <f>SUM(DN144:DQ144)</f>
        <v>25</v>
      </c>
      <c r="DS144" s="1342">
        <f>DS139/4*AVERAGE(DS143,DS140)</f>
        <v>6.875</v>
      </c>
      <c r="DT144" s="1342">
        <f>DT139/4*AVERAGE(DT143,DT140)</f>
        <v>6.875</v>
      </c>
      <c r="DU144" s="1342">
        <f>DU139/4*AVERAGE(DU143,DU140)</f>
        <v>6.875</v>
      </c>
      <c r="DV144" s="1342">
        <f>DV139/4*AVERAGE(DV143,DV140)</f>
        <v>6.875</v>
      </c>
      <c r="DW144" s="1353">
        <f>SUM(DS144:DV144)</f>
        <v>27.5</v>
      </c>
      <c r="DX144" s="1342">
        <f>DX139/4*AVERAGE(DX143,DX140)</f>
        <v>6.875</v>
      </c>
      <c r="DY144" s="1342">
        <f>DY139/4*AVERAGE(DY143,DY140)</f>
        <v>6.875</v>
      </c>
      <c r="DZ144" s="1342">
        <f>DZ139/4*AVERAGE(DZ143,DZ140)</f>
        <v>6.875</v>
      </c>
      <c r="EA144" s="1342">
        <f>EA139/4*AVERAGE(EA143,EA140)</f>
        <v>6.875</v>
      </c>
      <c r="EB144" s="1353">
        <f>SUM(DX144:EA144)</f>
        <v>27.5</v>
      </c>
      <c r="EC144" s="1342">
        <f>EC139/4*AVERAGE(EC143,EC140)</f>
        <v>6.875</v>
      </c>
      <c r="ED144" s="1342">
        <f>ED139/4*AVERAGE(ED143,ED140)</f>
        <v>6.875</v>
      </c>
      <c r="EE144" s="1342">
        <f>EE139/4*AVERAGE(EE143,EE140)</f>
        <v>6.875</v>
      </c>
      <c r="EF144" s="1342">
        <f>EF139/4*AVERAGE(EF143,EF140)</f>
        <v>6.875</v>
      </c>
      <c r="EG144" s="1353">
        <f>SUM(EC144:EF144)</f>
        <v>27.5</v>
      </c>
      <c r="EH144" s="1342">
        <f>EH139/4*AVERAGE(EH143,EH140)</f>
        <v>6.875</v>
      </c>
      <c r="EI144" s="1342">
        <f>EI139/4*AVERAGE(EI143,EI140)</f>
        <v>6.875</v>
      </c>
      <c r="EJ144" s="1342">
        <f>EJ139/4*AVERAGE(EJ143,EJ140)</f>
        <v>6.875</v>
      </c>
      <c r="EK144" s="1342">
        <f>EK139/4*AVERAGE(EK143,EK140)</f>
        <v>6.875</v>
      </c>
      <c r="EL144" s="1353">
        <f>SUM(EH144:EK144)</f>
        <v>27.5</v>
      </c>
    </row>
    <row r="145" spans="1:142" hidden="1" outlineLevel="1">
      <c r="A145" s="277"/>
      <c r="B145" s="1326"/>
      <c r="C145" s="9"/>
      <c r="D145" s="9"/>
      <c r="E145" s="9"/>
      <c r="F145" s="9"/>
      <c r="G145" s="9"/>
      <c r="H145" s="63"/>
      <c r="I145" s="9"/>
      <c r="J145" s="9"/>
      <c r="K145" s="9"/>
      <c r="L145" s="9"/>
      <c r="M145" s="63"/>
      <c r="N145" s="9"/>
      <c r="O145" s="9"/>
      <c r="P145" s="9"/>
      <c r="Q145" s="9"/>
      <c r="R145" s="63"/>
      <c r="S145" s="9"/>
      <c r="T145" s="9"/>
      <c r="U145" s="9"/>
      <c r="V145" s="9"/>
      <c r="W145" s="63"/>
      <c r="X145" s="9"/>
      <c r="Y145" s="9"/>
      <c r="Z145" s="9"/>
      <c r="AA145" s="9"/>
      <c r="AB145" s="63"/>
      <c r="AC145" s="9"/>
      <c r="AD145" s="9"/>
      <c r="AE145" s="9"/>
      <c r="AF145" s="9"/>
      <c r="AG145" s="63"/>
      <c r="AH145" s="9"/>
      <c r="AI145" s="9"/>
      <c r="AJ145" s="9"/>
      <c r="AK145" s="9"/>
      <c r="AL145" s="63"/>
      <c r="AM145" s="53"/>
      <c r="AN145" s="53"/>
      <c r="AO145" s="53"/>
      <c r="AP145" s="53"/>
      <c r="AQ145" s="28"/>
      <c r="AR145" s="53"/>
      <c r="AS145" s="53"/>
      <c r="AT145" s="53"/>
      <c r="AU145" s="186"/>
      <c r="AV145" s="240"/>
      <c r="AW145" s="240"/>
      <c r="AX145" s="240"/>
      <c r="AY145" s="240"/>
      <c r="AZ145" s="241"/>
      <c r="BA145" s="240"/>
      <c r="BB145" s="240"/>
      <c r="BC145" s="240"/>
      <c r="BD145" s="240"/>
      <c r="BE145" s="241"/>
      <c r="BF145" s="240"/>
      <c r="BG145" s="240"/>
      <c r="BH145" s="240"/>
      <c r="BI145" s="240"/>
      <c r="BJ145" s="241"/>
      <c r="BK145" s="171"/>
      <c r="BL145" s="171"/>
      <c r="BM145" s="171"/>
      <c r="BN145" s="171"/>
      <c r="BO145" s="193"/>
      <c r="BP145" s="171"/>
      <c r="BQ145" s="171"/>
      <c r="BR145" s="171"/>
      <c r="BS145" s="171"/>
      <c r="BT145" s="193"/>
      <c r="BU145" s="171"/>
      <c r="BV145" s="171"/>
      <c r="BW145" s="171"/>
      <c r="BX145" s="171"/>
      <c r="BY145" s="193"/>
      <c r="BZ145" s="171"/>
      <c r="CA145" s="171"/>
      <c r="CB145" s="171"/>
      <c r="CC145" s="171"/>
      <c r="CD145" s="193"/>
      <c r="CE145" s="171"/>
      <c r="CF145" s="171"/>
      <c r="CG145" s="171"/>
      <c r="CH145" s="171"/>
      <c r="CI145" s="193"/>
      <c r="CJ145" s="171"/>
      <c r="CK145" s="171"/>
      <c r="CL145" s="171"/>
      <c r="CM145" s="171"/>
      <c r="CN145" s="193"/>
      <c r="CO145" s="171"/>
      <c r="CP145" s="171"/>
      <c r="CQ145" s="171"/>
      <c r="CR145" s="171"/>
      <c r="CS145" s="193"/>
      <c r="CT145" s="210"/>
      <c r="CU145" s="53"/>
      <c r="CV145" s="53"/>
      <c r="CW145" s="53"/>
      <c r="CX145" s="28"/>
      <c r="CY145" s="53"/>
      <c r="CZ145" s="53"/>
      <c r="DA145" s="53"/>
      <c r="DB145" s="53"/>
      <c r="DC145" s="28"/>
      <c r="DD145" s="53"/>
      <c r="DE145" s="53"/>
      <c r="DF145" s="53"/>
      <c r="DG145" s="53"/>
      <c r="DH145" s="28"/>
      <c r="DI145" s="53"/>
      <c r="DJ145" s="53"/>
      <c r="DK145" s="53"/>
      <c r="DL145" s="53"/>
      <c r="DM145" s="53"/>
      <c r="DN145" s="53"/>
      <c r="DO145" s="53"/>
      <c r="DP145" s="53"/>
      <c r="DQ145" s="53"/>
      <c r="DR145" s="53"/>
      <c r="DS145" s="53"/>
      <c r="DT145" s="53"/>
      <c r="DU145" s="53"/>
      <c r="DV145" s="53"/>
      <c r="DW145" s="53"/>
      <c r="DX145" s="53"/>
      <c r="DY145" s="53"/>
      <c r="DZ145" s="53"/>
      <c r="EA145" s="53"/>
      <c r="EB145" s="53"/>
      <c r="EC145" s="53"/>
      <c r="ED145" s="53"/>
      <c r="EE145" s="53"/>
      <c r="EF145" s="53"/>
      <c r="EG145" s="53"/>
      <c r="EH145" s="53"/>
      <c r="EI145" s="53"/>
      <c r="EJ145" s="53"/>
      <c r="EK145" s="53"/>
      <c r="EL145" s="53"/>
    </row>
    <row r="146" spans="1:142" hidden="1" outlineLevel="1">
      <c r="A146" s="277"/>
      <c r="B146" s="1326" t="s">
        <v>672</v>
      </c>
      <c r="C146" s="9"/>
      <c r="D146" s="9"/>
      <c r="E146" s="9"/>
      <c r="F146" s="9"/>
      <c r="G146" s="9"/>
      <c r="H146" s="63"/>
      <c r="I146" s="9"/>
      <c r="J146" s="9"/>
      <c r="K146" s="9"/>
      <c r="L146" s="9"/>
      <c r="M146" s="63"/>
      <c r="N146" s="9"/>
      <c r="O146" s="9"/>
      <c r="P146" s="9"/>
      <c r="Q146" s="9"/>
      <c r="R146" s="63"/>
      <c r="S146" s="9"/>
      <c r="T146" s="9"/>
      <c r="U146" s="9"/>
      <c r="V146" s="9"/>
      <c r="W146" s="63"/>
      <c r="X146" s="9"/>
      <c r="Y146" s="9"/>
      <c r="Z146" s="9"/>
      <c r="AA146" s="9"/>
      <c r="AB146" s="63"/>
      <c r="AC146" s="9"/>
      <c r="AD146" s="9"/>
      <c r="AE146" s="9"/>
      <c r="AF146" s="9"/>
      <c r="AG146" s="63"/>
      <c r="AH146" s="9"/>
      <c r="AI146" s="9"/>
      <c r="AJ146" s="9"/>
      <c r="AK146" s="9"/>
      <c r="AL146" s="63"/>
      <c r="AM146" s="53"/>
      <c r="AN146" s="53"/>
      <c r="AO146" s="53"/>
      <c r="AP146" s="53"/>
      <c r="AQ146" s="28"/>
      <c r="AR146" s="53"/>
      <c r="AS146" s="53"/>
      <c r="AT146" s="53"/>
      <c r="AU146" s="186"/>
      <c r="AV146" s="240"/>
      <c r="AW146" s="240"/>
      <c r="AX146" s="240"/>
      <c r="AY146" s="240"/>
      <c r="AZ146" s="241"/>
      <c r="BA146" s="240"/>
      <c r="BB146" s="240"/>
      <c r="BC146" s="240"/>
      <c r="BD146" s="240"/>
      <c r="BE146" s="241"/>
      <c r="BF146" s="240"/>
      <c r="BG146" s="240"/>
      <c r="BH146" s="240"/>
      <c r="BI146" s="240"/>
      <c r="BJ146" s="241"/>
      <c r="BK146" s="171"/>
      <c r="BL146" s="171"/>
      <c r="BM146" s="171"/>
      <c r="BN146" s="171"/>
      <c r="BO146" s="193"/>
      <c r="BP146" s="171"/>
      <c r="BQ146" s="171"/>
      <c r="BR146" s="171"/>
      <c r="BS146" s="171"/>
      <c r="BT146" s="193"/>
      <c r="BU146" s="171"/>
      <c r="BV146" s="171"/>
      <c r="BW146" s="171"/>
      <c r="BX146" s="171"/>
      <c r="BY146" s="193"/>
      <c r="BZ146" s="171"/>
      <c r="CA146" s="171"/>
      <c r="CB146" s="171"/>
      <c r="CC146" s="171"/>
      <c r="CD146" s="193"/>
      <c r="CE146" s="171"/>
      <c r="CF146" s="171"/>
      <c r="CG146" s="171"/>
      <c r="CH146" s="171"/>
      <c r="CI146" s="193"/>
      <c r="CJ146" s="171"/>
      <c r="CK146" s="171"/>
      <c r="CL146" s="171"/>
      <c r="CM146" s="171"/>
      <c r="CN146" s="193"/>
      <c r="CO146" s="171"/>
      <c r="CP146" s="171"/>
      <c r="CQ146" s="171"/>
      <c r="CR146" s="171"/>
      <c r="CS146" s="193"/>
      <c r="CT146" s="210"/>
      <c r="CU146" s="53"/>
      <c r="CV146" s="53"/>
      <c r="CW146" s="53"/>
      <c r="CX146" s="28"/>
      <c r="CY146" s="53"/>
      <c r="CZ146" s="53"/>
      <c r="DA146" s="53"/>
      <c r="DB146" s="53"/>
      <c r="DC146" s="28"/>
      <c r="DD146" s="53"/>
      <c r="DE146" s="53"/>
      <c r="DF146" s="53"/>
      <c r="DG146" s="53"/>
      <c r="DH146" s="28"/>
      <c r="DI146" s="53"/>
      <c r="DJ146" s="53"/>
      <c r="DK146" s="53"/>
      <c r="DL146" s="53"/>
      <c r="DM146" s="53"/>
      <c r="DN146" s="53"/>
      <c r="DO146" s="53"/>
      <c r="DP146" s="53"/>
      <c r="DQ146" s="53"/>
      <c r="DR146" s="53"/>
      <c r="DS146" s="53"/>
      <c r="DT146" s="739">
        <f>DT136+DT142</f>
        <v>1441</v>
      </c>
      <c r="DU146" s="739">
        <f>DU136+DU142</f>
        <v>1390</v>
      </c>
      <c r="DV146" s="739">
        <f>DV136+DV142</f>
        <v>698</v>
      </c>
      <c r="DW146" s="739"/>
      <c r="DX146" s="739">
        <f>DX136+DX142</f>
        <v>829.37035815589047</v>
      </c>
      <c r="DY146" s="739">
        <f>DY136+DY142</f>
        <v>605.37663535468891</v>
      </c>
      <c r="DZ146" s="739">
        <f>DZ136+DZ142</f>
        <v>853.21887238129329</v>
      </c>
      <c r="EA146" s="739">
        <f>EA136+EA142</f>
        <v>567.71087398451732</v>
      </c>
      <c r="EB146" s="739"/>
      <c r="EC146" s="739">
        <f>EC136+EC142</f>
        <v>376.97417916896063</v>
      </c>
      <c r="ED146" s="739">
        <f>ED136+ED142</f>
        <v>520.54772891988341</v>
      </c>
      <c r="EE146" s="739">
        <f>EE136+EE142</f>
        <v>689.98221824519351</v>
      </c>
      <c r="EF146" s="739">
        <f>EF136+EF142</f>
        <v>714.63062624325505</v>
      </c>
      <c r="EG146" s="53"/>
      <c r="EH146" s="739">
        <f>EH136+EH142</f>
        <v>657.96794350851678</v>
      </c>
      <c r="EI146" s="739">
        <f>EI136+EI142</f>
        <v>602.90493870577018</v>
      </c>
      <c r="EJ146" s="739">
        <f>EJ136+EJ142</f>
        <v>652.42194509847184</v>
      </c>
      <c r="EK146" s="739">
        <f>EK136+EK142</f>
        <v>471.25813137678415</v>
      </c>
      <c r="EL146" s="53"/>
    </row>
    <row r="147" spans="1:142" collapsed="1">
      <c r="A147" s="277"/>
      <c r="B147" s="1326"/>
      <c r="C147" s="9"/>
      <c r="D147" s="9"/>
      <c r="E147" s="9"/>
      <c r="F147" s="9"/>
      <c r="G147" s="9"/>
      <c r="H147" s="63"/>
      <c r="I147" s="9"/>
      <c r="J147" s="9"/>
      <c r="K147" s="9"/>
      <c r="L147" s="9"/>
      <c r="M147" s="63"/>
      <c r="N147" s="9"/>
      <c r="O147" s="9"/>
      <c r="P147" s="9"/>
      <c r="Q147" s="9"/>
      <c r="R147" s="63"/>
      <c r="S147" s="9"/>
      <c r="T147" s="9"/>
      <c r="U147" s="9"/>
      <c r="V147" s="9"/>
      <c r="W147" s="63"/>
      <c r="X147" s="9"/>
      <c r="Y147" s="9"/>
      <c r="Z147" s="9"/>
      <c r="AA147" s="9"/>
      <c r="AB147" s="63"/>
      <c r="AC147" s="9"/>
      <c r="AD147" s="9"/>
      <c r="AE147" s="9"/>
      <c r="AF147" s="9"/>
      <c r="AG147" s="63"/>
      <c r="AH147" s="9"/>
      <c r="AI147" s="9"/>
      <c r="AJ147" s="9"/>
      <c r="AK147" s="9"/>
      <c r="AL147" s="63"/>
      <c r="AM147" s="53"/>
      <c r="AN147" s="53"/>
      <c r="AO147" s="53"/>
      <c r="AP147" s="53"/>
      <c r="AQ147" s="28"/>
      <c r="AR147" s="53"/>
      <c r="AS147" s="53"/>
      <c r="AT147" s="53"/>
      <c r="AU147" s="186"/>
      <c r="AV147" s="240"/>
      <c r="AW147" s="240"/>
      <c r="AX147" s="240"/>
      <c r="AY147" s="240"/>
      <c r="AZ147" s="241"/>
      <c r="BA147" s="240"/>
      <c r="BB147" s="240"/>
      <c r="BC147" s="240"/>
      <c r="BD147" s="240"/>
      <c r="BE147" s="241"/>
      <c r="BF147" s="240"/>
      <c r="BG147" s="240"/>
      <c r="BH147" s="240"/>
      <c r="BI147" s="240"/>
      <c r="BJ147" s="241"/>
      <c r="BK147" s="171"/>
      <c r="BL147" s="171"/>
      <c r="BM147" s="171"/>
      <c r="BN147" s="171"/>
      <c r="BO147" s="193"/>
      <c r="BP147" s="171"/>
      <c r="BQ147" s="171"/>
      <c r="BR147" s="171"/>
      <c r="BS147" s="171"/>
      <c r="BT147" s="193"/>
      <c r="BU147" s="171"/>
      <c r="BV147" s="171"/>
      <c r="BW147" s="171"/>
      <c r="BX147" s="171"/>
      <c r="BY147" s="193"/>
      <c r="BZ147" s="171"/>
      <c r="CA147" s="171"/>
      <c r="CB147" s="171"/>
      <c r="CC147" s="171"/>
      <c r="CD147" s="193"/>
      <c r="CE147" s="171"/>
      <c r="CF147" s="171"/>
      <c r="CG147" s="171"/>
      <c r="CH147" s="171"/>
      <c r="CI147" s="193"/>
      <c r="CJ147" s="171"/>
      <c r="CK147" s="171"/>
      <c r="CL147" s="171"/>
      <c r="CM147" s="171"/>
      <c r="CN147" s="193"/>
      <c r="CO147" s="171"/>
      <c r="CP147" s="171"/>
      <c r="CQ147" s="171"/>
      <c r="CR147" s="171"/>
      <c r="CS147" s="193"/>
      <c r="CT147" s="210"/>
      <c r="CU147" s="53"/>
      <c r="CV147" s="53"/>
      <c r="CW147" s="53"/>
      <c r="CX147" s="28"/>
      <c r="CY147" s="53"/>
      <c r="CZ147" s="53"/>
      <c r="DA147" s="53"/>
      <c r="DB147" s="53"/>
      <c r="DC147" s="28"/>
      <c r="DD147" s="53"/>
      <c r="DE147" s="53"/>
      <c r="DF147" s="53"/>
      <c r="DG147" s="53"/>
      <c r="DH147" s="28"/>
      <c r="DI147" s="53"/>
      <c r="DJ147" s="53"/>
      <c r="DK147" s="53"/>
      <c r="DL147" s="53"/>
      <c r="DM147" s="53"/>
      <c r="DN147" s="53"/>
      <c r="DO147" s="53"/>
      <c r="DP147" s="53"/>
      <c r="DQ147" s="53"/>
      <c r="DR147" s="53"/>
      <c r="DS147" s="53"/>
      <c r="DT147" s="739"/>
      <c r="DU147" s="739"/>
      <c r="DV147" s="739"/>
      <c r="DW147" s="739"/>
      <c r="DX147" s="739"/>
      <c r="DY147" s="739"/>
      <c r="DZ147" s="739"/>
      <c r="EA147" s="739"/>
      <c r="EB147" s="739"/>
      <c r="EC147" s="739"/>
      <c r="ED147" s="739"/>
      <c r="EE147" s="739"/>
      <c r="EF147" s="739"/>
      <c r="EG147" s="53"/>
      <c r="EH147" s="739"/>
      <c r="EI147" s="739"/>
      <c r="EJ147" s="739"/>
      <c r="EK147" s="739"/>
      <c r="EL147" s="53"/>
    </row>
    <row r="148" spans="1:142">
      <c r="A148" s="1327"/>
      <c r="B148" s="242" t="s">
        <v>306</v>
      </c>
      <c r="C148" s="9"/>
      <c r="D148" s="9"/>
      <c r="E148" s="9"/>
      <c r="F148" s="9"/>
      <c r="G148" s="9"/>
      <c r="H148" s="63"/>
      <c r="I148" s="9"/>
      <c r="J148" s="9"/>
      <c r="K148" s="9"/>
      <c r="L148" s="9"/>
      <c r="M148" s="63"/>
      <c r="N148" s="9"/>
      <c r="O148" s="9"/>
      <c r="P148" s="9"/>
      <c r="Q148" s="9"/>
      <c r="R148" s="63"/>
      <c r="S148" s="9"/>
      <c r="T148" s="9"/>
      <c r="U148" s="9"/>
      <c r="V148" s="9"/>
      <c r="W148" s="63"/>
      <c r="X148" s="9"/>
      <c r="Y148" s="9"/>
      <c r="Z148" s="9"/>
      <c r="AA148" s="9"/>
      <c r="AB148" s="63"/>
      <c r="AC148" s="9"/>
      <c r="AD148" s="9"/>
      <c r="AE148" s="9"/>
      <c r="AF148" s="9"/>
      <c r="AG148" s="63"/>
      <c r="AH148" s="9"/>
      <c r="AI148" s="9"/>
      <c r="AJ148" s="9"/>
      <c r="AK148" s="9"/>
      <c r="AL148" s="63"/>
      <c r="AM148" s="53"/>
      <c r="AN148" s="53"/>
      <c r="AO148" s="53"/>
      <c r="AP148" s="53"/>
      <c r="AQ148" s="28"/>
      <c r="AR148" s="53"/>
      <c r="AS148" s="53"/>
      <c r="AT148" s="53"/>
      <c r="AU148" s="186"/>
      <c r="AV148" s="240"/>
      <c r="AW148" s="240"/>
      <c r="AX148" s="240"/>
      <c r="AY148" s="240"/>
      <c r="AZ148" s="241"/>
      <c r="BA148" s="240"/>
      <c r="BB148" s="240"/>
      <c r="BC148" s="240"/>
      <c r="BD148" s="240"/>
      <c r="BE148" s="241"/>
      <c r="BF148" s="240"/>
      <c r="BG148" s="240"/>
      <c r="BH148" s="240"/>
      <c r="BI148" s="240"/>
      <c r="BJ148" s="241"/>
      <c r="BK148" s="228"/>
      <c r="BL148" s="228"/>
      <c r="BM148" s="228"/>
      <c r="BN148" s="228"/>
      <c r="BO148" s="229"/>
      <c r="BP148" s="228"/>
      <c r="BQ148" s="228"/>
      <c r="BR148" s="228"/>
      <c r="BS148" s="228"/>
      <c r="BT148" s="229"/>
      <c r="BU148" s="228"/>
      <c r="BV148" s="228"/>
      <c r="BW148" s="228"/>
      <c r="BX148" s="228"/>
      <c r="BY148" s="229"/>
      <c r="BZ148" s="228"/>
      <c r="CA148" s="228"/>
      <c r="CB148" s="228"/>
      <c r="CC148" s="228"/>
      <c r="CD148" s="229"/>
      <c r="CE148" s="228"/>
      <c r="CF148" s="228"/>
      <c r="CG148" s="228"/>
      <c r="CH148" s="228"/>
      <c r="CI148" s="229"/>
      <c r="CJ148" s="228"/>
      <c r="CK148" s="228"/>
      <c r="CL148" s="228"/>
      <c r="CM148" s="228"/>
      <c r="CN148" s="229"/>
      <c r="CO148" s="228"/>
      <c r="CP148" s="228"/>
      <c r="CQ148" s="228"/>
      <c r="CR148" s="228"/>
      <c r="CS148" s="229"/>
      <c r="CT148" s="228"/>
      <c r="CU148" s="228"/>
      <c r="CV148" s="228"/>
      <c r="CW148" s="228"/>
      <c r="CX148" s="229"/>
      <c r="CY148" s="228"/>
      <c r="CZ148" s="228"/>
      <c r="DA148" s="228"/>
      <c r="DB148" s="228"/>
      <c r="DC148" s="229"/>
      <c r="DD148" s="228"/>
      <c r="DE148" s="228"/>
      <c r="DF148" s="228"/>
      <c r="DG148" s="228"/>
      <c r="DH148" s="229"/>
      <c r="DI148" s="228"/>
      <c r="DJ148" s="228"/>
      <c r="DK148" s="231"/>
      <c r="DL148" s="228"/>
      <c r="DM148" s="229"/>
      <c r="DN148" s="228"/>
      <c r="DO148" s="228"/>
      <c r="DP148" s="228"/>
      <c r="DQ148" s="228"/>
      <c r="DR148" s="229"/>
      <c r="DS148" s="228"/>
      <c r="DT148" s="228"/>
      <c r="DU148" s="228"/>
      <c r="DV148" s="228"/>
      <c r="DW148" s="229"/>
      <c r="DX148" s="228"/>
      <c r="DY148" s="228"/>
      <c r="DZ148" s="228"/>
      <c r="EA148" s="228"/>
      <c r="EB148" s="229"/>
      <c r="EC148" s="228"/>
      <c r="ED148" s="228"/>
      <c r="EE148" s="228"/>
      <c r="EF148" s="228"/>
      <c r="EG148" s="229"/>
      <c r="EH148" s="228"/>
      <c r="EI148" s="228"/>
      <c r="EJ148" s="228"/>
      <c r="EK148" s="228"/>
      <c r="EL148" s="229"/>
    </row>
    <row r="149" spans="1:142">
      <c r="A149" s="1328"/>
      <c r="B149" s="247" t="s">
        <v>297</v>
      </c>
      <c r="C149" s="9"/>
      <c r="D149" s="9"/>
      <c r="E149" s="9"/>
      <c r="F149" s="9"/>
      <c r="G149" s="9"/>
      <c r="H149" s="63"/>
      <c r="I149" s="9"/>
      <c r="J149" s="9"/>
      <c r="K149" s="9"/>
      <c r="L149" s="9"/>
      <c r="M149" s="63"/>
      <c r="N149" s="9"/>
      <c r="O149" s="9"/>
      <c r="P149" s="9"/>
      <c r="Q149" s="9"/>
      <c r="R149" s="63"/>
      <c r="S149" s="9"/>
      <c r="T149" s="9"/>
      <c r="U149" s="9"/>
      <c r="V149" s="9"/>
      <c r="W149" s="63"/>
      <c r="X149" s="9"/>
      <c r="Y149" s="9"/>
      <c r="Z149" s="9"/>
      <c r="AA149" s="9"/>
      <c r="AB149" s="63"/>
      <c r="AC149" s="9"/>
      <c r="AD149" s="9"/>
      <c r="AE149" s="9"/>
      <c r="AF149" s="9"/>
      <c r="AG149" s="63"/>
      <c r="AH149" s="9"/>
      <c r="AI149" s="9"/>
      <c r="AJ149" s="9"/>
      <c r="AK149" s="9"/>
      <c r="AL149" s="63"/>
      <c r="AM149" s="53"/>
      <c r="AN149" s="53"/>
      <c r="AO149" s="53"/>
      <c r="AP149" s="53"/>
      <c r="AQ149" s="28"/>
      <c r="AR149" s="53"/>
      <c r="AS149" s="53"/>
      <c r="AT149" s="53"/>
      <c r="AU149" s="186"/>
      <c r="AV149" s="240"/>
      <c r="AW149" s="240"/>
      <c r="AX149" s="240"/>
      <c r="AY149" s="240"/>
      <c r="AZ149" s="241"/>
      <c r="BA149" s="240"/>
      <c r="BB149" s="240"/>
      <c r="BC149" s="240"/>
      <c r="BD149" s="240"/>
      <c r="BE149" s="241"/>
      <c r="BF149" s="240"/>
      <c r="BG149" s="240"/>
      <c r="BH149" s="240"/>
      <c r="BI149" s="240"/>
      <c r="BJ149" s="241"/>
      <c r="BK149" s="9"/>
      <c r="BL149" s="9"/>
      <c r="BM149" s="9"/>
      <c r="BN149" s="9"/>
      <c r="BO149" s="63"/>
      <c r="BP149" s="9"/>
      <c r="BQ149" s="9"/>
      <c r="BR149" s="9"/>
      <c r="BS149" s="9"/>
      <c r="BT149" s="63"/>
      <c r="BU149" s="9"/>
      <c r="BV149" s="9"/>
      <c r="BW149" s="9"/>
      <c r="BX149" s="9"/>
      <c r="BY149" s="63"/>
      <c r="BZ149" s="9"/>
      <c r="CA149" s="9"/>
      <c r="CB149" s="9"/>
      <c r="CC149" s="9"/>
      <c r="CD149" s="63"/>
      <c r="CE149" s="248"/>
      <c r="CF149" s="248"/>
      <c r="CG149" s="248"/>
      <c r="CH149" s="248"/>
      <c r="CI149" s="193"/>
      <c r="CJ149" s="248"/>
      <c r="CK149" s="248"/>
      <c r="CL149" s="248"/>
      <c r="CM149" s="248"/>
      <c r="CN149" s="193"/>
      <c r="CO149" s="248"/>
      <c r="CP149" s="248"/>
      <c r="CQ149" s="248"/>
      <c r="CR149" s="248"/>
      <c r="CS149" s="193"/>
      <c r="CT149" s="248"/>
      <c r="CU149" s="248"/>
      <c r="CV149" s="248"/>
      <c r="CW149" s="288">
        <v>6.7500000000000004E-2</v>
      </c>
      <c r="CX149" s="193"/>
      <c r="CY149" s="288">
        <f>CW149</f>
        <v>6.7500000000000004E-2</v>
      </c>
      <c r="CZ149" s="288">
        <f>CY149</f>
        <v>6.7500000000000004E-2</v>
      </c>
      <c r="DA149" s="249">
        <f>CZ149</f>
        <v>6.7500000000000004E-2</v>
      </c>
      <c r="DB149" s="249">
        <f>DA149</f>
        <v>6.7500000000000004E-2</v>
      </c>
      <c r="DC149" s="193"/>
      <c r="DD149" s="288">
        <f>DB149</f>
        <v>6.7500000000000004E-2</v>
      </c>
      <c r="DE149" s="249">
        <f>DD149</f>
        <v>6.7500000000000004E-2</v>
      </c>
      <c r="DF149" s="249">
        <f>DE149</f>
        <v>6.7500000000000004E-2</v>
      </c>
      <c r="DG149" s="249">
        <f>DF149</f>
        <v>6.7500000000000004E-2</v>
      </c>
      <c r="DH149" s="193"/>
      <c r="DI149" s="288">
        <f>DG149</f>
        <v>6.7500000000000004E-2</v>
      </c>
      <c r="DJ149" s="249">
        <f>DI149</f>
        <v>6.7500000000000004E-2</v>
      </c>
      <c r="DK149" s="331">
        <f>DJ149</f>
        <v>6.7500000000000004E-2</v>
      </c>
      <c r="DL149" s="249">
        <f>DK149</f>
        <v>6.7500000000000004E-2</v>
      </c>
      <c r="DM149" s="193"/>
      <c r="DN149" s="288">
        <f>DL149</f>
        <v>6.7500000000000004E-2</v>
      </c>
      <c r="DO149" s="249">
        <f>DN149</f>
        <v>6.7500000000000004E-2</v>
      </c>
      <c r="DP149" s="249">
        <f>DO149</f>
        <v>6.7500000000000004E-2</v>
      </c>
      <c r="DQ149" s="249">
        <f>DP149</f>
        <v>6.7500000000000004E-2</v>
      </c>
      <c r="DR149" s="193"/>
      <c r="DS149" s="249">
        <f>DQ149</f>
        <v>6.7500000000000004E-2</v>
      </c>
      <c r="DT149" s="249">
        <f>DS149</f>
        <v>6.7500000000000004E-2</v>
      </c>
      <c r="DU149" s="249">
        <f>DT149</f>
        <v>6.7500000000000004E-2</v>
      </c>
      <c r="DV149" s="249">
        <f>DU149</f>
        <v>6.7500000000000004E-2</v>
      </c>
      <c r="DW149" s="193"/>
      <c r="DX149" s="249">
        <f>DV149</f>
        <v>6.7500000000000004E-2</v>
      </c>
      <c r="DY149" s="249">
        <f>DX149</f>
        <v>6.7500000000000004E-2</v>
      </c>
      <c r="DZ149" s="249">
        <f>DY149</f>
        <v>6.7500000000000004E-2</v>
      </c>
      <c r="EA149" s="249">
        <f>DZ149</f>
        <v>6.7500000000000004E-2</v>
      </c>
      <c r="EB149" s="193"/>
      <c r="EC149" s="249">
        <f>EA149</f>
        <v>6.7500000000000004E-2</v>
      </c>
      <c r="ED149" s="249">
        <f>EC149</f>
        <v>6.7500000000000004E-2</v>
      </c>
      <c r="EE149" s="249">
        <f>ED149</f>
        <v>6.7500000000000004E-2</v>
      </c>
      <c r="EF149" s="249">
        <f>EE149</f>
        <v>6.7500000000000004E-2</v>
      </c>
      <c r="EG149" s="193"/>
      <c r="EH149" s="249">
        <f>EF149</f>
        <v>6.7500000000000004E-2</v>
      </c>
      <c r="EI149" s="249">
        <f>EH149</f>
        <v>6.7500000000000004E-2</v>
      </c>
      <c r="EJ149" s="249">
        <f>EI149</f>
        <v>6.7500000000000004E-2</v>
      </c>
      <c r="EK149" s="249">
        <f>EJ149</f>
        <v>6.7500000000000004E-2</v>
      </c>
      <c r="EL149" s="193"/>
    </row>
    <row r="150" spans="1:142">
      <c r="A150" s="225"/>
      <c r="B150" s="209" t="s">
        <v>298</v>
      </c>
      <c r="C150" s="9"/>
      <c r="D150" s="9"/>
      <c r="E150" s="9"/>
      <c r="F150" s="9"/>
      <c r="G150" s="9"/>
      <c r="H150" s="63"/>
      <c r="I150" s="9"/>
      <c r="J150" s="9"/>
      <c r="K150" s="9"/>
      <c r="L150" s="9"/>
      <c r="M150" s="63"/>
      <c r="N150" s="9"/>
      <c r="O150" s="9"/>
      <c r="P150" s="9"/>
      <c r="Q150" s="9"/>
      <c r="R150" s="63"/>
      <c r="S150" s="9"/>
      <c r="T150" s="9"/>
      <c r="U150" s="9"/>
      <c r="V150" s="9"/>
      <c r="W150" s="63"/>
      <c r="X150" s="9"/>
      <c r="Y150" s="9"/>
      <c r="Z150" s="9"/>
      <c r="AA150" s="9"/>
      <c r="AB150" s="63"/>
      <c r="AC150" s="9"/>
      <c r="AD150" s="9"/>
      <c r="AE150" s="9"/>
      <c r="AF150" s="9"/>
      <c r="AG150" s="63"/>
      <c r="AH150" s="9"/>
      <c r="AI150" s="9"/>
      <c r="AJ150" s="9"/>
      <c r="AK150" s="9"/>
      <c r="AL150" s="63"/>
      <c r="AM150" s="53"/>
      <c r="AN150" s="53"/>
      <c r="AO150" s="53"/>
      <c r="AP150" s="53"/>
      <c r="AQ150" s="28"/>
      <c r="AR150" s="53"/>
      <c r="AS150" s="53"/>
      <c r="AT150" s="53"/>
      <c r="AU150" s="186"/>
      <c r="AV150" s="240"/>
      <c r="AW150" s="240"/>
      <c r="AX150" s="240"/>
      <c r="AY150" s="240"/>
      <c r="AZ150" s="241"/>
      <c r="BA150" s="240"/>
      <c r="BB150" s="240"/>
      <c r="BC150" s="240"/>
      <c r="BD150" s="240"/>
      <c r="BE150" s="241"/>
      <c r="BF150" s="240"/>
      <c r="BG150" s="240"/>
      <c r="BH150" s="240"/>
      <c r="BI150" s="240"/>
      <c r="BJ150" s="241"/>
      <c r="BK150" s="255"/>
      <c r="BL150" s="255"/>
      <c r="BM150" s="255"/>
      <c r="BN150" s="255"/>
      <c r="BO150" s="256"/>
      <c r="BP150" s="255"/>
      <c r="BQ150" s="255"/>
      <c r="BR150" s="255"/>
      <c r="BS150" s="255"/>
      <c r="BT150" s="256"/>
      <c r="BU150" s="255"/>
      <c r="BV150" s="255"/>
      <c r="BW150" s="255"/>
      <c r="BX150" s="255"/>
      <c r="BY150" s="256"/>
      <c r="BZ150" s="255"/>
      <c r="CA150" s="255"/>
      <c r="CB150" s="255"/>
      <c r="CC150" s="255"/>
      <c r="CD150" s="256"/>
      <c r="CE150" s="257"/>
      <c r="CF150" s="257"/>
      <c r="CG150" s="257"/>
      <c r="CH150" s="257"/>
      <c r="CI150" s="258"/>
      <c r="CJ150" s="257"/>
      <c r="CK150" s="257"/>
      <c r="CL150" s="257"/>
      <c r="CM150" s="257"/>
      <c r="CN150" s="258"/>
      <c r="CO150" s="257"/>
      <c r="CP150" s="257"/>
      <c r="CQ150" s="257"/>
      <c r="CR150" s="257"/>
      <c r="CS150" s="258"/>
      <c r="CT150" s="257"/>
      <c r="CU150" s="257"/>
      <c r="CV150" s="257"/>
      <c r="CW150" s="289">
        <v>0</v>
      </c>
      <c r="CX150" s="258">
        <f>CS153</f>
        <v>0</v>
      </c>
      <c r="CY150" s="289">
        <f>CX153</f>
        <v>300</v>
      </c>
      <c r="CZ150" s="289">
        <f>CY153</f>
        <v>300</v>
      </c>
      <c r="DA150" s="289">
        <f>CZ153</f>
        <v>300</v>
      </c>
      <c r="DB150" s="289">
        <f>DA153</f>
        <v>300</v>
      </c>
      <c r="DC150" s="258">
        <f>CX153</f>
        <v>300</v>
      </c>
      <c r="DD150" s="289">
        <f>DC153</f>
        <v>300</v>
      </c>
      <c r="DE150" s="289">
        <f>DD153</f>
        <v>300</v>
      </c>
      <c r="DF150" s="289">
        <f>DE153</f>
        <v>300</v>
      </c>
      <c r="DG150" s="289">
        <f>DF153</f>
        <v>300</v>
      </c>
      <c r="DH150" s="258">
        <f>DC153</f>
        <v>300</v>
      </c>
      <c r="DI150" s="539">
        <f>DH153</f>
        <v>300</v>
      </c>
      <c r="DJ150" s="539">
        <f>DI153</f>
        <v>300</v>
      </c>
      <c r="DK150" s="1374">
        <f>DJ153</f>
        <v>300</v>
      </c>
      <c r="DL150" s="539">
        <f>DK153</f>
        <v>300</v>
      </c>
      <c r="DM150" s="540">
        <f>DH153</f>
        <v>300</v>
      </c>
      <c r="DN150" s="539">
        <f>DM153</f>
        <v>300</v>
      </c>
      <c r="DO150" s="539">
        <f>DN153</f>
        <v>300</v>
      </c>
      <c r="DP150" s="539">
        <f>DO153</f>
        <v>300</v>
      </c>
      <c r="DQ150" s="539">
        <f>DP153</f>
        <v>300</v>
      </c>
      <c r="DR150" s="540">
        <f>DM153</f>
        <v>300</v>
      </c>
      <c r="DS150" s="539">
        <f>DR153</f>
        <v>300</v>
      </c>
      <c r="DT150" s="539">
        <f>DS153</f>
        <v>300</v>
      </c>
      <c r="DU150" s="539">
        <f>DT153</f>
        <v>300</v>
      </c>
      <c r="DV150" s="539">
        <f>DU153</f>
        <v>300</v>
      </c>
      <c r="DW150" s="540">
        <f>DR153</f>
        <v>300</v>
      </c>
      <c r="DX150" s="539">
        <f>DW153</f>
        <v>300</v>
      </c>
      <c r="DY150" s="539">
        <f>DX153</f>
        <v>300</v>
      </c>
      <c r="DZ150" s="539">
        <f>DY153</f>
        <v>300</v>
      </c>
      <c r="EA150" s="539">
        <f>DZ153</f>
        <v>300</v>
      </c>
      <c r="EB150" s="540">
        <f>DW153</f>
        <v>300</v>
      </c>
      <c r="EC150" s="539">
        <f>EB153</f>
        <v>300</v>
      </c>
      <c r="ED150" s="539">
        <f>EC153</f>
        <v>300</v>
      </c>
      <c r="EE150" s="539">
        <f>ED153</f>
        <v>300</v>
      </c>
      <c r="EF150" s="539">
        <f>EE153</f>
        <v>300</v>
      </c>
      <c r="EG150" s="540">
        <f>EB153</f>
        <v>300</v>
      </c>
      <c r="EH150" s="539">
        <f>EG153</f>
        <v>300</v>
      </c>
      <c r="EI150" s="539">
        <f>EH153</f>
        <v>300</v>
      </c>
      <c r="EJ150" s="539">
        <f>EI153</f>
        <v>300</v>
      </c>
      <c r="EK150" s="539">
        <f>EJ153</f>
        <v>300</v>
      </c>
      <c r="EL150" s="540">
        <f>EG153</f>
        <v>300</v>
      </c>
    </row>
    <row r="151" spans="1:142">
      <c r="A151" s="225"/>
      <c r="B151" s="209" t="s">
        <v>674</v>
      </c>
      <c r="C151" s="9"/>
      <c r="D151" s="9"/>
      <c r="E151" s="9"/>
      <c r="F151" s="9"/>
      <c r="G151" s="9"/>
      <c r="H151" s="63"/>
      <c r="I151" s="9"/>
      <c r="J151" s="9"/>
      <c r="K151" s="9"/>
      <c r="L151" s="9"/>
      <c r="M151" s="63"/>
      <c r="N151" s="9"/>
      <c r="O151" s="9"/>
      <c r="P151" s="9"/>
      <c r="Q151" s="9"/>
      <c r="R151" s="63"/>
      <c r="S151" s="9"/>
      <c r="T151" s="9"/>
      <c r="U151" s="9"/>
      <c r="V151" s="9"/>
      <c r="W151" s="63"/>
      <c r="X151" s="9"/>
      <c r="Y151" s="9"/>
      <c r="Z151" s="9"/>
      <c r="AA151" s="9"/>
      <c r="AB151" s="63"/>
      <c r="AC151" s="9"/>
      <c r="AD151" s="9"/>
      <c r="AE151" s="9"/>
      <c r="AF151" s="9"/>
      <c r="AG151" s="63"/>
      <c r="AH151" s="9"/>
      <c r="AI151" s="9"/>
      <c r="AJ151" s="9"/>
      <c r="AK151" s="9"/>
      <c r="AL151" s="63"/>
      <c r="AM151" s="53"/>
      <c r="AN151" s="53"/>
      <c r="AO151" s="53"/>
      <c r="AP151" s="53"/>
      <c r="AQ151" s="28"/>
      <c r="AR151" s="53"/>
      <c r="AS151" s="53"/>
      <c r="AT151" s="53"/>
      <c r="AU151" s="186"/>
      <c r="AV151" s="240"/>
      <c r="AW151" s="240"/>
      <c r="AX151" s="240"/>
      <c r="AY151" s="240"/>
      <c r="AZ151" s="241"/>
      <c r="BA151" s="240"/>
      <c r="BB151" s="240"/>
      <c r="BC151" s="240"/>
      <c r="BD151" s="240"/>
      <c r="BE151" s="241"/>
      <c r="BF151" s="240"/>
      <c r="BG151" s="240"/>
      <c r="BH151" s="240"/>
      <c r="BI151" s="240"/>
      <c r="BJ151" s="241"/>
      <c r="BK151" s="255"/>
      <c r="BL151" s="255"/>
      <c r="BM151" s="255"/>
      <c r="BN151" s="255"/>
      <c r="BO151" s="256"/>
      <c r="BP151" s="255"/>
      <c r="BQ151" s="255"/>
      <c r="BR151" s="255"/>
      <c r="BS151" s="255"/>
      <c r="BT151" s="256"/>
      <c r="BU151" s="255"/>
      <c r="BV151" s="255"/>
      <c r="BW151" s="255"/>
      <c r="BX151" s="255"/>
      <c r="BY151" s="256"/>
      <c r="BZ151" s="255"/>
      <c r="CA151" s="255"/>
      <c r="CB151" s="255"/>
      <c r="CC151" s="255"/>
      <c r="CD151" s="256"/>
      <c r="CE151" s="257"/>
      <c r="CF151" s="257"/>
      <c r="CG151" s="257"/>
      <c r="CH151" s="257"/>
      <c r="CI151" s="258"/>
      <c r="CJ151" s="257"/>
      <c r="CK151" s="257"/>
      <c r="CL151" s="257"/>
      <c r="CM151" s="257"/>
      <c r="CN151" s="258"/>
      <c r="CO151" s="257"/>
      <c r="CP151" s="257"/>
      <c r="CQ151" s="257"/>
      <c r="CR151" s="257"/>
      <c r="CS151" s="258"/>
      <c r="CT151" s="257"/>
      <c r="CU151" s="257"/>
      <c r="CV151" s="257"/>
      <c r="CW151" s="289"/>
      <c r="CX151" s="258"/>
      <c r="CY151" s="289"/>
      <c r="CZ151" s="289"/>
      <c r="DA151" s="289"/>
      <c r="DB151" s="289"/>
      <c r="DC151" s="258"/>
      <c r="DD151" s="289"/>
      <c r="DE151" s="289"/>
      <c r="DF151" s="289"/>
      <c r="DG151" s="289"/>
      <c r="DH151" s="258"/>
      <c r="DI151" s="1378">
        <v>0</v>
      </c>
      <c r="DJ151" s="1378">
        <v>0</v>
      </c>
      <c r="DK151" s="1378">
        <v>0</v>
      </c>
      <c r="DL151" s="1378">
        <v>0</v>
      </c>
      <c r="DM151" s="1380">
        <f>SUM(DI151:DL151)</f>
        <v>0</v>
      </c>
      <c r="DN151" s="1378">
        <v>0</v>
      </c>
      <c r="DO151" s="1378">
        <v>0</v>
      </c>
      <c r="DP151" s="1378">
        <v>0</v>
      </c>
      <c r="DQ151" s="1378">
        <v>0</v>
      </c>
      <c r="DR151" s="1380">
        <f>SUM(DN151:DQ151)</f>
        <v>0</v>
      </c>
      <c r="DS151" s="1378">
        <v>0</v>
      </c>
      <c r="DT151" s="1378">
        <v>0</v>
      </c>
      <c r="DU151" s="1378">
        <v>0</v>
      </c>
      <c r="DV151" s="1378">
        <v>0</v>
      </c>
      <c r="DW151" s="1380">
        <f>SUM(DS151:DV151)</f>
        <v>0</v>
      </c>
      <c r="DX151" s="1378">
        <v>0</v>
      </c>
      <c r="DY151" s="1378">
        <v>0</v>
      </c>
      <c r="DZ151" s="1378">
        <v>0</v>
      </c>
      <c r="EA151" s="1378">
        <v>0</v>
      </c>
      <c r="EB151" s="1380">
        <f>SUM(DX151:EA151)</f>
        <v>0</v>
      </c>
      <c r="EC151" s="1378">
        <v>0</v>
      </c>
      <c r="ED151" s="1378">
        <v>0</v>
      </c>
      <c r="EE151" s="1378">
        <v>0</v>
      </c>
      <c r="EF151" s="1378">
        <v>0</v>
      </c>
      <c r="EG151" s="1380">
        <f>SUM(EC151:EF151)</f>
        <v>0</v>
      </c>
      <c r="EH151" s="1378">
        <v>0</v>
      </c>
      <c r="EI151" s="1378">
        <v>0</v>
      </c>
      <c r="EJ151" s="1378">
        <v>0</v>
      </c>
      <c r="EK151" s="1378">
        <v>0</v>
      </c>
      <c r="EL151" s="1380">
        <f>SUM(EH151:EK151)</f>
        <v>0</v>
      </c>
    </row>
    <row r="152" spans="1:142">
      <c r="A152" s="225"/>
      <c r="B152" s="214" t="s">
        <v>675</v>
      </c>
      <c r="C152" s="9"/>
      <c r="D152" s="9"/>
      <c r="E152" s="9"/>
      <c r="F152" s="9"/>
      <c r="G152" s="9"/>
      <c r="H152" s="63"/>
      <c r="I152" s="9"/>
      <c r="J152" s="9"/>
      <c r="K152" s="9"/>
      <c r="L152" s="9"/>
      <c r="M152" s="63"/>
      <c r="N152" s="9"/>
      <c r="O152" s="9"/>
      <c r="P152" s="9"/>
      <c r="Q152" s="9"/>
      <c r="R152" s="63"/>
      <c r="S152" s="9"/>
      <c r="T152" s="9"/>
      <c r="U152" s="9"/>
      <c r="V152" s="9"/>
      <c r="W152" s="63"/>
      <c r="X152" s="9"/>
      <c r="Y152" s="9"/>
      <c r="Z152" s="9"/>
      <c r="AA152" s="9"/>
      <c r="AB152" s="63"/>
      <c r="AC152" s="9"/>
      <c r="AD152" s="9"/>
      <c r="AE152" s="9"/>
      <c r="AF152" s="9"/>
      <c r="AG152" s="63"/>
      <c r="AH152" s="9"/>
      <c r="AI152" s="9"/>
      <c r="AJ152" s="9"/>
      <c r="AK152" s="9"/>
      <c r="AL152" s="63"/>
      <c r="AM152" s="53"/>
      <c r="AN152" s="53"/>
      <c r="AO152" s="53"/>
      <c r="AP152" s="53"/>
      <c r="AQ152" s="28"/>
      <c r="AR152" s="53"/>
      <c r="AS152" s="53"/>
      <c r="AT152" s="53"/>
      <c r="AU152" s="186"/>
      <c r="AV152" s="240"/>
      <c r="AW152" s="240"/>
      <c r="AX152" s="240"/>
      <c r="AY152" s="240"/>
      <c r="AZ152" s="241"/>
      <c r="BA152" s="240"/>
      <c r="BB152" s="240"/>
      <c r="BC152" s="240"/>
      <c r="BD152" s="240"/>
      <c r="BE152" s="241"/>
      <c r="BF152" s="240"/>
      <c r="BG152" s="240"/>
      <c r="BH152" s="240"/>
      <c r="BI152" s="240"/>
      <c r="BJ152" s="241"/>
      <c r="BK152" s="48"/>
      <c r="BL152" s="48"/>
      <c r="BM152" s="262"/>
      <c r="BN152" s="48"/>
      <c r="BO152" s="263"/>
      <c r="BP152" s="48"/>
      <c r="BQ152" s="48"/>
      <c r="BR152" s="262"/>
      <c r="BS152" s="48"/>
      <c r="BT152" s="263"/>
      <c r="BU152" s="48"/>
      <c r="BV152" s="48"/>
      <c r="BW152" s="262"/>
      <c r="BX152" s="48"/>
      <c r="BY152" s="263"/>
      <c r="BZ152" s="48"/>
      <c r="CA152" s="48"/>
      <c r="CB152" s="262"/>
      <c r="CC152" s="48"/>
      <c r="CD152" s="263"/>
      <c r="CE152" s="174"/>
      <c r="CF152" s="174"/>
      <c r="CG152" s="174"/>
      <c r="CH152" s="174"/>
      <c r="CI152" s="263"/>
      <c r="CJ152" s="174"/>
      <c r="CK152" s="174"/>
      <c r="CL152" s="174"/>
      <c r="CM152" s="174"/>
      <c r="CN152" s="263"/>
      <c r="CO152" s="174"/>
      <c r="CP152" s="174"/>
      <c r="CQ152" s="174"/>
      <c r="CR152" s="174"/>
      <c r="CS152" s="263"/>
      <c r="CT152" s="174"/>
      <c r="CU152" s="174"/>
      <c r="CV152" s="174"/>
      <c r="CW152" s="174">
        <v>300</v>
      </c>
      <c r="CX152" s="263">
        <f>SUM(CT152:CW152)</f>
        <v>300</v>
      </c>
      <c r="CY152" s="174">
        <f>+CY153-CY150</f>
        <v>0</v>
      </c>
      <c r="CZ152" s="174">
        <f>+CZ153-CZ150</f>
        <v>0</v>
      </c>
      <c r="DA152" s="174">
        <f>+DA153-DA150</f>
        <v>0</v>
      </c>
      <c r="DB152" s="174">
        <f>+DB153-DB150</f>
        <v>0</v>
      </c>
      <c r="DC152" s="263">
        <f>SUM(CY152:DB152)</f>
        <v>0</v>
      </c>
      <c r="DD152" s="174">
        <f>+DD153-DD150</f>
        <v>0</v>
      </c>
      <c r="DE152" s="174">
        <f>+DE153-DE150</f>
        <v>0</v>
      </c>
      <c r="DF152" s="174">
        <f>+DF153-DF150</f>
        <v>0</v>
      </c>
      <c r="DG152" s="174">
        <f>+DG153-DG150</f>
        <v>0</v>
      </c>
      <c r="DH152" s="263">
        <f>SUM(DD152:DG152)</f>
        <v>0</v>
      </c>
      <c r="DI152" s="1379">
        <v>0</v>
      </c>
      <c r="DJ152" s="1379">
        <v>0</v>
      </c>
      <c r="DK152" s="1379">
        <v>0</v>
      </c>
      <c r="DL152" s="1379">
        <v>0</v>
      </c>
      <c r="DM152" s="1381">
        <f>SUM(DI152:DL152)</f>
        <v>0</v>
      </c>
      <c r="DN152" s="1379">
        <v>0</v>
      </c>
      <c r="DO152" s="1379">
        <v>0</v>
      </c>
      <c r="DP152" s="1379">
        <v>0</v>
      </c>
      <c r="DQ152" s="1379">
        <v>0</v>
      </c>
      <c r="DR152" s="1381">
        <f>SUM(DN152:DQ152)</f>
        <v>0</v>
      </c>
      <c r="DS152" s="1379">
        <v>0</v>
      </c>
      <c r="DT152" s="1379">
        <v>0</v>
      </c>
      <c r="DU152" s="1379">
        <v>0</v>
      </c>
      <c r="DV152" s="1379">
        <v>0</v>
      </c>
      <c r="DW152" s="1381">
        <f>SUM(DS152:DV152)</f>
        <v>0</v>
      </c>
      <c r="DX152" s="1379">
        <v>0</v>
      </c>
      <c r="DY152" s="1379">
        <v>0</v>
      </c>
      <c r="DZ152" s="1379">
        <v>0</v>
      </c>
      <c r="EA152" s="1379">
        <v>0</v>
      </c>
      <c r="EB152" s="1381">
        <f>SUM(DX152:EA152)</f>
        <v>0</v>
      </c>
      <c r="EC152" s="1379">
        <v>0</v>
      </c>
      <c r="ED152" s="1379">
        <v>0</v>
      </c>
      <c r="EE152" s="1379">
        <v>0</v>
      </c>
      <c r="EF152" s="1379">
        <v>0</v>
      </c>
      <c r="EG152" s="1381">
        <f>SUM(EC152:EF152)</f>
        <v>0</v>
      </c>
      <c r="EH152" s="1379">
        <v>0</v>
      </c>
      <c r="EI152" s="1379">
        <v>0</v>
      </c>
      <c r="EJ152" s="1379">
        <v>0</v>
      </c>
      <c r="EK152" s="1379">
        <v>0</v>
      </c>
      <c r="EL152" s="1381">
        <f>SUM(EH152:EK152)</f>
        <v>0</v>
      </c>
    </row>
    <row r="153" spans="1:142">
      <c r="A153" s="225"/>
      <c r="B153" s="209" t="s">
        <v>299</v>
      </c>
      <c r="C153" s="9"/>
      <c r="D153" s="9"/>
      <c r="E153" s="9"/>
      <c r="F153" s="9"/>
      <c r="G153" s="9"/>
      <c r="H153" s="63"/>
      <c r="I153" s="9"/>
      <c r="J153" s="9"/>
      <c r="K153" s="9"/>
      <c r="L153" s="9"/>
      <c r="M153" s="63"/>
      <c r="N153" s="9"/>
      <c r="O153" s="9"/>
      <c r="P153" s="9"/>
      <c r="Q153" s="9"/>
      <c r="R153" s="63"/>
      <c r="S153" s="9"/>
      <c r="T153" s="9"/>
      <c r="U153" s="9"/>
      <c r="V153" s="9"/>
      <c r="W153" s="63"/>
      <c r="X153" s="9"/>
      <c r="Y153" s="9"/>
      <c r="Z153" s="9"/>
      <c r="AA153" s="9"/>
      <c r="AB153" s="63"/>
      <c r="AC153" s="9"/>
      <c r="AD153" s="9"/>
      <c r="AE153" s="9"/>
      <c r="AF153" s="9"/>
      <c r="AG153" s="63"/>
      <c r="AH153" s="9"/>
      <c r="AI153" s="9"/>
      <c r="AJ153" s="9"/>
      <c r="AK153" s="9"/>
      <c r="AL153" s="63"/>
      <c r="AM153" s="53"/>
      <c r="AN153" s="53"/>
      <c r="AO153" s="53"/>
      <c r="AP153" s="53"/>
      <c r="AQ153" s="28"/>
      <c r="AR153" s="53"/>
      <c r="AS153" s="53"/>
      <c r="AT153" s="53"/>
      <c r="AU153" s="186"/>
      <c r="AV153" s="240"/>
      <c r="AW153" s="240"/>
      <c r="AX153" s="240"/>
      <c r="AY153" s="240"/>
      <c r="AZ153" s="241"/>
      <c r="BA153" s="240"/>
      <c r="BB153" s="240"/>
      <c r="BC153" s="240"/>
      <c r="BD153" s="240"/>
      <c r="BE153" s="241"/>
      <c r="BF153" s="240"/>
      <c r="BG153" s="240"/>
      <c r="BH153" s="240"/>
      <c r="BI153" s="240"/>
      <c r="BJ153" s="241"/>
      <c r="BK153" s="146"/>
      <c r="BL153" s="162"/>
      <c r="BM153" s="162"/>
      <c r="BN153" s="162"/>
      <c r="BO153" s="266"/>
      <c r="BP153" s="146"/>
      <c r="BQ153" s="162"/>
      <c r="BR153" s="162"/>
      <c r="BS153" s="162"/>
      <c r="BT153" s="266"/>
      <c r="BU153" s="146"/>
      <c r="BV153" s="162"/>
      <c r="BW153" s="162"/>
      <c r="BX153" s="162"/>
      <c r="BY153" s="266"/>
      <c r="BZ153" s="146"/>
      <c r="CA153" s="162"/>
      <c r="CB153" s="162"/>
      <c r="CC153" s="162"/>
      <c r="CD153" s="266"/>
      <c r="CE153" s="267"/>
      <c r="CF153" s="267"/>
      <c r="CG153" s="267"/>
      <c r="CH153" s="267"/>
      <c r="CI153" s="170"/>
      <c r="CJ153" s="267"/>
      <c r="CK153" s="267"/>
      <c r="CL153" s="267"/>
      <c r="CM153" s="267"/>
      <c r="CN153" s="170"/>
      <c r="CO153" s="267"/>
      <c r="CP153" s="267"/>
      <c r="CQ153" s="267"/>
      <c r="CR153" s="267"/>
      <c r="CS153" s="170"/>
      <c r="CT153" s="267"/>
      <c r="CU153" s="267"/>
      <c r="CV153" s="267"/>
      <c r="CW153" s="165">
        <f>CW150+CW152</f>
        <v>300</v>
      </c>
      <c r="CX153" s="170">
        <f>CW153</f>
        <v>300</v>
      </c>
      <c r="CY153" s="166">
        <v>300</v>
      </c>
      <c r="CZ153" s="166">
        <v>300</v>
      </c>
      <c r="DA153" s="333">
        <v>300</v>
      </c>
      <c r="DB153" s="269">
        <v>300</v>
      </c>
      <c r="DC153" s="170">
        <f>DB153</f>
        <v>300</v>
      </c>
      <c r="DD153" s="166">
        <v>300</v>
      </c>
      <c r="DE153" s="269">
        <v>300</v>
      </c>
      <c r="DF153" s="269">
        <v>300</v>
      </c>
      <c r="DG153" s="269">
        <v>300</v>
      </c>
      <c r="DH153" s="170">
        <f>DG153</f>
        <v>300</v>
      </c>
      <c r="DI153" s="539">
        <f>SUM(DI150:DI152)</f>
        <v>300</v>
      </c>
      <c r="DJ153" s="539">
        <f>SUM(DJ150:DJ152)</f>
        <v>300</v>
      </c>
      <c r="DK153" s="539">
        <f>SUM(DK150:DK152)</f>
        <v>300</v>
      </c>
      <c r="DL153" s="539">
        <f>SUM(DL150:DL152)</f>
        <v>300</v>
      </c>
      <c r="DM153" s="1380">
        <f>DL153</f>
        <v>300</v>
      </c>
      <c r="DN153" s="539">
        <f>SUM(DN150:DN152)</f>
        <v>300</v>
      </c>
      <c r="DO153" s="539">
        <f>SUM(DO150:DO152)</f>
        <v>300</v>
      </c>
      <c r="DP153" s="1401">
        <f>SUM(DP150:DP152)</f>
        <v>300</v>
      </c>
      <c r="DQ153" s="1401">
        <f>SUM(DQ150:DQ152)</f>
        <v>300</v>
      </c>
      <c r="DR153" s="1380">
        <f>DQ153</f>
        <v>300</v>
      </c>
      <c r="DS153" s="539">
        <f>SUM(DS150:DS152)</f>
        <v>300</v>
      </c>
      <c r="DT153" s="539">
        <f>SUM(DT150:DT152)</f>
        <v>300</v>
      </c>
      <c r="DU153" s="1401">
        <f>SUM(DU150:DU152)</f>
        <v>300</v>
      </c>
      <c r="DV153" s="1401">
        <f>SUM(DV150:DV152)</f>
        <v>300</v>
      </c>
      <c r="DW153" s="1380">
        <f>DV153</f>
        <v>300</v>
      </c>
      <c r="DX153" s="539">
        <f>SUM(DX150:DX152)</f>
        <v>300</v>
      </c>
      <c r="DY153" s="539">
        <f>SUM(DY150:DY152)</f>
        <v>300</v>
      </c>
      <c r="DZ153" s="1401">
        <f>SUM(DZ150:DZ152)</f>
        <v>300</v>
      </c>
      <c r="EA153" s="1401">
        <f>SUM(EA150:EA152)</f>
        <v>300</v>
      </c>
      <c r="EB153" s="1380">
        <f>EA153</f>
        <v>300</v>
      </c>
      <c r="EC153" s="539">
        <f>SUM(EC150:EC152)</f>
        <v>300</v>
      </c>
      <c r="ED153" s="539">
        <f>SUM(ED150:ED152)</f>
        <v>300</v>
      </c>
      <c r="EE153" s="1401">
        <f>SUM(EE150:EE152)</f>
        <v>300</v>
      </c>
      <c r="EF153" s="1401">
        <f>SUM(EF150:EF152)</f>
        <v>300</v>
      </c>
      <c r="EG153" s="1380">
        <f>EF153</f>
        <v>300</v>
      </c>
      <c r="EH153" s="539">
        <f>SUM(EH150:EH152)</f>
        <v>300</v>
      </c>
      <c r="EI153" s="539">
        <f>SUM(EI150:EI152)</f>
        <v>300</v>
      </c>
      <c r="EJ153" s="1401">
        <f>SUM(EJ150:EJ152)</f>
        <v>300</v>
      </c>
      <c r="EK153" s="1401">
        <f>SUM(EK150:EK152)</f>
        <v>300</v>
      </c>
      <c r="EL153" s="1380">
        <f>EK153</f>
        <v>300</v>
      </c>
    </row>
    <row r="154" spans="1:142">
      <c r="A154" s="225"/>
      <c r="B154" s="214" t="s">
        <v>300</v>
      </c>
      <c r="C154" s="9"/>
      <c r="D154" s="9"/>
      <c r="E154" s="9"/>
      <c r="F154" s="9"/>
      <c r="G154" s="9"/>
      <c r="H154" s="63"/>
      <c r="I154" s="9"/>
      <c r="J154" s="9"/>
      <c r="K154" s="9"/>
      <c r="L154" s="9"/>
      <c r="M154" s="63"/>
      <c r="N154" s="9"/>
      <c r="O154" s="9"/>
      <c r="P154" s="9"/>
      <c r="Q154" s="9"/>
      <c r="R154" s="63"/>
      <c r="S154" s="9"/>
      <c r="T154" s="9"/>
      <c r="U154" s="9"/>
      <c r="V154" s="9"/>
      <c r="W154" s="63"/>
      <c r="X154" s="9"/>
      <c r="Y154" s="9"/>
      <c r="Z154" s="9"/>
      <c r="AA154" s="9"/>
      <c r="AB154" s="63"/>
      <c r="AC154" s="9"/>
      <c r="AD154" s="9"/>
      <c r="AE154" s="9"/>
      <c r="AF154" s="9"/>
      <c r="AG154" s="63"/>
      <c r="AH154" s="9"/>
      <c r="AI154" s="9"/>
      <c r="AJ154" s="9"/>
      <c r="AK154" s="9"/>
      <c r="AL154" s="63"/>
      <c r="AM154" s="53"/>
      <c r="AN154" s="53"/>
      <c r="AO154" s="53"/>
      <c r="AP154" s="53"/>
      <c r="AQ154" s="28"/>
      <c r="AR154" s="53"/>
      <c r="AS154" s="53"/>
      <c r="AT154" s="53"/>
      <c r="AU154" s="186"/>
      <c r="AV154" s="240"/>
      <c r="AW154" s="240"/>
      <c r="AX154" s="240"/>
      <c r="AY154" s="240"/>
      <c r="AZ154" s="241"/>
      <c r="BA154" s="240"/>
      <c r="BB154" s="240"/>
      <c r="BC154" s="240"/>
      <c r="BD154" s="240"/>
      <c r="BE154" s="241"/>
      <c r="BF154" s="240"/>
      <c r="BG154" s="240"/>
      <c r="BH154" s="240"/>
      <c r="BI154" s="240"/>
      <c r="BJ154" s="241"/>
      <c r="BK154" s="215"/>
      <c r="BL154" s="215"/>
      <c r="BM154" s="275"/>
      <c r="BN154" s="215"/>
      <c r="BO154" s="263"/>
      <c r="BP154" s="215"/>
      <c r="BQ154" s="215"/>
      <c r="BR154" s="275"/>
      <c r="BS154" s="215"/>
      <c r="BT154" s="263"/>
      <c r="BU154" s="215"/>
      <c r="BV154" s="215"/>
      <c r="BW154" s="275"/>
      <c r="BX154" s="215"/>
      <c r="BY154" s="263"/>
      <c r="BZ154" s="215"/>
      <c r="CA154" s="215"/>
      <c r="CB154" s="275"/>
      <c r="CC154" s="215"/>
      <c r="CD154" s="263"/>
      <c r="CE154" s="276"/>
      <c r="CF154" s="276"/>
      <c r="CG154" s="276"/>
      <c r="CH154" s="276"/>
      <c r="CI154" s="263"/>
      <c r="CJ154" s="276"/>
      <c r="CK154" s="276"/>
      <c r="CL154" s="276"/>
      <c r="CM154" s="276"/>
      <c r="CN154" s="263"/>
      <c r="CO154" s="276"/>
      <c r="CP154" s="276"/>
      <c r="CQ154" s="276"/>
      <c r="CR154" s="276"/>
      <c r="CS154" s="263"/>
      <c r="CT154" s="276"/>
      <c r="CU154" s="276"/>
      <c r="CV154" s="276"/>
      <c r="CW154" s="276">
        <f>CW149/4*AVERAGE(CW153,CW152)</f>
        <v>5.0625</v>
      </c>
      <c r="CX154" s="263">
        <f>SUM(CT154:CW154)</f>
        <v>5.0625</v>
      </c>
      <c r="CY154" s="276">
        <f>CY149/4*AVERAGE(CY153,CY150)</f>
        <v>5.0625</v>
      </c>
      <c r="CZ154" s="276">
        <f>CZ149/4*AVERAGE(CZ153,CZ150)</f>
        <v>5.0625</v>
      </c>
      <c r="DA154" s="276">
        <f>DA149/4*AVERAGE(DA153,DA150)</f>
        <v>5.0625</v>
      </c>
      <c r="DB154" s="276">
        <f>DB149/4*AVERAGE(DB153,DB150)</f>
        <v>5.0625</v>
      </c>
      <c r="DC154" s="263">
        <f>SUM(CY154:DB154)</f>
        <v>20.25</v>
      </c>
      <c r="DD154" s="276">
        <f>DD149/4*AVERAGE(DD153,DD150)</f>
        <v>5.0625</v>
      </c>
      <c r="DE154" s="276">
        <f>DE149/4*AVERAGE(DE153,DE150)</f>
        <v>5.0625</v>
      </c>
      <c r="DF154" s="276">
        <f>DF149/4*AVERAGE(DF153,DF150)</f>
        <v>5.0625</v>
      </c>
      <c r="DG154" s="276">
        <f>DG149/4*AVERAGE(DG153,DG150)</f>
        <v>5.0625</v>
      </c>
      <c r="DH154" s="263">
        <f>SUM(DD154:DG154)</f>
        <v>20.25</v>
      </c>
      <c r="DI154" s="1342">
        <f>DI149/4*AVERAGE(DI153,DI150)</f>
        <v>5.0625</v>
      </c>
      <c r="DJ154" s="1342">
        <f>DJ149/4*AVERAGE(DJ153,DJ150)</f>
        <v>5.0625</v>
      </c>
      <c r="DK154" s="1342">
        <f>DK149/4*AVERAGE(DK153,DK150)</f>
        <v>5.0625</v>
      </c>
      <c r="DL154" s="1342">
        <f>DL149/4*AVERAGE(DL153,DL150)</f>
        <v>5.0625</v>
      </c>
      <c r="DM154" s="1353">
        <f>SUM(DI154:DL154)</f>
        <v>20.25</v>
      </c>
      <c r="DN154" s="1342">
        <f>DN149/4*AVERAGE(DN153,DN150)</f>
        <v>5.0625</v>
      </c>
      <c r="DO154" s="1342">
        <f>DO149/4*AVERAGE(DO153,DO150)</f>
        <v>5.0625</v>
      </c>
      <c r="DP154" s="1342">
        <f>DP149/4*AVERAGE(DP153,DP150)</f>
        <v>5.0625</v>
      </c>
      <c r="DQ154" s="1342">
        <f>DQ149/4*AVERAGE(DQ153,DQ150)</f>
        <v>5.0625</v>
      </c>
      <c r="DR154" s="1353">
        <f>SUM(DN154:DQ154)</f>
        <v>20.25</v>
      </c>
      <c r="DS154" s="1342">
        <f>DS149/4*AVERAGE(DS153,DS150)</f>
        <v>5.0625</v>
      </c>
      <c r="DT154" s="1342">
        <f>DT149/4*AVERAGE(DT153,DT150)</f>
        <v>5.0625</v>
      </c>
      <c r="DU154" s="1342">
        <f>DU149/4*AVERAGE(DU153,DU150)</f>
        <v>5.0625</v>
      </c>
      <c r="DV154" s="1342">
        <f>DV149/4*AVERAGE(DV153,DV150)</f>
        <v>5.0625</v>
      </c>
      <c r="DW154" s="1353">
        <f>SUM(DS154:DV154)</f>
        <v>20.25</v>
      </c>
      <c r="DX154" s="1342">
        <f>DX149/4*AVERAGE(DX153,DX150)</f>
        <v>5.0625</v>
      </c>
      <c r="DY154" s="1342">
        <f>DY149/4*AVERAGE(DY153,DY150)</f>
        <v>5.0625</v>
      </c>
      <c r="DZ154" s="1342">
        <f>DZ149/4*AVERAGE(DZ153,DZ150)</f>
        <v>5.0625</v>
      </c>
      <c r="EA154" s="1342">
        <f>EA149/4*AVERAGE(EA153,EA150)</f>
        <v>5.0625</v>
      </c>
      <c r="EB154" s="1353">
        <f>SUM(DX154:EA154)</f>
        <v>20.25</v>
      </c>
      <c r="EC154" s="1342">
        <f>EC149/4*AVERAGE(EC153,EC150)</f>
        <v>5.0625</v>
      </c>
      <c r="ED154" s="1342">
        <f>ED149/4*AVERAGE(ED153,ED150)</f>
        <v>5.0625</v>
      </c>
      <c r="EE154" s="1342">
        <f>EE149/4*AVERAGE(EE153,EE150)</f>
        <v>5.0625</v>
      </c>
      <c r="EF154" s="1342">
        <f>EF149/4*AVERAGE(EF153,EF150)</f>
        <v>5.0625</v>
      </c>
      <c r="EG154" s="1353">
        <f>SUM(EC154:EF154)</f>
        <v>20.25</v>
      </c>
      <c r="EH154" s="1342">
        <f>EH149/4*AVERAGE(EH153,EH150)</f>
        <v>5.0625</v>
      </c>
      <c r="EI154" s="1342">
        <f>EI149/4*AVERAGE(EI153,EI150)</f>
        <v>5.0625</v>
      </c>
      <c r="EJ154" s="1342">
        <f>EJ149/4*AVERAGE(EJ153,EJ150)</f>
        <v>5.0625</v>
      </c>
      <c r="EK154" s="1342">
        <f>EK149/4*AVERAGE(EK153,EK150)</f>
        <v>5.0625</v>
      </c>
      <c r="EL154" s="1353">
        <f>SUM(EH154:EK154)</f>
        <v>20.25</v>
      </c>
    </row>
    <row r="155" spans="1:142" hidden="1" outlineLevel="1">
      <c r="A155" s="225"/>
      <c r="B155" s="225"/>
      <c r="C155" s="9"/>
      <c r="D155" s="9"/>
      <c r="E155" s="9"/>
      <c r="F155" s="9"/>
      <c r="G155" s="9"/>
      <c r="H155" s="63"/>
      <c r="I155" s="9"/>
      <c r="J155" s="9"/>
      <c r="K155" s="9"/>
      <c r="L155" s="9"/>
      <c r="M155" s="63"/>
      <c r="N155" s="9"/>
      <c r="O155" s="9"/>
      <c r="P155" s="9"/>
      <c r="Q155" s="9"/>
      <c r="R155" s="63"/>
      <c r="S155" s="9"/>
      <c r="T155" s="9"/>
      <c r="U155" s="9"/>
      <c r="V155" s="9"/>
      <c r="W155" s="63"/>
      <c r="X155" s="9"/>
      <c r="Y155" s="9"/>
      <c r="Z155" s="9"/>
      <c r="AA155" s="9"/>
      <c r="AB155" s="63"/>
      <c r="AC155" s="9"/>
      <c r="AD155" s="9"/>
      <c r="AE155" s="9"/>
      <c r="AF155" s="9"/>
      <c r="AG155" s="63"/>
      <c r="AH155" s="9"/>
      <c r="AI155" s="9"/>
      <c r="AJ155" s="9"/>
      <c r="AK155" s="9"/>
      <c r="AL155" s="63"/>
      <c r="AM155" s="53"/>
      <c r="AN155" s="53"/>
      <c r="AO155" s="53"/>
      <c r="AP155" s="53"/>
      <c r="AQ155" s="28"/>
      <c r="AR155" s="53"/>
      <c r="AS155" s="53"/>
      <c r="AT155" s="53"/>
      <c r="AU155" s="186"/>
      <c r="AV155" s="240"/>
      <c r="AW155" s="240"/>
      <c r="AX155" s="240"/>
      <c r="AY155" s="240"/>
      <c r="AZ155" s="241"/>
      <c r="BA155" s="240"/>
      <c r="BB155" s="240"/>
      <c r="BC155" s="240"/>
      <c r="BD155" s="240"/>
      <c r="BE155" s="241"/>
      <c r="BF155" s="240"/>
      <c r="BG155" s="240"/>
      <c r="BH155" s="240"/>
      <c r="BI155" s="240"/>
      <c r="BJ155" s="241"/>
      <c r="BK155" s="171"/>
      <c r="BL155" s="171"/>
      <c r="BM155" s="87"/>
      <c r="BN155" s="171"/>
      <c r="BO155" s="170"/>
      <c r="BP155" s="171"/>
      <c r="BQ155" s="171"/>
      <c r="BR155" s="87"/>
      <c r="BS155" s="171"/>
      <c r="BT155" s="170"/>
      <c r="BU155" s="171"/>
      <c r="BV155" s="171"/>
      <c r="BW155" s="87"/>
      <c r="BX155" s="171"/>
      <c r="BY155" s="170"/>
      <c r="BZ155" s="171"/>
      <c r="CA155" s="171"/>
      <c r="CB155" s="87"/>
      <c r="CC155" s="171"/>
      <c r="CD155" s="170"/>
      <c r="CE155" s="173"/>
      <c r="CF155" s="173"/>
      <c r="CG155" s="173"/>
      <c r="CH155" s="173"/>
      <c r="CI155" s="170"/>
      <c r="CJ155" s="173"/>
      <c r="CK155" s="173"/>
      <c r="CL155" s="173"/>
      <c r="CM155" s="173"/>
      <c r="CN155" s="170"/>
      <c r="CO155" s="173"/>
      <c r="CP155" s="173"/>
      <c r="CQ155" s="173"/>
      <c r="CR155" s="173"/>
      <c r="CS155" s="170"/>
      <c r="CT155" s="173"/>
      <c r="CU155" s="173"/>
      <c r="CV155" s="173"/>
      <c r="CW155" s="173"/>
      <c r="CX155" s="170"/>
      <c r="CY155" s="173"/>
      <c r="CZ155" s="173"/>
      <c r="DA155" s="173"/>
      <c r="DB155" s="173"/>
      <c r="DC155" s="170"/>
      <c r="DD155" s="173"/>
      <c r="DE155" s="173"/>
      <c r="DF155" s="173"/>
      <c r="DG155" s="173"/>
      <c r="DH155" s="170"/>
      <c r="DI155" s="545"/>
      <c r="DJ155" s="545"/>
      <c r="DK155" s="545"/>
      <c r="DL155" s="545"/>
      <c r="DM155" s="538"/>
      <c r="DN155" s="545"/>
      <c r="DO155" s="545"/>
      <c r="DP155" s="545"/>
      <c r="DQ155" s="545"/>
      <c r="DR155" s="538"/>
      <c r="DS155" s="545"/>
      <c r="DT155" s="545"/>
      <c r="DU155" s="545"/>
      <c r="DV155" s="545"/>
      <c r="DW155" s="538"/>
      <c r="DX155" s="545"/>
      <c r="DY155" s="545"/>
      <c r="DZ155" s="545"/>
      <c r="EA155" s="545"/>
      <c r="EB155" s="538"/>
      <c r="EC155" s="545"/>
      <c r="ED155" s="545"/>
      <c r="EE155" s="545"/>
      <c r="EF155" s="545"/>
      <c r="EG155" s="538"/>
      <c r="EH155" s="545"/>
      <c r="EI155" s="545"/>
      <c r="EJ155" s="545"/>
      <c r="EK155" s="545"/>
      <c r="EL155" s="538"/>
    </row>
    <row r="156" spans="1:142" hidden="1" outlineLevel="1">
      <c r="A156" s="225"/>
      <c r="B156" s="1326" t="s">
        <v>672</v>
      </c>
      <c r="C156" s="9"/>
      <c r="D156" s="9"/>
      <c r="E156" s="9"/>
      <c r="F156" s="9"/>
      <c r="G156" s="9"/>
      <c r="H156" s="63"/>
      <c r="I156" s="9"/>
      <c r="J156" s="9"/>
      <c r="K156" s="9"/>
      <c r="L156" s="9"/>
      <c r="M156" s="63"/>
      <c r="N156" s="9"/>
      <c r="O156" s="9"/>
      <c r="P156" s="9"/>
      <c r="Q156" s="9"/>
      <c r="R156" s="63"/>
      <c r="S156" s="9"/>
      <c r="T156" s="9"/>
      <c r="U156" s="9"/>
      <c r="V156" s="9"/>
      <c r="W156" s="63"/>
      <c r="X156" s="9"/>
      <c r="Y156" s="9"/>
      <c r="Z156" s="9"/>
      <c r="AA156" s="9"/>
      <c r="AB156" s="63"/>
      <c r="AC156" s="9"/>
      <c r="AD156" s="9"/>
      <c r="AE156" s="9"/>
      <c r="AF156" s="9"/>
      <c r="AG156" s="63"/>
      <c r="AH156" s="9"/>
      <c r="AI156" s="9"/>
      <c r="AJ156" s="9"/>
      <c r="AK156" s="9"/>
      <c r="AL156" s="63"/>
      <c r="AM156" s="53"/>
      <c r="AN156" s="53"/>
      <c r="AO156" s="53"/>
      <c r="AP156" s="53"/>
      <c r="AQ156" s="28"/>
      <c r="AR156" s="53"/>
      <c r="AS156" s="53"/>
      <c r="AT156" s="53"/>
      <c r="AU156" s="186"/>
      <c r="AV156" s="240"/>
      <c r="AW156" s="240"/>
      <c r="AX156" s="240"/>
      <c r="AY156" s="240"/>
      <c r="AZ156" s="241"/>
      <c r="BA156" s="240"/>
      <c r="BB156" s="240"/>
      <c r="BC156" s="240"/>
      <c r="BD156" s="240"/>
      <c r="BE156" s="241"/>
      <c r="BF156" s="240"/>
      <c r="BG156" s="240"/>
      <c r="BH156" s="240"/>
      <c r="BI156" s="240"/>
      <c r="BJ156" s="241"/>
      <c r="BK156" s="171"/>
      <c r="BL156" s="171"/>
      <c r="BM156" s="87"/>
      <c r="BN156" s="171"/>
      <c r="BO156" s="170"/>
      <c r="BP156" s="171"/>
      <c r="BQ156" s="171"/>
      <c r="BR156" s="87"/>
      <c r="BS156" s="171"/>
      <c r="BT156" s="170"/>
      <c r="BU156" s="171"/>
      <c r="BV156" s="171"/>
      <c r="BW156" s="87"/>
      <c r="BX156" s="171"/>
      <c r="BY156" s="170"/>
      <c r="BZ156" s="171"/>
      <c r="CA156" s="171"/>
      <c r="CB156" s="87"/>
      <c r="CC156" s="171"/>
      <c r="CD156" s="170"/>
      <c r="CE156" s="173"/>
      <c r="CF156" s="173"/>
      <c r="CG156" s="173"/>
      <c r="CH156" s="173"/>
      <c r="CI156" s="170"/>
      <c r="CJ156" s="173"/>
      <c r="CK156" s="173"/>
      <c r="CL156" s="173"/>
      <c r="CM156" s="173"/>
      <c r="CN156" s="170"/>
      <c r="CO156" s="173"/>
      <c r="CP156" s="173"/>
      <c r="CQ156" s="173"/>
      <c r="CR156" s="173"/>
      <c r="CS156" s="170"/>
      <c r="CT156" s="173"/>
      <c r="CU156" s="173"/>
      <c r="CV156" s="173"/>
      <c r="CW156" s="173"/>
      <c r="CX156" s="170"/>
      <c r="CY156" s="173"/>
      <c r="CZ156" s="173"/>
      <c r="DA156" s="173"/>
      <c r="DB156" s="173"/>
      <c r="DC156" s="170"/>
      <c r="DD156" s="173"/>
      <c r="DE156" s="173"/>
      <c r="DF156" s="173"/>
      <c r="DG156" s="173"/>
      <c r="DH156" s="170"/>
      <c r="DI156" s="545"/>
      <c r="DJ156" s="545"/>
      <c r="DK156" s="545"/>
      <c r="DL156" s="545"/>
      <c r="DM156" s="538"/>
      <c r="DN156" s="545"/>
      <c r="DO156" s="545"/>
      <c r="DP156" s="545"/>
      <c r="DQ156" s="545"/>
      <c r="DR156" s="538"/>
      <c r="DS156" s="545"/>
      <c r="DT156" s="739">
        <f>DT146+DT152</f>
        <v>1441</v>
      </c>
      <c r="DU156" s="739">
        <f>DU146+DU152</f>
        <v>1390</v>
      </c>
      <c r="DV156" s="739">
        <f>DV146+DV152</f>
        <v>698</v>
      </c>
      <c r="DW156" s="739"/>
      <c r="DX156" s="739">
        <f>DX146+DX152</f>
        <v>829.37035815589047</v>
      </c>
      <c r="DY156" s="739">
        <f>DY146+DY152</f>
        <v>605.37663535468891</v>
      </c>
      <c r="DZ156" s="739">
        <f>DZ146+DZ152</f>
        <v>853.21887238129329</v>
      </c>
      <c r="EA156" s="739">
        <f>EA146+EA152</f>
        <v>567.71087398451732</v>
      </c>
      <c r="EB156" s="739"/>
      <c r="EC156" s="739">
        <f>EC146+EC152</f>
        <v>376.97417916896063</v>
      </c>
      <c r="ED156" s="739">
        <f>ED146+ED152</f>
        <v>520.54772891988341</v>
      </c>
      <c r="EE156" s="739">
        <f>EE146+EE152</f>
        <v>689.98221824519351</v>
      </c>
      <c r="EF156" s="739">
        <f>EF146+EF152</f>
        <v>714.63062624325505</v>
      </c>
      <c r="EG156" s="53"/>
      <c r="EH156" s="739">
        <f>EH146+EH152</f>
        <v>657.96794350851678</v>
      </c>
      <c r="EI156" s="739">
        <f>EI146+EI152</f>
        <v>602.90493870577018</v>
      </c>
      <c r="EJ156" s="739">
        <f>EJ146+EJ152</f>
        <v>652.42194509847184</v>
      </c>
      <c r="EK156" s="739">
        <f>EK146+EK152</f>
        <v>471.25813137678415</v>
      </c>
      <c r="EL156" s="53"/>
    </row>
    <row r="157" spans="1:142" hidden="1" outlineLevel="1" collapsed="1">
      <c r="A157" s="225"/>
      <c r="B157" s="1326"/>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53"/>
      <c r="AN157" s="53"/>
      <c r="AO157" s="53"/>
      <c r="AP157" s="53"/>
      <c r="AQ157" s="53"/>
      <c r="AR157" s="53"/>
      <c r="AS157" s="53"/>
      <c r="AT157" s="53"/>
      <c r="AU157" s="1497"/>
      <c r="AV157" s="240"/>
      <c r="AW157" s="240"/>
      <c r="AX157" s="240"/>
      <c r="AY157" s="240"/>
      <c r="AZ157" s="240"/>
      <c r="BA157" s="240"/>
      <c r="BB157" s="240"/>
      <c r="BC157" s="240"/>
      <c r="BD157" s="240"/>
      <c r="BE157" s="240"/>
      <c r="BF157" s="240"/>
      <c r="BG157" s="240"/>
      <c r="BH157" s="240"/>
      <c r="BI157" s="240"/>
      <c r="BJ157" s="240"/>
      <c r="BK157" s="171"/>
      <c r="BL157" s="171"/>
      <c r="BM157" s="87"/>
      <c r="BN157" s="171"/>
      <c r="BO157" s="268"/>
      <c r="BP157" s="171"/>
      <c r="BQ157" s="171"/>
      <c r="BR157" s="87"/>
      <c r="BS157" s="171"/>
      <c r="BT157" s="268"/>
      <c r="BU157" s="171"/>
      <c r="BV157" s="171"/>
      <c r="BW157" s="87"/>
      <c r="BX157" s="171"/>
      <c r="BY157" s="268"/>
      <c r="BZ157" s="171"/>
      <c r="CA157" s="171"/>
      <c r="CB157" s="87"/>
      <c r="CC157" s="171"/>
      <c r="CD157" s="268"/>
      <c r="CE157" s="173"/>
      <c r="CF157" s="173"/>
      <c r="CG157" s="173"/>
      <c r="CH157" s="173"/>
      <c r="CI157" s="268"/>
      <c r="CJ157" s="173"/>
      <c r="CK157" s="173"/>
      <c r="CL157" s="173"/>
      <c r="CM157" s="173"/>
      <c r="CN157" s="268"/>
      <c r="CO157" s="173"/>
      <c r="CP157" s="173"/>
      <c r="CQ157" s="173"/>
      <c r="CR157" s="173"/>
      <c r="CS157" s="268"/>
      <c r="CT157" s="173"/>
      <c r="CU157" s="173"/>
      <c r="CV157" s="173"/>
      <c r="CW157" s="173"/>
      <c r="CX157" s="268"/>
      <c r="CY157" s="173"/>
      <c r="CZ157" s="173"/>
      <c r="DA157" s="173"/>
      <c r="DB157" s="173"/>
      <c r="DC157" s="268"/>
      <c r="DD157" s="173"/>
      <c r="DE157" s="173"/>
      <c r="DF157" s="173"/>
      <c r="DG157" s="173"/>
      <c r="DH157" s="268"/>
      <c r="DI157" s="545"/>
      <c r="DJ157" s="545"/>
      <c r="DK157" s="545"/>
      <c r="DL157" s="545"/>
      <c r="DM157" s="538"/>
      <c r="DN157" s="545"/>
      <c r="DO157" s="545"/>
      <c r="DP157" s="545"/>
      <c r="DQ157" s="545"/>
      <c r="DR157" s="538"/>
      <c r="DS157" s="545"/>
      <c r="DT157" s="739"/>
      <c r="DU157" s="739"/>
      <c r="DV157" s="739"/>
      <c r="DW157" s="739"/>
      <c r="DX157" s="739"/>
      <c r="DY157" s="739"/>
      <c r="DZ157" s="739"/>
      <c r="EA157" s="739"/>
      <c r="EB157" s="739"/>
      <c r="EC157" s="739"/>
      <c r="ED157" s="739"/>
      <c r="EE157" s="739"/>
      <c r="EF157" s="739"/>
      <c r="EG157" s="53"/>
      <c r="EH157" s="739"/>
      <c r="EI157" s="739"/>
      <c r="EJ157" s="739"/>
      <c r="EK157" s="739"/>
      <c r="EL157" s="53"/>
    </row>
    <row r="158" spans="1:142" hidden="1" outlineLevel="1">
      <c r="A158" s="1327"/>
      <c r="B158" s="242" t="s">
        <v>706</v>
      </c>
      <c r="C158" s="228"/>
      <c r="D158" s="228"/>
      <c r="E158" s="228"/>
      <c r="F158" s="228"/>
      <c r="G158" s="228"/>
      <c r="H158" s="229"/>
      <c r="I158" s="228"/>
      <c r="J158" s="228"/>
      <c r="K158" s="228"/>
      <c r="L158" s="228"/>
      <c r="M158" s="229"/>
      <c r="N158" s="228"/>
      <c r="O158" s="228"/>
      <c r="P158" s="228"/>
      <c r="Q158" s="228"/>
      <c r="R158" s="229"/>
      <c r="S158" s="228"/>
      <c r="T158" s="228"/>
      <c r="U158" s="228"/>
      <c r="V158" s="228"/>
      <c r="W158" s="229"/>
      <c r="X158" s="228"/>
      <c r="Y158" s="228"/>
      <c r="Z158" s="228"/>
      <c r="AA158" s="228"/>
      <c r="AB158" s="229"/>
      <c r="AC158" s="228"/>
      <c r="AD158" s="228"/>
      <c r="AE158" s="228"/>
      <c r="AF158" s="228"/>
      <c r="AG158" s="229"/>
      <c r="AH158" s="228"/>
      <c r="AI158" s="228"/>
      <c r="AJ158" s="228"/>
      <c r="AK158" s="228"/>
      <c r="AL158" s="229"/>
      <c r="AM158" s="228"/>
      <c r="AN158" s="228"/>
      <c r="AO158" s="228"/>
      <c r="AP158" s="228"/>
      <c r="AQ158" s="229"/>
      <c r="AR158" s="228"/>
      <c r="AS158" s="228"/>
      <c r="AT158" s="228"/>
      <c r="AU158" s="230"/>
      <c r="AV158" s="228"/>
      <c r="AW158" s="228"/>
      <c r="AX158" s="228"/>
      <c r="AY158" s="228"/>
      <c r="AZ158" s="229"/>
      <c r="BA158" s="228"/>
      <c r="BB158" s="228"/>
      <c r="BC158" s="228"/>
      <c r="BD158" s="228"/>
      <c r="BE158" s="229"/>
      <c r="BF158" s="228"/>
      <c r="BG158" s="228"/>
      <c r="BH158" s="228"/>
      <c r="BI158" s="228"/>
      <c r="BJ158" s="229"/>
      <c r="BK158" s="228"/>
      <c r="BL158" s="228"/>
      <c r="BM158" s="228"/>
      <c r="BN158" s="228"/>
      <c r="BO158" s="229"/>
      <c r="BP158" s="228"/>
      <c r="BQ158" s="228"/>
      <c r="BR158" s="228"/>
      <c r="BS158" s="228"/>
      <c r="BT158" s="229"/>
      <c r="BU158" s="228"/>
      <c r="BV158" s="228"/>
      <c r="BW158" s="228"/>
      <c r="BX158" s="228"/>
      <c r="BY158" s="229"/>
      <c r="BZ158" s="228"/>
      <c r="CA158" s="228"/>
      <c r="CB158" s="228"/>
      <c r="CC158" s="228"/>
      <c r="CD158" s="229"/>
      <c r="CE158" s="228"/>
      <c r="CF158" s="228"/>
      <c r="CG158" s="228"/>
      <c r="CH158" s="228"/>
      <c r="CI158" s="229"/>
      <c r="CJ158" s="228"/>
      <c r="CK158" s="228"/>
      <c r="CL158" s="228"/>
      <c r="CM158" s="228"/>
      <c r="CN158" s="229"/>
      <c r="CO158" s="228"/>
      <c r="CP158" s="228"/>
      <c r="CQ158" s="228"/>
      <c r="CR158" s="228"/>
      <c r="CS158" s="229"/>
      <c r="CT158" s="228"/>
      <c r="CU158" s="228"/>
      <c r="CV158" s="228"/>
      <c r="CW158" s="228"/>
      <c r="CX158" s="229"/>
      <c r="CY158" s="228"/>
      <c r="CZ158" s="228"/>
      <c r="DA158" s="228"/>
      <c r="DB158" s="228"/>
      <c r="DC158" s="229"/>
      <c r="DD158" s="228"/>
      <c r="DE158" s="228"/>
      <c r="DF158" s="228"/>
      <c r="DG158" s="228"/>
      <c r="DH158" s="229"/>
      <c r="DI158" s="228"/>
      <c r="DJ158" s="228"/>
      <c r="DK158" s="231"/>
      <c r="DL158" s="228"/>
      <c r="DM158" s="229"/>
      <c r="DN158" s="228"/>
      <c r="DO158" s="228"/>
      <c r="DP158" s="228"/>
      <c r="DQ158" s="228"/>
      <c r="DR158" s="229"/>
      <c r="DS158" s="228"/>
      <c r="DT158" s="228"/>
      <c r="DU158" s="228"/>
      <c r="DV158" s="228"/>
      <c r="DW158" s="229"/>
      <c r="DX158" s="228"/>
      <c r="DY158" s="228"/>
      <c r="DZ158" s="228"/>
      <c r="EA158" s="228"/>
      <c r="EB158" s="229"/>
      <c r="EC158" s="228"/>
      <c r="ED158" s="228"/>
      <c r="EE158" s="228"/>
      <c r="EF158" s="228"/>
      <c r="EG158" s="229"/>
      <c r="EH158" s="228"/>
      <c r="EI158" s="228"/>
      <c r="EJ158" s="228"/>
      <c r="EK158" s="228"/>
      <c r="EL158" s="229"/>
    </row>
    <row r="159" spans="1:142" hidden="1" outlineLevel="1">
      <c r="A159" s="1328"/>
      <c r="B159" s="247" t="s">
        <v>297</v>
      </c>
      <c r="C159" s="9"/>
      <c r="D159" s="9"/>
      <c r="E159" s="9"/>
      <c r="F159" s="9"/>
      <c r="G159" s="9"/>
      <c r="H159" s="63"/>
      <c r="I159" s="9"/>
      <c r="J159" s="9"/>
      <c r="K159" s="9"/>
      <c r="L159" s="9"/>
      <c r="M159" s="63"/>
      <c r="N159" s="9"/>
      <c r="O159" s="9"/>
      <c r="P159" s="9"/>
      <c r="Q159" s="9"/>
      <c r="R159" s="63"/>
      <c r="S159" s="9"/>
      <c r="T159" s="9"/>
      <c r="U159" s="9"/>
      <c r="V159" s="9"/>
      <c r="W159" s="63"/>
      <c r="X159" s="9"/>
      <c r="Y159" s="9"/>
      <c r="Z159" s="9"/>
      <c r="AA159" s="9"/>
      <c r="AB159" s="63"/>
      <c r="AC159" s="9"/>
      <c r="AD159" s="9"/>
      <c r="AE159" s="9"/>
      <c r="AF159" s="9"/>
      <c r="AG159" s="63"/>
      <c r="AH159" s="9"/>
      <c r="AI159" s="9"/>
      <c r="AJ159" s="9"/>
      <c r="AK159" s="9"/>
      <c r="AL159" s="63"/>
      <c r="AM159" s="9"/>
      <c r="AN159" s="9"/>
      <c r="AO159" s="9"/>
      <c r="AP159" s="9"/>
      <c r="AQ159" s="63"/>
      <c r="AR159" s="9"/>
      <c r="AS159" s="9"/>
      <c r="AT159" s="9"/>
      <c r="AU159" s="186"/>
      <c r="AV159" s="9"/>
      <c r="AW159" s="9"/>
      <c r="AX159" s="9"/>
      <c r="AY159" s="9"/>
      <c r="AZ159" s="63"/>
      <c r="BA159" s="9"/>
      <c r="BB159" s="9"/>
      <c r="BC159" s="9"/>
      <c r="BD159" s="9"/>
      <c r="BE159" s="63"/>
      <c r="BF159" s="9"/>
      <c r="BG159" s="9"/>
      <c r="BH159" s="9"/>
      <c r="BI159" s="9"/>
      <c r="BJ159" s="63"/>
      <c r="BK159" s="9"/>
      <c r="BL159" s="9"/>
      <c r="BM159" s="9"/>
      <c r="BN159" s="9"/>
      <c r="BO159" s="63"/>
      <c r="BP159" s="9"/>
      <c r="BQ159" s="9"/>
      <c r="BR159" s="9"/>
      <c r="BS159" s="9"/>
      <c r="BT159" s="63"/>
      <c r="BU159" s="9"/>
      <c r="BV159" s="9"/>
      <c r="BW159" s="9"/>
      <c r="BX159" s="9"/>
      <c r="BY159" s="63"/>
      <c r="BZ159" s="9"/>
      <c r="CA159" s="9"/>
      <c r="CB159" s="9"/>
      <c r="CC159" s="9"/>
      <c r="CD159" s="63"/>
      <c r="CE159" s="248"/>
      <c r="CF159" s="248"/>
      <c r="CG159" s="248"/>
      <c r="CH159" s="248"/>
      <c r="CI159" s="193"/>
      <c r="CJ159" s="248"/>
      <c r="CK159" s="248"/>
      <c r="CL159" s="248"/>
      <c r="CM159" s="248"/>
      <c r="CN159" s="193"/>
      <c r="CO159" s="248"/>
      <c r="CP159" s="248"/>
      <c r="CQ159" s="248"/>
      <c r="CR159" s="248"/>
      <c r="CS159" s="193"/>
      <c r="CT159" s="248"/>
      <c r="CU159" s="248"/>
      <c r="CV159" s="250"/>
      <c r="CW159" s="250"/>
      <c r="CX159" s="278"/>
      <c r="CY159" s="250"/>
      <c r="CZ159" s="250"/>
      <c r="DA159" s="210"/>
      <c r="DB159" s="254">
        <v>8.1250000000000003E-2</v>
      </c>
      <c r="DC159" s="193"/>
      <c r="DD159" s="252"/>
      <c r="DE159" s="251"/>
      <c r="DF159" s="251"/>
      <c r="DG159" s="254"/>
      <c r="DH159" s="253"/>
      <c r="DI159" s="252"/>
      <c r="DJ159" s="251"/>
      <c r="DK159" s="251"/>
      <c r="DL159" s="251"/>
      <c r="DM159" s="253"/>
      <c r="DN159" s="252"/>
      <c r="DO159" s="251"/>
      <c r="DP159" s="251"/>
      <c r="DQ159" s="251">
        <v>7.4999999999999997E-2</v>
      </c>
      <c r="DR159" s="253">
        <v>7.4999999999999997E-2</v>
      </c>
      <c r="DS159" s="254">
        <v>0.08</v>
      </c>
      <c r="DT159" s="251">
        <f>+DS159</f>
        <v>0.08</v>
      </c>
      <c r="DU159" s="251">
        <f>+DT159</f>
        <v>0.08</v>
      </c>
      <c r="DV159" s="251">
        <f>+DU159</f>
        <v>0.08</v>
      </c>
      <c r="DW159" s="253">
        <v>7.4999999999999997E-2</v>
      </c>
      <c r="DX159" s="254">
        <f>+DV159</f>
        <v>0.08</v>
      </c>
      <c r="DY159" s="251">
        <f>+DX159</f>
        <v>0.08</v>
      </c>
      <c r="DZ159" s="251">
        <f>+DY159</f>
        <v>0.08</v>
      </c>
      <c r="EA159" s="251">
        <f>+DZ159</f>
        <v>0.08</v>
      </c>
      <c r="EB159" s="253">
        <v>7.4999999999999997E-2</v>
      </c>
      <c r="EC159" s="254">
        <f>+EA159</f>
        <v>0.08</v>
      </c>
      <c r="ED159" s="251">
        <f>+EC159</f>
        <v>0.08</v>
      </c>
      <c r="EE159" s="251">
        <f>+ED159</f>
        <v>0.08</v>
      </c>
      <c r="EF159" s="251">
        <f>+EE159</f>
        <v>0.08</v>
      </c>
      <c r="EG159" s="253">
        <v>7.4999999999999997E-2</v>
      </c>
      <c r="EH159" s="254">
        <f>+EF159</f>
        <v>0.08</v>
      </c>
      <c r="EI159" s="251">
        <f>+EH159</f>
        <v>0.08</v>
      </c>
      <c r="EJ159" s="251">
        <f>+EI159</f>
        <v>0.08</v>
      </c>
      <c r="EK159" s="251">
        <f>+EJ159</f>
        <v>0.08</v>
      </c>
      <c r="EL159" s="253">
        <v>7.4999999999999997E-2</v>
      </c>
    </row>
    <row r="160" spans="1:142" hidden="1" outlineLevel="1">
      <c r="A160" s="225"/>
      <c r="B160" s="209" t="s">
        <v>298</v>
      </c>
      <c r="C160" s="203"/>
      <c r="D160" s="203"/>
      <c r="E160" s="203"/>
      <c r="F160" s="203"/>
      <c r="G160" s="203"/>
      <c r="H160" s="493"/>
      <c r="I160" s="203"/>
      <c r="J160" s="203"/>
      <c r="K160" s="203"/>
      <c r="L160" s="203"/>
      <c r="M160" s="493"/>
      <c r="N160" s="203"/>
      <c r="O160" s="203"/>
      <c r="P160" s="203"/>
      <c r="Q160" s="203"/>
      <c r="R160" s="493"/>
      <c r="S160" s="203"/>
      <c r="T160" s="203"/>
      <c r="U160" s="203"/>
      <c r="V160" s="203"/>
      <c r="W160" s="493"/>
      <c r="X160" s="203"/>
      <c r="Y160" s="203"/>
      <c r="Z160" s="203"/>
      <c r="AA160" s="203"/>
      <c r="AB160" s="493"/>
      <c r="AC160" s="203"/>
      <c r="AD160" s="203"/>
      <c r="AE160" s="203"/>
      <c r="AF160" s="203"/>
      <c r="AG160" s="493"/>
      <c r="AH160" s="203"/>
      <c r="AI160" s="203"/>
      <c r="AJ160" s="203"/>
      <c r="AK160" s="203"/>
      <c r="AL160" s="493"/>
      <c r="AM160" s="495"/>
      <c r="AN160" s="495"/>
      <c r="AO160" s="495"/>
      <c r="AP160" s="495"/>
      <c r="AQ160" s="204"/>
      <c r="AR160" s="495"/>
      <c r="AS160" s="495"/>
      <c r="AT160" s="495"/>
      <c r="AU160" s="208"/>
      <c r="AV160" s="207"/>
      <c r="AW160" s="206"/>
      <c r="AX160" s="495"/>
      <c r="AY160" s="495"/>
      <c r="AZ160" s="204"/>
      <c r="BA160" s="207"/>
      <c r="BB160" s="206"/>
      <c r="BC160" s="495"/>
      <c r="BD160" s="495"/>
      <c r="BE160" s="204"/>
      <c r="BF160" s="207"/>
      <c r="BG160" s="206"/>
      <c r="BH160" s="495"/>
      <c r="BI160" s="495"/>
      <c r="BJ160" s="204"/>
      <c r="BK160" s="1393"/>
      <c r="BL160" s="1393"/>
      <c r="BM160" s="1393"/>
      <c r="BN160" s="1393"/>
      <c r="BO160" s="1394"/>
      <c r="BP160" s="1393"/>
      <c r="BQ160" s="1393"/>
      <c r="BR160" s="1393"/>
      <c r="BS160" s="1393"/>
      <c r="BT160" s="1394"/>
      <c r="BU160" s="1393"/>
      <c r="BV160" s="1393"/>
      <c r="BW160" s="1393"/>
      <c r="BX160" s="1393"/>
      <c r="BY160" s="1394"/>
      <c r="BZ160" s="1393"/>
      <c r="CA160" s="1393"/>
      <c r="CB160" s="1393"/>
      <c r="CC160" s="1393"/>
      <c r="CD160" s="1394"/>
      <c r="CE160" s="257"/>
      <c r="CF160" s="257"/>
      <c r="CG160" s="257"/>
      <c r="CH160" s="257"/>
      <c r="CI160" s="258"/>
      <c r="CJ160" s="257"/>
      <c r="CK160" s="257"/>
      <c r="CL160" s="257"/>
      <c r="CM160" s="257"/>
      <c r="CN160" s="258"/>
      <c r="CO160" s="257"/>
      <c r="CP160" s="257"/>
      <c r="CQ160" s="257"/>
      <c r="CR160" s="257"/>
      <c r="CS160" s="258"/>
      <c r="CT160" s="257"/>
      <c r="CU160" s="257"/>
      <c r="CV160" s="257"/>
      <c r="CW160" s="257"/>
      <c r="CX160" s="258"/>
      <c r="CY160" s="257"/>
      <c r="CZ160" s="257"/>
      <c r="DA160" s="289"/>
      <c r="DB160" s="289">
        <f>DA163</f>
        <v>0</v>
      </c>
      <c r="DC160" s="258"/>
      <c r="DD160" s="257"/>
      <c r="DE160" s="289"/>
      <c r="DF160" s="289"/>
      <c r="DG160" s="289"/>
      <c r="DH160" s="258"/>
      <c r="DI160" s="257"/>
      <c r="DJ160" s="289"/>
      <c r="DK160" s="332"/>
      <c r="DL160" s="289"/>
      <c r="DM160" s="258"/>
      <c r="DN160" s="257"/>
      <c r="DO160" s="289"/>
      <c r="DP160" s="289"/>
      <c r="DQ160" s="539">
        <f>DP163</f>
        <v>0</v>
      </c>
      <c r="DR160" s="540"/>
      <c r="DS160" s="539">
        <f>+DQ163</f>
        <v>750</v>
      </c>
      <c r="DT160" s="539">
        <f>DS163</f>
        <v>750</v>
      </c>
      <c r="DU160" s="539">
        <f>DT163</f>
        <v>750</v>
      </c>
      <c r="DV160" s="539">
        <f>DU163</f>
        <v>0</v>
      </c>
      <c r="DW160" s="540"/>
      <c r="DX160" s="539">
        <f>+DV163</f>
        <v>0</v>
      </c>
      <c r="DY160" s="539">
        <f>DX163</f>
        <v>0</v>
      </c>
      <c r="DZ160" s="539">
        <f>DY163</f>
        <v>0</v>
      </c>
      <c r="EA160" s="539">
        <f>DZ163</f>
        <v>0</v>
      </c>
      <c r="EB160" s="540"/>
      <c r="EC160" s="539">
        <f>+EA163</f>
        <v>0</v>
      </c>
      <c r="ED160" s="539">
        <f>EC163</f>
        <v>0</v>
      </c>
      <c r="EE160" s="539">
        <f>ED163</f>
        <v>0</v>
      </c>
      <c r="EF160" s="539">
        <f>EE163</f>
        <v>0</v>
      </c>
      <c r="EG160" s="540"/>
      <c r="EH160" s="539">
        <f>+EF163</f>
        <v>0</v>
      </c>
      <c r="EI160" s="539">
        <f>EH163</f>
        <v>0</v>
      </c>
      <c r="EJ160" s="539">
        <f>EI163</f>
        <v>0</v>
      </c>
      <c r="EK160" s="539">
        <f>EJ163</f>
        <v>0</v>
      </c>
      <c r="EL160" s="540"/>
    </row>
    <row r="161" spans="1:142" hidden="1" outlineLevel="1">
      <c r="A161" s="225"/>
      <c r="B161" s="209" t="s">
        <v>674</v>
      </c>
      <c r="C161" s="203"/>
      <c r="D161" s="203"/>
      <c r="E161" s="203"/>
      <c r="F161" s="203"/>
      <c r="G161" s="203"/>
      <c r="H161" s="493"/>
      <c r="I161" s="203"/>
      <c r="J161" s="203"/>
      <c r="K161" s="203"/>
      <c r="L161" s="203"/>
      <c r="M161" s="493"/>
      <c r="N161" s="203"/>
      <c r="O161" s="203"/>
      <c r="P161" s="203"/>
      <c r="Q161" s="203"/>
      <c r="R161" s="493"/>
      <c r="S161" s="203"/>
      <c r="T161" s="203"/>
      <c r="U161" s="203"/>
      <c r="V161" s="203"/>
      <c r="W161" s="493"/>
      <c r="X161" s="203"/>
      <c r="Y161" s="203"/>
      <c r="Z161" s="203"/>
      <c r="AA161" s="203"/>
      <c r="AB161" s="493"/>
      <c r="AC161" s="203"/>
      <c r="AD161" s="203"/>
      <c r="AE161" s="203"/>
      <c r="AF161" s="203"/>
      <c r="AG161" s="493"/>
      <c r="AH161" s="203"/>
      <c r="AI161" s="203"/>
      <c r="AJ161" s="203"/>
      <c r="AK161" s="203"/>
      <c r="AL161" s="493"/>
      <c r="AM161" s="495"/>
      <c r="AN161" s="495"/>
      <c r="AO161" s="495"/>
      <c r="AP161" s="495"/>
      <c r="AQ161" s="204"/>
      <c r="AR161" s="495"/>
      <c r="AS161" s="495"/>
      <c r="AT161" s="495"/>
      <c r="AU161" s="208"/>
      <c r="AV161" s="207"/>
      <c r="AW161" s="206"/>
      <c r="AX161" s="495"/>
      <c r="AY161" s="495"/>
      <c r="AZ161" s="204"/>
      <c r="BA161" s="207"/>
      <c r="BB161" s="206"/>
      <c r="BC161" s="495"/>
      <c r="BD161" s="495"/>
      <c r="BE161" s="204"/>
      <c r="BF161" s="207"/>
      <c r="BG161" s="206"/>
      <c r="BH161" s="495"/>
      <c r="BI161" s="495"/>
      <c r="BJ161" s="204"/>
      <c r="BK161" s="1393"/>
      <c r="BL161" s="1393"/>
      <c r="BM161" s="1393"/>
      <c r="BN161" s="1393"/>
      <c r="BO161" s="1394"/>
      <c r="BP161" s="1393"/>
      <c r="BQ161" s="1393"/>
      <c r="BR161" s="1393"/>
      <c r="BS161" s="1393"/>
      <c r="BT161" s="1394"/>
      <c r="BU161" s="1393"/>
      <c r="BV161" s="1393"/>
      <c r="BW161" s="1393"/>
      <c r="BX161" s="1393"/>
      <c r="BY161" s="1394"/>
      <c r="BZ161" s="1393"/>
      <c r="CA161" s="1393"/>
      <c r="CB161" s="1393"/>
      <c r="CC161" s="1393"/>
      <c r="CD161" s="1394"/>
      <c r="CE161" s="257"/>
      <c r="CF161" s="257"/>
      <c r="CG161" s="257"/>
      <c r="CH161" s="257"/>
      <c r="CI161" s="258"/>
      <c r="CJ161" s="257"/>
      <c r="CK161" s="257"/>
      <c r="CL161" s="257"/>
      <c r="CM161" s="257"/>
      <c r="CN161" s="258"/>
      <c r="CO161" s="257"/>
      <c r="CP161" s="257"/>
      <c r="CQ161" s="257"/>
      <c r="CR161" s="257"/>
      <c r="CS161" s="258"/>
      <c r="CT161" s="257"/>
      <c r="CU161" s="257"/>
      <c r="CV161" s="257"/>
      <c r="CW161" s="257"/>
      <c r="CX161" s="258"/>
      <c r="CY161" s="257"/>
      <c r="CZ161" s="257"/>
      <c r="DA161" s="289"/>
      <c r="DB161" s="289"/>
      <c r="DC161" s="258"/>
      <c r="DD161" s="257"/>
      <c r="DE161" s="289"/>
      <c r="DF161" s="289"/>
      <c r="DG161" s="289"/>
      <c r="DH161" s="258"/>
      <c r="DI161" s="257"/>
      <c r="DJ161" s="289"/>
      <c r="DK161" s="332"/>
      <c r="DL161" s="289"/>
      <c r="DM161" s="258"/>
      <c r="DN161" s="257"/>
      <c r="DO161" s="289"/>
      <c r="DP161" s="289"/>
      <c r="DQ161" s="1396">
        <v>750</v>
      </c>
      <c r="DR161" s="1380">
        <f>SUM(DN161:DQ161)</f>
        <v>750</v>
      </c>
      <c r="DS161" s="1378">
        <v>0</v>
      </c>
      <c r="DT161" s="1378">
        <v>0</v>
      </c>
      <c r="DU161" s="1378">
        <v>0</v>
      </c>
      <c r="DV161" s="1378">
        <v>0</v>
      </c>
      <c r="DW161" s="1380">
        <f>SUM(DS161:DV161)</f>
        <v>0</v>
      </c>
      <c r="DX161" s="1378">
        <v>0</v>
      </c>
      <c r="DY161" s="1378">
        <v>0</v>
      </c>
      <c r="DZ161" s="1378">
        <v>0</v>
      </c>
      <c r="EA161" s="1378">
        <v>0</v>
      </c>
      <c r="EB161" s="1380">
        <f>SUM(DX161:EA161)</f>
        <v>0</v>
      </c>
      <c r="EC161" s="1378">
        <v>0</v>
      </c>
      <c r="ED161" s="1378">
        <v>0</v>
      </c>
      <c r="EE161" s="1378">
        <v>0</v>
      </c>
      <c r="EF161" s="1378">
        <v>0</v>
      </c>
      <c r="EG161" s="1380">
        <f>SUM(EC161:EF161)</f>
        <v>0</v>
      </c>
      <c r="EH161" s="1378">
        <v>0</v>
      </c>
      <c r="EI161" s="1378">
        <v>0</v>
      </c>
      <c r="EJ161" s="1378">
        <v>0</v>
      </c>
      <c r="EK161" s="1378">
        <v>0</v>
      </c>
      <c r="EL161" s="1380">
        <f>SUM(EH161:EK161)</f>
        <v>0</v>
      </c>
    </row>
    <row r="162" spans="1:142" hidden="1" outlineLevel="1">
      <c r="A162" s="225"/>
      <c r="B162" s="214" t="s">
        <v>675</v>
      </c>
      <c r="C162" s="48"/>
      <c r="D162" s="48"/>
      <c r="E162" s="48"/>
      <c r="F162" s="48"/>
      <c r="G162" s="48"/>
      <c r="H162" s="64"/>
      <c r="I162" s="48"/>
      <c r="J162" s="48"/>
      <c r="K162" s="48"/>
      <c r="L162" s="48"/>
      <c r="M162" s="64"/>
      <c r="N162" s="48"/>
      <c r="O162" s="48"/>
      <c r="P162" s="48"/>
      <c r="Q162" s="48"/>
      <c r="R162" s="64"/>
      <c r="S162" s="48"/>
      <c r="T162" s="48"/>
      <c r="U162" s="48"/>
      <c r="V162" s="48"/>
      <c r="W162" s="64"/>
      <c r="X162" s="48"/>
      <c r="Y162" s="48"/>
      <c r="Z162" s="48"/>
      <c r="AA162" s="48"/>
      <c r="AB162" s="64"/>
      <c r="AC162" s="48"/>
      <c r="AD162" s="48"/>
      <c r="AE162" s="48"/>
      <c r="AF162" s="48"/>
      <c r="AG162" s="64"/>
      <c r="AH162" s="48"/>
      <c r="AI162" s="48"/>
      <c r="AJ162" s="48"/>
      <c r="AK162" s="48"/>
      <c r="AL162" s="64"/>
      <c r="AM162" s="48"/>
      <c r="AN162" s="48"/>
      <c r="AO162" s="48"/>
      <c r="AP162" s="48"/>
      <c r="AQ162" s="64"/>
      <c r="AR162" s="48"/>
      <c r="AS162" s="48"/>
      <c r="AT162" s="48"/>
      <c r="AU162" s="217"/>
      <c r="AV162" s="48"/>
      <c r="AW162" s="48"/>
      <c r="AX162" s="48"/>
      <c r="AY162" s="48"/>
      <c r="AZ162" s="64"/>
      <c r="BA162" s="48"/>
      <c r="BB162" s="48"/>
      <c r="BC162" s="48"/>
      <c r="BD162" s="48"/>
      <c r="BE162" s="64"/>
      <c r="BF162" s="48"/>
      <c r="BG162" s="48"/>
      <c r="BH162" s="48"/>
      <c r="BI162" s="48"/>
      <c r="BJ162" s="64"/>
      <c r="BK162" s="48"/>
      <c r="BL162" s="48"/>
      <c r="BM162" s="262"/>
      <c r="BN162" s="48"/>
      <c r="BO162" s="263"/>
      <c r="BP162" s="48"/>
      <c r="BQ162" s="48"/>
      <c r="BR162" s="262"/>
      <c r="BS162" s="48"/>
      <c r="BT162" s="263"/>
      <c r="BU162" s="48"/>
      <c r="BV162" s="48"/>
      <c r="BW162" s="262"/>
      <c r="BX162" s="48"/>
      <c r="BY162" s="263"/>
      <c r="BZ162" s="48"/>
      <c r="CA162" s="48"/>
      <c r="CB162" s="262"/>
      <c r="CC162" s="48"/>
      <c r="CD162" s="263"/>
      <c r="CE162" s="174"/>
      <c r="CF162" s="174"/>
      <c r="CG162" s="174"/>
      <c r="CH162" s="174"/>
      <c r="CI162" s="263"/>
      <c r="CJ162" s="174"/>
      <c r="CK162" s="174"/>
      <c r="CL162" s="174"/>
      <c r="CM162" s="174"/>
      <c r="CN162" s="263"/>
      <c r="CO162" s="174"/>
      <c r="CP162" s="174"/>
      <c r="CQ162" s="174"/>
      <c r="CR162" s="174"/>
      <c r="CS162" s="263"/>
      <c r="CT162" s="174"/>
      <c r="CU162" s="174"/>
      <c r="CV162" s="174"/>
      <c r="CW162" s="174"/>
      <c r="CX162" s="263"/>
      <c r="CY162" s="48"/>
      <c r="CZ162" s="280"/>
      <c r="DA162" s="48"/>
      <c r="DB162" s="174">
        <v>2800</v>
      </c>
      <c r="DC162" s="281"/>
      <c r="DD162" s="48"/>
      <c r="DE162" s="174"/>
      <c r="DF162" s="174"/>
      <c r="DG162" s="174"/>
      <c r="DH162" s="263"/>
      <c r="DI162" s="174"/>
      <c r="DJ162" s="174"/>
      <c r="DK162" s="174"/>
      <c r="DL162" s="174"/>
      <c r="DM162" s="263"/>
      <c r="DN162" s="174"/>
      <c r="DO162" s="174"/>
      <c r="DP162" s="174"/>
      <c r="DQ162" s="1375"/>
      <c r="DR162" s="1381">
        <f>SUM(DN162:DQ162)</f>
        <v>0</v>
      </c>
      <c r="DS162" s="1379">
        <v>0</v>
      </c>
      <c r="DT162" s="1379">
        <v>0</v>
      </c>
      <c r="DU162" s="1557">
        <v>-750</v>
      </c>
      <c r="DV162" s="1379">
        <v>0</v>
      </c>
      <c r="DW162" s="1381">
        <f>SUM(DS162:DV162)</f>
        <v>-750</v>
      </c>
      <c r="DX162" s="1379">
        <v>0</v>
      </c>
      <c r="DY162" s="1379">
        <v>0</v>
      </c>
      <c r="DZ162" s="1379">
        <v>0</v>
      </c>
      <c r="EA162" s="1379">
        <v>0</v>
      </c>
      <c r="EB162" s="1381">
        <f>SUM(DX162:EA162)</f>
        <v>0</v>
      </c>
      <c r="EC162" s="1379">
        <v>0</v>
      </c>
      <c r="ED162" s="1379">
        <v>0</v>
      </c>
      <c r="EE162" s="1379">
        <v>0</v>
      </c>
      <c r="EF162" s="1379">
        <v>0</v>
      </c>
      <c r="EG162" s="1381">
        <f>SUM(EC162:EF162)</f>
        <v>0</v>
      </c>
      <c r="EH162" s="1379">
        <v>0</v>
      </c>
      <c r="EI162" s="1379">
        <v>0</v>
      </c>
      <c r="EJ162" s="1379">
        <v>0</v>
      </c>
      <c r="EK162" s="1379">
        <v>0</v>
      </c>
      <c r="EL162" s="1381">
        <f>SUM(EH162:EK162)</f>
        <v>0</v>
      </c>
    </row>
    <row r="163" spans="1:142" hidden="1" outlineLevel="1">
      <c r="A163" s="225"/>
      <c r="B163" s="209" t="s">
        <v>299</v>
      </c>
      <c r="C163" s="9"/>
      <c r="D163" s="9"/>
      <c r="E163" s="9"/>
      <c r="F163" s="9"/>
      <c r="G163" s="9"/>
      <c r="H163" s="63"/>
      <c r="I163" s="9"/>
      <c r="J163" s="9"/>
      <c r="K163" s="9"/>
      <c r="L163" s="9"/>
      <c r="M163" s="63"/>
      <c r="N163" s="9"/>
      <c r="O163" s="9"/>
      <c r="P163" s="9"/>
      <c r="Q163" s="9"/>
      <c r="R163" s="63"/>
      <c r="S163" s="9"/>
      <c r="T163" s="9"/>
      <c r="U163" s="9"/>
      <c r="V163" s="9"/>
      <c r="W163" s="63"/>
      <c r="X163" s="9"/>
      <c r="Y163" s="9"/>
      <c r="Z163" s="9"/>
      <c r="AA163" s="9"/>
      <c r="AB163" s="63"/>
      <c r="AC163" s="9"/>
      <c r="AD163" s="9"/>
      <c r="AE163" s="9"/>
      <c r="AF163" s="9"/>
      <c r="AG163" s="63"/>
      <c r="AH163" s="9"/>
      <c r="AI163" s="9"/>
      <c r="AJ163" s="9"/>
      <c r="AK163" s="9"/>
      <c r="AL163" s="63"/>
      <c r="AM163" s="9"/>
      <c r="AN163" s="9"/>
      <c r="AO163" s="9"/>
      <c r="AP163" s="9"/>
      <c r="AQ163" s="47"/>
      <c r="AR163" s="9"/>
      <c r="AS163" s="9"/>
      <c r="AT163" s="9"/>
      <c r="AU163" s="186"/>
      <c r="AV163" s="9"/>
      <c r="AW163" s="9"/>
      <c r="AX163" s="9"/>
      <c r="AY163" s="9"/>
      <c r="AZ163" s="47"/>
      <c r="BA163" s="26"/>
      <c r="BB163" s="282"/>
      <c r="BC163" s="282"/>
      <c r="BD163" s="282"/>
      <c r="BE163" s="47"/>
      <c r="BF163" s="26"/>
      <c r="BG163" s="282"/>
      <c r="BH163" s="282"/>
      <c r="BI163" s="282"/>
      <c r="BJ163" s="47"/>
      <c r="BK163" s="146"/>
      <c r="BL163" s="162"/>
      <c r="BM163" s="162"/>
      <c r="BN163" s="162"/>
      <c r="BO163" s="266"/>
      <c r="BP163" s="146"/>
      <c r="BQ163" s="162"/>
      <c r="BR163" s="162"/>
      <c r="BS163" s="162"/>
      <c r="BT163" s="266"/>
      <c r="BU163" s="146"/>
      <c r="BV163" s="162"/>
      <c r="BW163" s="162"/>
      <c r="BX163" s="162"/>
      <c r="BY163" s="266"/>
      <c r="BZ163" s="146"/>
      <c r="CA163" s="162"/>
      <c r="CB163" s="162"/>
      <c r="CC163" s="162"/>
      <c r="CD163" s="266"/>
      <c r="CE163" s="267"/>
      <c r="CF163" s="267"/>
      <c r="CG163" s="267"/>
      <c r="CH163" s="267"/>
      <c r="CI163" s="170"/>
      <c r="CJ163" s="267"/>
      <c r="CK163" s="267"/>
      <c r="CL163" s="267"/>
      <c r="CM163" s="267"/>
      <c r="CN163" s="170"/>
      <c r="CO163" s="267"/>
      <c r="CP163" s="267"/>
      <c r="CQ163" s="267"/>
      <c r="CR163" s="267"/>
      <c r="CS163" s="170"/>
      <c r="CT163" s="267"/>
      <c r="CU163" s="267"/>
      <c r="CV163" s="267"/>
      <c r="CW163" s="165"/>
      <c r="CX163" s="170"/>
      <c r="CY163" s="22"/>
      <c r="CZ163" s="22"/>
      <c r="DA163" s="22"/>
      <c r="DB163" s="283">
        <v>2800</v>
      </c>
      <c r="DC163" s="47"/>
      <c r="DD163" s="284"/>
      <c r="DE163" s="283"/>
      <c r="DF163" s="283"/>
      <c r="DG163" s="283"/>
      <c r="DH163" s="47"/>
      <c r="DI163" s="284"/>
      <c r="DJ163" s="285"/>
      <c r="DK163" s="286"/>
      <c r="DL163" s="285"/>
      <c r="DM163" s="47"/>
      <c r="DN163" s="284"/>
      <c r="DO163" s="285"/>
      <c r="DP163" s="285"/>
      <c r="DQ163" s="1401">
        <f>SUM(DQ160:DQ162)</f>
        <v>750</v>
      </c>
      <c r="DR163" s="1380">
        <f>DQ163</f>
        <v>750</v>
      </c>
      <c r="DS163" s="539">
        <f>SUM(DS160:DS162)</f>
        <v>750</v>
      </c>
      <c r="DT163" s="539">
        <f>SUM(DT160:DT162)</f>
        <v>750</v>
      </c>
      <c r="DU163" s="1401">
        <f>SUM(DU160:DU162)</f>
        <v>0</v>
      </c>
      <c r="DV163" s="1401">
        <f>SUM(DV160:DV162)</f>
        <v>0</v>
      </c>
      <c r="DW163" s="1380">
        <f>DV163</f>
        <v>0</v>
      </c>
      <c r="DX163" s="539">
        <f>SUM(DX160:DX162)</f>
        <v>0</v>
      </c>
      <c r="DY163" s="539">
        <f>SUM(DY160:DY162)</f>
        <v>0</v>
      </c>
      <c r="DZ163" s="1401">
        <f>SUM(DZ160:DZ162)</f>
        <v>0</v>
      </c>
      <c r="EA163" s="1401">
        <f>SUM(EA160:EA162)</f>
        <v>0</v>
      </c>
      <c r="EB163" s="1380">
        <f>EA163</f>
        <v>0</v>
      </c>
      <c r="EC163" s="539">
        <f>SUM(EC160:EC162)</f>
        <v>0</v>
      </c>
      <c r="ED163" s="539">
        <f>SUM(ED160:ED162)</f>
        <v>0</v>
      </c>
      <c r="EE163" s="1401">
        <f>SUM(EE160:EE162)</f>
        <v>0</v>
      </c>
      <c r="EF163" s="1401">
        <f>SUM(EF160:EF162)</f>
        <v>0</v>
      </c>
      <c r="EG163" s="1380">
        <f>EF163</f>
        <v>0</v>
      </c>
      <c r="EH163" s="539">
        <f>SUM(EH160:EH162)</f>
        <v>0</v>
      </c>
      <c r="EI163" s="539">
        <f>SUM(EI160:EI162)</f>
        <v>0</v>
      </c>
      <c r="EJ163" s="1401">
        <f>SUM(EJ160:EJ162)</f>
        <v>0</v>
      </c>
      <c r="EK163" s="1401">
        <f>SUM(EK160:EK162)</f>
        <v>0</v>
      </c>
      <c r="EL163" s="1380">
        <f>EK163</f>
        <v>0</v>
      </c>
    </row>
    <row r="164" spans="1:142" hidden="1" outlineLevel="1">
      <c r="A164" s="225"/>
      <c r="B164" s="214" t="s">
        <v>300</v>
      </c>
      <c r="C164" s="48"/>
      <c r="D164" s="48"/>
      <c r="E164" s="48"/>
      <c r="F164" s="48"/>
      <c r="G164" s="48"/>
      <c r="H164" s="64"/>
      <c r="I164" s="48"/>
      <c r="J164" s="48"/>
      <c r="K164" s="48"/>
      <c r="L164" s="48"/>
      <c r="M164" s="64"/>
      <c r="N164" s="48"/>
      <c r="O164" s="48"/>
      <c r="P164" s="48"/>
      <c r="Q164" s="48"/>
      <c r="R164" s="64"/>
      <c r="S164" s="48"/>
      <c r="T164" s="48"/>
      <c r="U164" s="48"/>
      <c r="V164" s="48"/>
      <c r="W164" s="64"/>
      <c r="X164" s="48"/>
      <c r="Y164" s="48"/>
      <c r="Z164" s="48"/>
      <c r="AA164" s="48"/>
      <c r="AB164" s="64"/>
      <c r="AC164" s="48"/>
      <c r="AD164" s="48"/>
      <c r="AE164" s="48"/>
      <c r="AF164" s="48"/>
      <c r="AG164" s="64"/>
      <c r="AH164" s="48"/>
      <c r="AI164" s="48"/>
      <c r="AJ164" s="48"/>
      <c r="AK164" s="48"/>
      <c r="AL164" s="64"/>
      <c r="AM164" s="48"/>
      <c r="AN164" s="48"/>
      <c r="AO164" s="48"/>
      <c r="AP164" s="48"/>
      <c r="AQ164" s="52"/>
      <c r="AR164" s="48"/>
      <c r="AS164" s="48"/>
      <c r="AT164" s="48"/>
      <c r="AU164" s="217"/>
      <c r="AV164" s="48"/>
      <c r="AW164" s="48"/>
      <c r="AX164" s="48"/>
      <c r="AY164" s="48"/>
      <c r="AZ164" s="52"/>
      <c r="BA164" s="287"/>
      <c r="BB164" s="51"/>
      <c r="BC164" s="51"/>
      <c r="BD164" s="287"/>
      <c r="BE164" s="52"/>
      <c r="BF164" s="287"/>
      <c r="BG164" s="51"/>
      <c r="BH164" s="287"/>
      <c r="BI164" s="287"/>
      <c r="BJ164" s="52"/>
      <c r="BK164" s="215"/>
      <c r="BL164" s="215"/>
      <c r="BM164" s="275"/>
      <c r="BN164" s="215"/>
      <c r="BO164" s="263"/>
      <c r="BP164" s="215"/>
      <c r="BQ164" s="215"/>
      <c r="BR164" s="275"/>
      <c r="BS164" s="215"/>
      <c r="BT164" s="263"/>
      <c r="BU164" s="215"/>
      <c r="BV164" s="215"/>
      <c r="BW164" s="275"/>
      <c r="BX164" s="215"/>
      <c r="BY164" s="263"/>
      <c r="BZ164" s="215"/>
      <c r="CA164" s="215"/>
      <c r="CB164" s="275"/>
      <c r="CC164" s="215"/>
      <c r="CD164" s="263"/>
      <c r="CE164" s="276"/>
      <c r="CF164" s="276"/>
      <c r="CG164" s="276"/>
      <c r="CH164" s="276"/>
      <c r="CI164" s="263"/>
      <c r="CJ164" s="276"/>
      <c r="CK164" s="276"/>
      <c r="CL164" s="276"/>
      <c r="CM164" s="276"/>
      <c r="CN164" s="263"/>
      <c r="CO164" s="276"/>
      <c r="CP164" s="276"/>
      <c r="CQ164" s="276"/>
      <c r="CR164" s="276"/>
      <c r="CS164" s="263"/>
      <c r="CT164" s="276"/>
      <c r="CU164" s="276"/>
      <c r="CV164" s="276"/>
      <c r="CW164" s="276"/>
      <c r="CX164" s="263"/>
      <c r="CY164" s="49"/>
      <c r="CZ164" s="49"/>
      <c r="DA164" s="49"/>
      <c r="DB164" s="49">
        <f>DB159/4*DB162</f>
        <v>56.875</v>
      </c>
      <c r="DC164" s="52"/>
      <c r="DD164" s="49"/>
      <c r="DE164" s="49"/>
      <c r="DF164" s="49"/>
      <c r="DG164" s="49"/>
      <c r="DH164" s="263"/>
      <c r="DI164" s="49"/>
      <c r="DJ164" s="49"/>
      <c r="DK164" s="49"/>
      <c r="DL164" s="49"/>
      <c r="DM164" s="263"/>
      <c r="DN164" s="49"/>
      <c r="DO164" s="49"/>
      <c r="DP164" s="49"/>
      <c r="DQ164" s="1342">
        <f>DQ159/4*AVERAGE(DQ163,DQ160)</f>
        <v>7.03125</v>
      </c>
      <c r="DR164" s="1353">
        <f>SUM(DN164:DQ164)</f>
        <v>7.03125</v>
      </c>
      <c r="DS164" s="1342">
        <f>DS159/4*AVERAGE(DS163,DS160)</f>
        <v>15</v>
      </c>
      <c r="DT164" s="1342">
        <f>DT159/4*AVERAGE(DT163,DT160)</f>
        <v>15</v>
      </c>
      <c r="DU164" s="1342">
        <f>DU159/4*AVERAGE(DU163,DU160)</f>
        <v>7.5</v>
      </c>
      <c r="DV164" s="1342">
        <f>DV159/4*AVERAGE(DV163,DV160)</f>
        <v>0</v>
      </c>
      <c r="DW164" s="1353">
        <f>SUM(DS164:DV164)</f>
        <v>37.5</v>
      </c>
      <c r="DX164" s="1342">
        <f>DX159/4*AVERAGE(DX163,DX160)</f>
        <v>0</v>
      </c>
      <c r="DY164" s="1342">
        <f>DY159/4*AVERAGE(DY163,DY160)</f>
        <v>0</v>
      </c>
      <c r="DZ164" s="1342">
        <f>DZ159/4*AVERAGE(DZ163,DZ160)</f>
        <v>0</v>
      </c>
      <c r="EA164" s="1342">
        <f>EA159/4*AVERAGE(EA163,EA160)</f>
        <v>0</v>
      </c>
      <c r="EB164" s="1353">
        <f>SUM(DX164:EA164)</f>
        <v>0</v>
      </c>
      <c r="EC164" s="1342">
        <f>EC159/4*AVERAGE(EC163,EC160)</f>
        <v>0</v>
      </c>
      <c r="ED164" s="1342">
        <f>ED159/4*AVERAGE(ED163,ED160)</f>
        <v>0</v>
      </c>
      <c r="EE164" s="1342">
        <f>EE159/4*AVERAGE(EE163,EE160)</f>
        <v>0</v>
      </c>
      <c r="EF164" s="1342">
        <f>EF159/4*AVERAGE(EF163,EF160)</f>
        <v>0</v>
      </c>
      <c r="EG164" s="1353">
        <f>SUM(EC164:EF164)</f>
        <v>0</v>
      </c>
      <c r="EH164" s="1342">
        <f>EH159/4*AVERAGE(EH163,EH160)</f>
        <v>0</v>
      </c>
      <c r="EI164" s="1342">
        <f>EI159/4*AVERAGE(EI163,EI160)</f>
        <v>0</v>
      </c>
      <c r="EJ164" s="1342">
        <f>EJ159/4*AVERAGE(EJ163,EJ160)</f>
        <v>0</v>
      </c>
      <c r="EK164" s="1342">
        <f>EK159/4*AVERAGE(EK163,EK160)</f>
        <v>0</v>
      </c>
      <c r="EL164" s="1353">
        <f>SUM(EH164:EK164)</f>
        <v>0</v>
      </c>
    </row>
    <row r="165" spans="1:142" hidden="1" outlineLevel="1">
      <c r="A165" s="225"/>
      <c r="B165" s="1326"/>
      <c r="C165" s="9"/>
      <c r="D165" s="9"/>
      <c r="E165" s="9"/>
      <c r="F165" s="9"/>
      <c r="G165" s="9"/>
      <c r="H165" s="63"/>
      <c r="I165" s="9"/>
      <c r="J165" s="9"/>
      <c r="K165" s="9"/>
      <c r="L165" s="9"/>
      <c r="M165" s="63"/>
      <c r="N165" s="9"/>
      <c r="O165" s="9"/>
      <c r="P165" s="9"/>
      <c r="Q165" s="9"/>
      <c r="R165" s="63"/>
      <c r="S165" s="9"/>
      <c r="T165" s="9"/>
      <c r="U165" s="9"/>
      <c r="V165" s="9"/>
      <c r="W165" s="63"/>
      <c r="X165" s="9"/>
      <c r="Y165" s="9"/>
      <c r="Z165" s="9"/>
      <c r="AA165" s="9"/>
      <c r="AB165" s="63"/>
      <c r="AC165" s="9"/>
      <c r="AD165" s="9"/>
      <c r="AE165" s="9"/>
      <c r="AF165" s="9"/>
      <c r="AG165" s="63"/>
      <c r="AH165" s="9"/>
      <c r="AI165" s="9"/>
      <c r="AJ165" s="9"/>
      <c r="AK165" s="9"/>
      <c r="AL165" s="63"/>
      <c r="AM165" s="53"/>
      <c r="AN165" s="53"/>
      <c r="AO165" s="53"/>
      <c r="AP165" s="53"/>
      <c r="AQ165" s="28"/>
      <c r="AR165" s="53"/>
      <c r="AS165" s="53"/>
      <c r="AT165" s="53"/>
      <c r="AU165" s="186"/>
      <c r="AV165" s="240"/>
      <c r="AW165" s="240"/>
      <c r="AX165" s="240"/>
      <c r="AY165" s="240"/>
      <c r="AZ165" s="241"/>
      <c r="BA165" s="240"/>
      <c r="BB165" s="240"/>
      <c r="BC165" s="240"/>
      <c r="BD165" s="240"/>
      <c r="BE165" s="241"/>
      <c r="BF165" s="240"/>
      <c r="BG165" s="240"/>
      <c r="BH165" s="240"/>
      <c r="BI165" s="240"/>
      <c r="BJ165" s="241"/>
      <c r="BK165" s="171"/>
      <c r="BL165" s="171"/>
      <c r="BM165" s="87"/>
      <c r="BN165" s="171"/>
      <c r="BO165" s="170"/>
      <c r="BP165" s="171"/>
      <c r="BQ165" s="171"/>
      <c r="BR165" s="87"/>
      <c r="BS165" s="171"/>
      <c r="BT165" s="170"/>
      <c r="BU165" s="171"/>
      <c r="BV165" s="171"/>
      <c r="BW165" s="87"/>
      <c r="BX165" s="171"/>
      <c r="BY165" s="170"/>
      <c r="BZ165" s="171"/>
      <c r="CA165" s="171"/>
      <c r="CB165" s="87"/>
      <c r="CC165" s="171"/>
      <c r="CD165" s="170"/>
      <c r="CE165" s="173"/>
      <c r="CF165" s="173"/>
      <c r="CG165" s="173"/>
      <c r="CH165" s="173"/>
      <c r="CI165" s="170"/>
      <c r="CJ165" s="173"/>
      <c r="CK165" s="173"/>
      <c r="CL165" s="173"/>
      <c r="CM165" s="173"/>
      <c r="CN165" s="170"/>
      <c r="CO165" s="173"/>
      <c r="CP165" s="173"/>
      <c r="CQ165" s="173"/>
      <c r="CR165" s="173"/>
      <c r="CS165" s="170"/>
      <c r="CT165" s="173"/>
      <c r="CU165" s="173"/>
      <c r="CV165" s="173"/>
      <c r="CW165" s="173"/>
      <c r="CX165" s="170"/>
      <c r="CY165" s="173"/>
      <c r="CZ165" s="173"/>
      <c r="DA165" s="173"/>
      <c r="DB165" s="173"/>
      <c r="DC165" s="170"/>
      <c r="DD165" s="173"/>
      <c r="DE165" s="173"/>
      <c r="DF165" s="173"/>
      <c r="DG165" s="173"/>
      <c r="DH165" s="170"/>
      <c r="DI165" s="545"/>
      <c r="DJ165" s="545"/>
      <c r="DK165" s="545"/>
      <c r="DL165" s="545"/>
      <c r="DM165" s="538"/>
      <c r="DN165" s="545"/>
      <c r="DO165" s="545"/>
      <c r="DP165" s="545"/>
      <c r="DQ165" s="545"/>
      <c r="DR165" s="538"/>
      <c r="DS165" s="545"/>
      <c r="DT165" s="545"/>
      <c r="DU165" s="545"/>
      <c r="DV165" s="545"/>
      <c r="DW165" s="538"/>
      <c r="DX165" s="545"/>
      <c r="DY165" s="545"/>
      <c r="DZ165" s="545"/>
      <c r="EA165" s="545"/>
      <c r="EB165" s="538"/>
      <c r="EC165" s="545"/>
      <c r="ED165" s="545"/>
      <c r="EE165" s="545"/>
      <c r="EF165" s="545"/>
      <c r="EG165" s="538"/>
      <c r="EH165" s="545"/>
      <c r="EI165" s="545"/>
      <c r="EJ165" s="545"/>
      <c r="EK165" s="545"/>
      <c r="EL165" s="538"/>
    </row>
    <row r="166" spans="1:142" hidden="1" outlineLevel="1">
      <c r="A166" s="225"/>
      <c r="B166" s="1326" t="s">
        <v>672</v>
      </c>
      <c r="C166" s="9"/>
      <c r="D166" s="9"/>
      <c r="E166" s="9"/>
      <c r="F166" s="9"/>
      <c r="G166" s="9"/>
      <c r="H166" s="63"/>
      <c r="I166" s="9"/>
      <c r="J166" s="9"/>
      <c r="K166" s="9"/>
      <c r="L166" s="9"/>
      <c r="M166" s="63"/>
      <c r="N166" s="9"/>
      <c r="O166" s="9"/>
      <c r="P166" s="9"/>
      <c r="Q166" s="9"/>
      <c r="R166" s="63"/>
      <c r="S166" s="9"/>
      <c r="T166" s="9"/>
      <c r="U166" s="9"/>
      <c r="V166" s="9"/>
      <c r="W166" s="63"/>
      <c r="X166" s="9"/>
      <c r="Y166" s="9"/>
      <c r="Z166" s="9"/>
      <c r="AA166" s="9"/>
      <c r="AB166" s="63"/>
      <c r="AC166" s="9"/>
      <c r="AD166" s="9"/>
      <c r="AE166" s="9"/>
      <c r="AF166" s="9"/>
      <c r="AG166" s="63"/>
      <c r="AH166" s="9"/>
      <c r="AI166" s="9"/>
      <c r="AJ166" s="9"/>
      <c r="AK166" s="9"/>
      <c r="AL166" s="63"/>
      <c r="AM166" s="53"/>
      <c r="AN166" s="53"/>
      <c r="AO166" s="53"/>
      <c r="AP166" s="53"/>
      <c r="AQ166" s="28"/>
      <c r="AR166" s="53"/>
      <c r="AS166" s="53"/>
      <c r="AT166" s="53"/>
      <c r="AU166" s="186"/>
      <c r="AV166" s="240"/>
      <c r="AW166" s="240"/>
      <c r="AX166" s="240"/>
      <c r="AY166" s="240"/>
      <c r="AZ166" s="241"/>
      <c r="BA166" s="240"/>
      <c r="BB166" s="240"/>
      <c r="BC166" s="240"/>
      <c r="BD166" s="240"/>
      <c r="BE166" s="241"/>
      <c r="BF166" s="240"/>
      <c r="BG166" s="240"/>
      <c r="BH166" s="240"/>
      <c r="BI166" s="240"/>
      <c r="BJ166" s="241"/>
      <c r="BK166" s="171"/>
      <c r="BL166" s="171"/>
      <c r="BM166" s="87"/>
      <c r="BN166" s="171"/>
      <c r="BO166" s="170"/>
      <c r="BP166" s="171"/>
      <c r="BQ166" s="171"/>
      <c r="BR166" s="87"/>
      <c r="BS166" s="171"/>
      <c r="BT166" s="170"/>
      <c r="BU166" s="171"/>
      <c r="BV166" s="171"/>
      <c r="BW166" s="87"/>
      <c r="BX166" s="171"/>
      <c r="BY166" s="170"/>
      <c r="BZ166" s="171"/>
      <c r="CA166" s="171"/>
      <c r="CB166" s="87"/>
      <c r="CC166" s="171"/>
      <c r="CD166" s="170"/>
      <c r="CE166" s="173"/>
      <c r="CF166" s="173"/>
      <c r="CG166" s="173"/>
      <c r="CH166" s="173"/>
      <c r="CI166" s="170"/>
      <c r="CJ166" s="173"/>
      <c r="CK166" s="173"/>
      <c r="CL166" s="173"/>
      <c r="CM166" s="173"/>
      <c r="CN166" s="170"/>
      <c r="CO166" s="173"/>
      <c r="CP166" s="173"/>
      <c r="CQ166" s="173"/>
      <c r="CR166" s="173"/>
      <c r="CS166" s="170"/>
      <c r="CT166" s="173"/>
      <c r="CU166" s="173"/>
      <c r="CV166" s="173"/>
      <c r="CW166" s="173"/>
      <c r="CX166" s="170"/>
      <c r="CY166" s="173"/>
      <c r="CZ166" s="173"/>
      <c r="DA166" s="173"/>
      <c r="DB166" s="173"/>
      <c r="DC166" s="170"/>
      <c r="DD166" s="173"/>
      <c r="DE166" s="173"/>
      <c r="DF166" s="173"/>
      <c r="DG166" s="173"/>
      <c r="DH166" s="170"/>
      <c r="DI166" s="545"/>
      <c r="DJ166" s="545"/>
      <c r="DK166" s="545"/>
      <c r="DL166" s="545"/>
      <c r="DM166" s="538"/>
      <c r="DN166" s="545"/>
      <c r="DO166" s="545"/>
      <c r="DP166" s="545"/>
      <c r="DQ166" s="545"/>
      <c r="DR166" s="538"/>
      <c r="DS166" s="545"/>
      <c r="DT166" s="739">
        <f>DT156+DT162</f>
        <v>1441</v>
      </c>
      <c r="DU166" s="739">
        <f>DU156+DU162</f>
        <v>640</v>
      </c>
      <c r="DV166" s="739">
        <f>DV156+DV162</f>
        <v>698</v>
      </c>
      <c r="DW166" s="739"/>
      <c r="DX166" s="739">
        <f>DX156+DX162</f>
        <v>829.37035815589047</v>
      </c>
      <c r="DY166" s="739">
        <f>DY156+DY162</f>
        <v>605.37663535468891</v>
      </c>
      <c r="DZ166" s="739">
        <f>DZ156+DZ162</f>
        <v>853.21887238129329</v>
      </c>
      <c r="EA166" s="739">
        <f>EA156+EA162</f>
        <v>567.71087398451732</v>
      </c>
      <c r="EB166" s="739"/>
      <c r="EC166" s="739">
        <f>EC156+EC162</f>
        <v>376.97417916896063</v>
      </c>
      <c r="ED166" s="739">
        <f>ED156+ED162</f>
        <v>520.54772891988341</v>
      </c>
      <c r="EE166" s="739">
        <f>EE156+EE162</f>
        <v>689.98221824519351</v>
      </c>
      <c r="EF166" s="739">
        <f>EF156+EF162</f>
        <v>714.63062624325505</v>
      </c>
      <c r="EG166" s="53"/>
      <c r="EH166" s="739">
        <f>EH156+EH162</f>
        <v>657.96794350851678</v>
      </c>
      <c r="EI166" s="739">
        <f>EI156+EI162</f>
        <v>602.90493870577018</v>
      </c>
      <c r="EJ166" s="739">
        <f>EJ156+EJ162</f>
        <v>652.42194509847184</v>
      </c>
      <c r="EK166" s="739">
        <f>EK156+EK162</f>
        <v>471.25813137678415</v>
      </c>
      <c r="EL166" s="53"/>
    </row>
    <row r="167" spans="1:142" collapsed="1">
      <c r="A167" s="225"/>
      <c r="B167" s="1326"/>
      <c r="C167" s="9"/>
      <c r="D167" s="9"/>
      <c r="E167" s="9"/>
      <c r="F167" s="9"/>
      <c r="G167" s="9"/>
      <c r="H167" s="63"/>
      <c r="I167" s="9"/>
      <c r="J167" s="9"/>
      <c r="K167" s="9"/>
      <c r="L167" s="9"/>
      <c r="M167" s="63"/>
      <c r="N167" s="9"/>
      <c r="O167" s="9"/>
      <c r="P167" s="9"/>
      <c r="Q167" s="9"/>
      <c r="R167" s="63"/>
      <c r="S167" s="9"/>
      <c r="T167" s="9"/>
      <c r="U167" s="9"/>
      <c r="V167" s="9"/>
      <c r="W167" s="63"/>
      <c r="X167" s="9"/>
      <c r="Y167" s="9"/>
      <c r="Z167" s="9"/>
      <c r="AA167" s="9"/>
      <c r="AB167" s="63"/>
      <c r="AC167" s="9"/>
      <c r="AD167" s="9"/>
      <c r="AE167" s="9"/>
      <c r="AF167" s="9"/>
      <c r="AG167" s="63"/>
      <c r="AH167" s="9"/>
      <c r="AI167" s="9"/>
      <c r="AJ167" s="9"/>
      <c r="AK167" s="9"/>
      <c r="AL167" s="63"/>
      <c r="AM167" s="53"/>
      <c r="AN167" s="53"/>
      <c r="AO167" s="53"/>
      <c r="AP167" s="53"/>
      <c r="AQ167" s="28"/>
      <c r="AR167" s="53"/>
      <c r="AS167" s="53"/>
      <c r="AT167" s="53"/>
      <c r="AU167" s="186"/>
      <c r="AV167" s="240"/>
      <c r="AW167" s="240"/>
      <c r="AX167" s="240"/>
      <c r="AY167" s="240"/>
      <c r="AZ167" s="241"/>
      <c r="BA167" s="240"/>
      <c r="BB167" s="240"/>
      <c r="BC167" s="240"/>
      <c r="BD167" s="240"/>
      <c r="BE167" s="241"/>
      <c r="BF167" s="240"/>
      <c r="BG167" s="240"/>
      <c r="BH167" s="240"/>
      <c r="BI167" s="240"/>
      <c r="BJ167" s="241"/>
      <c r="BK167" s="171"/>
      <c r="BL167" s="171"/>
      <c r="BM167" s="87"/>
      <c r="BN167" s="171"/>
      <c r="BO167" s="170"/>
      <c r="BP167" s="171"/>
      <c r="BQ167" s="171"/>
      <c r="BR167" s="87"/>
      <c r="BS167" s="171"/>
      <c r="BT167" s="170"/>
      <c r="BU167" s="171"/>
      <c r="BV167" s="171"/>
      <c r="BW167" s="87"/>
      <c r="BX167" s="171"/>
      <c r="BY167" s="170"/>
      <c r="BZ167" s="171"/>
      <c r="CA167" s="171"/>
      <c r="CB167" s="87"/>
      <c r="CC167" s="171"/>
      <c r="CD167" s="170"/>
      <c r="CE167" s="173"/>
      <c r="CF167" s="173"/>
      <c r="CG167" s="173"/>
      <c r="CH167" s="173"/>
      <c r="CI167" s="170"/>
      <c r="CJ167" s="173"/>
      <c r="CK167" s="173"/>
      <c r="CL167" s="173"/>
      <c r="CM167" s="173"/>
      <c r="CN167" s="170"/>
      <c r="CO167" s="173"/>
      <c r="CP167" s="173"/>
      <c r="CQ167" s="173"/>
      <c r="CR167" s="173"/>
      <c r="CS167" s="170"/>
      <c r="CT167" s="173"/>
      <c r="CU167" s="173"/>
      <c r="CV167" s="173"/>
      <c r="CW167" s="173"/>
      <c r="CX167" s="170"/>
      <c r="CY167" s="173"/>
      <c r="CZ167" s="173"/>
      <c r="DA167" s="173"/>
      <c r="DB167" s="173"/>
      <c r="DC167" s="170"/>
      <c r="DD167" s="173"/>
      <c r="DE167" s="173"/>
      <c r="DF167" s="173"/>
      <c r="DG167" s="173"/>
      <c r="DH167" s="170"/>
      <c r="DI167" s="545"/>
      <c r="DJ167" s="545"/>
      <c r="DK167" s="545"/>
      <c r="DL167" s="545"/>
      <c r="DM167" s="538"/>
      <c r="DN167" s="545"/>
      <c r="DO167" s="545"/>
      <c r="DP167" s="545"/>
      <c r="DQ167" s="545"/>
      <c r="DR167" s="538"/>
      <c r="DS167" s="545"/>
      <c r="DT167" s="739"/>
      <c r="DU167" s="739"/>
      <c r="DV167" s="739"/>
      <c r="DW167" s="739"/>
      <c r="DX167" s="739"/>
      <c r="DY167" s="739"/>
      <c r="DZ167" s="739"/>
      <c r="EA167" s="739"/>
      <c r="EB167" s="739"/>
      <c r="EC167" s="739"/>
      <c r="ED167" s="739"/>
      <c r="EE167" s="739"/>
      <c r="EF167" s="739"/>
      <c r="EG167" s="53"/>
      <c r="EH167" s="739"/>
      <c r="EI167" s="739"/>
      <c r="EJ167" s="739"/>
      <c r="EK167" s="739"/>
      <c r="EL167" s="53"/>
    </row>
    <row r="168" spans="1:142">
      <c r="A168" s="1327"/>
      <c r="B168" s="242" t="s">
        <v>301</v>
      </c>
      <c r="C168" s="228"/>
      <c r="D168" s="228"/>
      <c r="E168" s="228"/>
      <c r="F168" s="228"/>
      <c r="G168" s="228"/>
      <c r="H168" s="229"/>
      <c r="I168" s="228"/>
      <c r="J168" s="228"/>
      <c r="K168" s="228"/>
      <c r="L168" s="228"/>
      <c r="M168" s="229"/>
      <c r="N168" s="228"/>
      <c r="O168" s="228"/>
      <c r="P168" s="228"/>
      <c r="Q168" s="228"/>
      <c r="R168" s="229"/>
      <c r="S168" s="228"/>
      <c r="T168" s="228"/>
      <c r="U168" s="228"/>
      <c r="V168" s="228"/>
      <c r="W168" s="229"/>
      <c r="X168" s="228"/>
      <c r="Y168" s="228"/>
      <c r="Z168" s="228"/>
      <c r="AA168" s="228"/>
      <c r="AB168" s="229"/>
      <c r="AC168" s="228"/>
      <c r="AD168" s="228"/>
      <c r="AE168" s="228"/>
      <c r="AF168" s="228"/>
      <c r="AG168" s="229"/>
      <c r="AH168" s="228"/>
      <c r="AI168" s="228"/>
      <c r="AJ168" s="228"/>
      <c r="AK168" s="228"/>
      <c r="AL168" s="229"/>
      <c r="AM168" s="228"/>
      <c r="AN168" s="228"/>
      <c r="AO168" s="228"/>
      <c r="AP168" s="228"/>
      <c r="AQ168" s="229"/>
      <c r="AR168" s="228"/>
      <c r="AS168" s="228"/>
      <c r="AT168" s="228"/>
      <c r="AU168" s="230"/>
      <c r="AV168" s="228"/>
      <c r="AW168" s="228"/>
      <c r="AX168" s="228"/>
      <c r="AY168" s="228"/>
      <c r="AZ168" s="229"/>
      <c r="BA168" s="228"/>
      <c r="BB168" s="228"/>
      <c r="BC168" s="228"/>
      <c r="BD168" s="228"/>
      <c r="BE168" s="229"/>
      <c r="BF168" s="228"/>
      <c r="BG168" s="228"/>
      <c r="BH168" s="228"/>
      <c r="BI168" s="228"/>
      <c r="BJ168" s="229"/>
      <c r="BK168" s="228"/>
      <c r="BL168" s="228"/>
      <c r="BM168" s="228"/>
      <c r="BN168" s="228"/>
      <c r="BO168" s="229"/>
      <c r="BP168" s="228"/>
      <c r="BQ168" s="228"/>
      <c r="BR168" s="228"/>
      <c r="BS168" s="228"/>
      <c r="BT168" s="229"/>
      <c r="BU168" s="228"/>
      <c r="BV168" s="228"/>
      <c r="BW168" s="228"/>
      <c r="BX168" s="228"/>
      <c r="BY168" s="229"/>
      <c r="BZ168" s="228"/>
      <c r="CA168" s="228"/>
      <c r="CB168" s="228"/>
      <c r="CC168" s="228"/>
      <c r="CD168" s="229"/>
      <c r="CE168" s="228"/>
      <c r="CF168" s="228"/>
      <c r="CG168" s="228"/>
      <c r="CH168" s="228"/>
      <c r="CI168" s="229"/>
      <c r="CJ168" s="228"/>
      <c r="CK168" s="228"/>
      <c r="CL168" s="228"/>
      <c r="CM168" s="228"/>
      <c r="CN168" s="229"/>
      <c r="CO168" s="228"/>
      <c r="CP168" s="228"/>
      <c r="CQ168" s="228"/>
      <c r="CR168" s="228"/>
      <c r="CS168" s="229"/>
      <c r="CT168" s="228"/>
      <c r="CU168" s="228"/>
      <c r="CV168" s="228"/>
      <c r="CW168" s="228"/>
      <c r="CX168" s="229"/>
      <c r="CY168" s="228"/>
      <c r="CZ168" s="228"/>
      <c r="DA168" s="228"/>
      <c r="DB168" s="228"/>
      <c r="DC168" s="229"/>
      <c r="DD168" s="228"/>
      <c r="DE168" s="228"/>
      <c r="DF168" s="228"/>
      <c r="DG168" s="228"/>
      <c r="DH168" s="229"/>
      <c r="DI168" s="228"/>
      <c r="DJ168" s="228"/>
      <c r="DK168" s="231"/>
      <c r="DL168" s="228"/>
      <c r="DM168" s="229"/>
      <c r="DN168" s="228"/>
      <c r="DO168" s="228"/>
      <c r="DP168" s="228"/>
      <c r="DQ168" s="228"/>
      <c r="DR168" s="229"/>
      <c r="DS168" s="228"/>
      <c r="DT168" s="228"/>
      <c r="DU168" s="228"/>
      <c r="DV168" s="228"/>
      <c r="DW168" s="229"/>
      <c r="DX168" s="228"/>
      <c r="DY168" s="228"/>
      <c r="DZ168" s="228"/>
      <c r="EA168" s="228"/>
      <c r="EB168" s="229"/>
      <c r="EC168" s="228"/>
      <c r="ED168" s="228"/>
      <c r="EE168" s="228"/>
      <c r="EF168" s="228"/>
      <c r="EG168" s="229"/>
      <c r="EH168" s="228"/>
      <c r="EI168" s="228"/>
      <c r="EJ168" s="228"/>
      <c r="EK168" s="228"/>
      <c r="EL168" s="229"/>
    </row>
    <row r="169" spans="1:142">
      <c r="A169" s="1328"/>
      <c r="B169" s="247" t="s">
        <v>297</v>
      </c>
      <c r="C169" s="9"/>
      <c r="D169" s="9"/>
      <c r="E169" s="9"/>
      <c r="F169" s="9"/>
      <c r="G169" s="9"/>
      <c r="H169" s="63"/>
      <c r="I169" s="9"/>
      <c r="J169" s="9"/>
      <c r="K169" s="9"/>
      <c r="L169" s="9"/>
      <c r="M169" s="63"/>
      <c r="N169" s="9"/>
      <c r="O169" s="9"/>
      <c r="P169" s="9"/>
      <c r="Q169" s="9"/>
      <c r="R169" s="63"/>
      <c r="S169" s="9"/>
      <c r="T169" s="9"/>
      <c r="U169" s="9"/>
      <c r="V169" s="9"/>
      <c r="W169" s="63"/>
      <c r="X169" s="9"/>
      <c r="Y169" s="9"/>
      <c r="Z169" s="9"/>
      <c r="AA169" s="9"/>
      <c r="AB169" s="63"/>
      <c r="AC169" s="9"/>
      <c r="AD169" s="9"/>
      <c r="AE169" s="9"/>
      <c r="AF169" s="9"/>
      <c r="AG169" s="63"/>
      <c r="AH169" s="9"/>
      <c r="AI169" s="9"/>
      <c r="AJ169" s="9"/>
      <c r="AK169" s="9"/>
      <c r="AL169" s="63"/>
      <c r="AM169" s="9"/>
      <c r="AN169" s="9"/>
      <c r="AO169" s="9"/>
      <c r="AP169" s="9"/>
      <c r="AQ169" s="63"/>
      <c r="AR169" s="9"/>
      <c r="AS169" s="9"/>
      <c r="AT169" s="9"/>
      <c r="AU169" s="186"/>
      <c r="AV169" s="9"/>
      <c r="AW169" s="9"/>
      <c r="AX169" s="9"/>
      <c r="AY169" s="9"/>
      <c r="AZ169" s="63"/>
      <c r="BA169" s="9"/>
      <c r="BB169" s="9"/>
      <c r="BC169" s="9"/>
      <c r="BD169" s="9"/>
      <c r="BE169" s="63"/>
      <c r="BF169" s="9"/>
      <c r="BG169" s="9"/>
      <c r="BH169" s="9"/>
      <c r="BI169" s="9"/>
      <c r="BJ169" s="63"/>
      <c r="BK169" s="9"/>
      <c r="BL169" s="9"/>
      <c r="BM169" s="9"/>
      <c r="BN169" s="9"/>
      <c r="BO169" s="63"/>
      <c r="BP169" s="9"/>
      <c r="BQ169" s="9"/>
      <c r="BR169" s="9"/>
      <c r="BS169" s="9"/>
      <c r="BT169" s="63"/>
      <c r="BU169" s="9"/>
      <c r="BV169" s="9"/>
      <c r="BW169" s="9"/>
      <c r="BX169" s="9"/>
      <c r="BY169" s="63"/>
      <c r="BZ169" s="9"/>
      <c r="CA169" s="9"/>
      <c r="CB169" s="9"/>
      <c r="CC169" s="9"/>
      <c r="CD169" s="63"/>
      <c r="CE169" s="248"/>
      <c r="CF169" s="248"/>
      <c r="CG169" s="248"/>
      <c r="CH169" s="248"/>
      <c r="CI169" s="193"/>
      <c r="CJ169" s="248"/>
      <c r="CK169" s="248"/>
      <c r="CL169" s="248"/>
      <c r="CM169" s="248"/>
      <c r="CN169" s="193"/>
      <c r="CO169" s="248"/>
      <c r="CP169" s="248"/>
      <c r="CQ169" s="248"/>
      <c r="CR169" s="248"/>
      <c r="CS169" s="193"/>
      <c r="CT169" s="248"/>
      <c r="CU169" s="248"/>
      <c r="CV169" s="250"/>
      <c r="CW169" s="250"/>
      <c r="CX169" s="278"/>
      <c r="CY169" s="250"/>
      <c r="CZ169" s="250"/>
      <c r="DA169" s="210"/>
      <c r="DB169" s="254">
        <v>8.1250000000000003E-2</v>
      </c>
      <c r="DC169" s="193"/>
      <c r="DD169" s="252">
        <v>8.1250000000000003E-2</v>
      </c>
      <c r="DE169" s="251">
        <v>8.1250000000000003E-2</v>
      </c>
      <c r="DF169" s="251">
        <v>8.1250000000000003E-2</v>
      </c>
      <c r="DG169" s="254">
        <v>8.1250000000000003E-2</v>
      </c>
      <c r="DH169" s="253">
        <v>7.4999999999999997E-2</v>
      </c>
      <c r="DI169" s="252">
        <v>8.1250000000000003E-2</v>
      </c>
      <c r="DJ169" s="251">
        <v>8.1250000000000003E-2</v>
      </c>
      <c r="DK169" s="251">
        <v>8.1250000000000003E-2</v>
      </c>
      <c r="DL169" s="251">
        <v>8.1250000000000003E-2</v>
      </c>
      <c r="DM169" s="253">
        <v>7.4999999999999997E-2</v>
      </c>
      <c r="DN169" s="252">
        <v>8.1250000000000003E-2</v>
      </c>
      <c r="DO169" s="251">
        <v>8.1250000000000003E-2</v>
      </c>
      <c r="DP169" s="251">
        <v>8.1250000000000003E-2</v>
      </c>
      <c r="DQ169" s="251">
        <v>8.1250000000000003E-2</v>
      </c>
      <c r="DR169" s="253">
        <v>7.4999999999999997E-2</v>
      </c>
      <c r="DS169" s="254">
        <v>8.1250000000000003E-2</v>
      </c>
      <c r="DT169" s="251">
        <v>8.1250000000000003E-2</v>
      </c>
      <c r="DU169" s="251">
        <v>8.1250000000000003E-2</v>
      </c>
      <c r="DV169" s="251">
        <v>8.1250000000000003E-2</v>
      </c>
      <c r="DW169" s="253">
        <v>7.4999999999999997E-2</v>
      </c>
      <c r="DX169" s="254">
        <v>8.1299999999999997E-2</v>
      </c>
      <c r="DY169" s="251">
        <v>8.1250000000000003E-2</v>
      </c>
      <c r="DZ169" s="251">
        <v>8.1250000000000003E-2</v>
      </c>
      <c r="EA169" s="251">
        <v>8.1250000000000003E-2</v>
      </c>
      <c r="EB169" s="253">
        <v>7.4999999999999997E-2</v>
      </c>
      <c r="EC169" s="254">
        <v>8.1250000000000003E-2</v>
      </c>
      <c r="ED169" s="251">
        <v>8.1250000000000003E-2</v>
      </c>
      <c r="EE169" s="251">
        <v>8.1250000000000003E-2</v>
      </c>
      <c r="EF169" s="251">
        <v>8.1250000000000003E-2</v>
      </c>
      <c r="EG169" s="253">
        <v>7.4999999999999997E-2</v>
      </c>
      <c r="EH169" s="254">
        <v>8.1250000000000003E-2</v>
      </c>
      <c r="EI169" s="251">
        <v>8.1250000000000003E-2</v>
      </c>
      <c r="EJ169" s="251">
        <v>8.1250000000000003E-2</v>
      </c>
      <c r="EK169" s="251">
        <v>8.1250000000000003E-2</v>
      </c>
      <c r="EL169" s="253">
        <v>7.4999999999999997E-2</v>
      </c>
    </row>
    <row r="170" spans="1:142">
      <c r="A170" s="225"/>
      <c r="B170" s="209" t="s">
        <v>298</v>
      </c>
      <c r="C170" s="203"/>
      <c r="D170" s="203"/>
      <c r="E170" s="203"/>
      <c r="F170" s="203"/>
      <c r="G170" s="203"/>
      <c r="H170" s="493"/>
      <c r="I170" s="203"/>
      <c r="J170" s="203"/>
      <c r="K170" s="203"/>
      <c r="L170" s="203"/>
      <c r="M170" s="493"/>
      <c r="N170" s="203"/>
      <c r="O170" s="203"/>
      <c r="P170" s="203"/>
      <c r="Q170" s="203"/>
      <c r="R170" s="493"/>
      <c r="S170" s="203"/>
      <c r="T170" s="203"/>
      <c r="U170" s="203"/>
      <c r="V170" s="203"/>
      <c r="W170" s="493"/>
      <c r="X170" s="203"/>
      <c r="Y170" s="203"/>
      <c r="Z170" s="203"/>
      <c r="AA170" s="203"/>
      <c r="AB170" s="493"/>
      <c r="AC170" s="203"/>
      <c r="AD170" s="203"/>
      <c r="AE170" s="203"/>
      <c r="AF170" s="203"/>
      <c r="AG170" s="493"/>
      <c r="AH170" s="203"/>
      <c r="AI170" s="203"/>
      <c r="AJ170" s="203"/>
      <c r="AK170" s="203"/>
      <c r="AL170" s="493"/>
      <c r="AM170" s="495"/>
      <c r="AN170" s="495"/>
      <c r="AO170" s="495"/>
      <c r="AP170" s="495"/>
      <c r="AQ170" s="204"/>
      <c r="AR170" s="495"/>
      <c r="AS170" s="495"/>
      <c r="AT170" s="495"/>
      <c r="AU170" s="208"/>
      <c r="AV170" s="207"/>
      <c r="AW170" s="206"/>
      <c r="AX170" s="495"/>
      <c r="AY170" s="495"/>
      <c r="AZ170" s="204"/>
      <c r="BA170" s="207"/>
      <c r="BB170" s="206"/>
      <c r="BC170" s="495"/>
      <c r="BD170" s="495"/>
      <c r="BE170" s="204"/>
      <c r="BF170" s="207"/>
      <c r="BG170" s="206"/>
      <c r="BH170" s="495"/>
      <c r="BI170" s="495"/>
      <c r="BJ170" s="204"/>
      <c r="BK170" s="1393"/>
      <c r="BL170" s="1393"/>
      <c r="BM170" s="1393"/>
      <c r="BN170" s="1393"/>
      <c r="BO170" s="1394"/>
      <c r="BP170" s="1393"/>
      <c r="BQ170" s="1393"/>
      <c r="BR170" s="1393"/>
      <c r="BS170" s="1393"/>
      <c r="BT170" s="1394"/>
      <c r="BU170" s="1393"/>
      <c r="BV170" s="1393"/>
      <c r="BW170" s="1393"/>
      <c r="BX170" s="1393"/>
      <c r="BY170" s="1394"/>
      <c r="BZ170" s="1393"/>
      <c r="CA170" s="1393"/>
      <c r="CB170" s="1393"/>
      <c r="CC170" s="1393"/>
      <c r="CD170" s="1394"/>
      <c r="CE170" s="257"/>
      <c r="CF170" s="257"/>
      <c r="CG170" s="257"/>
      <c r="CH170" s="257"/>
      <c r="CI170" s="258"/>
      <c r="CJ170" s="257"/>
      <c r="CK170" s="257"/>
      <c r="CL170" s="257"/>
      <c r="CM170" s="257"/>
      <c r="CN170" s="258"/>
      <c r="CO170" s="257"/>
      <c r="CP170" s="257"/>
      <c r="CQ170" s="257"/>
      <c r="CR170" s="257"/>
      <c r="CS170" s="258"/>
      <c r="CT170" s="257"/>
      <c r="CU170" s="257"/>
      <c r="CV170" s="257"/>
      <c r="CW170" s="257"/>
      <c r="CX170" s="258"/>
      <c r="CY170" s="257"/>
      <c r="CZ170" s="257"/>
      <c r="DA170" s="289"/>
      <c r="DB170" s="289">
        <f>DA173</f>
        <v>0</v>
      </c>
      <c r="DC170" s="258"/>
      <c r="DD170" s="257">
        <f>DC173</f>
        <v>2800</v>
      </c>
      <c r="DE170" s="289">
        <f>DD173</f>
        <v>2800</v>
      </c>
      <c r="DF170" s="289">
        <f>DE173</f>
        <v>2800</v>
      </c>
      <c r="DG170" s="289">
        <f>DF173</f>
        <v>2800</v>
      </c>
      <c r="DH170" s="258"/>
      <c r="DI170" s="538">
        <v>2800</v>
      </c>
      <c r="DJ170" s="539">
        <f>DI173</f>
        <v>2800</v>
      </c>
      <c r="DK170" s="1374">
        <f>DJ173</f>
        <v>2800</v>
      </c>
      <c r="DL170" s="539">
        <f>DK173</f>
        <v>2800</v>
      </c>
      <c r="DM170" s="540"/>
      <c r="DN170" s="538">
        <v>2800</v>
      </c>
      <c r="DO170" s="539">
        <f>DN173</f>
        <v>2800</v>
      </c>
      <c r="DP170" s="539">
        <f>DO173</f>
        <v>2800</v>
      </c>
      <c r="DQ170" s="539">
        <f>DP173</f>
        <v>2800</v>
      </c>
      <c r="DR170" s="540"/>
      <c r="DS170" s="539">
        <v>2800</v>
      </c>
      <c r="DT170" s="539">
        <f>DS173</f>
        <v>2800</v>
      </c>
      <c r="DU170" s="539">
        <f>DT173</f>
        <v>2800</v>
      </c>
      <c r="DV170" s="539">
        <f>DU173</f>
        <v>2800</v>
      </c>
      <c r="DW170" s="540"/>
      <c r="DX170" s="539">
        <f>DW173</f>
        <v>2800</v>
      </c>
      <c r="DY170" s="539">
        <f>DX173</f>
        <v>2800</v>
      </c>
      <c r="DZ170" s="539">
        <f>DY173</f>
        <v>2800</v>
      </c>
      <c r="EA170" s="539">
        <f>DZ173</f>
        <v>2800</v>
      </c>
      <c r="EB170" s="540"/>
      <c r="EC170" s="539">
        <f>EB173</f>
        <v>2800</v>
      </c>
      <c r="ED170" s="539">
        <f>EC173</f>
        <v>2800</v>
      </c>
      <c r="EE170" s="539">
        <f>ED173</f>
        <v>2800</v>
      </c>
      <c r="EF170" s="539">
        <f>EE173</f>
        <v>2800</v>
      </c>
      <c r="EG170" s="540"/>
      <c r="EH170" s="539">
        <f>EG173</f>
        <v>2800</v>
      </c>
      <c r="EI170" s="539">
        <f>EH173</f>
        <v>2800</v>
      </c>
      <c r="EJ170" s="539">
        <f>EI173</f>
        <v>2800</v>
      </c>
      <c r="EK170" s="539">
        <f>EJ173</f>
        <v>2800</v>
      </c>
      <c r="EL170" s="540"/>
    </row>
    <row r="171" spans="1:142">
      <c r="A171" s="225"/>
      <c r="B171" s="209" t="s">
        <v>674</v>
      </c>
      <c r="C171" s="232"/>
      <c r="D171" s="232"/>
      <c r="E171" s="232"/>
      <c r="F171" s="232"/>
      <c r="G171" s="232"/>
      <c r="H171" s="233"/>
      <c r="I171" s="232"/>
      <c r="J171" s="232"/>
      <c r="K171" s="232"/>
      <c r="L171" s="232"/>
      <c r="M171" s="233"/>
      <c r="N171" s="232"/>
      <c r="O171" s="232"/>
      <c r="P171" s="232"/>
      <c r="Q171" s="232"/>
      <c r="R171" s="233"/>
      <c r="S171" s="232"/>
      <c r="T171" s="232"/>
      <c r="U171" s="232"/>
      <c r="V171" s="232"/>
      <c r="W171" s="233"/>
      <c r="X171" s="232"/>
      <c r="Y171" s="232"/>
      <c r="Z171" s="232"/>
      <c r="AA171" s="232"/>
      <c r="AB171" s="233"/>
      <c r="AC171" s="232"/>
      <c r="AD171" s="232"/>
      <c r="AE171" s="232"/>
      <c r="AF171" s="232"/>
      <c r="AG171" s="233"/>
      <c r="AH171" s="232"/>
      <c r="AI171" s="232"/>
      <c r="AJ171" s="232"/>
      <c r="AK171" s="232"/>
      <c r="AL171" s="233"/>
      <c r="AM171" s="234"/>
      <c r="AN171" s="234"/>
      <c r="AO171" s="234"/>
      <c r="AP171" s="234"/>
      <c r="AQ171" s="235"/>
      <c r="AR171" s="234"/>
      <c r="AS171" s="234"/>
      <c r="AT171" s="234"/>
      <c r="AU171" s="236"/>
      <c r="AV171" s="237"/>
      <c r="AW171" s="279"/>
      <c r="AX171" s="234"/>
      <c r="AY171" s="234"/>
      <c r="AZ171" s="235"/>
      <c r="BA171" s="237"/>
      <c r="BB171" s="279"/>
      <c r="BC171" s="234"/>
      <c r="BD171" s="234"/>
      <c r="BE171" s="235"/>
      <c r="BF171" s="237"/>
      <c r="BG171" s="279"/>
      <c r="BH171" s="234"/>
      <c r="BI171" s="234"/>
      <c r="BJ171" s="235"/>
      <c r="BK171" s="255"/>
      <c r="BL171" s="255"/>
      <c r="BM171" s="255"/>
      <c r="BN171" s="255"/>
      <c r="BO171" s="256"/>
      <c r="BP171" s="255"/>
      <c r="BQ171" s="255"/>
      <c r="BR171" s="255"/>
      <c r="BS171" s="255"/>
      <c r="BT171" s="256"/>
      <c r="BU171" s="255"/>
      <c r="BV171" s="255"/>
      <c r="BW171" s="255"/>
      <c r="BX171" s="255"/>
      <c r="BY171" s="256"/>
      <c r="BZ171" s="255"/>
      <c r="CA171" s="255"/>
      <c r="CB171" s="255"/>
      <c r="CC171" s="255"/>
      <c r="CD171" s="256"/>
      <c r="CE171" s="257"/>
      <c r="CF171" s="257"/>
      <c r="CG171" s="257"/>
      <c r="CH171" s="257"/>
      <c r="CI171" s="258"/>
      <c r="CJ171" s="257"/>
      <c r="CK171" s="257"/>
      <c r="CL171" s="257"/>
      <c r="CM171" s="257"/>
      <c r="CN171" s="258"/>
      <c r="CO171" s="257"/>
      <c r="CP171" s="257"/>
      <c r="CQ171" s="257"/>
      <c r="CR171" s="257"/>
      <c r="CS171" s="258"/>
      <c r="CT171" s="257"/>
      <c r="CU171" s="257"/>
      <c r="CV171" s="257"/>
      <c r="CW171" s="257"/>
      <c r="CX171" s="258"/>
      <c r="CY171" s="257"/>
      <c r="CZ171" s="257"/>
      <c r="DA171" s="259"/>
      <c r="DB171" s="259"/>
      <c r="DC171" s="258"/>
      <c r="DD171" s="257"/>
      <c r="DE171" s="259"/>
      <c r="DF171" s="259"/>
      <c r="DG171" s="259"/>
      <c r="DH171" s="260"/>
      <c r="DI171" s="1378">
        <v>0</v>
      </c>
      <c r="DJ171" s="1378">
        <v>0</v>
      </c>
      <c r="DK171" s="1378">
        <v>0</v>
      </c>
      <c r="DL171" s="1378">
        <v>0</v>
      </c>
      <c r="DM171" s="1380">
        <f>SUM(DI171:DL171)</f>
        <v>0</v>
      </c>
      <c r="DN171" s="1378">
        <v>0</v>
      </c>
      <c r="DO171" s="1378">
        <v>0</v>
      </c>
      <c r="DP171" s="1378">
        <v>0</v>
      </c>
      <c r="DQ171" s="1378">
        <v>0</v>
      </c>
      <c r="DR171" s="1380">
        <f>SUM(DN171:DQ171)</f>
        <v>0</v>
      </c>
      <c r="DS171" s="1378">
        <v>0</v>
      </c>
      <c r="DT171" s="1378">
        <v>0</v>
      </c>
      <c r="DU171" s="1378">
        <v>0</v>
      </c>
      <c r="DV171" s="1378">
        <v>0</v>
      </c>
      <c r="DW171" s="1380">
        <f>SUM(DS171:DV171)</f>
        <v>0</v>
      </c>
      <c r="DX171" s="1378">
        <v>0</v>
      </c>
      <c r="DY171" s="1378">
        <v>0</v>
      </c>
      <c r="DZ171" s="1378">
        <v>0</v>
      </c>
      <c r="EA171" s="1378">
        <v>0</v>
      </c>
      <c r="EB171" s="1380">
        <f>SUM(DX171:EA171)</f>
        <v>0</v>
      </c>
      <c r="EC171" s="1378">
        <v>0</v>
      </c>
      <c r="ED171" s="1378">
        <v>0</v>
      </c>
      <c r="EE171" s="1378">
        <v>0</v>
      </c>
      <c r="EF171" s="1378">
        <v>0</v>
      </c>
      <c r="EG171" s="1380">
        <f>SUM(EC171:EF171)</f>
        <v>0</v>
      </c>
      <c r="EH171" s="1378">
        <v>0</v>
      </c>
      <c r="EI171" s="1378">
        <v>0</v>
      </c>
      <c r="EJ171" s="1378">
        <v>0</v>
      </c>
      <c r="EK171" s="1378">
        <v>0</v>
      </c>
      <c r="EL171" s="1380">
        <f>SUM(EH171:EK171)</f>
        <v>0</v>
      </c>
    </row>
    <row r="172" spans="1:142">
      <c r="A172" s="225"/>
      <c r="B172" s="214" t="s">
        <v>675</v>
      </c>
      <c r="C172" s="48"/>
      <c r="D172" s="48"/>
      <c r="E172" s="48"/>
      <c r="F172" s="48"/>
      <c r="G172" s="48"/>
      <c r="H172" s="64"/>
      <c r="I172" s="48"/>
      <c r="J172" s="48"/>
      <c r="K172" s="48"/>
      <c r="L172" s="48"/>
      <c r="M172" s="64"/>
      <c r="N172" s="48"/>
      <c r="O172" s="48"/>
      <c r="P172" s="48"/>
      <c r="Q172" s="48"/>
      <c r="R172" s="64"/>
      <c r="S172" s="48"/>
      <c r="T172" s="48"/>
      <c r="U172" s="48"/>
      <c r="V172" s="48"/>
      <c r="W172" s="64"/>
      <c r="X172" s="48"/>
      <c r="Y172" s="48"/>
      <c r="Z172" s="48"/>
      <c r="AA172" s="48"/>
      <c r="AB172" s="64"/>
      <c r="AC172" s="48"/>
      <c r="AD172" s="48"/>
      <c r="AE172" s="48"/>
      <c r="AF172" s="48"/>
      <c r="AG172" s="64"/>
      <c r="AH172" s="48"/>
      <c r="AI172" s="48"/>
      <c r="AJ172" s="48"/>
      <c r="AK172" s="48"/>
      <c r="AL172" s="64"/>
      <c r="AM172" s="48"/>
      <c r="AN172" s="48"/>
      <c r="AO172" s="48"/>
      <c r="AP172" s="48"/>
      <c r="AQ172" s="64"/>
      <c r="AR172" s="48"/>
      <c r="AS172" s="48"/>
      <c r="AT172" s="48"/>
      <c r="AU172" s="217"/>
      <c r="AV172" s="48"/>
      <c r="AW172" s="48"/>
      <c r="AX172" s="48"/>
      <c r="AY172" s="48"/>
      <c r="AZ172" s="64"/>
      <c r="BA172" s="48"/>
      <c r="BB172" s="48"/>
      <c r="BC172" s="48"/>
      <c r="BD172" s="48"/>
      <c r="BE172" s="64"/>
      <c r="BF172" s="48"/>
      <c r="BG172" s="48"/>
      <c r="BH172" s="48"/>
      <c r="BI172" s="48"/>
      <c r="BJ172" s="64"/>
      <c r="BK172" s="48"/>
      <c r="BL172" s="48"/>
      <c r="BM172" s="262"/>
      <c r="BN172" s="48"/>
      <c r="BO172" s="263"/>
      <c r="BP172" s="48"/>
      <c r="BQ172" s="48"/>
      <c r="BR172" s="262"/>
      <c r="BS172" s="48"/>
      <c r="BT172" s="263"/>
      <c r="BU172" s="48"/>
      <c r="BV172" s="48"/>
      <c r="BW172" s="262"/>
      <c r="BX172" s="48"/>
      <c r="BY172" s="263"/>
      <c r="BZ172" s="48"/>
      <c r="CA172" s="48"/>
      <c r="CB172" s="262"/>
      <c r="CC172" s="48"/>
      <c r="CD172" s="263"/>
      <c r="CE172" s="174"/>
      <c r="CF172" s="174"/>
      <c r="CG172" s="174"/>
      <c r="CH172" s="174"/>
      <c r="CI172" s="263"/>
      <c r="CJ172" s="174"/>
      <c r="CK172" s="174"/>
      <c r="CL172" s="174"/>
      <c r="CM172" s="174"/>
      <c r="CN172" s="263"/>
      <c r="CO172" s="174"/>
      <c r="CP172" s="174"/>
      <c r="CQ172" s="174"/>
      <c r="CR172" s="174"/>
      <c r="CS172" s="263"/>
      <c r="CT172" s="174"/>
      <c r="CU172" s="174"/>
      <c r="CV172" s="174"/>
      <c r="CW172" s="174"/>
      <c r="CX172" s="263"/>
      <c r="CY172" s="48"/>
      <c r="CZ172" s="280"/>
      <c r="DA172" s="48"/>
      <c r="DB172" s="174">
        <v>2800</v>
      </c>
      <c r="DC172" s="281"/>
      <c r="DD172" s="48">
        <v>0</v>
      </c>
      <c r="DE172" s="174">
        <f>+DE173-DE170</f>
        <v>0</v>
      </c>
      <c r="DF172" s="174">
        <f>+DF173-DF170</f>
        <v>0</v>
      </c>
      <c r="DG172" s="174">
        <f>+DG173-DG170</f>
        <v>0</v>
      </c>
      <c r="DH172" s="263">
        <v>0</v>
      </c>
      <c r="DI172" s="1379">
        <v>0</v>
      </c>
      <c r="DJ172" s="1379">
        <v>0</v>
      </c>
      <c r="DK172" s="1379">
        <v>0</v>
      </c>
      <c r="DL172" s="1379">
        <v>0</v>
      </c>
      <c r="DM172" s="1381">
        <f>SUM(DI172:DL172)</f>
        <v>0</v>
      </c>
      <c r="DN172" s="1379">
        <v>0</v>
      </c>
      <c r="DO172" s="1379">
        <v>0</v>
      </c>
      <c r="DP172" s="1379">
        <v>0</v>
      </c>
      <c r="DQ172" s="1379">
        <v>0</v>
      </c>
      <c r="DR172" s="1381">
        <f>SUM(DN172:DQ172)</f>
        <v>0</v>
      </c>
      <c r="DS172" s="1379">
        <v>0</v>
      </c>
      <c r="DT172" s="1379">
        <v>0</v>
      </c>
      <c r="DU172" s="1379">
        <v>0</v>
      </c>
      <c r="DV172" s="1379">
        <v>0</v>
      </c>
      <c r="DW172" s="1381">
        <f>SUM(DS172:DV172)</f>
        <v>0</v>
      </c>
      <c r="DX172" s="1379">
        <v>0</v>
      </c>
      <c r="DY172" s="1379">
        <v>0</v>
      </c>
      <c r="DZ172" s="1379">
        <v>0</v>
      </c>
      <c r="EA172" s="1379">
        <v>0</v>
      </c>
      <c r="EB172" s="1381">
        <f>SUM(DX172:EA172)</f>
        <v>0</v>
      </c>
      <c r="EC172" s="1379">
        <v>0</v>
      </c>
      <c r="ED172" s="1379">
        <v>0</v>
      </c>
      <c r="EE172" s="1379">
        <v>0</v>
      </c>
      <c r="EF172" s="1379">
        <v>0</v>
      </c>
      <c r="EG172" s="1381">
        <f>SUM(EC172:EF172)</f>
        <v>0</v>
      </c>
      <c r="EH172" s="1379">
        <v>0</v>
      </c>
      <c r="EI172" s="1379">
        <v>0</v>
      </c>
      <c r="EJ172" s="1379">
        <v>0</v>
      </c>
      <c r="EK172" s="1379">
        <v>0</v>
      </c>
      <c r="EL172" s="1381">
        <f>SUM(EH172:EK172)</f>
        <v>0</v>
      </c>
    </row>
    <row r="173" spans="1:142">
      <c r="A173" s="225"/>
      <c r="B173" s="209" t="s">
        <v>299</v>
      </c>
      <c r="C173" s="9"/>
      <c r="D173" s="9"/>
      <c r="E173" s="9"/>
      <c r="F173" s="9"/>
      <c r="G173" s="9"/>
      <c r="H173" s="63"/>
      <c r="I173" s="9"/>
      <c r="J173" s="9"/>
      <c r="K173" s="9"/>
      <c r="L173" s="9"/>
      <c r="M173" s="63"/>
      <c r="N173" s="9"/>
      <c r="O173" s="9"/>
      <c r="P173" s="9"/>
      <c r="Q173" s="9"/>
      <c r="R173" s="63"/>
      <c r="S173" s="9"/>
      <c r="T173" s="9"/>
      <c r="U173" s="9"/>
      <c r="V173" s="9"/>
      <c r="W173" s="63"/>
      <c r="X173" s="9"/>
      <c r="Y173" s="9"/>
      <c r="Z173" s="9"/>
      <c r="AA173" s="9"/>
      <c r="AB173" s="63"/>
      <c r="AC173" s="9"/>
      <c r="AD173" s="9"/>
      <c r="AE173" s="9"/>
      <c r="AF173" s="9"/>
      <c r="AG173" s="63"/>
      <c r="AH173" s="9"/>
      <c r="AI173" s="9"/>
      <c r="AJ173" s="9"/>
      <c r="AK173" s="9"/>
      <c r="AL173" s="63"/>
      <c r="AM173" s="9"/>
      <c r="AN173" s="9"/>
      <c r="AO173" s="9"/>
      <c r="AP173" s="9"/>
      <c r="AQ173" s="47"/>
      <c r="AR173" s="9"/>
      <c r="AS173" s="9"/>
      <c r="AT173" s="9"/>
      <c r="AU173" s="186"/>
      <c r="AV173" s="9"/>
      <c r="AW173" s="9"/>
      <c r="AX173" s="9"/>
      <c r="AY173" s="9"/>
      <c r="AZ173" s="47"/>
      <c r="BA173" s="26"/>
      <c r="BB173" s="282"/>
      <c r="BC173" s="282"/>
      <c r="BD173" s="282"/>
      <c r="BE173" s="47"/>
      <c r="BF173" s="26"/>
      <c r="BG173" s="282"/>
      <c r="BH173" s="282"/>
      <c r="BI173" s="282"/>
      <c r="BJ173" s="47"/>
      <c r="BK173" s="146"/>
      <c r="BL173" s="162"/>
      <c r="BM173" s="162"/>
      <c r="BN173" s="162"/>
      <c r="BO173" s="266"/>
      <c r="BP173" s="146"/>
      <c r="BQ173" s="162"/>
      <c r="BR173" s="162"/>
      <c r="BS173" s="162"/>
      <c r="BT173" s="266"/>
      <c r="BU173" s="146"/>
      <c r="BV173" s="162"/>
      <c r="BW173" s="162"/>
      <c r="BX173" s="162"/>
      <c r="BY173" s="266"/>
      <c r="BZ173" s="146"/>
      <c r="CA173" s="162"/>
      <c r="CB173" s="162"/>
      <c r="CC173" s="162"/>
      <c r="CD173" s="266"/>
      <c r="CE173" s="267"/>
      <c r="CF173" s="267"/>
      <c r="CG173" s="267"/>
      <c r="CH173" s="267"/>
      <c r="CI173" s="170"/>
      <c r="CJ173" s="267"/>
      <c r="CK173" s="267"/>
      <c r="CL173" s="267"/>
      <c r="CM173" s="267"/>
      <c r="CN173" s="170"/>
      <c r="CO173" s="267"/>
      <c r="CP173" s="267"/>
      <c r="CQ173" s="267"/>
      <c r="CR173" s="267"/>
      <c r="CS173" s="170"/>
      <c r="CT173" s="267"/>
      <c r="CU173" s="267"/>
      <c r="CV173" s="267"/>
      <c r="CW173" s="165"/>
      <c r="CX173" s="170"/>
      <c r="CY173" s="22"/>
      <c r="CZ173" s="22"/>
      <c r="DA173" s="22"/>
      <c r="DB173" s="283">
        <v>2800</v>
      </c>
      <c r="DC173" s="47">
        <f>DB173</f>
        <v>2800</v>
      </c>
      <c r="DD173" s="284">
        <v>2800</v>
      </c>
      <c r="DE173" s="283">
        <v>2800</v>
      </c>
      <c r="DF173" s="283">
        <v>2800</v>
      </c>
      <c r="DG173" s="283">
        <v>2800</v>
      </c>
      <c r="DH173" s="47"/>
      <c r="DI173" s="539">
        <f>SUM(DI170:DI172)</f>
        <v>2800</v>
      </c>
      <c r="DJ173" s="539">
        <f>SUM(DJ170:DJ172)</f>
        <v>2800</v>
      </c>
      <c r="DK173" s="539">
        <f>SUM(DK170:DK172)</f>
        <v>2800</v>
      </c>
      <c r="DL173" s="539">
        <f>SUM(DL170:DL172)</f>
        <v>2800</v>
      </c>
      <c r="DM173" s="1380">
        <f>DL173</f>
        <v>2800</v>
      </c>
      <c r="DN173" s="539">
        <f>SUM(DN170:DN172)</f>
        <v>2800</v>
      </c>
      <c r="DO173" s="539">
        <f>SUM(DO170:DO172)</f>
        <v>2800</v>
      </c>
      <c r="DP173" s="1401">
        <f>SUM(DP170:DP172)</f>
        <v>2800</v>
      </c>
      <c r="DQ173" s="1401">
        <f>SUM(DQ170:DQ172)</f>
        <v>2800</v>
      </c>
      <c r="DR173" s="1380">
        <f>DQ173</f>
        <v>2800</v>
      </c>
      <c r="DS173" s="539">
        <f>SUM(DS170:DS172)</f>
        <v>2800</v>
      </c>
      <c r="DT173" s="539">
        <f>SUM(DT170:DT172)</f>
        <v>2800</v>
      </c>
      <c r="DU173" s="1401">
        <f>SUM(DU170:DU172)</f>
        <v>2800</v>
      </c>
      <c r="DV173" s="1401">
        <f>SUM(DV170:DV172)</f>
        <v>2800</v>
      </c>
      <c r="DW173" s="1380">
        <f>DV173</f>
        <v>2800</v>
      </c>
      <c r="DX173" s="539">
        <f>SUM(DX170:DX172)</f>
        <v>2800</v>
      </c>
      <c r="DY173" s="539">
        <f>SUM(DY170:DY172)</f>
        <v>2800</v>
      </c>
      <c r="DZ173" s="1401">
        <f>SUM(DZ170:DZ172)</f>
        <v>2800</v>
      </c>
      <c r="EA173" s="1401">
        <f>SUM(EA170:EA172)</f>
        <v>2800</v>
      </c>
      <c r="EB173" s="1380">
        <f>EA173</f>
        <v>2800</v>
      </c>
      <c r="EC173" s="539">
        <f>SUM(EC170:EC172)</f>
        <v>2800</v>
      </c>
      <c r="ED173" s="539">
        <f>SUM(ED170:ED172)</f>
        <v>2800</v>
      </c>
      <c r="EE173" s="1401">
        <f>SUM(EE170:EE172)</f>
        <v>2800</v>
      </c>
      <c r="EF173" s="1401">
        <f>SUM(EF170:EF172)</f>
        <v>2800</v>
      </c>
      <c r="EG173" s="1380">
        <f>EF173</f>
        <v>2800</v>
      </c>
      <c r="EH173" s="539">
        <f>SUM(EH170:EH172)</f>
        <v>2800</v>
      </c>
      <c r="EI173" s="539">
        <f>SUM(EI170:EI172)</f>
        <v>2800</v>
      </c>
      <c r="EJ173" s="1401">
        <f>SUM(EJ170:EJ172)</f>
        <v>2800</v>
      </c>
      <c r="EK173" s="1401">
        <f>SUM(EK170:EK172)</f>
        <v>2800</v>
      </c>
      <c r="EL173" s="1380">
        <f>EK173</f>
        <v>2800</v>
      </c>
    </row>
    <row r="174" spans="1:142">
      <c r="A174" s="225"/>
      <c r="B174" s="214" t="s">
        <v>300</v>
      </c>
      <c r="C174" s="48"/>
      <c r="D174" s="48"/>
      <c r="E174" s="48"/>
      <c r="F174" s="48"/>
      <c r="G174" s="48"/>
      <c r="H174" s="64"/>
      <c r="I174" s="48"/>
      <c r="J174" s="48"/>
      <c r="K174" s="48"/>
      <c r="L174" s="48"/>
      <c r="M174" s="64"/>
      <c r="N174" s="48"/>
      <c r="O174" s="48"/>
      <c r="P174" s="48"/>
      <c r="Q174" s="48"/>
      <c r="R174" s="64"/>
      <c r="S174" s="48"/>
      <c r="T174" s="48"/>
      <c r="U174" s="48"/>
      <c r="V174" s="48"/>
      <c r="W174" s="64"/>
      <c r="X174" s="48"/>
      <c r="Y174" s="48"/>
      <c r="Z174" s="48"/>
      <c r="AA174" s="48"/>
      <c r="AB174" s="64"/>
      <c r="AC174" s="48"/>
      <c r="AD174" s="48"/>
      <c r="AE174" s="48"/>
      <c r="AF174" s="48"/>
      <c r="AG174" s="64"/>
      <c r="AH174" s="48"/>
      <c r="AI174" s="48"/>
      <c r="AJ174" s="48"/>
      <c r="AK174" s="48"/>
      <c r="AL174" s="64"/>
      <c r="AM174" s="48"/>
      <c r="AN174" s="48"/>
      <c r="AO174" s="48"/>
      <c r="AP174" s="48"/>
      <c r="AQ174" s="52"/>
      <c r="AR174" s="48"/>
      <c r="AS174" s="48"/>
      <c r="AT174" s="48"/>
      <c r="AU174" s="217"/>
      <c r="AV174" s="48"/>
      <c r="AW174" s="48"/>
      <c r="AX174" s="48"/>
      <c r="AY174" s="48"/>
      <c r="AZ174" s="52"/>
      <c r="BA174" s="287"/>
      <c r="BB174" s="51"/>
      <c r="BC174" s="51"/>
      <c r="BD174" s="287"/>
      <c r="BE174" s="52"/>
      <c r="BF174" s="287"/>
      <c r="BG174" s="51"/>
      <c r="BH174" s="287"/>
      <c r="BI174" s="287"/>
      <c r="BJ174" s="52"/>
      <c r="BK174" s="215"/>
      <c r="BL174" s="215"/>
      <c r="BM174" s="275"/>
      <c r="BN174" s="215"/>
      <c r="BO174" s="263"/>
      <c r="BP174" s="215"/>
      <c r="BQ174" s="215"/>
      <c r="BR174" s="275"/>
      <c r="BS174" s="215"/>
      <c r="BT174" s="263"/>
      <c r="BU174" s="215"/>
      <c r="BV174" s="215"/>
      <c r="BW174" s="275"/>
      <c r="BX174" s="215"/>
      <c r="BY174" s="263"/>
      <c r="BZ174" s="215"/>
      <c r="CA174" s="215"/>
      <c r="CB174" s="275"/>
      <c r="CC174" s="215"/>
      <c r="CD174" s="263"/>
      <c r="CE174" s="276"/>
      <c r="CF174" s="276"/>
      <c r="CG174" s="276"/>
      <c r="CH174" s="276"/>
      <c r="CI174" s="263"/>
      <c r="CJ174" s="276"/>
      <c r="CK174" s="276"/>
      <c r="CL174" s="276"/>
      <c r="CM174" s="276"/>
      <c r="CN174" s="263"/>
      <c r="CO174" s="276"/>
      <c r="CP174" s="276"/>
      <c r="CQ174" s="276"/>
      <c r="CR174" s="276"/>
      <c r="CS174" s="263"/>
      <c r="CT174" s="276"/>
      <c r="CU174" s="276"/>
      <c r="CV174" s="276"/>
      <c r="CW174" s="276"/>
      <c r="CX174" s="263"/>
      <c r="CY174" s="49"/>
      <c r="CZ174" s="49"/>
      <c r="DA174" s="49"/>
      <c r="DB174" s="49">
        <f>DB169/4*DB172</f>
        <v>56.875</v>
      </c>
      <c r="DC174" s="52"/>
      <c r="DD174" s="49">
        <f>DD169/4*AVERAGE(DD173,DD170)</f>
        <v>56.875</v>
      </c>
      <c r="DE174" s="49">
        <f>DE169/4*AVERAGE(DE173,DE170)</f>
        <v>56.875</v>
      </c>
      <c r="DF174" s="49">
        <f>DF169/4*AVERAGE(DF173,DF170)</f>
        <v>56.875</v>
      </c>
      <c r="DG174" s="49">
        <f>DG169/4*AVERAGE(DG173,DG170)</f>
        <v>56.875</v>
      </c>
      <c r="DH174" s="263">
        <f>SUM(DD174:DG174)</f>
        <v>227.5</v>
      </c>
      <c r="DI174" s="1342">
        <f>DI169/4*AVERAGE(DI173,DI170)</f>
        <v>56.875</v>
      </c>
      <c r="DJ174" s="1342">
        <f>DJ169/4*AVERAGE(DJ173,DJ170)</f>
        <v>56.875</v>
      </c>
      <c r="DK174" s="1342">
        <f>DK169/4*AVERAGE(DK173,DK170)</f>
        <v>56.875</v>
      </c>
      <c r="DL174" s="1342">
        <f>DL169/4*AVERAGE(DL173,DL170)</f>
        <v>56.875</v>
      </c>
      <c r="DM174" s="1353">
        <f>SUM(DI174:DL174)</f>
        <v>227.5</v>
      </c>
      <c r="DN174" s="1342">
        <f>DN169/4*AVERAGE(DN173,DN170)</f>
        <v>56.875</v>
      </c>
      <c r="DO174" s="1342">
        <f>DO169/4*AVERAGE(DO173,DO170)</f>
        <v>56.875</v>
      </c>
      <c r="DP174" s="1342">
        <f>DP169/4*AVERAGE(DP173,DP170)</f>
        <v>56.875</v>
      </c>
      <c r="DQ174" s="1342">
        <f>DQ169/4*AVERAGE(DQ173,DQ170)</f>
        <v>56.875</v>
      </c>
      <c r="DR174" s="1353">
        <f>SUM(DN174:DQ174)</f>
        <v>227.5</v>
      </c>
      <c r="DS174" s="1342">
        <f>DS169/4*AVERAGE(DS173,DS170)</f>
        <v>56.875</v>
      </c>
      <c r="DT174" s="1342">
        <f>DT169/4*AVERAGE(DT173,DT170)</f>
        <v>56.875</v>
      </c>
      <c r="DU174" s="1342">
        <f>DU169/4*AVERAGE(DU173,DU170)</f>
        <v>56.875</v>
      </c>
      <c r="DV174" s="1342">
        <f>DV169/4*AVERAGE(DV173,DV170)</f>
        <v>56.875</v>
      </c>
      <c r="DW174" s="1353">
        <f>SUM(DS174:DV174)</f>
        <v>227.5</v>
      </c>
      <c r="DX174" s="1342">
        <f>DX169/4*AVERAGE(DX173,DX170)</f>
        <v>56.91</v>
      </c>
      <c r="DY174" s="1342">
        <f>DY169/4*AVERAGE(DY173,DY170)</f>
        <v>56.875</v>
      </c>
      <c r="DZ174" s="1342">
        <f>DZ169/4*AVERAGE(DZ173,DZ170)</f>
        <v>56.875</v>
      </c>
      <c r="EA174" s="1342">
        <f>EA169/4*AVERAGE(EA173,EA170)</f>
        <v>56.875</v>
      </c>
      <c r="EB174" s="1353">
        <f>SUM(DX174:EA174)</f>
        <v>227.535</v>
      </c>
      <c r="EC174" s="1342">
        <f>EC169/4*AVERAGE(EC173,EC170)</f>
        <v>56.875</v>
      </c>
      <c r="ED174" s="1342">
        <f>ED169/4*AVERAGE(ED173,ED170)</f>
        <v>56.875</v>
      </c>
      <c r="EE174" s="1342">
        <f>EE169/4*AVERAGE(EE173,EE170)</f>
        <v>56.875</v>
      </c>
      <c r="EF174" s="1342">
        <f>EF169/4*AVERAGE(EF173,EF170)</f>
        <v>56.875</v>
      </c>
      <c r="EG174" s="1353">
        <f>SUM(EC174:EF174)</f>
        <v>227.5</v>
      </c>
      <c r="EH174" s="1342">
        <f>EH169/4*AVERAGE(EH173,EH170)</f>
        <v>56.875</v>
      </c>
      <c r="EI174" s="1342">
        <f>EI169/4*AVERAGE(EI173,EI170)</f>
        <v>56.875</v>
      </c>
      <c r="EJ174" s="1342">
        <f>EJ169/4*AVERAGE(EJ173,EJ170)</f>
        <v>56.875</v>
      </c>
      <c r="EK174" s="1342">
        <f>EK169/4*AVERAGE(EK173,EK170)</f>
        <v>56.875</v>
      </c>
      <c r="EL174" s="1353">
        <f>SUM(EH174:EK174)</f>
        <v>227.5</v>
      </c>
    </row>
    <row r="175" spans="1:142" hidden="1" outlineLevel="1">
      <c r="A175" s="225"/>
      <c r="B175" s="1326"/>
      <c r="C175" s="9"/>
      <c r="D175" s="9"/>
      <c r="E175" s="9"/>
      <c r="F175" s="9"/>
      <c r="G175" s="9"/>
      <c r="H175" s="63"/>
      <c r="I175" s="9"/>
      <c r="J175" s="9"/>
      <c r="K175" s="9"/>
      <c r="L175" s="9"/>
      <c r="M175" s="63"/>
      <c r="N175" s="9"/>
      <c r="O175" s="9"/>
      <c r="P175" s="9"/>
      <c r="Q175" s="9"/>
      <c r="R175" s="63"/>
      <c r="S175" s="9"/>
      <c r="T175" s="9"/>
      <c r="U175" s="9"/>
      <c r="V175" s="9"/>
      <c r="W175" s="63"/>
      <c r="X175" s="9"/>
      <c r="Y175" s="9"/>
      <c r="Z175" s="9"/>
      <c r="AA175" s="9"/>
      <c r="AB175" s="63"/>
      <c r="AC175" s="9"/>
      <c r="AD175" s="9"/>
      <c r="AE175" s="9"/>
      <c r="AF175" s="9"/>
      <c r="AG175" s="63"/>
      <c r="AH175" s="9"/>
      <c r="AI175" s="9"/>
      <c r="AJ175" s="9"/>
      <c r="AK175" s="9"/>
      <c r="AL175" s="63"/>
      <c r="AM175" s="53"/>
      <c r="AN175" s="53"/>
      <c r="AO175" s="53"/>
      <c r="AP175" s="53"/>
      <c r="AQ175" s="28"/>
      <c r="AR175" s="53"/>
      <c r="AS175" s="53"/>
      <c r="AT175" s="53"/>
      <c r="AU175" s="186"/>
      <c r="AV175" s="240"/>
      <c r="AW175" s="240"/>
      <c r="AX175" s="240"/>
      <c r="AY175" s="240"/>
      <c r="AZ175" s="241"/>
      <c r="BA175" s="240"/>
      <c r="BB175" s="240"/>
      <c r="BC175" s="240"/>
      <c r="BD175" s="240"/>
      <c r="BE175" s="241"/>
      <c r="BF175" s="240"/>
      <c r="BG175" s="240"/>
      <c r="BH175" s="240"/>
      <c r="BI175" s="240"/>
      <c r="BJ175" s="241"/>
      <c r="BK175" s="171"/>
      <c r="BL175" s="171"/>
      <c r="BM175" s="87"/>
      <c r="BN175" s="171"/>
      <c r="BO175" s="170"/>
      <c r="BP175" s="171"/>
      <c r="BQ175" s="171"/>
      <c r="BR175" s="87"/>
      <c r="BS175" s="171"/>
      <c r="BT175" s="170"/>
      <c r="BU175" s="171"/>
      <c r="BV175" s="171"/>
      <c r="BW175" s="87"/>
      <c r="BX175" s="171"/>
      <c r="BY175" s="170"/>
      <c r="BZ175" s="171"/>
      <c r="CA175" s="171"/>
      <c r="CB175" s="87"/>
      <c r="CC175" s="171"/>
      <c r="CD175" s="170"/>
      <c r="CE175" s="173"/>
      <c r="CF175" s="173"/>
      <c r="CG175" s="173"/>
      <c r="CH175" s="173"/>
      <c r="CI175" s="170"/>
      <c r="CJ175" s="173"/>
      <c r="CK175" s="173"/>
      <c r="CL175" s="173"/>
      <c r="CM175" s="173"/>
      <c r="CN175" s="170"/>
      <c r="CO175" s="173"/>
      <c r="CP175" s="173"/>
      <c r="CQ175" s="173"/>
      <c r="CR175" s="173"/>
      <c r="CS175" s="170"/>
      <c r="CT175" s="173"/>
      <c r="CU175" s="173"/>
      <c r="CV175" s="173"/>
      <c r="CW175" s="173"/>
      <c r="CX175" s="170"/>
      <c r="CY175" s="173"/>
      <c r="CZ175" s="173"/>
      <c r="DA175" s="173"/>
      <c r="DB175" s="173"/>
      <c r="DC175" s="170"/>
      <c r="DD175" s="173"/>
      <c r="DE175" s="173"/>
      <c r="DF175" s="173"/>
      <c r="DG175" s="173"/>
      <c r="DH175" s="170"/>
      <c r="DI175" s="545"/>
      <c r="DJ175" s="545"/>
      <c r="DK175" s="545"/>
      <c r="DL175" s="545"/>
      <c r="DM175" s="538"/>
      <c r="DN175" s="545"/>
      <c r="DO175" s="545"/>
      <c r="DP175" s="545"/>
      <c r="DQ175" s="545"/>
      <c r="DR175" s="538"/>
      <c r="DS175" s="545"/>
      <c r="DT175" s="545"/>
      <c r="DU175" s="545"/>
      <c r="DV175" s="545"/>
      <c r="DW175" s="538"/>
      <c r="DX175" s="545"/>
      <c r="DY175" s="545"/>
      <c r="DZ175" s="545"/>
      <c r="EA175" s="545"/>
      <c r="EB175" s="538"/>
      <c r="EC175" s="545"/>
      <c r="ED175" s="545"/>
      <c r="EE175" s="545"/>
      <c r="EF175" s="545"/>
      <c r="EG175" s="538"/>
      <c r="EH175" s="545"/>
      <c r="EI175" s="545"/>
      <c r="EJ175" s="545"/>
      <c r="EK175" s="545"/>
      <c r="EL175" s="538"/>
    </row>
    <row r="176" spans="1:142" hidden="1" outlineLevel="1">
      <c r="A176" s="225"/>
      <c r="B176" s="1326" t="s">
        <v>672</v>
      </c>
      <c r="C176" s="9"/>
      <c r="D176" s="9"/>
      <c r="E176" s="9"/>
      <c r="F176" s="9"/>
      <c r="G176" s="9"/>
      <c r="H176" s="63"/>
      <c r="I176" s="9"/>
      <c r="J176" s="9"/>
      <c r="K176" s="9"/>
      <c r="L176" s="9"/>
      <c r="M176" s="63"/>
      <c r="N176" s="9"/>
      <c r="O176" s="9"/>
      <c r="P176" s="9"/>
      <c r="Q176" s="9"/>
      <c r="R176" s="63"/>
      <c r="S176" s="9"/>
      <c r="T176" s="9"/>
      <c r="U176" s="9"/>
      <c r="V176" s="9"/>
      <c r="W176" s="63"/>
      <c r="X176" s="9"/>
      <c r="Y176" s="9"/>
      <c r="Z176" s="9"/>
      <c r="AA176" s="9"/>
      <c r="AB176" s="63"/>
      <c r="AC176" s="9"/>
      <c r="AD176" s="9"/>
      <c r="AE176" s="9"/>
      <c r="AF176" s="9"/>
      <c r="AG176" s="63"/>
      <c r="AH176" s="9"/>
      <c r="AI176" s="9"/>
      <c r="AJ176" s="9"/>
      <c r="AK176" s="9"/>
      <c r="AL176" s="63"/>
      <c r="AM176" s="53"/>
      <c r="AN176" s="53"/>
      <c r="AO176" s="53"/>
      <c r="AP176" s="53"/>
      <c r="AQ176" s="28"/>
      <c r="AR176" s="53"/>
      <c r="AS176" s="53"/>
      <c r="AT176" s="53"/>
      <c r="AU176" s="186"/>
      <c r="AV176" s="240"/>
      <c r="AW176" s="240"/>
      <c r="AX176" s="240"/>
      <c r="AY176" s="240"/>
      <c r="AZ176" s="241"/>
      <c r="BA176" s="240"/>
      <c r="BB176" s="240"/>
      <c r="BC176" s="240"/>
      <c r="BD176" s="240"/>
      <c r="BE176" s="241"/>
      <c r="BF176" s="240"/>
      <c r="BG176" s="240"/>
      <c r="BH176" s="240"/>
      <c r="BI176" s="240"/>
      <c r="BJ176" s="241"/>
      <c r="BK176" s="171"/>
      <c r="BL176" s="171"/>
      <c r="BM176" s="87"/>
      <c r="BN176" s="171"/>
      <c r="BO176" s="170"/>
      <c r="BP176" s="171"/>
      <c r="BQ176" s="171"/>
      <c r="BR176" s="87"/>
      <c r="BS176" s="171"/>
      <c r="BT176" s="170"/>
      <c r="BU176" s="171"/>
      <c r="BV176" s="171"/>
      <c r="BW176" s="87"/>
      <c r="BX176" s="171"/>
      <c r="BY176" s="170"/>
      <c r="BZ176" s="171"/>
      <c r="CA176" s="171"/>
      <c r="CB176" s="87"/>
      <c r="CC176" s="171"/>
      <c r="CD176" s="170"/>
      <c r="CE176" s="173"/>
      <c r="CF176" s="173"/>
      <c r="CG176" s="173"/>
      <c r="CH176" s="173"/>
      <c r="CI176" s="170"/>
      <c r="CJ176" s="173"/>
      <c r="CK176" s="173"/>
      <c r="CL176" s="173"/>
      <c r="CM176" s="173"/>
      <c r="CN176" s="170"/>
      <c r="CO176" s="173"/>
      <c r="CP176" s="173"/>
      <c r="CQ176" s="173"/>
      <c r="CR176" s="173"/>
      <c r="CS176" s="170"/>
      <c r="CT176" s="173"/>
      <c r="CU176" s="173"/>
      <c r="CV176" s="173"/>
      <c r="CW176" s="173"/>
      <c r="CX176" s="170"/>
      <c r="CY176" s="173"/>
      <c r="CZ176" s="173"/>
      <c r="DA176" s="173"/>
      <c r="DB176" s="173"/>
      <c r="DC176" s="170"/>
      <c r="DD176" s="173"/>
      <c r="DE176" s="173"/>
      <c r="DF176" s="173"/>
      <c r="DG176" s="173"/>
      <c r="DH176" s="170"/>
      <c r="DI176" s="545"/>
      <c r="DJ176" s="545"/>
      <c r="DK176" s="545"/>
      <c r="DL176" s="545"/>
      <c r="DM176" s="538"/>
      <c r="DN176" s="545"/>
      <c r="DO176" s="545"/>
      <c r="DP176" s="545"/>
      <c r="DQ176" s="545"/>
      <c r="DR176" s="538"/>
      <c r="DS176" s="545"/>
      <c r="DT176" s="739">
        <f>DT166+DT172</f>
        <v>1441</v>
      </c>
      <c r="DU176" s="739">
        <f>DU166+DU172</f>
        <v>640</v>
      </c>
      <c r="DV176" s="739">
        <f>DV166+DV172</f>
        <v>698</v>
      </c>
      <c r="DW176" s="739"/>
      <c r="DX176" s="739">
        <f>DX166+DX172</f>
        <v>829.37035815589047</v>
      </c>
      <c r="DY176" s="739">
        <f>DY166+DY172</f>
        <v>605.37663535468891</v>
      </c>
      <c r="DZ176" s="739">
        <f>DZ166+DZ172</f>
        <v>853.21887238129329</v>
      </c>
      <c r="EA176" s="739">
        <f>EA166+EA172</f>
        <v>567.71087398451732</v>
      </c>
      <c r="EB176" s="739"/>
      <c r="EC176" s="739">
        <f>EC166+EC172</f>
        <v>376.97417916896063</v>
      </c>
      <c r="ED176" s="739">
        <f>ED166+ED172</f>
        <v>520.54772891988341</v>
      </c>
      <c r="EE176" s="739">
        <f>EE166+EE172</f>
        <v>689.98221824519351</v>
      </c>
      <c r="EF176" s="739">
        <f>EF166+EF172</f>
        <v>714.63062624325505</v>
      </c>
      <c r="EG176" s="53"/>
      <c r="EH176" s="739">
        <f>EH166+EH172</f>
        <v>657.96794350851678</v>
      </c>
      <c r="EI176" s="739">
        <f>EI166+EI172</f>
        <v>602.90493870577018</v>
      </c>
      <c r="EJ176" s="739">
        <f>EJ166+EJ172</f>
        <v>652.42194509847184</v>
      </c>
      <c r="EK176" s="739">
        <f>EK166+EK172</f>
        <v>471.25813137678415</v>
      </c>
      <c r="EL176" s="53"/>
    </row>
    <row r="177" spans="1:142" collapsed="1">
      <c r="A177" s="225"/>
      <c r="B177" s="1326"/>
      <c r="C177" s="9"/>
      <c r="D177" s="9"/>
      <c r="E177" s="9"/>
      <c r="F177" s="9"/>
      <c r="G177" s="9"/>
      <c r="H177" s="63"/>
      <c r="I177" s="9"/>
      <c r="J177" s="9"/>
      <c r="K177" s="9"/>
      <c r="L177" s="9"/>
      <c r="M177" s="63"/>
      <c r="N177" s="9"/>
      <c r="O177" s="9"/>
      <c r="P177" s="9"/>
      <c r="Q177" s="9"/>
      <c r="R177" s="63"/>
      <c r="S177" s="9"/>
      <c r="T177" s="9"/>
      <c r="U177" s="9"/>
      <c r="V177" s="9"/>
      <c r="W177" s="63"/>
      <c r="X177" s="9"/>
      <c r="Y177" s="9"/>
      <c r="Z177" s="9"/>
      <c r="AA177" s="9"/>
      <c r="AB177" s="63"/>
      <c r="AC177" s="9"/>
      <c r="AD177" s="9"/>
      <c r="AE177" s="9"/>
      <c r="AF177" s="9"/>
      <c r="AG177" s="63"/>
      <c r="AH177" s="9"/>
      <c r="AI177" s="9"/>
      <c r="AJ177" s="9"/>
      <c r="AK177" s="9"/>
      <c r="AL177" s="63"/>
      <c r="AM177" s="53"/>
      <c r="AN177" s="53"/>
      <c r="AO177" s="53"/>
      <c r="AP177" s="53"/>
      <c r="AQ177" s="28"/>
      <c r="AR177" s="53"/>
      <c r="AS177" s="53"/>
      <c r="AT177" s="53"/>
      <c r="AU177" s="186"/>
      <c r="AV177" s="240"/>
      <c r="AW177" s="240"/>
      <c r="AX177" s="240"/>
      <c r="AY177" s="240"/>
      <c r="AZ177" s="241"/>
      <c r="BA177" s="240"/>
      <c r="BB177" s="240"/>
      <c r="BC177" s="240"/>
      <c r="BD177" s="240"/>
      <c r="BE177" s="241"/>
      <c r="BF177" s="240"/>
      <c r="BG177" s="240"/>
      <c r="BH177" s="240"/>
      <c r="BI177" s="240"/>
      <c r="BJ177" s="241"/>
      <c r="BK177" s="171"/>
      <c r="BL177" s="171"/>
      <c r="BM177" s="87"/>
      <c r="BN177" s="171"/>
      <c r="BO177" s="170"/>
      <c r="BP177" s="171"/>
      <c r="BQ177" s="171"/>
      <c r="BR177" s="87"/>
      <c r="BS177" s="171"/>
      <c r="BT177" s="170"/>
      <c r="BU177" s="171"/>
      <c r="BV177" s="171"/>
      <c r="BW177" s="87"/>
      <c r="BX177" s="171"/>
      <c r="BY177" s="170"/>
      <c r="BZ177" s="171"/>
      <c r="CA177" s="171"/>
      <c r="CB177" s="87"/>
      <c r="CC177" s="171"/>
      <c r="CD177" s="170"/>
      <c r="CE177" s="173"/>
      <c r="CF177" s="173"/>
      <c r="CG177" s="173"/>
      <c r="CH177" s="173"/>
      <c r="CI177" s="170"/>
      <c r="CJ177" s="173"/>
      <c r="CK177" s="173"/>
      <c r="CL177" s="173"/>
      <c r="CM177" s="173"/>
      <c r="CN177" s="170"/>
      <c r="CO177" s="173"/>
      <c r="CP177" s="173"/>
      <c r="CQ177" s="173"/>
      <c r="CR177" s="173"/>
      <c r="CS177" s="170"/>
      <c r="CT177" s="173"/>
      <c r="CU177" s="173"/>
      <c r="CV177" s="173"/>
      <c r="CW177" s="173"/>
      <c r="CX177" s="170"/>
      <c r="CY177" s="173"/>
      <c r="CZ177" s="173"/>
      <c r="DA177" s="173"/>
      <c r="DB177" s="173"/>
      <c r="DC177" s="170"/>
      <c r="DD177" s="173"/>
      <c r="DE177" s="173"/>
      <c r="DF177" s="173"/>
      <c r="DG177" s="173"/>
      <c r="DH177" s="170"/>
      <c r="DI177" s="545"/>
      <c r="DJ177" s="545"/>
      <c r="DK177" s="545"/>
      <c r="DL177" s="545"/>
      <c r="DM177" s="538"/>
      <c r="DN177" s="545"/>
      <c r="DO177" s="545"/>
      <c r="DP177" s="545"/>
      <c r="DQ177" s="545"/>
      <c r="DR177" s="538"/>
      <c r="DS177" s="545"/>
      <c r="DT177" s="739"/>
      <c r="DU177" s="739"/>
      <c r="DV177" s="739"/>
      <c r="DW177" s="739"/>
      <c r="DX177" s="739"/>
      <c r="DY177" s="739"/>
      <c r="DZ177" s="739"/>
      <c r="EA177" s="739"/>
      <c r="EB177" s="739"/>
      <c r="EC177" s="739"/>
      <c r="ED177" s="739"/>
      <c r="EE177" s="739"/>
      <c r="EF177" s="739"/>
      <c r="EG177" s="53"/>
      <c r="EH177" s="739"/>
      <c r="EI177" s="739"/>
      <c r="EJ177" s="739"/>
      <c r="EK177" s="739"/>
      <c r="EL177" s="53"/>
    </row>
    <row r="178" spans="1:142">
      <c r="A178" s="1329"/>
      <c r="B178" s="293" t="s">
        <v>589</v>
      </c>
      <c r="C178" s="231"/>
      <c r="D178" s="231"/>
      <c r="E178" s="231"/>
      <c r="F178" s="231"/>
      <c r="G178" s="231"/>
      <c r="H178" s="294"/>
      <c r="I178" s="231"/>
      <c r="J178" s="231"/>
      <c r="K178" s="231"/>
      <c r="L178" s="231"/>
      <c r="M178" s="294"/>
      <c r="N178" s="231"/>
      <c r="O178" s="231"/>
      <c r="P178" s="231"/>
      <c r="Q178" s="231"/>
      <c r="R178" s="294"/>
      <c r="S178" s="231"/>
      <c r="T178" s="231"/>
      <c r="U178" s="231"/>
      <c r="V178" s="231"/>
      <c r="W178" s="294"/>
      <c r="X178" s="231"/>
      <c r="Y178" s="231"/>
      <c r="Z178" s="231"/>
      <c r="AA178" s="231"/>
      <c r="AB178" s="294"/>
      <c r="AC178" s="231"/>
      <c r="AD178" s="231"/>
      <c r="AE178" s="231"/>
      <c r="AF178" s="231"/>
      <c r="AG178" s="294"/>
      <c r="AH178" s="231"/>
      <c r="AI178" s="231"/>
      <c r="AJ178" s="231"/>
      <c r="AK178" s="231"/>
      <c r="AL178" s="294"/>
      <c r="AM178" s="231"/>
      <c r="AN178" s="231"/>
      <c r="AO178" s="231"/>
      <c r="AP178" s="231"/>
      <c r="AQ178" s="294"/>
      <c r="AR178" s="231"/>
      <c r="AS178" s="231"/>
      <c r="AT178" s="231"/>
      <c r="AU178" s="295"/>
      <c r="AV178" s="231"/>
      <c r="AW178" s="231"/>
      <c r="AX178" s="231"/>
      <c r="AY178" s="231"/>
      <c r="AZ178" s="294"/>
      <c r="BA178" s="231"/>
      <c r="BB178" s="231"/>
      <c r="BC178" s="231"/>
      <c r="BD178" s="231"/>
      <c r="BE178" s="294"/>
      <c r="BF178" s="231"/>
      <c r="BG178" s="231"/>
      <c r="BH178" s="231"/>
      <c r="BI178" s="231"/>
      <c r="BJ178" s="294"/>
      <c r="BK178" s="231"/>
      <c r="BL178" s="231"/>
      <c r="BM178" s="231"/>
      <c r="BN178" s="231"/>
      <c r="BO178" s="294"/>
      <c r="BP178" s="231"/>
      <c r="BQ178" s="231"/>
      <c r="BR178" s="231"/>
      <c r="BS178" s="231"/>
      <c r="BT178" s="294"/>
      <c r="BU178" s="231"/>
      <c r="BV178" s="231"/>
      <c r="BW178" s="231"/>
      <c r="BX178" s="231"/>
      <c r="BY178" s="294"/>
      <c r="BZ178" s="231"/>
      <c r="CA178" s="231"/>
      <c r="CB178" s="231"/>
      <c r="CC178" s="231"/>
      <c r="CD178" s="294"/>
      <c r="CE178" s="231"/>
      <c r="CF178" s="231"/>
      <c r="CG178" s="231"/>
      <c r="CH178" s="231"/>
      <c r="CI178" s="294"/>
      <c r="CJ178" s="231"/>
      <c r="CK178" s="231"/>
      <c r="CL178" s="231"/>
      <c r="CM178" s="231"/>
      <c r="CN178" s="294"/>
      <c r="CO178" s="231"/>
      <c r="CP178" s="231"/>
      <c r="CQ178" s="231"/>
      <c r="CR178" s="231"/>
      <c r="CS178" s="294"/>
      <c r="CT178" s="231"/>
      <c r="CU178" s="231"/>
      <c r="CV178" s="231"/>
      <c r="CW178" s="231"/>
      <c r="CX178" s="294"/>
      <c r="CY178" s="231"/>
      <c r="CZ178" s="231"/>
      <c r="DA178" s="231"/>
      <c r="DB178" s="231"/>
      <c r="DC178" s="294"/>
      <c r="DD178" s="231"/>
      <c r="DE178" s="231"/>
      <c r="DF178" s="231"/>
      <c r="DG178" s="231"/>
      <c r="DH178" s="294"/>
      <c r="DI178" s="231"/>
      <c r="DJ178" s="231"/>
      <c r="DK178" s="231"/>
      <c r="DL178" s="231"/>
      <c r="DM178" s="294"/>
      <c r="DN178" s="231"/>
      <c r="DO178" s="231"/>
      <c r="DP178" s="231"/>
      <c r="DQ178" s="231"/>
      <c r="DR178" s="294"/>
      <c r="DS178" s="231"/>
      <c r="DT178" s="231"/>
      <c r="DU178" s="231"/>
      <c r="DV178" s="231"/>
      <c r="DW178" s="294"/>
      <c r="DX178" s="231"/>
      <c r="DY178" s="231"/>
      <c r="DZ178" s="231"/>
      <c r="EA178" s="231"/>
      <c r="EB178" s="294"/>
      <c r="EC178" s="231"/>
      <c r="ED178" s="231"/>
      <c r="EE178" s="231"/>
      <c r="EF178" s="231"/>
      <c r="EG178" s="294"/>
      <c r="EH178" s="231"/>
      <c r="EI178" s="231"/>
      <c r="EJ178" s="231"/>
      <c r="EK178" s="231"/>
      <c r="EL178" s="294"/>
    </row>
    <row r="179" spans="1:142">
      <c r="A179" s="1330"/>
      <c r="B179" s="296" t="s">
        <v>297</v>
      </c>
      <c r="C179" s="164"/>
      <c r="D179" s="164"/>
      <c r="E179" s="164"/>
      <c r="F179" s="164"/>
      <c r="G179" s="164"/>
      <c r="H179" s="291"/>
      <c r="I179" s="164"/>
      <c r="J179" s="164"/>
      <c r="K179" s="164"/>
      <c r="L179" s="164"/>
      <c r="M179" s="291"/>
      <c r="N179" s="164"/>
      <c r="O179" s="164"/>
      <c r="P179" s="164"/>
      <c r="Q179" s="164"/>
      <c r="R179" s="291"/>
      <c r="S179" s="164"/>
      <c r="T179" s="164"/>
      <c r="U179" s="164"/>
      <c r="V179" s="164"/>
      <c r="W179" s="291"/>
      <c r="X179" s="164"/>
      <c r="Y179" s="164"/>
      <c r="Z179" s="164"/>
      <c r="AA179" s="164"/>
      <c r="AB179" s="291"/>
      <c r="AC179" s="164"/>
      <c r="AD179" s="164"/>
      <c r="AE179" s="164"/>
      <c r="AF179" s="164"/>
      <c r="AG179" s="291"/>
      <c r="AH179" s="164"/>
      <c r="AI179" s="164"/>
      <c r="AJ179" s="164"/>
      <c r="AK179" s="164"/>
      <c r="AL179" s="291"/>
      <c r="AM179" s="164"/>
      <c r="AN179" s="164"/>
      <c r="AO179" s="164"/>
      <c r="AP179" s="164"/>
      <c r="AQ179" s="291"/>
      <c r="AR179" s="164"/>
      <c r="AS179" s="164"/>
      <c r="AT179" s="164"/>
      <c r="AU179" s="292"/>
      <c r="AV179" s="164"/>
      <c r="AW179" s="164"/>
      <c r="AX179" s="164"/>
      <c r="AY179" s="164"/>
      <c r="AZ179" s="291"/>
      <c r="BA179" s="164"/>
      <c r="BB179" s="164"/>
      <c r="BC179" s="164"/>
      <c r="BD179" s="164"/>
      <c r="BE179" s="291"/>
      <c r="BF179" s="164"/>
      <c r="BG179" s="164"/>
      <c r="BH179" s="164"/>
      <c r="BI179" s="164"/>
      <c r="BJ179" s="291"/>
      <c r="BK179" s="164"/>
      <c r="BL179" s="164"/>
      <c r="BM179" s="164"/>
      <c r="BN179" s="164"/>
      <c r="BO179" s="291"/>
      <c r="BP179" s="164"/>
      <c r="BQ179" s="164"/>
      <c r="BR179" s="164"/>
      <c r="BS179" s="164"/>
      <c r="BT179" s="291"/>
      <c r="BU179" s="164"/>
      <c r="BV179" s="164"/>
      <c r="BW179" s="164"/>
      <c r="BX179" s="164"/>
      <c r="BY179" s="291"/>
      <c r="BZ179" s="164"/>
      <c r="CA179" s="164"/>
      <c r="CB179" s="164"/>
      <c r="CC179" s="164"/>
      <c r="CD179" s="291"/>
      <c r="CE179" s="297"/>
      <c r="CF179" s="297"/>
      <c r="CG179" s="297"/>
      <c r="CH179" s="297"/>
      <c r="CI179" s="193"/>
      <c r="CJ179" s="297"/>
      <c r="CK179" s="297"/>
      <c r="CL179" s="297"/>
      <c r="CM179" s="297"/>
      <c r="CN179" s="193"/>
      <c r="CO179" s="297"/>
      <c r="CP179" s="297"/>
      <c r="CQ179" s="297"/>
      <c r="CR179" s="297"/>
      <c r="CS179" s="193"/>
      <c r="CT179" s="297"/>
      <c r="CU179" s="297"/>
      <c r="CV179" s="298"/>
      <c r="CW179" s="298"/>
      <c r="CX179" s="278"/>
      <c r="CY179" s="298"/>
      <c r="CZ179" s="298"/>
      <c r="DA179" s="210"/>
      <c r="DB179" s="254"/>
      <c r="DC179" s="193"/>
      <c r="DD179" s="299"/>
      <c r="DE179" s="251"/>
      <c r="DF179" s="251"/>
      <c r="DG179" s="254"/>
      <c r="DH179" s="253"/>
      <c r="DI179" s="299"/>
      <c r="DJ179" s="251">
        <v>6.7500000000000004E-2</v>
      </c>
      <c r="DK179" s="251">
        <f t="shared" ref="DK179:DW179" si="19">DJ179</f>
        <v>6.7500000000000004E-2</v>
      </c>
      <c r="DL179" s="251">
        <f t="shared" si="19"/>
        <v>6.7500000000000004E-2</v>
      </c>
      <c r="DM179" s="253">
        <f t="shared" si="19"/>
        <v>6.7500000000000004E-2</v>
      </c>
      <c r="DN179" s="299">
        <f t="shared" si="19"/>
        <v>6.7500000000000004E-2</v>
      </c>
      <c r="DO179" s="251">
        <f t="shared" si="19"/>
        <v>6.7500000000000004E-2</v>
      </c>
      <c r="DP179" s="251">
        <f t="shared" si="19"/>
        <v>6.7500000000000004E-2</v>
      </c>
      <c r="DQ179" s="251">
        <f t="shared" si="19"/>
        <v>6.7500000000000004E-2</v>
      </c>
      <c r="DR179" s="253">
        <f t="shared" si="19"/>
        <v>6.7500000000000004E-2</v>
      </c>
      <c r="DS179" s="254">
        <f t="shared" si="19"/>
        <v>6.7500000000000004E-2</v>
      </c>
      <c r="DT179" s="251">
        <f t="shared" si="19"/>
        <v>6.7500000000000004E-2</v>
      </c>
      <c r="DU179" s="251">
        <f t="shared" si="19"/>
        <v>6.7500000000000004E-2</v>
      </c>
      <c r="DV179" s="251">
        <f t="shared" si="19"/>
        <v>6.7500000000000004E-2</v>
      </c>
      <c r="DW179" s="253">
        <f t="shared" si="19"/>
        <v>6.7500000000000004E-2</v>
      </c>
      <c r="DX179" s="254">
        <f t="shared" ref="DX179:EG179" si="20">DW179</f>
        <v>6.7500000000000004E-2</v>
      </c>
      <c r="DY179" s="251">
        <f t="shared" si="20"/>
        <v>6.7500000000000004E-2</v>
      </c>
      <c r="DZ179" s="251">
        <f t="shared" si="20"/>
        <v>6.7500000000000004E-2</v>
      </c>
      <c r="EA179" s="251">
        <f t="shared" si="20"/>
        <v>6.7500000000000004E-2</v>
      </c>
      <c r="EB179" s="253">
        <f t="shared" si="20"/>
        <v>6.7500000000000004E-2</v>
      </c>
      <c r="EC179" s="254">
        <f t="shared" si="20"/>
        <v>6.7500000000000004E-2</v>
      </c>
      <c r="ED179" s="251">
        <f t="shared" si="20"/>
        <v>6.7500000000000004E-2</v>
      </c>
      <c r="EE179" s="251">
        <f t="shared" si="20"/>
        <v>6.7500000000000004E-2</v>
      </c>
      <c r="EF179" s="251">
        <f t="shared" si="20"/>
        <v>6.7500000000000004E-2</v>
      </c>
      <c r="EG179" s="253">
        <f t="shared" si="20"/>
        <v>6.7500000000000004E-2</v>
      </c>
      <c r="EH179" s="254">
        <f t="shared" ref="EH179:EL179" si="21">EG179</f>
        <v>6.7500000000000004E-2</v>
      </c>
      <c r="EI179" s="251">
        <f t="shared" si="21"/>
        <v>6.7500000000000004E-2</v>
      </c>
      <c r="EJ179" s="251">
        <f t="shared" si="21"/>
        <v>6.7500000000000004E-2</v>
      </c>
      <c r="EK179" s="251">
        <f t="shared" si="21"/>
        <v>6.7500000000000004E-2</v>
      </c>
      <c r="EL179" s="253">
        <f t="shared" si="21"/>
        <v>6.7500000000000004E-2</v>
      </c>
    </row>
    <row r="180" spans="1:142">
      <c r="A180" s="1331"/>
      <c r="B180" s="300" t="s">
        <v>298</v>
      </c>
      <c r="C180" s="203"/>
      <c r="D180" s="203"/>
      <c r="E180" s="203"/>
      <c r="F180" s="203"/>
      <c r="G180" s="203"/>
      <c r="H180" s="493"/>
      <c r="I180" s="203"/>
      <c r="J180" s="203"/>
      <c r="K180" s="203"/>
      <c r="L180" s="203"/>
      <c r="M180" s="493"/>
      <c r="N180" s="203"/>
      <c r="O180" s="203"/>
      <c r="P180" s="203"/>
      <c r="Q180" s="203"/>
      <c r="R180" s="493"/>
      <c r="S180" s="203"/>
      <c r="T180" s="203"/>
      <c r="U180" s="203"/>
      <c r="V180" s="203"/>
      <c r="W180" s="493"/>
      <c r="X180" s="203"/>
      <c r="Y180" s="203"/>
      <c r="Z180" s="203"/>
      <c r="AA180" s="203"/>
      <c r="AB180" s="493"/>
      <c r="AC180" s="203"/>
      <c r="AD180" s="203"/>
      <c r="AE180" s="203"/>
      <c r="AF180" s="203"/>
      <c r="AG180" s="493"/>
      <c r="AH180" s="203"/>
      <c r="AI180" s="203"/>
      <c r="AJ180" s="203"/>
      <c r="AK180" s="203"/>
      <c r="AL180" s="493"/>
      <c r="AM180" s="495"/>
      <c r="AN180" s="495"/>
      <c r="AO180" s="495"/>
      <c r="AP180" s="495"/>
      <c r="AQ180" s="204"/>
      <c r="AR180" s="495"/>
      <c r="AS180" s="495"/>
      <c r="AT180" s="495"/>
      <c r="AU180" s="208"/>
      <c r="AV180" s="207"/>
      <c r="AW180" s="1402"/>
      <c r="AX180" s="495"/>
      <c r="AY180" s="495"/>
      <c r="AZ180" s="204"/>
      <c r="BA180" s="207"/>
      <c r="BB180" s="1402"/>
      <c r="BC180" s="495"/>
      <c r="BD180" s="495"/>
      <c r="BE180" s="204"/>
      <c r="BF180" s="207"/>
      <c r="BG180" s="1402"/>
      <c r="BH180" s="495"/>
      <c r="BI180" s="495"/>
      <c r="BJ180" s="204"/>
      <c r="BK180" s="1403"/>
      <c r="BL180" s="1403"/>
      <c r="BM180" s="1403"/>
      <c r="BN180" s="1403"/>
      <c r="BO180" s="1404"/>
      <c r="BP180" s="1403"/>
      <c r="BQ180" s="1403"/>
      <c r="BR180" s="1403"/>
      <c r="BS180" s="1403"/>
      <c r="BT180" s="1404"/>
      <c r="BU180" s="1403"/>
      <c r="BV180" s="1403"/>
      <c r="BW180" s="1403"/>
      <c r="BX180" s="1403"/>
      <c r="BY180" s="1404"/>
      <c r="BZ180" s="1403"/>
      <c r="CA180" s="1403"/>
      <c r="CB180" s="1403"/>
      <c r="CC180" s="1403"/>
      <c r="CD180" s="1404"/>
      <c r="CE180" s="304"/>
      <c r="CF180" s="304"/>
      <c r="CG180" s="304"/>
      <c r="CH180" s="304"/>
      <c r="CI180" s="305"/>
      <c r="CJ180" s="304"/>
      <c r="CK180" s="304"/>
      <c r="CL180" s="304"/>
      <c r="CM180" s="304"/>
      <c r="CN180" s="305"/>
      <c r="CO180" s="304"/>
      <c r="CP180" s="304"/>
      <c r="CQ180" s="304"/>
      <c r="CR180" s="304"/>
      <c r="CS180" s="305"/>
      <c r="CT180" s="304"/>
      <c r="CU180" s="304"/>
      <c r="CV180" s="304"/>
      <c r="CW180" s="304"/>
      <c r="CX180" s="305"/>
      <c r="CY180" s="304"/>
      <c r="CZ180" s="304"/>
      <c r="DA180" s="304"/>
      <c r="DB180" s="304"/>
      <c r="DC180" s="305"/>
      <c r="DD180" s="304"/>
      <c r="DE180" s="332"/>
      <c r="DF180" s="332"/>
      <c r="DG180" s="304"/>
      <c r="DH180" s="305"/>
      <c r="DI180" s="304"/>
      <c r="DJ180" s="1397">
        <f>DI183</f>
        <v>0</v>
      </c>
      <c r="DK180" s="1397">
        <f>DJ183</f>
        <v>1900</v>
      </c>
      <c r="DL180" s="1397">
        <f>DK183</f>
        <v>1900</v>
      </c>
      <c r="DM180" s="1405"/>
      <c r="DN180" s="1406">
        <f>DL183</f>
        <v>1900</v>
      </c>
      <c r="DO180" s="1397">
        <f>DN183</f>
        <v>1900</v>
      </c>
      <c r="DP180" s="1397">
        <f>DO183</f>
        <v>1900</v>
      </c>
      <c r="DQ180" s="1397">
        <f>DP183</f>
        <v>1900</v>
      </c>
      <c r="DR180" s="1405"/>
      <c r="DS180" s="1397">
        <f>DQ183</f>
        <v>1900</v>
      </c>
      <c r="DT180" s="1397">
        <f>DS183</f>
        <v>1900</v>
      </c>
      <c r="DU180" s="1397">
        <f>DT183</f>
        <v>1900</v>
      </c>
      <c r="DV180" s="1397">
        <f>DU183</f>
        <v>1900</v>
      </c>
      <c r="DW180" s="1405"/>
      <c r="DX180" s="1397">
        <f>DV183</f>
        <v>1900</v>
      </c>
      <c r="DY180" s="1397">
        <f>DX183</f>
        <v>1900</v>
      </c>
      <c r="DZ180" s="1397">
        <f>DY183</f>
        <v>1900</v>
      </c>
      <c r="EA180" s="1397">
        <f>DZ183</f>
        <v>1900</v>
      </c>
      <c r="EB180" s="1405"/>
      <c r="EC180" s="1397">
        <f>EA183</f>
        <v>1900</v>
      </c>
      <c r="ED180" s="1397">
        <f>EC183</f>
        <v>1900</v>
      </c>
      <c r="EE180" s="1397">
        <f>ED183</f>
        <v>1900</v>
      </c>
      <c r="EF180" s="1397">
        <f>EE183</f>
        <v>1900</v>
      </c>
      <c r="EG180" s="1405"/>
      <c r="EH180" s="1397">
        <f>EF183</f>
        <v>1900</v>
      </c>
      <c r="EI180" s="1397">
        <f>EH183</f>
        <v>1900</v>
      </c>
      <c r="EJ180" s="1397">
        <f>EI183</f>
        <v>1900</v>
      </c>
      <c r="EK180" s="1397">
        <f>EJ183</f>
        <v>1900</v>
      </c>
      <c r="EL180" s="1405"/>
    </row>
    <row r="181" spans="1:142">
      <c r="A181" s="1331"/>
      <c r="B181" s="209" t="s">
        <v>674</v>
      </c>
      <c r="C181" s="232"/>
      <c r="D181" s="232"/>
      <c r="E181" s="232"/>
      <c r="F181" s="232"/>
      <c r="G181" s="232"/>
      <c r="H181" s="233"/>
      <c r="I181" s="232"/>
      <c r="J181" s="232"/>
      <c r="K181" s="232"/>
      <c r="L181" s="232"/>
      <c r="M181" s="233"/>
      <c r="N181" s="232"/>
      <c r="O181" s="232"/>
      <c r="P181" s="232"/>
      <c r="Q181" s="232"/>
      <c r="R181" s="233"/>
      <c r="S181" s="232"/>
      <c r="T181" s="232"/>
      <c r="U181" s="232"/>
      <c r="V181" s="232"/>
      <c r="W181" s="233"/>
      <c r="X181" s="232"/>
      <c r="Y181" s="232"/>
      <c r="Z181" s="232"/>
      <c r="AA181" s="232"/>
      <c r="AB181" s="233"/>
      <c r="AC181" s="232"/>
      <c r="AD181" s="232"/>
      <c r="AE181" s="232"/>
      <c r="AF181" s="232"/>
      <c r="AG181" s="233"/>
      <c r="AH181" s="232"/>
      <c r="AI181" s="232"/>
      <c r="AJ181" s="232"/>
      <c r="AK181" s="232"/>
      <c r="AL181" s="233"/>
      <c r="AM181" s="234"/>
      <c r="AN181" s="234"/>
      <c r="AO181" s="234"/>
      <c r="AP181" s="234"/>
      <c r="AQ181" s="235"/>
      <c r="AR181" s="234"/>
      <c r="AS181" s="234"/>
      <c r="AT181" s="234"/>
      <c r="AU181" s="236"/>
      <c r="AV181" s="237"/>
      <c r="AW181" s="301"/>
      <c r="AX181" s="234"/>
      <c r="AY181" s="234"/>
      <c r="AZ181" s="235"/>
      <c r="BA181" s="237"/>
      <c r="BB181" s="301"/>
      <c r="BC181" s="234"/>
      <c r="BD181" s="234"/>
      <c r="BE181" s="235"/>
      <c r="BF181" s="237"/>
      <c r="BG181" s="301"/>
      <c r="BH181" s="234"/>
      <c r="BI181" s="234"/>
      <c r="BJ181" s="235"/>
      <c r="BK181" s="302"/>
      <c r="BL181" s="302"/>
      <c r="BM181" s="302"/>
      <c r="BN181" s="302"/>
      <c r="BO181" s="303"/>
      <c r="BP181" s="302"/>
      <c r="BQ181" s="302"/>
      <c r="BR181" s="302"/>
      <c r="BS181" s="302"/>
      <c r="BT181" s="303"/>
      <c r="BU181" s="302"/>
      <c r="BV181" s="302"/>
      <c r="BW181" s="302"/>
      <c r="BX181" s="302"/>
      <c r="BY181" s="303"/>
      <c r="BZ181" s="302"/>
      <c r="CA181" s="302"/>
      <c r="CB181" s="302"/>
      <c r="CC181" s="302"/>
      <c r="CD181" s="303"/>
      <c r="CE181" s="304"/>
      <c r="CF181" s="304"/>
      <c r="CG181" s="304"/>
      <c r="CH181" s="304"/>
      <c r="CI181" s="305"/>
      <c r="CJ181" s="304"/>
      <c r="CK181" s="304"/>
      <c r="CL181" s="304"/>
      <c r="CM181" s="304"/>
      <c r="CN181" s="305"/>
      <c r="CO181" s="304"/>
      <c r="CP181" s="304"/>
      <c r="CQ181" s="304"/>
      <c r="CR181" s="304"/>
      <c r="CS181" s="305"/>
      <c r="CT181" s="304"/>
      <c r="CU181" s="304"/>
      <c r="CV181" s="304"/>
      <c r="CW181" s="304"/>
      <c r="CX181" s="305"/>
      <c r="CY181" s="304"/>
      <c r="CZ181" s="304"/>
      <c r="DA181" s="306"/>
      <c r="DB181" s="306"/>
      <c r="DC181" s="305"/>
      <c r="DD181" s="304"/>
      <c r="DE181" s="261"/>
      <c r="DF181" s="261"/>
      <c r="DG181" s="306"/>
      <c r="DH181" s="307"/>
      <c r="DI181" s="304"/>
      <c r="DJ181" s="1407">
        <v>1900</v>
      </c>
      <c r="DK181" s="1378">
        <v>0</v>
      </c>
      <c r="DL181" s="1378">
        <v>0</v>
      </c>
      <c r="DM181" s="1380">
        <f>SUM(DI181:DL181)</f>
        <v>1900</v>
      </c>
      <c r="DN181" s="1378">
        <v>0</v>
      </c>
      <c r="DO181" s="1378">
        <v>0</v>
      </c>
      <c r="DP181" s="1378">
        <v>0</v>
      </c>
      <c r="DQ181" s="1378">
        <v>0</v>
      </c>
      <c r="DR181" s="1380">
        <f>SUM(DN181:DQ181)</f>
        <v>0</v>
      </c>
      <c r="DS181" s="1378">
        <v>0</v>
      </c>
      <c r="DT181" s="1378">
        <v>0</v>
      </c>
      <c r="DU181" s="1378">
        <v>0</v>
      </c>
      <c r="DV181" s="1378">
        <v>0</v>
      </c>
      <c r="DW181" s="1380">
        <f>SUM(DS181:DV181)</f>
        <v>0</v>
      </c>
      <c r="DX181" s="1378">
        <v>0</v>
      </c>
      <c r="DY181" s="1378">
        <v>0</v>
      </c>
      <c r="DZ181" s="1378">
        <v>0</v>
      </c>
      <c r="EA181" s="1378">
        <v>0</v>
      </c>
      <c r="EB181" s="1380">
        <f>SUM(DX181:EA181)</f>
        <v>0</v>
      </c>
      <c r="EC181" s="1378">
        <v>0</v>
      </c>
      <c r="ED181" s="1378">
        <v>0</v>
      </c>
      <c r="EE181" s="1378">
        <v>0</v>
      </c>
      <c r="EF181" s="1378">
        <v>0</v>
      </c>
      <c r="EG181" s="1380">
        <f>SUM(EC181:EF181)</f>
        <v>0</v>
      </c>
      <c r="EH181" s="1378">
        <v>0</v>
      </c>
      <c r="EI181" s="1378">
        <v>0</v>
      </c>
      <c r="EJ181" s="1378">
        <v>0</v>
      </c>
      <c r="EK181" s="1378">
        <v>0</v>
      </c>
      <c r="EL181" s="1380">
        <f>SUM(EH181:EK181)</f>
        <v>0</v>
      </c>
    </row>
    <row r="182" spans="1:142">
      <c r="A182" s="1331"/>
      <c r="B182" s="214" t="s">
        <v>675</v>
      </c>
      <c r="C182" s="309"/>
      <c r="D182" s="309"/>
      <c r="E182" s="309"/>
      <c r="F182" s="309"/>
      <c r="G182" s="309"/>
      <c r="H182" s="310"/>
      <c r="I182" s="309"/>
      <c r="J182" s="309"/>
      <c r="K182" s="309"/>
      <c r="L182" s="309"/>
      <c r="M182" s="310"/>
      <c r="N182" s="309"/>
      <c r="O182" s="309"/>
      <c r="P182" s="309"/>
      <c r="Q182" s="309"/>
      <c r="R182" s="310"/>
      <c r="S182" s="309"/>
      <c r="T182" s="309"/>
      <c r="U182" s="309"/>
      <c r="V182" s="309"/>
      <c r="W182" s="310"/>
      <c r="X182" s="309"/>
      <c r="Y182" s="309"/>
      <c r="Z182" s="309"/>
      <c r="AA182" s="309"/>
      <c r="AB182" s="310"/>
      <c r="AC182" s="309"/>
      <c r="AD182" s="309"/>
      <c r="AE182" s="309"/>
      <c r="AF182" s="309"/>
      <c r="AG182" s="310"/>
      <c r="AH182" s="309"/>
      <c r="AI182" s="309"/>
      <c r="AJ182" s="309"/>
      <c r="AK182" s="309"/>
      <c r="AL182" s="310"/>
      <c r="AM182" s="309"/>
      <c r="AN182" s="309"/>
      <c r="AO182" s="309"/>
      <c r="AP182" s="309"/>
      <c r="AQ182" s="310"/>
      <c r="AR182" s="309"/>
      <c r="AS182" s="309"/>
      <c r="AT182" s="309"/>
      <c r="AU182" s="311"/>
      <c r="AV182" s="309"/>
      <c r="AW182" s="309"/>
      <c r="AX182" s="309"/>
      <c r="AY182" s="309"/>
      <c r="AZ182" s="310"/>
      <c r="BA182" s="309"/>
      <c r="BB182" s="309"/>
      <c r="BC182" s="309"/>
      <c r="BD182" s="309"/>
      <c r="BE182" s="310"/>
      <c r="BF182" s="309"/>
      <c r="BG182" s="309"/>
      <c r="BH182" s="309"/>
      <c r="BI182" s="309"/>
      <c r="BJ182" s="310"/>
      <c r="BK182" s="309"/>
      <c r="BL182" s="309"/>
      <c r="BM182" s="312"/>
      <c r="BN182" s="309"/>
      <c r="BO182" s="313"/>
      <c r="BP182" s="309"/>
      <c r="BQ182" s="309"/>
      <c r="BR182" s="312"/>
      <c r="BS182" s="309"/>
      <c r="BT182" s="313"/>
      <c r="BU182" s="309"/>
      <c r="BV182" s="309"/>
      <c r="BW182" s="312"/>
      <c r="BX182" s="309"/>
      <c r="BY182" s="313"/>
      <c r="BZ182" s="309"/>
      <c r="CA182" s="309"/>
      <c r="CB182" s="312"/>
      <c r="CC182" s="309"/>
      <c r="CD182" s="313"/>
      <c r="CE182" s="314"/>
      <c r="CF182" s="314"/>
      <c r="CG182" s="314"/>
      <c r="CH182" s="314"/>
      <c r="CI182" s="313"/>
      <c r="CJ182" s="314"/>
      <c r="CK182" s="314"/>
      <c r="CL182" s="314"/>
      <c r="CM182" s="314"/>
      <c r="CN182" s="313"/>
      <c r="CO182" s="314"/>
      <c r="CP182" s="314"/>
      <c r="CQ182" s="314"/>
      <c r="CR182" s="314"/>
      <c r="CS182" s="313"/>
      <c r="CT182" s="314"/>
      <c r="CU182" s="314"/>
      <c r="CV182" s="314"/>
      <c r="CW182" s="314"/>
      <c r="CX182" s="313"/>
      <c r="CY182" s="309"/>
      <c r="CZ182" s="315"/>
      <c r="DA182" s="309"/>
      <c r="DB182" s="314"/>
      <c r="DC182" s="316"/>
      <c r="DD182" s="309"/>
      <c r="DE182" s="314"/>
      <c r="DF182" s="314"/>
      <c r="DG182" s="314"/>
      <c r="DH182" s="313"/>
      <c r="DI182" s="309"/>
      <c r="DJ182" s="1379">
        <v>0</v>
      </c>
      <c r="DK182" s="1379">
        <v>0</v>
      </c>
      <c r="DL182" s="1379">
        <v>0</v>
      </c>
      <c r="DM182" s="1381">
        <f>SUM(DI182:DL182)</f>
        <v>0</v>
      </c>
      <c r="DN182" s="1379">
        <v>0</v>
      </c>
      <c r="DO182" s="1379">
        <v>0</v>
      </c>
      <c r="DP182" s="1379">
        <v>0</v>
      </c>
      <c r="DQ182" s="1379">
        <v>0</v>
      </c>
      <c r="DR182" s="1381">
        <f>SUM(DN182:DQ182)</f>
        <v>0</v>
      </c>
      <c r="DS182" s="1379">
        <v>0</v>
      </c>
      <c r="DT182" s="1379">
        <v>0</v>
      </c>
      <c r="DU182" s="1379">
        <v>0</v>
      </c>
      <c r="DV182" s="1379">
        <v>0</v>
      </c>
      <c r="DW182" s="1381">
        <f>SUM(DS182:DV182)</f>
        <v>0</v>
      </c>
      <c r="DX182" s="1379">
        <v>0</v>
      </c>
      <c r="DY182" s="1379">
        <v>0</v>
      </c>
      <c r="DZ182" s="1379">
        <v>0</v>
      </c>
      <c r="EA182" s="1379">
        <v>0</v>
      </c>
      <c r="EB182" s="1381">
        <f>SUM(DX182:EA182)</f>
        <v>0</v>
      </c>
      <c r="EC182" s="1379">
        <v>0</v>
      </c>
      <c r="ED182" s="1379">
        <v>0</v>
      </c>
      <c r="EE182" s="1379">
        <v>0</v>
      </c>
      <c r="EF182" s="1379">
        <v>0</v>
      </c>
      <c r="EG182" s="1381">
        <f>SUM(EC182:EF182)</f>
        <v>0</v>
      </c>
      <c r="EH182" s="1379">
        <v>0</v>
      </c>
      <c r="EI182" s="1379">
        <v>0</v>
      </c>
      <c r="EJ182" s="1379">
        <v>0</v>
      </c>
      <c r="EK182" s="1379">
        <v>0</v>
      </c>
      <c r="EL182" s="1381">
        <f>SUM(EH182:EK182)</f>
        <v>0</v>
      </c>
    </row>
    <row r="183" spans="1:142">
      <c r="A183" s="1331"/>
      <c r="B183" s="300" t="s">
        <v>299</v>
      </c>
      <c r="C183" s="164"/>
      <c r="D183" s="164"/>
      <c r="E183" s="164"/>
      <c r="F183" s="164"/>
      <c r="G183" s="164"/>
      <c r="H183" s="291"/>
      <c r="I183" s="164"/>
      <c r="J183" s="164"/>
      <c r="K183" s="164"/>
      <c r="L183" s="164"/>
      <c r="M183" s="291"/>
      <c r="N183" s="164"/>
      <c r="O183" s="164"/>
      <c r="P183" s="164"/>
      <c r="Q183" s="164"/>
      <c r="R183" s="291"/>
      <c r="S183" s="164"/>
      <c r="T183" s="164"/>
      <c r="U183" s="164"/>
      <c r="V183" s="164"/>
      <c r="W183" s="291"/>
      <c r="X183" s="164"/>
      <c r="Y183" s="164"/>
      <c r="Z183" s="164"/>
      <c r="AA183" s="164"/>
      <c r="AB183" s="291"/>
      <c r="AC183" s="164"/>
      <c r="AD183" s="164"/>
      <c r="AE183" s="164"/>
      <c r="AF183" s="164"/>
      <c r="AG183" s="291"/>
      <c r="AH183" s="164"/>
      <c r="AI183" s="164"/>
      <c r="AJ183" s="164"/>
      <c r="AK183" s="164"/>
      <c r="AL183" s="291"/>
      <c r="AM183" s="164"/>
      <c r="AN183" s="164"/>
      <c r="AO183" s="164"/>
      <c r="AP183" s="164"/>
      <c r="AQ183" s="317"/>
      <c r="AR183" s="164"/>
      <c r="AS183" s="164"/>
      <c r="AT183" s="164"/>
      <c r="AU183" s="292"/>
      <c r="AV183" s="164"/>
      <c r="AW183" s="164"/>
      <c r="AX183" s="164"/>
      <c r="AY183" s="164"/>
      <c r="AZ183" s="317"/>
      <c r="BA183" s="318"/>
      <c r="BB183" s="319"/>
      <c r="BC183" s="319"/>
      <c r="BD183" s="319"/>
      <c r="BE183" s="317"/>
      <c r="BF183" s="318"/>
      <c r="BG183" s="319"/>
      <c r="BH183" s="319"/>
      <c r="BI183" s="319"/>
      <c r="BJ183" s="317"/>
      <c r="BK183" s="320"/>
      <c r="BL183" s="321"/>
      <c r="BM183" s="321"/>
      <c r="BN183" s="321"/>
      <c r="BO183" s="322"/>
      <c r="BP183" s="320"/>
      <c r="BQ183" s="321"/>
      <c r="BR183" s="321"/>
      <c r="BS183" s="321"/>
      <c r="BT183" s="322"/>
      <c r="BU183" s="320"/>
      <c r="BV183" s="321"/>
      <c r="BW183" s="321"/>
      <c r="BX183" s="321"/>
      <c r="BY183" s="322"/>
      <c r="BZ183" s="320"/>
      <c r="CA183" s="321"/>
      <c r="CB183" s="321"/>
      <c r="CC183" s="321"/>
      <c r="CD183" s="322"/>
      <c r="CE183" s="323"/>
      <c r="CF183" s="323"/>
      <c r="CG183" s="323"/>
      <c r="CH183" s="323"/>
      <c r="CI183" s="239"/>
      <c r="CJ183" s="323"/>
      <c r="CK183" s="323"/>
      <c r="CL183" s="323"/>
      <c r="CM183" s="323"/>
      <c r="CN183" s="239"/>
      <c r="CO183" s="323"/>
      <c r="CP183" s="323"/>
      <c r="CQ183" s="323"/>
      <c r="CR183" s="323"/>
      <c r="CS183" s="239"/>
      <c r="CT183" s="323"/>
      <c r="CU183" s="323"/>
      <c r="CV183" s="323"/>
      <c r="CW183" s="324"/>
      <c r="CX183" s="239"/>
      <c r="CY183" s="325"/>
      <c r="CZ183" s="325"/>
      <c r="DA183" s="325"/>
      <c r="DB183" s="326"/>
      <c r="DC183" s="317">
        <f>DB183</f>
        <v>0</v>
      </c>
      <c r="DD183" s="327"/>
      <c r="DE183" s="326"/>
      <c r="DF183" s="326"/>
      <c r="DG183" s="326"/>
      <c r="DH183" s="317"/>
      <c r="DI183" s="327"/>
      <c r="DJ183" s="539">
        <f>SUM(DJ180:DJ182)</f>
        <v>1900</v>
      </c>
      <c r="DK183" s="539">
        <f>SUM(DK180:DK182)</f>
        <v>1900</v>
      </c>
      <c r="DL183" s="539">
        <f>SUM(DL180:DL182)</f>
        <v>1900</v>
      </c>
      <c r="DM183" s="1380">
        <f>DL183</f>
        <v>1900</v>
      </c>
      <c r="DN183" s="539">
        <f>SUM(DN180:DN182)</f>
        <v>1900</v>
      </c>
      <c r="DO183" s="539">
        <f>SUM(DO180:DO182)</f>
        <v>1900</v>
      </c>
      <c r="DP183" s="1401">
        <f>SUM(DP180:DP182)</f>
        <v>1900</v>
      </c>
      <c r="DQ183" s="1401">
        <f>SUM(DQ180:DQ182)</f>
        <v>1900</v>
      </c>
      <c r="DR183" s="1380">
        <f>DQ183</f>
        <v>1900</v>
      </c>
      <c r="DS183" s="539">
        <f>SUM(DS180:DS182)</f>
        <v>1900</v>
      </c>
      <c r="DT183" s="539">
        <f>SUM(DT180:DT182)</f>
        <v>1900</v>
      </c>
      <c r="DU183" s="1401">
        <f>SUM(DU180:DU182)</f>
        <v>1900</v>
      </c>
      <c r="DV183" s="1401">
        <f>SUM(DV180:DV182)</f>
        <v>1900</v>
      </c>
      <c r="DW183" s="1380">
        <f>DV183</f>
        <v>1900</v>
      </c>
      <c r="DX183" s="539">
        <f>SUM(DX180:DX182)</f>
        <v>1900</v>
      </c>
      <c r="DY183" s="539">
        <f>SUM(DY180:DY182)</f>
        <v>1900</v>
      </c>
      <c r="DZ183" s="1401">
        <f>SUM(DZ180:DZ182)</f>
        <v>1900</v>
      </c>
      <c r="EA183" s="1401">
        <f>SUM(EA180:EA182)</f>
        <v>1900</v>
      </c>
      <c r="EB183" s="1380">
        <f>EA183</f>
        <v>1900</v>
      </c>
      <c r="EC183" s="539">
        <f>SUM(EC180:EC182)</f>
        <v>1900</v>
      </c>
      <c r="ED183" s="539">
        <f>SUM(ED180:ED182)</f>
        <v>1900</v>
      </c>
      <c r="EE183" s="1401">
        <f>SUM(EE180:EE182)</f>
        <v>1900</v>
      </c>
      <c r="EF183" s="1401">
        <f>SUM(EF180:EF182)</f>
        <v>1900</v>
      </c>
      <c r="EG183" s="1380">
        <f>EF183</f>
        <v>1900</v>
      </c>
      <c r="EH183" s="539">
        <f>SUM(EH180:EH182)</f>
        <v>1900</v>
      </c>
      <c r="EI183" s="539">
        <f>SUM(EI180:EI182)</f>
        <v>1900</v>
      </c>
      <c r="EJ183" s="1401">
        <f>SUM(EJ180:EJ182)</f>
        <v>1900</v>
      </c>
      <c r="EK183" s="1401">
        <f>SUM(EK180:EK182)</f>
        <v>1900</v>
      </c>
      <c r="EL183" s="1380">
        <f>EK183</f>
        <v>1900</v>
      </c>
    </row>
    <row r="184" spans="1:142">
      <c r="A184" s="1331"/>
      <c r="B184" s="308" t="s">
        <v>300</v>
      </c>
      <c r="C184" s="309"/>
      <c r="D184" s="309"/>
      <c r="E184" s="309"/>
      <c r="F184" s="309"/>
      <c r="G184" s="309"/>
      <c r="H184" s="310"/>
      <c r="I184" s="309"/>
      <c r="J184" s="309"/>
      <c r="K184" s="309"/>
      <c r="L184" s="309"/>
      <c r="M184" s="310"/>
      <c r="N184" s="309"/>
      <c r="O184" s="309"/>
      <c r="P184" s="309"/>
      <c r="Q184" s="309"/>
      <c r="R184" s="310"/>
      <c r="S184" s="309"/>
      <c r="T184" s="309"/>
      <c r="U184" s="309"/>
      <c r="V184" s="309"/>
      <c r="W184" s="310"/>
      <c r="X184" s="309"/>
      <c r="Y184" s="309"/>
      <c r="Z184" s="309"/>
      <c r="AA184" s="309"/>
      <c r="AB184" s="310"/>
      <c r="AC184" s="309"/>
      <c r="AD184" s="309"/>
      <c r="AE184" s="309"/>
      <c r="AF184" s="309"/>
      <c r="AG184" s="310"/>
      <c r="AH184" s="309"/>
      <c r="AI184" s="309"/>
      <c r="AJ184" s="309"/>
      <c r="AK184" s="309"/>
      <c r="AL184" s="310"/>
      <c r="AM184" s="309"/>
      <c r="AN184" s="309"/>
      <c r="AO184" s="309"/>
      <c r="AP184" s="309"/>
      <c r="AQ184" s="328"/>
      <c r="AR184" s="309"/>
      <c r="AS184" s="309"/>
      <c r="AT184" s="309"/>
      <c r="AU184" s="311"/>
      <c r="AV184" s="309"/>
      <c r="AW184" s="309"/>
      <c r="AX184" s="309"/>
      <c r="AY184" s="309"/>
      <c r="AZ184" s="328"/>
      <c r="BA184" s="329"/>
      <c r="BB184" s="330"/>
      <c r="BC184" s="330"/>
      <c r="BD184" s="329"/>
      <c r="BE184" s="328"/>
      <c r="BF184" s="329"/>
      <c r="BG184" s="330"/>
      <c r="BH184" s="329"/>
      <c r="BI184" s="329"/>
      <c r="BJ184" s="328"/>
      <c r="BK184" s="215"/>
      <c r="BL184" s="215"/>
      <c r="BM184" s="275"/>
      <c r="BN184" s="215"/>
      <c r="BO184" s="313"/>
      <c r="BP184" s="215"/>
      <c r="BQ184" s="215"/>
      <c r="BR184" s="275"/>
      <c r="BS184" s="215"/>
      <c r="BT184" s="313"/>
      <c r="BU184" s="215"/>
      <c r="BV184" s="215"/>
      <c r="BW184" s="275"/>
      <c r="BX184" s="215"/>
      <c r="BY184" s="313"/>
      <c r="BZ184" s="215"/>
      <c r="CA184" s="215"/>
      <c r="CB184" s="275"/>
      <c r="CC184" s="215"/>
      <c r="CD184" s="313"/>
      <c r="CE184" s="276"/>
      <c r="CF184" s="276"/>
      <c r="CG184" s="276"/>
      <c r="CH184" s="276"/>
      <c r="CI184" s="313"/>
      <c r="CJ184" s="276"/>
      <c r="CK184" s="276"/>
      <c r="CL184" s="276"/>
      <c r="CM184" s="276"/>
      <c r="CN184" s="313"/>
      <c r="CO184" s="276"/>
      <c r="CP184" s="276"/>
      <c r="CQ184" s="276"/>
      <c r="CR184" s="276"/>
      <c r="CS184" s="313"/>
      <c r="CT184" s="276"/>
      <c r="CU184" s="276"/>
      <c r="CV184" s="276"/>
      <c r="CW184" s="276"/>
      <c r="CX184" s="313"/>
      <c r="CY184" s="49"/>
      <c r="CZ184" s="49"/>
      <c r="DA184" s="49"/>
      <c r="DB184" s="49"/>
      <c r="DC184" s="328"/>
      <c r="DD184" s="49"/>
      <c r="DE184" s="49"/>
      <c r="DF184" s="49"/>
      <c r="DG184" s="49"/>
      <c r="DH184" s="313"/>
      <c r="DI184" s="49"/>
      <c r="DJ184" s="1342">
        <f>DJ179/4*AVERAGE(DJ183,DJ180)</f>
        <v>16.03125</v>
      </c>
      <c r="DK184" s="1342">
        <f>DK179/4*AVERAGE(DK183,DK180)</f>
        <v>32.0625</v>
      </c>
      <c r="DL184" s="1342">
        <f>DL179/4*AVERAGE(DL183,DL180)</f>
        <v>32.0625</v>
      </c>
      <c r="DM184" s="1353">
        <f>SUM(DI184:DL184)</f>
        <v>80.15625</v>
      </c>
      <c r="DN184" s="1342">
        <f>DN179/4*AVERAGE(DN183,DN180)</f>
        <v>32.0625</v>
      </c>
      <c r="DO184" s="1342">
        <f>DO179/4*AVERAGE(DO183,DO180)</f>
        <v>32.0625</v>
      </c>
      <c r="DP184" s="1342">
        <f>DP179/4*AVERAGE(DP183,DP180)</f>
        <v>32.0625</v>
      </c>
      <c r="DQ184" s="1342">
        <f>DQ179/4*AVERAGE(DQ183,DQ180)</f>
        <v>32.0625</v>
      </c>
      <c r="DR184" s="1353">
        <f>SUM(DN184:DQ184)</f>
        <v>128.25</v>
      </c>
      <c r="DS184" s="1342">
        <f>DS179/4*AVERAGE(DS183,DS180)</f>
        <v>32.0625</v>
      </c>
      <c r="DT184" s="1342">
        <f>DT179/4*AVERAGE(DT183,DT180)</f>
        <v>32.0625</v>
      </c>
      <c r="DU184" s="1342">
        <f>DU179/4*AVERAGE(DU183,DU180)</f>
        <v>32.0625</v>
      </c>
      <c r="DV184" s="1342">
        <f>DV179/4*AVERAGE(DV183,DV180)</f>
        <v>32.0625</v>
      </c>
      <c r="DW184" s="1353">
        <f>SUM(DS184:DV184)</f>
        <v>128.25</v>
      </c>
      <c r="DX184" s="1342">
        <f>DX179/4*AVERAGE(DX183,DX180)</f>
        <v>32.0625</v>
      </c>
      <c r="DY184" s="1342">
        <f>DY179/4*AVERAGE(DY183,DY180)</f>
        <v>32.0625</v>
      </c>
      <c r="DZ184" s="1342">
        <f>DZ179/4*AVERAGE(DZ183,DZ180)</f>
        <v>32.0625</v>
      </c>
      <c r="EA184" s="1342">
        <f>EA179/4*AVERAGE(EA183,EA180)</f>
        <v>32.0625</v>
      </c>
      <c r="EB184" s="1353">
        <f>SUM(DX184:EA184)</f>
        <v>128.25</v>
      </c>
      <c r="EC184" s="1342">
        <f>EC179/4*AVERAGE(EC183,EC180)</f>
        <v>32.0625</v>
      </c>
      <c r="ED184" s="1342">
        <f>ED179/4*AVERAGE(ED183,ED180)</f>
        <v>32.0625</v>
      </c>
      <c r="EE184" s="1342">
        <f>EE179/4*AVERAGE(EE183,EE180)</f>
        <v>32.0625</v>
      </c>
      <c r="EF184" s="1342">
        <f>EF179/4*AVERAGE(EF183,EF180)</f>
        <v>32.0625</v>
      </c>
      <c r="EG184" s="1353">
        <f>SUM(EC184:EF184)</f>
        <v>128.25</v>
      </c>
      <c r="EH184" s="1342">
        <f>EH179/4*AVERAGE(EH183,EH180)</f>
        <v>32.0625</v>
      </c>
      <c r="EI184" s="1342">
        <f>EI179/4*AVERAGE(EI183,EI180)</f>
        <v>32.0625</v>
      </c>
      <c r="EJ184" s="1342">
        <f>EJ179/4*AVERAGE(EJ183,EJ180)</f>
        <v>32.0625</v>
      </c>
      <c r="EK184" s="1342">
        <f>EK179/4*AVERAGE(EK183,EK180)</f>
        <v>32.0625</v>
      </c>
      <c r="EL184" s="1353">
        <f>SUM(EH184:EK184)</f>
        <v>128.25</v>
      </c>
    </row>
    <row r="185" spans="1:142" hidden="1" outlineLevel="1">
      <c r="A185" s="225"/>
      <c r="B185" s="1326"/>
      <c r="C185" s="9"/>
      <c r="D185" s="9"/>
      <c r="E185" s="9"/>
      <c r="F185" s="9"/>
      <c r="G185" s="9"/>
      <c r="H185" s="63"/>
      <c r="I185" s="9"/>
      <c r="J185" s="9"/>
      <c r="K185" s="9"/>
      <c r="L185" s="9"/>
      <c r="M185" s="63"/>
      <c r="N185" s="9"/>
      <c r="O185" s="9"/>
      <c r="P185" s="9"/>
      <c r="Q185" s="9"/>
      <c r="R185" s="63"/>
      <c r="S185" s="9"/>
      <c r="T185" s="9"/>
      <c r="U185" s="9"/>
      <c r="V185" s="9"/>
      <c r="W185" s="63"/>
      <c r="X185" s="9"/>
      <c r="Y185" s="9"/>
      <c r="Z185" s="9"/>
      <c r="AA185" s="9"/>
      <c r="AB185" s="63"/>
      <c r="AC185" s="9"/>
      <c r="AD185" s="9"/>
      <c r="AE185" s="9"/>
      <c r="AF185" s="9"/>
      <c r="AG185" s="63"/>
      <c r="AH185" s="9"/>
      <c r="AI185" s="9"/>
      <c r="AJ185" s="9"/>
      <c r="AK185" s="9"/>
      <c r="AL185" s="63"/>
      <c r="AM185" s="53"/>
      <c r="AN185" s="53"/>
      <c r="AO185" s="53"/>
      <c r="AP185" s="53"/>
      <c r="AQ185" s="28"/>
      <c r="AR185" s="53"/>
      <c r="AS185" s="53"/>
      <c r="AT185" s="53"/>
      <c r="AU185" s="186"/>
      <c r="AV185" s="240"/>
      <c r="AW185" s="240"/>
      <c r="AX185" s="240"/>
      <c r="AY185" s="240"/>
      <c r="AZ185" s="241"/>
      <c r="BA185" s="240"/>
      <c r="BB185" s="240"/>
      <c r="BC185" s="240"/>
      <c r="BD185" s="240"/>
      <c r="BE185" s="241"/>
      <c r="BF185" s="240"/>
      <c r="BG185" s="240"/>
      <c r="BH185" s="240"/>
      <c r="BI185" s="240"/>
      <c r="BJ185" s="241"/>
      <c r="BK185" s="171"/>
      <c r="BL185" s="171"/>
      <c r="BM185" s="87"/>
      <c r="BN185" s="171"/>
      <c r="BO185" s="170"/>
      <c r="BP185" s="171"/>
      <c r="BQ185" s="171"/>
      <c r="BR185" s="87"/>
      <c r="BS185" s="171"/>
      <c r="BT185" s="170"/>
      <c r="BU185" s="171"/>
      <c r="BV185" s="171"/>
      <c r="BW185" s="87"/>
      <c r="BX185" s="171"/>
      <c r="BY185" s="170"/>
      <c r="BZ185" s="171"/>
      <c r="CA185" s="171"/>
      <c r="CB185" s="87"/>
      <c r="CC185" s="171"/>
      <c r="CD185" s="170"/>
      <c r="CE185" s="173"/>
      <c r="CF185" s="173"/>
      <c r="CG185" s="173"/>
      <c r="CH185" s="173"/>
      <c r="CI185" s="170"/>
      <c r="CJ185" s="173"/>
      <c r="CK185" s="173"/>
      <c r="CL185" s="173"/>
      <c r="CM185" s="173"/>
      <c r="CN185" s="170"/>
      <c r="CO185" s="173"/>
      <c r="CP185" s="173"/>
      <c r="CQ185" s="173"/>
      <c r="CR185" s="173"/>
      <c r="CS185" s="170"/>
      <c r="CT185" s="173"/>
      <c r="CU185" s="173"/>
      <c r="CV185" s="173"/>
      <c r="CW185" s="173"/>
      <c r="CX185" s="170"/>
      <c r="CY185" s="173"/>
      <c r="CZ185" s="173"/>
      <c r="DA185" s="173"/>
      <c r="DB185" s="173"/>
      <c r="DC185" s="170"/>
      <c r="DD185" s="173"/>
      <c r="DE185" s="173"/>
      <c r="DF185" s="173"/>
      <c r="DG185" s="173"/>
      <c r="DH185" s="170"/>
      <c r="DI185" s="545"/>
      <c r="DJ185" s="545"/>
      <c r="DK185" s="545"/>
      <c r="DL185" s="545"/>
      <c r="DM185" s="538"/>
      <c r="DN185" s="545"/>
      <c r="DO185" s="545"/>
      <c r="DP185" s="545"/>
      <c r="DQ185" s="545"/>
      <c r="DR185" s="538"/>
      <c r="DS185" s="545"/>
      <c r="DT185" s="545"/>
      <c r="DU185" s="545"/>
      <c r="DV185" s="545"/>
      <c r="DW185" s="538"/>
      <c r="DX185" s="545"/>
      <c r="DY185" s="545"/>
      <c r="DZ185" s="545"/>
      <c r="EA185" s="545"/>
      <c r="EB185" s="538"/>
      <c r="EC185" s="545"/>
      <c r="ED185" s="545"/>
      <c r="EE185" s="545"/>
      <c r="EF185" s="545"/>
      <c r="EG185" s="538"/>
      <c r="EH185" s="545"/>
      <c r="EI185" s="545"/>
      <c r="EJ185" s="545"/>
      <c r="EK185" s="545"/>
      <c r="EL185" s="538"/>
    </row>
    <row r="186" spans="1:142" hidden="1" outlineLevel="1">
      <c r="A186" s="225"/>
      <c r="B186" s="1326" t="s">
        <v>672</v>
      </c>
      <c r="C186" s="9"/>
      <c r="D186" s="9"/>
      <c r="E186" s="9"/>
      <c r="F186" s="9"/>
      <c r="G186" s="9"/>
      <c r="H186" s="63"/>
      <c r="I186" s="9"/>
      <c r="J186" s="9"/>
      <c r="K186" s="9"/>
      <c r="L186" s="9"/>
      <c r="M186" s="63"/>
      <c r="N186" s="9"/>
      <c r="O186" s="9"/>
      <c r="P186" s="9"/>
      <c r="Q186" s="9"/>
      <c r="R186" s="63"/>
      <c r="S186" s="9"/>
      <c r="T186" s="9"/>
      <c r="U186" s="9"/>
      <c r="V186" s="9"/>
      <c r="W186" s="63"/>
      <c r="X186" s="9"/>
      <c r="Y186" s="9"/>
      <c r="Z186" s="9"/>
      <c r="AA186" s="9"/>
      <c r="AB186" s="63"/>
      <c r="AC186" s="9"/>
      <c r="AD186" s="9"/>
      <c r="AE186" s="9"/>
      <c r="AF186" s="9"/>
      <c r="AG186" s="63"/>
      <c r="AH186" s="9"/>
      <c r="AI186" s="9"/>
      <c r="AJ186" s="9"/>
      <c r="AK186" s="9"/>
      <c r="AL186" s="63"/>
      <c r="AM186" s="53"/>
      <c r="AN186" s="53"/>
      <c r="AO186" s="53"/>
      <c r="AP186" s="53"/>
      <c r="AQ186" s="28"/>
      <c r="AR186" s="53"/>
      <c r="AS186" s="53"/>
      <c r="AT186" s="53"/>
      <c r="AU186" s="186"/>
      <c r="AV186" s="240"/>
      <c r="AW186" s="240"/>
      <c r="AX186" s="240"/>
      <c r="AY186" s="240"/>
      <c r="AZ186" s="241"/>
      <c r="BA186" s="240"/>
      <c r="BB186" s="240"/>
      <c r="BC186" s="240"/>
      <c r="BD186" s="240"/>
      <c r="BE186" s="241"/>
      <c r="BF186" s="240"/>
      <c r="BG186" s="240"/>
      <c r="BH186" s="240"/>
      <c r="BI186" s="240"/>
      <c r="BJ186" s="241"/>
      <c r="BK186" s="171"/>
      <c r="BL186" s="171"/>
      <c r="BM186" s="87"/>
      <c r="BN186" s="171"/>
      <c r="BO186" s="170"/>
      <c r="BP186" s="171"/>
      <c r="BQ186" s="171"/>
      <c r="BR186" s="87"/>
      <c r="BS186" s="171"/>
      <c r="BT186" s="170"/>
      <c r="BU186" s="171"/>
      <c r="BV186" s="171"/>
      <c r="BW186" s="87"/>
      <c r="BX186" s="171"/>
      <c r="BY186" s="170"/>
      <c r="BZ186" s="171"/>
      <c r="CA186" s="171"/>
      <c r="CB186" s="87"/>
      <c r="CC186" s="171"/>
      <c r="CD186" s="170"/>
      <c r="CE186" s="173"/>
      <c r="CF186" s="173"/>
      <c r="CG186" s="173"/>
      <c r="CH186" s="173"/>
      <c r="CI186" s="170"/>
      <c r="CJ186" s="173"/>
      <c r="CK186" s="173"/>
      <c r="CL186" s="173"/>
      <c r="CM186" s="173"/>
      <c r="CN186" s="170"/>
      <c r="CO186" s="173"/>
      <c r="CP186" s="173"/>
      <c r="CQ186" s="173"/>
      <c r="CR186" s="173"/>
      <c r="CS186" s="170"/>
      <c r="CT186" s="173"/>
      <c r="CU186" s="173"/>
      <c r="CV186" s="173"/>
      <c r="CW186" s="173"/>
      <c r="CX186" s="170"/>
      <c r="CY186" s="173"/>
      <c r="CZ186" s="173"/>
      <c r="DA186" s="173"/>
      <c r="DB186" s="173"/>
      <c r="DC186" s="170"/>
      <c r="DD186" s="173"/>
      <c r="DE186" s="173"/>
      <c r="DF186" s="173"/>
      <c r="DG186" s="173"/>
      <c r="DH186" s="170"/>
      <c r="DI186" s="545"/>
      <c r="DJ186" s="545"/>
      <c r="DK186" s="545"/>
      <c r="DL186" s="545"/>
      <c r="DM186" s="538"/>
      <c r="DN186" s="545"/>
      <c r="DO186" s="545"/>
      <c r="DP186" s="545"/>
      <c r="DQ186" s="545"/>
      <c r="DR186" s="538"/>
      <c r="DS186" s="545"/>
      <c r="DT186" s="739">
        <f>DT176+DT182</f>
        <v>1441</v>
      </c>
      <c r="DU186" s="739">
        <f>DU176+DU182</f>
        <v>640</v>
      </c>
      <c r="DV186" s="739">
        <f>DV176+DV182</f>
        <v>698</v>
      </c>
      <c r="DW186" s="739"/>
      <c r="DX186" s="739">
        <f>DX176+DX182</f>
        <v>829.37035815589047</v>
      </c>
      <c r="DY186" s="739">
        <f>DY176+DY182</f>
        <v>605.37663535468891</v>
      </c>
      <c r="DZ186" s="739">
        <f>DZ176+DZ182</f>
        <v>853.21887238129329</v>
      </c>
      <c r="EA186" s="739">
        <f>EA176+EA182</f>
        <v>567.71087398451732</v>
      </c>
      <c r="EB186" s="739"/>
      <c r="EC186" s="739">
        <f>EC176+EC182</f>
        <v>376.97417916896063</v>
      </c>
      <c r="ED186" s="739">
        <f>ED176+ED182</f>
        <v>520.54772891988341</v>
      </c>
      <c r="EE186" s="739">
        <f>EE176+EE182</f>
        <v>689.98221824519351</v>
      </c>
      <c r="EF186" s="739">
        <f>EF176+EF182</f>
        <v>714.63062624325505</v>
      </c>
      <c r="EG186" s="53"/>
      <c r="EH186" s="739">
        <f>EH176+EH182</f>
        <v>657.96794350851678</v>
      </c>
      <c r="EI186" s="739">
        <f>EI176+EI182</f>
        <v>602.90493870577018</v>
      </c>
      <c r="EJ186" s="739">
        <f>EJ176+EJ182</f>
        <v>652.42194509847184</v>
      </c>
      <c r="EK186" s="739">
        <f>EK176+EK182</f>
        <v>471.25813137678415</v>
      </c>
      <c r="EL186" s="53"/>
    </row>
    <row r="187" spans="1:142" collapsed="1">
      <c r="A187" s="225"/>
      <c r="B187" s="1326"/>
      <c r="C187" s="9"/>
      <c r="D187" s="9"/>
      <c r="E187" s="9"/>
      <c r="F187" s="9"/>
      <c r="G187" s="9"/>
      <c r="H187" s="63"/>
      <c r="I187" s="9"/>
      <c r="J187" s="9"/>
      <c r="K187" s="9"/>
      <c r="L187" s="9"/>
      <c r="M187" s="63"/>
      <c r="N187" s="9"/>
      <c r="O187" s="9"/>
      <c r="P187" s="9"/>
      <c r="Q187" s="9"/>
      <c r="R187" s="63"/>
      <c r="S187" s="9"/>
      <c r="T187" s="9"/>
      <c r="U187" s="9"/>
      <c r="V187" s="9"/>
      <c r="W187" s="63"/>
      <c r="X187" s="9"/>
      <c r="Y187" s="9"/>
      <c r="Z187" s="9"/>
      <c r="AA187" s="9"/>
      <c r="AB187" s="63"/>
      <c r="AC187" s="9"/>
      <c r="AD187" s="9"/>
      <c r="AE187" s="9"/>
      <c r="AF187" s="9"/>
      <c r="AG187" s="63"/>
      <c r="AH187" s="9"/>
      <c r="AI187" s="9"/>
      <c r="AJ187" s="9"/>
      <c r="AK187" s="9"/>
      <c r="AL187" s="63"/>
      <c r="AM187" s="53"/>
      <c r="AN187" s="53"/>
      <c r="AO187" s="53"/>
      <c r="AP187" s="53"/>
      <c r="AQ187" s="28"/>
      <c r="AR187" s="53"/>
      <c r="AS187" s="53"/>
      <c r="AT187" s="53"/>
      <c r="AU187" s="186"/>
      <c r="AV187" s="240"/>
      <c r="AW187" s="240"/>
      <c r="AX187" s="240"/>
      <c r="AY187" s="240"/>
      <c r="AZ187" s="241"/>
      <c r="BA187" s="240"/>
      <c r="BB187" s="240"/>
      <c r="BC187" s="240"/>
      <c r="BD187" s="240"/>
      <c r="BE187" s="241"/>
      <c r="BF187" s="240"/>
      <c r="BG187" s="240"/>
      <c r="BH187" s="240"/>
      <c r="BI187" s="240"/>
      <c r="BJ187" s="241"/>
      <c r="BK187" s="171"/>
      <c r="BL187" s="171"/>
      <c r="BM187" s="87"/>
      <c r="BN187" s="171"/>
      <c r="BO187" s="170"/>
      <c r="BP187" s="171"/>
      <c r="BQ187" s="171"/>
      <c r="BR187" s="87"/>
      <c r="BS187" s="171"/>
      <c r="BT187" s="170"/>
      <c r="BU187" s="171"/>
      <c r="BV187" s="171"/>
      <c r="BW187" s="87"/>
      <c r="BX187" s="171"/>
      <c r="BY187" s="170"/>
      <c r="BZ187" s="171"/>
      <c r="CA187" s="171"/>
      <c r="CB187" s="87"/>
      <c r="CC187" s="171"/>
      <c r="CD187" s="170"/>
      <c r="CE187" s="173"/>
      <c r="CF187" s="173"/>
      <c r="CG187" s="173"/>
      <c r="CH187" s="173"/>
      <c r="CI187" s="170"/>
      <c r="CJ187" s="173"/>
      <c r="CK187" s="173"/>
      <c r="CL187" s="173"/>
      <c r="CM187" s="173"/>
      <c r="CN187" s="170"/>
      <c r="CO187" s="173"/>
      <c r="CP187" s="173"/>
      <c r="CQ187" s="173"/>
      <c r="CR187" s="173"/>
      <c r="CS187" s="170"/>
      <c r="CT187" s="173"/>
      <c r="CU187" s="173"/>
      <c r="CV187" s="173"/>
      <c r="CW187" s="173"/>
      <c r="CX187" s="170"/>
      <c r="CY187" s="173"/>
      <c r="CZ187" s="173"/>
      <c r="DA187" s="173"/>
      <c r="DB187" s="173"/>
      <c r="DC187" s="170"/>
      <c r="DD187" s="173"/>
      <c r="DE187" s="173"/>
      <c r="DF187" s="173"/>
      <c r="DG187" s="173"/>
      <c r="DH187" s="170"/>
      <c r="DI187" s="545"/>
      <c r="DJ187" s="545"/>
      <c r="DK187" s="545"/>
      <c r="DL187" s="545"/>
      <c r="DM187" s="538"/>
      <c r="DN187" s="545"/>
      <c r="DO187" s="545"/>
      <c r="DP187" s="545"/>
      <c r="DQ187" s="545"/>
      <c r="DR187" s="538"/>
      <c r="DS187" s="545"/>
      <c r="DT187" s="739"/>
      <c r="DU187" s="739"/>
      <c r="DV187" s="739"/>
      <c r="DW187" s="739"/>
      <c r="DX187" s="739"/>
      <c r="DY187" s="739"/>
      <c r="DZ187" s="739"/>
      <c r="EA187" s="739"/>
      <c r="EB187" s="739"/>
      <c r="EC187" s="739"/>
      <c r="ED187" s="739"/>
      <c r="EE187" s="739"/>
      <c r="EF187" s="739"/>
      <c r="EG187" s="53"/>
      <c r="EH187" s="739"/>
      <c r="EI187" s="739"/>
      <c r="EJ187" s="739"/>
      <c r="EK187" s="739"/>
      <c r="EL187" s="53"/>
    </row>
    <row r="188" spans="1:142">
      <c r="A188" s="1329"/>
      <c r="B188" s="293" t="s">
        <v>709</v>
      </c>
      <c r="C188" s="231"/>
      <c r="D188" s="231"/>
      <c r="E188" s="231"/>
      <c r="F188" s="231"/>
      <c r="G188" s="231"/>
      <c r="H188" s="294"/>
      <c r="I188" s="231"/>
      <c r="J188" s="231"/>
      <c r="K188" s="231"/>
      <c r="L188" s="231"/>
      <c r="M188" s="294"/>
      <c r="N188" s="231"/>
      <c r="O188" s="231"/>
      <c r="P188" s="231"/>
      <c r="Q188" s="231"/>
      <c r="R188" s="294"/>
      <c r="S188" s="231"/>
      <c r="T188" s="231"/>
      <c r="U188" s="231"/>
      <c r="V188" s="231"/>
      <c r="W188" s="294"/>
      <c r="X188" s="231"/>
      <c r="Y188" s="231"/>
      <c r="Z188" s="231"/>
      <c r="AA188" s="231"/>
      <c r="AB188" s="294"/>
      <c r="AC188" s="231"/>
      <c r="AD188" s="231"/>
      <c r="AE188" s="231"/>
      <c r="AF188" s="231"/>
      <c r="AG188" s="294"/>
      <c r="AH188" s="231"/>
      <c r="AI188" s="231"/>
      <c r="AJ188" s="231"/>
      <c r="AK188" s="231"/>
      <c r="AL188" s="294"/>
      <c r="AM188" s="231"/>
      <c r="AN188" s="231"/>
      <c r="AO188" s="231"/>
      <c r="AP188" s="231"/>
      <c r="AQ188" s="294"/>
      <c r="AR188" s="231"/>
      <c r="AS188" s="231"/>
      <c r="AT188" s="231"/>
      <c r="AU188" s="295"/>
      <c r="AV188" s="231"/>
      <c r="AW188" s="231"/>
      <c r="AX188" s="231"/>
      <c r="AY188" s="231"/>
      <c r="AZ188" s="294"/>
      <c r="BA188" s="231"/>
      <c r="BB188" s="231"/>
      <c r="BC188" s="231"/>
      <c r="BD188" s="231"/>
      <c r="BE188" s="294"/>
      <c r="BF188" s="231"/>
      <c r="BG188" s="231"/>
      <c r="BH188" s="231"/>
      <c r="BI188" s="231"/>
      <c r="BJ188" s="294"/>
      <c r="BK188" s="231"/>
      <c r="BL188" s="231"/>
      <c r="BM188" s="231"/>
      <c r="BN188" s="231"/>
      <c r="BO188" s="294"/>
      <c r="BP188" s="231"/>
      <c r="BQ188" s="231"/>
      <c r="BR188" s="231"/>
      <c r="BS188" s="231"/>
      <c r="BT188" s="294"/>
      <c r="BU188" s="231"/>
      <c r="BV188" s="231"/>
      <c r="BW188" s="231"/>
      <c r="BX188" s="231"/>
      <c r="BY188" s="294"/>
      <c r="BZ188" s="231"/>
      <c r="CA188" s="231"/>
      <c r="CB188" s="231"/>
      <c r="CC188" s="231"/>
      <c r="CD188" s="294"/>
      <c r="CE188" s="231"/>
      <c r="CF188" s="231"/>
      <c r="CG188" s="231"/>
      <c r="CH188" s="231"/>
      <c r="CI188" s="294"/>
      <c r="CJ188" s="231"/>
      <c r="CK188" s="231"/>
      <c r="CL188" s="231"/>
      <c r="CM188" s="231"/>
      <c r="CN188" s="294"/>
      <c r="CO188" s="231"/>
      <c r="CP188" s="231"/>
      <c r="CQ188" s="231"/>
      <c r="CR188" s="231"/>
      <c r="CS188" s="294"/>
      <c r="CT188" s="231"/>
      <c r="CU188" s="231"/>
      <c r="CV188" s="231"/>
      <c r="CW188" s="231"/>
      <c r="CX188" s="294"/>
      <c r="CY188" s="231"/>
      <c r="CZ188" s="231"/>
      <c r="DA188" s="231"/>
      <c r="DB188" s="231"/>
      <c r="DC188" s="294"/>
      <c r="DD188" s="231"/>
      <c r="DE188" s="231"/>
      <c r="DF188" s="231"/>
      <c r="DG188" s="231"/>
      <c r="DH188" s="294"/>
      <c r="DI188" s="231"/>
      <c r="DJ188" s="231"/>
      <c r="DK188" s="231"/>
      <c r="DL188" s="231"/>
      <c r="DM188" s="294"/>
      <c r="DN188" s="231"/>
      <c r="DO188" s="231"/>
      <c r="DP188" s="231"/>
      <c r="DQ188" s="231"/>
      <c r="DR188" s="294"/>
      <c r="DS188" s="231"/>
      <c r="DT188" s="231"/>
      <c r="DU188" s="231"/>
      <c r="DV188" s="231"/>
      <c r="DW188" s="294"/>
      <c r="DX188" s="231"/>
      <c r="DY188" s="231"/>
      <c r="DZ188" s="231"/>
      <c r="EA188" s="231"/>
      <c r="EB188" s="294"/>
      <c r="EC188" s="231"/>
      <c r="ED188" s="231"/>
      <c r="EE188" s="231"/>
      <c r="EF188" s="231"/>
      <c r="EG188" s="294"/>
      <c r="EH188" s="231"/>
      <c r="EI188" s="231"/>
      <c r="EJ188" s="231"/>
      <c r="EK188" s="231"/>
      <c r="EL188" s="294"/>
    </row>
    <row r="189" spans="1:142">
      <c r="A189" s="1330"/>
      <c r="B189" s="296" t="s">
        <v>297</v>
      </c>
      <c r="C189" s="164"/>
      <c r="D189" s="164"/>
      <c r="E189" s="164"/>
      <c r="F189" s="164"/>
      <c r="G189" s="164"/>
      <c r="H189" s="291"/>
      <c r="I189" s="164"/>
      <c r="J189" s="164"/>
      <c r="K189" s="164"/>
      <c r="L189" s="164"/>
      <c r="M189" s="291"/>
      <c r="N189" s="164"/>
      <c r="O189" s="164"/>
      <c r="P189" s="164"/>
      <c r="Q189" s="164"/>
      <c r="R189" s="291"/>
      <c r="S189" s="164"/>
      <c r="T189" s="164"/>
      <c r="U189" s="164"/>
      <c r="V189" s="164"/>
      <c r="W189" s="291"/>
      <c r="X189" s="164"/>
      <c r="Y189" s="164"/>
      <c r="Z189" s="164"/>
      <c r="AA189" s="164"/>
      <c r="AB189" s="291"/>
      <c r="AC189" s="164"/>
      <c r="AD189" s="164"/>
      <c r="AE189" s="164"/>
      <c r="AF189" s="164"/>
      <c r="AG189" s="291"/>
      <c r="AH189" s="164"/>
      <c r="AI189" s="164"/>
      <c r="AJ189" s="164"/>
      <c r="AK189" s="164"/>
      <c r="AL189" s="291"/>
      <c r="AM189" s="164"/>
      <c r="AN189" s="164"/>
      <c r="AO189" s="164"/>
      <c r="AP189" s="164"/>
      <c r="AQ189" s="291"/>
      <c r="AR189" s="164"/>
      <c r="AS189" s="164"/>
      <c r="AT189" s="164"/>
      <c r="AU189" s="292"/>
      <c r="AV189" s="164"/>
      <c r="AW189" s="164"/>
      <c r="AX189" s="164"/>
      <c r="AY189" s="164"/>
      <c r="AZ189" s="291"/>
      <c r="BA189" s="164"/>
      <c r="BB189" s="164"/>
      <c r="BC189" s="164"/>
      <c r="BD189" s="164"/>
      <c r="BE189" s="291"/>
      <c r="BF189" s="164"/>
      <c r="BG189" s="164"/>
      <c r="BH189" s="164"/>
      <c r="BI189" s="164"/>
      <c r="BJ189" s="291"/>
      <c r="BK189" s="164"/>
      <c r="BL189" s="164"/>
      <c r="BM189" s="164"/>
      <c r="BN189" s="164"/>
      <c r="BO189" s="291"/>
      <c r="BP189" s="164"/>
      <c r="BQ189" s="164"/>
      <c r="BR189" s="164"/>
      <c r="BS189" s="164"/>
      <c r="BT189" s="291"/>
      <c r="BU189" s="164"/>
      <c r="BV189" s="164"/>
      <c r="BW189" s="164"/>
      <c r="BX189" s="164"/>
      <c r="BY189" s="291"/>
      <c r="BZ189" s="164"/>
      <c r="CA189" s="164"/>
      <c r="CB189" s="164"/>
      <c r="CC189" s="164"/>
      <c r="CD189" s="291"/>
      <c r="CE189" s="297"/>
      <c r="CF189" s="297"/>
      <c r="CG189" s="297"/>
      <c r="CH189" s="297"/>
      <c r="CI189" s="193"/>
      <c r="CJ189" s="297"/>
      <c r="CK189" s="297"/>
      <c r="CL189" s="297"/>
      <c r="CM189" s="297"/>
      <c r="CN189" s="193"/>
      <c r="CO189" s="297"/>
      <c r="CP189" s="297"/>
      <c r="CQ189" s="297"/>
      <c r="CR189" s="297"/>
      <c r="CS189" s="193"/>
      <c r="CT189" s="297"/>
      <c r="CU189" s="297"/>
      <c r="CV189" s="298"/>
      <c r="CW189" s="298"/>
      <c r="CX189" s="278"/>
      <c r="CY189" s="298"/>
      <c r="CZ189" s="298"/>
      <c r="DA189" s="210"/>
      <c r="DB189" s="254"/>
      <c r="DC189" s="193"/>
      <c r="DD189" s="299"/>
      <c r="DE189" s="251"/>
      <c r="DF189" s="251"/>
      <c r="DG189" s="254"/>
      <c r="DH189" s="253"/>
      <c r="DI189" s="299"/>
      <c r="DJ189" s="251"/>
      <c r="DK189" s="251"/>
      <c r="DL189" s="251"/>
      <c r="DM189" s="253"/>
      <c r="DN189" s="299"/>
      <c r="DO189" s="251"/>
      <c r="DP189" s="251"/>
      <c r="DQ189" s="251"/>
      <c r="DR189" s="253"/>
      <c r="DS189" s="254"/>
      <c r="DT189" s="251"/>
      <c r="DU189" s="251">
        <v>7.0000000000000007E-2</v>
      </c>
      <c r="DV189" s="251">
        <f t="shared" ref="DV189:EG189" si="22">DU189</f>
        <v>7.0000000000000007E-2</v>
      </c>
      <c r="DW189" s="253">
        <f t="shared" si="22"/>
        <v>7.0000000000000007E-2</v>
      </c>
      <c r="DX189" s="254">
        <f t="shared" si="22"/>
        <v>7.0000000000000007E-2</v>
      </c>
      <c r="DY189" s="251">
        <f t="shared" si="22"/>
        <v>7.0000000000000007E-2</v>
      </c>
      <c r="DZ189" s="251">
        <f t="shared" si="22"/>
        <v>7.0000000000000007E-2</v>
      </c>
      <c r="EA189" s="251">
        <f t="shared" si="22"/>
        <v>7.0000000000000007E-2</v>
      </c>
      <c r="EB189" s="253">
        <f t="shared" si="22"/>
        <v>7.0000000000000007E-2</v>
      </c>
      <c r="EC189" s="254">
        <f t="shared" si="22"/>
        <v>7.0000000000000007E-2</v>
      </c>
      <c r="ED189" s="251">
        <f t="shared" si="22"/>
        <v>7.0000000000000007E-2</v>
      </c>
      <c r="EE189" s="251">
        <f t="shared" si="22"/>
        <v>7.0000000000000007E-2</v>
      </c>
      <c r="EF189" s="251">
        <f t="shared" si="22"/>
        <v>7.0000000000000007E-2</v>
      </c>
      <c r="EG189" s="253">
        <f t="shared" si="22"/>
        <v>7.0000000000000007E-2</v>
      </c>
      <c r="EH189" s="254">
        <f t="shared" ref="EH189:EL189" si="23">EG189</f>
        <v>7.0000000000000007E-2</v>
      </c>
      <c r="EI189" s="251">
        <f t="shared" si="23"/>
        <v>7.0000000000000007E-2</v>
      </c>
      <c r="EJ189" s="251">
        <f t="shared" si="23"/>
        <v>7.0000000000000007E-2</v>
      </c>
      <c r="EK189" s="251">
        <f t="shared" si="23"/>
        <v>7.0000000000000007E-2</v>
      </c>
      <c r="EL189" s="253">
        <f t="shared" si="23"/>
        <v>7.0000000000000007E-2</v>
      </c>
    </row>
    <row r="190" spans="1:142">
      <c r="A190" s="1331"/>
      <c r="B190" s="300" t="s">
        <v>298</v>
      </c>
      <c r="C190" s="203"/>
      <c r="D190" s="203"/>
      <c r="E190" s="203"/>
      <c r="F190" s="203"/>
      <c r="G190" s="203"/>
      <c r="H190" s="493"/>
      <c r="I190" s="203"/>
      <c r="J190" s="203"/>
      <c r="K190" s="203"/>
      <c r="L190" s="203"/>
      <c r="M190" s="493"/>
      <c r="N190" s="203"/>
      <c r="O190" s="203"/>
      <c r="P190" s="203"/>
      <c r="Q190" s="203"/>
      <c r="R190" s="493"/>
      <c r="S190" s="203"/>
      <c r="T190" s="203"/>
      <c r="U190" s="203"/>
      <c r="V190" s="203"/>
      <c r="W190" s="493"/>
      <c r="X190" s="203"/>
      <c r="Y190" s="203"/>
      <c r="Z190" s="203"/>
      <c r="AA190" s="203"/>
      <c r="AB190" s="493"/>
      <c r="AC190" s="203"/>
      <c r="AD190" s="203"/>
      <c r="AE190" s="203"/>
      <c r="AF190" s="203"/>
      <c r="AG190" s="493"/>
      <c r="AH190" s="203"/>
      <c r="AI190" s="203"/>
      <c r="AJ190" s="203"/>
      <c r="AK190" s="203"/>
      <c r="AL190" s="493"/>
      <c r="AM190" s="495"/>
      <c r="AN190" s="495"/>
      <c r="AO190" s="495"/>
      <c r="AP190" s="495"/>
      <c r="AQ190" s="204"/>
      <c r="AR190" s="495"/>
      <c r="AS190" s="495"/>
      <c r="AT190" s="495"/>
      <c r="AU190" s="208"/>
      <c r="AV190" s="207"/>
      <c r="AW190" s="1402"/>
      <c r="AX190" s="495"/>
      <c r="AY190" s="495"/>
      <c r="AZ190" s="204"/>
      <c r="BA190" s="207"/>
      <c r="BB190" s="1402"/>
      <c r="BC190" s="495"/>
      <c r="BD190" s="495"/>
      <c r="BE190" s="204"/>
      <c r="BF190" s="207"/>
      <c r="BG190" s="1402"/>
      <c r="BH190" s="495"/>
      <c r="BI190" s="495"/>
      <c r="BJ190" s="204"/>
      <c r="BK190" s="1403"/>
      <c r="BL190" s="1403"/>
      <c r="BM190" s="1403"/>
      <c r="BN190" s="1403"/>
      <c r="BO190" s="1404"/>
      <c r="BP190" s="1403"/>
      <c r="BQ190" s="1403"/>
      <c r="BR190" s="1403"/>
      <c r="BS190" s="1403"/>
      <c r="BT190" s="1404"/>
      <c r="BU190" s="1403"/>
      <c r="BV190" s="1403"/>
      <c r="BW190" s="1403"/>
      <c r="BX190" s="1403"/>
      <c r="BY190" s="1404"/>
      <c r="BZ190" s="1403"/>
      <c r="CA190" s="1403"/>
      <c r="CB190" s="1403"/>
      <c r="CC190" s="1403"/>
      <c r="CD190" s="1404"/>
      <c r="CE190" s="304"/>
      <c r="CF190" s="304"/>
      <c r="CG190" s="304"/>
      <c r="CH190" s="304"/>
      <c r="CI190" s="305"/>
      <c r="CJ190" s="304"/>
      <c r="CK190" s="304"/>
      <c r="CL190" s="304"/>
      <c r="CM190" s="304"/>
      <c r="CN190" s="305"/>
      <c r="CO190" s="304"/>
      <c r="CP190" s="304"/>
      <c r="CQ190" s="304"/>
      <c r="CR190" s="304"/>
      <c r="CS190" s="305"/>
      <c r="CT190" s="304"/>
      <c r="CU190" s="304"/>
      <c r="CV190" s="304"/>
      <c r="CW190" s="304"/>
      <c r="CX190" s="305"/>
      <c r="CY190" s="304"/>
      <c r="CZ190" s="304"/>
      <c r="DA190" s="304"/>
      <c r="DB190" s="304"/>
      <c r="DC190" s="305"/>
      <c r="DD190" s="304"/>
      <c r="DE190" s="332"/>
      <c r="DF190" s="332"/>
      <c r="DG190" s="304"/>
      <c r="DH190" s="305"/>
      <c r="DI190" s="304"/>
      <c r="DJ190" s="1397"/>
      <c r="DK190" s="1397"/>
      <c r="DL190" s="1397"/>
      <c r="DM190" s="1405"/>
      <c r="DN190" s="1406"/>
      <c r="DO190" s="1397"/>
      <c r="DP190" s="1397"/>
      <c r="DQ190" s="1397"/>
      <c r="DR190" s="1405"/>
      <c r="DS190" s="1397"/>
      <c r="DT190" s="1397"/>
      <c r="DU190" s="1397">
        <f>DT193</f>
        <v>0</v>
      </c>
      <c r="DV190" s="1397">
        <f>DU193</f>
        <v>500</v>
      </c>
      <c r="DW190" s="1405"/>
      <c r="DX190" s="539">
        <f>DW193</f>
        <v>500</v>
      </c>
      <c r="DY190" s="1397">
        <f>DX193</f>
        <v>500</v>
      </c>
      <c r="DZ190" s="1397">
        <f>DY193</f>
        <v>500</v>
      </c>
      <c r="EA190" s="1397">
        <f>DZ193</f>
        <v>500</v>
      </c>
      <c r="EB190" s="1405"/>
      <c r="EC190" s="539">
        <f>EB193</f>
        <v>500</v>
      </c>
      <c r="ED190" s="1397">
        <f>EC193</f>
        <v>500</v>
      </c>
      <c r="EE190" s="1397">
        <f>ED193</f>
        <v>500</v>
      </c>
      <c r="EF190" s="1397">
        <f>EE193</f>
        <v>500</v>
      </c>
      <c r="EG190" s="1405"/>
      <c r="EH190" s="539">
        <f>EG193</f>
        <v>500</v>
      </c>
      <c r="EI190" s="1397">
        <f>EH193</f>
        <v>500</v>
      </c>
      <c r="EJ190" s="1397">
        <f>EI193</f>
        <v>500</v>
      </c>
      <c r="EK190" s="1397">
        <f>EJ193</f>
        <v>500</v>
      </c>
      <c r="EL190" s="1405"/>
    </row>
    <row r="191" spans="1:142">
      <c r="A191" s="1331"/>
      <c r="B191" s="209" t="s">
        <v>674</v>
      </c>
      <c r="C191" s="232"/>
      <c r="D191" s="232"/>
      <c r="E191" s="232"/>
      <c r="F191" s="232"/>
      <c r="G191" s="232"/>
      <c r="H191" s="233"/>
      <c r="I191" s="232"/>
      <c r="J191" s="232"/>
      <c r="K191" s="232"/>
      <c r="L191" s="232"/>
      <c r="M191" s="233"/>
      <c r="N191" s="232"/>
      <c r="O191" s="232"/>
      <c r="P191" s="232"/>
      <c r="Q191" s="232"/>
      <c r="R191" s="233"/>
      <c r="S191" s="232"/>
      <c r="T191" s="232"/>
      <c r="U191" s="232"/>
      <c r="V191" s="232"/>
      <c r="W191" s="233"/>
      <c r="X191" s="232"/>
      <c r="Y191" s="232"/>
      <c r="Z191" s="232"/>
      <c r="AA191" s="232"/>
      <c r="AB191" s="233"/>
      <c r="AC191" s="232"/>
      <c r="AD191" s="232"/>
      <c r="AE191" s="232"/>
      <c r="AF191" s="232"/>
      <c r="AG191" s="233"/>
      <c r="AH191" s="232"/>
      <c r="AI191" s="232"/>
      <c r="AJ191" s="232"/>
      <c r="AK191" s="232"/>
      <c r="AL191" s="233"/>
      <c r="AM191" s="234"/>
      <c r="AN191" s="234"/>
      <c r="AO191" s="234"/>
      <c r="AP191" s="234"/>
      <c r="AQ191" s="235"/>
      <c r="AR191" s="234"/>
      <c r="AS191" s="234"/>
      <c r="AT191" s="234"/>
      <c r="AU191" s="236"/>
      <c r="AV191" s="237"/>
      <c r="AW191" s="301"/>
      <c r="AX191" s="234"/>
      <c r="AY191" s="234"/>
      <c r="AZ191" s="235"/>
      <c r="BA191" s="237"/>
      <c r="BB191" s="301"/>
      <c r="BC191" s="234"/>
      <c r="BD191" s="234"/>
      <c r="BE191" s="235"/>
      <c r="BF191" s="237"/>
      <c r="BG191" s="301"/>
      <c r="BH191" s="234"/>
      <c r="BI191" s="234"/>
      <c r="BJ191" s="235"/>
      <c r="BK191" s="302"/>
      <c r="BL191" s="302"/>
      <c r="BM191" s="302"/>
      <c r="BN191" s="302"/>
      <c r="BO191" s="303"/>
      <c r="BP191" s="302"/>
      <c r="BQ191" s="302"/>
      <c r="BR191" s="302"/>
      <c r="BS191" s="302"/>
      <c r="BT191" s="303"/>
      <c r="BU191" s="302"/>
      <c r="BV191" s="302"/>
      <c r="BW191" s="302"/>
      <c r="BX191" s="302"/>
      <c r="BY191" s="303"/>
      <c r="BZ191" s="302"/>
      <c r="CA191" s="302"/>
      <c r="CB191" s="302"/>
      <c r="CC191" s="302"/>
      <c r="CD191" s="303"/>
      <c r="CE191" s="304"/>
      <c r="CF191" s="304"/>
      <c r="CG191" s="304"/>
      <c r="CH191" s="304"/>
      <c r="CI191" s="305"/>
      <c r="CJ191" s="304"/>
      <c r="CK191" s="304"/>
      <c r="CL191" s="304"/>
      <c r="CM191" s="304"/>
      <c r="CN191" s="305"/>
      <c r="CO191" s="304"/>
      <c r="CP191" s="304"/>
      <c r="CQ191" s="304"/>
      <c r="CR191" s="304"/>
      <c r="CS191" s="305"/>
      <c r="CT191" s="304"/>
      <c r="CU191" s="304"/>
      <c r="CV191" s="304"/>
      <c r="CW191" s="304"/>
      <c r="CX191" s="305"/>
      <c r="CY191" s="304"/>
      <c r="CZ191" s="304"/>
      <c r="DA191" s="306"/>
      <c r="DB191" s="306"/>
      <c r="DC191" s="305"/>
      <c r="DD191" s="304"/>
      <c r="DE191" s="261"/>
      <c r="DF191" s="261"/>
      <c r="DG191" s="306"/>
      <c r="DH191" s="307"/>
      <c r="DI191" s="304"/>
      <c r="DJ191" s="1407"/>
      <c r="DK191" s="1378"/>
      <c r="DL191" s="1378"/>
      <c r="DM191" s="1380"/>
      <c r="DN191" s="1378"/>
      <c r="DO191" s="1378"/>
      <c r="DP191" s="1378"/>
      <c r="DQ191" s="1378"/>
      <c r="DR191" s="1380"/>
      <c r="DS191" s="1378"/>
      <c r="DT191" s="1378"/>
      <c r="DU191" s="1560">
        <v>500</v>
      </c>
      <c r="DV191" s="1378">
        <v>0</v>
      </c>
      <c r="DW191" s="1380">
        <f>SUM(DS191:DV191)</f>
        <v>500</v>
      </c>
      <c r="DX191" s="1378">
        <v>0</v>
      </c>
      <c r="DY191" s="1378">
        <v>0</v>
      </c>
      <c r="DZ191" s="1378">
        <v>0</v>
      </c>
      <c r="EA191" s="1378">
        <v>0</v>
      </c>
      <c r="EB191" s="1380">
        <f>SUM(DX191:EA191)</f>
        <v>0</v>
      </c>
      <c r="EC191" s="1378">
        <v>0</v>
      </c>
      <c r="ED191" s="1378">
        <v>0</v>
      </c>
      <c r="EE191" s="1378">
        <v>0</v>
      </c>
      <c r="EF191" s="1378">
        <v>0</v>
      </c>
      <c r="EG191" s="1380">
        <f>SUM(EC191:EF191)</f>
        <v>0</v>
      </c>
      <c r="EH191" s="1378">
        <v>0</v>
      </c>
      <c r="EI191" s="1378">
        <v>0</v>
      </c>
      <c r="EJ191" s="1378">
        <v>0</v>
      </c>
      <c r="EK191" s="1378">
        <v>0</v>
      </c>
      <c r="EL191" s="1380">
        <f>SUM(EH191:EK191)</f>
        <v>0</v>
      </c>
    </row>
    <row r="192" spans="1:142">
      <c r="A192" s="1331"/>
      <c r="B192" s="214" t="s">
        <v>675</v>
      </c>
      <c r="C192" s="309"/>
      <c r="D192" s="309"/>
      <c r="E192" s="309"/>
      <c r="F192" s="309"/>
      <c r="G192" s="309"/>
      <c r="H192" s="310"/>
      <c r="I192" s="309"/>
      <c r="J192" s="309"/>
      <c r="K192" s="309"/>
      <c r="L192" s="309"/>
      <c r="M192" s="310"/>
      <c r="N192" s="309"/>
      <c r="O192" s="309"/>
      <c r="P192" s="309"/>
      <c r="Q192" s="309"/>
      <c r="R192" s="310"/>
      <c r="S192" s="309"/>
      <c r="T192" s="309"/>
      <c r="U192" s="309"/>
      <c r="V192" s="309"/>
      <c r="W192" s="310"/>
      <c r="X192" s="309"/>
      <c r="Y192" s="309"/>
      <c r="Z192" s="309"/>
      <c r="AA192" s="309"/>
      <c r="AB192" s="310"/>
      <c r="AC192" s="309"/>
      <c r="AD192" s="309"/>
      <c r="AE192" s="309"/>
      <c r="AF192" s="309"/>
      <c r="AG192" s="310"/>
      <c r="AH192" s="309"/>
      <c r="AI192" s="309"/>
      <c r="AJ192" s="309"/>
      <c r="AK192" s="309"/>
      <c r="AL192" s="310"/>
      <c r="AM192" s="309"/>
      <c r="AN192" s="309"/>
      <c r="AO192" s="309"/>
      <c r="AP192" s="309"/>
      <c r="AQ192" s="310"/>
      <c r="AR192" s="309"/>
      <c r="AS192" s="309"/>
      <c r="AT192" s="309"/>
      <c r="AU192" s="311"/>
      <c r="AV192" s="309"/>
      <c r="AW192" s="309"/>
      <c r="AX192" s="309"/>
      <c r="AY192" s="309"/>
      <c r="AZ192" s="310"/>
      <c r="BA192" s="309"/>
      <c r="BB192" s="309"/>
      <c r="BC192" s="309"/>
      <c r="BD192" s="309"/>
      <c r="BE192" s="310"/>
      <c r="BF192" s="309"/>
      <c r="BG192" s="309"/>
      <c r="BH192" s="309"/>
      <c r="BI192" s="309"/>
      <c r="BJ192" s="310"/>
      <c r="BK192" s="309"/>
      <c r="BL192" s="309"/>
      <c r="BM192" s="312"/>
      <c r="BN192" s="309"/>
      <c r="BO192" s="313"/>
      <c r="BP192" s="309"/>
      <c r="BQ192" s="309"/>
      <c r="BR192" s="312"/>
      <c r="BS192" s="309"/>
      <c r="BT192" s="313"/>
      <c r="BU192" s="309"/>
      <c r="BV192" s="309"/>
      <c r="BW192" s="312"/>
      <c r="BX192" s="309"/>
      <c r="BY192" s="313"/>
      <c r="BZ192" s="309"/>
      <c r="CA192" s="309"/>
      <c r="CB192" s="312"/>
      <c r="CC192" s="309"/>
      <c r="CD192" s="313"/>
      <c r="CE192" s="314"/>
      <c r="CF192" s="314"/>
      <c r="CG192" s="314"/>
      <c r="CH192" s="314"/>
      <c r="CI192" s="313"/>
      <c r="CJ192" s="314"/>
      <c r="CK192" s="314"/>
      <c r="CL192" s="314"/>
      <c r="CM192" s="314"/>
      <c r="CN192" s="313"/>
      <c r="CO192" s="314"/>
      <c r="CP192" s="314"/>
      <c r="CQ192" s="314"/>
      <c r="CR192" s="314"/>
      <c r="CS192" s="313"/>
      <c r="CT192" s="314"/>
      <c r="CU192" s="314"/>
      <c r="CV192" s="314"/>
      <c r="CW192" s="314"/>
      <c r="CX192" s="313"/>
      <c r="CY192" s="309"/>
      <c r="CZ192" s="315"/>
      <c r="DA192" s="309"/>
      <c r="DB192" s="314"/>
      <c r="DC192" s="316"/>
      <c r="DD192" s="309"/>
      <c r="DE192" s="314"/>
      <c r="DF192" s="314"/>
      <c r="DG192" s="314"/>
      <c r="DH192" s="313"/>
      <c r="DI192" s="309"/>
      <c r="DJ192" s="1379"/>
      <c r="DK192" s="1379"/>
      <c r="DL192" s="1379"/>
      <c r="DM192" s="1381"/>
      <c r="DN192" s="1379"/>
      <c r="DO192" s="1379"/>
      <c r="DP192" s="1379"/>
      <c r="DQ192" s="1379"/>
      <c r="DR192" s="1381"/>
      <c r="DS192" s="1379"/>
      <c r="DT192" s="1379"/>
      <c r="DU192" s="1379">
        <v>0</v>
      </c>
      <c r="DV192" s="1379">
        <v>0</v>
      </c>
      <c r="DW192" s="1381">
        <f>SUM(DS192:DV192)</f>
        <v>0</v>
      </c>
      <c r="DX192" s="1379">
        <v>0</v>
      </c>
      <c r="DY192" s="1379">
        <v>0</v>
      </c>
      <c r="DZ192" s="1379">
        <v>0</v>
      </c>
      <c r="EA192" s="1379">
        <v>0</v>
      </c>
      <c r="EB192" s="1381">
        <f>SUM(DX192:EA192)</f>
        <v>0</v>
      </c>
      <c r="EC192" s="1379">
        <v>0</v>
      </c>
      <c r="ED192" s="1379">
        <v>0</v>
      </c>
      <c r="EE192" s="1379">
        <v>0</v>
      </c>
      <c r="EF192" s="1379">
        <v>0</v>
      </c>
      <c r="EG192" s="1381">
        <f>SUM(EC192:EF192)</f>
        <v>0</v>
      </c>
      <c r="EH192" s="1379">
        <v>0</v>
      </c>
      <c r="EI192" s="1379">
        <v>0</v>
      </c>
      <c r="EJ192" s="1379">
        <v>0</v>
      </c>
      <c r="EK192" s="1379">
        <v>0</v>
      </c>
      <c r="EL192" s="1381">
        <f>SUM(EH192:EK192)</f>
        <v>0</v>
      </c>
    </row>
    <row r="193" spans="1:142">
      <c r="A193" s="1331"/>
      <c r="B193" s="300" t="s">
        <v>299</v>
      </c>
      <c r="C193" s="164"/>
      <c r="D193" s="164"/>
      <c r="E193" s="164"/>
      <c r="F193" s="164"/>
      <c r="G193" s="164"/>
      <c r="H193" s="291"/>
      <c r="I193" s="164"/>
      <c r="J193" s="164"/>
      <c r="K193" s="164"/>
      <c r="L193" s="164"/>
      <c r="M193" s="291"/>
      <c r="N193" s="164"/>
      <c r="O193" s="164"/>
      <c r="P193" s="164"/>
      <c r="Q193" s="164"/>
      <c r="R193" s="291"/>
      <c r="S193" s="164"/>
      <c r="T193" s="164"/>
      <c r="U193" s="164"/>
      <c r="V193" s="164"/>
      <c r="W193" s="291"/>
      <c r="X193" s="164"/>
      <c r="Y193" s="164"/>
      <c r="Z193" s="164"/>
      <c r="AA193" s="164"/>
      <c r="AB193" s="291"/>
      <c r="AC193" s="164"/>
      <c r="AD193" s="164"/>
      <c r="AE193" s="164"/>
      <c r="AF193" s="164"/>
      <c r="AG193" s="291"/>
      <c r="AH193" s="164"/>
      <c r="AI193" s="164"/>
      <c r="AJ193" s="164"/>
      <c r="AK193" s="164"/>
      <c r="AL193" s="291"/>
      <c r="AM193" s="164"/>
      <c r="AN193" s="164"/>
      <c r="AO193" s="164"/>
      <c r="AP193" s="164"/>
      <c r="AQ193" s="317"/>
      <c r="AR193" s="164"/>
      <c r="AS193" s="164"/>
      <c r="AT193" s="164"/>
      <c r="AU193" s="292"/>
      <c r="AV193" s="164"/>
      <c r="AW193" s="164"/>
      <c r="AX193" s="164"/>
      <c r="AY193" s="164"/>
      <c r="AZ193" s="317"/>
      <c r="BA193" s="318"/>
      <c r="BB193" s="319"/>
      <c r="BC193" s="319"/>
      <c r="BD193" s="319"/>
      <c r="BE193" s="317"/>
      <c r="BF193" s="318"/>
      <c r="BG193" s="319"/>
      <c r="BH193" s="319"/>
      <c r="BI193" s="319"/>
      <c r="BJ193" s="317"/>
      <c r="BK193" s="320"/>
      <c r="BL193" s="321"/>
      <c r="BM193" s="321"/>
      <c r="BN193" s="321"/>
      <c r="BO193" s="322"/>
      <c r="BP193" s="320"/>
      <c r="BQ193" s="321"/>
      <c r="BR193" s="321"/>
      <c r="BS193" s="321"/>
      <c r="BT193" s="322"/>
      <c r="BU193" s="320"/>
      <c r="BV193" s="321"/>
      <c r="BW193" s="321"/>
      <c r="BX193" s="321"/>
      <c r="BY193" s="322"/>
      <c r="BZ193" s="320"/>
      <c r="CA193" s="321"/>
      <c r="CB193" s="321"/>
      <c r="CC193" s="321"/>
      <c r="CD193" s="322"/>
      <c r="CE193" s="323"/>
      <c r="CF193" s="323"/>
      <c r="CG193" s="323"/>
      <c r="CH193" s="323"/>
      <c r="CI193" s="239"/>
      <c r="CJ193" s="323"/>
      <c r="CK193" s="323"/>
      <c r="CL193" s="323"/>
      <c r="CM193" s="323"/>
      <c r="CN193" s="239"/>
      <c r="CO193" s="323"/>
      <c r="CP193" s="323"/>
      <c r="CQ193" s="323"/>
      <c r="CR193" s="323"/>
      <c r="CS193" s="239"/>
      <c r="CT193" s="323"/>
      <c r="CU193" s="323"/>
      <c r="CV193" s="323"/>
      <c r="CW193" s="324"/>
      <c r="CX193" s="239"/>
      <c r="CY193" s="325"/>
      <c r="CZ193" s="325"/>
      <c r="DA193" s="325"/>
      <c r="DB193" s="326"/>
      <c r="DC193" s="317">
        <f>DB193</f>
        <v>0</v>
      </c>
      <c r="DD193" s="327"/>
      <c r="DE193" s="326"/>
      <c r="DF193" s="326"/>
      <c r="DG193" s="326"/>
      <c r="DH193" s="317"/>
      <c r="DI193" s="327"/>
      <c r="DJ193" s="539"/>
      <c r="DK193" s="539"/>
      <c r="DL193" s="539"/>
      <c r="DM193" s="1380"/>
      <c r="DN193" s="539"/>
      <c r="DO193" s="539"/>
      <c r="DP193" s="1401"/>
      <c r="DQ193" s="1401"/>
      <c r="DR193" s="1380"/>
      <c r="DS193" s="539"/>
      <c r="DT193" s="539"/>
      <c r="DU193" s="1401">
        <f>SUM(DU190:DU192)</f>
        <v>500</v>
      </c>
      <c r="DV193" s="1401">
        <f>SUM(DV190:DV192)</f>
        <v>500</v>
      </c>
      <c r="DW193" s="1380">
        <f>DV193</f>
        <v>500</v>
      </c>
      <c r="DX193" s="539">
        <f>SUM(DX190:DX192)</f>
        <v>500</v>
      </c>
      <c r="DY193" s="539">
        <f>SUM(DY190:DY192)</f>
        <v>500</v>
      </c>
      <c r="DZ193" s="1401">
        <f>SUM(DZ190:DZ192)</f>
        <v>500</v>
      </c>
      <c r="EA193" s="1401">
        <f>SUM(EA190:EA192)</f>
        <v>500</v>
      </c>
      <c r="EB193" s="1380">
        <f>EA193</f>
        <v>500</v>
      </c>
      <c r="EC193" s="539">
        <f>SUM(EC190:EC192)</f>
        <v>500</v>
      </c>
      <c r="ED193" s="539">
        <f>SUM(ED190:ED192)</f>
        <v>500</v>
      </c>
      <c r="EE193" s="1401">
        <f>SUM(EE190:EE192)</f>
        <v>500</v>
      </c>
      <c r="EF193" s="1401">
        <f>SUM(EF190:EF192)</f>
        <v>500</v>
      </c>
      <c r="EG193" s="1380">
        <f>EF193</f>
        <v>500</v>
      </c>
      <c r="EH193" s="539">
        <f>SUM(EH190:EH192)</f>
        <v>500</v>
      </c>
      <c r="EI193" s="539">
        <f>SUM(EI190:EI192)</f>
        <v>500</v>
      </c>
      <c r="EJ193" s="1401">
        <f>SUM(EJ190:EJ192)</f>
        <v>500</v>
      </c>
      <c r="EK193" s="1401">
        <f>SUM(EK190:EK192)</f>
        <v>500</v>
      </c>
      <c r="EL193" s="1380">
        <f>EK193</f>
        <v>500</v>
      </c>
    </row>
    <row r="194" spans="1:142">
      <c r="A194" s="1331"/>
      <c r="B194" s="308" t="s">
        <v>300</v>
      </c>
      <c r="C194" s="309"/>
      <c r="D194" s="309"/>
      <c r="E194" s="309"/>
      <c r="F194" s="309"/>
      <c r="G194" s="309"/>
      <c r="H194" s="310"/>
      <c r="I194" s="309"/>
      <c r="J194" s="309"/>
      <c r="K194" s="309"/>
      <c r="L194" s="309"/>
      <c r="M194" s="310"/>
      <c r="N194" s="309"/>
      <c r="O194" s="309"/>
      <c r="P194" s="309"/>
      <c r="Q194" s="309"/>
      <c r="R194" s="310"/>
      <c r="S194" s="309"/>
      <c r="T194" s="309"/>
      <c r="U194" s="309"/>
      <c r="V194" s="309"/>
      <c r="W194" s="310"/>
      <c r="X194" s="309"/>
      <c r="Y194" s="309"/>
      <c r="Z194" s="309"/>
      <c r="AA194" s="309"/>
      <c r="AB194" s="310"/>
      <c r="AC194" s="309"/>
      <c r="AD194" s="309"/>
      <c r="AE194" s="309"/>
      <c r="AF194" s="309"/>
      <c r="AG194" s="310"/>
      <c r="AH194" s="309"/>
      <c r="AI194" s="309"/>
      <c r="AJ194" s="309"/>
      <c r="AK194" s="309"/>
      <c r="AL194" s="310"/>
      <c r="AM194" s="309"/>
      <c r="AN194" s="309"/>
      <c r="AO194" s="309"/>
      <c r="AP194" s="309"/>
      <c r="AQ194" s="328"/>
      <c r="AR194" s="309"/>
      <c r="AS194" s="309"/>
      <c r="AT194" s="309"/>
      <c r="AU194" s="311"/>
      <c r="AV194" s="309"/>
      <c r="AW194" s="309"/>
      <c r="AX194" s="309"/>
      <c r="AY194" s="309"/>
      <c r="AZ194" s="328"/>
      <c r="BA194" s="329"/>
      <c r="BB194" s="330"/>
      <c r="BC194" s="330"/>
      <c r="BD194" s="329"/>
      <c r="BE194" s="328"/>
      <c r="BF194" s="329"/>
      <c r="BG194" s="330"/>
      <c r="BH194" s="329"/>
      <c r="BI194" s="329"/>
      <c r="BJ194" s="328"/>
      <c r="BK194" s="215"/>
      <c r="BL194" s="215"/>
      <c r="BM194" s="275"/>
      <c r="BN194" s="215"/>
      <c r="BO194" s="313"/>
      <c r="BP194" s="215"/>
      <c r="BQ194" s="215"/>
      <c r="BR194" s="275"/>
      <c r="BS194" s="215"/>
      <c r="BT194" s="313"/>
      <c r="BU194" s="215"/>
      <c r="BV194" s="215"/>
      <c r="BW194" s="275"/>
      <c r="BX194" s="215"/>
      <c r="BY194" s="313"/>
      <c r="BZ194" s="215"/>
      <c r="CA194" s="215"/>
      <c r="CB194" s="275"/>
      <c r="CC194" s="215"/>
      <c r="CD194" s="313"/>
      <c r="CE194" s="276"/>
      <c r="CF194" s="276"/>
      <c r="CG194" s="276"/>
      <c r="CH194" s="276"/>
      <c r="CI194" s="313"/>
      <c r="CJ194" s="276"/>
      <c r="CK194" s="276"/>
      <c r="CL194" s="276"/>
      <c r="CM194" s="276"/>
      <c r="CN194" s="313"/>
      <c r="CO194" s="276"/>
      <c r="CP194" s="276"/>
      <c r="CQ194" s="276"/>
      <c r="CR194" s="276"/>
      <c r="CS194" s="313"/>
      <c r="CT194" s="276"/>
      <c r="CU194" s="276"/>
      <c r="CV194" s="276"/>
      <c r="CW194" s="276"/>
      <c r="CX194" s="313"/>
      <c r="CY194" s="49"/>
      <c r="CZ194" s="49"/>
      <c r="DA194" s="49"/>
      <c r="DB194" s="49"/>
      <c r="DC194" s="328"/>
      <c r="DD194" s="49"/>
      <c r="DE194" s="49"/>
      <c r="DF194" s="49"/>
      <c r="DG194" s="49"/>
      <c r="DH194" s="313"/>
      <c r="DI194" s="49"/>
      <c r="DJ194" s="1342"/>
      <c r="DK194" s="1342"/>
      <c r="DL194" s="1342"/>
      <c r="DM194" s="1353"/>
      <c r="DN194" s="1342"/>
      <c r="DO194" s="1342"/>
      <c r="DP194" s="1342"/>
      <c r="DQ194" s="1342"/>
      <c r="DR194" s="1353"/>
      <c r="DS194" s="1342"/>
      <c r="DT194" s="1342"/>
      <c r="DU194" s="1342">
        <f>DU189/4*AVERAGE(DU193,DU190)</f>
        <v>4.375</v>
      </c>
      <c r="DV194" s="1342">
        <f>DV189/4*AVERAGE(DV193,DV190)</f>
        <v>8.75</v>
      </c>
      <c r="DW194" s="1353">
        <f>SUM(DS194:DV194)</f>
        <v>13.125</v>
      </c>
      <c r="DX194" s="1342">
        <f>DX189/4*AVERAGE(DX193,DX190)</f>
        <v>8.75</v>
      </c>
      <c r="DY194" s="1342">
        <f>DY189/4*AVERAGE(DY193,DY190)</f>
        <v>8.75</v>
      </c>
      <c r="DZ194" s="1342">
        <f>DZ189/4*AVERAGE(DZ193,DZ190)</f>
        <v>8.75</v>
      </c>
      <c r="EA194" s="1342">
        <f>EA189/4*AVERAGE(EA193,EA190)</f>
        <v>8.75</v>
      </c>
      <c r="EB194" s="1353">
        <f>SUM(DX194:EA194)</f>
        <v>35</v>
      </c>
      <c r="EC194" s="1342">
        <f>EC189/4*AVERAGE(EC193,EC190)</f>
        <v>8.75</v>
      </c>
      <c r="ED194" s="1342">
        <f>ED189/4*AVERAGE(ED193,ED190)</f>
        <v>8.75</v>
      </c>
      <c r="EE194" s="1342">
        <f>EE189/4*AVERAGE(EE193,EE190)</f>
        <v>8.75</v>
      </c>
      <c r="EF194" s="1342">
        <f>EF189/4*AVERAGE(EF193,EF190)</f>
        <v>8.75</v>
      </c>
      <c r="EG194" s="1353">
        <f>SUM(EC194:EF194)</f>
        <v>35</v>
      </c>
      <c r="EH194" s="1342">
        <f>EH189/4*AVERAGE(EH193,EH190)</f>
        <v>8.75</v>
      </c>
      <c r="EI194" s="1342">
        <f>EI189/4*AVERAGE(EI193,EI190)</f>
        <v>8.75</v>
      </c>
      <c r="EJ194" s="1342">
        <f>EJ189/4*AVERAGE(EJ193,EJ190)</f>
        <v>8.75</v>
      </c>
      <c r="EK194" s="1342">
        <f>EK189/4*AVERAGE(EK193,EK190)</f>
        <v>8.75</v>
      </c>
      <c r="EL194" s="1353">
        <f>SUM(EH194:EK194)</f>
        <v>35</v>
      </c>
    </row>
    <row r="195" spans="1:142" hidden="1" outlineLevel="1">
      <c r="A195" s="225"/>
      <c r="B195" s="1326"/>
      <c r="C195" s="9"/>
      <c r="D195" s="9"/>
      <c r="E195" s="9"/>
      <c r="F195" s="9"/>
      <c r="G195" s="9"/>
      <c r="H195" s="63"/>
      <c r="I195" s="9"/>
      <c r="J195" s="9"/>
      <c r="K195" s="9"/>
      <c r="L195" s="9"/>
      <c r="M195" s="63"/>
      <c r="N195" s="9"/>
      <c r="O195" s="9"/>
      <c r="P195" s="9"/>
      <c r="Q195" s="9"/>
      <c r="R195" s="63"/>
      <c r="S195" s="9"/>
      <c r="T195" s="9"/>
      <c r="U195" s="9"/>
      <c r="V195" s="9"/>
      <c r="W195" s="63"/>
      <c r="X195" s="9"/>
      <c r="Y195" s="9"/>
      <c r="Z195" s="9"/>
      <c r="AA195" s="9"/>
      <c r="AB195" s="63"/>
      <c r="AC195" s="9"/>
      <c r="AD195" s="9"/>
      <c r="AE195" s="9"/>
      <c r="AF195" s="9"/>
      <c r="AG195" s="63"/>
      <c r="AH195" s="9"/>
      <c r="AI195" s="9"/>
      <c r="AJ195" s="9"/>
      <c r="AK195" s="9"/>
      <c r="AL195" s="63"/>
      <c r="AM195" s="53"/>
      <c r="AN195" s="53"/>
      <c r="AO195" s="53"/>
      <c r="AP195" s="53"/>
      <c r="AQ195" s="28"/>
      <c r="AR195" s="53"/>
      <c r="AS195" s="53"/>
      <c r="AT195" s="53"/>
      <c r="AU195" s="186"/>
      <c r="AV195" s="240"/>
      <c r="AW195" s="240"/>
      <c r="AX195" s="240"/>
      <c r="AY195" s="240"/>
      <c r="AZ195" s="241"/>
      <c r="BA195" s="240"/>
      <c r="BB195" s="240"/>
      <c r="BC195" s="240"/>
      <c r="BD195" s="240"/>
      <c r="BE195" s="241"/>
      <c r="BF195" s="240"/>
      <c r="BG195" s="240"/>
      <c r="BH195" s="240"/>
      <c r="BI195" s="240"/>
      <c r="BJ195" s="241"/>
      <c r="BK195" s="171"/>
      <c r="BL195" s="171"/>
      <c r="BM195" s="87"/>
      <c r="BN195" s="171"/>
      <c r="BO195" s="170"/>
      <c r="BP195" s="171"/>
      <c r="BQ195" s="171"/>
      <c r="BR195" s="87"/>
      <c r="BS195" s="171"/>
      <c r="BT195" s="170"/>
      <c r="BU195" s="171"/>
      <c r="BV195" s="171"/>
      <c r="BW195" s="87"/>
      <c r="BX195" s="171"/>
      <c r="BY195" s="170"/>
      <c r="BZ195" s="171"/>
      <c r="CA195" s="171"/>
      <c r="CB195" s="87"/>
      <c r="CC195" s="171"/>
      <c r="CD195" s="170"/>
      <c r="CE195" s="173"/>
      <c r="CF195" s="173"/>
      <c r="CG195" s="173"/>
      <c r="CH195" s="173"/>
      <c r="CI195" s="170"/>
      <c r="CJ195" s="173"/>
      <c r="CK195" s="173"/>
      <c r="CL195" s="173"/>
      <c r="CM195" s="173"/>
      <c r="CN195" s="170"/>
      <c r="CO195" s="173"/>
      <c r="CP195" s="173"/>
      <c r="CQ195" s="173"/>
      <c r="CR195" s="173"/>
      <c r="CS195" s="170"/>
      <c r="CT195" s="173"/>
      <c r="CU195" s="173"/>
      <c r="CV195" s="173"/>
      <c r="CW195" s="173"/>
      <c r="CX195" s="170"/>
      <c r="CY195" s="173"/>
      <c r="CZ195" s="173"/>
      <c r="DA195" s="173"/>
      <c r="DB195" s="173"/>
      <c r="DC195" s="170"/>
      <c r="DD195" s="173"/>
      <c r="DE195" s="173"/>
      <c r="DF195" s="173"/>
      <c r="DG195" s="173"/>
      <c r="DH195" s="170"/>
      <c r="DI195" s="545"/>
      <c r="DJ195" s="545"/>
      <c r="DK195" s="545"/>
      <c r="DL195" s="545"/>
      <c r="DM195" s="538"/>
      <c r="DN195" s="545"/>
      <c r="DO195" s="545"/>
      <c r="DP195" s="545"/>
      <c r="DQ195" s="545"/>
      <c r="DR195" s="538"/>
      <c r="DS195" s="545"/>
      <c r="DT195" s="545"/>
      <c r="DU195" s="545"/>
      <c r="DV195" s="545"/>
      <c r="DW195" s="538"/>
      <c r="DX195" s="545"/>
      <c r="DY195" s="545"/>
      <c r="DZ195" s="545"/>
      <c r="EA195" s="545"/>
      <c r="EB195" s="538"/>
      <c r="EC195" s="545"/>
      <c r="ED195" s="545"/>
      <c r="EE195" s="545"/>
      <c r="EF195" s="545"/>
      <c r="EG195" s="538"/>
      <c r="EH195" s="545"/>
      <c r="EI195" s="545"/>
      <c r="EJ195" s="545"/>
      <c r="EK195" s="545"/>
      <c r="EL195" s="538"/>
    </row>
    <row r="196" spans="1:142" hidden="1" outlineLevel="1">
      <c r="A196" s="225"/>
      <c r="B196" s="1326" t="s">
        <v>672</v>
      </c>
      <c r="C196" s="9"/>
      <c r="D196" s="9"/>
      <c r="E196" s="9"/>
      <c r="F196" s="9"/>
      <c r="G196" s="9"/>
      <c r="H196" s="63"/>
      <c r="I196" s="9"/>
      <c r="J196" s="9"/>
      <c r="K196" s="9"/>
      <c r="L196" s="9"/>
      <c r="M196" s="63"/>
      <c r="N196" s="9"/>
      <c r="O196" s="9"/>
      <c r="P196" s="9"/>
      <c r="Q196" s="9"/>
      <c r="R196" s="63"/>
      <c r="S196" s="9"/>
      <c r="T196" s="9"/>
      <c r="U196" s="9"/>
      <c r="V196" s="9"/>
      <c r="W196" s="63"/>
      <c r="X196" s="9"/>
      <c r="Y196" s="9"/>
      <c r="Z196" s="9"/>
      <c r="AA196" s="9"/>
      <c r="AB196" s="63"/>
      <c r="AC196" s="9"/>
      <c r="AD196" s="9"/>
      <c r="AE196" s="9"/>
      <c r="AF196" s="9"/>
      <c r="AG196" s="63"/>
      <c r="AH196" s="9"/>
      <c r="AI196" s="9"/>
      <c r="AJ196" s="9"/>
      <c r="AK196" s="9"/>
      <c r="AL196" s="63"/>
      <c r="AM196" s="53"/>
      <c r="AN196" s="53"/>
      <c r="AO196" s="53"/>
      <c r="AP196" s="53"/>
      <c r="AQ196" s="28"/>
      <c r="AR196" s="53"/>
      <c r="AS196" s="53"/>
      <c r="AT196" s="53"/>
      <c r="AU196" s="186"/>
      <c r="AV196" s="240"/>
      <c r="AW196" s="240"/>
      <c r="AX196" s="240"/>
      <c r="AY196" s="240"/>
      <c r="AZ196" s="241"/>
      <c r="BA196" s="240"/>
      <c r="BB196" s="240"/>
      <c r="BC196" s="240"/>
      <c r="BD196" s="240"/>
      <c r="BE196" s="241"/>
      <c r="BF196" s="240"/>
      <c r="BG196" s="240"/>
      <c r="BH196" s="240"/>
      <c r="BI196" s="240"/>
      <c r="BJ196" s="241"/>
      <c r="BK196" s="171"/>
      <c r="BL196" s="171"/>
      <c r="BM196" s="87"/>
      <c r="BN196" s="171"/>
      <c r="BO196" s="170"/>
      <c r="BP196" s="171"/>
      <c r="BQ196" s="171"/>
      <c r="BR196" s="87"/>
      <c r="BS196" s="171"/>
      <c r="BT196" s="170"/>
      <c r="BU196" s="171"/>
      <c r="BV196" s="171"/>
      <c r="BW196" s="87"/>
      <c r="BX196" s="171"/>
      <c r="BY196" s="170"/>
      <c r="BZ196" s="171"/>
      <c r="CA196" s="171"/>
      <c r="CB196" s="87"/>
      <c r="CC196" s="171"/>
      <c r="CD196" s="170"/>
      <c r="CE196" s="173"/>
      <c r="CF196" s="173"/>
      <c r="CG196" s="173"/>
      <c r="CH196" s="173"/>
      <c r="CI196" s="170"/>
      <c r="CJ196" s="173"/>
      <c r="CK196" s="173"/>
      <c r="CL196" s="173"/>
      <c r="CM196" s="173"/>
      <c r="CN196" s="170"/>
      <c r="CO196" s="173"/>
      <c r="CP196" s="173"/>
      <c r="CQ196" s="173"/>
      <c r="CR196" s="173"/>
      <c r="CS196" s="170"/>
      <c r="CT196" s="173"/>
      <c r="CU196" s="173"/>
      <c r="CV196" s="173"/>
      <c r="CW196" s="173"/>
      <c r="CX196" s="170"/>
      <c r="CY196" s="173"/>
      <c r="CZ196" s="173"/>
      <c r="DA196" s="173"/>
      <c r="DB196" s="173"/>
      <c r="DC196" s="170"/>
      <c r="DD196" s="173"/>
      <c r="DE196" s="173"/>
      <c r="DF196" s="173"/>
      <c r="DG196" s="173"/>
      <c r="DH196" s="170"/>
      <c r="DI196" s="545"/>
      <c r="DJ196" s="545"/>
      <c r="DK196" s="545"/>
      <c r="DL196" s="545"/>
      <c r="DM196" s="538"/>
      <c r="DN196" s="545"/>
      <c r="DO196" s="545"/>
      <c r="DP196" s="545"/>
      <c r="DQ196" s="545"/>
      <c r="DR196" s="538"/>
      <c r="DS196" s="545"/>
      <c r="DT196" s="739">
        <f>DT186+DT192</f>
        <v>1441</v>
      </c>
      <c r="DU196" s="739">
        <f>DU186+DU192</f>
        <v>640</v>
      </c>
      <c r="DV196" s="739">
        <f>DV186+DV192</f>
        <v>698</v>
      </c>
      <c r="DW196" s="739"/>
      <c r="DX196" s="739">
        <f>DX186+DX192</f>
        <v>829.37035815589047</v>
      </c>
      <c r="DY196" s="739">
        <f>DY186+DY192</f>
        <v>605.37663535468891</v>
      </c>
      <c r="DZ196" s="739">
        <f>DZ186+DZ192</f>
        <v>853.21887238129329</v>
      </c>
      <c r="EA196" s="739">
        <f>EA186+EA192</f>
        <v>567.71087398451732</v>
      </c>
      <c r="EB196" s="739"/>
      <c r="EC196" s="739">
        <f>EC186+EC192</f>
        <v>376.97417916896063</v>
      </c>
      <c r="ED196" s="739">
        <f>ED186+ED192</f>
        <v>520.54772891988341</v>
      </c>
      <c r="EE196" s="739">
        <f>EE186+EE192</f>
        <v>689.98221824519351</v>
      </c>
      <c r="EF196" s="739">
        <f>EF186+EF192</f>
        <v>714.63062624325505</v>
      </c>
      <c r="EG196" s="53"/>
      <c r="EH196" s="739">
        <f>EH186+EH192</f>
        <v>657.96794350851678</v>
      </c>
      <c r="EI196" s="739">
        <f>EI186+EI192</f>
        <v>602.90493870577018</v>
      </c>
      <c r="EJ196" s="739">
        <f>EJ186+EJ192</f>
        <v>652.42194509847184</v>
      </c>
      <c r="EK196" s="739">
        <f>EK186+EK192</f>
        <v>471.25813137678415</v>
      </c>
      <c r="EL196" s="53"/>
    </row>
    <row r="197" spans="1:142" collapsed="1">
      <c r="A197" s="225"/>
      <c r="B197" s="1326"/>
      <c r="C197" s="9"/>
      <c r="D197" s="9"/>
      <c r="E197" s="9"/>
      <c r="F197" s="9"/>
      <c r="G197" s="9"/>
      <c r="H197" s="63"/>
      <c r="I197" s="9"/>
      <c r="J197" s="9"/>
      <c r="K197" s="9"/>
      <c r="L197" s="9"/>
      <c r="M197" s="63"/>
      <c r="N197" s="9"/>
      <c r="O197" s="9"/>
      <c r="P197" s="9"/>
      <c r="Q197" s="9"/>
      <c r="R197" s="63"/>
      <c r="S197" s="9"/>
      <c r="T197" s="9"/>
      <c r="U197" s="9"/>
      <c r="V197" s="9"/>
      <c r="W197" s="63"/>
      <c r="X197" s="9"/>
      <c r="Y197" s="9"/>
      <c r="Z197" s="9"/>
      <c r="AA197" s="9"/>
      <c r="AB197" s="63"/>
      <c r="AC197" s="9"/>
      <c r="AD197" s="9"/>
      <c r="AE197" s="9"/>
      <c r="AF197" s="9"/>
      <c r="AG197" s="63"/>
      <c r="AH197" s="9"/>
      <c r="AI197" s="9"/>
      <c r="AJ197" s="9"/>
      <c r="AK197" s="9"/>
      <c r="AL197" s="63"/>
      <c r="AM197" s="53"/>
      <c r="AN197" s="53"/>
      <c r="AO197" s="53"/>
      <c r="AP197" s="53"/>
      <c r="AQ197" s="28"/>
      <c r="AR197" s="53"/>
      <c r="AS197" s="53"/>
      <c r="AT197" s="53"/>
      <c r="AU197" s="186"/>
      <c r="AV197" s="240"/>
      <c r="AW197" s="240"/>
      <c r="AX197" s="240"/>
      <c r="AY197" s="240"/>
      <c r="AZ197" s="241"/>
      <c r="BA197" s="240"/>
      <c r="BB197" s="240"/>
      <c r="BC197" s="240"/>
      <c r="BD197" s="240"/>
      <c r="BE197" s="241"/>
      <c r="BF197" s="240"/>
      <c r="BG197" s="240"/>
      <c r="BH197" s="240"/>
      <c r="BI197" s="240"/>
      <c r="BJ197" s="241"/>
      <c r="BK197" s="171"/>
      <c r="BL197" s="171"/>
      <c r="BM197" s="87"/>
      <c r="BN197" s="171"/>
      <c r="BO197" s="170"/>
      <c r="BP197" s="171"/>
      <c r="BQ197" s="171"/>
      <c r="BR197" s="87"/>
      <c r="BS197" s="171"/>
      <c r="BT197" s="170"/>
      <c r="BU197" s="171"/>
      <c r="BV197" s="171"/>
      <c r="BW197" s="87"/>
      <c r="BX197" s="171"/>
      <c r="BY197" s="170"/>
      <c r="BZ197" s="171"/>
      <c r="CA197" s="171"/>
      <c r="CB197" s="87"/>
      <c r="CC197" s="171"/>
      <c r="CD197" s="170"/>
      <c r="CE197" s="173"/>
      <c r="CF197" s="173"/>
      <c r="CG197" s="173"/>
      <c r="CH197" s="173"/>
      <c r="CI197" s="170"/>
      <c r="CJ197" s="173"/>
      <c r="CK197" s="173"/>
      <c r="CL197" s="173"/>
      <c r="CM197" s="173"/>
      <c r="CN197" s="170"/>
      <c r="CO197" s="173"/>
      <c r="CP197" s="173"/>
      <c r="CQ197" s="173"/>
      <c r="CR197" s="173"/>
      <c r="CS197" s="170"/>
      <c r="CT197" s="173"/>
      <c r="CU197" s="173"/>
      <c r="CV197" s="173"/>
      <c r="CW197" s="173"/>
      <c r="CX197" s="170"/>
      <c r="CY197" s="173"/>
      <c r="CZ197" s="173"/>
      <c r="DA197" s="173"/>
      <c r="DB197" s="173"/>
      <c r="DC197" s="170"/>
      <c r="DD197" s="173"/>
      <c r="DE197" s="173"/>
      <c r="DF197" s="173"/>
      <c r="DG197" s="173"/>
      <c r="DH197" s="170"/>
      <c r="DI197" s="545"/>
      <c r="DJ197" s="545"/>
      <c r="DK197" s="545"/>
      <c r="DL197" s="545"/>
      <c r="DM197" s="538"/>
      <c r="DN197" s="545"/>
      <c r="DO197" s="545"/>
      <c r="DP197" s="545"/>
      <c r="DQ197" s="545"/>
      <c r="DR197" s="538"/>
      <c r="DS197" s="545"/>
      <c r="DT197" s="739"/>
      <c r="DU197" s="739"/>
      <c r="DV197" s="739"/>
      <c r="DW197" s="739"/>
      <c r="DX197" s="739"/>
      <c r="DY197" s="739"/>
      <c r="DZ197" s="739"/>
      <c r="EA197" s="739"/>
      <c r="EB197" s="739"/>
      <c r="EC197" s="739"/>
      <c r="ED197" s="739"/>
      <c r="EE197" s="739"/>
      <c r="EF197" s="739"/>
      <c r="EG197" s="53"/>
      <c r="EH197" s="739"/>
      <c r="EI197" s="739"/>
      <c r="EJ197" s="739"/>
      <c r="EK197" s="739"/>
      <c r="EL197" s="53"/>
    </row>
    <row r="198" spans="1:142">
      <c r="A198" s="1327"/>
      <c r="B198" s="242" t="s">
        <v>303</v>
      </c>
      <c r="C198" s="228"/>
      <c r="D198" s="228"/>
      <c r="E198" s="228"/>
      <c r="F198" s="228"/>
      <c r="G198" s="228"/>
      <c r="H198" s="229"/>
      <c r="I198" s="228"/>
      <c r="J198" s="228"/>
      <c r="K198" s="228"/>
      <c r="L198" s="228"/>
      <c r="M198" s="229"/>
      <c r="N198" s="228"/>
      <c r="O198" s="228"/>
      <c r="P198" s="228"/>
      <c r="Q198" s="228"/>
      <c r="R198" s="229"/>
      <c r="S198" s="228"/>
      <c r="T198" s="228"/>
      <c r="U198" s="228"/>
      <c r="V198" s="228"/>
      <c r="W198" s="229"/>
      <c r="X198" s="228"/>
      <c r="Y198" s="228"/>
      <c r="Z198" s="228"/>
      <c r="AA198" s="228"/>
      <c r="AB198" s="229"/>
      <c r="AC198" s="228"/>
      <c r="AD198" s="228"/>
      <c r="AE198" s="228"/>
      <c r="AF198" s="228"/>
      <c r="AG198" s="229"/>
      <c r="AH198" s="228"/>
      <c r="AI198" s="228"/>
      <c r="AJ198" s="228"/>
      <c r="AK198" s="228"/>
      <c r="AL198" s="229"/>
      <c r="AM198" s="228"/>
      <c r="AN198" s="228"/>
      <c r="AO198" s="228"/>
      <c r="AP198" s="228"/>
      <c r="AQ198" s="229"/>
      <c r="AR198" s="228"/>
      <c r="AS198" s="228"/>
      <c r="AT198" s="228"/>
      <c r="AU198" s="230"/>
      <c r="AV198" s="228"/>
      <c r="AW198" s="228"/>
      <c r="AX198" s="228"/>
      <c r="AY198" s="228"/>
      <c r="AZ198" s="229"/>
      <c r="BA198" s="228"/>
      <c r="BB198" s="228"/>
      <c r="BC198" s="228"/>
      <c r="BD198" s="228"/>
      <c r="BE198" s="229"/>
      <c r="BF198" s="228"/>
      <c r="BG198" s="228"/>
      <c r="BH198" s="228"/>
      <c r="BI198" s="228"/>
      <c r="BJ198" s="229"/>
      <c r="BK198" s="228"/>
      <c r="BL198" s="228"/>
      <c r="BM198" s="228"/>
      <c r="BN198" s="228"/>
      <c r="BO198" s="229"/>
      <c r="BP198" s="228"/>
      <c r="BQ198" s="228"/>
      <c r="BR198" s="228"/>
      <c r="BS198" s="228"/>
      <c r="BT198" s="229"/>
      <c r="BU198" s="228"/>
      <c r="BV198" s="228"/>
      <c r="BW198" s="228"/>
      <c r="BX198" s="228"/>
      <c r="BY198" s="229"/>
      <c r="BZ198" s="228"/>
      <c r="CA198" s="228"/>
      <c r="CB198" s="228"/>
      <c r="CC198" s="228"/>
      <c r="CD198" s="229"/>
      <c r="CE198" s="228"/>
      <c r="CF198" s="228"/>
      <c r="CG198" s="228"/>
      <c r="CH198" s="228"/>
      <c r="CI198" s="229"/>
      <c r="CJ198" s="228"/>
      <c r="CK198" s="228"/>
      <c r="CL198" s="228"/>
      <c r="CM198" s="228"/>
      <c r="CN198" s="229"/>
      <c r="CO198" s="228"/>
      <c r="CP198" s="228"/>
      <c r="CQ198" s="228"/>
      <c r="CR198" s="228"/>
      <c r="CS198" s="229"/>
      <c r="CT198" s="228"/>
      <c r="CU198" s="228"/>
      <c r="CV198" s="228"/>
      <c r="CW198" s="228"/>
      <c r="CX198" s="229"/>
      <c r="CY198" s="228"/>
      <c r="CZ198" s="228"/>
      <c r="DA198" s="228"/>
      <c r="DB198" s="228"/>
      <c r="DC198" s="229"/>
      <c r="DD198" s="228"/>
      <c r="DE198" s="228"/>
      <c r="DF198" s="228"/>
      <c r="DG198" s="228"/>
      <c r="DH198" s="229"/>
      <c r="DI198" s="228"/>
      <c r="DJ198" s="228"/>
      <c r="DK198" s="231"/>
      <c r="DL198" s="228"/>
      <c r="DM198" s="229"/>
      <c r="DN198" s="228"/>
      <c r="DO198" s="228"/>
      <c r="DP198" s="228"/>
      <c r="DQ198" s="228"/>
      <c r="DR198" s="229"/>
      <c r="DS198" s="228"/>
      <c r="DT198" s="228"/>
      <c r="DU198" s="228"/>
      <c r="DV198" s="228"/>
      <c r="DW198" s="229"/>
      <c r="DX198" s="228"/>
      <c r="DY198" s="228"/>
      <c r="DZ198" s="228"/>
      <c r="EA198" s="228"/>
      <c r="EB198" s="229"/>
      <c r="EC198" s="228"/>
      <c r="ED198" s="228"/>
      <c r="EE198" s="228"/>
      <c r="EF198" s="228"/>
      <c r="EG198" s="229"/>
      <c r="EH198" s="228"/>
      <c r="EI198" s="228"/>
      <c r="EJ198" s="228"/>
      <c r="EK198" s="228"/>
      <c r="EL198" s="229"/>
    </row>
    <row r="199" spans="1:142">
      <c r="A199" s="1328"/>
      <c r="B199" s="247" t="s">
        <v>297</v>
      </c>
      <c r="C199" s="9"/>
      <c r="D199" s="9"/>
      <c r="E199" s="9"/>
      <c r="F199" s="9"/>
      <c r="G199" s="9"/>
      <c r="H199" s="63"/>
      <c r="I199" s="9"/>
      <c r="J199" s="9"/>
      <c r="K199" s="9"/>
      <c r="L199" s="9"/>
      <c r="M199" s="63"/>
      <c r="N199" s="9"/>
      <c r="O199" s="9"/>
      <c r="P199" s="9"/>
      <c r="Q199" s="9"/>
      <c r="R199" s="63"/>
      <c r="S199" s="9"/>
      <c r="T199" s="9"/>
      <c r="U199" s="9"/>
      <c r="V199" s="9"/>
      <c r="W199" s="63"/>
      <c r="X199" s="9"/>
      <c r="Y199" s="9"/>
      <c r="Z199" s="9"/>
      <c r="AA199" s="9"/>
      <c r="AB199" s="63"/>
      <c r="AC199" s="9"/>
      <c r="AD199" s="9"/>
      <c r="AE199" s="9"/>
      <c r="AF199" s="9"/>
      <c r="AG199" s="63"/>
      <c r="AH199" s="9"/>
      <c r="AI199" s="9"/>
      <c r="AJ199" s="9"/>
      <c r="AK199" s="9"/>
      <c r="AL199" s="63"/>
      <c r="AM199" s="9"/>
      <c r="AN199" s="9"/>
      <c r="AO199" s="9"/>
      <c r="AP199" s="9"/>
      <c r="AQ199" s="63"/>
      <c r="AR199" s="9"/>
      <c r="AS199" s="9"/>
      <c r="AT199" s="9"/>
      <c r="AU199" s="186"/>
      <c r="AV199" s="9"/>
      <c r="AW199" s="9"/>
      <c r="AX199" s="9"/>
      <c r="AY199" s="9"/>
      <c r="AZ199" s="63"/>
      <c r="BA199" s="9"/>
      <c r="BB199" s="9"/>
      <c r="BC199" s="9"/>
      <c r="BD199" s="9"/>
      <c r="BE199" s="63"/>
      <c r="BF199" s="9"/>
      <c r="BG199" s="9"/>
      <c r="BH199" s="9"/>
      <c r="BI199" s="9"/>
      <c r="BJ199" s="63"/>
      <c r="BK199" s="9"/>
      <c r="BL199" s="9"/>
      <c r="BM199" s="9"/>
      <c r="BN199" s="9"/>
      <c r="BO199" s="63"/>
      <c r="BP199" s="9"/>
      <c r="BQ199" s="9"/>
      <c r="BR199" s="9"/>
      <c r="BS199" s="9"/>
      <c r="BT199" s="63"/>
      <c r="BU199" s="9"/>
      <c r="BV199" s="9"/>
      <c r="BW199" s="9"/>
      <c r="BX199" s="9"/>
      <c r="BY199" s="63"/>
      <c r="BZ199" s="9"/>
      <c r="CA199" s="9"/>
      <c r="CB199" s="9"/>
      <c r="CC199" s="9"/>
      <c r="CD199" s="63"/>
      <c r="CE199" s="288">
        <f>6%+(7/8)%</f>
        <v>6.8750000000000006E-2</v>
      </c>
      <c r="CF199" s="288">
        <f>6%+(7/8)%</f>
        <v>6.8750000000000006E-2</v>
      </c>
      <c r="CG199" s="288">
        <f>6%+(7/8)%</f>
        <v>6.8750000000000006E-2</v>
      </c>
      <c r="CH199" s="288">
        <f>6%+(7/8)%</f>
        <v>6.8750000000000006E-2</v>
      </c>
      <c r="CI199" s="193"/>
      <c r="CJ199" s="288">
        <f>6%+(7/8)%</f>
        <v>6.8750000000000006E-2</v>
      </c>
      <c r="CK199" s="288">
        <f>6%+(7/8)%</f>
        <v>6.8750000000000006E-2</v>
      </c>
      <c r="CL199" s="288">
        <f>6%+(7/8)%</f>
        <v>6.8750000000000006E-2</v>
      </c>
      <c r="CM199" s="288">
        <f>6%+(7/8)%</f>
        <v>6.8750000000000006E-2</v>
      </c>
      <c r="CN199" s="193"/>
      <c r="CO199" s="288">
        <f>6%+(7/8)%</f>
        <v>6.8750000000000006E-2</v>
      </c>
      <c r="CP199" s="288">
        <f>6%+(7/8)%</f>
        <v>6.8750000000000006E-2</v>
      </c>
      <c r="CQ199" s="288">
        <f>6%+(7/8)%</f>
        <v>6.8750000000000006E-2</v>
      </c>
      <c r="CR199" s="288">
        <f>6%+(7/8)%</f>
        <v>6.8750000000000006E-2</v>
      </c>
      <c r="CS199" s="193"/>
      <c r="CT199" s="288">
        <f>6%+(7/8)%</f>
        <v>6.8750000000000006E-2</v>
      </c>
      <c r="CU199" s="288">
        <f>6%+(7/8)%</f>
        <v>6.8750000000000006E-2</v>
      </c>
      <c r="CV199" s="288">
        <f>6%+(7/8)%</f>
        <v>6.8750000000000006E-2</v>
      </c>
      <c r="CW199" s="288">
        <f>CV199</f>
        <v>6.8750000000000006E-2</v>
      </c>
      <c r="CX199" s="193"/>
      <c r="CY199" s="288">
        <f>CW199</f>
        <v>6.8750000000000006E-2</v>
      </c>
      <c r="CZ199" s="288">
        <f>CY199</f>
        <v>6.8750000000000006E-2</v>
      </c>
      <c r="DA199" s="249">
        <f>CZ199</f>
        <v>6.8750000000000006E-2</v>
      </c>
      <c r="DB199" s="249">
        <f>DA199</f>
        <v>6.8750000000000006E-2</v>
      </c>
      <c r="DC199" s="193"/>
      <c r="DD199" s="288">
        <f>DB199</f>
        <v>6.8750000000000006E-2</v>
      </c>
      <c r="DE199" s="249">
        <f>DD199</f>
        <v>6.8750000000000006E-2</v>
      </c>
      <c r="DF199" s="249">
        <f>DE199</f>
        <v>6.8750000000000006E-2</v>
      </c>
      <c r="DG199" s="249">
        <f>DF199</f>
        <v>6.8750000000000006E-2</v>
      </c>
      <c r="DH199" s="193"/>
      <c r="DI199" s="288">
        <f>DG199</f>
        <v>6.8750000000000006E-2</v>
      </c>
      <c r="DJ199" s="249">
        <f>DI199</f>
        <v>6.8750000000000006E-2</v>
      </c>
      <c r="DK199" s="331">
        <f>DJ199</f>
        <v>6.8750000000000006E-2</v>
      </c>
      <c r="DL199" s="249">
        <f>DK199</f>
        <v>6.8750000000000006E-2</v>
      </c>
      <c r="DM199" s="193"/>
      <c r="DN199" s="288">
        <f>DL199</f>
        <v>6.8750000000000006E-2</v>
      </c>
      <c r="DO199" s="249">
        <f>DN199</f>
        <v>6.8750000000000006E-2</v>
      </c>
      <c r="DP199" s="249">
        <f>DO199</f>
        <v>6.8750000000000006E-2</v>
      </c>
      <c r="DQ199" s="249">
        <f>DP199</f>
        <v>6.8750000000000006E-2</v>
      </c>
      <c r="DR199" s="193"/>
      <c r="DS199" s="249">
        <f>DQ199</f>
        <v>6.8750000000000006E-2</v>
      </c>
      <c r="DT199" s="249">
        <f>DS199</f>
        <v>6.8750000000000006E-2</v>
      </c>
      <c r="DU199" s="249">
        <f>DT199</f>
        <v>6.8750000000000006E-2</v>
      </c>
      <c r="DV199" s="249">
        <f>DU199</f>
        <v>6.8750000000000006E-2</v>
      </c>
      <c r="DW199" s="193"/>
      <c r="DX199" s="249">
        <v>6.88E-2</v>
      </c>
      <c r="DY199" s="249">
        <f>DX199</f>
        <v>6.88E-2</v>
      </c>
      <c r="DZ199" s="249">
        <f>DY199</f>
        <v>6.88E-2</v>
      </c>
      <c r="EA199" s="249">
        <f>DZ199</f>
        <v>6.88E-2</v>
      </c>
      <c r="EB199" s="193"/>
      <c r="EC199" s="249">
        <f>EA199</f>
        <v>6.88E-2</v>
      </c>
      <c r="ED199" s="249">
        <f>EC199</f>
        <v>6.88E-2</v>
      </c>
      <c r="EE199" s="249">
        <f>ED199</f>
        <v>6.88E-2</v>
      </c>
      <c r="EF199" s="249">
        <f>EE199</f>
        <v>6.88E-2</v>
      </c>
      <c r="EG199" s="193"/>
      <c r="EH199" s="249">
        <f>EF199</f>
        <v>6.88E-2</v>
      </c>
      <c r="EI199" s="249">
        <f>EH199</f>
        <v>6.88E-2</v>
      </c>
      <c r="EJ199" s="249">
        <f>EI199</f>
        <v>6.88E-2</v>
      </c>
      <c r="EK199" s="249">
        <f>EJ199</f>
        <v>6.88E-2</v>
      </c>
      <c r="EL199" s="193"/>
    </row>
    <row r="200" spans="1:142">
      <c r="A200" s="225"/>
      <c r="B200" s="209" t="s">
        <v>298</v>
      </c>
      <c r="C200" s="232"/>
      <c r="D200" s="232"/>
      <c r="E200" s="232"/>
      <c r="F200" s="232"/>
      <c r="G200" s="232"/>
      <c r="H200" s="233"/>
      <c r="I200" s="232"/>
      <c r="J200" s="232"/>
      <c r="K200" s="232"/>
      <c r="L200" s="232"/>
      <c r="M200" s="233"/>
      <c r="N200" s="232"/>
      <c r="O200" s="232"/>
      <c r="P200" s="232"/>
      <c r="Q200" s="232"/>
      <c r="R200" s="233"/>
      <c r="S200" s="232"/>
      <c r="T200" s="232"/>
      <c r="U200" s="232"/>
      <c r="V200" s="232"/>
      <c r="W200" s="233"/>
      <c r="X200" s="232"/>
      <c r="Y200" s="232"/>
      <c r="Z200" s="232"/>
      <c r="AA200" s="232"/>
      <c r="AB200" s="233"/>
      <c r="AC200" s="232"/>
      <c r="AD200" s="232"/>
      <c r="AE200" s="232"/>
      <c r="AF200" s="232"/>
      <c r="AG200" s="233"/>
      <c r="AH200" s="232"/>
      <c r="AI200" s="232"/>
      <c r="AJ200" s="232"/>
      <c r="AK200" s="232"/>
      <c r="AL200" s="233"/>
      <c r="AM200" s="234"/>
      <c r="AN200" s="234"/>
      <c r="AO200" s="234"/>
      <c r="AP200" s="234"/>
      <c r="AQ200" s="235"/>
      <c r="AR200" s="234"/>
      <c r="AS200" s="234"/>
      <c r="AT200" s="234"/>
      <c r="AU200" s="236"/>
      <c r="AV200" s="237"/>
      <c r="AW200" s="279"/>
      <c r="AX200" s="234"/>
      <c r="AY200" s="234"/>
      <c r="AZ200" s="235"/>
      <c r="BA200" s="237"/>
      <c r="BB200" s="279"/>
      <c r="BC200" s="234"/>
      <c r="BD200" s="234"/>
      <c r="BE200" s="235"/>
      <c r="BF200" s="237"/>
      <c r="BG200" s="279"/>
      <c r="BH200" s="234"/>
      <c r="BI200" s="234"/>
      <c r="BJ200" s="235"/>
      <c r="BK200" s="255"/>
      <c r="BL200" s="255"/>
      <c r="BM200" s="255"/>
      <c r="BN200" s="255"/>
      <c r="BO200" s="256"/>
      <c r="BP200" s="255"/>
      <c r="BQ200" s="255"/>
      <c r="BR200" s="255"/>
      <c r="BS200" s="255"/>
      <c r="BT200" s="256"/>
      <c r="BU200" s="255"/>
      <c r="BV200" s="255"/>
      <c r="BW200" s="255"/>
      <c r="BX200" s="255"/>
      <c r="BY200" s="256"/>
      <c r="BZ200" s="255"/>
      <c r="CA200" s="255"/>
      <c r="CB200" s="255"/>
      <c r="CC200" s="255"/>
      <c r="CD200" s="256"/>
      <c r="CE200" s="289">
        <f>CD203</f>
        <v>450</v>
      </c>
      <c r="CF200" s="289">
        <f>CE203</f>
        <v>450</v>
      </c>
      <c r="CG200" s="289">
        <f>CF203</f>
        <v>450</v>
      </c>
      <c r="CH200" s="289">
        <f>CG203</f>
        <v>430</v>
      </c>
      <c r="CI200" s="258">
        <f>CD203</f>
        <v>450</v>
      </c>
      <c r="CJ200" s="289">
        <f>CI203</f>
        <v>430</v>
      </c>
      <c r="CK200" s="289">
        <f>CJ203</f>
        <v>430</v>
      </c>
      <c r="CL200" s="289">
        <f>CK203</f>
        <v>430</v>
      </c>
      <c r="CM200" s="289">
        <f>CL203</f>
        <v>430</v>
      </c>
      <c r="CN200" s="258">
        <f>CI203</f>
        <v>430</v>
      </c>
      <c r="CO200" s="289">
        <f>CN203</f>
        <v>430</v>
      </c>
      <c r="CP200" s="289">
        <f>CO203</f>
        <v>430</v>
      </c>
      <c r="CQ200" s="289">
        <f>CP203</f>
        <v>430</v>
      </c>
      <c r="CR200" s="289">
        <f>CQ203</f>
        <v>430</v>
      </c>
      <c r="CS200" s="258">
        <f>CN203</f>
        <v>430</v>
      </c>
      <c r="CT200" s="289">
        <f>CS203</f>
        <v>430</v>
      </c>
      <c r="CU200" s="289">
        <f>CT203</f>
        <v>430</v>
      </c>
      <c r="CV200" s="289">
        <f>CU203</f>
        <v>430</v>
      </c>
      <c r="CW200" s="289">
        <f>CV203</f>
        <v>430</v>
      </c>
      <c r="CX200" s="258">
        <f>CS203</f>
        <v>430</v>
      </c>
      <c r="CY200" s="289">
        <f>CX203</f>
        <v>430</v>
      </c>
      <c r="CZ200" s="289">
        <f>CY203</f>
        <v>430</v>
      </c>
      <c r="DA200" s="289">
        <f>CZ203</f>
        <v>430</v>
      </c>
      <c r="DB200" s="289">
        <f>DA203</f>
        <v>430</v>
      </c>
      <c r="DC200" s="258">
        <f>CX203</f>
        <v>430</v>
      </c>
      <c r="DD200" s="289">
        <f>DC203</f>
        <v>430</v>
      </c>
      <c r="DE200" s="289">
        <f>DD203</f>
        <v>430</v>
      </c>
      <c r="DF200" s="289">
        <f>DE203</f>
        <v>430</v>
      </c>
      <c r="DG200" s="289">
        <f>DF203</f>
        <v>430</v>
      </c>
      <c r="DH200" s="258">
        <f>DC203</f>
        <v>430</v>
      </c>
      <c r="DI200" s="539">
        <f>DH203</f>
        <v>430</v>
      </c>
      <c r="DJ200" s="539">
        <f>DI203</f>
        <v>430</v>
      </c>
      <c r="DK200" s="1374">
        <f>DJ203</f>
        <v>430</v>
      </c>
      <c r="DL200" s="539">
        <f>DK203</f>
        <v>430</v>
      </c>
      <c r="DM200" s="540">
        <f>DH203</f>
        <v>430</v>
      </c>
      <c r="DN200" s="539">
        <f>DM203</f>
        <v>430</v>
      </c>
      <c r="DO200" s="539">
        <f>DN203</f>
        <v>430</v>
      </c>
      <c r="DP200" s="539">
        <f>DO203</f>
        <v>430</v>
      </c>
      <c r="DQ200" s="539">
        <f>DP203</f>
        <v>430</v>
      </c>
      <c r="DR200" s="540">
        <f>DM203</f>
        <v>430</v>
      </c>
      <c r="DS200" s="539">
        <f>DR203</f>
        <v>430</v>
      </c>
      <c r="DT200" s="539">
        <f>DS203</f>
        <v>430</v>
      </c>
      <c r="DU200" s="539">
        <f>DT203</f>
        <v>430</v>
      </c>
      <c r="DV200" s="539">
        <f>DU203</f>
        <v>430</v>
      </c>
      <c r="DW200" s="540">
        <f>DR203</f>
        <v>430</v>
      </c>
      <c r="DX200" s="539">
        <f>DW203</f>
        <v>430</v>
      </c>
      <c r="DY200" s="539">
        <f>DX203</f>
        <v>430</v>
      </c>
      <c r="DZ200" s="539">
        <f>DY203</f>
        <v>430</v>
      </c>
      <c r="EA200" s="539">
        <f>DZ203</f>
        <v>430</v>
      </c>
      <c r="EB200" s="540">
        <f>DW203</f>
        <v>430</v>
      </c>
      <c r="EC200" s="539">
        <f>EB203</f>
        <v>430</v>
      </c>
      <c r="ED200" s="539">
        <f>EC203</f>
        <v>430</v>
      </c>
      <c r="EE200" s="539">
        <f>ED203</f>
        <v>430</v>
      </c>
      <c r="EF200" s="539">
        <f>EE203</f>
        <v>430</v>
      </c>
      <c r="EG200" s="540">
        <f>EB203</f>
        <v>430</v>
      </c>
      <c r="EH200" s="539">
        <f>EG203</f>
        <v>430</v>
      </c>
      <c r="EI200" s="539">
        <f>EH203</f>
        <v>430</v>
      </c>
      <c r="EJ200" s="539">
        <f>EI203</f>
        <v>430</v>
      </c>
      <c r="EK200" s="539">
        <f>EJ203</f>
        <v>430</v>
      </c>
      <c r="EL200" s="540">
        <f>EG203</f>
        <v>430</v>
      </c>
    </row>
    <row r="201" spans="1:142">
      <c r="A201" s="225"/>
      <c r="B201" s="209" t="s">
        <v>674</v>
      </c>
      <c r="C201" s="232"/>
      <c r="D201" s="232"/>
      <c r="E201" s="232"/>
      <c r="F201" s="232"/>
      <c r="G201" s="232"/>
      <c r="H201" s="233"/>
      <c r="I201" s="232"/>
      <c r="J201" s="232"/>
      <c r="K201" s="232"/>
      <c r="L201" s="232"/>
      <c r="M201" s="233"/>
      <c r="N201" s="232"/>
      <c r="O201" s="232"/>
      <c r="P201" s="232"/>
      <c r="Q201" s="232"/>
      <c r="R201" s="233"/>
      <c r="S201" s="232"/>
      <c r="T201" s="232"/>
      <c r="U201" s="232"/>
      <c r="V201" s="232"/>
      <c r="W201" s="233"/>
      <c r="X201" s="232"/>
      <c r="Y201" s="232"/>
      <c r="Z201" s="232"/>
      <c r="AA201" s="232"/>
      <c r="AB201" s="233"/>
      <c r="AC201" s="232"/>
      <c r="AD201" s="232"/>
      <c r="AE201" s="232"/>
      <c r="AF201" s="232"/>
      <c r="AG201" s="233"/>
      <c r="AH201" s="232"/>
      <c r="AI201" s="232"/>
      <c r="AJ201" s="232"/>
      <c r="AK201" s="232"/>
      <c r="AL201" s="233"/>
      <c r="AM201" s="234"/>
      <c r="AN201" s="234"/>
      <c r="AO201" s="234"/>
      <c r="AP201" s="234"/>
      <c r="AQ201" s="235"/>
      <c r="AR201" s="234"/>
      <c r="AS201" s="234"/>
      <c r="AT201" s="234"/>
      <c r="AU201" s="236"/>
      <c r="AV201" s="237"/>
      <c r="AW201" s="279"/>
      <c r="AX201" s="234"/>
      <c r="AY201" s="234"/>
      <c r="AZ201" s="235"/>
      <c r="BA201" s="237"/>
      <c r="BB201" s="279"/>
      <c r="BC201" s="234"/>
      <c r="BD201" s="234"/>
      <c r="BE201" s="235"/>
      <c r="BF201" s="237"/>
      <c r="BG201" s="279"/>
      <c r="BH201" s="234"/>
      <c r="BI201" s="234"/>
      <c r="BJ201" s="235"/>
      <c r="BK201" s="255"/>
      <c r="BL201" s="255"/>
      <c r="BM201" s="255"/>
      <c r="BN201" s="255"/>
      <c r="BO201" s="256"/>
      <c r="BP201" s="255"/>
      <c r="BQ201" s="255"/>
      <c r="BR201" s="255"/>
      <c r="BS201" s="255"/>
      <c r="BT201" s="256"/>
      <c r="BU201" s="255"/>
      <c r="BV201" s="255"/>
      <c r="BW201" s="255"/>
      <c r="BX201" s="255"/>
      <c r="BY201" s="256"/>
      <c r="BZ201" s="255"/>
      <c r="CA201" s="255"/>
      <c r="CB201" s="255"/>
      <c r="CC201" s="255"/>
      <c r="CD201" s="256"/>
      <c r="CE201" s="289"/>
      <c r="CF201" s="289"/>
      <c r="CG201" s="289"/>
      <c r="CH201" s="289"/>
      <c r="CI201" s="258"/>
      <c r="CJ201" s="289"/>
      <c r="CK201" s="289"/>
      <c r="CL201" s="289"/>
      <c r="CM201" s="289"/>
      <c r="CN201" s="258"/>
      <c r="CO201" s="289"/>
      <c r="CP201" s="289"/>
      <c r="CQ201" s="289"/>
      <c r="CR201" s="289"/>
      <c r="CS201" s="258"/>
      <c r="CT201" s="289"/>
      <c r="CU201" s="289"/>
      <c r="CV201" s="289"/>
      <c r="CW201" s="289"/>
      <c r="CX201" s="258"/>
      <c r="CY201" s="289"/>
      <c r="CZ201" s="289"/>
      <c r="DA201" s="289"/>
      <c r="DB201" s="289"/>
      <c r="DC201" s="258"/>
      <c r="DD201" s="289"/>
      <c r="DE201" s="289"/>
      <c r="DF201" s="289"/>
      <c r="DG201" s="289"/>
      <c r="DH201" s="258"/>
      <c r="DI201" s="1378">
        <v>0</v>
      </c>
      <c r="DJ201" s="1378">
        <v>0</v>
      </c>
      <c r="DK201" s="1378">
        <v>0</v>
      </c>
      <c r="DL201" s="1378">
        <v>0</v>
      </c>
      <c r="DM201" s="1380">
        <f>SUM(DI201:DL201)</f>
        <v>0</v>
      </c>
      <c r="DN201" s="1378">
        <v>0</v>
      </c>
      <c r="DO201" s="1378">
        <v>0</v>
      </c>
      <c r="DP201" s="1378">
        <v>0</v>
      </c>
      <c r="DQ201" s="1378">
        <v>0</v>
      </c>
      <c r="DR201" s="1380">
        <f>SUM(DN201:DQ201)</f>
        <v>0</v>
      </c>
      <c r="DS201" s="1378">
        <v>0</v>
      </c>
      <c r="DT201" s="1378">
        <v>0</v>
      </c>
      <c r="DU201" s="1378">
        <v>0</v>
      </c>
      <c r="DV201" s="1378">
        <v>0</v>
      </c>
      <c r="DW201" s="1380">
        <f>SUM(DS201:DV201)</f>
        <v>0</v>
      </c>
      <c r="DX201" s="1378">
        <v>0</v>
      </c>
      <c r="DY201" s="1378">
        <v>0</v>
      </c>
      <c r="DZ201" s="1378">
        <v>0</v>
      </c>
      <c r="EA201" s="1378">
        <v>0</v>
      </c>
      <c r="EB201" s="1380">
        <f>SUM(DX201:EA201)</f>
        <v>0</v>
      </c>
      <c r="EC201" s="1378">
        <v>0</v>
      </c>
      <c r="ED201" s="1378">
        <v>0</v>
      </c>
      <c r="EE201" s="1378">
        <v>0</v>
      </c>
      <c r="EF201" s="1378">
        <v>0</v>
      </c>
      <c r="EG201" s="1380">
        <f>SUM(EC201:EF201)</f>
        <v>0</v>
      </c>
      <c r="EH201" s="1378">
        <v>0</v>
      </c>
      <c r="EI201" s="1378">
        <v>0</v>
      </c>
      <c r="EJ201" s="1378">
        <v>0</v>
      </c>
      <c r="EK201" s="1378">
        <v>0</v>
      </c>
      <c r="EL201" s="1380">
        <f>SUM(EH201:EK201)</f>
        <v>0</v>
      </c>
    </row>
    <row r="202" spans="1:142">
      <c r="A202" s="225"/>
      <c r="B202" s="214" t="s">
        <v>675</v>
      </c>
      <c r="C202" s="48"/>
      <c r="D202" s="48"/>
      <c r="E202" s="48"/>
      <c r="F202" s="48"/>
      <c r="G202" s="48"/>
      <c r="H202" s="64"/>
      <c r="I202" s="48"/>
      <c r="J202" s="48"/>
      <c r="K202" s="48"/>
      <c r="L202" s="48"/>
      <c r="M202" s="64"/>
      <c r="N202" s="48"/>
      <c r="O202" s="48"/>
      <c r="P202" s="48"/>
      <c r="Q202" s="48"/>
      <c r="R202" s="64"/>
      <c r="S202" s="48"/>
      <c r="T202" s="48"/>
      <c r="U202" s="48"/>
      <c r="V202" s="48"/>
      <c r="W202" s="64"/>
      <c r="X202" s="48"/>
      <c r="Y202" s="48"/>
      <c r="Z202" s="48"/>
      <c r="AA202" s="48"/>
      <c r="AB202" s="64"/>
      <c r="AC202" s="48"/>
      <c r="AD202" s="48"/>
      <c r="AE202" s="48"/>
      <c r="AF202" s="48"/>
      <c r="AG202" s="64"/>
      <c r="AH202" s="48"/>
      <c r="AI202" s="48"/>
      <c r="AJ202" s="48"/>
      <c r="AK202" s="48"/>
      <c r="AL202" s="64"/>
      <c r="AM202" s="48"/>
      <c r="AN202" s="48"/>
      <c r="AO202" s="48"/>
      <c r="AP202" s="48"/>
      <c r="AQ202" s="64"/>
      <c r="AR202" s="48"/>
      <c r="AS202" s="48"/>
      <c r="AT202" s="48"/>
      <c r="AU202" s="217"/>
      <c r="AV202" s="48"/>
      <c r="AW202" s="48"/>
      <c r="AX202" s="48"/>
      <c r="AY202" s="48"/>
      <c r="AZ202" s="64"/>
      <c r="BA202" s="48"/>
      <c r="BB202" s="48"/>
      <c r="BC202" s="48"/>
      <c r="BD202" s="48"/>
      <c r="BE202" s="64"/>
      <c r="BF202" s="48"/>
      <c r="BG202" s="48"/>
      <c r="BH202" s="48"/>
      <c r="BI202" s="48"/>
      <c r="BJ202" s="64"/>
      <c r="BK202" s="48"/>
      <c r="BL202" s="48"/>
      <c r="BM202" s="262"/>
      <c r="BN202" s="48"/>
      <c r="BO202" s="263"/>
      <c r="BP202" s="48"/>
      <c r="BQ202" s="48"/>
      <c r="BR202" s="262"/>
      <c r="BS202" s="48"/>
      <c r="BT202" s="263"/>
      <c r="BU202" s="48"/>
      <c r="BV202" s="48"/>
      <c r="BW202" s="262"/>
      <c r="BX202" s="48"/>
      <c r="BY202" s="263"/>
      <c r="BZ202" s="48"/>
      <c r="CA202" s="48"/>
      <c r="CB202" s="262"/>
      <c r="CC202" s="48"/>
      <c r="CD202" s="263"/>
      <c r="CE202" s="174">
        <f>+CE203-CE200</f>
        <v>0</v>
      </c>
      <c r="CF202" s="174">
        <f>+CF203-CF200</f>
        <v>0</v>
      </c>
      <c r="CG202" s="174">
        <f>+CG203-CG200</f>
        <v>-20</v>
      </c>
      <c r="CH202" s="174">
        <f>+CH203-CH200</f>
        <v>0</v>
      </c>
      <c r="CI202" s="263">
        <f>SUM(CE202:CH202)</f>
        <v>-20</v>
      </c>
      <c r="CJ202" s="174">
        <f>+CJ203-CJ200</f>
        <v>0</v>
      </c>
      <c r="CK202" s="174">
        <f>+CK203-CK200</f>
        <v>0</v>
      </c>
      <c r="CL202" s="174">
        <f>+CL203-CL200</f>
        <v>0</v>
      </c>
      <c r="CM202" s="174">
        <f>+CM203-CM200</f>
        <v>0</v>
      </c>
      <c r="CN202" s="263">
        <f>SUM(CJ202:CM202)</f>
        <v>0</v>
      </c>
      <c r="CO202" s="174">
        <f>+CO203-CO200</f>
        <v>0</v>
      </c>
      <c r="CP202" s="174">
        <f>+CP203-CP200</f>
        <v>0</v>
      </c>
      <c r="CQ202" s="174">
        <f>+CQ203-CQ200</f>
        <v>0</v>
      </c>
      <c r="CR202" s="174">
        <f>+CR203-CR200</f>
        <v>0</v>
      </c>
      <c r="CS202" s="263">
        <f>SUM(CO202:CR202)</f>
        <v>0</v>
      </c>
      <c r="CT202" s="174">
        <f>+CT203-CT200</f>
        <v>0</v>
      </c>
      <c r="CU202" s="174">
        <f>+CU203-CU200</f>
        <v>0</v>
      </c>
      <c r="CV202" s="174">
        <f>+CV203-CV200</f>
        <v>0</v>
      </c>
      <c r="CW202" s="174">
        <f>+CW203-CW200</f>
        <v>0</v>
      </c>
      <c r="CX202" s="263">
        <f>SUM(CT202:CW202)</f>
        <v>0</v>
      </c>
      <c r="CY202" s="174">
        <f>+CY203-CY200</f>
        <v>0</v>
      </c>
      <c r="CZ202" s="174">
        <f>+CZ203-CZ200</f>
        <v>0</v>
      </c>
      <c r="DA202" s="174">
        <f>+DA203-DA200</f>
        <v>0</v>
      </c>
      <c r="DB202" s="174">
        <f>+DB203-DB200</f>
        <v>0</v>
      </c>
      <c r="DC202" s="263">
        <f>SUM(CY202:DB202)</f>
        <v>0</v>
      </c>
      <c r="DD202" s="174">
        <f>+DD203-DD200</f>
        <v>0</v>
      </c>
      <c r="DE202" s="174">
        <f>+DE203-DE200</f>
        <v>0</v>
      </c>
      <c r="DF202" s="174">
        <f>+DF203-DF200</f>
        <v>0</v>
      </c>
      <c r="DG202" s="174">
        <f>+DG203-DG200</f>
        <v>0</v>
      </c>
      <c r="DH202" s="263">
        <f>SUM(DD202:DG202)</f>
        <v>0</v>
      </c>
      <c r="DI202" s="1379">
        <v>0</v>
      </c>
      <c r="DJ202" s="1379">
        <v>0</v>
      </c>
      <c r="DK202" s="1379">
        <v>0</v>
      </c>
      <c r="DL202" s="1379">
        <v>0</v>
      </c>
      <c r="DM202" s="1381">
        <f>SUM(DI202:DL202)</f>
        <v>0</v>
      </c>
      <c r="DN202" s="1379">
        <v>0</v>
      </c>
      <c r="DO202" s="1379">
        <v>0</v>
      </c>
      <c r="DP202" s="1379">
        <v>0</v>
      </c>
      <c r="DQ202" s="1379">
        <v>0</v>
      </c>
      <c r="DR202" s="1381">
        <f>SUM(DN202:DQ202)</f>
        <v>0</v>
      </c>
      <c r="DS202" s="1379">
        <v>0</v>
      </c>
      <c r="DT202" s="1379">
        <v>0</v>
      </c>
      <c r="DU202" s="1379">
        <v>0</v>
      </c>
      <c r="DV202" s="1379">
        <v>0</v>
      </c>
      <c r="DW202" s="1381">
        <f>SUM(DS202:DV202)</f>
        <v>0</v>
      </c>
      <c r="DX202" s="1379">
        <v>0</v>
      </c>
      <c r="DY202" s="1379">
        <v>0</v>
      </c>
      <c r="DZ202" s="1379">
        <v>0</v>
      </c>
      <c r="EA202" s="1379">
        <v>0</v>
      </c>
      <c r="EB202" s="1381">
        <f>SUM(DX202:EA202)</f>
        <v>0</v>
      </c>
      <c r="EC202" s="1379">
        <v>0</v>
      </c>
      <c r="ED202" s="1379">
        <v>0</v>
      </c>
      <c r="EE202" s="1379">
        <v>0</v>
      </c>
      <c r="EF202" s="1379">
        <v>0</v>
      </c>
      <c r="EG202" s="1381">
        <f>SUM(EC202:EF202)</f>
        <v>0</v>
      </c>
      <c r="EH202" s="1379">
        <v>0</v>
      </c>
      <c r="EI202" s="1379">
        <v>0</v>
      </c>
      <c r="EJ202" s="1379">
        <v>0</v>
      </c>
      <c r="EK202" s="1379">
        <v>0</v>
      </c>
      <c r="EL202" s="1381">
        <f>SUM(EH202:EK202)</f>
        <v>0</v>
      </c>
    </row>
    <row r="203" spans="1:142">
      <c r="A203" s="225"/>
      <c r="B203" s="209" t="s">
        <v>299</v>
      </c>
      <c r="C203" s="9"/>
      <c r="D203" s="9"/>
      <c r="E203" s="9"/>
      <c r="F203" s="9"/>
      <c r="G203" s="9"/>
      <c r="H203" s="63"/>
      <c r="I203" s="9"/>
      <c r="J203" s="9"/>
      <c r="K203" s="9"/>
      <c r="L203" s="9"/>
      <c r="M203" s="63"/>
      <c r="N203" s="9"/>
      <c r="O203" s="9"/>
      <c r="P203" s="9"/>
      <c r="Q203" s="9"/>
      <c r="R203" s="63"/>
      <c r="S203" s="9"/>
      <c r="T203" s="9"/>
      <c r="U203" s="9"/>
      <c r="V203" s="9"/>
      <c r="W203" s="63"/>
      <c r="X203" s="9"/>
      <c r="Y203" s="9"/>
      <c r="Z203" s="9"/>
      <c r="AA203" s="9"/>
      <c r="AB203" s="63"/>
      <c r="AC203" s="9"/>
      <c r="AD203" s="9"/>
      <c r="AE203" s="9"/>
      <c r="AF203" s="9"/>
      <c r="AG203" s="63"/>
      <c r="AH203" s="9"/>
      <c r="AI203" s="9"/>
      <c r="AJ203" s="9"/>
      <c r="AK203" s="9"/>
      <c r="AL203" s="63"/>
      <c r="AM203" s="9"/>
      <c r="AN203" s="9"/>
      <c r="AO203" s="9"/>
      <c r="AP203" s="9"/>
      <c r="AQ203" s="47"/>
      <c r="AR203" s="9"/>
      <c r="AS203" s="9"/>
      <c r="AT203" s="9"/>
      <c r="AU203" s="186"/>
      <c r="AV203" s="9"/>
      <c r="AW203" s="9"/>
      <c r="AX203" s="9"/>
      <c r="AY203" s="9"/>
      <c r="AZ203" s="47"/>
      <c r="BA203" s="26"/>
      <c r="BB203" s="282"/>
      <c r="BC203" s="282"/>
      <c r="BD203" s="282"/>
      <c r="BE203" s="47"/>
      <c r="BF203" s="26"/>
      <c r="BG203" s="282"/>
      <c r="BH203" s="282"/>
      <c r="BI203" s="282"/>
      <c r="BJ203" s="47"/>
      <c r="BK203" s="146"/>
      <c r="BL203" s="162"/>
      <c r="BM203" s="162"/>
      <c r="BN203" s="162"/>
      <c r="BO203" s="266"/>
      <c r="BP203" s="146"/>
      <c r="BQ203" s="162"/>
      <c r="BR203" s="162"/>
      <c r="BS203" s="162"/>
      <c r="BT203" s="266"/>
      <c r="BU203" s="146"/>
      <c r="BV203" s="162"/>
      <c r="BW203" s="162"/>
      <c r="BX203" s="162"/>
      <c r="BY203" s="266"/>
      <c r="BZ203" s="146"/>
      <c r="CA203" s="162"/>
      <c r="CB203" s="162"/>
      <c r="CC203" s="162"/>
      <c r="CD203" s="266">
        <v>450</v>
      </c>
      <c r="CE203" s="166">
        <v>450</v>
      </c>
      <c r="CF203" s="166">
        <v>450</v>
      </c>
      <c r="CG203" s="166">
        <v>430</v>
      </c>
      <c r="CH203" s="166">
        <v>430</v>
      </c>
      <c r="CI203" s="170">
        <f>CH203</f>
        <v>430</v>
      </c>
      <c r="CJ203" s="166">
        <v>430</v>
      </c>
      <c r="CK203" s="166">
        <v>430</v>
      </c>
      <c r="CL203" s="166">
        <v>430</v>
      </c>
      <c r="CM203" s="166">
        <v>430</v>
      </c>
      <c r="CN203" s="170">
        <f>CM203</f>
        <v>430</v>
      </c>
      <c r="CO203" s="166">
        <v>430</v>
      </c>
      <c r="CP203" s="166">
        <v>430</v>
      </c>
      <c r="CQ203" s="166">
        <v>430</v>
      </c>
      <c r="CR203" s="166">
        <v>430</v>
      </c>
      <c r="CS203" s="170">
        <f>CR203</f>
        <v>430</v>
      </c>
      <c r="CT203" s="166">
        <v>430</v>
      </c>
      <c r="CU203" s="166">
        <v>430</v>
      </c>
      <c r="CV203" s="166">
        <v>430</v>
      </c>
      <c r="CW203" s="166">
        <v>430</v>
      </c>
      <c r="CX203" s="170">
        <f>CW203</f>
        <v>430</v>
      </c>
      <c r="CY203" s="166">
        <v>430</v>
      </c>
      <c r="CZ203" s="166">
        <v>430</v>
      </c>
      <c r="DA203" s="333">
        <v>430</v>
      </c>
      <c r="DB203" s="269">
        <v>430</v>
      </c>
      <c r="DC203" s="170">
        <f>DB203</f>
        <v>430</v>
      </c>
      <c r="DD203" s="166">
        <v>430</v>
      </c>
      <c r="DE203" s="269">
        <v>430</v>
      </c>
      <c r="DF203" s="269">
        <v>430</v>
      </c>
      <c r="DG203" s="269">
        <v>430</v>
      </c>
      <c r="DH203" s="170">
        <f>DG203</f>
        <v>430</v>
      </c>
      <c r="DI203" s="539">
        <f>SUM(DI200:DI202)</f>
        <v>430</v>
      </c>
      <c r="DJ203" s="539">
        <f>SUM(DJ200:DJ202)</f>
        <v>430</v>
      </c>
      <c r="DK203" s="539">
        <f>SUM(DK200:DK202)</f>
        <v>430</v>
      </c>
      <c r="DL203" s="539">
        <f>SUM(DL200:DL202)</f>
        <v>430</v>
      </c>
      <c r="DM203" s="1380">
        <f>DL203</f>
        <v>430</v>
      </c>
      <c r="DN203" s="539">
        <f>SUM(DN200:DN202)</f>
        <v>430</v>
      </c>
      <c r="DO203" s="539">
        <f>SUM(DO200:DO202)</f>
        <v>430</v>
      </c>
      <c r="DP203" s="1401">
        <f>SUM(DP200:DP202)</f>
        <v>430</v>
      </c>
      <c r="DQ203" s="1401">
        <f>SUM(DQ200:DQ202)</f>
        <v>430</v>
      </c>
      <c r="DR203" s="1380">
        <f>DQ203</f>
        <v>430</v>
      </c>
      <c r="DS203" s="539">
        <f>SUM(DS200:DS202)</f>
        <v>430</v>
      </c>
      <c r="DT203" s="539">
        <f>SUM(DT200:DT202)</f>
        <v>430</v>
      </c>
      <c r="DU203" s="1401">
        <f>SUM(DU200:DU202)</f>
        <v>430</v>
      </c>
      <c r="DV203" s="1401">
        <f>SUM(DV200:DV202)</f>
        <v>430</v>
      </c>
      <c r="DW203" s="1380">
        <f>DV203</f>
        <v>430</v>
      </c>
      <c r="DX203" s="539">
        <f>SUM(DX200:DX202)</f>
        <v>430</v>
      </c>
      <c r="DY203" s="539">
        <f>SUM(DY200:DY202)</f>
        <v>430</v>
      </c>
      <c r="DZ203" s="1401">
        <f>SUM(DZ200:DZ202)</f>
        <v>430</v>
      </c>
      <c r="EA203" s="1401">
        <f>SUM(EA200:EA202)</f>
        <v>430</v>
      </c>
      <c r="EB203" s="1380">
        <f>EA203</f>
        <v>430</v>
      </c>
      <c r="EC203" s="539">
        <f>SUM(EC200:EC202)</f>
        <v>430</v>
      </c>
      <c r="ED203" s="539">
        <f>SUM(ED200:ED202)</f>
        <v>430</v>
      </c>
      <c r="EE203" s="1401">
        <f>SUM(EE200:EE202)</f>
        <v>430</v>
      </c>
      <c r="EF203" s="1401">
        <f>SUM(EF200:EF202)</f>
        <v>430</v>
      </c>
      <c r="EG203" s="1380">
        <f>EF203</f>
        <v>430</v>
      </c>
      <c r="EH203" s="539">
        <f>SUM(EH200:EH202)</f>
        <v>430</v>
      </c>
      <c r="EI203" s="539">
        <f>SUM(EI200:EI202)</f>
        <v>430</v>
      </c>
      <c r="EJ203" s="1401">
        <f>SUM(EJ200:EJ202)</f>
        <v>430</v>
      </c>
      <c r="EK203" s="1401">
        <f>SUM(EK200:EK202)</f>
        <v>430</v>
      </c>
      <c r="EL203" s="1380">
        <f>EK203</f>
        <v>430</v>
      </c>
    </row>
    <row r="204" spans="1:142">
      <c r="A204" s="225"/>
      <c r="B204" s="214" t="s">
        <v>300</v>
      </c>
      <c r="C204" s="48"/>
      <c r="D204" s="48"/>
      <c r="E204" s="48"/>
      <c r="F204" s="48"/>
      <c r="G204" s="48"/>
      <c r="H204" s="64"/>
      <c r="I204" s="48"/>
      <c r="J204" s="48"/>
      <c r="K204" s="48"/>
      <c r="L204" s="48"/>
      <c r="M204" s="64"/>
      <c r="N204" s="48"/>
      <c r="O204" s="48"/>
      <c r="P204" s="48"/>
      <c r="Q204" s="48"/>
      <c r="R204" s="64"/>
      <c r="S204" s="48"/>
      <c r="T204" s="48"/>
      <c r="U204" s="48"/>
      <c r="V204" s="48"/>
      <c r="W204" s="64"/>
      <c r="X204" s="48"/>
      <c r="Y204" s="48"/>
      <c r="Z204" s="48"/>
      <c r="AA204" s="48"/>
      <c r="AB204" s="64"/>
      <c r="AC204" s="48"/>
      <c r="AD204" s="48"/>
      <c r="AE204" s="48"/>
      <c r="AF204" s="48"/>
      <c r="AG204" s="64"/>
      <c r="AH204" s="48"/>
      <c r="AI204" s="48"/>
      <c r="AJ204" s="48"/>
      <c r="AK204" s="48"/>
      <c r="AL204" s="64"/>
      <c r="AM204" s="48"/>
      <c r="AN204" s="48"/>
      <c r="AO204" s="48"/>
      <c r="AP204" s="48"/>
      <c r="AQ204" s="52"/>
      <c r="AR204" s="48"/>
      <c r="AS204" s="48"/>
      <c r="AT204" s="48"/>
      <c r="AU204" s="217"/>
      <c r="AV204" s="48"/>
      <c r="AW204" s="48"/>
      <c r="AX204" s="48"/>
      <c r="AY204" s="48"/>
      <c r="AZ204" s="52"/>
      <c r="BA204" s="287"/>
      <c r="BB204" s="51"/>
      <c r="BC204" s="51"/>
      <c r="BD204" s="287"/>
      <c r="BE204" s="52"/>
      <c r="BF204" s="287"/>
      <c r="BG204" s="51"/>
      <c r="BH204" s="287"/>
      <c r="BI204" s="287"/>
      <c r="BJ204" s="52"/>
      <c r="BK204" s="215"/>
      <c r="BL204" s="215"/>
      <c r="BM204" s="275"/>
      <c r="BN204" s="215"/>
      <c r="BO204" s="263"/>
      <c r="BP204" s="215"/>
      <c r="BQ204" s="215"/>
      <c r="BR204" s="275"/>
      <c r="BS204" s="215"/>
      <c r="BT204" s="263"/>
      <c r="BU204" s="215"/>
      <c r="BV204" s="215"/>
      <c r="BW204" s="275"/>
      <c r="BX204" s="215"/>
      <c r="BY204" s="263"/>
      <c r="BZ204" s="215"/>
      <c r="CA204" s="215"/>
      <c r="CB204" s="275"/>
      <c r="CC204" s="215"/>
      <c r="CD204" s="263"/>
      <c r="CE204" s="276">
        <f>CE199/4*AVERAGE(CE203,CE200)</f>
        <v>7.7343750000000009</v>
      </c>
      <c r="CF204" s="276">
        <f>CF199/4*AVERAGE(CF203,CF200)</f>
        <v>7.7343750000000009</v>
      </c>
      <c r="CG204" s="276">
        <f>CG199/4*AVERAGE(CG203,CG200)</f>
        <v>7.5625000000000009</v>
      </c>
      <c r="CH204" s="276">
        <f>CH199/4*AVERAGE(CH203,CH200)</f>
        <v>7.3906250000000009</v>
      </c>
      <c r="CI204" s="263">
        <f>SUM(CE204:CH204)</f>
        <v>30.421875000000004</v>
      </c>
      <c r="CJ204" s="276">
        <f>CJ199/4*AVERAGE(CJ203,CJ200)</f>
        <v>7.3906250000000009</v>
      </c>
      <c r="CK204" s="276">
        <f>CK199/4*AVERAGE(CK203,CK200)</f>
        <v>7.3906250000000009</v>
      </c>
      <c r="CL204" s="276">
        <f>CL199/4*AVERAGE(CL203,CL200)</f>
        <v>7.3906250000000009</v>
      </c>
      <c r="CM204" s="276">
        <f>CM199/4*AVERAGE(CM203,CM200)</f>
        <v>7.3906250000000009</v>
      </c>
      <c r="CN204" s="263">
        <f>SUM(CJ204:CM204)</f>
        <v>29.562500000000004</v>
      </c>
      <c r="CO204" s="276">
        <f>CO199/4*AVERAGE(CO203,CO200)</f>
        <v>7.3906250000000009</v>
      </c>
      <c r="CP204" s="276">
        <f>CP199/4*AVERAGE(CP203,CP200)</f>
        <v>7.3906250000000009</v>
      </c>
      <c r="CQ204" s="276">
        <f>CQ199/4*AVERAGE(CQ203,CQ200)</f>
        <v>7.3906250000000009</v>
      </c>
      <c r="CR204" s="276">
        <f>CR199/4*AVERAGE(CR203,CR200)</f>
        <v>7.3906250000000009</v>
      </c>
      <c r="CS204" s="263">
        <f>SUM(CO204:CR204)</f>
        <v>29.562500000000004</v>
      </c>
      <c r="CT204" s="276">
        <f>CT199/4*AVERAGE(CT203,CT200)</f>
        <v>7.3906250000000009</v>
      </c>
      <c r="CU204" s="276">
        <f>CU199/4*AVERAGE(CU203,CU200)</f>
        <v>7.3906250000000009</v>
      </c>
      <c r="CV204" s="276">
        <f>CV199/4*AVERAGE(CV203,CV200)</f>
        <v>7.3906250000000009</v>
      </c>
      <c r="CW204" s="276">
        <f>CW199/4*AVERAGE(CW203,CW200)</f>
        <v>7.3906250000000009</v>
      </c>
      <c r="CX204" s="263">
        <f>SUM(CT204:CW204)</f>
        <v>29.562500000000004</v>
      </c>
      <c r="CY204" s="276">
        <f>CY199/4*AVERAGE(CY203,CY200)</f>
        <v>7.3906250000000009</v>
      </c>
      <c r="CZ204" s="276">
        <f>CZ199/4*AVERAGE(CZ203,CZ200)</f>
        <v>7.3906250000000009</v>
      </c>
      <c r="DA204" s="276">
        <f>DA199/4*AVERAGE(DA203,DA200)</f>
        <v>7.3906250000000009</v>
      </c>
      <c r="DB204" s="276">
        <f>DB199/4*AVERAGE(DB203,DB200)</f>
        <v>7.3906250000000009</v>
      </c>
      <c r="DC204" s="263">
        <f>SUM(CY204:DB204)</f>
        <v>29.562500000000004</v>
      </c>
      <c r="DD204" s="276">
        <f>DD199/4*AVERAGE(DD203,DD200)</f>
        <v>7.3906250000000009</v>
      </c>
      <c r="DE204" s="276">
        <f>DE199/4*AVERAGE(DE203,DE200)</f>
        <v>7.3906250000000009</v>
      </c>
      <c r="DF204" s="276">
        <f>DF199/4*AVERAGE(DF203,DF200)</f>
        <v>7.3906250000000009</v>
      </c>
      <c r="DG204" s="276">
        <f>DG199/4*AVERAGE(DG203,DG200)</f>
        <v>7.3906250000000009</v>
      </c>
      <c r="DH204" s="263">
        <f>SUM(DD204:DG204)</f>
        <v>29.562500000000004</v>
      </c>
      <c r="DI204" s="1342">
        <f>DI199/4*AVERAGE(DI203,DI200)</f>
        <v>7.3906250000000009</v>
      </c>
      <c r="DJ204" s="1342">
        <f>DJ199/4*AVERAGE(DJ203,DJ200)</f>
        <v>7.3906250000000009</v>
      </c>
      <c r="DK204" s="1342">
        <f>DK199/4*AVERAGE(DK203,DK200)</f>
        <v>7.3906250000000009</v>
      </c>
      <c r="DL204" s="1342">
        <f>DL199/4*AVERAGE(DL203,DL200)</f>
        <v>7.3906250000000009</v>
      </c>
      <c r="DM204" s="1353">
        <f>SUM(DI204:DL204)</f>
        <v>29.562500000000004</v>
      </c>
      <c r="DN204" s="1342">
        <f>DN199/4*AVERAGE(DN203,DN200)</f>
        <v>7.3906250000000009</v>
      </c>
      <c r="DO204" s="1342">
        <f>DO199/4*AVERAGE(DO203,DO200)</f>
        <v>7.3906250000000009</v>
      </c>
      <c r="DP204" s="1342">
        <f>DP199/4*AVERAGE(DP203,DP200)</f>
        <v>7.3906250000000009</v>
      </c>
      <c r="DQ204" s="1342">
        <f>DQ199/4*AVERAGE(DQ203,DQ200)</f>
        <v>7.3906250000000009</v>
      </c>
      <c r="DR204" s="1353">
        <f>SUM(DN204:DQ204)</f>
        <v>29.562500000000004</v>
      </c>
      <c r="DS204" s="1342">
        <f>DS199/4*AVERAGE(DS203,DS200)</f>
        <v>7.3906250000000009</v>
      </c>
      <c r="DT204" s="1342">
        <f>DT199/4*AVERAGE(DT203,DT200)</f>
        <v>7.3906250000000009</v>
      </c>
      <c r="DU204" s="1342">
        <f>DU199/4*AVERAGE(DU203,DU200)</f>
        <v>7.3906250000000009</v>
      </c>
      <c r="DV204" s="1342">
        <f>DV199/4*AVERAGE(DV203,DV200)</f>
        <v>7.3906250000000009</v>
      </c>
      <c r="DW204" s="1353">
        <f>SUM(DS204:DV204)</f>
        <v>29.562500000000004</v>
      </c>
      <c r="DX204" s="1342">
        <f>DX199/4*AVERAGE(DX203,DX200)</f>
        <v>7.3959999999999999</v>
      </c>
      <c r="DY204" s="1342">
        <f>DY199/4*AVERAGE(DY203,DY200)</f>
        <v>7.3959999999999999</v>
      </c>
      <c r="DZ204" s="1342">
        <f>DZ199/4*AVERAGE(DZ203,DZ200)</f>
        <v>7.3959999999999999</v>
      </c>
      <c r="EA204" s="1342">
        <f>EA199/4*AVERAGE(EA203,EA200)</f>
        <v>7.3959999999999999</v>
      </c>
      <c r="EB204" s="1353">
        <f>SUM(DX204:EA204)</f>
        <v>29.584</v>
      </c>
      <c r="EC204" s="1342">
        <f>EC199/4*AVERAGE(EC203,EC200)</f>
        <v>7.3959999999999999</v>
      </c>
      <c r="ED204" s="1342">
        <f>ED199/4*AVERAGE(ED203,ED200)</f>
        <v>7.3959999999999999</v>
      </c>
      <c r="EE204" s="1342">
        <f>EE199/4*AVERAGE(EE203,EE200)</f>
        <v>7.3959999999999999</v>
      </c>
      <c r="EF204" s="1342">
        <f>EF199/4*AVERAGE(EF203,EF200)</f>
        <v>7.3959999999999999</v>
      </c>
      <c r="EG204" s="1353">
        <f>SUM(EC204:EF204)</f>
        <v>29.584</v>
      </c>
      <c r="EH204" s="1342">
        <f>EH199/4*AVERAGE(EH203,EH200)</f>
        <v>7.3959999999999999</v>
      </c>
      <c r="EI204" s="1342">
        <f>EI199/4*AVERAGE(EI203,EI200)</f>
        <v>7.3959999999999999</v>
      </c>
      <c r="EJ204" s="1342">
        <f>EJ199/4*AVERAGE(EJ203,EJ200)</f>
        <v>7.3959999999999999</v>
      </c>
      <c r="EK204" s="1342">
        <f>EK199/4*AVERAGE(EK203,EK200)</f>
        <v>7.3959999999999999</v>
      </c>
      <c r="EL204" s="1353">
        <f>SUM(EH204:EK204)</f>
        <v>29.584</v>
      </c>
    </row>
    <row r="205" spans="1:142" hidden="1" outlineLevel="1">
      <c r="A205" s="225"/>
      <c r="B205" s="1326"/>
      <c r="C205" s="9"/>
      <c r="D205" s="9"/>
      <c r="E205" s="9"/>
      <c r="F205" s="9"/>
      <c r="G205" s="9"/>
      <c r="H205" s="63"/>
      <c r="I205" s="9"/>
      <c r="J205" s="9"/>
      <c r="K205" s="9"/>
      <c r="L205" s="9"/>
      <c r="M205" s="63"/>
      <c r="N205" s="9"/>
      <c r="O205" s="9"/>
      <c r="P205" s="9"/>
      <c r="Q205" s="9"/>
      <c r="R205" s="63"/>
      <c r="S205" s="9"/>
      <c r="T205" s="9"/>
      <c r="U205" s="9"/>
      <c r="V205" s="9"/>
      <c r="W205" s="63"/>
      <c r="X205" s="9"/>
      <c r="Y205" s="9"/>
      <c r="Z205" s="9"/>
      <c r="AA205" s="9"/>
      <c r="AB205" s="63"/>
      <c r="AC205" s="9"/>
      <c r="AD205" s="9"/>
      <c r="AE205" s="9"/>
      <c r="AF205" s="9"/>
      <c r="AG205" s="63"/>
      <c r="AH205" s="9"/>
      <c r="AI205" s="9"/>
      <c r="AJ205" s="9"/>
      <c r="AK205" s="9"/>
      <c r="AL205" s="63"/>
      <c r="AM205" s="53"/>
      <c r="AN205" s="53"/>
      <c r="AO205" s="53"/>
      <c r="AP205" s="53"/>
      <c r="AQ205" s="28"/>
      <c r="AR205" s="53"/>
      <c r="AS205" s="53"/>
      <c r="AT205" s="53"/>
      <c r="AU205" s="186"/>
      <c r="AV205" s="240"/>
      <c r="AW205" s="240"/>
      <c r="AX205" s="240"/>
      <c r="AY205" s="240"/>
      <c r="AZ205" s="241"/>
      <c r="BA205" s="240"/>
      <c r="BB205" s="240"/>
      <c r="BC205" s="240"/>
      <c r="BD205" s="240"/>
      <c r="BE205" s="241"/>
      <c r="BF205" s="240"/>
      <c r="BG205" s="240"/>
      <c r="BH205" s="240"/>
      <c r="BI205" s="240"/>
      <c r="BJ205" s="241"/>
      <c r="BK205" s="171"/>
      <c r="BL205" s="171"/>
      <c r="BM205" s="87"/>
      <c r="BN205" s="171"/>
      <c r="BO205" s="170"/>
      <c r="BP205" s="171"/>
      <c r="BQ205" s="171"/>
      <c r="BR205" s="87"/>
      <c r="BS205" s="171"/>
      <c r="BT205" s="170"/>
      <c r="BU205" s="171"/>
      <c r="BV205" s="171"/>
      <c r="BW205" s="87"/>
      <c r="BX205" s="171"/>
      <c r="BY205" s="170"/>
      <c r="BZ205" s="171"/>
      <c r="CA205" s="171"/>
      <c r="CB205" s="87"/>
      <c r="CC205" s="171"/>
      <c r="CD205" s="170"/>
      <c r="CE205" s="173"/>
      <c r="CF205" s="173"/>
      <c r="CG205" s="173"/>
      <c r="CH205" s="173"/>
      <c r="CI205" s="170"/>
      <c r="CJ205" s="173"/>
      <c r="CK205" s="173"/>
      <c r="CL205" s="173"/>
      <c r="CM205" s="173"/>
      <c r="CN205" s="170"/>
      <c r="CO205" s="173"/>
      <c r="CP205" s="173"/>
      <c r="CQ205" s="173"/>
      <c r="CR205" s="173"/>
      <c r="CS205" s="170"/>
      <c r="CT205" s="173"/>
      <c r="CU205" s="173"/>
      <c r="CV205" s="173"/>
      <c r="CW205" s="173"/>
      <c r="CX205" s="170"/>
      <c r="CY205" s="173"/>
      <c r="CZ205" s="173"/>
      <c r="DA205" s="173"/>
      <c r="DB205" s="173"/>
      <c r="DC205" s="170"/>
      <c r="DD205" s="173"/>
      <c r="DE205" s="173"/>
      <c r="DF205" s="173"/>
      <c r="DG205" s="173"/>
      <c r="DH205" s="170"/>
      <c r="DI205" s="545"/>
      <c r="DJ205" s="545"/>
      <c r="DK205" s="545"/>
      <c r="DL205" s="545"/>
      <c r="DM205" s="538"/>
      <c r="DN205" s="545"/>
      <c r="DO205" s="545"/>
      <c r="DP205" s="545"/>
      <c r="DQ205" s="545"/>
      <c r="DR205" s="538"/>
      <c r="DS205" s="545"/>
      <c r="DT205" s="545"/>
      <c r="DU205" s="545"/>
      <c r="DV205" s="545"/>
      <c r="DW205" s="538"/>
      <c r="DX205" s="545"/>
      <c r="DY205" s="545"/>
      <c r="DZ205" s="545"/>
      <c r="EA205" s="545"/>
      <c r="EB205" s="538"/>
      <c r="EC205" s="545"/>
      <c r="ED205" s="545"/>
      <c r="EE205" s="545"/>
      <c r="EF205" s="545"/>
      <c r="EG205" s="538"/>
      <c r="EH205" s="545"/>
      <c r="EI205" s="545"/>
      <c r="EJ205" s="545"/>
      <c r="EK205" s="545"/>
      <c r="EL205" s="538"/>
    </row>
    <row r="206" spans="1:142" hidden="1" outlineLevel="1">
      <c r="A206" s="225"/>
      <c r="B206" s="1326" t="s">
        <v>672</v>
      </c>
      <c r="C206" s="9"/>
      <c r="D206" s="9"/>
      <c r="E206" s="9"/>
      <c r="F206" s="9"/>
      <c r="G206" s="9"/>
      <c r="H206" s="63"/>
      <c r="I206" s="9"/>
      <c r="J206" s="9"/>
      <c r="K206" s="9"/>
      <c r="L206" s="9"/>
      <c r="M206" s="63"/>
      <c r="N206" s="9"/>
      <c r="O206" s="9"/>
      <c r="P206" s="9"/>
      <c r="Q206" s="9"/>
      <c r="R206" s="63"/>
      <c r="S206" s="9"/>
      <c r="T206" s="9"/>
      <c r="U206" s="9"/>
      <c r="V206" s="9"/>
      <c r="W206" s="63"/>
      <c r="X206" s="9"/>
      <c r="Y206" s="9"/>
      <c r="Z206" s="9"/>
      <c r="AA206" s="9"/>
      <c r="AB206" s="63"/>
      <c r="AC206" s="9"/>
      <c r="AD206" s="9"/>
      <c r="AE206" s="9"/>
      <c r="AF206" s="9"/>
      <c r="AG206" s="63"/>
      <c r="AH206" s="9"/>
      <c r="AI206" s="9"/>
      <c r="AJ206" s="9"/>
      <c r="AK206" s="9"/>
      <c r="AL206" s="63"/>
      <c r="AM206" s="53"/>
      <c r="AN206" s="53"/>
      <c r="AO206" s="53"/>
      <c r="AP206" s="53"/>
      <c r="AQ206" s="28"/>
      <c r="AR206" s="53"/>
      <c r="AS206" s="53"/>
      <c r="AT206" s="53"/>
      <c r="AU206" s="186"/>
      <c r="AV206" s="240"/>
      <c r="AW206" s="240"/>
      <c r="AX206" s="240"/>
      <c r="AY206" s="240"/>
      <c r="AZ206" s="241"/>
      <c r="BA206" s="240"/>
      <c r="BB206" s="240"/>
      <c r="BC206" s="240"/>
      <c r="BD206" s="240"/>
      <c r="BE206" s="241"/>
      <c r="BF206" s="240"/>
      <c r="BG206" s="240"/>
      <c r="BH206" s="240"/>
      <c r="BI206" s="240"/>
      <c r="BJ206" s="241"/>
      <c r="BK206" s="171"/>
      <c r="BL206" s="171"/>
      <c r="BM206" s="87"/>
      <c r="BN206" s="171"/>
      <c r="BO206" s="170"/>
      <c r="BP206" s="171"/>
      <c r="BQ206" s="171"/>
      <c r="BR206" s="87"/>
      <c r="BS206" s="171"/>
      <c r="BT206" s="170"/>
      <c r="BU206" s="171"/>
      <c r="BV206" s="171"/>
      <c r="BW206" s="87"/>
      <c r="BX206" s="171"/>
      <c r="BY206" s="170"/>
      <c r="BZ206" s="171"/>
      <c r="CA206" s="171"/>
      <c r="CB206" s="87"/>
      <c r="CC206" s="171"/>
      <c r="CD206" s="170"/>
      <c r="CE206" s="173"/>
      <c r="CF206" s="173"/>
      <c r="CG206" s="173"/>
      <c r="CH206" s="173"/>
      <c r="CI206" s="170"/>
      <c r="CJ206" s="173"/>
      <c r="CK206" s="173"/>
      <c r="CL206" s="173"/>
      <c r="CM206" s="173"/>
      <c r="CN206" s="170"/>
      <c r="CO206" s="173"/>
      <c r="CP206" s="173"/>
      <c r="CQ206" s="173"/>
      <c r="CR206" s="173"/>
      <c r="CS206" s="170"/>
      <c r="CT206" s="173"/>
      <c r="CU206" s="173"/>
      <c r="CV206" s="173"/>
      <c r="CW206" s="173"/>
      <c r="CX206" s="170"/>
      <c r="CY206" s="173"/>
      <c r="CZ206" s="173"/>
      <c r="DA206" s="173"/>
      <c r="DB206" s="173"/>
      <c r="DC206" s="170"/>
      <c r="DD206" s="173"/>
      <c r="DE206" s="173"/>
      <c r="DF206" s="173"/>
      <c r="DG206" s="173"/>
      <c r="DH206" s="170"/>
      <c r="DI206" s="545"/>
      <c r="DJ206" s="545"/>
      <c r="DK206" s="545"/>
      <c r="DL206" s="545"/>
      <c r="DM206" s="538"/>
      <c r="DN206" s="545"/>
      <c r="DO206" s="545"/>
      <c r="DP206" s="545"/>
      <c r="DQ206" s="545"/>
      <c r="DR206" s="538"/>
      <c r="DS206" s="545"/>
      <c r="DT206" s="739">
        <f>DT196+DT202</f>
        <v>1441</v>
      </c>
      <c r="DU206" s="739">
        <f t="shared" ref="DU206:EF206" si="24">DU196+DU202</f>
        <v>640</v>
      </c>
      <c r="DV206" s="739">
        <f t="shared" si="24"/>
        <v>698</v>
      </c>
      <c r="DW206" s="739"/>
      <c r="DX206" s="739">
        <f t="shared" si="24"/>
        <v>829.37035815589047</v>
      </c>
      <c r="DY206" s="739">
        <f t="shared" si="24"/>
        <v>605.37663535468891</v>
      </c>
      <c r="DZ206" s="739">
        <f t="shared" si="24"/>
        <v>853.21887238129329</v>
      </c>
      <c r="EA206" s="739">
        <f t="shared" si="24"/>
        <v>567.71087398451732</v>
      </c>
      <c r="EB206" s="739"/>
      <c r="EC206" s="739">
        <f t="shared" si="24"/>
        <v>376.97417916896063</v>
      </c>
      <c r="ED206" s="739">
        <f t="shared" si="24"/>
        <v>520.54772891988341</v>
      </c>
      <c r="EE206" s="739">
        <f t="shared" si="24"/>
        <v>689.98221824519351</v>
      </c>
      <c r="EF206" s="739">
        <f t="shared" si="24"/>
        <v>714.63062624325505</v>
      </c>
      <c r="EG206" s="739"/>
      <c r="EH206" s="739">
        <f t="shared" ref="EH206:EK206" si="25">EH196+EH202</f>
        <v>657.96794350851678</v>
      </c>
      <c r="EI206" s="739">
        <f t="shared" si="25"/>
        <v>602.90493870577018</v>
      </c>
      <c r="EJ206" s="739">
        <f t="shared" si="25"/>
        <v>652.42194509847184</v>
      </c>
      <c r="EK206" s="739">
        <f t="shared" si="25"/>
        <v>471.25813137678415</v>
      </c>
      <c r="EL206" s="739"/>
    </row>
    <row r="207" spans="1:142" collapsed="1">
      <c r="A207" s="225"/>
      <c r="B207" s="225"/>
      <c r="C207" s="9"/>
      <c r="D207" s="9"/>
      <c r="E207" s="9"/>
      <c r="F207" s="9"/>
      <c r="G207" s="9"/>
      <c r="H207" s="63"/>
      <c r="I207" s="9"/>
      <c r="J207" s="9"/>
      <c r="K207" s="9"/>
      <c r="L207" s="9"/>
      <c r="M207" s="63"/>
      <c r="N207" s="9"/>
      <c r="O207" s="9"/>
      <c r="P207" s="9"/>
      <c r="Q207" s="9"/>
      <c r="R207" s="63"/>
      <c r="S207" s="9"/>
      <c r="T207" s="9"/>
      <c r="U207" s="9"/>
      <c r="V207" s="9"/>
      <c r="W207" s="63"/>
      <c r="X207" s="9"/>
      <c r="Y207" s="9"/>
      <c r="Z207" s="9"/>
      <c r="AA207" s="9"/>
      <c r="AB207" s="63"/>
      <c r="AC207" s="9"/>
      <c r="AD207" s="9"/>
      <c r="AE207" s="9"/>
      <c r="AF207" s="9"/>
      <c r="AG207" s="63"/>
      <c r="AH207" s="9"/>
      <c r="AI207" s="9"/>
      <c r="AJ207" s="9"/>
      <c r="AK207" s="9"/>
      <c r="AL207" s="63"/>
      <c r="AM207" s="53"/>
      <c r="AN207" s="53"/>
      <c r="AO207" s="53"/>
      <c r="AP207" s="53"/>
      <c r="AQ207" s="28"/>
      <c r="AR207" s="53"/>
      <c r="AS207" s="53"/>
      <c r="AT207" s="53"/>
      <c r="AU207" s="186"/>
      <c r="AV207" s="240"/>
      <c r="AW207" s="240"/>
      <c r="AX207" s="240"/>
      <c r="AY207" s="240"/>
      <c r="AZ207" s="241"/>
      <c r="BA207" s="240"/>
      <c r="BB207" s="240"/>
      <c r="BC207" s="240"/>
      <c r="BD207" s="240"/>
      <c r="BE207" s="241"/>
      <c r="BF207" s="240"/>
      <c r="BG207" s="240"/>
      <c r="BH207" s="240"/>
      <c r="BI207" s="240"/>
      <c r="BJ207" s="241"/>
      <c r="BK207" s="171"/>
      <c r="BL207" s="171"/>
      <c r="BM207" s="87"/>
      <c r="BN207" s="171"/>
      <c r="BO207" s="170"/>
      <c r="BP207" s="171"/>
      <c r="BQ207" s="171"/>
      <c r="BR207" s="87"/>
      <c r="BS207" s="171"/>
      <c r="BT207" s="170"/>
      <c r="BU207" s="171"/>
      <c r="BV207" s="171"/>
      <c r="BW207" s="87"/>
      <c r="BX207" s="171"/>
      <c r="BY207" s="170"/>
      <c r="BZ207" s="171"/>
      <c r="CA207" s="171"/>
      <c r="CB207" s="87"/>
      <c r="CC207" s="171"/>
      <c r="CD207" s="170"/>
      <c r="CE207" s="173"/>
      <c r="CF207" s="173"/>
      <c r="CG207" s="173"/>
      <c r="CH207" s="173"/>
      <c r="CI207" s="170"/>
      <c r="CJ207" s="173"/>
      <c r="CK207" s="173"/>
      <c r="CL207" s="173"/>
      <c r="CM207" s="173"/>
      <c r="CN207" s="170"/>
      <c r="CO207" s="173"/>
      <c r="CP207" s="173"/>
      <c r="CQ207" s="173"/>
      <c r="CR207" s="173"/>
      <c r="CS207" s="170"/>
      <c r="CT207" s="173"/>
      <c r="CU207" s="173"/>
      <c r="CV207" s="173"/>
      <c r="CW207" s="173"/>
      <c r="CX207" s="170"/>
      <c r="CY207" s="173"/>
      <c r="CZ207" s="173"/>
      <c r="DA207" s="173"/>
      <c r="DB207" s="173"/>
      <c r="DC207" s="170"/>
      <c r="DD207" s="173"/>
      <c r="DE207" s="173"/>
      <c r="DF207" s="173"/>
      <c r="DG207" s="173"/>
      <c r="DH207" s="170"/>
      <c r="DI207" s="545"/>
      <c r="DJ207" s="545"/>
      <c r="DK207" s="545"/>
      <c r="DL207" s="545"/>
      <c r="DM207" s="538"/>
      <c r="DN207" s="545"/>
      <c r="DO207" s="545"/>
      <c r="DP207" s="545"/>
      <c r="DQ207" s="545"/>
      <c r="DR207" s="538"/>
      <c r="DS207" s="545"/>
      <c r="DT207" s="545"/>
      <c r="DU207" s="545"/>
      <c r="DV207" s="545"/>
      <c r="DW207" s="538"/>
      <c r="DX207" s="545"/>
      <c r="DY207" s="545"/>
      <c r="DZ207" s="545"/>
      <c r="EA207" s="545"/>
      <c r="EB207" s="538"/>
      <c r="EC207" s="545"/>
      <c r="ED207" s="545"/>
      <c r="EE207" s="545"/>
      <c r="EF207" s="545"/>
      <c r="EG207" s="538"/>
      <c r="EH207" s="545"/>
      <c r="EI207" s="545"/>
      <c r="EJ207" s="545"/>
      <c r="EK207" s="545"/>
      <c r="EL207" s="538"/>
    </row>
    <row r="208" spans="1:142">
      <c r="A208" s="1327"/>
      <c r="B208" s="242" t="s">
        <v>729</v>
      </c>
      <c r="C208" s="228"/>
      <c r="D208" s="228"/>
      <c r="E208" s="228"/>
      <c r="F208" s="228"/>
      <c r="G208" s="228"/>
      <c r="H208" s="229"/>
      <c r="I208" s="228"/>
      <c r="J208" s="228"/>
      <c r="K208" s="228"/>
      <c r="L208" s="228"/>
      <c r="M208" s="229"/>
      <c r="N208" s="228"/>
      <c r="O208" s="228"/>
      <c r="P208" s="228"/>
      <c r="Q208" s="228"/>
      <c r="R208" s="229"/>
      <c r="S208" s="228"/>
      <c r="T208" s="228"/>
      <c r="U208" s="228"/>
      <c r="V208" s="228"/>
      <c r="W208" s="229"/>
      <c r="X208" s="228"/>
      <c r="Y208" s="228"/>
      <c r="Z208" s="228"/>
      <c r="AA208" s="228"/>
      <c r="AB208" s="229"/>
      <c r="AC208" s="228"/>
      <c r="AD208" s="228"/>
      <c r="AE208" s="228"/>
      <c r="AF208" s="228"/>
      <c r="AG208" s="229"/>
      <c r="AH208" s="228"/>
      <c r="AI208" s="228"/>
      <c r="AJ208" s="228"/>
      <c r="AK208" s="228"/>
      <c r="AL208" s="229"/>
      <c r="AM208" s="228"/>
      <c r="AN208" s="228"/>
      <c r="AO208" s="228"/>
      <c r="AP208" s="228"/>
      <c r="AQ208" s="229"/>
      <c r="AR208" s="228"/>
      <c r="AS208" s="228"/>
      <c r="AT208" s="228"/>
      <c r="AU208" s="230"/>
      <c r="AV208" s="228"/>
      <c r="AW208" s="228"/>
      <c r="AX208" s="228"/>
      <c r="AY208" s="228"/>
      <c r="AZ208" s="229"/>
      <c r="BA208" s="228"/>
      <c r="BB208" s="228"/>
      <c r="BC208" s="228"/>
      <c r="BD208" s="228"/>
      <c r="BE208" s="229"/>
      <c r="BF208" s="228"/>
      <c r="BG208" s="228"/>
      <c r="BH208" s="228"/>
      <c r="BI208" s="228"/>
      <c r="BJ208" s="229"/>
      <c r="BK208" s="228"/>
      <c r="BL208" s="228"/>
      <c r="BM208" s="228"/>
      <c r="BN208" s="228"/>
      <c r="BO208" s="229"/>
      <c r="BP208" s="228"/>
      <c r="BQ208" s="228"/>
      <c r="BR208" s="228"/>
      <c r="BS208" s="228"/>
      <c r="BT208" s="229"/>
      <c r="BU208" s="228"/>
      <c r="BV208" s="228"/>
      <c r="BW208" s="228"/>
      <c r="BX208" s="228"/>
      <c r="BY208" s="229"/>
      <c r="BZ208" s="228"/>
      <c r="CA208" s="228"/>
      <c r="CB208" s="228"/>
      <c r="CC208" s="228"/>
      <c r="CD208" s="229"/>
      <c r="CE208" s="228"/>
      <c r="CF208" s="228"/>
      <c r="CG208" s="228"/>
      <c r="CH208" s="228"/>
      <c r="CI208" s="229"/>
      <c r="CJ208" s="228"/>
      <c r="CK208" s="228"/>
      <c r="CL208" s="228"/>
      <c r="CM208" s="228"/>
      <c r="CN208" s="229"/>
      <c r="CO208" s="228"/>
      <c r="CP208" s="228"/>
      <c r="CQ208" s="228"/>
      <c r="CR208" s="228"/>
      <c r="CS208" s="229"/>
      <c r="CT208" s="228"/>
      <c r="CU208" s="228"/>
      <c r="CV208" s="228"/>
      <c r="CW208" s="228"/>
      <c r="CX208" s="229"/>
      <c r="CY208" s="228"/>
      <c r="CZ208" s="228"/>
      <c r="DA208" s="228"/>
      <c r="DB208" s="228"/>
      <c r="DC208" s="229"/>
      <c r="DD208" s="228"/>
      <c r="DE208" s="228"/>
      <c r="DF208" s="228"/>
      <c r="DG208" s="228"/>
      <c r="DH208" s="229"/>
      <c r="DI208" s="228"/>
      <c r="DJ208" s="228"/>
      <c r="DK208" s="231"/>
      <c r="DL208" s="228"/>
      <c r="DM208" s="229"/>
      <c r="DN208" s="228"/>
      <c r="DO208" s="228"/>
      <c r="DP208" s="228"/>
      <c r="DQ208" s="228"/>
      <c r="DR208" s="229"/>
      <c r="DS208" s="228"/>
      <c r="DT208" s="228"/>
      <c r="DU208" s="228"/>
      <c r="DV208" s="228"/>
      <c r="DW208" s="229"/>
      <c r="DX208" s="228"/>
      <c r="DY208" s="228"/>
      <c r="DZ208" s="228"/>
      <c r="EA208" s="228"/>
      <c r="EB208" s="229"/>
      <c r="EC208" s="228"/>
      <c r="ED208" s="228"/>
      <c r="EE208" s="228"/>
      <c r="EF208" s="228"/>
      <c r="EG208" s="229"/>
      <c r="EH208" s="228"/>
      <c r="EI208" s="228"/>
      <c r="EJ208" s="228"/>
      <c r="EK208" s="228"/>
      <c r="EL208" s="229"/>
    </row>
    <row r="209" spans="1:142">
      <c r="A209" s="1328"/>
      <c r="B209" s="247" t="s">
        <v>297</v>
      </c>
      <c r="C209" s="9"/>
      <c r="D209" s="9"/>
      <c r="E209" s="9"/>
      <c r="F209" s="9"/>
      <c r="G209" s="9"/>
      <c r="H209" s="63"/>
      <c r="I209" s="9"/>
      <c r="J209" s="9"/>
      <c r="K209" s="9"/>
      <c r="L209" s="9"/>
      <c r="M209" s="63"/>
      <c r="N209" s="9"/>
      <c r="O209" s="9"/>
      <c r="P209" s="9"/>
      <c r="Q209" s="9"/>
      <c r="R209" s="63"/>
      <c r="S209" s="9"/>
      <c r="T209" s="9"/>
      <c r="U209" s="9"/>
      <c r="V209" s="9"/>
      <c r="W209" s="63"/>
      <c r="X209" s="9"/>
      <c r="Y209" s="9"/>
      <c r="Z209" s="9"/>
      <c r="AA209" s="9"/>
      <c r="AB209" s="63"/>
      <c r="AC209" s="9"/>
      <c r="AD209" s="9"/>
      <c r="AE209" s="9"/>
      <c r="AF209" s="9"/>
      <c r="AG209" s="63"/>
      <c r="AH209" s="9"/>
      <c r="AI209" s="9"/>
      <c r="AJ209" s="9"/>
      <c r="AK209" s="9"/>
      <c r="AL209" s="63"/>
      <c r="AM209" s="9"/>
      <c r="AN209" s="9"/>
      <c r="AO209" s="9"/>
      <c r="AP209" s="9"/>
      <c r="AQ209" s="63"/>
      <c r="AR209" s="9"/>
      <c r="AS209" s="9"/>
      <c r="AT209" s="9"/>
      <c r="AU209" s="186"/>
      <c r="AV209" s="9"/>
      <c r="AW209" s="9"/>
      <c r="AX209" s="9"/>
      <c r="AY209" s="9"/>
      <c r="AZ209" s="63"/>
      <c r="BA209" s="9"/>
      <c r="BB209" s="9"/>
      <c r="BC209" s="9"/>
      <c r="BD209" s="9"/>
      <c r="BE209" s="63"/>
      <c r="BF209" s="9"/>
      <c r="BG209" s="9"/>
      <c r="BH209" s="9"/>
      <c r="BI209" s="9"/>
      <c r="BJ209" s="63"/>
      <c r="BK209" s="9"/>
      <c r="BL209" s="9"/>
      <c r="BM209" s="9"/>
      <c r="BN209" s="9"/>
      <c r="BO209" s="63"/>
      <c r="BP209" s="9"/>
      <c r="BQ209" s="9"/>
      <c r="BR209" s="9"/>
      <c r="BS209" s="9"/>
      <c r="BT209" s="63"/>
      <c r="BU209" s="9"/>
      <c r="BV209" s="9"/>
      <c r="BW209" s="9"/>
      <c r="BX209" s="9"/>
      <c r="BY209" s="63"/>
      <c r="BZ209" s="9"/>
      <c r="CA209" s="9"/>
      <c r="CB209" s="9"/>
      <c r="CC209" s="9"/>
      <c r="CD209" s="63"/>
      <c r="CE209" s="288">
        <v>0.02</v>
      </c>
      <c r="CF209" s="288">
        <v>0.02</v>
      </c>
      <c r="CG209" s="288">
        <v>0.02</v>
      </c>
      <c r="CH209" s="288">
        <v>0.02</v>
      </c>
      <c r="CI209" s="193"/>
      <c r="CJ209" s="288">
        <v>0.02</v>
      </c>
      <c r="CK209" s="288">
        <v>0.02</v>
      </c>
      <c r="CL209" s="288">
        <v>0.02</v>
      </c>
      <c r="CM209" s="288">
        <v>0.02</v>
      </c>
      <c r="CN209" s="193"/>
      <c r="CO209" s="288">
        <v>0.02</v>
      </c>
      <c r="CP209" s="288">
        <v>0.02</v>
      </c>
      <c r="CQ209" s="288">
        <v>0.02</v>
      </c>
      <c r="CR209" s="288">
        <v>0.02</v>
      </c>
      <c r="CS209" s="193"/>
      <c r="CT209" s="288">
        <v>0.02</v>
      </c>
      <c r="CU209" s="288">
        <v>0.02</v>
      </c>
      <c r="CV209" s="288">
        <v>0.02</v>
      </c>
      <c r="CW209" s="249">
        <f>CV209</f>
        <v>0.02</v>
      </c>
      <c r="CX209" s="193"/>
      <c r="CY209" s="249">
        <f>CW209</f>
        <v>0.02</v>
      </c>
      <c r="CZ209" s="249">
        <f>CY209</f>
        <v>0.02</v>
      </c>
      <c r="DA209" s="249">
        <f>CZ209</f>
        <v>0.02</v>
      </c>
      <c r="DB209" s="249">
        <f>DA209</f>
        <v>0.02</v>
      </c>
      <c r="DC209" s="193"/>
      <c r="DD209" s="249">
        <f>DB209</f>
        <v>0.02</v>
      </c>
      <c r="DE209" s="249">
        <f>DD209</f>
        <v>0.02</v>
      </c>
      <c r="DF209" s="249">
        <f>DE209</f>
        <v>0.02</v>
      </c>
      <c r="DG209" s="249">
        <f>DF209</f>
        <v>0.02</v>
      </c>
      <c r="DH209" s="193"/>
      <c r="DI209" s="249">
        <v>0.1</v>
      </c>
      <c r="DJ209" s="249">
        <f>DI209</f>
        <v>0.1</v>
      </c>
      <c r="DK209" s="331">
        <f>DJ209</f>
        <v>0.1</v>
      </c>
      <c r="DL209" s="249">
        <f>DK209</f>
        <v>0.1</v>
      </c>
      <c r="DM209" s="193"/>
      <c r="DN209" s="249">
        <f>DL209</f>
        <v>0.1</v>
      </c>
      <c r="DO209" s="249">
        <f>DN209</f>
        <v>0.1</v>
      </c>
      <c r="DP209" s="249">
        <f>DO209</f>
        <v>0.1</v>
      </c>
      <c r="DQ209" s="249">
        <f>DP209</f>
        <v>0.1</v>
      </c>
      <c r="DR209" s="193"/>
      <c r="DS209" s="249">
        <f>DQ209</f>
        <v>0.1</v>
      </c>
      <c r="DT209" s="249">
        <f>DS209</f>
        <v>0.1</v>
      </c>
      <c r="DU209" s="249">
        <f>DT209</f>
        <v>0.1</v>
      </c>
      <c r="DV209" s="249">
        <f>DU209</f>
        <v>0.1</v>
      </c>
      <c r="DW209" s="193"/>
      <c r="DX209" s="249">
        <v>0.1</v>
      </c>
      <c r="DY209" s="249">
        <f>DX209</f>
        <v>0.1</v>
      </c>
      <c r="DZ209" s="249">
        <f>DY209</f>
        <v>0.1</v>
      </c>
      <c r="EA209" s="249">
        <f>DZ209</f>
        <v>0.1</v>
      </c>
      <c r="EB209" s="193"/>
      <c r="EC209" s="249">
        <f>EA209</f>
        <v>0.1</v>
      </c>
      <c r="ED209" s="249">
        <f>EC209</f>
        <v>0.1</v>
      </c>
      <c r="EE209" s="249">
        <f>ED209</f>
        <v>0.1</v>
      </c>
      <c r="EF209" s="249">
        <f>EE209</f>
        <v>0.1</v>
      </c>
      <c r="EG209" s="193"/>
      <c r="EH209" s="249">
        <f>EF209</f>
        <v>0.1</v>
      </c>
      <c r="EI209" s="249">
        <f>EH209</f>
        <v>0.1</v>
      </c>
      <c r="EJ209" s="249">
        <f>EI209</f>
        <v>0.1</v>
      </c>
      <c r="EK209" s="249">
        <f>EJ209</f>
        <v>0.1</v>
      </c>
      <c r="EL209" s="193"/>
    </row>
    <row r="210" spans="1:142">
      <c r="A210" s="225"/>
      <c r="B210" s="209" t="s">
        <v>298</v>
      </c>
      <c r="C210" s="255"/>
      <c r="D210" s="255"/>
      <c r="E210" s="255"/>
      <c r="F210" s="255"/>
      <c r="G210" s="255"/>
      <c r="H210" s="256"/>
      <c r="I210" s="255"/>
      <c r="J210" s="255"/>
      <c r="K210" s="255"/>
      <c r="L210" s="255"/>
      <c r="M210" s="256"/>
      <c r="N210" s="255"/>
      <c r="O210" s="255"/>
      <c r="P210" s="255"/>
      <c r="Q210" s="255"/>
      <c r="R210" s="256"/>
      <c r="S210" s="255"/>
      <c r="T210" s="255"/>
      <c r="U210" s="255"/>
      <c r="V210" s="255"/>
      <c r="W210" s="256"/>
      <c r="X210" s="255"/>
      <c r="Y210" s="255"/>
      <c r="Z210" s="255"/>
      <c r="AA210" s="255"/>
      <c r="AB210" s="256"/>
      <c r="AC210" s="255"/>
      <c r="AD210" s="255"/>
      <c r="AE210" s="255"/>
      <c r="AF210" s="255"/>
      <c r="AG210" s="256"/>
      <c r="AH210" s="255"/>
      <c r="AI210" s="255"/>
      <c r="AJ210" s="255"/>
      <c r="AK210" s="255"/>
      <c r="AL210" s="256"/>
      <c r="AM210" s="255"/>
      <c r="AN210" s="255"/>
      <c r="AO210" s="255"/>
      <c r="AP210" s="255"/>
      <c r="AQ210" s="256"/>
      <c r="AR210" s="255"/>
      <c r="AS210" s="255"/>
      <c r="AT210" s="255"/>
      <c r="AU210" s="217"/>
      <c r="AV210" s="255"/>
      <c r="AW210" s="255"/>
      <c r="AX210" s="255"/>
      <c r="AY210" s="255"/>
      <c r="AZ210" s="256"/>
      <c r="BA210" s="255"/>
      <c r="BB210" s="255"/>
      <c r="BC210" s="255"/>
      <c r="BD210" s="255"/>
      <c r="BE210" s="256"/>
      <c r="BF210" s="255"/>
      <c r="BG210" s="255"/>
      <c r="BH210" s="255"/>
      <c r="BI210" s="255"/>
      <c r="BJ210" s="256"/>
      <c r="BK210" s="255"/>
      <c r="BL210" s="255"/>
      <c r="BM210" s="255"/>
      <c r="BN210" s="255"/>
      <c r="BO210" s="256"/>
      <c r="BP210" s="255"/>
      <c r="BQ210" s="255"/>
      <c r="BR210" s="255"/>
      <c r="BS210" s="255"/>
      <c r="BT210" s="256"/>
      <c r="BU210" s="255"/>
      <c r="BV210" s="255"/>
      <c r="BW210" s="255"/>
      <c r="BX210" s="255"/>
      <c r="BY210" s="256"/>
      <c r="BZ210" s="255"/>
      <c r="CA210" s="255"/>
      <c r="CB210" s="255"/>
      <c r="CC210" s="255"/>
      <c r="CD210" s="256"/>
      <c r="CE210" s="289">
        <f>CD213</f>
        <v>10</v>
      </c>
      <c r="CF210" s="289">
        <f>CE213</f>
        <v>8</v>
      </c>
      <c r="CG210" s="289">
        <f>CF213</f>
        <v>8</v>
      </c>
      <c r="CH210" s="289">
        <f>CG213</f>
        <v>8</v>
      </c>
      <c r="CI210" s="258">
        <f>CD213</f>
        <v>10</v>
      </c>
      <c r="CJ210" s="289">
        <f>CI213</f>
        <v>7</v>
      </c>
      <c r="CK210" s="289">
        <f>CJ213</f>
        <v>7</v>
      </c>
      <c r="CL210" s="289">
        <f>CK213</f>
        <v>7</v>
      </c>
      <c r="CM210" s="289">
        <f>CL213</f>
        <v>7</v>
      </c>
      <c r="CN210" s="258">
        <f>CI213</f>
        <v>7</v>
      </c>
      <c r="CO210" s="289">
        <f>CN213</f>
        <v>6</v>
      </c>
      <c r="CP210" s="289">
        <f>CO213</f>
        <v>8</v>
      </c>
      <c r="CQ210" s="289">
        <f>CP213</f>
        <v>20</v>
      </c>
      <c r="CR210" s="289">
        <f>CQ213</f>
        <v>21</v>
      </c>
      <c r="CS210" s="258">
        <f>CN213</f>
        <v>6</v>
      </c>
      <c r="CT210" s="289">
        <f>CS213</f>
        <v>32</v>
      </c>
      <c r="CU210" s="289">
        <f>CT213</f>
        <v>49</v>
      </c>
      <c r="CV210" s="289">
        <f>CU213</f>
        <v>60</v>
      </c>
      <c r="CW210" s="289">
        <f>CV213</f>
        <v>85</v>
      </c>
      <c r="CX210" s="258">
        <f>CS213</f>
        <v>32</v>
      </c>
      <c r="CY210" s="289">
        <f>CX213</f>
        <v>119</v>
      </c>
      <c r="CZ210" s="289">
        <f>CY213</f>
        <v>140</v>
      </c>
      <c r="DA210" s="289">
        <f>CZ213</f>
        <v>177</v>
      </c>
      <c r="DB210" s="289">
        <f>DA213</f>
        <v>188</v>
      </c>
      <c r="DC210" s="258">
        <f>CX213</f>
        <v>119</v>
      </c>
      <c r="DD210" s="289">
        <f>DC213</f>
        <v>407</v>
      </c>
      <c r="DE210" s="289">
        <f>DD213</f>
        <v>437</v>
      </c>
      <c r="DF210" s="289">
        <f>DE213</f>
        <v>428</v>
      </c>
      <c r="DG210" s="289">
        <f>DF213</f>
        <v>453</v>
      </c>
      <c r="DH210" s="258">
        <f>DC213</f>
        <v>407</v>
      </c>
      <c r="DI210" s="539">
        <f>DH213</f>
        <v>487</v>
      </c>
      <c r="DJ210" s="539">
        <f>DI213</f>
        <v>484</v>
      </c>
      <c r="DK210" s="1374">
        <f>DJ213</f>
        <v>767</v>
      </c>
      <c r="DL210" s="539">
        <f>DK213</f>
        <v>758</v>
      </c>
      <c r="DM210" s="540">
        <f>DH213</f>
        <v>487</v>
      </c>
      <c r="DN210" s="539">
        <f>DM213</f>
        <v>852</v>
      </c>
      <c r="DO210" s="539">
        <f>DN213</f>
        <v>853</v>
      </c>
      <c r="DP210" s="539">
        <f>DO213</f>
        <v>821</v>
      </c>
      <c r="DQ210" s="539">
        <f>DP213</f>
        <v>818</v>
      </c>
      <c r="DR210" s="540">
        <f>DM213</f>
        <v>852</v>
      </c>
      <c r="DS210" s="539">
        <f>DR213</f>
        <v>819</v>
      </c>
      <c r="DT210" s="539">
        <f>DS213</f>
        <v>688</v>
      </c>
      <c r="DU210" s="539">
        <f>DT213</f>
        <v>684</v>
      </c>
      <c r="DV210" s="539">
        <f>DU213</f>
        <v>377</v>
      </c>
      <c r="DW210" s="540">
        <f>DR213</f>
        <v>819</v>
      </c>
      <c r="DX210" s="539">
        <f>DW213</f>
        <v>431</v>
      </c>
      <c r="DY210" s="539">
        <f>DX213</f>
        <v>431</v>
      </c>
      <c r="DZ210" s="539">
        <f>DY213</f>
        <v>431</v>
      </c>
      <c r="EA210" s="539">
        <f>DZ213</f>
        <v>431</v>
      </c>
      <c r="EB210" s="540">
        <f>DW213</f>
        <v>431</v>
      </c>
      <c r="EC210" s="539">
        <f>EB213</f>
        <v>431</v>
      </c>
      <c r="ED210" s="539">
        <f>EC213</f>
        <v>431</v>
      </c>
      <c r="EE210" s="539">
        <f>ED213</f>
        <v>431</v>
      </c>
      <c r="EF210" s="539">
        <f>EE213</f>
        <v>431</v>
      </c>
      <c r="EG210" s="540">
        <f>EB213</f>
        <v>431</v>
      </c>
      <c r="EH210" s="539">
        <f>EG213</f>
        <v>431</v>
      </c>
      <c r="EI210" s="539">
        <f>EH213</f>
        <v>431</v>
      </c>
      <c r="EJ210" s="539">
        <f>EI213</f>
        <v>431</v>
      </c>
      <c r="EK210" s="539">
        <f>EJ213</f>
        <v>431</v>
      </c>
      <c r="EL210" s="540">
        <f>EG213</f>
        <v>431</v>
      </c>
    </row>
    <row r="211" spans="1:142">
      <c r="A211" s="225"/>
      <c r="B211" s="209" t="s">
        <v>674</v>
      </c>
      <c r="C211" s="255"/>
      <c r="D211" s="255"/>
      <c r="E211" s="255"/>
      <c r="F211" s="255"/>
      <c r="G211" s="255"/>
      <c r="H211" s="256"/>
      <c r="I211" s="255"/>
      <c r="J211" s="255"/>
      <c r="K211" s="255"/>
      <c r="L211" s="255"/>
      <c r="M211" s="256"/>
      <c r="N211" s="255"/>
      <c r="O211" s="255"/>
      <c r="P211" s="255"/>
      <c r="Q211" s="255"/>
      <c r="R211" s="256"/>
      <c r="S211" s="255"/>
      <c r="T211" s="255"/>
      <c r="U211" s="255"/>
      <c r="V211" s="255"/>
      <c r="W211" s="256"/>
      <c r="X211" s="255"/>
      <c r="Y211" s="255"/>
      <c r="Z211" s="255"/>
      <c r="AA211" s="255"/>
      <c r="AB211" s="256"/>
      <c r="AC211" s="255"/>
      <c r="AD211" s="255"/>
      <c r="AE211" s="255"/>
      <c r="AF211" s="255"/>
      <c r="AG211" s="256"/>
      <c r="AH211" s="255"/>
      <c r="AI211" s="255"/>
      <c r="AJ211" s="255"/>
      <c r="AK211" s="255"/>
      <c r="AL211" s="256"/>
      <c r="AM211" s="255"/>
      <c r="AN211" s="255"/>
      <c r="AO211" s="255"/>
      <c r="AP211" s="255"/>
      <c r="AQ211" s="256"/>
      <c r="AR211" s="255"/>
      <c r="AS211" s="255"/>
      <c r="AT211" s="255"/>
      <c r="AU211" s="186"/>
      <c r="AV211" s="255"/>
      <c r="AW211" s="255"/>
      <c r="AX211" s="255"/>
      <c r="AY211" s="255"/>
      <c r="AZ211" s="256"/>
      <c r="BA211" s="255"/>
      <c r="BB211" s="255"/>
      <c r="BC211" s="255"/>
      <c r="BD211" s="255"/>
      <c r="BE211" s="256"/>
      <c r="BF211" s="255"/>
      <c r="BG211" s="255"/>
      <c r="BH211" s="255"/>
      <c r="BI211" s="255"/>
      <c r="BJ211" s="256"/>
      <c r="BK211" s="255"/>
      <c r="BL211" s="255"/>
      <c r="BM211" s="255"/>
      <c r="BN211" s="255"/>
      <c r="BO211" s="256"/>
      <c r="BP211" s="255"/>
      <c r="BQ211" s="255"/>
      <c r="BR211" s="255"/>
      <c r="BS211" s="255"/>
      <c r="BT211" s="256"/>
      <c r="BU211" s="255"/>
      <c r="BV211" s="255"/>
      <c r="BW211" s="255"/>
      <c r="BX211" s="255"/>
      <c r="BY211" s="256"/>
      <c r="BZ211" s="255"/>
      <c r="CA211" s="255"/>
      <c r="CB211" s="255"/>
      <c r="CC211" s="255"/>
      <c r="CD211" s="256"/>
      <c r="CE211" s="289"/>
      <c r="CF211" s="289"/>
      <c r="CG211" s="289"/>
      <c r="CH211" s="289"/>
      <c r="CI211" s="258"/>
      <c r="CJ211" s="289"/>
      <c r="CK211" s="289"/>
      <c r="CL211" s="289"/>
      <c r="CM211" s="289"/>
      <c r="CN211" s="258"/>
      <c r="CO211" s="289"/>
      <c r="CP211" s="289"/>
      <c r="CQ211" s="289"/>
      <c r="CR211" s="289"/>
      <c r="CS211" s="258"/>
      <c r="CT211" s="289"/>
      <c r="CU211" s="289"/>
      <c r="CV211" s="289"/>
      <c r="CW211" s="289"/>
      <c r="CX211" s="258"/>
      <c r="CY211" s="289"/>
      <c r="CZ211" s="289"/>
      <c r="DA211" s="289"/>
      <c r="DB211" s="289"/>
      <c r="DC211" s="258"/>
      <c r="DD211" s="289"/>
      <c r="DE211" s="289"/>
      <c r="DF211" s="289"/>
      <c r="DG211" s="289"/>
      <c r="DH211" s="258"/>
      <c r="DI211" s="1378">
        <v>0</v>
      </c>
      <c r="DJ211" s="1396">
        <v>283</v>
      </c>
      <c r="DK211" s="1397">
        <v>0</v>
      </c>
      <c r="DL211" s="1396">
        <v>94</v>
      </c>
      <c r="DM211" s="1380">
        <f>SUM(DI211:DL211)</f>
        <v>377</v>
      </c>
      <c r="DN211" s="1396">
        <v>1</v>
      </c>
      <c r="DO211" s="1378">
        <v>0</v>
      </c>
      <c r="DP211" s="1378">
        <v>0</v>
      </c>
      <c r="DQ211" s="1396">
        <v>1</v>
      </c>
      <c r="DR211" s="1380">
        <f>SUM(DN211:DQ211)</f>
        <v>2</v>
      </c>
      <c r="DS211" s="1378">
        <v>0</v>
      </c>
      <c r="DT211" s="1378">
        <v>0</v>
      </c>
      <c r="DU211" s="1378">
        <v>0</v>
      </c>
      <c r="DV211" s="1559">
        <v>54</v>
      </c>
      <c r="DW211" s="1380">
        <f>SUM(DS211:DV211)</f>
        <v>54</v>
      </c>
      <c r="DX211" s="1378">
        <v>0</v>
      </c>
      <c r="DY211" s="1378">
        <v>0</v>
      </c>
      <c r="DZ211" s="1378">
        <v>0</v>
      </c>
      <c r="EA211" s="1378">
        <v>0</v>
      </c>
      <c r="EB211" s="1380">
        <f>SUM(DX211:EA211)</f>
        <v>0</v>
      </c>
      <c r="EC211" s="1378">
        <v>0</v>
      </c>
      <c r="ED211" s="1378">
        <v>0</v>
      </c>
      <c r="EE211" s="1378">
        <v>0</v>
      </c>
      <c r="EF211" s="1378">
        <v>0</v>
      </c>
      <c r="EG211" s="1380">
        <f>SUM(EC211:EF211)</f>
        <v>0</v>
      </c>
      <c r="EH211" s="1378">
        <v>0</v>
      </c>
      <c r="EI211" s="1378">
        <v>0</v>
      </c>
      <c r="EJ211" s="1378">
        <v>0</v>
      </c>
      <c r="EK211" s="1378">
        <v>0</v>
      </c>
      <c r="EL211" s="1380">
        <f>SUM(EH211:EK211)</f>
        <v>0</v>
      </c>
    </row>
    <row r="212" spans="1:142">
      <c r="A212" s="225"/>
      <c r="B212" s="214" t="s">
        <v>675</v>
      </c>
      <c r="C212" s="48"/>
      <c r="D212" s="48"/>
      <c r="E212" s="48"/>
      <c r="F212" s="262"/>
      <c r="G212" s="48"/>
      <c r="H212" s="263"/>
      <c r="I212" s="48"/>
      <c r="J212" s="48"/>
      <c r="K212" s="262"/>
      <c r="L212" s="48"/>
      <c r="M212" s="263"/>
      <c r="N212" s="48"/>
      <c r="O212" s="48"/>
      <c r="P212" s="262"/>
      <c r="Q212" s="48"/>
      <c r="R212" s="263"/>
      <c r="S212" s="48"/>
      <c r="T212" s="48"/>
      <c r="U212" s="262"/>
      <c r="V212" s="48"/>
      <c r="W212" s="263"/>
      <c r="X212" s="48"/>
      <c r="Y212" s="48"/>
      <c r="Z212" s="262"/>
      <c r="AA212" s="48"/>
      <c r="AB212" s="263"/>
      <c r="AC212" s="48"/>
      <c r="AD212" s="48"/>
      <c r="AE212" s="262"/>
      <c r="AF212" s="48"/>
      <c r="AG212" s="263"/>
      <c r="AH212" s="48"/>
      <c r="AI212" s="48"/>
      <c r="AJ212" s="262"/>
      <c r="AK212" s="48"/>
      <c r="AL212" s="263"/>
      <c r="AM212" s="48"/>
      <c r="AN212" s="48"/>
      <c r="AO212" s="262"/>
      <c r="AP212" s="48"/>
      <c r="AQ212" s="263"/>
      <c r="AR212" s="48"/>
      <c r="AS212" s="48"/>
      <c r="AT212" s="262"/>
      <c r="AU212" s="338"/>
      <c r="AV212" s="48"/>
      <c r="AW212" s="48"/>
      <c r="AX212" s="262"/>
      <c r="AY212" s="48"/>
      <c r="AZ212" s="263"/>
      <c r="BA212" s="48"/>
      <c r="BB212" s="48"/>
      <c r="BC212" s="262"/>
      <c r="BD212" s="48"/>
      <c r="BE212" s="263"/>
      <c r="BF212" s="48"/>
      <c r="BG212" s="48"/>
      <c r="BH212" s="262"/>
      <c r="BI212" s="48"/>
      <c r="BJ212" s="263"/>
      <c r="BK212" s="48"/>
      <c r="BL212" s="48"/>
      <c r="BM212" s="262"/>
      <c r="BN212" s="48"/>
      <c r="BO212" s="263"/>
      <c r="BP212" s="48"/>
      <c r="BQ212" s="48"/>
      <c r="BR212" s="262"/>
      <c r="BS212" s="48"/>
      <c r="BT212" s="263"/>
      <c r="BU212" s="48"/>
      <c r="BV212" s="48"/>
      <c r="BW212" s="262"/>
      <c r="BX212" s="48"/>
      <c r="BY212" s="263"/>
      <c r="BZ212" s="48"/>
      <c r="CA212" s="48"/>
      <c r="CB212" s="262"/>
      <c r="CC212" s="48"/>
      <c r="CD212" s="263"/>
      <c r="CE212" s="174">
        <f>+CE213-CE210</f>
        <v>-2</v>
      </c>
      <c r="CF212" s="174">
        <f>+CF213-CF210</f>
        <v>0</v>
      </c>
      <c r="CG212" s="174">
        <f>+CG213-CG210</f>
        <v>0</v>
      </c>
      <c r="CH212" s="174">
        <f>+CH213-CH210</f>
        <v>-1</v>
      </c>
      <c r="CI212" s="263">
        <f>SUM(CE212:CH212)</f>
        <v>-3</v>
      </c>
      <c r="CJ212" s="174">
        <f>+CJ213-CJ210</f>
        <v>0</v>
      </c>
      <c r="CK212" s="174">
        <f>+CK213-CK210</f>
        <v>0</v>
      </c>
      <c r="CL212" s="174">
        <f>+CL213-CL210</f>
        <v>0</v>
      </c>
      <c r="CM212" s="174">
        <f>+CM213-CM210</f>
        <v>-1</v>
      </c>
      <c r="CN212" s="263">
        <f>SUM(CJ212:CM212)</f>
        <v>-1</v>
      </c>
      <c r="CO212" s="174">
        <f>+CO213-CO210</f>
        <v>2</v>
      </c>
      <c r="CP212" s="174">
        <f>+CP213-CP210</f>
        <v>12</v>
      </c>
      <c r="CQ212" s="174">
        <f>+CQ213-CQ210</f>
        <v>1</v>
      </c>
      <c r="CR212" s="174">
        <f>+CR213-CR210</f>
        <v>11</v>
      </c>
      <c r="CS212" s="263">
        <f>SUM(CO212:CR212)</f>
        <v>26</v>
      </c>
      <c r="CT212" s="174">
        <f>+CT210-CT213</f>
        <v>-17</v>
      </c>
      <c r="CU212" s="174">
        <f>+CU210-CU213</f>
        <v>-11</v>
      </c>
      <c r="CV212" s="174">
        <f>+CV213-CV210</f>
        <v>25</v>
      </c>
      <c r="CW212" s="174">
        <f>+CW213-CW210</f>
        <v>34</v>
      </c>
      <c r="CX212" s="263">
        <f>SUM(CT212:CW212)</f>
        <v>31</v>
      </c>
      <c r="CY212" s="174">
        <f>+CY213-CY210</f>
        <v>21</v>
      </c>
      <c r="CZ212" s="174">
        <f>+CZ213-CZ210</f>
        <v>37</v>
      </c>
      <c r="DA212" s="174">
        <f>+DA213-DA210</f>
        <v>11</v>
      </c>
      <c r="DB212" s="174">
        <f>+DB213-DB210</f>
        <v>219</v>
      </c>
      <c r="DC212" s="263">
        <f>SUM(CY212:DB212)</f>
        <v>288</v>
      </c>
      <c r="DD212" s="174">
        <f>+DD213-DD210</f>
        <v>30</v>
      </c>
      <c r="DE212" s="174">
        <f>+DE213-DE210</f>
        <v>-9</v>
      </c>
      <c r="DF212" s="174">
        <f>+DF213-DF210</f>
        <v>25</v>
      </c>
      <c r="DG212" s="174">
        <f>+DG213-DG210</f>
        <v>34</v>
      </c>
      <c r="DH212" s="263">
        <f>SUM(DD212:DG212)</f>
        <v>80</v>
      </c>
      <c r="DI212" s="1377">
        <v>-3</v>
      </c>
      <c r="DJ212" s="1379">
        <v>0</v>
      </c>
      <c r="DK212" s="1377">
        <v>-9</v>
      </c>
      <c r="DL212" s="1379">
        <v>0</v>
      </c>
      <c r="DM212" s="1381">
        <f>SUM(DI212:DL212)</f>
        <v>-12</v>
      </c>
      <c r="DN212" s="1379">
        <v>0</v>
      </c>
      <c r="DO212" s="1377">
        <v>-32</v>
      </c>
      <c r="DP212" s="1377">
        <v>-3</v>
      </c>
      <c r="DQ212" s="1377">
        <v>0</v>
      </c>
      <c r="DR212" s="1353">
        <f>SUM(DN212:DQ212)</f>
        <v>-35</v>
      </c>
      <c r="DS212" s="1471">
        <v>-131</v>
      </c>
      <c r="DT212" s="1379">
        <v>-4</v>
      </c>
      <c r="DU212" s="1557">
        <v>-307</v>
      </c>
      <c r="DV212" s="1379">
        <v>0</v>
      </c>
      <c r="DW212" s="1353">
        <f>SUM(DS212:DV212)</f>
        <v>-442</v>
      </c>
      <c r="DX212" s="1379">
        <v>0</v>
      </c>
      <c r="DY212" s="1379">
        <v>0</v>
      </c>
      <c r="DZ212" s="1379">
        <v>0</v>
      </c>
      <c r="EA212" s="1379">
        <v>0</v>
      </c>
      <c r="EB212" s="1381">
        <f>SUM(DX212:EA212)</f>
        <v>0</v>
      </c>
      <c r="EC212" s="1379">
        <v>0</v>
      </c>
      <c r="ED212" s="1379">
        <v>0</v>
      </c>
      <c r="EE212" s="1379">
        <v>0</v>
      </c>
      <c r="EF212" s="1379">
        <v>0</v>
      </c>
      <c r="EG212" s="1381">
        <f>SUM(EC212:EF212)</f>
        <v>0</v>
      </c>
      <c r="EH212" s="1379">
        <v>0</v>
      </c>
      <c r="EI212" s="1379">
        <v>0</v>
      </c>
      <c r="EJ212" s="1379">
        <v>0</v>
      </c>
      <c r="EK212" s="1379">
        <v>0</v>
      </c>
      <c r="EL212" s="1381">
        <f>SUM(EH212:EK212)</f>
        <v>0</v>
      </c>
    </row>
    <row r="213" spans="1:142">
      <c r="A213" s="225"/>
      <c r="B213" s="209" t="s">
        <v>299</v>
      </c>
      <c r="C213" s="211"/>
      <c r="D213" s="211"/>
      <c r="E213" s="162"/>
      <c r="F213" s="162"/>
      <c r="G213" s="162"/>
      <c r="H213" s="266"/>
      <c r="I213" s="146"/>
      <c r="J213" s="162"/>
      <c r="K213" s="162"/>
      <c r="L213" s="162"/>
      <c r="M213" s="266"/>
      <c r="N213" s="146"/>
      <c r="O213" s="162"/>
      <c r="P213" s="162"/>
      <c r="Q213" s="162"/>
      <c r="R213" s="266"/>
      <c r="S213" s="146"/>
      <c r="T213" s="162"/>
      <c r="U213" s="162"/>
      <c r="V213" s="162"/>
      <c r="W213" s="266"/>
      <c r="X213" s="146"/>
      <c r="Y213" s="162"/>
      <c r="Z213" s="162"/>
      <c r="AA213" s="162"/>
      <c r="AB213" s="266"/>
      <c r="AC213" s="146"/>
      <c r="AD213" s="162"/>
      <c r="AE213" s="162"/>
      <c r="AF213" s="162"/>
      <c r="AG213" s="266"/>
      <c r="AH213" s="146"/>
      <c r="AI213" s="162"/>
      <c r="AJ213" s="162"/>
      <c r="AK213" s="162"/>
      <c r="AL213" s="266"/>
      <c r="AM213" s="146"/>
      <c r="AN213" s="162"/>
      <c r="AO213" s="162"/>
      <c r="AP213" s="162"/>
      <c r="AQ213" s="266"/>
      <c r="AR213" s="146"/>
      <c r="AS213" s="162"/>
      <c r="AT213" s="162"/>
      <c r="AU213" s="230"/>
      <c r="AV213" s="146"/>
      <c r="AW213" s="162"/>
      <c r="AX213" s="162"/>
      <c r="AY213" s="162"/>
      <c r="AZ213" s="266"/>
      <c r="BA213" s="146"/>
      <c r="BB213" s="162"/>
      <c r="BC213" s="162"/>
      <c r="BD213" s="162"/>
      <c r="BE213" s="266"/>
      <c r="BF213" s="146"/>
      <c r="BG213" s="162"/>
      <c r="BH213" s="162"/>
      <c r="BI213" s="162"/>
      <c r="BJ213" s="266"/>
      <c r="BK213" s="146"/>
      <c r="BL213" s="162"/>
      <c r="BM213" s="162"/>
      <c r="BN213" s="162"/>
      <c r="BO213" s="266"/>
      <c r="BP213" s="146"/>
      <c r="BQ213" s="162"/>
      <c r="BR213" s="162"/>
      <c r="BS213" s="162"/>
      <c r="BT213" s="266"/>
      <c r="BU213" s="146"/>
      <c r="BV213" s="162"/>
      <c r="BW213" s="162"/>
      <c r="BX213" s="162"/>
      <c r="BY213" s="266"/>
      <c r="BZ213" s="146"/>
      <c r="CA213" s="162"/>
      <c r="CB213" s="162"/>
      <c r="CC213" s="162"/>
      <c r="CD213" s="266">
        <v>10</v>
      </c>
      <c r="CE213" s="166">
        <v>8</v>
      </c>
      <c r="CF213" s="166">
        <v>8</v>
      </c>
      <c r="CG213" s="166">
        <v>8</v>
      </c>
      <c r="CH213" s="166">
        <v>7</v>
      </c>
      <c r="CI213" s="170">
        <f>CH213</f>
        <v>7</v>
      </c>
      <c r="CJ213" s="166">
        <v>7</v>
      </c>
      <c r="CK213" s="166">
        <v>7</v>
      </c>
      <c r="CL213" s="166">
        <v>7</v>
      </c>
      <c r="CM213" s="166">
        <v>6</v>
      </c>
      <c r="CN213" s="170">
        <f>CM213</f>
        <v>6</v>
      </c>
      <c r="CO213" s="166">
        <v>8</v>
      </c>
      <c r="CP213" s="166">
        <v>20</v>
      </c>
      <c r="CQ213" s="166">
        <v>21</v>
      </c>
      <c r="CR213" s="166">
        <v>32</v>
      </c>
      <c r="CS213" s="170">
        <f>CR213</f>
        <v>32</v>
      </c>
      <c r="CT213" s="166">
        <v>49</v>
      </c>
      <c r="CU213" s="166">
        <v>60</v>
      </c>
      <c r="CV213" s="166">
        <v>85</v>
      </c>
      <c r="CW213" s="166">
        <v>119</v>
      </c>
      <c r="CX213" s="170">
        <f>CW213</f>
        <v>119</v>
      </c>
      <c r="CY213" s="166">
        <v>140</v>
      </c>
      <c r="CZ213" s="166">
        <v>177</v>
      </c>
      <c r="DA213" s="333">
        <v>188</v>
      </c>
      <c r="DB213" s="165">
        <v>407</v>
      </c>
      <c r="DC213" s="170">
        <f>DB213</f>
        <v>407</v>
      </c>
      <c r="DD213" s="166">
        <v>437</v>
      </c>
      <c r="DE213" s="269">
        <v>428</v>
      </c>
      <c r="DF213" s="269">
        <v>453</v>
      </c>
      <c r="DG213" s="165">
        <v>487</v>
      </c>
      <c r="DH213" s="170">
        <f>DG213</f>
        <v>487</v>
      </c>
      <c r="DI213" s="539">
        <f>SUM(DI210:DI212)</f>
        <v>484</v>
      </c>
      <c r="DJ213" s="539">
        <f>SUM(DJ210:DJ212)</f>
        <v>767</v>
      </c>
      <c r="DK213" s="539">
        <f>SUM(DK210:DK212)</f>
        <v>758</v>
      </c>
      <c r="DL213" s="539">
        <f>SUM(DL210:DL212)</f>
        <v>852</v>
      </c>
      <c r="DM213" s="540">
        <f>DL213</f>
        <v>852</v>
      </c>
      <c r="DN213" s="539">
        <f>SUM(DN210:DN212)</f>
        <v>853</v>
      </c>
      <c r="DO213" s="539">
        <f>SUM(DO210:DO212)</f>
        <v>821</v>
      </c>
      <c r="DP213" s="1401">
        <f>SUM(DP210:DP212)</f>
        <v>818</v>
      </c>
      <c r="DQ213" s="1401">
        <f>SUM(DQ210:DQ212)</f>
        <v>819</v>
      </c>
      <c r="DR213" s="1380">
        <f>DQ213</f>
        <v>819</v>
      </c>
      <c r="DS213" s="539">
        <f>SUM(DS210:DS212)</f>
        <v>688</v>
      </c>
      <c r="DT213" s="539">
        <f>SUM(DT210:DT212)</f>
        <v>684</v>
      </c>
      <c r="DU213" s="1401">
        <f>SUM(DU210:DU212)</f>
        <v>377</v>
      </c>
      <c r="DV213" s="1401">
        <f>SUM(DV210:DV212)</f>
        <v>431</v>
      </c>
      <c r="DW213" s="1380">
        <f>DV213</f>
        <v>431</v>
      </c>
      <c r="DX213" s="539">
        <f>SUM(DX210:DX212)</f>
        <v>431</v>
      </c>
      <c r="DY213" s="539">
        <f>SUM(DY210:DY212)</f>
        <v>431</v>
      </c>
      <c r="DZ213" s="1401">
        <f>SUM(DZ210:DZ212)</f>
        <v>431</v>
      </c>
      <c r="EA213" s="1401">
        <f>SUM(EA210:EA212)</f>
        <v>431</v>
      </c>
      <c r="EB213" s="1380">
        <f>EA213</f>
        <v>431</v>
      </c>
      <c r="EC213" s="539">
        <f>SUM(EC210:EC212)</f>
        <v>431</v>
      </c>
      <c r="ED213" s="539">
        <f>SUM(ED210:ED212)</f>
        <v>431</v>
      </c>
      <c r="EE213" s="1401">
        <f>SUM(EE210:EE212)</f>
        <v>431</v>
      </c>
      <c r="EF213" s="1401">
        <f>SUM(EF210:EF212)</f>
        <v>431</v>
      </c>
      <c r="EG213" s="1380">
        <f>EF213</f>
        <v>431</v>
      </c>
      <c r="EH213" s="539">
        <f>SUM(EH210:EH212)</f>
        <v>431</v>
      </c>
      <c r="EI213" s="539">
        <f>SUM(EI210:EI212)</f>
        <v>431</v>
      </c>
      <c r="EJ213" s="1401">
        <f>SUM(EJ210:EJ212)</f>
        <v>431</v>
      </c>
      <c r="EK213" s="1401">
        <f>SUM(EK210:EK212)</f>
        <v>431</v>
      </c>
      <c r="EL213" s="1380">
        <f>EK213</f>
        <v>431</v>
      </c>
    </row>
    <row r="214" spans="1:142">
      <c r="A214" s="225"/>
      <c r="B214" s="214" t="s">
        <v>300</v>
      </c>
      <c r="C214" s="215"/>
      <c r="D214" s="215"/>
      <c r="E214" s="215"/>
      <c r="F214" s="275"/>
      <c r="G214" s="215"/>
      <c r="H214" s="263"/>
      <c r="I214" s="215"/>
      <c r="J214" s="215"/>
      <c r="K214" s="275"/>
      <c r="L214" s="215"/>
      <c r="M214" s="263"/>
      <c r="N214" s="215"/>
      <c r="O214" s="215"/>
      <c r="P214" s="275"/>
      <c r="Q214" s="215"/>
      <c r="R214" s="263"/>
      <c r="S214" s="215"/>
      <c r="T214" s="215"/>
      <c r="U214" s="275"/>
      <c r="V214" s="215"/>
      <c r="W214" s="263"/>
      <c r="X214" s="215"/>
      <c r="Y214" s="215"/>
      <c r="Z214" s="275"/>
      <c r="AA214" s="215"/>
      <c r="AB214" s="263"/>
      <c r="AC214" s="215"/>
      <c r="AD214" s="215"/>
      <c r="AE214" s="275"/>
      <c r="AF214" s="215"/>
      <c r="AG214" s="263"/>
      <c r="AH214" s="215"/>
      <c r="AI214" s="215"/>
      <c r="AJ214" s="275"/>
      <c r="AK214" s="215"/>
      <c r="AL214" s="263"/>
      <c r="AM214" s="215"/>
      <c r="AN214" s="215"/>
      <c r="AO214" s="275"/>
      <c r="AP214" s="215"/>
      <c r="AQ214" s="263"/>
      <c r="AR214" s="215"/>
      <c r="AS214" s="215"/>
      <c r="AT214" s="275"/>
      <c r="AU214" s="186"/>
      <c r="AV214" s="215"/>
      <c r="AW214" s="215"/>
      <c r="AX214" s="275"/>
      <c r="AY214" s="215"/>
      <c r="AZ214" s="263"/>
      <c r="BA214" s="215"/>
      <c r="BB214" s="215"/>
      <c r="BC214" s="275"/>
      <c r="BD214" s="215"/>
      <c r="BE214" s="263"/>
      <c r="BF214" s="215"/>
      <c r="BG214" s="215"/>
      <c r="BH214" s="275"/>
      <c r="BI214" s="215"/>
      <c r="BJ214" s="263"/>
      <c r="BK214" s="215"/>
      <c r="BL214" s="215"/>
      <c r="BM214" s="275"/>
      <c r="BN214" s="215"/>
      <c r="BO214" s="263"/>
      <c r="BP214" s="215"/>
      <c r="BQ214" s="215"/>
      <c r="BR214" s="275"/>
      <c r="BS214" s="215"/>
      <c r="BT214" s="263"/>
      <c r="BU214" s="215"/>
      <c r="BV214" s="215"/>
      <c r="BW214" s="275"/>
      <c r="BX214" s="215"/>
      <c r="BY214" s="263"/>
      <c r="BZ214" s="215"/>
      <c r="CA214" s="215"/>
      <c r="CB214" s="275"/>
      <c r="CC214" s="215"/>
      <c r="CD214" s="263"/>
      <c r="CE214" s="276">
        <f>CE209/4*AVERAGE(CE213,CE210)</f>
        <v>4.4999999999999998E-2</v>
      </c>
      <c r="CF214" s="276">
        <f>CF209/4*AVERAGE(CF213,CF210)</f>
        <v>0.04</v>
      </c>
      <c r="CG214" s="276">
        <f>CG209/4*AVERAGE(CG213,CG210)</f>
        <v>0.04</v>
      </c>
      <c r="CH214" s="276">
        <f>CH209/4*AVERAGE(CH213,CH210)</f>
        <v>3.7499999999999999E-2</v>
      </c>
      <c r="CI214" s="263">
        <f>SUM(CE214:CH214)</f>
        <v>0.16250000000000001</v>
      </c>
      <c r="CJ214" s="276">
        <f>CJ209/4*AVERAGE(CJ213,CJ210)</f>
        <v>3.5000000000000003E-2</v>
      </c>
      <c r="CK214" s="276">
        <f>CK209/4*AVERAGE(CK213,CK210)</f>
        <v>3.5000000000000003E-2</v>
      </c>
      <c r="CL214" s="276">
        <f>CL209/4*AVERAGE(CL213,CL210)</f>
        <v>3.5000000000000003E-2</v>
      </c>
      <c r="CM214" s="276">
        <f>CM209/4*AVERAGE(CM213,CM210)</f>
        <v>3.2500000000000001E-2</v>
      </c>
      <c r="CN214" s="263">
        <f>SUM(CJ214:CM214)</f>
        <v>0.13750000000000001</v>
      </c>
      <c r="CO214" s="276">
        <f>CO209/4*AVERAGE(CO213,CO210)</f>
        <v>3.5000000000000003E-2</v>
      </c>
      <c r="CP214" s="276">
        <f>CP209/4*AVERAGE(CP213,CP210)</f>
        <v>7.0000000000000007E-2</v>
      </c>
      <c r="CQ214" s="276">
        <f>CQ209/4*AVERAGE(CQ213,CQ210)</f>
        <v>0.10250000000000001</v>
      </c>
      <c r="CR214" s="276">
        <f>CR209/4*AVERAGE(CR213,CR210)</f>
        <v>0.13250000000000001</v>
      </c>
      <c r="CS214" s="263">
        <f>SUM(CO214:CR214)</f>
        <v>0.34</v>
      </c>
      <c r="CT214" s="276">
        <f>CT209/4*AVERAGE(CT213,CT210)</f>
        <v>0.20250000000000001</v>
      </c>
      <c r="CU214" s="276">
        <f>CU209/4*AVERAGE(CU213,CU210)</f>
        <v>0.27250000000000002</v>
      </c>
      <c r="CV214" s="276">
        <f>CV209/4*AVERAGE(CV213,CV210)</f>
        <v>0.36249999999999999</v>
      </c>
      <c r="CW214" s="276">
        <f>CW209/4*AVERAGE(CW213,CW210)</f>
        <v>0.51</v>
      </c>
      <c r="CX214" s="263">
        <f>SUM(CT214:CW214)</f>
        <v>1.3475000000000001</v>
      </c>
      <c r="CY214" s="276">
        <f>CY209/4*AVERAGE(CY213,CY210)</f>
        <v>0.64749999999999996</v>
      </c>
      <c r="CZ214" s="276">
        <f>CZ209/4*AVERAGE(CZ213,CZ210)</f>
        <v>0.79249999999999998</v>
      </c>
      <c r="DA214" s="276">
        <f>DA209/4*AVERAGE(DA213,DA210)</f>
        <v>0.91249999999999998</v>
      </c>
      <c r="DB214" s="276">
        <f>DB209/4*AVERAGE(DB213,DB210)</f>
        <v>1.4875</v>
      </c>
      <c r="DC214" s="263">
        <f>SUM(CY214:DB214)</f>
        <v>3.84</v>
      </c>
      <c r="DD214" s="276">
        <f>DD209/4*AVERAGE(DD213,DD210)</f>
        <v>2.11</v>
      </c>
      <c r="DE214" s="276">
        <f>DE209/4*AVERAGE(DE213,DE210)</f>
        <v>2.1625000000000001</v>
      </c>
      <c r="DF214" s="276">
        <f>DF209/4*AVERAGE(DF213,DF210)</f>
        <v>2.2025000000000001</v>
      </c>
      <c r="DG214" s="276">
        <f>DG209/4*AVERAGE(DG213,DG210)</f>
        <v>2.35</v>
      </c>
      <c r="DH214" s="263">
        <f>SUM(DD214:DG214)</f>
        <v>8.8249999999999993</v>
      </c>
      <c r="DI214" s="1342">
        <f>DI209/4*AVERAGE(DI213,DI210)</f>
        <v>12.137500000000001</v>
      </c>
      <c r="DJ214" s="1342">
        <f>DJ209/4*AVERAGE(DJ213,DJ210)</f>
        <v>15.637500000000001</v>
      </c>
      <c r="DK214" s="1342">
        <f>DK209/4*AVERAGE(DK213,DK210)</f>
        <v>19.0625</v>
      </c>
      <c r="DL214" s="1342">
        <f>DL209/4*AVERAGE(DL213,DL210)</f>
        <v>20.125</v>
      </c>
      <c r="DM214" s="1353">
        <f>SUM(DI214:DL214)</f>
        <v>66.962500000000006</v>
      </c>
      <c r="DN214" s="1342">
        <f>DN209/4*AVERAGE(DN213,DN210)</f>
        <v>21.3125</v>
      </c>
      <c r="DO214" s="1342">
        <f>DO209/4*AVERAGE(DO213,DO210)</f>
        <v>20.925000000000001</v>
      </c>
      <c r="DP214" s="1342">
        <f>DP209/4*AVERAGE(DP213,DP210)</f>
        <v>20.487500000000001</v>
      </c>
      <c r="DQ214" s="1342">
        <f>DQ209/4*AVERAGE(DQ213,DQ210)</f>
        <v>20.462500000000002</v>
      </c>
      <c r="DR214" s="1353">
        <f>SUM(DN214:DQ214)</f>
        <v>83.1875</v>
      </c>
      <c r="DS214" s="1342">
        <f>DS209/4*AVERAGE(DS213,DS210)</f>
        <v>18.837500000000002</v>
      </c>
      <c r="DT214" s="1342">
        <f>DT209/4*AVERAGE(DT213,DT210)</f>
        <v>17.150000000000002</v>
      </c>
      <c r="DU214" s="1342">
        <f>DU209/4*AVERAGE(DU213,DU210)</f>
        <v>13.262500000000001</v>
      </c>
      <c r="DV214" s="1342">
        <f>DV209/4*AVERAGE(DV213,DV210)</f>
        <v>10.100000000000001</v>
      </c>
      <c r="DW214" s="1353">
        <f>SUM(DS214:DV214)</f>
        <v>59.350000000000009</v>
      </c>
      <c r="DX214" s="1342">
        <f>DX209/4*AVERAGE(DX213,DX210)</f>
        <v>10.775</v>
      </c>
      <c r="DY214" s="1342">
        <f>DY209/4*AVERAGE(DY213,DY210)</f>
        <v>10.775</v>
      </c>
      <c r="DZ214" s="1342">
        <f>DZ209/4*AVERAGE(DZ213,DZ210)</f>
        <v>10.775</v>
      </c>
      <c r="EA214" s="1342">
        <f>EA209/4*AVERAGE(EA213,EA210)</f>
        <v>10.775</v>
      </c>
      <c r="EB214" s="1353">
        <f>SUM(DX214:EA214)</f>
        <v>43.1</v>
      </c>
      <c r="EC214" s="1342">
        <f>EC209/4*AVERAGE(EC213,EC210)</f>
        <v>10.775</v>
      </c>
      <c r="ED214" s="1342">
        <f>ED209/4*AVERAGE(ED213,ED210)</f>
        <v>10.775</v>
      </c>
      <c r="EE214" s="1342">
        <f>EE209/4*AVERAGE(EE213,EE210)</f>
        <v>10.775</v>
      </c>
      <c r="EF214" s="1342">
        <f>EF209/4*AVERAGE(EF213,EF210)</f>
        <v>10.775</v>
      </c>
      <c r="EG214" s="1353">
        <f>SUM(EC214:EF214)</f>
        <v>43.1</v>
      </c>
      <c r="EH214" s="1342">
        <f>EH209/4*AVERAGE(EH213,EH210)</f>
        <v>10.775</v>
      </c>
      <c r="EI214" s="1342">
        <f>EI209/4*AVERAGE(EI213,EI210)</f>
        <v>10.775</v>
      </c>
      <c r="EJ214" s="1342">
        <f>EJ209/4*AVERAGE(EJ213,EJ210)</f>
        <v>10.775</v>
      </c>
      <c r="EK214" s="1342">
        <f>EK209/4*AVERAGE(EK213,EK210)</f>
        <v>10.775</v>
      </c>
      <c r="EL214" s="1353">
        <f>SUM(EH214:EK214)</f>
        <v>43.1</v>
      </c>
    </row>
    <row r="215" spans="1:142">
      <c r="A215" s="9"/>
      <c r="B215" s="9"/>
      <c r="C215" s="54"/>
      <c r="D215" s="54"/>
      <c r="E215" s="54"/>
      <c r="F215" s="54"/>
      <c r="G215" s="54"/>
      <c r="H215" s="33"/>
      <c r="I215" s="54"/>
      <c r="J215" s="54"/>
      <c r="K215" s="54"/>
      <c r="L215" s="54"/>
      <c r="M215" s="33"/>
      <c r="N215" s="54"/>
      <c r="O215" s="54"/>
      <c r="P215" s="54"/>
      <c r="Q215" s="54"/>
      <c r="R215" s="33"/>
      <c r="S215" s="54"/>
      <c r="T215" s="54"/>
      <c r="U215" s="54"/>
      <c r="V215" s="54"/>
      <c r="W215" s="33"/>
      <c r="X215" s="54"/>
      <c r="Y215" s="54"/>
      <c r="Z215" s="54"/>
      <c r="AA215" s="54"/>
      <c r="AB215" s="33"/>
      <c r="AC215" s="54"/>
      <c r="AD215" s="54"/>
      <c r="AE215" s="54"/>
      <c r="AF215" s="54"/>
      <c r="AG215" s="33"/>
      <c r="AH215" s="54"/>
      <c r="AI215" s="54"/>
      <c r="AJ215" s="54"/>
      <c r="AK215" s="54"/>
      <c r="AL215" s="33"/>
      <c r="AM215" s="54"/>
      <c r="AN215" s="54"/>
      <c r="AO215" s="54"/>
      <c r="AP215" s="54"/>
      <c r="AQ215" s="33"/>
      <c r="AR215" s="54"/>
      <c r="AS215" s="54"/>
      <c r="AT215" s="54"/>
      <c r="AU215" s="186"/>
      <c r="AV215" s="54"/>
      <c r="AW215" s="54"/>
      <c r="AX215" s="54"/>
      <c r="AY215" s="54"/>
      <c r="AZ215" s="33"/>
      <c r="BA215" s="54"/>
      <c r="BB215" s="54"/>
      <c r="BC215" s="54"/>
      <c r="BD215" s="54"/>
      <c r="BE215" s="33"/>
      <c r="BF215" s="54"/>
      <c r="BG215" s="54"/>
      <c r="BH215" s="54"/>
      <c r="BI215" s="54"/>
      <c r="BJ215" s="33"/>
      <c r="BK215" s="54"/>
      <c r="BL215" s="54"/>
      <c r="BM215" s="54"/>
      <c r="BN215" s="54"/>
      <c r="BO215" s="33"/>
      <c r="BP215" s="54"/>
      <c r="BQ215" s="54"/>
      <c r="BR215" s="54"/>
      <c r="BS215" s="54"/>
      <c r="BT215" s="33"/>
      <c r="BU215" s="54"/>
      <c r="BV215" s="54"/>
      <c r="BW215" s="54"/>
      <c r="BX215" s="54"/>
      <c r="BY215" s="33"/>
      <c r="BZ215" s="54"/>
      <c r="CA215" s="54"/>
      <c r="CB215" s="54"/>
      <c r="CC215" s="54"/>
      <c r="CD215" s="33"/>
      <c r="CE215" s="62"/>
      <c r="CF215" s="62"/>
      <c r="CG215" s="62"/>
      <c r="CH215" s="62"/>
      <c r="CI215" s="28"/>
      <c r="CJ215" s="54"/>
      <c r="CK215" s="54"/>
      <c r="CL215" s="54"/>
      <c r="CM215" s="54"/>
      <c r="CN215" s="28"/>
      <c r="CO215" s="54"/>
      <c r="CP215" s="54"/>
      <c r="CQ215" s="54"/>
      <c r="CR215" s="54"/>
      <c r="CS215" s="28"/>
      <c r="CT215" s="62"/>
      <c r="CU215" s="62"/>
      <c r="CV215" s="62"/>
      <c r="CW215" s="62"/>
      <c r="CX215" s="28"/>
      <c r="CY215" s="53"/>
      <c r="CZ215" s="53"/>
      <c r="DA215" s="53"/>
      <c r="DB215" s="53"/>
      <c r="DC215" s="28"/>
      <c r="DD215" s="53"/>
      <c r="DE215" s="53"/>
      <c r="DF215" s="53"/>
      <c r="DG215" s="53"/>
      <c r="DH215" s="28"/>
      <c r="DI215" s="545"/>
      <c r="DJ215" s="545"/>
      <c r="DK215" s="545"/>
      <c r="DL215" s="545"/>
      <c r="DM215" s="545"/>
      <c r="DN215" s="545"/>
      <c r="DO215" s="545"/>
      <c r="DP215" s="545"/>
      <c r="DQ215" s="545"/>
      <c r="DR215" s="545"/>
      <c r="DS215" s="545"/>
      <c r="DT215" s="545"/>
      <c r="DU215" s="545"/>
      <c r="DV215" s="545"/>
      <c r="DW215" s="545"/>
      <c r="DX215" s="545"/>
      <c r="DY215" s="545"/>
      <c r="DZ215" s="545"/>
      <c r="EA215" s="545"/>
      <c r="EB215" s="545"/>
      <c r="EC215" s="545"/>
      <c r="ED215" s="545"/>
      <c r="EE215" s="545"/>
      <c r="EF215" s="545"/>
      <c r="EG215" s="545"/>
      <c r="EH215" s="545"/>
      <c r="EI215" s="545"/>
      <c r="EJ215" s="545"/>
      <c r="EK215" s="545"/>
      <c r="EL215" s="545"/>
    </row>
    <row r="216" spans="1:142">
      <c r="A216" s="1327"/>
      <c r="B216" s="242" t="s">
        <v>314</v>
      </c>
      <c r="C216" s="228"/>
      <c r="D216" s="228"/>
      <c r="E216" s="228"/>
      <c r="F216" s="228"/>
      <c r="G216" s="228"/>
      <c r="H216" s="229"/>
      <c r="I216" s="228"/>
      <c r="J216" s="228"/>
      <c r="K216" s="228"/>
      <c r="L216" s="228"/>
      <c r="M216" s="229"/>
      <c r="N216" s="228"/>
      <c r="O216" s="228"/>
      <c r="P216" s="228"/>
      <c r="Q216" s="228"/>
      <c r="R216" s="229"/>
      <c r="S216" s="228"/>
      <c r="T216" s="228"/>
      <c r="U216" s="228"/>
      <c r="V216" s="228"/>
      <c r="W216" s="229"/>
      <c r="X216" s="228"/>
      <c r="Y216" s="228"/>
      <c r="Z216" s="228"/>
      <c r="AA216" s="228"/>
      <c r="AB216" s="229"/>
      <c r="AC216" s="228"/>
      <c r="AD216" s="228"/>
      <c r="AE216" s="228"/>
      <c r="AF216" s="228"/>
      <c r="AG216" s="229"/>
      <c r="AH216" s="228"/>
      <c r="AI216" s="228"/>
      <c r="AJ216" s="228"/>
      <c r="AK216" s="228"/>
      <c r="AL216" s="229"/>
      <c r="AM216" s="228"/>
      <c r="AN216" s="228"/>
      <c r="AO216" s="228"/>
      <c r="AP216" s="228"/>
      <c r="AQ216" s="229"/>
      <c r="AR216" s="228"/>
      <c r="AS216" s="228"/>
      <c r="AT216" s="228"/>
      <c r="AU216" s="230"/>
      <c r="AV216" s="228"/>
      <c r="AW216" s="228"/>
      <c r="AX216" s="228"/>
      <c r="AY216" s="228"/>
      <c r="AZ216" s="229"/>
      <c r="BA216" s="228"/>
      <c r="BB216" s="228"/>
      <c r="BC216" s="228"/>
      <c r="BD216" s="228"/>
      <c r="BE216" s="229"/>
      <c r="BF216" s="228"/>
      <c r="BG216" s="228"/>
      <c r="BH216" s="228"/>
      <c r="BI216" s="228"/>
      <c r="BJ216" s="229"/>
      <c r="BK216" s="228"/>
      <c r="BL216" s="228"/>
      <c r="BM216" s="228"/>
      <c r="BN216" s="228"/>
      <c r="BO216" s="229"/>
      <c r="BP216" s="228"/>
      <c r="BQ216" s="228"/>
      <c r="BR216" s="228"/>
      <c r="BS216" s="228"/>
      <c r="BT216" s="229"/>
      <c r="BU216" s="228"/>
      <c r="BV216" s="228"/>
      <c r="BW216" s="228"/>
      <c r="BX216" s="228"/>
      <c r="BY216" s="229"/>
      <c r="BZ216" s="228"/>
      <c r="CA216" s="228"/>
      <c r="CB216" s="228"/>
      <c r="CC216" s="228"/>
      <c r="CD216" s="229"/>
      <c r="CE216" s="228"/>
      <c r="CF216" s="228"/>
      <c r="CG216" s="228"/>
      <c r="CH216" s="228"/>
      <c r="CI216" s="229"/>
      <c r="CJ216" s="228"/>
      <c r="CK216" s="228"/>
      <c r="CL216" s="228"/>
      <c r="CM216" s="228"/>
      <c r="CN216" s="229"/>
      <c r="CO216" s="228"/>
      <c r="CP216" s="228"/>
      <c r="CQ216" s="228"/>
      <c r="CR216" s="228"/>
      <c r="CS216" s="229"/>
      <c r="CT216" s="228"/>
      <c r="CU216" s="228"/>
      <c r="CV216" s="228"/>
      <c r="CW216" s="228"/>
      <c r="CX216" s="229"/>
      <c r="CY216" s="228"/>
      <c r="CZ216" s="228"/>
      <c r="DA216" s="228"/>
      <c r="DB216" s="228"/>
      <c r="DC216" s="229"/>
      <c r="DD216" s="228"/>
      <c r="DE216" s="228"/>
      <c r="DF216" s="228"/>
      <c r="DG216" s="228"/>
      <c r="DH216" s="229"/>
      <c r="DI216" s="1411"/>
      <c r="DJ216" s="1411"/>
      <c r="DK216" s="1412"/>
      <c r="DL216" s="1411"/>
      <c r="DM216" s="1413"/>
      <c r="DN216" s="1411"/>
      <c r="DO216" s="1411"/>
      <c r="DP216" s="1411"/>
      <c r="DQ216" s="1411"/>
      <c r="DR216" s="1413"/>
      <c r="DS216" s="1411"/>
      <c r="DT216" s="1411"/>
      <c r="DU216" s="1411"/>
      <c r="DV216" s="1411"/>
      <c r="DW216" s="1413"/>
      <c r="DX216" s="1411"/>
      <c r="DY216" s="1411"/>
      <c r="DZ216" s="1411"/>
      <c r="EA216" s="1411"/>
      <c r="EB216" s="1413"/>
      <c r="EC216" s="1411"/>
      <c r="ED216" s="1411"/>
      <c r="EE216" s="1411"/>
      <c r="EF216" s="1411"/>
      <c r="EG216" s="1413"/>
      <c r="EH216" s="1411"/>
      <c r="EI216" s="1411"/>
      <c r="EJ216" s="1411"/>
      <c r="EK216" s="1411"/>
      <c r="EL216" s="1413"/>
    </row>
    <row r="217" spans="1:142">
      <c r="A217" s="225"/>
      <c r="B217" s="209" t="s">
        <v>299</v>
      </c>
      <c r="C217" s="211"/>
      <c r="D217" s="211"/>
      <c r="E217" s="162"/>
      <c r="F217" s="162"/>
      <c r="G217" s="162"/>
      <c r="H217" s="172"/>
      <c r="I217" s="146"/>
      <c r="J217" s="162"/>
      <c r="K217" s="162"/>
      <c r="L217" s="162"/>
      <c r="M217" s="172"/>
      <c r="N217" s="146"/>
      <c r="O217" s="162"/>
      <c r="P217" s="162"/>
      <c r="Q217" s="162"/>
      <c r="R217" s="172"/>
      <c r="S217" s="146"/>
      <c r="T217" s="162"/>
      <c r="U217" s="162"/>
      <c r="V217" s="162"/>
      <c r="W217" s="172"/>
      <c r="X217" s="146"/>
      <c r="Y217" s="162"/>
      <c r="Z217" s="162"/>
      <c r="AA217" s="162"/>
      <c r="AB217" s="172"/>
      <c r="AC217" s="146"/>
      <c r="AD217" s="162"/>
      <c r="AE217" s="162"/>
      <c r="AF217" s="162"/>
      <c r="AG217" s="172"/>
      <c r="AH217" s="146"/>
      <c r="AI217" s="162"/>
      <c r="AJ217" s="162"/>
      <c r="AK217" s="162"/>
      <c r="AL217" s="172"/>
      <c r="AM217" s="146"/>
      <c r="AN217" s="162"/>
      <c r="AO217" s="162"/>
      <c r="AP217" s="162"/>
      <c r="AQ217" s="172"/>
      <c r="AR217" s="146"/>
      <c r="AS217" s="162"/>
      <c r="AT217" s="162"/>
      <c r="AU217" s="186"/>
      <c r="AV217" s="146"/>
      <c r="AW217" s="162"/>
      <c r="AX217" s="162"/>
      <c r="AY217" s="162"/>
      <c r="AZ217" s="172"/>
      <c r="BA217" s="146"/>
      <c r="BB217" s="162"/>
      <c r="BC217" s="162"/>
      <c r="BD217" s="162"/>
      <c r="BE217" s="172"/>
      <c r="BF217" s="146"/>
      <c r="BG217" s="162"/>
      <c r="BH217" s="162"/>
      <c r="BI217" s="162"/>
      <c r="BJ217" s="172"/>
      <c r="BK217" s="146"/>
      <c r="BL217" s="162"/>
      <c r="BM217" s="162"/>
      <c r="BN217" s="162"/>
      <c r="BO217" s="172"/>
      <c r="BP217" s="146"/>
      <c r="BQ217" s="162"/>
      <c r="BR217" s="162"/>
      <c r="BS217" s="162"/>
      <c r="BT217" s="172"/>
      <c r="BU217" s="146"/>
      <c r="BV217" s="162"/>
      <c r="BW217" s="162"/>
      <c r="BX217" s="162"/>
      <c r="BY217" s="172"/>
      <c r="BZ217" s="146"/>
      <c r="CA217" s="162"/>
      <c r="CB217" s="162"/>
      <c r="CC217" s="162"/>
      <c r="CD217" s="172">
        <v>-80</v>
      </c>
      <c r="CE217" s="27">
        <v>-217</v>
      </c>
      <c r="CF217" s="27">
        <v>-242</v>
      </c>
      <c r="CG217" s="27">
        <v>-232</v>
      </c>
      <c r="CH217" s="27">
        <v>-227</v>
      </c>
      <c r="CI217" s="47">
        <f>CH217</f>
        <v>-227</v>
      </c>
      <c r="CJ217" s="27">
        <v>-222</v>
      </c>
      <c r="CK217" s="27">
        <v>-217</v>
      </c>
      <c r="CL217" s="27">
        <v>-203</v>
      </c>
      <c r="CM217" s="27">
        <v>-197</v>
      </c>
      <c r="CN217" s="47">
        <f>CM217</f>
        <v>-197</v>
      </c>
      <c r="CO217" s="27">
        <v>-192</v>
      </c>
      <c r="CP217" s="27">
        <v>-186</v>
      </c>
      <c r="CQ217" s="27">
        <v>-181</v>
      </c>
      <c r="CR217" s="27">
        <v>-129</v>
      </c>
      <c r="CS217" s="47">
        <f>CR217</f>
        <v>-129</v>
      </c>
      <c r="CT217" s="27">
        <v>-126</v>
      </c>
      <c r="CU217" s="27">
        <v>-122</v>
      </c>
      <c r="CV217" s="27">
        <v>-119</v>
      </c>
      <c r="CW217" s="27">
        <v>-116</v>
      </c>
      <c r="CX217" s="47">
        <f>CW217</f>
        <v>-116</v>
      </c>
      <c r="CY217" s="27">
        <v>-63</v>
      </c>
      <c r="CZ217" s="27">
        <v>-30</v>
      </c>
      <c r="DA217" s="339">
        <v>-30</v>
      </c>
      <c r="DB217" s="340">
        <v>-28</v>
      </c>
      <c r="DC217" s="47">
        <f>DB217</f>
        <v>-28</v>
      </c>
      <c r="DD217" s="27">
        <v>-28</v>
      </c>
      <c r="DE217" s="283">
        <v>-19</v>
      </c>
      <c r="DF217" s="283">
        <v>-21</v>
      </c>
      <c r="DG217" s="340">
        <v>-21</v>
      </c>
      <c r="DH217" s="47">
        <f>DG217</f>
        <v>-21</v>
      </c>
      <c r="DI217" s="1396">
        <v>-21</v>
      </c>
      <c r="DJ217" s="1396">
        <v>-34</v>
      </c>
      <c r="DK217" s="1414">
        <v>-35</v>
      </c>
      <c r="DL217" s="1396">
        <v>-263</v>
      </c>
      <c r="DM217" s="540">
        <f>DL217</f>
        <v>-263</v>
      </c>
      <c r="DN217" s="1396">
        <v>-252</v>
      </c>
      <c r="DO217" s="1396">
        <v>-241</v>
      </c>
      <c r="DP217" s="1396">
        <v>-232</v>
      </c>
      <c r="DQ217" s="1396">
        <v>-235</v>
      </c>
      <c r="DR217" s="540">
        <f>DQ217</f>
        <v>-235</v>
      </c>
      <c r="DS217" s="1469">
        <v>-225</v>
      </c>
      <c r="DT217" s="1469">
        <v>-211</v>
      </c>
      <c r="DU217" s="1469">
        <v>-241</v>
      </c>
      <c r="DV217" s="1469">
        <f>DU217+DV218</f>
        <v>-231</v>
      </c>
      <c r="DW217" s="540">
        <f>DV217</f>
        <v>-231</v>
      </c>
      <c r="DX217" s="539">
        <f>DW217+DX218</f>
        <v>-231</v>
      </c>
      <c r="DY217" s="539">
        <f>DX217+DY218</f>
        <v>-231</v>
      </c>
      <c r="DZ217" s="539">
        <f>DY217+DZ218</f>
        <v>-231</v>
      </c>
      <c r="EA217" s="539">
        <f>DZ217+EA218</f>
        <v>-231</v>
      </c>
      <c r="EB217" s="540">
        <f>EA217</f>
        <v>-231</v>
      </c>
      <c r="EC217" s="539">
        <f>EB217+EC218</f>
        <v>-231</v>
      </c>
      <c r="ED217" s="539">
        <f>EC217+ED218</f>
        <v>-231</v>
      </c>
      <c r="EE217" s="539">
        <f>ED217+EE218</f>
        <v>-231</v>
      </c>
      <c r="EF217" s="539">
        <f>EE217+EF218</f>
        <v>-231</v>
      </c>
      <c r="EG217" s="540">
        <f>EF217</f>
        <v>-231</v>
      </c>
      <c r="EH217" s="539">
        <f>EG217+EH218</f>
        <v>-231</v>
      </c>
      <c r="EI217" s="539">
        <f>EH217+EI218</f>
        <v>-231</v>
      </c>
      <c r="EJ217" s="539">
        <f>EI217+EJ218</f>
        <v>-231</v>
      </c>
      <c r="EK217" s="539">
        <f>EJ217+EK218</f>
        <v>-231</v>
      </c>
      <c r="EL217" s="540">
        <f>EK217</f>
        <v>-231</v>
      </c>
    </row>
    <row r="218" spans="1:142">
      <c r="A218" s="225"/>
      <c r="B218" s="214" t="s">
        <v>315</v>
      </c>
      <c r="C218" s="48"/>
      <c r="D218" s="48"/>
      <c r="E218" s="48"/>
      <c r="F218" s="262"/>
      <c r="G218" s="48"/>
      <c r="H218" s="64"/>
      <c r="I218" s="48"/>
      <c r="J218" s="48"/>
      <c r="K218" s="262"/>
      <c r="L218" s="48"/>
      <c r="M218" s="64"/>
      <c r="N218" s="48"/>
      <c r="O218" s="48"/>
      <c r="P218" s="262"/>
      <c r="Q218" s="48"/>
      <c r="R218" s="64"/>
      <c r="S218" s="48"/>
      <c r="T218" s="48"/>
      <c r="U218" s="262"/>
      <c r="V218" s="48"/>
      <c r="W218" s="64"/>
      <c r="X218" s="48"/>
      <c r="Y218" s="48"/>
      <c r="Z218" s="262"/>
      <c r="AA218" s="48"/>
      <c r="AB218" s="64"/>
      <c r="AC218" s="48"/>
      <c r="AD218" s="48"/>
      <c r="AE218" s="262"/>
      <c r="AF218" s="48"/>
      <c r="AG218" s="64"/>
      <c r="AH218" s="48"/>
      <c r="AI218" s="48"/>
      <c r="AJ218" s="262"/>
      <c r="AK218" s="48"/>
      <c r="AL218" s="64"/>
      <c r="AM218" s="48"/>
      <c r="AN218" s="48"/>
      <c r="AO218" s="262"/>
      <c r="AP218" s="48"/>
      <c r="AQ218" s="64"/>
      <c r="AR218" s="48"/>
      <c r="AS218" s="48"/>
      <c r="AT218" s="262"/>
      <c r="AU218" s="217"/>
      <c r="AV218" s="48"/>
      <c r="AW218" s="48"/>
      <c r="AX218" s="262"/>
      <c r="AY218" s="48"/>
      <c r="AZ218" s="64"/>
      <c r="BA218" s="48"/>
      <c r="BB218" s="48"/>
      <c r="BC218" s="262"/>
      <c r="BD218" s="48"/>
      <c r="BE218" s="64"/>
      <c r="BF218" s="48"/>
      <c r="BG218" s="48"/>
      <c r="BH218" s="262"/>
      <c r="BI218" s="48"/>
      <c r="BJ218" s="64"/>
      <c r="BK218" s="48"/>
      <c r="BL218" s="48"/>
      <c r="BM218" s="262"/>
      <c r="BN218" s="48"/>
      <c r="BO218" s="64"/>
      <c r="BP218" s="48"/>
      <c r="BQ218" s="48"/>
      <c r="BR218" s="262"/>
      <c r="BS218" s="48"/>
      <c r="BT218" s="64"/>
      <c r="BU218" s="48"/>
      <c r="BV218" s="48"/>
      <c r="BW218" s="262"/>
      <c r="BX218" s="48"/>
      <c r="BY218" s="64"/>
      <c r="BZ218" s="48"/>
      <c r="CA218" s="48"/>
      <c r="CB218" s="262"/>
      <c r="CC218" s="48"/>
      <c r="CD218" s="64"/>
      <c r="CE218" s="280">
        <f>CE217-CD217</f>
        <v>-137</v>
      </c>
      <c r="CF218" s="280">
        <f>CF217-CE217</f>
        <v>-25</v>
      </c>
      <c r="CG218" s="280">
        <f>CG217-CF217</f>
        <v>10</v>
      </c>
      <c r="CH218" s="280">
        <f>CH217-CG217</f>
        <v>5</v>
      </c>
      <c r="CI218" s="281">
        <f>SUM(CE218:CH218)</f>
        <v>-147</v>
      </c>
      <c r="CJ218" s="280">
        <f>CJ217-CI217</f>
        <v>5</v>
      </c>
      <c r="CK218" s="280">
        <f>CK217-CJ217</f>
        <v>5</v>
      </c>
      <c r="CL218" s="280">
        <f>CL217-CK217</f>
        <v>14</v>
      </c>
      <c r="CM218" s="280">
        <f>CM217-CL217</f>
        <v>6</v>
      </c>
      <c r="CN218" s="281">
        <f>SUM(CJ218:CM218)</f>
        <v>30</v>
      </c>
      <c r="CO218" s="280">
        <f>CO217-CN217</f>
        <v>5</v>
      </c>
      <c r="CP218" s="280">
        <f>CP217-CO217</f>
        <v>6</v>
      </c>
      <c r="CQ218" s="280">
        <f>CQ217-CP217</f>
        <v>5</v>
      </c>
      <c r="CR218" s="280">
        <f>CR217-CQ217</f>
        <v>52</v>
      </c>
      <c r="CS218" s="281">
        <f>SUM(CO218:CR218)</f>
        <v>68</v>
      </c>
      <c r="CT218" s="280">
        <f>CT217-CS217</f>
        <v>3</v>
      </c>
      <c r="CU218" s="280">
        <f>CU217-CT217</f>
        <v>4</v>
      </c>
      <c r="CV218" s="280">
        <f>CV217-CU217</f>
        <v>3</v>
      </c>
      <c r="CW218" s="280">
        <f>CW217-CV217</f>
        <v>3</v>
      </c>
      <c r="CX218" s="281">
        <f>SUM(CT218:CW218)</f>
        <v>13</v>
      </c>
      <c r="CY218" s="280">
        <f>CY217-CX217</f>
        <v>53</v>
      </c>
      <c r="CZ218" s="280">
        <f>CZ217-CY217</f>
        <v>33</v>
      </c>
      <c r="DA218" s="280">
        <f>DA217-CZ217</f>
        <v>0</v>
      </c>
      <c r="DB218" s="280">
        <f>DB217-DA217</f>
        <v>2</v>
      </c>
      <c r="DC218" s="281">
        <f>SUM(CY218:DB218)</f>
        <v>88</v>
      </c>
      <c r="DD218" s="280">
        <f>DD217-DC217</f>
        <v>0</v>
      </c>
      <c r="DE218" s="280">
        <f>DE217-DD217</f>
        <v>9</v>
      </c>
      <c r="DF218" s="280">
        <f>DF217-DE217</f>
        <v>-2</v>
      </c>
      <c r="DG218" s="280">
        <f>DG217-DF217</f>
        <v>0</v>
      </c>
      <c r="DH218" s="281">
        <f>SUM(DD218:DG218)</f>
        <v>7</v>
      </c>
      <c r="DI218" s="1377">
        <v>3.5</v>
      </c>
      <c r="DJ218" s="1377">
        <v>3.5</v>
      </c>
      <c r="DK218" s="1415">
        <v>3.5</v>
      </c>
      <c r="DL218" s="1377">
        <v>3.5</v>
      </c>
      <c r="DM218" s="1353">
        <f>SUM(DI218:DL218)</f>
        <v>14</v>
      </c>
      <c r="DN218" s="1377">
        <f>-20/4</f>
        <v>-5</v>
      </c>
      <c r="DO218" s="1377">
        <f>-20/4</f>
        <v>-5</v>
      </c>
      <c r="DP218" s="1377">
        <f>-20/4</f>
        <v>-5</v>
      </c>
      <c r="DQ218" s="1377">
        <f>-20/4</f>
        <v>-5</v>
      </c>
      <c r="DR218" s="1353">
        <f>SUM(DN218:DQ218)</f>
        <v>-20</v>
      </c>
      <c r="DS218" s="1375">
        <f>-30/4</f>
        <v>-7.5</v>
      </c>
      <c r="DT218" s="1379">
        <v>0</v>
      </c>
      <c r="DU218" s="1379">
        <v>0</v>
      </c>
      <c r="DV218" s="1557">
        <v>10</v>
      </c>
      <c r="DW218" s="1353">
        <f>SUM(DS218:DV218)</f>
        <v>2.5</v>
      </c>
      <c r="DX218" s="1379">
        <v>0</v>
      </c>
      <c r="DY218" s="1379">
        <v>0</v>
      </c>
      <c r="DZ218" s="1379">
        <v>0</v>
      </c>
      <c r="EA218" s="1379">
        <v>0</v>
      </c>
      <c r="EB218" s="1381">
        <f>SUM(DX218:EA218)</f>
        <v>0</v>
      </c>
      <c r="EC218" s="1379">
        <v>0</v>
      </c>
      <c r="ED218" s="1379">
        <v>0</v>
      </c>
      <c r="EE218" s="1379">
        <v>0</v>
      </c>
      <c r="EF218" s="1379">
        <v>0</v>
      </c>
      <c r="EG218" s="1381">
        <f>SUM(EC218:EF218)</f>
        <v>0</v>
      </c>
      <c r="EH218" s="1379">
        <v>0</v>
      </c>
      <c r="EI218" s="1379">
        <v>0</v>
      </c>
      <c r="EJ218" s="1379">
        <v>0</v>
      </c>
      <c r="EK218" s="1379">
        <v>0</v>
      </c>
      <c r="EL218" s="1381">
        <f>SUM(EH218:EK218)</f>
        <v>0</v>
      </c>
    </row>
    <row r="219" spans="1:142">
      <c r="A219" s="9"/>
      <c r="B219" s="9"/>
      <c r="C219" s="54"/>
      <c r="D219" s="54"/>
      <c r="E219" s="54"/>
      <c r="F219" s="54"/>
      <c r="G219" s="54"/>
      <c r="H219" s="33"/>
      <c r="I219" s="54"/>
      <c r="J219" s="54"/>
      <c r="K219" s="54"/>
      <c r="L219" s="54"/>
      <c r="M219" s="33"/>
      <c r="N219" s="54"/>
      <c r="O219" s="54"/>
      <c r="P219" s="54"/>
      <c r="Q219" s="54"/>
      <c r="R219" s="33"/>
      <c r="S219" s="54"/>
      <c r="T219" s="54"/>
      <c r="U219" s="54"/>
      <c r="V219" s="54"/>
      <c r="W219" s="33"/>
      <c r="X219" s="54"/>
      <c r="Y219" s="54"/>
      <c r="Z219" s="54"/>
      <c r="AA219" s="54"/>
      <c r="AB219" s="33"/>
      <c r="AC219" s="54"/>
      <c r="AD219" s="54"/>
      <c r="AE219" s="54"/>
      <c r="AF219" s="54"/>
      <c r="AG219" s="33"/>
      <c r="AH219" s="54"/>
      <c r="AI219" s="54"/>
      <c r="AJ219" s="54"/>
      <c r="AK219" s="54"/>
      <c r="AL219" s="33"/>
      <c r="AM219" s="54"/>
      <c r="AN219" s="54"/>
      <c r="AO219" s="54"/>
      <c r="AP219" s="54"/>
      <c r="AQ219" s="33"/>
      <c r="AR219" s="54"/>
      <c r="AS219" s="54"/>
      <c r="AT219" s="54"/>
      <c r="AU219" s="186"/>
      <c r="AV219" s="54"/>
      <c r="AW219" s="54"/>
      <c r="AX219" s="54"/>
      <c r="AY219" s="54"/>
      <c r="AZ219" s="33"/>
      <c r="BA219" s="54"/>
      <c r="BB219" s="54"/>
      <c r="BC219" s="54"/>
      <c r="BD219" s="54"/>
      <c r="BE219" s="33"/>
      <c r="BF219" s="54"/>
      <c r="BG219" s="54"/>
      <c r="BH219" s="54"/>
      <c r="BI219" s="54"/>
      <c r="BJ219" s="33"/>
      <c r="BK219" s="54"/>
      <c r="BL219" s="54"/>
      <c r="BM219" s="54"/>
      <c r="BN219" s="54"/>
      <c r="BO219" s="33"/>
      <c r="BP219" s="54"/>
      <c r="BQ219" s="54"/>
      <c r="BR219" s="54"/>
      <c r="BS219" s="54"/>
      <c r="BT219" s="33"/>
      <c r="BU219" s="54"/>
      <c r="BV219" s="54"/>
      <c r="BW219" s="54"/>
      <c r="BX219" s="54"/>
      <c r="BY219" s="33"/>
      <c r="BZ219" s="54"/>
      <c r="CA219" s="54"/>
      <c r="CB219" s="54"/>
      <c r="CC219" s="54"/>
      <c r="CD219" s="33"/>
      <c r="CE219" s="62"/>
      <c r="CF219" s="62"/>
      <c r="CG219" s="62"/>
      <c r="CH219" s="62"/>
      <c r="CI219" s="28"/>
      <c r="CJ219" s="54"/>
      <c r="CK219" s="54"/>
      <c r="CL219" s="54"/>
      <c r="CM219" s="54"/>
      <c r="CN219" s="28"/>
      <c r="CO219" s="54"/>
      <c r="CP219" s="54"/>
      <c r="CQ219" s="54"/>
      <c r="CR219" s="54"/>
      <c r="CS219" s="28"/>
      <c r="CT219" s="62"/>
      <c r="CU219" s="62"/>
      <c r="CV219" s="62"/>
      <c r="CW219" s="62"/>
      <c r="CX219" s="28"/>
      <c r="CY219" s="53"/>
      <c r="CZ219" s="53"/>
      <c r="DA219" s="53"/>
      <c r="DB219" s="53"/>
      <c r="DC219" s="28"/>
      <c r="DD219" s="53"/>
      <c r="DE219" s="53"/>
      <c r="DF219" s="53"/>
      <c r="DG219" s="53"/>
      <c r="DH219" s="28"/>
      <c r="DI219" s="545"/>
      <c r="DJ219" s="545"/>
      <c r="DK219" s="545"/>
      <c r="DL219" s="545"/>
      <c r="DM219" s="545"/>
      <c r="DN219" s="545"/>
      <c r="DO219" s="545"/>
      <c r="DP219" s="545"/>
      <c r="DQ219" s="545"/>
      <c r="DR219" s="545"/>
      <c r="DS219" s="545"/>
      <c r="DT219" s="545"/>
      <c r="DU219" s="545"/>
      <c r="DV219" s="545"/>
      <c r="DW219" s="545"/>
      <c r="DX219" s="545"/>
      <c r="DY219" s="545"/>
      <c r="DZ219" s="545"/>
      <c r="EA219" s="545"/>
      <c r="EB219" s="545"/>
      <c r="EC219" s="545"/>
      <c r="ED219" s="545"/>
      <c r="EE219" s="545"/>
      <c r="EF219" s="545"/>
      <c r="EG219" s="545"/>
      <c r="EH219" s="545"/>
      <c r="EI219" s="545"/>
      <c r="EJ219" s="545"/>
      <c r="EK219" s="545"/>
      <c r="EL219" s="545"/>
    </row>
    <row r="220" spans="1:142">
      <c r="A220" s="526"/>
      <c r="B220" s="226" t="s">
        <v>686</v>
      </c>
      <c r="C220" s="227"/>
      <c r="D220" s="227"/>
      <c r="E220" s="228"/>
      <c r="F220" s="228"/>
      <c r="G220" s="228"/>
      <c r="H220" s="341"/>
      <c r="I220" s="228"/>
      <c r="J220" s="228"/>
      <c r="K220" s="228"/>
      <c r="L220" s="228"/>
      <c r="M220" s="341"/>
      <c r="N220" s="228"/>
      <c r="O220" s="228"/>
      <c r="P220" s="228"/>
      <c r="Q220" s="228"/>
      <c r="R220" s="341"/>
      <c r="S220" s="228"/>
      <c r="T220" s="228"/>
      <c r="U220" s="228"/>
      <c r="V220" s="228"/>
      <c r="W220" s="341"/>
      <c r="X220" s="228"/>
      <c r="Y220" s="228"/>
      <c r="Z220" s="228"/>
      <c r="AA220" s="228"/>
      <c r="AB220" s="341"/>
      <c r="AC220" s="228"/>
      <c r="AD220" s="228"/>
      <c r="AE220" s="228"/>
      <c r="AF220" s="228"/>
      <c r="AG220" s="341"/>
      <c r="AH220" s="228"/>
      <c r="AI220" s="228"/>
      <c r="AJ220" s="228"/>
      <c r="AK220" s="228"/>
      <c r="AL220" s="341"/>
      <c r="AM220" s="228"/>
      <c r="AN220" s="228"/>
      <c r="AO220" s="228"/>
      <c r="AP220" s="228"/>
      <c r="AQ220" s="341"/>
      <c r="AR220" s="228"/>
      <c r="AS220" s="228"/>
      <c r="AT220" s="228"/>
      <c r="AU220" s="186"/>
      <c r="AV220" s="228"/>
      <c r="AW220" s="228"/>
      <c r="AX220" s="228"/>
      <c r="AY220" s="228"/>
      <c r="AZ220" s="341"/>
      <c r="BA220" s="228"/>
      <c r="BB220" s="228"/>
      <c r="BC220" s="228"/>
      <c r="BD220" s="228"/>
      <c r="BE220" s="341"/>
      <c r="BF220" s="228"/>
      <c r="BG220" s="228"/>
      <c r="BH220" s="228"/>
      <c r="BI220" s="228"/>
      <c r="BJ220" s="341"/>
      <c r="BK220" s="228"/>
      <c r="BL220" s="228"/>
      <c r="BM220" s="228"/>
      <c r="BN220" s="228"/>
      <c r="BO220" s="341"/>
      <c r="BP220" s="228"/>
      <c r="BQ220" s="228"/>
      <c r="BR220" s="228"/>
      <c r="BS220" s="228"/>
      <c r="BT220" s="341"/>
      <c r="BU220" s="228"/>
      <c r="BV220" s="228"/>
      <c r="BW220" s="228"/>
      <c r="BX220" s="228"/>
      <c r="BY220" s="341"/>
      <c r="BZ220" s="228"/>
      <c r="CA220" s="228"/>
      <c r="CB220" s="228"/>
      <c r="CC220" s="228"/>
      <c r="CD220" s="341">
        <v>0</v>
      </c>
      <c r="CE220" s="342">
        <v>0</v>
      </c>
      <c r="CF220" s="342">
        <v>-15</v>
      </c>
      <c r="CG220" s="342">
        <v>-6</v>
      </c>
      <c r="CH220" s="342">
        <v>0</v>
      </c>
      <c r="CI220" s="343"/>
      <c r="CJ220" s="342">
        <v>0</v>
      </c>
      <c r="CK220" s="342">
        <v>0</v>
      </c>
      <c r="CL220" s="342">
        <v>0</v>
      </c>
      <c r="CM220" s="342">
        <v>0</v>
      </c>
      <c r="CN220" s="343"/>
      <c r="CO220" s="342">
        <v>11</v>
      </c>
      <c r="CP220" s="342">
        <v>28</v>
      </c>
      <c r="CQ220" s="342">
        <v>0</v>
      </c>
      <c r="CR220" s="342">
        <v>0</v>
      </c>
      <c r="CS220" s="343"/>
      <c r="CT220" s="342">
        <v>0</v>
      </c>
      <c r="CU220" s="342">
        <v>0</v>
      </c>
      <c r="CV220" s="342">
        <v>0</v>
      </c>
      <c r="CW220" s="344"/>
      <c r="CX220" s="343"/>
      <c r="CY220" s="344"/>
      <c r="CZ220" s="344"/>
      <c r="DA220" s="344"/>
      <c r="DB220" s="344"/>
      <c r="DC220" s="343"/>
      <c r="DD220" s="344"/>
      <c r="DE220" s="344"/>
      <c r="DF220" s="344"/>
      <c r="DG220" s="344"/>
      <c r="DH220" s="343"/>
      <c r="DI220" s="1411"/>
      <c r="DJ220" s="1411"/>
      <c r="DK220" s="1412"/>
      <c r="DL220" s="1411"/>
      <c r="DM220" s="1413"/>
      <c r="DN220" s="1411"/>
      <c r="DO220" s="1411"/>
      <c r="DP220" s="1411"/>
      <c r="DQ220" s="1411"/>
      <c r="DR220" s="1413"/>
      <c r="DS220" s="1558">
        <v>84</v>
      </c>
      <c r="DT220" s="1411">
        <f t="shared" ref="DT220" si="26">DS220+DT221</f>
        <v>81</v>
      </c>
      <c r="DU220" s="1411">
        <f t="shared" ref="DU220" si="27">DT220+DU221</f>
        <v>85</v>
      </c>
      <c r="DV220" s="1411">
        <f t="shared" ref="DV220:EA220" si="28">DU220+DV221</f>
        <v>77</v>
      </c>
      <c r="DW220" s="1413">
        <f t="shared" ref="DW220:EG220" si="29">DV220</f>
        <v>77</v>
      </c>
      <c r="DX220" s="1411">
        <f>DV220+DX221</f>
        <v>77</v>
      </c>
      <c r="DY220" s="1411">
        <f t="shared" si="28"/>
        <v>77</v>
      </c>
      <c r="DZ220" s="1411">
        <f t="shared" si="28"/>
        <v>77</v>
      </c>
      <c r="EA220" s="1411">
        <f t="shared" si="28"/>
        <v>77</v>
      </c>
      <c r="EB220" s="1413">
        <f t="shared" si="29"/>
        <v>77</v>
      </c>
      <c r="EC220" s="1411">
        <f>EA220+EC221</f>
        <v>77</v>
      </c>
      <c r="ED220" s="1411">
        <f t="shared" ref="ED220" si="30">EC220+ED221</f>
        <v>77</v>
      </c>
      <c r="EE220" s="1411">
        <f t="shared" ref="EE220" si="31">ED220+EE221</f>
        <v>77</v>
      </c>
      <c r="EF220" s="1411">
        <f t="shared" ref="EF220" si="32">EE220+EF221</f>
        <v>77</v>
      </c>
      <c r="EG220" s="1413">
        <f t="shared" si="29"/>
        <v>77</v>
      </c>
      <c r="EH220" s="1411">
        <f>EF220+EH221</f>
        <v>77</v>
      </c>
      <c r="EI220" s="1411">
        <f t="shared" ref="EI220" si="33">EH220+EI221</f>
        <v>77</v>
      </c>
      <c r="EJ220" s="1411">
        <f t="shared" ref="EJ220" si="34">EI220+EJ221</f>
        <v>77</v>
      </c>
      <c r="EK220" s="1411">
        <f t="shared" ref="EK220" si="35">EJ220+EK221</f>
        <v>77</v>
      </c>
      <c r="EL220" s="1413">
        <f t="shared" ref="EL220" si="36">EK220</f>
        <v>77</v>
      </c>
    </row>
    <row r="221" spans="1:142">
      <c r="A221" s="225"/>
      <c r="B221" s="214" t="s">
        <v>315</v>
      </c>
      <c r="C221" s="48"/>
      <c r="D221" s="48"/>
      <c r="E221" s="48"/>
      <c r="F221" s="262"/>
      <c r="G221" s="48"/>
      <c r="H221" s="64"/>
      <c r="I221" s="48"/>
      <c r="J221" s="48"/>
      <c r="K221" s="262"/>
      <c r="L221" s="48"/>
      <c r="M221" s="64"/>
      <c r="N221" s="48"/>
      <c r="O221" s="48"/>
      <c r="P221" s="262"/>
      <c r="Q221" s="48"/>
      <c r="R221" s="64"/>
      <c r="S221" s="48"/>
      <c r="T221" s="48"/>
      <c r="U221" s="262"/>
      <c r="V221" s="48"/>
      <c r="W221" s="64"/>
      <c r="X221" s="48"/>
      <c r="Y221" s="48"/>
      <c r="Z221" s="262"/>
      <c r="AA221" s="48"/>
      <c r="AB221" s="64"/>
      <c r="AC221" s="48"/>
      <c r="AD221" s="48"/>
      <c r="AE221" s="262"/>
      <c r="AF221" s="48"/>
      <c r="AG221" s="64"/>
      <c r="AH221" s="48"/>
      <c r="AI221" s="48"/>
      <c r="AJ221" s="262"/>
      <c r="AK221" s="48"/>
      <c r="AL221" s="64"/>
      <c r="AM221" s="48"/>
      <c r="AN221" s="48"/>
      <c r="AO221" s="262"/>
      <c r="AP221" s="48"/>
      <c r="AQ221" s="64"/>
      <c r="AR221" s="48"/>
      <c r="AS221" s="48"/>
      <c r="AT221" s="262"/>
      <c r="AU221" s="217"/>
      <c r="AV221" s="48"/>
      <c r="AW221" s="48"/>
      <c r="AX221" s="262"/>
      <c r="AY221" s="48"/>
      <c r="AZ221" s="64"/>
      <c r="BA221" s="48"/>
      <c r="BB221" s="48"/>
      <c r="BC221" s="262"/>
      <c r="BD221" s="48"/>
      <c r="BE221" s="64"/>
      <c r="BF221" s="48"/>
      <c r="BG221" s="48"/>
      <c r="BH221" s="262"/>
      <c r="BI221" s="48"/>
      <c r="BJ221" s="64"/>
      <c r="BK221" s="48"/>
      <c r="BL221" s="48"/>
      <c r="BM221" s="262"/>
      <c r="BN221" s="48"/>
      <c r="BO221" s="64"/>
      <c r="BP221" s="48"/>
      <c r="BQ221" s="48"/>
      <c r="BR221" s="262"/>
      <c r="BS221" s="48"/>
      <c r="BT221" s="64"/>
      <c r="BU221" s="48"/>
      <c r="BV221" s="48"/>
      <c r="BW221" s="262"/>
      <c r="BX221" s="48"/>
      <c r="BY221" s="64"/>
      <c r="BZ221" s="48"/>
      <c r="CA221" s="48"/>
      <c r="CB221" s="262"/>
      <c r="CC221" s="48"/>
      <c r="CD221" s="64"/>
      <c r="CE221" s="280">
        <f>CE220-CD220</f>
        <v>0</v>
      </c>
      <c r="CF221" s="280">
        <f>CF220-CE220</f>
        <v>-15</v>
      </c>
      <c r="CG221" s="280">
        <f>CG220-CF220</f>
        <v>9</v>
      </c>
      <c r="CH221" s="280">
        <f>CH220-CG220</f>
        <v>6</v>
      </c>
      <c r="CI221" s="281">
        <f>SUM(CE221:CH221)</f>
        <v>0</v>
      </c>
      <c r="CJ221" s="280">
        <f>CJ220-CI220</f>
        <v>0</v>
      </c>
      <c r="CK221" s="280">
        <f>CK220-CJ220</f>
        <v>0</v>
      </c>
      <c r="CL221" s="280">
        <f>CL220-CK220</f>
        <v>0</v>
      </c>
      <c r="CM221" s="280">
        <f>CM220-CL220</f>
        <v>0</v>
      </c>
      <c r="CN221" s="281">
        <f>SUM(CJ221:CM221)</f>
        <v>0</v>
      </c>
      <c r="CO221" s="280">
        <f>CO220-CN220</f>
        <v>11</v>
      </c>
      <c r="CP221" s="280">
        <f>CP220-CO220</f>
        <v>17</v>
      </c>
      <c r="CQ221" s="280">
        <f>CQ220-CP220</f>
        <v>-28</v>
      </c>
      <c r="CR221" s="280">
        <f>CR220-CQ220</f>
        <v>0</v>
      </c>
      <c r="CS221" s="281">
        <f>SUM(CO221:CR221)</f>
        <v>0</v>
      </c>
      <c r="CT221" s="280">
        <f>CT220-CS220</f>
        <v>0</v>
      </c>
      <c r="CU221" s="280">
        <f>CU220-CT220</f>
        <v>0</v>
      </c>
      <c r="CV221" s="280">
        <f>CV220-CU220</f>
        <v>0</v>
      </c>
      <c r="CW221" s="345">
        <v>0</v>
      </c>
      <c r="CX221" s="281">
        <f>SUM(CT221:CW221)</f>
        <v>0</v>
      </c>
      <c r="CY221" s="280">
        <v>3.5</v>
      </c>
      <c r="CZ221" s="280">
        <v>3.5</v>
      </c>
      <c r="DA221" s="280">
        <v>3.5</v>
      </c>
      <c r="DB221" s="280">
        <v>3.5</v>
      </c>
      <c r="DC221" s="281">
        <f>SUM(CY221:DB221)</f>
        <v>14</v>
      </c>
      <c r="DD221" s="280">
        <v>4</v>
      </c>
      <c r="DE221" s="280">
        <v>4</v>
      </c>
      <c r="DF221" s="280">
        <v>4</v>
      </c>
      <c r="DG221" s="280">
        <v>4</v>
      </c>
      <c r="DH221" s="281">
        <f>SUM(DD221:DG221)</f>
        <v>16</v>
      </c>
      <c r="DI221" s="1377">
        <v>4</v>
      </c>
      <c r="DJ221" s="1377">
        <v>4</v>
      </c>
      <c r="DK221" s="1415">
        <v>4</v>
      </c>
      <c r="DL221" s="1377">
        <v>4</v>
      </c>
      <c r="DM221" s="1353">
        <f>SUM(DI221:DL221)</f>
        <v>16</v>
      </c>
      <c r="DN221" s="1377">
        <v>4</v>
      </c>
      <c r="DO221" s="1377">
        <v>4</v>
      </c>
      <c r="DP221" s="1377">
        <v>8</v>
      </c>
      <c r="DQ221" s="1377">
        <f>DP221</f>
        <v>8</v>
      </c>
      <c r="DR221" s="1353">
        <f>SUM(DN221:DQ221)</f>
        <v>24</v>
      </c>
      <c r="DS221" s="1471"/>
      <c r="DT221" s="1471">
        <v>-3</v>
      </c>
      <c r="DU221" s="1471">
        <v>4</v>
      </c>
      <c r="DV221" s="1569">
        <v>-8</v>
      </c>
      <c r="DW221" s="1353">
        <f>SUM(DS221:DV221)</f>
        <v>-7</v>
      </c>
      <c r="DX221" s="1375">
        <v>0</v>
      </c>
      <c r="DY221" s="1375">
        <v>0</v>
      </c>
      <c r="DZ221" s="1375">
        <v>0</v>
      </c>
      <c r="EA221" s="1375">
        <v>0</v>
      </c>
      <c r="EB221" s="1353">
        <f>SUM(DX221:EA221)</f>
        <v>0</v>
      </c>
      <c r="EC221" s="1375">
        <v>0</v>
      </c>
      <c r="ED221" s="1375">
        <v>0</v>
      </c>
      <c r="EE221" s="1375">
        <v>0</v>
      </c>
      <c r="EF221" s="1375">
        <v>0</v>
      </c>
      <c r="EG221" s="1353">
        <f>SUM(EC221:EF221)</f>
        <v>0</v>
      </c>
      <c r="EH221" s="1375">
        <v>0</v>
      </c>
      <c r="EI221" s="1375">
        <v>0</v>
      </c>
      <c r="EJ221" s="1375">
        <v>0</v>
      </c>
      <c r="EK221" s="1375">
        <v>0</v>
      </c>
      <c r="EL221" s="1353">
        <f>SUM(EH221:EK221)</f>
        <v>0</v>
      </c>
    </row>
    <row r="222" spans="1:142" hidden="1">
      <c r="A222" s="1324"/>
      <c r="B222" s="72" t="s">
        <v>316</v>
      </c>
      <c r="C222" s="162"/>
      <c r="D222" s="162"/>
      <c r="E222" s="162"/>
      <c r="F222" s="162"/>
      <c r="G222" s="162"/>
      <c r="H222" s="74"/>
      <c r="I222" s="162"/>
      <c r="J222" s="162"/>
      <c r="K222" s="162"/>
      <c r="L222" s="162"/>
      <c r="M222" s="74"/>
      <c r="N222" s="162"/>
      <c r="O222" s="162"/>
      <c r="P222" s="162"/>
      <c r="Q222" s="162"/>
      <c r="R222" s="74"/>
      <c r="S222" s="162"/>
      <c r="T222" s="162"/>
      <c r="U222" s="162"/>
      <c r="V222" s="162"/>
      <c r="W222" s="74"/>
      <c r="X222" s="162"/>
      <c r="Y222" s="162"/>
      <c r="Z222" s="162"/>
      <c r="AA222" s="162"/>
      <c r="AB222" s="74"/>
      <c r="AC222" s="162"/>
      <c r="AD222" s="162"/>
      <c r="AE222" s="162"/>
      <c r="AF222" s="162"/>
      <c r="AG222" s="74"/>
      <c r="AH222" s="162"/>
      <c r="AI222" s="162"/>
      <c r="AJ222" s="162"/>
      <c r="AK222" s="162"/>
      <c r="AL222" s="74"/>
      <c r="AM222" s="162"/>
      <c r="AN222" s="162"/>
      <c r="AO222" s="162"/>
      <c r="AP222" s="162"/>
      <c r="AQ222" s="74"/>
      <c r="AR222" s="162"/>
      <c r="AS222" s="162"/>
      <c r="AT222" s="162"/>
      <c r="AU222" s="186"/>
      <c r="AV222" s="162"/>
      <c r="AW222" s="162"/>
      <c r="AX222" s="162"/>
      <c r="AY222" s="162"/>
      <c r="AZ222" s="74"/>
      <c r="BA222" s="162"/>
      <c r="BB222" s="162"/>
      <c r="BC222" s="162"/>
      <c r="BD222" s="162"/>
      <c r="BE222" s="74"/>
      <c r="BF222" s="162"/>
      <c r="BG222" s="162"/>
      <c r="BH222" s="162"/>
      <c r="BI222" s="162"/>
      <c r="BJ222" s="74"/>
      <c r="BK222" s="162"/>
      <c r="BL222" s="162"/>
      <c r="BM222" s="162"/>
      <c r="BN222" s="162"/>
      <c r="BO222" s="74"/>
      <c r="BP222" s="162"/>
      <c r="BQ222" s="162"/>
      <c r="BR222" s="162"/>
      <c r="BS222" s="162"/>
      <c r="BT222" s="74"/>
      <c r="BU222" s="162"/>
      <c r="BV222" s="162"/>
      <c r="BW222" s="162"/>
      <c r="BX222" s="162"/>
      <c r="BY222" s="74"/>
      <c r="BZ222" s="162"/>
      <c r="CA222" s="162"/>
      <c r="CB222" s="162"/>
      <c r="CC222" s="162"/>
      <c r="CD222" s="74"/>
      <c r="CE222" s="146">
        <v>0</v>
      </c>
      <c r="CF222" s="146">
        <f>19-1</f>
        <v>18</v>
      </c>
      <c r="CG222" s="146">
        <f>5-1-CE222-CF222</f>
        <v>-14</v>
      </c>
      <c r="CH222" s="146">
        <f>-8-1-CE222-CF222-CG222</f>
        <v>-13</v>
      </c>
      <c r="CI222" s="74">
        <f>SUM(CE222:CH222)</f>
        <v>-9</v>
      </c>
      <c r="CJ222" s="146">
        <v>2</v>
      </c>
      <c r="CK222" s="146">
        <f>3-CJ222</f>
        <v>1</v>
      </c>
      <c r="CL222" s="146">
        <f>3-CJ222-CK222</f>
        <v>0</v>
      </c>
      <c r="CM222" s="146">
        <f>3-CJ222-CK222-CL222</f>
        <v>0</v>
      </c>
      <c r="CN222" s="74">
        <f>SUM(CJ222:CM222)</f>
        <v>3</v>
      </c>
      <c r="CO222" s="146">
        <f>19-CO220</f>
        <v>8</v>
      </c>
      <c r="CP222" s="146">
        <f>17-CO221-CP221-CO222</f>
        <v>-19</v>
      </c>
      <c r="CQ222" s="146">
        <f>-22-CQ221-CO221-CO222-CP221-CP222</f>
        <v>-11</v>
      </c>
      <c r="CR222" s="146">
        <f>-22-CO222-CP222-CQ222-CO221-CP221-CQ221-CR221</f>
        <v>0</v>
      </c>
      <c r="CS222" s="74">
        <f>SUM(CO222:CR222)</f>
        <v>-22</v>
      </c>
      <c r="CT222" s="146">
        <v>0</v>
      </c>
      <c r="CU222" s="146">
        <v>0</v>
      </c>
      <c r="CV222" s="146">
        <v>0</v>
      </c>
      <c r="CW222" s="73"/>
      <c r="CX222" s="74">
        <f>SUM(CT222:CW222)</f>
        <v>0</v>
      </c>
      <c r="CY222" s="162"/>
      <c r="CZ222" s="162"/>
      <c r="DA222" s="162"/>
      <c r="DB222" s="162"/>
      <c r="DC222" s="74"/>
      <c r="DD222" s="162"/>
      <c r="DE222" s="162"/>
      <c r="DF222" s="162"/>
      <c r="DG222" s="162"/>
      <c r="DH222" s="74"/>
      <c r="DI222" s="162"/>
      <c r="DJ222" s="162"/>
      <c r="DK222" s="321"/>
      <c r="DL222" s="162"/>
      <c r="DM222" s="74"/>
      <c r="DN222" s="162"/>
      <c r="DO222" s="162"/>
      <c r="DP222" s="162"/>
      <c r="DQ222" s="162"/>
      <c r="DR222" s="74"/>
      <c r="DS222" s="162"/>
      <c r="DT222" s="162"/>
      <c r="DU222" s="162"/>
      <c r="DV222" s="162"/>
      <c r="DW222" s="74"/>
      <c r="DX222" s="162"/>
      <c r="DY222" s="162"/>
      <c r="DZ222" s="162"/>
      <c r="EA222" s="162"/>
      <c r="EB222" s="74"/>
      <c r="EC222" s="162"/>
      <c r="ED222" s="162"/>
      <c r="EE222" s="162"/>
      <c r="EF222" s="162"/>
      <c r="EG222" s="74"/>
      <c r="EH222" s="162"/>
      <c r="EI222" s="162"/>
      <c r="EJ222" s="162"/>
      <c r="EK222" s="162"/>
      <c r="EL222" s="74"/>
    </row>
    <row r="223" spans="1:14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346"/>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row>
    <row r="224" spans="1:142" hidden="1" outlineLevel="1">
      <c r="A224" s="9"/>
      <c r="B224" s="1367" t="s">
        <v>289</v>
      </c>
      <c r="C224" s="1408"/>
      <c r="D224" s="1408"/>
      <c r="E224" s="1408"/>
      <c r="F224" s="1408"/>
      <c r="G224" s="1408"/>
      <c r="H224" s="1408"/>
      <c r="I224" s="1408"/>
      <c r="J224" s="1408"/>
      <c r="K224" s="1408"/>
      <c r="L224" s="1408"/>
      <c r="M224" s="1408"/>
      <c r="N224" s="1408"/>
      <c r="O224" s="1408"/>
      <c r="P224" s="1408"/>
      <c r="Q224" s="1408"/>
      <c r="R224" s="1408"/>
      <c r="S224" s="1408"/>
      <c r="T224" s="1408"/>
      <c r="U224" s="1408"/>
      <c r="V224" s="1408"/>
      <c r="W224" s="1408"/>
      <c r="X224" s="1408"/>
      <c r="Y224" s="1408"/>
      <c r="Z224" s="1408"/>
      <c r="AA224" s="1408"/>
      <c r="AB224" s="1408"/>
      <c r="AC224" s="1408"/>
      <c r="AD224" s="1408"/>
      <c r="AE224" s="1408"/>
      <c r="AF224" s="1408"/>
      <c r="AG224" s="1408"/>
      <c r="AH224" s="1408"/>
      <c r="AI224" s="1408"/>
      <c r="AJ224" s="1408"/>
      <c r="AK224" s="1408"/>
      <c r="AL224" s="1408"/>
      <c r="AM224" s="1408"/>
      <c r="AN224" s="1408"/>
      <c r="AO224" s="1408"/>
      <c r="AP224" s="1408"/>
      <c r="AQ224" s="1408"/>
      <c r="AR224" s="1408"/>
      <c r="AS224" s="1408"/>
      <c r="AT224" s="1408"/>
      <c r="AU224" s="1409"/>
      <c r="AV224" s="1408"/>
      <c r="AW224" s="1408"/>
      <c r="AX224" s="1408"/>
      <c r="AY224" s="1408"/>
      <c r="AZ224" s="1408"/>
      <c r="BA224" s="1408"/>
      <c r="BB224" s="1408"/>
      <c r="BC224" s="1408"/>
      <c r="BD224" s="1408"/>
      <c r="BE224" s="1408"/>
      <c r="BF224" s="1408"/>
      <c r="BG224" s="1408"/>
      <c r="BH224" s="1408"/>
      <c r="BI224" s="1408"/>
      <c r="BJ224" s="1408"/>
      <c r="BK224" s="1408"/>
      <c r="BL224" s="1408"/>
      <c r="BM224" s="1408"/>
      <c r="BN224" s="1408"/>
      <c r="BO224" s="1408"/>
      <c r="BP224" s="1408"/>
      <c r="BQ224" s="1408"/>
      <c r="BR224" s="1408"/>
      <c r="BS224" s="1408"/>
      <c r="BT224" s="1408"/>
      <c r="BU224" s="1408"/>
      <c r="BV224" s="1408"/>
      <c r="BW224" s="1408"/>
      <c r="BX224" s="1408"/>
      <c r="BY224" s="1408"/>
      <c r="BZ224" s="1408"/>
      <c r="CA224" s="1408"/>
      <c r="CB224" s="1408"/>
      <c r="CC224" s="1408"/>
      <c r="CD224" s="1408"/>
      <c r="CE224" s="1408"/>
      <c r="CF224" s="1408"/>
      <c r="CG224" s="1408"/>
      <c r="CH224" s="1408"/>
      <c r="CI224" s="1408"/>
      <c r="CJ224" s="1408"/>
      <c r="CK224" s="1408"/>
      <c r="CL224" s="1408"/>
      <c r="CM224" s="1408"/>
      <c r="CN224" s="1408"/>
      <c r="CO224" s="1408"/>
      <c r="CP224" s="1408"/>
      <c r="CQ224" s="1408"/>
      <c r="CR224" s="1408"/>
      <c r="CS224" s="1408"/>
      <c r="CT224" s="1408"/>
      <c r="CU224" s="1408"/>
      <c r="CV224" s="1408"/>
      <c r="CW224" s="1408"/>
      <c r="CX224" s="1408"/>
      <c r="CY224" s="1408"/>
      <c r="CZ224" s="1408"/>
      <c r="DA224" s="1408"/>
      <c r="DB224" s="1408"/>
      <c r="DC224" s="1408"/>
      <c r="DD224" s="1408"/>
      <c r="DE224" s="1408"/>
      <c r="DF224" s="1408"/>
      <c r="DG224" s="1408"/>
      <c r="DH224" s="1408"/>
      <c r="DI224" s="1408"/>
      <c r="DJ224" s="1408"/>
      <c r="DK224" s="1410"/>
      <c r="DL224" s="1408"/>
      <c r="DM224" s="1408"/>
      <c r="DN224" s="1408"/>
      <c r="DO224" s="1408"/>
      <c r="DP224" s="1408"/>
      <c r="DQ224" s="1408"/>
      <c r="DR224" s="1408"/>
      <c r="DS224" s="1408"/>
      <c r="DT224" s="1417">
        <f>DT206+DT212</f>
        <v>1437</v>
      </c>
      <c r="DU224" s="1417">
        <f>DU206+DU212</f>
        <v>333</v>
      </c>
      <c r="DV224" s="1417">
        <f>DV206+DV212</f>
        <v>698</v>
      </c>
      <c r="DW224" s="1417"/>
      <c r="DX224" s="1417">
        <f>DX206+DX212</f>
        <v>829.37035815589047</v>
      </c>
      <c r="DY224" s="1417">
        <f>DY206+DY212</f>
        <v>605.37663535468891</v>
      </c>
      <c r="DZ224" s="1417">
        <f>DZ206+DZ212</f>
        <v>853.21887238129329</v>
      </c>
      <c r="EA224" s="1417">
        <f>EA206+EA212</f>
        <v>567.71087398451732</v>
      </c>
      <c r="EB224" s="1417"/>
      <c r="EC224" s="1417">
        <f>EC206+EC212</f>
        <v>376.97417916896063</v>
      </c>
      <c r="ED224" s="1417">
        <f>ED206+ED212</f>
        <v>520.54772891988341</v>
      </c>
      <c r="EE224" s="1417">
        <f>EE206+EE212</f>
        <v>689.98221824519351</v>
      </c>
      <c r="EF224" s="1417">
        <f>EF206+EF212</f>
        <v>714.63062624325505</v>
      </c>
      <c r="EG224" s="1417"/>
      <c r="EH224" s="1417">
        <f>EH206+EH212</f>
        <v>657.96794350851678</v>
      </c>
      <c r="EI224" s="1417">
        <f>EI206+EI212</f>
        <v>602.90493870577018</v>
      </c>
      <c r="EJ224" s="1417">
        <f>EJ206+EJ212</f>
        <v>652.42194509847184</v>
      </c>
      <c r="EK224" s="1417">
        <f>EK206+EK212</f>
        <v>471.25813137678415</v>
      </c>
      <c r="EL224" s="1417"/>
    </row>
    <row r="225" spans="1:142" collapsed="1">
      <c r="A225" s="9"/>
      <c r="B225" s="9"/>
      <c r="C225" s="347"/>
      <c r="D225" s="347"/>
      <c r="E225" s="347"/>
      <c r="F225" s="347"/>
      <c r="G225" s="347"/>
      <c r="H225" s="347"/>
      <c r="I225" s="347"/>
      <c r="J225" s="347"/>
      <c r="K225" s="347"/>
      <c r="L225" s="347"/>
      <c r="M225" s="347"/>
      <c r="N225" s="347"/>
      <c r="O225" s="347"/>
      <c r="P225" s="347"/>
      <c r="Q225" s="347"/>
      <c r="R225" s="347"/>
      <c r="S225" s="347"/>
      <c r="T225" s="347"/>
      <c r="U225" s="347"/>
      <c r="V225" s="347"/>
      <c r="W225" s="347"/>
      <c r="X225" s="347"/>
      <c r="Y225" s="347"/>
      <c r="Z225" s="347"/>
      <c r="AA225" s="347"/>
      <c r="AB225" s="347"/>
      <c r="AC225" s="347"/>
      <c r="AD225" s="347"/>
      <c r="AE225" s="347"/>
      <c r="AF225" s="347"/>
      <c r="AG225" s="347"/>
      <c r="AH225" s="347"/>
      <c r="AI225" s="347"/>
      <c r="AJ225" s="347"/>
      <c r="AK225" s="347"/>
      <c r="AL225" s="347"/>
      <c r="AM225" s="347"/>
      <c r="AN225" s="347"/>
      <c r="AO225" s="347"/>
      <c r="AP225" s="347"/>
      <c r="AQ225" s="347"/>
      <c r="AR225" s="347"/>
      <c r="AS225" s="347"/>
      <c r="AT225" s="347"/>
      <c r="AU225" s="347"/>
      <c r="AV225" s="347"/>
      <c r="AW225" s="347"/>
      <c r="AX225" s="347"/>
      <c r="AY225" s="347"/>
      <c r="AZ225" s="347"/>
      <c r="BA225" s="347"/>
      <c r="BB225" s="347"/>
      <c r="BC225" s="347"/>
      <c r="BD225" s="347"/>
      <c r="BE225" s="347"/>
      <c r="BF225" s="347"/>
      <c r="BG225" s="347"/>
      <c r="BH225" s="347"/>
      <c r="BI225" s="347"/>
      <c r="BJ225" s="347"/>
      <c r="BK225" s="9"/>
      <c r="BL225" s="9"/>
      <c r="BM225" s="9"/>
      <c r="BN225" s="9"/>
      <c r="BO225" s="9"/>
      <c r="BP225" s="9"/>
      <c r="BQ225" s="9"/>
      <c r="BR225" s="9"/>
      <c r="BS225" s="9"/>
      <c r="BT225" s="9"/>
      <c r="BU225" s="9"/>
      <c r="BV225" s="9"/>
      <c r="BW225" s="9"/>
      <c r="BX225" s="9"/>
      <c r="BY225" s="9"/>
      <c r="BZ225" s="9"/>
      <c r="CA225" s="9"/>
      <c r="CB225" s="9"/>
      <c r="CC225" s="9"/>
      <c r="CD225" s="9"/>
      <c r="CE225" s="9"/>
      <c r="CF225" s="9"/>
      <c r="CG225" s="9"/>
      <c r="CH225" s="9"/>
      <c r="CI225" s="9"/>
      <c r="CJ225" s="9"/>
      <c r="CK225" s="9"/>
      <c r="CL225" s="9"/>
      <c r="CM225" s="9"/>
      <c r="CN225" s="9"/>
      <c r="CO225" s="9"/>
      <c r="CP225" s="9"/>
      <c r="CQ225" s="9"/>
      <c r="CR225" s="9"/>
      <c r="CS225" s="9"/>
      <c r="CT225" s="9"/>
      <c r="CU225" s="9"/>
      <c r="CV225" s="9"/>
      <c r="CW225" s="9"/>
      <c r="CX225" s="9"/>
      <c r="CY225" s="9"/>
      <c r="CZ225" s="9"/>
      <c r="DA225" s="9"/>
      <c r="DB225" s="9"/>
      <c r="DC225" s="9"/>
      <c r="DD225" s="9"/>
      <c r="DE225" s="9"/>
      <c r="DF225" s="9"/>
      <c r="DG225" s="9"/>
      <c r="DH225" s="9"/>
      <c r="DI225" s="9"/>
      <c r="DJ225" s="9"/>
      <c r="DK225" s="164"/>
      <c r="DL225" s="9"/>
      <c r="DM225" s="9"/>
      <c r="DN225" s="9"/>
      <c r="DO225" s="9"/>
      <c r="DP225" s="9"/>
      <c r="DQ225" s="9"/>
      <c r="DR225" s="9"/>
      <c r="DS225" s="9"/>
      <c r="DT225" s="9"/>
      <c r="DU225" s="9"/>
      <c r="DV225" s="9"/>
      <c r="DW225" s="9"/>
      <c r="DX225" s="9"/>
      <c r="DY225" s="9"/>
      <c r="DZ225" s="9"/>
      <c r="EA225" s="9"/>
      <c r="EB225" s="9"/>
      <c r="EC225" s="9"/>
      <c r="ED225" s="9"/>
      <c r="EE225" s="9"/>
      <c r="EF225" s="9"/>
      <c r="EG225" s="9"/>
      <c r="EH225" s="9"/>
      <c r="EI225" s="9"/>
      <c r="EJ225" s="9"/>
      <c r="EK225" s="9"/>
      <c r="EL225" s="9"/>
    </row>
    <row r="226" spans="1:142" collapsed="1">
      <c r="A226" s="31"/>
      <c r="B226" s="31"/>
      <c r="C226" s="9"/>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c r="BS226" s="9"/>
      <c r="BT226" s="9"/>
      <c r="BU226" s="9"/>
      <c r="BV226" s="9"/>
      <c r="BW226" s="9"/>
      <c r="BX226" s="9"/>
      <c r="BY226" s="9"/>
      <c r="BZ226" s="9"/>
      <c r="CA226" s="9"/>
      <c r="CB226" s="9"/>
      <c r="CC226" s="9"/>
      <c r="CD226" s="9"/>
      <c r="CE226" s="9"/>
      <c r="CF226" s="9"/>
      <c r="CG226" s="9"/>
      <c r="CH226" s="9"/>
      <c r="CI226" s="9"/>
      <c r="CJ226" s="9"/>
      <c r="CK226" s="9"/>
      <c r="CL226" s="9"/>
      <c r="CM226" s="9"/>
      <c r="CN226" s="9"/>
      <c r="CO226" s="9"/>
      <c r="CP226" s="9"/>
      <c r="CQ226" s="9"/>
      <c r="CR226" s="9"/>
      <c r="CS226" s="9"/>
      <c r="CT226" s="9"/>
      <c r="CU226" s="9"/>
      <c r="CV226" s="9"/>
      <c r="CW226" s="9"/>
      <c r="CX226" s="9"/>
      <c r="CY226" s="9"/>
      <c r="CZ226" s="9"/>
      <c r="DA226" s="9"/>
      <c r="DB226" s="9"/>
      <c r="DC226" s="9"/>
      <c r="DD226" s="9"/>
      <c r="DE226" s="9"/>
      <c r="DF226" s="9"/>
      <c r="DG226" s="9"/>
      <c r="DH226" s="9"/>
      <c r="DI226" s="9"/>
      <c r="DJ226" s="9"/>
      <c r="DK226" s="164"/>
      <c r="DL226" s="9"/>
      <c r="DM226" s="9"/>
      <c r="DN226" s="9"/>
      <c r="DO226" s="9"/>
      <c r="DP226" s="9"/>
      <c r="DQ226" s="9"/>
      <c r="DR226" s="9"/>
      <c r="DS226" s="9"/>
      <c r="DT226" s="9"/>
      <c r="DU226" s="9"/>
      <c r="DV226" s="9"/>
      <c r="DW226" s="9"/>
      <c r="DX226" s="9"/>
      <c r="DY226" s="9"/>
      <c r="DZ226" s="9"/>
      <c r="EA226" s="9"/>
      <c r="EB226" s="9"/>
      <c r="EC226" s="9"/>
      <c r="ED226" s="9"/>
      <c r="EE226" s="9"/>
      <c r="EF226" s="9"/>
      <c r="EG226" s="9"/>
      <c r="EH226" s="9"/>
      <c r="EI226" s="9"/>
      <c r="EJ226" s="9"/>
      <c r="EK226" s="9"/>
      <c r="EL226" s="9"/>
    </row>
    <row r="227" spans="1:142">
      <c r="A227" s="348"/>
      <c r="B227" s="348"/>
      <c r="C227" s="349"/>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350"/>
      <c r="AJ227" s="350"/>
      <c r="AK227" s="350"/>
      <c r="AL227" s="350"/>
      <c r="AM227" s="350"/>
      <c r="AN227" s="350"/>
      <c r="AO227" s="350"/>
      <c r="AP227" s="350"/>
      <c r="AQ227" s="350"/>
      <c r="AR227" s="350"/>
      <c r="AS227" s="350"/>
      <c r="AT227" s="350"/>
      <c r="AU227" s="350"/>
      <c r="AV227" s="350"/>
      <c r="AW227" s="350"/>
      <c r="AX227" s="350"/>
      <c r="AY227" s="350"/>
      <c r="AZ227" s="350"/>
      <c r="BA227" s="350"/>
      <c r="BB227" s="350"/>
      <c r="BC227" s="350"/>
      <c r="BD227" s="350"/>
      <c r="BE227" s="350"/>
      <c r="BF227" s="350"/>
      <c r="BG227" s="350"/>
      <c r="BH227" s="350"/>
      <c r="BI227" s="350"/>
      <c r="BJ227" s="350"/>
      <c r="BK227" s="350"/>
      <c r="BL227" s="350"/>
      <c r="BM227" s="350"/>
      <c r="BN227" s="350"/>
      <c r="BO227" s="350"/>
      <c r="BP227" s="350"/>
      <c r="BQ227" s="350"/>
      <c r="BR227" s="350"/>
      <c r="BS227" s="350"/>
      <c r="BT227" s="350"/>
      <c r="BU227" s="350"/>
      <c r="BV227" s="350"/>
      <c r="BW227" s="350"/>
      <c r="BX227" s="350"/>
      <c r="BY227" s="350"/>
      <c r="BZ227" s="350"/>
      <c r="CA227" s="350"/>
      <c r="CB227" s="350"/>
      <c r="CC227" s="350"/>
      <c r="CD227" s="350"/>
      <c r="CE227" s="350"/>
      <c r="CF227" s="350"/>
      <c r="CG227" s="350"/>
      <c r="CH227" s="350"/>
      <c r="CI227" s="350"/>
      <c r="CJ227" s="350"/>
      <c r="CK227" s="350"/>
      <c r="CL227" s="350"/>
      <c r="CM227" s="350"/>
      <c r="CN227" s="350"/>
      <c r="CO227" s="350"/>
      <c r="CP227" s="350"/>
      <c r="CQ227" s="350"/>
      <c r="CR227" s="350"/>
      <c r="CS227" s="350"/>
      <c r="CT227" s="350"/>
      <c r="CU227" s="350"/>
      <c r="CV227" s="350"/>
      <c r="CW227" s="350"/>
      <c r="CX227" s="350"/>
      <c r="CY227" s="350"/>
      <c r="CZ227" s="350"/>
      <c r="DA227" s="350"/>
      <c r="DB227" s="350"/>
      <c r="DC227" s="350"/>
      <c r="DD227" s="350"/>
      <c r="DE227" s="350"/>
      <c r="DF227" s="350"/>
      <c r="DG227" s="350"/>
      <c r="DH227" s="350"/>
      <c r="DI227" s="350"/>
      <c r="DJ227" s="350"/>
      <c r="DK227" s="350"/>
      <c r="DL227" s="350"/>
      <c r="DM227" s="350"/>
      <c r="DN227" s="350"/>
      <c r="DO227" s="350"/>
      <c r="DP227" s="350"/>
      <c r="DQ227" s="350"/>
      <c r="DR227" s="350"/>
      <c r="DS227" s="350"/>
      <c r="DT227" s="350"/>
      <c r="DU227" s="350"/>
      <c r="DV227" s="350"/>
      <c r="DW227" s="350"/>
      <c r="DX227" s="350"/>
      <c r="DY227" s="350"/>
      <c r="DZ227" s="350"/>
      <c r="EA227" s="350"/>
      <c r="EB227" s="350"/>
      <c r="EC227" s="350"/>
      <c r="ED227" s="350"/>
      <c r="EE227" s="350"/>
      <c r="EF227" s="350"/>
      <c r="EG227" s="350"/>
      <c r="EH227" s="350"/>
      <c r="EI227" s="350"/>
      <c r="EJ227" s="350"/>
      <c r="EK227" s="350"/>
      <c r="EL227" s="350"/>
    </row>
    <row r="228" spans="1:142">
      <c r="A228" s="348"/>
      <c r="B228" s="348"/>
      <c r="C228" s="351"/>
      <c r="D228" s="351"/>
      <c r="E228" s="351"/>
      <c r="F228" s="351"/>
      <c r="G228" s="351"/>
      <c r="H228" s="351"/>
      <c r="I228" s="351"/>
      <c r="J228" s="351"/>
      <c r="K228" s="351"/>
      <c r="L228" s="351"/>
      <c r="M228" s="351"/>
      <c r="N228" s="351"/>
      <c r="O228" s="351"/>
      <c r="P228" s="351"/>
      <c r="Q228" s="351"/>
      <c r="R228" s="351"/>
      <c r="S228" s="351"/>
      <c r="T228" s="351"/>
      <c r="U228" s="351"/>
      <c r="V228" s="351"/>
      <c r="W228" s="351"/>
      <c r="X228" s="351"/>
      <c r="Y228" s="351"/>
      <c r="Z228" s="351"/>
      <c r="AA228" s="351"/>
      <c r="AB228" s="351"/>
      <c r="AC228" s="351"/>
      <c r="AD228" s="351"/>
      <c r="AE228" s="351"/>
      <c r="AF228" s="351"/>
      <c r="AG228" s="351"/>
      <c r="AH228" s="351"/>
      <c r="AI228" s="351"/>
      <c r="AJ228" s="351"/>
      <c r="AK228" s="351"/>
      <c r="AL228" s="351"/>
      <c r="AM228" s="351"/>
      <c r="AN228" s="351"/>
      <c r="AO228" s="351"/>
      <c r="AP228" s="351"/>
      <c r="AQ228" s="351"/>
      <c r="AR228" s="351"/>
      <c r="AS228" s="351"/>
      <c r="AT228" s="351"/>
      <c r="AU228" s="351"/>
      <c r="AV228" s="351"/>
      <c r="AW228" s="351"/>
      <c r="AX228" s="351"/>
      <c r="AY228" s="351"/>
      <c r="AZ228" s="351"/>
      <c r="BA228" s="351"/>
      <c r="BB228" s="351"/>
      <c r="BC228" s="351"/>
      <c r="BD228" s="351"/>
      <c r="BE228" s="351"/>
      <c r="BF228" s="351"/>
      <c r="BG228" s="351"/>
      <c r="BH228" s="351"/>
      <c r="BI228" s="351"/>
      <c r="BJ228" s="351"/>
      <c r="BK228" s="351"/>
      <c r="BL228" s="351"/>
      <c r="BM228" s="351"/>
      <c r="BN228" s="351"/>
      <c r="BO228" s="351"/>
      <c r="BP228" s="351"/>
      <c r="BQ228" s="351"/>
      <c r="BR228" s="351"/>
      <c r="BS228" s="351"/>
      <c r="BT228" s="351"/>
      <c r="BU228" s="351"/>
      <c r="BV228" s="351"/>
      <c r="BW228" s="351"/>
      <c r="BX228" s="351"/>
      <c r="BY228" s="351"/>
      <c r="BZ228" s="351"/>
      <c r="CA228" s="351"/>
      <c r="CB228" s="351"/>
      <c r="CC228" s="351"/>
      <c r="CD228" s="351"/>
      <c r="CE228" s="351"/>
      <c r="CF228" s="351"/>
      <c r="CG228" s="351"/>
      <c r="CH228" s="351"/>
      <c r="CI228" s="351"/>
      <c r="CJ228" s="351"/>
      <c r="CK228" s="351"/>
      <c r="CL228" s="351"/>
      <c r="CM228" s="351"/>
      <c r="CN228" s="351"/>
      <c r="CO228" s="351"/>
      <c r="CP228" s="351"/>
      <c r="CQ228" s="351"/>
      <c r="CR228" s="351"/>
      <c r="CS228" s="351"/>
      <c r="CT228" s="351"/>
      <c r="CU228" s="351"/>
      <c r="CV228" s="351"/>
      <c r="CW228" s="351"/>
      <c r="CX228" s="351"/>
      <c r="CY228" s="351"/>
      <c r="CZ228" s="351"/>
      <c r="DA228" s="351"/>
      <c r="DB228" s="351"/>
      <c r="DC228" s="351"/>
      <c r="DD228" s="351"/>
      <c r="DE228" s="351"/>
      <c r="DF228" s="351"/>
      <c r="DG228" s="351"/>
      <c r="DH228" s="351"/>
      <c r="DI228" s="351"/>
      <c r="DJ228" s="351"/>
      <c r="DK228" s="351"/>
      <c r="DL228" s="351"/>
      <c r="DM228" s="351"/>
      <c r="DN228" s="351"/>
      <c r="DO228" s="351"/>
      <c r="DP228" s="351"/>
      <c r="DQ228" s="351"/>
      <c r="DR228" s="351"/>
      <c r="DS228" s="351"/>
      <c r="DT228" s="351"/>
      <c r="DU228" s="351"/>
      <c r="DV228" s="351"/>
      <c r="DW228" s="351"/>
      <c r="DX228" s="351"/>
      <c r="DY228" s="351"/>
      <c r="DZ228" s="351"/>
      <c r="EA228" s="351"/>
      <c r="EB228" s="351"/>
      <c r="EC228" s="351"/>
      <c r="ED228" s="351"/>
      <c r="EE228" s="351"/>
      <c r="EF228" s="351"/>
      <c r="EG228" s="351"/>
      <c r="EH228" s="351"/>
      <c r="EI228" s="351"/>
      <c r="EJ228" s="351"/>
      <c r="EK228" s="351"/>
      <c r="EL228" s="351"/>
    </row>
    <row r="229" spans="1:142">
      <c r="A229" s="348"/>
      <c r="B229" s="348"/>
      <c r="C229" s="351"/>
      <c r="D229" s="351"/>
      <c r="E229" s="351"/>
      <c r="F229" s="351"/>
      <c r="G229" s="351"/>
      <c r="H229" s="351"/>
      <c r="I229" s="351"/>
      <c r="J229" s="351"/>
      <c r="K229" s="351"/>
      <c r="L229" s="351"/>
      <c r="M229" s="351"/>
      <c r="N229" s="351"/>
      <c r="O229" s="351"/>
      <c r="P229" s="351"/>
      <c r="Q229" s="351"/>
      <c r="R229" s="351"/>
      <c r="S229" s="351"/>
      <c r="T229" s="351"/>
      <c r="U229" s="351"/>
      <c r="V229" s="351"/>
      <c r="W229" s="351"/>
      <c r="X229" s="351"/>
      <c r="Y229" s="351"/>
      <c r="Z229" s="351"/>
      <c r="AA229" s="351"/>
      <c r="AB229" s="351"/>
      <c r="AC229" s="351"/>
      <c r="AD229" s="351"/>
      <c r="AE229" s="351"/>
      <c r="AF229" s="351"/>
      <c r="AG229" s="351"/>
      <c r="AH229" s="351"/>
      <c r="AI229" s="351"/>
      <c r="AJ229" s="351"/>
      <c r="AK229" s="351"/>
      <c r="AL229" s="351"/>
      <c r="AM229" s="351"/>
      <c r="AN229" s="351"/>
      <c r="AO229" s="351"/>
      <c r="AP229" s="351"/>
      <c r="AQ229" s="351"/>
      <c r="AR229" s="351"/>
      <c r="AS229" s="351"/>
      <c r="AT229" s="351"/>
      <c r="AU229" s="351"/>
      <c r="AV229" s="351"/>
      <c r="AW229" s="351"/>
      <c r="AX229" s="351"/>
      <c r="AY229" s="351"/>
      <c r="AZ229" s="351"/>
      <c r="BA229" s="351"/>
      <c r="BB229" s="351"/>
      <c r="BC229" s="351"/>
      <c r="BD229" s="351"/>
      <c r="BE229" s="351"/>
      <c r="BF229" s="351"/>
      <c r="BG229" s="351"/>
      <c r="BH229" s="351"/>
      <c r="BI229" s="351"/>
      <c r="BJ229" s="351"/>
      <c r="BK229" s="351"/>
      <c r="BL229" s="351"/>
      <c r="BM229" s="351"/>
      <c r="BN229" s="351"/>
      <c r="BO229" s="351"/>
      <c r="BP229" s="351"/>
      <c r="BQ229" s="351"/>
      <c r="BR229" s="351"/>
      <c r="BS229" s="351"/>
      <c r="BT229" s="351"/>
      <c r="BU229" s="351"/>
      <c r="BV229" s="351"/>
      <c r="BW229" s="351"/>
      <c r="BX229" s="351"/>
      <c r="BY229" s="351"/>
      <c r="BZ229" s="351"/>
      <c r="CA229" s="351"/>
      <c r="CB229" s="351"/>
      <c r="CC229" s="351"/>
      <c r="CD229" s="351"/>
      <c r="CE229" s="351"/>
      <c r="CF229" s="351"/>
      <c r="CG229" s="351"/>
      <c r="CH229" s="351"/>
      <c r="CI229" s="351"/>
      <c r="CJ229" s="351"/>
      <c r="CK229" s="351"/>
      <c r="CL229" s="351"/>
      <c r="CM229" s="351"/>
      <c r="CN229" s="351"/>
      <c r="CO229" s="351"/>
      <c r="CP229" s="351"/>
      <c r="CQ229" s="351"/>
      <c r="CR229" s="351"/>
      <c r="CS229" s="351"/>
      <c r="CT229" s="351"/>
      <c r="CU229" s="351"/>
      <c r="CV229" s="351"/>
      <c r="CW229" s="351"/>
      <c r="CX229" s="351"/>
      <c r="CY229" s="351"/>
      <c r="CZ229" s="351"/>
      <c r="DA229" s="351"/>
      <c r="DB229" s="351"/>
      <c r="DC229" s="351"/>
      <c r="DD229" s="351"/>
      <c r="DE229" s="351"/>
      <c r="DF229" s="351"/>
      <c r="DG229" s="351"/>
      <c r="DH229" s="351"/>
      <c r="DI229" s="351"/>
      <c r="DJ229" s="351"/>
      <c r="DK229" s="351"/>
      <c r="DL229" s="351"/>
      <c r="DM229" s="351"/>
      <c r="DN229" s="351"/>
      <c r="DO229" s="351"/>
      <c r="DP229" s="351"/>
      <c r="DQ229" s="351"/>
      <c r="DR229" s="351"/>
      <c r="DS229" s="351"/>
      <c r="DT229" s="351"/>
      <c r="DU229" s="351"/>
      <c r="DV229" s="351"/>
      <c r="DW229" s="351"/>
      <c r="DX229" s="351"/>
      <c r="DY229" s="351"/>
      <c r="DZ229" s="351"/>
      <c r="EA229" s="351"/>
      <c r="EB229" s="351"/>
      <c r="EC229" s="351"/>
      <c r="ED229" s="351"/>
      <c r="EE229" s="351"/>
      <c r="EF229" s="351"/>
      <c r="EG229" s="351"/>
      <c r="EH229" s="351"/>
      <c r="EI229" s="351"/>
      <c r="EJ229" s="351"/>
      <c r="EK229" s="351"/>
      <c r="EL229" s="351"/>
    </row>
    <row r="230" spans="1:142">
      <c r="A230" s="352"/>
      <c r="B230" s="352"/>
      <c r="C230" s="351"/>
      <c r="D230" s="351"/>
      <c r="E230" s="351"/>
      <c r="F230" s="351"/>
      <c r="G230" s="351"/>
      <c r="H230" s="351"/>
      <c r="I230" s="351"/>
      <c r="J230" s="351"/>
      <c r="K230" s="351"/>
      <c r="L230" s="351"/>
      <c r="M230" s="351"/>
      <c r="N230" s="351"/>
      <c r="O230" s="351"/>
      <c r="P230" s="351"/>
      <c r="Q230" s="351"/>
      <c r="R230" s="351"/>
      <c r="S230" s="351"/>
      <c r="T230" s="351"/>
      <c r="U230" s="351"/>
      <c r="V230" s="351"/>
      <c r="W230" s="351"/>
      <c r="X230" s="351"/>
      <c r="Y230" s="351"/>
      <c r="Z230" s="351"/>
      <c r="AA230" s="351"/>
      <c r="AB230" s="351"/>
      <c r="AC230" s="351"/>
      <c r="AD230" s="351"/>
      <c r="AE230" s="351"/>
      <c r="AF230" s="351"/>
      <c r="AG230" s="351"/>
      <c r="AH230" s="351"/>
      <c r="AI230" s="351"/>
      <c r="AJ230" s="351"/>
      <c r="AK230" s="351"/>
      <c r="AL230" s="351"/>
      <c r="AM230" s="351"/>
      <c r="AN230" s="351"/>
      <c r="AO230" s="351"/>
      <c r="AP230" s="351"/>
      <c r="AQ230" s="351"/>
      <c r="AR230" s="351"/>
      <c r="AS230" s="351"/>
      <c r="AT230" s="351"/>
      <c r="AU230" s="351"/>
      <c r="AV230" s="351"/>
      <c r="AW230" s="351"/>
      <c r="AX230" s="351"/>
      <c r="AY230" s="351"/>
      <c r="AZ230" s="351"/>
      <c r="BA230" s="351"/>
      <c r="BB230" s="351"/>
      <c r="BC230" s="351"/>
      <c r="BD230" s="351"/>
      <c r="BE230" s="351"/>
      <c r="BF230" s="351"/>
      <c r="BG230" s="351"/>
      <c r="BH230" s="351"/>
      <c r="BI230" s="351"/>
      <c r="BJ230" s="351"/>
      <c r="BK230" s="351"/>
      <c r="BL230" s="351"/>
      <c r="BM230" s="351"/>
      <c r="BN230" s="351"/>
      <c r="BO230" s="351"/>
      <c r="BP230" s="351"/>
      <c r="BQ230" s="351"/>
      <c r="BR230" s="351"/>
      <c r="BS230" s="351"/>
      <c r="BT230" s="351"/>
      <c r="BU230" s="351"/>
      <c r="BV230" s="351"/>
      <c r="BW230" s="351"/>
      <c r="BX230" s="351"/>
      <c r="BY230" s="351"/>
      <c r="BZ230" s="351"/>
      <c r="CA230" s="351"/>
      <c r="CB230" s="351"/>
      <c r="CC230" s="351"/>
      <c r="CD230" s="351"/>
      <c r="CE230" s="351"/>
      <c r="CF230" s="351"/>
      <c r="CG230" s="351"/>
      <c r="CH230" s="351"/>
      <c r="CI230" s="351"/>
      <c r="CJ230" s="351"/>
      <c r="CK230" s="351"/>
      <c r="CL230" s="351"/>
      <c r="CM230" s="351"/>
      <c r="CN230" s="351"/>
      <c r="CO230" s="351"/>
      <c r="CP230" s="351"/>
      <c r="CQ230" s="351"/>
      <c r="CR230" s="351"/>
      <c r="CS230" s="351"/>
      <c r="CT230" s="351"/>
      <c r="CU230" s="351"/>
      <c r="CV230" s="351"/>
      <c r="CW230" s="351"/>
      <c r="CX230" s="351"/>
      <c r="CY230" s="351"/>
      <c r="CZ230" s="351"/>
      <c r="DA230" s="351"/>
      <c r="DB230" s="351"/>
      <c r="DC230" s="351"/>
      <c r="DD230" s="351"/>
      <c r="DE230" s="351"/>
      <c r="DF230" s="351"/>
      <c r="DG230" s="351"/>
      <c r="DH230" s="351"/>
      <c r="DI230" s="351"/>
      <c r="DJ230" s="351"/>
      <c r="DK230" s="351"/>
      <c r="DL230" s="351"/>
      <c r="DM230" s="351"/>
      <c r="DN230" s="351"/>
      <c r="DO230" s="351"/>
      <c r="DP230" s="351"/>
      <c r="DQ230" s="351"/>
      <c r="DR230" s="351"/>
      <c r="DS230" s="351"/>
      <c r="DT230" s="351"/>
      <c r="DU230" s="351"/>
      <c r="DV230" s="351"/>
      <c r="DW230" s="351"/>
      <c r="DX230" s="351"/>
      <c r="DY230" s="351"/>
      <c r="DZ230" s="351"/>
      <c r="EA230" s="351"/>
      <c r="EB230" s="351"/>
      <c r="EC230" s="351"/>
      <c r="ED230" s="351"/>
      <c r="EE230" s="351"/>
      <c r="EF230" s="351"/>
      <c r="EG230" s="351"/>
      <c r="EH230" s="351"/>
      <c r="EI230" s="351"/>
      <c r="EJ230" s="351"/>
      <c r="EK230" s="351"/>
      <c r="EL230" s="351"/>
    </row>
    <row r="231" spans="1:142">
      <c r="A231" s="9"/>
      <c r="B231" s="9"/>
      <c r="C231" s="351"/>
      <c r="D231" s="351"/>
      <c r="E231" s="351"/>
      <c r="F231" s="351"/>
      <c r="G231" s="351"/>
      <c r="H231" s="351"/>
      <c r="I231" s="351"/>
      <c r="J231" s="351"/>
      <c r="K231" s="351"/>
      <c r="L231" s="351"/>
      <c r="M231" s="351"/>
      <c r="N231" s="351"/>
      <c r="O231" s="351"/>
      <c r="P231" s="351"/>
      <c r="Q231" s="351"/>
      <c r="R231" s="351"/>
      <c r="S231" s="351"/>
      <c r="T231" s="351"/>
      <c r="U231" s="351"/>
      <c r="V231" s="351"/>
      <c r="W231" s="351"/>
      <c r="X231" s="351"/>
      <c r="Y231" s="351"/>
      <c r="Z231" s="351"/>
      <c r="AA231" s="351"/>
      <c r="AB231" s="351"/>
      <c r="AC231" s="351"/>
      <c r="AD231" s="351"/>
      <c r="AE231" s="351"/>
      <c r="AF231" s="351"/>
      <c r="AG231" s="351"/>
      <c r="AH231" s="351"/>
      <c r="AI231" s="351"/>
      <c r="AJ231" s="351"/>
      <c r="AK231" s="351"/>
      <c r="AL231" s="351"/>
      <c r="AM231" s="351"/>
      <c r="AN231" s="351"/>
      <c r="AO231" s="351"/>
      <c r="AP231" s="351"/>
      <c r="AQ231" s="351"/>
      <c r="AR231" s="351"/>
      <c r="AS231" s="351"/>
      <c r="AT231" s="351"/>
      <c r="AU231" s="351"/>
      <c r="AV231" s="350"/>
      <c r="AW231" s="350"/>
      <c r="AX231" s="350"/>
      <c r="AY231" s="350"/>
      <c r="AZ231" s="350"/>
      <c r="BA231" s="350"/>
      <c r="BB231" s="350"/>
      <c r="BC231" s="350"/>
      <c r="BD231" s="350"/>
      <c r="BE231" s="350"/>
      <c r="BF231" s="350"/>
      <c r="BG231" s="350"/>
      <c r="BH231" s="350"/>
      <c r="BI231" s="350"/>
      <c r="BJ231" s="350"/>
      <c r="BK231" s="350"/>
      <c r="BL231" s="350"/>
      <c r="BM231" s="350"/>
      <c r="BN231" s="350"/>
      <c r="BO231" s="350"/>
      <c r="BP231" s="350"/>
      <c r="BQ231" s="350"/>
      <c r="BR231" s="350"/>
      <c r="BS231" s="350"/>
      <c r="BT231" s="350"/>
      <c r="BU231" s="350"/>
      <c r="BV231" s="350"/>
      <c r="BW231" s="350"/>
      <c r="BX231" s="350"/>
      <c r="BY231" s="350"/>
      <c r="BZ231" s="350"/>
      <c r="CA231" s="350"/>
      <c r="CB231" s="350"/>
      <c r="CC231" s="350"/>
      <c r="CD231" s="350"/>
      <c r="CE231" s="350"/>
      <c r="CF231" s="350"/>
      <c r="CG231" s="350"/>
      <c r="CH231" s="350"/>
      <c r="CI231" s="350"/>
      <c r="CJ231" s="350"/>
      <c r="CK231" s="350"/>
      <c r="CL231" s="350"/>
      <c r="CM231" s="350"/>
      <c r="CN231" s="350"/>
      <c r="CO231" s="350"/>
      <c r="CP231" s="350"/>
      <c r="CQ231" s="350"/>
      <c r="CR231" s="350"/>
      <c r="CS231" s="350"/>
      <c r="CT231" s="350"/>
      <c r="CU231" s="353"/>
      <c r="CV231" s="353"/>
      <c r="CW231" s="353"/>
      <c r="CX231" s="354"/>
      <c r="CY231" s="353"/>
      <c r="CZ231" s="353"/>
      <c r="DA231" s="353"/>
      <c r="DB231" s="353"/>
      <c r="DC231" s="354"/>
      <c r="DD231" s="353"/>
      <c r="DE231" s="353"/>
      <c r="DF231" s="353"/>
      <c r="DG231" s="353"/>
      <c r="DH231" s="354"/>
      <c r="DI231" s="353"/>
      <c r="DJ231" s="353"/>
      <c r="DK231" s="353"/>
      <c r="DL231" s="353"/>
      <c r="DM231" s="354"/>
      <c r="DN231" s="353"/>
      <c r="DO231" s="353"/>
      <c r="DP231" s="353"/>
      <c r="DQ231" s="353"/>
      <c r="DR231" s="354"/>
      <c r="DS231" s="353"/>
      <c r="DT231" s="353"/>
      <c r="DU231" s="353"/>
      <c r="DV231" s="353"/>
      <c r="DW231" s="354"/>
      <c r="DX231" s="353"/>
      <c r="DY231" s="353"/>
      <c r="DZ231" s="353"/>
      <c r="EA231" s="353"/>
      <c r="EB231" s="354"/>
      <c r="EC231" s="353"/>
      <c r="ED231" s="353"/>
      <c r="EE231" s="353"/>
      <c r="EF231" s="353"/>
      <c r="EG231" s="354"/>
      <c r="EH231" s="353"/>
      <c r="EI231" s="353"/>
      <c r="EJ231" s="353"/>
      <c r="EK231" s="353"/>
      <c r="EL231" s="354"/>
    </row>
    <row r="232" spans="1:142">
      <c r="A232" s="9"/>
      <c r="B232" s="9"/>
      <c r="C232" s="351"/>
      <c r="D232" s="351"/>
      <c r="E232" s="351"/>
      <c r="F232" s="351"/>
      <c r="G232" s="351"/>
      <c r="H232" s="351"/>
      <c r="I232" s="351"/>
      <c r="J232" s="351"/>
      <c r="K232" s="351"/>
      <c r="L232" s="351"/>
      <c r="M232" s="351"/>
      <c r="N232" s="351"/>
      <c r="O232" s="351"/>
      <c r="P232" s="351"/>
      <c r="Q232" s="351"/>
      <c r="R232" s="351"/>
      <c r="S232" s="351"/>
      <c r="T232" s="351"/>
      <c r="U232" s="351"/>
      <c r="V232" s="351"/>
      <c r="W232" s="351"/>
      <c r="X232" s="351"/>
      <c r="Y232" s="351"/>
      <c r="Z232" s="351"/>
      <c r="AA232" s="351"/>
      <c r="AB232" s="351"/>
      <c r="AC232" s="351"/>
      <c r="AD232" s="351"/>
      <c r="AE232" s="351"/>
      <c r="AF232" s="351"/>
      <c r="AG232" s="351"/>
      <c r="AH232" s="351"/>
      <c r="AI232" s="351"/>
      <c r="AJ232" s="351"/>
      <c r="AK232" s="351"/>
      <c r="AL232" s="351"/>
      <c r="AM232" s="351"/>
      <c r="AN232" s="351"/>
      <c r="AO232" s="351"/>
      <c r="AP232" s="351"/>
      <c r="AQ232" s="351"/>
      <c r="AR232" s="351"/>
      <c r="AS232" s="351"/>
      <c r="AT232" s="351"/>
      <c r="AU232" s="351"/>
      <c r="AV232" s="350"/>
      <c r="AW232" s="350"/>
      <c r="AX232" s="350"/>
      <c r="AY232" s="350"/>
      <c r="AZ232" s="350"/>
      <c r="BA232" s="350"/>
      <c r="BB232" s="350"/>
      <c r="BC232" s="350"/>
      <c r="BD232" s="350"/>
      <c r="BE232" s="350"/>
      <c r="BF232" s="350"/>
      <c r="BG232" s="350"/>
      <c r="BH232" s="350"/>
      <c r="BI232" s="350"/>
      <c r="BJ232" s="350"/>
      <c r="BK232" s="350"/>
      <c r="BL232" s="350"/>
      <c r="BM232" s="350"/>
      <c r="BN232" s="350"/>
      <c r="BO232" s="350"/>
      <c r="BP232" s="350"/>
      <c r="BQ232" s="350"/>
      <c r="BR232" s="350"/>
      <c r="BS232" s="350"/>
      <c r="BT232" s="350"/>
      <c r="BU232" s="350"/>
      <c r="BV232" s="350"/>
      <c r="BW232" s="350"/>
      <c r="BX232" s="350"/>
      <c r="BY232" s="350"/>
      <c r="BZ232" s="350"/>
      <c r="CA232" s="350"/>
      <c r="CB232" s="350"/>
      <c r="CC232" s="350"/>
      <c r="CD232" s="350"/>
      <c r="CE232" s="350"/>
      <c r="CF232" s="350"/>
      <c r="CG232" s="350"/>
      <c r="CH232" s="350"/>
      <c r="CI232" s="350"/>
      <c r="CJ232" s="350"/>
      <c r="CK232" s="350"/>
      <c r="CL232" s="350"/>
      <c r="CM232" s="350"/>
      <c r="CN232" s="350"/>
      <c r="CO232" s="350"/>
      <c r="CP232" s="350"/>
      <c r="CQ232" s="350"/>
      <c r="CR232" s="350"/>
      <c r="CS232" s="350"/>
      <c r="CT232" s="350"/>
      <c r="CU232" s="353"/>
      <c r="CV232" s="353"/>
      <c r="CW232" s="353"/>
      <c r="CX232" s="354"/>
      <c r="CY232" s="353"/>
      <c r="CZ232" s="353"/>
      <c r="DA232" s="353"/>
      <c r="DB232" s="353"/>
      <c r="DC232" s="354"/>
      <c r="DD232" s="353"/>
      <c r="DE232" s="353"/>
      <c r="DF232" s="353"/>
      <c r="DG232" s="353"/>
      <c r="DH232" s="354"/>
      <c r="DI232" s="353"/>
      <c r="DJ232" s="353"/>
      <c r="DK232" s="353"/>
      <c r="DL232" s="353"/>
      <c r="DM232" s="354"/>
      <c r="DN232" s="353"/>
      <c r="DO232" s="353"/>
      <c r="DP232" s="353"/>
      <c r="DQ232" s="353"/>
      <c r="DR232" s="354"/>
      <c r="DS232" s="353"/>
      <c r="DT232" s="353"/>
      <c r="DU232" s="353"/>
      <c r="DV232" s="353"/>
      <c r="DW232" s="354"/>
      <c r="DX232" s="353"/>
      <c r="DY232" s="353"/>
      <c r="DZ232" s="353"/>
      <c r="EA232" s="353"/>
      <c r="EB232" s="354"/>
      <c r="EC232" s="353"/>
      <c r="ED232" s="353"/>
      <c r="EE232" s="353"/>
      <c r="EF232" s="353"/>
      <c r="EG232" s="354"/>
      <c r="EH232" s="353"/>
      <c r="EI232" s="353"/>
      <c r="EJ232" s="353"/>
      <c r="EK232" s="353"/>
      <c r="EL232" s="354"/>
    </row>
    <row r="233" spans="1:142">
      <c r="A233" s="9"/>
      <c r="B233" s="9"/>
      <c r="C233" s="351"/>
      <c r="D233" s="351"/>
      <c r="E233" s="351"/>
      <c r="F233" s="351"/>
      <c r="G233" s="351"/>
      <c r="H233" s="351"/>
      <c r="I233" s="351"/>
      <c r="J233" s="351"/>
      <c r="K233" s="351"/>
      <c r="L233" s="351"/>
      <c r="M233" s="351"/>
      <c r="N233" s="351"/>
      <c r="O233" s="351"/>
      <c r="P233" s="351"/>
      <c r="Q233" s="351"/>
      <c r="R233" s="351"/>
      <c r="S233" s="351"/>
      <c r="T233" s="351"/>
      <c r="U233" s="351"/>
      <c r="V233" s="351"/>
      <c r="W233" s="351"/>
      <c r="X233" s="351"/>
      <c r="Y233" s="351"/>
      <c r="Z233" s="351"/>
      <c r="AA233" s="351"/>
      <c r="AB233" s="351"/>
      <c r="AC233" s="351"/>
      <c r="AD233" s="351"/>
      <c r="AE233" s="351"/>
      <c r="AF233" s="351"/>
      <c r="AG233" s="351"/>
      <c r="AH233" s="351"/>
      <c r="AI233" s="351"/>
      <c r="AJ233" s="351"/>
      <c r="AK233" s="351"/>
      <c r="AL233" s="351"/>
      <c r="AM233" s="351"/>
      <c r="AN233" s="351"/>
      <c r="AO233" s="351"/>
      <c r="AP233" s="351"/>
      <c r="AQ233" s="351"/>
      <c r="AR233" s="351"/>
      <c r="AS233" s="351"/>
      <c r="AT233" s="351"/>
      <c r="AU233" s="351"/>
      <c r="AV233" s="350"/>
      <c r="AW233" s="350"/>
      <c r="AX233" s="350"/>
      <c r="AY233" s="350"/>
      <c r="AZ233" s="350"/>
      <c r="BA233" s="350"/>
      <c r="BB233" s="350"/>
      <c r="BC233" s="350"/>
      <c r="BD233" s="350"/>
      <c r="BE233" s="350"/>
      <c r="BF233" s="350"/>
      <c r="BG233" s="350"/>
      <c r="BH233" s="350"/>
      <c r="BI233" s="350"/>
      <c r="BJ233" s="350"/>
      <c r="BK233" s="350"/>
      <c r="BL233" s="350"/>
      <c r="BM233" s="350"/>
      <c r="BN233" s="350"/>
      <c r="BO233" s="350"/>
      <c r="BP233" s="350"/>
      <c r="BQ233" s="350"/>
      <c r="BR233" s="350"/>
      <c r="BS233" s="350"/>
      <c r="BT233" s="350"/>
      <c r="BU233" s="350"/>
      <c r="BV233" s="350"/>
      <c r="BW233" s="350"/>
      <c r="BX233" s="350"/>
      <c r="BY233" s="350"/>
      <c r="BZ233" s="350"/>
      <c r="CA233" s="350"/>
      <c r="CB233" s="350"/>
      <c r="CC233" s="350"/>
      <c r="CD233" s="350"/>
      <c r="CE233" s="350"/>
      <c r="CF233" s="350"/>
      <c r="CG233" s="350"/>
      <c r="CH233" s="350"/>
      <c r="CI233" s="350"/>
      <c r="CJ233" s="350"/>
      <c r="CK233" s="350"/>
      <c r="CL233" s="350"/>
      <c r="CM233" s="350"/>
      <c r="CN233" s="350"/>
      <c r="CO233" s="350"/>
      <c r="CP233" s="350"/>
      <c r="CQ233" s="350"/>
      <c r="CR233" s="350"/>
      <c r="CS233" s="350"/>
      <c r="CT233" s="350"/>
      <c r="CU233" s="353"/>
      <c r="CV233" s="353"/>
      <c r="CW233" s="353"/>
      <c r="CX233" s="354"/>
      <c r="CY233" s="353"/>
      <c r="CZ233" s="353"/>
      <c r="DA233" s="353"/>
      <c r="DB233" s="353"/>
      <c r="DC233" s="354"/>
      <c r="DD233" s="353"/>
      <c r="DE233" s="353"/>
      <c r="DF233" s="353"/>
      <c r="DG233" s="353"/>
      <c r="DH233" s="354"/>
      <c r="DI233" s="353"/>
      <c r="DJ233" s="353"/>
      <c r="DK233" s="353"/>
      <c r="DL233" s="353"/>
      <c r="DM233" s="354"/>
      <c r="DN233" s="353"/>
      <c r="DO233" s="353"/>
      <c r="DP233" s="353"/>
      <c r="DQ233" s="353"/>
      <c r="DR233" s="354"/>
      <c r="DS233" s="353"/>
      <c r="DT233" s="353"/>
      <c r="DU233" s="353"/>
      <c r="DV233" s="353"/>
      <c r="DW233" s="354"/>
      <c r="DX233" s="353"/>
      <c r="DY233" s="353"/>
      <c r="DZ233" s="353"/>
      <c r="EA233" s="353"/>
      <c r="EB233" s="354"/>
      <c r="EC233" s="353"/>
      <c r="ED233" s="353"/>
      <c r="EE233" s="353"/>
      <c r="EF233" s="353"/>
      <c r="EG233" s="354"/>
      <c r="EH233" s="353"/>
      <c r="EI233" s="353"/>
      <c r="EJ233" s="353"/>
      <c r="EK233" s="353"/>
      <c r="EL233" s="354"/>
    </row>
    <row r="234" spans="1:142">
      <c r="A234" s="9"/>
      <c r="B234" s="9"/>
      <c r="C234" s="351"/>
      <c r="D234" s="351"/>
      <c r="E234" s="351"/>
      <c r="F234" s="351"/>
      <c r="G234" s="351"/>
      <c r="H234" s="351"/>
      <c r="I234" s="351"/>
      <c r="J234" s="351"/>
      <c r="K234" s="351"/>
      <c r="L234" s="351"/>
      <c r="M234" s="351"/>
      <c r="N234" s="351"/>
      <c r="O234" s="351"/>
      <c r="P234" s="351"/>
      <c r="Q234" s="351"/>
      <c r="R234" s="351"/>
      <c r="S234" s="351"/>
      <c r="T234" s="351"/>
      <c r="U234" s="351"/>
      <c r="V234" s="351"/>
      <c r="W234" s="351"/>
      <c r="X234" s="351"/>
      <c r="Y234" s="351"/>
      <c r="Z234" s="351"/>
      <c r="AA234" s="351"/>
      <c r="AB234" s="351"/>
      <c r="AC234" s="351"/>
      <c r="AD234" s="351"/>
      <c r="AE234" s="351"/>
      <c r="AF234" s="351"/>
      <c r="AG234" s="351"/>
      <c r="AH234" s="351"/>
      <c r="AI234" s="351"/>
      <c r="AJ234" s="351"/>
      <c r="AK234" s="351"/>
      <c r="AL234" s="351"/>
      <c r="AM234" s="351"/>
      <c r="AN234" s="351"/>
      <c r="AO234" s="351"/>
      <c r="AP234" s="351"/>
      <c r="AQ234" s="351"/>
      <c r="AR234" s="351"/>
      <c r="AS234" s="351"/>
      <c r="AT234" s="351"/>
      <c r="AU234" s="351"/>
      <c r="AV234" s="350"/>
      <c r="AW234" s="350"/>
      <c r="AX234" s="350"/>
      <c r="AY234" s="350"/>
      <c r="AZ234" s="350"/>
      <c r="BA234" s="350"/>
      <c r="BB234" s="350"/>
      <c r="BC234" s="350"/>
      <c r="BD234" s="350"/>
      <c r="BE234" s="350"/>
      <c r="BF234" s="350"/>
      <c r="BG234" s="350"/>
      <c r="BH234" s="350"/>
      <c r="BI234" s="350"/>
      <c r="BJ234" s="350"/>
      <c r="BK234" s="350"/>
      <c r="BL234" s="350"/>
      <c r="BM234" s="350"/>
      <c r="BN234" s="350"/>
      <c r="BO234" s="350"/>
      <c r="BP234" s="350"/>
      <c r="BQ234" s="350"/>
      <c r="BR234" s="350"/>
      <c r="BS234" s="350"/>
      <c r="BT234" s="350"/>
      <c r="BU234" s="350"/>
      <c r="BV234" s="350"/>
      <c r="BW234" s="350"/>
      <c r="BX234" s="350"/>
      <c r="BY234" s="350"/>
      <c r="BZ234" s="350"/>
      <c r="CA234" s="350"/>
      <c r="CB234" s="350"/>
      <c r="CC234" s="350"/>
      <c r="CD234" s="350"/>
      <c r="CE234" s="350"/>
      <c r="CF234" s="350"/>
      <c r="CG234" s="350"/>
      <c r="CH234" s="350"/>
      <c r="CI234" s="350"/>
      <c r="CJ234" s="350"/>
      <c r="CK234" s="350"/>
      <c r="CL234" s="350"/>
      <c r="CM234" s="350"/>
      <c r="CN234" s="350"/>
      <c r="CO234" s="350"/>
      <c r="CP234" s="350"/>
      <c r="CQ234" s="350"/>
      <c r="CR234" s="350"/>
      <c r="CS234" s="350"/>
      <c r="CT234" s="350"/>
      <c r="CU234" s="353"/>
      <c r="CV234" s="353"/>
      <c r="CW234" s="353"/>
      <c r="CX234" s="354"/>
      <c r="CY234" s="353"/>
      <c r="CZ234" s="353"/>
      <c r="DA234" s="353"/>
      <c r="DB234" s="353"/>
      <c r="DC234" s="354"/>
      <c r="DD234" s="353"/>
      <c r="DE234" s="353"/>
      <c r="DF234" s="353"/>
      <c r="DG234" s="353"/>
      <c r="DH234" s="354"/>
      <c r="DI234" s="353"/>
      <c r="DJ234" s="353"/>
      <c r="DK234" s="353"/>
      <c r="DL234" s="353"/>
      <c r="DM234" s="354"/>
      <c r="DN234" s="353"/>
      <c r="DO234" s="353"/>
      <c r="DP234" s="353"/>
      <c r="DQ234" s="353"/>
      <c r="DR234" s="354"/>
      <c r="DS234" s="353"/>
      <c r="DT234" s="353"/>
      <c r="DU234" s="353"/>
      <c r="DV234" s="353"/>
      <c r="DW234" s="354"/>
      <c r="DX234" s="353"/>
      <c r="DY234" s="353"/>
      <c r="DZ234" s="353"/>
      <c r="EA234" s="353"/>
      <c r="EB234" s="354"/>
      <c r="EC234" s="353"/>
      <c r="ED234" s="353"/>
      <c r="EE234" s="353"/>
      <c r="EF234" s="353"/>
      <c r="EG234" s="354"/>
      <c r="EH234" s="353"/>
      <c r="EI234" s="353"/>
      <c r="EJ234" s="353"/>
      <c r="EK234" s="353"/>
      <c r="EL234" s="354"/>
    </row>
    <row r="235" spans="1:142">
      <c r="A235" s="9"/>
      <c r="B235" s="9"/>
      <c r="C235" s="351"/>
      <c r="D235" s="351"/>
      <c r="E235" s="351"/>
      <c r="F235" s="351"/>
      <c r="G235" s="351"/>
      <c r="H235" s="351"/>
      <c r="I235" s="351"/>
      <c r="J235" s="351"/>
      <c r="K235" s="351"/>
      <c r="L235" s="351"/>
      <c r="M235" s="351"/>
      <c r="N235" s="351"/>
      <c r="O235" s="351"/>
      <c r="P235" s="351"/>
      <c r="Q235" s="351"/>
      <c r="R235" s="351"/>
      <c r="S235" s="351"/>
      <c r="T235" s="351"/>
      <c r="U235" s="351"/>
      <c r="V235" s="351"/>
      <c r="W235" s="351"/>
      <c r="X235" s="351"/>
      <c r="Y235" s="351"/>
      <c r="Z235" s="351"/>
      <c r="AA235" s="351"/>
      <c r="AB235" s="351"/>
      <c r="AC235" s="351"/>
      <c r="AD235" s="351"/>
      <c r="AE235" s="351"/>
      <c r="AF235" s="351"/>
      <c r="AG235" s="351"/>
      <c r="AH235" s="351"/>
      <c r="AI235" s="351"/>
      <c r="AJ235" s="351"/>
      <c r="AK235" s="351"/>
      <c r="AL235" s="351"/>
      <c r="AM235" s="351"/>
      <c r="AN235" s="351"/>
      <c r="AO235" s="351"/>
      <c r="AP235" s="351"/>
      <c r="AQ235" s="351"/>
      <c r="AR235" s="351"/>
      <c r="AS235" s="351"/>
      <c r="AT235" s="351"/>
      <c r="AU235" s="351"/>
      <c r="AV235" s="350"/>
      <c r="AW235" s="350"/>
      <c r="AX235" s="350"/>
      <c r="AY235" s="350"/>
      <c r="AZ235" s="350"/>
      <c r="BA235" s="350"/>
      <c r="BB235" s="350"/>
      <c r="BC235" s="350"/>
      <c r="BD235" s="350"/>
      <c r="BE235" s="350"/>
      <c r="BF235" s="350"/>
      <c r="BG235" s="350"/>
      <c r="BH235" s="350"/>
      <c r="BI235" s="350"/>
      <c r="BJ235" s="350"/>
      <c r="BK235" s="350"/>
      <c r="BL235" s="350"/>
      <c r="BM235" s="350"/>
      <c r="BN235" s="350"/>
      <c r="BO235" s="350"/>
      <c r="BP235" s="350"/>
      <c r="BQ235" s="350"/>
      <c r="BR235" s="350"/>
      <c r="BS235" s="350"/>
      <c r="BT235" s="350"/>
      <c r="BU235" s="350"/>
      <c r="BV235" s="350"/>
      <c r="BW235" s="350"/>
      <c r="BX235" s="350"/>
      <c r="BY235" s="350"/>
      <c r="BZ235" s="350"/>
      <c r="CA235" s="350"/>
      <c r="CB235" s="350"/>
      <c r="CC235" s="350"/>
      <c r="CD235" s="350"/>
      <c r="CE235" s="350"/>
      <c r="CF235" s="350"/>
      <c r="CG235" s="350"/>
      <c r="CH235" s="350"/>
      <c r="CI235" s="350"/>
      <c r="CJ235" s="350"/>
      <c r="CK235" s="350"/>
      <c r="CL235" s="350"/>
      <c r="CM235" s="350"/>
      <c r="CN235" s="350"/>
      <c r="CO235" s="350"/>
      <c r="CP235" s="350"/>
      <c r="CQ235" s="350"/>
      <c r="CR235" s="350"/>
      <c r="CS235" s="350"/>
      <c r="CT235" s="350"/>
      <c r="CU235" s="353"/>
      <c r="CV235" s="353"/>
      <c r="CW235" s="353"/>
      <c r="CX235" s="354"/>
      <c r="CY235" s="353"/>
      <c r="CZ235" s="353"/>
      <c r="DA235" s="353"/>
      <c r="DB235" s="353"/>
      <c r="DC235" s="354"/>
      <c r="DD235" s="353"/>
      <c r="DE235" s="353"/>
      <c r="DF235" s="353"/>
      <c r="DG235" s="353"/>
      <c r="DH235" s="354"/>
      <c r="DI235" s="353"/>
      <c r="DJ235" s="353"/>
      <c r="DK235" s="353"/>
      <c r="DL235" s="353"/>
      <c r="DM235" s="354"/>
      <c r="DN235" s="353"/>
      <c r="DO235" s="353"/>
      <c r="DP235" s="353"/>
      <c r="DQ235" s="353"/>
      <c r="DR235" s="354"/>
      <c r="DS235" s="353"/>
      <c r="DT235" s="353"/>
      <c r="DU235" s="353"/>
      <c r="DV235" s="353"/>
      <c r="DW235" s="354"/>
      <c r="DX235" s="353"/>
      <c r="DY235" s="353"/>
      <c r="DZ235" s="353"/>
      <c r="EA235" s="353"/>
      <c r="EB235" s="354"/>
      <c r="EC235" s="353"/>
      <c r="ED235" s="353"/>
      <c r="EE235" s="353"/>
      <c r="EF235" s="353"/>
      <c r="EG235" s="354"/>
      <c r="EH235" s="353"/>
      <c r="EI235" s="353"/>
      <c r="EJ235" s="353"/>
      <c r="EK235" s="353"/>
      <c r="EL235" s="354"/>
    </row>
    <row r="236" spans="1:142">
      <c r="A236" s="9"/>
      <c r="B236" s="9"/>
      <c r="C236" s="351"/>
      <c r="D236" s="351"/>
      <c r="E236" s="351"/>
      <c r="F236" s="351"/>
      <c r="G236" s="351"/>
      <c r="H236" s="351"/>
      <c r="I236" s="351"/>
      <c r="J236" s="351"/>
      <c r="K236" s="351"/>
      <c r="L236" s="351"/>
      <c r="M236" s="351"/>
      <c r="N236" s="351"/>
      <c r="O236" s="351"/>
      <c r="P236" s="351"/>
      <c r="Q236" s="351"/>
      <c r="R236" s="351"/>
      <c r="S236" s="351"/>
      <c r="T236" s="351"/>
      <c r="U236" s="351"/>
      <c r="V236" s="351"/>
      <c r="W236" s="351"/>
      <c r="X236" s="351"/>
      <c r="Y236" s="351"/>
      <c r="Z236" s="351"/>
      <c r="AA236" s="351"/>
      <c r="AB236" s="351"/>
      <c r="AC236" s="351"/>
      <c r="AD236" s="351"/>
      <c r="AE236" s="351"/>
      <c r="AF236" s="351"/>
      <c r="AG236" s="351"/>
      <c r="AH236" s="351"/>
      <c r="AI236" s="351"/>
      <c r="AJ236" s="351"/>
      <c r="AK236" s="351"/>
      <c r="AL236" s="351"/>
      <c r="AM236" s="350"/>
      <c r="AN236" s="350"/>
      <c r="AO236" s="350"/>
      <c r="AP236" s="350"/>
      <c r="AQ236" s="350"/>
      <c r="AR236" s="350"/>
      <c r="AS236" s="350"/>
      <c r="AT236" s="350"/>
      <c r="AU236" s="355"/>
      <c r="AV236" s="350"/>
      <c r="AW236" s="350"/>
      <c r="AX236" s="350"/>
      <c r="AY236" s="350"/>
      <c r="AZ236" s="350"/>
      <c r="BA236" s="350"/>
      <c r="BB236" s="350"/>
      <c r="BC236" s="350"/>
      <c r="BD236" s="350"/>
      <c r="BE236" s="350"/>
      <c r="BF236" s="350"/>
      <c r="BG236" s="350"/>
      <c r="BH236" s="350"/>
      <c r="BI236" s="350"/>
      <c r="BJ236" s="350"/>
      <c r="BK236" s="350"/>
      <c r="BL236" s="350"/>
      <c r="BM236" s="350"/>
      <c r="BN236" s="350"/>
      <c r="BO236" s="350"/>
      <c r="BP236" s="350"/>
      <c r="BQ236" s="350"/>
      <c r="BR236" s="350"/>
      <c r="BS236" s="350"/>
      <c r="BT236" s="350"/>
      <c r="BU236" s="350"/>
      <c r="BV236" s="350"/>
      <c r="BW236" s="350"/>
      <c r="BX236" s="350"/>
      <c r="BY236" s="350"/>
      <c r="BZ236" s="350"/>
      <c r="CA236" s="350"/>
      <c r="CB236" s="350"/>
      <c r="CC236" s="350"/>
      <c r="CD236" s="350"/>
      <c r="CE236" s="350"/>
      <c r="CF236" s="350"/>
      <c r="CG236" s="350"/>
      <c r="CH236" s="350"/>
      <c r="CI236" s="350"/>
      <c r="CJ236" s="350"/>
      <c r="CK236" s="350"/>
      <c r="CL236" s="350"/>
      <c r="CM236" s="350"/>
      <c r="CN236" s="350"/>
      <c r="CO236" s="350"/>
      <c r="CP236" s="350"/>
      <c r="CQ236" s="350"/>
      <c r="CR236" s="350"/>
      <c r="CS236" s="350"/>
      <c r="CT236" s="350"/>
      <c r="CU236" s="353"/>
      <c r="CV236" s="353"/>
      <c r="CW236" s="353"/>
      <c r="CX236" s="354"/>
      <c r="CY236" s="353"/>
      <c r="CZ236" s="353"/>
      <c r="DA236" s="353"/>
      <c r="DB236" s="353"/>
      <c r="DC236" s="354"/>
      <c r="DD236" s="353"/>
      <c r="DE236" s="353"/>
      <c r="DF236" s="353"/>
      <c r="DG236" s="353"/>
      <c r="DH236" s="354"/>
      <c r="DI236" s="353"/>
      <c r="DJ236" s="353"/>
      <c r="DK236" s="353"/>
      <c r="DL236" s="353"/>
      <c r="DM236" s="354"/>
      <c r="DN236" s="353"/>
      <c r="DO236" s="353"/>
      <c r="DP236" s="353"/>
      <c r="DQ236" s="353"/>
      <c r="DR236" s="354"/>
      <c r="DS236" s="353"/>
      <c r="DT236" s="353"/>
      <c r="DU236" s="353"/>
      <c r="DV236" s="353"/>
      <c r="DW236" s="354"/>
      <c r="DX236" s="353"/>
      <c r="DY236" s="353"/>
      <c r="DZ236" s="353"/>
      <c r="EA236" s="353"/>
      <c r="EB236" s="354"/>
      <c r="EC236" s="353"/>
      <c r="ED236" s="353"/>
      <c r="EE236" s="353"/>
      <c r="EF236" s="353"/>
      <c r="EG236" s="354"/>
      <c r="EH236" s="353"/>
      <c r="EI236" s="353"/>
      <c r="EJ236" s="353"/>
      <c r="EK236" s="353"/>
      <c r="EL236" s="354"/>
    </row>
    <row r="237" spans="1:142">
      <c r="A237" s="356"/>
      <c r="B237" s="356"/>
      <c r="C237" s="351"/>
      <c r="D237" s="351"/>
      <c r="E237" s="351"/>
      <c r="F237" s="351"/>
      <c r="G237" s="351"/>
      <c r="H237" s="351"/>
      <c r="I237" s="351"/>
      <c r="J237" s="351"/>
      <c r="K237" s="351"/>
      <c r="L237" s="351"/>
      <c r="M237" s="351"/>
      <c r="N237" s="351"/>
      <c r="O237" s="351"/>
      <c r="P237" s="351"/>
      <c r="Q237" s="351"/>
      <c r="R237" s="351"/>
      <c r="S237" s="351"/>
      <c r="T237" s="351"/>
      <c r="U237" s="351"/>
      <c r="V237" s="351"/>
      <c r="W237" s="351"/>
      <c r="X237" s="351"/>
      <c r="Y237" s="351"/>
      <c r="Z237" s="351"/>
      <c r="AA237" s="351"/>
      <c r="AB237" s="351"/>
      <c r="AC237" s="351"/>
      <c r="AD237" s="351"/>
      <c r="AE237" s="351"/>
      <c r="AF237" s="351"/>
      <c r="AG237" s="351"/>
      <c r="AH237" s="351"/>
      <c r="AI237" s="351"/>
      <c r="AJ237" s="351"/>
      <c r="AK237" s="351"/>
      <c r="AL237" s="351"/>
      <c r="AM237" s="351"/>
      <c r="AN237" s="351"/>
      <c r="AO237" s="351"/>
      <c r="AP237" s="351"/>
      <c r="AQ237" s="351"/>
      <c r="AR237" s="351"/>
      <c r="AS237" s="351"/>
      <c r="AT237" s="351"/>
      <c r="AU237" s="351"/>
      <c r="AV237" s="351"/>
      <c r="AW237" s="351"/>
      <c r="AX237" s="351"/>
      <c r="AY237" s="351"/>
      <c r="AZ237" s="351"/>
      <c r="BA237" s="351"/>
      <c r="BB237" s="351"/>
      <c r="BC237" s="351"/>
      <c r="BD237" s="351"/>
      <c r="BE237" s="351"/>
      <c r="BF237" s="351"/>
      <c r="BG237" s="351"/>
      <c r="BH237" s="351"/>
      <c r="BI237" s="351"/>
      <c r="BJ237" s="351"/>
      <c r="BK237" s="351"/>
      <c r="BL237" s="351"/>
      <c r="BM237" s="351"/>
      <c r="BN237" s="351"/>
      <c r="BO237" s="351"/>
      <c r="BP237" s="351"/>
      <c r="BQ237" s="351"/>
      <c r="BR237" s="351"/>
      <c r="BS237" s="351"/>
      <c r="BT237" s="351"/>
      <c r="BU237" s="351"/>
      <c r="BV237" s="351"/>
      <c r="BW237" s="351"/>
      <c r="BX237" s="351"/>
      <c r="BY237" s="351"/>
      <c r="BZ237" s="351"/>
      <c r="CA237" s="351"/>
      <c r="CB237" s="351"/>
      <c r="CC237" s="351"/>
      <c r="CD237" s="351"/>
      <c r="CE237" s="351"/>
      <c r="CF237" s="351"/>
      <c r="CG237" s="351"/>
      <c r="CH237" s="351"/>
      <c r="CI237" s="351"/>
      <c r="CJ237" s="351"/>
      <c r="CK237" s="351"/>
      <c r="CL237" s="351"/>
      <c r="CM237" s="351"/>
      <c r="CN237" s="351"/>
      <c r="CO237" s="351"/>
      <c r="CP237" s="351"/>
      <c r="CQ237" s="351"/>
      <c r="CR237" s="351"/>
      <c r="CS237" s="351"/>
      <c r="CT237" s="351"/>
      <c r="CU237" s="351"/>
      <c r="CV237" s="351"/>
      <c r="CW237" s="351"/>
      <c r="CX237" s="351"/>
      <c r="CY237" s="351"/>
      <c r="CZ237" s="351"/>
      <c r="DA237" s="351"/>
      <c r="DB237" s="351"/>
      <c r="DC237" s="351"/>
      <c r="DD237" s="351"/>
      <c r="DE237" s="351"/>
      <c r="DF237" s="351"/>
      <c r="DG237" s="351"/>
      <c r="DH237" s="351"/>
      <c r="DI237" s="351"/>
      <c r="DJ237" s="351"/>
      <c r="DK237" s="351"/>
      <c r="DL237" s="351"/>
      <c r="DM237" s="351"/>
      <c r="DN237" s="351"/>
      <c r="DO237" s="351"/>
      <c r="DP237" s="351"/>
      <c r="DQ237" s="351"/>
      <c r="DR237" s="351"/>
      <c r="DS237" s="351"/>
      <c r="DT237" s="351"/>
      <c r="DU237" s="351"/>
      <c r="DV237" s="351"/>
      <c r="DW237" s="351"/>
      <c r="DX237" s="351"/>
      <c r="DY237" s="351"/>
      <c r="DZ237" s="351"/>
      <c r="EA237" s="351"/>
      <c r="EB237" s="351"/>
      <c r="EC237" s="351"/>
      <c r="ED237" s="351"/>
      <c r="EE237" s="351"/>
      <c r="EF237" s="351"/>
      <c r="EG237" s="351"/>
      <c r="EH237" s="351"/>
      <c r="EI237" s="351"/>
      <c r="EJ237" s="351"/>
      <c r="EK237" s="351"/>
      <c r="EL237" s="351"/>
    </row>
    <row r="238" spans="1:142">
      <c r="A238" s="352"/>
      <c r="B238" s="352"/>
      <c r="C238" s="351"/>
      <c r="D238" s="351"/>
      <c r="E238" s="351"/>
      <c r="F238" s="351"/>
      <c r="G238" s="351"/>
      <c r="H238" s="351"/>
      <c r="I238" s="351"/>
      <c r="J238" s="351"/>
      <c r="K238" s="351"/>
      <c r="L238" s="351"/>
      <c r="M238" s="351"/>
      <c r="N238" s="351"/>
      <c r="O238" s="351"/>
      <c r="P238" s="351"/>
      <c r="Q238" s="351"/>
      <c r="R238" s="351"/>
      <c r="S238" s="351"/>
      <c r="T238" s="351"/>
      <c r="U238" s="351"/>
      <c r="V238" s="351"/>
      <c r="W238" s="351"/>
      <c r="X238" s="351"/>
      <c r="Y238" s="351"/>
      <c r="Z238" s="351"/>
      <c r="AA238" s="351"/>
      <c r="AB238" s="351"/>
      <c r="AC238" s="351"/>
      <c r="AD238" s="351"/>
      <c r="AE238" s="351"/>
      <c r="AF238" s="351"/>
      <c r="AG238" s="351"/>
      <c r="AH238" s="351"/>
      <c r="AI238" s="351"/>
      <c r="AJ238" s="351"/>
      <c r="AK238" s="351"/>
      <c r="AL238" s="351"/>
      <c r="AM238" s="351"/>
      <c r="AN238" s="351"/>
      <c r="AO238" s="351"/>
      <c r="AP238" s="351"/>
      <c r="AQ238" s="351"/>
      <c r="AR238" s="351"/>
      <c r="AS238" s="351"/>
      <c r="AT238" s="351"/>
      <c r="AU238" s="351"/>
      <c r="AV238" s="351"/>
      <c r="AW238" s="351"/>
      <c r="AX238" s="351"/>
      <c r="AY238" s="351"/>
      <c r="AZ238" s="351"/>
      <c r="BA238" s="351"/>
      <c r="BB238" s="351"/>
      <c r="BC238" s="351"/>
      <c r="BD238" s="351"/>
      <c r="BE238" s="351"/>
      <c r="BF238" s="351"/>
      <c r="BG238" s="351"/>
      <c r="BH238" s="351"/>
      <c r="BI238" s="351"/>
      <c r="BJ238" s="351"/>
      <c r="BK238" s="351"/>
      <c r="BL238" s="351"/>
      <c r="BM238" s="351"/>
      <c r="BN238" s="351"/>
      <c r="BO238" s="351"/>
      <c r="BP238" s="351"/>
      <c r="BQ238" s="351"/>
      <c r="BR238" s="351"/>
      <c r="BS238" s="351"/>
      <c r="BT238" s="351"/>
      <c r="BU238" s="351"/>
      <c r="BV238" s="351"/>
      <c r="BW238" s="351"/>
      <c r="BX238" s="351"/>
      <c r="BY238" s="351"/>
      <c r="BZ238" s="351"/>
      <c r="CA238" s="351"/>
      <c r="CB238" s="351"/>
      <c r="CC238" s="351"/>
      <c r="CD238" s="351"/>
      <c r="CE238" s="351"/>
      <c r="CF238" s="351"/>
      <c r="CG238" s="351"/>
      <c r="CH238" s="351"/>
      <c r="CI238" s="351"/>
      <c r="CJ238" s="351"/>
      <c r="CK238" s="351"/>
      <c r="CL238" s="351"/>
      <c r="CM238" s="351"/>
      <c r="CN238" s="351"/>
      <c r="CO238" s="351"/>
      <c r="CP238" s="351"/>
      <c r="CQ238" s="351"/>
      <c r="CR238" s="351"/>
      <c r="CS238" s="351"/>
      <c r="CT238" s="351"/>
      <c r="CU238" s="351"/>
      <c r="CV238" s="351"/>
      <c r="CW238" s="351"/>
      <c r="CX238" s="351"/>
      <c r="CY238" s="351"/>
      <c r="CZ238" s="351"/>
      <c r="DA238" s="351"/>
      <c r="DB238" s="351"/>
      <c r="DC238" s="351"/>
      <c r="DD238" s="351"/>
      <c r="DE238" s="351"/>
      <c r="DF238" s="351"/>
      <c r="DG238" s="351"/>
      <c r="DH238" s="351"/>
      <c r="DI238" s="351"/>
      <c r="DJ238" s="351"/>
      <c r="DK238" s="351"/>
      <c r="DL238" s="351"/>
      <c r="DM238" s="351"/>
      <c r="DN238" s="351"/>
      <c r="DO238" s="351"/>
      <c r="DP238" s="351"/>
      <c r="DQ238" s="351"/>
      <c r="DR238" s="351"/>
      <c r="DS238" s="351"/>
      <c r="DT238" s="351"/>
      <c r="DU238" s="351"/>
      <c r="DV238" s="351"/>
      <c r="DW238" s="351"/>
      <c r="DX238" s="351"/>
      <c r="DY238" s="351"/>
      <c r="DZ238" s="351"/>
      <c r="EA238" s="351"/>
      <c r="EB238" s="351"/>
      <c r="EC238" s="351"/>
      <c r="ED238" s="351"/>
      <c r="EE238" s="351"/>
      <c r="EF238" s="351"/>
      <c r="EG238" s="351"/>
      <c r="EH238" s="351"/>
      <c r="EI238" s="351"/>
      <c r="EJ238" s="351"/>
      <c r="EK238" s="351"/>
      <c r="EL238" s="351"/>
    </row>
    <row r="239" spans="1:142">
      <c r="A239" s="356"/>
      <c r="B239" s="356"/>
      <c r="C239" s="351"/>
      <c r="D239" s="351"/>
      <c r="E239" s="351"/>
      <c r="F239" s="351"/>
      <c r="G239" s="351"/>
      <c r="H239" s="351"/>
      <c r="I239" s="351"/>
      <c r="J239" s="351"/>
      <c r="K239" s="351"/>
      <c r="L239" s="351"/>
      <c r="M239" s="351"/>
      <c r="N239" s="351"/>
      <c r="O239" s="351"/>
      <c r="P239" s="351"/>
      <c r="Q239" s="351"/>
      <c r="R239" s="351"/>
      <c r="S239" s="351"/>
      <c r="T239" s="351"/>
      <c r="U239" s="351"/>
      <c r="V239" s="351"/>
      <c r="W239" s="351"/>
      <c r="X239" s="351"/>
      <c r="Y239" s="351"/>
      <c r="Z239" s="351"/>
      <c r="AA239" s="351"/>
      <c r="AB239" s="351"/>
      <c r="AC239" s="351"/>
      <c r="AD239" s="351"/>
      <c r="AE239" s="351"/>
      <c r="AF239" s="351"/>
      <c r="AG239" s="351"/>
      <c r="AH239" s="351"/>
      <c r="AI239" s="351"/>
      <c r="AJ239" s="351"/>
      <c r="AK239" s="351"/>
      <c r="AL239" s="351"/>
      <c r="AM239" s="351"/>
      <c r="AN239" s="351"/>
      <c r="AO239" s="351"/>
      <c r="AP239" s="351"/>
      <c r="AQ239" s="351"/>
      <c r="AR239" s="351"/>
      <c r="AS239" s="351"/>
      <c r="AT239" s="351"/>
      <c r="AU239" s="351"/>
      <c r="AV239" s="350"/>
      <c r="AW239" s="350"/>
      <c r="AX239" s="350"/>
      <c r="AY239" s="350"/>
      <c r="AZ239" s="350"/>
      <c r="BA239" s="350"/>
      <c r="BB239" s="350"/>
      <c r="BC239" s="350"/>
      <c r="BD239" s="350"/>
      <c r="BE239" s="350"/>
      <c r="BF239" s="350"/>
      <c r="BG239" s="350"/>
      <c r="BH239" s="350"/>
      <c r="BI239" s="350"/>
      <c r="BJ239" s="350"/>
      <c r="BK239" s="350"/>
      <c r="BL239" s="350"/>
      <c r="BM239" s="350"/>
      <c r="BN239" s="350"/>
      <c r="BO239" s="350"/>
      <c r="BP239" s="350"/>
      <c r="BQ239" s="350"/>
      <c r="BR239" s="350"/>
      <c r="BS239" s="350"/>
      <c r="BT239" s="350"/>
      <c r="BU239" s="350"/>
      <c r="BV239" s="350"/>
      <c r="BW239" s="350"/>
      <c r="BX239" s="350"/>
      <c r="BY239" s="350"/>
      <c r="BZ239" s="350"/>
      <c r="CA239" s="350"/>
      <c r="CB239" s="350"/>
      <c r="CC239" s="350"/>
      <c r="CD239" s="350"/>
      <c r="CE239" s="350"/>
      <c r="CF239" s="350"/>
      <c r="CG239" s="350"/>
      <c r="CH239" s="350"/>
      <c r="CI239" s="350"/>
      <c r="CJ239" s="350"/>
      <c r="CK239" s="350"/>
      <c r="CL239" s="350"/>
      <c r="CM239" s="350"/>
      <c r="CN239" s="350"/>
      <c r="CO239" s="350"/>
      <c r="CP239" s="350"/>
      <c r="CQ239" s="350"/>
      <c r="CR239" s="350"/>
      <c r="CS239" s="350"/>
      <c r="CT239" s="350"/>
      <c r="CU239" s="350"/>
      <c r="CV239" s="350"/>
      <c r="CW239" s="350"/>
      <c r="CX239" s="350"/>
      <c r="CY239" s="350"/>
      <c r="CZ239" s="350"/>
      <c r="DA239" s="350"/>
      <c r="DB239" s="350"/>
      <c r="DC239" s="350"/>
      <c r="DD239" s="350"/>
      <c r="DE239" s="350"/>
      <c r="DF239" s="350"/>
      <c r="DG239" s="350"/>
      <c r="DH239" s="350"/>
      <c r="DI239" s="350"/>
      <c r="DJ239" s="350"/>
      <c r="DK239" s="350"/>
      <c r="DL239" s="350"/>
      <c r="DM239" s="350"/>
      <c r="DN239" s="350"/>
      <c r="DO239" s="350"/>
      <c r="DP239" s="350"/>
      <c r="DQ239" s="350"/>
      <c r="DR239" s="350"/>
      <c r="DS239" s="350"/>
      <c r="DT239" s="350"/>
      <c r="DU239" s="350"/>
      <c r="DV239" s="350"/>
      <c r="DW239" s="350"/>
      <c r="DX239" s="350"/>
      <c r="DY239" s="350"/>
      <c r="DZ239" s="350"/>
      <c r="EA239" s="350"/>
      <c r="EB239" s="350"/>
      <c r="EC239" s="350"/>
      <c r="ED239" s="350"/>
      <c r="EE239" s="350"/>
      <c r="EF239" s="350"/>
      <c r="EG239" s="350"/>
      <c r="EH239" s="350"/>
      <c r="EI239" s="350"/>
      <c r="EJ239" s="350"/>
      <c r="EK239" s="350"/>
      <c r="EL239" s="350"/>
    </row>
    <row r="240" spans="1:142">
      <c r="A240" s="356"/>
      <c r="B240" s="356"/>
      <c r="C240" s="351"/>
      <c r="D240" s="351"/>
      <c r="E240" s="351"/>
      <c r="F240" s="351"/>
      <c r="G240" s="351"/>
      <c r="H240" s="351"/>
      <c r="I240" s="351"/>
      <c r="J240" s="351"/>
      <c r="K240" s="351"/>
      <c r="L240" s="351"/>
      <c r="M240" s="351"/>
      <c r="N240" s="351"/>
      <c r="O240" s="351"/>
      <c r="P240" s="351"/>
      <c r="Q240" s="351"/>
      <c r="R240" s="351"/>
      <c r="S240" s="351"/>
      <c r="T240" s="351"/>
      <c r="U240" s="351"/>
      <c r="V240" s="351"/>
      <c r="W240" s="351"/>
      <c r="X240" s="351"/>
      <c r="Y240" s="351"/>
      <c r="Z240" s="351"/>
      <c r="AA240" s="351"/>
      <c r="AB240" s="351"/>
      <c r="AC240" s="351"/>
      <c r="AD240" s="351"/>
      <c r="AE240" s="351"/>
      <c r="AF240" s="351"/>
      <c r="AG240" s="351"/>
      <c r="AH240" s="351"/>
      <c r="AI240" s="351"/>
      <c r="AJ240" s="351"/>
      <c r="AK240" s="351"/>
      <c r="AL240" s="351"/>
      <c r="AM240" s="351"/>
      <c r="AN240" s="351"/>
      <c r="AO240" s="351"/>
      <c r="AP240" s="351"/>
      <c r="AQ240" s="351"/>
      <c r="AR240" s="351"/>
      <c r="AS240" s="351"/>
      <c r="AT240" s="351"/>
      <c r="AU240" s="351"/>
      <c r="AV240" s="350"/>
      <c r="AW240" s="350"/>
      <c r="AX240" s="350"/>
      <c r="AY240" s="350"/>
      <c r="AZ240" s="350"/>
      <c r="BA240" s="350"/>
      <c r="BB240" s="350"/>
      <c r="BC240" s="350"/>
      <c r="BD240" s="350"/>
      <c r="BE240" s="350"/>
      <c r="BF240" s="350"/>
      <c r="BG240" s="350"/>
      <c r="BH240" s="350"/>
      <c r="BI240" s="350"/>
      <c r="BJ240" s="350"/>
      <c r="BK240" s="350"/>
      <c r="BL240" s="350"/>
      <c r="BM240" s="350"/>
      <c r="BN240" s="350"/>
      <c r="BO240" s="350"/>
      <c r="BP240" s="350"/>
      <c r="BQ240" s="350"/>
      <c r="BR240" s="350"/>
      <c r="BS240" s="350"/>
      <c r="BT240" s="350"/>
      <c r="BU240" s="350"/>
      <c r="BV240" s="350"/>
      <c r="BW240" s="350"/>
      <c r="BX240" s="350"/>
      <c r="BY240" s="350"/>
      <c r="BZ240" s="350"/>
      <c r="CA240" s="350"/>
      <c r="CB240" s="350"/>
      <c r="CC240" s="350"/>
      <c r="CD240" s="350"/>
      <c r="CE240" s="350"/>
      <c r="CF240" s="350"/>
      <c r="CG240" s="350"/>
      <c r="CH240" s="350"/>
      <c r="CI240" s="350"/>
      <c r="CJ240" s="350"/>
      <c r="CK240" s="350"/>
      <c r="CL240" s="350"/>
      <c r="CM240" s="350"/>
      <c r="CN240" s="350"/>
      <c r="CO240" s="350"/>
      <c r="CP240" s="350"/>
      <c r="CQ240" s="350"/>
      <c r="CR240" s="350"/>
      <c r="CS240" s="350"/>
      <c r="CT240" s="350"/>
      <c r="CU240" s="350"/>
      <c r="CV240" s="350"/>
      <c r="CW240" s="350"/>
      <c r="CX240" s="350"/>
      <c r="CY240" s="350"/>
      <c r="CZ240" s="350"/>
      <c r="DA240" s="350"/>
      <c r="DB240" s="350"/>
      <c r="DC240" s="350"/>
      <c r="DD240" s="350"/>
      <c r="DE240" s="350"/>
      <c r="DF240" s="350"/>
      <c r="DG240" s="350"/>
      <c r="DH240" s="350"/>
      <c r="DI240" s="350"/>
      <c r="DJ240" s="350"/>
      <c r="DK240" s="350"/>
      <c r="DL240" s="350"/>
      <c r="DM240" s="350"/>
      <c r="DN240" s="350"/>
      <c r="DO240" s="350"/>
      <c r="DP240" s="350"/>
      <c r="DQ240" s="350"/>
      <c r="DR240" s="350"/>
      <c r="DS240" s="350"/>
      <c r="DT240" s="350"/>
      <c r="DU240" s="350"/>
      <c r="DV240" s="350"/>
      <c r="DW240" s="350"/>
      <c r="DX240" s="350"/>
      <c r="DY240" s="350"/>
      <c r="DZ240" s="350"/>
      <c r="EA240" s="350"/>
      <c r="EB240" s="350"/>
      <c r="EC240" s="350"/>
      <c r="ED240" s="350"/>
      <c r="EE240" s="350"/>
      <c r="EF240" s="350"/>
      <c r="EG240" s="350"/>
      <c r="EH240" s="350"/>
      <c r="EI240" s="350"/>
      <c r="EJ240" s="350"/>
      <c r="EK240" s="350"/>
      <c r="EL240" s="350"/>
    </row>
    <row r="241" spans="1:142">
      <c r="A241" s="356"/>
      <c r="B241" s="356"/>
      <c r="C241" s="351"/>
      <c r="D241" s="351"/>
      <c r="E241" s="351"/>
      <c r="F241" s="351"/>
      <c r="G241" s="351"/>
      <c r="H241" s="351"/>
      <c r="I241" s="351"/>
      <c r="J241" s="351"/>
      <c r="K241" s="351"/>
      <c r="L241" s="351"/>
      <c r="M241" s="351"/>
      <c r="N241" s="351"/>
      <c r="O241" s="351"/>
      <c r="P241" s="351"/>
      <c r="Q241" s="351"/>
      <c r="R241" s="351"/>
      <c r="S241" s="351"/>
      <c r="T241" s="351"/>
      <c r="U241" s="351"/>
      <c r="V241" s="351"/>
      <c r="W241" s="351"/>
      <c r="X241" s="351"/>
      <c r="Y241" s="351"/>
      <c r="Z241" s="351"/>
      <c r="AA241" s="351"/>
      <c r="AB241" s="351"/>
      <c r="AC241" s="351"/>
      <c r="AD241" s="351"/>
      <c r="AE241" s="351"/>
      <c r="AF241" s="351"/>
      <c r="AG241" s="351"/>
      <c r="AH241" s="351"/>
      <c r="AI241" s="351"/>
      <c r="AJ241" s="351"/>
      <c r="AK241" s="351"/>
      <c r="AL241" s="351"/>
      <c r="AM241" s="351"/>
      <c r="AN241" s="351"/>
      <c r="AO241" s="351"/>
      <c r="AP241" s="351"/>
      <c r="AQ241" s="351"/>
      <c r="AR241" s="351"/>
      <c r="AS241" s="351"/>
      <c r="AT241" s="351"/>
      <c r="AU241" s="351"/>
      <c r="AV241" s="350"/>
      <c r="AW241" s="350"/>
      <c r="AX241" s="350"/>
      <c r="AY241" s="350"/>
      <c r="AZ241" s="350"/>
      <c r="BA241" s="350"/>
      <c r="BB241" s="350"/>
      <c r="BC241" s="350"/>
      <c r="BD241" s="350"/>
      <c r="BE241" s="350"/>
      <c r="BF241" s="350"/>
      <c r="BG241" s="350"/>
      <c r="BH241" s="350"/>
      <c r="BI241" s="350"/>
      <c r="BJ241" s="350"/>
      <c r="BK241" s="350"/>
      <c r="BL241" s="350"/>
      <c r="BM241" s="350"/>
      <c r="BN241" s="350"/>
      <c r="BO241" s="350"/>
      <c r="BP241" s="350"/>
      <c r="BQ241" s="350"/>
      <c r="BR241" s="350"/>
      <c r="BS241" s="350"/>
      <c r="BT241" s="350"/>
      <c r="BU241" s="350"/>
      <c r="BV241" s="350"/>
      <c r="BW241" s="350"/>
      <c r="BX241" s="350"/>
      <c r="BY241" s="350"/>
      <c r="BZ241" s="350"/>
      <c r="CA241" s="350"/>
      <c r="CB241" s="350"/>
      <c r="CC241" s="350"/>
      <c r="CD241" s="350"/>
      <c r="CE241" s="350"/>
      <c r="CF241" s="350"/>
      <c r="CG241" s="350"/>
      <c r="CH241" s="350"/>
      <c r="CI241" s="350"/>
      <c r="CJ241" s="350"/>
      <c r="CK241" s="350"/>
      <c r="CL241" s="350"/>
      <c r="CM241" s="350"/>
      <c r="CN241" s="350"/>
      <c r="CO241" s="350"/>
      <c r="CP241" s="350"/>
      <c r="CQ241" s="350"/>
      <c r="CR241" s="350"/>
      <c r="CS241" s="350"/>
      <c r="CT241" s="350"/>
      <c r="CU241" s="350"/>
      <c r="CV241" s="350"/>
      <c r="CW241" s="350"/>
      <c r="CX241" s="350"/>
      <c r="CY241" s="350"/>
      <c r="CZ241" s="350"/>
      <c r="DA241" s="350"/>
      <c r="DB241" s="350"/>
      <c r="DC241" s="350"/>
      <c r="DD241" s="350"/>
      <c r="DE241" s="350"/>
      <c r="DF241" s="350"/>
      <c r="DG241" s="350"/>
      <c r="DH241" s="350"/>
      <c r="DI241" s="350"/>
      <c r="DJ241" s="350"/>
      <c r="DK241" s="350"/>
      <c r="DL241" s="350"/>
      <c r="DM241" s="350"/>
      <c r="DN241" s="350"/>
      <c r="DO241" s="350"/>
      <c r="DP241" s="350"/>
      <c r="DQ241" s="350"/>
      <c r="DR241" s="350"/>
      <c r="DS241" s="350"/>
      <c r="DT241" s="350"/>
      <c r="DU241" s="350"/>
      <c r="DV241" s="350"/>
      <c r="DW241" s="350"/>
      <c r="DX241" s="350"/>
      <c r="DY241" s="350"/>
      <c r="DZ241" s="350"/>
      <c r="EA241" s="350"/>
      <c r="EB241" s="350"/>
      <c r="EC241" s="350"/>
      <c r="ED241" s="350"/>
      <c r="EE241" s="350"/>
      <c r="EF241" s="350"/>
      <c r="EG241" s="350"/>
      <c r="EH241" s="350"/>
      <c r="EI241" s="350"/>
      <c r="EJ241" s="350"/>
      <c r="EK241" s="350"/>
      <c r="EL241" s="350"/>
    </row>
    <row r="242" spans="1:142">
      <c r="A242" s="356"/>
      <c r="B242" s="356"/>
      <c r="C242" s="351"/>
      <c r="D242" s="351"/>
      <c r="E242" s="351"/>
      <c r="F242" s="351"/>
      <c r="G242" s="351"/>
      <c r="H242" s="351"/>
      <c r="I242" s="351"/>
      <c r="J242" s="351"/>
      <c r="K242" s="351"/>
      <c r="L242" s="351"/>
      <c r="M242" s="351"/>
      <c r="N242" s="351"/>
      <c r="O242" s="351"/>
      <c r="P242" s="351"/>
      <c r="Q242" s="351"/>
      <c r="R242" s="351"/>
      <c r="S242" s="351"/>
      <c r="T242" s="351"/>
      <c r="U242" s="351"/>
      <c r="V242" s="351"/>
      <c r="W242" s="351"/>
      <c r="X242" s="351"/>
      <c r="Y242" s="351"/>
      <c r="Z242" s="351"/>
      <c r="AA242" s="351"/>
      <c r="AB242" s="351"/>
      <c r="AC242" s="351"/>
      <c r="AD242" s="351"/>
      <c r="AE242" s="351"/>
      <c r="AF242" s="351"/>
      <c r="AG242" s="351"/>
      <c r="AH242" s="351"/>
      <c r="AI242" s="351"/>
      <c r="AJ242" s="351"/>
      <c r="AK242" s="351"/>
      <c r="AL242" s="351"/>
      <c r="AM242" s="351"/>
      <c r="AN242" s="351"/>
      <c r="AO242" s="351"/>
      <c r="AP242" s="351"/>
      <c r="AQ242" s="351"/>
      <c r="AR242" s="351"/>
      <c r="AS242" s="351"/>
      <c r="AT242" s="351"/>
      <c r="AU242" s="351"/>
      <c r="AV242" s="350"/>
      <c r="AW242" s="350"/>
      <c r="AX242" s="350"/>
      <c r="AY242" s="350"/>
      <c r="AZ242" s="350"/>
      <c r="BA242" s="350"/>
      <c r="BB242" s="350"/>
      <c r="BC242" s="350"/>
      <c r="BD242" s="350"/>
      <c r="BE242" s="350"/>
      <c r="BF242" s="350"/>
      <c r="BG242" s="350"/>
      <c r="BH242" s="350"/>
      <c r="BI242" s="350"/>
      <c r="BJ242" s="350"/>
      <c r="BK242" s="350"/>
      <c r="BL242" s="350"/>
      <c r="BM242" s="350"/>
      <c r="BN242" s="350"/>
      <c r="BO242" s="350"/>
      <c r="BP242" s="350"/>
      <c r="BQ242" s="350"/>
      <c r="BR242" s="350"/>
      <c r="BS242" s="350"/>
      <c r="BT242" s="350"/>
      <c r="BU242" s="350"/>
      <c r="BV242" s="350"/>
      <c r="BW242" s="350"/>
      <c r="BX242" s="350"/>
      <c r="BY242" s="350"/>
      <c r="BZ242" s="350"/>
      <c r="CA242" s="350"/>
      <c r="CB242" s="350"/>
      <c r="CC242" s="350"/>
      <c r="CD242" s="350"/>
      <c r="CE242" s="350"/>
      <c r="CF242" s="350"/>
      <c r="CG242" s="350"/>
      <c r="CH242" s="350"/>
      <c r="CI242" s="350"/>
      <c r="CJ242" s="350"/>
      <c r="CK242" s="350"/>
      <c r="CL242" s="350"/>
      <c r="CM242" s="350"/>
      <c r="CN242" s="350"/>
      <c r="CO242" s="350"/>
      <c r="CP242" s="350"/>
      <c r="CQ242" s="350"/>
      <c r="CR242" s="350"/>
      <c r="CS242" s="350"/>
      <c r="CT242" s="350"/>
      <c r="CU242" s="350"/>
      <c r="CV242" s="350"/>
      <c r="CW242" s="350"/>
      <c r="CX242" s="350"/>
      <c r="CY242" s="350"/>
      <c r="CZ242" s="350"/>
      <c r="DA242" s="350"/>
      <c r="DB242" s="350"/>
      <c r="DC242" s="350"/>
      <c r="DD242" s="350"/>
      <c r="DE242" s="350"/>
      <c r="DF242" s="350"/>
      <c r="DG242" s="350"/>
      <c r="DH242" s="350"/>
      <c r="DI242" s="350"/>
      <c r="DJ242" s="350"/>
      <c r="DK242" s="350"/>
      <c r="DL242" s="350"/>
      <c r="DM242" s="350"/>
      <c r="DN242" s="350"/>
      <c r="DO242" s="350"/>
      <c r="DP242" s="350"/>
      <c r="DQ242" s="350"/>
      <c r="DR242" s="350"/>
      <c r="DS242" s="350"/>
      <c r="DT242" s="350"/>
      <c r="DU242" s="350"/>
      <c r="DV242" s="350"/>
      <c r="DW242" s="350"/>
      <c r="DX242" s="350"/>
      <c r="DY242" s="350"/>
      <c r="DZ242" s="350"/>
      <c r="EA242" s="350"/>
      <c r="EB242" s="350"/>
      <c r="EC242" s="350"/>
      <c r="ED242" s="350"/>
      <c r="EE242" s="350"/>
      <c r="EF242" s="350"/>
      <c r="EG242" s="350"/>
      <c r="EH242" s="350"/>
      <c r="EI242" s="350"/>
      <c r="EJ242" s="350"/>
      <c r="EK242" s="350"/>
      <c r="EL242" s="350"/>
    </row>
    <row r="243" spans="1:142">
      <c r="A243" s="356"/>
      <c r="B243" s="356"/>
      <c r="C243" s="351"/>
      <c r="D243" s="351"/>
      <c r="E243" s="351"/>
      <c r="F243" s="351"/>
      <c r="G243" s="351"/>
      <c r="H243" s="351"/>
      <c r="I243" s="351"/>
      <c r="J243" s="351"/>
      <c r="K243" s="351"/>
      <c r="L243" s="351"/>
      <c r="M243" s="351"/>
      <c r="N243" s="351"/>
      <c r="O243" s="351"/>
      <c r="P243" s="351"/>
      <c r="Q243" s="351"/>
      <c r="R243" s="351"/>
      <c r="S243" s="351"/>
      <c r="T243" s="351"/>
      <c r="U243" s="351"/>
      <c r="V243" s="351"/>
      <c r="W243" s="351"/>
      <c r="X243" s="351"/>
      <c r="Y243" s="351"/>
      <c r="Z243" s="351"/>
      <c r="AA243" s="351"/>
      <c r="AB243" s="351"/>
      <c r="AC243" s="351"/>
      <c r="AD243" s="351"/>
      <c r="AE243" s="351"/>
      <c r="AF243" s="351"/>
      <c r="AG243" s="351"/>
      <c r="AH243" s="351"/>
      <c r="AI243" s="351"/>
      <c r="AJ243" s="351"/>
      <c r="AK243" s="351"/>
      <c r="AL243" s="351"/>
      <c r="AM243" s="351"/>
      <c r="AN243" s="351"/>
      <c r="AO243" s="351"/>
      <c r="AP243" s="351"/>
      <c r="AQ243" s="351"/>
      <c r="AR243" s="351"/>
      <c r="AS243" s="351"/>
      <c r="AT243" s="351"/>
      <c r="AU243" s="351"/>
      <c r="AV243" s="350"/>
      <c r="AW243" s="350"/>
      <c r="AX243" s="350"/>
      <c r="AY243" s="350"/>
      <c r="AZ243" s="350"/>
      <c r="BA243" s="350"/>
      <c r="BB243" s="350"/>
      <c r="BC243" s="350"/>
      <c r="BD243" s="350"/>
      <c r="BE243" s="350"/>
      <c r="BF243" s="350"/>
      <c r="BG243" s="350"/>
      <c r="BH243" s="350"/>
      <c r="BI243" s="350"/>
      <c r="BJ243" s="350"/>
      <c r="BK243" s="350"/>
      <c r="BL243" s="350"/>
      <c r="BM243" s="350"/>
      <c r="BN243" s="350"/>
      <c r="BO243" s="350"/>
      <c r="BP243" s="350"/>
      <c r="BQ243" s="350"/>
      <c r="BR243" s="350"/>
      <c r="BS243" s="350"/>
      <c r="BT243" s="350"/>
      <c r="BU243" s="350"/>
      <c r="BV243" s="350"/>
      <c r="BW243" s="350"/>
      <c r="BX243" s="350"/>
      <c r="BY243" s="350"/>
      <c r="BZ243" s="350"/>
      <c r="CA243" s="350"/>
      <c r="CB243" s="350"/>
      <c r="CC243" s="350"/>
      <c r="CD243" s="350"/>
      <c r="CE243" s="350"/>
      <c r="CF243" s="350"/>
      <c r="CG243" s="350"/>
      <c r="CH243" s="350"/>
      <c r="CI243" s="350"/>
      <c r="CJ243" s="350"/>
      <c r="CK243" s="350"/>
      <c r="CL243" s="350"/>
      <c r="CM243" s="350"/>
      <c r="CN243" s="350"/>
      <c r="CO243" s="350"/>
      <c r="CP243" s="350"/>
      <c r="CQ243" s="350"/>
      <c r="CR243" s="350"/>
      <c r="CS243" s="350"/>
      <c r="CT243" s="350"/>
      <c r="CU243" s="350"/>
      <c r="CV243" s="350"/>
      <c r="CW243" s="350"/>
      <c r="CX243" s="350"/>
      <c r="CY243" s="350"/>
      <c r="CZ243" s="350"/>
      <c r="DA243" s="350"/>
      <c r="DB243" s="350"/>
      <c r="DC243" s="350"/>
      <c r="DD243" s="350"/>
      <c r="DE243" s="350"/>
      <c r="DF243" s="350"/>
      <c r="DG243" s="350"/>
      <c r="DH243" s="350"/>
      <c r="DI243" s="350"/>
      <c r="DJ243" s="350"/>
      <c r="DK243" s="350"/>
      <c r="DL243" s="350"/>
      <c r="DM243" s="350"/>
      <c r="DN243" s="350"/>
      <c r="DO243" s="350"/>
      <c r="DP243" s="350"/>
      <c r="DQ243" s="350"/>
      <c r="DR243" s="350"/>
      <c r="DS243" s="350"/>
      <c r="DT243" s="350"/>
      <c r="DU243" s="350"/>
      <c r="DV243" s="350"/>
      <c r="DW243" s="350"/>
      <c r="DX243" s="350"/>
      <c r="DY243" s="350"/>
      <c r="DZ243" s="350"/>
      <c r="EA243" s="350"/>
      <c r="EB243" s="350"/>
      <c r="EC243" s="350"/>
      <c r="ED243" s="350"/>
      <c r="EE243" s="350"/>
      <c r="EF243" s="350"/>
      <c r="EG243" s="350"/>
      <c r="EH243" s="350"/>
      <c r="EI243" s="350"/>
      <c r="EJ243" s="350"/>
      <c r="EK243" s="350"/>
      <c r="EL243" s="350"/>
    </row>
    <row r="244" spans="1:142">
      <c r="A244" s="9"/>
      <c r="B244" s="9"/>
      <c r="C244" s="351"/>
      <c r="D244" s="351"/>
      <c r="E244" s="351"/>
      <c r="F244" s="351"/>
      <c r="G244" s="351"/>
      <c r="H244" s="351"/>
      <c r="I244" s="351"/>
      <c r="J244" s="351"/>
      <c r="K244" s="351"/>
      <c r="L244" s="351"/>
      <c r="M244" s="351"/>
      <c r="N244" s="351"/>
      <c r="O244" s="351"/>
      <c r="P244" s="351"/>
      <c r="Q244" s="351"/>
      <c r="R244" s="351"/>
      <c r="S244" s="351"/>
      <c r="T244" s="351"/>
      <c r="U244" s="351"/>
      <c r="V244" s="351"/>
      <c r="W244" s="351"/>
      <c r="X244" s="351"/>
      <c r="Y244" s="351"/>
      <c r="Z244" s="351"/>
      <c r="AA244" s="351"/>
      <c r="AB244" s="351"/>
      <c r="AC244" s="351"/>
      <c r="AD244" s="351"/>
      <c r="AE244" s="351"/>
      <c r="AF244" s="351"/>
      <c r="AG244" s="351"/>
      <c r="AH244" s="351"/>
      <c r="AI244" s="351"/>
      <c r="AJ244" s="351"/>
      <c r="AK244" s="351"/>
      <c r="AL244" s="351"/>
      <c r="AM244" s="351"/>
      <c r="AN244" s="351"/>
      <c r="AO244" s="351"/>
      <c r="AP244" s="351"/>
      <c r="AQ244" s="351"/>
      <c r="AR244" s="351"/>
      <c r="AS244" s="351"/>
      <c r="AT244" s="351"/>
      <c r="AU244" s="351"/>
      <c r="AV244" s="351"/>
      <c r="AW244" s="351"/>
      <c r="AX244" s="351"/>
      <c r="AY244" s="351"/>
      <c r="AZ244" s="351"/>
      <c r="BA244" s="351"/>
      <c r="BB244" s="351"/>
      <c r="BC244" s="351"/>
      <c r="BD244" s="351"/>
      <c r="BE244" s="351"/>
      <c r="BF244" s="351"/>
      <c r="BG244" s="351"/>
      <c r="BH244" s="351"/>
      <c r="BI244" s="351"/>
      <c r="BJ244" s="351"/>
      <c r="BK244" s="351"/>
      <c r="BL244" s="351"/>
      <c r="BM244" s="351"/>
      <c r="BN244" s="351"/>
      <c r="BO244" s="351"/>
      <c r="BP244" s="351"/>
      <c r="BQ244" s="351"/>
      <c r="BR244" s="351"/>
      <c r="BS244" s="351"/>
      <c r="BT244" s="351"/>
      <c r="BU244" s="351"/>
      <c r="BV244" s="351"/>
      <c r="BW244" s="351"/>
      <c r="BX244" s="351"/>
      <c r="BY244" s="351"/>
      <c r="BZ244" s="351"/>
      <c r="CA244" s="351"/>
      <c r="CB244" s="351"/>
      <c r="CC244" s="351"/>
      <c r="CD244" s="351"/>
      <c r="CE244" s="351"/>
      <c r="CF244" s="351"/>
      <c r="CG244" s="351"/>
      <c r="CH244" s="351"/>
      <c r="CI244" s="351"/>
      <c r="CJ244" s="351"/>
      <c r="CK244" s="351"/>
      <c r="CL244" s="351"/>
      <c r="CM244" s="351"/>
      <c r="CN244" s="351"/>
      <c r="CO244" s="351"/>
      <c r="CP244" s="351"/>
      <c r="CQ244" s="351"/>
      <c r="CR244" s="351"/>
      <c r="CS244" s="351"/>
      <c r="CT244" s="351"/>
      <c r="CU244" s="351"/>
      <c r="CV244" s="351"/>
      <c r="CW244" s="351"/>
      <c r="CX244" s="351"/>
      <c r="CY244" s="351"/>
      <c r="CZ244" s="351"/>
      <c r="DA244" s="351"/>
      <c r="DB244" s="351"/>
      <c r="DC244" s="351"/>
      <c r="DD244" s="351"/>
      <c r="DE244" s="351"/>
      <c r="DF244" s="351"/>
      <c r="DG244" s="351"/>
      <c r="DH244" s="351"/>
      <c r="DI244" s="351"/>
      <c r="DJ244" s="351"/>
      <c r="DK244" s="351"/>
      <c r="DL244" s="351"/>
      <c r="DM244" s="351"/>
      <c r="DN244" s="351"/>
      <c r="DO244" s="351"/>
      <c r="DP244" s="351"/>
      <c r="DQ244" s="351"/>
      <c r="DR244" s="351"/>
      <c r="DS244" s="351"/>
      <c r="DT244" s="351"/>
      <c r="DU244" s="351"/>
      <c r="DV244" s="351"/>
      <c r="DW244" s="351"/>
      <c r="DX244" s="351"/>
      <c r="DY244" s="351"/>
      <c r="DZ244" s="351"/>
      <c r="EA244" s="351"/>
      <c r="EB244" s="351"/>
      <c r="EC244" s="351"/>
      <c r="ED244" s="351"/>
      <c r="EE244" s="351"/>
      <c r="EF244" s="351"/>
      <c r="EG244" s="351"/>
      <c r="EH244" s="351"/>
      <c r="EI244" s="351"/>
      <c r="EJ244" s="351"/>
      <c r="EK244" s="351"/>
      <c r="EL244" s="351"/>
    </row>
    <row r="245" spans="1:142">
      <c r="A245" s="352"/>
      <c r="B245" s="352"/>
      <c r="C245" s="351"/>
      <c r="D245" s="351"/>
      <c r="E245" s="351"/>
      <c r="F245" s="351"/>
      <c r="G245" s="351"/>
      <c r="H245" s="351"/>
      <c r="I245" s="351"/>
      <c r="J245" s="351"/>
      <c r="K245" s="351"/>
      <c r="L245" s="351"/>
      <c r="M245" s="351"/>
      <c r="N245" s="351"/>
      <c r="O245" s="351"/>
      <c r="P245" s="351"/>
      <c r="Q245" s="351"/>
      <c r="R245" s="351"/>
      <c r="S245" s="351"/>
      <c r="T245" s="351"/>
      <c r="U245" s="351"/>
      <c r="V245" s="351"/>
      <c r="W245" s="351"/>
      <c r="X245" s="351"/>
      <c r="Y245" s="351"/>
      <c r="Z245" s="351"/>
      <c r="AA245" s="351"/>
      <c r="AB245" s="351"/>
      <c r="AC245" s="351"/>
      <c r="AD245" s="351"/>
      <c r="AE245" s="351"/>
      <c r="AF245" s="351"/>
      <c r="AG245" s="351"/>
      <c r="AH245" s="351"/>
      <c r="AI245" s="351"/>
      <c r="AJ245" s="351"/>
      <c r="AK245" s="351"/>
      <c r="AL245" s="351"/>
      <c r="AM245" s="351"/>
      <c r="AN245" s="351"/>
      <c r="AO245" s="351"/>
      <c r="AP245" s="351"/>
      <c r="AQ245" s="351"/>
      <c r="AR245" s="351"/>
      <c r="AS245" s="351"/>
      <c r="AT245" s="351"/>
      <c r="AU245" s="351"/>
      <c r="AV245" s="351"/>
      <c r="AW245" s="351"/>
      <c r="AX245" s="351"/>
      <c r="AY245" s="351"/>
      <c r="AZ245" s="351"/>
      <c r="BA245" s="351"/>
      <c r="BB245" s="351"/>
      <c r="BC245" s="351"/>
      <c r="BD245" s="351"/>
      <c r="BE245" s="351"/>
      <c r="BF245" s="351"/>
      <c r="BG245" s="351"/>
      <c r="BH245" s="351"/>
      <c r="BI245" s="351"/>
      <c r="BJ245" s="351"/>
      <c r="BK245" s="351"/>
      <c r="BL245" s="351"/>
      <c r="BM245" s="351"/>
      <c r="BN245" s="351"/>
      <c r="BO245" s="351"/>
      <c r="BP245" s="351"/>
      <c r="BQ245" s="351"/>
      <c r="BR245" s="351"/>
      <c r="BS245" s="351"/>
      <c r="BT245" s="351"/>
      <c r="BU245" s="351"/>
      <c r="BV245" s="351"/>
      <c r="BW245" s="351"/>
      <c r="BX245" s="351"/>
      <c r="BY245" s="351"/>
      <c r="BZ245" s="351"/>
      <c r="CA245" s="351"/>
      <c r="CB245" s="351"/>
      <c r="CC245" s="351"/>
      <c r="CD245" s="351"/>
      <c r="CE245" s="351"/>
      <c r="CF245" s="351"/>
      <c r="CG245" s="351"/>
      <c r="CH245" s="351"/>
      <c r="CI245" s="351"/>
      <c r="CJ245" s="351"/>
      <c r="CK245" s="351"/>
      <c r="CL245" s="351"/>
      <c r="CM245" s="351"/>
      <c r="CN245" s="351"/>
      <c r="CO245" s="351"/>
      <c r="CP245" s="351"/>
      <c r="CQ245" s="351"/>
      <c r="CR245" s="351"/>
      <c r="CS245" s="351"/>
      <c r="CT245" s="351"/>
      <c r="CU245" s="351"/>
      <c r="CV245" s="351"/>
      <c r="CW245" s="351"/>
      <c r="CX245" s="351"/>
      <c r="CY245" s="351"/>
      <c r="CZ245" s="351"/>
      <c r="DA245" s="351"/>
      <c r="DB245" s="351"/>
      <c r="DC245" s="351"/>
      <c r="DD245" s="351"/>
      <c r="DE245" s="351"/>
      <c r="DF245" s="351"/>
      <c r="DG245" s="351"/>
      <c r="DH245" s="351"/>
      <c r="DI245" s="351"/>
      <c r="DJ245" s="351"/>
      <c r="DK245" s="351"/>
      <c r="DL245" s="351"/>
      <c r="DM245" s="351"/>
      <c r="DN245" s="351"/>
      <c r="DO245" s="351"/>
      <c r="DP245" s="351"/>
      <c r="DQ245" s="351"/>
      <c r="DR245" s="351"/>
      <c r="DS245" s="351"/>
      <c r="DT245" s="351"/>
      <c r="DU245" s="351"/>
      <c r="DV245" s="351"/>
      <c r="DW245" s="351"/>
      <c r="DX245" s="351"/>
      <c r="DY245" s="351"/>
      <c r="DZ245" s="351"/>
      <c r="EA245" s="351"/>
      <c r="EB245" s="351"/>
      <c r="EC245" s="351"/>
      <c r="ED245" s="351"/>
      <c r="EE245" s="351"/>
      <c r="EF245" s="351"/>
      <c r="EG245" s="351"/>
      <c r="EH245" s="351"/>
      <c r="EI245" s="351"/>
      <c r="EJ245" s="351"/>
      <c r="EK245" s="351"/>
      <c r="EL245" s="351"/>
    </row>
    <row r="246" spans="1:142">
      <c r="A246" s="9"/>
      <c r="B246" s="9"/>
      <c r="C246" s="357"/>
      <c r="D246" s="357"/>
      <c r="E246" s="357"/>
      <c r="F246" s="357"/>
      <c r="G246" s="357"/>
      <c r="H246" s="357"/>
      <c r="I246" s="357"/>
      <c r="J246" s="357"/>
      <c r="K246" s="357"/>
      <c r="L246" s="357"/>
      <c r="M246" s="357"/>
      <c r="N246" s="357"/>
      <c r="O246" s="357"/>
      <c r="P246" s="357"/>
      <c r="Q246" s="357"/>
      <c r="R246" s="357"/>
      <c r="S246" s="357"/>
      <c r="T246" s="357"/>
      <c r="U246" s="357"/>
      <c r="V246" s="357"/>
      <c r="W246" s="357"/>
      <c r="X246" s="357"/>
      <c r="Y246" s="357"/>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4"/>
      <c r="AV246" s="357"/>
      <c r="AW246" s="357"/>
      <c r="AX246" s="357"/>
      <c r="AY246" s="357"/>
      <c r="AZ246" s="357"/>
      <c r="BA246" s="357"/>
      <c r="BB246" s="357"/>
      <c r="BC246" s="357"/>
      <c r="BD246" s="357"/>
      <c r="BE246" s="357"/>
      <c r="BF246" s="357"/>
      <c r="BG246" s="357"/>
      <c r="BH246" s="357"/>
      <c r="BI246" s="357"/>
      <c r="BJ246" s="357"/>
      <c r="BK246" s="350"/>
      <c r="BL246" s="350"/>
      <c r="BM246" s="350"/>
      <c r="BN246" s="350"/>
      <c r="BO246" s="350"/>
      <c r="BP246" s="350"/>
      <c r="BQ246" s="350"/>
      <c r="BR246" s="350"/>
      <c r="BS246" s="350"/>
      <c r="BT246" s="350"/>
      <c r="BU246" s="350"/>
      <c r="BV246" s="350"/>
      <c r="BW246" s="350"/>
      <c r="BX246" s="350"/>
      <c r="BY246" s="350"/>
      <c r="BZ246" s="350"/>
      <c r="CA246" s="350"/>
      <c r="CB246" s="350"/>
      <c r="CC246" s="350"/>
      <c r="CD246" s="350"/>
      <c r="CE246" s="350"/>
      <c r="CF246" s="350"/>
      <c r="CG246" s="350"/>
      <c r="CH246" s="350"/>
      <c r="CI246" s="350"/>
      <c r="CJ246" s="350"/>
      <c r="CK246" s="350"/>
      <c r="CL246" s="350"/>
      <c r="CM246" s="350"/>
      <c r="CN246" s="350"/>
      <c r="CO246" s="350"/>
      <c r="CP246" s="350"/>
      <c r="CQ246" s="350"/>
      <c r="CR246" s="350"/>
      <c r="CS246" s="350"/>
      <c r="CT246" s="350"/>
      <c r="CU246" s="350"/>
      <c r="CV246" s="350"/>
      <c r="CW246" s="350"/>
      <c r="CX246" s="350"/>
      <c r="CY246" s="350"/>
      <c r="CZ246" s="350"/>
      <c r="DA246" s="350"/>
      <c r="DB246" s="350"/>
      <c r="DC246" s="350"/>
      <c r="DD246" s="350"/>
      <c r="DE246" s="350"/>
      <c r="DF246" s="350"/>
      <c r="DG246" s="350"/>
      <c r="DH246" s="350"/>
      <c r="DI246" s="350"/>
      <c r="DJ246" s="350"/>
      <c r="DK246" s="350"/>
      <c r="DL246" s="350"/>
      <c r="DM246" s="350"/>
      <c r="DN246" s="350"/>
      <c r="DO246" s="350"/>
      <c r="DP246" s="350"/>
      <c r="DQ246" s="350"/>
      <c r="DR246" s="350"/>
      <c r="DS246" s="350"/>
      <c r="DT246" s="350"/>
      <c r="DU246" s="350"/>
      <c r="DV246" s="350"/>
      <c r="DW246" s="350"/>
      <c r="DX246" s="350"/>
      <c r="DY246" s="350"/>
      <c r="DZ246" s="350"/>
      <c r="EA246" s="350"/>
      <c r="EB246" s="350"/>
      <c r="EC246" s="350"/>
      <c r="ED246" s="350"/>
      <c r="EE246" s="350"/>
      <c r="EF246" s="350"/>
      <c r="EG246" s="350"/>
      <c r="EH246" s="350"/>
      <c r="EI246" s="350"/>
      <c r="EJ246" s="350"/>
      <c r="EK246" s="350"/>
      <c r="EL246" s="350"/>
    </row>
    <row r="247" spans="1:142">
      <c r="A247" s="9"/>
      <c r="B247" s="9"/>
      <c r="C247" s="357"/>
      <c r="D247" s="357"/>
      <c r="E247" s="357"/>
      <c r="F247" s="357"/>
      <c r="G247" s="357"/>
      <c r="H247" s="357"/>
      <c r="I247" s="357"/>
      <c r="J247" s="357"/>
      <c r="K247" s="357"/>
      <c r="L247" s="357"/>
      <c r="M247" s="357"/>
      <c r="N247" s="357"/>
      <c r="O247" s="357"/>
      <c r="P247" s="357"/>
      <c r="Q247" s="357"/>
      <c r="R247" s="357"/>
      <c r="S247" s="357"/>
      <c r="T247" s="357"/>
      <c r="U247" s="357"/>
      <c r="V247" s="357"/>
      <c r="W247" s="357"/>
      <c r="X247" s="357"/>
      <c r="Y247" s="357"/>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4"/>
      <c r="AV247" s="357"/>
      <c r="AW247" s="357"/>
      <c r="AX247" s="357"/>
      <c r="AY247" s="357"/>
      <c r="AZ247" s="357"/>
      <c r="BA247" s="357"/>
      <c r="BB247" s="357"/>
      <c r="BC247" s="357"/>
      <c r="BD247" s="357"/>
      <c r="BE247" s="357"/>
      <c r="BF247" s="357"/>
      <c r="BG247" s="357"/>
      <c r="BH247" s="357"/>
      <c r="BI247" s="357"/>
      <c r="BJ247" s="357"/>
      <c r="BK247" s="350"/>
      <c r="BL247" s="350"/>
      <c r="BM247" s="350"/>
      <c r="BN247" s="350"/>
      <c r="BO247" s="350"/>
      <c r="BP247" s="350"/>
      <c r="BQ247" s="350"/>
      <c r="BR247" s="350"/>
      <c r="BS247" s="350"/>
      <c r="BT247" s="350"/>
      <c r="BU247" s="350"/>
      <c r="BV247" s="350"/>
      <c r="BW247" s="350"/>
      <c r="BX247" s="350"/>
      <c r="BY247" s="350"/>
      <c r="BZ247" s="350"/>
      <c r="CA247" s="350"/>
      <c r="CB247" s="350"/>
      <c r="CC247" s="350"/>
      <c r="CD247" s="350"/>
      <c r="CE247" s="350"/>
      <c r="CF247" s="350"/>
      <c r="CG247" s="350"/>
      <c r="CH247" s="350"/>
      <c r="CI247" s="350"/>
      <c r="CJ247" s="350"/>
      <c r="CK247" s="350"/>
      <c r="CL247" s="350"/>
      <c r="CM247" s="350"/>
      <c r="CN247" s="350"/>
      <c r="CO247" s="350"/>
      <c r="CP247" s="350"/>
      <c r="CQ247" s="350"/>
      <c r="CR247" s="350"/>
      <c r="CS247" s="350"/>
      <c r="CT247" s="350"/>
      <c r="CU247" s="350"/>
      <c r="CV247" s="350"/>
      <c r="CW247" s="350"/>
      <c r="CX247" s="350"/>
      <c r="CY247" s="350"/>
      <c r="CZ247" s="350"/>
      <c r="DA247" s="350"/>
      <c r="DB247" s="350"/>
      <c r="DC247" s="350"/>
      <c r="DD247" s="350"/>
      <c r="DE247" s="350"/>
      <c r="DF247" s="350"/>
      <c r="DG247" s="350"/>
      <c r="DH247" s="350"/>
      <c r="DI247" s="350"/>
      <c r="DJ247" s="350"/>
      <c r="DK247" s="350"/>
      <c r="DL247" s="350"/>
      <c r="DM247" s="350"/>
      <c r="DN247" s="350"/>
      <c r="DO247" s="350"/>
      <c r="DP247" s="350"/>
      <c r="DQ247" s="350"/>
      <c r="DR247" s="350"/>
      <c r="DS247" s="350"/>
      <c r="DT247" s="350"/>
      <c r="DU247" s="350"/>
      <c r="DV247" s="350"/>
      <c r="DW247" s="350"/>
      <c r="DX247" s="350"/>
      <c r="DY247" s="350"/>
      <c r="DZ247" s="350"/>
      <c r="EA247" s="350"/>
      <c r="EB247" s="350"/>
      <c r="EC247" s="350"/>
      <c r="ED247" s="350"/>
      <c r="EE247" s="350"/>
      <c r="EF247" s="350"/>
      <c r="EG247" s="350"/>
      <c r="EH247" s="350"/>
      <c r="EI247" s="350"/>
      <c r="EJ247" s="350"/>
      <c r="EK247" s="350"/>
      <c r="EL247" s="350"/>
    </row>
    <row r="248" spans="1:142">
      <c r="A248" s="9"/>
      <c r="B248" s="9"/>
      <c r="C248" s="357"/>
      <c r="D248" s="357"/>
      <c r="E248" s="357"/>
      <c r="F248" s="357"/>
      <c r="G248" s="357"/>
      <c r="H248" s="357"/>
      <c r="I248" s="357"/>
      <c r="J248" s="357"/>
      <c r="K248" s="357"/>
      <c r="L248" s="357"/>
      <c r="M248" s="357"/>
      <c r="N248" s="357"/>
      <c r="O248" s="357"/>
      <c r="P248" s="357"/>
      <c r="Q248" s="357"/>
      <c r="R248" s="357"/>
      <c r="S248" s="357"/>
      <c r="T248" s="357"/>
      <c r="U248" s="357"/>
      <c r="V248" s="357"/>
      <c r="W248" s="357"/>
      <c r="X248" s="357"/>
      <c r="Y248" s="357"/>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4"/>
      <c r="AV248" s="357"/>
      <c r="AW248" s="357"/>
      <c r="AX248" s="357"/>
      <c r="AY248" s="357"/>
      <c r="AZ248" s="357"/>
      <c r="BA248" s="357"/>
      <c r="BB248" s="357"/>
      <c r="BC248" s="357"/>
      <c r="BD248" s="357"/>
      <c r="BE248" s="357"/>
      <c r="BF248" s="357"/>
      <c r="BG248" s="357"/>
      <c r="BH248" s="357"/>
      <c r="BI248" s="357"/>
      <c r="BJ248" s="357"/>
      <c r="BK248" s="350"/>
      <c r="BL248" s="350"/>
      <c r="BM248" s="350"/>
      <c r="BN248" s="350"/>
      <c r="BO248" s="350"/>
      <c r="BP248" s="350"/>
      <c r="BQ248" s="350"/>
      <c r="BR248" s="350"/>
      <c r="BS248" s="350"/>
      <c r="BT248" s="350"/>
      <c r="BU248" s="350"/>
      <c r="BV248" s="350"/>
      <c r="BW248" s="350"/>
      <c r="BX248" s="350"/>
      <c r="BY248" s="350"/>
      <c r="BZ248" s="350"/>
      <c r="CA248" s="350"/>
      <c r="CB248" s="350"/>
      <c r="CC248" s="350"/>
      <c r="CD248" s="350"/>
      <c r="CE248" s="350"/>
      <c r="CF248" s="350"/>
      <c r="CG248" s="350"/>
      <c r="CH248" s="350"/>
      <c r="CI248" s="350"/>
      <c r="CJ248" s="350"/>
      <c r="CK248" s="350"/>
      <c r="CL248" s="350"/>
      <c r="CM248" s="350"/>
      <c r="CN248" s="350"/>
      <c r="CO248" s="350"/>
      <c r="CP248" s="350"/>
      <c r="CQ248" s="350"/>
      <c r="CR248" s="350"/>
      <c r="CS248" s="350"/>
      <c r="CT248" s="350"/>
      <c r="CU248" s="350"/>
      <c r="CV248" s="350"/>
      <c r="CW248" s="350"/>
      <c r="CX248" s="350"/>
      <c r="CY248" s="350"/>
      <c r="CZ248" s="350"/>
      <c r="DA248" s="350"/>
      <c r="DB248" s="350"/>
      <c r="DC248" s="350"/>
      <c r="DD248" s="350"/>
      <c r="DE248" s="350"/>
      <c r="DF248" s="350"/>
      <c r="DG248" s="350"/>
      <c r="DH248" s="350"/>
      <c r="DI248" s="350"/>
      <c r="DJ248" s="350"/>
      <c r="DK248" s="350"/>
      <c r="DL248" s="350"/>
      <c r="DM248" s="350"/>
      <c r="DN248" s="350"/>
      <c r="DO248" s="350"/>
      <c r="DP248" s="350"/>
      <c r="DQ248" s="350"/>
      <c r="DR248" s="350"/>
      <c r="DS248" s="350"/>
      <c r="DT248" s="350"/>
      <c r="DU248" s="350"/>
      <c r="DV248" s="350"/>
      <c r="DW248" s="350"/>
      <c r="DX248" s="350"/>
      <c r="DY248" s="350"/>
      <c r="DZ248" s="350"/>
      <c r="EA248" s="350"/>
      <c r="EB248" s="350"/>
      <c r="EC248" s="350"/>
      <c r="ED248" s="350"/>
      <c r="EE248" s="350"/>
      <c r="EF248" s="350"/>
      <c r="EG248" s="350"/>
      <c r="EH248" s="350"/>
      <c r="EI248" s="350"/>
      <c r="EJ248" s="350"/>
      <c r="EK248" s="350"/>
      <c r="EL248" s="350"/>
    </row>
    <row r="249" spans="1:142">
      <c r="A249" s="9"/>
      <c r="B249" s="9"/>
      <c r="C249" s="357"/>
      <c r="D249" s="357"/>
      <c r="E249" s="357"/>
      <c r="F249" s="357"/>
      <c r="G249" s="357"/>
      <c r="H249" s="357"/>
      <c r="I249" s="357"/>
      <c r="J249" s="357"/>
      <c r="K249" s="357"/>
      <c r="L249" s="357"/>
      <c r="M249" s="357"/>
      <c r="N249" s="357"/>
      <c r="O249" s="357"/>
      <c r="P249" s="357"/>
      <c r="Q249" s="357"/>
      <c r="R249" s="357"/>
      <c r="S249" s="357"/>
      <c r="T249" s="357"/>
      <c r="U249" s="357"/>
      <c r="V249" s="357"/>
      <c r="W249" s="357"/>
      <c r="X249" s="357"/>
      <c r="Y249" s="357"/>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4"/>
      <c r="AV249" s="357"/>
      <c r="AW249" s="357"/>
      <c r="AX249" s="357"/>
      <c r="AY249" s="357"/>
      <c r="AZ249" s="357"/>
      <c r="BA249" s="357"/>
      <c r="BB249" s="357"/>
      <c r="BC249" s="357"/>
      <c r="BD249" s="357"/>
      <c r="BE249" s="357"/>
      <c r="BF249" s="357"/>
      <c r="BG249" s="357"/>
      <c r="BH249" s="357"/>
      <c r="BI249" s="357"/>
      <c r="BJ249" s="357"/>
      <c r="BK249" s="350"/>
      <c r="BL249" s="350"/>
      <c r="BM249" s="350"/>
      <c r="BN249" s="350"/>
      <c r="BO249" s="350"/>
      <c r="BP249" s="350"/>
      <c r="BQ249" s="350"/>
      <c r="BR249" s="350"/>
      <c r="BS249" s="350"/>
      <c r="BT249" s="350"/>
      <c r="BU249" s="350"/>
      <c r="BV249" s="350"/>
      <c r="BW249" s="350"/>
      <c r="BX249" s="350"/>
      <c r="BY249" s="350"/>
      <c r="BZ249" s="350"/>
      <c r="CA249" s="350"/>
      <c r="CB249" s="350"/>
      <c r="CC249" s="350"/>
      <c r="CD249" s="350"/>
      <c r="CE249" s="350"/>
      <c r="CF249" s="350"/>
      <c r="CG249" s="350"/>
      <c r="CH249" s="350"/>
      <c r="CI249" s="350"/>
      <c r="CJ249" s="350"/>
      <c r="CK249" s="350"/>
      <c r="CL249" s="350"/>
      <c r="CM249" s="350"/>
      <c r="CN249" s="350"/>
      <c r="CO249" s="350"/>
      <c r="CP249" s="350"/>
      <c r="CQ249" s="350"/>
      <c r="CR249" s="350"/>
      <c r="CS249" s="350"/>
      <c r="CT249" s="350"/>
      <c r="CU249" s="350"/>
      <c r="CV249" s="350"/>
      <c r="CW249" s="350"/>
      <c r="CX249" s="350"/>
      <c r="CY249" s="350"/>
      <c r="CZ249" s="350"/>
      <c r="DA249" s="350"/>
      <c r="DB249" s="350"/>
      <c r="DC249" s="350"/>
      <c r="DD249" s="350"/>
      <c r="DE249" s="350"/>
      <c r="DF249" s="350"/>
      <c r="DG249" s="350"/>
      <c r="DH249" s="350"/>
      <c r="DI249" s="350"/>
      <c r="DJ249" s="350"/>
      <c r="DK249" s="350"/>
      <c r="DL249" s="350"/>
      <c r="DM249" s="350"/>
      <c r="DN249" s="350"/>
      <c r="DO249" s="350"/>
      <c r="DP249" s="350"/>
      <c r="DQ249" s="350"/>
      <c r="DR249" s="350"/>
      <c r="DS249" s="350"/>
      <c r="DT249" s="350"/>
      <c r="DU249" s="350"/>
      <c r="DV249" s="350"/>
      <c r="DW249" s="350"/>
      <c r="DX249" s="350"/>
      <c r="DY249" s="350"/>
      <c r="DZ249" s="350"/>
      <c r="EA249" s="350"/>
      <c r="EB249" s="350"/>
      <c r="EC249" s="350"/>
      <c r="ED249" s="350"/>
      <c r="EE249" s="350"/>
      <c r="EF249" s="350"/>
      <c r="EG249" s="350"/>
      <c r="EH249" s="350"/>
      <c r="EI249" s="350"/>
      <c r="EJ249" s="350"/>
      <c r="EK249" s="350"/>
      <c r="EL249" s="350"/>
    </row>
    <row r="250" spans="1:142">
      <c r="A250" s="9"/>
      <c r="B250" s="9"/>
      <c r="C250" s="357"/>
      <c r="D250" s="357"/>
      <c r="E250" s="357"/>
      <c r="F250" s="357"/>
      <c r="G250" s="357"/>
      <c r="H250" s="357"/>
      <c r="I250" s="357"/>
      <c r="J250" s="357"/>
      <c r="K250" s="357"/>
      <c r="L250" s="357"/>
      <c r="M250" s="357"/>
      <c r="N250" s="357"/>
      <c r="O250" s="357"/>
      <c r="P250" s="357"/>
      <c r="Q250" s="357"/>
      <c r="R250" s="357"/>
      <c r="S250" s="357"/>
      <c r="T250" s="357"/>
      <c r="U250" s="357"/>
      <c r="V250" s="357"/>
      <c r="W250" s="357"/>
      <c r="X250" s="357"/>
      <c r="Y250" s="357"/>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4"/>
      <c r="AV250" s="357"/>
      <c r="AW250" s="357"/>
      <c r="AX250" s="357"/>
      <c r="AY250" s="357"/>
      <c r="AZ250" s="357"/>
      <c r="BA250" s="357"/>
      <c r="BB250" s="357"/>
      <c r="BC250" s="357"/>
      <c r="BD250" s="357"/>
      <c r="BE250" s="357"/>
      <c r="BF250" s="357"/>
      <c r="BG250" s="357"/>
      <c r="BH250" s="357"/>
      <c r="BI250" s="357"/>
      <c r="BJ250" s="357"/>
      <c r="BK250" s="350"/>
      <c r="BL250" s="350"/>
      <c r="BM250" s="350"/>
      <c r="BN250" s="350"/>
      <c r="BO250" s="350"/>
      <c r="BP250" s="350"/>
      <c r="BQ250" s="350"/>
      <c r="BR250" s="350"/>
      <c r="BS250" s="350"/>
      <c r="BT250" s="350"/>
      <c r="BU250" s="350"/>
      <c r="BV250" s="350"/>
      <c r="BW250" s="350"/>
      <c r="BX250" s="350"/>
      <c r="BY250" s="350"/>
      <c r="BZ250" s="350"/>
      <c r="CA250" s="350"/>
      <c r="CB250" s="350"/>
      <c r="CC250" s="350"/>
      <c r="CD250" s="350"/>
      <c r="CE250" s="350"/>
      <c r="CF250" s="350"/>
      <c r="CG250" s="350"/>
      <c r="CH250" s="350"/>
      <c r="CI250" s="350"/>
      <c r="CJ250" s="350"/>
      <c r="CK250" s="350"/>
      <c r="CL250" s="350"/>
      <c r="CM250" s="350"/>
      <c r="CN250" s="350"/>
      <c r="CO250" s="350"/>
      <c r="CP250" s="350"/>
      <c r="CQ250" s="350"/>
      <c r="CR250" s="350"/>
      <c r="CS250" s="350"/>
      <c r="CT250" s="350"/>
      <c r="CU250" s="350"/>
      <c r="CV250" s="350"/>
      <c r="CW250" s="350"/>
      <c r="CX250" s="350"/>
      <c r="CY250" s="350"/>
      <c r="CZ250" s="350"/>
      <c r="DA250" s="350"/>
      <c r="DB250" s="350"/>
      <c r="DC250" s="350"/>
      <c r="DD250" s="350"/>
      <c r="DE250" s="350"/>
      <c r="DF250" s="350"/>
      <c r="DG250" s="350"/>
      <c r="DH250" s="350"/>
      <c r="DI250" s="350"/>
      <c r="DJ250" s="350"/>
      <c r="DK250" s="350"/>
      <c r="DL250" s="350"/>
      <c r="DM250" s="350"/>
      <c r="DN250" s="350"/>
      <c r="DO250" s="350"/>
      <c r="DP250" s="350"/>
      <c r="DQ250" s="350"/>
      <c r="DR250" s="350"/>
      <c r="DS250" s="350"/>
      <c r="DT250" s="350"/>
      <c r="DU250" s="350"/>
      <c r="DV250" s="350"/>
      <c r="DW250" s="350"/>
      <c r="DX250" s="350"/>
      <c r="DY250" s="350"/>
      <c r="DZ250" s="350"/>
      <c r="EA250" s="350"/>
      <c r="EB250" s="350"/>
      <c r="EC250" s="350"/>
      <c r="ED250" s="350"/>
      <c r="EE250" s="350"/>
      <c r="EF250" s="350"/>
      <c r="EG250" s="350"/>
      <c r="EH250" s="350"/>
      <c r="EI250" s="350"/>
      <c r="EJ250" s="350"/>
      <c r="EK250" s="350"/>
      <c r="EL250" s="350"/>
    </row>
    <row r="251" spans="1:142">
      <c r="A251" s="9"/>
      <c r="B251" s="9"/>
      <c r="C251" s="357"/>
      <c r="D251" s="357"/>
      <c r="E251" s="357"/>
      <c r="F251" s="357"/>
      <c r="G251" s="357"/>
      <c r="H251" s="357"/>
      <c r="I251" s="357"/>
      <c r="J251" s="357"/>
      <c r="K251" s="357"/>
      <c r="L251" s="357"/>
      <c r="M251" s="357"/>
      <c r="N251" s="357"/>
      <c r="O251" s="357"/>
      <c r="P251" s="357"/>
      <c r="Q251" s="357"/>
      <c r="R251" s="357"/>
      <c r="S251" s="357"/>
      <c r="T251" s="357"/>
      <c r="U251" s="357"/>
      <c r="V251" s="357"/>
      <c r="W251" s="357"/>
      <c r="X251" s="357"/>
      <c r="Y251" s="357"/>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4"/>
      <c r="AV251" s="357"/>
      <c r="AW251" s="357"/>
      <c r="AX251" s="357"/>
      <c r="AY251" s="357"/>
      <c r="AZ251" s="357"/>
      <c r="BA251" s="357"/>
      <c r="BB251" s="357"/>
      <c r="BC251" s="357"/>
      <c r="BD251" s="357"/>
      <c r="BE251" s="357"/>
      <c r="BF251" s="357"/>
      <c r="BG251" s="357"/>
      <c r="BH251" s="357"/>
      <c r="BI251" s="357"/>
      <c r="BJ251" s="357"/>
      <c r="BK251" s="350"/>
      <c r="BL251" s="350"/>
      <c r="BM251" s="350"/>
      <c r="BN251" s="350"/>
      <c r="BO251" s="350"/>
      <c r="BP251" s="350"/>
      <c r="BQ251" s="350"/>
      <c r="BR251" s="350"/>
      <c r="BS251" s="350"/>
      <c r="BT251" s="350"/>
      <c r="BU251" s="350"/>
      <c r="BV251" s="350"/>
      <c r="BW251" s="350"/>
      <c r="BX251" s="350"/>
      <c r="BY251" s="350"/>
      <c r="BZ251" s="350"/>
      <c r="CA251" s="350"/>
      <c r="CB251" s="350"/>
      <c r="CC251" s="350"/>
      <c r="CD251" s="350"/>
      <c r="CE251" s="350"/>
      <c r="CF251" s="350"/>
      <c r="CG251" s="350"/>
      <c r="CH251" s="350"/>
      <c r="CI251" s="350"/>
      <c r="CJ251" s="350"/>
      <c r="CK251" s="350"/>
      <c r="CL251" s="350"/>
      <c r="CM251" s="350"/>
      <c r="CN251" s="350"/>
      <c r="CO251" s="350"/>
      <c r="CP251" s="350"/>
      <c r="CQ251" s="350"/>
      <c r="CR251" s="350"/>
      <c r="CS251" s="350"/>
      <c r="CT251" s="350"/>
      <c r="CU251" s="350"/>
      <c r="CV251" s="350"/>
      <c r="CW251" s="350"/>
      <c r="CX251" s="350"/>
      <c r="CY251" s="350"/>
      <c r="CZ251" s="350"/>
      <c r="DA251" s="350"/>
      <c r="DB251" s="350"/>
      <c r="DC251" s="350"/>
      <c r="DD251" s="350"/>
      <c r="DE251" s="350"/>
      <c r="DF251" s="350"/>
      <c r="DG251" s="350"/>
      <c r="DH251" s="350"/>
      <c r="DI251" s="350"/>
      <c r="DJ251" s="350"/>
      <c r="DK251" s="350"/>
      <c r="DL251" s="350"/>
      <c r="DM251" s="350"/>
      <c r="DN251" s="350"/>
      <c r="DO251" s="350"/>
      <c r="DP251" s="350"/>
      <c r="DQ251" s="350"/>
      <c r="DR251" s="350"/>
      <c r="DS251" s="350"/>
      <c r="DT251" s="350"/>
      <c r="DU251" s="350"/>
      <c r="DV251" s="350"/>
      <c r="DW251" s="350"/>
      <c r="DX251" s="350"/>
      <c r="DY251" s="350"/>
      <c r="DZ251" s="350"/>
      <c r="EA251" s="350"/>
      <c r="EB251" s="350"/>
      <c r="EC251" s="350"/>
      <c r="ED251" s="350"/>
      <c r="EE251" s="350"/>
      <c r="EF251" s="350"/>
      <c r="EG251" s="350"/>
      <c r="EH251" s="350"/>
      <c r="EI251" s="350"/>
      <c r="EJ251" s="350"/>
      <c r="EK251" s="350"/>
      <c r="EL251" s="350"/>
    </row>
    <row r="252" spans="1:142">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c r="BA252" s="9"/>
      <c r="BB252" s="9"/>
      <c r="BC252" s="9"/>
      <c r="BD252" s="9"/>
      <c r="BE252" s="9"/>
      <c r="BF252" s="9"/>
      <c r="BG252" s="9"/>
      <c r="BH252" s="9"/>
      <c r="BI252" s="9"/>
      <c r="BJ252" s="9"/>
      <c r="BK252" s="350"/>
      <c r="BL252" s="350"/>
      <c r="BM252" s="350"/>
      <c r="BN252" s="350"/>
      <c r="BO252" s="350"/>
      <c r="BP252" s="350"/>
      <c r="BQ252" s="350"/>
      <c r="BR252" s="350"/>
      <c r="BS252" s="350"/>
      <c r="BT252" s="350"/>
      <c r="BU252" s="350"/>
      <c r="BV252" s="350"/>
      <c r="BW252" s="350"/>
      <c r="BX252" s="350"/>
      <c r="BY252" s="350"/>
      <c r="BZ252" s="350"/>
      <c r="CA252" s="350"/>
      <c r="CB252" s="350"/>
      <c r="CC252" s="350"/>
      <c r="CD252" s="350"/>
      <c r="CE252" s="350"/>
      <c r="CF252" s="350"/>
      <c r="CG252" s="350"/>
      <c r="CH252" s="350"/>
      <c r="CI252" s="350"/>
      <c r="CJ252" s="350"/>
      <c r="CK252" s="350"/>
      <c r="CL252" s="350"/>
      <c r="CM252" s="350"/>
      <c r="CN252" s="350"/>
      <c r="CO252" s="350"/>
      <c r="CP252" s="350"/>
      <c r="CQ252" s="350"/>
      <c r="CR252" s="350"/>
      <c r="CS252" s="350"/>
      <c r="CT252" s="350"/>
      <c r="CU252" s="350"/>
      <c r="CV252" s="350"/>
      <c r="CW252" s="350"/>
      <c r="CX252" s="350"/>
      <c r="CY252" s="350"/>
      <c r="CZ252" s="350"/>
      <c r="DA252" s="350"/>
      <c r="DB252" s="350"/>
      <c r="DC252" s="350"/>
      <c r="DD252" s="350"/>
      <c r="DE252" s="350"/>
      <c r="DF252" s="350"/>
      <c r="DG252" s="350"/>
      <c r="DH252" s="350"/>
      <c r="DI252" s="350"/>
      <c r="DJ252" s="350"/>
      <c r="DK252" s="350"/>
      <c r="DL252" s="350"/>
      <c r="DM252" s="350"/>
      <c r="DN252" s="350"/>
      <c r="DO252" s="350"/>
      <c r="DP252" s="350"/>
      <c r="DQ252" s="350"/>
      <c r="DR252" s="350"/>
      <c r="DS252" s="350"/>
      <c r="DT252" s="350"/>
      <c r="DU252" s="350"/>
      <c r="DV252" s="350"/>
      <c r="DW252" s="350"/>
      <c r="DX252" s="350"/>
      <c r="DY252" s="350"/>
      <c r="DZ252" s="350"/>
      <c r="EA252" s="350"/>
      <c r="EB252" s="350"/>
      <c r="EC252" s="350"/>
      <c r="ED252" s="350"/>
      <c r="EE252" s="350"/>
      <c r="EF252" s="350"/>
      <c r="EG252" s="350"/>
      <c r="EH252" s="350"/>
      <c r="EI252" s="350"/>
      <c r="EJ252" s="350"/>
      <c r="EK252" s="350"/>
      <c r="EL252" s="350"/>
    </row>
    <row r="253" spans="1:142">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c r="BA253" s="9"/>
      <c r="BB253" s="9"/>
      <c r="BC253" s="9"/>
      <c r="BD253" s="9"/>
      <c r="BE253" s="9"/>
      <c r="BF253" s="9"/>
      <c r="BG253" s="9"/>
      <c r="BH253" s="9"/>
      <c r="BI253" s="9"/>
      <c r="BJ253" s="9"/>
      <c r="BK253" s="350"/>
      <c r="BL253" s="350"/>
      <c r="BM253" s="350"/>
      <c r="BN253" s="350"/>
      <c r="BO253" s="350"/>
      <c r="BP253" s="350"/>
      <c r="BQ253" s="350"/>
      <c r="BR253" s="350"/>
      <c r="BS253" s="350"/>
      <c r="BT253" s="350"/>
      <c r="BU253" s="350"/>
      <c r="BV253" s="350"/>
      <c r="BW253" s="350"/>
      <c r="BX253" s="350"/>
      <c r="BY253" s="350"/>
      <c r="BZ253" s="350"/>
      <c r="CA253" s="350"/>
      <c r="CB253" s="350"/>
      <c r="CC253" s="350"/>
      <c r="CD253" s="350"/>
      <c r="CE253" s="350"/>
      <c r="CF253" s="350"/>
      <c r="CG253" s="350"/>
      <c r="CH253" s="350"/>
      <c r="CI253" s="350"/>
      <c r="CJ253" s="350"/>
      <c r="CK253" s="350"/>
      <c r="CL253" s="350"/>
      <c r="CM253" s="350"/>
      <c r="CN253" s="350"/>
      <c r="CO253" s="350"/>
      <c r="CP253" s="350"/>
      <c r="CQ253" s="350"/>
      <c r="CR253" s="350"/>
      <c r="CS253" s="350"/>
      <c r="CT253" s="350"/>
      <c r="CU253" s="350"/>
      <c r="CV253" s="350"/>
      <c r="CW253" s="350"/>
      <c r="CX253" s="350"/>
      <c r="CY253" s="350"/>
      <c r="CZ253" s="350"/>
      <c r="DA253" s="350"/>
      <c r="DB253" s="350"/>
      <c r="DC253" s="350"/>
      <c r="DD253" s="350"/>
      <c r="DE253" s="350"/>
      <c r="DF253" s="350"/>
      <c r="DG253" s="350"/>
      <c r="DH253" s="350"/>
      <c r="DI253" s="350"/>
      <c r="DJ253" s="350"/>
      <c r="DK253" s="350"/>
      <c r="DL253" s="350"/>
      <c r="DM253" s="350"/>
      <c r="DN253" s="350"/>
      <c r="DO253" s="350"/>
      <c r="DP253" s="350"/>
      <c r="DQ253" s="350"/>
      <c r="DR253" s="350"/>
      <c r="DS253" s="350"/>
      <c r="DT253" s="350"/>
      <c r="DU253" s="350"/>
      <c r="DV253" s="350"/>
      <c r="DW253" s="350"/>
      <c r="DX253" s="350"/>
      <c r="DY253" s="350"/>
      <c r="DZ253" s="350"/>
      <c r="EA253" s="350"/>
      <c r="EB253" s="350"/>
      <c r="EC253" s="350"/>
      <c r="ED253" s="350"/>
      <c r="EE253" s="350"/>
      <c r="EF253" s="350"/>
      <c r="EG253" s="350"/>
      <c r="EH253" s="350"/>
      <c r="EI253" s="350"/>
      <c r="EJ253" s="350"/>
      <c r="EK253" s="350"/>
      <c r="EL253" s="350"/>
    </row>
    <row r="254" spans="1:142">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AZ254" s="9"/>
      <c r="BA254" s="9"/>
      <c r="BB254" s="9"/>
      <c r="BC254" s="9"/>
      <c r="BD254" s="9"/>
      <c r="BE254" s="9"/>
      <c r="BF254" s="9"/>
      <c r="BG254" s="9"/>
      <c r="BH254" s="9"/>
      <c r="BI254" s="9"/>
      <c r="BJ254" s="9"/>
      <c r="BK254" s="350"/>
      <c r="BL254" s="350"/>
      <c r="BM254" s="350"/>
      <c r="BN254" s="350"/>
      <c r="BO254" s="350"/>
      <c r="BP254" s="350"/>
      <c r="BQ254" s="350"/>
      <c r="BR254" s="350"/>
      <c r="BS254" s="350"/>
      <c r="BT254" s="350"/>
      <c r="BU254" s="350"/>
      <c r="BV254" s="350"/>
      <c r="BW254" s="350"/>
      <c r="BX254" s="350"/>
      <c r="BY254" s="350"/>
      <c r="BZ254" s="350"/>
      <c r="CA254" s="350"/>
      <c r="CB254" s="350"/>
      <c r="CC254" s="350"/>
      <c r="CD254" s="350"/>
      <c r="CE254" s="350"/>
      <c r="CF254" s="350"/>
      <c r="CG254" s="350"/>
      <c r="CH254" s="350"/>
      <c r="CI254" s="350"/>
      <c r="CJ254" s="350"/>
      <c r="CK254" s="350"/>
      <c r="CL254" s="350"/>
      <c r="CM254" s="350"/>
      <c r="CN254" s="350"/>
      <c r="CO254" s="350"/>
      <c r="CP254" s="350"/>
      <c r="CQ254" s="350"/>
      <c r="CR254" s="350"/>
      <c r="CS254" s="350"/>
      <c r="CT254" s="350"/>
      <c r="CU254" s="350"/>
      <c r="CV254" s="350"/>
      <c r="CW254" s="350"/>
      <c r="CX254" s="350"/>
      <c r="CY254" s="350"/>
      <c r="CZ254" s="350"/>
      <c r="DA254" s="350"/>
      <c r="DB254" s="350"/>
      <c r="DC254" s="350"/>
      <c r="DD254" s="350"/>
      <c r="DE254" s="350"/>
      <c r="DF254" s="350"/>
      <c r="DG254" s="350"/>
      <c r="DH254" s="350"/>
      <c r="DI254" s="350"/>
      <c r="DJ254" s="350"/>
      <c r="DK254" s="350"/>
      <c r="DL254" s="350"/>
      <c r="DM254" s="350"/>
      <c r="DN254" s="350"/>
      <c r="DO254" s="350"/>
      <c r="DP254" s="350"/>
      <c r="DQ254" s="350"/>
      <c r="DR254" s="350"/>
      <c r="DS254" s="350"/>
      <c r="DT254" s="350"/>
      <c r="DU254" s="350"/>
      <c r="DV254" s="350"/>
      <c r="DW254" s="350"/>
      <c r="DX254" s="350"/>
      <c r="DY254" s="350"/>
      <c r="DZ254" s="350"/>
      <c r="EA254" s="350"/>
      <c r="EB254" s="350"/>
      <c r="EC254" s="350"/>
      <c r="ED254" s="350"/>
      <c r="EE254" s="350"/>
      <c r="EF254" s="350"/>
      <c r="EG254" s="350"/>
      <c r="EH254" s="350"/>
      <c r="EI254" s="350"/>
      <c r="EJ254" s="350"/>
      <c r="EK254" s="350"/>
      <c r="EL254" s="350"/>
    </row>
    <row r="255" spans="1:142">
      <c r="A255" s="31"/>
      <c r="B255" s="31"/>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c r="BA255" s="9"/>
      <c r="BB255" s="9"/>
      <c r="BC255" s="9"/>
      <c r="BD255" s="9"/>
      <c r="BE255" s="9"/>
      <c r="BF255" s="9"/>
      <c r="BG255" s="9"/>
      <c r="BH255" s="9"/>
      <c r="BI255" s="9"/>
      <c r="BJ255" s="9"/>
      <c r="BK255" s="9"/>
      <c r="BL255" s="9"/>
      <c r="BM255" s="9"/>
      <c r="BN255" s="9"/>
      <c r="BO255" s="9"/>
      <c r="BP255" s="9"/>
      <c r="BQ255" s="9"/>
      <c r="BR255" s="9"/>
      <c r="BS255" s="9"/>
      <c r="BT255" s="9"/>
      <c r="BU255" s="9"/>
      <c r="BV255" s="9"/>
      <c r="BW255" s="9"/>
      <c r="BX255" s="9"/>
      <c r="BY255" s="9"/>
      <c r="BZ255" s="9"/>
      <c r="CA255" s="9"/>
      <c r="CB255" s="9"/>
      <c r="CC255" s="9"/>
      <c r="CD255" s="9"/>
      <c r="CE255" s="9"/>
      <c r="CF255" s="9"/>
      <c r="CG255" s="9"/>
      <c r="CH255" s="9"/>
      <c r="CI255" s="9"/>
      <c r="CJ255" s="9"/>
      <c r="CK255" s="9"/>
      <c r="CL255" s="9"/>
      <c r="CM255" s="9"/>
      <c r="CN255" s="9"/>
      <c r="CO255" s="9"/>
      <c r="CP255" s="9"/>
      <c r="CQ255" s="9"/>
      <c r="CR255" s="9"/>
      <c r="CS255" s="9"/>
      <c r="CT255" s="9"/>
      <c r="CU255" s="9"/>
      <c r="CV255" s="9"/>
      <c r="CW255" s="9"/>
      <c r="CX255" s="9"/>
      <c r="CY255" s="9"/>
      <c r="CZ255" s="9"/>
      <c r="DA255" s="9"/>
      <c r="DB255" s="9"/>
      <c r="DC255" s="9"/>
      <c r="DD255" s="9"/>
      <c r="DE255" s="9"/>
      <c r="DF255" s="9"/>
      <c r="DG255" s="9"/>
      <c r="DH255" s="9"/>
      <c r="DI255" s="9"/>
      <c r="DJ255" s="9"/>
      <c r="DK255" s="164"/>
      <c r="DL255" s="9"/>
      <c r="DM255" s="9"/>
      <c r="DN255" s="9"/>
      <c r="DO255" s="9"/>
      <c r="DP255" s="9"/>
      <c r="DQ255" s="9"/>
      <c r="DR255" s="9"/>
      <c r="DS255" s="9"/>
      <c r="DT255" s="9"/>
      <c r="DU255" s="9"/>
      <c r="DV255" s="9"/>
      <c r="DW255" s="9"/>
      <c r="DX255" s="9"/>
      <c r="DY255" s="9"/>
      <c r="DZ255" s="9"/>
      <c r="EA255" s="9"/>
      <c r="EB255" s="9"/>
      <c r="EC255" s="9"/>
      <c r="ED255" s="9"/>
      <c r="EE255" s="9"/>
      <c r="EF255" s="9"/>
      <c r="EG255" s="9"/>
      <c r="EH255" s="9"/>
      <c r="EI255" s="9"/>
      <c r="EJ255" s="9"/>
      <c r="EK255" s="9"/>
      <c r="EL255" s="9"/>
    </row>
    <row r="256" spans="1:142">
      <c r="A256" s="44"/>
      <c r="B256" s="44"/>
      <c r="C256" s="9"/>
      <c r="D256" s="9"/>
      <c r="E256" s="9"/>
      <c r="F256" s="9"/>
      <c r="G256" s="9"/>
      <c r="H256" s="9"/>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AZ256" s="9"/>
      <c r="BA256" s="9"/>
      <c r="BB256" s="9"/>
      <c r="BC256" s="9"/>
      <c r="BD256" s="9"/>
      <c r="BE256" s="9"/>
      <c r="BF256" s="9"/>
      <c r="BG256" s="9"/>
      <c r="BH256" s="9"/>
      <c r="BI256" s="9"/>
      <c r="BJ256" s="9"/>
      <c r="BK256" s="9"/>
      <c r="BL256" s="9"/>
      <c r="BM256" s="9"/>
      <c r="BN256" s="9"/>
      <c r="BO256" s="9"/>
      <c r="BP256" s="9"/>
      <c r="BQ256" s="9"/>
      <c r="BR256" s="9"/>
      <c r="BS256" s="9"/>
      <c r="BT256" s="9"/>
      <c r="BU256" s="9"/>
      <c r="BV256" s="9"/>
      <c r="BW256" s="9"/>
      <c r="BX256" s="9"/>
      <c r="BY256" s="9"/>
      <c r="BZ256" s="9"/>
      <c r="CA256" s="9"/>
      <c r="CB256" s="9"/>
      <c r="CC256" s="9"/>
      <c r="CD256" s="9"/>
      <c r="CE256" s="9"/>
      <c r="CF256" s="9"/>
      <c r="CG256" s="9"/>
      <c r="CH256" s="9"/>
      <c r="CI256" s="9"/>
      <c r="CJ256" s="9"/>
      <c r="CK256" s="9"/>
      <c r="CL256" s="9"/>
      <c r="CM256" s="9"/>
      <c r="CN256" s="9"/>
      <c r="CO256" s="9"/>
      <c r="CP256" s="9"/>
      <c r="CQ256" s="9"/>
      <c r="CR256" s="9"/>
      <c r="CS256" s="9"/>
      <c r="CT256" s="9"/>
      <c r="CU256" s="9"/>
      <c r="CV256" s="9"/>
      <c r="CW256" s="9"/>
      <c r="CX256" s="9"/>
      <c r="CY256" s="9"/>
      <c r="CZ256" s="9"/>
      <c r="DA256" s="9"/>
      <c r="DB256" s="9"/>
      <c r="DC256" s="9"/>
      <c r="DD256" s="9"/>
      <c r="DE256" s="9"/>
      <c r="DF256" s="9"/>
      <c r="DG256" s="9"/>
      <c r="DH256" s="9"/>
      <c r="DI256" s="9"/>
      <c r="DJ256" s="9"/>
      <c r="DK256" s="164"/>
      <c r="DL256" s="9"/>
      <c r="DM256" s="9"/>
      <c r="DN256" s="9"/>
      <c r="DO256" s="9"/>
      <c r="DP256" s="9"/>
      <c r="DQ256" s="9"/>
      <c r="DR256" s="9"/>
      <c r="DS256" s="9"/>
      <c r="DT256" s="9"/>
      <c r="DU256" s="9"/>
      <c r="DV256" s="9"/>
      <c r="DW256" s="9"/>
      <c r="DX256" s="9"/>
      <c r="DY256" s="9"/>
      <c r="DZ256" s="9"/>
      <c r="EA256" s="9"/>
      <c r="EB256" s="9"/>
      <c r="EC256" s="9"/>
      <c r="ED256" s="9"/>
      <c r="EE256" s="9"/>
      <c r="EF256" s="9"/>
      <c r="EG256" s="9"/>
      <c r="EH256" s="9"/>
      <c r="EI256" s="9"/>
      <c r="EJ256" s="9"/>
      <c r="EK256" s="9"/>
      <c r="EL256" s="9"/>
    </row>
    <row r="257" spans="1:142">
      <c r="A257" s="44"/>
      <c r="B257" s="44"/>
      <c r="C257" s="31"/>
      <c r="D257" s="31"/>
      <c r="E257" s="31"/>
      <c r="F257" s="31"/>
      <c r="G257" s="31"/>
      <c r="H257" s="31"/>
      <c r="I257" s="31"/>
      <c r="J257" s="31"/>
      <c r="K257" s="31"/>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c r="AI257" s="31"/>
      <c r="AJ257" s="31"/>
      <c r="AK257" s="31"/>
      <c r="AL257" s="31"/>
      <c r="AM257" s="31"/>
      <c r="AN257" s="31"/>
      <c r="AO257" s="31"/>
      <c r="AP257" s="31"/>
      <c r="AQ257" s="31"/>
      <c r="AR257" s="31"/>
      <c r="AS257" s="31"/>
      <c r="AT257" s="31"/>
      <c r="AU257" s="4"/>
      <c r="AV257" s="31"/>
      <c r="AW257" s="31"/>
      <c r="AX257" s="31"/>
      <c r="AY257" s="31"/>
      <c r="AZ257" s="31"/>
      <c r="BA257" s="31"/>
      <c r="BB257" s="31"/>
      <c r="BC257" s="31"/>
      <c r="BD257" s="31"/>
      <c r="BE257" s="31"/>
      <c r="BF257" s="31"/>
      <c r="BG257" s="31"/>
      <c r="BH257" s="31"/>
      <c r="BI257" s="31"/>
      <c r="BJ257" s="31"/>
      <c r="BK257" s="31"/>
      <c r="BL257" s="31"/>
      <c r="BM257" s="31"/>
      <c r="BN257" s="31"/>
      <c r="BO257" s="31"/>
      <c r="BP257" s="31"/>
      <c r="BQ257" s="31"/>
      <c r="BR257" s="31"/>
      <c r="BS257" s="31"/>
      <c r="BT257" s="31"/>
      <c r="BU257" s="31"/>
      <c r="BV257" s="31"/>
      <c r="BW257" s="31"/>
      <c r="BX257" s="31"/>
      <c r="BY257" s="31"/>
      <c r="BZ257" s="31"/>
      <c r="CA257" s="31"/>
      <c r="CB257" s="31"/>
      <c r="CC257" s="31"/>
      <c r="CD257" s="31"/>
      <c r="CE257" s="31"/>
      <c r="CF257" s="31"/>
      <c r="CG257" s="31"/>
      <c r="CH257" s="31"/>
      <c r="CI257" s="31"/>
      <c r="CJ257" s="31"/>
      <c r="CK257" s="31"/>
      <c r="CL257" s="31"/>
      <c r="CM257" s="31"/>
      <c r="CN257" s="31"/>
      <c r="CO257" s="31"/>
      <c r="CP257" s="31"/>
      <c r="CQ257" s="31"/>
      <c r="CR257" s="31"/>
      <c r="CS257" s="31"/>
      <c r="CT257" s="31"/>
      <c r="CU257" s="31"/>
      <c r="CV257" s="31"/>
      <c r="CW257" s="31"/>
      <c r="CX257" s="31"/>
      <c r="CY257" s="31"/>
      <c r="CZ257" s="31"/>
      <c r="DA257" s="31"/>
      <c r="DB257" s="31"/>
      <c r="DC257" s="31"/>
      <c r="DD257" s="31"/>
      <c r="DE257" s="31"/>
      <c r="DF257" s="31"/>
      <c r="DG257" s="31"/>
      <c r="DH257" s="31"/>
      <c r="DI257" s="31"/>
      <c r="DJ257" s="31"/>
      <c r="DK257" s="358"/>
      <c r="DL257" s="31"/>
      <c r="DM257" s="31"/>
      <c r="DN257" s="31"/>
      <c r="DO257" s="31"/>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row>
    <row r="258" spans="1:142">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AZ258" s="9"/>
      <c r="BA258" s="9"/>
      <c r="BB258" s="9"/>
      <c r="BC258" s="9"/>
      <c r="BD258" s="9"/>
      <c r="BE258" s="9"/>
      <c r="BF258" s="9"/>
      <c r="BG258" s="9"/>
      <c r="BH258" s="9"/>
      <c r="BI258" s="9"/>
      <c r="BJ258" s="9"/>
      <c r="BK258" s="9"/>
      <c r="BL258" s="9"/>
      <c r="BM258" s="9"/>
      <c r="BN258" s="9"/>
      <c r="BO258" s="9"/>
      <c r="BP258" s="9"/>
      <c r="BQ258" s="9"/>
      <c r="BR258" s="9"/>
      <c r="BS258" s="9"/>
      <c r="BT258" s="9"/>
      <c r="BU258" s="9"/>
      <c r="BV258" s="9"/>
      <c r="BW258" s="9"/>
      <c r="BX258" s="9"/>
      <c r="BY258" s="9"/>
      <c r="BZ258" s="9"/>
      <c r="CA258" s="9"/>
      <c r="CB258" s="9"/>
      <c r="CC258" s="9"/>
      <c r="CD258" s="9"/>
      <c r="CE258" s="9"/>
      <c r="CF258" s="9"/>
      <c r="CG258" s="9"/>
      <c r="CH258" s="9"/>
      <c r="CI258" s="9"/>
      <c r="CJ258" s="9"/>
      <c r="CK258" s="9"/>
      <c r="CL258" s="9"/>
      <c r="CM258" s="9"/>
      <c r="CN258" s="9"/>
      <c r="CO258" s="9"/>
      <c r="CP258" s="9"/>
      <c r="CQ258" s="9"/>
      <c r="CR258" s="9"/>
      <c r="CS258" s="9"/>
      <c r="CT258" s="9"/>
      <c r="CU258" s="9"/>
      <c r="CV258" s="9"/>
      <c r="CW258" s="9"/>
      <c r="CX258" s="9"/>
      <c r="CY258" s="9"/>
      <c r="CZ258" s="9"/>
      <c r="DA258" s="9"/>
      <c r="DB258" s="9"/>
      <c r="DC258" s="9"/>
      <c r="DD258" s="9"/>
      <c r="DE258" s="9"/>
      <c r="DF258" s="9"/>
      <c r="DG258" s="9"/>
      <c r="DH258" s="9"/>
      <c r="DI258" s="9"/>
      <c r="DJ258" s="9"/>
      <c r="DK258" s="164"/>
      <c r="DL258" s="9"/>
      <c r="DM258" s="9"/>
      <c r="DN258" s="9"/>
      <c r="DO258" s="9"/>
      <c r="DP258" s="9"/>
      <c r="DQ258" s="9"/>
      <c r="DR258" s="9"/>
      <c r="DS258" s="9"/>
      <c r="DT258" s="9"/>
      <c r="DU258" s="9"/>
      <c r="DV258" s="9"/>
      <c r="DW258" s="9"/>
      <c r="DX258" s="9"/>
      <c r="DY258" s="9"/>
      <c r="DZ258" s="9"/>
      <c r="EA258" s="9"/>
      <c r="EB258" s="9"/>
      <c r="EC258" s="9"/>
      <c r="ED258" s="9"/>
      <c r="EE258" s="9"/>
      <c r="EF258" s="9"/>
      <c r="EG258" s="9"/>
      <c r="EH258" s="9"/>
      <c r="EI258" s="9"/>
      <c r="EJ258" s="9"/>
      <c r="EK258" s="9"/>
      <c r="EL258" s="9"/>
    </row>
    <row r="259" spans="1:142">
      <c r="A259" s="352"/>
      <c r="B259" s="352"/>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9"/>
      <c r="AS259" s="9"/>
      <c r="AT259" s="9"/>
      <c r="AU259" s="9"/>
      <c r="AV259" s="9"/>
      <c r="AW259" s="5"/>
      <c r="AX259" s="9"/>
      <c r="AY259" s="9"/>
      <c r="AZ259" s="9"/>
      <c r="BA259" s="9"/>
      <c r="BB259" s="5"/>
      <c r="BC259" s="9"/>
      <c r="BD259" s="9"/>
      <c r="BE259" s="9"/>
      <c r="BF259" s="9"/>
      <c r="BG259" s="5"/>
      <c r="BH259" s="9"/>
      <c r="BI259" s="9"/>
      <c r="BJ259" s="9"/>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9"/>
      <c r="CL259" s="9"/>
      <c r="CM259" s="9"/>
      <c r="CN259" s="9"/>
      <c r="CO259" s="9"/>
      <c r="CP259" s="9"/>
      <c r="CQ259" s="9"/>
      <c r="CR259" s="9"/>
      <c r="CS259" s="9"/>
      <c r="CT259" s="9"/>
      <c r="CU259" s="9"/>
      <c r="CV259" s="9"/>
      <c r="CW259" s="9"/>
      <c r="CX259" s="9"/>
      <c r="CY259" s="9"/>
      <c r="CZ259" s="9"/>
      <c r="DA259" s="9"/>
      <c r="DB259" s="9"/>
      <c r="DC259" s="9"/>
      <c r="DD259" s="9"/>
      <c r="DE259" s="9"/>
      <c r="DF259" s="9"/>
      <c r="DG259" s="9"/>
      <c r="DH259" s="9"/>
      <c r="DI259" s="9"/>
      <c r="DJ259" s="9"/>
      <c r="DK259" s="164"/>
      <c r="DL259" s="9"/>
      <c r="DM259" s="9"/>
      <c r="DN259" s="9"/>
      <c r="DO259" s="9"/>
      <c r="DP259" s="9"/>
      <c r="DQ259" s="9"/>
      <c r="DR259" s="9"/>
      <c r="DS259" s="9"/>
      <c r="DT259" s="9"/>
      <c r="DU259" s="9"/>
      <c r="DV259" s="9"/>
      <c r="DW259" s="9"/>
      <c r="DX259" s="9"/>
      <c r="DY259" s="9"/>
      <c r="DZ259" s="9"/>
      <c r="EA259" s="9"/>
      <c r="EB259" s="9"/>
      <c r="EC259" s="9"/>
      <c r="ED259" s="9"/>
      <c r="EE259" s="9"/>
      <c r="EF259" s="9"/>
      <c r="EG259" s="9"/>
      <c r="EH259" s="9"/>
      <c r="EI259" s="9"/>
      <c r="EJ259" s="9"/>
      <c r="EK259" s="9"/>
      <c r="EL259" s="9"/>
    </row>
    <row r="260" spans="1:142">
      <c r="A260" s="9"/>
      <c r="B260" s="9"/>
      <c r="C260" s="359"/>
      <c r="D260" s="359"/>
      <c r="E260" s="359"/>
      <c r="F260" s="359"/>
      <c r="G260" s="4"/>
      <c r="H260" s="359"/>
      <c r="I260" s="359"/>
      <c r="J260" s="359"/>
      <c r="K260" s="359"/>
      <c r="L260" s="4"/>
      <c r="M260" s="359"/>
      <c r="N260" s="359"/>
      <c r="O260" s="359"/>
      <c r="P260" s="359"/>
      <c r="Q260" s="4"/>
      <c r="R260" s="359"/>
      <c r="S260" s="359"/>
      <c r="T260" s="359"/>
      <c r="U260" s="359"/>
      <c r="V260" s="4"/>
      <c r="W260" s="359"/>
      <c r="X260" s="359"/>
      <c r="Y260" s="359"/>
      <c r="Z260" s="359"/>
      <c r="AA260" s="4"/>
      <c r="AB260" s="359"/>
      <c r="AC260" s="359"/>
      <c r="AD260" s="359"/>
      <c r="AE260" s="359"/>
      <c r="AF260" s="4"/>
      <c r="AG260" s="359"/>
      <c r="AH260" s="359"/>
      <c r="AI260" s="359"/>
      <c r="AJ260" s="359"/>
      <c r="AK260" s="4"/>
      <c r="AL260" s="178"/>
      <c r="AM260" s="9"/>
      <c r="AN260" s="9"/>
      <c r="AO260" s="9"/>
      <c r="AP260" s="178"/>
      <c r="AQ260" s="9"/>
      <c r="AR260" s="9"/>
      <c r="AS260" s="9"/>
      <c r="AT260" s="9"/>
      <c r="AU260" s="9"/>
      <c r="AV260" s="9"/>
      <c r="AW260" s="9"/>
      <c r="AX260" s="9"/>
      <c r="AY260" s="9"/>
      <c r="AZ260" s="9"/>
      <c r="BA260" s="9"/>
      <c r="BB260" s="9"/>
      <c r="BC260" s="9"/>
      <c r="BD260" s="9"/>
      <c r="BE260" s="9"/>
      <c r="BF260" s="9"/>
      <c r="BG260" s="9"/>
      <c r="BH260" s="9"/>
      <c r="BI260" s="9"/>
      <c r="BJ260" s="9"/>
      <c r="BK260" s="9"/>
      <c r="BL260" s="9"/>
      <c r="BM260" s="9"/>
      <c r="BN260" s="9"/>
      <c r="BO260" s="9"/>
      <c r="BP260" s="9"/>
      <c r="BQ260" s="9"/>
      <c r="BR260" s="9"/>
      <c r="BS260" s="9"/>
      <c r="BT260" s="9"/>
      <c r="BU260" s="9"/>
      <c r="BV260" s="9"/>
      <c r="BW260" s="9"/>
      <c r="BX260" s="9"/>
      <c r="BY260" s="9"/>
      <c r="BZ260" s="9"/>
      <c r="CA260" s="9"/>
      <c r="CB260" s="9"/>
      <c r="CC260" s="9"/>
      <c r="CD260" s="9"/>
      <c r="CE260" s="9"/>
      <c r="CF260" s="9"/>
      <c r="CG260" s="9"/>
      <c r="CH260" s="9"/>
      <c r="CI260" s="9"/>
      <c r="CJ260" s="9"/>
      <c r="CK260" s="9"/>
      <c r="CL260" s="9"/>
      <c r="CM260" s="9"/>
      <c r="CN260" s="9"/>
      <c r="CO260" s="9"/>
      <c r="CP260" s="9"/>
      <c r="CQ260" s="9"/>
      <c r="CR260" s="9"/>
      <c r="CS260" s="9"/>
      <c r="CT260" s="9"/>
      <c r="CU260" s="9"/>
      <c r="CV260" s="9"/>
      <c r="CW260" s="9"/>
      <c r="CX260" s="9"/>
      <c r="CY260" s="9"/>
      <c r="CZ260" s="9"/>
      <c r="DA260" s="9"/>
      <c r="DB260" s="9"/>
      <c r="DC260" s="9"/>
      <c r="DD260" s="9"/>
      <c r="DE260" s="9"/>
      <c r="DF260" s="9"/>
      <c r="DG260" s="9"/>
      <c r="DH260" s="9"/>
      <c r="DI260" s="9"/>
      <c r="DJ260" s="9"/>
      <c r="DK260" s="164"/>
      <c r="DL260" s="9"/>
      <c r="DM260" s="9"/>
      <c r="DN260" s="9"/>
      <c r="DO260" s="9"/>
      <c r="DP260" s="9"/>
      <c r="DQ260" s="9"/>
      <c r="DR260" s="9"/>
      <c r="DS260" s="9"/>
      <c r="DT260" s="9"/>
      <c r="DU260" s="9"/>
      <c r="DV260" s="9"/>
      <c r="DW260" s="9"/>
      <c r="DX260" s="9"/>
      <c r="DY260" s="9"/>
      <c r="DZ260" s="9"/>
      <c r="EA260" s="9"/>
      <c r="EB260" s="9"/>
      <c r="EC260" s="9"/>
      <c r="ED260" s="9"/>
      <c r="EE260" s="9"/>
      <c r="EF260" s="9"/>
      <c r="EG260" s="9"/>
      <c r="EH260" s="9"/>
      <c r="EI260" s="9"/>
      <c r="EJ260" s="9"/>
      <c r="EK260" s="9"/>
      <c r="EL260" s="9"/>
    </row>
    <row r="261" spans="1:142">
      <c r="A261" s="9"/>
      <c r="B261" s="9"/>
      <c r="C261" s="356"/>
      <c r="D261" s="356"/>
      <c r="E261" s="356"/>
      <c r="F261" s="356"/>
      <c r="G261" s="356"/>
      <c r="H261" s="356"/>
      <c r="I261" s="356"/>
      <c r="J261" s="356"/>
      <c r="K261" s="356"/>
      <c r="L261" s="356"/>
      <c r="M261" s="356"/>
      <c r="N261" s="356"/>
      <c r="O261" s="356"/>
      <c r="P261" s="356"/>
      <c r="Q261" s="356"/>
      <c r="R261" s="356"/>
      <c r="S261" s="356"/>
      <c r="T261" s="356"/>
      <c r="U261" s="356"/>
      <c r="V261" s="356"/>
      <c r="W261" s="356"/>
      <c r="X261" s="356"/>
      <c r="Y261" s="356"/>
      <c r="Z261" s="356"/>
      <c r="AA261" s="356"/>
      <c r="AB261" s="356"/>
      <c r="AC261" s="356"/>
      <c r="AD261" s="356"/>
      <c r="AE261" s="356"/>
      <c r="AF261" s="356"/>
      <c r="AG261" s="356"/>
      <c r="AH261" s="356"/>
      <c r="AI261" s="356"/>
      <c r="AJ261" s="356"/>
      <c r="AK261" s="356"/>
      <c r="AL261" s="356"/>
      <c r="AM261" s="356"/>
      <c r="AN261" s="356"/>
      <c r="AO261" s="356"/>
      <c r="AP261" s="356"/>
      <c r="AQ261" s="9"/>
      <c r="AR261" s="9"/>
      <c r="AS261" s="9"/>
      <c r="AT261" s="360"/>
      <c r="AU261" s="4"/>
      <c r="AV261" s="356"/>
      <c r="AW261" s="356"/>
      <c r="AX261" s="356"/>
      <c r="AY261" s="4"/>
      <c r="AZ261" s="360"/>
      <c r="BA261" s="9"/>
      <c r="BB261" s="9"/>
      <c r="BC261" s="9"/>
      <c r="BD261" s="9"/>
      <c r="BE261" s="360"/>
      <c r="BF261" s="4"/>
      <c r="BG261" s="178"/>
      <c r="BH261" s="9"/>
      <c r="BI261" s="9"/>
      <c r="BJ261" s="356"/>
      <c r="BK261" s="356"/>
      <c r="BL261" s="361"/>
      <c r="BM261" s="360"/>
      <c r="BN261" s="361"/>
      <c r="BO261" s="356"/>
      <c r="BP261" s="356"/>
      <c r="BQ261" s="361"/>
      <c r="BR261" s="360"/>
      <c r="BS261" s="361"/>
      <c r="BT261" s="356"/>
      <c r="BU261" s="356"/>
      <c r="BV261" s="361"/>
      <c r="BW261" s="360"/>
      <c r="BX261" s="361"/>
      <c r="BY261" s="356"/>
      <c r="BZ261" s="356"/>
      <c r="CA261" s="361"/>
      <c r="CB261" s="360"/>
      <c r="CC261" s="361"/>
      <c r="CD261" s="360"/>
      <c r="CE261" s="362"/>
      <c r="CF261" s="362"/>
      <c r="CG261" s="362"/>
      <c r="CH261" s="362"/>
      <c r="CI261" s="360"/>
      <c r="CJ261" s="362"/>
      <c r="CK261" s="362"/>
      <c r="CL261" s="362"/>
      <c r="CM261" s="362"/>
      <c r="CN261" s="360"/>
      <c r="CO261" s="362"/>
      <c r="CP261" s="362"/>
      <c r="CQ261" s="362"/>
      <c r="CR261" s="362"/>
      <c r="CS261" s="360"/>
      <c r="CT261" s="362"/>
      <c r="CU261" s="362"/>
      <c r="CV261" s="362"/>
      <c r="CW261" s="362"/>
      <c r="CX261" s="360"/>
      <c r="CY261" s="362"/>
      <c r="CZ261" s="362"/>
      <c r="DA261" s="362"/>
      <c r="DB261" s="362"/>
      <c r="DC261" s="360"/>
      <c r="DD261" s="362"/>
      <c r="DE261" s="362"/>
      <c r="DF261" s="362"/>
      <c r="DG261" s="362"/>
      <c r="DH261" s="360"/>
      <c r="DI261" s="362"/>
      <c r="DJ261" s="362"/>
      <c r="DK261" s="362"/>
      <c r="DL261" s="362"/>
      <c r="DM261" s="360"/>
      <c r="DN261" s="362"/>
      <c r="DO261" s="362"/>
      <c r="DP261" s="362"/>
      <c r="DQ261" s="362"/>
      <c r="DR261" s="360"/>
      <c r="DS261" s="362"/>
      <c r="DT261" s="362"/>
      <c r="DU261" s="362"/>
      <c r="DV261" s="362"/>
      <c r="DW261" s="360"/>
      <c r="DX261" s="362"/>
      <c r="DY261" s="362"/>
      <c r="DZ261" s="362"/>
      <c r="EA261" s="362"/>
      <c r="EB261" s="360"/>
      <c r="EC261" s="362"/>
      <c r="ED261" s="362"/>
      <c r="EE261" s="362"/>
      <c r="EF261" s="362"/>
      <c r="EG261" s="360"/>
      <c r="EH261" s="362"/>
      <c r="EI261" s="362"/>
      <c r="EJ261" s="362"/>
      <c r="EK261" s="362"/>
      <c r="EL261" s="360"/>
    </row>
    <row r="262" spans="1:142">
      <c r="A262" s="9"/>
      <c r="B262" s="9"/>
      <c r="C262" s="356"/>
      <c r="D262" s="356"/>
      <c r="E262" s="356"/>
      <c r="F262" s="356"/>
      <c r="G262" s="361"/>
      <c r="H262" s="356"/>
      <c r="I262" s="356"/>
      <c r="J262" s="356"/>
      <c r="K262" s="356"/>
      <c r="L262" s="361"/>
      <c r="M262" s="356"/>
      <c r="N262" s="356"/>
      <c r="O262" s="356"/>
      <c r="P262" s="356"/>
      <c r="Q262" s="361"/>
      <c r="R262" s="356"/>
      <c r="S262" s="356"/>
      <c r="T262" s="356"/>
      <c r="U262" s="356"/>
      <c r="V262" s="361"/>
      <c r="W262" s="356"/>
      <c r="X262" s="356"/>
      <c r="Y262" s="356"/>
      <c r="Z262" s="356"/>
      <c r="AA262" s="361"/>
      <c r="AB262" s="356"/>
      <c r="AC262" s="356"/>
      <c r="AD262" s="356"/>
      <c r="AE262" s="356"/>
      <c r="AF262" s="361"/>
      <c r="AG262" s="356"/>
      <c r="AH262" s="356"/>
      <c r="AI262" s="356"/>
      <c r="AJ262" s="356"/>
      <c r="AK262" s="361"/>
      <c r="AL262" s="360"/>
      <c r="AM262" s="362"/>
      <c r="AN262" s="362"/>
      <c r="AO262" s="356"/>
      <c r="AP262" s="356"/>
      <c r="AQ262" s="9"/>
      <c r="AR262" s="9"/>
      <c r="AS262" s="9"/>
      <c r="AT262" s="360"/>
      <c r="AU262" s="4"/>
      <c r="AV262" s="356"/>
      <c r="AW262" s="356"/>
      <c r="AX262" s="356"/>
      <c r="AY262" s="178"/>
      <c r="AZ262" s="360"/>
      <c r="BA262" s="9"/>
      <c r="BB262" s="9"/>
      <c r="BC262" s="9"/>
      <c r="BD262" s="178"/>
      <c r="BE262" s="360"/>
      <c r="BF262" s="9"/>
      <c r="BG262" s="9"/>
      <c r="BH262" s="9"/>
      <c r="BI262" s="9"/>
      <c r="BJ262" s="356"/>
      <c r="BK262" s="356"/>
      <c r="BL262" s="356"/>
      <c r="BM262" s="356"/>
      <c r="BN262" s="356"/>
      <c r="BO262" s="356"/>
      <c r="BP262" s="356"/>
      <c r="BQ262" s="356"/>
      <c r="BR262" s="356"/>
      <c r="BS262" s="356"/>
      <c r="BT262" s="356"/>
      <c r="BU262" s="356"/>
      <c r="BV262" s="356"/>
      <c r="BW262" s="356"/>
      <c r="BX262" s="356"/>
      <c r="BY262" s="356"/>
      <c r="BZ262" s="356"/>
      <c r="CA262" s="356"/>
      <c r="CB262" s="356"/>
      <c r="CC262" s="356"/>
      <c r="CD262" s="356"/>
      <c r="CE262" s="362"/>
      <c r="CF262" s="362"/>
      <c r="CG262" s="362"/>
      <c r="CH262" s="362"/>
      <c r="CI262" s="360"/>
      <c r="CJ262" s="362"/>
      <c r="CK262" s="362"/>
      <c r="CL262" s="362"/>
      <c r="CM262" s="362"/>
      <c r="CN262" s="360"/>
      <c r="CO262" s="362"/>
      <c r="CP262" s="362"/>
      <c r="CQ262" s="362"/>
      <c r="CR262" s="362"/>
      <c r="CS262" s="360"/>
      <c r="CT262" s="362"/>
      <c r="CU262" s="362"/>
      <c r="CV262" s="362"/>
      <c r="CW262" s="362"/>
      <c r="CX262" s="360"/>
      <c r="CY262" s="362"/>
      <c r="CZ262" s="362"/>
      <c r="DA262" s="362"/>
      <c r="DB262" s="362"/>
      <c r="DC262" s="360"/>
      <c r="DD262" s="362"/>
      <c r="DE262" s="362"/>
      <c r="DF262" s="362"/>
      <c r="DG262" s="362"/>
      <c r="DH262" s="360"/>
      <c r="DI262" s="362"/>
      <c r="DJ262" s="362"/>
      <c r="DK262" s="362"/>
      <c r="DL262" s="362"/>
      <c r="DM262" s="360"/>
      <c r="DN262" s="362"/>
      <c r="DO262" s="362"/>
      <c r="DP262" s="362"/>
      <c r="DQ262" s="362"/>
      <c r="DR262" s="360"/>
      <c r="DS262" s="362"/>
      <c r="DT262" s="362"/>
      <c r="DU262" s="362"/>
      <c r="DV262" s="362"/>
      <c r="DW262" s="360"/>
      <c r="DX262" s="362"/>
      <c r="DY262" s="362"/>
      <c r="DZ262" s="362"/>
      <c r="EA262" s="362"/>
      <c r="EB262" s="360"/>
      <c r="EC262" s="362"/>
      <c r="ED262" s="362"/>
      <c r="EE262" s="362"/>
      <c r="EF262" s="362"/>
      <c r="EG262" s="360"/>
      <c r="EH262" s="362"/>
      <c r="EI262" s="362"/>
      <c r="EJ262" s="362"/>
      <c r="EK262" s="362"/>
      <c r="EL262" s="360"/>
    </row>
    <row r="263" spans="1:142">
      <c r="A263" s="9"/>
      <c r="B263" s="9"/>
      <c r="C263" s="363"/>
      <c r="D263" s="363"/>
      <c r="E263" s="363"/>
      <c r="F263" s="363"/>
      <c r="G263" s="363"/>
      <c r="H263" s="363"/>
      <c r="I263" s="363"/>
      <c r="J263" s="363"/>
      <c r="K263" s="363"/>
      <c r="L263" s="363"/>
      <c r="M263" s="363"/>
      <c r="N263" s="363"/>
      <c r="O263" s="363"/>
      <c r="P263" s="363"/>
      <c r="Q263" s="363"/>
      <c r="R263" s="363"/>
      <c r="S263" s="363"/>
      <c r="T263" s="363"/>
      <c r="U263" s="363"/>
      <c r="V263" s="363"/>
      <c r="W263" s="363"/>
      <c r="X263" s="363"/>
      <c r="Y263" s="363"/>
      <c r="Z263" s="363"/>
      <c r="AA263" s="363"/>
      <c r="AB263" s="363"/>
      <c r="AC263" s="363"/>
      <c r="AD263" s="363"/>
      <c r="AE263" s="363"/>
      <c r="AF263" s="363"/>
      <c r="AG263" s="363"/>
      <c r="AH263" s="363"/>
      <c r="AI263" s="363"/>
      <c r="AJ263" s="363"/>
      <c r="AK263" s="363"/>
      <c r="AL263" s="363"/>
      <c r="AM263" s="363"/>
      <c r="AN263" s="363"/>
      <c r="AO263" s="363"/>
      <c r="AP263" s="363"/>
      <c r="AQ263" s="4"/>
      <c r="AR263" s="363"/>
      <c r="AS263" s="363"/>
      <c r="AT263" s="360"/>
      <c r="AU263" s="4"/>
      <c r="AV263" s="364"/>
      <c r="AW263" s="361"/>
      <c r="AX263" s="363"/>
      <c r="AY263" s="363"/>
      <c r="AZ263" s="360"/>
      <c r="BA263" s="178"/>
      <c r="BB263" s="363"/>
      <c r="BC263" s="363"/>
      <c r="BD263" s="361"/>
      <c r="BE263" s="360"/>
      <c r="BF263" s="364"/>
      <c r="BG263" s="362"/>
      <c r="BH263" s="362"/>
      <c r="BI263" s="362"/>
      <c r="BJ263" s="356"/>
      <c r="BK263" s="356"/>
      <c r="BL263" s="362"/>
      <c r="BM263" s="362"/>
      <c r="BN263" s="362"/>
      <c r="BO263" s="356"/>
      <c r="BP263" s="356"/>
      <c r="BQ263" s="362"/>
      <c r="BR263" s="362"/>
      <c r="BS263" s="362"/>
      <c r="BT263" s="356"/>
      <c r="BU263" s="356"/>
      <c r="BV263" s="362"/>
      <c r="BW263" s="362"/>
      <c r="BX263" s="362"/>
      <c r="BY263" s="356"/>
      <c r="BZ263" s="356"/>
      <c r="CA263" s="362"/>
      <c r="CB263" s="362"/>
      <c r="CC263" s="362"/>
      <c r="CD263" s="360"/>
      <c r="CE263" s="362"/>
      <c r="CF263" s="362"/>
      <c r="CG263" s="362"/>
      <c r="CH263" s="362"/>
      <c r="CI263" s="360"/>
      <c r="CJ263" s="362"/>
      <c r="CK263" s="362"/>
      <c r="CL263" s="362"/>
      <c r="CM263" s="362"/>
      <c r="CN263" s="360"/>
      <c r="CO263" s="362"/>
      <c r="CP263" s="362"/>
      <c r="CQ263" s="362"/>
      <c r="CR263" s="362"/>
      <c r="CS263" s="360"/>
      <c r="CT263" s="362"/>
      <c r="CU263" s="362"/>
      <c r="CV263" s="362"/>
      <c r="CW263" s="362"/>
      <c r="CX263" s="360"/>
      <c r="CY263" s="362"/>
      <c r="CZ263" s="362"/>
      <c r="DA263" s="362"/>
      <c r="DB263" s="362"/>
      <c r="DC263" s="360"/>
      <c r="DD263" s="362"/>
      <c r="DE263" s="362"/>
      <c r="DF263" s="362"/>
      <c r="DG263" s="362"/>
      <c r="DH263" s="360"/>
      <c r="DI263" s="362"/>
      <c r="DJ263" s="362"/>
      <c r="DK263" s="362"/>
      <c r="DL263" s="362"/>
      <c r="DM263" s="360"/>
      <c r="DN263" s="362"/>
      <c r="DO263" s="362"/>
      <c r="DP263" s="362"/>
      <c r="DQ263" s="362"/>
      <c r="DR263" s="360"/>
      <c r="DS263" s="362"/>
      <c r="DT263" s="362"/>
      <c r="DU263" s="362"/>
      <c r="DV263" s="362"/>
      <c r="DW263" s="360"/>
      <c r="DX263" s="362"/>
      <c r="DY263" s="362"/>
      <c r="DZ263" s="362"/>
      <c r="EA263" s="362"/>
      <c r="EB263" s="360"/>
      <c r="EC263" s="362"/>
      <c r="ED263" s="362"/>
      <c r="EE263" s="362"/>
      <c r="EF263" s="362"/>
      <c r="EG263" s="360"/>
      <c r="EH263" s="362"/>
      <c r="EI263" s="362"/>
      <c r="EJ263" s="362"/>
      <c r="EK263" s="362"/>
      <c r="EL263" s="360"/>
    </row>
    <row r="264" spans="1:142">
      <c r="A264" s="9"/>
      <c r="B264" s="9"/>
      <c r="C264" s="359"/>
      <c r="D264" s="359"/>
      <c r="E264" s="359"/>
      <c r="F264" s="359"/>
      <c r="G264" s="359"/>
      <c r="H264" s="359"/>
      <c r="I264" s="359"/>
      <c r="J264" s="359"/>
      <c r="K264" s="359"/>
      <c r="L264" s="359"/>
      <c r="M264" s="359"/>
      <c r="N264" s="359"/>
      <c r="O264" s="359"/>
      <c r="P264" s="359"/>
      <c r="Q264" s="359"/>
      <c r="R264" s="359"/>
      <c r="S264" s="359"/>
      <c r="T264" s="359"/>
      <c r="U264" s="359"/>
      <c r="V264" s="359"/>
      <c r="W264" s="359"/>
      <c r="X264" s="359"/>
      <c r="Y264" s="359"/>
      <c r="Z264" s="359"/>
      <c r="AA264" s="359"/>
      <c r="AB264" s="359"/>
      <c r="AC264" s="359"/>
      <c r="AD264" s="359"/>
      <c r="AE264" s="359"/>
      <c r="AF264" s="359"/>
      <c r="AG264" s="359"/>
      <c r="AH264" s="359"/>
      <c r="AI264" s="359"/>
      <c r="AJ264" s="359"/>
      <c r="AK264" s="359"/>
      <c r="AL264" s="359"/>
      <c r="AM264" s="359"/>
      <c r="AN264" s="359"/>
      <c r="AO264" s="359"/>
      <c r="AP264" s="359"/>
      <c r="AQ264" s="4"/>
      <c r="AR264" s="359"/>
      <c r="AS264" s="359"/>
      <c r="AT264" s="359"/>
      <c r="AU264" s="4"/>
      <c r="AV264" s="362"/>
      <c r="AW264" s="362"/>
      <c r="AX264" s="362"/>
      <c r="AY264" s="362"/>
      <c r="AZ264" s="4"/>
      <c r="BA264" s="178"/>
      <c r="BB264" s="362"/>
      <c r="BC264" s="362"/>
      <c r="BD264" s="362"/>
      <c r="BE264" s="4"/>
      <c r="BF264" s="178"/>
      <c r="BG264" s="362"/>
      <c r="BH264" s="362"/>
      <c r="BI264" s="362"/>
      <c r="BJ264" s="4"/>
      <c r="BK264" s="359"/>
      <c r="BL264" s="359"/>
      <c r="BM264" s="359"/>
      <c r="BN264" s="359"/>
      <c r="BO264" s="4"/>
      <c r="BP264" s="359"/>
      <c r="BQ264" s="359"/>
      <c r="BR264" s="359"/>
      <c r="BS264" s="359"/>
      <c r="BT264" s="4"/>
      <c r="BU264" s="359"/>
      <c r="BV264" s="359"/>
      <c r="BW264" s="359"/>
      <c r="BX264" s="359"/>
      <c r="BY264" s="4"/>
      <c r="BZ264" s="359"/>
      <c r="CA264" s="359"/>
      <c r="CB264" s="359"/>
      <c r="CC264" s="359"/>
      <c r="CD264" s="9"/>
      <c r="CE264" s="9"/>
      <c r="CF264" s="9"/>
      <c r="CG264" s="9"/>
      <c r="CH264" s="9"/>
      <c r="CI264" s="9"/>
      <c r="CJ264" s="9"/>
      <c r="CK264" s="9"/>
      <c r="CL264" s="9"/>
      <c r="CM264" s="9"/>
      <c r="CN264" s="9"/>
      <c r="CO264" s="9"/>
      <c r="CP264" s="9"/>
      <c r="CQ264" s="9"/>
      <c r="CR264" s="9"/>
      <c r="CS264" s="9"/>
      <c r="CT264" s="9"/>
      <c r="CU264" s="9"/>
      <c r="CV264" s="9"/>
      <c r="CW264" s="9"/>
      <c r="CX264" s="9"/>
      <c r="CY264" s="9"/>
      <c r="CZ264" s="9"/>
      <c r="DA264" s="9"/>
      <c r="DB264" s="9"/>
      <c r="DC264" s="9"/>
      <c r="DD264" s="9"/>
      <c r="DE264" s="9"/>
      <c r="DF264" s="9"/>
      <c r="DG264" s="9"/>
      <c r="DH264" s="9"/>
      <c r="DI264" s="9"/>
      <c r="DJ264" s="9"/>
      <c r="DK264" s="164"/>
      <c r="DL264" s="9"/>
      <c r="DM264" s="9"/>
      <c r="DN264" s="9"/>
      <c r="DO264" s="9"/>
      <c r="DP264" s="9"/>
      <c r="DQ264" s="9"/>
      <c r="DR264" s="9"/>
      <c r="DS264" s="9"/>
      <c r="DT264" s="9"/>
      <c r="DU264" s="9"/>
      <c r="DV264" s="9"/>
      <c r="DW264" s="9"/>
      <c r="DX264" s="9"/>
      <c r="DY264" s="9"/>
      <c r="DZ264" s="9"/>
      <c r="EA264" s="9"/>
      <c r="EB264" s="9"/>
      <c r="EC264" s="9"/>
      <c r="ED264" s="9"/>
      <c r="EE264" s="9"/>
      <c r="EF264" s="9"/>
      <c r="EG264" s="9"/>
      <c r="EH264" s="9"/>
      <c r="EI264" s="9"/>
      <c r="EJ264" s="9"/>
      <c r="EK264" s="9"/>
      <c r="EL264" s="9"/>
    </row>
    <row r="265" spans="1:142">
      <c r="A265" s="31"/>
      <c r="B265" s="31"/>
      <c r="C265" s="31"/>
      <c r="D265" s="31"/>
      <c r="E265" s="31"/>
      <c r="F265" s="31"/>
      <c r="G265" s="31"/>
      <c r="H265" s="31"/>
      <c r="I265" s="31"/>
      <c r="J265" s="31"/>
      <c r="K265" s="31"/>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c r="AI265" s="31"/>
      <c r="AJ265" s="31"/>
      <c r="AK265" s="31"/>
      <c r="AL265" s="31"/>
      <c r="AM265" s="31"/>
      <c r="AN265" s="31"/>
      <c r="AO265" s="31"/>
      <c r="AP265" s="31"/>
      <c r="AQ265" s="31"/>
      <c r="AR265" s="31"/>
      <c r="AS265" s="31"/>
      <c r="AT265" s="31"/>
      <c r="AU265" s="4"/>
      <c r="AV265" s="160"/>
      <c r="AW265" s="365"/>
      <c r="AX265" s="365"/>
      <c r="AY265" s="365"/>
      <c r="AZ265" s="365"/>
      <c r="BA265" s="365"/>
      <c r="BB265" s="365"/>
      <c r="BC265" s="365"/>
      <c r="BD265" s="365"/>
      <c r="BE265" s="365"/>
      <c r="BF265" s="365"/>
      <c r="BG265" s="365"/>
      <c r="BH265" s="365"/>
      <c r="BI265" s="365"/>
      <c r="BJ265" s="365"/>
      <c r="BK265" s="365"/>
      <c r="BL265" s="366"/>
      <c r="BM265" s="366"/>
      <c r="BN265" s="366"/>
      <c r="BO265" s="160"/>
      <c r="BP265" s="367"/>
      <c r="BQ265" s="366"/>
      <c r="BR265" s="366"/>
      <c r="BS265" s="366"/>
      <c r="BT265" s="160"/>
      <c r="BU265" s="367"/>
      <c r="BV265" s="366"/>
      <c r="BW265" s="366"/>
      <c r="BX265" s="366"/>
      <c r="BY265" s="160"/>
      <c r="BZ265" s="367"/>
      <c r="CA265" s="366"/>
      <c r="CB265" s="366"/>
      <c r="CC265" s="366"/>
      <c r="CD265" s="160"/>
      <c r="CE265" s="366"/>
      <c r="CF265" s="366"/>
      <c r="CG265" s="366"/>
      <c r="CH265" s="366"/>
      <c r="CI265" s="160"/>
      <c r="CJ265" s="366"/>
      <c r="CK265" s="366"/>
      <c r="CL265" s="366"/>
      <c r="CM265" s="366"/>
      <c r="CN265" s="160"/>
      <c r="CO265" s="366"/>
      <c r="CP265" s="366"/>
      <c r="CQ265" s="366"/>
      <c r="CR265" s="366"/>
      <c r="CS265" s="160"/>
      <c r="CT265" s="366"/>
      <c r="CU265" s="366"/>
      <c r="CV265" s="366"/>
      <c r="CW265" s="366"/>
      <c r="CX265" s="160"/>
      <c r="CY265" s="366"/>
      <c r="CZ265" s="366"/>
      <c r="DA265" s="366"/>
      <c r="DB265" s="366"/>
      <c r="DC265" s="160"/>
      <c r="DD265" s="366"/>
      <c r="DE265" s="366"/>
      <c r="DF265" s="366"/>
      <c r="DG265" s="366"/>
      <c r="DH265" s="160"/>
      <c r="DI265" s="366"/>
      <c r="DJ265" s="366"/>
      <c r="DK265" s="368"/>
      <c r="DL265" s="366"/>
      <c r="DM265" s="160"/>
      <c r="DN265" s="366"/>
      <c r="DO265" s="366"/>
      <c r="DP265" s="366"/>
      <c r="DQ265" s="366"/>
      <c r="DR265" s="160"/>
      <c r="DS265" s="366"/>
      <c r="DT265" s="366"/>
      <c r="DU265" s="366"/>
      <c r="DV265" s="366"/>
      <c r="DW265" s="160"/>
      <c r="DX265" s="366"/>
      <c r="DY265" s="366"/>
      <c r="DZ265" s="366"/>
      <c r="EA265" s="366"/>
      <c r="EB265" s="160"/>
      <c r="EC265" s="366"/>
      <c r="ED265" s="366"/>
      <c r="EE265" s="366"/>
      <c r="EF265" s="366"/>
      <c r="EG265" s="160"/>
      <c r="EH265" s="366"/>
      <c r="EI265" s="366"/>
      <c r="EJ265" s="366"/>
      <c r="EK265" s="366"/>
      <c r="EL265" s="160"/>
    </row>
    <row r="266" spans="1:142">
      <c r="A266" s="352"/>
      <c r="B266" s="352"/>
      <c r="C266" s="31"/>
      <c r="D266" s="31"/>
      <c r="E266" s="31"/>
      <c r="F266" s="31"/>
      <c r="G266" s="31"/>
      <c r="H266" s="31"/>
      <c r="I266" s="31"/>
      <c r="J266" s="31"/>
      <c r="K266" s="31"/>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c r="AI266" s="31"/>
      <c r="AJ266" s="31"/>
      <c r="AK266" s="31"/>
      <c r="AL266" s="31"/>
      <c r="AM266" s="31"/>
      <c r="AN266" s="31"/>
      <c r="AO266" s="31"/>
      <c r="AP266" s="31"/>
      <c r="AQ266" s="31"/>
      <c r="AR266" s="31"/>
      <c r="AS266" s="31"/>
      <c r="AT266" s="31"/>
      <c r="AU266" s="4"/>
      <c r="AV266" s="160"/>
      <c r="AW266" s="365"/>
      <c r="AX266" s="365"/>
      <c r="AY266" s="365"/>
      <c r="AZ266" s="365"/>
      <c r="BA266" s="365"/>
      <c r="BB266" s="365"/>
      <c r="BC266" s="365"/>
      <c r="BD266" s="365"/>
      <c r="BE266" s="365"/>
      <c r="BF266" s="365"/>
      <c r="BG266" s="365"/>
      <c r="BH266" s="365"/>
      <c r="BI266" s="365"/>
      <c r="BJ266" s="365"/>
      <c r="BK266" s="365"/>
      <c r="BL266" s="366"/>
      <c r="BM266" s="366"/>
      <c r="BN266" s="366"/>
      <c r="BO266" s="160"/>
      <c r="BP266" s="367"/>
      <c r="BQ266" s="366"/>
      <c r="BR266" s="366"/>
      <c r="BS266" s="366"/>
      <c r="BT266" s="160"/>
      <c r="BU266" s="367"/>
      <c r="BV266" s="366"/>
      <c r="BW266" s="366"/>
      <c r="BX266" s="366"/>
      <c r="BY266" s="160"/>
      <c r="BZ266" s="367"/>
      <c r="CA266" s="366"/>
      <c r="CB266" s="366"/>
      <c r="CC266" s="366"/>
      <c r="CD266" s="160"/>
      <c r="CE266" s="366"/>
      <c r="CF266" s="366"/>
      <c r="CG266" s="366"/>
      <c r="CH266" s="366"/>
      <c r="CI266" s="160"/>
      <c r="CJ266" s="366"/>
      <c r="CK266" s="366"/>
      <c r="CL266" s="366"/>
      <c r="CM266" s="366"/>
      <c r="CN266" s="160"/>
      <c r="CO266" s="366"/>
      <c r="CP266" s="366"/>
      <c r="CQ266" s="366"/>
      <c r="CR266" s="366"/>
      <c r="CS266" s="160"/>
      <c r="CT266" s="366"/>
      <c r="CU266" s="366"/>
      <c r="CV266" s="366"/>
      <c r="CW266" s="366"/>
      <c r="CX266" s="160"/>
      <c r="CY266" s="366"/>
      <c r="CZ266" s="366"/>
      <c r="DA266" s="366"/>
      <c r="DB266" s="366"/>
      <c r="DC266" s="160"/>
      <c r="DD266" s="366"/>
      <c r="DE266" s="366"/>
      <c r="DF266" s="366"/>
      <c r="DG266" s="366"/>
      <c r="DH266" s="160"/>
      <c r="DI266" s="366"/>
      <c r="DJ266" s="366"/>
      <c r="DK266" s="368"/>
      <c r="DL266" s="366"/>
      <c r="DM266" s="160"/>
      <c r="DN266" s="366"/>
      <c r="DO266" s="366"/>
      <c r="DP266" s="366"/>
      <c r="DQ266" s="366"/>
      <c r="DR266" s="160"/>
      <c r="DS266" s="366"/>
      <c r="DT266" s="366"/>
      <c r="DU266" s="366"/>
      <c r="DV266" s="366"/>
      <c r="DW266" s="160"/>
      <c r="DX266" s="366"/>
      <c r="DY266" s="366"/>
      <c r="DZ266" s="366"/>
      <c r="EA266" s="366"/>
      <c r="EB266" s="160"/>
      <c r="EC266" s="366"/>
      <c r="ED266" s="366"/>
      <c r="EE266" s="366"/>
      <c r="EF266" s="366"/>
      <c r="EG266" s="160"/>
      <c r="EH266" s="366"/>
      <c r="EI266" s="366"/>
      <c r="EJ266" s="366"/>
      <c r="EK266" s="366"/>
      <c r="EL266" s="160"/>
    </row>
    <row r="267" spans="1:142">
      <c r="A267" s="9"/>
      <c r="B267" s="9"/>
      <c r="C267" s="356"/>
      <c r="D267" s="356"/>
      <c r="E267" s="356"/>
      <c r="F267" s="356"/>
      <c r="G267" s="356"/>
      <c r="H267" s="356"/>
      <c r="I267" s="356"/>
      <c r="J267" s="356"/>
      <c r="K267" s="356"/>
      <c r="L267" s="356"/>
      <c r="M267" s="356"/>
      <c r="N267" s="356"/>
      <c r="O267" s="356"/>
      <c r="P267" s="356"/>
      <c r="Q267" s="356"/>
      <c r="R267" s="356"/>
      <c r="S267" s="356"/>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c r="AP267" s="356"/>
      <c r="AQ267" s="356"/>
      <c r="AR267" s="356"/>
      <c r="AS267" s="356"/>
      <c r="AT267" s="356"/>
      <c r="AU267" s="9"/>
      <c r="AV267" s="9"/>
      <c r="AW267" s="9"/>
      <c r="AX267" s="9"/>
      <c r="AY267" s="9"/>
      <c r="AZ267" s="9"/>
      <c r="BA267" s="9"/>
      <c r="BB267" s="9"/>
      <c r="BC267" s="9"/>
      <c r="BD267" s="9"/>
      <c r="BE267" s="9"/>
      <c r="BF267" s="9"/>
      <c r="BG267" s="9"/>
      <c r="BH267" s="9"/>
      <c r="BI267" s="9"/>
      <c r="BJ267" s="9"/>
      <c r="BK267" s="9"/>
      <c r="BL267" s="9"/>
      <c r="BM267" s="9"/>
      <c r="BN267" s="9"/>
      <c r="BO267" s="9"/>
      <c r="BP267" s="9"/>
      <c r="BQ267" s="9"/>
      <c r="BR267" s="9"/>
      <c r="BS267" s="9"/>
      <c r="BT267" s="9"/>
      <c r="BU267" s="9"/>
      <c r="BV267" s="9"/>
      <c r="BW267" s="9"/>
      <c r="BX267" s="9"/>
      <c r="BY267" s="9"/>
      <c r="BZ267" s="9"/>
      <c r="CA267" s="9"/>
      <c r="CB267" s="9"/>
      <c r="CC267" s="9"/>
      <c r="CD267" s="9"/>
      <c r="CE267" s="9"/>
      <c r="CF267" s="9"/>
      <c r="CG267" s="9"/>
      <c r="CH267" s="9"/>
      <c r="CI267" s="9"/>
      <c r="CJ267" s="9"/>
      <c r="CK267" s="9"/>
      <c r="CL267" s="9"/>
      <c r="CM267" s="9"/>
      <c r="CN267" s="9"/>
      <c r="CO267" s="9"/>
      <c r="CP267" s="9"/>
      <c r="CQ267" s="9"/>
      <c r="CR267" s="9"/>
      <c r="CS267" s="9"/>
      <c r="CT267" s="9"/>
      <c r="CU267" s="9"/>
      <c r="CV267" s="9"/>
      <c r="CW267" s="9"/>
      <c r="CX267" s="9"/>
      <c r="CY267" s="9"/>
      <c r="CZ267" s="9"/>
      <c r="DA267" s="9"/>
      <c r="DB267" s="9"/>
      <c r="DC267" s="9"/>
      <c r="DD267" s="9"/>
      <c r="DE267" s="9"/>
      <c r="DF267" s="9"/>
      <c r="DG267" s="9"/>
      <c r="DH267" s="9"/>
      <c r="DI267" s="9"/>
      <c r="DJ267" s="9"/>
      <c r="DK267" s="164"/>
      <c r="DL267" s="9"/>
      <c r="DM267" s="9"/>
      <c r="DN267" s="9"/>
      <c r="DO267" s="9"/>
      <c r="DP267" s="9"/>
      <c r="DQ267" s="9"/>
      <c r="DR267" s="9"/>
      <c r="DS267" s="9"/>
      <c r="DT267" s="9"/>
      <c r="DU267" s="9"/>
      <c r="DV267" s="9"/>
      <c r="DW267" s="9"/>
      <c r="DX267" s="9"/>
      <c r="DY267" s="9"/>
      <c r="DZ267" s="9"/>
      <c r="EA267" s="9"/>
      <c r="EB267" s="9"/>
      <c r="EC267" s="9"/>
      <c r="ED267" s="9"/>
      <c r="EE267" s="9"/>
      <c r="EF267" s="9"/>
      <c r="EG267" s="9"/>
      <c r="EH267" s="9"/>
      <c r="EI267" s="9"/>
      <c r="EJ267" s="9"/>
      <c r="EK267" s="9"/>
      <c r="EL267" s="9"/>
    </row>
    <row r="268" spans="1:142">
      <c r="A268" s="9"/>
      <c r="B268" s="9"/>
      <c r="C268" s="356"/>
      <c r="D268" s="356"/>
      <c r="E268" s="356"/>
      <c r="F268" s="356"/>
      <c r="G268" s="356"/>
      <c r="H268" s="356"/>
      <c r="I268" s="356"/>
      <c r="J268" s="356"/>
      <c r="K268" s="356"/>
      <c r="L268" s="356"/>
      <c r="M268" s="356"/>
      <c r="N268" s="356"/>
      <c r="O268" s="356"/>
      <c r="P268" s="356"/>
      <c r="Q268" s="356"/>
      <c r="R268" s="356"/>
      <c r="S268" s="356"/>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c r="AP268" s="356"/>
      <c r="AQ268" s="356"/>
      <c r="AR268" s="356"/>
      <c r="AS268" s="356"/>
      <c r="AT268" s="356"/>
      <c r="AU268" s="9"/>
      <c r="AV268" s="9"/>
      <c r="AW268" s="9"/>
      <c r="AX268" s="9"/>
      <c r="AY268" s="9"/>
      <c r="AZ268" s="360"/>
      <c r="BA268" s="9"/>
      <c r="BB268" s="9"/>
      <c r="BC268" s="9"/>
      <c r="BD268" s="9"/>
      <c r="BE268" s="360"/>
      <c r="BF268" s="4"/>
      <c r="BG268" s="178"/>
      <c r="BH268" s="9"/>
      <c r="BI268" s="9"/>
      <c r="BJ268" s="360"/>
      <c r="BK268" s="4"/>
      <c r="BL268" s="178"/>
      <c r="BM268" s="9"/>
      <c r="BN268" s="9"/>
      <c r="BO268" s="360"/>
      <c r="BP268" s="4"/>
      <c r="BQ268" s="178"/>
      <c r="BR268" s="9"/>
      <c r="BS268" s="9"/>
      <c r="BT268" s="360"/>
      <c r="BU268" s="4"/>
      <c r="BV268" s="178"/>
      <c r="BW268" s="9"/>
      <c r="BX268" s="9"/>
      <c r="BY268" s="360"/>
      <c r="BZ268" s="4"/>
      <c r="CA268" s="178"/>
      <c r="CB268" s="9"/>
      <c r="CC268" s="9"/>
      <c r="CD268" s="360"/>
      <c r="CE268" s="9"/>
      <c r="CF268" s="9"/>
      <c r="CG268" s="9"/>
      <c r="CH268" s="9"/>
      <c r="CI268" s="360"/>
      <c r="CJ268" s="9"/>
      <c r="CK268" s="9"/>
      <c r="CL268" s="9"/>
      <c r="CM268" s="9"/>
      <c r="CN268" s="360"/>
      <c r="CO268" s="9"/>
      <c r="CP268" s="9"/>
      <c r="CQ268" s="9"/>
      <c r="CR268" s="9"/>
      <c r="CS268" s="360"/>
      <c r="CT268" s="9"/>
      <c r="CU268" s="9"/>
      <c r="CV268" s="9"/>
      <c r="CW268" s="9"/>
      <c r="CX268" s="360"/>
      <c r="CY268" s="9"/>
      <c r="CZ268" s="9"/>
      <c r="DA268" s="9"/>
      <c r="DB268" s="9"/>
      <c r="DC268" s="360"/>
      <c r="DD268" s="9"/>
      <c r="DE268" s="9"/>
      <c r="DF268" s="9"/>
      <c r="DG268" s="9"/>
      <c r="DH268" s="360"/>
      <c r="DI268" s="9"/>
      <c r="DJ268" s="9"/>
      <c r="DK268" s="164"/>
      <c r="DL268" s="9"/>
      <c r="DM268" s="360"/>
      <c r="DN268" s="9"/>
      <c r="DO268" s="9"/>
      <c r="DP268" s="9"/>
      <c r="DQ268" s="9"/>
      <c r="DR268" s="360"/>
      <c r="DS268" s="9"/>
      <c r="DT268" s="9"/>
      <c r="DU268" s="9"/>
      <c r="DV268" s="9"/>
      <c r="DW268" s="360"/>
      <c r="DX268" s="9"/>
      <c r="DY268" s="9"/>
      <c r="DZ268" s="9"/>
      <c r="EA268" s="9"/>
      <c r="EB268" s="360"/>
      <c r="EC268" s="9"/>
      <c r="ED268" s="9"/>
      <c r="EE268" s="9"/>
      <c r="EF268" s="9"/>
      <c r="EG268" s="360"/>
      <c r="EH268" s="9"/>
      <c r="EI268" s="9"/>
      <c r="EJ268" s="9"/>
      <c r="EK268" s="9"/>
      <c r="EL268" s="360"/>
    </row>
    <row r="269" spans="1:142">
      <c r="A269" s="9"/>
      <c r="B269" s="9"/>
      <c r="C269" s="356"/>
      <c r="D269" s="356"/>
      <c r="E269" s="356"/>
      <c r="F269" s="356"/>
      <c r="G269" s="356"/>
      <c r="H269" s="356"/>
      <c r="I269" s="356"/>
      <c r="J269" s="356"/>
      <c r="K269" s="356"/>
      <c r="L269" s="356"/>
      <c r="M269" s="356"/>
      <c r="N269" s="356"/>
      <c r="O269" s="356"/>
      <c r="P269" s="356"/>
      <c r="Q269" s="356"/>
      <c r="R269" s="356"/>
      <c r="S269" s="356"/>
      <c r="T269" s="356"/>
      <c r="U269" s="356"/>
      <c r="V269" s="356"/>
      <c r="W269" s="356"/>
      <c r="X269" s="356"/>
      <c r="Y269" s="356"/>
      <c r="Z269" s="356"/>
      <c r="AA269" s="356"/>
      <c r="AB269" s="356"/>
      <c r="AC269" s="356"/>
      <c r="AD269" s="356"/>
      <c r="AE269" s="356"/>
      <c r="AF269" s="356"/>
      <c r="AG269" s="356"/>
      <c r="AH269" s="356"/>
      <c r="AI269" s="356"/>
      <c r="AJ269" s="356"/>
      <c r="AK269" s="356"/>
      <c r="AL269" s="356"/>
      <c r="AM269" s="356"/>
      <c r="AN269" s="356"/>
      <c r="AO269" s="356"/>
      <c r="AP269" s="356"/>
      <c r="AQ269" s="356"/>
      <c r="AR269" s="362"/>
      <c r="AS269" s="362"/>
      <c r="AT269" s="360"/>
      <c r="AU269" s="9"/>
      <c r="AV269" s="9"/>
      <c r="AW269" s="9"/>
      <c r="AX269" s="9"/>
      <c r="AY269" s="178"/>
      <c r="AZ269" s="360"/>
      <c r="BA269" s="9"/>
      <c r="BB269" s="9"/>
      <c r="BC269" s="9"/>
      <c r="BD269" s="178"/>
      <c r="BE269" s="360"/>
      <c r="BF269" s="9"/>
      <c r="BG269" s="9"/>
      <c r="BH269" s="9"/>
      <c r="BI269" s="9"/>
      <c r="BJ269" s="360"/>
      <c r="BK269" s="9"/>
      <c r="BL269" s="9"/>
      <c r="BM269" s="9"/>
      <c r="BN269" s="9"/>
      <c r="BO269" s="360"/>
      <c r="BP269" s="9"/>
      <c r="BQ269" s="9"/>
      <c r="BR269" s="9"/>
      <c r="BS269" s="9"/>
      <c r="BT269" s="360"/>
      <c r="BU269" s="9"/>
      <c r="BV269" s="9"/>
      <c r="BW269" s="9"/>
      <c r="BX269" s="9"/>
      <c r="BY269" s="360"/>
      <c r="BZ269" s="9"/>
      <c r="CA269" s="9"/>
      <c r="CB269" s="9"/>
      <c r="CC269" s="9"/>
      <c r="CD269" s="360"/>
      <c r="CE269" s="9"/>
      <c r="CF269" s="9"/>
      <c r="CG269" s="9"/>
      <c r="CH269" s="9"/>
      <c r="CI269" s="360"/>
      <c r="CJ269" s="9"/>
      <c r="CK269" s="9"/>
      <c r="CL269" s="9"/>
      <c r="CM269" s="9"/>
      <c r="CN269" s="360"/>
      <c r="CO269" s="9"/>
      <c r="CP269" s="9"/>
      <c r="CQ269" s="9"/>
      <c r="CR269" s="9"/>
      <c r="CS269" s="360"/>
      <c r="CT269" s="9"/>
      <c r="CU269" s="9"/>
      <c r="CV269" s="9"/>
      <c r="CW269" s="9"/>
      <c r="CX269" s="360"/>
      <c r="CY269" s="9"/>
      <c r="CZ269" s="9"/>
      <c r="DA269" s="9"/>
      <c r="DB269" s="9"/>
      <c r="DC269" s="360"/>
      <c r="DD269" s="9"/>
      <c r="DE269" s="9"/>
      <c r="DF269" s="9"/>
      <c r="DG269" s="9"/>
      <c r="DH269" s="360"/>
      <c r="DI269" s="9"/>
      <c r="DJ269" s="9"/>
      <c r="DK269" s="164"/>
      <c r="DL269" s="9"/>
      <c r="DM269" s="360"/>
      <c r="DN269" s="9"/>
      <c r="DO269" s="9"/>
      <c r="DP269" s="9"/>
      <c r="DQ269" s="9"/>
      <c r="DR269" s="360"/>
      <c r="DS269" s="9"/>
      <c r="DT269" s="9"/>
      <c r="DU269" s="9"/>
      <c r="DV269" s="9"/>
      <c r="DW269" s="360"/>
      <c r="DX269" s="9"/>
      <c r="DY269" s="9"/>
      <c r="DZ269" s="9"/>
      <c r="EA269" s="9"/>
      <c r="EB269" s="360"/>
      <c r="EC269" s="9"/>
      <c r="ED269" s="9"/>
      <c r="EE269" s="9"/>
      <c r="EF269" s="9"/>
      <c r="EG269" s="360"/>
      <c r="EH269" s="9"/>
      <c r="EI269" s="9"/>
      <c r="EJ269" s="9"/>
      <c r="EK269" s="9"/>
      <c r="EL269" s="360"/>
    </row>
    <row r="270" spans="1:142">
      <c r="A270" s="9"/>
      <c r="B270" s="9"/>
      <c r="C270" s="369"/>
      <c r="D270" s="369"/>
      <c r="E270" s="369"/>
      <c r="F270" s="369"/>
      <c r="G270" s="369"/>
      <c r="H270" s="369"/>
      <c r="I270" s="369"/>
      <c r="J270" s="369"/>
      <c r="K270" s="369"/>
      <c r="L270" s="369"/>
      <c r="M270" s="369"/>
      <c r="N270" s="369"/>
      <c r="O270" s="369"/>
      <c r="P270" s="369"/>
      <c r="Q270" s="369"/>
      <c r="R270" s="369"/>
      <c r="S270" s="369"/>
      <c r="T270" s="369"/>
      <c r="U270" s="369"/>
      <c r="V270" s="369"/>
      <c r="W270" s="369"/>
      <c r="X270" s="369"/>
      <c r="Y270" s="369"/>
      <c r="Z270" s="369"/>
      <c r="AA270" s="369"/>
      <c r="AB270" s="369"/>
      <c r="AC270" s="369"/>
      <c r="AD270" s="369"/>
      <c r="AE270" s="369"/>
      <c r="AF270" s="369"/>
      <c r="AG270" s="369"/>
      <c r="AH270" s="369"/>
      <c r="AI270" s="369"/>
      <c r="AJ270" s="369"/>
      <c r="AK270" s="369"/>
      <c r="AL270" s="369"/>
      <c r="AM270" s="369"/>
      <c r="AN270" s="369"/>
      <c r="AO270" s="369"/>
      <c r="AP270" s="369"/>
      <c r="AQ270" s="369"/>
      <c r="AR270" s="369"/>
      <c r="AS270" s="369"/>
      <c r="AT270" s="369"/>
      <c r="AU270" s="4"/>
      <c r="AV270" s="369"/>
      <c r="AW270" s="369"/>
      <c r="AX270" s="369"/>
      <c r="AY270" s="369"/>
      <c r="AZ270" s="360"/>
      <c r="BA270" s="369"/>
      <c r="BB270" s="369"/>
      <c r="BC270" s="369"/>
      <c r="BD270" s="369"/>
      <c r="BE270" s="360"/>
      <c r="BF270" s="369"/>
      <c r="BG270" s="369"/>
      <c r="BH270" s="369"/>
      <c r="BI270" s="369"/>
      <c r="BJ270" s="360"/>
      <c r="BK270" s="369"/>
      <c r="BL270" s="369"/>
      <c r="BM270" s="369"/>
      <c r="BN270" s="4"/>
      <c r="BO270" s="360"/>
      <c r="BP270" s="369"/>
      <c r="BQ270" s="369"/>
      <c r="BR270" s="369"/>
      <c r="BS270" s="4"/>
      <c r="BT270" s="360"/>
      <c r="BU270" s="369"/>
      <c r="BV270" s="369"/>
      <c r="BW270" s="369"/>
      <c r="BX270" s="4"/>
      <c r="BY270" s="360"/>
      <c r="BZ270" s="369"/>
      <c r="CA270" s="369"/>
      <c r="CB270" s="369"/>
      <c r="CC270" s="4"/>
      <c r="CD270" s="360"/>
      <c r="CE270" s="9"/>
      <c r="CF270" s="9"/>
      <c r="CG270" s="9"/>
      <c r="CH270" s="9"/>
      <c r="CI270" s="360"/>
      <c r="CJ270" s="9"/>
      <c r="CK270" s="9"/>
      <c r="CL270" s="9"/>
      <c r="CM270" s="9"/>
      <c r="CN270" s="360"/>
      <c r="CO270" s="9"/>
      <c r="CP270" s="9"/>
      <c r="CQ270" s="9"/>
      <c r="CR270" s="9"/>
      <c r="CS270" s="360"/>
      <c r="CT270" s="9"/>
      <c r="CU270" s="9"/>
      <c r="CV270" s="9"/>
      <c r="CW270" s="9"/>
      <c r="CX270" s="360"/>
      <c r="CY270" s="9"/>
      <c r="CZ270" s="9"/>
      <c r="DA270" s="9"/>
      <c r="DB270" s="9"/>
      <c r="DC270" s="360"/>
      <c r="DD270" s="9"/>
      <c r="DE270" s="9"/>
      <c r="DF270" s="9"/>
      <c r="DG270" s="9"/>
      <c r="DH270" s="360"/>
      <c r="DI270" s="9"/>
      <c r="DJ270" s="9"/>
      <c r="DK270" s="164"/>
      <c r="DL270" s="9"/>
      <c r="DM270" s="360"/>
      <c r="DN270" s="9"/>
      <c r="DO270" s="9"/>
      <c r="DP270" s="9"/>
      <c r="DQ270" s="9"/>
      <c r="DR270" s="360"/>
      <c r="DS270" s="9"/>
      <c r="DT270" s="9"/>
      <c r="DU270" s="9"/>
      <c r="DV270" s="9"/>
      <c r="DW270" s="360"/>
      <c r="DX270" s="9"/>
      <c r="DY270" s="9"/>
      <c r="DZ270" s="9"/>
      <c r="EA270" s="9"/>
      <c r="EB270" s="360"/>
      <c r="EC270" s="9"/>
      <c r="ED270" s="9"/>
      <c r="EE270" s="9"/>
      <c r="EF270" s="9"/>
      <c r="EG270" s="360"/>
      <c r="EH270" s="9"/>
      <c r="EI270" s="9"/>
      <c r="EJ270" s="9"/>
      <c r="EK270" s="9"/>
      <c r="EL270" s="360"/>
    </row>
    <row r="271" spans="1:142">
      <c r="A271" s="9"/>
      <c r="B271" s="9"/>
      <c r="C271" s="362"/>
      <c r="D271" s="362"/>
      <c r="E271" s="362"/>
      <c r="F271" s="362"/>
      <c r="G271" s="362"/>
      <c r="H271" s="362"/>
      <c r="I271" s="362"/>
      <c r="J271" s="362"/>
      <c r="K271" s="362"/>
      <c r="L271" s="362"/>
      <c r="M271" s="362"/>
      <c r="N271" s="362"/>
      <c r="O271" s="362"/>
      <c r="P271" s="362"/>
      <c r="Q271" s="362"/>
      <c r="R271" s="362"/>
      <c r="S271" s="362"/>
      <c r="T271" s="362"/>
      <c r="U271" s="362"/>
      <c r="V271" s="362"/>
      <c r="W271" s="362"/>
      <c r="X271" s="362"/>
      <c r="Y271" s="362"/>
      <c r="Z271" s="362"/>
      <c r="AA271" s="362"/>
      <c r="AB271" s="362"/>
      <c r="AC271" s="362"/>
      <c r="AD271" s="362"/>
      <c r="AE271" s="362"/>
      <c r="AF271" s="362"/>
      <c r="AG271" s="362"/>
      <c r="AH271" s="362"/>
      <c r="AI271" s="362"/>
      <c r="AJ271" s="362"/>
      <c r="AK271" s="362"/>
      <c r="AL271" s="362"/>
      <c r="AM271" s="362"/>
      <c r="AN271" s="362"/>
      <c r="AO271" s="362"/>
      <c r="AP271" s="362"/>
      <c r="AQ271" s="362"/>
      <c r="AR271" s="362"/>
      <c r="AS271" s="362"/>
      <c r="AT271" s="362"/>
      <c r="AU271" s="4"/>
      <c r="AV271" s="362"/>
      <c r="AW271" s="362"/>
      <c r="AX271" s="362"/>
      <c r="AY271" s="362"/>
      <c r="AZ271" s="360"/>
      <c r="BA271" s="362"/>
      <c r="BB271" s="362"/>
      <c r="BC271" s="362"/>
      <c r="BD271" s="362"/>
      <c r="BE271" s="360"/>
      <c r="BF271" s="362"/>
      <c r="BG271" s="362"/>
      <c r="BH271" s="362"/>
      <c r="BI271" s="362"/>
      <c r="BJ271" s="360"/>
      <c r="BK271" s="362"/>
      <c r="BL271" s="362"/>
      <c r="BM271" s="362"/>
      <c r="BN271" s="362"/>
      <c r="BO271" s="360"/>
      <c r="BP271" s="362"/>
      <c r="BQ271" s="362"/>
      <c r="BR271" s="362"/>
      <c r="BS271" s="362"/>
      <c r="BT271" s="360"/>
      <c r="BU271" s="362"/>
      <c r="BV271" s="362"/>
      <c r="BW271" s="362"/>
      <c r="BX271" s="362"/>
      <c r="BY271" s="360"/>
      <c r="BZ271" s="362"/>
      <c r="CA271" s="362"/>
      <c r="CB271" s="362"/>
      <c r="CC271" s="362"/>
      <c r="CD271" s="360"/>
      <c r="CE271" s="362"/>
      <c r="CF271" s="362"/>
      <c r="CG271" s="362"/>
      <c r="CH271" s="362"/>
      <c r="CI271" s="360"/>
      <c r="CJ271" s="361"/>
      <c r="CK271" s="356"/>
      <c r="CL271" s="356"/>
      <c r="CM271" s="356"/>
      <c r="CN271" s="356"/>
      <c r="CO271" s="362"/>
      <c r="CP271" s="362"/>
      <c r="CQ271" s="362"/>
      <c r="CR271" s="362"/>
      <c r="CS271" s="360"/>
      <c r="CT271" s="361"/>
      <c r="CU271" s="356"/>
      <c r="CV271" s="356"/>
      <c r="CW271" s="356"/>
      <c r="CX271" s="356"/>
      <c r="CY271" s="356"/>
      <c r="CZ271" s="356"/>
      <c r="DA271" s="356"/>
      <c r="DB271" s="356"/>
      <c r="DC271" s="356"/>
      <c r="DD271" s="356"/>
      <c r="DE271" s="356"/>
      <c r="DF271" s="356"/>
      <c r="DG271" s="356"/>
      <c r="DH271" s="356"/>
      <c r="DI271" s="356"/>
      <c r="DJ271" s="356"/>
      <c r="DK271" s="356"/>
      <c r="DL271" s="356"/>
      <c r="DM271" s="356"/>
      <c r="DN271" s="356"/>
      <c r="DO271" s="356"/>
      <c r="DP271" s="356"/>
      <c r="DQ271" s="356"/>
      <c r="DR271" s="356"/>
      <c r="DS271" s="356"/>
      <c r="DT271" s="356"/>
      <c r="DU271" s="356"/>
      <c r="DV271" s="356"/>
      <c r="DW271" s="356"/>
      <c r="DX271" s="356"/>
      <c r="DY271" s="356"/>
      <c r="DZ271" s="356"/>
      <c r="EA271" s="356"/>
      <c r="EB271" s="356"/>
      <c r="EC271" s="356"/>
      <c r="ED271" s="356"/>
      <c r="EE271" s="356"/>
      <c r="EF271" s="356"/>
      <c r="EG271" s="356"/>
      <c r="EH271" s="356"/>
      <c r="EI271" s="356"/>
      <c r="EJ271" s="356"/>
      <c r="EK271" s="356"/>
      <c r="EL271" s="356"/>
    </row>
    <row r="272" spans="1:142">
      <c r="A272" s="44"/>
      <c r="B272" s="44"/>
      <c r="C272" s="9"/>
      <c r="D272" s="9"/>
      <c r="E272" s="9"/>
      <c r="F272" s="9"/>
      <c r="G272" s="9"/>
      <c r="H272" s="9"/>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9"/>
      <c r="AJ272" s="9"/>
      <c r="AK272" s="9"/>
      <c r="AL272" s="9"/>
      <c r="AM272" s="9"/>
      <c r="AN272" s="9"/>
      <c r="AO272" s="9"/>
      <c r="AP272" s="9"/>
      <c r="AQ272" s="9"/>
      <c r="AR272" s="44"/>
      <c r="AS272" s="44"/>
      <c r="AT272" s="9"/>
      <c r="AU272" s="9"/>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346"/>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row>
    <row r="273" spans="1:142">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9"/>
      <c r="AJ273" s="9"/>
      <c r="AK273" s="9"/>
      <c r="AL273" s="9"/>
      <c r="AM273" s="9"/>
      <c r="AN273" s="9"/>
      <c r="AO273" s="9"/>
      <c r="AP273" s="9"/>
      <c r="AQ273" s="9"/>
      <c r="AR273" s="9"/>
      <c r="AS273" s="9"/>
      <c r="AT273" s="178"/>
      <c r="AU273" s="4"/>
      <c r="AV273" s="356"/>
      <c r="AW273" s="356"/>
      <c r="AX273" s="356"/>
      <c r="AY273" s="356"/>
      <c r="AZ273" s="356"/>
      <c r="BA273" s="361"/>
      <c r="BB273" s="356"/>
      <c r="BC273" s="356"/>
      <c r="BD273" s="356"/>
      <c r="BE273" s="356"/>
      <c r="BF273" s="356"/>
      <c r="BG273" s="356"/>
      <c r="BH273" s="356"/>
      <c r="BI273" s="356"/>
      <c r="BJ273" s="356"/>
      <c r="BK273" s="362"/>
      <c r="BL273" s="362"/>
      <c r="BM273" s="362"/>
      <c r="BN273" s="362"/>
      <c r="BO273" s="360"/>
      <c r="BP273" s="362"/>
      <c r="BQ273" s="362"/>
      <c r="BR273" s="362"/>
      <c r="BS273" s="362"/>
      <c r="BT273" s="360"/>
      <c r="BU273" s="362"/>
      <c r="BV273" s="362"/>
      <c r="BW273" s="362"/>
      <c r="BX273" s="362"/>
      <c r="BY273" s="360"/>
      <c r="BZ273" s="362"/>
      <c r="CA273" s="362"/>
      <c r="CB273" s="362"/>
      <c r="CC273" s="362"/>
      <c r="CD273" s="360"/>
      <c r="CE273" s="362"/>
      <c r="CF273" s="362"/>
      <c r="CG273" s="362"/>
      <c r="CH273" s="362"/>
      <c r="CI273" s="360"/>
      <c r="CJ273" s="362"/>
      <c r="CK273" s="362"/>
      <c r="CL273" s="362"/>
      <c r="CM273" s="362"/>
      <c r="CN273" s="360"/>
      <c r="CO273" s="362"/>
      <c r="CP273" s="362"/>
      <c r="CQ273" s="362"/>
      <c r="CR273" s="362"/>
      <c r="CS273" s="360"/>
      <c r="CT273" s="361"/>
      <c r="CU273" s="356"/>
      <c r="CV273" s="356"/>
      <c r="CW273" s="356"/>
      <c r="CX273" s="356"/>
      <c r="CY273" s="356"/>
      <c r="CZ273" s="356"/>
      <c r="DA273" s="356"/>
      <c r="DB273" s="356"/>
      <c r="DC273" s="356"/>
      <c r="DD273" s="356"/>
      <c r="DE273" s="356"/>
      <c r="DF273" s="356"/>
      <c r="DG273" s="356"/>
      <c r="DH273" s="356"/>
      <c r="DI273" s="356"/>
      <c r="DJ273" s="356"/>
      <c r="DK273" s="356"/>
      <c r="DL273" s="356"/>
      <c r="DM273" s="356"/>
      <c r="DN273" s="356"/>
      <c r="DO273" s="356"/>
      <c r="DP273" s="356"/>
      <c r="DQ273" s="356"/>
      <c r="DR273" s="356"/>
      <c r="DS273" s="356"/>
      <c r="DT273" s="356"/>
      <c r="DU273" s="356"/>
      <c r="DV273" s="356"/>
      <c r="DW273" s="356"/>
      <c r="DX273" s="356"/>
      <c r="DY273" s="356"/>
      <c r="DZ273" s="356"/>
      <c r="EA273" s="356"/>
      <c r="EB273" s="356"/>
      <c r="EC273" s="356"/>
      <c r="ED273" s="356"/>
      <c r="EE273" s="356"/>
      <c r="EF273" s="356"/>
      <c r="EG273" s="356"/>
      <c r="EH273" s="356"/>
      <c r="EI273" s="356"/>
      <c r="EJ273" s="356"/>
      <c r="EK273" s="356"/>
      <c r="EL273" s="356"/>
    </row>
    <row r="274" spans="1:142">
      <c r="A274" s="44"/>
      <c r="B274" s="44"/>
      <c r="C274" s="9"/>
      <c r="D274" s="9"/>
      <c r="E274" s="9"/>
      <c r="F274" s="9"/>
      <c r="G274" s="9"/>
      <c r="H274" s="9"/>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9"/>
      <c r="AJ274" s="9"/>
      <c r="AK274" s="9"/>
      <c r="AL274" s="9"/>
      <c r="AM274" s="9"/>
      <c r="AN274" s="9"/>
      <c r="AO274" s="9"/>
      <c r="AP274" s="9"/>
      <c r="AQ274" s="9"/>
      <c r="AR274" s="9"/>
      <c r="AS274" s="9"/>
      <c r="AT274" s="178"/>
      <c r="AU274" s="4"/>
      <c r="AV274" s="370"/>
      <c r="AW274" s="370"/>
      <c r="AX274" s="370"/>
      <c r="AY274" s="370"/>
      <c r="AZ274" s="360"/>
      <c r="BA274" s="370"/>
      <c r="BB274" s="370"/>
      <c r="BC274" s="370"/>
      <c r="BD274" s="370"/>
      <c r="BE274" s="360"/>
      <c r="BF274" s="370"/>
      <c r="BG274" s="370"/>
      <c r="BH274" s="370"/>
      <c r="BI274" s="370"/>
      <c r="BJ274" s="360"/>
      <c r="BK274" s="370"/>
      <c r="BL274" s="370"/>
      <c r="BM274" s="370"/>
      <c r="BN274" s="370"/>
      <c r="BO274" s="360"/>
      <c r="BP274" s="370"/>
      <c r="BQ274" s="370"/>
      <c r="BR274" s="370"/>
      <c r="BS274" s="370"/>
      <c r="BT274" s="360"/>
      <c r="BU274" s="370"/>
      <c r="BV274" s="370"/>
      <c r="BW274" s="370"/>
      <c r="BX274" s="370"/>
      <c r="BY274" s="360"/>
      <c r="BZ274" s="370"/>
      <c r="CA274" s="370"/>
      <c r="CB274" s="370"/>
      <c r="CC274" s="370"/>
      <c r="CD274" s="360"/>
      <c r="CE274" s="370"/>
      <c r="CF274" s="370"/>
      <c r="CG274" s="370"/>
      <c r="CH274" s="370"/>
      <c r="CI274" s="360"/>
      <c r="CJ274" s="370"/>
      <c r="CK274" s="370"/>
      <c r="CL274" s="370"/>
      <c r="CM274" s="370"/>
      <c r="CN274" s="360"/>
      <c r="CO274" s="370"/>
      <c r="CP274" s="370"/>
      <c r="CQ274" s="370"/>
      <c r="CR274" s="370"/>
      <c r="CS274" s="356"/>
      <c r="CT274" s="356"/>
      <c r="CU274" s="356"/>
      <c r="CV274" s="356"/>
      <c r="CW274" s="356"/>
      <c r="CX274" s="356"/>
      <c r="CY274" s="356"/>
      <c r="CZ274" s="356"/>
      <c r="DA274" s="356"/>
      <c r="DB274" s="356"/>
      <c r="DC274" s="356"/>
      <c r="DD274" s="356"/>
      <c r="DE274" s="356"/>
      <c r="DF274" s="356"/>
      <c r="DG274" s="356"/>
      <c r="DH274" s="356"/>
      <c r="DI274" s="356"/>
      <c r="DJ274" s="356"/>
      <c r="DK274" s="356"/>
      <c r="DL274" s="356"/>
      <c r="DM274" s="356"/>
      <c r="DN274" s="356"/>
      <c r="DO274" s="356"/>
      <c r="DP274" s="356"/>
      <c r="DQ274" s="356"/>
      <c r="DR274" s="356"/>
      <c r="DS274" s="356"/>
      <c r="DT274" s="356"/>
      <c r="DU274" s="356"/>
      <c r="DV274" s="356"/>
      <c r="DW274" s="356"/>
      <c r="DX274" s="356"/>
      <c r="DY274" s="356"/>
      <c r="DZ274" s="356"/>
      <c r="EA274" s="356"/>
      <c r="EB274" s="356"/>
      <c r="EC274" s="356"/>
      <c r="ED274" s="356"/>
      <c r="EE274" s="356"/>
      <c r="EF274" s="356"/>
      <c r="EG274" s="356"/>
      <c r="EH274" s="356"/>
      <c r="EI274" s="356"/>
      <c r="EJ274" s="356"/>
      <c r="EK274" s="356"/>
      <c r="EL274" s="356"/>
    </row>
    <row r="275" spans="1:14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346"/>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row>
    <row r="276" spans="1:142">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9"/>
      <c r="AJ276" s="9"/>
      <c r="AK276" s="9"/>
      <c r="AL276" s="9"/>
      <c r="AM276" s="9"/>
      <c r="AN276" s="9"/>
      <c r="AO276" s="9"/>
      <c r="AP276" s="9"/>
      <c r="AQ276" s="9"/>
      <c r="AR276" s="9"/>
      <c r="AS276" s="9"/>
      <c r="AT276" s="9"/>
      <c r="AU276" s="9"/>
      <c r="AV276" s="9"/>
      <c r="AW276" s="9"/>
      <c r="AX276" s="9"/>
      <c r="AY276" s="9"/>
      <c r="AZ276" s="9"/>
      <c r="BA276" s="9"/>
      <c r="BB276" s="9"/>
      <c r="BC276" s="9"/>
      <c r="BD276" s="9"/>
      <c r="BE276" s="9"/>
      <c r="BF276" s="9"/>
      <c r="BG276" s="9"/>
      <c r="BH276" s="9"/>
      <c r="BI276" s="9"/>
      <c r="BJ276" s="9"/>
      <c r="BK276" s="9"/>
      <c r="BL276" s="9"/>
      <c r="BM276" s="9"/>
      <c r="BN276" s="9"/>
      <c r="BO276" s="9"/>
      <c r="BP276" s="9"/>
      <c r="BQ276" s="9"/>
      <c r="BR276" s="9"/>
      <c r="BS276" s="9"/>
      <c r="BT276" s="9"/>
      <c r="BU276" s="9"/>
      <c r="BV276" s="9"/>
      <c r="BW276" s="9"/>
      <c r="BX276" s="9"/>
      <c r="BY276" s="9"/>
      <c r="BZ276" s="9"/>
      <c r="CA276" s="9"/>
      <c r="CB276" s="9"/>
      <c r="CC276" s="9"/>
      <c r="CD276" s="9"/>
      <c r="CE276" s="9"/>
      <c r="CF276" s="9"/>
      <c r="CG276" s="9"/>
      <c r="CH276" s="9"/>
      <c r="CI276" s="9"/>
      <c r="CJ276" s="9"/>
      <c r="CK276" s="9"/>
      <c r="CL276" s="9"/>
      <c r="CM276" s="9"/>
      <c r="CN276" s="9"/>
      <c r="CO276" s="9"/>
      <c r="CP276" s="9"/>
      <c r="CQ276" s="9"/>
      <c r="CR276" s="9"/>
      <c r="CS276" s="9"/>
      <c r="CT276" s="9"/>
      <c r="CU276" s="9"/>
      <c r="CV276" s="9"/>
      <c r="CW276" s="9"/>
      <c r="CX276" s="9"/>
      <c r="CY276" s="9"/>
      <c r="CZ276" s="9"/>
      <c r="DA276" s="9"/>
      <c r="DB276" s="9"/>
      <c r="DC276" s="9"/>
      <c r="DD276" s="9"/>
      <c r="DE276" s="9"/>
      <c r="DF276" s="9"/>
      <c r="DG276" s="9"/>
      <c r="DH276" s="9"/>
      <c r="DI276" s="9"/>
      <c r="DJ276" s="9"/>
      <c r="DK276" s="164"/>
      <c r="DL276" s="9"/>
      <c r="DM276" s="9"/>
      <c r="DN276" s="9"/>
      <c r="DO276" s="9"/>
      <c r="DP276" s="9"/>
      <c r="DQ276" s="9"/>
      <c r="DR276" s="9"/>
      <c r="DS276" s="9"/>
      <c r="DT276" s="9"/>
      <c r="DU276" s="9"/>
      <c r="DV276" s="9"/>
      <c r="DW276" s="9"/>
      <c r="DX276" s="9"/>
      <c r="DY276" s="9"/>
      <c r="DZ276" s="9"/>
      <c r="EA276" s="9"/>
      <c r="EB276" s="9"/>
      <c r="EC276" s="9"/>
      <c r="ED276" s="9"/>
      <c r="EE276" s="9"/>
      <c r="EF276" s="9"/>
      <c r="EG276" s="9"/>
      <c r="EH276" s="9"/>
      <c r="EI276" s="9"/>
      <c r="EJ276" s="9"/>
      <c r="EK276" s="9"/>
      <c r="EL276" s="9"/>
    </row>
    <row r="277" spans="1:142">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9"/>
      <c r="AJ277" s="9"/>
      <c r="AK277" s="9"/>
      <c r="AL277" s="9"/>
      <c r="AM277" s="9"/>
      <c r="AN277" s="9"/>
      <c r="AO277" s="9"/>
      <c r="AP277" s="9"/>
      <c r="AQ277" s="9"/>
      <c r="AR277" s="9"/>
      <c r="AS277" s="9"/>
      <c r="AT277" s="160"/>
      <c r="AU277" s="4"/>
      <c r="AV277" s="356"/>
      <c r="AW277" s="356"/>
      <c r="AX277" s="356"/>
      <c r="AY277" s="356"/>
      <c r="AZ277" s="356"/>
      <c r="BA277" s="356"/>
      <c r="BB277" s="356"/>
      <c r="BC277" s="356"/>
      <c r="BD277" s="356"/>
      <c r="BE277" s="356"/>
      <c r="BF277" s="356"/>
      <c r="BG277" s="356"/>
      <c r="BH277" s="356"/>
      <c r="BI277" s="356"/>
      <c r="BJ277" s="356"/>
      <c r="BK277" s="356"/>
      <c r="BL277" s="356"/>
      <c r="BM277" s="356"/>
      <c r="BN277" s="356"/>
      <c r="BO277" s="356"/>
      <c r="BP277" s="356"/>
      <c r="BQ277" s="356"/>
      <c r="BR277" s="356"/>
      <c r="BS277" s="356"/>
      <c r="BT277" s="356"/>
      <c r="BU277" s="356"/>
      <c r="BV277" s="356"/>
      <c r="BW277" s="356"/>
      <c r="BX277" s="356"/>
      <c r="BY277" s="356"/>
      <c r="BZ277" s="356"/>
      <c r="CA277" s="356"/>
      <c r="CB277" s="356"/>
      <c r="CC277" s="356"/>
      <c r="CD277" s="356"/>
      <c r="CE277" s="356"/>
      <c r="CF277" s="356"/>
      <c r="CG277" s="356"/>
      <c r="CH277" s="356"/>
      <c r="CI277" s="356"/>
      <c r="CJ277" s="356"/>
      <c r="CK277" s="356"/>
      <c r="CL277" s="356"/>
      <c r="CM277" s="356"/>
      <c r="CN277" s="356"/>
      <c r="CO277" s="356"/>
      <c r="CP277" s="356"/>
      <c r="CQ277" s="356"/>
      <c r="CR277" s="356"/>
      <c r="CS277" s="356"/>
      <c r="CT277" s="356"/>
      <c r="CU277" s="356"/>
      <c r="CV277" s="356"/>
      <c r="CW277" s="356"/>
      <c r="CX277" s="356"/>
      <c r="CY277" s="356"/>
      <c r="CZ277" s="356"/>
      <c r="DA277" s="356"/>
      <c r="DB277" s="356"/>
      <c r="DC277" s="356"/>
      <c r="DD277" s="356"/>
      <c r="DE277" s="356"/>
      <c r="DF277" s="356"/>
      <c r="DG277" s="356"/>
      <c r="DH277" s="356"/>
      <c r="DI277" s="356"/>
      <c r="DJ277" s="356"/>
      <c r="DK277" s="356"/>
      <c r="DL277" s="356"/>
      <c r="DM277" s="356"/>
      <c r="DN277" s="356"/>
      <c r="DO277" s="356"/>
      <c r="DP277" s="356"/>
      <c r="DQ277" s="356"/>
      <c r="DR277" s="356"/>
      <c r="DS277" s="356"/>
      <c r="DT277" s="356"/>
      <c r="DU277" s="356"/>
      <c r="DV277" s="356"/>
      <c r="DW277" s="356"/>
      <c r="DX277" s="356"/>
      <c r="DY277" s="356"/>
      <c r="DZ277" s="356"/>
      <c r="EA277" s="356"/>
      <c r="EB277" s="356"/>
      <c r="EC277" s="356"/>
      <c r="ED277" s="356"/>
      <c r="EE277" s="356"/>
      <c r="EF277" s="356"/>
      <c r="EG277" s="356"/>
      <c r="EH277" s="356"/>
      <c r="EI277" s="356"/>
      <c r="EJ277" s="356"/>
      <c r="EK277" s="356"/>
      <c r="EL277" s="356"/>
    </row>
    <row r="278" spans="1:142">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9"/>
      <c r="AJ278" s="9"/>
      <c r="AK278" s="9"/>
      <c r="AL278" s="9"/>
      <c r="AM278" s="9"/>
      <c r="AN278" s="9"/>
      <c r="AO278" s="9"/>
      <c r="AP278" s="9"/>
      <c r="AQ278" s="9"/>
      <c r="AR278" s="9"/>
      <c r="AS278" s="9"/>
      <c r="AT278" s="9"/>
      <c r="AU278" s="9"/>
      <c r="AV278" s="9"/>
      <c r="AW278" s="356"/>
      <c r="AX278" s="356"/>
      <c r="AY278" s="356"/>
      <c r="AZ278" s="356"/>
      <c r="BA278" s="356"/>
      <c r="BB278" s="356"/>
      <c r="BC278" s="356"/>
      <c r="BD278" s="356"/>
      <c r="BE278" s="356"/>
      <c r="BF278" s="356"/>
      <c r="BG278" s="356"/>
      <c r="BH278" s="356"/>
      <c r="BI278" s="356"/>
      <c r="BJ278" s="356"/>
      <c r="BK278" s="356"/>
      <c r="BL278" s="9"/>
      <c r="BM278" s="9"/>
      <c r="BN278" s="9"/>
      <c r="BO278" s="9"/>
      <c r="BP278" s="360"/>
      <c r="BQ278" s="9"/>
      <c r="BR278" s="9"/>
      <c r="BS278" s="9"/>
      <c r="BT278" s="9"/>
      <c r="BU278" s="360"/>
      <c r="BV278" s="9"/>
      <c r="BW278" s="9"/>
      <c r="BX278" s="9"/>
      <c r="BY278" s="9"/>
      <c r="BZ278" s="360"/>
      <c r="CA278" s="9"/>
      <c r="CB278" s="9"/>
      <c r="CC278" s="9"/>
      <c r="CD278" s="9"/>
      <c r="CE278" s="9"/>
      <c r="CF278" s="9"/>
      <c r="CG278" s="9"/>
      <c r="CH278" s="9"/>
      <c r="CI278" s="9"/>
      <c r="CJ278" s="9"/>
      <c r="CK278" s="9"/>
      <c r="CL278" s="9"/>
      <c r="CM278" s="9"/>
      <c r="CN278" s="9"/>
      <c r="CO278" s="9"/>
      <c r="CP278" s="9"/>
      <c r="CQ278" s="9"/>
      <c r="CR278" s="9"/>
      <c r="CS278" s="9"/>
      <c r="CT278" s="9"/>
      <c r="CU278" s="9"/>
      <c r="CV278" s="9"/>
      <c r="CW278" s="9"/>
      <c r="CX278" s="9"/>
      <c r="CY278" s="9"/>
      <c r="CZ278" s="9"/>
      <c r="DA278" s="9"/>
      <c r="DB278" s="9"/>
      <c r="DC278" s="9"/>
      <c r="DD278" s="9"/>
      <c r="DE278" s="9"/>
      <c r="DF278" s="9"/>
      <c r="DG278" s="9"/>
      <c r="DH278" s="9"/>
      <c r="DI278" s="9"/>
      <c r="DJ278" s="9"/>
      <c r="DK278" s="164"/>
      <c r="DL278" s="9"/>
      <c r="DM278" s="9"/>
      <c r="DN278" s="9"/>
      <c r="DO278" s="9"/>
      <c r="DP278" s="9"/>
      <c r="DQ278" s="9"/>
      <c r="DR278" s="9"/>
      <c r="DS278" s="9"/>
      <c r="DT278" s="9"/>
      <c r="DU278" s="9"/>
      <c r="DV278" s="9"/>
      <c r="DW278" s="9"/>
      <c r="DX278" s="9"/>
      <c r="DY278" s="9"/>
      <c r="DZ278" s="9"/>
      <c r="EA278" s="9"/>
      <c r="EB278" s="9"/>
      <c r="EC278" s="9"/>
      <c r="ED278" s="9"/>
      <c r="EE278" s="9"/>
      <c r="EF278" s="9"/>
      <c r="EG278" s="9"/>
      <c r="EH278" s="9"/>
      <c r="EI278" s="9"/>
      <c r="EJ278" s="9"/>
      <c r="EK278" s="9"/>
      <c r="EL278" s="9"/>
    </row>
    <row r="279" spans="1:142">
      <c r="A279" s="352"/>
      <c r="B279" s="352"/>
      <c r="C279" s="31"/>
      <c r="D279" s="31"/>
      <c r="E279" s="31"/>
      <c r="F279" s="31"/>
      <c r="G279" s="31"/>
      <c r="H279" s="31"/>
      <c r="I279" s="31"/>
      <c r="J279" s="31"/>
      <c r="K279" s="31"/>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c r="AI279" s="31"/>
      <c r="AJ279" s="31"/>
      <c r="AK279" s="31"/>
      <c r="AL279" s="31"/>
      <c r="AM279" s="31"/>
      <c r="AN279" s="31"/>
      <c r="AO279" s="31"/>
      <c r="AP279" s="31"/>
      <c r="AQ279" s="31"/>
      <c r="AR279" s="31"/>
      <c r="AS279" s="31"/>
      <c r="AT279" s="31"/>
      <c r="AU279" s="4"/>
      <c r="AV279" s="160"/>
      <c r="AW279" s="365"/>
      <c r="AX279" s="365"/>
      <c r="AY279" s="365"/>
      <c r="AZ279" s="365"/>
      <c r="BA279" s="365"/>
      <c r="BB279" s="365"/>
      <c r="BC279" s="365"/>
      <c r="BD279" s="365"/>
      <c r="BE279" s="365"/>
      <c r="BF279" s="365"/>
      <c r="BG279" s="365"/>
      <c r="BH279" s="365"/>
      <c r="BI279" s="365"/>
      <c r="BJ279" s="365"/>
      <c r="BK279" s="365"/>
      <c r="BL279" s="366"/>
      <c r="BM279" s="366"/>
      <c r="BN279" s="366"/>
      <c r="BO279" s="160"/>
      <c r="BP279" s="367"/>
      <c r="BQ279" s="366"/>
      <c r="BR279" s="366"/>
      <c r="BS279" s="366"/>
      <c r="BT279" s="160"/>
      <c r="BU279" s="367"/>
      <c r="BV279" s="366"/>
      <c r="BW279" s="366"/>
      <c r="BX279" s="366"/>
      <c r="BY279" s="160"/>
      <c r="BZ279" s="367"/>
      <c r="CA279" s="366"/>
      <c r="CB279" s="366"/>
      <c r="CC279" s="366"/>
      <c r="CD279" s="160"/>
      <c r="CE279" s="366"/>
      <c r="CF279" s="366"/>
      <c r="CG279" s="366"/>
      <c r="CH279" s="366"/>
      <c r="CI279" s="160"/>
      <c r="CJ279" s="366"/>
      <c r="CK279" s="366"/>
      <c r="CL279" s="366"/>
      <c r="CM279" s="366"/>
      <c r="CN279" s="160"/>
      <c r="CO279" s="366"/>
      <c r="CP279" s="366"/>
      <c r="CQ279" s="366"/>
      <c r="CR279" s="366"/>
      <c r="CS279" s="160"/>
      <c r="CT279" s="366"/>
      <c r="CU279" s="366"/>
      <c r="CV279" s="366"/>
      <c r="CW279" s="366"/>
      <c r="CX279" s="160"/>
      <c r="CY279" s="366"/>
      <c r="CZ279" s="366"/>
      <c r="DA279" s="366"/>
      <c r="DB279" s="366"/>
      <c r="DC279" s="160"/>
      <c r="DD279" s="366"/>
      <c r="DE279" s="366"/>
      <c r="DF279" s="366"/>
      <c r="DG279" s="366"/>
      <c r="DH279" s="160"/>
      <c r="DI279" s="366"/>
      <c r="DJ279" s="366"/>
      <c r="DK279" s="368"/>
      <c r="DL279" s="366"/>
      <c r="DM279" s="160"/>
      <c r="DN279" s="366"/>
      <c r="DO279" s="366"/>
      <c r="DP279" s="366"/>
      <c r="DQ279" s="366"/>
      <c r="DR279" s="160"/>
      <c r="DS279" s="366"/>
      <c r="DT279" s="366"/>
      <c r="DU279" s="366"/>
      <c r="DV279" s="366"/>
      <c r="DW279" s="160"/>
      <c r="DX279" s="366"/>
      <c r="DY279" s="366"/>
      <c r="DZ279" s="366"/>
      <c r="EA279" s="366"/>
      <c r="EB279" s="160"/>
      <c r="EC279" s="366"/>
      <c r="ED279" s="366"/>
      <c r="EE279" s="366"/>
      <c r="EF279" s="366"/>
      <c r="EG279" s="160"/>
      <c r="EH279" s="366"/>
      <c r="EI279" s="366"/>
      <c r="EJ279" s="366"/>
      <c r="EK279" s="366"/>
      <c r="EL279" s="160"/>
    </row>
    <row r="280" spans="1:142">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9"/>
      <c r="AJ280" s="9"/>
      <c r="AK280" s="9"/>
      <c r="AL280" s="9"/>
      <c r="AM280" s="362"/>
      <c r="AN280" s="362"/>
      <c r="AO280" s="362"/>
      <c r="AP280" s="9"/>
      <c r="AQ280" s="9"/>
      <c r="AR280" s="362"/>
      <c r="AS280" s="362"/>
      <c r="AT280" s="362"/>
      <c r="AU280" s="4"/>
      <c r="AV280" s="362"/>
      <c r="AW280" s="362"/>
      <c r="AX280" s="362"/>
      <c r="AY280" s="362"/>
      <c r="AZ280" s="4"/>
      <c r="BA280" s="362"/>
      <c r="BB280" s="362"/>
      <c r="BC280" s="362"/>
      <c r="BD280" s="362"/>
      <c r="BE280" s="360"/>
      <c r="BF280" s="362"/>
      <c r="BG280" s="362"/>
      <c r="BH280" s="362"/>
      <c r="BI280" s="362"/>
      <c r="BJ280" s="360"/>
      <c r="BK280" s="362"/>
      <c r="BL280" s="362"/>
      <c r="BM280" s="362"/>
      <c r="BN280" s="362"/>
      <c r="BO280" s="4"/>
      <c r="BP280" s="362"/>
      <c r="BQ280" s="362"/>
      <c r="BR280" s="362"/>
      <c r="BS280" s="362"/>
      <c r="BT280" s="4"/>
      <c r="BU280" s="362"/>
      <c r="BV280" s="362"/>
      <c r="BW280" s="362"/>
      <c r="BX280" s="362"/>
      <c r="BY280" s="4"/>
      <c r="BZ280" s="362"/>
      <c r="CA280" s="362"/>
      <c r="CB280" s="362"/>
      <c r="CC280" s="362"/>
      <c r="CD280" s="4"/>
      <c r="CE280" s="362"/>
      <c r="CF280" s="362"/>
      <c r="CG280" s="362"/>
      <c r="CH280" s="362"/>
      <c r="CI280" s="4"/>
      <c r="CJ280" s="362"/>
      <c r="CK280" s="362"/>
      <c r="CL280" s="362"/>
      <c r="CM280" s="362"/>
      <c r="CN280" s="4"/>
      <c r="CO280" s="362"/>
      <c r="CP280" s="362"/>
      <c r="CQ280" s="362"/>
      <c r="CR280" s="362"/>
      <c r="CS280" s="4"/>
      <c r="CT280" s="361"/>
      <c r="CU280" s="356"/>
      <c r="CV280" s="356"/>
      <c r="CW280" s="356"/>
      <c r="CX280" s="4"/>
      <c r="CY280" s="356"/>
      <c r="CZ280" s="356"/>
      <c r="DA280" s="356"/>
      <c r="DB280" s="356"/>
      <c r="DC280" s="4"/>
      <c r="DD280" s="356"/>
      <c r="DE280" s="356"/>
      <c r="DF280" s="356"/>
      <c r="DG280" s="356"/>
      <c r="DH280" s="4"/>
      <c r="DI280" s="356"/>
      <c r="DJ280" s="356"/>
      <c r="DK280" s="356"/>
      <c r="DL280" s="356"/>
      <c r="DM280" s="4"/>
      <c r="DN280" s="356"/>
      <c r="DO280" s="356"/>
      <c r="DP280" s="356"/>
      <c r="DQ280" s="356"/>
      <c r="DR280" s="4"/>
      <c r="DS280" s="356"/>
      <c r="DT280" s="356"/>
      <c r="DU280" s="356"/>
      <c r="DV280" s="356"/>
      <c r="DW280" s="4"/>
      <c r="DX280" s="356"/>
      <c r="DY280" s="356"/>
      <c r="DZ280" s="356"/>
      <c r="EA280" s="356"/>
      <c r="EB280" s="4"/>
      <c r="EC280" s="356"/>
      <c r="ED280" s="356"/>
      <c r="EE280" s="356"/>
      <c r="EF280" s="356"/>
      <c r="EG280" s="4"/>
      <c r="EH280" s="356"/>
      <c r="EI280" s="356"/>
      <c r="EJ280" s="356"/>
      <c r="EK280" s="356"/>
      <c r="EL280" s="4"/>
    </row>
    <row r="281" spans="1:142">
      <c r="A281" s="44"/>
      <c r="B281" s="44"/>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9"/>
      <c r="AJ281" s="9"/>
      <c r="AK281" s="9"/>
      <c r="AL281" s="9"/>
      <c r="AM281" s="9"/>
      <c r="AN281" s="9"/>
      <c r="AO281" s="9"/>
      <c r="AP281" s="9"/>
      <c r="AQ281" s="9"/>
      <c r="AR281" s="9"/>
      <c r="AS281" s="9"/>
      <c r="AT281" s="9"/>
      <c r="AU281" s="9"/>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371"/>
      <c r="CR281" s="44"/>
      <c r="CS281" s="44"/>
      <c r="CT281" s="44"/>
      <c r="CU281" s="44"/>
      <c r="CV281" s="44"/>
      <c r="CW281" s="44"/>
      <c r="CX281" s="44"/>
      <c r="CY281" s="44"/>
      <c r="CZ281" s="44"/>
      <c r="DA281" s="44"/>
      <c r="DB281" s="44"/>
      <c r="DC281" s="44"/>
      <c r="DD281" s="44"/>
      <c r="DE281" s="44"/>
      <c r="DF281" s="44"/>
      <c r="DG281" s="44"/>
      <c r="DH281" s="44"/>
      <c r="DI281" s="44"/>
      <c r="DJ281" s="44"/>
      <c r="DK281" s="346"/>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row>
    <row r="282" spans="1:142">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9"/>
      <c r="AJ282" s="9"/>
      <c r="AK282" s="9"/>
      <c r="AL282" s="9"/>
      <c r="AM282" s="362"/>
      <c r="AN282" s="362"/>
      <c r="AO282" s="362"/>
      <c r="AP282" s="9"/>
      <c r="AQ282" s="9"/>
      <c r="AR282" s="362"/>
      <c r="AS282" s="362"/>
      <c r="AT282" s="362"/>
      <c r="AU282" s="9"/>
      <c r="AV282" s="9"/>
      <c r="AW282" s="9"/>
      <c r="AX282" s="9"/>
      <c r="AY282" s="9"/>
      <c r="AZ282" s="9"/>
      <c r="BA282" s="362"/>
      <c r="BB282" s="362"/>
      <c r="BC282" s="362"/>
      <c r="BD282" s="356"/>
      <c r="BE282" s="356"/>
      <c r="BF282" s="362"/>
      <c r="BG282" s="362"/>
      <c r="BH282" s="362"/>
      <c r="BI282" s="362"/>
      <c r="BJ282" s="360"/>
      <c r="BK282" s="362"/>
      <c r="BL282" s="362"/>
      <c r="BM282" s="362"/>
      <c r="BN282" s="362"/>
      <c r="BO282" s="4"/>
      <c r="BP282" s="362"/>
      <c r="BQ282" s="362"/>
      <c r="BR282" s="362"/>
      <c r="BS282" s="362"/>
      <c r="BT282" s="4"/>
      <c r="BU282" s="362"/>
      <c r="BV282" s="362"/>
      <c r="BW282" s="362"/>
      <c r="BX282" s="362"/>
      <c r="BY282" s="4"/>
      <c r="BZ282" s="362"/>
      <c r="CA282" s="362"/>
      <c r="CB282" s="362"/>
      <c r="CC282" s="362"/>
      <c r="CD282" s="4"/>
      <c r="CE282" s="362"/>
      <c r="CF282" s="362"/>
      <c r="CG282" s="362"/>
      <c r="CH282" s="362"/>
      <c r="CI282" s="4"/>
      <c r="CJ282" s="362"/>
      <c r="CK282" s="362"/>
      <c r="CL282" s="362"/>
      <c r="CM282" s="362"/>
      <c r="CN282" s="4"/>
      <c r="CO282" s="362"/>
      <c r="CP282" s="362"/>
      <c r="CQ282" s="362"/>
      <c r="CR282" s="362"/>
      <c r="CS282" s="4"/>
      <c r="CT282" s="361"/>
      <c r="CU282" s="356"/>
      <c r="CV282" s="356"/>
      <c r="CW282" s="356"/>
      <c r="CX282" s="4"/>
      <c r="CY282" s="356"/>
      <c r="CZ282" s="356"/>
      <c r="DA282" s="356"/>
      <c r="DB282" s="356"/>
      <c r="DC282" s="4"/>
      <c r="DD282" s="356"/>
      <c r="DE282" s="356"/>
      <c r="DF282" s="356"/>
      <c r="DG282" s="356"/>
      <c r="DH282" s="4"/>
      <c r="DI282" s="356"/>
      <c r="DJ282" s="356"/>
      <c r="DK282" s="356"/>
      <c r="DL282" s="356"/>
      <c r="DM282" s="4"/>
      <c r="DN282" s="356"/>
      <c r="DO282" s="356"/>
      <c r="DP282" s="356"/>
      <c r="DQ282" s="356"/>
      <c r="DR282" s="4"/>
      <c r="DS282" s="356"/>
      <c r="DT282" s="356"/>
      <c r="DU282" s="356"/>
      <c r="DV282" s="356"/>
      <c r="DW282" s="4"/>
      <c r="DX282" s="356"/>
      <c r="DY282" s="356"/>
      <c r="DZ282" s="356"/>
      <c r="EA282" s="356"/>
      <c r="EB282" s="4"/>
      <c r="EC282" s="356"/>
      <c r="ED282" s="356"/>
      <c r="EE282" s="356"/>
      <c r="EF282" s="356"/>
      <c r="EG282" s="4"/>
      <c r="EH282" s="356"/>
      <c r="EI282" s="356"/>
      <c r="EJ282" s="356"/>
      <c r="EK282" s="356"/>
      <c r="EL282" s="4"/>
    </row>
    <row r="283" spans="1:142">
      <c r="A283" s="44"/>
      <c r="B283" s="44"/>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9"/>
      <c r="AJ283" s="9"/>
      <c r="AK283" s="9"/>
      <c r="AL283" s="9"/>
      <c r="AM283" s="9"/>
      <c r="AN283" s="9"/>
      <c r="AO283" s="9"/>
      <c r="AP283" s="9"/>
      <c r="AQ283" s="9"/>
      <c r="AR283" s="9"/>
      <c r="AS283" s="9"/>
      <c r="AT283" s="9"/>
      <c r="AU283" s="9"/>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346"/>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row>
    <row r="284" spans="1:142">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9"/>
      <c r="AJ284" s="9"/>
      <c r="AK284" s="9"/>
      <c r="AL284" s="9"/>
      <c r="AM284" s="9"/>
      <c r="AN284" s="9"/>
      <c r="AO284" s="9"/>
      <c r="AP284" s="9"/>
      <c r="AQ284" s="9"/>
      <c r="AR284" s="9"/>
      <c r="AS284" s="9"/>
      <c r="AT284" s="9"/>
      <c r="AU284" s="9"/>
      <c r="AV284" s="9"/>
      <c r="AW284" s="356"/>
      <c r="AX284" s="356"/>
      <c r="AY284" s="356"/>
      <c r="AZ284" s="356"/>
      <c r="BA284" s="356"/>
      <c r="BB284" s="356"/>
      <c r="BC284" s="356"/>
      <c r="BD284" s="356"/>
      <c r="BE284" s="356"/>
      <c r="BF284" s="356"/>
      <c r="BG284" s="356"/>
      <c r="BH284" s="356"/>
      <c r="BI284" s="356"/>
      <c r="BJ284" s="356"/>
      <c r="BK284" s="356"/>
      <c r="BL284" s="359"/>
      <c r="BM284" s="359"/>
      <c r="BN284" s="359"/>
      <c r="BO284" s="4"/>
      <c r="BP284" s="360"/>
      <c r="BQ284" s="359"/>
      <c r="BR284" s="359"/>
      <c r="BS284" s="359"/>
      <c r="BT284" s="4"/>
      <c r="BU284" s="360"/>
      <c r="BV284" s="359"/>
      <c r="BW284" s="359"/>
      <c r="BX284" s="359"/>
      <c r="BY284" s="4"/>
      <c r="BZ284" s="360"/>
      <c r="CA284" s="359"/>
      <c r="CB284" s="359"/>
      <c r="CC284" s="359"/>
      <c r="CD284" s="4"/>
      <c r="CE284" s="359"/>
      <c r="CF284" s="359"/>
      <c r="CG284" s="359"/>
      <c r="CH284" s="359"/>
      <c r="CI284" s="4"/>
      <c r="CJ284" s="359"/>
      <c r="CK284" s="359"/>
      <c r="CL284" s="359"/>
      <c r="CM284" s="359"/>
      <c r="CN284" s="4"/>
      <c r="CO284" s="359"/>
      <c r="CP284" s="359"/>
      <c r="CQ284" s="359"/>
      <c r="CR284" s="359"/>
      <c r="CS284" s="4"/>
      <c r="CT284" s="359"/>
      <c r="CU284" s="359"/>
      <c r="CV284" s="359"/>
      <c r="CW284" s="359"/>
      <c r="CX284" s="4"/>
      <c r="CY284" s="359"/>
      <c r="CZ284" s="359"/>
      <c r="DA284" s="359"/>
      <c r="DB284" s="359"/>
      <c r="DC284" s="4"/>
      <c r="DD284" s="359"/>
      <c r="DE284" s="359"/>
      <c r="DF284" s="359"/>
      <c r="DG284" s="359"/>
      <c r="DH284" s="4"/>
      <c r="DI284" s="359"/>
      <c r="DJ284" s="359"/>
      <c r="DK284" s="372"/>
      <c r="DL284" s="359"/>
      <c r="DM284" s="4"/>
      <c r="DN284" s="359"/>
      <c r="DO284" s="359"/>
      <c r="DP284" s="359"/>
      <c r="DQ284" s="359"/>
      <c r="DR284" s="4"/>
      <c r="DS284" s="359"/>
      <c r="DT284" s="359"/>
      <c r="DU284" s="359"/>
      <c r="DV284" s="359"/>
      <c r="DW284" s="4"/>
      <c r="DX284" s="359"/>
      <c r="DY284" s="359"/>
      <c r="DZ284" s="359"/>
      <c r="EA284" s="359"/>
      <c r="EB284" s="4"/>
      <c r="EC284" s="359"/>
      <c r="ED284" s="359"/>
      <c r="EE284" s="359"/>
      <c r="EF284" s="359"/>
      <c r="EG284" s="4"/>
      <c r="EH284" s="359"/>
      <c r="EI284" s="359"/>
      <c r="EJ284" s="359"/>
      <c r="EK284" s="359"/>
      <c r="EL284" s="4"/>
    </row>
    <row r="285" spans="1:142">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9"/>
      <c r="AJ285" s="9"/>
      <c r="AK285" s="9"/>
      <c r="AL285" s="9"/>
      <c r="AM285" s="9"/>
      <c r="AN285" s="9"/>
      <c r="AO285" s="9"/>
      <c r="AP285" s="9"/>
      <c r="AQ285" s="9"/>
      <c r="AR285" s="9"/>
      <c r="AS285" s="9"/>
      <c r="AT285" s="9"/>
      <c r="AU285" s="9"/>
      <c r="AV285" s="356"/>
      <c r="AW285" s="356"/>
      <c r="AX285" s="356"/>
      <c r="AY285" s="356"/>
      <c r="AZ285" s="356"/>
      <c r="BA285" s="356"/>
      <c r="BB285" s="356"/>
      <c r="BC285" s="356"/>
      <c r="BD285" s="356"/>
      <c r="BE285" s="356"/>
      <c r="BF285" s="356"/>
      <c r="BG285" s="356"/>
      <c r="BH285" s="356"/>
      <c r="BI285" s="356"/>
      <c r="BJ285" s="356"/>
      <c r="BK285" s="356"/>
      <c r="BL285" s="356"/>
      <c r="BM285" s="356"/>
      <c r="BN285" s="356"/>
      <c r="BO285" s="356"/>
      <c r="BP285" s="356"/>
      <c r="BQ285" s="356"/>
      <c r="BR285" s="356"/>
      <c r="BS285" s="356"/>
      <c r="BT285" s="356"/>
      <c r="BU285" s="356"/>
      <c r="BV285" s="356"/>
      <c r="BW285" s="356"/>
      <c r="BX285" s="356"/>
      <c r="BY285" s="356"/>
      <c r="BZ285" s="356"/>
      <c r="CA285" s="356"/>
      <c r="CB285" s="356"/>
      <c r="CC285" s="356"/>
      <c r="CD285" s="356"/>
      <c r="CE285" s="356"/>
      <c r="CF285" s="356"/>
      <c r="CG285" s="356"/>
      <c r="CH285" s="356"/>
      <c r="CI285" s="356"/>
      <c r="CJ285" s="356"/>
      <c r="CK285" s="356"/>
      <c r="CL285" s="356"/>
      <c r="CM285" s="356"/>
      <c r="CN285" s="356"/>
      <c r="CO285" s="356"/>
      <c r="CP285" s="356"/>
      <c r="CQ285" s="356"/>
      <c r="CR285" s="356"/>
      <c r="CS285" s="356"/>
      <c r="CT285" s="356"/>
      <c r="CU285" s="356"/>
      <c r="CV285" s="356"/>
      <c r="CW285" s="356"/>
      <c r="CX285" s="356"/>
      <c r="CY285" s="356"/>
      <c r="CZ285" s="356"/>
      <c r="DA285" s="356"/>
      <c r="DB285" s="356"/>
      <c r="DC285" s="356"/>
      <c r="DD285" s="356"/>
      <c r="DE285" s="356"/>
      <c r="DF285" s="356"/>
      <c r="DG285" s="356"/>
      <c r="DH285" s="356"/>
      <c r="DI285" s="356"/>
      <c r="DJ285" s="356"/>
      <c r="DK285" s="356"/>
      <c r="DL285" s="356"/>
      <c r="DM285" s="356"/>
      <c r="DN285" s="356"/>
      <c r="DO285" s="356"/>
      <c r="DP285" s="356"/>
      <c r="DQ285" s="356"/>
      <c r="DR285" s="356"/>
      <c r="DS285" s="356"/>
      <c r="DT285" s="356"/>
      <c r="DU285" s="356"/>
      <c r="DV285" s="356"/>
      <c r="DW285" s="356"/>
      <c r="DX285" s="356"/>
      <c r="DY285" s="356"/>
      <c r="DZ285" s="356"/>
      <c r="EA285" s="356"/>
      <c r="EB285" s="356"/>
      <c r="EC285" s="356"/>
      <c r="ED285" s="356"/>
      <c r="EE285" s="356"/>
      <c r="EF285" s="356"/>
      <c r="EG285" s="356"/>
      <c r="EH285" s="356"/>
      <c r="EI285" s="356"/>
      <c r="EJ285" s="356"/>
      <c r="EK285" s="356"/>
      <c r="EL285" s="356"/>
    </row>
    <row r="286" spans="1:142">
      <c r="A286" s="44"/>
      <c r="B286" s="44"/>
      <c r="C286" s="9"/>
      <c r="D286" s="9"/>
      <c r="E286" s="9"/>
      <c r="F286" s="9"/>
      <c r="G286" s="9"/>
      <c r="H286" s="9"/>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9"/>
      <c r="AJ286" s="9"/>
      <c r="AK286" s="9"/>
      <c r="AL286" s="9"/>
      <c r="AM286" s="9"/>
      <c r="AN286" s="9"/>
      <c r="AO286" s="9"/>
      <c r="AP286" s="9"/>
      <c r="AQ286" s="9"/>
      <c r="AR286" s="44"/>
      <c r="AS286" s="44"/>
      <c r="AT286" s="9"/>
      <c r="AU286" s="9"/>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346"/>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row>
    <row r="287" spans="1:142">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9"/>
      <c r="AJ287" s="9"/>
      <c r="AK287" s="9"/>
      <c r="AL287" s="9"/>
      <c r="AM287" s="9"/>
      <c r="AN287" s="9"/>
      <c r="AO287" s="9"/>
      <c r="AP287" s="9"/>
      <c r="AQ287" s="9"/>
      <c r="AR287" s="9"/>
      <c r="AS287" s="9"/>
      <c r="AT287" s="9"/>
      <c r="AU287" s="9"/>
      <c r="AV287" s="9"/>
      <c r="AW287" s="356"/>
      <c r="AX287" s="356"/>
      <c r="AY287" s="356"/>
      <c r="AZ287" s="356"/>
      <c r="BA287" s="356"/>
      <c r="BB287" s="356"/>
      <c r="BC287" s="356"/>
      <c r="BD287" s="356"/>
      <c r="BE287" s="356"/>
      <c r="BF287" s="356"/>
      <c r="BG287" s="356"/>
      <c r="BH287" s="356"/>
      <c r="BI287" s="356"/>
      <c r="BJ287" s="356"/>
      <c r="BK287" s="356"/>
      <c r="BL287" s="359"/>
      <c r="BM287" s="359"/>
      <c r="BN287" s="359"/>
      <c r="BO287" s="4"/>
      <c r="BP287" s="360"/>
      <c r="BQ287" s="359"/>
      <c r="BR287" s="359"/>
      <c r="BS287" s="359"/>
      <c r="BT287" s="4"/>
      <c r="BU287" s="360"/>
      <c r="BV287" s="359"/>
      <c r="BW287" s="359"/>
      <c r="BX287" s="359"/>
      <c r="BY287" s="4"/>
      <c r="BZ287" s="360"/>
      <c r="CA287" s="359"/>
      <c r="CB287" s="359"/>
      <c r="CC287" s="359"/>
      <c r="CD287" s="4"/>
      <c r="CE287" s="359"/>
      <c r="CF287" s="359"/>
      <c r="CG287" s="359"/>
      <c r="CH287" s="359"/>
      <c r="CI287" s="4"/>
      <c r="CJ287" s="359"/>
      <c r="CK287" s="359"/>
      <c r="CL287" s="359"/>
      <c r="CM287" s="359"/>
      <c r="CN287" s="4"/>
      <c r="CO287" s="359"/>
      <c r="CP287" s="359"/>
      <c r="CQ287" s="359"/>
      <c r="CR287" s="359"/>
      <c r="CS287" s="4"/>
      <c r="CT287" s="359"/>
      <c r="CU287" s="359"/>
      <c r="CV287" s="359"/>
      <c r="CW287" s="359"/>
      <c r="CX287" s="4"/>
      <c r="CY287" s="359"/>
      <c r="CZ287" s="359"/>
      <c r="DA287" s="359"/>
      <c r="DB287" s="359"/>
      <c r="DC287" s="4"/>
      <c r="DD287" s="359"/>
      <c r="DE287" s="359"/>
      <c r="DF287" s="359"/>
      <c r="DG287" s="359"/>
      <c r="DH287" s="4"/>
      <c r="DI287" s="359"/>
      <c r="DJ287" s="359"/>
      <c r="DK287" s="372"/>
      <c r="DL287" s="359"/>
      <c r="DM287" s="4"/>
      <c r="DN287" s="359"/>
      <c r="DO287" s="359"/>
      <c r="DP287" s="359"/>
      <c r="DQ287" s="359"/>
      <c r="DR287" s="4"/>
      <c r="DS287" s="359"/>
      <c r="DT287" s="359"/>
      <c r="DU287" s="359"/>
      <c r="DV287" s="359"/>
      <c r="DW287" s="4"/>
      <c r="DX287" s="359"/>
      <c r="DY287" s="359"/>
      <c r="DZ287" s="359"/>
      <c r="EA287" s="359"/>
      <c r="EB287" s="4"/>
      <c r="EC287" s="359"/>
      <c r="ED287" s="359"/>
      <c r="EE287" s="359"/>
      <c r="EF287" s="359"/>
      <c r="EG287" s="4"/>
      <c r="EH287" s="359"/>
      <c r="EI287" s="359"/>
      <c r="EJ287" s="359"/>
      <c r="EK287" s="359"/>
      <c r="EL287" s="4"/>
    </row>
    <row r="288" spans="1:142">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9"/>
      <c r="AJ288" s="9"/>
      <c r="AK288" s="9"/>
      <c r="AL288" s="9"/>
      <c r="AM288" s="356"/>
      <c r="AN288" s="356"/>
      <c r="AO288" s="356"/>
      <c r="AP288" s="9"/>
      <c r="AQ288" s="9"/>
      <c r="AR288" s="356"/>
      <c r="AS288" s="356"/>
      <c r="AT288" s="356"/>
      <c r="AU288" s="4"/>
      <c r="AV288" s="356"/>
      <c r="AW288" s="356"/>
      <c r="AX288" s="356"/>
      <c r="AY288" s="356"/>
      <c r="AZ288" s="356"/>
      <c r="BA288" s="356"/>
      <c r="BB288" s="356"/>
      <c r="BC288" s="356"/>
      <c r="BD288" s="356"/>
      <c r="BE288" s="356"/>
      <c r="BF288" s="356"/>
      <c r="BG288" s="356"/>
      <c r="BH288" s="356"/>
      <c r="BI288" s="356"/>
      <c r="BJ288" s="356"/>
      <c r="BK288" s="356"/>
      <c r="BL288" s="356"/>
      <c r="BM288" s="356"/>
      <c r="BN288" s="356"/>
      <c r="BO288" s="356"/>
      <c r="BP288" s="356"/>
      <c r="BQ288" s="356"/>
      <c r="BR288" s="356"/>
      <c r="BS288" s="356"/>
      <c r="BT288" s="356"/>
      <c r="BU288" s="356"/>
      <c r="BV288" s="356"/>
      <c r="BW288" s="356"/>
      <c r="BX288" s="356"/>
      <c r="BY288" s="356"/>
      <c r="BZ288" s="356"/>
      <c r="CA288" s="356"/>
      <c r="CB288" s="356"/>
      <c r="CC288" s="356"/>
      <c r="CD288" s="356"/>
      <c r="CE288" s="356"/>
      <c r="CF288" s="356"/>
      <c r="CG288" s="356"/>
      <c r="CH288" s="356"/>
      <c r="CI288" s="356"/>
      <c r="CJ288" s="356"/>
      <c r="CK288" s="356"/>
      <c r="CL288" s="356"/>
      <c r="CM288" s="356"/>
      <c r="CN288" s="356"/>
      <c r="CO288" s="356"/>
      <c r="CP288" s="356"/>
      <c r="CQ288" s="356"/>
      <c r="CR288" s="356"/>
      <c r="CS288" s="356"/>
      <c r="CT288" s="362"/>
      <c r="CU288" s="362"/>
      <c r="CV288" s="362"/>
      <c r="CW288" s="362"/>
      <c r="CX288" s="360"/>
      <c r="CY288" s="362"/>
      <c r="CZ288" s="362"/>
      <c r="DA288" s="362"/>
      <c r="DB288" s="362"/>
      <c r="DC288" s="360"/>
      <c r="DD288" s="362"/>
      <c r="DE288" s="362"/>
      <c r="DF288" s="362"/>
      <c r="DG288" s="362"/>
      <c r="DH288" s="360"/>
      <c r="DI288" s="362"/>
      <c r="DJ288" s="362"/>
      <c r="DK288" s="362"/>
      <c r="DL288" s="362"/>
      <c r="DM288" s="360"/>
      <c r="DN288" s="362"/>
      <c r="DO288" s="362"/>
      <c r="DP288" s="362"/>
      <c r="DQ288" s="362"/>
      <c r="DR288" s="360"/>
      <c r="DS288" s="362"/>
      <c r="DT288" s="362"/>
      <c r="DU288" s="362"/>
      <c r="DV288" s="362"/>
      <c r="DW288" s="360"/>
      <c r="DX288" s="362"/>
      <c r="DY288" s="362"/>
      <c r="DZ288" s="362"/>
      <c r="EA288" s="362"/>
      <c r="EB288" s="360"/>
      <c r="EC288" s="362"/>
      <c r="ED288" s="362"/>
      <c r="EE288" s="362"/>
      <c r="EF288" s="362"/>
      <c r="EG288" s="360"/>
      <c r="EH288" s="362"/>
      <c r="EI288" s="362"/>
      <c r="EJ288" s="362"/>
      <c r="EK288" s="362"/>
      <c r="EL288" s="360"/>
    </row>
    <row r="289" spans="1:142">
      <c r="A289" s="44"/>
      <c r="B289" s="44"/>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9"/>
      <c r="AJ289" s="9"/>
      <c r="AK289" s="9"/>
      <c r="AL289" s="9"/>
      <c r="AM289" s="9"/>
      <c r="AN289" s="9"/>
      <c r="AO289" s="9"/>
      <c r="AP289" s="9"/>
      <c r="AQ289" s="9"/>
      <c r="AR289" s="44"/>
      <c r="AS289" s="44"/>
      <c r="AT289" s="9"/>
      <c r="AU289" s="9"/>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346"/>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row>
    <row r="290" spans="1:142">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9"/>
      <c r="AJ290" s="9"/>
      <c r="AK290" s="9"/>
      <c r="AL290" s="9"/>
      <c r="AM290" s="9"/>
      <c r="AN290" s="9"/>
      <c r="AO290" s="9"/>
      <c r="AP290" s="9"/>
      <c r="AQ290" s="9"/>
      <c r="AR290" s="9"/>
      <c r="AS290" s="9"/>
      <c r="AT290" s="9"/>
      <c r="AU290" s="9"/>
      <c r="AV290" s="9"/>
      <c r="AW290" s="356"/>
      <c r="AX290" s="356"/>
      <c r="AY290" s="356"/>
      <c r="AZ290" s="356"/>
      <c r="BA290" s="356"/>
      <c r="BB290" s="356"/>
      <c r="BC290" s="356"/>
      <c r="BD290" s="356"/>
      <c r="BE290" s="356"/>
      <c r="BF290" s="356"/>
      <c r="BG290" s="356"/>
      <c r="BH290" s="356"/>
      <c r="BI290" s="356"/>
      <c r="BJ290" s="356"/>
      <c r="BK290" s="356"/>
      <c r="BL290" s="359"/>
      <c r="BM290" s="359"/>
      <c r="BN290" s="359"/>
      <c r="BO290" s="4"/>
      <c r="BP290" s="360"/>
      <c r="BQ290" s="359"/>
      <c r="BR290" s="359"/>
      <c r="BS290" s="359"/>
      <c r="BT290" s="4"/>
      <c r="BU290" s="360"/>
      <c r="BV290" s="359"/>
      <c r="BW290" s="359"/>
      <c r="BX290" s="359"/>
      <c r="BY290" s="4"/>
      <c r="BZ290" s="360"/>
      <c r="CA290" s="359"/>
      <c r="CB290" s="359"/>
      <c r="CC290" s="359"/>
      <c r="CD290" s="4"/>
      <c r="CE290" s="359"/>
      <c r="CF290" s="359"/>
      <c r="CG290" s="359"/>
      <c r="CH290" s="359"/>
      <c r="CI290" s="4"/>
      <c r="CJ290" s="359"/>
      <c r="CK290" s="359"/>
      <c r="CL290" s="359"/>
      <c r="CM290" s="359"/>
      <c r="CN290" s="4"/>
      <c r="CO290" s="359"/>
      <c r="CP290" s="359"/>
      <c r="CQ290" s="359"/>
      <c r="CR290" s="359"/>
      <c r="CS290" s="4"/>
      <c r="CT290" s="359"/>
      <c r="CU290" s="359"/>
      <c r="CV290" s="359"/>
      <c r="CW290" s="359"/>
      <c r="CX290" s="4"/>
      <c r="CY290" s="359"/>
      <c r="CZ290" s="359"/>
      <c r="DA290" s="359"/>
      <c r="DB290" s="359"/>
      <c r="DC290" s="4"/>
      <c r="DD290" s="359"/>
      <c r="DE290" s="359"/>
      <c r="DF290" s="359"/>
      <c r="DG290" s="359"/>
      <c r="DH290" s="4"/>
      <c r="DI290" s="359"/>
      <c r="DJ290" s="359"/>
      <c r="DK290" s="372"/>
      <c r="DL290" s="359"/>
      <c r="DM290" s="4"/>
      <c r="DN290" s="359"/>
      <c r="DO290" s="359"/>
      <c r="DP290" s="359"/>
      <c r="DQ290" s="359"/>
      <c r="DR290" s="4"/>
      <c r="DS290" s="359"/>
      <c r="DT290" s="359"/>
      <c r="DU290" s="359"/>
      <c r="DV290" s="359"/>
      <c r="DW290" s="4"/>
      <c r="DX290" s="359"/>
      <c r="DY290" s="359"/>
      <c r="DZ290" s="359"/>
      <c r="EA290" s="359"/>
      <c r="EB290" s="4"/>
      <c r="EC290" s="359"/>
      <c r="ED290" s="359"/>
      <c r="EE290" s="359"/>
      <c r="EF290" s="359"/>
      <c r="EG290" s="4"/>
      <c r="EH290" s="359"/>
      <c r="EI290" s="359"/>
      <c r="EJ290" s="359"/>
      <c r="EK290" s="359"/>
      <c r="EL290" s="4"/>
    </row>
    <row r="291" spans="1:142">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9"/>
      <c r="AJ291" s="9"/>
      <c r="AK291" s="9"/>
      <c r="AL291" s="9"/>
      <c r="AM291" s="357"/>
      <c r="AN291" s="357"/>
      <c r="AO291" s="357"/>
      <c r="AP291" s="9"/>
      <c r="AQ291" s="9"/>
      <c r="AR291" s="357"/>
      <c r="AS291" s="357"/>
      <c r="AT291" s="357"/>
      <c r="AU291" s="4"/>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row>
    <row r="292" spans="1:142">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9"/>
      <c r="AJ292" s="9"/>
      <c r="AK292" s="9"/>
      <c r="AL292" s="9"/>
      <c r="AM292" s="373"/>
      <c r="AN292" s="9"/>
      <c r="AO292" s="9"/>
      <c r="AP292" s="9"/>
      <c r="AQ292" s="9"/>
      <c r="AR292" s="9"/>
      <c r="AS292" s="9"/>
      <c r="AT292" s="9"/>
      <c r="AU292" s="9"/>
      <c r="AV292" s="9"/>
      <c r="AW292" s="356"/>
      <c r="AX292" s="356"/>
      <c r="AY292" s="356"/>
      <c r="AZ292" s="356"/>
      <c r="BA292" s="356"/>
      <c r="BB292" s="356"/>
      <c r="BC292" s="356"/>
      <c r="BD292" s="356"/>
      <c r="BE292" s="356"/>
      <c r="BF292" s="356"/>
      <c r="BG292" s="356"/>
      <c r="BH292" s="356"/>
      <c r="BI292" s="356"/>
      <c r="BJ292" s="356"/>
      <c r="BK292" s="356"/>
      <c r="BL292" s="359"/>
      <c r="BM292" s="359"/>
      <c r="BN292" s="359"/>
      <c r="BO292" s="4"/>
      <c r="BP292" s="360"/>
      <c r="BQ292" s="359"/>
      <c r="BR292" s="359"/>
      <c r="BS292" s="359"/>
      <c r="BT292" s="4"/>
      <c r="BU292" s="360"/>
      <c r="BV292" s="359"/>
      <c r="BW292" s="359"/>
      <c r="BX292" s="359"/>
      <c r="BY292" s="4"/>
      <c r="BZ292" s="360"/>
      <c r="CA292" s="359"/>
      <c r="CB292" s="359"/>
      <c r="CC292" s="359"/>
      <c r="CD292" s="4"/>
      <c r="CE292" s="359"/>
      <c r="CF292" s="359"/>
      <c r="CG292" s="359"/>
      <c r="CH292" s="359"/>
      <c r="CI292" s="4"/>
      <c r="CJ292" s="359"/>
      <c r="CK292" s="359"/>
      <c r="CL292" s="359"/>
      <c r="CM292" s="359"/>
      <c r="CN292" s="4"/>
      <c r="CO292" s="359"/>
      <c r="CP292" s="359"/>
      <c r="CQ292" s="359"/>
      <c r="CR292" s="359"/>
      <c r="CS292" s="4"/>
      <c r="CT292" s="359"/>
      <c r="CU292" s="359"/>
      <c r="CV292" s="359"/>
      <c r="CW292" s="359"/>
      <c r="CX292" s="4"/>
      <c r="CY292" s="359"/>
      <c r="CZ292" s="359"/>
      <c r="DA292" s="359"/>
      <c r="DB292" s="359"/>
      <c r="DC292" s="4"/>
      <c r="DD292" s="359"/>
      <c r="DE292" s="359"/>
      <c r="DF292" s="359"/>
      <c r="DG292" s="359"/>
      <c r="DH292" s="4"/>
      <c r="DI292" s="359"/>
      <c r="DJ292" s="359"/>
      <c r="DK292" s="372"/>
      <c r="DL292" s="359"/>
      <c r="DM292" s="4"/>
      <c r="DN292" s="359"/>
      <c r="DO292" s="359"/>
      <c r="DP292" s="359"/>
      <c r="DQ292" s="359"/>
      <c r="DR292" s="4"/>
      <c r="DS292" s="359"/>
      <c r="DT292" s="359"/>
      <c r="DU292" s="359"/>
      <c r="DV292" s="359"/>
      <c r="DW292" s="4"/>
      <c r="DX292" s="359"/>
      <c r="DY292" s="359"/>
      <c r="DZ292" s="359"/>
      <c r="EA292" s="359"/>
      <c r="EB292" s="4"/>
      <c r="EC292" s="359"/>
      <c r="ED292" s="359"/>
      <c r="EE292" s="359"/>
      <c r="EF292" s="359"/>
      <c r="EG292" s="4"/>
      <c r="EH292" s="359"/>
      <c r="EI292" s="359"/>
      <c r="EJ292" s="359"/>
      <c r="EK292" s="359"/>
      <c r="EL292" s="4"/>
    </row>
    <row r="293" spans="1:142">
      <c r="A293" s="352"/>
      <c r="B293" s="352"/>
      <c r="C293" s="31"/>
      <c r="D293" s="31"/>
      <c r="E293" s="31"/>
      <c r="F293" s="31"/>
      <c r="G293" s="31"/>
      <c r="H293" s="31"/>
      <c r="I293" s="31"/>
      <c r="J293" s="31"/>
      <c r="K293" s="31"/>
      <c r="L293" s="31"/>
      <c r="M293" s="31"/>
      <c r="N293" s="31"/>
      <c r="O293" s="31"/>
      <c r="P293" s="31"/>
      <c r="Q293" s="31"/>
      <c r="R293" s="31"/>
      <c r="S293" s="31"/>
      <c r="T293" s="31"/>
      <c r="U293" s="31"/>
      <c r="V293" s="31"/>
      <c r="W293" s="31"/>
      <c r="X293" s="31"/>
      <c r="Y293" s="31"/>
      <c r="Z293" s="31"/>
      <c r="AA293" s="31"/>
      <c r="AB293" s="31"/>
      <c r="AC293" s="31"/>
      <c r="AD293" s="31"/>
      <c r="AE293" s="31"/>
      <c r="AF293" s="31"/>
      <c r="AG293" s="31"/>
      <c r="AH293" s="31"/>
      <c r="AI293" s="31"/>
      <c r="AJ293" s="31"/>
      <c r="AK293" s="31"/>
      <c r="AL293" s="31"/>
      <c r="AM293" s="31"/>
      <c r="AN293" s="31"/>
      <c r="AO293" s="31"/>
      <c r="AP293" s="31"/>
      <c r="AQ293" s="31"/>
      <c r="AR293" s="31"/>
      <c r="AS293" s="31"/>
      <c r="AT293" s="31"/>
      <c r="AU293" s="4"/>
      <c r="AV293" s="160"/>
      <c r="AW293" s="365"/>
      <c r="AX293" s="365"/>
      <c r="AY293" s="365"/>
      <c r="AZ293" s="365"/>
      <c r="BA293" s="365"/>
      <c r="BB293" s="365"/>
      <c r="BC293" s="365"/>
      <c r="BD293" s="365"/>
      <c r="BE293" s="365"/>
      <c r="BF293" s="365"/>
      <c r="BG293" s="365"/>
      <c r="BH293" s="365"/>
      <c r="BI293" s="365"/>
      <c r="BJ293" s="365"/>
      <c r="BK293" s="365"/>
      <c r="BL293" s="366"/>
      <c r="BM293" s="366"/>
      <c r="BN293" s="366"/>
      <c r="BO293" s="160"/>
      <c r="BP293" s="367"/>
      <c r="BQ293" s="366"/>
      <c r="BR293" s="366"/>
      <c r="BS293" s="366"/>
      <c r="BT293" s="160"/>
      <c r="BU293" s="367"/>
      <c r="BV293" s="366"/>
      <c r="BW293" s="366"/>
      <c r="BX293" s="366"/>
      <c r="BY293" s="160"/>
      <c r="BZ293" s="367"/>
      <c r="CA293" s="366"/>
      <c r="CB293" s="366"/>
      <c r="CC293" s="366"/>
      <c r="CD293" s="160"/>
      <c r="CE293" s="366"/>
      <c r="CF293" s="366"/>
      <c r="CG293" s="366"/>
      <c r="CH293" s="366"/>
      <c r="CI293" s="160"/>
      <c r="CJ293" s="366"/>
      <c r="CK293" s="366"/>
      <c r="CL293" s="366"/>
      <c r="CM293" s="366"/>
      <c r="CN293" s="160"/>
      <c r="CO293" s="366"/>
      <c r="CP293" s="366"/>
      <c r="CQ293" s="366"/>
      <c r="CR293" s="366"/>
      <c r="CS293" s="160"/>
      <c r="CT293" s="366"/>
      <c r="CU293" s="366"/>
      <c r="CV293" s="366"/>
      <c r="CW293" s="366"/>
      <c r="CX293" s="160"/>
      <c r="CY293" s="366"/>
      <c r="CZ293" s="366"/>
      <c r="DA293" s="366"/>
      <c r="DB293" s="366"/>
      <c r="DC293" s="160"/>
      <c r="DD293" s="366"/>
      <c r="DE293" s="366"/>
      <c r="DF293" s="366"/>
      <c r="DG293" s="366"/>
      <c r="DH293" s="160"/>
      <c r="DI293" s="366"/>
      <c r="DJ293" s="366"/>
      <c r="DK293" s="368"/>
      <c r="DL293" s="366"/>
      <c r="DM293" s="160"/>
      <c r="DN293" s="366"/>
      <c r="DO293" s="366"/>
      <c r="DP293" s="366"/>
      <c r="DQ293" s="366"/>
      <c r="DR293" s="160"/>
      <c r="DS293" s="366"/>
      <c r="DT293" s="366"/>
      <c r="DU293" s="366"/>
      <c r="DV293" s="366"/>
      <c r="DW293" s="160"/>
      <c r="DX293" s="366"/>
      <c r="DY293" s="366"/>
      <c r="DZ293" s="366"/>
      <c r="EA293" s="366"/>
      <c r="EB293" s="160"/>
      <c r="EC293" s="366"/>
      <c r="ED293" s="366"/>
      <c r="EE293" s="366"/>
      <c r="EF293" s="366"/>
      <c r="EG293" s="160"/>
      <c r="EH293" s="366"/>
      <c r="EI293" s="366"/>
      <c r="EJ293" s="366"/>
      <c r="EK293" s="366"/>
      <c r="EL293" s="160"/>
    </row>
    <row r="294" spans="1:142">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9"/>
      <c r="AJ294" s="9"/>
      <c r="AK294" s="9"/>
      <c r="AL294" s="9"/>
      <c r="AM294" s="362"/>
      <c r="AN294" s="362"/>
      <c r="AO294" s="362"/>
      <c r="AP294" s="9"/>
      <c r="AQ294" s="9"/>
      <c r="AR294" s="362"/>
      <c r="AS294" s="362"/>
      <c r="AT294" s="362"/>
      <c r="AU294" s="4"/>
      <c r="AV294" s="362"/>
      <c r="AW294" s="362"/>
      <c r="AX294" s="362"/>
      <c r="AY294" s="362"/>
      <c r="AZ294" s="4"/>
      <c r="BA294" s="362"/>
      <c r="BB294" s="362"/>
      <c r="BC294" s="362"/>
      <c r="BD294" s="362"/>
      <c r="BE294" s="360"/>
      <c r="BF294" s="362"/>
      <c r="BG294" s="362"/>
      <c r="BH294" s="362"/>
      <c r="BI294" s="362"/>
      <c r="BJ294" s="360"/>
      <c r="BK294" s="362"/>
      <c r="BL294" s="362"/>
      <c r="BM294" s="362"/>
      <c r="BN294" s="362"/>
      <c r="BO294" s="360"/>
      <c r="BP294" s="362"/>
      <c r="BQ294" s="362"/>
      <c r="BR294" s="362"/>
      <c r="BS294" s="362"/>
      <c r="BT294" s="360"/>
      <c r="BU294" s="362"/>
      <c r="BV294" s="362"/>
      <c r="BW294" s="362"/>
      <c r="BX294" s="362"/>
      <c r="BY294" s="360"/>
      <c r="BZ294" s="362"/>
      <c r="CA294" s="362"/>
      <c r="CB294" s="362"/>
      <c r="CC294" s="362"/>
      <c r="CD294" s="360"/>
      <c r="CE294" s="362"/>
      <c r="CF294" s="362"/>
      <c r="CG294" s="362"/>
      <c r="CH294" s="362"/>
      <c r="CI294" s="360"/>
      <c r="CJ294" s="362"/>
      <c r="CK294" s="362"/>
      <c r="CL294" s="362"/>
      <c r="CM294" s="362"/>
      <c r="CN294" s="360"/>
      <c r="CO294" s="362"/>
      <c r="CP294" s="362"/>
      <c r="CQ294" s="362"/>
      <c r="CR294" s="362"/>
      <c r="CS294" s="360"/>
      <c r="CT294" s="361"/>
      <c r="CU294" s="356"/>
      <c r="CV294" s="356"/>
      <c r="CW294" s="356"/>
      <c r="CX294" s="356"/>
      <c r="CY294" s="356"/>
      <c r="CZ294" s="356"/>
      <c r="DA294" s="356"/>
      <c r="DB294" s="356"/>
      <c r="DC294" s="356"/>
      <c r="DD294" s="356"/>
      <c r="DE294" s="356"/>
      <c r="DF294" s="356"/>
      <c r="DG294" s="356"/>
      <c r="DH294" s="356"/>
      <c r="DI294" s="356"/>
      <c r="DJ294" s="356"/>
      <c r="DK294" s="356"/>
      <c r="DL294" s="356"/>
      <c r="DM294" s="356"/>
      <c r="DN294" s="356"/>
      <c r="DO294" s="356"/>
      <c r="DP294" s="356"/>
      <c r="DQ294" s="356"/>
      <c r="DR294" s="356"/>
      <c r="DS294" s="356"/>
      <c r="DT294" s="356"/>
      <c r="DU294" s="356"/>
      <c r="DV294" s="356"/>
      <c r="DW294" s="356"/>
      <c r="DX294" s="356"/>
      <c r="DY294" s="356"/>
      <c r="DZ294" s="356"/>
      <c r="EA294" s="356"/>
      <c r="EB294" s="356"/>
      <c r="EC294" s="356"/>
      <c r="ED294" s="356"/>
      <c r="EE294" s="356"/>
      <c r="EF294" s="356"/>
      <c r="EG294" s="356"/>
      <c r="EH294" s="356"/>
      <c r="EI294" s="356"/>
      <c r="EJ294" s="356"/>
      <c r="EK294" s="356"/>
      <c r="EL294" s="356"/>
    </row>
    <row r="295" spans="1:142">
      <c r="A295" s="44"/>
      <c r="B295" s="44"/>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9"/>
      <c r="AJ295" s="9"/>
      <c r="AK295" s="9"/>
      <c r="AL295" s="9"/>
      <c r="AM295" s="9"/>
      <c r="AN295" s="9"/>
      <c r="AO295" s="9"/>
      <c r="AP295" s="9"/>
      <c r="AQ295" s="9"/>
      <c r="AR295" s="9"/>
      <c r="AS295" s="9"/>
      <c r="AT295" s="9"/>
      <c r="AU295" s="9"/>
      <c r="AV295" s="9"/>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346"/>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row>
    <row r="296" spans="1:142">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9"/>
      <c r="AJ296" s="9"/>
      <c r="AK296" s="9"/>
      <c r="AL296" s="9"/>
      <c r="AM296" s="9"/>
      <c r="AN296" s="9"/>
      <c r="AO296" s="9"/>
      <c r="AP296" s="9"/>
      <c r="AQ296" s="9"/>
      <c r="AR296" s="9"/>
      <c r="AS296" s="9"/>
      <c r="AT296" s="9"/>
      <c r="AU296" s="9"/>
      <c r="AV296" s="9"/>
      <c r="AW296" s="356"/>
      <c r="AX296" s="356"/>
      <c r="AY296" s="356"/>
      <c r="AZ296" s="356"/>
      <c r="BA296" s="356"/>
      <c r="BB296" s="356"/>
      <c r="BC296" s="356"/>
      <c r="BD296" s="356"/>
      <c r="BE296" s="356"/>
      <c r="BF296" s="356"/>
      <c r="BG296" s="356"/>
      <c r="BH296" s="356"/>
      <c r="BI296" s="356"/>
      <c r="BJ296" s="356"/>
      <c r="BK296" s="9"/>
      <c r="BL296" s="9"/>
      <c r="BM296" s="9"/>
      <c r="BN296" s="9"/>
      <c r="BO296" s="9"/>
      <c r="BP296" s="9"/>
      <c r="BQ296" s="9"/>
      <c r="BR296" s="9"/>
      <c r="BS296" s="9"/>
      <c r="BT296" s="9"/>
      <c r="BU296" s="9"/>
      <c r="BV296" s="9"/>
      <c r="BW296" s="9"/>
      <c r="BX296" s="9"/>
      <c r="BY296" s="9"/>
      <c r="BZ296" s="9"/>
      <c r="CA296" s="9"/>
      <c r="CB296" s="9"/>
      <c r="CC296" s="9"/>
      <c r="CD296" s="9"/>
      <c r="CE296" s="9"/>
      <c r="CF296" s="9"/>
      <c r="CG296" s="9"/>
      <c r="CH296" s="9"/>
      <c r="CI296" s="9"/>
      <c r="CJ296" s="9"/>
      <c r="CK296" s="9"/>
      <c r="CL296" s="9"/>
      <c r="CM296" s="9"/>
      <c r="CN296" s="9"/>
      <c r="CO296" s="9"/>
      <c r="CP296" s="9"/>
      <c r="CQ296" s="9"/>
      <c r="CR296" s="9"/>
      <c r="CS296" s="9"/>
      <c r="CT296" s="9"/>
      <c r="CU296" s="359"/>
      <c r="CV296" s="359"/>
      <c r="CW296" s="359"/>
      <c r="CX296" s="4"/>
      <c r="CY296" s="359"/>
      <c r="CZ296" s="359"/>
      <c r="DA296" s="359"/>
      <c r="DB296" s="359"/>
      <c r="DC296" s="4"/>
      <c r="DD296" s="359"/>
      <c r="DE296" s="359"/>
      <c r="DF296" s="359"/>
      <c r="DG296" s="359"/>
      <c r="DH296" s="4"/>
      <c r="DI296" s="359"/>
      <c r="DJ296" s="359"/>
      <c r="DK296" s="372"/>
      <c r="DL296" s="359"/>
      <c r="DM296" s="4"/>
      <c r="DN296" s="359"/>
      <c r="DO296" s="359"/>
      <c r="DP296" s="359"/>
      <c r="DQ296" s="359"/>
      <c r="DR296" s="4"/>
      <c r="DS296" s="359"/>
      <c r="DT296" s="359"/>
      <c r="DU296" s="359"/>
      <c r="DV296" s="359"/>
      <c r="DW296" s="4"/>
      <c r="DX296" s="359"/>
      <c r="DY296" s="359"/>
      <c r="DZ296" s="359"/>
      <c r="EA296" s="359"/>
      <c r="EB296" s="4"/>
      <c r="EC296" s="359"/>
      <c r="ED296" s="359"/>
      <c r="EE296" s="359"/>
      <c r="EF296" s="359"/>
      <c r="EG296" s="4"/>
      <c r="EH296" s="359"/>
      <c r="EI296" s="359"/>
      <c r="EJ296" s="359"/>
      <c r="EK296" s="359"/>
      <c r="EL296" s="4"/>
    </row>
    <row r="297" spans="1:142">
      <c r="A297" s="352"/>
      <c r="B297" s="352"/>
      <c r="C297" s="31"/>
      <c r="D297" s="31"/>
      <c r="E297" s="31"/>
      <c r="F297" s="31"/>
      <c r="G297" s="31"/>
      <c r="H297" s="31"/>
      <c r="I297" s="31"/>
      <c r="J297" s="31"/>
      <c r="K297" s="31"/>
      <c r="L297" s="31"/>
      <c r="M297" s="31"/>
      <c r="N297" s="31"/>
      <c r="O297" s="31"/>
      <c r="P297" s="31"/>
      <c r="Q297" s="31"/>
      <c r="R297" s="31"/>
      <c r="S297" s="31"/>
      <c r="T297" s="31"/>
      <c r="U297" s="31"/>
      <c r="V297" s="31"/>
      <c r="W297" s="31"/>
      <c r="X297" s="31"/>
      <c r="Y297" s="31"/>
      <c r="Z297" s="31"/>
      <c r="AA297" s="31"/>
      <c r="AB297" s="31"/>
      <c r="AC297" s="31"/>
      <c r="AD297" s="31"/>
      <c r="AE297" s="31"/>
      <c r="AF297" s="31"/>
      <c r="AG297" s="31"/>
      <c r="AH297" s="31"/>
      <c r="AI297" s="31"/>
      <c r="AJ297" s="31"/>
      <c r="AK297" s="31"/>
      <c r="AL297" s="31"/>
      <c r="AM297" s="31"/>
      <c r="AN297" s="31"/>
      <c r="AO297" s="31"/>
      <c r="AP297" s="31"/>
      <c r="AQ297" s="31"/>
      <c r="AR297" s="31"/>
      <c r="AS297" s="31"/>
      <c r="AT297" s="31"/>
      <c r="AU297" s="4"/>
      <c r="AV297" s="160"/>
      <c r="AW297" s="365"/>
      <c r="AX297" s="365"/>
      <c r="AY297" s="365"/>
      <c r="AZ297" s="365"/>
      <c r="BA297" s="365"/>
      <c r="BB297" s="365"/>
      <c r="BC297" s="365"/>
      <c r="BD297" s="365"/>
      <c r="BE297" s="365"/>
      <c r="BF297" s="365"/>
      <c r="BG297" s="365"/>
      <c r="BH297" s="365"/>
      <c r="BI297" s="365"/>
      <c r="BJ297" s="365"/>
      <c r="BK297" s="365"/>
      <c r="BL297" s="366"/>
      <c r="BM297" s="366"/>
      <c r="BN297" s="366"/>
      <c r="BO297" s="160"/>
      <c r="BP297" s="367"/>
      <c r="BQ297" s="366"/>
      <c r="BR297" s="366"/>
      <c r="BS297" s="366"/>
      <c r="BT297" s="160"/>
      <c r="BU297" s="367"/>
      <c r="BV297" s="366"/>
      <c r="BW297" s="366"/>
      <c r="BX297" s="366"/>
      <c r="BY297" s="160"/>
      <c r="BZ297" s="367"/>
      <c r="CA297" s="366"/>
      <c r="CB297" s="366"/>
      <c r="CC297" s="366"/>
      <c r="CD297" s="160"/>
      <c r="CE297" s="366"/>
      <c r="CF297" s="366"/>
      <c r="CG297" s="366"/>
      <c r="CH297" s="366"/>
      <c r="CI297" s="160"/>
      <c r="CJ297" s="366"/>
      <c r="CK297" s="366"/>
      <c r="CL297" s="366"/>
      <c r="CM297" s="366"/>
      <c r="CN297" s="160"/>
      <c r="CO297" s="366"/>
      <c r="CP297" s="366"/>
      <c r="CQ297" s="366"/>
      <c r="CR297" s="366"/>
      <c r="CS297" s="160"/>
      <c r="CT297" s="366"/>
      <c r="CU297" s="366"/>
      <c r="CV297" s="366"/>
      <c r="CW297" s="366"/>
      <c r="CX297" s="160"/>
      <c r="CY297" s="366"/>
      <c r="CZ297" s="366"/>
      <c r="DA297" s="366"/>
      <c r="DB297" s="366"/>
      <c r="DC297" s="160"/>
      <c r="DD297" s="366"/>
      <c r="DE297" s="366"/>
      <c r="DF297" s="366"/>
      <c r="DG297" s="366"/>
      <c r="DH297" s="160"/>
      <c r="DI297" s="366"/>
      <c r="DJ297" s="366"/>
      <c r="DK297" s="368"/>
      <c r="DL297" s="366"/>
      <c r="DM297" s="160"/>
      <c r="DN297" s="366"/>
      <c r="DO297" s="366"/>
      <c r="DP297" s="366"/>
      <c r="DQ297" s="366"/>
      <c r="DR297" s="160"/>
      <c r="DS297" s="366"/>
      <c r="DT297" s="366"/>
      <c r="DU297" s="366"/>
      <c r="DV297" s="366"/>
      <c r="DW297" s="160"/>
      <c r="DX297" s="366"/>
      <c r="DY297" s="366"/>
      <c r="DZ297" s="366"/>
      <c r="EA297" s="366"/>
      <c r="EB297" s="160"/>
      <c r="EC297" s="366"/>
      <c r="ED297" s="366"/>
      <c r="EE297" s="366"/>
      <c r="EF297" s="366"/>
      <c r="EG297" s="160"/>
      <c r="EH297" s="366"/>
      <c r="EI297" s="366"/>
      <c r="EJ297" s="366"/>
      <c r="EK297" s="366"/>
      <c r="EL297" s="160"/>
    </row>
    <row r="298" spans="1:142">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9"/>
      <c r="AJ298" s="9"/>
      <c r="AK298" s="9"/>
      <c r="AL298" s="9"/>
      <c r="AM298" s="362"/>
      <c r="AN298" s="362"/>
      <c r="AO298" s="362"/>
      <c r="AP298" s="9"/>
      <c r="AQ298" s="9"/>
      <c r="AR298" s="362"/>
      <c r="AS298" s="362"/>
      <c r="AT298" s="362"/>
      <c r="AU298" s="9"/>
      <c r="AV298" s="9"/>
      <c r="AW298" s="9"/>
      <c r="AX298" s="9"/>
      <c r="AY298" s="9"/>
      <c r="AZ298" s="9"/>
      <c r="BA298" s="362"/>
      <c r="BB298" s="362"/>
      <c r="BC298" s="362"/>
      <c r="BD298" s="356"/>
      <c r="BE298" s="356"/>
      <c r="BF298" s="362"/>
      <c r="BG298" s="362"/>
      <c r="BH298" s="362"/>
      <c r="BI298" s="362"/>
      <c r="BJ298" s="360"/>
      <c r="BK298" s="362"/>
      <c r="BL298" s="362"/>
      <c r="BM298" s="362"/>
      <c r="BN298" s="362"/>
      <c r="BO298" s="360"/>
      <c r="BP298" s="362"/>
      <c r="BQ298" s="362"/>
      <c r="BR298" s="362"/>
      <c r="BS298" s="362"/>
      <c r="BT298" s="360"/>
      <c r="BU298" s="362"/>
      <c r="BV298" s="362"/>
      <c r="BW298" s="362"/>
      <c r="BX298" s="362"/>
      <c r="BY298" s="360"/>
      <c r="BZ298" s="362"/>
      <c r="CA298" s="362"/>
      <c r="CB298" s="362"/>
      <c r="CC298" s="362"/>
      <c r="CD298" s="360"/>
      <c r="CE298" s="362"/>
      <c r="CF298" s="362"/>
      <c r="CG298" s="362"/>
      <c r="CH298" s="362"/>
      <c r="CI298" s="360"/>
      <c r="CJ298" s="362"/>
      <c r="CK298" s="362"/>
      <c r="CL298" s="362"/>
      <c r="CM298" s="362"/>
      <c r="CN298" s="360"/>
      <c r="CO298" s="362"/>
      <c r="CP298" s="362"/>
      <c r="CQ298" s="362"/>
      <c r="CR298" s="362"/>
      <c r="CS298" s="360"/>
      <c r="CT298" s="361"/>
      <c r="CU298" s="356"/>
      <c r="CV298" s="356"/>
      <c r="CW298" s="356"/>
      <c r="CX298" s="356"/>
      <c r="CY298" s="356"/>
      <c r="CZ298" s="356"/>
      <c r="DA298" s="356"/>
      <c r="DB298" s="356"/>
      <c r="DC298" s="356"/>
      <c r="DD298" s="356"/>
      <c r="DE298" s="356"/>
      <c r="DF298" s="356"/>
      <c r="DG298" s="356"/>
      <c r="DH298" s="356"/>
      <c r="DI298" s="356"/>
      <c r="DJ298" s="356"/>
      <c r="DK298" s="356"/>
      <c r="DL298" s="356"/>
      <c r="DM298" s="356"/>
      <c r="DN298" s="356"/>
      <c r="DO298" s="356"/>
      <c r="DP298" s="356"/>
      <c r="DQ298" s="356"/>
      <c r="DR298" s="356"/>
      <c r="DS298" s="356"/>
      <c r="DT298" s="356"/>
      <c r="DU298" s="356"/>
      <c r="DV298" s="356"/>
      <c r="DW298" s="356"/>
      <c r="DX298" s="356"/>
      <c r="DY298" s="356"/>
      <c r="DZ298" s="356"/>
      <c r="EA298" s="356"/>
      <c r="EB298" s="356"/>
      <c r="EC298" s="356"/>
      <c r="ED298" s="356"/>
      <c r="EE298" s="356"/>
      <c r="EF298" s="356"/>
      <c r="EG298" s="356"/>
      <c r="EH298" s="356"/>
      <c r="EI298" s="356"/>
      <c r="EJ298" s="356"/>
      <c r="EK298" s="356"/>
      <c r="EL298" s="356"/>
    </row>
    <row r="299" spans="1:142">
      <c r="A299" s="44"/>
      <c r="B299" s="44"/>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9"/>
      <c r="AJ299" s="9"/>
      <c r="AK299" s="9"/>
      <c r="AL299" s="9"/>
      <c r="AM299" s="9"/>
      <c r="AN299" s="9"/>
      <c r="AO299" s="9"/>
      <c r="AP299" s="9"/>
      <c r="AQ299" s="9"/>
      <c r="AR299" s="44"/>
      <c r="AS299" s="44"/>
      <c r="AT299" s="9"/>
      <c r="AU299" s="9"/>
      <c r="AV299" s="160"/>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346"/>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row>
    <row r="300" spans="1:142">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9"/>
      <c r="AJ300" s="9"/>
      <c r="AK300" s="9"/>
      <c r="AL300" s="9"/>
      <c r="AM300" s="9"/>
      <c r="AN300" s="9"/>
      <c r="AO300" s="9"/>
      <c r="AP300" s="9"/>
      <c r="AQ300" s="9"/>
      <c r="AR300" s="9"/>
      <c r="AS300" s="9"/>
      <c r="AT300" s="9"/>
      <c r="AU300" s="9"/>
      <c r="AV300" s="360"/>
      <c r="AW300" s="9"/>
      <c r="AX300" s="9"/>
      <c r="AY300" s="9"/>
      <c r="AZ300" s="9"/>
      <c r="BA300" s="356"/>
      <c r="BB300" s="356"/>
      <c r="BC300" s="356"/>
      <c r="BD300" s="356"/>
      <c r="BE300" s="356"/>
      <c r="BF300" s="356"/>
      <c r="BG300" s="356"/>
      <c r="BH300" s="356"/>
      <c r="BI300" s="356"/>
      <c r="BJ300" s="356"/>
      <c r="BK300" s="356"/>
      <c r="BL300" s="356"/>
      <c r="BM300" s="356"/>
      <c r="BN300" s="356"/>
      <c r="BO300" s="356"/>
      <c r="BP300" s="356"/>
      <c r="BQ300" s="356"/>
      <c r="BR300" s="356"/>
      <c r="BS300" s="356"/>
      <c r="BT300" s="356"/>
      <c r="BU300" s="356"/>
      <c r="BV300" s="356"/>
      <c r="BW300" s="356"/>
      <c r="BX300" s="356"/>
      <c r="BY300" s="356"/>
      <c r="BZ300" s="356"/>
      <c r="CA300" s="356"/>
      <c r="CB300" s="356"/>
      <c r="CC300" s="356"/>
      <c r="CD300" s="356"/>
      <c r="CE300" s="356"/>
      <c r="CF300" s="356"/>
      <c r="CG300" s="356"/>
      <c r="CH300" s="356"/>
      <c r="CI300" s="356"/>
      <c r="CJ300" s="356"/>
      <c r="CK300" s="356"/>
      <c r="CL300" s="356"/>
      <c r="CM300" s="356"/>
      <c r="CN300" s="361"/>
      <c r="CO300" s="356"/>
      <c r="CP300" s="356"/>
      <c r="CQ300" s="356"/>
      <c r="CR300" s="356"/>
      <c r="CS300" s="356"/>
      <c r="CT300" s="356"/>
      <c r="CU300" s="362"/>
      <c r="CV300" s="362"/>
      <c r="CW300" s="362"/>
      <c r="CX300" s="360"/>
      <c r="CY300" s="362"/>
      <c r="CZ300" s="362"/>
      <c r="DA300" s="362"/>
      <c r="DB300" s="362"/>
      <c r="DC300" s="360"/>
      <c r="DD300" s="362"/>
      <c r="DE300" s="362"/>
      <c r="DF300" s="362"/>
      <c r="DG300" s="362"/>
      <c r="DH300" s="360"/>
      <c r="DI300" s="362"/>
      <c r="DJ300" s="362"/>
      <c r="DK300" s="362"/>
      <c r="DL300" s="362"/>
      <c r="DM300" s="360"/>
      <c r="DN300" s="362"/>
      <c r="DO300" s="362"/>
      <c r="DP300" s="362"/>
      <c r="DQ300" s="362"/>
      <c r="DR300" s="360"/>
      <c r="DS300" s="362"/>
      <c r="DT300" s="362"/>
      <c r="DU300" s="362"/>
      <c r="DV300" s="362"/>
      <c r="DW300" s="360"/>
      <c r="DX300" s="362"/>
      <c r="DY300" s="362"/>
      <c r="DZ300" s="362"/>
      <c r="EA300" s="362"/>
      <c r="EB300" s="360"/>
      <c r="EC300" s="362"/>
      <c r="ED300" s="362"/>
      <c r="EE300" s="362"/>
      <c r="EF300" s="362"/>
      <c r="EG300" s="360"/>
      <c r="EH300" s="362"/>
      <c r="EI300" s="362"/>
      <c r="EJ300" s="362"/>
      <c r="EK300" s="362"/>
      <c r="EL300" s="360"/>
    </row>
    <row r="301" spans="1:142">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9"/>
      <c r="AJ301" s="9"/>
      <c r="AK301" s="9"/>
      <c r="AL301" s="9"/>
      <c r="AM301" s="9"/>
      <c r="AN301" s="9"/>
      <c r="AO301" s="9"/>
      <c r="AP301" s="9"/>
      <c r="AQ301" s="9"/>
      <c r="AR301" s="9"/>
      <c r="AS301" s="9"/>
      <c r="AT301" s="9"/>
      <c r="AU301" s="9"/>
      <c r="AV301" s="360"/>
      <c r="AW301" s="9"/>
      <c r="AX301" s="9"/>
      <c r="AY301" s="9"/>
      <c r="AZ301" s="9"/>
      <c r="BA301" s="356"/>
      <c r="BB301" s="356"/>
      <c r="BC301" s="356"/>
      <c r="BD301" s="356"/>
      <c r="BE301" s="356"/>
      <c r="BF301" s="356"/>
      <c r="BG301" s="356"/>
      <c r="BH301" s="356"/>
      <c r="BI301" s="356"/>
      <c r="BJ301" s="356"/>
      <c r="BK301" s="356"/>
      <c r="BL301" s="356"/>
      <c r="BM301" s="356"/>
      <c r="BN301" s="356"/>
      <c r="BO301" s="356"/>
      <c r="BP301" s="356"/>
      <c r="BQ301" s="356"/>
      <c r="BR301" s="356"/>
      <c r="BS301" s="356"/>
      <c r="BT301" s="356"/>
      <c r="BU301" s="356"/>
      <c r="BV301" s="356"/>
      <c r="BW301" s="356"/>
      <c r="BX301" s="356"/>
      <c r="BY301" s="356"/>
      <c r="BZ301" s="356"/>
      <c r="CA301" s="356"/>
      <c r="CB301" s="356"/>
      <c r="CC301" s="356"/>
      <c r="CD301" s="356"/>
      <c r="CE301" s="356"/>
      <c r="CF301" s="356"/>
      <c r="CG301" s="356"/>
      <c r="CH301" s="356"/>
      <c r="CI301" s="356"/>
      <c r="CJ301" s="356"/>
      <c r="CK301" s="356"/>
      <c r="CL301" s="356"/>
      <c r="CM301" s="356"/>
      <c r="CN301" s="356"/>
      <c r="CO301" s="356"/>
      <c r="CP301" s="356"/>
      <c r="CQ301" s="356"/>
      <c r="CR301" s="356"/>
      <c r="CS301" s="356"/>
      <c r="CT301" s="356"/>
      <c r="CU301" s="356"/>
      <c r="CV301" s="356"/>
      <c r="CW301" s="356"/>
      <c r="CX301" s="356"/>
      <c r="CY301" s="356"/>
      <c r="CZ301" s="356"/>
      <c r="DA301" s="356"/>
      <c r="DB301" s="356"/>
      <c r="DC301" s="356"/>
      <c r="DD301" s="356"/>
      <c r="DE301" s="356"/>
      <c r="DF301" s="356"/>
      <c r="DG301" s="356"/>
      <c r="DH301" s="356"/>
      <c r="DI301" s="356"/>
      <c r="DJ301" s="356"/>
      <c r="DK301" s="356"/>
      <c r="DL301" s="356"/>
      <c r="DM301" s="356"/>
      <c r="DN301" s="356"/>
      <c r="DO301" s="356"/>
      <c r="DP301" s="356"/>
      <c r="DQ301" s="356"/>
      <c r="DR301" s="356"/>
      <c r="DS301" s="356"/>
      <c r="DT301" s="356"/>
      <c r="DU301" s="356"/>
      <c r="DV301" s="356"/>
      <c r="DW301" s="356"/>
      <c r="DX301" s="356"/>
      <c r="DY301" s="356"/>
      <c r="DZ301" s="356"/>
      <c r="EA301" s="356"/>
      <c r="EB301" s="356"/>
      <c r="EC301" s="356"/>
      <c r="ED301" s="356"/>
      <c r="EE301" s="356"/>
      <c r="EF301" s="356"/>
      <c r="EG301" s="356"/>
      <c r="EH301" s="356"/>
      <c r="EI301" s="356"/>
      <c r="EJ301" s="356"/>
      <c r="EK301" s="356"/>
      <c r="EL301" s="356"/>
    </row>
    <row r="302" spans="1:142">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9"/>
      <c r="AJ302" s="9"/>
      <c r="AK302" s="9"/>
      <c r="AL302" s="9"/>
      <c r="AM302" s="9"/>
      <c r="AN302" s="9"/>
      <c r="AO302" s="9"/>
      <c r="AP302" s="9"/>
      <c r="AQ302" s="9"/>
      <c r="AR302" s="9"/>
      <c r="AS302" s="9"/>
      <c r="AT302" s="9"/>
      <c r="AU302" s="9"/>
      <c r="AV302" s="9"/>
      <c r="AW302" s="356"/>
      <c r="AX302" s="356"/>
      <c r="AY302" s="356"/>
      <c r="AZ302" s="356"/>
      <c r="BA302" s="356"/>
      <c r="BB302" s="356"/>
      <c r="BC302" s="356"/>
      <c r="BD302" s="356"/>
      <c r="BE302" s="356"/>
      <c r="BF302" s="356"/>
      <c r="BG302" s="356"/>
      <c r="BH302" s="356"/>
      <c r="BI302" s="356"/>
      <c r="BJ302" s="356"/>
      <c r="BK302" s="356"/>
      <c r="BL302" s="359"/>
      <c r="BM302" s="359"/>
      <c r="BN302" s="359"/>
      <c r="BO302" s="4"/>
      <c r="BP302" s="360"/>
      <c r="BQ302" s="359"/>
      <c r="BR302" s="359"/>
      <c r="BS302" s="359"/>
      <c r="BT302" s="4"/>
      <c r="BU302" s="360"/>
      <c r="BV302" s="359"/>
      <c r="BW302" s="359"/>
      <c r="BX302" s="359"/>
      <c r="BY302" s="4"/>
      <c r="BZ302" s="360"/>
      <c r="CA302" s="359"/>
      <c r="CB302" s="359"/>
      <c r="CC302" s="359"/>
      <c r="CD302" s="4"/>
      <c r="CE302" s="359"/>
      <c r="CF302" s="359"/>
      <c r="CG302" s="359"/>
      <c r="CH302" s="359"/>
      <c r="CI302" s="4"/>
      <c r="CJ302" s="359"/>
      <c r="CK302" s="359"/>
      <c r="CL302" s="359"/>
      <c r="CM302" s="359"/>
      <c r="CN302" s="4"/>
      <c r="CO302" s="359"/>
      <c r="CP302" s="359"/>
      <c r="CQ302" s="359"/>
      <c r="CR302" s="359"/>
      <c r="CS302" s="4"/>
      <c r="CT302" s="359"/>
      <c r="CU302" s="359"/>
      <c r="CV302" s="359"/>
      <c r="CW302" s="359"/>
      <c r="CX302" s="4"/>
      <c r="CY302" s="359"/>
      <c r="CZ302" s="359"/>
      <c r="DA302" s="359"/>
      <c r="DB302" s="359"/>
      <c r="DC302" s="4"/>
      <c r="DD302" s="359"/>
      <c r="DE302" s="359"/>
      <c r="DF302" s="359"/>
      <c r="DG302" s="359"/>
      <c r="DH302" s="4"/>
      <c r="DI302" s="359"/>
      <c r="DJ302" s="359"/>
      <c r="DK302" s="372"/>
      <c r="DL302" s="359"/>
      <c r="DM302" s="4"/>
      <c r="DN302" s="359"/>
      <c r="DO302" s="359"/>
      <c r="DP302" s="359"/>
      <c r="DQ302" s="359"/>
      <c r="DR302" s="4"/>
      <c r="DS302" s="359"/>
      <c r="DT302" s="359"/>
      <c r="DU302" s="359"/>
      <c r="DV302" s="359"/>
      <c r="DW302" s="4"/>
      <c r="DX302" s="359"/>
      <c r="DY302" s="359"/>
      <c r="DZ302" s="359"/>
      <c r="EA302" s="359"/>
      <c r="EB302" s="4"/>
      <c r="EC302" s="359"/>
      <c r="ED302" s="359"/>
      <c r="EE302" s="359"/>
      <c r="EF302" s="359"/>
      <c r="EG302" s="4"/>
      <c r="EH302" s="359"/>
      <c r="EI302" s="359"/>
      <c r="EJ302" s="359"/>
      <c r="EK302" s="359"/>
      <c r="EL302" s="4"/>
    </row>
    <row r="303" spans="1:142">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9"/>
      <c r="AJ303" s="9"/>
      <c r="AK303" s="9"/>
      <c r="AL303" s="9"/>
      <c r="AM303" s="178"/>
      <c r="AN303" s="9"/>
      <c r="AO303" s="9"/>
      <c r="AP303" s="9"/>
      <c r="AQ303" s="9"/>
      <c r="AR303" s="9"/>
      <c r="AS303" s="9"/>
      <c r="AT303" s="9"/>
      <c r="AU303" s="360"/>
      <c r="AV303" s="359"/>
      <c r="AW303" s="359"/>
      <c r="AX303" s="359"/>
      <c r="AY303" s="359"/>
      <c r="AZ303" s="4"/>
      <c r="BA303" s="362"/>
      <c r="BB303" s="362"/>
      <c r="BC303" s="362"/>
      <c r="BD303" s="362"/>
      <c r="BE303" s="360"/>
      <c r="BF303" s="362"/>
      <c r="BG303" s="362"/>
      <c r="BH303" s="362"/>
      <c r="BI303" s="362"/>
      <c r="BJ303" s="360"/>
      <c r="BK303" s="362"/>
      <c r="BL303" s="362"/>
      <c r="BM303" s="362"/>
      <c r="BN303" s="362"/>
      <c r="BO303" s="4"/>
      <c r="BP303" s="362"/>
      <c r="BQ303" s="362"/>
      <c r="BR303" s="362"/>
      <c r="BS303" s="362"/>
      <c r="BT303" s="4"/>
      <c r="BU303" s="362"/>
      <c r="BV303" s="362"/>
      <c r="BW303" s="362"/>
      <c r="BX303" s="362"/>
      <c r="BY303" s="4"/>
      <c r="BZ303" s="362"/>
      <c r="CA303" s="362"/>
      <c r="CB303" s="362"/>
      <c r="CC303" s="362"/>
      <c r="CD303" s="4"/>
      <c r="CE303" s="362"/>
      <c r="CF303" s="362"/>
      <c r="CG303" s="362"/>
      <c r="CH303" s="362"/>
      <c r="CI303" s="4"/>
      <c r="CJ303" s="362"/>
      <c r="CK303" s="362"/>
      <c r="CL303" s="362"/>
      <c r="CM303" s="362"/>
      <c r="CN303" s="4"/>
      <c r="CO303" s="362"/>
      <c r="CP303" s="362"/>
      <c r="CQ303" s="362"/>
      <c r="CR303" s="362"/>
      <c r="CS303" s="4"/>
      <c r="CT303" s="361"/>
      <c r="CU303" s="356"/>
      <c r="CV303" s="356"/>
      <c r="CW303" s="356"/>
      <c r="CX303" s="4"/>
      <c r="CY303" s="356"/>
      <c r="CZ303" s="356"/>
      <c r="DA303" s="356"/>
      <c r="DB303" s="356"/>
      <c r="DC303" s="4"/>
      <c r="DD303" s="356"/>
      <c r="DE303" s="356"/>
      <c r="DF303" s="356"/>
      <c r="DG303" s="356"/>
      <c r="DH303" s="4"/>
      <c r="DI303" s="356"/>
      <c r="DJ303" s="356"/>
      <c r="DK303" s="356"/>
      <c r="DL303" s="356"/>
      <c r="DM303" s="4"/>
      <c r="DN303" s="356"/>
      <c r="DO303" s="356"/>
      <c r="DP303" s="356"/>
      <c r="DQ303" s="356"/>
      <c r="DR303" s="4"/>
      <c r="DS303" s="356"/>
      <c r="DT303" s="356"/>
      <c r="DU303" s="356"/>
      <c r="DV303" s="356"/>
      <c r="DW303" s="4"/>
      <c r="DX303" s="356"/>
      <c r="DY303" s="356"/>
      <c r="DZ303" s="356"/>
      <c r="EA303" s="356"/>
      <c r="EB303" s="4"/>
      <c r="EC303" s="356"/>
      <c r="ED303" s="356"/>
      <c r="EE303" s="356"/>
      <c r="EF303" s="356"/>
      <c r="EG303" s="4"/>
      <c r="EH303" s="356"/>
      <c r="EI303" s="356"/>
      <c r="EJ303" s="356"/>
      <c r="EK303" s="356"/>
      <c r="EL303" s="4"/>
    </row>
    <row r="304" spans="1:14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374"/>
      <c r="CV304" s="374"/>
      <c r="CW304" s="374"/>
      <c r="CX304" s="5"/>
      <c r="CY304" s="374"/>
      <c r="CZ304" s="374"/>
      <c r="DA304" s="374"/>
      <c r="DB304" s="374"/>
      <c r="DC304" s="5"/>
      <c r="DD304" s="374"/>
      <c r="DE304" s="374"/>
      <c r="DF304" s="374"/>
      <c r="DG304" s="374"/>
      <c r="DH304" s="5"/>
      <c r="DI304" s="374"/>
      <c r="DJ304" s="374"/>
      <c r="DK304" s="374"/>
      <c r="DL304" s="374"/>
      <c r="DM304" s="5"/>
      <c r="DN304" s="374"/>
      <c r="DO304" s="374"/>
      <c r="DP304" s="374"/>
      <c r="DQ304" s="374"/>
      <c r="DR304" s="5"/>
      <c r="DS304" s="374"/>
      <c r="DT304" s="374"/>
      <c r="DU304" s="374"/>
      <c r="DV304" s="374"/>
      <c r="DW304" s="5"/>
      <c r="DX304" s="374"/>
      <c r="DY304" s="374"/>
      <c r="DZ304" s="374"/>
      <c r="EA304" s="374"/>
      <c r="EB304" s="5"/>
      <c r="EC304" s="374"/>
      <c r="ED304" s="374"/>
      <c r="EE304" s="374"/>
      <c r="EF304" s="374"/>
      <c r="EG304" s="5"/>
      <c r="EH304" s="374"/>
      <c r="EI304" s="374"/>
      <c r="EJ304" s="374"/>
      <c r="EK304" s="374"/>
      <c r="EL304" s="5"/>
    </row>
    <row r="305" spans="1:142">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9"/>
      <c r="AJ305" s="9"/>
      <c r="AK305" s="9"/>
      <c r="AL305" s="9"/>
      <c r="AM305" s="9"/>
      <c r="AN305" s="9"/>
      <c r="AO305" s="9"/>
      <c r="AP305" s="9"/>
      <c r="AQ305" s="9"/>
      <c r="AR305" s="9"/>
      <c r="AS305" s="9"/>
      <c r="AT305" s="9"/>
      <c r="AU305" s="9"/>
      <c r="AV305" s="9"/>
      <c r="AW305" s="356"/>
      <c r="AX305" s="356"/>
      <c r="AY305" s="356"/>
      <c r="AZ305" s="356"/>
      <c r="BA305" s="356"/>
      <c r="BB305" s="356"/>
      <c r="BC305" s="356"/>
      <c r="BD305" s="356"/>
      <c r="BE305" s="356"/>
      <c r="BF305" s="356"/>
      <c r="BG305" s="356"/>
      <c r="BH305" s="356"/>
      <c r="BI305" s="356"/>
      <c r="BJ305" s="356"/>
      <c r="BK305" s="356"/>
      <c r="BL305" s="359"/>
      <c r="BM305" s="359"/>
      <c r="BN305" s="359"/>
      <c r="BO305" s="4"/>
      <c r="BP305" s="360"/>
      <c r="BQ305" s="359"/>
      <c r="BR305" s="359"/>
      <c r="BS305" s="359"/>
      <c r="BT305" s="4"/>
      <c r="BU305" s="360"/>
      <c r="BV305" s="359"/>
      <c r="BW305" s="359"/>
      <c r="BX305" s="359"/>
      <c r="BY305" s="4"/>
      <c r="BZ305" s="360"/>
      <c r="CA305" s="359"/>
      <c r="CB305" s="359"/>
      <c r="CC305" s="359"/>
      <c r="CD305" s="4"/>
      <c r="CE305" s="359"/>
      <c r="CF305" s="359"/>
      <c r="CG305" s="359"/>
      <c r="CH305" s="359"/>
      <c r="CI305" s="4"/>
      <c r="CJ305" s="359"/>
      <c r="CK305" s="359"/>
      <c r="CL305" s="359"/>
      <c r="CM305" s="359"/>
      <c r="CN305" s="4"/>
      <c r="CO305" s="359"/>
      <c r="CP305" s="359"/>
      <c r="CQ305" s="359"/>
      <c r="CR305" s="359"/>
      <c r="CS305" s="4"/>
      <c r="CT305" s="359"/>
      <c r="CU305" s="359"/>
      <c r="CV305" s="359"/>
      <c r="CW305" s="359"/>
      <c r="CX305" s="4"/>
      <c r="CY305" s="359"/>
      <c r="CZ305" s="359"/>
      <c r="DA305" s="359"/>
      <c r="DB305" s="359"/>
      <c r="DC305" s="4"/>
      <c r="DD305" s="359"/>
      <c r="DE305" s="359"/>
      <c r="DF305" s="359"/>
      <c r="DG305" s="359"/>
      <c r="DH305" s="4"/>
      <c r="DI305" s="359"/>
      <c r="DJ305" s="359"/>
      <c r="DK305" s="372"/>
      <c r="DL305" s="359"/>
      <c r="DM305" s="4"/>
      <c r="DN305" s="359"/>
      <c r="DO305" s="359"/>
      <c r="DP305" s="359"/>
      <c r="DQ305" s="359"/>
      <c r="DR305" s="4"/>
      <c r="DS305" s="359"/>
      <c r="DT305" s="359"/>
      <c r="DU305" s="359"/>
      <c r="DV305" s="359"/>
      <c r="DW305" s="4"/>
      <c r="DX305" s="359"/>
      <c r="DY305" s="359"/>
      <c r="DZ305" s="359"/>
      <c r="EA305" s="359"/>
      <c r="EB305" s="4"/>
      <c r="EC305" s="359"/>
      <c r="ED305" s="359"/>
      <c r="EE305" s="359"/>
      <c r="EF305" s="359"/>
      <c r="EG305" s="4"/>
      <c r="EH305" s="359"/>
      <c r="EI305" s="359"/>
      <c r="EJ305" s="359"/>
      <c r="EK305" s="359"/>
      <c r="EL305" s="4"/>
    </row>
    <row r="306" spans="1:142">
      <c r="A306" s="352"/>
      <c r="B306" s="352"/>
      <c r="C306" s="31"/>
      <c r="D306" s="31"/>
      <c r="E306" s="31"/>
      <c r="F306" s="31"/>
      <c r="G306" s="31"/>
      <c r="H306" s="31"/>
      <c r="I306" s="31"/>
      <c r="J306" s="31"/>
      <c r="K306" s="31"/>
      <c r="L306" s="31"/>
      <c r="M306" s="31"/>
      <c r="N306" s="31"/>
      <c r="O306" s="31"/>
      <c r="P306" s="31"/>
      <c r="Q306" s="31"/>
      <c r="R306" s="31"/>
      <c r="S306" s="31"/>
      <c r="T306" s="31"/>
      <c r="U306" s="31"/>
      <c r="V306" s="31"/>
      <c r="W306" s="31"/>
      <c r="X306" s="31"/>
      <c r="Y306" s="31"/>
      <c r="Z306" s="31"/>
      <c r="AA306" s="31"/>
      <c r="AB306" s="31"/>
      <c r="AC306" s="31"/>
      <c r="AD306" s="31"/>
      <c r="AE306" s="31"/>
      <c r="AF306" s="31"/>
      <c r="AG306" s="31"/>
      <c r="AH306" s="31"/>
      <c r="AI306" s="31"/>
      <c r="AJ306" s="31"/>
      <c r="AK306" s="31"/>
      <c r="AL306" s="31"/>
      <c r="AM306" s="31"/>
      <c r="AN306" s="31"/>
      <c r="AO306" s="31"/>
      <c r="AP306" s="31"/>
      <c r="AQ306" s="31"/>
      <c r="AR306" s="31"/>
      <c r="AS306" s="31"/>
      <c r="AT306" s="31"/>
      <c r="AU306" s="4"/>
      <c r="AV306" s="160"/>
      <c r="AW306" s="365"/>
      <c r="AX306" s="365"/>
      <c r="AY306" s="365"/>
      <c r="AZ306" s="365"/>
      <c r="BA306" s="365"/>
      <c r="BB306" s="365"/>
      <c r="BC306" s="365"/>
      <c r="BD306" s="365"/>
      <c r="BE306" s="365"/>
      <c r="BF306" s="365"/>
      <c r="BG306" s="365"/>
      <c r="BH306" s="365"/>
      <c r="BI306" s="365"/>
      <c r="BJ306" s="365"/>
      <c r="BK306" s="365"/>
      <c r="BL306" s="366"/>
      <c r="BM306" s="366"/>
      <c r="BN306" s="366"/>
      <c r="BO306" s="160"/>
      <c r="BP306" s="367"/>
      <c r="BQ306" s="366"/>
      <c r="BR306" s="366"/>
      <c r="BS306" s="366"/>
      <c r="BT306" s="160"/>
      <c r="BU306" s="367"/>
      <c r="BV306" s="366"/>
      <c r="BW306" s="366"/>
      <c r="BX306" s="366"/>
      <c r="BY306" s="160"/>
      <c r="BZ306" s="367"/>
      <c r="CA306" s="366"/>
      <c r="CB306" s="366"/>
      <c r="CC306" s="366"/>
      <c r="CD306" s="160"/>
      <c r="CE306" s="366"/>
      <c r="CF306" s="366"/>
      <c r="CG306" s="366"/>
      <c r="CH306" s="366"/>
      <c r="CI306" s="160"/>
      <c r="CJ306" s="366"/>
      <c r="CK306" s="366"/>
      <c r="CL306" s="366"/>
      <c r="CM306" s="366"/>
      <c r="CN306" s="160"/>
      <c r="CO306" s="366"/>
      <c r="CP306" s="366"/>
      <c r="CQ306" s="366"/>
      <c r="CR306" s="366"/>
      <c r="CS306" s="160"/>
      <c r="CT306" s="366"/>
      <c r="CU306" s="366"/>
      <c r="CV306" s="366"/>
      <c r="CW306" s="366"/>
      <c r="CX306" s="160"/>
      <c r="CY306" s="366"/>
      <c r="CZ306" s="366"/>
      <c r="DA306" s="366"/>
      <c r="DB306" s="366"/>
      <c r="DC306" s="160"/>
      <c r="DD306" s="366"/>
      <c r="DE306" s="366"/>
      <c r="DF306" s="366"/>
      <c r="DG306" s="366"/>
      <c r="DH306" s="160"/>
      <c r="DI306" s="366"/>
      <c r="DJ306" s="366"/>
      <c r="DK306" s="368"/>
      <c r="DL306" s="366"/>
      <c r="DM306" s="160"/>
      <c r="DN306" s="366"/>
      <c r="DO306" s="366"/>
      <c r="DP306" s="366"/>
      <c r="DQ306" s="366"/>
      <c r="DR306" s="160"/>
      <c r="DS306" s="366"/>
      <c r="DT306" s="366"/>
      <c r="DU306" s="366"/>
      <c r="DV306" s="366"/>
      <c r="DW306" s="160"/>
      <c r="DX306" s="366"/>
      <c r="DY306" s="366"/>
      <c r="DZ306" s="366"/>
      <c r="EA306" s="366"/>
      <c r="EB306" s="160"/>
      <c r="EC306" s="366"/>
      <c r="ED306" s="366"/>
      <c r="EE306" s="366"/>
      <c r="EF306" s="366"/>
      <c r="EG306" s="160"/>
      <c r="EH306" s="366"/>
      <c r="EI306" s="366"/>
      <c r="EJ306" s="366"/>
      <c r="EK306" s="366"/>
      <c r="EL306" s="160"/>
    </row>
    <row r="307" spans="1:142">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9"/>
      <c r="AJ307" s="9"/>
      <c r="AK307" s="9"/>
      <c r="AL307" s="9"/>
      <c r="AM307" s="9"/>
      <c r="AN307" s="9"/>
      <c r="AO307" s="9"/>
      <c r="AP307" s="9"/>
      <c r="AQ307" s="9"/>
      <c r="AR307" s="9"/>
      <c r="AS307" s="9"/>
      <c r="AT307" s="9"/>
      <c r="AU307" s="9"/>
      <c r="AV307" s="356"/>
      <c r="AW307" s="356"/>
      <c r="AX307" s="356"/>
      <c r="AY307" s="356"/>
      <c r="AZ307" s="356"/>
      <c r="BA307" s="356"/>
      <c r="BB307" s="356"/>
      <c r="BC307" s="356"/>
      <c r="BD307" s="356"/>
      <c r="BE307" s="356"/>
      <c r="BF307" s="356"/>
      <c r="BG307" s="356"/>
      <c r="BH307" s="356"/>
      <c r="BI307" s="356"/>
      <c r="BJ307" s="356"/>
      <c r="BK307" s="356"/>
      <c r="BL307" s="356"/>
      <c r="BM307" s="356"/>
      <c r="BN307" s="356"/>
      <c r="BO307" s="356"/>
      <c r="BP307" s="356"/>
      <c r="BQ307" s="356"/>
      <c r="BR307" s="356"/>
      <c r="BS307" s="356"/>
      <c r="BT307" s="356"/>
      <c r="BU307" s="356"/>
      <c r="BV307" s="356"/>
      <c r="BW307" s="356"/>
      <c r="BX307" s="356"/>
      <c r="BY307" s="356"/>
      <c r="BZ307" s="356"/>
      <c r="CA307" s="356"/>
      <c r="CB307" s="356"/>
      <c r="CC307" s="356"/>
      <c r="CD307" s="356"/>
      <c r="CE307" s="356"/>
      <c r="CF307" s="356"/>
      <c r="CG307" s="356"/>
      <c r="CH307" s="356"/>
      <c r="CI307" s="356"/>
      <c r="CJ307" s="362"/>
      <c r="CK307" s="362"/>
      <c r="CL307" s="362"/>
      <c r="CM307" s="356"/>
      <c r="CN307" s="356"/>
      <c r="CO307" s="362"/>
      <c r="CP307" s="362"/>
      <c r="CQ307" s="362"/>
      <c r="CR307" s="362"/>
      <c r="CS307" s="360"/>
      <c r="CT307" s="361"/>
      <c r="CU307" s="356"/>
      <c r="CV307" s="356"/>
      <c r="CW307" s="356"/>
      <c r="CX307" s="356"/>
      <c r="CY307" s="356"/>
      <c r="CZ307" s="356"/>
      <c r="DA307" s="356"/>
      <c r="DB307" s="356"/>
      <c r="DC307" s="356"/>
      <c r="DD307" s="356"/>
      <c r="DE307" s="356"/>
      <c r="DF307" s="356"/>
      <c r="DG307" s="356"/>
      <c r="DH307" s="356"/>
      <c r="DI307" s="356"/>
      <c r="DJ307" s="356"/>
      <c r="DK307" s="356"/>
      <c r="DL307" s="356"/>
      <c r="DM307" s="356"/>
      <c r="DN307" s="356"/>
      <c r="DO307" s="356"/>
      <c r="DP307" s="356"/>
      <c r="DQ307" s="356"/>
      <c r="DR307" s="356"/>
      <c r="DS307" s="356"/>
      <c r="DT307" s="356"/>
      <c r="DU307" s="356"/>
      <c r="DV307" s="356"/>
      <c r="DW307" s="356"/>
      <c r="DX307" s="356"/>
      <c r="DY307" s="356"/>
      <c r="DZ307" s="356"/>
      <c r="EA307" s="356"/>
      <c r="EB307" s="356"/>
      <c r="EC307" s="356"/>
      <c r="ED307" s="356"/>
      <c r="EE307" s="356"/>
      <c r="EF307" s="356"/>
      <c r="EG307" s="356"/>
      <c r="EH307" s="356"/>
      <c r="EI307" s="356"/>
      <c r="EJ307" s="356"/>
      <c r="EK307" s="356"/>
      <c r="EL307" s="356"/>
    </row>
    <row r="308" spans="1:142">
      <c r="A308" s="44"/>
      <c r="B308" s="44"/>
      <c r="C308" s="9"/>
      <c r="D308" s="9"/>
      <c r="E308" s="9"/>
      <c r="F308" s="9"/>
      <c r="G308" s="9"/>
      <c r="H308" s="9"/>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9"/>
      <c r="AJ308" s="9"/>
      <c r="AK308" s="9"/>
      <c r="AL308" s="9"/>
      <c r="AM308" s="9"/>
      <c r="AN308" s="9"/>
      <c r="AO308" s="9"/>
      <c r="AP308" s="9"/>
      <c r="AQ308" s="9"/>
      <c r="AR308" s="44"/>
      <c r="AS308" s="44"/>
      <c r="AT308" s="9"/>
      <c r="AU308" s="9"/>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374"/>
      <c r="CV308" s="374"/>
      <c r="CW308" s="374"/>
      <c r="CX308" s="5"/>
      <c r="CY308" s="374"/>
      <c r="CZ308" s="374"/>
      <c r="DA308" s="374"/>
      <c r="DB308" s="374"/>
      <c r="DC308" s="5"/>
      <c r="DD308" s="374"/>
      <c r="DE308" s="374"/>
      <c r="DF308" s="374"/>
      <c r="DG308" s="374"/>
      <c r="DH308" s="5"/>
      <c r="DI308" s="374"/>
      <c r="DJ308" s="374"/>
      <c r="DK308" s="374"/>
      <c r="DL308" s="374"/>
      <c r="DM308" s="5"/>
      <c r="DN308" s="374"/>
      <c r="DO308" s="374"/>
      <c r="DP308" s="374"/>
      <c r="DQ308" s="374"/>
      <c r="DR308" s="5"/>
      <c r="DS308" s="374"/>
      <c r="DT308" s="374"/>
      <c r="DU308" s="374"/>
      <c r="DV308" s="374"/>
      <c r="DW308" s="5"/>
      <c r="DX308" s="374"/>
      <c r="DY308" s="374"/>
      <c r="DZ308" s="374"/>
      <c r="EA308" s="374"/>
      <c r="EB308" s="5"/>
      <c r="EC308" s="374"/>
      <c r="ED308" s="374"/>
      <c r="EE308" s="374"/>
      <c r="EF308" s="374"/>
      <c r="EG308" s="5"/>
      <c r="EH308" s="374"/>
      <c r="EI308" s="374"/>
      <c r="EJ308" s="374"/>
      <c r="EK308" s="374"/>
      <c r="EL308" s="5"/>
    </row>
    <row r="309" spans="1:142">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9"/>
      <c r="AJ309" s="9"/>
      <c r="AK309" s="9"/>
      <c r="AL309" s="9"/>
      <c r="AM309" s="9"/>
      <c r="AN309" s="9"/>
      <c r="AO309" s="9"/>
      <c r="AP309" s="9"/>
      <c r="AQ309" s="9"/>
      <c r="AR309" s="9"/>
      <c r="AS309" s="9"/>
      <c r="AT309" s="9"/>
      <c r="AU309" s="9"/>
      <c r="AV309" s="9"/>
      <c r="AW309" s="356"/>
      <c r="AX309" s="356"/>
      <c r="AY309" s="356"/>
      <c r="AZ309" s="356"/>
      <c r="BA309" s="356"/>
      <c r="BB309" s="356"/>
      <c r="BC309" s="356"/>
      <c r="BD309" s="356"/>
      <c r="BE309" s="356"/>
      <c r="BF309" s="356"/>
      <c r="BG309" s="356"/>
      <c r="BH309" s="356"/>
      <c r="BI309" s="356"/>
      <c r="BJ309" s="356"/>
      <c r="BK309" s="356"/>
      <c r="BL309" s="359"/>
      <c r="BM309" s="359"/>
      <c r="BN309" s="359"/>
      <c r="BO309" s="4"/>
      <c r="BP309" s="360"/>
      <c r="BQ309" s="359"/>
      <c r="BR309" s="359"/>
      <c r="BS309" s="359"/>
      <c r="BT309" s="4"/>
      <c r="BU309" s="360"/>
      <c r="BV309" s="359"/>
      <c r="BW309" s="359"/>
      <c r="BX309" s="359"/>
      <c r="BY309" s="4"/>
      <c r="BZ309" s="360"/>
      <c r="CA309" s="359"/>
      <c r="CB309" s="359"/>
      <c r="CC309" s="359"/>
      <c r="CD309" s="4"/>
      <c r="CE309" s="359"/>
      <c r="CF309" s="359"/>
      <c r="CG309" s="359"/>
      <c r="CH309" s="359"/>
      <c r="CI309" s="4"/>
      <c r="CJ309" s="359"/>
      <c r="CK309" s="359"/>
      <c r="CL309" s="359"/>
      <c r="CM309" s="359"/>
      <c r="CN309" s="4"/>
      <c r="CO309" s="359"/>
      <c r="CP309" s="359"/>
      <c r="CQ309" s="359"/>
      <c r="CR309" s="359"/>
      <c r="CS309" s="4"/>
      <c r="CT309" s="359"/>
      <c r="CU309" s="359"/>
      <c r="CV309" s="359"/>
      <c r="CW309" s="359"/>
      <c r="CX309" s="4"/>
      <c r="CY309" s="359"/>
      <c r="CZ309" s="359"/>
      <c r="DA309" s="359"/>
      <c r="DB309" s="359"/>
      <c r="DC309" s="4"/>
      <c r="DD309" s="359"/>
      <c r="DE309" s="359"/>
      <c r="DF309" s="359"/>
      <c r="DG309" s="359"/>
      <c r="DH309" s="4"/>
      <c r="DI309" s="359"/>
      <c r="DJ309" s="359"/>
      <c r="DK309" s="372"/>
      <c r="DL309" s="359"/>
      <c r="DM309" s="4"/>
      <c r="DN309" s="359"/>
      <c r="DO309" s="359"/>
      <c r="DP309" s="359"/>
      <c r="DQ309" s="359"/>
      <c r="DR309" s="4"/>
      <c r="DS309" s="359"/>
      <c r="DT309" s="359"/>
      <c r="DU309" s="359"/>
      <c r="DV309" s="359"/>
      <c r="DW309" s="4"/>
      <c r="DX309" s="359"/>
      <c r="DY309" s="359"/>
      <c r="DZ309" s="359"/>
      <c r="EA309" s="359"/>
      <c r="EB309" s="4"/>
      <c r="EC309" s="359"/>
      <c r="ED309" s="359"/>
      <c r="EE309" s="359"/>
      <c r="EF309" s="359"/>
      <c r="EG309" s="4"/>
      <c r="EH309" s="359"/>
      <c r="EI309" s="359"/>
      <c r="EJ309" s="359"/>
      <c r="EK309" s="359"/>
      <c r="EL309" s="4"/>
    </row>
    <row r="310" spans="1:142">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9"/>
      <c r="AJ310" s="9"/>
      <c r="AK310" s="9"/>
      <c r="AL310" s="9"/>
      <c r="AM310" s="9"/>
      <c r="AN310" s="9"/>
      <c r="AO310" s="9"/>
      <c r="AP310" s="9"/>
      <c r="AQ310" s="9"/>
      <c r="AR310" s="9"/>
      <c r="AS310" s="9"/>
      <c r="AT310" s="9"/>
      <c r="AU310" s="9"/>
      <c r="AV310" s="356"/>
      <c r="AW310" s="356"/>
      <c r="AX310" s="356"/>
      <c r="AY310" s="356"/>
      <c r="AZ310" s="356"/>
      <c r="BA310" s="356"/>
      <c r="BB310" s="356"/>
      <c r="BC310" s="356"/>
      <c r="BD310" s="356"/>
      <c r="BE310" s="356"/>
      <c r="BF310" s="356"/>
      <c r="BG310" s="356"/>
      <c r="BH310" s="356"/>
      <c r="BI310" s="356"/>
      <c r="BJ310" s="356"/>
      <c r="BK310" s="356"/>
      <c r="BL310" s="356"/>
      <c r="BM310" s="356"/>
      <c r="BN310" s="356"/>
      <c r="BO310" s="356"/>
      <c r="BP310" s="356"/>
      <c r="BQ310" s="356"/>
      <c r="BR310" s="356"/>
      <c r="BS310" s="356"/>
      <c r="BT310" s="356"/>
      <c r="BU310" s="356"/>
      <c r="BV310" s="356"/>
      <c r="BW310" s="356"/>
      <c r="BX310" s="356"/>
      <c r="BY310" s="356"/>
      <c r="BZ310" s="356"/>
      <c r="CA310" s="356"/>
      <c r="CB310" s="356"/>
      <c r="CC310" s="356"/>
      <c r="CD310" s="356"/>
      <c r="CE310" s="356"/>
      <c r="CF310" s="356"/>
      <c r="CG310" s="356"/>
      <c r="CH310" s="356"/>
      <c r="CI310" s="356"/>
      <c r="CJ310" s="356"/>
      <c r="CK310" s="356"/>
      <c r="CL310" s="356"/>
      <c r="CM310" s="356"/>
      <c r="CN310" s="356"/>
      <c r="CO310" s="356"/>
      <c r="CP310" s="356"/>
      <c r="CQ310" s="356"/>
      <c r="CR310" s="356"/>
      <c r="CS310" s="356"/>
      <c r="CT310" s="356"/>
      <c r="CU310" s="356"/>
      <c r="CV310" s="356"/>
      <c r="CW310" s="356"/>
      <c r="CX310" s="356"/>
      <c r="CY310" s="356"/>
      <c r="CZ310" s="356"/>
      <c r="DA310" s="356"/>
      <c r="DB310" s="356"/>
      <c r="DC310" s="356"/>
      <c r="DD310" s="356"/>
      <c r="DE310" s="356"/>
      <c r="DF310" s="356"/>
      <c r="DG310" s="356"/>
      <c r="DH310" s="356"/>
      <c r="DI310" s="356"/>
      <c r="DJ310" s="356"/>
      <c r="DK310" s="356"/>
      <c r="DL310" s="356"/>
      <c r="DM310" s="356"/>
      <c r="DN310" s="356"/>
      <c r="DO310" s="356"/>
      <c r="DP310" s="356"/>
      <c r="DQ310" s="356"/>
      <c r="DR310" s="356"/>
      <c r="DS310" s="356"/>
      <c r="DT310" s="356"/>
      <c r="DU310" s="356"/>
      <c r="DV310" s="356"/>
      <c r="DW310" s="356"/>
      <c r="DX310" s="356"/>
      <c r="DY310" s="356"/>
      <c r="DZ310" s="356"/>
      <c r="EA310" s="356"/>
      <c r="EB310" s="356"/>
      <c r="EC310" s="356"/>
      <c r="ED310" s="356"/>
      <c r="EE310" s="356"/>
      <c r="EF310" s="356"/>
      <c r="EG310" s="356"/>
      <c r="EH310" s="356"/>
      <c r="EI310" s="356"/>
      <c r="EJ310" s="356"/>
      <c r="EK310" s="356"/>
      <c r="EL310" s="356"/>
    </row>
    <row r="311" spans="1:142">
      <c r="A311" s="44"/>
      <c r="B311" s="44"/>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9"/>
      <c r="AJ311" s="9"/>
      <c r="AK311" s="9"/>
      <c r="AL311" s="9"/>
      <c r="AM311" s="9"/>
      <c r="AN311" s="9"/>
      <c r="AO311" s="9"/>
      <c r="AP311" s="9"/>
      <c r="AQ311" s="9"/>
      <c r="AR311" s="44"/>
      <c r="AS311" s="44"/>
      <c r="AT311" s="9"/>
      <c r="AU311" s="9"/>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346"/>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row>
    <row r="312" spans="1:142">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356"/>
      <c r="AX312" s="356"/>
      <c r="AY312" s="356"/>
      <c r="AZ312" s="356"/>
      <c r="BA312" s="356"/>
      <c r="BB312" s="356"/>
      <c r="BC312" s="356"/>
      <c r="BD312" s="356"/>
      <c r="BE312" s="356"/>
      <c r="BF312" s="356"/>
      <c r="BG312" s="356"/>
      <c r="BH312" s="356"/>
      <c r="BI312" s="356"/>
      <c r="BJ312" s="356"/>
      <c r="BK312" s="356"/>
      <c r="BL312" s="359"/>
      <c r="BM312" s="359"/>
      <c r="BN312" s="359"/>
      <c r="BO312" s="4"/>
      <c r="BP312" s="360"/>
      <c r="BQ312" s="359"/>
      <c r="BR312" s="359"/>
      <c r="BS312" s="359"/>
      <c r="BT312" s="4"/>
      <c r="BU312" s="360"/>
      <c r="BV312" s="359"/>
      <c r="BW312" s="359"/>
      <c r="BX312" s="359"/>
      <c r="BY312" s="4"/>
      <c r="BZ312" s="360"/>
      <c r="CA312" s="359"/>
      <c r="CB312" s="359"/>
      <c r="CC312" s="359"/>
      <c r="CD312" s="4"/>
      <c r="CE312" s="359"/>
      <c r="CF312" s="359"/>
      <c r="CG312" s="359"/>
      <c r="CH312" s="359"/>
      <c r="CI312" s="4"/>
      <c r="CJ312" s="359"/>
      <c r="CK312" s="359"/>
      <c r="CL312" s="359"/>
      <c r="CM312" s="359"/>
      <c r="CN312" s="4"/>
      <c r="CO312" s="359"/>
      <c r="CP312" s="359"/>
      <c r="CQ312" s="359"/>
      <c r="CR312" s="359"/>
      <c r="CS312" s="4"/>
      <c r="CT312" s="359"/>
      <c r="CU312" s="359"/>
      <c r="CV312" s="359"/>
      <c r="CW312" s="359"/>
      <c r="CX312" s="4"/>
      <c r="CY312" s="359"/>
      <c r="CZ312" s="359"/>
      <c r="DA312" s="359"/>
      <c r="DB312" s="359"/>
      <c r="DC312" s="4"/>
      <c r="DD312" s="359"/>
      <c r="DE312" s="359"/>
      <c r="DF312" s="359"/>
      <c r="DG312" s="359"/>
      <c r="DH312" s="4"/>
      <c r="DI312" s="359"/>
      <c r="DJ312" s="359"/>
      <c r="DK312" s="372"/>
      <c r="DL312" s="359"/>
      <c r="DM312" s="4"/>
      <c r="DN312" s="359"/>
      <c r="DO312" s="359"/>
      <c r="DP312" s="359"/>
      <c r="DQ312" s="359"/>
      <c r="DR312" s="4"/>
      <c r="DS312" s="359"/>
      <c r="DT312" s="359"/>
      <c r="DU312" s="359"/>
      <c r="DV312" s="359"/>
      <c r="DW312" s="4"/>
      <c r="DX312" s="359"/>
      <c r="DY312" s="359"/>
      <c r="DZ312" s="359"/>
      <c r="EA312" s="359"/>
      <c r="EB312" s="4"/>
      <c r="EC312" s="359"/>
      <c r="ED312" s="359"/>
      <c r="EE312" s="359"/>
      <c r="EF312" s="359"/>
      <c r="EG312" s="4"/>
      <c r="EH312" s="359"/>
      <c r="EI312" s="359"/>
      <c r="EJ312" s="359"/>
      <c r="EK312" s="359"/>
      <c r="EL312" s="4"/>
    </row>
    <row r="313" spans="1:142">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9"/>
      <c r="AJ313" s="9"/>
      <c r="AK313" s="9"/>
      <c r="AL313" s="9"/>
      <c r="AM313" s="9"/>
      <c r="AN313" s="9"/>
      <c r="AO313" s="9"/>
      <c r="AP313" s="9"/>
      <c r="AQ313" s="9"/>
      <c r="AR313" s="9"/>
      <c r="AS313" s="9"/>
      <c r="AT313" s="9"/>
      <c r="AU313" s="9"/>
      <c r="AV313" s="356"/>
      <c r="AW313" s="356"/>
      <c r="AX313" s="356"/>
      <c r="AY313" s="356"/>
      <c r="AZ313" s="356"/>
      <c r="BA313" s="356"/>
      <c r="BB313" s="356"/>
      <c r="BC313" s="356"/>
      <c r="BD313" s="356"/>
      <c r="BE313" s="356"/>
      <c r="BF313" s="356"/>
      <c r="BG313" s="356"/>
      <c r="BH313" s="356"/>
      <c r="BI313" s="356"/>
      <c r="BJ313" s="356"/>
      <c r="BK313" s="356"/>
      <c r="BL313" s="356"/>
      <c r="BM313" s="356"/>
      <c r="BN313" s="356"/>
      <c r="BO313" s="356"/>
      <c r="BP313" s="356"/>
      <c r="BQ313" s="356"/>
      <c r="BR313" s="356"/>
      <c r="BS313" s="356"/>
      <c r="BT313" s="356"/>
      <c r="BU313" s="356"/>
      <c r="BV313" s="356"/>
      <c r="BW313" s="356"/>
      <c r="BX313" s="356"/>
      <c r="BY313" s="356"/>
      <c r="BZ313" s="356"/>
      <c r="CA313" s="356"/>
      <c r="CB313" s="356"/>
      <c r="CC313" s="356"/>
      <c r="CD313" s="356"/>
      <c r="CE313" s="356"/>
      <c r="CF313" s="356"/>
      <c r="CG313" s="356"/>
      <c r="CH313" s="356"/>
      <c r="CI313" s="356"/>
      <c r="CJ313" s="356"/>
      <c r="CK313" s="356"/>
      <c r="CL313" s="356"/>
      <c r="CM313" s="356"/>
      <c r="CN313" s="356"/>
      <c r="CO313" s="356"/>
      <c r="CP313" s="356"/>
      <c r="CQ313" s="356"/>
      <c r="CR313" s="356"/>
      <c r="CS313" s="356"/>
      <c r="CT313" s="356"/>
      <c r="CU313" s="356"/>
      <c r="CV313" s="356"/>
      <c r="CW313" s="356"/>
      <c r="CX313" s="356"/>
      <c r="CY313" s="356"/>
      <c r="CZ313" s="356"/>
      <c r="DA313" s="356"/>
      <c r="DB313" s="356"/>
      <c r="DC313" s="356"/>
      <c r="DD313" s="356"/>
      <c r="DE313" s="356"/>
      <c r="DF313" s="356"/>
      <c r="DG313" s="356"/>
      <c r="DH313" s="356"/>
      <c r="DI313" s="356"/>
      <c r="DJ313" s="356"/>
      <c r="DK313" s="356"/>
      <c r="DL313" s="356"/>
      <c r="DM313" s="356"/>
      <c r="DN313" s="356"/>
      <c r="DO313" s="356"/>
      <c r="DP313" s="356"/>
      <c r="DQ313" s="356"/>
      <c r="DR313" s="356"/>
      <c r="DS313" s="356"/>
      <c r="DT313" s="356"/>
      <c r="DU313" s="356"/>
      <c r="DV313" s="356"/>
      <c r="DW313" s="356"/>
      <c r="DX313" s="356"/>
      <c r="DY313" s="356"/>
      <c r="DZ313" s="356"/>
      <c r="EA313" s="356"/>
      <c r="EB313" s="356"/>
      <c r="EC313" s="356"/>
      <c r="ED313" s="356"/>
      <c r="EE313" s="356"/>
      <c r="EF313" s="356"/>
      <c r="EG313" s="356"/>
      <c r="EH313" s="356"/>
      <c r="EI313" s="356"/>
      <c r="EJ313" s="356"/>
      <c r="EK313" s="356"/>
      <c r="EL313" s="356"/>
    </row>
    <row r="314" spans="1:142">
      <c r="A314" s="44"/>
      <c r="B314" s="44"/>
      <c r="C314" s="9"/>
      <c r="D314" s="9"/>
      <c r="E314" s="9"/>
      <c r="F314" s="9"/>
      <c r="G314" s="9"/>
      <c r="H314" s="9"/>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9"/>
      <c r="AJ314" s="9"/>
      <c r="AK314" s="9"/>
      <c r="AL314" s="9"/>
      <c r="AM314" s="9"/>
      <c r="AN314" s="9"/>
      <c r="AO314" s="9"/>
      <c r="AP314" s="9"/>
      <c r="AQ314" s="9"/>
      <c r="AR314" s="44"/>
      <c r="AS314" s="44"/>
      <c r="AT314" s="9"/>
      <c r="AU314" s="9"/>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374"/>
      <c r="CV314" s="374"/>
      <c r="CW314" s="374"/>
      <c r="CX314" s="5"/>
      <c r="CY314" s="374"/>
      <c r="CZ314" s="374"/>
      <c r="DA314" s="374"/>
      <c r="DB314" s="374"/>
      <c r="DC314" s="5"/>
      <c r="DD314" s="374"/>
      <c r="DE314" s="374"/>
      <c r="DF314" s="374"/>
      <c r="DG314" s="374"/>
      <c r="DH314" s="5"/>
      <c r="DI314" s="374"/>
      <c r="DJ314" s="374"/>
      <c r="DK314" s="374"/>
      <c r="DL314" s="374"/>
      <c r="DM314" s="5"/>
      <c r="DN314" s="374"/>
      <c r="DO314" s="374"/>
      <c r="DP314" s="374"/>
      <c r="DQ314" s="374"/>
      <c r="DR314" s="5"/>
      <c r="DS314" s="374"/>
      <c r="DT314" s="374"/>
      <c r="DU314" s="374"/>
      <c r="DV314" s="374"/>
      <c r="DW314" s="5"/>
      <c r="DX314" s="374"/>
      <c r="DY314" s="374"/>
      <c r="DZ314" s="374"/>
      <c r="EA314" s="374"/>
      <c r="EB314" s="5"/>
      <c r="EC314" s="374"/>
      <c r="ED314" s="374"/>
      <c r="EE314" s="374"/>
      <c r="EF314" s="374"/>
      <c r="EG314" s="5"/>
      <c r="EH314" s="374"/>
      <c r="EI314" s="374"/>
      <c r="EJ314" s="374"/>
      <c r="EK314" s="374"/>
      <c r="EL314" s="5"/>
    </row>
    <row r="315" spans="1:142">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9"/>
      <c r="AJ315" s="9"/>
      <c r="AK315" s="9"/>
      <c r="AL315" s="9"/>
      <c r="AM315" s="9"/>
      <c r="AN315" s="9"/>
      <c r="AO315" s="9"/>
      <c r="AP315" s="9"/>
      <c r="AQ315" s="9"/>
      <c r="AR315" s="9"/>
      <c r="AS315" s="9"/>
      <c r="AT315" s="9"/>
      <c r="AU315" s="9"/>
      <c r="AV315" s="9"/>
      <c r="AW315" s="356"/>
      <c r="AX315" s="356"/>
      <c r="AY315" s="356"/>
      <c r="AZ315" s="356"/>
      <c r="BA315" s="356"/>
      <c r="BB315" s="356"/>
      <c r="BC315" s="356"/>
      <c r="BD315" s="356"/>
      <c r="BE315" s="356"/>
      <c r="BF315" s="356"/>
      <c r="BG315" s="356"/>
      <c r="BH315" s="356"/>
      <c r="BI315" s="356"/>
      <c r="BJ315" s="356"/>
      <c r="BK315" s="356"/>
      <c r="BL315" s="359"/>
      <c r="BM315" s="359"/>
      <c r="BN315" s="359"/>
      <c r="BO315" s="4"/>
      <c r="BP315" s="360"/>
      <c r="BQ315" s="359"/>
      <c r="BR315" s="359"/>
      <c r="BS315" s="359"/>
      <c r="BT315" s="4"/>
      <c r="BU315" s="360"/>
      <c r="BV315" s="359"/>
      <c r="BW315" s="359"/>
      <c r="BX315" s="359"/>
      <c r="BY315" s="4"/>
      <c r="BZ315" s="360"/>
      <c r="CA315" s="359"/>
      <c r="CB315" s="359"/>
      <c r="CC315" s="359"/>
      <c r="CD315" s="4"/>
      <c r="CE315" s="359"/>
      <c r="CF315" s="359"/>
      <c r="CG315" s="359"/>
      <c r="CH315" s="359"/>
      <c r="CI315" s="4"/>
      <c r="CJ315" s="359"/>
      <c r="CK315" s="359"/>
      <c r="CL315" s="359"/>
      <c r="CM315" s="359"/>
      <c r="CN315" s="4"/>
      <c r="CO315" s="359"/>
      <c r="CP315" s="359"/>
      <c r="CQ315" s="359"/>
      <c r="CR315" s="359"/>
      <c r="CS315" s="4"/>
      <c r="CT315" s="359"/>
      <c r="CU315" s="359"/>
      <c r="CV315" s="359"/>
      <c r="CW315" s="359"/>
      <c r="CX315" s="4"/>
      <c r="CY315" s="359"/>
      <c r="CZ315" s="359"/>
      <c r="DA315" s="359"/>
      <c r="DB315" s="359"/>
      <c r="DC315" s="4"/>
      <c r="DD315" s="359"/>
      <c r="DE315" s="359"/>
      <c r="DF315" s="359"/>
      <c r="DG315" s="359"/>
      <c r="DH315" s="4"/>
      <c r="DI315" s="359"/>
      <c r="DJ315" s="359"/>
      <c r="DK315" s="372"/>
      <c r="DL315" s="359"/>
      <c r="DM315" s="4"/>
      <c r="DN315" s="359"/>
      <c r="DO315" s="359"/>
      <c r="DP315" s="359"/>
      <c r="DQ315" s="359"/>
      <c r="DR315" s="4"/>
      <c r="DS315" s="359"/>
      <c r="DT315" s="359"/>
      <c r="DU315" s="359"/>
      <c r="DV315" s="359"/>
      <c r="DW315" s="4"/>
      <c r="DX315" s="359"/>
      <c r="DY315" s="359"/>
      <c r="DZ315" s="359"/>
      <c r="EA315" s="359"/>
      <c r="EB315" s="4"/>
      <c r="EC315" s="359"/>
      <c r="ED315" s="359"/>
      <c r="EE315" s="359"/>
      <c r="EF315" s="359"/>
      <c r="EG315" s="4"/>
      <c r="EH315" s="359"/>
      <c r="EI315" s="359"/>
      <c r="EJ315" s="359"/>
      <c r="EK315" s="359"/>
      <c r="EL315" s="4"/>
    </row>
    <row r="316" spans="1:142">
      <c r="A316" s="352"/>
      <c r="B316" s="352"/>
      <c r="C316" s="9"/>
      <c r="D316" s="9"/>
      <c r="E316" s="9"/>
      <c r="F316" s="9"/>
      <c r="G316" s="9"/>
      <c r="H316" s="9"/>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9"/>
      <c r="AJ316" s="9"/>
      <c r="AK316" s="9"/>
      <c r="AL316" s="9"/>
      <c r="AM316" s="9"/>
      <c r="AN316" s="9"/>
      <c r="AO316" s="9"/>
      <c r="AP316" s="9"/>
      <c r="AQ316" s="9"/>
      <c r="AR316" s="9"/>
      <c r="AS316" s="9"/>
      <c r="AT316" s="9"/>
      <c r="AU316" s="9"/>
      <c r="AV316" s="9"/>
      <c r="AW316" s="356"/>
      <c r="AX316" s="356"/>
      <c r="AY316" s="356"/>
      <c r="AZ316" s="356"/>
      <c r="BA316" s="356"/>
      <c r="BB316" s="356"/>
      <c r="BC316" s="356"/>
      <c r="BD316" s="356"/>
      <c r="BE316" s="356"/>
      <c r="BF316" s="356"/>
      <c r="BG316" s="356"/>
      <c r="BH316" s="356"/>
      <c r="BI316" s="356"/>
      <c r="BJ316" s="356"/>
      <c r="BK316" s="356"/>
      <c r="BL316" s="359"/>
      <c r="BM316" s="359"/>
      <c r="BN316" s="359"/>
      <c r="BO316" s="4"/>
      <c r="BP316" s="360"/>
      <c r="BQ316" s="359"/>
      <c r="BR316" s="359"/>
      <c r="BS316" s="359"/>
      <c r="BT316" s="4"/>
      <c r="BU316" s="360"/>
      <c r="BV316" s="359"/>
      <c r="BW316" s="359"/>
      <c r="BX316" s="359"/>
      <c r="BY316" s="4"/>
      <c r="BZ316" s="360"/>
      <c r="CA316" s="359"/>
      <c r="CB316" s="359"/>
      <c r="CC316" s="359"/>
      <c r="CD316" s="4"/>
      <c r="CE316" s="359"/>
      <c r="CF316" s="359"/>
      <c r="CG316" s="359"/>
      <c r="CH316" s="359"/>
      <c r="CI316" s="4"/>
      <c r="CJ316" s="359"/>
      <c r="CK316" s="359"/>
      <c r="CL316" s="359"/>
      <c r="CM316" s="359"/>
      <c r="CN316" s="4"/>
      <c r="CO316" s="359"/>
      <c r="CP316" s="359"/>
      <c r="CQ316" s="359"/>
      <c r="CR316" s="359"/>
      <c r="CS316" s="4"/>
      <c r="CT316" s="359"/>
      <c r="CU316" s="359"/>
      <c r="CV316" s="359"/>
      <c r="CW316" s="359"/>
      <c r="CX316" s="4"/>
      <c r="CY316" s="359"/>
      <c r="CZ316" s="359"/>
      <c r="DA316" s="359"/>
      <c r="DB316" s="359"/>
      <c r="DC316" s="4"/>
      <c r="DD316" s="359"/>
      <c r="DE316" s="359"/>
      <c r="DF316" s="359"/>
      <c r="DG316" s="359"/>
      <c r="DH316" s="4"/>
      <c r="DI316" s="359"/>
      <c r="DJ316" s="359"/>
      <c r="DK316" s="372"/>
      <c r="DL316" s="359"/>
      <c r="DM316" s="4"/>
      <c r="DN316" s="359"/>
      <c r="DO316" s="359"/>
      <c r="DP316" s="359"/>
      <c r="DQ316" s="359"/>
      <c r="DR316" s="4"/>
      <c r="DS316" s="359"/>
      <c r="DT316" s="359"/>
      <c r="DU316" s="359"/>
      <c r="DV316" s="359"/>
      <c r="DW316" s="4"/>
      <c r="DX316" s="359"/>
      <c r="DY316" s="359"/>
      <c r="DZ316" s="359"/>
      <c r="EA316" s="359"/>
      <c r="EB316" s="4"/>
      <c r="EC316" s="359"/>
      <c r="ED316" s="359"/>
      <c r="EE316" s="359"/>
      <c r="EF316" s="359"/>
      <c r="EG316" s="4"/>
      <c r="EH316" s="359"/>
      <c r="EI316" s="359"/>
      <c r="EJ316" s="359"/>
      <c r="EK316" s="359"/>
      <c r="EL316" s="4"/>
    </row>
    <row r="317" spans="1:142">
      <c r="A317" s="31"/>
      <c r="B317" s="31"/>
      <c r="C317" s="31"/>
      <c r="D317" s="31"/>
      <c r="E317" s="31"/>
      <c r="F317" s="31"/>
      <c r="G317" s="31"/>
      <c r="H317" s="31"/>
      <c r="I317" s="31"/>
      <c r="J317" s="31"/>
      <c r="K317" s="31"/>
      <c r="L317" s="31"/>
      <c r="M317" s="31"/>
      <c r="N317" s="31"/>
      <c r="O317" s="31"/>
      <c r="P317" s="31"/>
      <c r="Q317" s="31"/>
      <c r="R317" s="31"/>
      <c r="S317" s="31"/>
      <c r="T317" s="31"/>
      <c r="U317" s="31"/>
      <c r="V317" s="31"/>
      <c r="W317" s="31"/>
      <c r="X317" s="31"/>
      <c r="Y317" s="31"/>
      <c r="Z317" s="31"/>
      <c r="AA317" s="31"/>
      <c r="AB317" s="31"/>
      <c r="AC317" s="31"/>
      <c r="AD317" s="31"/>
      <c r="AE317" s="31"/>
      <c r="AF317" s="31"/>
      <c r="AG317" s="31"/>
      <c r="AH317" s="31"/>
      <c r="AI317" s="31"/>
      <c r="AJ317" s="31"/>
      <c r="AK317" s="31"/>
      <c r="AL317" s="31"/>
      <c r="AM317" s="365"/>
      <c r="AN317" s="365"/>
      <c r="AO317" s="365"/>
      <c r="AP317" s="31"/>
      <c r="AQ317" s="31"/>
      <c r="AR317" s="365"/>
      <c r="AS317" s="365"/>
      <c r="AT317" s="365"/>
      <c r="AU317" s="4"/>
      <c r="AV317" s="365"/>
      <c r="AW317" s="365"/>
      <c r="AX317" s="365"/>
      <c r="AY317" s="365"/>
      <c r="AZ317" s="160"/>
      <c r="BA317" s="365"/>
      <c r="BB317" s="365"/>
      <c r="BC317" s="365"/>
      <c r="BD317" s="365"/>
      <c r="BE317" s="160"/>
      <c r="BF317" s="365"/>
      <c r="BG317" s="365"/>
      <c r="BH317" s="365"/>
      <c r="BI317" s="365"/>
      <c r="BJ317" s="160"/>
      <c r="BK317" s="365"/>
      <c r="BL317" s="365"/>
      <c r="BM317" s="365"/>
      <c r="BN317" s="365"/>
      <c r="BO317" s="160"/>
      <c r="BP317" s="365"/>
      <c r="BQ317" s="365"/>
      <c r="BR317" s="365"/>
      <c r="BS317" s="365"/>
      <c r="BT317" s="160"/>
      <c r="BU317" s="365"/>
      <c r="BV317" s="365"/>
      <c r="BW317" s="365"/>
      <c r="BX317" s="365"/>
      <c r="BY317" s="160"/>
      <c r="BZ317" s="365"/>
      <c r="CA317" s="365"/>
      <c r="CB317" s="365"/>
      <c r="CC317" s="365"/>
      <c r="CD317" s="160"/>
      <c r="CE317" s="365"/>
      <c r="CF317" s="365"/>
      <c r="CG317" s="365"/>
      <c r="CH317" s="365"/>
      <c r="CI317" s="160"/>
      <c r="CJ317" s="365"/>
      <c r="CK317" s="365"/>
      <c r="CL317" s="365"/>
      <c r="CM317" s="365"/>
      <c r="CN317" s="160"/>
      <c r="CO317" s="365"/>
      <c r="CP317" s="365"/>
      <c r="CQ317" s="365"/>
      <c r="CR317" s="365"/>
      <c r="CS317" s="160"/>
      <c r="CT317" s="365"/>
      <c r="CU317" s="365"/>
      <c r="CV317" s="365"/>
      <c r="CW317" s="365"/>
      <c r="CX317" s="160"/>
      <c r="CY317" s="365"/>
      <c r="CZ317" s="365"/>
      <c r="DA317" s="365"/>
      <c r="DB317" s="365"/>
      <c r="DC317" s="160"/>
      <c r="DD317" s="365"/>
      <c r="DE317" s="365"/>
      <c r="DF317" s="365"/>
      <c r="DG317" s="365"/>
      <c r="DH317" s="160"/>
      <c r="DI317" s="365"/>
      <c r="DJ317" s="365"/>
      <c r="DK317" s="365"/>
      <c r="DL317" s="365"/>
      <c r="DM317" s="160"/>
      <c r="DN317" s="365"/>
      <c r="DO317" s="365"/>
      <c r="DP317" s="365"/>
      <c r="DQ317" s="365"/>
      <c r="DR317" s="160"/>
      <c r="DS317" s="365"/>
      <c r="DT317" s="365"/>
      <c r="DU317" s="365"/>
      <c r="DV317" s="365"/>
      <c r="DW317" s="160"/>
      <c r="DX317" s="365"/>
      <c r="DY317" s="365"/>
      <c r="DZ317" s="365"/>
      <c r="EA317" s="365"/>
      <c r="EB317" s="160"/>
      <c r="EC317" s="365"/>
      <c r="ED317" s="365"/>
      <c r="EE317" s="365"/>
      <c r="EF317" s="365"/>
      <c r="EG317" s="160"/>
      <c r="EH317" s="365"/>
      <c r="EI317" s="365"/>
      <c r="EJ317" s="365"/>
      <c r="EK317" s="365"/>
      <c r="EL317" s="160"/>
    </row>
    <row r="318" spans="1:142">
      <c r="A318" s="44"/>
      <c r="B318" s="44"/>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c r="AM318" s="9"/>
      <c r="AN318" s="9"/>
      <c r="AO318" s="9"/>
      <c r="AP318" s="9"/>
      <c r="AQ318" s="9"/>
      <c r="AR318" s="9"/>
      <c r="AS318" s="9"/>
      <c r="AT318" s="9"/>
      <c r="AU318" s="9"/>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346"/>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row>
    <row r="319" spans="1:142">
      <c r="A319" s="44"/>
      <c r="B319" s="44"/>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9"/>
      <c r="AJ319" s="9"/>
      <c r="AK319" s="9"/>
      <c r="AL319" s="9"/>
      <c r="AM319" s="9"/>
      <c r="AN319" s="9"/>
      <c r="AO319" s="9"/>
      <c r="AP319" s="9"/>
      <c r="AQ319" s="9"/>
      <c r="AR319" s="9"/>
      <c r="AS319" s="9"/>
      <c r="AT319" s="9"/>
      <c r="AU319" s="9"/>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346"/>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row>
    <row r="320" spans="1:142">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9"/>
      <c r="AS320" s="9"/>
      <c r="AT320" s="9"/>
      <c r="AU320" s="9"/>
      <c r="AV320" s="9"/>
      <c r="AW320" s="9"/>
      <c r="AX320" s="9"/>
      <c r="AY320" s="9"/>
      <c r="AZ320" s="9"/>
      <c r="BA320" s="9"/>
      <c r="BB320" s="9"/>
      <c r="BC320" s="9"/>
      <c r="BD320" s="9"/>
      <c r="BE320" s="9"/>
      <c r="BF320" s="9"/>
      <c r="BG320" s="9"/>
      <c r="BH320" s="9"/>
      <c r="BI320" s="9"/>
      <c r="BJ320" s="9"/>
      <c r="BK320" s="9"/>
      <c r="BL320" s="9"/>
      <c r="BM320" s="9"/>
      <c r="BN320" s="9"/>
      <c r="BO320" s="9"/>
      <c r="BP320" s="9"/>
      <c r="BQ320" s="9"/>
      <c r="BR320" s="9"/>
      <c r="BS320" s="9"/>
      <c r="BT320" s="9"/>
      <c r="BU320" s="9"/>
      <c r="BV320" s="9"/>
      <c r="BW320" s="9"/>
      <c r="BX320" s="9"/>
      <c r="BY320" s="9"/>
      <c r="BZ320" s="9"/>
      <c r="CA320" s="9"/>
      <c r="CB320" s="9"/>
      <c r="CC320" s="9"/>
      <c r="CD320" s="9"/>
      <c r="CE320" s="9"/>
      <c r="CF320" s="9"/>
      <c r="CG320" s="9"/>
      <c r="CH320" s="9"/>
      <c r="CI320" s="9"/>
      <c r="CJ320" s="9"/>
      <c r="CK320" s="9"/>
      <c r="CL320" s="9"/>
      <c r="CM320" s="9"/>
      <c r="CN320" s="9"/>
      <c r="CO320" s="9"/>
      <c r="CP320" s="9"/>
      <c r="CQ320" s="9"/>
      <c r="CR320" s="9"/>
      <c r="CS320" s="9"/>
      <c r="CT320" s="9"/>
      <c r="CU320" s="9"/>
      <c r="CV320" s="9"/>
      <c r="CW320" s="9"/>
      <c r="CX320" s="9"/>
      <c r="CY320" s="9"/>
      <c r="CZ320" s="9"/>
      <c r="DA320" s="9"/>
      <c r="DB320" s="9"/>
      <c r="DC320" s="9"/>
      <c r="DD320" s="9"/>
      <c r="DE320" s="9"/>
      <c r="DF320" s="9"/>
      <c r="DG320" s="9"/>
      <c r="DH320" s="9"/>
      <c r="DI320" s="9"/>
      <c r="DJ320" s="9"/>
      <c r="DK320" s="164"/>
      <c r="DL320" s="9"/>
      <c r="DM320" s="9"/>
      <c r="DN320" s="9"/>
      <c r="DO320" s="9"/>
      <c r="DP320" s="9"/>
      <c r="DQ320" s="9"/>
      <c r="DR320" s="9"/>
      <c r="DS320" s="9"/>
      <c r="DT320" s="9"/>
      <c r="DU320" s="9"/>
      <c r="DV320" s="9"/>
      <c r="DW320" s="9"/>
      <c r="DX320" s="9"/>
      <c r="DY320" s="9"/>
      <c r="DZ320" s="9"/>
      <c r="EA320" s="9"/>
      <c r="EB320" s="9"/>
      <c r="EC320" s="9"/>
      <c r="ED320" s="9"/>
      <c r="EE320" s="9"/>
      <c r="EF320" s="9"/>
      <c r="EG320" s="9"/>
      <c r="EH320" s="9"/>
      <c r="EI320" s="9"/>
      <c r="EJ320" s="9"/>
      <c r="EK320" s="9"/>
      <c r="EL320" s="9"/>
    </row>
    <row r="321" spans="1:142">
      <c r="A321" s="31"/>
      <c r="B321" s="31"/>
      <c r="C321" s="31"/>
      <c r="D321" s="31"/>
      <c r="E321" s="31"/>
      <c r="F321" s="31"/>
      <c r="G321" s="31"/>
      <c r="H321" s="31"/>
      <c r="I321" s="31"/>
      <c r="J321" s="31"/>
      <c r="K321" s="31"/>
      <c r="L321" s="31"/>
      <c r="M321" s="31"/>
      <c r="N321" s="31"/>
      <c r="O321" s="31"/>
      <c r="P321" s="31"/>
      <c r="Q321" s="31"/>
      <c r="R321" s="31"/>
      <c r="S321" s="31"/>
      <c r="T321" s="31"/>
      <c r="U321" s="31"/>
      <c r="V321" s="31"/>
      <c r="W321" s="31"/>
      <c r="X321" s="31"/>
      <c r="Y321" s="31"/>
      <c r="Z321" s="31"/>
      <c r="AA321" s="31"/>
      <c r="AB321" s="31"/>
      <c r="AC321" s="31"/>
      <c r="AD321" s="31"/>
      <c r="AE321" s="31"/>
      <c r="AF321" s="31"/>
      <c r="AG321" s="31"/>
      <c r="AH321" s="31"/>
      <c r="AI321" s="31"/>
      <c r="AJ321" s="31"/>
      <c r="AK321" s="31"/>
      <c r="AL321" s="31"/>
      <c r="AM321" s="365"/>
      <c r="AN321" s="365"/>
      <c r="AO321" s="365"/>
      <c r="AP321" s="31"/>
      <c r="AQ321" s="31"/>
      <c r="AR321" s="365"/>
      <c r="AS321" s="365"/>
      <c r="AT321" s="365"/>
      <c r="AU321" s="4"/>
      <c r="AV321" s="365"/>
      <c r="AW321" s="365"/>
      <c r="AX321" s="365"/>
      <c r="AY321" s="365"/>
      <c r="AZ321" s="160"/>
      <c r="BA321" s="365"/>
      <c r="BB321" s="365"/>
      <c r="BC321" s="365"/>
      <c r="BD321" s="365"/>
      <c r="BE321" s="160"/>
      <c r="BF321" s="365"/>
      <c r="BG321" s="365"/>
      <c r="BH321" s="365"/>
      <c r="BI321" s="365"/>
      <c r="BJ321" s="160"/>
      <c r="BK321" s="365"/>
      <c r="BL321" s="365"/>
      <c r="BM321" s="365"/>
      <c r="BN321" s="365"/>
      <c r="BO321" s="160"/>
      <c r="BP321" s="365"/>
      <c r="BQ321" s="365"/>
      <c r="BR321" s="365"/>
      <c r="BS321" s="365"/>
      <c r="BT321" s="160"/>
      <c r="BU321" s="365"/>
      <c r="BV321" s="365"/>
      <c r="BW321" s="365"/>
      <c r="BX321" s="365"/>
      <c r="BY321" s="160"/>
      <c r="BZ321" s="365"/>
      <c r="CA321" s="365"/>
      <c r="CB321" s="365"/>
      <c r="CC321" s="365"/>
      <c r="CD321" s="160"/>
      <c r="CE321" s="365"/>
      <c r="CF321" s="365"/>
      <c r="CG321" s="365"/>
      <c r="CH321" s="365"/>
      <c r="CI321" s="160"/>
      <c r="CJ321" s="365"/>
      <c r="CK321" s="365"/>
      <c r="CL321" s="365"/>
      <c r="CM321" s="365"/>
      <c r="CN321" s="160"/>
      <c r="CO321" s="365"/>
      <c r="CP321" s="365"/>
      <c r="CQ321" s="365"/>
      <c r="CR321" s="365"/>
      <c r="CS321" s="160"/>
      <c r="CT321" s="365"/>
      <c r="CU321" s="365"/>
      <c r="CV321" s="365"/>
      <c r="CW321" s="365"/>
      <c r="CX321" s="160"/>
      <c r="CY321" s="365"/>
      <c r="CZ321" s="365"/>
      <c r="DA321" s="365"/>
      <c r="DB321" s="365"/>
      <c r="DC321" s="160"/>
      <c r="DD321" s="365"/>
      <c r="DE321" s="365"/>
      <c r="DF321" s="365"/>
      <c r="DG321" s="365"/>
      <c r="DH321" s="160"/>
      <c r="DI321" s="365"/>
      <c r="DJ321" s="365"/>
      <c r="DK321" s="365"/>
      <c r="DL321" s="365"/>
      <c r="DM321" s="160"/>
      <c r="DN321" s="365"/>
      <c r="DO321" s="365"/>
      <c r="DP321" s="365"/>
      <c r="DQ321" s="365"/>
      <c r="DR321" s="160"/>
      <c r="DS321" s="365"/>
      <c r="DT321" s="365"/>
      <c r="DU321" s="365"/>
      <c r="DV321" s="365"/>
      <c r="DW321" s="160"/>
      <c r="DX321" s="365"/>
      <c r="DY321" s="365"/>
      <c r="DZ321" s="365"/>
      <c r="EA321" s="365"/>
      <c r="EB321" s="160"/>
      <c r="EC321" s="365"/>
      <c r="ED321" s="365"/>
      <c r="EE321" s="365"/>
      <c r="EF321" s="365"/>
      <c r="EG321" s="160"/>
      <c r="EH321" s="365"/>
      <c r="EI321" s="365"/>
      <c r="EJ321" s="365"/>
      <c r="EK321" s="365"/>
      <c r="EL321" s="160"/>
    </row>
    <row r="322" spans="1:142">
      <c r="A322" s="44"/>
      <c r="B322" s="44"/>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9"/>
      <c r="AS322" s="9"/>
      <c r="AT322" s="9"/>
      <c r="AU322" s="9"/>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346"/>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row>
    <row r="323" spans="1:142">
      <c r="A323" s="44"/>
      <c r="B323" s="44"/>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9"/>
      <c r="AJ323" s="9"/>
      <c r="AK323" s="9"/>
      <c r="AL323" s="9"/>
      <c r="AM323" s="9"/>
      <c r="AN323" s="9"/>
      <c r="AO323" s="9"/>
      <c r="AP323" s="9"/>
      <c r="AQ323" s="9"/>
      <c r="AR323" s="9"/>
      <c r="AS323" s="9"/>
      <c r="AT323" s="9"/>
      <c r="AU323" s="9"/>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346"/>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row>
    <row r="324" spans="1:142">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9"/>
      <c r="AJ324" s="9"/>
      <c r="AK324" s="9"/>
      <c r="AL324" s="9"/>
      <c r="AM324" s="9"/>
      <c r="AN324" s="9"/>
      <c r="AO324" s="9"/>
      <c r="AP324" s="9"/>
      <c r="AQ324" s="9"/>
      <c r="AR324" s="9"/>
      <c r="AS324" s="9"/>
      <c r="AT324" s="9"/>
      <c r="AU324" s="9"/>
      <c r="AV324" s="9"/>
      <c r="AW324" s="356"/>
      <c r="AX324" s="356"/>
      <c r="AY324" s="356"/>
      <c r="AZ324" s="356"/>
      <c r="BA324" s="356"/>
      <c r="BB324" s="356"/>
      <c r="BC324" s="356"/>
      <c r="BD324" s="356"/>
      <c r="BE324" s="356"/>
      <c r="BF324" s="356"/>
      <c r="BG324" s="356"/>
      <c r="BH324" s="356"/>
      <c r="BI324" s="356"/>
      <c r="BJ324" s="356"/>
      <c r="BK324" s="356"/>
      <c r="BL324" s="359"/>
      <c r="BM324" s="359"/>
      <c r="BN324" s="359"/>
      <c r="BO324" s="4"/>
      <c r="BP324" s="360"/>
      <c r="BQ324" s="359"/>
      <c r="BR324" s="359"/>
      <c r="BS324" s="359"/>
      <c r="BT324" s="4"/>
      <c r="BU324" s="360"/>
      <c r="BV324" s="359"/>
      <c r="BW324" s="359"/>
      <c r="BX324" s="359"/>
      <c r="BY324" s="4"/>
      <c r="BZ324" s="360"/>
      <c r="CA324" s="359"/>
      <c r="CB324" s="359"/>
      <c r="CC324" s="359"/>
      <c r="CD324" s="4"/>
      <c r="CE324" s="359"/>
      <c r="CF324" s="359"/>
      <c r="CG324" s="359"/>
      <c r="CH324" s="359"/>
      <c r="CI324" s="4"/>
      <c r="CJ324" s="359"/>
      <c r="CK324" s="359"/>
      <c r="CL324" s="359"/>
      <c r="CM324" s="359"/>
      <c r="CN324" s="4"/>
      <c r="CO324" s="359"/>
      <c r="CP324" s="359"/>
      <c r="CQ324" s="359"/>
      <c r="CR324" s="359"/>
      <c r="CS324" s="4"/>
      <c r="CT324" s="359"/>
      <c r="CU324" s="359"/>
      <c r="CV324" s="359"/>
      <c r="CW324" s="359"/>
      <c r="CX324" s="4"/>
      <c r="CY324" s="359"/>
      <c r="CZ324" s="359"/>
      <c r="DA324" s="359"/>
      <c r="DB324" s="359"/>
      <c r="DC324" s="4"/>
      <c r="DD324" s="359"/>
      <c r="DE324" s="359"/>
      <c r="DF324" s="359"/>
      <c r="DG324" s="359"/>
      <c r="DH324" s="4"/>
      <c r="DI324" s="359"/>
      <c r="DJ324" s="359"/>
      <c r="DK324" s="372"/>
      <c r="DL324" s="359"/>
      <c r="DM324" s="4"/>
      <c r="DN324" s="359"/>
      <c r="DO324" s="359"/>
      <c r="DP324" s="359"/>
      <c r="DQ324" s="359"/>
      <c r="DR324" s="4"/>
      <c r="DS324" s="359"/>
      <c r="DT324" s="359"/>
      <c r="DU324" s="359"/>
      <c r="DV324" s="359"/>
      <c r="DW324" s="4"/>
      <c r="DX324" s="359"/>
      <c r="DY324" s="359"/>
      <c r="DZ324" s="359"/>
      <c r="EA324" s="359"/>
      <c r="EB324" s="4"/>
      <c r="EC324" s="359"/>
      <c r="ED324" s="359"/>
      <c r="EE324" s="359"/>
      <c r="EF324" s="359"/>
      <c r="EG324" s="4"/>
      <c r="EH324" s="359"/>
      <c r="EI324" s="359"/>
      <c r="EJ324" s="359"/>
      <c r="EK324" s="359"/>
      <c r="EL324" s="4"/>
    </row>
    <row r="325" spans="1:142">
      <c r="A325" s="31"/>
      <c r="B325" s="31"/>
      <c r="C325" s="31"/>
      <c r="D325" s="31"/>
      <c r="E325" s="31"/>
      <c r="F325" s="31"/>
      <c r="G325" s="31"/>
      <c r="H325" s="31"/>
      <c r="I325" s="31"/>
      <c r="J325" s="31"/>
      <c r="K325" s="31"/>
      <c r="L325" s="31"/>
      <c r="M325" s="31"/>
      <c r="N325" s="31"/>
      <c r="O325" s="31"/>
      <c r="P325" s="31"/>
      <c r="Q325" s="31"/>
      <c r="R325" s="31"/>
      <c r="S325" s="31"/>
      <c r="T325" s="31"/>
      <c r="U325" s="31"/>
      <c r="V325" s="31"/>
      <c r="W325" s="31"/>
      <c r="X325" s="31"/>
      <c r="Y325" s="31"/>
      <c r="Z325" s="31"/>
      <c r="AA325" s="31"/>
      <c r="AB325" s="31"/>
      <c r="AC325" s="31"/>
      <c r="AD325" s="31"/>
      <c r="AE325" s="31"/>
      <c r="AF325" s="31"/>
      <c r="AG325" s="31"/>
      <c r="AH325" s="31"/>
      <c r="AI325" s="31"/>
      <c r="AJ325" s="31"/>
      <c r="AK325" s="31"/>
      <c r="AL325" s="31"/>
      <c r="AM325" s="365"/>
      <c r="AN325" s="365"/>
      <c r="AO325" s="365"/>
      <c r="AP325" s="31"/>
      <c r="AQ325" s="31"/>
      <c r="AR325" s="365"/>
      <c r="AS325" s="365"/>
      <c r="AT325" s="365"/>
      <c r="AU325" s="360"/>
      <c r="AV325" s="365"/>
      <c r="AW325" s="365"/>
      <c r="AX325" s="365"/>
      <c r="AY325" s="365"/>
      <c r="AZ325" s="160"/>
      <c r="BA325" s="365"/>
      <c r="BB325" s="365"/>
      <c r="BC325" s="365"/>
      <c r="BD325" s="365"/>
      <c r="BE325" s="160"/>
      <c r="BF325" s="365"/>
      <c r="BG325" s="365"/>
      <c r="BH325" s="365"/>
      <c r="BI325" s="365"/>
      <c r="BJ325" s="160"/>
      <c r="BK325" s="365"/>
      <c r="BL325" s="365"/>
      <c r="BM325" s="365"/>
      <c r="BN325" s="365"/>
      <c r="BO325" s="160"/>
      <c r="BP325" s="365"/>
      <c r="BQ325" s="365"/>
      <c r="BR325" s="365"/>
      <c r="BS325" s="365"/>
      <c r="BT325" s="160"/>
      <c r="BU325" s="365"/>
      <c r="BV325" s="365"/>
      <c r="BW325" s="365"/>
      <c r="BX325" s="365"/>
      <c r="BY325" s="160"/>
      <c r="BZ325" s="365"/>
      <c r="CA325" s="365"/>
      <c r="CB325" s="365"/>
      <c r="CC325" s="365"/>
      <c r="CD325" s="160"/>
      <c r="CE325" s="365"/>
      <c r="CF325" s="365"/>
      <c r="CG325" s="365"/>
      <c r="CH325" s="365"/>
      <c r="CI325" s="160"/>
      <c r="CJ325" s="365"/>
      <c r="CK325" s="365"/>
      <c r="CL325" s="365"/>
      <c r="CM325" s="365"/>
      <c r="CN325" s="160"/>
      <c r="CO325" s="365"/>
      <c r="CP325" s="365"/>
      <c r="CQ325" s="365"/>
      <c r="CR325" s="365"/>
      <c r="CS325" s="160"/>
      <c r="CT325" s="365"/>
      <c r="CU325" s="365"/>
      <c r="CV325" s="365"/>
      <c r="CW325" s="365"/>
      <c r="CX325" s="160"/>
      <c r="CY325" s="365"/>
      <c r="CZ325" s="365"/>
      <c r="DA325" s="365"/>
      <c r="DB325" s="365"/>
      <c r="DC325" s="160"/>
      <c r="DD325" s="365"/>
      <c r="DE325" s="365"/>
      <c r="DF325" s="365"/>
      <c r="DG325" s="365"/>
      <c r="DH325" s="160"/>
      <c r="DI325" s="365"/>
      <c r="DJ325" s="365"/>
      <c r="DK325" s="365"/>
      <c r="DL325" s="365"/>
      <c r="DM325" s="160"/>
      <c r="DN325" s="365"/>
      <c r="DO325" s="365"/>
      <c r="DP325" s="365"/>
      <c r="DQ325" s="365"/>
      <c r="DR325" s="160"/>
      <c r="DS325" s="365"/>
      <c r="DT325" s="365"/>
      <c r="DU325" s="365"/>
      <c r="DV325" s="365"/>
      <c r="DW325" s="160"/>
      <c r="DX325" s="365"/>
      <c r="DY325" s="365"/>
      <c r="DZ325" s="365"/>
      <c r="EA325" s="365"/>
      <c r="EB325" s="160"/>
      <c r="EC325" s="365"/>
      <c r="ED325" s="365"/>
      <c r="EE325" s="365"/>
      <c r="EF325" s="365"/>
      <c r="EG325" s="160"/>
      <c r="EH325" s="365"/>
      <c r="EI325" s="365"/>
      <c r="EJ325" s="365"/>
      <c r="EK325" s="365"/>
      <c r="EL325" s="160"/>
    </row>
    <row r="326" spans="1:142">
      <c r="A326" s="44"/>
      <c r="B326" s="44"/>
      <c r="C326" s="31"/>
      <c r="D326" s="31"/>
      <c r="E326" s="31"/>
      <c r="F326" s="31"/>
      <c r="G326" s="31"/>
      <c r="H326" s="31"/>
      <c r="I326" s="31"/>
      <c r="J326" s="31"/>
      <c r="K326" s="31"/>
      <c r="L326" s="31"/>
      <c r="M326" s="31"/>
      <c r="N326" s="31"/>
      <c r="O326" s="31"/>
      <c r="P326" s="31"/>
      <c r="Q326" s="31"/>
      <c r="R326" s="31"/>
      <c r="S326" s="31"/>
      <c r="T326" s="31"/>
      <c r="U326" s="31"/>
      <c r="V326" s="31"/>
      <c r="W326" s="31"/>
      <c r="X326" s="31"/>
      <c r="Y326" s="31"/>
      <c r="Z326" s="31"/>
      <c r="AA326" s="31"/>
      <c r="AB326" s="31"/>
      <c r="AC326" s="31"/>
      <c r="AD326" s="31"/>
      <c r="AE326" s="31"/>
      <c r="AF326" s="31"/>
      <c r="AG326" s="31"/>
      <c r="AH326" s="31"/>
      <c r="AI326" s="31"/>
      <c r="AJ326" s="31"/>
      <c r="AK326" s="31"/>
      <c r="AL326" s="31"/>
      <c r="AM326" s="5"/>
      <c r="AN326" s="31"/>
      <c r="AO326" s="31"/>
      <c r="AP326" s="31"/>
      <c r="AQ326" s="31"/>
      <c r="AR326" s="44"/>
      <c r="AS326" s="44"/>
      <c r="AT326" s="44"/>
      <c r="AU326" s="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346"/>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row>
    <row r="327" spans="1:142">
      <c r="A327" s="44"/>
      <c r="B327" s="44"/>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9"/>
      <c r="AJ327" s="9"/>
      <c r="AK327" s="9"/>
      <c r="AL327" s="9"/>
      <c r="AM327" s="9"/>
      <c r="AN327" s="9"/>
      <c r="AO327" s="9"/>
      <c r="AP327" s="9"/>
      <c r="AQ327" s="9"/>
      <c r="AR327" s="9"/>
      <c r="AS327" s="9"/>
      <c r="AT327" s="9"/>
      <c r="AU327" s="9"/>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374"/>
      <c r="CV327" s="374"/>
      <c r="CW327" s="374"/>
      <c r="CX327" s="5"/>
      <c r="CY327" s="374"/>
      <c r="CZ327" s="374"/>
      <c r="DA327" s="374"/>
      <c r="DB327" s="374"/>
      <c r="DC327" s="5"/>
      <c r="DD327" s="374"/>
      <c r="DE327" s="374"/>
      <c r="DF327" s="374"/>
      <c r="DG327" s="374"/>
      <c r="DH327" s="5"/>
      <c r="DI327" s="374"/>
      <c r="DJ327" s="374"/>
      <c r="DK327" s="374"/>
      <c r="DL327" s="374"/>
      <c r="DM327" s="5"/>
      <c r="DN327" s="374"/>
      <c r="DO327" s="374"/>
      <c r="DP327" s="374"/>
      <c r="DQ327" s="374"/>
      <c r="DR327" s="5"/>
      <c r="DS327" s="374"/>
      <c r="DT327" s="374"/>
      <c r="DU327" s="374"/>
      <c r="DV327" s="374"/>
      <c r="DW327" s="5"/>
      <c r="DX327" s="374"/>
      <c r="DY327" s="374"/>
      <c r="DZ327" s="374"/>
      <c r="EA327" s="374"/>
      <c r="EB327" s="5"/>
      <c r="EC327" s="374"/>
      <c r="ED327" s="374"/>
      <c r="EE327" s="374"/>
      <c r="EF327" s="374"/>
      <c r="EG327" s="5"/>
      <c r="EH327" s="374"/>
      <c r="EI327" s="374"/>
      <c r="EJ327" s="374"/>
      <c r="EK327" s="374"/>
      <c r="EL327" s="5"/>
    </row>
    <row r="328" spans="1:142">
      <c r="A328" s="44"/>
      <c r="B328" s="44"/>
      <c r="C328" s="9"/>
      <c r="D328" s="9"/>
      <c r="E328" s="9"/>
      <c r="F328" s="9"/>
      <c r="G328" s="9"/>
      <c r="H328" s="9"/>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9"/>
      <c r="AJ328" s="9"/>
      <c r="AK328" s="9"/>
      <c r="AL328" s="9"/>
      <c r="AM328" s="9"/>
      <c r="AN328" s="9"/>
      <c r="AO328" s="9"/>
      <c r="AP328" s="9"/>
      <c r="AQ328" s="9"/>
      <c r="AR328" s="44"/>
      <c r="AS328" s="44"/>
      <c r="AT328" s="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346"/>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row>
    <row r="329" spans="1:142">
      <c r="A329" s="31"/>
      <c r="B329" s="31"/>
      <c r="C329" s="31"/>
      <c r="D329" s="31"/>
      <c r="E329" s="31"/>
      <c r="F329" s="31"/>
      <c r="G329" s="31"/>
      <c r="H329" s="31"/>
      <c r="I329" s="31"/>
      <c r="J329" s="31"/>
      <c r="K329" s="31"/>
      <c r="L329" s="31"/>
      <c r="M329" s="31"/>
      <c r="N329" s="31"/>
      <c r="O329" s="31"/>
      <c r="P329" s="31"/>
      <c r="Q329" s="31"/>
      <c r="R329" s="31"/>
      <c r="S329" s="31"/>
      <c r="T329" s="31"/>
      <c r="U329" s="31"/>
      <c r="V329" s="31"/>
      <c r="W329" s="31"/>
      <c r="X329" s="31"/>
      <c r="Y329" s="31"/>
      <c r="Z329" s="31"/>
      <c r="AA329" s="31"/>
      <c r="AB329" s="31"/>
      <c r="AC329" s="31"/>
      <c r="AD329" s="31"/>
      <c r="AE329" s="31"/>
      <c r="AF329" s="31"/>
      <c r="AG329" s="31"/>
      <c r="AH329" s="31"/>
      <c r="AI329" s="31"/>
      <c r="AJ329" s="31"/>
      <c r="AK329" s="31"/>
      <c r="AL329" s="31"/>
      <c r="AM329" s="31"/>
      <c r="AN329" s="31"/>
      <c r="AO329" s="31"/>
      <c r="AP329" s="31"/>
      <c r="AQ329" s="31"/>
      <c r="AR329" s="31"/>
      <c r="AS329" s="31"/>
      <c r="AT329" s="31"/>
      <c r="AU329" s="31"/>
      <c r="AV329" s="31"/>
      <c r="AW329" s="31"/>
      <c r="AX329" s="31"/>
      <c r="AY329" s="31"/>
      <c r="AZ329" s="31"/>
      <c r="BA329" s="31"/>
      <c r="BB329" s="31"/>
      <c r="BC329" s="31"/>
      <c r="BD329" s="31"/>
      <c r="BE329" s="31"/>
      <c r="BF329" s="31"/>
      <c r="BG329" s="31"/>
      <c r="BH329" s="31"/>
      <c r="BI329" s="31"/>
      <c r="BJ329" s="31"/>
      <c r="BK329" s="31"/>
      <c r="BL329" s="31"/>
      <c r="BM329" s="31"/>
      <c r="BN329" s="31"/>
      <c r="BO329" s="31"/>
      <c r="BP329" s="31"/>
      <c r="BQ329" s="31"/>
      <c r="BR329" s="31"/>
      <c r="BS329" s="31"/>
      <c r="BT329" s="31"/>
      <c r="BU329" s="31"/>
      <c r="BV329" s="31"/>
      <c r="BW329" s="31"/>
      <c r="BX329" s="31"/>
      <c r="BY329" s="31"/>
      <c r="BZ329" s="31"/>
      <c r="CA329" s="31"/>
      <c r="CB329" s="31"/>
      <c r="CC329" s="31"/>
      <c r="CD329" s="31"/>
      <c r="CE329" s="31"/>
      <c r="CF329" s="31"/>
      <c r="CG329" s="31"/>
      <c r="CH329" s="31"/>
      <c r="CI329" s="31"/>
      <c r="CJ329" s="31"/>
      <c r="CK329" s="31"/>
      <c r="CL329" s="31"/>
      <c r="CM329" s="31"/>
      <c r="CN329" s="31"/>
      <c r="CO329" s="31"/>
      <c r="CP329" s="31"/>
      <c r="CQ329" s="31"/>
      <c r="CR329" s="31"/>
      <c r="CS329" s="31"/>
      <c r="CT329" s="31"/>
      <c r="CU329" s="31"/>
      <c r="CV329" s="31"/>
      <c r="CW329" s="31"/>
      <c r="CX329" s="31"/>
      <c r="CY329" s="31"/>
      <c r="CZ329" s="31"/>
      <c r="DA329" s="31"/>
      <c r="DB329" s="31"/>
      <c r="DC329" s="31"/>
      <c r="DD329" s="31"/>
      <c r="DE329" s="31"/>
      <c r="DF329" s="31"/>
      <c r="DG329" s="31"/>
      <c r="DH329" s="31"/>
      <c r="DI329" s="31"/>
      <c r="DJ329" s="31"/>
      <c r="DK329" s="358"/>
      <c r="DL329" s="31"/>
      <c r="DM329" s="31"/>
      <c r="DN329" s="31"/>
      <c r="DO329" s="31"/>
      <c r="DP329" s="31"/>
      <c r="DQ329" s="31"/>
      <c r="DR329" s="31"/>
      <c r="DS329" s="31"/>
      <c r="DT329" s="31"/>
      <c r="DU329" s="31"/>
      <c r="DV329" s="31"/>
      <c r="DW329" s="31"/>
      <c r="DX329" s="31"/>
      <c r="DY329" s="31"/>
      <c r="DZ329" s="31"/>
      <c r="EA329" s="31"/>
      <c r="EB329" s="31"/>
      <c r="EC329" s="31"/>
      <c r="ED329" s="31"/>
      <c r="EE329" s="31"/>
      <c r="EF329" s="31"/>
      <c r="EG329" s="31"/>
      <c r="EH329" s="31"/>
      <c r="EI329" s="31"/>
      <c r="EJ329" s="31"/>
      <c r="EK329" s="31"/>
      <c r="EL329" s="31"/>
    </row>
    <row r="330" spans="1:142">
      <c r="A330" s="44"/>
      <c r="B330" s="44"/>
      <c r="C330" s="31"/>
      <c r="D330" s="31"/>
      <c r="E330" s="31"/>
      <c r="F330" s="31"/>
      <c r="G330" s="31"/>
      <c r="H330" s="31"/>
      <c r="I330" s="31"/>
      <c r="J330" s="31"/>
      <c r="K330" s="31"/>
      <c r="L330" s="31"/>
      <c r="M330" s="31"/>
      <c r="N330" s="31"/>
      <c r="O330" s="31"/>
      <c r="P330" s="31"/>
      <c r="Q330" s="31"/>
      <c r="R330" s="31"/>
      <c r="S330" s="31"/>
      <c r="T330" s="31"/>
      <c r="U330" s="31"/>
      <c r="V330" s="31"/>
      <c r="W330" s="31"/>
      <c r="X330" s="31"/>
      <c r="Y330" s="31"/>
      <c r="Z330" s="31"/>
      <c r="AA330" s="31"/>
      <c r="AB330" s="31"/>
      <c r="AC330" s="31"/>
      <c r="AD330" s="31"/>
      <c r="AE330" s="31"/>
      <c r="AF330" s="31"/>
      <c r="AG330" s="31"/>
      <c r="AH330" s="31"/>
      <c r="AI330" s="31"/>
      <c r="AJ330" s="31"/>
      <c r="AK330" s="31"/>
      <c r="AL330" s="31"/>
      <c r="AM330" s="31"/>
      <c r="AN330" s="31"/>
      <c r="AO330" s="31"/>
      <c r="AP330" s="31"/>
      <c r="AQ330" s="31"/>
      <c r="AR330" s="375"/>
      <c r="AS330" s="375"/>
      <c r="AT330" s="160"/>
      <c r="AU330" s="4"/>
      <c r="AV330" s="365"/>
      <c r="AW330" s="365"/>
      <c r="AX330" s="365"/>
      <c r="AY330" s="365"/>
      <c r="AZ330" s="365"/>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346"/>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row>
    <row r="331" spans="1:142">
      <c r="A331" s="44"/>
      <c r="B331" s="44"/>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9"/>
      <c r="AJ331" s="9"/>
      <c r="AK331" s="9"/>
      <c r="AL331" s="9"/>
      <c r="AM331" s="9"/>
      <c r="AN331" s="9"/>
      <c r="AO331" s="9"/>
      <c r="AP331" s="9"/>
      <c r="AQ331" s="9"/>
      <c r="AR331" s="44"/>
      <c r="AS331" s="44"/>
      <c r="AT331" s="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346"/>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row>
    <row r="332" spans="1:142">
      <c r="A332" s="31"/>
      <c r="B332" s="31"/>
      <c r="C332" s="9"/>
      <c r="D332" s="9"/>
      <c r="E332" s="9"/>
      <c r="F332" s="9"/>
      <c r="G332" s="9"/>
      <c r="H332" s="9"/>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9"/>
      <c r="AJ332" s="9"/>
      <c r="AK332" s="9"/>
      <c r="AL332" s="9"/>
      <c r="AM332" s="9"/>
      <c r="AN332" s="9"/>
      <c r="AO332" s="9"/>
      <c r="AP332" s="9"/>
      <c r="AQ332" s="9"/>
      <c r="AR332" s="9"/>
      <c r="AS332" s="9"/>
      <c r="AT332" s="9"/>
      <c r="AU332" s="9"/>
      <c r="AV332" s="9"/>
      <c r="AW332" s="9"/>
      <c r="AX332" s="9"/>
      <c r="AY332" s="9"/>
      <c r="AZ332" s="9"/>
      <c r="BA332" s="9"/>
      <c r="BB332" s="9"/>
      <c r="BC332" s="9"/>
      <c r="BD332" s="9"/>
      <c r="BE332" s="9"/>
      <c r="BF332" s="9"/>
      <c r="BG332" s="9"/>
      <c r="BH332" s="9"/>
      <c r="BI332" s="9"/>
      <c r="BJ332" s="9"/>
      <c r="BK332" s="9"/>
      <c r="BL332" s="9"/>
      <c r="BM332" s="9"/>
      <c r="BN332" s="9"/>
      <c r="BO332" s="9"/>
      <c r="BP332" s="9"/>
      <c r="BQ332" s="9"/>
      <c r="BR332" s="9"/>
      <c r="BS332" s="9"/>
      <c r="BT332" s="9"/>
      <c r="BU332" s="9"/>
      <c r="BV332" s="9"/>
      <c r="BW332" s="9"/>
      <c r="BX332" s="9"/>
      <c r="BY332" s="9"/>
      <c r="BZ332" s="9"/>
      <c r="CA332" s="9"/>
      <c r="CB332" s="9"/>
      <c r="CC332" s="9"/>
      <c r="CD332" s="9"/>
      <c r="CE332" s="9"/>
      <c r="CF332" s="9"/>
      <c r="CG332" s="9"/>
      <c r="CH332" s="9"/>
      <c r="CI332" s="9"/>
      <c r="CJ332" s="9"/>
      <c r="CK332" s="9"/>
      <c r="CL332" s="9"/>
      <c r="CM332" s="9"/>
      <c r="CN332" s="9"/>
      <c r="CO332" s="9"/>
      <c r="CP332" s="9"/>
      <c r="CQ332" s="9"/>
      <c r="CR332" s="9"/>
      <c r="CS332" s="9"/>
      <c r="CT332" s="9"/>
      <c r="CU332" s="9"/>
      <c r="CV332" s="9"/>
      <c r="CW332" s="9"/>
      <c r="CX332" s="9"/>
      <c r="CY332" s="9"/>
      <c r="CZ332" s="9"/>
      <c r="DA332" s="9"/>
      <c r="DB332" s="9"/>
      <c r="DC332" s="9"/>
      <c r="DD332" s="9"/>
      <c r="DE332" s="9"/>
      <c r="DF332" s="9"/>
      <c r="DG332" s="9"/>
      <c r="DH332" s="9"/>
      <c r="DI332" s="9"/>
      <c r="DJ332" s="9"/>
      <c r="DK332" s="164"/>
      <c r="DL332" s="9"/>
      <c r="DM332" s="9"/>
      <c r="DN332" s="9"/>
      <c r="DO332" s="9"/>
      <c r="DP332" s="9"/>
      <c r="DQ332" s="9"/>
      <c r="DR332" s="9"/>
      <c r="DS332" s="9"/>
      <c r="DT332" s="9"/>
      <c r="DU332" s="9"/>
      <c r="DV332" s="9"/>
      <c r="DW332" s="9"/>
      <c r="DX332" s="9"/>
      <c r="DY332" s="9"/>
      <c r="DZ332" s="9"/>
      <c r="EA332" s="9"/>
      <c r="EB332" s="9"/>
      <c r="EC332" s="9"/>
      <c r="ED332" s="9"/>
      <c r="EE332" s="9"/>
      <c r="EF332" s="9"/>
      <c r="EG332" s="9"/>
      <c r="EH332" s="9"/>
      <c r="EI332" s="9"/>
      <c r="EJ332" s="9"/>
      <c r="EK332" s="9"/>
      <c r="EL332" s="9"/>
    </row>
    <row r="333" spans="1:142">
      <c r="A333" s="44"/>
      <c r="B333" s="44"/>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9"/>
      <c r="AJ333" s="9"/>
      <c r="AK333" s="9"/>
      <c r="AL333" s="9"/>
      <c r="AM333" s="9"/>
      <c r="AN333" s="9"/>
      <c r="AO333" s="9"/>
      <c r="AP333" s="9"/>
      <c r="AQ333" s="9"/>
      <c r="AR333" s="9"/>
      <c r="AS333" s="9"/>
      <c r="AT333" s="9"/>
      <c r="AU333" s="9"/>
      <c r="AV333" s="9"/>
      <c r="AW333" s="9"/>
      <c r="AX333" s="9"/>
      <c r="AY333" s="9"/>
      <c r="AZ333" s="9"/>
      <c r="BA333" s="9"/>
      <c r="BB333" s="9"/>
      <c r="BC333" s="9"/>
      <c r="BD333" s="9"/>
      <c r="BE333" s="9"/>
      <c r="BF333" s="9"/>
      <c r="BG333" s="9"/>
      <c r="BH333" s="9"/>
      <c r="BI333" s="9"/>
      <c r="BJ333" s="9"/>
      <c r="BK333" s="9"/>
      <c r="BL333" s="9"/>
      <c r="BM333" s="9"/>
      <c r="BN333" s="9"/>
      <c r="BO333" s="9"/>
      <c r="BP333" s="9"/>
      <c r="BQ333" s="9"/>
      <c r="BR333" s="9"/>
      <c r="BS333" s="9"/>
      <c r="BT333" s="9"/>
      <c r="BU333" s="9"/>
      <c r="BV333" s="9"/>
      <c r="BW333" s="9"/>
      <c r="BX333" s="9"/>
      <c r="BY333" s="9"/>
      <c r="BZ333" s="9"/>
      <c r="CA333" s="9"/>
      <c r="CB333" s="9"/>
      <c r="CC333" s="9"/>
      <c r="CD333" s="9"/>
      <c r="CE333" s="9"/>
      <c r="CF333" s="9"/>
      <c r="CG333" s="9"/>
      <c r="CH333" s="9"/>
      <c r="CI333" s="9"/>
      <c r="CJ333" s="9"/>
      <c r="CK333" s="9"/>
      <c r="CL333" s="9"/>
      <c r="CM333" s="9"/>
      <c r="CN333" s="9"/>
      <c r="CO333" s="9"/>
      <c r="CP333" s="9"/>
      <c r="CQ333" s="9"/>
      <c r="CR333" s="9"/>
      <c r="CS333" s="9"/>
      <c r="CT333" s="9"/>
      <c r="CU333" s="9"/>
      <c r="CV333" s="9"/>
      <c r="CW333" s="9"/>
      <c r="CX333" s="9"/>
      <c r="CY333" s="9"/>
      <c r="CZ333" s="9"/>
      <c r="DA333" s="9"/>
      <c r="DB333" s="9"/>
      <c r="DC333" s="9"/>
      <c r="DD333" s="9"/>
      <c r="DE333" s="9"/>
      <c r="DF333" s="9"/>
      <c r="DG333" s="9"/>
      <c r="DH333" s="9"/>
      <c r="DI333" s="9"/>
      <c r="DJ333" s="9"/>
      <c r="DK333" s="164"/>
      <c r="DL333" s="9"/>
      <c r="DM333" s="9"/>
      <c r="DN333" s="9"/>
      <c r="DO333" s="9"/>
      <c r="DP333" s="9"/>
      <c r="DQ333" s="9"/>
      <c r="DR333" s="9"/>
      <c r="DS333" s="9"/>
      <c r="DT333" s="9"/>
      <c r="DU333" s="9"/>
      <c r="DV333" s="9"/>
      <c r="DW333" s="9"/>
      <c r="DX333" s="9"/>
      <c r="DY333" s="9"/>
      <c r="DZ333" s="9"/>
      <c r="EA333" s="9"/>
      <c r="EB333" s="9"/>
      <c r="EC333" s="9"/>
      <c r="ED333" s="9"/>
      <c r="EE333" s="9"/>
      <c r="EF333" s="9"/>
      <c r="EG333" s="9"/>
      <c r="EH333" s="9"/>
      <c r="EI333" s="9"/>
      <c r="EJ333" s="9"/>
      <c r="EK333" s="9"/>
      <c r="EL333" s="9"/>
    </row>
    <row r="334" spans="1:142">
      <c r="A334" s="44"/>
      <c r="B334" s="44"/>
      <c r="C334" s="31"/>
      <c r="D334" s="31"/>
      <c r="E334" s="31"/>
      <c r="F334" s="31"/>
      <c r="G334" s="31"/>
      <c r="H334" s="31"/>
      <c r="I334" s="31"/>
      <c r="J334" s="31"/>
      <c r="K334" s="31"/>
      <c r="L334" s="31"/>
      <c r="M334" s="31"/>
      <c r="N334" s="31"/>
      <c r="O334" s="31"/>
      <c r="P334" s="31"/>
      <c r="Q334" s="31"/>
      <c r="R334" s="31"/>
      <c r="S334" s="31"/>
      <c r="T334" s="31"/>
      <c r="U334" s="31"/>
      <c r="V334" s="31"/>
      <c r="W334" s="31"/>
      <c r="X334" s="31"/>
      <c r="Y334" s="31"/>
      <c r="Z334" s="31"/>
      <c r="AA334" s="31"/>
      <c r="AB334" s="31"/>
      <c r="AC334" s="31"/>
      <c r="AD334" s="31"/>
      <c r="AE334" s="31"/>
      <c r="AF334" s="31"/>
      <c r="AG334" s="31"/>
      <c r="AH334" s="31"/>
      <c r="AI334" s="31"/>
      <c r="AJ334" s="31"/>
      <c r="AK334" s="31"/>
      <c r="AL334" s="31"/>
      <c r="AM334" s="31"/>
      <c r="AN334" s="31"/>
      <c r="AO334" s="31"/>
      <c r="AP334" s="31"/>
      <c r="AQ334" s="31"/>
      <c r="AR334" s="31"/>
      <c r="AS334" s="31"/>
      <c r="AT334" s="31"/>
      <c r="AU334" s="4"/>
      <c r="AV334" s="31"/>
      <c r="AW334" s="31"/>
      <c r="AX334" s="31"/>
      <c r="AY334" s="31"/>
      <c r="AZ334" s="31"/>
      <c r="BA334" s="31"/>
      <c r="BB334" s="31"/>
      <c r="BC334" s="31"/>
      <c r="BD334" s="31"/>
      <c r="BE334" s="31"/>
      <c r="BF334" s="31"/>
      <c r="BG334" s="31"/>
      <c r="BH334" s="31"/>
      <c r="BI334" s="31"/>
      <c r="BJ334" s="31"/>
      <c r="BK334" s="31"/>
      <c r="BL334" s="31"/>
      <c r="BM334" s="31"/>
      <c r="BN334" s="31"/>
      <c r="BO334" s="31"/>
      <c r="BP334" s="31"/>
      <c r="BQ334" s="31"/>
      <c r="BR334" s="31"/>
      <c r="BS334" s="31"/>
      <c r="BT334" s="31"/>
      <c r="BU334" s="31"/>
      <c r="BV334" s="31"/>
      <c r="BW334" s="31"/>
      <c r="BX334" s="31"/>
      <c r="BY334" s="31"/>
      <c r="BZ334" s="31"/>
      <c r="CA334" s="31"/>
      <c r="CB334" s="31"/>
      <c r="CC334" s="31"/>
      <c r="CD334" s="31"/>
      <c r="CE334" s="31"/>
      <c r="CF334" s="31"/>
      <c r="CG334" s="31"/>
      <c r="CH334" s="31"/>
      <c r="CI334" s="31"/>
      <c r="CJ334" s="31"/>
      <c r="CK334" s="31"/>
      <c r="CL334" s="31"/>
      <c r="CM334" s="31"/>
      <c r="CN334" s="31"/>
      <c r="CO334" s="31"/>
      <c r="CP334" s="31"/>
      <c r="CQ334" s="31"/>
      <c r="CR334" s="31"/>
      <c r="CS334" s="31"/>
      <c r="CT334" s="31"/>
      <c r="CU334" s="31"/>
      <c r="CV334" s="31"/>
      <c r="CW334" s="31"/>
      <c r="CX334" s="31"/>
      <c r="CY334" s="31"/>
      <c r="CZ334" s="31"/>
      <c r="DA334" s="31"/>
      <c r="DB334" s="31"/>
      <c r="DC334" s="31"/>
      <c r="DD334" s="31"/>
      <c r="DE334" s="31"/>
      <c r="DF334" s="31"/>
      <c r="DG334" s="31"/>
      <c r="DH334" s="31"/>
      <c r="DI334" s="31"/>
      <c r="DJ334" s="31"/>
      <c r="DK334" s="358"/>
      <c r="DL334" s="31"/>
      <c r="DM334" s="31"/>
      <c r="DN334" s="31"/>
      <c r="DO334" s="31"/>
      <c r="DP334" s="31"/>
      <c r="DQ334" s="31"/>
      <c r="DR334" s="31"/>
      <c r="DS334" s="31"/>
      <c r="DT334" s="31"/>
      <c r="DU334" s="31"/>
      <c r="DV334" s="31"/>
      <c r="DW334" s="31"/>
      <c r="DX334" s="31"/>
      <c r="DY334" s="31"/>
      <c r="DZ334" s="31"/>
      <c r="EA334" s="31"/>
      <c r="EB334" s="31"/>
      <c r="EC334" s="31"/>
      <c r="ED334" s="31"/>
      <c r="EE334" s="31"/>
      <c r="EF334" s="31"/>
      <c r="EG334" s="31"/>
      <c r="EH334" s="31"/>
      <c r="EI334" s="31"/>
      <c r="EJ334" s="31"/>
      <c r="EK334" s="31"/>
      <c r="EL334" s="31"/>
    </row>
    <row r="335" spans="1:142">
      <c r="A335" s="44"/>
      <c r="B335" s="44"/>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9"/>
      <c r="AJ335" s="9"/>
      <c r="AK335" s="9"/>
      <c r="AL335" s="9"/>
      <c r="AM335" s="9"/>
      <c r="AN335" s="9"/>
      <c r="AO335" s="9"/>
      <c r="AP335" s="9"/>
      <c r="AQ335" s="9"/>
      <c r="AR335" s="44"/>
      <c r="AS335" s="44"/>
      <c r="AT335" s="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346"/>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row>
    <row r="336" spans="1:142">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44"/>
      <c r="AS336" s="44"/>
      <c r="AT336" s="4"/>
      <c r="AU336" s="5"/>
      <c r="AV336" s="9"/>
      <c r="AW336" s="9"/>
      <c r="AX336" s="9"/>
      <c r="AY336" s="9"/>
      <c r="AZ336" s="9"/>
      <c r="BA336" s="9"/>
      <c r="BB336" s="9"/>
      <c r="BC336" s="9"/>
      <c r="BD336" s="9"/>
      <c r="BE336" s="9"/>
      <c r="BF336" s="9"/>
      <c r="BG336" s="9"/>
      <c r="BH336" s="9"/>
      <c r="BI336" s="9"/>
      <c r="BJ336" s="9"/>
      <c r="BK336" s="9"/>
      <c r="BL336" s="9"/>
      <c r="BM336" s="9"/>
      <c r="BN336" s="9"/>
      <c r="BO336" s="9"/>
      <c r="BP336" s="9"/>
      <c r="BQ336" s="9"/>
      <c r="BR336" s="9"/>
      <c r="BS336" s="9"/>
      <c r="BT336" s="9"/>
      <c r="BU336" s="9"/>
      <c r="BV336" s="9"/>
      <c r="BW336" s="9"/>
      <c r="BX336" s="9"/>
      <c r="BY336" s="9"/>
      <c r="BZ336" s="9"/>
      <c r="CA336" s="9"/>
      <c r="CB336" s="9"/>
      <c r="CC336" s="9"/>
      <c r="CD336" s="9"/>
      <c r="CE336" s="9"/>
      <c r="CF336" s="9"/>
      <c r="CG336" s="9"/>
      <c r="CH336" s="9"/>
      <c r="CI336" s="9"/>
      <c r="CJ336" s="9"/>
      <c r="CK336" s="9"/>
      <c r="CL336" s="9"/>
      <c r="CM336" s="9"/>
      <c r="CN336" s="9"/>
      <c r="CO336" s="9"/>
      <c r="CP336" s="9"/>
      <c r="CQ336" s="9"/>
      <c r="CR336" s="9"/>
      <c r="CS336" s="9"/>
      <c r="CT336" s="9"/>
      <c r="CU336" s="9"/>
      <c r="CV336" s="9"/>
      <c r="CW336" s="9"/>
      <c r="CX336" s="9"/>
      <c r="CY336" s="9"/>
      <c r="CZ336" s="9"/>
      <c r="DA336" s="9"/>
      <c r="DB336" s="9"/>
      <c r="DC336" s="9"/>
      <c r="DD336" s="9"/>
      <c r="DE336" s="9"/>
      <c r="DF336" s="9"/>
      <c r="DG336" s="9"/>
      <c r="DH336" s="9"/>
      <c r="DI336" s="9"/>
      <c r="DJ336" s="9"/>
      <c r="DK336" s="164"/>
      <c r="DL336" s="9"/>
      <c r="DM336" s="9"/>
      <c r="DN336" s="9"/>
      <c r="DO336" s="9"/>
      <c r="DP336" s="9"/>
      <c r="DQ336" s="9"/>
      <c r="DR336" s="9"/>
      <c r="DS336" s="9"/>
      <c r="DT336" s="9"/>
      <c r="DU336" s="9"/>
      <c r="DV336" s="9"/>
      <c r="DW336" s="9"/>
      <c r="DX336" s="9"/>
      <c r="DY336" s="9"/>
      <c r="DZ336" s="9"/>
      <c r="EA336" s="9"/>
      <c r="EB336" s="9"/>
      <c r="EC336" s="9"/>
      <c r="ED336" s="9"/>
      <c r="EE336" s="9"/>
      <c r="EF336" s="9"/>
      <c r="EG336" s="9"/>
      <c r="EH336" s="9"/>
      <c r="EI336" s="9"/>
      <c r="EJ336" s="9"/>
      <c r="EK336" s="9"/>
      <c r="EL336" s="9"/>
    </row>
    <row r="337" spans="1:142">
      <c r="A337" s="44"/>
      <c r="B337" s="44"/>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9"/>
      <c r="AJ337" s="9"/>
      <c r="AK337" s="9"/>
      <c r="AL337" s="9"/>
      <c r="AM337" s="9"/>
      <c r="AN337" s="9"/>
      <c r="AO337" s="9"/>
      <c r="AP337" s="9"/>
      <c r="AQ337" s="9"/>
      <c r="AR337" s="44"/>
      <c r="AS337" s="44"/>
      <c r="AT337" s="4"/>
      <c r="AU337" s="5"/>
      <c r="AV337" s="376"/>
      <c r="AW337" s="376"/>
      <c r="AX337" s="376"/>
      <c r="AY337" s="376"/>
      <c r="AZ337" s="376"/>
      <c r="BA337" s="376"/>
      <c r="BB337" s="376"/>
      <c r="BC337" s="376"/>
      <c r="BD337" s="376"/>
      <c r="BE337" s="376"/>
      <c r="BF337" s="376"/>
      <c r="BG337" s="376"/>
      <c r="BH337" s="376"/>
      <c r="BI337" s="376"/>
      <c r="BJ337" s="376"/>
      <c r="BK337" s="376"/>
      <c r="BL337" s="376"/>
      <c r="BM337" s="376"/>
      <c r="BN337" s="376"/>
      <c r="BO337" s="376"/>
      <c r="BP337" s="376"/>
      <c r="BQ337" s="376"/>
      <c r="BR337" s="376"/>
      <c r="BS337" s="376"/>
      <c r="BT337" s="376"/>
      <c r="BU337" s="376"/>
      <c r="BV337" s="376"/>
      <c r="BW337" s="376"/>
      <c r="BX337" s="376"/>
      <c r="BY337" s="376"/>
      <c r="BZ337" s="376"/>
      <c r="CA337" s="376"/>
      <c r="CB337" s="376"/>
      <c r="CC337" s="376"/>
      <c r="CD337" s="376"/>
      <c r="CE337" s="376"/>
      <c r="CF337" s="376"/>
      <c r="CG337" s="376"/>
      <c r="CH337" s="376"/>
      <c r="CI337" s="376"/>
      <c r="CJ337" s="376"/>
      <c r="CK337" s="376"/>
      <c r="CL337" s="376"/>
      <c r="CM337" s="376"/>
      <c r="CN337" s="376"/>
      <c r="CO337" s="376"/>
      <c r="CP337" s="376"/>
      <c r="CQ337" s="376"/>
      <c r="CR337" s="376"/>
      <c r="CS337" s="376"/>
      <c r="CT337" s="376"/>
      <c r="CU337" s="376"/>
      <c r="CV337" s="376"/>
      <c r="CW337" s="376"/>
      <c r="CX337" s="376"/>
      <c r="CY337" s="376"/>
      <c r="CZ337" s="376"/>
      <c r="DA337" s="376"/>
      <c r="DB337" s="376"/>
      <c r="DC337" s="376"/>
      <c r="DD337" s="376"/>
      <c r="DE337" s="376"/>
      <c r="DF337" s="376"/>
      <c r="DG337" s="376"/>
      <c r="DH337" s="376"/>
      <c r="DI337" s="376"/>
      <c r="DJ337" s="376"/>
      <c r="DK337" s="376"/>
      <c r="DL337" s="376"/>
      <c r="DM337" s="376"/>
      <c r="DN337" s="376"/>
      <c r="DO337" s="376"/>
      <c r="DP337" s="376"/>
      <c r="DQ337" s="376"/>
      <c r="DR337" s="376"/>
      <c r="DS337" s="376"/>
      <c r="DT337" s="376"/>
      <c r="DU337" s="376"/>
      <c r="DV337" s="376"/>
      <c r="DW337" s="376"/>
      <c r="DX337" s="376"/>
      <c r="DY337" s="376"/>
      <c r="DZ337" s="376"/>
      <c r="EA337" s="376"/>
      <c r="EB337" s="376"/>
      <c r="EC337" s="376"/>
      <c r="ED337" s="376"/>
      <c r="EE337" s="376"/>
      <c r="EF337" s="376"/>
      <c r="EG337" s="376"/>
      <c r="EH337" s="376"/>
      <c r="EI337" s="376"/>
      <c r="EJ337" s="376"/>
      <c r="EK337" s="376"/>
      <c r="EL337" s="376"/>
    </row>
    <row r="338" spans="1:142">
      <c r="A338" s="44"/>
      <c r="B338" s="44"/>
      <c r="C338" s="9"/>
      <c r="D338" s="9"/>
      <c r="E338" s="9"/>
      <c r="F338" s="9"/>
      <c r="G338" s="9"/>
      <c r="H338" s="9"/>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9"/>
      <c r="AJ338" s="9"/>
      <c r="AK338" s="9"/>
      <c r="AL338" s="9"/>
      <c r="AM338" s="9"/>
      <c r="AN338" s="9"/>
      <c r="AO338" s="9"/>
      <c r="AP338" s="9"/>
      <c r="AQ338" s="9"/>
      <c r="AR338" s="44"/>
      <c r="AS338" s="44"/>
      <c r="AT338" s="4"/>
      <c r="AU338" s="44"/>
      <c r="AV338" s="44"/>
      <c r="AW338" s="44"/>
      <c r="AX338" s="44"/>
      <c r="AY338" s="44"/>
      <c r="AZ338" s="44"/>
      <c r="BA338" s="376"/>
      <c r="BB338" s="376"/>
      <c r="BC338" s="376"/>
      <c r="BD338" s="376"/>
      <c r="BE338" s="376"/>
      <c r="BF338" s="376"/>
      <c r="BG338" s="376"/>
      <c r="BH338" s="376"/>
      <c r="BI338" s="376"/>
      <c r="BJ338" s="376"/>
      <c r="BK338" s="376"/>
      <c r="BL338" s="376"/>
      <c r="BM338" s="376"/>
      <c r="BN338" s="376"/>
      <c r="BO338" s="376"/>
      <c r="BP338" s="376"/>
      <c r="BQ338" s="376"/>
      <c r="BR338" s="376"/>
      <c r="BS338" s="376"/>
      <c r="BT338" s="376"/>
      <c r="BU338" s="376"/>
      <c r="BV338" s="376"/>
      <c r="BW338" s="376"/>
      <c r="BX338" s="376"/>
      <c r="BY338" s="376"/>
      <c r="BZ338" s="376"/>
      <c r="CA338" s="376"/>
      <c r="CB338" s="376"/>
      <c r="CC338" s="376"/>
      <c r="CD338" s="376"/>
      <c r="CE338" s="376"/>
      <c r="CF338" s="376"/>
      <c r="CG338" s="376"/>
      <c r="CH338" s="376"/>
      <c r="CI338" s="376"/>
      <c r="CJ338" s="376"/>
      <c r="CK338" s="376"/>
      <c r="CL338" s="376"/>
      <c r="CM338" s="376"/>
      <c r="CN338" s="376"/>
      <c r="CO338" s="376"/>
      <c r="CP338" s="376"/>
      <c r="CQ338" s="376"/>
      <c r="CR338" s="376"/>
      <c r="CS338" s="376"/>
      <c r="CT338" s="376"/>
      <c r="CU338" s="376"/>
      <c r="CV338" s="376"/>
      <c r="CW338" s="376"/>
      <c r="CX338" s="376"/>
      <c r="CY338" s="376"/>
      <c r="CZ338" s="376"/>
      <c r="DA338" s="376"/>
      <c r="DB338" s="376"/>
      <c r="DC338" s="376"/>
      <c r="DD338" s="376"/>
      <c r="DE338" s="376"/>
      <c r="DF338" s="376"/>
      <c r="DG338" s="376"/>
      <c r="DH338" s="376"/>
      <c r="DI338" s="376"/>
      <c r="DJ338" s="376"/>
      <c r="DK338" s="376"/>
      <c r="DL338" s="376"/>
      <c r="DM338" s="376"/>
      <c r="DN338" s="376"/>
      <c r="DO338" s="376"/>
      <c r="DP338" s="376"/>
      <c r="DQ338" s="376"/>
      <c r="DR338" s="376"/>
      <c r="DS338" s="376"/>
      <c r="DT338" s="376"/>
      <c r="DU338" s="376"/>
      <c r="DV338" s="376"/>
      <c r="DW338" s="376"/>
      <c r="DX338" s="376"/>
      <c r="DY338" s="376"/>
      <c r="DZ338" s="376"/>
      <c r="EA338" s="376"/>
      <c r="EB338" s="376"/>
      <c r="EC338" s="376"/>
      <c r="ED338" s="376"/>
      <c r="EE338" s="376"/>
      <c r="EF338" s="376"/>
      <c r="EG338" s="376"/>
      <c r="EH338" s="376"/>
      <c r="EI338" s="376"/>
      <c r="EJ338" s="376"/>
      <c r="EK338" s="376"/>
      <c r="EL338" s="376"/>
    </row>
    <row r="339" spans="1:142">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9"/>
      <c r="AJ339" s="9"/>
      <c r="AK339" s="9"/>
      <c r="AL339" s="9"/>
      <c r="AM339" s="9"/>
      <c r="AN339" s="9"/>
      <c r="AO339" s="9"/>
      <c r="AP339" s="9"/>
      <c r="AQ339" s="9"/>
      <c r="AR339" s="44"/>
      <c r="AS339" s="44"/>
      <c r="AT339" s="4"/>
      <c r="AU339" s="5"/>
      <c r="AV339" s="9"/>
      <c r="AW339" s="9"/>
      <c r="AX339" s="9"/>
      <c r="AY339" s="9"/>
      <c r="AZ339" s="9"/>
      <c r="BA339" s="9"/>
      <c r="BB339" s="9"/>
      <c r="BC339" s="9"/>
      <c r="BD339" s="9"/>
      <c r="BE339" s="9"/>
      <c r="BF339" s="9"/>
      <c r="BG339" s="9"/>
      <c r="BH339" s="9"/>
      <c r="BI339" s="9"/>
      <c r="BJ339" s="9"/>
      <c r="BK339" s="9"/>
      <c r="BL339" s="9"/>
      <c r="BM339" s="9"/>
      <c r="BN339" s="9"/>
      <c r="BO339" s="9"/>
      <c r="BP339" s="9"/>
      <c r="BQ339" s="9"/>
      <c r="BR339" s="9"/>
      <c r="BS339" s="9"/>
      <c r="BT339" s="9"/>
      <c r="BU339" s="9"/>
      <c r="BV339" s="9"/>
      <c r="BW339" s="9"/>
      <c r="BX339" s="9"/>
      <c r="BY339" s="9"/>
      <c r="BZ339" s="9"/>
      <c r="CA339" s="9"/>
      <c r="CB339" s="9"/>
      <c r="CC339" s="9"/>
      <c r="CD339" s="9"/>
      <c r="CE339" s="9"/>
      <c r="CF339" s="9"/>
      <c r="CG339" s="9"/>
      <c r="CH339" s="9"/>
      <c r="CI339" s="9"/>
      <c r="CJ339" s="9"/>
      <c r="CK339" s="9"/>
      <c r="CL339" s="9"/>
      <c r="CM339" s="9"/>
      <c r="CN339" s="9"/>
      <c r="CO339" s="9"/>
      <c r="CP339" s="9"/>
      <c r="CQ339" s="9"/>
      <c r="CR339" s="9"/>
      <c r="CS339" s="9"/>
      <c r="CT339" s="9"/>
      <c r="CU339" s="9"/>
      <c r="CV339" s="9"/>
      <c r="CW339" s="9"/>
      <c r="CX339" s="9"/>
      <c r="CY339" s="9"/>
      <c r="CZ339" s="9"/>
      <c r="DA339" s="9"/>
      <c r="DB339" s="9"/>
      <c r="DC339" s="9"/>
      <c r="DD339" s="9"/>
      <c r="DE339" s="9"/>
      <c r="DF339" s="9"/>
      <c r="DG339" s="9"/>
      <c r="DH339" s="9"/>
      <c r="DI339" s="9"/>
      <c r="DJ339" s="9"/>
      <c r="DK339" s="164"/>
      <c r="DL339" s="9"/>
      <c r="DM339" s="9"/>
      <c r="DN339" s="9"/>
      <c r="DO339" s="9"/>
      <c r="DP339" s="9"/>
      <c r="DQ339" s="9"/>
      <c r="DR339" s="9"/>
      <c r="DS339" s="9"/>
      <c r="DT339" s="9"/>
      <c r="DU339" s="9"/>
      <c r="DV339" s="9"/>
      <c r="DW339" s="9"/>
      <c r="DX339" s="9"/>
      <c r="DY339" s="9"/>
      <c r="DZ339" s="9"/>
      <c r="EA339" s="9"/>
      <c r="EB339" s="9"/>
      <c r="EC339" s="9"/>
      <c r="ED339" s="9"/>
      <c r="EE339" s="9"/>
      <c r="EF339" s="9"/>
      <c r="EG339" s="9"/>
      <c r="EH339" s="9"/>
      <c r="EI339" s="9"/>
      <c r="EJ339" s="9"/>
      <c r="EK339" s="9"/>
      <c r="EL339" s="9"/>
    </row>
    <row r="340" spans="1:142">
      <c r="A340" s="44"/>
      <c r="B340" s="44"/>
      <c r="C340" s="9"/>
      <c r="D340" s="9"/>
      <c r="E340" s="9"/>
      <c r="F340" s="9"/>
      <c r="G340" s="9"/>
      <c r="H340" s="9"/>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9"/>
      <c r="AJ340" s="9"/>
      <c r="AK340" s="9"/>
      <c r="AL340" s="9"/>
      <c r="AM340" s="9"/>
      <c r="AN340" s="9"/>
      <c r="AO340" s="9"/>
      <c r="AP340" s="9"/>
      <c r="AQ340" s="9"/>
      <c r="AR340" s="44"/>
      <c r="AS340" s="44"/>
      <c r="AT340" s="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346"/>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row>
    <row r="341" spans="1:142">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9"/>
      <c r="AJ341" s="9"/>
      <c r="AK341" s="9"/>
      <c r="AL341" s="9"/>
      <c r="AM341" s="9"/>
      <c r="AN341" s="9"/>
      <c r="AO341" s="9"/>
      <c r="AP341" s="9"/>
      <c r="AQ341" s="9"/>
      <c r="AR341" s="44"/>
      <c r="AS341" s="44"/>
      <c r="AT341" s="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346"/>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row>
    <row r="342" spans="1:142">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9"/>
      <c r="AJ342" s="9"/>
      <c r="AK342" s="9"/>
      <c r="AL342" s="9"/>
      <c r="AM342" s="9"/>
      <c r="AN342" s="9"/>
      <c r="AO342" s="9"/>
      <c r="AP342" s="9"/>
      <c r="AQ342" s="9"/>
      <c r="AR342" s="44"/>
      <c r="AS342" s="44"/>
      <c r="AT342" s="4"/>
      <c r="AU342" s="5"/>
      <c r="AV342" s="9"/>
      <c r="AW342" s="9"/>
      <c r="AX342" s="9"/>
      <c r="AY342" s="9"/>
      <c r="AZ342" s="9"/>
      <c r="BA342" s="9"/>
      <c r="BB342" s="9"/>
      <c r="BC342" s="9"/>
      <c r="BD342" s="9"/>
      <c r="BE342" s="9"/>
      <c r="BF342" s="9"/>
      <c r="BG342" s="9"/>
      <c r="BH342" s="9"/>
      <c r="BI342" s="9"/>
      <c r="BJ342" s="9"/>
      <c r="BK342" s="9"/>
      <c r="BL342" s="9"/>
      <c r="BM342" s="9"/>
      <c r="BN342" s="9"/>
      <c r="BO342" s="9"/>
      <c r="BP342" s="9"/>
      <c r="BQ342" s="9"/>
      <c r="BR342" s="9"/>
      <c r="BS342" s="9"/>
      <c r="BT342" s="9"/>
      <c r="BU342" s="9"/>
      <c r="BV342" s="9"/>
      <c r="BW342" s="9"/>
      <c r="BX342" s="9"/>
      <c r="BY342" s="9"/>
      <c r="BZ342" s="9"/>
      <c r="CA342" s="9"/>
      <c r="CB342" s="9"/>
      <c r="CC342" s="9"/>
      <c r="CD342" s="9"/>
      <c r="CE342" s="9"/>
      <c r="CF342" s="9"/>
      <c r="CG342" s="9"/>
      <c r="CH342" s="9"/>
      <c r="CI342" s="9"/>
      <c r="CJ342" s="9"/>
      <c r="CK342" s="9"/>
      <c r="CL342" s="9"/>
      <c r="CM342" s="9"/>
      <c r="CN342" s="9"/>
      <c r="CO342" s="9"/>
      <c r="CP342" s="9"/>
      <c r="CQ342" s="9"/>
      <c r="CR342" s="9"/>
      <c r="CS342" s="9"/>
      <c r="CT342" s="9"/>
      <c r="CU342" s="9"/>
      <c r="CV342" s="9"/>
      <c r="CW342" s="9"/>
      <c r="CX342" s="9"/>
      <c r="CY342" s="9"/>
      <c r="CZ342" s="9"/>
      <c r="DA342" s="9"/>
      <c r="DB342" s="9"/>
      <c r="DC342" s="9"/>
      <c r="DD342" s="9"/>
      <c r="DE342" s="9"/>
      <c r="DF342" s="9"/>
      <c r="DG342" s="9"/>
      <c r="DH342" s="9"/>
      <c r="DI342" s="9"/>
      <c r="DJ342" s="9"/>
      <c r="DK342" s="164"/>
      <c r="DL342" s="9"/>
      <c r="DM342" s="9"/>
      <c r="DN342" s="9"/>
      <c r="DO342" s="9"/>
      <c r="DP342" s="9"/>
      <c r="DQ342" s="9"/>
      <c r="DR342" s="9"/>
      <c r="DS342" s="9"/>
      <c r="DT342" s="9"/>
      <c r="DU342" s="9"/>
      <c r="DV342" s="9"/>
      <c r="DW342" s="9"/>
      <c r="DX342" s="9"/>
      <c r="DY342" s="9"/>
      <c r="DZ342" s="9"/>
      <c r="EA342" s="9"/>
      <c r="EB342" s="9"/>
      <c r="EC342" s="9"/>
      <c r="ED342" s="9"/>
      <c r="EE342" s="9"/>
      <c r="EF342" s="9"/>
      <c r="EG342" s="9"/>
      <c r="EH342" s="9"/>
      <c r="EI342" s="9"/>
      <c r="EJ342" s="9"/>
      <c r="EK342" s="9"/>
      <c r="EL342" s="9"/>
    </row>
    <row r="343" spans="1:142">
      <c r="A343" s="44"/>
      <c r="B343" s="44"/>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9"/>
      <c r="AJ343" s="9"/>
      <c r="AK343" s="9"/>
      <c r="AL343" s="9"/>
      <c r="AM343" s="9"/>
      <c r="AN343" s="9"/>
      <c r="AO343" s="9"/>
      <c r="AP343" s="9"/>
      <c r="AQ343" s="9"/>
      <c r="AR343" s="44"/>
      <c r="AS343" s="44"/>
      <c r="AT343" s="4"/>
      <c r="AU343" s="5"/>
      <c r="AV343" s="376"/>
      <c r="AW343" s="376"/>
      <c r="AX343" s="376"/>
      <c r="AY343" s="376"/>
      <c r="AZ343" s="376"/>
      <c r="BA343" s="376"/>
      <c r="BB343" s="376"/>
      <c r="BC343" s="376"/>
      <c r="BD343" s="376"/>
      <c r="BE343" s="376"/>
      <c r="BF343" s="376"/>
      <c r="BG343" s="376"/>
      <c r="BH343" s="376"/>
      <c r="BI343" s="376"/>
      <c r="BJ343" s="376"/>
      <c r="BK343" s="376"/>
      <c r="BL343" s="376"/>
      <c r="BM343" s="376"/>
      <c r="BN343" s="376"/>
      <c r="BO343" s="376"/>
      <c r="BP343" s="376"/>
      <c r="BQ343" s="376"/>
      <c r="BR343" s="376"/>
      <c r="BS343" s="376"/>
      <c r="BT343" s="376"/>
      <c r="BU343" s="376"/>
      <c r="BV343" s="376"/>
      <c r="BW343" s="376"/>
      <c r="BX343" s="376"/>
      <c r="BY343" s="376"/>
      <c r="BZ343" s="376"/>
      <c r="CA343" s="376"/>
      <c r="CB343" s="376"/>
      <c r="CC343" s="376"/>
      <c r="CD343" s="376"/>
      <c r="CE343" s="376"/>
      <c r="CF343" s="376"/>
      <c r="CG343" s="376"/>
      <c r="CH343" s="376"/>
      <c r="CI343" s="376"/>
      <c r="CJ343" s="376"/>
      <c r="CK343" s="376"/>
      <c r="CL343" s="376"/>
      <c r="CM343" s="376"/>
      <c r="CN343" s="376"/>
      <c r="CO343" s="376"/>
      <c r="CP343" s="376"/>
      <c r="CQ343" s="376"/>
      <c r="CR343" s="376"/>
      <c r="CS343" s="376"/>
      <c r="CT343" s="376"/>
      <c r="CU343" s="376"/>
      <c r="CV343" s="376"/>
      <c r="CW343" s="376"/>
      <c r="CX343" s="376"/>
      <c r="CY343" s="376"/>
      <c r="CZ343" s="376"/>
      <c r="DA343" s="376"/>
      <c r="DB343" s="376"/>
      <c r="DC343" s="376"/>
      <c r="DD343" s="376"/>
      <c r="DE343" s="376"/>
      <c r="DF343" s="376"/>
      <c r="DG343" s="376"/>
      <c r="DH343" s="376"/>
      <c r="DI343" s="376"/>
      <c r="DJ343" s="376"/>
      <c r="DK343" s="376"/>
      <c r="DL343" s="376"/>
      <c r="DM343" s="376"/>
      <c r="DN343" s="376"/>
      <c r="DO343" s="376"/>
      <c r="DP343" s="376"/>
      <c r="DQ343" s="376"/>
      <c r="DR343" s="376"/>
      <c r="DS343" s="376"/>
      <c r="DT343" s="376"/>
      <c r="DU343" s="376"/>
      <c r="DV343" s="376"/>
      <c r="DW343" s="376"/>
      <c r="DX343" s="376"/>
      <c r="DY343" s="376"/>
      <c r="DZ343" s="376"/>
      <c r="EA343" s="376"/>
      <c r="EB343" s="376"/>
      <c r="EC343" s="376"/>
      <c r="ED343" s="376"/>
      <c r="EE343" s="376"/>
      <c r="EF343" s="376"/>
      <c r="EG343" s="376"/>
      <c r="EH343" s="376"/>
      <c r="EI343" s="376"/>
      <c r="EJ343" s="376"/>
      <c r="EK343" s="376"/>
      <c r="EL343" s="376"/>
    </row>
    <row r="344" spans="1:142">
      <c r="A344" s="44"/>
      <c r="B344" s="44"/>
      <c r="C344" s="9"/>
      <c r="D344" s="9"/>
      <c r="E344" s="9"/>
      <c r="F344" s="9"/>
      <c r="G344" s="9"/>
      <c r="H344" s="9"/>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9"/>
      <c r="AJ344" s="9"/>
      <c r="AK344" s="9"/>
      <c r="AL344" s="9"/>
      <c r="AM344" s="9"/>
      <c r="AN344" s="9"/>
      <c r="AO344" s="9"/>
      <c r="AP344" s="9"/>
      <c r="AQ344" s="9"/>
      <c r="AR344" s="44"/>
      <c r="AS344" s="44"/>
      <c r="AT344" s="4"/>
      <c r="AU344" s="44"/>
      <c r="AV344" s="44"/>
      <c r="AW344" s="44"/>
      <c r="AX344" s="44"/>
      <c r="AY344" s="44"/>
      <c r="AZ344" s="44"/>
      <c r="BA344" s="376"/>
      <c r="BB344" s="376"/>
      <c r="BC344" s="376"/>
      <c r="BD344" s="376"/>
      <c r="BE344" s="376"/>
      <c r="BF344" s="376"/>
      <c r="BG344" s="376"/>
      <c r="BH344" s="376"/>
      <c r="BI344" s="376"/>
      <c r="BJ344" s="376"/>
      <c r="BK344" s="376"/>
      <c r="BL344" s="376"/>
      <c r="BM344" s="376"/>
      <c r="BN344" s="376"/>
      <c r="BO344" s="376"/>
      <c r="BP344" s="376"/>
      <c r="BQ344" s="376"/>
      <c r="BR344" s="376"/>
      <c r="BS344" s="376"/>
      <c r="BT344" s="376"/>
      <c r="BU344" s="376"/>
      <c r="BV344" s="376"/>
      <c r="BW344" s="376"/>
      <c r="BX344" s="376"/>
      <c r="BY344" s="376"/>
      <c r="BZ344" s="376"/>
      <c r="CA344" s="376"/>
      <c r="CB344" s="376"/>
      <c r="CC344" s="376"/>
      <c r="CD344" s="376"/>
      <c r="CE344" s="376"/>
      <c r="CF344" s="376"/>
      <c r="CG344" s="376"/>
      <c r="CH344" s="376"/>
      <c r="CI344" s="376"/>
      <c r="CJ344" s="376"/>
      <c r="CK344" s="376"/>
      <c r="CL344" s="376"/>
      <c r="CM344" s="376"/>
      <c r="CN344" s="376"/>
      <c r="CO344" s="376"/>
      <c r="CP344" s="376"/>
      <c r="CQ344" s="376"/>
      <c r="CR344" s="376"/>
      <c r="CS344" s="376"/>
      <c r="CT344" s="376"/>
      <c r="CU344" s="376"/>
      <c r="CV344" s="376"/>
      <c r="CW344" s="376"/>
      <c r="CX344" s="376"/>
      <c r="CY344" s="376"/>
      <c r="CZ344" s="376"/>
      <c r="DA344" s="376"/>
      <c r="DB344" s="376"/>
      <c r="DC344" s="376"/>
      <c r="DD344" s="376"/>
      <c r="DE344" s="376"/>
      <c r="DF344" s="376"/>
      <c r="DG344" s="376"/>
      <c r="DH344" s="376"/>
      <c r="DI344" s="376"/>
      <c r="DJ344" s="376"/>
      <c r="DK344" s="376"/>
      <c r="DL344" s="376"/>
      <c r="DM344" s="376"/>
      <c r="DN344" s="376"/>
      <c r="DO344" s="376"/>
      <c r="DP344" s="376"/>
      <c r="DQ344" s="376"/>
      <c r="DR344" s="376"/>
      <c r="DS344" s="376"/>
      <c r="DT344" s="376"/>
      <c r="DU344" s="376"/>
      <c r="DV344" s="376"/>
      <c r="DW344" s="376"/>
      <c r="DX344" s="376"/>
      <c r="DY344" s="376"/>
      <c r="DZ344" s="376"/>
      <c r="EA344" s="376"/>
      <c r="EB344" s="376"/>
      <c r="EC344" s="376"/>
      <c r="ED344" s="376"/>
      <c r="EE344" s="376"/>
      <c r="EF344" s="376"/>
      <c r="EG344" s="376"/>
      <c r="EH344" s="376"/>
      <c r="EI344" s="376"/>
      <c r="EJ344" s="376"/>
      <c r="EK344" s="376"/>
      <c r="EL344" s="376"/>
    </row>
    <row r="345" spans="1:142">
      <c r="A345" s="31"/>
      <c r="B345" s="160" t="s">
        <v>317</v>
      </c>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9"/>
      <c r="AJ345" s="9"/>
      <c r="AK345" s="9"/>
      <c r="AL345" s="9"/>
      <c r="AM345" s="9"/>
      <c r="AN345" s="9"/>
      <c r="AO345" s="9"/>
      <c r="AP345" s="9"/>
      <c r="AQ345" s="9"/>
      <c r="AR345" s="44"/>
      <c r="AS345" s="44"/>
      <c r="AT345" s="4"/>
      <c r="AU345" s="5"/>
      <c r="AV345" s="9"/>
      <c r="AW345" s="9"/>
      <c r="AX345" s="9"/>
      <c r="AY345" s="9"/>
      <c r="AZ345" s="9"/>
      <c r="BA345" s="9"/>
      <c r="BB345" s="9"/>
      <c r="BC345" s="9"/>
      <c r="BD345" s="9"/>
      <c r="BE345" s="9"/>
      <c r="BF345" s="9"/>
      <c r="BG345" s="9"/>
      <c r="BH345" s="9"/>
      <c r="BI345" s="9"/>
      <c r="BJ345" s="9"/>
      <c r="BK345" s="9"/>
      <c r="BL345" s="9"/>
      <c r="BM345" s="9"/>
      <c r="BN345" s="9"/>
      <c r="BO345" s="9"/>
      <c r="BP345" s="9"/>
      <c r="BQ345" s="9"/>
      <c r="BR345" s="9"/>
      <c r="BS345" s="9"/>
      <c r="BT345" s="9"/>
      <c r="BU345" s="9"/>
      <c r="BV345" s="9"/>
      <c r="BW345" s="9"/>
      <c r="BX345" s="9"/>
      <c r="BY345" s="9"/>
      <c r="BZ345" s="9"/>
      <c r="CA345" s="9"/>
      <c r="CB345" s="9"/>
      <c r="CC345" s="9"/>
      <c r="CD345" s="9"/>
      <c r="CE345" s="9"/>
      <c r="CF345" s="9"/>
      <c r="CG345" s="9"/>
      <c r="CH345" s="9"/>
      <c r="CI345" s="9"/>
      <c r="CJ345" s="9"/>
      <c r="CK345" s="9"/>
      <c r="CL345" s="9"/>
      <c r="CM345" s="9"/>
      <c r="CN345" s="9"/>
      <c r="CO345" s="9"/>
      <c r="CP345" s="9"/>
      <c r="CQ345" s="9"/>
      <c r="CR345" s="9"/>
      <c r="CS345" s="9"/>
      <c r="CT345" s="9"/>
      <c r="CU345" s="9"/>
      <c r="CV345" s="9"/>
      <c r="CW345" s="9"/>
      <c r="CX345" s="9"/>
      <c r="CY345" s="9"/>
      <c r="CZ345" s="9"/>
      <c r="DA345" s="9"/>
      <c r="DB345" s="9"/>
      <c r="DC345" s="9"/>
      <c r="DD345" s="9"/>
      <c r="DE345" s="9"/>
      <c r="DF345" s="9"/>
      <c r="DG345" s="9"/>
      <c r="DH345" s="9"/>
      <c r="DI345" s="9"/>
      <c r="DJ345" s="9"/>
      <c r="DK345" s="164"/>
      <c r="DL345" s="9"/>
      <c r="DM345" s="9"/>
      <c r="DN345" s="9"/>
      <c r="DO345" s="9"/>
      <c r="DP345" s="9"/>
      <c r="DQ345" s="9"/>
      <c r="DR345" s="9"/>
      <c r="DS345" s="9"/>
      <c r="DT345" s="9"/>
      <c r="DU345" s="9"/>
      <c r="DV345" s="9"/>
      <c r="DW345" s="9"/>
      <c r="DX345" s="9"/>
      <c r="DY345" s="9"/>
      <c r="DZ345" s="9"/>
      <c r="EA345" s="9"/>
      <c r="EB345" s="9"/>
      <c r="EC345" s="9"/>
      <c r="ED345" s="9"/>
      <c r="EE345" s="9"/>
      <c r="EF345" s="9"/>
      <c r="EG345" s="9"/>
      <c r="EH345" s="9"/>
      <c r="EI345" s="9"/>
      <c r="EJ345" s="9"/>
      <c r="EK345" s="9"/>
      <c r="EL345" s="9"/>
    </row>
    <row r="346" spans="1:142">
      <c r="A346" s="9"/>
      <c r="B346" s="4" t="s">
        <v>318</v>
      </c>
      <c r="C346" s="9"/>
      <c r="D346" s="9"/>
      <c r="E346" s="9"/>
      <c r="F346" s="9"/>
      <c r="G346" s="9"/>
      <c r="H346" s="9"/>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9"/>
      <c r="AJ346" s="9"/>
      <c r="AK346" s="9"/>
      <c r="AL346" s="9"/>
      <c r="AM346" s="9"/>
      <c r="AN346" s="9"/>
      <c r="AO346" s="9"/>
      <c r="AP346" s="9"/>
      <c r="AQ346" s="9"/>
      <c r="AR346" s="44"/>
      <c r="AS346" s="44"/>
      <c r="AT346" s="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346"/>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row>
    <row r="347" spans="1:142">
      <c r="A347" s="356"/>
      <c r="B347" s="360" t="s">
        <v>319</v>
      </c>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9"/>
      <c r="AJ347" s="9"/>
      <c r="AK347" s="9"/>
      <c r="AL347" s="9"/>
      <c r="AM347" s="9"/>
      <c r="AN347" s="9"/>
      <c r="AO347" s="9"/>
      <c r="AP347" s="9"/>
      <c r="AQ347" s="9"/>
      <c r="AR347" s="44"/>
      <c r="AS347" s="44"/>
      <c r="AT347" s="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346"/>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row>
    <row r="348" spans="1:142">
      <c r="A348" s="9"/>
      <c r="B348" s="4" t="s">
        <v>320</v>
      </c>
      <c r="C348" s="9"/>
      <c r="D348" s="9"/>
      <c r="E348" s="9"/>
      <c r="F348" s="9"/>
      <c r="G348" s="9"/>
      <c r="H348" s="9"/>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9"/>
      <c r="AJ348" s="9"/>
      <c r="AK348" s="9"/>
      <c r="AL348" s="9"/>
      <c r="AM348" s="9"/>
      <c r="AN348" s="9"/>
      <c r="AO348" s="9"/>
      <c r="AP348" s="9"/>
      <c r="AQ348" s="9"/>
      <c r="AR348" s="44"/>
      <c r="AS348" s="44"/>
      <c r="AT348" s="4"/>
      <c r="AU348" s="5"/>
      <c r="AV348" s="9"/>
      <c r="AW348" s="9"/>
      <c r="AX348" s="9"/>
      <c r="AY348" s="9"/>
      <c r="AZ348" s="9"/>
      <c r="BA348" s="9"/>
      <c r="BB348" s="9"/>
      <c r="BC348" s="9"/>
      <c r="BD348" s="9"/>
      <c r="BE348" s="9"/>
      <c r="BF348" s="9"/>
      <c r="BG348" s="9"/>
      <c r="BH348" s="9"/>
      <c r="BI348" s="9"/>
      <c r="BJ348" s="9"/>
      <c r="BK348" s="9"/>
      <c r="BL348" s="9"/>
      <c r="BM348" s="9"/>
      <c r="BN348" s="9"/>
      <c r="BO348" s="9"/>
      <c r="BP348" s="9"/>
      <c r="BQ348" s="9"/>
      <c r="BR348" s="9"/>
      <c r="BS348" s="9"/>
      <c r="BT348" s="9"/>
      <c r="BU348" s="9"/>
      <c r="BV348" s="9"/>
      <c r="BW348" s="9"/>
      <c r="BX348" s="9"/>
      <c r="BY348" s="9"/>
      <c r="BZ348" s="9"/>
      <c r="CA348" s="9"/>
      <c r="CB348" s="9"/>
      <c r="CC348" s="9"/>
      <c r="CD348" s="9"/>
      <c r="CE348" s="9"/>
      <c r="CF348" s="9"/>
      <c r="CG348" s="9"/>
      <c r="CH348" s="9"/>
      <c r="CI348" s="9"/>
      <c r="CJ348" s="9"/>
      <c r="CK348" s="9"/>
      <c r="CL348" s="9"/>
      <c r="CM348" s="9"/>
      <c r="CN348" s="9"/>
      <c r="CO348" s="9"/>
      <c r="CP348" s="9"/>
      <c r="CQ348" s="9"/>
      <c r="CR348" s="9"/>
      <c r="CS348" s="9"/>
      <c r="CT348" s="9"/>
      <c r="CU348" s="9"/>
      <c r="CV348" s="9"/>
      <c r="CW348" s="9"/>
      <c r="CX348" s="9"/>
      <c r="CY348" s="9"/>
      <c r="CZ348" s="9"/>
      <c r="DA348" s="9"/>
      <c r="DB348" s="9"/>
      <c r="DC348" s="9"/>
      <c r="DD348" s="9"/>
      <c r="DE348" s="9"/>
      <c r="DF348" s="9"/>
      <c r="DG348" s="9"/>
      <c r="DH348" s="9"/>
      <c r="DI348" s="9"/>
      <c r="DJ348" s="9"/>
      <c r="DK348" s="164"/>
      <c r="DL348" s="9"/>
      <c r="DM348" s="9"/>
      <c r="DN348" s="9"/>
      <c r="DO348" s="9"/>
      <c r="DP348" s="9"/>
      <c r="DQ348" s="9"/>
      <c r="DR348" s="9"/>
      <c r="DS348" s="9"/>
      <c r="DT348" s="9"/>
      <c r="DU348" s="9"/>
      <c r="DV348" s="9"/>
      <c r="DW348" s="9"/>
      <c r="DX348" s="9"/>
      <c r="DY348" s="9"/>
      <c r="DZ348" s="9"/>
      <c r="EA348" s="9"/>
      <c r="EB348" s="9"/>
      <c r="EC348" s="9"/>
      <c r="ED348" s="9"/>
      <c r="EE348" s="9"/>
      <c r="EF348" s="9"/>
      <c r="EG348" s="9"/>
      <c r="EH348" s="9"/>
      <c r="EI348" s="9"/>
      <c r="EJ348" s="9"/>
      <c r="EK348" s="9"/>
      <c r="EL348" s="9"/>
    </row>
    <row r="349" spans="1:142">
      <c r="A349" s="9"/>
      <c r="B349" s="4" t="s">
        <v>321</v>
      </c>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9"/>
      <c r="AJ349" s="9"/>
      <c r="AK349" s="9"/>
      <c r="AL349" s="9"/>
      <c r="AM349" s="9"/>
      <c r="AN349" s="9"/>
      <c r="AO349" s="9"/>
      <c r="AP349" s="9"/>
      <c r="AQ349" s="9"/>
      <c r="AR349" s="44"/>
      <c r="AS349" s="44"/>
      <c r="AT349" s="4"/>
      <c r="AU349" s="5"/>
      <c r="AV349" s="376"/>
      <c r="AW349" s="376"/>
      <c r="AX349" s="376"/>
      <c r="AY349" s="376"/>
      <c r="AZ349" s="376"/>
      <c r="BA349" s="376"/>
      <c r="BB349" s="376"/>
      <c r="BC349" s="376"/>
      <c r="BD349" s="376"/>
      <c r="BE349" s="376"/>
      <c r="BF349" s="376"/>
      <c r="BG349" s="376"/>
      <c r="BH349" s="376"/>
      <c r="BI349" s="376"/>
      <c r="BJ349" s="376"/>
      <c r="BK349" s="376"/>
      <c r="BL349" s="376"/>
      <c r="BM349" s="376"/>
      <c r="BN349" s="376"/>
      <c r="BO349" s="376"/>
      <c r="BP349" s="376"/>
      <c r="BQ349" s="376"/>
      <c r="BR349" s="376"/>
      <c r="BS349" s="376"/>
      <c r="BT349" s="376"/>
      <c r="BU349" s="376"/>
      <c r="BV349" s="376"/>
      <c r="BW349" s="376"/>
      <c r="BX349" s="376"/>
      <c r="BY349" s="376"/>
      <c r="BZ349" s="376"/>
      <c r="CA349" s="376"/>
      <c r="CB349" s="376"/>
      <c r="CC349" s="376"/>
      <c r="CD349" s="376"/>
      <c r="CE349" s="376"/>
      <c r="CF349" s="376"/>
      <c r="CG349" s="376"/>
      <c r="CH349" s="376"/>
      <c r="CI349" s="376"/>
      <c r="CJ349" s="376"/>
      <c r="CK349" s="376"/>
      <c r="CL349" s="376"/>
      <c r="CM349" s="376"/>
      <c r="CN349" s="376"/>
      <c r="CO349" s="376"/>
      <c r="CP349" s="376"/>
      <c r="CQ349" s="376"/>
      <c r="CR349" s="376"/>
      <c r="CS349" s="376"/>
      <c r="CT349" s="376"/>
      <c r="CU349" s="376"/>
      <c r="CV349" s="376"/>
      <c r="CW349" s="376"/>
      <c r="CX349" s="376"/>
      <c r="CY349" s="376"/>
      <c r="CZ349" s="376"/>
      <c r="DA349" s="376"/>
      <c r="DB349" s="376"/>
      <c r="DC349" s="376"/>
      <c r="DD349" s="376"/>
      <c r="DE349" s="376"/>
      <c r="DF349" s="376"/>
      <c r="DG349" s="376"/>
      <c r="DH349" s="376"/>
      <c r="DI349" s="376"/>
      <c r="DJ349" s="376"/>
      <c r="DK349" s="376"/>
      <c r="DL349" s="376"/>
      <c r="DM349" s="376"/>
      <c r="DN349" s="376"/>
      <c r="DO349" s="376"/>
      <c r="DP349" s="376"/>
      <c r="DQ349" s="376"/>
      <c r="DR349" s="376"/>
      <c r="DS349" s="376"/>
      <c r="DT349" s="376"/>
      <c r="DU349" s="376"/>
      <c r="DV349" s="376"/>
      <c r="DW349" s="376"/>
      <c r="DX349" s="376"/>
      <c r="DY349" s="376"/>
      <c r="DZ349" s="376"/>
      <c r="EA349" s="376"/>
      <c r="EB349" s="376"/>
      <c r="EC349" s="376"/>
      <c r="ED349" s="376"/>
      <c r="EE349" s="376"/>
      <c r="EF349" s="376"/>
      <c r="EG349" s="376"/>
      <c r="EH349" s="376"/>
      <c r="EI349" s="376"/>
      <c r="EJ349" s="376"/>
      <c r="EK349" s="376"/>
      <c r="EL349" s="376"/>
    </row>
    <row r="350" spans="1:142">
      <c r="A350" s="9"/>
      <c r="B350" s="4" t="s">
        <v>322</v>
      </c>
      <c r="C350" s="9"/>
      <c r="D350" s="9"/>
      <c r="E350" s="9"/>
      <c r="F350" s="9"/>
      <c r="G350" s="9"/>
      <c r="H350" s="9"/>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9"/>
      <c r="AJ350" s="9"/>
      <c r="AK350" s="9"/>
      <c r="AL350" s="9"/>
      <c r="AM350" s="9"/>
      <c r="AN350" s="9"/>
      <c r="AO350" s="9"/>
      <c r="AP350" s="9"/>
      <c r="AQ350" s="9"/>
      <c r="AR350" s="44"/>
      <c r="AS350" s="44"/>
      <c r="AT350" s="4"/>
      <c r="AU350" s="44"/>
      <c r="AV350" s="44"/>
      <c r="AW350" s="44"/>
      <c r="AX350" s="44"/>
      <c r="AY350" s="44"/>
      <c r="AZ350" s="44"/>
      <c r="BA350" s="376"/>
      <c r="BB350" s="376"/>
      <c r="BC350" s="376"/>
      <c r="BD350" s="376"/>
      <c r="BE350" s="376"/>
      <c r="BF350" s="376"/>
      <c r="BG350" s="376"/>
      <c r="BH350" s="376"/>
      <c r="BI350" s="376"/>
      <c r="BJ350" s="376"/>
      <c r="BK350" s="376"/>
      <c r="BL350" s="376"/>
      <c r="BM350" s="376"/>
      <c r="BN350" s="376"/>
      <c r="BO350" s="376"/>
      <c r="BP350" s="376"/>
      <c r="BQ350" s="376"/>
      <c r="BR350" s="376"/>
      <c r="BS350" s="376"/>
      <c r="BT350" s="376"/>
      <c r="BU350" s="376"/>
      <c r="BV350" s="376"/>
      <c r="BW350" s="376"/>
      <c r="BX350" s="376"/>
      <c r="BY350" s="376"/>
      <c r="BZ350" s="376"/>
      <c r="CA350" s="376"/>
      <c r="CB350" s="376"/>
      <c r="CC350" s="376"/>
      <c r="CD350" s="376"/>
      <c r="CE350" s="376"/>
      <c r="CF350" s="376"/>
      <c r="CG350" s="376"/>
      <c r="CH350" s="376"/>
      <c r="CI350" s="376"/>
      <c r="CJ350" s="376"/>
      <c r="CK350" s="376"/>
      <c r="CL350" s="376"/>
      <c r="CM350" s="376"/>
      <c r="CN350" s="376"/>
      <c r="CO350" s="376"/>
      <c r="CP350" s="376"/>
      <c r="CQ350" s="376"/>
      <c r="CR350" s="376"/>
      <c r="CS350" s="376"/>
      <c r="CT350" s="376"/>
      <c r="CU350" s="376"/>
      <c r="CV350" s="376"/>
      <c r="CW350" s="376"/>
      <c r="CX350" s="376"/>
      <c r="CY350" s="376"/>
      <c r="CZ350" s="376"/>
      <c r="DA350" s="376"/>
      <c r="DB350" s="376"/>
      <c r="DC350" s="376"/>
      <c r="DD350" s="376"/>
      <c r="DE350" s="376"/>
      <c r="DF350" s="376"/>
      <c r="DG350" s="376"/>
      <c r="DH350" s="376"/>
      <c r="DI350" s="376"/>
      <c r="DJ350" s="376"/>
      <c r="DK350" s="376"/>
      <c r="DL350" s="376"/>
      <c r="DM350" s="376"/>
      <c r="DN350" s="376"/>
      <c r="DO350" s="376"/>
      <c r="DP350" s="376"/>
      <c r="DQ350" s="376"/>
      <c r="DR350" s="376"/>
      <c r="DS350" s="376"/>
      <c r="DT350" s="376"/>
      <c r="DU350" s="376"/>
      <c r="DV350" s="376"/>
      <c r="DW350" s="376"/>
      <c r="DX350" s="376"/>
      <c r="DY350" s="376"/>
      <c r="DZ350" s="376"/>
      <c r="EA350" s="376"/>
      <c r="EB350" s="376"/>
      <c r="EC350" s="376"/>
      <c r="ED350" s="376"/>
      <c r="EE350" s="376"/>
      <c r="EF350" s="376"/>
      <c r="EG350" s="376"/>
      <c r="EH350" s="376"/>
      <c r="EI350" s="376"/>
      <c r="EJ350" s="376"/>
      <c r="EK350" s="376"/>
      <c r="EL350" s="376"/>
    </row>
    <row r="351" spans="1:142">
      <c r="A351" s="9"/>
      <c r="B351" s="4" t="s">
        <v>323</v>
      </c>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9"/>
      <c r="AJ351" s="9"/>
      <c r="AK351" s="9"/>
      <c r="AL351" s="9"/>
      <c r="AM351" s="9"/>
      <c r="AN351" s="9"/>
      <c r="AO351" s="9"/>
      <c r="AP351" s="9"/>
      <c r="AQ351" s="9"/>
      <c r="AR351" s="44"/>
      <c r="AS351" s="44"/>
      <c r="AT351" s="4"/>
      <c r="AU351" s="44"/>
      <c r="AV351" s="44"/>
      <c r="AW351" s="44"/>
      <c r="AX351" s="44"/>
      <c r="AY351" s="44"/>
      <c r="AZ351" s="44"/>
      <c r="BA351" s="9"/>
      <c r="BB351" s="9"/>
      <c r="BC351" s="9"/>
      <c r="BD351" s="9"/>
      <c r="BE351" s="9"/>
      <c r="BF351" s="9"/>
      <c r="BG351" s="9"/>
      <c r="BH351" s="9"/>
      <c r="BI351" s="9"/>
      <c r="BJ351" s="9"/>
      <c r="BK351" s="9"/>
      <c r="BL351" s="9"/>
      <c r="BM351" s="9"/>
      <c r="BN351" s="9"/>
      <c r="BO351" s="9"/>
      <c r="BP351" s="9"/>
      <c r="BQ351" s="9"/>
      <c r="BR351" s="9"/>
      <c r="BS351" s="9"/>
      <c r="BT351" s="9"/>
      <c r="BU351" s="9"/>
      <c r="BV351" s="9"/>
      <c r="BW351" s="9"/>
      <c r="BX351" s="9"/>
      <c r="BY351" s="9"/>
      <c r="BZ351" s="9"/>
      <c r="CA351" s="9"/>
      <c r="CB351" s="9"/>
      <c r="CC351" s="9"/>
      <c r="CD351" s="9"/>
      <c r="CE351" s="9"/>
      <c r="CF351" s="9"/>
      <c r="CG351" s="9"/>
      <c r="CH351" s="9"/>
      <c r="CI351" s="9"/>
      <c r="CJ351" s="9"/>
      <c r="CK351" s="9"/>
      <c r="CL351" s="9"/>
      <c r="CM351" s="9"/>
      <c r="CN351" s="9"/>
      <c r="CO351" s="9"/>
      <c r="CP351" s="9"/>
      <c r="CQ351" s="9"/>
      <c r="CR351" s="9"/>
      <c r="CS351" s="9"/>
      <c r="CT351" s="9"/>
      <c r="CU351" s="9"/>
      <c r="CV351" s="9"/>
      <c r="CW351" s="9"/>
      <c r="CX351" s="9"/>
      <c r="CY351" s="9"/>
      <c r="CZ351" s="9"/>
      <c r="DA351" s="9"/>
      <c r="DB351" s="9"/>
      <c r="DC351" s="9"/>
      <c r="DD351" s="9"/>
      <c r="DE351" s="9"/>
      <c r="DF351" s="9"/>
      <c r="DG351" s="9"/>
      <c r="DH351" s="9"/>
      <c r="DI351" s="9"/>
      <c r="DJ351" s="9"/>
      <c r="DK351" s="164"/>
      <c r="DL351" s="9"/>
      <c r="DM351" s="9"/>
      <c r="DN351" s="9"/>
      <c r="DO351" s="9"/>
      <c r="DP351" s="9"/>
      <c r="DQ351" s="9"/>
      <c r="DR351" s="9"/>
      <c r="DS351" s="9"/>
      <c r="DT351" s="9"/>
      <c r="DU351" s="9"/>
      <c r="DV351" s="9"/>
      <c r="DW351" s="9"/>
      <c r="DX351" s="9"/>
      <c r="DY351" s="9"/>
      <c r="DZ351" s="9"/>
      <c r="EA351" s="9"/>
      <c r="EB351" s="9"/>
      <c r="EC351" s="9"/>
      <c r="ED351" s="9"/>
      <c r="EE351" s="9"/>
      <c r="EF351" s="9"/>
      <c r="EG351" s="9"/>
      <c r="EH351" s="9"/>
      <c r="EI351" s="9"/>
      <c r="EJ351" s="9"/>
      <c r="EK351" s="9"/>
      <c r="EL351" s="9"/>
    </row>
    <row r="397" spans="96:96"/>
  </sheetData>
  <phoneticPr fontId="35" type="noConversion"/>
  <conditionalFormatting sqref="CW11:DC11 DE11 DH11 DJ11 DL11:DM11 DR11">
    <cfRule type="cellIs" dxfId="13" priority="19" stopIfTrue="1" operator="lessThan">
      <formula>0</formula>
    </cfRule>
  </conditionalFormatting>
  <conditionalFormatting sqref="DD11">
    <cfRule type="cellIs" dxfId="12" priority="18" stopIfTrue="1" operator="lessThan">
      <formula>0</formula>
    </cfRule>
  </conditionalFormatting>
  <conditionalFormatting sqref="DF11">
    <cfRule type="cellIs" dxfId="11" priority="17" stopIfTrue="1" operator="lessThan">
      <formula>0</formula>
    </cfRule>
  </conditionalFormatting>
  <conditionalFormatting sqref="DG11">
    <cfRule type="cellIs" dxfId="10" priority="16" stopIfTrue="1" operator="lessThan">
      <formula>0</formula>
    </cfRule>
  </conditionalFormatting>
  <conditionalFormatting sqref="DI11">
    <cfRule type="cellIs" dxfId="9" priority="14" stopIfTrue="1" operator="lessThan">
      <formula>0</formula>
    </cfRule>
  </conditionalFormatting>
  <conditionalFormatting sqref="DK11">
    <cfRule type="cellIs" dxfId="8" priority="13" stopIfTrue="1" operator="lessThan">
      <formula>0</formula>
    </cfRule>
  </conditionalFormatting>
  <conditionalFormatting sqref="DS11:DW11">
    <cfRule type="cellIs" dxfId="7" priority="11" stopIfTrue="1" operator="lessThan">
      <formula>0</formula>
    </cfRule>
  </conditionalFormatting>
  <conditionalFormatting sqref="DQ11">
    <cfRule type="cellIs" dxfId="6" priority="10" stopIfTrue="1" operator="lessThan">
      <formula>0</formula>
    </cfRule>
  </conditionalFormatting>
  <conditionalFormatting sqref="DX11:EB11">
    <cfRule type="cellIs" dxfId="5" priority="7" stopIfTrue="1" operator="lessThan">
      <formula>0</formula>
    </cfRule>
  </conditionalFormatting>
  <conditionalFormatting sqref="EC11:EG11">
    <cfRule type="cellIs" dxfId="4" priority="5" stopIfTrue="1" operator="lessThan">
      <formula>0</formula>
    </cfRule>
  </conditionalFormatting>
  <conditionalFormatting sqref="DN11">
    <cfRule type="cellIs" dxfId="3" priority="4" stopIfTrue="1" operator="lessThan">
      <formula>0</formula>
    </cfRule>
  </conditionalFormatting>
  <conditionalFormatting sqref="DO11">
    <cfRule type="cellIs" dxfId="2" priority="3" stopIfTrue="1" operator="lessThan">
      <formula>0</formula>
    </cfRule>
  </conditionalFormatting>
  <conditionalFormatting sqref="DP11">
    <cfRule type="cellIs" dxfId="1" priority="2" stopIfTrue="1" operator="lessThan">
      <formula>0</formula>
    </cfRule>
  </conditionalFormatting>
  <conditionalFormatting sqref="EH11:EL11">
    <cfRule type="cellIs" dxfId="0" priority="1" stopIfTrue="1" operator="lessThan">
      <formula>0</formula>
    </cfRule>
  </conditionalFormatting>
  <pageMargins left="0.75" right="0.75" top="1" bottom="1" header="0.5" footer="0.5"/>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1"/>
  <sheetViews>
    <sheetView showGridLines="0" workbookViewId="0"/>
  </sheetViews>
  <sheetFormatPr defaultRowHeight="12.75" outlineLevelCol="1"/>
  <cols>
    <col min="1" max="1" width="9.140625" style="91"/>
    <col min="2" max="2" width="36.7109375" style="91" bestFit="1" customWidth="1"/>
    <col min="3" max="3" width="20.28515625" style="91" hidden="1" customWidth="1" outlineLevel="1"/>
    <col min="4" max="6" width="12.5703125" style="91" hidden="1" customWidth="1" outlineLevel="1"/>
    <col min="7" max="7" width="15.140625" style="91" customWidth="1" collapsed="1"/>
    <col min="8" max="259" width="9.140625" style="91"/>
    <col min="260" max="260" width="45.85546875" style="91" bestFit="1" customWidth="1"/>
    <col min="261" max="261" width="22.5703125" style="91" bestFit="1" customWidth="1"/>
    <col min="262" max="262" width="8.7109375" style="91" bestFit="1" customWidth="1"/>
    <col min="263" max="515" width="9.140625" style="91"/>
    <col min="516" max="516" width="45.85546875" style="91" bestFit="1" customWidth="1"/>
    <col min="517" max="517" width="22.5703125" style="91" bestFit="1" customWidth="1"/>
    <col min="518" max="518" width="8.7109375" style="91" bestFit="1" customWidth="1"/>
    <col min="519" max="771" width="9.140625" style="91"/>
    <col min="772" max="772" width="45.85546875" style="91" bestFit="1" customWidth="1"/>
    <col min="773" max="773" width="22.5703125" style="91" bestFit="1" customWidth="1"/>
    <col min="774" max="774" width="8.7109375" style="91" bestFit="1" customWidth="1"/>
    <col min="775" max="1027" width="9.140625" style="91"/>
    <col min="1028" max="1028" width="45.85546875" style="91" bestFit="1" customWidth="1"/>
    <col min="1029" max="1029" width="22.5703125" style="91" bestFit="1" customWidth="1"/>
    <col min="1030" max="1030" width="8.7109375" style="91" bestFit="1" customWidth="1"/>
    <col min="1031" max="1283" width="9.140625" style="91"/>
    <col min="1284" max="1284" width="45.85546875" style="91" bestFit="1" customWidth="1"/>
    <col min="1285" max="1285" width="22.5703125" style="91" bestFit="1" customWidth="1"/>
    <col min="1286" max="1286" width="8.7109375" style="91" bestFit="1" customWidth="1"/>
    <col min="1287" max="1539" width="9.140625" style="91"/>
    <col min="1540" max="1540" width="45.85546875" style="91" bestFit="1" customWidth="1"/>
    <col min="1541" max="1541" width="22.5703125" style="91" bestFit="1" customWidth="1"/>
    <col min="1542" max="1542" width="8.7109375" style="91" bestFit="1" customWidth="1"/>
    <col min="1543" max="1795" width="9.140625" style="91"/>
    <col min="1796" max="1796" width="45.85546875" style="91" bestFit="1" customWidth="1"/>
    <col min="1797" max="1797" width="22.5703125" style="91" bestFit="1" customWidth="1"/>
    <col min="1798" max="1798" width="8.7109375" style="91" bestFit="1" customWidth="1"/>
    <col min="1799" max="2051" width="9.140625" style="91"/>
    <col min="2052" max="2052" width="45.85546875" style="91" bestFit="1" customWidth="1"/>
    <col min="2053" max="2053" width="22.5703125" style="91" bestFit="1" customWidth="1"/>
    <col min="2054" max="2054" width="8.7109375" style="91" bestFit="1" customWidth="1"/>
    <col min="2055" max="2307" width="9.140625" style="91"/>
    <col min="2308" max="2308" width="45.85546875" style="91" bestFit="1" customWidth="1"/>
    <col min="2309" max="2309" width="22.5703125" style="91" bestFit="1" customWidth="1"/>
    <col min="2310" max="2310" width="8.7109375" style="91" bestFit="1" customWidth="1"/>
    <col min="2311" max="2563" width="9.140625" style="91"/>
    <col min="2564" max="2564" width="45.85546875" style="91" bestFit="1" customWidth="1"/>
    <col min="2565" max="2565" width="22.5703125" style="91" bestFit="1" customWidth="1"/>
    <col min="2566" max="2566" width="8.7109375" style="91" bestFit="1" customWidth="1"/>
    <col min="2567" max="2819" width="9.140625" style="91"/>
    <col min="2820" max="2820" width="45.85546875" style="91" bestFit="1" customWidth="1"/>
    <col min="2821" max="2821" width="22.5703125" style="91" bestFit="1" customWidth="1"/>
    <col min="2822" max="2822" width="8.7109375" style="91" bestFit="1" customWidth="1"/>
    <col min="2823" max="3075" width="9.140625" style="91"/>
    <col min="3076" max="3076" width="45.85546875" style="91" bestFit="1" customWidth="1"/>
    <col min="3077" max="3077" width="22.5703125" style="91" bestFit="1" customWidth="1"/>
    <col min="3078" max="3078" width="8.7109375" style="91" bestFit="1" customWidth="1"/>
    <col min="3079" max="3331" width="9.140625" style="91"/>
    <col min="3332" max="3332" width="45.85546875" style="91" bestFit="1" customWidth="1"/>
    <col min="3333" max="3333" width="22.5703125" style="91" bestFit="1" customWidth="1"/>
    <col min="3334" max="3334" width="8.7109375" style="91" bestFit="1" customWidth="1"/>
    <col min="3335" max="3587" width="9.140625" style="91"/>
    <col min="3588" max="3588" width="45.85546875" style="91" bestFit="1" customWidth="1"/>
    <col min="3589" max="3589" width="22.5703125" style="91" bestFit="1" customWidth="1"/>
    <col min="3590" max="3590" width="8.7109375" style="91" bestFit="1" customWidth="1"/>
    <col min="3591" max="3843" width="9.140625" style="91"/>
    <col min="3844" max="3844" width="45.85546875" style="91" bestFit="1" customWidth="1"/>
    <col min="3845" max="3845" width="22.5703125" style="91" bestFit="1" customWidth="1"/>
    <col min="3846" max="3846" width="8.7109375" style="91" bestFit="1" customWidth="1"/>
    <col min="3847" max="4099" width="9.140625" style="91"/>
    <col min="4100" max="4100" width="45.85546875" style="91" bestFit="1" customWidth="1"/>
    <col min="4101" max="4101" width="22.5703125" style="91" bestFit="1" customWidth="1"/>
    <col min="4102" max="4102" width="8.7109375" style="91" bestFit="1" customWidth="1"/>
    <col min="4103" max="4355" width="9.140625" style="91"/>
    <col min="4356" max="4356" width="45.85546875" style="91" bestFit="1" customWidth="1"/>
    <col min="4357" max="4357" width="22.5703125" style="91" bestFit="1" customWidth="1"/>
    <col min="4358" max="4358" width="8.7109375" style="91" bestFit="1" customWidth="1"/>
    <col min="4359" max="4611" width="9.140625" style="91"/>
    <col min="4612" max="4612" width="45.85546875" style="91" bestFit="1" customWidth="1"/>
    <col min="4613" max="4613" width="22.5703125" style="91" bestFit="1" customWidth="1"/>
    <col min="4614" max="4614" width="8.7109375" style="91" bestFit="1" customWidth="1"/>
    <col min="4615" max="4867" width="9.140625" style="91"/>
    <col min="4868" max="4868" width="45.85546875" style="91" bestFit="1" customWidth="1"/>
    <col min="4869" max="4869" width="22.5703125" style="91" bestFit="1" customWidth="1"/>
    <col min="4870" max="4870" width="8.7109375" style="91" bestFit="1" customWidth="1"/>
    <col min="4871" max="5123" width="9.140625" style="91"/>
    <col min="5124" max="5124" width="45.85546875" style="91" bestFit="1" customWidth="1"/>
    <col min="5125" max="5125" width="22.5703125" style="91" bestFit="1" customWidth="1"/>
    <col min="5126" max="5126" width="8.7109375" style="91" bestFit="1" customWidth="1"/>
    <col min="5127" max="5379" width="9.140625" style="91"/>
    <col min="5380" max="5380" width="45.85546875" style="91" bestFit="1" customWidth="1"/>
    <col min="5381" max="5381" width="22.5703125" style="91" bestFit="1" customWidth="1"/>
    <col min="5382" max="5382" width="8.7109375" style="91" bestFit="1" customWidth="1"/>
    <col min="5383" max="5635" width="9.140625" style="91"/>
    <col min="5636" max="5636" width="45.85546875" style="91" bestFit="1" customWidth="1"/>
    <col min="5637" max="5637" width="22.5703125" style="91" bestFit="1" customWidth="1"/>
    <col min="5638" max="5638" width="8.7109375" style="91" bestFit="1" customWidth="1"/>
    <col min="5639" max="5891" width="9.140625" style="91"/>
    <col min="5892" max="5892" width="45.85546875" style="91" bestFit="1" customWidth="1"/>
    <col min="5893" max="5893" width="22.5703125" style="91" bestFit="1" customWidth="1"/>
    <col min="5894" max="5894" width="8.7109375" style="91" bestFit="1" customWidth="1"/>
    <col min="5895" max="6147" width="9.140625" style="91"/>
    <col min="6148" max="6148" width="45.85546875" style="91" bestFit="1" customWidth="1"/>
    <col min="6149" max="6149" width="22.5703125" style="91" bestFit="1" customWidth="1"/>
    <col min="6150" max="6150" width="8.7109375" style="91" bestFit="1" customWidth="1"/>
    <col min="6151" max="6403" width="9.140625" style="91"/>
    <col min="6404" max="6404" width="45.85546875" style="91" bestFit="1" customWidth="1"/>
    <col min="6405" max="6405" width="22.5703125" style="91" bestFit="1" customWidth="1"/>
    <col min="6406" max="6406" width="8.7109375" style="91" bestFit="1" customWidth="1"/>
    <col min="6407" max="6659" width="9.140625" style="91"/>
    <col min="6660" max="6660" width="45.85546875" style="91" bestFit="1" customWidth="1"/>
    <col min="6661" max="6661" width="22.5703125" style="91" bestFit="1" customWidth="1"/>
    <col min="6662" max="6662" width="8.7109375" style="91" bestFit="1" customWidth="1"/>
    <col min="6663" max="6915" width="9.140625" style="91"/>
    <col min="6916" max="6916" width="45.85546875" style="91" bestFit="1" customWidth="1"/>
    <col min="6917" max="6917" width="22.5703125" style="91" bestFit="1" customWidth="1"/>
    <col min="6918" max="6918" width="8.7109375" style="91" bestFit="1" customWidth="1"/>
    <col min="6919" max="7171" width="9.140625" style="91"/>
    <col min="7172" max="7172" width="45.85546875" style="91" bestFit="1" customWidth="1"/>
    <col min="7173" max="7173" width="22.5703125" style="91" bestFit="1" customWidth="1"/>
    <col min="7174" max="7174" width="8.7109375" style="91" bestFit="1" customWidth="1"/>
    <col min="7175" max="7427" width="9.140625" style="91"/>
    <col min="7428" max="7428" width="45.85546875" style="91" bestFit="1" customWidth="1"/>
    <col min="7429" max="7429" width="22.5703125" style="91" bestFit="1" customWidth="1"/>
    <col min="7430" max="7430" width="8.7109375" style="91" bestFit="1" customWidth="1"/>
    <col min="7431" max="7683" width="9.140625" style="91"/>
    <col min="7684" max="7684" width="45.85546875" style="91" bestFit="1" customWidth="1"/>
    <col min="7685" max="7685" width="22.5703125" style="91" bestFit="1" customWidth="1"/>
    <col min="7686" max="7686" width="8.7109375" style="91" bestFit="1" customWidth="1"/>
    <col min="7687" max="7939" width="9.140625" style="91"/>
    <col min="7940" max="7940" width="45.85546875" style="91" bestFit="1" customWidth="1"/>
    <col min="7941" max="7941" width="22.5703125" style="91" bestFit="1" customWidth="1"/>
    <col min="7942" max="7942" width="8.7109375" style="91" bestFit="1" customWidth="1"/>
    <col min="7943" max="8195" width="9.140625" style="91"/>
    <col min="8196" max="8196" width="45.85546875" style="91" bestFit="1" customWidth="1"/>
    <col min="8197" max="8197" width="22.5703125" style="91" bestFit="1" customWidth="1"/>
    <col min="8198" max="8198" width="8.7109375" style="91" bestFit="1" customWidth="1"/>
    <col min="8199" max="8451" width="9.140625" style="91"/>
    <col min="8452" max="8452" width="45.85546875" style="91" bestFit="1" customWidth="1"/>
    <col min="8453" max="8453" width="22.5703125" style="91" bestFit="1" customWidth="1"/>
    <col min="8454" max="8454" width="8.7109375" style="91" bestFit="1" customWidth="1"/>
    <col min="8455" max="8707" width="9.140625" style="91"/>
    <col min="8708" max="8708" width="45.85546875" style="91" bestFit="1" customWidth="1"/>
    <col min="8709" max="8709" width="22.5703125" style="91" bestFit="1" customWidth="1"/>
    <col min="8710" max="8710" width="8.7109375" style="91" bestFit="1" customWidth="1"/>
    <col min="8711" max="8963" width="9.140625" style="91"/>
    <col min="8964" max="8964" width="45.85546875" style="91" bestFit="1" customWidth="1"/>
    <col min="8965" max="8965" width="22.5703125" style="91" bestFit="1" customWidth="1"/>
    <col min="8966" max="8966" width="8.7109375" style="91" bestFit="1" customWidth="1"/>
    <col min="8967" max="9219" width="9.140625" style="91"/>
    <col min="9220" max="9220" width="45.85546875" style="91" bestFit="1" customWidth="1"/>
    <col min="9221" max="9221" width="22.5703125" style="91" bestFit="1" customWidth="1"/>
    <col min="9222" max="9222" width="8.7109375" style="91" bestFit="1" customWidth="1"/>
    <col min="9223" max="9475" width="9.140625" style="91"/>
    <col min="9476" max="9476" width="45.85546875" style="91" bestFit="1" customWidth="1"/>
    <col min="9477" max="9477" width="22.5703125" style="91" bestFit="1" customWidth="1"/>
    <col min="9478" max="9478" width="8.7109375" style="91" bestFit="1" customWidth="1"/>
    <col min="9479" max="9731" width="9.140625" style="91"/>
    <col min="9732" max="9732" width="45.85546875" style="91" bestFit="1" customWidth="1"/>
    <col min="9733" max="9733" width="22.5703125" style="91" bestFit="1" customWidth="1"/>
    <col min="9734" max="9734" width="8.7109375" style="91" bestFit="1" customWidth="1"/>
    <col min="9735" max="9987" width="9.140625" style="91"/>
    <col min="9988" max="9988" width="45.85546875" style="91" bestFit="1" customWidth="1"/>
    <col min="9989" max="9989" width="22.5703125" style="91" bestFit="1" customWidth="1"/>
    <col min="9990" max="9990" width="8.7109375" style="91" bestFit="1" customWidth="1"/>
    <col min="9991" max="10243" width="9.140625" style="91"/>
    <col min="10244" max="10244" width="45.85546875" style="91" bestFit="1" customWidth="1"/>
    <col min="10245" max="10245" width="22.5703125" style="91" bestFit="1" customWidth="1"/>
    <col min="10246" max="10246" width="8.7109375" style="91" bestFit="1" customWidth="1"/>
    <col min="10247" max="10499" width="9.140625" style="91"/>
    <col min="10500" max="10500" width="45.85546875" style="91" bestFit="1" customWidth="1"/>
    <col min="10501" max="10501" width="22.5703125" style="91" bestFit="1" customWidth="1"/>
    <col min="10502" max="10502" width="8.7109375" style="91" bestFit="1" customWidth="1"/>
    <col min="10503" max="10755" width="9.140625" style="91"/>
    <col min="10756" max="10756" width="45.85546875" style="91" bestFit="1" customWidth="1"/>
    <col min="10757" max="10757" width="22.5703125" style="91" bestFit="1" customWidth="1"/>
    <col min="10758" max="10758" width="8.7109375" style="91" bestFit="1" customWidth="1"/>
    <col min="10759" max="11011" width="9.140625" style="91"/>
    <col min="11012" max="11012" width="45.85546875" style="91" bestFit="1" customWidth="1"/>
    <col min="11013" max="11013" width="22.5703125" style="91" bestFit="1" customWidth="1"/>
    <col min="11014" max="11014" width="8.7109375" style="91" bestFit="1" customWidth="1"/>
    <col min="11015" max="11267" width="9.140625" style="91"/>
    <col min="11268" max="11268" width="45.85546875" style="91" bestFit="1" customWidth="1"/>
    <col min="11269" max="11269" width="22.5703125" style="91" bestFit="1" customWidth="1"/>
    <col min="11270" max="11270" width="8.7109375" style="91" bestFit="1" customWidth="1"/>
    <col min="11271" max="11523" width="9.140625" style="91"/>
    <col min="11524" max="11524" width="45.85546875" style="91" bestFit="1" customWidth="1"/>
    <col min="11525" max="11525" width="22.5703125" style="91" bestFit="1" customWidth="1"/>
    <col min="11526" max="11526" width="8.7109375" style="91" bestFit="1" customWidth="1"/>
    <col min="11527" max="11779" width="9.140625" style="91"/>
    <col min="11780" max="11780" width="45.85546875" style="91" bestFit="1" customWidth="1"/>
    <col min="11781" max="11781" width="22.5703125" style="91" bestFit="1" customWidth="1"/>
    <col min="11782" max="11782" width="8.7109375" style="91" bestFit="1" customWidth="1"/>
    <col min="11783" max="12035" width="9.140625" style="91"/>
    <col min="12036" max="12036" width="45.85546875" style="91" bestFit="1" customWidth="1"/>
    <col min="12037" max="12037" width="22.5703125" style="91" bestFit="1" customWidth="1"/>
    <col min="12038" max="12038" width="8.7109375" style="91" bestFit="1" customWidth="1"/>
    <col min="12039" max="12291" width="9.140625" style="91"/>
    <col min="12292" max="12292" width="45.85546875" style="91" bestFit="1" customWidth="1"/>
    <col min="12293" max="12293" width="22.5703125" style="91" bestFit="1" customWidth="1"/>
    <col min="12294" max="12294" width="8.7109375" style="91" bestFit="1" customWidth="1"/>
    <col min="12295" max="12547" width="9.140625" style="91"/>
    <col min="12548" max="12548" width="45.85546875" style="91" bestFit="1" customWidth="1"/>
    <col min="12549" max="12549" width="22.5703125" style="91" bestFit="1" customWidth="1"/>
    <col min="12550" max="12550" width="8.7109375" style="91" bestFit="1" customWidth="1"/>
    <col min="12551" max="12803" width="9.140625" style="91"/>
    <col min="12804" max="12804" width="45.85546875" style="91" bestFit="1" customWidth="1"/>
    <col min="12805" max="12805" width="22.5703125" style="91" bestFit="1" customWidth="1"/>
    <col min="12806" max="12806" width="8.7109375" style="91" bestFit="1" customWidth="1"/>
    <col min="12807" max="13059" width="9.140625" style="91"/>
    <col min="13060" max="13060" width="45.85546875" style="91" bestFit="1" customWidth="1"/>
    <col min="13061" max="13061" width="22.5703125" style="91" bestFit="1" customWidth="1"/>
    <col min="13062" max="13062" width="8.7109375" style="91" bestFit="1" customWidth="1"/>
    <col min="13063" max="13315" width="9.140625" style="91"/>
    <col min="13316" max="13316" width="45.85546875" style="91" bestFit="1" customWidth="1"/>
    <col min="13317" max="13317" width="22.5703125" style="91" bestFit="1" customWidth="1"/>
    <col min="13318" max="13318" width="8.7109375" style="91" bestFit="1" customWidth="1"/>
    <col min="13319" max="13571" width="9.140625" style="91"/>
    <col min="13572" max="13572" width="45.85546875" style="91" bestFit="1" customWidth="1"/>
    <col min="13573" max="13573" width="22.5703125" style="91" bestFit="1" customWidth="1"/>
    <col min="13574" max="13574" width="8.7109375" style="91" bestFit="1" customWidth="1"/>
    <col min="13575" max="13827" width="9.140625" style="91"/>
    <col min="13828" max="13828" width="45.85546875" style="91" bestFit="1" customWidth="1"/>
    <col min="13829" max="13829" width="22.5703125" style="91" bestFit="1" customWidth="1"/>
    <col min="13830" max="13830" width="8.7109375" style="91" bestFit="1" customWidth="1"/>
    <col min="13831" max="14083" width="9.140625" style="91"/>
    <col min="14084" max="14084" width="45.85546875" style="91" bestFit="1" customWidth="1"/>
    <col min="14085" max="14085" width="22.5703125" style="91" bestFit="1" customWidth="1"/>
    <col min="14086" max="14086" width="8.7109375" style="91" bestFit="1" customWidth="1"/>
    <col min="14087" max="14339" width="9.140625" style="91"/>
    <col min="14340" max="14340" width="45.85546875" style="91" bestFit="1" customWidth="1"/>
    <col min="14341" max="14341" width="22.5703125" style="91" bestFit="1" customWidth="1"/>
    <col min="14342" max="14342" width="8.7109375" style="91" bestFit="1" customWidth="1"/>
    <col min="14343" max="14595" width="9.140625" style="91"/>
    <col min="14596" max="14596" width="45.85546875" style="91" bestFit="1" customWidth="1"/>
    <col min="14597" max="14597" width="22.5703125" style="91" bestFit="1" customWidth="1"/>
    <col min="14598" max="14598" width="8.7109375" style="91" bestFit="1" customWidth="1"/>
    <col min="14599" max="14851" width="9.140625" style="91"/>
    <col min="14852" max="14852" width="45.85546875" style="91" bestFit="1" customWidth="1"/>
    <col min="14853" max="14853" width="22.5703125" style="91" bestFit="1" customWidth="1"/>
    <col min="14854" max="14854" width="8.7109375" style="91" bestFit="1" customWidth="1"/>
    <col min="14855" max="15107" width="9.140625" style="91"/>
    <col min="15108" max="15108" width="45.85546875" style="91" bestFit="1" customWidth="1"/>
    <col min="15109" max="15109" width="22.5703125" style="91" bestFit="1" customWidth="1"/>
    <col min="15110" max="15110" width="8.7109375" style="91" bestFit="1" customWidth="1"/>
    <col min="15111" max="15363" width="9.140625" style="91"/>
    <col min="15364" max="15364" width="45.85546875" style="91" bestFit="1" customWidth="1"/>
    <col min="15365" max="15365" width="22.5703125" style="91" bestFit="1" customWidth="1"/>
    <col min="15366" max="15366" width="8.7109375" style="91" bestFit="1" customWidth="1"/>
    <col min="15367" max="15619" width="9.140625" style="91"/>
    <col min="15620" max="15620" width="45.85546875" style="91" bestFit="1" customWidth="1"/>
    <col min="15621" max="15621" width="22.5703125" style="91" bestFit="1" customWidth="1"/>
    <col min="15622" max="15622" width="8.7109375" style="91" bestFit="1" customWidth="1"/>
    <col min="15623" max="15875" width="9.140625" style="91"/>
    <col min="15876" max="15876" width="45.85546875" style="91" bestFit="1" customWidth="1"/>
    <col min="15877" max="15877" width="22.5703125" style="91" bestFit="1" customWidth="1"/>
    <col min="15878" max="15878" width="8.7109375" style="91" bestFit="1" customWidth="1"/>
    <col min="15879" max="16131" width="9.140625" style="91"/>
    <col min="16132" max="16132" width="45.85546875" style="91" bestFit="1" customWidth="1"/>
    <col min="16133" max="16133" width="22.5703125" style="91" bestFit="1" customWidth="1"/>
    <col min="16134" max="16134" width="8.7109375" style="91" bestFit="1" customWidth="1"/>
    <col min="16135" max="16384" width="9.140625" style="91"/>
  </cols>
  <sheetData>
    <row r="1" spans="1:11">
      <c r="A1"/>
      <c r="B1"/>
      <c r="C1"/>
      <c r="D1"/>
      <c r="E1"/>
      <c r="F1"/>
      <c r="G1"/>
      <c r="H1"/>
      <c r="I1"/>
      <c r="J1"/>
      <c r="K1"/>
    </row>
    <row r="2" spans="1:11">
      <c r="A2" s="92" t="s">
        <v>334</v>
      </c>
      <c r="B2" s="93">
        <f ca="1">+TODAY()</f>
        <v>43203</v>
      </c>
      <c r="C2" s="93"/>
      <c r="D2" s="92" t="s">
        <v>726</v>
      </c>
      <c r="E2" s="94"/>
      <c r="F2"/>
      <c r="G2"/>
      <c r="H2"/>
      <c r="I2"/>
      <c r="J2"/>
      <c r="K2"/>
    </row>
    <row r="3" spans="1:11">
      <c r="A3"/>
      <c r="B3"/>
      <c r="C3"/>
      <c r="D3"/>
      <c r="E3"/>
      <c r="F3"/>
      <c r="G3"/>
      <c r="H3"/>
      <c r="I3"/>
      <c r="J3"/>
      <c r="K3"/>
    </row>
    <row r="4" spans="1:11">
      <c r="A4"/>
      <c r="B4"/>
      <c r="C4"/>
      <c r="D4"/>
      <c r="E4"/>
      <c r="F4"/>
      <c r="G4"/>
      <c r="H4"/>
      <c r="I4"/>
      <c r="J4"/>
      <c r="K4"/>
    </row>
    <row r="5" spans="1:11">
      <c r="A5"/>
      <c r="B5"/>
      <c r="C5"/>
      <c r="D5"/>
      <c r="E5"/>
      <c r="F5"/>
      <c r="G5"/>
      <c r="H5"/>
      <c r="I5"/>
      <c r="J5"/>
      <c r="K5"/>
    </row>
    <row r="6" spans="1:11">
      <c r="A6"/>
      <c r="B6" s="1572" t="s">
        <v>639</v>
      </c>
      <c r="C6" s="1573" t="s">
        <v>622</v>
      </c>
      <c r="D6" s="1573"/>
      <c r="E6" s="1573"/>
      <c r="F6" s="1573"/>
      <c r="G6" s="1573"/>
      <c r="H6" s="1574" t="s">
        <v>623</v>
      </c>
      <c r="I6" s="1575" t="s">
        <v>624</v>
      </c>
      <c r="J6"/>
      <c r="K6"/>
    </row>
    <row r="7" spans="1:11">
      <c r="A7"/>
      <c r="B7" s="95"/>
      <c r="C7" s="179" t="s">
        <v>647</v>
      </c>
      <c r="D7" s="179" t="s">
        <v>644</v>
      </c>
      <c r="E7" s="179" t="s">
        <v>692</v>
      </c>
      <c r="F7" s="179" t="s">
        <v>710</v>
      </c>
      <c r="G7" s="179" t="s">
        <v>727</v>
      </c>
      <c r="H7" s="96"/>
      <c r="I7" s="97"/>
      <c r="J7"/>
      <c r="K7"/>
    </row>
    <row r="8" spans="1:11">
      <c r="A8"/>
      <c r="B8" s="98" t="s">
        <v>625</v>
      </c>
      <c r="C8" s="99" t="s">
        <v>629</v>
      </c>
      <c r="D8" s="99" t="s">
        <v>629</v>
      </c>
      <c r="E8" s="99" t="s">
        <v>693</v>
      </c>
      <c r="F8" s="99" t="s">
        <v>711</v>
      </c>
      <c r="G8" s="99" t="s">
        <v>730</v>
      </c>
      <c r="H8" s="99">
        <f>+IS!DW14/1000</f>
        <v>19.178999999999998</v>
      </c>
      <c r="I8" s="100" t="str">
        <f ca="1">_xll.ThomsonONEAddinShim.SpreadsheetFormulas.TF($A2,"TF.ES.SALES.Mean(period=#2,curn=usd,scale=9)","sdate=#1",$B$2,$D$2)</f>
        <v>$18.11</v>
      </c>
      <c r="J8"/>
      <c r="K8"/>
    </row>
    <row r="9" spans="1:11">
      <c r="A9"/>
      <c r="B9" s="101" t="s">
        <v>626</v>
      </c>
      <c r="C9" s="102" t="s">
        <v>645</v>
      </c>
      <c r="D9" s="102" t="s">
        <v>641</v>
      </c>
      <c r="E9" s="102" t="s">
        <v>694</v>
      </c>
      <c r="F9" s="102" t="s">
        <v>712</v>
      </c>
      <c r="G9" s="102" t="s">
        <v>645</v>
      </c>
      <c r="H9" s="113">
        <f>+IS!DW85</f>
        <v>2444</v>
      </c>
      <c r="I9" s="113" t="str">
        <f ca="1">_xll.ThomsonONEAddinShim.SpreadsheetFormulas.TF($A2,"TF.ES.EBITDA.Mean(period=#2,curn=usd,scale=6)","sdate=#1",$B$2,$D$2)</f>
        <v>$2,541</v>
      </c>
      <c r="J9"/>
      <c r="K9"/>
    </row>
    <row r="10" spans="1:11">
      <c r="A10"/>
      <c r="B10" s="101" t="s">
        <v>718</v>
      </c>
      <c r="C10" s="102"/>
      <c r="D10" s="102" t="s">
        <v>656</v>
      </c>
      <c r="E10" s="1526" t="s">
        <v>695</v>
      </c>
      <c r="F10" s="1526" t="s">
        <v>713</v>
      </c>
      <c r="G10" s="1526" t="s">
        <v>731</v>
      </c>
      <c r="H10" s="113"/>
      <c r="I10" s="113"/>
      <c r="J10"/>
      <c r="K10"/>
    </row>
    <row r="11" spans="1:11">
      <c r="A11"/>
      <c r="B11" s="109" t="s">
        <v>719</v>
      </c>
      <c r="C11" s="110" t="s">
        <v>646</v>
      </c>
      <c r="D11" s="110" t="s">
        <v>642</v>
      </c>
      <c r="E11" s="110" t="s">
        <v>698</v>
      </c>
      <c r="F11" s="110" t="s">
        <v>714</v>
      </c>
      <c r="G11" s="110" t="s">
        <v>732</v>
      </c>
      <c r="H11" s="1527">
        <f>+IS!DW59</f>
        <v>82</v>
      </c>
      <c r="I11" s="1527" t="str">
        <f ca="1">_xll.ThomsonONEAddinShim.SpreadsheetFormulas.TF($A2,"TF.ES.NETINC.Mean(period=#2,curn=usd,scale=6)","sdate=#1",$B$2,$D$2)</f>
        <v xml:space="preserve">$96 </v>
      </c>
      <c r="J11"/>
      <c r="K11"/>
    </row>
    <row r="12" spans="1:11">
      <c r="A12"/>
      <c r="B12" s="101" t="s">
        <v>734</v>
      </c>
      <c r="C12" s="102" t="s">
        <v>630</v>
      </c>
      <c r="D12" s="102" t="s">
        <v>630</v>
      </c>
      <c r="E12" s="102" t="s">
        <v>696</v>
      </c>
      <c r="F12" s="102" t="s">
        <v>715</v>
      </c>
      <c r="G12" s="102" t="s">
        <v>733</v>
      </c>
      <c r="H12" s="113">
        <f>+'BS &amp; CF'!DW202</f>
        <v>623</v>
      </c>
      <c r="I12" s="113"/>
      <c r="J12"/>
      <c r="K12"/>
    </row>
    <row r="13" spans="1:11">
      <c r="A13"/>
      <c r="B13" s="103" t="s">
        <v>735</v>
      </c>
      <c r="C13" s="104" t="s">
        <v>652</v>
      </c>
      <c r="D13" s="104" t="s">
        <v>653</v>
      </c>
      <c r="E13" s="104" t="s">
        <v>697</v>
      </c>
      <c r="F13" s="104" t="s">
        <v>716</v>
      </c>
      <c r="G13" s="104" t="s">
        <v>652</v>
      </c>
      <c r="H13" s="114">
        <f>'BS &amp; CF'!DW199</f>
        <v>1330</v>
      </c>
      <c r="I13" s="104"/>
      <c r="J13"/>
      <c r="K13"/>
    </row>
    <row r="14" spans="1:11" s="380" customFormat="1">
      <c r="A14"/>
      <c r="B14" s="111"/>
      <c r="C14" s="112"/>
      <c r="D14" s="112"/>
      <c r="E14" s="377"/>
      <c r="F14" s="378"/>
      <c r="G14" s="378"/>
      <c r="H14" s="86"/>
      <c r="I14" s="379"/>
      <c r="J14" s="379"/>
      <c r="K14" s="379"/>
    </row>
    <row r="15" spans="1:11">
      <c r="A15"/>
      <c r="B15" s="105"/>
      <c r="C15" s="105"/>
      <c r="D15" s="106"/>
      <c r="E15" s="107"/>
      <c r="F15" s="108"/>
      <c r="G15" s="108"/>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1476" bestFit="1" customWidth="1"/>
    <col min="2" max="2" width="19.85546875" style="1609" customWidth="1"/>
    <col min="3" max="3" width="12" style="1476" bestFit="1" customWidth="1"/>
    <col min="4" max="256" width="9.140625" style="1476"/>
    <col min="257" max="257" width="29.5703125" style="1476" bestFit="1" customWidth="1"/>
    <col min="258" max="258" width="19.85546875" style="1476" customWidth="1"/>
    <col min="259" max="259" width="12" style="1476" bestFit="1" customWidth="1"/>
    <col min="260" max="512" width="9.140625" style="1476"/>
    <col min="513" max="513" width="29.5703125" style="1476" bestFit="1" customWidth="1"/>
    <col min="514" max="514" width="19.85546875" style="1476" customWidth="1"/>
    <col min="515" max="515" width="12" style="1476" bestFit="1" customWidth="1"/>
    <col min="516" max="768" width="9.140625" style="1476"/>
    <col min="769" max="769" width="29.5703125" style="1476" bestFit="1" customWidth="1"/>
    <col min="770" max="770" width="19.85546875" style="1476" customWidth="1"/>
    <col min="771" max="771" width="12" style="1476" bestFit="1" customWidth="1"/>
    <col min="772" max="1024" width="9.140625" style="1476"/>
    <col min="1025" max="1025" width="29.5703125" style="1476" bestFit="1" customWidth="1"/>
    <col min="1026" max="1026" width="19.85546875" style="1476" customWidth="1"/>
    <col min="1027" max="1027" width="12" style="1476" bestFit="1" customWidth="1"/>
    <col min="1028" max="1280" width="9.140625" style="1476"/>
    <col min="1281" max="1281" width="29.5703125" style="1476" bestFit="1" customWidth="1"/>
    <col min="1282" max="1282" width="19.85546875" style="1476" customWidth="1"/>
    <col min="1283" max="1283" width="12" style="1476" bestFit="1" customWidth="1"/>
    <col min="1284" max="1536" width="9.140625" style="1476"/>
    <col min="1537" max="1537" width="29.5703125" style="1476" bestFit="1" customWidth="1"/>
    <col min="1538" max="1538" width="19.85546875" style="1476" customWidth="1"/>
    <col min="1539" max="1539" width="12" style="1476" bestFit="1" customWidth="1"/>
    <col min="1540" max="1792" width="9.140625" style="1476"/>
    <col min="1793" max="1793" width="29.5703125" style="1476" bestFit="1" customWidth="1"/>
    <col min="1794" max="1794" width="19.85546875" style="1476" customWidth="1"/>
    <col min="1795" max="1795" width="12" style="1476" bestFit="1" customWidth="1"/>
    <col min="1796" max="2048" width="9.140625" style="1476"/>
    <col min="2049" max="2049" width="29.5703125" style="1476" bestFit="1" customWidth="1"/>
    <col min="2050" max="2050" width="19.85546875" style="1476" customWidth="1"/>
    <col min="2051" max="2051" width="12" style="1476" bestFit="1" customWidth="1"/>
    <col min="2052" max="2304" width="9.140625" style="1476"/>
    <col min="2305" max="2305" width="29.5703125" style="1476" bestFit="1" customWidth="1"/>
    <col min="2306" max="2306" width="19.85546875" style="1476" customWidth="1"/>
    <col min="2307" max="2307" width="12" style="1476" bestFit="1" customWidth="1"/>
    <col min="2308" max="2560" width="9.140625" style="1476"/>
    <col min="2561" max="2561" width="29.5703125" style="1476" bestFit="1" customWidth="1"/>
    <col min="2562" max="2562" width="19.85546875" style="1476" customWidth="1"/>
    <col min="2563" max="2563" width="12" style="1476" bestFit="1" customWidth="1"/>
    <col min="2564" max="2816" width="9.140625" style="1476"/>
    <col min="2817" max="2817" width="29.5703125" style="1476" bestFit="1" customWidth="1"/>
    <col min="2818" max="2818" width="19.85546875" style="1476" customWidth="1"/>
    <col min="2819" max="2819" width="12" style="1476" bestFit="1" customWidth="1"/>
    <col min="2820" max="3072" width="9.140625" style="1476"/>
    <col min="3073" max="3073" width="29.5703125" style="1476" bestFit="1" customWidth="1"/>
    <col min="3074" max="3074" width="19.85546875" style="1476" customWidth="1"/>
    <col min="3075" max="3075" width="12" style="1476" bestFit="1" customWidth="1"/>
    <col min="3076" max="3328" width="9.140625" style="1476"/>
    <col min="3329" max="3329" width="29.5703125" style="1476" bestFit="1" customWidth="1"/>
    <col min="3330" max="3330" width="19.85546875" style="1476" customWidth="1"/>
    <col min="3331" max="3331" width="12" style="1476" bestFit="1" customWidth="1"/>
    <col min="3332" max="3584" width="9.140625" style="1476"/>
    <col min="3585" max="3585" width="29.5703125" style="1476" bestFit="1" customWidth="1"/>
    <col min="3586" max="3586" width="19.85546875" style="1476" customWidth="1"/>
    <col min="3587" max="3587" width="12" style="1476" bestFit="1" customWidth="1"/>
    <col min="3588" max="3840" width="9.140625" style="1476"/>
    <col min="3841" max="3841" width="29.5703125" style="1476" bestFit="1" customWidth="1"/>
    <col min="3842" max="3842" width="19.85546875" style="1476" customWidth="1"/>
    <col min="3843" max="3843" width="12" style="1476" bestFit="1" customWidth="1"/>
    <col min="3844" max="4096" width="9.140625" style="1476"/>
    <col min="4097" max="4097" width="29.5703125" style="1476" bestFit="1" customWidth="1"/>
    <col min="4098" max="4098" width="19.85546875" style="1476" customWidth="1"/>
    <col min="4099" max="4099" width="12" style="1476" bestFit="1" customWidth="1"/>
    <col min="4100" max="4352" width="9.140625" style="1476"/>
    <col min="4353" max="4353" width="29.5703125" style="1476" bestFit="1" customWidth="1"/>
    <col min="4354" max="4354" width="19.85546875" style="1476" customWidth="1"/>
    <col min="4355" max="4355" width="12" style="1476" bestFit="1" customWidth="1"/>
    <col min="4356" max="4608" width="9.140625" style="1476"/>
    <col min="4609" max="4609" width="29.5703125" style="1476" bestFit="1" customWidth="1"/>
    <col min="4610" max="4610" width="19.85546875" style="1476" customWidth="1"/>
    <col min="4611" max="4611" width="12" style="1476" bestFit="1" customWidth="1"/>
    <col min="4612" max="4864" width="9.140625" style="1476"/>
    <col min="4865" max="4865" width="29.5703125" style="1476" bestFit="1" customWidth="1"/>
    <col min="4866" max="4866" width="19.85546875" style="1476" customWidth="1"/>
    <col min="4867" max="4867" width="12" style="1476" bestFit="1" customWidth="1"/>
    <col min="4868" max="5120" width="9.140625" style="1476"/>
    <col min="5121" max="5121" width="29.5703125" style="1476" bestFit="1" customWidth="1"/>
    <col min="5122" max="5122" width="19.85546875" style="1476" customWidth="1"/>
    <col min="5123" max="5123" width="12" style="1476" bestFit="1" customWidth="1"/>
    <col min="5124" max="5376" width="9.140625" style="1476"/>
    <col min="5377" max="5377" width="29.5703125" style="1476" bestFit="1" customWidth="1"/>
    <col min="5378" max="5378" width="19.85546875" style="1476" customWidth="1"/>
    <col min="5379" max="5379" width="12" style="1476" bestFit="1" customWidth="1"/>
    <col min="5380" max="5632" width="9.140625" style="1476"/>
    <col min="5633" max="5633" width="29.5703125" style="1476" bestFit="1" customWidth="1"/>
    <col min="5634" max="5634" width="19.85546875" style="1476" customWidth="1"/>
    <col min="5635" max="5635" width="12" style="1476" bestFit="1" customWidth="1"/>
    <col min="5636" max="5888" width="9.140625" style="1476"/>
    <col min="5889" max="5889" width="29.5703125" style="1476" bestFit="1" customWidth="1"/>
    <col min="5890" max="5890" width="19.85546875" style="1476" customWidth="1"/>
    <col min="5891" max="5891" width="12" style="1476" bestFit="1" customWidth="1"/>
    <col min="5892" max="6144" width="9.140625" style="1476"/>
    <col min="6145" max="6145" width="29.5703125" style="1476" bestFit="1" customWidth="1"/>
    <col min="6146" max="6146" width="19.85546875" style="1476" customWidth="1"/>
    <col min="6147" max="6147" width="12" style="1476" bestFit="1" customWidth="1"/>
    <col min="6148" max="6400" width="9.140625" style="1476"/>
    <col min="6401" max="6401" width="29.5703125" style="1476" bestFit="1" customWidth="1"/>
    <col min="6402" max="6402" width="19.85546875" style="1476" customWidth="1"/>
    <col min="6403" max="6403" width="12" style="1476" bestFit="1" customWidth="1"/>
    <col min="6404" max="6656" width="9.140625" style="1476"/>
    <col min="6657" max="6657" width="29.5703125" style="1476" bestFit="1" customWidth="1"/>
    <col min="6658" max="6658" width="19.85546875" style="1476" customWidth="1"/>
    <col min="6659" max="6659" width="12" style="1476" bestFit="1" customWidth="1"/>
    <col min="6660" max="6912" width="9.140625" style="1476"/>
    <col min="6913" max="6913" width="29.5703125" style="1476" bestFit="1" customWidth="1"/>
    <col min="6914" max="6914" width="19.85546875" style="1476" customWidth="1"/>
    <col min="6915" max="6915" width="12" style="1476" bestFit="1" customWidth="1"/>
    <col min="6916" max="7168" width="9.140625" style="1476"/>
    <col min="7169" max="7169" width="29.5703125" style="1476" bestFit="1" customWidth="1"/>
    <col min="7170" max="7170" width="19.85546875" style="1476" customWidth="1"/>
    <col min="7171" max="7171" width="12" style="1476" bestFit="1" customWidth="1"/>
    <col min="7172" max="7424" width="9.140625" style="1476"/>
    <col min="7425" max="7425" width="29.5703125" style="1476" bestFit="1" customWidth="1"/>
    <col min="7426" max="7426" width="19.85546875" style="1476" customWidth="1"/>
    <col min="7427" max="7427" width="12" style="1476" bestFit="1" customWidth="1"/>
    <col min="7428" max="7680" width="9.140625" style="1476"/>
    <col min="7681" max="7681" width="29.5703125" style="1476" bestFit="1" customWidth="1"/>
    <col min="7682" max="7682" width="19.85546875" style="1476" customWidth="1"/>
    <col min="7683" max="7683" width="12" style="1476" bestFit="1" customWidth="1"/>
    <col min="7684" max="7936" width="9.140625" style="1476"/>
    <col min="7937" max="7937" width="29.5703125" style="1476" bestFit="1" customWidth="1"/>
    <col min="7938" max="7938" width="19.85546875" style="1476" customWidth="1"/>
    <col min="7939" max="7939" width="12" style="1476" bestFit="1" customWidth="1"/>
    <col min="7940" max="8192" width="9.140625" style="1476"/>
    <col min="8193" max="8193" width="29.5703125" style="1476" bestFit="1" customWidth="1"/>
    <col min="8194" max="8194" width="19.85546875" style="1476" customWidth="1"/>
    <col min="8195" max="8195" width="12" style="1476" bestFit="1" customWidth="1"/>
    <col min="8196" max="8448" width="9.140625" style="1476"/>
    <col min="8449" max="8449" width="29.5703125" style="1476" bestFit="1" customWidth="1"/>
    <col min="8450" max="8450" width="19.85546875" style="1476" customWidth="1"/>
    <col min="8451" max="8451" width="12" style="1476" bestFit="1" customWidth="1"/>
    <col min="8452" max="8704" width="9.140625" style="1476"/>
    <col min="8705" max="8705" width="29.5703125" style="1476" bestFit="1" customWidth="1"/>
    <col min="8706" max="8706" width="19.85546875" style="1476" customWidth="1"/>
    <col min="8707" max="8707" width="12" style="1476" bestFit="1" customWidth="1"/>
    <col min="8708" max="8960" width="9.140625" style="1476"/>
    <col min="8961" max="8961" width="29.5703125" style="1476" bestFit="1" customWidth="1"/>
    <col min="8962" max="8962" width="19.85546875" style="1476" customWidth="1"/>
    <col min="8963" max="8963" width="12" style="1476" bestFit="1" customWidth="1"/>
    <col min="8964" max="9216" width="9.140625" style="1476"/>
    <col min="9217" max="9217" width="29.5703125" style="1476" bestFit="1" customWidth="1"/>
    <col min="9218" max="9218" width="19.85546875" style="1476" customWidth="1"/>
    <col min="9219" max="9219" width="12" style="1476" bestFit="1" customWidth="1"/>
    <col min="9220" max="9472" width="9.140625" style="1476"/>
    <col min="9473" max="9473" width="29.5703125" style="1476" bestFit="1" customWidth="1"/>
    <col min="9474" max="9474" width="19.85546875" style="1476" customWidth="1"/>
    <col min="9475" max="9475" width="12" style="1476" bestFit="1" customWidth="1"/>
    <col min="9476" max="9728" width="9.140625" style="1476"/>
    <col min="9729" max="9729" width="29.5703125" style="1476" bestFit="1" customWidth="1"/>
    <col min="9730" max="9730" width="19.85546875" style="1476" customWidth="1"/>
    <col min="9731" max="9731" width="12" style="1476" bestFit="1" customWidth="1"/>
    <col min="9732" max="9984" width="9.140625" style="1476"/>
    <col min="9985" max="9985" width="29.5703125" style="1476" bestFit="1" customWidth="1"/>
    <col min="9986" max="9986" width="19.85546875" style="1476" customWidth="1"/>
    <col min="9987" max="9987" width="12" style="1476" bestFit="1" customWidth="1"/>
    <col min="9988" max="10240" width="9.140625" style="1476"/>
    <col min="10241" max="10241" width="29.5703125" style="1476" bestFit="1" customWidth="1"/>
    <col min="10242" max="10242" width="19.85546875" style="1476" customWidth="1"/>
    <col min="10243" max="10243" width="12" style="1476" bestFit="1" customWidth="1"/>
    <col min="10244" max="10496" width="9.140625" style="1476"/>
    <col min="10497" max="10497" width="29.5703125" style="1476" bestFit="1" customWidth="1"/>
    <col min="10498" max="10498" width="19.85546875" style="1476" customWidth="1"/>
    <col min="10499" max="10499" width="12" style="1476" bestFit="1" customWidth="1"/>
    <col min="10500" max="10752" width="9.140625" style="1476"/>
    <col min="10753" max="10753" width="29.5703125" style="1476" bestFit="1" customWidth="1"/>
    <col min="10754" max="10754" width="19.85546875" style="1476" customWidth="1"/>
    <col min="10755" max="10755" width="12" style="1476" bestFit="1" customWidth="1"/>
    <col min="10756" max="11008" width="9.140625" style="1476"/>
    <col min="11009" max="11009" width="29.5703125" style="1476" bestFit="1" customWidth="1"/>
    <col min="11010" max="11010" width="19.85546875" style="1476" customWidth="1"/>
    <col min="11011" max="11011" width="12" style="1476" bestFit="1" customWidth="1"/>
    <col min="11012" max="11264" width="9.140625" style="1476"/>
    <col min="11265" max="11265" width="29.5703125" style="1476" bestFit="1" customWidth="1"/>
    <col min="11266" max="11266" width="19.85546875" style="1476" customWidth="1"/>
    <col min="11267" max="11267" width="12" style="1476" bestFit="1" customWidth="1"/>
    <col min="11268" max="11520" width="9.140625" style="1476"/>
    <col min="11521" max="11521" width="29.5703125" style="1476" bestFit="1" customWidth="1"/>
    <col min="11522" max="11522" width="19.85546875" style="1476" customWidth="1"/>
    <col min="11523" max="11523" width="12" style="1476" bestFit="1" customWidth="1"/>
    <col min="11524" max="11776" width="9.140625" style="1476"/>
    <col min="11777" max="11777" width="29.5703125" style="1476" bestFit="1" customWidth="1"/>
    <col min="11778" max="11778" width="19.85546875" style="1476" customWidth="1"/>
    <col min="11779" max="11779" width="12" style="1476" bestFit="1" customWidth="1"/>
    <col min="11780" max="12032" width="9.140625" style="1476"/>
    <col min="12033" max="12033" width="29.5703125" style="1476" bestFit="1" customWidth="1"/>
    <col min="12034" max="12034" width="19.85546875" style="1476" customWidth="1"/>
    <col min="12035" max="12035" width="12" style="1476" bestFit="1" customWidth="1"/>
    <col min="12036" max="12288" width="9.140625" style="1476"/>
    <col min="12289" max="12289" width="29.5703125" style="1476" bestFit="1" customWidth="1"/>
    <col min="12290" max="12290" width="19.85546875" style="1476" customWidth="1"/>
    <col min="12291" max="12291" width="12" style="1476" bestFit="1" customWidth="1"/>
    <col min="12292" max="12544" width="9.140625" style="1476"/>
    <col min="12545" max="12545" width="29.5703125" style="1476" bestFit="1" customWidth="1"/>
    <col min="12546" max="12546" width="19.85546875" style="1476" customWidth="1"/>
    <col min="12547" max="12547" width="12" style="1476" bestFit="1" customWidth="1"/>
    <col min="12548" max="12800" width="9.140625" style="1476"/>
    <col min="12801" max="12801" width="29.5703125" style="1476" bestFit="1" customWidth="1"/>
    <col min="12802" max="12802" width="19.85546875" style="1476" customWidth="1"/>
    <col min="12803" max="12803" width="12" style="1476" bestFit="1" customWidth="1"/>
    <col min="12804" max="13056" width="9.140625" style="1476"/>
    <col min="13057" max="13057" width="29.5703125" style="1476" bestFit="1" customWidth="1"/>
    <col min="13058" max="13058" width="19.85546875" style="1476" customWidth="1"/>
    <col min="13059" max="13059" width="12" style="1476" bestFit="1" customWidth="1"/>
    <col min="13060" max="13312" width="9.140625" style="1476"/>
    <col min="13313" max="13313" width="29.5703125" style="1476" bestFit="1" customWidth="1"/>
    <col min="13314" max="13314" width="19.85546875" style="1476" customWidth="1"/>
    <col min="13315" max="13315" width="12" style="1476" bestFit="1" customWidth="1"/>
    <col min="13316" max="13568" width="9.140625" style="1476"/>
    <col min="13569" max="13569" width="29.5703125" style="1476" bestFit="1" customWidth="1"/>
    <col min="13570" max="13570" width="19.85546875" style="1476" customWidth="1"/>
    <col min="13571" max="13571" width="12" style="1476" bestFit="1" customWidth="1"/>
    <col min="13572" max="13824" width="9.140625" style="1476"/>
    <col min="13825" max="13825" width="29.5703125" style="1476" bestFit="1" customWidth="1"/>
    <col min="13826" max="13826" width="19.85546875" style="1476" customWidth="1"/>
    <col min="13827" max="13827" width="12" style="1476" bestFit="1" customWidth="1"/>
    <col min="13828" max="14080" width="9.140625" style="1476"/>
    <col min="14081" max="14081" width="29.5703125" style="1476" bestFit="1" customWidth="1"/>
    <col min="14082" max="14082" width="19.85546875" style="1476" customWidth="1"/>
    <col min="14083" max="14083" width="12" style="1476" bestFit="1" customWidth="1"/>
    <col min="14084" max="14336" width="9.140625" style="1476"/>
    <col min="14337" max="14337" width="29.5703125" style="1476" bestFit="1" customWidth="1"/>
    <col min="14338" max="14338" width="19.85546875" style="1476" customWidth="1"/>
    <col min="14339" max="14339" width="12" style="1476" bestFit="1" customWidth="1"/>
    <col min="14340" max="14592" width="9.140625" style="1476"/>
    <col min="14593" max="14593" width="29.5703125" style="1476" bestFit="1" customWidth="1"/>
    <col min="14594" max="14594" width="19.85546875" style="1476" customWidth="1"/>
    <col min="14595" max="14595" width="12" style="1476" bestFit="1" customWidth="1"/>
    <col min="14596" max="14848" width="9.140625" style="1476"/>
    <col min="14849" max="14849" width="29.5703125" style="1476" bestFit="1" customWidth="1"/>
    <col min="14850" max="14850" width="19.85546875" style="1476" customWidth="1"/>
    <col min="14851" max="14851" width="12" style="1476" bestFit="1" customWidth="1"/>
    <col min="14852" max="15104" width="9.140625" style="1476"/>
    <col min="15105" max="15105" width="29.5703125" style="1476" bestFit="1" customWidth="1"/>
    <col min="15106" max="15106" width="19.85546875" style="1476" customWidth="1"/>
    <col min="15107" max="15107" width="12" style="1476" bestFit="1" customWidth="1"/>
    <col min="15108" max="15360" width="9.140625" style="1476"/>
    <col min="15361" max="15361" width="29.5703125" style="1476" bestFit="1" customWidth="1"/>
    <col min="15362" max="15362" width="19.85546875" style="1476" customWidth="1"/>
    <col min="15363" max="15363" width="12" style="1476" bestFit="1" customWidth="1"/>
    <col min="15364" max="15616" width="9.140625" style="1476"/>
    <col min="15617" max="15617" width="29.5703125" style="1476" bestFit="1" customWidth="1"/>
    <col min="15618" max="15618" width="19.85546875" style="1476" customWidth="1"/>
    <col min="15619" max="15619" width="12" style="1476" bestFit="1" customWidth="1"/>
    <col min="15620" max="15872" width="9.140625" style="1476"/>
    <col min="15873" max="15873" width="29.5703125" style="1476" bestFit="1" customWidth="1"/>
    <col min="15874" max="15874" width="19.85546875" style="1476" customWidth="1"/>
    <col min="15875" max="15875" width="12" style="1476" bestFit="1" customWidth="1"/>
    <col min="15876" max="16128" width="9.140625" style="1476"/>
    <col min="16129" max="16129" width="29.5703125" style="1476" bestFit="1" customWidth="1"/>
    <col min="16130" max="16130" width="19.85546875" style="1476" customWidth="1"/>
    <col min="16131" max="16131" width="12" style="1476" bestFit="1" customWidth="1"/>
    <col min="16132" max="16384" width="9.140625" style="1476"/>
  </cols>
  <sheetData>
    <row r="1" spans="1:2">
      <c r="A1" s="1476" t="s">
        <v>1044</v>
      </c>
      <c r="B1" s="1608">
        <v>6.1</v>
      </c>
    </row>
    <row r="2" spans="1:2">
      <c r="A2" s="1476" t="s">
        <v>1045</v>
      </c>
      <c r="B2" s="1612">
        <v>43203.560069444444</v>
      </c>
    </row>
    <row r="3" spans="1:2">
      <c r="A3" s="1476" t="s">
        <v>1046</v>
      </c>
      <c r="B3" s="1609" t="s">
        <v>740</v>
      </c>
    </row>
    <row r="4" spans="1:2">
      <c r="A4" s="1476" t="s">
        <v>1047</v>
      </c>
      <c r="B4" s="1609" t="s">
        <v>1048</v>
      </c>
    </row>
    <row r="5" spans="1:2">
      <c r="A5" s="1476" t="s">
        <v>1049</v>
      </c>
      <c r="B5" s="1609" t="s">
        <v>1050</v>
      </c>
    </row>
    <row r="6" spans="1:2">
      <c r="A6" s="1476" t="s">
        <v>1051</v>
      </c>
    </row>
    <row r="7" spans="1:2">
      <c r="A7" s="1476" t="s">
        <v>1052</v>
      </c>
      <c r="B7" s="1609" t="s">
        <v>324</v>
      </c>
    </row>
    <row r="8" spans="1:2">
      <c r="A8" s="1476" t="s">
        <v>1053</v>
      </c>
      <c r="B8" s="1609" t="s">
        <v>1054</v>
      </c>
    </row>
    <row r="9" spans="1:2">
      <c r="A9" s="1476" t="s">
        <v>1055</v>
      </c>
      <c r="B9" s="1609" t="s">
        <v>1092</v>
      </c>
    </row>
    <row r="10" spans="1:2">
      <c r="A10" s="1476" t="s">
        <v>1056</v>
      </c>
    </row>
    <row r="11" spans="1:2">
      <c r="A11" s="1476" t="s">
        <v>1057</v>
      </c>
    </row>
    <row r="12" spans="1:2">
      <c r="A12" s="1476" t="s">
        <v>1058</v>
      </c>
    </row>
    <row r="13" spans="1:2">
      <c r="A13" s="1476" t="s">
        <v>1059</v>
      </c>
    </row>
    <row r="14" spans="1:2">
      <c r="A14" s="1476" t="s">
        <v>1060</v>
      </c>
    </row>
    <row r="15" spans="1:2">
      <c r="A15" s="1476" t="s">
        <v>1061</v>
      </c>
    </row>
    <row r="16" spans="1:2">
      <c r="A16" s="1476" t="s">
        <v>1062</v>
      </c>
    </row>
    <row r="17" spans="1:4">
      <c r="A17" s="1476" t="s">
        <v>1063</v>
      </c>
      <c r="B17" s="1609" t="s">
        <v>1093</v>
      </c>
    </row>
    <row r="18" spans="1:4">
      <c r="A18" s="1476" t="s">
        <v>1064</v>
      </c>
      <c r="B18" s="1609" t="s">
        <v>741</v>
      </c>
    </row>
    <row r="19" spans="1:4">
      <c r="A19" s="1476" t="s">
        <v>1065</v>
      </c>
      <c r="B19" s="1609" t="s">
        <v>387</v>
      </c>
    </row>
    <row r="20" spans="1:4">
      <c r="A20" s="1476" t="s">
        <v>1066</v>
      </c>
      <c r="B20" s="1610" t="s">
        <v>1095</v>
      </c>
    </row>
    <row r="21" spans="1:4">
      <c r="A21" s="1476" t="s">
        <v>1067</v>
      </c>
      <c r="B21" s="1609" t="s">
        <v>387</v>
      </c>
    </row>
    <row r="22" spans="1:4">
      <c r="A22" s="1476" t="s">
        <v>1068</v>
      </c>
      <c r="B22" s="1610" t="s">
        <v>330</v>
      </c>
    </row>
    <row r="23" spans="1:4">
      <c r="A23" s="1476" t="s">
        <v>326</v>
      </c>
      <c r="B23" s="1608">
        <v>22.95</v>
      </c>
    </row>
    <row r="24" spans="1:4">
      <c r="A24" s="1476" t="s">
        <v>325</v>
      </c>
      <c r="B24" s="1609" t="s">
        <v>328</v>
      </c>
      <c r="D24" s="1476" t="s">
        <v>115</v>
      </c>
    </row>
    <row r="25" spans="1:4">
      <c r="A25" s="1476" t="s">
        <v>1069</v>
      </c>
      <c r="B25" s="1609" t="s">
        <v>1096</v>
      </c>
    </row>
    <row r="26" spans="1:4">
      <c r="A26" s="1476" t="s">
        <v>1070</v>
      </c>
      <c r="B26" s="1609">
        <v>0</v>
      </c>
    </row>
    <row r="27" spans="1:4">
      <c r="A27" s="1476" t="s">
        <v>1071</v>
      </c>
      <c r="B27" s="1609" t="s">
        <v>1072</v>
      </c>
    </row>
    <row r="28" spans="1:4">
      <c r="A28" s="1476" t="s">
        <v>1073</v>
      </c>
      <c r="B28" s="1609" t="s">
        <v>1074</v>
      </c>
    </row>
    <row r="29" spans="1:4">
      <c r="A29" s="1476" t="s">
        <v>1075</v>
      </c>
    </row>
    <row r="30" spans="1:4">
      <c r="A30" s="1476" t="s">
        <v>1076</v>
      </c>
    </row>
    <row r="31" spans="1:4">
      <c r="A31" s="1476" t="s">
        <v>1077</v>
      </c>
    </row>
    <row r="32" spans="1:4">
      <c r="A32" s="1476" t="s">
        <v>1078</v>
      </c>
      <c r="B32" s="1608"/>
    </row>
    <row r="33" spans="1:2">
      <c r="A33" s="1476" t="s">
        <v>1079</v>
      </c>
      <c r="B33" s="1608"/>
    </row>
    <row r="34" spans="1:2">
      <c r="A34" s="1476" t="s">
        <v>1080</v>
      </c>
      <c r="B34" s="1608"/>
    </row>
    <row r="35" spans="1:2">
      <c r="A35" s="1476" t="s">
        <v>1081</v>
      </c>
      <c r="B35" s="1609">
        <v>1000000</v>
      </c>
    </row>
    <row r="36" spans="1:2">
      <c r="A36" s="1476" t="s">
        <v>1082</v>
      </c>
      <c r="B36" s="1609" t="s">
        <v>1094</v>
      </c>
    </row>
    <row r="37" spans="1:2">
      <c r="A37" s="1476" t="s">
        <v>1083</v>
      </c>
      <c r="B37" s="1609" t="s">
        <v>1084</v>
      </c>
    </row>
    <row r="38" spans="1:2">
      <c r="A38" s="1476" t="s">
        <v>1085</v>
      </c>
      <c r="B38" s="1609" t="s">
        <v>1086</v>
      </c>
    </row>
    <row r="39" spans="1:2">
      <c r="A39" s="1476" t="s">
        <v>1087</v>
      </c>
      <c r="B39" s="1609" t="s">
        <v>662</v>
      </c>
    </row>
    <row r="40" spans="1:2">
      <c r="A40" s="1476" t="s">
        <v>1088</v>
      </c>
      <c r="B40" s="1609">
        <v>1500005495</v>
      </c>
    </row>
    <row r="41" spans="1:2">
      <c r="A41" s="1476" t="s">
        <v>1089</v>
      </c>
      <c r="B41" s="1609">
        <v>1</v>
      </c>
    </row>
    <row r="42" spans="1:2">
      <c r="A42" s="1611" t="s">
        <v>1090</v>
      </c>
    </row>
    <row r="43" spans="1:2">
      <c r="A43" s="1476" t="s">
        <v>1091</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476" bestFit="1" customWidth="1"/>
    <col min="2" max="256" width="9.140625" style="1476"/>
    <col min="257" max="257" width="28.5703125" style="1476" bestFit="1" customWidth="1"/>
    <col min="258" max="512" width="9.140625" style="1476"/>
    <col min="513" max="513" width="28.5703125" style="1476" bestFit="1" customWidth="1"/>
    <col min="514" max="768" width="9.140625" style="1476"/>
    <col min="769" max="769" width="28.5703125" style="1476" bestFit="1" customWidth="1"/>
    <col min="770" max="1024" width="9.140625" style="1476"/>
    <col min="1025" max="1025" width="28.5703125" style="1476" bestFit="1" customWidth="1"/>
    <col min="1026" max="1280" width="9.140625" style="1476"/>
    <col min="1281" max="1281" width="28.5703125" style="1476" bestFit="1" customWidth="1"/>
    <col min="1282" max="1536" width="9.140625" style="1476"/>
    <col min="1537" max="1537" width="28.5703125" style="1476" bestFit="1" customWidth="1"/>
    <col min="1538" max="1792" width="9.140625" style="1476"/>
    <col min="1793" max="1793" width="28.5703125" style="1476" bestFit="1" customWidth="1"/>
    <col min="1794" max="2048" width="9.140625" style="1476"/>
    <col min="2049" max="2049" width="28.5703125" style="1476" bestFit="1" customWidth="1"/>
    <col min="2050" max="2304" width="9.140625" style="1476"/>
    <col min="2305" max="2305" width="28.5703125" style="1476" bestFit="1" customWidth="1"/>
    <col min="2306" max="2560" width="9.140625" style="1476"/>
    <col min="2561" max="2561" width="28.5703125" style="1476" bestFit="1" customWidth="1"/>
    <col min="2562" max="2816" width="9.140625" style="1476"/>
    <col min="2817" max="2817" width="28.5703125" style="1476" bestFit="1" customWidth="1"/>
    <col min="2818" max="3072" width="9.140625" style="1476"/>
    <col min="3073" max="3073" width="28.5703125" style="1476" bestFit="1" customWidth="1"/>
    <col min="3074" max="3328" width="9.140625" style="1476"/>
    <col min="3329" max="3329" width="28.5703125" style="1476" bestFit="1" customWidth="1"/>
    <col min="3330" max="3584" width="9.140625" style="1476"/>
    <col min="3585" max="3585" width="28.5703125" style="1476" bestFit="1" customWidth="1"/>
    <col min="3586" max="3840" width="9.140625" style="1476"/>
    <col min="3841" max="3841" width="28.5703125" style="1476" bestFit="1" customWidth="1"/>
    <col min="3842" max="4096" width="9.140625" style="1476"/>
    <col min="4097" max="4097" width="28.5703125" style="1476" bestFit="1" customWidth="1"/>
    <col min="4098" max="4352" width="9.140625" style="1476"/>
    <col min="4353" max="4353" width="28.5703125" style="1476" bestFit="1" customWidth="1"/>
    <col min="4354" max="4608" width="9.140625" style="1476"/>
    <col min="4609" max="4609" width="28.5703125" style="1476" bestFit="1" customWidth="1"/>
    <col min="4610" max="4864" width="9.140625" style="1476"/>
    <col min="4865" max="4865" width="28.5703125" style="1476" bestFit="1" customWidth="1"/>
    <col min="4866" max="5120" width="9.140625" style="1476"/>
    <col min="5121" max="5121" width="28.5703125" style="1476" bestFit="1" customWidth="1"/>
    <col min="5122" max="5376" width="9.140625" style="1476"/>
    <col min="5377" max="5377" width="28.5703125" style="1476" bestFit="1" customWidth="1"/>
    <col min="5378" max="5632" width="9.140625" style="1476"/>
    <col min="5633" max="5633" width="28.5703125" style="1476" bestFit="1" customWidth="1"/>
    <col min="5634" max="5888" width="9.140625" style="1476"/>
    <col min="5889" max="5889" width="28.5703125" style="1476" bestFit="1" customWidth="1"/>
    <col min="5890" max="6144" width="9.140625" style="1476"/>
    <col min="6145" max="6145" width="28.5703125" style="1476" bestFit="1" customWidth="1"/>
    <col min="6146" max="6400" width="9.140625" style="1476"/>
    <col min="6401" max="6401" width="28.5703125" style="1476" bestFit="1" customWidth="1"/>
    <col min="6402" max="6656" width="9.140625" style="1476"/>
    <col min="6657" max="6657" width="28.5703125" style="1476" bestFit="1" customWidth="1"/>
    <col min="6658" max="6912" width="9.140625" style="1476"/>
    <col min="6913" max="6913" width="28.5703125" style="1476" bestFit="1" customWidth="1"/>
    <col min="6914" max="7168" width="9.140625" style="1476"/>
    <col min="7169" max="7169" width="28.5703125" style="1476" bestFit="1" customWidth="1"/>
    <col min="7170" max="7424" width="9.140625" style="1476"/>
    <col min="7425" max="7425" width="28.5703125" style="1476" bestFit="1" customWidth="1"/>
    <col min="7426" max="7680" width="9.140625" style="1476"/>
    <col min="7681" max="7681" width="28.5703125" style="1476" bestFit="1" customWidth="1"/>
    <col min="7682" max="7936" width="9.140625" style="1476"/>
    <col min="7937" max="7937" width="28.5703125" style="1476" bestFit="1" customWidth="1"/>
    <col min="7938" max="8192" width="9.140625" style="1476"/>
    <col min="8193" max="8193" width="28.5703125" style="1476" bestFit="1" customWidth="1"/>
    <col min="8194" max="8448" width="9.140625" style="1476"/>
    <col min="8449" max="8449" width="28.5703125" style="1476" bestFit="1" customWidth="1"/>
    <col min="8450" max="8704" width="9.140625" style="1476"/>
    <col min="8705" max="8705" width="28.5703125" style="1476" bestFit="1" customWidth="1"/>
    <col min="8706" max="8960" width="9.140625" style="1476"/>
    <col min="8961" max="8961" width="28.5703125" style="1476" bestFit="1" customWidth="1"/>
    <col min="8962" max="9216" width="9.140625" style="1476"/>
    <col min="9217" max="9217" width="28.5703125" style="1476" bestFit="1" customWidth="1"/>
    <col min="9218" max="9472" width="9.140625" style="1476"/>
    <col min="9473" max="9473" width="28.5703125" style="1476" bestFit="1" customWidth="1"/>
    <col min="9474" max="9728" width="9.140625" style="1476"/>
    <col min="9729" max="9729" width="28.5703125" style="1476" bestFit="1" customWidth="1"/>
    <col min="9730" max="9984" width="9.140625" style="1476"/>
    <col min="9985" max="9985" width="28.5703125" style="1476" bestFit="1" customWidth="1"/>
    <col min="9986" max="10240" width="9.140625" style="1476"/>
    <col min="10241" max="10241" width="28.5703125" style="1476" bestFit="1" customWidth="1"/>
    <col min="10242" max="10496" width="9.140625" style="1476"/>
    <col min="10497" max="10497" width="28.5703125" style="1476" bestFit="1" customWidth="1"/>
    <col min="10498" max="10752" width="9.140625" style="1476"/>
    <col min="10753" max="10753" width="28.5703125" style="1476" bestFit="1" customWidth="1"/>
    <col min="10754" max="11008" width="9.140625" style="1476"/>
    <col min="11009" max="11009" width="28.5703125" style="1476" bestFit="1" customWidth="1"/>
    <col min="11010" max="11264" width="9.140625" style="1476"/>
    <col min="11265" max="11265" width="28.5703125" style="1476" bestFit="1" customWidth="1"/>
    <col min="11266" max="11520" width="9.140625" style="1476"/>
    <col min="11521" max="11521" width="28.5703125" style="1476" bestFit="1" customWidth="1"/>
    <col min="11522" max="11776" width="9.140625" style="1476"/>
    <col min="11777" max="11777" width="28.5703125" style="1476" bestFit="1" customWidth="1"/>
    <col min="11778" max="12032" width="9.140625" style="1476"/>
    <col min="12033" max="12033" width="28.5703125" style="1476" bestFit="1" customWidth="1"/>
    <col min="12034" max="12288" width="9.140625" style="1476"/>
    <col min="12289" max="12289" width="28.5703125" style="1476" bestFit="1" customWidth="1"/>
    <col min="12290" max="12544" width="9.140625" style="1476"/>
    <col min="12545" max="12545" width="28.5703125" style="1476" bestFit="1" customWidth="1"/>
    <col min="12546" max="12800" width="9.140625" style="1476"/>
    <col min="12801" max="12801" width="28.5703125" style="1476" bestFit="1" customWidth="1"/>
    <col min="12802" max="13056" width="9.140625" style="1476"/>
    <col min="13057" max="13057" width="28.5703125" style="1476" bestFit="1" customWidth="1"/>
    <col min="13058" max="13312" width="9.140625" style="1476"/>
    <col min="13313" max="13313" width="28.5703125" style="1476" bestFit="1" customWidth="1"/>
    <col min="13314" max="13568" width="9.140625" style="1476"/>
    <col min="13569" max="13569" width="28.5703125" style="1476" bestFit="1" customWidth="1"/>
    <col min="13570" max="13824" width="9.140625" style="1476"/>
    <col min="13825" max="13825" width="28.5703125" style="1476" bestFit="1" customWidth="1"/>
    <col min="13826" max="14080" width="9.140625" style="1476"/>
    <col min="14081" max="14081" width="28.5703125" style="1476" bestFit="1" customWidth="1"/>
    <col min="14082" max="14336" width="9.140625" style="1476"/>
    <col min="14337" max="14337" width="28.5703125" style="1476" bestFit="1" customWidth="1"/>
    <col min="14338" max="14592" width="9.140625" style="1476"/>
    <col min="14593" max="14593" width="28.5703125" style="1476" bestFit="1" customWidth="1"/>
    <col min="14594" max="14848" width="9.140625" style="1476"/>
    <col min="14849" max="14849" width="28.5703125" style="1476" bestFit="1" customWidth="1"/>
    <col min="14850" max="15104" width="9.140625" style="1476"/>
    <col min="15105" max="15105" width="28.5703125" style="1476" bestFit="1" customWidth="1"/>
    <col min="15106" max="15360" width="9.140625" style="1476"/>
    <col min="15361" max="15361" width="28.5703125" style="1476" bestFit="1" customWidth="1"/>
    <col min="15362" max="15616" width="9.140625" style="1476"/>
    <col min="15617" max="15617" width="28.5703125" style="1476" bestFit="1" customWidth="1"/>
    <col min="15618" max="15872" width="9.140625" style="1476"/>
    <col min="15873" max="15873" width="28.5703125" style="1476" bestFit="1" customWidth="1"/>
    <col min="15874" max="16128" width="9.140625" style="1476"/>
    <col min="16129" max="16129" width="28.5703125" style="1476" bestFit="1" customWidth="1"/>
    <col min="16130" max="16384" width="9.140625" style="1476"/>
  </cols>
  <sheetData>
    <row r="1" spans="1:1">
      <c r="A1" s="1613" t="s">
        <v>1097</v>
      </c>
    </row>
    <row r="2" spans="1:1">
      <c r="A2" s="1613" t="s">
        <v>1102</v>
      </c>
    </row>
    <row r="3" spans="1:1">
      <c r="A3" s="1613" t="s">
        <v>1103</v>
      </c>
    </row>
    <row r="4" spans="1:1">
      <c r="A4" s="1613" t="s">
        <v>1104</v>
      </c>
    </row>
    <row r="5" spans="1:1">
      <c r="A5" s="1613" t="s">
        <v>1105</v>
      </c>
    </row>
    <row r="6" spans="1:1">
      <c r="A6" s="1613" t="s">
        <v>1098</v>
      </c>
    </row>
    <row r="7" spans="1:1">
      <c r="A7" s="1613" t="s">
        <v>1106</v>
      </c>
    </row>
    <row r="8" spans="1:1">
      <c r="A8" s="1613" t="s">
        <v>1107</v>
      </c>
    </row>
    <row r="9" spans="1:1">
      <c r="A9" s="1613" t="s">
        <v>1108</v>
      </c>
    </row>
    <row r="10" spans="1:1">
      <c r="A10" s="1613" t="s">
        <v>1099</v>
      </c>
    </row>
    <row r="11" spans="1:1">
      <c r="A11" s="1613" t="s">
        <v>1109</v>
      </c>
    </row>
    <row r="12" spans="1:1">
      <c r="A12" s="1613" t="s">
        <v>1100</v>
      </c>
    </row>
    <row r="13" spans="1:1">
      <c r="A13" s="1613" t="s">
        <v>1101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46e70313-4c77-47d2-abbb-daa56d027576</GUID>
    <SOURCETYPE>Chart</SOURCETYPE>
    <SOURCE_OBJECTNAME>MWA_Risk_Reward</SOURCE_OBJECTNAME>
    <SOURCE_SHEETCODE>MWRSSData</SOURCE_SHEETCODE>
    <SOURCE_SHEETNAME>MWA RR</SOURCE_SHEETNAME>
    <OBJECTTYPE>Native</OBJECTTYPE>
    <SOURCEAPPLICATION>EXCEL_SOURCE</SOURCEAPPLICATION>
    <UPDATEDAT>5/14/2015 10:11:43 AM</UPDATEDAT>
    <SOURCE_ISOUTOFDATE>False</SOURCE_ISOUTOFDATE>
    <SOURCE_WORKBOOKNAME>THC_2017.xls</SOURCE_WORKBOOKNAME>
    <SOURCE_WORKBOOKPATH>\\MSAD\ROOT\NA\NY\LIB\ER\HEALTH\Schenker\Models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/MSResearch/Content/ExternalAssets/2015-05/Images/qvIw0dFKyUesdjm02rwe9w--.png</TARGET_BINARYFULLNAME>
    <TARGET_STORYFULLNAME>/MSResearch/Content/ExternalAssets/2015-05/Sections/20150512_062754_MWA_Risk_Reward.xml</TARGET_STORYFULLNAME>
    <TARGET_UUID>2233a4d0-f8f6-11e4-b06e-39cc228b6d15</TARGET_UUID>
    <LINKSTATUS>Unknown</LINKSTATUS>
  </Link>
  <Link>
    <GUID>7408efef-cb5e-47e7-b2cd-47869178a3a7</GUID>
    <SOURCE_ALTADDRESS>$A$4:$DW$109</SOURCE_ALTADDRESS>
    <SOURCETYPE>Table</SOURCETYPE>
    <SOURCE_OBJECTNAME>Linking_Range_27</SOURCE_OBJECTNAME>
    <OBJECTTYPE>Native</OBJECTTYPE>
    <SOURCE_SHEETCODE>Sheet1</SOURCE_SHEETCODE>
    <SOURCE_SHEETNAME>Income Statement</SOURCE_SHEETNAME>
    <SOURCEAPPLICATION>EXCEL_SOURCE</SOURCEAPPLICATION>
    <UPDATEDAT>5/14/2015 10:11:46 AM</UPDATEDAT>
    <SOURCE_ISOUTOFDATE>False</SOURCE_ISOUTOFDATE>
    <SOURCE_WORKBOOKNAME>THC_2017.xls</SOURCE_WORKBOOKNAME>
    <SOURCE_WORKBOOKPATH>\\MSAD\ROOT\NA\NY\LIB\ER\HEALTH\Schenker\Models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/MSResearch/Content/ExternalAssets/2015-05/Images/MKxuF_ZXV02uy15YkTKgGA--.png</TARGET_BINARYFULLNAME>
    <TARGET_STORYFULLNAME>/MSResearch/Content/ExternalAssets/2015-05/Sections/20150513_045042_Linking_Range_27.xml</TARGET_STORYFULLNAME>
    <TARGET_UUID>b85d3230-f9b1-11e4-b06e-39cc228b6d15</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34CDEE5D-FF2A-4C70-83C1-4F0C0486D196}">
  <ds:schemaRefs>
    <ds:schemaRef ds:uri="thomsonreuters.linking.metadata"/>
  </ds:schemaRefs>
</ds:datastoreItem>
</file>

<file path=customXml/itemProps2.xml><?xml version="1.0" encoding="utf-8"?>
<ds:datastoreItem xmlns:ds="http://schemas.openxmlformats.org/officeDocument/2006/customXml" ds:itemID="{A3236410-2CD5-42BB-905A-4E22D435A52B}">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195</vt:i4>
      </vt:variant>
    </vt:vector>
  </HeadingPairs>
  <TitlesOfParts>
    <vt:vector size="197" baseType="lpstr">
      <vt:lpstr>ImportantDisclosures</vt:lpstr>
      <vt:lpstr>CircularReferenceAlert</vt:lpstr>
      <vt:lpstr>_adjebitda</vt:lpstr>
      <vt:lpstr>_baddebt</vt:lpstr>
      <vt:lpstr>_baddebtamarg</vt:lpstr>
      <vt:lpstr>_baddebtmarg</vt:lpstr>
      <vt:lpstr>_bs_1c13</vt:lpstr>
      <vt:lpstr>_bs_2c08</vt:lpstr>
      <vt:lpstr>_bs_2c09</vt:lpstr>
      <vt:lpstr>_bs_2c10</vt:lpstr>
      <vt:lpstr>_bs_2c11</vt:lpstr>
      <vt:lpstr>_bs_2c12</vt:lpstr>
      <vt:lpstr>_bs_2c13</vt:lpstr>
      <vt:lpstr>_bs_3c08</vt:lpstr>
      <vt:lpstr>_bs_3c09</vt:lpstr>
      <vt:lpstr>_bs_3c10</vt:lpstr>
      <vt:lpstr>_bs_3c11</vt:lpstr>
      <vt:lpstr>_bs_3c12</vt:lpstr>
      <vt:lpstr>_bs_3c13</vt:lpstr>
      <vt:lpstr>_bs_4c08</vt:lpstr>
      <vt:lpstr>_bs_4c09</vt:lpstr>
      <vt:lpstr>_bs_4c10</vt:lpstr>
      <vt:lpstr>_bs_4c11</vt:lpstr>
      <vt:lpstr>_bs_4c12</vt:lpstr>
      <vt:lpstr>_bs_4c13</vt:lpstr>
      <vt:lpstr>_bs_fy09</vt:lpstr>
      <vt:lpstr>_bs_fy10</vt:lpstr>
      <vt:lpstr>_bs_fy11</vt:lpstr>
      <vt:lpstr>_bs_fy12</vt:lpstr>
      <vt:lpstr>_bs_fy13</vt:lpstr>
      <vt:lpstr>_capex</vt:lpstr>
      <vt:lpstr>_capex_disc</vt:lpstr>
      <vt:lpstr>_capex_hc</vt:lpstr>
      <vt:lpstr>_cash</vt:lpstr>
      <vt:lpstr>_cff</vt:lpstr>
      <vt:lpstr>_cfi</vt:lpstr>
      <vt:lpstr>_cfo</vt:lpstr>
      <vt:lpstr>_deprec</vt:lpstr>
      <vt:lpstr>_EBITDA</vt:lpstr>
      <vt:lpstr>_equity</vt:lpstr>
      <vt:lpstr>_fcf</vt:lpstr>
      <vt:lpstr>_fcfps</vt:lpstr>
      <vt:lpstr>_GAAPeps</vt:lpstr>
      <vt:lpstr>_intexp</vt:lpstr>
      <vt:lpstr>_intinc</vt:lpstr>
      <vt:lpstr>_is_1c08</vt:lpstr>
      <vt:lpstr>_is_1c09</vt:lpstr>
      <vt:lpstr>_is_1c10</vt:lpstr>
      <vt:lpstr>_is_1c11</vt:lpstr>
      <vt:lpstr>_is_1c12</vt:lpstr>
      <vt:lpstr>_is_1c13</vt:lpstr>
      <vt:lpstr>_is_2c08</vt:lpstr>
      <vt:lpstr>_is_2c09</vt:lpstr>
      <vt:lpstr>_is_2c10</vt:lpstr>
      <vt:lpstr>_is_2c11</vt:lpstr>
      <vt:lpstr>_is_2c12</vt:lpstr>
      <vt:lpstr>_is_2c13</vt:lpstr>
      <vt:lpstr>_is_3c08</vt:lpstr>
      <vt:lpstr>_is_3c09</vt:lpstr>
      <vt:lpstr>_is_3c10</vt:lpstr>
      <vt:lpstr>_is_3c11</vt:lpstr>
      <vt:lpstr>_is_3c12</vt:lpstr>
      <vt:lpstr>_is_3c13</vt:lpstr>
      <vt:lpstr>_is_4c08</vt:lpstr>
      <vt:lpstr>_is_4c09</vt:lpstr>
      <vt:lpstr>_is_4c10</vt:lpstr>
      <vt:lpstr>_is_4c11</vt:lpstr>
      <vt:lpstr>_is_4c12</vt:lpstr>
      <vt:lpstr>_is_4c13</vt:lpstr>
      <vt:lpstr>_is_fy09</vt:lpstr>
      <vt:lpstr>_is_fy10</vt:lpstr>
      <vt:lpstr>_is_fy11</vt:lpstr>
      <vt:lpstr>_is_fy12</vt:lpstr>
      <vt:lpstr>_is_fy13</vt:lpstr>
      <vt:lpstr>_is_fy14</vt:lpstr>
      <vt:lpstr>_is_fy15</vt:lpstr>
      <vt:lpstr>_is_fy16</vt:lpstr>
      <vt:lpstr>_ltdebt</vt:lpstr>
      <vt:lpstr>_mi</vt:lpstr>
      <vt:lpstr>_ni</vt:lpstr>
      <vt:lpstr>_opeps</vt:lpstr>
      <vt:lpstr>_opni</vt:lpstr>
      <vt:lpstr>_otherop</vt:lpstr>
      <vt:lpstr>_pretax</vt:lpstr>
      <vt:lpstr>_rev</vt:lpstr>
      <vt:lpstr>_shrepo</vt:lpstr>
      <vt:lpstr>_shsfd</vt:lpstr>
      <vt:lpstr>_stdebt</vt:lpstr>
      <vt:lpstr>_supply</vt:lpstr>
      <vt:lpstr>_swb</vt:lpstr>
      <vt:lpstr>_taxes</vt:lpstr>
      <vt:lpstr>_taxrate</vt:lpstr>
      <vt:lpstr>AdditionalInstructions</vt:lpstr>
      <vt:lpstr>ImportantDisclosures!Address</vt:lpstr>
      <vt:lpstr>ModPubIndex!ANA</vt:lpstr>
      <vt:lpstr>ImportantDisclosures!Authors</vt:lpstr>
      <vt:lpstr>IndexInformation!Authors</vt:lpstr>
      <vt:lpstr>ModPubIndex!BRO</vt:lpstr>
      <vt:lpstr>CircularReferenceAlert!Buttons</vt:lpstr>
      <vt:lpstr>ImportantDisclosures!CopyrightStamp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ImportantDisclosures!DisclosuresText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Linking_12</vt:lpstr>
      <vt:lpstr>Linking_2</vt:lpstr>
      <vt:lpstr>Linking_3</vt:lpstr>
      <vt:lpstr>Linking_4</vt:lpstr>
      <vt:lpstr>Linking_5</vt:lpstr>
      <vt:lpstr>Linking_Range_10</vt:lpstr>
      <vt:lpstr>Linking_Range_11</vt:lpstr>
      <vt:lpstr>Linking_Range_12</vt:lpstr>
      <vt:lpstr>Linking_Range_13</vt:lpstr>
      <vt:lpstr>Linking_Range_14</vt:lpstr>
      <vt:lpstr>Linking_Range_15</vt:lpstr>
      <vt:lpstr>Linking_Range_17</vt:lpstr>
      <vt:lpstr>Linking_Range_18</vt:lpstr>
      <vt:lpstr>Linking_Range_19</vt:lpstr>
      <vt:lpstr>Linking_Range_20</vt:lpstr>
      <vt:lpstr>Linking_Range_21</vt:lpstr>
      <vt:lpstr>Linking_Range_22</vt:lpstr>
      <vt:lpstr>Linking_Range_26</vt:lpstr>
      <vt:lpstr>Linking_Range_27</vt:lpstr>
      <vt:lpstr>Linking_Range_6</vt:lpstr>
      <vt:lpstr>Linking_Range_7</vt:lpstr>
      <vt:lpstr>Linking_Range_8</vt:lpstr>
      <vt:lpstr>Linking_Range_9</vt:lpstr>
      <vt:lpstr>Linking_Text_1</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'BS &amp; CF'!Print_Area</vt:lpstr>
      <vt:lpstr>IS!Print_Area</vt:lpstr>
      <vt:lpstr>'Expense Assumptions'!Print_Titles</vt:lpstr>
      <vt:lpstr>IS!Print_Titles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IndexInformation!SubmitterUserId</vt:lpstr>
      <vt:lpstr>ModPubIndex!SUPPRESSED</vt:lpstr>
      <vt:lpstr>switch</vt:lpstr>
      <vt:lpstr>ImportantDisclosures!TargetPrice</vt:lpstr>
      <vt:lpstr>IndexInformation!TemplateRegion</vt:lpstr>
      <vt:lpstr>THCbs</vt:lpstr>
      <vt:lpstr>THCcf</vt:lpstr>
      <vt:lpstr>THCis</vt:lpstr>
      <vt:lpstr>THCis2</vt:lpstr>
      <vt:lpstr>ImportantDisclosures!Ticker</vt:lpstr>
      <vt:lpstr>IndexInformation!TickerRegion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2008-05-29T23:44:52Z</dcterms:created>
  <dc:creator>Schenker, Andrew (Research)</dc:creator>
  <cp:lastModifiedBy>Mutoko, Moses (Research)</cp:lastModifiedBy>
  <cp:lastPrinted>2018-04-12T20:47:29Z</cp:lastPrinted>
  <dcterms:modified xsi:type="dcterms:W3CDTF">2018-04-13T17:26:33Z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5</vt:lpwstr>
  </property>
  <property fmtid="{D5CDD505-2E9C-101B-9397-08002B2CF9AE}" name="{A44787D4-0540-4523-9961-78E4036D8C6D}" pid="3">
    <vt:lpwstr>{575615DD-DC1A-48E2-AD1A-E93D6A466BC0}</vt:lpwstr>
  </property>
  <property fmtid="{D5CDD505-2E9C-101B-9397-08002B2CF9AE}" name="LinkingAutoNameNumberLinking_Range_" pid="4">
    <vt:lpwstr>28</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761598</vt:lpwstr>
  </property>
  <property fmtid="{D5CDD505-2E9C-101B-9397-08002B2CF9AE}" name="ERModPubCompanyName" pid="8">
    <vt:lpwstr>Tenet Healthcare Corp</vt:lpwstr>
  </property>
  <property fmtid="{D5CDD505-2E9C-101B-9397-08002B2CF9AE}" name="ERModPubMaxIterations" pid="9">
    <vt:i4>100</vt:i4>
  </property>
  <property fmtid="{D5CDD505-2E9C-101B-9397-08002B2CF9AE}" name="ERModPubMaxChange" pid="10">
    <vt:r8>0.001</vt:r8>
  </property>
  <property fmtid="{D5CDD505-2E9C-101B-9397-08002B2CF9AE}" name="MSDH34TAG" pid="11">
    <vt:lpwstr>.TEZUF76X5TAHATHESADREYAK-00-INB160+*94600-06=d55474a8/-3f3f/-11e8/-b3f7/-7a79cfe26848,MD=20180413133433/-0400,ZZ=000Z-d2af.</vt:lpwstr>
  </property>
</Properties>
</file>